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StartHere" sheetId="2" state="visible" r:id="rId2"/>
    <sheet name="InputGuide" sheetId="3" state="visible" r:id="rId3"/>
    <sheet name="PrintCenter" sheetId="4" state="visible" r:id="rId4"/>
    <sheet name="Cadets" sheetId="5" state="visible" r:id="rId5"/>
    <sheet name="ExamScores" sheetId="6" state="visible" r:id="rId6"/>
    <sheet name="Spelling" sheetId="7" state="visible" r:id="rId7"/>
    <sheet name="Attendance" sheetId="8" state="visible" r:id="rId8"/>
    <sheet name="Makeup" sheetId="9" state="visible" r:id="rId9"/>
    <sheet name="Skills" sheetId="10" state="visible" r:id="rId10"/>
    <sheet name="SkillsCheck" sheetId="11" state="visible" r:id="rId11"/>
    <sheet name="Writing" sheetId="12" state="visible" r:id="rId12"/>
    <sheet name="Incidents" sheetId="13" state="visible" r:id="rId13"/>
    <sheet name="Counseling" sheetId="14" state="visible" r:id="rId14"/>
    <sheet name="Memos" sheetId="15" state="visible" r:id="rId15"/>
    <sheet name="DailyLog" sheetId="16" state="visible" r:id="rId16"/>
    <sheet name="PT" sheetId="17" state="visible" r:id="rId17"/>
    <sheet name="Medical" sheetId="18" state="visible" r:id="rId18"/>
    <sheet name="Certifications" sheetId="19" state="visible" r:id="rId19"/>
    <sheet name="StateExam" sheetId="20" state="visible" r:id="rId20"/>
    <sheet name="AdvisoryBoard" sheetId="21" state="visible" r:id="rId21"/>
    <sheet name="DismissalLog" sheetId="22" state="visible" r:id="rId22"/>
    <sheet name="ScoresGrid" sheetId="23" state="visible" r:id="rId23"/>
    <sheet name="Ranking" sheetId="24" state="visible" r:id="rId24"/>
    <sheet name="WatchList" sheetId="25" state="visible" r:id="rId25"/>
    <sheet name="CadetProfile" sheetId="26" state="visible" r:id="rId26"/>
    <sheet name="Transcript" sheetId="27" state="visible" r:id="rId27"/>
    <sheet name="GradChecklist" sheetId="28" state="visible" r:id="rId28"/>
    <sheet name="Audit" sheetId="29" state="visible" r:id="rId29"/>
    <sheet name="Addendum" sheetId="30" state="visible" r:id="rId30"/>
    <sheet name="ChapterPacket" sheetId="31" state="visible" r:id="rId31"/>
    <sheet name="ExamSheet" sheetId="32" state="visible" r:id="rId32"/>
    <sheet name="SignIn" sheetId="33" state="visible" r:id="rId33"/>
    <sheet name="EvalSheet" sheetId="34" state="visible" r:id="rId34"/>
    <sheet name="SpellingPrint" sheetId="35" state="visible" r:id="rId35"/>
    <sheet name="WritingHandout" sheetId="36" state="visible" r:id="rId36"/>
    <sheet name="EmailPreview" sheetId="37" state="visible" r:id="rId37"/>
    <sheet name="EmailLog" sheetId="38" state="visible" r:id="rId38"/>
    <sheet name="Settings" sheetId="39" state="visible" r:id="rId39"/>
    <sheet name="Lists" sheetId="40" state="visible" r:id="rId40"/>
    <sheet name="Agencies" sheetId="41" state="visible" r:id="rId41"/>
    <sheet name="Instructors" sheetId="42" state="visible" r:id="rId42"/>
    <sheet name="InstructorBanks" sheetId="43" state="visible" r:id="rId43"/>
    <sheet name="ChapterMaster" sheetId="44" state="visible" r:id="rId44"/>
    <sheet name="ExamMaster" sheetId="45" state="visible" r:id="rId45"/>
    <sheet name="ExamPlan" sheetId="46" state="visible" r:id="rId46"/>
    <sheet name="SkillsMaster" sheetId="47" state="visible" r:id="rId47"/>
    <sheet name="SpellingMaster" sheetId="48" state="visible" r:id="rId48"/>
    <sheet name="WritingMaster" sheetId="49" state="visible" r:id="rId49"/>
    <sheet name="Control" sheetId="50" state="visible" r:id="rId50"/>
    <sheet name="Schedule" sheetId="51" state="visible" r:id="rId51"/>
    <sheet name="sysGrades" sheetId="52" state="visible" r:id="rId52"/>
    <sheet name="sysAttendance" sheetId="53" state="visible" r:id="rId53"/>
    <sheet name="sysSkills" sheetId="54" state="visible" r:id="rId54"/>
    <sheet name="sysIncidents" sheetId="55" state="visible" r:id="rId55"/>
    <sheet name="sysFlags" sheetId="56" state="visible" r:id="rId56"/>
    <sheet name="sysChecks" sheetId="57" state="visible" r:id="rId57"/>
    <sheet name="sysAwards" sheetId="58" state="visible" r:id="rId58"/>
    <sheet name="sysAudit" sheetId="59" state="visible" r:id="rId59"/>
    <sheet name="sysListsHelper" sheetId="60" state="veryHidden" r:id="rId60"/>
    <sheet name="NamedRanges" sheetId="61" state="visible" r:id="rId61"/>
  </sheets>
  <definedNames>
    <definedName name="cfgAcademyClass">'Settings'!$C$6</definedName>
    <definedName name="cfgStartDate">'Settings'!$C$7</definedName>
    <definedName name="cfgEndDate">'Settings'!$C$8</definedName>
    <definedName name="cfgTotalScheduledMinutes">'Settings'!$C$9</definedName>
    <definedName name="cfgPassingScore">'Settings'!$C$10</definedName>
    <definedName name="cfgThresholdScore">'Settings'!$C$11</definedName>
    <definedName name="cfgRetakeRecordedCap">'Settings'!$C$12</definedName>
    <definedName name="cfgThresholdAfterExam">'Settings'!$C$13</definedName>
    <definedName name="cfgRetestClassDays">'Settings'!$C$14</definedName>
    <definedName name="cfgMemoDueClassDays">'Settings'!$C$15</definedName>
    <definedName name="cfgWeightMajor">'Settings'!$C$16</definedName>
    <definedName name="cfgWeightMinor">'Settings'!$C$17</definedName>
    <definedName name="cfgWeightSpelling">'Settings'!$C$18</definedName>
    <definedName name="cfgWeightFinal">'Settings'!$C$19</definedName>
    <definedName name="cfgSpellInterventionAvg">'Settings'!$C$20</definedName>
    <definedName name="cfgMakeupAdvisoryMin">'Settings'!$C$21</definedName>
    <definedName name="cfgMakeupCriticalMin">'Settings'!$C$22</definedName>
    <definedName name="cfgPTCapSessions">'Settings'!$C$23</definedName>
    <definedName name="cfgAttendanceAdvisoryPct">'Settings'!$C$24</definedName>
    <definedName name="cfgAttendanceCriticalPct">'Settings'!$C$25</definedName>
    <definedName name="cfgHomeAgency">'Settings'!$C$26</definedName>
    <definedName name="cfgCurrentExamNum">'Settings'!$C$27</definedName>
    <definedName name="cfgCurrentSpellingNum">'Settings'!$C$28</definedName>
    <definedName name="cfgWritingDueTime">'Settings'!$C$29</definedName>
    <definedName name="cfgPTFinalMinPoints">'Settings'!$C$30</definedName>
    <definedName name="cfgFlagConsecFails">'Settings'!$C$31</definedName>
    <definedName name="cfgFlagGradeDrop">'Settings'!$C$32</definedName>
    <definedName name="cfgFlagCategoryMargin">'Settings'!$C$33</definedName>
    <definedName name="cfgFlagAttendancePct">'Settings'!$C$34</definedName>
    <definedName name="cfgFlagOpenIncidents">'Settings'!$C$35</definedName>
    <definedName name="cfgFlagOverdueWriting">'Settings'!$C$36</definedName>
    <definedName name="cfgWeightsTotal">'Settings'!$C$37</definedName>
    <definedName name="nrPTTierPts">'Settings'!$D$43:$H$43</definedName>
    <definedName name="nrPTBands">'Settings'!$D$44:$H$48</definedName>
    <definedName name="nrPTBandEvents">'Settings'!$B$44:$B$48</definedName>
    <definedName name="lstYesNo">'Lists'!$B$6:$B$7</definedName>
    <definedName name="lstCadetStatus">'Lists'!$C$6:$C$9</definedName>
    <definedName name="lstExamType">'Lists'!$D$6:$D$8</definedName>
    <definedName name="lstAttendanceEvent">'Lists'!$E$6:$E$14</definedName>
    <definedName name="lstReason">'Lists'!$F$6:$F$12</definedName>
    <definedName name="lstDocumentation">'Lists'!$G$6:$G$8</definedName>
    <definedName name="lstExcused">'Lists'!$H$6:$H$7</definedName>
    <definedName name="lstMakeupType">'Lists'!$I$6:$I$7</definedName>
    <definedName name="lstScoringMode">'Lists'!$J$6:$J$7</definedName>
    <definedName name="lstSkillResult">'Lists'!$K$6:$K$8</definedName>
    <definedName name="lstIncidentDirection">'Lists'!$L$6:$L$8</definedName>
    <definedName name="lstSeverity">'Lists'!$M$6:$M$10</definedName>
    <definedName name="lstResolution">'Lists'!$N$6:$N$9</definedName>
    <definedName name="lstAssignmentType">'Lists'!$O$6:$O$10</definedName>
    <definedName name="lstSubmission">'Lists'!$P$6:$P$9</definedName>
    <definedName name="lstAttemptNum">'Lists'!$Q$6:$Q$10</definedName>
    <definedName name="lstExamAttemptNum">'Lists'!$R$6:$R$7</definedName>
    <definedName name="lstIssuetype">'Lists'!$S$6:$S$12</definedName>
    <definedName name="lstCounselingType">'Lists'!$T$6:$T$13</definedName>
    <definedName name="lstMedicalStatus">'Lists'!$U$6:$U$9</definedName>
    <definedName name="lstPtSession">'Lists'!$V$6:$V$8</definedName>
    <definedName name="lstAward">'Lists'!$W$6:$W$9</definedName>
    <definedName name="lstInstructorType">'Lists'!$X$6:$X$9</definedName>
    <definedName name="lstMaterialsStatus">'Lists'!$Y$6:$Y$9</definedName>
    <definedName name="lstRequirementSource">'Lists'!$Z$6:$Z$7</definedName>
    <definedName name="lstReviewType">'Lists'!$AA$6:$AA$8</definedName>
    <definedName name="lstReviewOutcome">'Lists'!$AB$6:$AB$9</definedName>
    <definedName name="lstDismissalTrigger">'Lists'!$AC$6:$AC$10</definedName>
    <definedName name="rngAgencyIDs">'Agencies'!$B$6:$B$50</definedName>
    <definedName name="rngAgencyNames">'Agencies'!$C$6:$C$50</definedName>
    <definedName name="rngAgencyEmails">'Agencies'!$E$6:$E$50</definedName>
    <definedName name="rngAgencyActive">'Agencies'!$H$6:$H$50</definedName>
    <definedName name="nrAgencyLastEmail">'Agencies'!$I$6:$I$50</definedName>
    <definedName name="nrInstrNames">'Instructors'!$B$6:$B$95</definedName>
    <definedName name="nrInstrReady">'Instructors'!$K$6:$K$95</definedName>
    <definedName name="nrInstrOnSched">'Instructors'!$L$6:$L$95</definedName>
    <definedName name="nrInstrChTaught">'Instructors'!$M$6:$M$95</definedName>
    <definedName name="nrInstrLastTaught">'Instructors'!$N$6:$N$95</definedName>
    <definedName name="nrInstrCertStat">'Instructors'!$O$6:$O$95</definedName>
    <definedName name="nrBankTopics">'InstructorBanks'!$B$6:$B$81</definedName>
    <definedName name="nrBankGrid">'InstructorBanks'!$C$6:$L$81</definedName>
    <definedName name="nrBankSel">'InstructorBanks'!$M$6:$V$81</definedName>
    <definedName name="nrCHmod">'ChapterMaster'!$B$6:$B$50</definedName>
    <definedName name="nrCHnum">'ChapterMaster'!$C$6:$C$50</definedName>
    <definedName name="nrCHname">'ChapterMaster'!$D$6:$D$50</definedName>
    <definedName name="nrCHmin">'ChapterMaster'!$E$6:$E$50</definedName>
    <definedName name="nrCHplan">'ChapterMaster'!$F$6:$F$50</definedName>
    <definedName name="nrCHdeliv">'ChapterMaster'!$G$6:$G$50</definedName>
    <definedName name="nrCHfirst">'ChapterMaster'!$I$6:$I$50</definedName>
    <definedName name="nrCHinstr">'ChapterMaster'!$K$6:$K$50</definedName>
    <definedName name="nrCHlesson">'ChapterMaster'!$L$6:$L$50</definedName>
    <definedName name="nrCHbio">'ChapterMaster'!$M$6:$M$50</definedName>
    <definedName name="nrCHsignin">'ChapterMaster'!$N$6:$N$50</definedName>
    <definedName name="nrCHassess">'ChapterMaster'!$O$6:$O$50</definedName>
    <definedName name="nrCHgrade">'ChapterMaster'!$P$6:$P$50</definedName>
    <definedName name="nrCHevals">'ChapterMaster'!$Q$6:$Q$50</definedName>
    <definedName name="nrCHhandoutOpt">'ChapterMaster'!$R$6:$R$50</definedName>
    <definedName name="nrCHspecial">'ChapterMaster'!$S$6:$S$50</definedName>
    <definedName name="nrCHspecialMet">'ChapterMaster'!$T$6:$T$50</definedName>
    <definedName name="nrCHfileOK">'ChapterMaster'!$U$6:$U$50</definedName>
    <definedName name="nrCHtotalDelivered">'ChapterMaster'!$G$52</definedName>
    <definedName name="nrSUBname">'ChapterMaster'!$B$57:$B$71</definedName>
    <definedName name="nrSUBparent">'ChapterMaster'!$E$57:$E$71</definedName>
    <definedName name="nrSUBtarget">'ChapterMaster'!$F$57:$F$71</definedName>
    <definedName name="rngEMcode">'ExamMaster'!$B$6:$B$30</definedName>
    <definedName name="rngEMname">'ExamMaster'!$C$6:$C$30</definedName>
    <definedName name="rngEMtype">'ExamMaster'!$D$6:$D$30</definedName>
    <definedName name="rngEMpass">'ExamMaster'!$E$6:$E$30</definedName>
    <definedName name="rngEMseq">'ExamMaster'!$F$6:$F$30</definedName>
    <definedName name="rngEPuse">'ExamPlan'!$B$6:$B$30</definedName>
    <definedName name="rngEPcode">'ExamPlan'!$C$6:$C$30</definedName>
    <definedName name="rngEPname">'ExamPlan'!$D$6:$D$30</definedName>
    <definedName name="rngEPtype">'ExamPlan'!$E$6:$E$30</definedName>
    <definedName name="rngEPpass">'ExamPlan'!$F$6:$F$30</definedName>
    <definedName name="rngEPseq">'ExamPlan'!$G$6:$G$30</definedName>
    <definedName name="rngEPch">'ExamPlan'!$H$6:$H$30</definedName>
    <definedName name="rngEPdate">'ExamPlan'!$I$6:$I$30</definedName>
    <definedName name="rngSM_cat">'SkillsMaster'!$B$6:$B$15</definedName>
    <definedName name="rngSM_max">'SkillsMaster'!$C$6:$C$15</definedName>
    <definedName name="rngSM_mode">'SkillsMaster'!$D$6:$D$15</definedName>
    <definedName name="rngSM_pass">'SkillsMaster'!$E$6:$E$15</definedName>
    <definedName name="nrSpellWords">'SpellingMaster'!$C$6:$N$30</definedName>
    <definedName name="rngWMnum">'WritingMaster'!$B$6:$B$45</definedName>
    <definedName name="rngWMtitle">'WritingMaster'!$C$6:$C$45</definedName>
    <definedName name="rngWMassigned">'WritingMaster'!$K$6:$K$45</definedName>
    <definedName name="rngWMdue">'WritingMaster'!$L$6:$L$45</definedName>
    <definedName name="rngWMprompt">'WritingMaster'!$M$6:$M$45</definedName>
    <definedName name="nrHolidays1">'Control'!$C$6:$C$16</definedName>
    <definedName name="nrHolidays2">'Control'!$D$6:$D$16</definedName>
    <definedName name="nrExtraClosures">'Control'!$F$6:$F$20</definedName>
    <definedName name="nrExtraClosureCheck">'Control'!$G$6:$G$20</definedName>
    <definedName name="nrAllClosures">'Control'!$M$6:$M$42</definedName>
    <definedName name="nrCDnum">'Control'!$H$6:$H$175</definedName>
    <definedName name="nrCDdate">'Control'!$I$6:$I$175</definedName>
    <definedName name="nrCDweek">'Control'!$J$6:$J$175</definedName>
    <definedName name="nrCDinsession">'Control'!$K$6:$K$175</definedName>
    <definedName name="nrScheduleItems">'sysListsHelper'!$B$6:$B$90</definedName>
    <definedName name="nrAllRefIDs">'sysListsHelper'!$D$6:$D$1605</definedName>
    <definedName name="nrAT_IDlist">'sysListsHelper'!$E$6:$E$805</definedName>
    <definedName name="nrSCH_Date">'Schedule'!$B$6:$B$905</definedName>
    <definedName name="nrSCH_Start">'Schedule'!$D$6:$D$905</definedName>
    <definedName name="nrSCH_End">'Schedule'!$E$6:$E$905</definedName>
    <definedName name="nrSCH_Hrs">'Schedule'!$F$6:$F$905</definedName>
    <definedName name="nrSCH_Act">'Schedule'!$G$6:$G$905</definedName>
    <definedName name="nrSCH_ChNum">'Schedule'!$H$6:$H$905</definedName>
    <definedName name="nrSCH_Instr">'Schedule'!$I$6:$I$905</definedName>
    <definedName name="nrSCH_Loc">'Schedule'!$J$6:$J$905</definedName>
    <definedName name="nrSCH_InstrOK">'Schedule'!$N$6:$N$905</definedName>
    <definedName name="nrSCH_BankOK">'Schedule'!$P$6:$P$905</definedName>
    <definedName name="nrSCH_TimeCheck">'Schedule'!$O$6:$O$905</definedName>
    <definedName name="rngCadetPIDs">'Cadets'!$B$6:$B$55</definedName>
    <definedName name="rngCadetNames">'Cadets'!$F$6:$F$55</definedName>
    <definedName name="nrCadetAgency">'Cadets'!$H$6:$H$55</definedName>
    <definedName name="nrCadetAgencyID">'Cadets'!$G$6:$G$55</definedName>
    <definedName name="nrCadetStatus">'Cadets'!$I$6:$I$55</definedName>
    <definedName name="nrES_RecID">'ExamScores'!$B$6:$B$1505</definedName>
    <definedName name="nrES_RowCheck">'ExamScores'!$X$6:$X$1505</definedName>
    <definedName name="nrES_PID">'ExamScores'!$D$6:$D$1505</definedName>
    <definedName name="nrES_Code">'ExamScores'!$F$6:$F$1505</definedName>
    <definedName name="nrES_Type">'ExamScores'!$H$6:$H$1505</definedName>
    <definedName name="nrES_Seq">'ExamScores'!$I$6:$I$1505</definedName>
    <definedName name="nrES_Att">'ExamScores'!$K$6:$K$1505</definedName>
    <definedName name="nrES_Raw">'ExamScores'!$L$6:$L$1505</definedName>
    <definedName name="nrES_Rec">'ExamScores'!$M$6:$M$1505</definedName>
    <definedName name="nrES_AttPass">'ExamScores'!$N$6:$N$1505</definedName>
    <definedName name="nrES_Final">'ExamScores'!$P$6:$P$1505</definedName>
    <definedName name="nrES_RetReq">'ExamScores'!$Q$6:$Q$1505</definedName>
    <definedName name="nrES_Dis">'ExamScores'!$R$6:$R$1505</definedName>
    <definedName name="nrES_Date">'ExamScores'!$S$6:$S$1505</definedName>
    <definedName name="nrES_RetDue">'ExamScores'!$T$6:$T$1505</definedName>
    <definedName name="nrES_RetStat">'ExamScores'!$U$6:$U$1505</definedName>
    <definedName name="nrES_Absence">'ExamScores'!$Y$6:$Y$1505</definedName>
    <definedName name="nrSpellCounts">'Spelling'!$D$57:$O$57</definedName>
    <definedName name="nrSpellClassAvg">'Spelling'!$D$58:$O$58</definedName>
    <definedName name="nrSpellTestNums">'Spelling'!$D$59:$O$59</definedName>
    <definedName name="nrSpellAvg">'Spelling'!$P$6:$P$55</definedName>
    <definedName name="nrSpellTaken">'Spelling'!$Q$6:$Q$55</definedName>
    <definedName name="nrSpellFlag">'Spelling'!$R$6:$R$55</definedName>
    <definedName name="nrSpellRowCheck">'Spelling'!$S$6:$S$55</definedName>
    <definedName name="nrAT_ID">'Attendance'!$B$6:$B$805</definedName>
    <definedName name="nrAT_MadeUpMin">'Attendance'!$P$6:$P$805</definedName>
    <definedName name="nrAT_MadeUpSess">'Attendance'!$Q$6:$Q$805</definedName>
    <definedName name="nrAT_Balance">'Attendance'!$R$6:$R$805</definedName>
    <definedName name="nrAT_Cleared">'Attendance'!$S$6:$S$805</definedName>
    <definedName name="nrAT_Date">'Attendance'!$C$6:$C$805</definedName>
    <definedName name="nrAT_PID">'Attendance'!$E$6:$E$805</definedName>
    <definedName name="nrAT_Type">'Attendance'!$G$6:$G$805</definedName>
    <definedName name="nrAT_Min">'Attendance'!$I$6:$I$805</definedName>
    <definedName name="nrAT_Sess">'Attendance'!$J$6:$J$805</definedName>
    <definedName name="nrAT_IsPT">'Attendance'!$K$6:$K$805</definedName>
    <definedName name="nrAT_Excused">'Attendance'!$M$6:$M$805</definedName>
    <definedName name="nrAT_Counts">'Attendance'!$N$6:$N$805</definedName>
    <definedName name="nrAT_RowCheck">'Attendance'!$T$6:$T$805</definedName>
    <definedName name="nrMK_Date">'Makeup'!$C$6:$C$505</definedName>
    <definedName name="nrMK_Link">'Makeup'!$I$6:$I$505</definedName>
    <definedName name="nrMK_PID">'Makeup'!$E$6:$E$505</definedName>
    <definedName name="nrMK_Type">'Makeup'!$F$6:$F$505</definedName>
    <definedName name="nrMK_Min">'Makeup'!$G$6:$G$505</definedName>
    <definedName name="nrMK_Sess">'Makeup'!$H$6:$H$505</definedName>
    <definedName name="nrMK_Credit">'Makeup'!$L$6:$L$505</definedName>
    <definedName name="nrMK_RowCheck">'Makeup'!$N$6:$N$505</definedName>
    <definedName name="nrSK_RowCheck">'Skills'!$S$6:$S$605</definedName>
    <definedName name="nrSK_PID">'Skills'!$D$6:$D$605</definedName>
    <definedName name="nrSK_Cat">'Skills'!$E$6:$E$605</definedName>
    <definedName name="nrSK_Att">'Skills'!$I$6:$I$605</definedName>
    <definedName name="nrSK_Res">'Skills'!$J$6:$J$605</definedName>
    <definedName name="nrSK_Score">'Skills'!$K$6:$K$605</definedName>
    <definedName name="nrSK_Status">'Skills'!$O$6:$O$605</definedName>
    <definedName name="nrSK_Dis">'Skills'!$P$6:$P$605</definedName>
    <definedName name="nrSK_CoF">'Skills'!$R$6:$R$605</definedName>
    <definedName name="nrSKC_Failed">'SkillsCheck'!$N$6:$N$55</definedName>
    <definedName name="nrSKC_NotAssessed">'SkillsCheck'!$O$6:$O$55</definedName>
    <definedName name="nrSKC_OK">'SkillsCheck'!$P$6:$P$55</definedName>
    <definedName name="nrWRcurrent">'Writing'!$AT$6:$AT$55</definedName>
    <definedName name="nrWRoverdue">'Writing'!$AS$6:$AS$55</definedName>
    <definedName name="nrWRcomplete">'Writing'!$AR$6:$AR$55</definedName>
    <definedName name="nrIN_Report">'Incidents'!$O$6:$O$405</definedName>
    <definedName name="nrIN_Date">'Incidents'!$C$6:$C$405</definedName>
    <definedName name="nrIN_PID">'Incidents'!$E$6:$E$405</definedName>
    <definedName name="nrIN_Dir">'Incidents'!$F$6:$F$405</definedName>
    <definedName name="nrIN_Sev">'Incidents'!$G$6:$G$405</definedName>
    <definedName name="nrIN_Desc">'Incidents'!$I$6:$I$405</definedName>
    <definedName name="nrIN_Chain">'Incidents'!$L$6:$L$405</definedName>
    <definedName name="nrIN_Res">'Incidents'!$M$6:$M$405</definedName>
    <definedName name="nrCO_Date">'Counseling'!$C$6:$C$405</definedName>
    <definedName name="nrCO_PID">'Counseling'!$E$6:$E$405</definedName>
    <definedName name="nrCO_Type">'Counseling'!$F$6:$F$405</definedName>
    <definedName name="nrCO_Desc">'Counseling'!$H$6:$H$405</definedName>
    <definedName name="nrCO_Status">'Counseling'!$M$6:$M$405</definedName>
    <definedName name="nrCO_Report">'Counseling'!$J$6:$J$405</definedName>
    <definedName name="nrPT_BasePass">'PT'!$K$6:$K$55</definedName>
    <definedName name="nrPT_FinalPts">'PT'!$AA$6:$AA$55</definedName>
    <definedName name="nrPT_FinalPass">'PT'!$AB$6:$AB$55</definedName>
    <definedName name="nrPT_Improve">'PT'!$AC$6:$AC$55</definedName>
    <definedName name="nrMD_PID">'Medical'!$E$6:$E$205</definedName>
    <definedName name="nrMD_Restr">'Medical'!$H$6:$H$205</definedName>
    <definedName name="nrMD_Status">'Medical'!$M$6:$M$205</definedName>
    <definedName name="nrCERTall">'Certifications'!$T$6:$T$55</definedName>
    <definedName name="nrCERTmissing">'Certifications'!$U$6:$U$55</definedName>
    <definedName name="nrCERTwaived">'Certifications'!$V$6:$V$55</definedName>
    <definedName name="nrSEstatus">'StateExam'!$K$6:$K$55</definedName>
    <definedName name="nrME_Assigned">'Memos'!$C$6:$C$305</definedName>
    <definedName name="nrME_Cadet">'Memos'!$D$6:$D$305</definedName>
    <definedName name="nrME_PID">'Memos'!$E$6:$E$305</definedName>
    <definedName name="nrME_Ref">'Memos'!$F$6:$F$305</definedName>
    <definedName name="nrME_Subject">'Memos'!$G$6:$G$305</definedName>
    <definedName name="nrME_Due">'Memos'!$J$6:$J$305</definedName>
    <definedName name="nrME_Received">'Memos'!$K$6:$K$305</definedName>
    <definedName name="nrME_Status">'Memos'!$L$6:$L$305</definedName>
    <definedName name="nrME_Report">'Memos'!$M$6:$M$305</definedName>
    <definedName name="nrDL_Date">'DailyLog'!$B$6:$B$175</definedName>
    <definedName name="cfgPolicyVersion">'AdvisoryBoard'!$D$6</definedName>
    <definedName name="cfgBoardReviewed">'AdvisoryBoard'!$D$7</definedName>
    <definedName name="cfgRulesAligned">'AdvisoryBoard'!$D$8</definedName>
    <definedName name="cfgAlignReviewer">'AdvisoryBoard'!$D$9</definedName>
    <definedName name="nrAB_Date">'AdvisoryBoard'!$B$12:$B$41</definedName>
    <definedName name="nrAB_Changes">'AdvisoryBoard'!$E$12:$E$41</definedName>
    <definedName name="nrGRrank">'sysGrades'!$U$6:$U$55</definedName>
    <definedName name="nrGRcurrent">'sysGrades'!$M$6:$M$55</definedName>
    <definedName name="nrGRfinal">'sysGrades'!$N$6:$N$55</definedName>
    <definedName name="nrGRfinalExam">'sysGrades'!$L$6:$L$55</definedName>
    <definedName name="nrGRacademic">'sysGrades'!$V$6:$V$55</definedName>
    <definedName name="nrGRmajavg">'sysGrades'!$I$6:$I$55</definedName>
    <definedName name="nrGRminavg">'sysGrades'!$J$6:$J$55</definedName>
    <definedName name="nrGRgradedrop">'sysGrades'!$AB$6:$AB$55</definedName>
    <definedName name="nrGRconsec">'sysGrades'!$AC$6:$AC$55</definedName>
    <definedName name="nrGRdisrev">'sysGrades'!$P$6:$P$55</definedName>
    <definedName name="nrGRretakes">'sysGrades'!$O$6:$O$55</definedName>
    <definedName name="nrATTclTier">'sysAttendance'!$J$6:$J$55</definedName>
    <definedName name="nrATTclElig">'sysAttendance'!$K$6:$K$55</definedName>
    <definedName name="nrATTclPct">'sysAttendance'!$I$6:$I$55</definedName>
    <definedName name="nrATTclOwed">'sysAttendance'!$L$6:$L$55</definedName>
    <definedName name="nrATTptTier">'sysAttendance'!$R$6:$R$55</definedName>
    <definedName name="nrATTptElig">'sysAttendance'!$S$6:$S$55</definedName>
    <definedName name="nrATTptPct">'sysAttendance'!$Q$6:$Q$55</definedName>
    <definedName name="nrATTmakeupOK">'sysAttendance'!$T$6:$T$55</definedName>
    <definedName name="nrSKfailedout">'sysSkills'!$J$6:$J$55</definedName>
    <definedName name="nrSKelig">'sysSkills'!$K$6:$K$55</definedName>
    <definedName name="nrSKfirearmsAvg">'sysSkills'!$L$6:$L$55</definedName>
    <definedName name="nrSKbothCoF">'sysSkills'!$P$6:$P$55</definedName>
    <definedName name="nrINCopenNeg">'sysIncidents'!$H$6:$H$55</definedName>
    <definedName name="nrINCelig">'sysIncidents'!$K$6:$K$55</definedName>
    <definedName name="nrFLcount">'sysFlags'!$S$6:$S$55</definedName>
    <definedName name="nrFLmissedExam">'sysFlags'!$U$6:$U$55</definedName>
    <definedName name="nrFLreasons">'sysFlags'!$T$6:$T$55</definedName>
    <definedName name="nrCKdismissRev">'sysChecks'!$M$6:$M$55</definedName>
    <definedName name="nrCKgradElig">'sysChecks'!$N$6:$N$55</definedName>
    <definedName name="nrCKblocking">'sysChecks'!$O$6:$O$55</definedName>
    <definedName name="nrCKfinalExamElig">'sysChecks'!$P$6:$P$55</definedName>
    <definedName name="nrCKexamsRecorded">'sysChecks'!$R$6:$R$55</definedName>
    <definedName name="nrCKskillsAssessed">'sysChecks'!$S$6:$S$55</definedName>
    <definedName name="nrCKfirearmsCoF">'sysChecks'!$T$6:$T$55</definedName>
    <definedName name="nrCKopenReviews">'sysChecks'!$U$6:$U$55</definedName>
    <definedName name="nrCKexamsPending">'sysChecks'!$V$6:$V$55</definedName>
    <definedName name="nrCKenrollDocs">'sysChecks'!$W$6:$W$55</definedName>
    <definedName name="nrAWfinal">'sysAwards'!$F$6:$F$9</definedName>
    <definedName name="nrAWnames">'sysAwards'!$B$6:$B$9</definedName>
    <definedName name="cfgRequiredHours">'sysAudit'!$H$6</definedName>
    <definedName name="nrAUDstatus">'sysAudit'!$E$6:$E$41</definedName>
    <definedName name="nrAUDcheck">'sysAudit'!$B$6:$B$41</definedName>
    <definedName name="nrSGclassavg">'ScoresGrid'!$D$57:$AB$57</definedName>
    <definedName name="cfgProfileCadet">'CadetProfile'!$C$5</definedName>
    <definedName name="cfgTranscriptCadet">'Transcript'!$C$5</definedName>
    <definedName name="nrDIS_PID">'DismissalLog'!$D$6:$D$105</definedName>
    <definedName name="nrDIS_Outcome">'DismissalLog'!$J$6:$J$105</definedName>
    <definedName name="nrDIS_Approval">'DismissalLog'!$K$6:$K$105</definedName>
    <definedName name="nrDIS_Closes">'DismissalLog'!$P$6:$P$105</definedName>
    <definedName name="nrPRGitems">'Audit'!$B$52:$B$69</definedName>
    <definedName name="nrPRGmet">'Audit'!$F$52:$F$69</definedName>
    <definedName name="nrENRall">'Audit'!$J$73:$J$122</definedName>
    <definedName name="cfgPacketChapter">'ChapterPacket'!$C$5</definedName>
    <definedName name="cfgGradeSheetExam">'ExamSheet'!$C$5</definedName>
    <definedName name="cfgSignInDate">'SignIn'!$C$5</definedName>
    <definedName name="cfgEvalChapter">'EvalSheet'!$C$5</definedName>
    <definedName name="cfgSpellPrintNum">'SpellingPrint'!$C$5</definedName>
    <definedName name="cfgSpellPrintMode">'SpellingPrint'!$E$5</definedName>
    <definedName name="cfgHandoutWeek">'WritingHandout'!$C$5</definedName>
    <definedName name="cfgPreviewAgency">'EmailPreview'!$C$5</definedName>
    <definedName name="nrEPVgrid">'EmailPreview'!$B$9:$J$58</definedName>
    <definedName name="nrEPVsinceRow">'EmailPreview'!$B$62</definedName>
    <definedName name="nrELdate">'EmailLog'!$B$6:$B$505</definedName>
    <definedName name="nrELagency">'EmailLog'!$C$6:$C$505</definedName>
    <definedName name="_xlnm._FilterDatabase" localSheetId="4" hidden="1">'Cadets'!$B$5:$M$5</definedName>
    <definedName name="_xlnm._FilterDatabase" localSheetId="5" hidden="1">'ExamScores'!$B$5:$Y$5</definedName>
    <definedName name="_xlnm._FilterDatabase" localSheetId="6" hidden="1">'Spelling'!$B$5:$T$5</definedName>
    <definedName name="_xlnm._FilterDatabase" localSheetId="7" hidden="1">'Attendance'!$B$5:$T$5</definedName>
    <definedName name="_xlnm._FilterDatabase" localSheetId="8" hidden="1">'Makeup'!$B$5:$N$5</definedName>
    <definedName name="_xlnm._FilterDatabase" localSheetId="9" hidden="1">'Skills'!$B$5:$R$5</definedName>
    <definedName name="_xlnm._FilterDatabase" localSheetId="10" hidden="1">'SkillsCheck'!$B$5:$Q$5</definedName>
    <definedName name="_xlnm._FilterDatabase" localSheetId="11" hidden="1">'Writing'!$B$5:$AU$5</definedName>
    <definedName name="_xlnm._FilterDatabase" localSheetId="12" hidden="1">'Incidents'!$B$5:$O$5</definedName>
    <definedName name="_xlnm._FilterDatabase" localSheetId="13" hidden="1">'Counseling'!$B$5:$N$5</definedName>
    <definedName name="_xlnm._FilterDatabase" localSheetId="14" hidden="1">'Memos'!$B$5:$N$5</definedName>
    <definedName name="_xlnm._FilterDatabase" localSheetId="15" hidden="1">'DailyLog'!$B$5:$N$5</definedName>
    <definedName name="_xlnm._FilterDatabase" localSheetId="16" hidden="1">'PT'!$B$5:$AD$5</definedName>
    <definedName name="_xlnm._FilterDatabase" localSheetId="17" hidden="1">'Medical'!$B$5:$N$5</definedName>
    <definedName name="_xlnm._FilterDatabase" localSheetId="18" hidden="1">'Certifications'!$B$5:$W$5</definedName>
    <definedName name="_xlnm._FilterDatabase" localSheetId="19" hidden="1">'StateExam'!$B$5:$M$5</definedName>
    <definedName name="_xlnm._FilterDatabase" localSheetId="21" hidden="1">'DismissalLog'!$B$5:$P$5</definedName>
    <definedName name="_xlnm._FilterDatabase" localSheetId="22" hidden="1">'ScoresGrid'!$B$5:$AE$5</definedName>
    <definedName name="_xlnm.Print_Titles" localSheetId="23">'Ranking'!$5:$5</definedName>
    <definedName name="_xlnm.Print_Area" localSheetId="23">'Ranking'!$B$5:$J$60</definedName>
    <definedName name="_xlnm.Print_Titles" localSheetId="24">'WatchList'!$5:$5</definedName>
    <definedName name="_xlnm.Print_Area" localSheetId="24">'WatchList'!$B$5:$I$60</definedName>
    <definedName name="_xlnm.Print_Area" localSheetId="25">'CadetProfile'!$B$5:$J$86</definedName>
    <definedName name="_xlnm.Print_Area" localSheetId="26">'Transcript'!$B$5:$J$58</definedName>
    <definedName name="_xlnm._FilterDatabase" localSheetId="27" hidden="1">'GradChecklist'!$B$5:$S$5</definedName>
    <definedName name="_xlnm.Print_Titles" localSheetId="27">'GradChecklist'!$5:$5</definedName>
    <definedName name="_xlnm.Print_Area" localSheetId="27">'GradChecklist'!$B$5:$R$55</definedName>
    <definedName name="_xlnm.Print_Area" localSheetId="28">'Audit'!$B$5:$J$122</definedName>
    <definedName name="_xlnm.Print_Titles" localSheetId="29">'Addendum'!$5:$8</definedName>
    <definedName name="_xlnm.Print_Area" localSheetId="29">'Addendum'!$B$5:$G$61</definedName>
    <definedName name="_xlnm.Print_Area" localSheetId="30">'ChapterPacket'!$B$5:$I$75</definedName>
    <definedName name="_xlnm.Print_Titles" localSheetId="31">'ExamSheet'!$7:$10</definedName>
    <definedName name="_xlnm.Print_Area" localSheetId="31">'ExamSheet'!$B$7:$J$64</definedName>
    <definedName name="_xlnm.Print_Area" localSheetId="32">'SignIn'!$B$5:$H$81</definedName>
    <definedName name="_xlnm.Print_Area" localSheetId="33">'EvalSheet'!$B$7:$H$36</definedName>
    <definedName name="_xlnm.Print_Area" localSheetId="34">'SpellingPrint'!$B$7:$F$26</definedName>
    <definedName name="_xlnm.Print_Area" localSheetId="35">'WritingHandout'!$B$7:$F$19</definedName>
    <definedName name="_xlnm._FilterDatabase" localSheetId="37" hidden="1">'EmailLog'!$B$5:$I$5</definedName>
    <definedName name="_xlnm._FilterDatabase" localSheetId="50" hidden="1">'Schedule'!$B$5:$P$5</definedName>
    <definedName name="_xlnm.Print_Titles" localSheetId="50">'Schedule'!$5:$5</definedName>
    <definedName name="_xlnm.Print_Area" localSheetId="50">'Schedule'!$B$5:$P$905</definedName>
  </definedNames>
  <calcPr calcId="124519" fullCalcOnLoad="1"/>
</workbook>
</file>

<file path=xl/styles.xml><?xml version="1.0" encoding="utf-8"?>
<styleSheet xmlns="http://schemas.openxmlformats.org/spreadsheetml/2006/main">
  <numFmts count="2">
    <numFmt numFmtId="164" formatCode="mm/dd/yyyy"/>
    <numFmt numFmtId="165" formatCode="0.0%"/>
  </numFmts>
  <fonts count="10">
    <font>
      <name val="Calibri"/>
      <family val="2"/>
      <color theme="1"/>
      <sz val="11"/>
      <scheme val="minor"/>
    </font>
    <font>
      <name val="Arial"/>
      <b val="1"/>
      <color rgb="00FFFFFF"/>
      <sz val="10"/>
    </font>
    <font>
      <name val="Arial"/>
      <b val="1"/>
      <color rgb="001F3B5C"/>
      <sz val="10"/>
    </font>
    <font>
      <name val="Arial"/>
      <sz val="10"/>
    </font>
    <font>
      <name val="Arial"/>
      <i val="1"/>
      <color rgb="00555555"/>
      <sz val="8"/>
    </font>
    <font>
      <name val="Arial"/>
      <color rgb="000000FF"/>
      <sz val="10"/>
    </font>
    <font>
      <name val="Arial"/>
      <color rgb="00404040"/>
      <sz val="10"/>
    </font>
    <font>
      <name val="Arial"/>
      <b val="1"/>
      <color rgb="00FFFFFF"/>
      <sz val="11"/>
    </font>
    <font>
      <name val="Arial"/>
      <b val="1"/>
      <color rgb="001F3B5C"/>
      <sz val="14"/>
    </font>
    <font>
      <name val="Arial"/>
      <b val="1"/>
      <color rgb="001F3B5C"/>
      <sz val="9"/>
      <u val="single"/>
    </font>
  </fonts>
  <fills count="7">
    <fill>
      <patternFill/>
    </fill>
    <fill>
      <patternFill patternType="gray125"/>
    </fill>
    <fill>
      <patternFill patternType="solid">
        <fgColor rgb="001F3B5C"/>
      </patternFill>
    </fill>
    <fill>
      <patternFill patternType="solid">
        <fgColor rgb="00FFF7DC"/>
      </patternFill>
    </fill>
    <fill>
      <patternFill patternType="solid">
        <fgColor rgb="00E1ECF7"/>
      </patternFill>
    </fill>
    <fill>
      <patternFill patternType="solid">
        <fgColor rgb="0044607E"/>
      </patternFill>
    </fill>
    <fill>
      <patternFill patternType="solid">
        <fgColor rgb="00DCE3EB"/>
      </patternFill>
    </fill>
  </fills>
  <borders count="8">
    <border>
      <left/>
      <right/>
      <top/>
      <bottom/>
      <diagonal/>
    </border>
    <border>
      <left style="thin">
        <color rgb="009AA5B1"/>
      </left>
      <right style="thin">
        <color rgb="009AA5B1"/>
      </right>
      <top style="thin">
        <color rgb="009AA5B1"/>
      </top>
      <bottom style="thin">
        <color rgb="009AA5B1"/>
      </bottom>
    </border>
    <border>
      <left/>
      <right/>
      <top style="thin">
        <color rgb="009AA5B1"/>
      </top>
      <bottom/>
      <diagonal/>
    </border>
    <border>
      <left/>
      <right style="thin">
        <color rgb="009AA5B1"/>
      </right>
      <top style="thin">
        <color rgb="009AA5B1"/>
      </top>
      <bottom/>
      <diagonal/>
    </border>
    <border>
      <left/>
      <right/>
      <top style="thin">
        <color rgb="009AA5B1"/>
      </top>
      <bottom style="thin">
        <color rgb="009AA5B1"/>
      </bottom>
      <diagonal/>
    </border>
    <border>
      <left/>
      <right style="thin">
        <color rgb="009AA5B1"/>
      </right>
      <top style="thin">
        <color rgb="009AA5B1"/>
      </top>
      <bottom style="thin">
        <color rgb="009AA5B1"/>
      </bottom>
      <diagonal/>
    </border>
    <border>
      <bottom style="thin">
        <color rgb="009AA5B1"/>
      </bottom>
    </border>
    <border>
      <left/>
      <right/>
      <top/>
      <bottom style="thin">
        <color rgb="009AA5B1"/>
      </bottom>
      <diagonal/>
    </border>
  </borders>
  <cellStyleXfs count="1">
    <xf numFmtId="0" fontId="0" fillId="0" borderId="0"/>
  </cellStyleXfs>
  <cellXfs count="47">
    <xf numFmtId="0" fontId="0" fillId="0" borderId="0" pivotButton="0" quotePrefix="0" xfId="0"/>
    <xf numFmtId="0" fontId="8" fillId="0" borderId="0" pivotButton="0" quotePrefix="0" xfId="0"/>
    <xf numFmtId="0" fontId="4" fillId="0" borderId="0" pivotButton="0" quotePrefix="0" xfId="0"/>
    <xf numFmtId="0" fontId="2" fillId="0" borderId="0" pivotButton="0" quotePrefix="0" xfId="0"/>
    <xf numFmtId="0" fontId="4" fillId="6" borderId="0" applyAlignment="1" pivotButton="0" quotePrefix="0" xfId="0">
      <alignment horizontal="left" vertical="center"/>
    </xf>
    <xf numFmtId="0" fontId="0" fillId="6" borderId="0" pivotButton="0" quotePrefix="0" xfId="0"/>
    <xf numFmtId="0" fontId="8" fillId="6" borderId="0" applyAlignment="1" pivotButton="0" quotePrefix="0" xfId="0">
      <alignment horizontal="left" vertical="center"/>
    </xf>
    <xf numFmtId="0" fontId="7" fillId="5" borderId="0" applyAlignment="1" pivotButton="0" quotePrefix="0" xfId="0">
      <alignment horizontal="left" vertical="center"/>
    </xf>
    <xf numFmtId="0" fontId="0" fillId="5" borderId="0" pivotButton="0" quotePrefix="0" xfId="0"/>
    <xf numFmtId="0" fontId="7" fillId="5" borderId="0" pivotButton="0" quotePrefix="0" xfId="0"/>
    <xf numFmtId="0" fontId="9" fillId="0" borderId="0" pivotButton="0" quotePrefix="0" xfId="0"/>
    <xf numFmtId="0" fontId="4" fillId="0" borderId="0" applyAlignment="1" pivotButton="0" quotePrefix="0" xfId="0">
      <alignment horizontal="left" vertical="center"/>
    </xf>
    <xf numFmtId="0" fontId="1" fillId="2" borderId="1" applyAlignment="1" pivotButton="0" quotePrefix="0" xfId="0">
      <alignment horizontal="center" vertical="center" wrapText="1"/>
    </xf>
    <xf numFmtId="0" fontId="3" fillId="0" borderId="0" applyAlignment="1" pivotButton="0" quotePrefix="0" xfId="0">
      <alignment horizontal="left" vertical="top" wrapText="1"/>
    </xf>
    <xf numFmtId="0" fontId="3" fillId="0" borderId="0" pivotButton="0" quotePrefix="0" xfId="0"/>
    <xf numFmtId="0" fontId="4" fillId="0" borderId="0" applyAlignment="1" pivotButton="0" quotePrefix="0" xfId="0">
      <alignment horizontal="left" vertical="top" wrapText="1"/>
    </xf>
    <xf numFmtId="0" fontId="5" fillId="3" borderId="1" applyProtection="1" pivotButton="0" quotePrefix="0" xfId="0">
      <protection locked="0" hidden="0"/>
    </xf>
    <xf numFmtId="0" fontId="6" fillId="4" borderId="1" pivotButton="0" quotePrefix="0" xfId="0"/>
    <xf numFmtId="164" fontId="5" fillId="3" borderId="1" applyProtection="1" pivotButton="0" quotePrefix="0" xfId="0">
      <protection locked="0" hidden="0"/>
    </xf>
    <xf numFmtId="164" fontId="6" fillId="4" borderId="1" pivotButton="0" quotePrefix="0" xfId="0"/>
    <xf numFmtId="0" fontId="1" fillId="2" borderId="1" pivotButton="0" quotePrefix="0" xfId="0"/>
    <xf numFmtId="0" fontId="6" fillId="0" borderId="0" pivotButton="0" quotePrefix="0" xfId="0"/>
    <xf numFmtId="0" fontId="5" fillId="3" borderId="1" applyAlignment="1" applyProtection="1" pivotButton="0" quotePrefix="0" xfId="0">
      <alignment horizontal="center" vertical="center"/>
      <protection locked="0" hidden="0"/>
    </xf>
    <xf numFmtId="0" fontId="0" fillId="0" borderId="5" pivotButton="0" quotePrefix="0" xfId="0"/>
    <xf numFmtId="0" fontId="5" fillId="3" borderId="1" applyAlignment="1" applyProtection="1" pivotButton="0" quotePrefix="0" xfId="0">
      <alignment horizontal="left" vertical="top" wrapText="1"/>
      <protection locked="0" hidden="0"/>
    </xf>
    <xf numFmtId="0" fontId="0" fillId="0" borderId="4" pivotButton="0" quotePrefix="0" xfId="0"/>
    <xf numFmtId="0" fontId="3" fillId="0" borderId="1" pivotButton="0" quotePrefix="0" xfId="0"/>
    <xf numFmtId="0" fontId="6" fillId="0" borderId="1" pivotButton="0" quotePrefix="0" xfId="0"/>
    <xf numFmtId="0" fontId="2" fillId="0" borderId="1" pivotButton="0" quotePrefix="0" xfId="0"/>
    <xf numFmtId="49" fontId="5" fillId="3" borderId="1" applyProtection="1" pivotButton="0" quotePrefix="0" xfId="0">
      <protection locked="0" hidden="0"/>
    </xf>
    <xf numFmtId="0" fontId="0" fillId="0" borderId="1" pivotButton="0" quotePrefix="0" xfId="0"/>
    <xf numFmtId="0" fontId="3" fillId="0" borderId="1" applyAlignment="1" pivotButton="0" quotePrefix="0" xfId="0">
      <alignment horizontal="left" vertical="top" wrapText="1"/>
    </xf>
    <xf numFmtId="0" fontId="0" fillId="0" borderId="6" pivotButton="0" quotePrefix="0" xfId="0"/>
    <xf numFmtId="0" fontId="1" fillId="2" borderId="1" applyAlignment="1" pivotButton="0" quotePrefix="0" xfId="0">
      <alignment horizontal="center" vertical="center"/>
    </xf>
    <xf numFmtId="0" fontId="0" fillId="0" borderId="0" applyAlignment="1" pivotButton="0" quotePrefix="0" xfId="0">
      <alignment horizontal="left" vertical="top" wrapText="1"/>
    </xf>
    <xf numFmtId="164" fontId="0" fillId="0" borderId="0" pivotButton="0" quotePrefix="0" xfId="0"/>
    <xf numFmtId="3" fontId="5" fillId="3" borderId="1" applyProtection="1" pivotButton="0" quotePrefix="0" xfId="0">
      <protection locked="0" hidden="0"/>
    </xf>
    <xf numFmtId="9" fontId="5" fillId="3" borderId="1" applyProtection="1" pivotButton="0" quotePrefix="0" xfId="0">
      <protection locked="0" hidden="0"/>
    </xf>
    <xf numFmtId="9" fontId="6" fillId="4" borderId="1" pivotButton="0" quotePrefix="0" xfId="0"/>
    <xf numFmtId="0" fontId="4" fillId="4" borderId="0" pivotButton="0" quotePrefix="0" xfId="0"/>
    <xf numFmtId="164" fontId="4" fillId="4" borderId="0" pivotButton="0" quotePrefix="0" xfId="0"/>
    <xf numFmtId="18" fontId="5" fillId="3" borderId="1" applyProtection="1" pivotButton="0" quotePrefix="0" xfId="0">
      <protection locked="0" hidden="0"/>
    </xf>
    <xf numFmtId="3" fontId="6" fillId="4" borderId="1" pivotButton="0" quotePrefix="0" xfId="0"/>
    <xf numFmtId="165" fontId="6" fillId="4" borderId="1" pivotButton="0" quotePrefix="0" xfId="0"/>
    <xf numFmtId="0" fontId="0" fillId="0" borderId="5" applyProtection="1" pivotButton="0" quotePrefix="0" xfId="0">
      <protection locked="0" hidden="0"/>
    </xf>
    <xf numFmtId="0" fontId="0" fillId="0" borderId="4" applyProtection="1" pivotButton="0" quotePrefix="0" xfId="0">
      <protection locked="0" hidden="0"/>
    </xf>
    <xf numFmtId="0" fontId="0" fillId="0" borderId="7" pivotButton="0" quotePrefix="0" xfId="0"/>
  </cellXfs>
  <cellStyles count="1">
    <cellStyle name="Normal" xfId="0" builtinId="0" hidden="0"/>
  </cellStyles>
  <dxfs count="4">
    <dxf>
      <fill>
        <patternFill patternType="solid">
          <fgColor rgb="00F8D7DA"/>
        </patternFill>
      </fill>
    </dxf>
    <dxf>
      <font>
        <strike val="1"/>
        <color rgb="009AA5B1"/>
      </font>
      <fill>
        <patternFill patternType="solid">
          <fgColor rgb="00EDEFF2"/>
        </patternFill>
      </fill>
    </dxf>
    <dxf>
      <fill>
        <patternFill patternType="solid">
          <fgColor rgb="00F5C542"/>
        </patternFill>
      </fill>
    </dxf>
    <dxf>
      <fill>
        <patternFill patternType="solid">
          <fgColor rgb="00D6E9D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styles" Target="styles.xml" Id="rId62" /><Relationship Type="http://schemas.openxmlformats.org/officeDocument/2006/relationships/theme" Target="theme/theme1.xml" Id="rId63" /></Relationships>
</file>

<file path=xl/charts/chart1.xml><?xml version="1.0" encoding="utf-8"?>
<chartSpace xmlns:a="http://schemas.openxmlformats.org/drawingml/2006/main" xmlns="http://schemas.openxmlformats.org/drawingml/2006/chart">
  <chart>
    <title>
      <tx>
        <rich>
          <a:bodyPr/>
          <a:p>
            <a:pPr>
              <a:defRPr/>
            </a:pPr>
            <a:r>
              <a:t>Class average by exam (recorded, final attempts)</a:t>
            </a:r>
          </a:p>
        </rich>
      </tx>
    </title>
    <plotArea>
      <lineChart>
        <grouping val="standard"/>
        <ser>
          <idx val="0"/>
          <order val="0"/>
          <spPr>
            <a:ln>
              <a:prstDash val="solid"/>
            </a:ln>
          </spPr>
          <marker>
            <symbol val="none"/>
            <spPr>
              <a:ln>
                <a:prstDash val="solid"/>
              </a:ln>
            </spPr>
          </marker>
          <cat>
            <numRef>
              <f>'ScoresGrid'!$D$5:$AB$5</f>
            </numRef>
          </cat>
          <val>
            <numRef>
              <f>'ScoresGrid'!$D$57:$AB$57</f>
            </numRef>
          </val>
        </ser>
        <axId val="10"/>
        <axId val="100"/>
      </lineChart>
      <catAx>
        <axId val="10"/>
        <scaling>
          <orientation val="minMax"/>
        </scaling>
        <axPos val="l"/>
        <majorTickMark val="none"/>
        <minorTickMark val="none"/>
        <crossAx val="100"/>
        <lblOffset val="100"/>
      </catAx>
      <valAx>
        <axId val="100"/>
        <scaling>
          <orientation val="minMax"/>
          <max val="100"/>
          <min val="50"/>
        </scaling>
        <axPos val="l"/>
        <majorGridlines/>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Spelling class average by test</a:t>
            </a:r>
          </a:p>
        </rich>
      </tx>
    </title>
    <plotArea>
      <barChart>
        <barDir val="col"/>
        <grouping val="clustered"/>
        <ser>
          <idx val="0"/>
          <order val="0"/>
          <spPr>
            <a:ln>
              <a:prstDash val="solid"/>
            </a:ln>
          </spPr>
          <cat>
            <numRef>
              <f>'Spelling'!$D$5:$O$5</f>
            </numRef>
          </cat>
          <val>
            <numRef>
              <f>'Spelling'!$D$58:$O$58</f>
            </numRef>
          </val>
        </ser>
        <gapWidth val="150"/>
        <axId val="10"/>
        <axId val="100"/>
      </barChart>
      <catAx>
        <axId val="10"/>
        <scaling>
          <orientation val="minMax"/>
        </scaling>
        <axPos val="l"/>
        <majorTickMark val="none"/>
        <minorTickMark val="none"/>
        <crossAx val="100"/>
        <lblOffset val="100"/>
      </catAx>
      <valAx>
        <axId val="100"/>
        <scaling>
          <orientation val="minMax"/>
          <max val="100"/>
          <min val="0"/>
        </scaling>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70</row>
      <rowOff>0</rowOff>
    </from>
    <ext cx="7920000" cy="252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86</row>
      <rowOff>0</rowOff>
    </from>
    <ext cx="792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tabColor rgb="001E7145"/>
    <outlinePr summaryBelow="1" summaryRight="1"/>
    <pageSetUpPr/>
  </sheetPr>
  <dimension ref="B5:M86"/>
  <sheetViews>
    <sheetView showGridLines="0" workbookViewId="0">
      <selection activeCell="A1" sqref="A1"/>
    </sheetView>
  </sheetViews>
  <sheetFormatPr baseColWidth="8" defaultRowHeight="15"/>
  <cols>
    <col width="3"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40" customWidth="1" min="11" max="11"/>
  </cols>
  <sheetData>
    <row r="5">
      <c r="B5" s="1">
        <f>cfgAcademyClass&amp;" — Dashboard"</f>
        <v/>
      </c>
      <c r="H5" s="2">
        <f>"As of "&amp;TEXT(TODAY(),"mm/dd/yyyy")</f>
        <v/>
      </c>
      <c r="J5" s="3">
        <f>HYPERLINK("#InputGuide!B5","Data Entry Guide →")</f>
        <v/>
      </c>
    </row>
    <row r="7">
      <c r="B7" s="4" t="inlineStr">
        <is>
          <t>Academy start</t>
        </is>
      </c>
      <c r="D7" s="4" t="inlineStr">
        <is>
          <t>Final Exam date</t>
        </is>
      </c>
      <c r="F7" s="4" t="inlineStr">
        <is>
          <t>State Exam date</t>
        </is>
      </c>
      <c r="H7" s="4" t="inlineStr">
        <is>
          <t>Graduation / end</t>
        </is>
      </c>
      <c r="J7" s="4" t="inlineStr">
        <is>
          <t>Active cadets</t>
        </is>
      </c>
    </row>
    <row r="8">
      <c r="B8" s="6">
        <f>TEXT(cfgStartDate,"mm/dd/yyyy")</f>
        <v/>
      </c>
      <c r="D8" s="6">
        <f>_xlfn.LET(_xlpm.d,_xlfn.MAXIFS(nrSCH_Date,nrSCH_Act,"Final Test"),IF(_xlpm.d=0,"(not on schedule)",TEXT(_xlpm.d,"mm/dd/yyyy")))</f>
        <v/>
      </c>
      <c r="F8" s="6">
        <f>_xlfn.LET(_xlpm.d,_xlfn.MAXIFS(nrSCH_Date,nrSCH_Act,"State Test"),IF(_xlpm.d=0,"(not on schedule)",TEXT(_xlpm.d,"mm/dd/yyyy")))</f>
        <v/>
      </c>
      <c r="H8" s="6">
        <f>_xlfn.LET(_xlpm.d,_xlfn.MAXIFS(nrSCH_Date,nrSCH_Act,"Graduation"),IF(_xlpm.d=0,TEXT(cfgEndDate,"mm/dd/yyyy"),TEXT(_xlpm.d,"mm/dd/yyyy")))</f>
        <v/>
      </c>
      <c r="J8" s="6">
        <f>SUMPRODUCT((nrCadetStatus="Active")*1)</f>
        <v/>
      </c>
    </row>
    <row r="10" ht="16" customHeight="1">
      <c r="B10" s="7" t="inlineStr">
        <is>
          <t>Today</t>
        </is>
      </c>
    </row>
    <row r="11">
      <c r="B11" s="2">
        <f>IF(COUNTIF(nrDL_Date,TODAY())=0,"DailyLog: no entry for today yet","DailyLog: entered ✓")</f>
        <v/>
      </c>
      <c r="H11" s="3">
        <f>IFERROR("Training Day #"&amp;_xlfn.XLOOKUP(TODAY(),nrCDdate,nrCDnum)&amp;"  (Week "&amp;_xlfn.XLOOKUP(TODAY(),nrCDdate,nrCDweek)&amp;")","(not a class day)")</f>
        <v/>
      </c>
    </row>
    <row r="13" ht="16" customHeight="1">
      <c r="B13" s="9">
        <f>"TODAY — "&amp;UPPER(TEXT(TODAY(),"dddd, mmmm d"))&amp;IFERROR(" — TRAINING DAY #"&amp;_xlfn.XLOOKUP(TODAY(),nrCDdate,nrCDnum)&amp;", WEEK "&amp;_xlfn.XLOOKUP(TODAY(),nrCDdate,nrCDweek),"")</f>
        <v/>
      </c>
      <c r="C13" s="8" t="n"/>
      <c r="D13" s="8" t="n"/>
      <c r="E13" s="8" t="n"/>
      <c r="F13" s="8" t="n"/>
      <c r="G13" s="8" t="n"/>
      <c r="H13" s="8" t="n"/>
      <c r="I13" s="8" t="n"/>
      <c r="J13" s="8" t="n"/>
      <c r="K13" s="8" t="n"/>
    </row>
    <row r="14">
      <c r="B14">
        <f>IFERROR(_xlfn.TAKE(_xlfn._xlws.FILTER(_xlfn.HSTACK(TEXT(nrSCH_Start,"h:mm AM/PM"),TEXT(nrSCH_End,"h:mm AM/PM"),nrSCH_Act,nrSCH_Instr,nrSCH_Loc),(nrSCH_Date&lt;&gt;"")*(nrSCH_Date=TODAY()),"No class scheduled today"),9),"⚠ LIST UNAVAILABLE - a reference in this panel is broken; do NOT read it as 'nothing to report'")</f>
        <v/>
      </c>
    </row>
    <row r="23">
      <c r="B23" s="4" t="inlineStr">
        <is>
          <t>Separated / total enrolled</t>
        </is>
      </c>
      <c r="D23" s="4" t="inlineStr">
        <is>
          <t>Class current avg</t>
        </is>
      </c>
      <c r="F23" s="4" t="inlineStr">
        <is>
          <t>Graduation eligible</t>
        </is>
      </c>
      <c r="H23" s="4" t="inlineStr">
        <is>
          <t>Flagged cadets</t>
        </is>
      </c>
      <c r="J23" s="4" t="inlineStr">
        <is>
          <t>Retests overdue / late / undated</t>
        </is>
      </c>
    </row>
    <row r="24">
      <c r="B24" s="6">
        <f>SUMPRODUCT((nrCadetStatus="Separated")*1)&amp;" / "&amp;SUMPRODUCT((nrCadetStatus&lt;&gt;"")*1)</f>
        <v/>
      </c>
      <c r="D24" s="6">
        <f>IFERROR(ROUND(AVERAGEIF(nrCadetStatus,"Active",nrGRcurrent),1),"—")</f>
        <v/>
      </c>
      <c r="F24" s="6">
        <f>SUMPRODUCT((nrCadetStatus="Active")*(nrCKgradElig="Yes"))</f>
        <v/>
      </c>
      <c r="H24" s="6">
        <f>SUMPRODUCT((nrCadetStatus="Active")*(nrFLcount&gt;0))</f>
        <v/>
      </c>
      <c r="J24" s="6">
        <f>COUNTIF(nrES_RetStat,"OVERDUE")+COUNTIF(nrES_RetStat,"CHECK DATE")+COUNTIF(nrES_RetStat,"LATE RETEST*")+COUNTIF(nrES_RetStat,"RETEST UNDATED")+COUNTIF(nrES_RetStat,"RETEST DATE UNCHECKED")</f>
        <v/>
      </c>
    </row>
    <row r="26">
      <c r="B26" s="4" t="inlineStr">
        <is>
          <t>Spelling interventions</t>
        </is>
      </c>
      <c r="D26" s="4" t="inlineStr">
        <is>
          <t>Makeup owed (cadets)</t>
        </is>
      </c>
      <c r="F26" s="4" t="inlineStr">
        <is>
          <t>Delivered hours</t>
        </is>
      </c>
      <c r="H26" s="4" t="inlineStr">
        <is>
          <t>Audit checks failing</t>
        </is>
      </c>
      <c r="J26" s="4" t="inlineStr">
        <is>
          <t>Days to graduation</t>
        </is>
      </c>
      <c r="L26" s="4" t="inlineStr">
        <is>
          <t>Cert copies to collect</t>
        </is>
      </c>
    </row>
    <row r="27">
      <c r="B27" s="6">
        <f>COUNTIF(nrSpellFlag,"INTERVENTION")</f>
        <v/>
      </c>
      <c r="D27" s="6">
        <f>SUMPRODUCT((nrCadetStatus="Active")*(nrATTmakeupOK="No"))</f>
        <v/>
      </c>
      <c r="F27" s="6">
        <f>ROUND(N(nrCHtotalDelivered),0)&amp;" / "&amp;cfgRequiredHours</f>
        <v/>
      </c>
      <c r="H27" s="6">
        <f>SUMPRODUCT((nrAUDstatus&lt;&gt;"OK")*(nrAUDstatus&lt;&gt;""))</f>
        <v/>
      </c>
      <c r="J27" s="6">
        <f>MAX(0,cfgEndDate-TODAY())</f>
        <v/>
      </c>
      <c r="L27" s="6">
        <f>SUMPRODUCT((nrCadetStatus="Active")*(nrCERTmissing&lt;&gt;""))</f>
        <v/>
      </c>
    </row>
    <row r="29" ht="16" customHeight="1">
      <c r="B29" s="7" t="inlineStr">
        <is>
          <t>Watch list — highest flag counts first (full list on WatchList)</t>
        </is>
      </c>
    </row>
    <row r="30">
      <c r="B30">
        <f>IFERROR(_xlfn.TAKE(_xlfn.SORTBY(_xlfn._xlws.FILTER(_xlfn.HSTACK(rngCadetNames,nrCadetAgency,nrFLcount,nrFLreasons),(nrFLcount&gt;0)*(nrCadetStatus="Active"),"No flags — clear"),_xlfn._xlws.FILTER(nrFLcount,(nrFLcount&gt;0)*(nrCadetStatus="Active"),"No flags — clear"),-1),11),"⚠ LIST UNAVAILABLE - a reference in this panel is broken; do NOT read it as 'nothing to report'")</f>
        <v/>
      </c>
    </row>
    <row r="41" ht="16" customHeight="1">
      <c r="B41" s="7" t="inlineStr">
        <is>
          <t>Certification reminders — copies to collect from cadets (Certifications sheet)</t>
        </is>
      </c>
    </row>
    <row r="42">
      <c r="B42">
        <f>IFERROR(_xlfn.TAKE(_xlfn._xlws.FILTER(_xlfn.HSTACK(rngCadetNames,nrCadetAgency,nrCERTmissing),(nrCERTmissing&lt;&gt;"")*(nrCadetStatus="Active"),"All certification copies collected"),9),"⚠ LIST UNAVAILABLE - a reference in this panel is broken; do NOT read it as 'nothing to report'")</f>
        <v/>
      </c>
    </row>
    <row r="51" ht="16" customHeight="1">
      <c r="B51" s="7" t="inlineStr">
        <is>
          <t>Open missed-time events — not yet made up (Attendance ↔ Makeup by EventID)</t>
        </is>
      </c>
    </row>
    <row r="52">
      <c r="B52">
        <f>IFERROR(_xlfn.TAKE(_xlfn.SORTBY(_xlfn._xlws.FILTER(_xlfn.HSTACK(nrAT_ID,Attendance!$D$6:$D$805,TEXT(nrAT_Date,"mm/dd"),Attendance!$G$6:$G$805,Attendance!$H$6:$H$805,nrAT_Balance),(nrAT_Cleared="OPEN"),"All missed time cleared"),_xlfn._xlws.FILTER(nrAT_Date,(nrAT_Cleared="OPEN"),"All missed time cleared"),-1),9),"⚠ LIST UNAVAILABLE - a reference in this panel is broken; do NOT read it as 'nothing to report'")</f>
        <v/>
      </c>
    </row>
    <row r="61" ht="16" customHeight="1">
      <c r="B61" s="7" t="inlineStr">
        <is>
          <t>Outstanding memos (pending / overdue)</t>
        </is>
      </c>
    </row>
    <row r="62">
      <c r="B62">
        <f>IFERROR(_xlfn.TAKE(_xlfn.SORTBY(_xlfn._xlws.FILTER(_xlfn.HSTACK(Memos!$B$6:$B$305,nrME_Cadet,TEXT(nrME_Assigned,"mm/dd"),nrME_Ref,nrME_Subject,TEXT(nrME_Due,"mm/dd"),nrME_Status),(nrME_Cadet&lt;&gt;"")*(nrME_Received=""),"No memos outstanding"),_xlfn._xlws.FILTER(nrME_Due,(nrME_Cadet&lt;&gt;"")*(nrME_Received=""),"No memos outstanding"),1),8),"⚠ LIST UNAVAILABLE - a reference in this panel is broken; do NOT read it as 'nothing to report'")</f>
        <v/>
      </c>
    </row>
    <row r="70" ht="16" customHeight="1">
      <c r="B70" s="7" t="inlineStr">
        <is>
          <t>Class average by exam</t>
        </is>
      </c>
    </row>
    <row r="86" ht="16" customHeight="1">
      <c r="B86" s="7" t="inlineStr">
        <is>
          <t>Spelling class average by test</t>
        </is>
      </c>
    </row>
  </sheetData>
  <sheetProtection selectLockedCells="0" selectUnlockedCells="0" sheet="1" objects="0" insertRows="1" insertHyperlinks="1" autoFilter="1" scenarios="0" formatColumns="1" deleteColumns="1" insertColumns="1" pivotTables="1" deleteRows="1" formatCells="1" formatRows="1" sort="1" password="B4BB"/>
  <mergeCells count="39">
    <mergeCell ref="B10:K10"/>
    <mergeCell ref="B7:C7"/>
    <mergeCell ref="B51:K51"/>
    <mergeCell ref="B27:C27"/>
    <mergeCell ref="F7:G7"/>
    <mergeCell ref="B41:K41"/>
    <mergeCell ref="F24:G24"/>
    <mergeCell ref="J23:K23"/>
    <mergeCell ref="J24:K24"/>
    <mergeCell ref="D27:E27"/>
    <mergeCell ref="B23:C23"/>
    <mergeCell ref="J27:K27"/>
    <mergeCell ref="D26:E26"/>
    <mergeCell ref="F26:G26"/>
    <mergeCell ref="B8:C8"/>
    <mergeCell ref="J26:K26"/>
    <mergeCell ref="F8:G8"/>
    <mergeCell ref="L26:M26"/>
    <mergeCell ref="D7:E7"/>
    <mergeCell ref="H7:I7"/>
    <mergeCell ref="J7:K7"/>
    <mergeCell ref="F23:G23"/>
    <mergeCell ref="B70:K70"/>
    <mergeCell ref="B86:K86"/>
    <mergeCell ref="F27:G27"/>
    <mergeCell ref="H27:I27"/>
    <mergeCell ref="D8:E8"/>
    <mergeCell ref="B24:C24"/>
    <mergeCell ref="B61:K61"/>
    <mergeCell ref="D24:E24"/>
    <mergeCell ref="B26:C26"/>
    <mergeCell ref="H24:I24"/>
    <mergeCell ref="D23:E23"/>
    <mergeCell ref="B29:K29"/>
    <mergeCell ref="H23:I23"/>
    <mergeCell ref="L27:M27"/>
    <mergeCell ref="H8:I8"/>
    <mergeCell ref="J8:K8"/>
    <mergeCell ref="H26:I26"/>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tabColor rgb="00C8A24B"/>
    <outlinePr summaryBelow="1" summaryRight="1"/>
    <pageSetUpPr/>
  </sheetPr>
  <dimension ref="B1:C15"/>
  <sheetViews>
    <sheetView showGridLines="0" workbookViewId="0">
      <selection activeCell="A1" sqref="A1"/>
    </sheetView>
  </sheetViews>
  <sheetFormatPr baseColWidth="8" defaultRowHeight="15"/>
  <cols>
    <col width="3" customWidth="1" min="1" max="1"/>
    <col width="34" customWidth="1" min="2" max="2"/>
    <col width="90" customWidth="1" min="3" max="3"/>
  </cols>
  <sheetData>
    <row r="1">
      <c r="B1" s="10">
        <f>HYPERLINK("#Dashboard!B5","◄ Dashboard")</f>
        <v/>
      </c>
    </row>
    <row r="4">
      <c r="B4" s="11" t="inlineStr">
        <is>
          <t>Workbook map: CREAM boxes are yours to type (your entries show in blue), PALE BLUE = calculated, sys* sheets are the locked engine.</t>
        </is>
      </c>
    </row>
    <row r="5" ht="26" customHeight="1">
      <c r="B5" s="12" t="inlineStr">
        <is>
          <t>Step</t>
        </is>
      </c>
      <c r="C5" s="12" t="inlineStr">
        <is>
          <t>What to do</t>
        </is>
      </c>
    </row>
    <row r="6" ht="30" customHeight="1">
      <c r="B6" s="3" t="inlineStr">
        <is>
          <t>1. Settings</t>
        </is>
      </c>
      <c r="C6" s="13" t="inlineStr">
        <is>
          <t>Set academy class label, start/end dates, weights, caps and flag thresholds. Blue cells are yours.</t>
        </is>
      </c>
    </row>
    <row r="7" ht="30" customHeight="1">
      <c r="B7" s="3" t="inlineStr">
        <is>
          <t>2. Lists / Agencies / Instructors</t>
        </is>
      </c>
      <c r="C7" s="13" t="inlineStr">
        <is>
          <t>Confirm dropdown lists, agency contacts and the instructor roster (PID, certs, SME letters).</t>
        </is>
      </c>
    </row>
    <row r="8" ht="30" customHeight="1">
      <c r="B8" s="3" t="inlineStr">
        <is>
          <t>3. ChapterMaster &amp; Schedule</t>
        </is>
      </c>
      <c r="C8" s="13" t="inlineStr">
        <is>
          <t>Confirm chapter hours, then enter the class schedule (date, times, chapter, instructor). Delivered hours reconcile automatically.</t>
        </is>
      </c>
    </row>
    <row r="9" ht="30" customHeight="1">
      <c r="B9" s="3" t="inlineStr">
        <is>
          <t>4. ExamPlan / WritingMaster / SpellingMaster</t>
        </is>
      </c>
      <c r="C9" s="13" t="inlineStr">
        <is>
          <t>Pick this academy's exams; writing due dates compute from the schedule.</t>
        </is>
      </c>
    </row>
    <row r="10" ht="30" customHeight="1">
      <c r="B10" s="3" t="inlineStr">
        <is>
          <t>5. Cadets</t>
        </is>
      </c>
      <c r="C10" s="13" t="inlineStr">
        <is>
          <t>Enter the roster (PID, names, agency). Everything keys off PID.</t>
        </is>
      </c>
    </row>
    <row r="11" ht="30" customHeight="1">
      <c r="B11" s="3" t="inlineStr">
        <is>
          <t>6. Daily operation</t>
        </is>
      </c>
      <c r="C11" s="13" t="inlineStr">
        <is>
          <t>Log exam scores, spelling, attendance exceptions, makeup, skills, writing, incidents, counseling, PT and medical as they happen.</t>
        </is>
      </c>
    </row>
    <row r="12" ht="30" customHeight="1">
      <c r="B12" s="3" t="inlineStr">
        <is>
          <t>7. Watch the Dashboard / WatchList</t>
        </is>
      </c>
      <c r="C12" s="13" t="inlineStr">
        <is>
          <t>Flags, retest deadlines and blocking issues surface automatically.</t>
        </is>
      </c>
    </row>
    <row r="13" ht="30" customHeight="1">
      <c r="B13" s="3" t="inlineStr">
        <is>
          <t>8. Print Center</t>
        </is>
      </c>
      <c r="C13" s="13" t="inlineStr">
        <is>
          <t>Sign-in sheets, evals, spelling tests, writing handouts, transcripts and rosters — one place.</t>
        </is>
      </c>
    </row>
    <row r="14" ht="30" customHeight="1">
      <c r="B14" s="3" t="inlineStr">
        <is>
          <t>9. Agency emails</t>
        </is>
      </c>
      <c r="C14" s="13" t="inlineStr">
        <is>
          <t>EmailPreview + buttons draft per-agency Outlook emails for review. Never auto-sent.</t>
        </is>
      </c>
    </row>
    <row r="15" ht="30" customHeight="1">
      <c r="B15" s="3" t="inlineStr">
        <is>
          <t>10. New academy</t>
        </is>
      </c>
      <c r="C15" s="13" t="inlineStr">
        <is>
          <t>Save-As, then use the New Academy reset button. See the Coordinator Guide in docs/.</t>
        </is>
      </c>
    </row>
  </sheetData>
  <pageMargins left="0.75" right="0.75" top="1" bottom="1" header="0.5" footer="0.5"/>
</worksheet>
</file>

<file path=xl/worksheets/sheet3.xml><?xml version="1.0" encoding="utf-8"?>
<worksheet xmlns="http://schemas.openxmlformats.org/spreadsheetml/2006/main">
  <sheetPr>
    <tabColor rgb="00C8A24B"/>
    <outlinePr summaryBelow="1" summaryRight="1"/>
    <pageSetUpPr/>
  </sheetPr>
  <dimension ref="B1:H43"/>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8" customWidth="1" min="2" max="2"/>
    <col width="90" customWidth="1" min="3" max="3"/>
  </cols>
  <sheetData>
    <row r="1">
      <c r="B1" s="10">
        <f>HYPERLINK("#Dashboard!B5","◄ Dashboard")</f>
        <v/>
      </c>
    </row>
    <row r="4">
      <c r="B4" s="11" t="inlineStr">
        <is>
          <t>Only pages that take input are listed — gray sys* tabs are the locked calculation engine; green tabs are outputs. Cream boxes are yours to type (what you type shows in blue); pale blue cells calculate.</t>
        </is>
      </c>
    </row>
    <row r="5" ht="26" customHeight="1">
      <c r="B5" s="12" t="inlineStr">
        <is>
          <t>Go to…</t>
        </is>
      </c>
      <c r="C5" s="12" t="inlineStr">
        <is>
          <t>What you enter there</t>
        </is>
      </c>
    </row>
    <row r="6" ht="16" customHeight="1">
      <c r="B6" s="7" t="inlineStr">
        <is>
          <t>Getting set up</t>
        </is>
      </c>
    </row>
    <row r="7" ht="26" customHeight="1">
      <c r="B7" s="3">
        <f>HYPERLINK("#Settings!B6","Settings")</f>
        <v/>
      </c>
      <c r="C7" s="13" t="inlineStr">
        <is>
          <t>Academy label, start/end dates, grading weights, caps, retest window, flag thresholds, PT points rubric (yellow block).</t>
        </is>
      </c>
    </row>
    <row r="8" ht="26" customHeight="1">
      <c r="B8" s="3">
        <f>HYPERLINK("#Lists!B6","Lists")</f>
        <v/>
      </c>
      <c r="C8" s="13" t="inlineStr">
        <is>
          <t>Dropdown choices used across the workbook — add items here.</t>
        </is>
      </c>
    </row>
    <row r="9" ht="26" customHeight="1">
      <c r="B9" s="3">
        <f>HYPERLINK("#Agencies!B6","Agencies")</f>
        <v/>
      </c>
      <c r="C9" s="13" t="inlineStr">
        <is>
          <t>Sending agencies: codes, contacts, email addresses.</t>
        </is>
      </c>
    </row>
    <row r="10" ht="26" customHeight="1">
      <c r="B10" s="3">
        <f>HYPERLINK("#Instructors!B6","Instructors")</f>
        <v/>
      </c>
      <c r="C10" s="13" t="inlineStr">
        <is>
          <t>Roster with TCOLE PID, certs, SME letters, bio-on-file status. 'On Schedule?' shows who actually teaches — every co-teacher needs documentation.</t>
        </is>
      </c>
    </row>
    <row r="11" ht="26" customHeight="1">
      <c r="B11" s="3">
        <f>HYPERLINK("#InstructorBanks!B6","InstructorBanks")</f>
        <v/>
      </c>
      <c r="C11" s="13" t="inlineStr">
        <is>
          <t>Per-topic banks: the certified pool (kept between academies) and who you picked to teach THIS academy — those picks become the Schedule's instructor dropdown for that topic.</t>
        </is>
      </c>
    </row>
    <row r="12" ht="26" customHeight="1">
      <c r="B12" s="3">
        <f>HYPERLINK("#ChapterMaster!B6","ChapterMaster")</f>
        <v/>
      </c>
      <c r="C12" s="13" t="inlineStr">
        <is>
          <t>Chapter hours + the per-chapter TCOLE training-file record (lesson plan, bio, sign-ins, assessment, grade sheet, eval, special requirements).</t>
        </is>
      </c>
    </row>
    <row r="13" ht="26" customHeight="1">
      <c r="B13" s="3">
        <f>HYPERLINK("#Control!B6","Control")</f>
        <v/>
      </c>
      <c r="C13" s="13" t="inlineStr">
        <is>
          <t>Extra closure dates (holidays compute automatically).</t>
        </is>
      </c>
    </row>
    <row r="14" ht="26" customHeight="1">
      <c r="B14" s="3">
        <f>HYPERLINK("#Schedule!B6","Schedule")</f>
        <v/>
      </c>
      <c r="C14" s="13" t="inlineStr">
        <is>
          <t>The class schedule: one row per time block — date, times, chapter/activity, instructor. Drives hours, due dates, sign-ins.</t>
        </is>
      </c>
    </row>
    <row r="15" ht="26" customHeight="1">
      <c r="B15" s="3">
        <f>HYPERLINK("#ExamPlan!B6","ExamPlan")</f>
        <v/>
      </c>
      <c r="C15" s="13" t="inlineStr">
        <is>
          <t>Which exams this academy uses, their sequence and linked chapters.</t>
        </is>
      </c>
    </row>
    <row r="16" ht="26" customHeight="1">
      <c r="B16" s="3">
        <f>HYPERLINK("#ExamMaster!B6","ExamMaster")</f>
        <v/>
      </c>
      <c r="C16" s="13" t="inlineStr">
        <is>
          <t>The exam library (edit names/types/defaults).</t>
        </is>
      </c>
    </row>
    <row r="17" ht="26" customHeight="1">
      <c r="B17" s="3">
        <f>HYPERLINK("#SkillsMaster!B6","SkillsMaster")</f>
        <v/>
      </c>
      <c r="C17" s="13" t="inlineStr">
        <is>
          <t>Attempt limits and scoring mode per skill category.</t>
        </is>
      </c>
    </row>
    <row r="18" ht="26" customHeight="1">
      <c r="B18" s="3">
        <f>HYPERLINK("#SpellingMaster!B6","SpellingMaster")</f>
        <v/>
      </c>
      <c r="C18" s="13" t="inlineStr">
        <is>
          <t>The 12 spelling word lists (printable via Print Center).</t>
        </is>
      </c>
    </row>
    <row r="19" ht="26" customHeight="1">
      <c r="B19" s="3">
        <f>HYPERLINK("#WritingMaster!B6","WritingMaster")</f>
        <v/>
      </c>
      <c r="C19" s="13" t="inlineStr">
        <is>
          <t>The 40 assignments: prompts, linked chapters, date overrides.</t>
        </is>
      </c>
    </row>
    <row r="20" ht="16" customHeight="1">
      <c r="B20" s="7" t="inlineStr">
        <is>
          <t>Daily operation</t>
        </is>
      </c>
    </row>
    <row r="21" ht="26" customHeight="1">
      <c r="B21" s="3">
        <f>HYPERLINK("#Cadets!B6","Cadets")</f>
        <v/>
      </c>
      <c r="C21" s="13" t="inlineStr">
        <is>
          <t>The roster: PID, names, agency, status, enroll/separation.</t>
        </is>
      </c>
    </row>
    <row r="22" ht="26" customHeight="1">
      <c r="B22" s="3">
        <f>HYPERLINK("#ExamScores!B6","ExamScores")</f>
        <v/>
      </c>
      <c r="C22" s="13" t="inlineStr">
        <is>
          <t>One row per exam attempt: cadet, exam, attempt #, raw score, date. Retest deadlines compute.</t>
        </is>
      </c>
    </row>
    <row r="23" ht="26" customHeight="1">
      <c r="B23" s="3">
        <f>HYPERLINK("#Spelling!B6","Spelling")</f>
        <v/>
      </c>
      <c r="C23" s="13" t="inlineStr">
        <is>
          <t>Spelling test scores per cadet per test.</t>
        </is>
      </c>
    </row>
    <row r="24" ht="26" customHeight="1">
      <c r="B24" s="3">
        <f>HYPERLINK("#Attendance!B6","Attendance")</f>
        <v/>
      </c>
      <c r="C24" s="13" t="inlineStr">
        <is>
          <t>Exception log: missed/modified time in minutes (or PT sessions), reason, documentation, excused.</t>
        </is>
      </c>
    </row>
    <row r="25" ht="26" customHeight="1">
      <c r="B25" s="3">
        <f>HYPERLINK("#Makeup!B6","Makeup")</f>
        <v/>
      </c>
      <c r="C25" s="13" t="inlineStr">
        <is>
          <t>Makeup credit: minutes/sessions, documentation, holds.</t>
        </is>
      </c>
    </row>
    <row r="26" ht="26" customHeight="1">
      <c r="B26" s="3">
        <f>HYPERLINK("#Skills!B6","Skills")</f>
        <v/>
      </c>
      <c r="C26" s="13" t="inlineStr">
        <is>
          <t>Skills attempts: category, result, score, firearms course of fire.</t>
        </is>
      </c>
    </row>
    <row r="27" ht="26" customHeight="1">
      <c r="B27" s="3">
        <f>HYPERLINK("#SkillsCheck!B6","SkillsCheck")</f>
        <v/>
      </c>
      <c r="C27" s="13" t="inlineStr">
        <is>
          <t>One Pass/Fail per skills training per cadet — your call, not the attempt log's. Marking any skill Fail blocks graduation and names that skill in Blocking Issues. Blank is not a failure, but it is counted under 'Not Assessed'.</t>
        </is>
      </c>
    </row>
    <row r="28" ht="26" customHeight="1">
      <c r="B28" s="3">
        <f>HYPERLINK("#Writing!B6","Writing")</f>
        <v/>
      </c>
      <c r="C28" s="13" t="inlineStr">
        <is>
          <t>Type X when an assignment is received (auto-capitalizes).</t>
        </is>
      </c>
    </row>
    <row r="29" ht="26" customHeight="1">
      <c r="B29" s="3">
        <f>HYPERLINK("#Incidents!B6","Incidents")</f>
        <v/>
      </c>
      <c r="C29" s="13" t="inlineStr">
        <is>
          <t>Positive/negative incidents with severity and resolution.</t>
        </is>
      </c>
    </row>
    <row r="30" ht="26" customHeight="1">
      <c r="B30" s="3">
        <f>HYPERLINK("#Counseling!B6","Counseling")</f>
        <v/>
      </c>
      <c r="C30" s="13" t="inlineStr">
        <is>
          <t>Every intervention: tutoring, counseling, agency notification, performance plans. 'Agency Notified?' = Yes puts it in the next email digest.</t>
        </is>
      </c>
    </row>
    <row r="31" ht="26" customHeight="1">
      <c r="B31" s="3">
        <f>HYPERLINK("#Memos!B6","Memos")</f>
        <v/>
      </c>
      <c r="C31" s="13" t="inlineStr">
        <is>
          <t>Deficiency memos: assign, link to the I/A/C record, due auto-computes, mark received. 'Report to Agency?' is your call.</t>
        </is>
      </c>
    </row>
    <row r="32" ht="26" customHeight="1">
      <c r="B32" s="3">
        <f>HYPERLINK("#DailyLog!B6","DailyLog")</f>
        <v/>
      </c>
      <c r="C32" s="13" t="inlineStr">
        <is>
          <t>One row per training day — the digital daily report. Counters compute; mark when the leader's signed report is scanned.</t>
        </is>
      </c>
    </row>
    <row r="33" ht="26" customHeight="1">
      <c r="B33" s="3">
        <f>HYPERLINK("#PT!B6","PT")</f>
        <v/>
      </c>
      <c r="C33" s="13" t="inlineStr">
        <is>
          <t>Baseline and final raw values per event; final points once the rubric arrives.</t>
        </is>
      </c>
    </row>
    <row r="34" ht="26" customHeight="1">
      <c r="B34" s="3">
        <f>HYPERLINK("#Medical!B6","Medical")</f>
        <v/>
      </c>
      <c r="C34" s="13" t="inlineStr">
        <is>
          <t>Injuries, restrictions, clearances and expirations.</t>
        </is>
      </c>
    </row>
    <row r="35" ht="26" customHeight="1">
      <c r="B35" s="3">
        <f>HYPERLINK("#Certifications!B6","Certifications")</f>
        <v/>
      </c>
      <c r="C35" s="13" t="inlineStr">
        <is>
          <t>Per-cadet TIM/SFST/TCIC/CPR/ALERRT/ICS completion dates and certificate copies collected.</t>
        </is>
      </c>
    </row>
    <row r="36" ht="26" customHeight="1">
      <c r="B36" s="3">
        <f>HYPERLINK("#StateExam!B6","StateExam")</f>
        <v/>
      </c>
      <c r="C36" s="13" t="inlineStr">
        <is>
          <t>TCOLE licensing exam attempts and results (3 max).</t>
        </is>
      </c>
    </row>
    <row r="37" ht="26" customHeight="1">
      <c r="B37" s="3">
        <f>HYPERLINK("#DismissalLog!B6","DismissalLog")</f>
        <v/>
      </c>
      <c r="C37" s="13" t="inlineStr">
        <is>
          <t>Formal reviews: trigger, decision, approvals.</t>
        </is>
      </c>
    </row>
    <row r="38" ht="26" customHeight="1">
      <c r="B38" s="3">
        <f>HYPERLINK("#AdvisoryBoard!B6","AdvisoryBoard")</f>
        <v/>
      </c>
      <c r="C38" s="13" t="inlineStr">
        <is>
          <t>Governance: this academy's alignment record (policy version, minutes reviewed, workbook aligned) + the running board-meeting list with minutes folder locations. The Startup Review button fills it.</t>
        </is>
      </c>
    </row>
    <row r="39" ht="16" customHeight="1">
      <c r="B39" s="7" t="inlineStr">
        <is>
          <t>End of academy / as needed</t>
        </is>
      </c>
    </row>
    <row r="40" ht="26" customHeight="1">
      <c r="B40" s="3">
        <f>HYPERLINK("#Audit!B6","Audit")</f>
        <v/>
      </c>
      <c r="C40" s="13" t="inlineStr">
        <is>
          <t>Program-requirement checklist answers + per-cadet enrollment documents grid.</t>
        </is>
      </c>
    </row>
    <row r="41" ht="26" customHeight="1">
      <c r="B41" s="3">
        <f>HYPERLINK("#EmailPreview!B6","EmailPreview")</f>
        <v/>
      </c>
      <c r="C41" s="13" t="inlineStr">
        <is>
          <t>Pick an agency to preview its email; the button builds Outlook drafts.</t>
        </is>
      </c>
    </row>
    <row r="42" ht="26" customHeight="1">
      <c r="B42" s="3">
        <f>HYPERLINK("#sysAwards!B6","sysAwards")</f>
        <v/>
      </c>
      <c r="C42" s="13" t="inlineStr">
        <is>
          <t>Award override cells — your pick always wins.</t>
        </is>
      </c>
    </row>
    <row r="43" ht="26" customHeight="1">
      <c r="B43" s="3">
        <f>HYPERLINK("#PrintCenter!B6","PrintCenter")</f>
        <v/>
      </c>
      <c r="C43" s="13" t="inlineStr">
        <is>
          <t>Every printable in one place (buttons after VBA install).</t>
        </is>
      </c>
    </row>
  </sheetData>
  <sheetProtection selectLockedCells="0" selectUnlockedCells="0" sheet="1" objects="0" insertRows="1" insertHyperlinks="1" autoFilter="1" scenarios="0" formatColumns="1" deleteColumns="1" insertColumns="1" pivotTables="1" deleteRows="1" formatCells="1" formatRows="1" sort="1" password="B4BB"/>
  <mergeCells count="38">
    <mergeCell ref="C25:H25"/>
    <mergeCell ref="C41:H41"/>
    <mergeCell ref="C16:H16"/>
    <mergeCell ref="C10:H10"/>
    <mergeCell ref="C22:H22"/>
    <mergeCell ref="C40:H40"/>
    <mergeCell ref="C9:H9"/>
    <mergeCell ref="C31:H31"/>
    <mergeCell ref="B6:H6"/>
    <mergeCell ref="C43:H43"/>
    <mergeCell ref="C12:H12"/>
    <mergeCell ref="B20:H20"/>
    <mergeCell ref="C21:H21"/>
    <mergeCell ref="C11:H11"/>
    <mergeCell ref="C36:H36"/>
    <mergeCell ref="C27:H27"/>
    <mergeCell ref="C23:H23"/>
    <mergeCell ref="C8:H8"/>
    <mergeCell ref="C17:H17"/>
    <mergeCell ref="C7:H7"/>
    <mergeCell ref="C32:H32"/>
    <mergeCell ref="C38:H38"/>
    <mergeCell ref="C19:H19"/>
    <mergeCell ref="C28:H28"/>
    <mergeCell ref="C13:H13"/>
    <mergeCell ref="C37:H37"/>
    <mergeCell ref="B39:H39"/>
    <mergeCell ref="C18:H18"/>
    <mergeCell ref="C34:H34"/>
    <mergeCell ref="C30:H30"/>
    <mergeCell ref="C15:H15"/>
    <mergeCell ref="C33:H33"/>
    <mergeCell ref="C24:H24"/>
    <mergeCell ref="C42:H42"/>
    <mergeCell ref="C14:H14"/>
    <mergeCell ref="C35:H35"/>
    <mergeCell ref="C26:H26"/>
    <mergeCell ref="C29:H29"/>
  </mergeCells>
  <pageMargins left="0.75" right="0.75" top="1" bottom="1" header="0.5" footer="0.5"/>
</worksheet>
</file>

<file path=xl/worksheets/sheet4.xml><?xml version="1.0" encoding="utf-8"?>
<worksheet xmlns="http://schemas.openxmlformats.org/spreadsheetml/2006/main">
  <sheetPr>
    <tabColor rgb="001E7145"/>
    <outlinePr summaryBelow="1" summaryRight="1"/>
    <pageSetUpPr/>
  </sheetPr>
  <dimension ref="B1:F24"/>
  <sheetViews>
    <sheetView showGridLines="0" workbookViewId="0">
      <selection activeCell="A1" sqref="A1"/>
    </sheetView>
  </sheetViews>
  <sheetFormatPr baseColWidth="8" defaultRowHeight="15"/>
  <cols>
    <col width="3" customWidth="1" min="1" max="1"/>
    <col width="26" customWidth="1" min="2" max="2"/>
    <col width="52" customWidth="1" min="3" max="3"/>
    <col width="16" customWidth="1" min="4" max="4"/>
    <col width="20" customWidth="1" min="5" max="5"/>
    <col width="3" customWidth="1" min="6" max="6"/>
    <col width="20" customWidth="1" min="7" max="7"/>
    <col width="20" customWidth="1" min="8" max="8"/>
  </cols>
  <sheetData>
    <row r="1">
      <c r="B1" s="10">
        <f>HYPERLINK("#Dashboard!B5","◄ Dashboard")</f>
        <v/>
      </c>
    </row>
    <row r="5">
      <c r="B5" s="1" t="inlineStr">
        <is>
          <t>Print Center</t>
        </is>
      </c>
    </row>
    <row r="7" ht="26" customHeight="1">
      <c r="B7" s="12" t="inlineStr">
        <is>
          <t>What</t>
        </is>
      </c>
      <c r="C7" s="12" t="inlineStr">
        <is>
          <t>How</t>
        </is>
      </c>
      <c r="D7" s="12" t="inlineStr">
        <is>
          <t>Sheet</t>
        </is>
      </c>
      <c r="E7" s="12" t="inlineStr">
        <is>
          <t>Macro (button)</t>
        </is>
      </c>
    </row>
    <row r="8" ht="20" customHeight="1">
      <c r="B8" s="3" t="inlineStr">
        <is>
          <t>Daily report &amp; roster (one day)</t>
        </is>
      </c>
      <c r="C8" s="14" t="inlineStr">
        <is>
          <t>Set the date on SignIn; blank date prints a generic form the leader dates by hand</t>
        </is>
      </c>
      <c r="D8" s="14" t="inlineStr">
        <is>
          <t>SignIn</t>
        </is>
      </c>
      <c r="E8" s="2" t="inlineStr">
        <is>
          <t>btnPrintSignIn</t>
        </is>
      </c>
    </row>
    <row r="9" ht="20" customHeight="1">
      <c r="B9" s="3" t="inlineStr">
        <is>
          <t>Daily report &amp; roster (week)</t>
        </is>
      </c>
      <c r="C9" s="14" t="inlineStr">
        <is>
          <t>Prints the next 5 class days, each pre-filled with its own date, day # and schedule</t>
        </is>
      </c>
      <c r="D9" s="14" t="inlineStr">
        <is>
          <t>SignIn</t>
        </is>
      </c>
      <c r="E9" s="2" t="inlineStr">
        <is>
          <t>btnPrintSignInWeek</t>
        </is>
      </c>
    </row>
    <row r="10" ht="20" customHeight="1">
      <c r="B10" s="3" t="inlineStr">
        <is>
          <t>Academy book (all days)</t>
        </is>
      </c>
      <c r="C10" s="14" t="inlineStr">
        <is>
          <t>Every class day's form in one run — the class leader's bound book for the whole academy (print to PDF for the print shop)</t>
        </is>
      </c>
      <c r="D10" s="14" t="inlineStr">
        <is>
          <t>SignIn</t>
        </is>
      </c>
      <c r="E10" s="2" t="inlineStr">
        <is>
          <t>btnPrintSignInAcademy</t>
        </is>
      </c>
    </row>
    <row r="11" ht="20" customHeight="1">
      <c r="B11" s="3" t="inlineStr">
        <is>
          <t>Course critique stack</t>
        </is>
      </c>
      <c r="C11" s="14" t="inlineStr">
        <is>
          <t>Set chapter on EvalSheet; prints one per active cadet</t>
        </is>
      </c>
      <c r="D11" s="14" t="inlineStr">
        <is>
          <t>EvalSheet</t>
        </is>
      </c>
      <c r="E11" s="2" t="inlineStr">
        <is>
          <t>btnPrintEvals</t>
        </is>
      </c>
    </row>
    <row r="12" ht="20" customHeight="1">
      <c r="B12" s="3" t="inlineStr">
        <is>
          <t>Spelling test / key</t>
        </is>
      </c>
      <c r="C12" s="14" t="inlineStr">
        <is>
          <t>Set test # and mode on SpellingPrint</t>
        </is>
      </c>
      <c r="D12" s="14" t="inlineStr">
        <is>
          <t>SpellingPrint</t>
        </is>
      </c>
      <c r="E12" s="2" t="inlineStr">
        <is>
          <t>btnPrintSpelling</t>
        </is>
      </c>
    </row>
    <row r="13" ht="20" customHeight="1">
      <c r="B13" s="3" t="inlineStr">
        <is>
          <t>Writing handout (week)</t>
        </is>
      </c>
      <c r="C13" s="14" t="inlineStr">
        <is>
          <t>Set week # on WritingHandout</t>
        </is>
      </c>
      <c r="D13" s="14" t="inlineStr">
        <is>
          <t>WritingHandout</t>
        </is>
      </c>
      <c r="E13" s="2" t="inlineStr">
        <is>
          <t>btnPrintWriting</t>
        </is>
      </c>
    </row>
    <row r="14" ht="20" customHeight="1">
      <c r="B14" s="3" t="inlineStr">
        <is>
          <t>Cadet profile</t>
        </is>
      </c>
      <c r="C14" s="14" t="inlineStr">
        <is>
          <t>Set cadet on CadetProfile</t>
        </is>
      </c>
      <c r="D14" s="14" t="inlineStr">
        <is>
          <t>CadetProfile</t>
        </is>
      </c>
      <c r="E14" s="2" t="inlineStr">
        <is>
          <t>btnPrintProfile</t>
        </is>
      </c>
    </row>
    <row r="15" ht="20" customHeight="1">
      <c r="B15" s="3" t="inlineStr">
        <is>
          <t>Transcript</t>
        </is>
      </c>
      <c r="C15" s="14" t="inlineStr">
        <is>
          <t>Set cadet on Transcript (button can run all cadets)</t>
        </is>
      </c>
      <c r="D15" s="14" t="inlineStr">
        <is>
          <t>Transcript</t>
        </is>
      </c>
      <c r="E15" s="2" t="inlineStr">
        <is>
          <t>btnPrintTranscript</t>
        </is>
      </c>
    </row>
    <row r="16" ht="20" customHeight="1">
      <c r="B16" s="3" t="inlineStr">
        <is>
          <t>Class ranking</t>
        </is>
      </c>
      <c r="C16" s="14" t="inlineStr">
        <is>
          <t>Prints as-is</t>
        </is>
      </c>
      <c r="D16" s="14" t="inlineStr">
        <is>
          <t>Ranking</t>
        </is>
      </c>
      <c r="E16" s="2" t="inlineStr">
        <is>
          <t>btnPrintRanking</t>
        </is>
      </c>
    </row>
    <row r="17" ht="20" customHeight="1">
      <c r="B17" s="3" t="inlineStr">
        <is>
          <t>Graduation checklist</t>
        </is>
      </c>
      <c r="C17" s="14" t="inlineStr">
        <is>
          <t>Prints as-is</t>
        </is>
      </c>
      <c r="D17" s="14" t="inlineStr">
        <is>
          <t>GradChecklist</t>
        </is>
      </c>
      <c r="E17" s="2" t="inlineStr">
        <is>
          <t>btnPrintGradCheck</t>
        </is>
      </c>
    </row>
    <row r="18" ht="20" customHeight="1">
      <c r="B18" s="3" t="inlineStr">
        <is>
          <t>Audit packet</t>
        </is>
      </c>
      <c r="C18" s="14" t="inlineStr">
        <is>
          <t>Program checks + enrollment docs</t>
        </is>
      </c>
      <c r="D18" s="14" t="inlineStr">
        <is>
          <t>Audit</t>
        </is>
      </c>
      <c r="E18" s="2" t="inlineStr">
        <is>
          <t>btnPrintAudit</t>
        </is>
      </c>
    </row>
    <row r="19" ht="20" customHeight="1">
      <c r="B19" s="3" t="inlineStr">
        <is>
          <t>Chapter packet</t>
        </is>
      </c>
      <c r="C19" s="14" t="inlineStr">
        <is>
          <t>Set chapter on ChapterPacket — the full training-file page for the auditor</t>
        </is>
      </c>
      <c r="D19" s="14" t="inlineStr">
        <is>
          <t>ChapterPacket</t>
        </is>
      </c>
      <c r="E19" s="2" t="inlineStr">
        <is>
          <t>btnPrintChapterPacket</t>
        </is>
      </c>
    </row>
    <row r="20" ht="20" customHeight="1">
      <c r="B20" s="3" t="inlineStr">
        <is>
          <t>Exam grade sheet</t>
        </is>
      </c>
      <c r="C20" s="14" t="inlineStr">
        <is>
          <t>Set exam # on ExamSheet — the IRG-required grade sheet per assessment</t>
        </is>
      </c>
      <c r="D20" s="14" t="inlineStr">
        <is>
          <t>ExamSheet</t>
        </is>
      </c>
      <c r="E20" s="2" t="inlineStr">
        <is>
          <t>btnPrintGradeSheet</t>
        </is>
      </c>
    </row>
    <row r="21" ht="20" customHeight="1">
      <c r="B21" s="3" t="inlineStr">
        <is>
          <t>Addendum (excess hours)</t>
        </is>
      </c>
      <c r="C21" s="14" t="inlineStr">
        <is>
          <t>Per-class excess vs TCOLE minimum with reporting course #s (#101 / #2040 / #2046 / #2055)</t>
        </is>
      </c>
      <c r="D21" s="14" t="inlineStr">
        <is>
          <t>Addendum</t>
        </is>
      </c>
      <c r="E21" s="2" t="inlineStr">
        <is>
          <t>btnPrintAddendum</t>
        </is>
      </c>
    </row>
    <row r="22" ht="20" customHeight="1">
      <c r="B22" s="3" t="inlineStr">
        <is>
          <t>Schedule</t>
        </is>
      </c>
      <c r="C22" s="14" t="inlineStr">
        <is>
          <t>Full schedule listing</t>
        </is>
      </c>
      <c r="D22" s="14" t="inlineStr">
        <is>
          <t>Schedule</t>
        </is>
      </c>
      <c r="E22" s="2" t="inlineStr">
        <is>
          <t>btnPrintSchedule</t>
        </is>
      </c>
    </row>
    <row r="24" ht="30" customHeight="1">
      <c r="B24" s="15" t="inlineStr">
        <is>
          <t>Buttons are added by the BPOC VBA install — run tools/Install-BPOC-VBA.ps1 (see docs/BPOC-Coordinator-Guide.md, 'Rebuilding from source'). Each button prints its sheet's defined print area to the default printer; Ctrl+P on the sheet does the same thing manually.</t>
        </is>
      </c>
    </row>
  </sheetData>
  <sheetProtection selectLockedCells="0" selectUnlockedCells="0" sheet="1" objects="0" insertRows="1" insertHyperlinks="1" autoFilter="1" scenarios="0" formatColumns="1" deleteColumns="1" insertColumns="1" pivotTables="1" deleteRows="1" formatCells="1" formatRows="1" sort="1" password="B4BB"/>
  <mergeCells count="1">
    <mergeCell ref="B24:F24"/>
  </mergeCells>
  <pageMargins left="0.75" right="0.75" top="1" bottom="1" header="0.5" footer="0.5"/>
</worksheet>
</file>

<file path=xl/worksheets/sheet5.xml><?xml version="1.0" encoding="utf-8"?>
<worksheet xmlns="http://schemas.openxmlformats.org/spreadsheetml/2006/main">
  <sheetPr>
    <tabColor rgb="002E75B6"/>
    <outlinePr summaryBelow="1" summaryRight="1"/>
    <pageSetUpPr/>
  </sheetPr>
  <dimension ref="B1:M55"/>
  <sheetViews>
    <sheetView showGridLines="0" workbookViewId="0">
      <pane xSplit="3" ySplit="5" topLeftCell="D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14" customWidth="1" min="3" max="3"/>
    <col width="14" customWidth="1" min="4" max="4"/>
    <col width="5" customWidth="1" min="5" max="5"/>
    <col width="24" customWidth="1" min="6" max="6"/>
    <col width="10" customWidth="1" min="7" max="7"/>
    <col width="22" customWidth="1" min="8" max="8"/>
    <col width="11" customWidth="1" min="9" max="9"/>
    <col width="6" customWidth="1" min="10" max="10"/>
    <col width="12" customWidth="1" min="11" max="11"/>
    <col width="12" customWidth="1" min="12" max="12"/>
    <col width="26" customWidth="1" min="13" max="13"/>
  </cols>
  <sheetData>
    <row r="1">
      <c r="B1" s="10">
        <f>HYPERLINK("#Dashboard!B5","◄ Dashboard")</f>
        <v/>
      </c>
    </row>
    <row r="4">
      <c r="B4" s="11" t="inlineStr">
        <is>
          <t>PID never changes once set — every other sheet keys off it. Capacity 50 cadets. A red PID (or red Cadet Name) means two rows share it: fix it immediately, both cadets' records are being merged.</t>
        </is>
      </c>
    </row>
    <row r="5" ht="26" customHeight="1">
      <c r="B5" s="12" t="inlineStr">
        <is>
          <t>PID</t>
        </is>
      </c>
      <c r="C5" s="12" t="inlineStr">
        <is>
          <t>Last Name</t>
        </is>
      </c>
      <c r="D5" s="12" t="inlineStr">
        <is>
          <t>First Name</t>
        </is>
      </c>
      <c r="E5" s="12" t="inlineStr">
        <is>
          <t>MI</t>
        </is>
      </c>
      <c r="F5" s="12" t="inlineStr">
        <is>
          <t>Cadet Name</t>
        </is>
      </c>
      <c r="G5" s="12" t="inlineStr">
        <is>
          <t>AgencyID</t>
        </is>
      </c>
      <c r="H5" s="12" t="inlineStr">
        <is>
          <t>Agency Name</t>
        </is>
      </c>
      <c r="I5" s="12" t="inlineStr">
        <is>
          <t>Status</t>
        </is>
      </c>
      <c r="J5" s="12" t="inlineStr">
        <is>
          <t>Sort</t>
        </is>
      </c>
      <c r="K5" s="12" t="inlineStr">
        <is>
          <t>Enroll Date</t>
        </is>
      </c>
      <c r="L5" s="12" t="inlineStr">
        <is>
          <t>Separation Date</t>
        </is>
      </c>
      <c r="M5" s="12" t="inlineStr">
        <is>
          <t>Separation Reason</t>
        </is>
      </c>
    </row>
    <row r="6">
      <c r="B6" s="16" t="n"/>
      <c r="C6" s="16" t="n"/>
      <c r="D6" s="16" t="n"/>
      <c r="E6" s="16" t="n"/>
      <c r="F6" s="17">
        <f>IF($B6="","",$C6&amp;", "&amp;$D6&amp;IF($E6="",""," "&amp;$E6&amp;"."))</f>
        <v/>
      </c>
      <c r="G6" s="16" t="n"/>
      <c r="H6" s="17">
        <f>IF($G6="","",IFERROR(INDEX(rngAgencyNames,MATCH($G6,rngAgencyIDs,0)),"?"))</f>
        <v/>
      </c>
      <c r="I6" s="16" t="n"/>
      <c r="J6" s="17">
        <f>IF($B6="","",ROW()-5)</f>
        <v/>
      </c>
      <c r="K6" s="18" t="n"/>
      <c r="L6" s="18" t="n"/>
      <c r="M6" s="16" t="n"/>
    </row>
    <row r="7">
      <c r="B7" s="16" t="n"/>
      <c r="C7" s="16" t="n"/>
      <c r="D7" s="16" t="n"/>
      <c r="E7" s="16" t="n"/>
      <c r="F7" s="17">
        <f>IF($B7="","",$C7&amp;", "&amp;$D7&amp;IF($E7="",""," "&amp;$E7&amp;"."))</f>
        <v/>
      </c>
      <c r="G7" s="16" t="n"/>
      <c r="H7" s="17">
        <f>IF($G7="","",IFERROR(INDEX(rngAgencyNames,MATCH($G7,rngAgencyIDs,0)),"?"))</f>
        <v/>
      </c>
      <c r="I7" s="16" t="n"/>
      <c r="J7" s="17">
        <f>IF($B7="","",ROW()-5)</f>
        <v/>
      </c>
      <c r="K7" s="18" t="n"/>
      <c r="L7" s="18" t="n"/>
      <c r="M7" s="16" t="n"/>
    </row>
    <row r="8">
      <c r="B8" s="16" t="n"/>
      <c r="C8" s="16" t="n"/>
      <c r="D8" s="16" t="n"/>
      <c r="E8" s="16" t="n"/>
      <c r="F8" s="17">
        <f>IF($B8="","",$C8&amp;", "&amp;$D8&amp;IF($E8="",""," "&amp;$E8&amp;"."))</f>
        <v/>
      </c>
      <c r="G8" s="16" t="n"/>
      <c r="H8" s="17">
        <f>IF($G8="","",IFERROR(INDEX(rngAgencyNames,MATCH($G8,rngAgencyIDs,0)),"?"))</f>
        <v/>
      </c>
      <c r="I8" s="16" t="n"/>
      <c r="J8" s="17">
        <f>IF($B8="","",ROW()-5)</f>
        <v/>
      </c>
      <c r="K8" s="18" t="n"/>
      <c r="L8" s="18" t="n"/>
      <c r="M8" s="16" t="n"/>
    </row>
    <row r="9">
      <c r="B9" s="16" t="n"/>
      <c r="C9" s="16" t="n"/>
      <c r="D9" s="16" t="n"/>
      <c r="E9" s="16" t="n"/>
      <c r="F9" s="17">
        <f>IF($B9="","",$C9&amp;", "&amp;$D9&amp;IF($E9="",""," "&amp;$E9&amp;"."))</f>
        <v/>
      </c>
      <c r="G9" s="16" t="n"/>
      <c r="H9" s="17">
        <f>IF($G9="","",IFERROR(INDEX(rngAgencyNames,MATCH($G9,rngAgencyIDs,0)),"?"))</f>
        <v/>
      </c>
      <c r="I9" s="16" t="n"/>
      <c r="J9" s="17">
        <f>IF($B9="","",ROW()-5)</f>
        <v/>
      </c>
      <c r="K9" s="18" t="n"/>
      <c r="L9" s="18" t="n"/>
      <c r="M9" s="16" t="n"/>
    </row>
    <row r="10">
      <c r="B10" s="16" t="n"/>
      <c r="C10" s="16" t="n"/>
      <c r="D10" s="16" t="n"/>
      <c r="E10" s="16" t="n"/>
      <c r="F10" s="17">
        <f>IF($B10="","",$C10&amp;", "&amp;$D10&amp;IF($E10="",""," "&amp;$E10&amp;"."))</f>
        <v/>
      </c>
      <c r="G10" s="16" t="n"/>
      <c r="H10" s="17">
        <f>IF($G10="","",IFERROR(INDEX(rngAgencyNames,MATCH($G10,rngAgencyIDs,0)),"?"))</f>
        <v/>
      </c>
      <c r="I10" s="16" t="n"/>
      <c r="J10" s="17">
        <f>IF($B10="","",ROW()-5)</f>
        <v/>
      </c>
      <c r="K10" s="18" t="n"/>
      <c r="L10" s="18" t="n"/>
      <c r="M10" s="16" t="n"/>
    </row>
    <row r="11">
      <c r="B11" s="16" t="n"/>
      <c r="C11" s="16" t="n"/>
      <c r="D11" s="16" t="n"/>
      <c r="E11" s="16" t="n"/>
      <c r="F11" s="17">
        <f>IF($B11="","",$C11&amp;", "&amp;$D11&amp;IF($E11="",""," "&amp;$E11&amp;"."))</f>
        <v/>
      </c>
      <c r="G11" s="16" t="n"/>
      <c r="H11" s="17">
        <f>IF($G11="","",IFERROR(INDEX(rngAgencyNames,MATCH($G11,rngAgencyIDs,0)),"?"))</f>
        <v/>
      </c>
      <c r="I11" s="16" t="n"/>
      <c r="J11" s="17">
        <f>IF($B11="","",ROW()-5)</f>
        <v/>
      </c>
      <c r="K11" s="18" t="n"/>
      <c r="L11" s="18" t="n"/>
      <c r="M11" s="16" t="n"/>
    </row>
    <row r="12">
      <c r="B12" s="16" t="n"/>
      <c r="C12" s="16" t="n"/>
      <c r="D12" s="16" t="n"/>
      <c r="E12" s="16" t="n"/>
      <c r="F12" s="17">
        <f>IF($B12="","",$C12&amp;", "&amp;$D12&amp;IF($E12="",""," "&amp;$E12&amp;"."))</f>
        <v/>
      </c>
      <c r="G12" s="16" t="n"/>
      <c r="H12" s="17">
        <f>IF($G12="","",IFERROR(INDEX(rngAgencyNames,MATCH($G12,rngAgencyIDs,0)),"?"))</f>
        <v/>
      </c>
      <c r="I12" s="16" t="n"/>
      <c r="J12" s="17">
        <f>IF($B12="","",ROW()-5)</f>
        <v/>
      </c>
      <c r="K12" s="18" t="n"/>
      <c r="L12" s="18" t="n"/>
      <c r="M12" s="16" t="n"/>
    </row>
    <row r="13">
      <c r="B13" s="16" t="n"/>
      <c r="C13" s="16" t="n"/>
      <c r="D13" s="16" t="n"/>
      <c r="E13" s="16" t="n"/>
      <c r="F13" s="17">
        <f>IF($B13="","",$C13&amp;", "&amp;$D13&amp;IF($E13="",""," "&amp;$E13&amp;"."))</f>
        <v/>
      </c>
      <c r="G13" s="16" t="n"/>
      <c r="H13" s="17">
        <f>IF($G13="","",IFERROR(INDEX(rngAgencyNames,MATCH($G13,rngAgencyIDs,0)),"?"))</f>
        <v/>
      </c>
      <c r="I13" s="16" t="n"/>
      <c r="J13" s="17">
        <f>IF($B13="","",ROW()-5)</f>
        <v/>
      </c>
      <c r="K13" s="18" t="n"/>
      <c r="L13" s="18" t="n"/>
      <c r="M13" s="16" t="n"/>
    </row>
    <row r="14">
      <c r="B14" s="16" t="n"/>
      <c r="C14" s="16" t="n"/>
      <c r="D14" s="16" t="n"/>
      <c r="E14" s="16" t="n"/>
      <c r="F14" s="17">
        <f>IF($B14="","",$C14&amp;", "&amp;$D14&amp;IF($E14="",""," "&amp;$E14&amp;"."))</f>
        <v/>
      </c>
      <c r="G14" s="16" t="n"/>
      <c r="H14" s="17">
        <f>IF($G14="","",IFERROR(INDEX(rngAgencyNames,MATCH($G14,rngAgencyIDs,0)),"?"))</f>
        <v/>
      </c>
      <c r="I14" s="16" t="n"/>
      <c r="J14" s="17">
        <f>IF($B14="","",ROW()-5)</f>
        <v/>
      </c>
      <c r="K14" s="18" t="n"/>
      <c r="L14" s="18" t="n"/>
      <c r="M14" s="16" t="n"/>
    </row>
    <row r="15">
      <c r="B15" s="16" t="n"/>
      <c r="C15" s="16" t="n"/>
      <c r="D15" s="16" t="n"/>
      <c r="E15" s="16" t="n"/>
      <c r="F15" s="17">
        <f>IF($B15="","",$C15&amp;", "&amp;$D15&amp;IF($E15="",""," "&amp;$E15&amp;"."))</f>
        <v/>
      </c>
      <c r="G15" s="16" t="n"/>
      <c r="H15" s="17">
        <f>IF($G15="","",IFERROR(INDEX(rngAgencyNames,MATCH($G15,rngAgencyIDs,0)),"?"))</f>
        <v/>
      </c>
      <c r="I15" s="16" t="n"/>
      <c r="J15" s="17">
        <f>IF($B15="","",ROW()-5)</f>
        <v/>
      </c>
      <c r="K15" s="18" t="n"/>
      <c r="L15" s="18" t="n"/>
      <c r="M15" s="16" t="n"/>
    </row>
    <row r="16">
      <c r="B16" s="16" t="n"/>
      <c r="C16" s="16" t="n"/>
      <c r="D16" s="16" t="n"/>
      <c r="E16" s="16" t="n"/>
      <c r="F16" s="17">
        <f>IF($B16="","",$C16&amp;", "&amp;$D16&amp;IF($E16="",""," "&amp;$E16&amp;"."))</f>
        <v/>
      </c>
      <c r="G16" s="16" t="n"/>
      <c r="H16" s="17">
        <f>IF($G16="","",IFERROR(INDEX(rngAgencyNames,MATCH($G16,rngAgencyIDs,0)),"?"))</f>
        <v/>
      </c>
      <c r="I16" s="16" t="n"/>
      <c r="J16" s="17">
        <f>IF($B16="","",ROW()-5)</f>
        <v/>
      </c>
      <c r="K16" s="18" t="n"/>
      <c r="L16" s="18" t="n"/>
      <c r="M16" s="16" t="n"/>
    </row>
    <row r="17">
      <c r="B17" s="16" t="n"/>
      <c r="C17" s="16" t="n"/>
      <c r="D17" s="16" t="n"/>
      <c r="E17" s="16" t="n"/>
      <c r="F17" s="17">
        <f>IF($B17="","",$C17&amp;", "&amp;$D17&amp;IF($E17="",""," "&amp;$E17&amp;"."))</f>
        <v/>
      </c>
      <c r="G17" s="16" t="n"/>
      <c r="H17" s="17">
        <f>IF($G17="","",IFERROR(INDEX(rngAgencyNames,MATCH($G17,rngAgencyIDs,0)),"?"))</f>
        <v/>
      </c>
      <c r="I17" s="16" t="n"/>
      <c r="J17" s="17">
        <f>IF($B17="","",ROW()-5)</f>
        <v/>
      </c>
      <c r="K17" s="18" t="n"/>
      <c r="L17" s="18" t="n"/>
      <c r="M17" s="16" t="n"/>
    </row>
    <row r="18">
      <c r="B18" s="16" t="n"/>
      <c r="C18" s="16" t="n"/>
      <c r="D18" s="16" t="n"/>
      <c r="E18" s="16" t="n"/>
      <c r="F18" s="17">
        <f>IF($B18="","",$C18&amp;", "&amp;$D18&amp;IF($E18="",""," "&amp;$E18&amp;"."))</f>
        <v/>
      </c>
      <c r="G18" s="16" t="n"/>
      <c r="H18" s="17">
        <f>IF($G18="","",IFERROR(INDEX(rngAgencyNames,MATCH($G18,rngAgencyIDs,0)),"?"))</f>
        <v/>
      </c>
      <c r="I18" s="16" t="n"/>
      <c r="J18" s="17">
        <f>IF($B18="","",ROW()-5)</f>
        <v/>
      </c>
      <c r="K18" s="18" t="n"/>
      <c r="L18" s="18" t="n"/>
      <c r="M18" s="16" t="n"/>
    </row>
    <row r="19">
      <c r="B19" s="16" t="n"/>
      <c r="C19" s="16" t="n"/>
      <c r="D19" s="16" t="n"/>
      <c r="E19" s="16" t="n"/>
      <c r="F19" s="17">
        <f>IF($B19="","",$C19&amp;", "&amp;$D19&amp;IF($E19="",""," "&amp;$E19&amp;"."))</f>
        <v/>
      </c>
      <c r="G19" s="16" t="n"/>
      <c r="H19" s="17">
        <f>IF($G19="","",IFERROR(INDEX(rngAgencyNames,MATCH($G19,rngAgencyIDs,0)),"?"))</f>
        <v/>
      </c>
      <c r="I19" s="16" t="n"/>
      <c r="J19" s="17">
        <f>IF($B19="","",ROW()-5)</f>
        <v/>
      </c>
      <c r="K19" s="18" t="n"/>
      <c r="L19" s="18" t="n"/>
      <c r="M19" s="16" t="n"/>
    </row>
    <row r="20">
      <c r="B20" s="16" t="n"/>
      <c r="C20" s="16" t="n"/>
      <c r="D20" s="16" t="n"/>
      <c r="E20" s="16" t="n"/>
      <c r="F20" s="17">
        <f>IF($B20="","",$C20&amp;", "&amp;$D20&amp;IF($E20="",""," "&amp;$E20&amp;"."))</f>
        <v/>
      </c>
      <c r="G20" s="16" t="n"/>
      <c r="H20" s="17">
        <f>IF($G20="","",IFERROR(INDEX(rngAgencyNames,MATCH($G20,rngAgencyIDs,0)),"?"))</f>
        <v/>
      </c>
      <c r="I20" s="16" t="n"/>
      <c r="J20" s="17">
        <f>IF($B20="","",ROW()-5)</f>
        <v/>
      </c>
      <c r="K20" s="18" t="n"/>
      <c r="L20" s="18" t="n"/>
      <c r="M20" s="16" t="n"/>
    </row>
    <row r="21">
      <c r="B21" s="16" t="n"/>
      <c r="C21" s="16" t="n"/>
      <c r="D21" s="16" t="n"/>
      <c r="E21" s="16" t="n"/>
      <c r="F21" s="17">
        <f>IF($B21="","",$C21&amp;", "&amp;$D21&amp;IF($E21="",""," "&amp;$E21&amp;"."))</f>
        <v/>
      </c>
      <c r="G21" s="16" t="n"/>
      <c r="H21" s="17">
        <f>IF($G21="","",IFERROR(INDEX(rngAgencyNames,MATCH($G21,rngAgencyIDs,0)),"?"))</f>
        <v/>
      </c>
      <c r="I21" s="16" t="n"/>
      <c r="J21" s="17">
        <f>IF($B21="","",ROW()-5)</f>
        <v/>
      </c>
      <c r="K21" s="18" t="n"/>
      <c r="L21" s="18" t="n"/>
      <c r="M21" s="16" t="n"/>
    </row>
    <row r="22">
      <c r="B22" s="16" t="n"/>
      <c r="C22" s="16" t="n"/>
      <c r="D22" s="16" t="n"/>
      <c r="E22" s="16" t="n"/>
      <c r="F22" s="17">
        <f>IF($B22="","",$C22&amp;", "&amp;$D22&amp;IF($E22="",""," "&amp;$E22&amp;"."))</f>
        <v/>
      </c>
      <c r="G22" s="16" t="n"/>
      <c r="H22" s="17">
        <f>IF($G22="","",IFERROR(INDEX(rngAgencyNames,MATCH($G22,rngAgencyIDs,0)),"?"))</f>
        <v/>
      </c>
      <c r="I22" s="16" t="n"/>
      <c r="J22" s="17">
        <f>IF($B22="","",ROW()-5)</f>
        <v/>
      </c>
      <c r="K22" s="18" t="n"/>
      <c r="L22" s="18" t="n"/>
      <c r="M22" s="16" t="n"/>
    </row>
    <row r="23">
      <c r="B23" s="16" t="n"/>
      <c r="C23" s="16" t="n"/>
      <c r="D23" s="16" t="n"/>
      <c r="E23" s="16" t="n"/>
      <c r="F23" s="17">
        <f>IF($B23="","",$C23&amp;", "&amp;$D23&amp;IF($E23="",""," "&amp;$E23&amp;"."))</f>
        <v/>
      </c>
      <c r="G23" s="16" t="n"/>
      <c r="H23" s="17">
        <f>IF($G23="","",IFERROR(INDEX(rngAgencyNames,MATCH($G23,rngAgencyIDs,0)),"?"))</f>
        <v/>
      </c>
      <c r="I23" s="16" t="n"/>
      <c r="J23" s="17">
        <f>IF($B23="","",ROW()-5)</f>
        <v/>
      </c>
      <c r="K23" s="18" t="n"/>
      <c r="L23" s="18" t="n"/>
      <c r="M23" s="16" t="n"/>
    </row>
    <row r="24">
      <c r="B24" s="16" t="n"/>
      <c r="C24" s="16" t="n"/>
      <c r="D24" s="16" t="n"/>
      <c r="E24" s="16" t="n"/>
      <c r="F24" s="17">
        <f>IF($B24="","",$C24&amp;", "&amp;$D24&amp;IF($E24="",""," "&amp;$E24&amp;"."))</f>
        <v/>
      </c>
      <c r="G24" s="16" t="n"/>
      <c r="H24" s="17">
        <f>IF($G24="","",IFERROR(INDEX(rngAgencyNames,MATCH($G24,rngAgencyIDs,0)),"?"))</f>
        <v/>
      </c>
      <c r="I24" s="16" t="n"/>
      <c r="J24" s="17">
        <f>IF($B24="","",ROW()-5)</f>
        <v/>
      </c>
      <c r="K24" s="18" t="n"/>
      <c r="L24" s="18" t="n"/>
      <c r="M24" s="16" t="n"/>
    </row>
    <row r="25">
      <c r="B25" s="16" t="n"/>
      <c r="C25" s="16" t="n"/>
      <c r="D25" s="16" t="n"/>
      <c r="E25" s="16" t="n"/>
      <c r="F25" s="17">
        <f>IF($B25="","",$C25&amp;", "&amp;$D25&amp;IF($E25="",""," "&amp;$E25&amp;"."))</f>
        <v/>
      </c>
      <c r="G25" s="16" t="n"/>
      <c r="H25" s="17">
        <f>IF($G25="","",IFERROR(INDEX(rngAgencyNames,MATCH($G25,rngAgencyIDs,0)),"?"))</f>
        <v/>
      </c>
      <c r="I25" s="16" t="n"/>
      <c r="J25" s="17">
        <f>IF($B25="","",ROW()-5)</f>
        <v/>
      </c>
      <c r="K25" s="18" t="n"/>
      <c r="L25" s="18" t="n"/>
      <c r="M25" s="16" t="n"/>
    </row>
    <row r="26">
      <c r="B26" s="16" t="n"/>
      <c r="C26" s="16" t="n"/>
      <c r="D26" s="16" t="n"/>
      <c r="E26" s="16" t="n"/>
      <c r="F26" s="17">
        <f>IF($B26="","",$C26&amp;", "&amp;$D26&amp;IF($E26="",""," "&amp;$E26&amp;"."))</f>
        <v/>
      </c>
      <c r="G26" s="16" t="n"/>
      <c r="H26" s="17">
        <f>IF($G26="","",IFERROR(INDEX(rngAgencyNames,MATCH($G26,rngAgencyIDs,0)),"?"))</f>
        <v/>
      </c>
      <c r="I26" s="16" t="n"/>
      <c r="J26" s="17">
        <f>IF($B26="","",ROW()-5)</f>
        <v/>
      </c>
      <c r="K26" s="18" t="n"/>
      <c r="L26" s="18" t="n"/>
      <c r="M26" s="16" t="n"/>
    </row>
    <row r="27">
      <c r="B27" s="16" t="n"/>
      <c r="C27" s="16" t="n"/>
      <c r="D27" s="16" t="n"/>
      <c r="E27" s="16" t="n"/>
      <c r="F27" s="17">
        <f>IF($B27="","",$C27&amp;", "&amp;$D27&amp;IF($E27="",""," "&amp;$E27&amp;"."))</f>
        <v/>
      </c>
      <c r="G27" s="16" t="n"/>
      <c r="H27" s="17">
        <f>IF($G27="","",IFERROR(INDEX(rngAgencyNames,MATCH($G27,rngAgencyIDs,0)),"?"))</f>
        <v/>
      </c>
      <c r="I27" s="16" t="n"/>
      <c r="J27" s="17">
        <f>IF($B27="","",ROW()-5)</f>
        <v/>
      </c>
      <c r="K27" s="18" t="n"/>
      <c r="L27" s="18" t="n"/>
      <c r="M27" s="16" t="n"/>
    </row>
    <row r="28">
      <c r="B28" s="16" t="n"/>
      <c r="C28" s="16" t="n"/>
      <c r="D28" s="16" t="n"/>
      <c r="E28" s="16" t="n"/>
      <c r="F28" s="17">
        <f>IF($B28="","",$C28&amp;", "&amp;$D28&amp;IF($E28="",""," "&amp;$E28&amp;"."))</f>
        <v/>
      </c>
      <c r="G28" s="16" t="n"/>
      <c r="H28" s="17">
        <f>IF($G28="","",IFERROR(INDEX(rngAgencyNames,MATCH($G28,rngAgencyIDs,0)),"?"))</f>
        <v/>
      </c>
      <c r="I28" s="16" t="n"/>
      <c r="J28" s="17">
        <f>IF($B28="","",ROW()-5)</f>
        <v/>
      </c>
      <c r="K28" s="18" t="n"/>
      <c r="L28" s="18" t="n"/>
      <c r="M28" s="16" t="n"/>
    </row>
    <row r="29">
      <c r="B29" s="16" t="n"/>
      <c r="C29" s="16" t="n"/>
      <c r="D29" s="16" t="n"/>
      <c r="E29" s="16" t="n"/>
      <c r="F29" s="17">
        <f>IF($B29="","",$C29&amp;", "&amp;$D29&amp;IF($E29="",""," "&amp;$E29&amp;"."))</f>
        <v/>
      </c>
      <c r="G29" s="16" t="n"/>
      <c r="H29" s="17">
        <f>IF($G29="","",IFERROR(INDEX(rngAgencyNames,MATCH($G29,rngAgencyIDs,0)),"?"))</f>
        <v/>
      </c>
      <c r="I29" s="16" t="n"/>
      <c r="J29" s="17">
        <f>IF($B29="","",ROW()-5)</f>
        <v/>
      </c>
      <c r="K29" s="18" t="n"/>
      <c r="L29" s="18" t="n"/>
      <c r="M29" s="16" t="n"/>
    </row>
    <row r="30">
      <c r="B30" s="16" t="n"/>
      <c r="C30" s="16" t="n"/>
      <c r="D30" s="16" t="n"/>
      <c r="E30" s="16" t="n"/>
      <c r="F30" s="17">
        <f>IF($B30="","",$C30&amp;", "&amp;$D30&amp;IF($E30="",""," "&amp;$E30&amp;"."))</f>
        <v/>
      </c>
      <c r="G30" s="16" t="n"/>
      <c r="H30" s="17">
        <f>IF($G30="","",IFERROR(INDEX(rngAgencyNames,MATCH($G30,rngAgencyIDs,0)),"?"))</f>
        <v/>
      </c>
      <c r="I30" s="16" t="n"/>
      <c r="J30" s="17">
        <f>IF($B30="","",ROW()-5)</f>
        <v/>
      </c>
      <c r="K30" s="18" t="n"/>
      <c r="L30" s="18" t="n"/>
      <c r="M30" s="16" t="n"/>
    </row>
    <row r="31">
      <c r="B31" s="16" t="n"/>
      <c r="C31" s="16" t="n"/>
      <c r="D31" s="16" t="n"/>
      <c r="E31" s="16" t="n"/>
      <c r="F31" s="17">
        <f>IF($B31="","",$C31&amp;", "&amp;$D31&amp;IF($E31="",""," "&amp;$E31&amp;"."))</f>
        <v/>
      </c>
      <c r="G31" s="16" t="n"/>
      <c r="H31" s="17">
        <f>IF($G31="","",IFERROR(INDEX(rngAgencyNames,MATCH($G31,rngAgencyIDs,0)),"?"))</f>
        <v/>
      </c>
      <c r="I31" s="16" t="n"/>
      <c r="J31" s="17">
        <f>IF($B31="","",ROW()-5)</f>
        <v/>
      </c>
      <c r="K31" s="18" t="n"/>
      <c r="L31" s="18" t="n"/>
      <c r="M31" s="16" t="n"/>
    </row>
    <row r="32">
      <c r="B32" s="16" t="n"/>
      <c r="C32" s="16" t="n"/>
      <c r="D32" s="16" t="n"/>
      <c r="E32" s="16" t="n"/>
      <c r="F32" s="17">
        <f>IF($B32="","",$C32&amp;", "&amp;$D32&amp;IF($E32="",""," "&amp;$E32&amp;"."))</f>
        <v/>
      </c>
      <c r="G32" s="16" t="n"/>
      <c r="H32" s="17">
        <f>IF($G32="","",IFERROR(INDEX(rngAgencyNames,MATCH($G32,rngAgencyIDs,0)),"?"))</f>
        <v/>
      </c>
      <c r="I32" s="16" t="n"/>
      <c r="J32" s="17">
        <f>IF($B32="","",ROW()-5)</f>
        <v/>
      </c>
      <c r="K32" s="18" t="n"/>
      <c r="L32" s="18" t="n"/>
      <c r="M32" s="16" t="n"/>
    </row>
    <row r="33">
      <c r="B33" s="16" t="n"/>
      <c r="C33" s="16" t="n"/>
      <c r="D33" s="16" t="n"/>
      <c r="E33" s="16" t="n"/>
      <c r="F33" s="17">
        <f>IF($B33="","",$C33&amp;", "&amp;$D33&amp;IF($E33="",""," "&amp;$E33&amp;"."))</f>
        <v/>
      </c>
      <c r="G33" s="16" t="n"/>
      <c r="H33" s="17">
        <f>IF($G33="","",IFERROR(INDEX(rngAgencyNames,MATCH($G33,rngAgencyIDs,0)),"?"))</f>
        <v/>
      </c>
      <c r="I33" s="16" t="n"/>
      <c r="J33" s="17">
        <f>IF($B33="","",ROW()-5)</f>
        <v/>
      </c>
      <c r="K33" s="18" t="n"/>
      <c r="L33" s="18" t="n"/>
      <c r="M33" s="16" t="n"/>
    </row>
    <row r="34">
      <c r="B34" s="16" t="n"/>
      <c r="C34" s="16" t="n"/>
      <c r="D34" s="16" t="n"/>
      <c r="E34" s="16" t="n"/>
      <c r="F34" s="17">
        <f>IF($B34="","",$C34&amp;", "&amp;$D34&amp;IF($E34="",""," "&amp;$E34&amp;"."))</f>
        <v/>
      </c>
      <c r="G34" s="16" t="n"/>
      <c r="H34" s="17">
        <f>IF($G34="","",IFERROR(INDEX(rngAgencyNames,MATCH($G34,rngAgencyIDs,0)),"?"))</f>
        <v/>
      </c>
      <c r="I34" s="16" t="n"/>
      <c r="J34" s="17">
        <f>IF($B34="","",ROW()-5)</f>
        <v/>
      </c>
      <c r="K34" s="18" t="n"/>
      <c r="L34" s="18" t="n"/>
      <c r="M34" s="16" t="n"/>
    </row>
    <row r="35">
      <c r="B35" s="16" t="n"/>
      <c r="C35" s="16" t="n"/>
      <c r="D35" s="16" t="n"/>
      <c r="E35" s="16" t="n"/>
      <c r="F35" s="17">
        <f>IF($B35="","",$C35&amp;", "&amp;$D35&amp;IF($E35="",""," "&amp;$E35&amp;"."))</f>
        <v/>
      </c>
      <c r="G35" s="16" t="n"/>
      <c r="H35" s="17">
        <f>IF($G35="","",IFERROR(INDEX(rngAgencyNames,MATCH($G35,rngAgencyIDs,0)),"?"))</f>
        <v/>
      </c>
      <c r="I35" s="16" t="n"/>
      <c r="J35" s="17">
        <f>IF($B35="","",ROW()-5)</f>
        <v/>
      </c>
      <c r="K35" s="18" t="n"/>
      <c r="L35" s="18" t="n"/>
      <c r="M35" s="16" t="n"/>
    </row>
    <row r="36">
      <c r="B36" s="16" t="n"/>
      <c r="C36" s="16" t="n"/>
      <c r="D36" s="16" t="n"/>
      <c r="E36" s="16" t="n"/>
      <c r="F36" s="17">
        <f>IF($B36="","",$C36&amp;", "&amp;$D36&amp;IF($E36="",""," "&amp;$E36&amp;"."))</f>
        <v/>
      </c>
      <c r="G36" s="16" t="n"/>
      <c r="H36" s="17">
        <f>IF($G36="","",IFERROR(INDEX(rngAgencyNames,MATCH($G36,rngAgencyIDs,0)),"?"))</f>
        <v/>
      </c>
      <c r="I36" s="16" t="n"/>
      <c r="J36" s="17">
        <f>IF($B36="","",ROW()-5)</f>
        <v/>
      </c>
      <c r="K36" s="18" t="n"/>
      <c r="L36" s="18" t="n"/>
      <c r="M36" s="16" t="n"/>
    </row>
    <row r="37">
      <c r="B37" s="16" t="n"/>
      <c r="C37" s="16" t="n"/>
      <c r="D37" s="16" t="n"/>
      <c r="E37" s="16" t="n"/>
      <c r="F37" s="17">
        <f>IF($B37="","",$C37&amp;", "&amp;$D37&amp;IF($E37="",""," "&amp;$E37&amp;"."))</f>
        <v/>
      </c>
      <c r="G37" s="16" t="n"/>
      <c r="H37" s="17">
        <f>IF($G37="","",IFERROR(INDEX(rngAgencyNames,MATCH($G37,rngAgencyIDs,0)),"?"))</f>
        <v/>
      </c>
      <c r="I37" s="16" t="n"/>
      <c r="J37" s="17">
        <f>IF($B37="","",ROW()-5)</f>
        <v/>
      </c>
      <c r="K37" s="18" t="n"/>
      <c r="L37" s="18" t="n"/>
      <c r="M37" s="16" t="n"/>
    </row>
    <row r="38">
      <c r="B38" s="16" t="n"/>
      <c r="C38" s="16" t="n"/>
      <c r="D38" s="16" t="n"/>
      <c r="E38" s="16" t="n"/>
      <c r="F38" s="17">
        <f>IF($B38="","",$C38&amp;", "&amp;$D38&amp;IF($E38="",""," "&amp;$E38&amp;"."))</f>
        <v/>
      </c>
      <c r="G38" s="16" t="n"/>
      <c r="H38" s="17">
        <f>IF($G38="","",IFERROR(INDEX(rngAgencyNames,MATCH($G38,rngAgencyIDs,0)),"?"))</f>
        <v/>
      </c>
      <c r="I38" s="16" t="n"/>
      <c r="J38" s="17">
        <f>IF($B38="","",ROW()-5)</f>
        <v/>
      </c>
      <c r="K38" s="18" t="n"/>
      <c r="L38" s="18" t="n"/>
      <c r="M38" s="16" t="n"/>
    </row>
    <row r="39">
      <c r="B39" s="16" t="n"/>
      <c r="C39" s="16" t="n"/>
      <c r="D39" s="16" t="n"/>
      <c r="E39" s="16" t="n"/>
      <c r="F39" s="17">
        <f>IF($B39="","",$C39&amp;", "&amp;$D39&amp;IF($E39="",""," "&amp;$E39&amp;"."))</f>
        <v/>
      </c>
      <c r="G39" s="16" t="n"/>
      <c r="H39" s="17">
        <f>IF($G39="","",IFERROR(INDEX(rngAgencyNames,MATCH($G39,rngAgencyIDs,0)),"?"))</f>
        <v/>
      </c>
      <c r="I39" s="16" t="n"/>
      <c r="J39" s="17">
        <f>IF($B39="","",ROW()-5)</f>
        <v/>
      </c>
      <c r="K39" s="18" t="n"/>
      <c r="L39" s="18" t="n"/>
      <c r="M39" s="16" t="n"/>
    </row>
    <row r="40">
      <c r="B40" s="16" t="n"/>
      <c r="C40" s="16" t="n"/>
      <c r="D40" s="16" t="n"/>
      <c r="E40" s="16" t="n"/>
      <c r="F40" s="17">
        <f>IF($B40="","",$C40&amp;", "&amp;$D40&amp;IF($E40="",""," "&amp;$E40&amp;"."))</f>
        <v/>
      </c>
      <c r="G40" s="16" t="n"/>
      <c r="H40" s="17">
        <f>IF($G40="","",IFERROR(INDEX(rngAgencyNames,MATCH($G40,rngAgencyIDs,0)),"?"))</f>
        <v/>
      </c>
      <c r="I40" s="16" t="n"/>
      <c r="J40" s="17">
        <f>IF($B40="","",ROW()-5)</f>
        <v/>
      </c>
      <c r="K40" s="18" t="n"/>
      <c r="L40" s="18" t="n"/>
      <c r="M40" s="16" t="n"/>
    </row>
    <row r="41">
      <c r="B41" s="16" t="n"/>
      <c r="C41" s="16" t="n"/>
      <c r="D41" s="16" t="n"/>
      <c r="E41" s="16" t="n"/>
      <c r="F41" s="17">
        <f>IF($B41="","",$C41&amp;", "&amp;$D41&amp;IF($E41="",""," "&amp;$E41&amp;"."))</f>
        <v/>
      </c>
      <c r="G41" s="16" t="n"/>
      <c r="H41" s="17">
        <f>IF($G41="","",IFERROR(INDEX(rngAgencyNames,MATCH($G41,rngAgencyIDs,0)),"?"))</f>
        <v/>
      </c>
      <c r="I41" s="16" t="n"/>
      <c r="J41" s="17">
        <f>IF($B41="","",ROW()-5)</f>
        <v/>
      </c>
      <c r="K41" s="18" t="n"/>
      <c r="L41" s="18" t="n"/>
      <c r="M41" s="16" t="n"/>
    </row>
    <row r="42">
      <c r="B42" s="16" t="n"/>
      <c r="C42" s="16" t="n"/>
      <c r="D42" s="16" t="n"/>
      <c r="E42" s="16" t="n"/>
      <c r="F42" s="17">
        <f>IF($B42="","",$C42&amp;", "&amp;$D42&amp;IF($E42="",""," "&amp;$E42&amp;"."))</f>
        <v/>
      </c>
      <c r="G42" s="16" t="n"/>
      <c r="H42" s="17">
        <f>IF($G42="","",IFERROR(INDEX(rngAgencyNames,MATCH($G42,rngAgencyIDs,0)),"?"))</f>
        <v/>
      </c>
      <c r="I42" s="16" t="n"/>
      <c r="J42" s="17">
        <f>IF($B42="","",ROW()-5)</f>
        <v/>
      </c>
      <c r="K42" s="18" t="n"/>
      <c r="L42" s="18" t="n"/>
      <c r="M42" s="16" t="n"/>
    </row>
    <row r="43">
      <c r="B43" s="16" t="n"/>
      <c r="C43" s="16" t="n"/>
      <c r="D43" s="16" t="n"/>
      <c r="E43" s="16" t="n"/>
      <c r="F43" s="17">
        <f>IF($B43="","",$C43&amp;", "&amp;$D43&amp;IF($E43="",""," "&amp;$E43&amp;"."))</f>
        <v/>
      </c>
      <c r="G43" s="16" t="n"/>
      <c r="H43" s="17">
        <f>IF($G43="","",IFERROR(INDEX(rngAgencyNames,MATCH($G43,rngAgencyIDs,0)),"?"))</f>
        <v/>
      </c>
      <c r="I43" s="16" t="n"/>
      <c r="J43" s="17">
        <f>IF($B43="","",ROW()-5)</f>
        <v/>
      </c>
      <c r="K43" s="18" t="n"/>
      <c r="L43" s="18" t="n"/>
      <c r="M43" s="16" t="n"/>
    </row>
    <row r="44">
      <c r="B44" s="16" t="n"/>
      <c r="C44" s="16" t="n"/>
      <c r="D44" s="16" t="n"/>
      <c r="E44" s="16" t="n"/>
      <c r="F44" s="17">
        <f>IF($B44="","",$C44&amp;", "&amp;$D44&amp;IF($E44="",""," "&amp;$E44&amp;"."))</f>
        <v/>
      </c>
      <c r="G44" s="16" t="n"/>
      <c r="H44" s="17">
        <f>IF($G44="","",IFERROR(INDEX(rngAgencyNames,MATCH($G44,rngAgencyIDs,0)),"?"))</f>
        <v/>
      </c>
      <c r="I44" s="16" t="n"/>
      <c r="J44" s="17">
        <f>IF($B44="","",ROW()-5)</f>
        <v/>
      </c>
      <c r="K44" s="18" t="n"/>
      <c r="L44" s="18" t="n"/>
      <c r="M44" s="16" t="n"/>
    </row>
    <row r="45">
      <c r="B45" s="16" t="n"/>
      <c r="C45" s="16" t="n"/>
      <c r="D45" s="16" t="n"/>
      <c r="E45" s="16" t="n"/>
      <c r="F45" s="17">
        <f>IF($B45="","",$C45&amp;", "&amp;$D45&amp;IF($E45="",""," "&amp;$E45&amp;"."))</f>
        <v/>
      </c>
      <c r="G45" s="16" t="n"/>
      <c r="H45" s="17">
        <f>IF($G45="","",IFERROR(INDEX(rngAgencyNames,MATCH($G45,rngAgencyIDs,0)),"?"))</f>
        <v/>
      </c>
      <c r="I45" s="16" t="n"/>
      <c r="J45" s="17">
        <f>IF($B45="","",ROW()-5)</f>
        <v/>
      </c>
      <c r="K45" s="18" t="n"/>
      <c r="L45" s="18" t="n"/>
      <c r="M45" s="16" t="n"/>
    </row>
    <row r="46">
      <c r="B46" s="16" t="n"/>
      <c r="C46" s="16" t="n"/>
      <c r="D46" s="16" t="n"/>
      <c r="E46" s="16" t="n"/>
      <c r="F46" s="17">
        <f>IF($B46="","",$C46&amp;", "&amp;$D46&amp;IF($E46="",""," "&amp;$E46&amp;"."))</f>
        <v/>
      </c>
      <c r="G46" s="16" t="n"/>
      <c r="H46" s="17">
        <f>IF($G46="","",IFERROR(INDEX(rngAgencyNames,MATCH($G46,rngAgencyIDs,0)),"?"))</f>
        <v/>
      </c>
      <c r="I46" s="16" t="n"/>
      <c r="J46" s="17">
        <f>IF($B46="","",ROW()-5)</f>
        <v/>
      </c>
      <c r="K46" s="18" t="n"/>
      <c r="L46" s="18" t="n"/>
      <c r="M46" s="16" t="n"/>
    </row>
    <row r="47">
      <c r="B47" s="16" t="n"/>
      <c r="C47" s="16" t="n"/>
      <c r="D47" s="16" t="n"/>
      <c r="E47" s="16" t="n"/>
      <c r="F47" s="17">
        <f>IF($B47="","",$C47&amp;", "&amp;$D47&amp;IF($E47="",""," "&amp;$E47&amp;"."))</f>
        <v/>
      </c>
      <c r="G47" s="16" t="n"/>
      <c r="H47" s="17">
        <f>IF($G47="","",IFERROR(INDEX(rngAgencyNames,MATCH($G47,rngAgencyIDs,0)),"?"))</f>
        <v/>
      </c>
      <c r="I47" s="16" t="n"/>
      <c r="J47" s="17">
        <f>IF($B47="","",ROW()-5)</f>
        <v/>
      </c>
      <c r="K47" s="18" t="n"/>
      <c r="L47" s="18" t="n"/>
      <c r="M47" s="16" t="n"/>
    </row>
    <row r="48">
      <c r="B48" s="16" t="n"/>
      <c r="C48" s="16" t="n"/>
      <c r="D48" s="16" t="n"/>
      <c r="E48" s="16" t="n"/>
      <c r="F48" s="17">
        <f>IF($B48="","",$C48&amp;", "&amp;$D48&amp;IF($E48="",""," "&amp;$E48&amp;"."))</f>
        <v/>
      </c>
      <c r="G48" s="16" t="n"/>
      <c r="H48" s="17">
        <f>IF($G48="","",IFERROR(INDEX(rngAgencyNames,MATCH($G48,rngAgencyIDs,0)),"?"))</f>
        <v/>
      </c>
      <c r="I48" s="16" t="n"/>
      <c r="J48" s="17">
        <f>IF($B48="","",ROW()-5)</f>
        <v/>
      </c>
      <c r="K48" s="18" t="n"/>
      <c r="L48" s="18" t="n"/>
      <c r="M48" s="16" t="n"/>
    </row>
    <row r="49">
      <c r="B49" s="16" t="n"/>
      <c r="C49" s="16" t="n"/>
      <c r="D49" s="16" t="n"/>
      <c r="E49" s="16" t="n"/>
      <c r="F49" s="17">
        <f>IF($B49="","",$C49&amp;", "&amp;$D49&amp;IF($E49="",""," "&amp;$E49&amp;"."))</f>
        <v/>
      </c>
      <c r="G49" s="16" t="n"/>
      <c r="H49" s="17">
        <f>IF($G49="","",IFERROR(INDEX(rngAgencyNames,MATCH($G49,rngAgencyIDs,0)),"?"))</f>
        <v/>
      </c>
      <c r="I49" s="16" t="n"/>
      <c r="J49" s="17">
        <f>IF($B49="","",ROW()-5)</f>
        <v/>
      </c>
      <c r="K49" s="18" t="n"/>
      <c r="L49" s="18" t="n"/>
      <c r="M49" s="16" t="n"/>
    </row>
    <row r="50">
      <c r="B50" s="16" t="n"/>
      <c r="C50" s="16" t="n"/>
      <c r="D50" s="16" t="n"/>
      <c r="E50" s="16" t="n"/>
      <c r="F50" s="17">
        <f>IF($B50="","",$C50&amp;", "&amp;$D50&amp;IF($E50="",""," "&amp;$E50&amp;"."))</f>
        <v/>
      </c>
      <c r="G50" s="16" t="n"/>
      <c r="H50" s="17">
        <f>IF($G50="","",IFERROR(INDEX(rngAgencyNames,MATCH($G50,rngAgencyIDs,0)),"?"))</f>
        <v/>
      </c>
      <c r="I50" s="16" t="n"/>
      <c r="J50" s="17">
        <f>IF($B50="","",ROW()-5)</f>
        <v/>
      </c>
      <c r="K50" s="18" t="n"/>
      <c r="L50" s="18" t="n"/>
      <c r="M50" s="16" t="n"/>
    </row>
    <row r="51">
      <c r="B51" s="16" t="n"/>
      <c r="C51" s="16" t="n"/>
      <c r="D51" s="16" t="n"/>
      <c r="E51" s="16" t="n"/>
      <c r="F51" s="17">
        <f>IF($B51="","",$C51&amp;", "&amp;$D51&amp;IF($E51="",""," "&amp;$E51&amp;"."))</f>
        <v/>
      </c>
      <c r="G51" s="16" t="n"/>
      <c r="H51" s="17">
        <f>IF($G51="","",IFERROR(INDEX(rngAgencyNames,MATCH($G51,rngAgencyIDs,0)),"?"))</f>
        <v/>
      </c>
      <c r="I51" s="16" t="n"/>
      <c r="J51" s="17">
        <f>IF($B51="","",ROW()-5)</f>
        <v/>
      </c>
      <c r="K51" s="18" t="n"/>
      <c r="L51" s="18" t="n"/>
      <c r="M51" s="16" t="n"/>
    </row>
    <row r="52">
      <c r="B52" s="16" t="n"/>
      <c r="C52" s="16" t="n"/>
      <c r="D52" s="16" t="n"/>
      <c r="E52" s="16" t="n"/>
      <c r="F52" s="17">
        <f>IF($B52="","",$C52&amp;", "&amp;$D52&amp;IF($E52="",""," "&amp;$E52&amp;"."))</f>
        <v/>
      </c>
      <c r="G52" s="16" t="n"/>
      <c r="H52" s="17">
        <f>IF($G52="","",IFERROR(INDEX(rngAgencyNames,MATCH($G52,rngAgencyIDs,0)),"?"))</f>
        <v/>
      </c>
      <c r="I52" s="16" t="n"/>
      <c r="J52" s="17">
        <f>IF($B52="","",ROW()-5)</f>
        <v/>
      </c>
      <c r="K52" s="18" t="n"/>
      <c r="L52" s="18" t="n"/>
      <c r="M52" s="16" t="n"/>
    </row>
    <row r="53">
      <c r="B53" s="16" t="n"/>
      <c r="C53" s="16" t="n"/>
      <c r="D53" s="16" t="n"/>
      <c r="E53" s="16" t="n"/>
      <c r="F53" s="17">
        <f>IF($B53="","",$C53&amp;", "&amp;$D53&amp;IF($E53="",""," "&amp;$E53&amp;"."))</f>
        <v/>
      </c>
      <c r="G53" s="16" t="n"/>
      <c r="H53" s="17">
        <f>IF($G53="","",IFERROR(INDEX(rngAgencyNames,MATCH($G53,rngAgencyIDs,0)),"?"))</f>
        <v/>
      </c>
      <c r="I53" s="16" t="n"/>
      <c r="J53" s="17">
        <f>IF($B53="","",ROW()-5)</f>
        <v/>
      </c>
      <c r="K53" s="18" t="n"/>
      <c r="L53" s="18" t="n"/>
      <c r="M53" s="16" t="n"/>
    </row>
    <row r="54">
      <c r="B54" s="16" t="n"/>
      <c r="C54" s="16" t="n"/>
      <c r="D54" s="16" t="n"/>
      <c r="E54" s="16" t="n"/>
      <c r="F54" s="17">
        <f>IF($B54="","",$C54&amp;", "&amp;$D54&amp;IF($E54="",""," "&amp;$E54&amp;"."))</f>
        <v/>
      </c>
      <c r="G54" s="16" t="n"/>
      <c r="H54" s="17">
        <f>IF($G54="","",IFERROR(INDEX(rngAgencyNames,MATCH($G54,rngAgencyIDs,0)),"?"))</f>
        <v/>
      </c>
      <c r="I54" s="16" t="n"/>
      <c r="J54" s="17">
        <f>IF($B54="","",ROW()-5)</f>
        <v/>
      </c>
      <c r="K54" s="18" t="n"/>
      <c r="L54" s="18" t="n"/>
      <c r="M54" s="16" t="n"/>
    </row>
    <row r="55">
      <c r="B55" s="16" t="n"/>
      <c r="C55" s="16" t="n"/>
      <c r="D55" s="16" t="n"/>
      <c r="E55" s="16" t="n"/>
      <c r="F55" s="17">
        <f>IF($B55="","",$C55&amp;", "&amp;$D55&amp;IF($E55="",""," "&amp;$E55&amp;"."))</f>
        <v/>
      </c>
      <c r="G55" s="16" t="n"/>
      <c r="H55" s="17">
        <f>IF($G55="","",IFERROR(INDEX(rngAgencyNames,MATCH($G55,rngAgencyIDs,0)),"?"))</f>
        <v/>
      </c>
      <c r="I55" s="16" t="n"/>
      <c r="J55" s="17">
        <f>IF($B55="","",ROW()-5)</f>
        <v/>
      </c>
      <c r="K55" s="18" t="n"/>
      <c r="L55" s="18" t="n"/>
      <c r="M55" s="16" t="n"/>
    </row>
  </sheetData>
  <sheetProtection selectLockedCells="0" selectUnlockedCells="0" sheet="1" objects="0" insertRows="1" insertHyperlinks="1" autoFilter="0" scenarios="0" formatColumns="1" deleteColumns="1" insertColumns="1" pivotTables="1" deleteRows="1" formatCells="1" formatRows="1" sort="1" password="B4BB"/>
  <autoFilter ref="B5:M5"/>
  <conditionalFormatting sqref="B6:B55">
    <cfRule type="expression" priority="1" dxfId="0">
      <formula>AND($B6&lt;&gt;"",COUNTIF(rngCadetPIDs,$B6)&gt;1)</formula>
    </cfRule>
  </conditionalFormatting>
  <conditionalFormatting sqref="F6:F55">
    <cfRule type="expression" priority="2" dxfId="0">
      <formula>AND($F6&lt;&gt;"",COUNTIF(rngCadetNames,$F6)&gt;1)</formula>
    </cfRule>
  </conditionalFormatting>
  <conditionalFormatting sqref="B6:M55">
    <cfRule type="expression" priority="3" dxfId="1">
      <formula>AND(Cadets!$B6&lt;&gt;"",Cadets!$I6&lt;&gt;"Active")</formula>
    </cfRule>
  </conditionalFormatting>
  <dataValidations count="2">
    <dataValidation sqref="G6:G55" showDropDown="0" showInputMessage="0" showErrorMessage="1" allowBlank="1" type="list">
      <formula1>=rngAgencyIDs</formula1>
    </dataValidation>
    <dataValidation sqref="I6:I55" showDropDown="0" showInputMessage="0" showErrorMessage="1" allowBlank="1" type="list">
      <formula1>=lstCadetStatus</formula1>
    </dataValidation>
  </dataValidations>
  <pageMargins left="0.75" right="0.75" top="1" bottom="1" header="0.5" footer="0.5"/>
</worksheet>
</file>

<file path=xl/worksheets/sheet6.xml><?xml version="1.0" encoding="utf-8"?>
<worksheet xmlns="http://schemas.openxmlformats.org/spreadsheetml/2006/main">
  <sheetPr>
    <tabColor rgb="002E75B6"/>
    <outlinePr summaryBelow="1" summaryRight="1"/>
    <pageSetUpPr/>
  </sheetPr>
  <dimension ref="B1:Y1505"/>
  <sheetViews>
    <sheetView showGridLines="0" workbookViewId="0">
      <pane xSplit="3" ySplit="5" topLeftCell="D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6" customWidth="1" min="2" max="2"/>
    <col width="22" customWidth="1" min="3" max="3"/>
    <col width="9" customWidth="1" min="4" max="4"/>
    <col width="18" customWidth="1" min="5" max="5"/>
    <col width="10" customWidth="1" min="6" max="6"/>
    <col hidden="1" outlineLevel="1" width="34" customWidth="1" min="7" max="10"/>
    <col width="9" customWidth="1" min="11" max="11"/>
    <col width="9" customWidth="1" min="12" max="12"/>
    <col width="10" customWidth="1" min="13" max="13"/>
    <col width="11" customWidth="1" min="14" max="14"/>
    <col width="8" customWidth="1" min="15" max="15"/>
    <col width="12" customWidth="1" min="16" max="16"/>
    <col width="11" customWidth="1" min="17" max="17"/>
    <col width="13" customWidth="1" min="18" max="18"/>
    <col width="11" customWidth="1" min="19" max="19"/>
    <col width="12" customWidth="1" min="20" max="20"/>
    <col width="12" customWidth="1" min="21" max="21"/>
    <col width="14" customWidth="1" min="22" max="22"/>
    <col width="26" customWidth="1" min="23" max="23"/>
    <col width="26" customWidth="1" min="24" max="24"/>
    <col width="12" customWidth="1" min="25" max="25"/>
  </cols>
  <sheetData>
    <row r="1">
      <c r="B1" s="10">
        <f>HYPERLINK("#Dashboard!B5","◄ Dashboard")</f>
        <v/>
      </c>
    </row>
    <row r="4">
      <c r="B4" s="11" t="inlineStr">
        <is>
          <t>One row per attempt. Attempt 2 of a failed exam records at the 70 cap when passed (policy 300.5). Retest Due By = 5 class days after the failed attempt's date (a date that is not a class day rolls to the next one). Watch Row Check: a score that is not a number, a duplicate RecordID, an attempt 2 with no attempt 1 on file, or an attempt 2 logged against a first attempt that already PASSED each distort the category average. ABSENCE (last column): Unexcused = key Raw Score 0 as well - the zero is the record and it starts the retest clock; Excused = leave Raw Score blank, the first attempt is simply taken later and Retest Status reads EXCUSED - 1st attempt pending until the score is keyed on this same row.</t>
        </is>
      </c>
    </row>
    <row r="5" ht="26" customHeight="1">
      <c r="B5" s="12" t="inlineStr">
        <is>
          <t>RecordID</t>
        </is>
      </c>
      <c r="C5" s="12" t="inlineStr">
        <is>
          <t>Cadet Name</t>
        </is>
      </c>
      <c r="D5" s="12" t="inlineStr">
        <is>
          <t>PID</t>
        </is>
      </c>
      <c r="E5" s="12" t="inlineStr">
        <is>
          <t>Agency</t>
        </is>
      </c>
      <c r="F5" s="12" t="inlineStr">
        <is>
          <t>ExamCode</t>
        </is>
      </c>
      <c r="G5" s="12" t="inlineStr">
        <is>
          <t>Exam Name</t>
        </is>
      </c>
      <c r="H5" s="12" t="inlineStr">
        <is>
          <t>Type</t>
        </is>
      </c>
      <c r="I5" s="12" t="inlineStr">
        <is>
          <t>Seq</t>
        </is>
      </c>
      <c r="J5" s="12" t="inlineStr">
        <is>
          <t>Passing</t>
        </is>
      </c>
      <c r="K5" s="12" t="inlineStr">
        <is>
          <t>Attempt #</t>
        </is>
      </c>
      <c r="L5" s="12" t="inlineStr">
        <is>
          <t>Raw Score</t>
        </is>
      </c>
      <c r="M5" s="12" t="inlineStr">
        <is>
          <t>Recorded</t>
        </is>
      </c>
      <c r="N5" s="12" t="inlineStr">
        <is>
          <t>AttemptPass</t>
        </is>
      </c>
      <c r="O5" s="12" t="inlineStr">
        <is>
          <t>Pass?</t>
        </is>
      </c>
      <c r="P5" s="12" t="inlineStr">
        <is>
          <t>FinalAttempt?</t>
        </is>
      </c>
      <c r="Q5" s="12" t="inlineStr">
        <is>
          <t>RetakeReq?</t>
        </is>
      </c>
      <c r="R5" s="12" t="inlineStr">
        <is>
          <t>DismissReview?</t>
        </is>
      </c>
      <c r="S5" s="12" t="inlineStr">
        <is>
          <t>Date</t>
        </is>
      </c>
      <c r="T5" s="12" t="inlineStr">
        <is>
          <t>Retest Due By</t>
        </is>
      </c>
      <c r="U5" s="12" t="inlineStr">
        <is>
          <t>Retest Status</t>
        </is>
      </c>
      <c r="V5" s="12" t="inlineStr">
        <is>
          <t>Entered By</t>
        </is>
      </c>
      <c r="W5" s="12" t="inlineStr">
        <is>
          <t>Notes</t>
        </is>
      </c>
      <c r="X5" s="12" t="inlineStr">
        <is>
          <t>Row Check</t>
        </is>
      </c>
      <c r="Y5" s="12" t="inlineStr">
        <is>
          <t>Absence</t>
        </is>
      </c>
    </row>
    <row r="6">
      <c r="B6" s="17">
        <f>IF($C6="","",$D6&amp;"-"&amp;$F6&amp;"-"&amp;$K6)</f>
        <v/>
      </c>
      <c r="C6" s="16" t="n"/>
      <c r="D6" s="17">
        <f>IF($C6="","",IFERROR(INDEX(rngCadetPIDs,MATCH($C6,rngCadetNames,0)),"?"))</f>
        <v/>
      </c>
      <c r="E6" s="17">
        <f>IF($D6="","",IFERROR(INDEX(nrCadetAgency,MATCH($D6,rngCadetPIDs,0)),""))</f>
        <v/>
      </c>
      <c r="F6" s="16" t="n"/>
      <c r="G6" s="17">
        <f>IF($F6="","",IFERROR(INDEX(rngEPname,MATCH($F6,rngEPcode,0)),"?"))</f>
        <v/>
      </c>
      <c r="H6" s="17">
        <f>IF($F6="","",IFERROR(INDEX(rngEPtype,MATCH($F6,rngEPcode,0)),"?"))</f>
        <v/>
      </c>
      <c r="I6" s="17">
        <f>IF($F6="","",IFERROR(INDEX(rngEPseq,MATCH($F6,rngEPcode,0)),""))</f>
        <v/>
      </c>
      <c r="J6" s="17">
        <f>IF($F6="","",IFERROR(INDEX(rngEPpass,MATCH($F6,rngEPcode,0)),cfgPassingScore))</f>
        <v/>
      </c>
      <c r="K6" s="16" t="n"/>
      <c r="L6" s="16" t="n"/>
      <c r="M6" s="17">
        <f>IF($C6="","",IF($L6="","",IF(NOT(ISNUMBER($L6)),$L6,IF(N($K6)&gt;2,"",IF($K6=1,IF(COUNTIFS(nrES_PID,$D6,nrES_Code,$F6,nrES_Att,2,nrES_Raw,"&gt;=0")&gt;0,"",$L6),IF($L6&gt;=$J6,MAX($J6,cfgRetakeRecordedCap),IF(COUNTIFS(nrES_PID,$D6,nrES_Code,$F6,nrES_Att,1)=0,$L6,SUMIFS(nrES_Raw,nrES_PID,$D6,nrES_Code,$F6,nrES_Att,1))))))))</f>
        <v/>
      </c>
      <c r="N6" s="17">
        <f>IF($C6="","",IF($L6="","",IF(NOT(ISNUMBER($L6)),"(not a score)",IF($L6&gt;=$J6,"Yes","No"))))</f>
        <v/>
      </c>
      <c r="O6" s="17">
        <f>IF($C6="","",IF($M6="","",IF(NOT(ISNUMBER($M6)),"(not a score)",IF($M6&gt;=$J6,"Yes","No"))))</f>
        <v/>
      </c>
      <c r="P6" s="17">
        <f>IF($C6="","",IF($K6="","",IF(N($K6)&gt;2,"No",IF(COUNTIFS(nrES_PID,$D6,nrES_Code,$F6,nrES_Att,"&gt;"&amp;$K6,nrES_Att,"&lt;=2",nrES_Raw,"&gt;=0")=0,"Yes","No"))))</f>
        <v/>
      </c>
      <c r="Q6" s="17">
        <f>IF($C6="","",IF($L6="","",IF(AND($K6=1,ISNUMBER($L6),$L6&lt;$J6,COUNTIFS(nrES_PID,$D6,nrES_Code,$F6,nrES_Att,2,nrES_Raw,"&gt;=0")=0),"Yes","No")))</f>
        <v/>
      </c>
      <c r="R6" s="17">
        <f>IF($C6="","",IF($L6="","",IF(AND(N($K6)&gt;=2,ISNUMBER($L6),$L6&lt;$J6),"Yes","No")))</f>
        <v/>
      </c>
      <c r="S6" s="18" t="n"/>
      <c r="T6" s="19">
        <f>IF(OR($C6="",$L6="",$K6&lt;&gt;1,NOT(ISNUMBER($L6)),$L6&gt;=$J6),"",IF($S6="","(enter date)",_xlfn.LET(_xlpm.dn,_xlfn.XLOOKUP($S6,nrCDdate,nrCDnum,"",1),IF(_xlpm.dn="","(after last class day)",_xlfn.LET(_xlpm.dd,_xlfn.XLOOKUP(_xlpm.dn+cfgRetestClassDays,nrCDnum,nrCDdate,""),_xlpm.ok,_xlfn.XLOOKUP(_xlpm.dn+cfgRetestClassDays,nrCDnum,nrCDinsession,"No"),IF(OR(_xlpm.dd="",_xlpm.ok&lt;&gt;"Yes"),"(after last class day)",_xlpm.dd))))))</f>
        <v/>
      </c>
      <c r="U6" s="17">
        <f>IF($C6="","",IF(AND($Y6="Excused",$L6="",N($K6)&lt;=1),"EXCUSED - 1st attempt pending",IF(OR($L6="",$K6&lt;&gt;1,NOT(ISNUMBER($L6)),$L6&gt;=$J6),"",IF(COUNTIFS(nrES_PID,$D6,nrES_Code,$F6,nrES_Att,2,nrES_Raw,"&gt;=0")&gt;0,IF(IFERROR(_xlfn.MINIFS(nrES_Date,nrES_PID,$D6,nrES_Code,$F6,nrES_Att,2,nrES_Raw,"&gt;=0",nrES_Date,"&gt;0"),0)=0,"RETEST UNDATED",IF(NOT(ISNUMBER($T6)),"RETEST DATE UNCHECKED",IF(_xlfn.MINIFS(nrES_Date,nrES_PID,$D6,nrES_Code,$F6,nrES_Att,2,nrES_Raw,"&gt;=0",nrES_Date,"&gt;0")&gt;$T6,"LATE RETEST "&amp;TEXT(_xlfn.MINIFS(nrES_Date,nrES_PID,$D6,nrES_Code,$F6,nrES_Att,2,nrES_Raw,"&gt;=0",nrES_Date,"&gt;0"),"mm/dd")&amp;" (due "&amp;TEXT($T6,"mm/dd")&amp;")","Retested"))),IF(NOT(ISNUMBER($T6)),"CHECK DATE",IF(TODAY()&gt;$T6,"OVERDUE","Due "&amp;TEXT($T6,"mm/dd")))))))</f>
        <v/>
      </c>
      <c r="V6" s="16" t="n"/>
      <c r="W6" s="16" t="n"/>
      <c r="X6" s="17">
        <f>IF($C6="","",IF(AND($L6&lt;&gt;"",NOT(ISNUMBER($L6))),"RAW SCORE NOT A NUMBER",IF(AND(ISNUMBER($L6),OR($L6&lt;0,$L6&gt;100)),"RAW SCORE OUT OF RANGE",IF(AND($Y6="Unexcused",OR($L6="",NOT(ISNUMBER($L6)),$L6&lt;&gt;0)),"UNEXCUSED ABSENCE MUST RECORD 0",IF(COUNTIF(nrES_RecID,$B6)&gt;1,"DUPLICATE RECORD",IF(N($K6)&gt;2,"ATTEMPT 3+ NOT ALLOWED - policy 300.5 permits one retest per exam; this row records nothing",IF(AND($K6=2,COUNTIFS(nrES_PID,$D6,nrES_Code,$F6,nrES_Att,1)=0),"ATTEMPT 2 WITHOUT ATTEMPT 1",IF(AND($K6=2,$L6=""),"RETEST ROW HAS NO SCORE",IF(AND($H6="Final",$L6&lt;&gt;"",IFERROR(INDEX(nrCKfinalExamElig,MATCH($D6,rngCadetPIDs,0)),"")="No"),"FINAL EXAM AFTER FAILED FINAL PT (500.1.H)",IF(AND($K6=2,ISNUMBER($L6),COUNTIFS(nrES_PID,$D6,nrES_Code,$F6,nrES_Att,1)&gt;0,SUMIFS(nrES_Raw,nrES_PID,$D6,nrES_Code,$F6,nrES_Att,1)&gt;=$J6),"RETEST AFTER A PASSING FIRST ATTEMPT","OK"))))))))))</f>
        <v/>
      </c>
      <c r="Y6" s="16" t="n"/>
    </row>
    <row r="7">
      <c r="B7" s="17">
        <f>IF($C7="","",$D7&amp;"-"&amp;$F7&amp;"-"&amp;$K7)</f>
        <v/>
      </c>
      <c r="C7" s="16" t="n"/>
      <c r="D7" s="17">
        <f>IF($C7="","",IFERROR(INDEX(rngCadetPIDs,MATCH($C7,rngCadetNames,0)),"?"))</f>
        <v/>
      </c>
      <c r="E7" s="17">
        <f>IF($D7="","",IFERROR(INDEX(nrCadetAgency,MATCH($D7,rngCadetPIDs,0)),""))</f>
        <v/>
      </c>
      <c r="F7" s="16" t="n"/>
      <c r="G7" s="17">
        <f>IF($F7="","",IFERROR(INDEX(rngEPname,MATCH($F7,rngEPcode,0)),"?"))</f>
        <v/>
      </c>
      <c r="H7" s="17">
        <f>IF($F7="","",IFERROR(INDEX(rngEPtype,MATCH($F7,rngEPcode,0)),"?"))</f>
        <v/>
      </c>
      <c r="I7" s="17">
        <f>IF($F7="","",IFERROR(INDEX(rngEPseq,MATCH($F7,rngEPcode,0)),""))</f>
        <v/>
      </c>
      <c r="J7" s="17">
        <f>IF($F7="","",IFERROR(INDEX(rngEPpass,MATCH($F7,rngEPcode,0)),cfgPassingScore))</f>
        <v/>
      </c>
      <c r="K7" s="16" t="n"/>
      <c r="L7" s="16" t="n"/>
      <c r="M7" s="17">
        <f>IF($C7="","",IF($L7="","",IF(NOT(ISNUMBER($L7)),$L7,IF(N($K7)&gt;2,"",IF($K7=1,IF(COUNTIFS(nrES_PID,$D7,nrES_Code,$F7,nrES_Att,2,nrES_Raw,"&gt;=0")&gt;0,"",$L7),IF($L7&gt;=$J7,MAX($J7,cfgRetakeRecordedCap),IF(COUNTIFS(nrES_PID,$D7,nrES_Code,$F7,nrES_Att,1)=0,$L7,SUMIFS(nrES_Raw,nrES_PID,$D7,nrES_Code,$F7,nrES_Att,1))))))))</f>
        <v/>
      </c>
      <c r="N7" s="17">
        <f>IF($C7="","",IF($L7="","",IF(NOT(ISNUMBER($L7)),"(not a score)",IF($L7&gt;=$J7,"Yes","No"))))</f>
        <v/>
      </c>
      <c r="O7" s="17">
        <f>IF($C7="","",IF($M7="","",IF(NOT(ISNUMBER($M7)),"(not a score)",IF($M7&gt;=$J7,"Yes","No"))))</f>
        <v/>
      </c>
      <c r="P7" s="17">
        <f>IF($C7="","",IF($K7="","",IF(N($K7)&gt;2,"No",IF(COUNTIFS(nrES_PID,$D7,nrES_Code,$F7,nrES_Att,"&gt;"&amp;$K7,nrES_Att,"&lt;=2",nrES_Raw,"&gt;=0")=0,"Yes","No"))))</f>
        <v/>
      </c>
      <c r="Q7" s="17">
        <f>IF($C7="","",IF($L7="","",IF(AND($K7=1,ISNUMBER($L7),$L7&lt;$J7,COUNTIFS(nrES_PID,$D7,nrES_Code,$F7,nrES_Att,2,nrES_Raw,"&gt;=0")=0),"Yes","No")))</f>
        <v/>
      </c>
      <c r="R7" s="17">
        <f>IF($C7="","",IF($L7="","",IF(AND(N($K7)&gt;=2,ISNUMBER($L7),$L7&lt;$J7),"Yes","No")))</f>
        <v/>
      </c>
      <c r="S7" s="18" t="n"/>
      <c r="T7" s="19">
        <f>IF(OR($C7="",$L7="",$K7&lt;&gt;1,NOT(ISNUMBER($L7)),$L7&gt;=$J7),"",IF($S7="","(enter date)",_xlfn.LET(_xlpm.dn,_xlfn.XLOOKUP($S7,nrCDdate,nrCDnum,"",1),IF(_xlpm.dn="","(after last class day)",_xlfn.LET(_xlpm.dd,_xlfn.XLOOKUP(_xlpm.dn+cfgRetestClassDays,nrCDnum,nrCDdate,""),_xlpm.ok,_xlfn.XLOOKUP(_xlpm.dn+cfgRetestClassDays,nrCDnum,nrCDinsession,"No"),IF(OR(_xlpm.dd="",_xlpm.ok&lt;&gt;"Yes"),"(after last class day)",_xlpm.dd))))))</f>
        <v/>
      </c>
      <c r="U7" s="17">
        <f>IF($C7="","",IF(AND($Y7="Excused",$L7="",N($K7)&lt;=1),"EXCUSED - 1st attempt pending",IF(OR($L7="",$K7&lt;&gt;1,NOT(ISNUMBER($L7)),$L7&gt;=$J7),"",IF(COUNTIFS(nrES_PID,$D7,nrES_Code,$F7,nrES_Att,2,nrES_Raw,"&gt;=0")&gt;0,IF(IFERROR(_xlfn.MINIFS(nrES_Date,nrES_PID,$D7,nrES_Code,$F7,nrES_Att,2,nrES_Raw,"&gt;=0",nrES_Date,"&gt;0"),0)=0,"RETEST UNDATED",IF(NOT(ISNUMBER($T7)),"RETEST DATE UNCHECKED",IF(_xlfn.MINIFS(nrES_Date,nrES_PID,$D7,nrES_Code,$F7,nrES_Att,2,nrES_Raw,"&gt;=0",nrES_Date,"&gt;0")&gt;$T7,"LATE RETEST "&amp;TEXT(_xlfn.MINIFS(nrES_Date,nrES_PID,$D7,nrES_Code,$F7,nrES_Att,2,nrES_Raw,"&gt;=0",nrES_Date,"&gt;0"),"mm/dd")&amp;" (due "&amp;TEXT($T7,"mm/dd")&amp;")","Retested"))),IF(NOT(ISNUMBER($T7)),"CHECK DATE",IF(TODAY()&gt;$T7,"OVERDUE","Due "&amp;TEXT($T7,"mm/dd")))))))</f>
        <v/>
      </c>
      <c r="V7" s="16" t="n"/>
      <c r="W7" s="16" t="n"/>
      <c r="X7" s="17">
        <f>IF($C7="","",IF(AND($L7&lt;&gt;"",NOT(ISNUMBER($L7))),"RAW SCORE NOT A NUMBER",IF(AND(ISNUMBER($L7),OR($L7&lt;0,$L7&gt;100)),"RAW SCORE OUT OF RANGE",IF(AND($Y7="Unexcused",OR($L7="",NOT(ISNUMBER($L7)),$L7&lt;&gt;0)),"UNEXCUSED ABSENCE MUST RECORD 0",IF(COUNTIF(nrES_RecID,$B7)&gt;1,"DUPLICATE RECORD",IF(N($K7)&gt;2,"ATTEMPT 3+ NOT ALLOWED - policy 300.5 permits one retest per exam; this row records nothing",IF(AND($K7=2,COUNTIFS(nrES_PID,$D7,nrES_Code,$F7,nrES_Att,1)=0),"ATTEMPT 2 WITHOUT ATTEMPT 1",IF(AND($K7=2,$L7=""),"RETEST ROW HAS NO SCORE",IF(AND($H7="Final",$L7&lt;&gt;"",IFERROR(INDEX(nrCKfinalExamElig,MATCH($D7,rngCadetPIDs,0)),"")="No"),"FINAL EXAM AFTER FAILED FINAL PT (500.1.H)",IF(AND($K7=2,ISNUMBER($L7),COUNTIFS(nrES_PID,$D7,nrES_Code,$F7,nrES_Att,1)&gt;0,SUMIFS(nrES_Raw,nrES_PID,$D7,nrES_Code,$F7,nrES_Att,1)&gt;=$J7),"RETEST AFTER A PASSING FIRST ATTEMPT","OK"))))))))))</f>
        <v/>
      </c>
      <c r="Y7" s="16" t="n"/>
    </row>
    <row r="8">
      <c r="B8" s="17">
        <f>IF($C8="","",$D8&amp;"-"&amp;$F8&amp;"-"&amp;$K8)</f>
        <v/>
      </c>
      <c r="C8" s="16" t="n"/>
      <c r="D8" s="17">
        <f>IF($C8="","",IFERROR(INDEX(rngCadetPIDs,MATCH($C8,rngCadetNames,0)),"?"))</f>
        <v/>
      </c>
      <c r="E8" s="17">
        <f>IF($D8="","",IFERROR(INDEX(nrCadetAgency,MATCH($D8,rngCadetPIDs,0)),""))</f>
        <v/>
      </c>
      <c r="F8" s="16" t="n"/>
      <c r="G8" s="17">
        <f>IF($F8="","",IFERROR(INDEX(rngEPname,MATCH($F8,rngEPcode,0)),"?"))</f>
        <v/>
      </c>
      <c r="H8" s="17">
        <f>IF($F8="","",IFERROR(INDEX(rngEPtype,MATCH($F8,rngEPcode,0)),"?"))</f>
        <v/>
      </c>
      <c r="I8" s="17">
        <f>IF($F8="","",IFERROR(INDEX(rngEPseq,MATCH($F8,rngEPcode,0)),""))</f>
        <v/>
      </c>
      <c r="J8" s="17">
        <f>IF($F8="","",IFERROR(INDEX(rngEPpass,MATCH($F8,rngEPcode,0)),cfgPassingScore))</f>
        <v/>
      </c>
      <c r="K8" s="16" t="n"/>
      <c r="L8" s="16" t="n"/>
      <c r="M8" s="17">
        <f>IF($C8="","",IF($L8="","",IF(NOT(ISNUMBER($L8)),$L8,IF(N($K8)&gt;2,"",IF($K8=1,IF(COUNTIFS(nrES_PID,$D8,nrES_Code,$F8,nrES_Att,2,nrES_Raw,"&gt;=0")&gt;0,"",$L8),IF($L8&gt;=$J8,MAX($J8,cfgRetakeRecordedCap),IF(COUNTIFS(nrES_PID,$D8,nrES_Code,$F8,nrES_Att,1)=0,$L8,SUMIFS(nrES_Raw,nrES_PID,$D8,nrES_Code,$F8,nrES_Att,1))))))))</f>
        <v/>
      </c>
      <c r="N8" s="17">
        <f>IF($C8="","",IF($L8="","",IF(NOT(ISNUMBER($L8)),"(not a score)",IF($L8&gt;=$J8,"Yes","No"))))</f>
        <v/>
      </c>
      <c r="O8" s="17">
        <f>IF($C8="","",IF($M8="","",IF(NOT(ISNUMBER($M8)),"(not a score)",IF($M8&gt;=$J8,"Yes","No"))))</f>
        <v/>
      </c>
      <c r="P8" s="17">
        <f>IF($C8="","",IF($K8="","",IF(N($K8)&gt;2,"No",IF(COUNTIFS(nrES_PID,$D8,nrES_Code,$F8,nrES_Att,"&gt;"&amp;$K8,nrES_Att,"&lt;=2",nrES_Raw,"&gt;=0")=0,"Yes","No"))))</f>
        <v/>
      </c>
      <c r="Q8" s="17">
        <f>IF($C8="","",IF($L8="","",IF(AND($K8=1,ISNUMBER($L8),$L8&lt;$J8,COUNTIFS(nrES_PID,$D8,nrES_Code,$F8,nrES_Att,2,nrES_Raw,"&gt;=0")=0),"Yes","No")))</f>
        <v/>
      </c>
      <c r="R8" s="17">
        <f>IF($C8="","",IF($L8="","",IF(AND(N($K8)&gt;=2,ISNUMBER($L8),$L8&lt;$J8),"Yes","No")))</f>
        <v/>
      </c>
      <c r="S8" s="18" t="n"/>
      <c r="T8" s="19">
        <f>IF(OR($C8="",$L8="",$K8&lt;&gt;1,NOT(ISNUMBER($L8)),$L8&gt;=$J8),"",IF($S8="","(enter date)",_xlfn.LET(_xlpm.dn,_xlfn.XLOOKUP($S8,nrCDdate,nrCDnum,"",1),IF(_xlpm.dn="","(after last class day)",_xlfn.LET(_xlpm.dd,_xlfn.XLOOKUP(_xlpm.dn+cfgRetestClassDays,nrCDnum,nrCDdate,""),_xlpm.ok,_xlfn.XLOOKUP(_xlpm.dn+cfgRetestClassDays,nrCDnum,nrCDinsession,"No"),IF(OR(_xlpm.dd="",_xlpm.ok&lt;&gt;"Yes"),"(after last class day)",_xlpm.dd))))))</f>
        <v/>
      </c>
      <c r="U8" s="17">
        <f>IF($C8="","",IF(AND($Y8="Excused",$L8="",N($K8)&lt;=1),"EXCUSED - 1st attempt pending",IF(OR($L8="",$K8&lt;&gt;1,NOT(ISNUMBER($L8)),$L8&gt;=$J8),"",IF(COUNTIFS(nrES_PID,$D8,nrES_Code,$F8,nrES_Att,2,nrES_Raw,"&gt;=0")&gt;0,IF(IFERROR(_xlfn.MINIFS(nrES_Date,nrES_PID,$D8,nrES_Code,$F8,nrES_Att,2,nrES_Raw,"&gt;=0",nrES_Date,"&gt;0"),0)=0,"RETEST UNDATED",IF(NOT(ISNUMBER($T8)),"RETEST DATE UNCHECKED",IF(_xlfn.MINIFS(nrES_Date,nrES_PID,$D8,nrES_Code,$F8,nrES_Att,2,nrES_Raw,"&gt;=0",nrES_Date,"&gt;0")&gt;$T8,"LATE RETEST "&amp;TEXT(_xlfn.MINIFS(nrES_Date,nrES_PID,$D8,nrES_Code,$F8,nrES_Att,2,nrES_Raw,"&gt;=0",nrES_Date,"&gt;0"),"mm/dd")&amp;" (due "&amp;TEXT($T8,"mm/dd")&amp;")","Retested"))),IF(NOT(ISNUMBER($T8)),"CHECK DATE",IF(TODAY()&gt;$T8,"OVERDUE","Due "&amp;TEXT($T8,"mm/dd")))))))</f>
        <v/>
      </c>
      <c r="V8" s="16" t="n"/>
      <c r="W8" s="16" t="n"/>
      <c r="X8" s="17">
        <f>IF($C8="","",IF(AND($L8&lt;&gt;"",NOT(ISNUMBER($L8))),"RAW SCORE NOT A NUMBER",IF(AND(ISNUMBER($L8),OR($L8&lt;0,$L8&gt;100)),"RAW SCORE OUT OF RANGE",IF(AND($Y8="Unexcused",OR($L8="",NOT(ISNUMBER($L8)),$L8&lt;&gt;0)),"UNEXCUSED ABSENCE MUST RECORD 0",IF(COUNTIF(nrES_RecID,$B8)&gt;1,"DUPLICATE RECORD",IF(N($K8)&gt;2,"ATTEMPT 3+ NOT ALLOWED - policy 300.5 permits one retest per exam; this row records nothing",IF(AND($K8=2,COUNTIFS(nrES_PID,$D8,nrES_Code,$F8,nrES_Att,1)=0),"ATTEMPT 2 WITHOUT ATTEMPT 1",IF(AND($K8=2,$L8=""),"RETEST ROW HAS NO SCORE",IF(AND($H8="Final",$L8&lt;&gt;"",IFERROR(INDEX(nrCKfinalExamElig,MATCH($D8,rngCadetPIDs,0)),"")="No"),"FINAL EXAM AFTER FAILED FINAL PT (500.1.H)",IF(AND($K8=2,ISNUMBER($L8),COUNTIFS(nrES_PID,$D8,nrES_Code,$F8,nrES_Att,1)&gt;0,SUMIFS(nrES_Raw,nrES_PID,$D8,nrES_Code,$F8,nrES_Att,1)&gt;=$J8),"RETEST AFTER A PASSING FIRST ATTEMPT","OK"))))))))))</f>
        <v/>
      </c>
      <c r="Y8" s="16" t="n"/>
    </row>
    <row r="9">
      <c r="B9" s="17">
        <f>IF($C9="","",$D9&amp;"-"&amp;$F9&amp;"-"&amp;$K9)</f>
        <v/>
      </c>
      <c r="C9" s="16" t="n"/>
      <c r="D9" s="17">
        <f>IF($C9="","",IFERROR(INDEX(rngCadetPIDs,MATCH($C9,rngCadetNames,0)),"?"))</f>
        <v/>
      </c>
      <c r="E9" s="17">
        <f>IF($D9="","",IFERROR(INDEX(nrCadetAgency,MATCH($D9,rngCadetPIDs,0)),""))</f>
        <v/>
      </c>
      <c r="F9" s="16" t="n"/>
      <c r="G9" s="17">
        <f>IF($F9="","",IFERROR(INDEX(rngEPname,MATCH($F9,rngEPcode,0)),"?"))</f>
        <v/>
      </c>
      <c r="H9" s="17">
        <f>IF($F9="","",IFERROR(INDEX(rngEPtype,MATCH($F9,rngEPcode,0)),"?"))</f>
        <v/>
      </c>
      <c r="I9" s="17">
        <f>IF($F9="","",IFERROR(INDEX(rngEPseq,MATCH($F9,rngEPcode,0)),""))</f>
        <v/>
      </c>
      <c r="J9" s="17">
        <f>IF($F9="","",IFERROR(INDEX(rngEPpass,MATCH($F9,rngEPcode,0)),cfgPassingScore))</f>
        <v/>
      </c>
      <c r="K9" s="16" t="n"/>
      <c r="L9" s="16" t="n"/>
      <c r="M9" s="17">
        <f>IF($C9="","",IF($L9="","",IF(NOT(ISNUMBER($L9)),$L9,IF(N($K9)&gt;2,"",IF($K9=1,IF(COUNTIFS(nrES_PID,$D9,nrES_Code,$F9,nrES_Att,2,nrES_Raw,"&gt;=0")&gt;0,"",$L9),IF($L9&gt;=$J9,MAX($J9,cfgRetakeRecordedCap),IF(COUNTIFS(nrES_PID,$D9,nrES_Code,$F9,nrES_Att,1)=0,$L9,SUMIFS(nrES_Raw,nrES_PID,$D9,nrES_Code,$F9,nrES_Att,1))))))))</f>
        <v/>
      </c>
      <c r="N9" s="17">
        <f>IF($C9="","",IF($L9="","",IF(NOT(ISNUMBER($L9)),"(not a score)",IF($L9&gt;=$J9,"Yes","No"))))</f>
        <v/>
      </c>
      <c r="O9" s="17">
        <f>IF($C9="","",IF($M9="","",IF(NOT(ISNUMBER($M9)),"(not a score)",IF($M9&gt;=$J9,"Yes","No"))))</f>
        <v/>
      </c>
      <c r="P9" s="17">
        <f>IF($C9="","",IF($K9="","",IF(N($K9)&gt;2,"No",IF(COUNTIFS(nrES_PID,$D9,nrES_Code,$F9,nrES_Att,"&gt;"&amp;$K9,nrES_Att,"&lt;=2",nrES_Raw,"&gt;=0")=0,"Yes","No"))))</f>
        <v/>
      </c>
      <c r="Q9" s="17">
        <f>IF($C9="","",IF($L9="","",IF(AND($K9=1,ISNUMBER($L9),$L9&lt;$J9,COUNTIFS(nrES_PID,$D9,nrES_Code,$F9,nrES_Att,2,nrES_Raw,"&gt;=0")=0),"Yes","No")))</f>
        <v/>
      </c>
      <c r="R9" s="17">
        <f>IF($C9="","",IF($L9="","",IF(AND(N($K9)&gt;=2,ISNUMBER($L9),$L9&lt;$J9),"Yes","No")))</f>
        <v/>
      </c>
      <c r="S9" s="18" t="n"/>
      <c r="T9" s="19">
        <f>IF(OR($C9="",$L9="",$K9&lt;&gt;1,NOT(ISNUMBER($L9)),$L9&gt;=$J9),"",IF($S9="","(enter date)",_xlfn.LET(_xlpm.dn,_xlfn.XLOOKUP($S9,nrCDdate,nrCDnum,"",1),IF(_xlpm.dn="","(after last class day)",_xlfn.LET(_xlpm.dd,_xlfn.XLOOKUP(_xlpm.dn+cfgRetestClassDays,nrCDnum,nrCDdate,""),_xlpm.ok,_xlfn.XLOOKUP(_xlpm.dn+cfgRetestClassDays,nrCDnum,nrCDinsession,"No"),IF(OR(_xlpm.dd="",_xlpm.ok&lt;&gt;"Yes"),"(after last class day)",_xlpm.dd))))))</f>
        <v/>
      </c>
      <c r="U9" s="17">
        <f>IF($C9="","",IF(AND($Y9="Excused",$L9="",N($K9)&lt;=1),"EXCUSED - 1st attempt pending",IF(OR($L9="",$K9&lt;&gt;1,NOT(ISNUMBER($L9)),$L9&gt;=$J9),"",IF(COUNTIFS(nrES_PID,$D9,nrES_Code,$F9,nrES_Att,2,nrES_Raw,"&gt;=0")&gt;0,IF(IFERROR(_xlfn.MINIFS(nrES_Date,nrES_PID,$D9,nrES_Code,$F9,nrES_Att,2,nrES_Raw,"&gt;=0",nrES_Date,"&gt;0"),0)=0,"RETEST UNDATED",IF(NOT(ISNUMBER($T9)),"RETEST DATE UNCHECKED",IF(_xlfn.MINIFS(nrES_Date,nrES_PID,$D9,nrES_Code,$F9,nrES_Att,2,nrES_Raw,"&gt;=0",nrES_Date,"&gt;0")&gt;$T9,"LATE RETEST "&amp;TEXT(_xlfn.MINIFS(nrES_Date,nrES_PID,$D9,nrES_Code,$F9,nrES_Att,2,nrES_Raw,"&gt;=0",nrES_Date,"&gt;0"),"mm/dd")&amp;" (due "&amp;TEXT($T9,"mm/dd")&amp;")","Retested"))),IF(NOT(ISNUMBER($T9)),"CHECK DATE",IF(TODAY()&gt;$T9,"OVERDUE","Due "&amp;TEXT($T9,"mm/dd")))))))</f>
        <v/>
      </c>
      <c r="V9" s="16" t="n"/>
      <c r="W9" s="16" t="n"/>
      <c r="X9" s="17">
        <f>IF($C9="","",IF(AND($L9&lt;&gt;"",NOT(ISNUMBER($L9))),"RAW SCORE NOT A NUMBER",IF(AND(ISNUMBER($L9),OR($L9&lt;0,$L9&gt;100)),"RAW SCORE OUT OF RANGE",IF(AND($Y9="Unexcused",OR($L9="",NOT(ISNUMBER($L9)),$L9&lt;&gt;0)),"UNEXCUSED ABSENCE MUST RECORD 0",IF(COUNTIF(nrES_RecID,$B9)&gt;1,"DUPLICATE RECORD",IF(N($K9)&gt;2,"ATTEMPT 3+ NOT ALLOWED - policy 300.5 permits one retest per exam; this row records nothing",IF(AND($K9=2,COUNTIFS(nrES_PID,$D9,nrES_Code,$F9,nrES_Att,1)=0),"ATTEMPT 2 WITHOUT ATTEMPT 1",IF(AND($K9=2,$L9=""),"RETEST ROW HAS NO SCORE",IF(AND($H9="Final",$L9&lt;&gt;"",IFERROR(INDEX(nrCKfinalExamElig,MATCH($D9,rngCadetPIDs,0)),"")="No"),"FINAL EXAM AFTER FAILED FINAL PT (500.1.H)",IF(AND($K9=2,ISNUMBER($L9),COUNTIFS(nrES_PID,$D9,nrES_Code,$F9,nrES_Att,1)&gt;0,SUMIFS(nrES_Raw,nrES_PID,$D9,nrES_Code,$F9,nrES_Att,1)&gt;=$J9),"RETEST AFTER A PASSING FIRST ATTEMPT","OK"))))))))))</f>
        <v/>
      </c>
      <c r="Y9" s="16" t="n"/>
    </row>
    <row r="10">
      <c r="B10" s="17">
        <f>IF($C10="","",$D10&amp;"-"&amp;$F10&amp;"-"&amp;$K10)</f>
        <v/>
      </c>
      <c r="C10" s="16" t="n"/>
      <c r="D10" s="17">
        <f>IF($C10="","",IFERROR(INDEX(rngCadetPIDs,MATCH($C10,rngCadetNames,0)),"?"))</f>
        <v/>
      </c>
      <c r="E10" s="17">
        <f>IF($D10="","",IFERROR(INDEX(nrCadetAgency,MATCH($D10,rngCadetPIDs,0)),""))</f>
        <v/>
      </c>
      <c r="F10" s="16" t="n"/>
      <c r="G10" s="17">
        <f>IF($F10="","",IFERROR(INDEX(rngEPname,MATCH($F10,rngEPcode,0)),"?"))</f>
        <v/>
      </c>
      <c r="H10" s="17">
        <f>IF($F10="","",IFERROR(INDEX(rngEPtype,MATCH($F10,rngEPcode,0)),"?"))</f>
        <v/>
      </c>
      <c r="I10" s="17">
        <f>IF($F10="","",IFERROR(INDEX(rngEPseq,MATCH($F10,rngEPcode,0)),""))</f>
        <v/>
      </c>
      <c r="J10" s="17">
        <f>IF($F10="","",IFERROR(INDEX(rngEPpass,MATCH($F10,rngEPcode,0)),cfgPassingScore))</f>
        <v/>
      </c>
      <c r="K10" s="16" t="n"/>
      <c r="L10" s="16" t="n"/>
      <c r="M10" s="17">
        <f>IF($C10="","",IF($L10="","",IF(NOT(ISNUMBER($L10)),$L10,IF(N($K10)&gt;2,"",IF($K10=1,IF(COUNTIFS(nrES_PID,$D10,nrES_Code,$F10,nrES_Att,2,nrES_Raw,"&gt;=0")&gt;0,"",$L10),IF($L10&gt;=$J10,MAX($J10,cfgRetakeRecordedCap),IF(COUNTIFS(nrES_PID,$D10,nrES_Code,$F10,nrES_Att,1)=0,$L10,SUMIFS(nrES_Raw,nrES_PID,$D10,nrES_Code,$F10,nrES_Att,1))))))))</f>
        <v/>
      </c>
      <c r="N10" s="17">
        <f>IF($C10="","",IF($L10="","",IF(NOT(ISNUMBER($L10)),"(not a score)",IF($L10&gt;=$J10,"Yes","No"))))</f>
        <v/>
      </c>
      <c r="O10" s="17">
        <f>IF($C10="","",IF($M10="","",IF(NOT(ISNUMBER($M10)),"(not a score)",IF($M10&gt;=$J10,"Yes","No"))))</f>
        <v/>
      </c>
      <c r="P10" s="17">
        <f>IF($C10="","",IF($K10="","",IF(N($K10)&gt;2,"No",IF(COUNTIFS(nrES_PID,$D10,nrES_Code,$F10,nrES_Att,"&gt;"&amp;$K10,nrES_Att,"&lt;=2",nrES_Raw,"&gt;=0")=0,"Yes","No"))))</f>
        <v/>
      </c>
      <c r="Q10" s="17">
        <f>IF($C10="","",IF($L10="","",IF(AND($K10=1,ISNUMBER($L10),$L10&lt;$J10,COUNTIFS(nrES_PID,$D10,nrES_Code,$F10,nrES_Att,2,nrES_Raw,"&gt;=0")=0),"Yes","No")))</f>
        <v/>
      </c>
      <c r="R10" s="17">
        <f>IF($C10="","",IF($L10="","",IF(AND(N($K10)&gt;=2,ISNUMBER($L10),$L10&lt;$J10),"Yes","No")))</f>
        <v/>
      </c>
      <c r="S10" s="18" t="n"/>
      <c r="T10" s="19">
        <f>IF(OR($C10="",$L10="",$K10&lt;&gt;1,NOT(ISNUMBER($L10)),$L10&gt;=$J10),"",IF($S10="","(enter date)",_xlfn.LET(_xlpm.dn,_xlfn.XLOOKUP($S10,nrCDdate,nrCDnum,"",1),IF(_xlpm.dn="","(after last class day)",_xlfn.LET(_xlpm.dd,_xlfn.XLOOKUP(_xlpm.dn+cfgRetestClassDays,nrCDnum,nrCDdate,""),_xlpm.ok,_xlfn.XLOOKUP(_xlpm.dn+cfgRetestClassDays,nrCDnum,nrCDinsession,"No"),IF(OR(_xlpm.dd="",_xlpm.ok&lt;&gt;"Yes"),"(after last class day)",_xlpm.dd))))))</f>
        <v/>
      </c>
      <c r="U10" s="17">
        <f>IF($C10="","",IF(AND($Y10="Excused",$L10="",N($K10)&lt;=1),"EXCUSED - 1st attempt pending",IF(OR($L10="",$K10&lt;&gt;1,NOT(ISNUMBER($L10)),$L10&gt;=$J10),"",IF(COUNTIFS(nrES_PID,$D10,nrES_Code,$F10,nrES_Att,2,nrES_Raw,"&gt;=0")&gt;0,IF(IFERROR(_xlfn.MINIFS(nrES_Date,nrES_PID,$D10,nrES_Code,$F10,nrES_Att,2,nrES_Raw,"&gt;=0",nrES_Date,"&gt;0"),0)=0,"RETEST UNDATED",IF(NOT(ISNUMBER($T10)),"RETEST DATE UNCHECKED",IF(_xlfn.MINIFS(nrES_Date,nrES_PID,$D10,nrES_Code,$F10,nrES_Att,2,nrES_Raw,"&gt;=0",nrES_Date,"&gt;0")&gt;$T10,"LATE RETEST "&amp;TEXT(_xlfn.MINIFS(nrES_Date,nrES_PID,$D10,nrES_Code,$F10,nrES_Att,2,nrES_Raw,"&gt;=0",nrES_Date,"&gt;0"),"mm/dd")&amp;" (due "&amp;TEXT($T10,"mm/dd")&amp;")","Retested"))),IF(NOT(ISNUMBER($T10)),"CHECK DATE",IF(TODAY()&gt;$T10,"OVERDUE","Due "&amp;TEXT($T10,"mm/dd")))))))</f>
        <v/>
      </c>
      <c r="V10" s="16" t="n"/>
      <c r="W10" s="16" t="n"/>
      <c r="X10" s="17">
        <f>IF($C10="","",IF(AND($L10&lt;&gt;"",NOT(ISNUMBER($L10))),"RAW SCORE NOT A NUMBER",IF(AND(ISNUMBER($L10),OR($L10&lt;0,$L10&gt;100)),"RAW SCORE OUT OF RANGE",IF(AND($Y10="Unexcused",OR($L10="",NOT(ISNUMBER($L10)),$L10&lt;&gt;0)),"UNEXCUSED ABSENCE MUST RECORD 0",IF(COUNTIF(nrES_RecID,$B10)&gt;1,"DUPLICATE RECORD",IF(N($K10)&gt;2,"ATTEMPT 3+ NOT ALLOWED - policy 300.5 permits one retest per exam; this row records nothing",IF(AND($K10=2,COUNTIFS(nrES_PID,$D10,nrES_Code,$F10,nrES_Att,1)=0),"ATTEMPT 2 WITHOUT ATTEMPT 1",IF(AND($K10=2,$L10=""),"RETEST ROW HAS NO SCORE",IF(AND($H10="Final",$L10&lt;&gt;"",IFERROR(INDEX(nrCKfinalExamElig,MATCH($D10,rngCadetPIDs,0)),"")="No"),"FINAL EXAM AFTER FAILED FINAL PT (500.1.H)",IF(AND($K10=2,ISNUMBER($L10),COUNTIFS(nrES_PID,$D10,nrES_Code,$F10,nrES_Att,1)&gt;0,SUMIFS(nrES_Raw,nrES_PID,$D10,nrES_Code,$F10,nrES_Att,1)&gt;=$J10),"RETEST AFTER A PASSING FIRST ATTEMPT","OK"))))))))))</f>
        <v/>
      </c>
      <c r="Y10" s="16" t="n"/>
    </row>
    <row r="11">
      <c r="B11" s="17">
        <f>IF($C11="","",$D11&amp;"-"&amp;$F11&amp;"-"&amp;$K11)</f>
        <v/>
      </c>
      <c r="C11" s="16" t="n"/>
      <c r="D11" s="17">
        <f>IF($C11="","",IFERROR(INDEX(rngCadetPIDs,MATCH($C11,rngCadetNames,0)),"?"))</f>
        <v/>
      </c>
      <c r="E11" s="17">
        <f>IF($D11="","",IFERROR(INDEX(nrCadetAgency,MATCH($D11,rngCadetPIDs,0)),""))</f>
        <v/>
      </c>
      <c r="F11" s="16" t="n"/>
      <c r="G11" s="17">
        <f>IF($F11="","",IFERROR(INDEX(rngEPname,MATCH($F11,rngEPcode,0)),"?"))</f>
        <v/>
      </c>
      <c r="H11" s="17">
        <f>IF($F11="","",IFERROR(INDEX(rngEPtype,MATCH($F11,rngEPcode,0)),"?"))</f>
        <v/>
      </c>
      <c r="I11" s="17">
        <f>IF($F11="","",IFERROR(INDEX(rngEPseq,MATCH($F11,rngEPcode,0)),""))</f>
        <v/>
      </c>
      <c r="J11" s="17">
        <f>IF($F11="","",IFERROR(INDEX(rngEPpass,MATCH($F11,rngEPcode,0)),cfgPassingScore))</f>
        <v/>
      </c>
      <c r="K11" s="16" t="n"/>
      <c r="L11" s="16" t="n"/>
      <c r="M11" s="17">
        <f>IF($C11="","",IF($L11="","",IF(NOT(ISNUMBER($L11)),$L11,IF(N($K11)&gt;2,"",IF($K11=1,IF(COUNTIFS(nrES_PID,$D11,nrES_Code,$F11,nrES_Att,2,nrES_Raw,"&gt;=0")&gt;0,"",$L11),IF($L11&gt;=$J11,MAX($J11,cfgRetakeRecordedCap),IF(COUNTIFS(nrES_PID,$D11,nrES_Code,$F11,nrES_Att,1)=0,$L11,SUMIFS(nrES_Raw,nrES_PID,$D11,nrES_Code,$F11,nrES_Att,1))))))))</f>
        <v/>
      </c>
      <c r="N11" s="17">
        <f>IF($C11="","",IF($L11="","",IF(NOT(ISNUMBER($L11)),"(not a score)",IF($L11&gt;=$J11,"Yes","No"))))</f>
        <v/>
      </c>
      <c r="O11" s="17">
        <f>IF($C11="","",IF($M11="","",IF(NOT(ISNUMBER($M11)),"(not a score)",IF($M11&gt;=$J11,"Yes","No"))))</f>
        <v/>
      </c>
      <c r="P11" s="17">
        <f>IF($C11="","",IF($K11="","",IF(N($K11)&gt;2,"No",IF(COUNTIFS(nrES_PID,$D11,nrES_Code,$F11,nrES_Att,"&gt;"&amp;$K11,nrES_Att,"&lt;=2",nrES_Raw,"&gt;=0")=0,"Yes","No"))))</f>
        <v/>
      </c>
      <c r="Q11" s="17">
        <f>IF($C11="","",IF($L11="","",IF(AND($K11=1,ISNUMBER($L11),$L11&lt;$J11,COUNTIFS(nrES_PID,$D11,nrES_Code,$F11,nrES_Att,2,nrES_Raw,"&gt;=0")=0),"Yes","No")))</f>
        <v/>
      </c>
      <c r="R11" s="17">
        <f>IF($C11="","",IF($L11="","",IF(AND(N($K11)&gt;=2,ISNUMBER($L11),$L11&lt;$J11),"Yes","No")))</f>
        <v/>
      </c>
      <c r="S11" s="18" t="n"/>
      <c r="T11" s="19">
        <f>IF(OR($C11="",$L11="",$K11&lt;&gt;1,NOT(ISNUMBER($L11)),$L11&gt;=$J11),"",IF($S11="","(enter date)",_xlfn.LET(_xlpm.dn,_xlfn.XLOOKUP($S11,nrCDdate,nrCDnum,"",1),IF(_xlpm.dn="","(after last class day)",_xlfn.LET(_xlpm.dd,_xlfn.XLOOKUP(_xlpm.dn+cfgRetestClassDays,nrCDnum,nrCDdate,""),_xlpm.ok,_xlfn.XLOOKUP(_xlpm.dn+cfgRetestClassDays,nrCDnum,nrCDinsession,"No"),IF(OR(_xlpm.dd="",_xlpm.ok&lt;&gt;"Yes"),"(after last class day)",_xlpm.dd))))))</f>
        <v/>
      </c>
      <c r="U11" s="17">
        <f>IF($C11="","",IF(AND($Y11="Excused",$L11="",N($K11)&lt;=1),"EXCUSED - 1st attempt pending",IF(OR($L11="",$K11&lt;&gt;1,NOT(ISNUMBER($L11)),$L11&gt;=$J11),"",IF(COUNTIFS(nrES_PID,$D11,nrES_Code,$F11,nrES_Att,2,nrES_Raw,"&gt;=0")&gt;0,IF(IFERROR(_xlfn.MINIFS(nrES_Date,nrES_PID,$D11,nrES_Code,$F11,nrES_Att,2,nrES_Raw,"&gt;=0",nrES_Date,"&gt;0"),0)=0,"RETEST UNDATED",IF(NOT(ISNUMBER($T11)),"RETEST DATE UNCHECKED",IF(_xlfn.MINIFS(nrES_Date,nrES_PID,$D11,nrES_Code,$F11,nrES_Att,2,nrES_Raw,"&gt;=0",nrES_Date,"&gt;0")&gt;$T11,"LATE RETEST "&amp;TEXT(_xlfn.MINIFS(nrES_Date,nrES_PID,$D11,nrES_Code,$F11,nrES_Att,2,nrES_Raw,"&gt;=0",nrES_Date,"&gt;0"),"mm/dd")&amp;" (due "&amp;TEXT($T11,"mm/dd")&amp;")","Retested"))),IF(NOT(ISNUMBER($T11)),"CHECK DATE",IF(TODAY()&gt;$T11,"OVERDUE","Due "&amp;TEXT($T11,"mm/dd")))))))</f>
        <v/>
      </c>
      <c r="V11" s="16" t="n"/>
      <c r="W11" s="16" t="n"/>
      <c r="X11" s="17">
        <f>IF($C11="","",IF(AND($L11&lt;&gt;"",NOT(ISNUMBER($L11))),"RAW SCORE NOT A NUMBER",IF(AND(ISNUMBER($L11),OR($L11&lt;0,$L11&gt;100)),"RAW SCORE OUT OF RANGE",IF(AND($Y11="Unexcused",OR($L11="",NOT(ISNUMBER($L11)),$L11&lt;&gt;0)),"UNEXCUSED ABSENCE MUST RECORD 0",IF(COUNTIF(nrES_RecID,$B11)&gt;1,"DUPLICATE RECORD",IF(N($K11)&gt;2,"ATTEMPT 3+ NOT ALLOWED - policy 300.5 permits one retest per exam; this row records nothing",IF(AND($K11=2,COUNTIFS(nrES_PID,$D11,nrES_Code,$F11,nrES_Att,1)=0),"ATTEMPT 2 WITHOUT ATTEMPT 1",IF(AND($K11=2,$L11=""),"RETEST ROW HAS NO SCORE",IF(AND($H11="Final",$L11&lt;&gt;"",IFERROR(INDEX(nrCKfinalExamElig,MATCH($D11,rngCadetPIDs,0)),"")="No"),"FINAL EXAM AFTER FAILED FINAL PT (500.1.H)",IF(AND($K11=2,ISNUMBER($L11),COUNTIFS(nrES_PID,$D11,nrES_Code,$F11,nrES_Att,1)&gt;0,SUMIFS(nrES_Raw,nrES_PID,$D11,nrES_Code,$F11,nrES_Att,1)&gt;=$J11),"RETEST AFTER A PASSING FIRST ATTEMPT","OK"))))))))))</f>
        <v/>
      </c>
      <c r="Y11" s="16" t="n"/>
    </row>
    <row r="12">
      <c r="B12" s="17">
        <f>IF($C12="","",$D12&amp;"-"&amp;$F12&amp;"-"&amp;$K12)</f>
        <v/>
      </c>
      <c r="C12" s="16" t="n"/>
      <c r="D12" s="17">
        <f>IF($C12="","",IFERROR(INDEX(rngCadetPIDs,MATCH($C12,rngCadetNames,0)),"?"))</f>
        <v/>
      </c>
      <c r="E12" s="17">
        <f>IF($D12="","",IFERROR(INDEX(nrCadetAgency,MATCH($D12,rngCadetPIDs,0)),""))</f>
        <v/>
      </c>
      <c r="F12" s="16" t="n"/>
      <c r="G12" s="17">
        <f>IF($F12="","",IFERROR(INDEX(rngEPname,MATCH($F12,rngEPcode,0)),"?"))</f>
        <v/>
      </c>
      <c r="H12" s="17">
        <f>IF($F12="","",IFERROR(INDEX(rngEPtype,MATCH($F12,rngEPcode,0)),"?"))</f>
        <v/>
      </c>
      <c r="I12" s="17">
        <f>IF($F12="","",IFERROR(INDEX(rngEPseq,MATCH($F12,rngEPcode,0)),""))</f>
        <v/>
      </c>
      <c r="J12" s="17">
        <f>IF($F12="","",IFERROR(INDEX(rngEPpass,MATCH($F12,rngEPcode,0)),cfgPassingScore))</f>
        <v/>
      </c>
      <c r="K12" s="16" t="n"/>
      <c r="L12" s="16" t="n"/>
      <c r="M12" s="17">
        <f>IF($C12="","",IF($L12="","",IF(NOT(ISNUMBER($L12)),$L12,IF(N($K12)&gt;2,"",IF($K12=1,IF(COUNTIFS(nrES_PID,$D12,nrES_Code,$F12,nrES_Att,2,nrES_Raw,"&gt;=0")&gt;0,"",$L12),IF($L12&gt;=$J12,MAX($J12,cfgRetakeRecordedCap),IF(COUNTIFS(nrES_PID,$D12,nrES_Code,$F12,nrES_Att,1)=0,$L12,SUMIFS(nrES_Raw,nrES_PID,$D12,nrES_Code,$F12,nrES_Att,1))))))))</f>
        <v/>
      </c>
      <c r="N12" s="17">
        <f>IF($C12="","",IF($L12="","",IF(NOT(ISNUMBER($L12)),"(not a score)",IF($L12&gt;=$J12,"Yes","No"))))</f>
        <v/>
      </c>
      <c r="O12" s="17">
        <f>IF($C12="","",IF($M12="","",IF(NOT(ISNUMBER($M12)),"(not a score)",IF($M12&gt;=$J12,"Yes","No"))))</f>
        <v/>
      </c>
      <c r="P12" s="17">
        <f>IF($C12="","",IF($K12="","",IF(N($K12)&gt;2,"No",IF(COUNTIFS(nrES_PID,$D12,nrES_Code,$F12,nrES_Att,"&gt;"&amp;$K12,nrES_Att,"&lt;=2",nrES_Raw,"&gt;=0")=0,"Yes","No"))))</f>
        <v/>
      </c>
      <c r="Q12" s="17">
        <f>IF($C12="","",IF($L12="","",IF(AND($K12=1,ISNUMBER($L12),$L12&lt;$J12,COUNTIFS(nrES_PID,$D12,nrES_Code,$F12,nrES_Att,2,nrES_Raw,"&gt;=0")=0),"Yes","No")))</f>
        <v/>
      </c>
      <c r="R12" s="17">
        <f>IF($C12="","",IF($L12="","",IF(AND(N($K12)&gt;=2,ISNUMBER($L12),$L12&lt;$J12),"Yes","No")))</f>
        <v/>
      </c>
      <c r="S12" s="18" t="n"/>
      <c r="T12" s="19">
        <f>IF(OR($C12="",$L12="",$K12&lt;&gt;1,NOT(ISNUMBER($L12)),$L12&gt;=$J12),"",IF($S12="","(enter date)",_xlfn.LET(_xlpm.dn,_xlfn.XLOOKUP($S12,nrCDdate,nrCDnum,"",1),IF(_xlpm.dn="","(after last class day)",_xlfn.LET(_xlpm.dd,_xlfn.XLOOKUP(_xlpm.dn+cfgRetestClassDays,nrCDnum,nrCDdate,""),_xlpm.ok,_xlfn.XLOOKUP(_xlpm.dn+cfgRetestClassDays,nrCDnum,nrCDinsession,"No"),IF(OR(_xlpm.dd="",_xlpm.ok&lt;&gt;"Yes"),"(after last class day)",_xlpm.dd))))))</f>
        <v/>
      </c>
      <c r="U12" s="17">
        <f>IF($C12="","",IF(AND($Y12="Excused",$L12="",N($K12)&lt;=1),"EXCUSED - 1st attempt pending",IF(OR($L12="",$K12&lt;&gt;1,NOT(ISNUMBER($L12)),$L12&gt;=$J12),"",IF(COUNTIFS(nrES_PID,$D12,nrES_Code,$F12,nrES_Att,2,nrES_Raw,"&gt;=0")&gt;0,IF(IFERROR(_xlfn.MINIFS(nrES_Date,nrES_PID,$D12,nrES_Code,$F12,nrES_Att,2,nrES_Raw,"&gt;=0",nrES_Date,"&gt;0"),0)=0,"RETEST UNDATED",IF(NOT(ISNUMBER($T12)),"RETEST DATE UNCHECKED",IF(_xlfn.MINIFS(nrES_Date,nrES_PID,$D12,nrES_Code,$F12,nrES_Att,2,nrES_Raw,"&gt;=0",nrES_Date,"&gt;0")&gt;$T12,"LATE RETEST "&amp;TEXT(_xlfn.MINIFS(nrES_Date,nrES_PID,$D12,nrES_Code,$F12,nrES_Att,2,nrES_Raw,"&gt;=0",nrES_Date,"&gt;0"),"mm/dd")&amp;" (due "&amp;TEXT($T12,"mm/dd")&amp;")","Retested"))),IF(NOT(ISNUMBER($T12)),"CHECK DATE",IF(TODAY()&gt;$T12,"OVERDUE","Due "&amp;TEXT($T12,"mm/dd")))))))</f>
        <v/>
      </c>
      <c r="V12" s="16" t="n"/>
      <c r="W12" s="16" t="n"/>
      <c r="X12" s="17">
        <f>IF($C12="","",IF(AND($L12&lt;&gt;"",NOT(ISNUMBER($L12))),"RAW SCORE NOT A NUMBER",IF(AND(ISNUMBER($L12),OR($L12&lt;0,$L12&gt;100)),"RAW SCORE OUT OF RANGE",IF(AND($Y12="Unexcused",OR($L12="",NOT(ISNUMBER($L12)),$L12&lt;&gt;0)),"UNEXCUSED ABSENCE MUST RECORD 0",IF(COUNTIF(nrES_RecID,$B12)&gt;1,"DUPLICATE RECORD",IF(N($K12)&gt;2,"ATTEMPT 3+ NOT ALLOWED - policy 300.5 permits one retest per exam; this row records nothing",IF(AND($K12=2,COUNTIFS(nrES_PID,$D12,nrES_Code,$F12,nrES_Att,1)=0),"ATTEMPT 2 WITHOUT ATTEMPT 1",IF(AND($K12=2,$L12=""),"RETEST ROW HAS NO SCORE",IF(AND($H12="Final",$L12&lt;&gt;"",IFERROR(INDEX(nrCKfinalExamElig,MATCH($D12,rngCadetPIDs,0)),"")="No"),"FINAL EXAM AFTER FAILED FINAL PT (500.1.H)",IF(AND($K12=2,ISNUMBER($L12),COUNTIFS(nrES_PID,$D12,nrES_Code,$F12,nrES_Att,1)&gt;0,SUMIFS(nrES_Raw,nrES_PID,$D12,nrES_Code,$F12,nrES_Att,1)&gt;=$J12),"RETEST AFTER A PASSING FIRST ATTEMPT","OK"))))))))))</f>
        <v/>
      </c>
      <c r="Y12" s="16" t="n"/>
    </row>
    <row r="13">
      <c r="B13" s="17">
        <f>IF($C13="","",$D13&amp;"-"&amp;$F13&amp;"-"&amp;$K13)</f>
        <v/>
      </c>
      <c r="C13" s="16" t="n"/>
      <c r="D13" s="17">
        <f>IF($C13="","",IFERROR(INDEX(rngCadetPIDs,MATCH($C13,rngCadetNames,0)),"?"))</f>
        <v/>
      </c>
      <c r="E13" s="17">
        <f>IF($D13="","",IFERROR(INDEX(nrCadetAgency,MATCH($D13,rngCadetPIDs,0)),""))</f>
        <v/>
      </c>
      <c r="F13" s="16" t="n"/>
      <c r="G13" s="17">
        <f>IF($F13="","",IFERROR(INDEX(rngEPname,MATCH($F13,rngEPcode,0)),"?"))</f>
        <v/>
      </c>
      <c r="H13" s="17">
        <f>IF($F13="","",IFERROR(INDEX(rngEPtype,MATCH($F13,rngEPcode,0)),"?"))</f>
        <v/>
      </c>
      <c r="I13" s="17">
        <f>IF($F13="","",IFERROR(INDEX(rngEPseq,MATCH($F13,rngEPcode,0)),""))</f>
        <v/>
      </c>
      <c r="J13" s="17">
        <f>IF($F13="","",IFERROR(INDEX(rngEPpass,MATCH($F13,rngEPcode,0)),cfgPassingScore))</f>
        <v/>
      </c>
      <c r="K13" s="16" t="n"/>
      <c r="L13" s="16" t="n"/>
      <c r="M13" s="17">
        <f>IF($C13="","",IF($L13="","",IF(NOT(ISNUMBER($L13)),$L13,IF(N($K13)&gt;2,"",IF($K13=1,IF(COUNTIFS(nrES_PID,$D13,nrES_Code,$F13,nrES_Att,2,nrES_Raw,"&gt;=0")&gt;0,"",$L13),IF($L13&gt;=$J13,MAX($J13,cfgRetakeRecordedCap),IF(COUNTIFS(nrES_PID,$D13,nrES_Code,$F13,nrES_Att,1)=0,$L13,SUMIFS(nrES_Raw,nrES_PID,$D13,nrES_Code,$F13,nrES_Att,1))))))))</f>
        <v/>
      </c>
      <c r="N13" s="17">
        <f>IF($C13="","",IF($L13="","",IF(NOT(ISNUMBER($L13)),"(not a score)",IF($L13&gt;=$J13,"Yes","No"))))</f>
        <v/>
      </c>
      <c r="O13" s="17">
        <f>IF($C13="","",IF($M13="","",IF(NOT(ISNUMBER($M13)),"(not a score)",IF($M13&gt;=$J13,"Yes","No"))))</f>
        <v/>
      </c>
      <c r="P13" s="17">
        <f>IF($C13="","",IF($K13="","",IF(N($K13)&gt;2,"No",IF(COUNTIFS(nrES_PID,$D13,nrES_Code,$F13,nrES_Att,"&gt;"&amp;$K13,nrES_Att,"&lt;=2",nrES_Raw,"&gt;=0")=0,"Yes","No"))))</f>
        <v/>
      </c>
      <c r="Q13" s="17">
        <f>IF($C13="","",IF($L13="","",IF(AND($K13=1,ISNUMBER($L13),$L13&lt;$J13,COUNTIFS(nrES_PID,$D13,nrES_Code,$F13,nrES_Att,2,nrES_Raw,"&gt;=0")=0),"Yes","No")))</f>
        <v/>
      </c>
      <c r="R13" s="17">
        <f>IF($C13="","",IF($L13="","",IF(AND(N($K13)&gt;=2,ISNUMBER($L13),$L13&lt;$J13),"Yes","No")))</f>
        <v/>
      </c>
      <c r="S13" s="18" t="n"/>
      <c r="T13" s="19">
        <f>IF(OR($C13="",$L13="",$K13&lt;&gt;1,NOT(ISNUMBER($L13)),$L13&gt;=$J13),"",IF($S13="","(enter date)",_xlfn.LET(_xlpm.dn,_xlfn.XLOOKUP($S13,nrCDdate,nrCDnum,"",1),IF(_xlpm.dn="","(after last class day)",_xlfn.LET(_xlpm.dd,_xlfn.XLOOKUP(_xlpm.dn+cfgRetestClassDays,nrCDnum,nrCDdate,""),_xlpm.ok,_xlfn.XLOOKUP(_xlpm.dn+cfgRetestClassDays,nrCDnum,nrCDinsession,"No"),IF(OR(_xlpm.dd="",_xlpm.ok&lt;&gt;"Yes"),"(after last class day)",_xlpm.dd))))))</f>
        <v/>
      </c>
      <c r="U13" s="17">
        <f>IF($C13="","",IF(AND($Y13="Excused",$L13="",N($K13)&lt;=1),"EXCUSED - 1st attempt pending",IF(OR($L13="",$K13&lt;&gt;1,NOT(ISNUMBER($L13)),$L13&gt;=$J13),"",IF(COUNTIFS(nrES_PID,$D13,nrES_Code,$F13,nrES_Att,2,nrES_Raw,"&gt;=0")&gt;0,IF(IFERROR(_xlfn.MINIFS(nrES_Date,nrES_PID,$D13,nrES_Code,$F13,nrES_Att,2,nrES_Raw,"&gt;=0",nrES_Date,"&gt;0"),0)=0,"RETEST UNDATED",IF(NOT(ISNUMBER($T13)),"RETEST DATE UNCHECKED",IF(_xlfn.MINIFS(nrES_Date,nrES_PID,$D13,nrES_Code,$F13,nrES_Att,2,nrES_Raw,"&gt;=0",nrES_Date,"&gt;0")&gt;$T13,"LATE RETEST "&amp;TEXT(_xlfn.MINIFS(nrES_Date,nrES_PID,$D13,nrES_Code,$F13,nrES_Att,2,nrES_Raw,"&gt;=0",nrES_Date,"&gt;0"),"mm/dd")&amp;" (due "&amp;TEXT($T13,"mm/dd")&amp;")","Retested"))),IF(NOT(ISNUMBER($T13)),"CHECK DATE",IF(TODAY()&gt;$T13,"OVERDUE","Due "&amp;TEXT($T13,"mm/dd")))))))</f>
        <v/>
      </c>
      <c r="V13" s="16" t="n"/>
      <c r="W13" s="16" t="n"/>
      <c r="X13" s="17">
        <f>IF($C13="","",IF(AND($L13&lt;&gt;"",NOT(ISNUMBER($L13))),"RAW SCORE NOT A NUMBER",IF(AND(ISNUMBER($L13),OR($L13&lt;0,$L13&gt;100)),"RAW SCORE OUT OF RANGE",IF(AND($Y13="Unexcused",OR($L13="",NOT(ISNUMBER($L13)),$L13&lt;&gt;0)),"UNEXCUSED ABSENCE MUST RECORD 0",IF(COUNTIF(nrES_RecID,$B13)&gt;1,"DUPLICATE RECORD",IF(N($K13)&gt;2,"ATTEMPT 3+ NOT ALLOWED - policy 300.5 permits one retest per exam; this row records nothing",IF(AND($K13=2,COUNTIFS(nrES_PID,$D13,nrES_Code,$F13,nrES_Att,1)=0),"ATTEMPT 2 WITHOUT ATTEMPT 1",IF(AND($K13=2,$L13=""),"RETEST ROW HAS NO SCORE",IF(AND($H13="Final",$L13&lt;&gt;"",IFERROR(INDEX(nrCKfinalExamElig,MATCH($D13,rngCadetPIDs,0)),"")="No"),"FINAL EXAM AFTER FAILED FINAL PT (500.1.H)",IF(AND($K13=2,ISNUMBER($L13),COUNTIFS(nrES_PID,$D13,nrES_Code,$F13,nrES_Att,1)&gt;0,SUMIFS(nrES_Raw,nrES_PID,$D13,nrES_Code,$F13,nrES_Att,1)&gt;=$J13),"RETEST AFTER A PASSING FIRST ATTEMPT","OK"))))))))))</f>
        <v/>
      </c>
      <c r="Y13" s="16" t="n"/>
    </row>
    <row r="14">
      <c r="B14" s="17">
        <f>IF($C14="","",$D14&amp;"-"&amp;$F14&amp;"-"&amp;$K14)</f>
        <v/>
      </c>
      <c r="C14" s="16" t="n"/>
      <c r="D14" s="17">
        <f>IF($C14="","",IFERROR(INDEX(rngCadetPIDs,MATCH($C14,rngCadetNames,0)),"?"))</f>
        <v/>
      </c>
      <c r="E14" s="17">
        <f>IF($D14="","",IFERROR(INDEX(nrCadetAgency,MATCH($D14,rngCadetPIDs,0)),""))</f>
        <v/>
      </c>
      <c r="F14" s="16" t="n"/>
      <c r="G14" s="17">
        <f>IF($F14="","",IFERROR(INDEX(rngEPname,MATCH($F14,rngEPcode,0)),"?"))</f>
        <v/>
      </c>
      <c r="H14" s="17">
        <f>IF($F14="","",IFERROR(INDEX(rngEPtype,MATCH($F14,rngEPcode,0)),"?"))</f>
        <v/>
      </c>
      <c r="I14" s="17">
        <f>IF($F14="","",IFERROR(INDEX(rngEPseq,MATCH($F14,rngEPcode,0)),""))</f>
        <v/>
      </c>
      <c r="J14" s="17">
        <f>IF($F14="","",IFERROR(INDEX(rngEPpass,MATCH($F14,rngEPcode,0)),cfgPassingScore))</f>
        <v/>
      </c>
      <c r="K14" s="16" t="n"/>
      <c r="L14" s="16" t="n"/>
      <c r="M14" s="17">
        <f>IF($C14="","",IF($L14="","",IF(NOT(ISNUMBER($L14)),$L14,IF(N($K14)&gt;2,"",IF($K14=1,IF(COUNTIFS(nrES_PID,$D14,nrES_Code,$F14,nrES_Att,2,nrES_Raw,"&gt;=0")&gt;0,"",$L14),IF($L14&gt;=$J14,MAX($J14,cfgRetakeRecordedCap),IF(COUNTIFS(nrES_PID,$D14,nrES_Code,$F14,nrES_Att,1)=0,$L14,SUMIFS(nrES_Raw,nrES_PID,$D14,nrES_Code,$F14,nrES_Att,1))))))))</f>
        <v/>
      </c>
      <c r="N14" s="17">
        <f>IF($C14="","",IF($L14="","",IF(NOT(ISNUMBER($L14)),"(not a score)",IF($L14&gt;=$J14,"Yes","No"))))</f>
        <v/>
      </c>
      <c r="O14" s="17">
        <f>IF($C14="","",IF($M14="","",IF(NOT(ISNUMBER($M14)),"(not a score)",IF($M14&gt;=$J14,"Yes","No"))))</f>
        <v/>
      </c>
      <c r="P14" s="17">
        <f>IF($C14="","",IF($K14="","",IF(N($K14)&gt;2,"No",IF(COUNTIFS(nrES_PID,$D14,nrES_Code,$F14,nrES_Att,"&gt;"&amp;$K14,nrES_Att,"&lt;=2",nrES_Raw,"&gt;=0")=0,"Yes","No"))))</f>
        <v/>
      </c>
      <c r="Q14" s="17">
        <f>IF($C14="","",IF($L14="","",IF(AND($K14=1,ISNUMBER($L14),$L14&lt;$J14,COUNTIFS(nrES_PID,$D14,nrES_Code,$F14,nrES_Att,2,nrES_Raw,"&gt;=0")=0),"Yes","No")))</f>
        <v/>
      </c>
      <c r="R14" s="17">
        <f>IF($C14="","",IF($L14="","",IF(AND(N($K14)&gt;=2,ISNUMBER($L14),$L14&lt;$J14),"Yes","No")))</f>
        <v/>
      </c>
      <c r="S14" s="18" t="n"/>
      <c r="T14" s="19">
        <f>IF(OR($C14="",$L14="",$K14&lt;&gt;1,NOT(ISNUMBER($L14)),$L14&gt;=$J14),"",IF($S14="","(enter date)",_xlfn.LET(_xlpm.dn,_xlfn.XLOOKUP($S14,nrCDdate,nrCDnum,"",1),IF(_xlpm.dn="","(after last class day)",_xlfn.LET(_xlpm.dd,_xlfn.XLOOKUP(_xlpm.dn+cfgRetestClassDays,nrCDnum,nrCDdate,""),_xlpm.ok,_xlfn.XLOOKUP(_xlpm.dn+cfgRetestClassDays,nrCDnum,nrCDinsession,"No"),IF(OR(_xlpm.dd="",_xlpm.ok&lt;&gt;"Yes"),"(after last class day)",_xlpm.dd))))))</f>
        <v/>
      </c>
      <c r="U14" s="17">
        <f>IF($C14="","",IF(AND($Y14="Excused",$L14="",N($K14)&lt;=1),"EXCUSED - 1st attempt pending",IF(OR($L14="",$K14&lt;&gt;1,NOT(ISNUMBER($L14)),$L14&gt;=$J14),"",IF(COUNTIFS(nrES_PID,$D14,nrES_Code,$F14,nrES_Att,2,nrES_Raw,"&gt;=0")&gt;0,IF(IFERROR(_xlfn.MINIFS(nrES_Date,nrES_PID,$D14,nrES_Code,$F14,nrES_Att,2,nrES_Raw,"&gt;=0",nrES_Date,"&gt;0"),0)=0,"RETEST UNDATED",IF(NOT(ISNUMBER($T14)),"RETEST DATE UNCHECKED",IF(_xlfn.MINIFS(nrES_Date,nrES_PID,$D14,nrES_Code,$F14,nrES_Att,2,nrES_Raw,"&gt;=0",nrES_Date,"&gt;0")&gt;$T14,"LATE RETEST "&amp;TEXT(_xlfn.MINIFS(nrES_Date,nrES_PID,$D14,nrES_Code,$F14,nrES_Att,2,nrES_Raw,"&gt;=0",nrES_Date,"&gt;0"),"mm/dd")&amp;" (due "&amp;TEXT($T14,"mm/dd")&amp;")","Retested"))),IF(NOT(ISNUMBER($T14)),"CHECK DATE",IF(TODAY()&gt;$T14,"OVERDUE","Due "&amp;TEXT($T14,"mm/dd")))))))</f>
        <v/>
      </c>
      <c r="V14" s="16" t="n"/>
      <c r="W14" s="16" t="n"/>
      <c r="X14" s="17">
        <f>IF($C14="","",IF(AND($L14&lt;&gt;"",NOT(ISNUMBER($L14))),"RAW SCORE NOT A NUMBER",IF(AND(ISNUMBER($L14),OR($L14&lt;0,$L14&gt;100)),"RAW SCORE OUT OF RANGE",IF(AND($Y14="Unexcused",OR($L14="",NOT(ISNUMBER($L14)),$L14&lt;&gt;0)),"UNEXCUSED ABSENCE MUST RECORD 0",IF(COUNTIF(nrES_RecID,$B14)&gt;1,"DUPLICATE RECORD",IF(N($K14)&gt;2,"ATTEMPT 3+ NOT ALLOWED - policy 300.5 permits one retest per exam; this row records nothing",IF(AND($K14=2,COUNTIFS(nrES_PID,$D14,nrES_Code,$F14,nrES_Att,1)=0),"ATTEMPT 2 WITHOUT ATTEMPT 1",IF(AND($K14=2,$L14=""),"RETEST ROW HAS NO SCORE",IF(AND($H14="Final",$L14&lt;&gt;"",IFERROR(INDEX(nrCKfinalExamElig,MATCH($D14,rngCadetPIDs,0)),"")="No"),"FINAL EXAM AFTER FAILED FINAL PT (500.1.H)",IF(AND($K14=2,ISNUMBER($L14),COUNTIFS(nrES_PID,$D14,nrES_Code,$F14,nrES_Att,1)&gt;0,SUMIFS(nrES_Raw,nrES_PID,$D14,nrES_Code,$F14,nrES_Att,1)&gt;=$J14),"RETEST AFTER A PASSING FIRST ATTEMPT","OK"))))))))))</f>
        <v/>
      </c>
      <c r="Y14" s="16" t="n"/>
    </row>
    <row r="15">
      <c r="B15" s="17">
        <f>IF($C15="","",$D15&amp;"-"&amp;$F15&amp;"-"&amp;$K15)</f>
        <v/>
      </c>
      <c r="C15" s="16" t="n"/>
      <c r="D15" s="17">
        <f>IF($C15="","",IFERROR(INDEX(rngCadetPIDs,MATCH($C15,rngCadetNames,0)),"?"))</f>
        <v/>
      </c>
      <c r="E15" s="17">
        <f>IF($D15="","",IFERROR(INDEX(nrCadetAgency,MATCH($D15,rngCadetPIDs,0)),""))</f>
        <v/>
      </c>
      <c r="F15" s="16" t="n"/>
      <c r="G15" s="17">
        <f>IF($F15="","",IFERROR(INDEX(rngEPname,MATCH($F15,rngEPcode,0)),"?"))</f>
        <v/>
      </c>
      <c r="H15" s="17">
        <f>IF($F15="","",IFERROR(INDEX(rngEPtype,MATCH($F15,rngEPcode,0)),"?"))</f>
        <v/>
      </c>
      <c r="I15" s="17">
        <f>IF($F15="","",IFERROR(INDEX(rngEPseq,MATCH($F15,rngEPcode,0)),""))</f>
        <v/>
      </c>
      <c r="J15" s="17">
        <f>IF($F15="","",IFERROR(INDEX(rngEPpass,MATCH($F15,rngEPcode,0)),cfgPassingScore))</f>
        <v/>
      </c>
      <c r="K15" s="16" t="n"/>
      <c r="L15" s="16" t="n"/>
      <c r="M15" s="17">
        <f>IF($C15="","",IF($L15="","",IF(NOT(ISNUMBER($L15)),$L15,IF(N($K15)&gt;2,"",IF($K15=1,IF(COUNTIFS(nrES_PID,$D15,nrES_Code,$F15,nrES_Att,2,nrES_Raw,"&gt;=0")&gt;0,"",$L15),IF($L15&gt;=$J15,MAX($J15,cfgRetakeRecordedCap),IF(COUNTIFS(nrES_PID,$D15,nrES_Code,$F15,nrES_Att,1)=0,$L15,SUMIFS(nrES_Raw,nrES_PID,$D15,nrES_Code,$F15,nrES_Att,1))))))))</f>
        <v/>
      </c>
      <c r="N15" s="17">
        <f>IF($C15="","",IF($L15="","",IF(NOT(ISNUMBER($L15)),"(not a score)",IF($L15&gt;=$J15,"Yes","No"))))</f>
        <v/>
      </c>
      <c r="O15" s="17">
        <f>IF($C15="","",IF($M15="","",IF(NOT(ISNUMBER($M15)),"(not a score)",IF($M15&gt;=$J15,"Yes","No"))))</f>
        <v/>
      </c>
      <c r="P15" s="17">
        <f>IF($C15="","",IF($K15="","",IF(N($K15)&gt;2,"No",IF(COUNTIFS(nrES_PID,$D15,nrES_Code,$F15,nrES_Att,"&gt;"&amp;$K15,nrES_Att,"&lt;=2",nrES_Raw,"&gt;=0")=0,"Yes","No"))))</f>
        <v/>
      </c>
      <c r="Q15" s="17">
        <f>IF($C15="","",IF($L15="","",IF(AND($K15=1,ISNUMBER($L15),$L15&lt;$J15,COUNTIFS(nrES_PID,$D15,nrES_Code,$F15,nrES_Att,2,nrES_Raw,"&gt;=0")=0),"Yes","No")))</f>
        <v/>
      </c>
      <c r="R15" s="17">
        <f>IF($C15="","",IF($L15="","",IF(AND(N($K15)&gt;=2,ISNUMBER($L15),$L15&lt;$J15),"Yes","No")))</f>
        <v/>
      </c>
      <c r="S15" s="18" t="n"/>
      <c r="T15" s="19">
        <f>IF(OR($C15="",$L15="",$K15&lt;&gt;1,NOT(ISNUMBER($L15)),$L15&gt;=$J15),"",IF($S15="","(enter date)",_xlfn.LET(_xlpm.dn,_xlfn.XLOOKUP($S15,nrCDdate,nrCDnum,"",1),IF(_xlpm.dn="","(after last class day)",_xlfn.LET(_xlpm.dd,_xlfn.XLOOKUP(_xlpm.dn+cfgRetestClassDays,nrCDnum,nrCDdate,""),_xlpm.ok,_xlfn.XLOOKUP(_xlpm.dn+cfgRetestClassDays,nrCDnum,nrCDinsession,"No"),IF(OR(_xlpm.dd="",_xlpm.ok&lt;&gt;"Yes"),"(after last class day)",_xlpm.dd))))))</f>
        <v/>
      </c>
      <c r="U15" s="17">
        <f>IF($C15="","",IF(AND($Y15="Excused",$L15="",N($K15)&lt;=1),"EXCUSED - 1st attempt pending",IF(OR($L15="",$K15&lt;&gt;1,NOT(ISNUMBER($L15)),$L15&gt;=$J15),"",IF(COUNTIFS(nrES_PID,$D15,nrES_Code,$F15,nrES_Att,2,nrES_Raw,"&gt;=0")&gt;0,IF(IFERROR(_xlfn.MINIFS(nrES_Date,nrES_PID,$D15,nrES_Code,$F15,nrES_Att,2,nrES_Raw,"&gt;=0",nrES_Date,"&gt;0"),0)=0,"RETEST UNDATED",IF(NOT(ISNUMBER($T15)),"RETEST DATE UNCHECKED",IF(_xlfn.MINIFS(nrES_Date,nrES_PID,$D15,nrES_Code,$F15,nrES_Att,2,nrES_Raw,"&gt;=0",nrES_Date,"&gt;0")&gt;$T15,"LATE RETEST "&amp;TEXT(_xlfn.MINIFS(nrES_Date,nrES_PID,$D15,nrES_Code,$F15,nrES_Att,2,nrES_Raw,"&gt;=0",nrES_Date,"&gt;0"),"mm/dd")&amp;" (due "&amp;TEXT($T15,"mm/dd")&amp;")","Retested"))),IF(NOT(ISNUMBER($T15)),"CHECK DATE",IF(TODAY()&gt;$T15,"OVERDUE","Due "&amp;TEXT($T15,"mm/dd")))))))</f>
        <v/>
      </c>
      <c r="V15" s="16" t="n"/>
      <c r="W15" s="16" t="n"/>
      <c r="X15" s="17">
        <f>IF($C15="","",IF(AND($L15&lt;&gt;"",NOT(ISNUMBER($L15))),"RAW SCORE NOT A NUMBER",IF(AND(ISNUMBER($L15),OR($L15&lt;0,$L15&gt;100)),"RAW SCORE OUT OF RANGE",IF(AND($Y15="Unexcused",OR($L15="",NOT(ISNUMBER($L15)),$L15&lt;&gt;0)),"UNEXCUSED ABSENCE MUST RECORD 0",IF(COUNTIF(nrES_RecID,$B15)&gt;1,"DUPLICATE RECORD",IF(N($K15)&gt;2,"ATTEMPT 3+ NOT ALLOWED - policy 300.5 permits one retest per exam; this row records nothing",IF(AND($K15=2,COUNTIFS(nrES_PID,$D15,nrES_Code,$F15,nrES_Att,1)=0),"ATTEMPT 2 WITHOUT ATTEMPT 1",IF(AND($K15=2,$L15=""),"RETEST ROW HAS NO SCORE",IF(AND($H15="Final",$L15&lt;&gt;"",IFERROR(INDEX(nrCKfinalExamElig,MATCH($D15,rngCadetPIDs,0)),"")="No"),"FINAL EXAM AFTER FAILED FINAL PT (500.1.H)",IF(AND($K15=2,ISNUMBER($L15),COUNTIFS(nrES_PID,$D15,nrES_Code,$F15,nrES_Att,1)&gt;0,SUMIFS(nrES_Raw,nrES_PID,$D15,nrES_Code,$F15,nrES_Att,1)&gt;=$J15),"RETEST AFTER A PASSING FIRST ATTEMPT","OK"))))))))))</f>
        <v/>
      </c>
      <c r="Y15" s="16" t="n"/>
    </row>
    <row r="16">
      <c r="B16" s="17">
        <f>IF($C16="","",$D16&amp;"-"&amp;$F16&amp;"-"&amp;$K16)</f>
        <v/>
      </c>
      <c r="C16" s="16" t="n"/>
      <c r="D16" s="17">
        <f>IF($C16="","",IFERROR(INDEX(rngCadetPIDs,MATCH($C16,rngCadetNames,0)),"?"))</f>
        <v/>
      </c>
      <c r="E16" s="17">
        <f>IF($D16="","",IFERROR(INDEX(nrCadetAgency,MATCH($D16,rngCadetPIDs,0)),""))</f>
        <v/>
      </c>
      <c r="F16" s="16" t="n"/>
      <c r="G16" s="17">
        <f>IF($F16="","",IFERROR(INDEX(rngEPname,MATCH($F16,rngEPcode,0)),"?"))</f>
        <v/>
      </c>
      <c r="H16" s="17">
        <f>IF($F16="","",IFERROR(INDEX(rngEPtype,MATCH($F16,rngEPcode,0)),"?"))</f>
        <v/>
      </c>
      <c r="I16" s="17">
        <f>IF($F16="","",IFERROR(INDEX(rngEPseq,MATCH($F16,rngEPcode,0)),""))</f>
        <v/>
      </c>
      <c r="J16" s="17">
        <f>IF($F16="","",IFERROR(INDEX(rngEPpass,MATCH($F16,rngEPcode,0)),cfgPassingScore))</f>
        <v/>
      </c>
      <c r="K16" s="16" t="n"/>
      <c r="L16" s="16" t="n"/>
      <c r="M16" s="17">
        <f>IF($C16="","",IF($L16="","",IF(NOT(ISNUMBER($L16)),$L16,IF(N($K16)&gt;2,"",IF($K16=1,IF(COUNTIFS(nrES_PID,$D16,nrES_Code,$F16,nrES_Att,2,nrES_Raw,"&gt;=0")&gt;0,"",$L16),IF($L16&gt;=$J16,MAX($J16,cfgRetakeRecordedCap),IF(COUNTIFS(nrES_PID,$D16,nrES_Code,$F16,nrES_Att,1)=0,$L16,SUMIFS(nrES_Raw,nrES_PID,$D16,nrES_Code,$F16,nrES_Att,1))))))))</f>
        <v/>
      </c>
      <c r="N16" s="17">
        <f>IF($C16="","",IF($L16="","",IF(NOT(ISNUMBER($L16)),"(not a score)",IF($L16&gt;=$J16,"Yes","No"))))</f>
        <v/>
      </c>
      <c r="O16" s="17">
        <f>IF($C16="","",IF($M16="","",IF(NOT(ISNUMBER($M16)),"(not a score)",IF($M16&gt;=$J16,"Yes","No"))))</f>
        <v/>
      </c>
      <c r="P16" s="17">
        <f>IF($C16="","",IF($K16="","",IF(N($K16)&gt;2,"No",IF(COUNTIFS(nrES_PID,$D16,nrES_Code,$F16,nrES_Att,"&gt;"&amp;$K16,nrES_Att,"&lt;=2",nrES_Raw,"&gt;=0")=0,"Yes","No"))))</f>
        <v/>
      </c>
      <c r="Q16" s="17">
        <f>IF($C16="","",IF($L16="","",IF(AND($K16=1,ISNUMBER($L16),$L16&lt;$J16,COUNTIFS(nrES_PID,$D16,nrES_Code,$F16,nrES_Att,2,nrES_Raw,"&gt;=0")=0),"Yes","No")))</f>
        <v/>
      </c>
      <c r="R16" s="17">
        <f>IF($C16="","",IF($L16="","",IF(AND(N($K16)&gt;=2,ISNUMBER($L16),$L16&lt;$J16),"Yes","No")))</f>
        <v/>
      </c>
      <c r="S16" s="18" t="n"/>
      <c r="T16" s="19">
        <f>IF(OR($C16="",$L16="",$K16&lt;&gt;1,NOT(ISNUMBER($L16)),$L16&gt;=$J16),"",IF($S16="","(enter date)",_xlfn.LET(_xlpm.dn,_xlfn.XLOOKUP($S16,nrCDdate,nrCDnum,"",1),IF(_xlpm.dn="","(after last class day)",_xlfn.LET(_xlpm.dd,_xlfn.XLOOKUP(_xlpm.dn+cfgRetestClassDays,nrCDnum,nrCDdate,""),_xlpm.ok,_xlfn.XLOOKUP(_xlpm.dn+cfgRetestClassDays,nrCDnum,nrCDinsession,"No"),IF(OR(_xlpm.dd="",_xlpm.ok&lt;&gt;"Yes"),"(after last class day)",_xlpm.dd))))))</f>
        <v/>
      </c>
      <c r="U16" s="17">
        <f>IF($C16="","",IF(AND($Y16="Excused",$L16="",N($K16)&lt;=1),"EXCUSED - 1st attempt pending",IF(OR($L16="",$K16&lt;&gt;1,NOT(ISNUMBER($L16)),$L16&gt;=$J16),"",IF(COUNTIFS(nrES_PID,$D16,nrES_Code,$F16,nrES_Att,2,nrES_Raw,"&gt;=0")&gt;0,IF(IFERROR(_xlfn.MINIFS(nrES_Date,nrES_PID,$D16,nrES_Code,$F16,nrES_Att,2,nrES_Raw,"&gt;=0",nrES_Date,"&gt;0"),0)=0,"RETEST UNDATED",IF(NOT(ISNUMBER($T16)),"RETEST DATE UNCHECKED",IF(_xlfn.MINIFS(nrES_Date,nrES_PID,$D16,nrES_Code,$F16,nrES_Att,2,nrES_Raw,"&gt;=0",nrES_Date,"&gt;0")&gt;$T16,"LATE RETEST "&amp;TEXT(_xlfn.MINIFS(nrES_Date,nrES_PID,$D16,nrES_Code,$F16,nrES_Att,2,nrES_Raw,"&gt;=0",nrES_Date,"&gt;0"),"mm/dd")&amp;" (due "&amp;TEXT($T16,"mm/dd")&amp;")","Retested"))),IF(NOT(ISNUMBER($T16)),"CHECK DATE",IF(TODAY()&gt;$T16,"OVERDUE","Due "&amp;TEXT($T16,"mm/dd")))))))</f>
        <v/>
      </c>
      <c r="V16" s="16" t="n"/>
      <c r="W16" s="16" t="n"/>
      <c r="X16" s="17">
        <f>IF($C16="","",IF(AND($L16&lt;&gt;"",NOT(ISNUMBER($L16))),"RAW SCORE NOT A NUMBER",IF(AND(ISNUMBER($L16),OR($L16&lt;0,$L16&gt;100)),"RAW SCORE OUT OF RANGE",IF(AND($Y16="Unexcused",OR($L16="",NOT(ISNUMBER($L16)),$L16&lt;&gt;0)),"UNEXCUSED ABSENCE MUST RECORD 0",IF(COUNTIF(nrES_RecID,$B16)&gt;1,"DUPLICATE RECORD",IF(N($K16)&gt;2,"ATTEMPT 3+ NOT ALLOWED - policy 300.5 permits one retest per exam; this row records nothing",IF(AND($K16=2,COUNTIFS(nrES_PID,$D16,nrES_Code,$F16,nrES_Att,1)=0),"ATTEMPT 2 WITHOUT ATTEMPT 1",IF(AND($K16=2,$L16=""),"RETEST ROW HAS NO SCORE",IF(AND($H16="Final",$L16&lt;&gt;"",IFERROR(INDEX(nrCKfinalExamElig,MATCH($D16,rngCadetPIDs,0)),"")="No"),"FINAL EXAM AFTER FAILED FINAL PT (500.1.H)",IF(AND($K16=2,ISNUMBER($L16),COUNTIFS(nrES_PID,$D16,nrES_Code,$F16,nrES_Att,1)&gt;0,SUMIFS(nrES_Raw,nrES_PID,$D16,nrES_Code,$F16,nrES_Att,1)&gt;=$J16),"RETEST AFTER A PASSING FIRST ATTEMPT","OK"))))))))))</f>
        <v/>
      </c>
      <c r="Y16" s="16" t="n"/>
    </row>
    <row r="17">
      <c r="B17" s="17">
        <f>IF($C17="","",$D17&amp;"-"&amp;$F17&amp;"-"&amp;$K17)</f>
        <v/>
      </c>
      <c r="C17" s="16" t="n"/>
      <c r="D17" s="17">
        <f>IF($C17="","",IFERROR(INDEX(rngCadetPIDs,MATCH($C17,rngCadetNames,0)),"?"))</f>
        <v/>
      </c>
      <c r="E17" s="17">
        <f>IF($D17="","",IFERROR(INDEX(nrCadetAgency,MATCH($D17,rngCadetPIDs,0)),""))</f>
        <v/>
      </c>
      <c r="F17" s="16" t="n"/>
      <c r="G17" s="17">
        <f>IF($F17="","",IFERROR(INDEX(rngEPname,MATCH($F17,rngEPcode,0)),"?"))</f>
        <v/>
      </c>
      <c r="H17" s="17">
        <f>IF($F17="","",IFERROR(INDEX(rngEPtype,MATCH($F17,rngEPcode,0)),"?"))</f>
        <v/>
      </c>
      <c r="I17" s="17">
        <f>IF($F17="","",IFERROR(INDEX(rngEPseq,MATCH($F17,rngEPcode,0)),""))</f>
        <v/>
      </c>
      <c r="J17" s="17">
        <f>IF($F17="","",IFERROR(INDEX(rngEPpass,MATCH($F17,rngEPcode,0)),cfgPassingScore))</f>
        <v/>
      </c>
      <c r="K17" s="16" t="n"/>
      <c r="L17" s="16" t="n"/>
      <c r="M17" s="17">
        <f>IF($C17="","",IF($L17="","",IF(NOT(ISNUMBER($L17)),$L17,IF(N($K17)&gt;2,"",IF($K17=1,IF(COUNTIFS(nrES_PID,$D17,nrES_Code,$F17,nrES_Att,2,nrES_Raw,"&gt;=0")&gt;0,"",$L17),IF($L17&gt;=$J17,MAX($J17,cfgRetakeRecordedCap),IF(COUNTIFS(nrES_PID,$D17,nrES_Code,$F17,nrES_Att,1)=0,$L17,SUMIFS(nrES_Raw,nrES_PID,$D17,nrES_Code,$F17,nrES_Att,1))))))))</f>
        <v/>
      </c>
      <c r="N17" s="17">
        <f>IF($C17="","",IF($L17="","",IF(NOT(ISNUMBER($L17)),"(not a score)",IF($L17&gt;=$J17,"Yes","No"))))</f>
        <v/>
      </c>
      <c r="O17" s="17">
        <f>IF($C17="","",IF($M17="","",IF(NOT(ISNUMBER($M17)),"(not a score)",IF($M17&gt;=$J17,"Yes","No"))))</f>
        <v/>
      </c>
      <c r="P17" s="17">
        <f>IF($C17="","",IF($K17="","",IF(N($K17)&gt;2,"No",IF(COUNTIFS(nrES_PID,$D17,nrES_Code,$F17,nrES_Att,"&gt;"&amp;$K17,nrES_Att,"&lt;=2",nrES_Raw,"&gt;=0")=0,"Yes","No"))))</f>
        <v/>
      </c>
      <c r="Q17" s="17">
        <f>IF($C17="","",IF($L17="","",IF(AND($K17=1,ISNUMBER($L17),$L17&lt;$J17,COUNTIFS(nrES_PID,$D17,nrES_Code,$F17,nrES_Att,2,nrES_Raw,"&gt;=0")=0),"Yes","No")))</f>
        <v/>
      </c>
      <c r="R17" s="17">
        <f>IF($C17="","",IF($L17="","",IF(AND(N($K17)&gt;=2,ISNUMBER($L17),$L17&lt;$J17),"Yes","No")))</f>
        <v/>
      </c>
      <c r="S17" s="18" t="n"/>
      <c r="T17" s="19">
        <f>IF(OR($C17="",$L17="",$K17&lt;&gt;1,NOT(ISNUMBER($L17)),$L17&gt;=$J17),"",IF($S17="","(enter date)",_xlfn.LET(_xlpm.dn,_xlfn.XLOOKUP($S17,nrCDdate,nrCDnum,"",1),IF(_xlpm.dn="","(after last class day)",_xlfn.LET(_xlpm.dd,_xlfn.XLOOKUP(_xlpm.dn+cfgRetestClassDays,nrCDnum,nrCDdate,""),_xlpm.ok,_xlfn.XLOOKUP(_xlpm.dn+cfgRetestClassDays,nrCDnum,nrCDinsession,"No"),IF(OR(_xlpm.dd="",_xlpm.ok&lt;&gt;"Yes"),"(after last class day)",_xlpm.dd))))))</f>
        <v/>
      </c>
      <c r="U17" s="17">
        <f>IF($C17="","",IF(AND($Y17="Excused",$L17="",N($K17)&lt;=1),"EXCUSED - 1st attempt pending",IF(OR($L17="",$K17&lt;&gt;1,NOT(ISNUMBER($L17)),$L17&gt;=$J17),"",IF(COUNTIFS(nrES_PID,$D17,nrES_Code,$F17,nrES_Att,2,nrES_Raw,"&gt;=0")&gt;0,IF(IFERROR(_xlfn.MINIFS(nrES_Date,nrES_PID,$D17,nrES_Code,$F17,nrES_Att,2,nrES_Raw,"&gt;=0",nrES_Date,"&gt;0"),0)=0,"RETEST UNDATED",IF(NOT(ISNUMBER($T17)),"RETEST DATE UNCHECKED",IF(_xlfn.MINIFS(nrES_Date,nrES_PID,$D17,nrES_Code,$F17,nrES_Att,2,nrES_Raw,"&gt;=0",nrES_Date,"&gt;0")&gt;$T17,"LATE RETEST "&amp;TEXT(_xlfn.MINIFS(nrES_Date,nrES_PID,$D17,nrES_Code,$F17,nrES_Att,2,nrES_Raw,"&gt;=0",nrES_Date,"&gt;0"),"mm/dd")&amp;" (due "&amp;TEXT($T17,"mm/dd")&amp;")","Retested"))),IF(NOT(ISNUMBER($T17)),"CHECK DATE",IF(TODAY()&gt;$T17,"OVERDUE","Due "&amp;TEXT($T17,"mm/dd")))))))</f>
        <v/>
      </c>
      <c r="V17" s="16" t="n"/>
      <c r="W17" s="16" t="n"/>
      <c r="X17" s="17">
        <f>IF($C17="","",IF(AND($L17&lt;&gt;"",NOT(ISNUMBER($L17))),"RAW SCORE NOT A NUMBER",IF(AND(ISNUMBER($L17),OR($L17&lt;0,$L17&gt;100)),"RAW SCORE OUT OF RANGE",IF(AND($Y17="Unexcused",OR($L17="",NOT(ISNUMBER($L17)),$L17&lt;&gt;0)),"UNEXCUSED ABSENCE MUST RECORD 0",IF(COUNTIF(nrES_RecID,$B17)&gt;1,"DUPLICATE RECORD",IF(N($K17)&gt;2,"ATTEMPT 3+ NOT ALLOWED - policy 300.5 permits one retest per exam; this row records nothing",IF(AND($K17=2,COUNTIFS(nrES_PID,$D17,nrES_Code,$F17,nrES_Att,1)=0),"ATTEMPT 2 WITHOUT ATTEMPT 1",IF(AND($K17=2,$L17=""),"RETEST ROW HAS NO SCORE",IF(AND($H17="Final",$L17&lt;&gt;"",IFERROR(INDEX(nrCKfinalExamElig,MATCH($D17,rngCadetPIDs,0)),"")="No"),"FINAL EXAM AFTER FAILED FINAL PT (500.1.H)",IF(AND($K17=2,ISNUMBER($L17),COUNTIFS(nrES_PID,$D17,nrES_Code,$F17,nrES_Att,1)&gt;0,SUMIFS(nrES_Raw,nrES_PID,$D17,nrES_Code,$F17,nrES_Att,1)&gt;=$J17),"RETEST AFTER A PASSING FIRST ATTEMPT","OK"))))))))))</f>
        <v/>
      </c>
      <c r="Y17" s="16" t="n"/>
    </row>
    <row r="18">
      <c r="B18" s="17">
        <f>IF($C18="","",$D18&amp;"-"&amp;$F18&amp;"-"&amp;$K18)</f>
        <v/>
      </c>
      <c r="C18" s="16" t="n"/>
      <c r="D18" s="17">
        <f>IF($C18="","",IFERROR(INDEX(rngCadetPIDs,MATCH($C18,rngCadetNames,0)),"?"))</f>
        <v/>
      </c>
      <c r="E18" s="17">
        <f>IF($D18="","",IFERROR(INDEX(nrCadetAgency,MATCH($D18,rngCadetPIDs,0)),""))</f>
        <v/>
      </c>
      <c r="F18" s="16" t="n"/>
      <c r="G18" s="17">
        <f>IF($F18="","",IFERROR(INDEX(rngEPname,MATCH($F18,rngEPcode,0)),"?"))</f>
        <v/>
      </c>
      <c r="H18" s="17">
        <f>IF($F18="","",IFERROR(INDEX(rngEPtype,MATCH($F18,rngEPcode,0)),"?"))</f>
        <v/>
      </c>
      <c r="I18" s="17">
        <f>IF($F18="","",IFERROR(INDEX(rngEPseq,MATCH($F18,rngEPcode,0)),""))</f>
        <v/>
      </c>
      <c r="J18" s="17">
        <f>IF($F18="","",IFERROR(INDEX(rngEPpass,MATCH($F18,rngEPcode,0)),cfgPassingScore))</f>
        <v/>
      </c>
      <c r="K18" s="16" t="n"/>
      <c r="L18" s="16" t="n"/>
      <c r="M18" s="17">
        <f>IF($C18="","",IF($L18="","",IF(NOT(ISNUMBER($L18)),$L18,IF(N($K18)&gt;2,"",IF($K18=1,IF(COUNTIFS(nrES_PID,$D18,nrES_Code,$F18,nrES_Att,2,nrES_Raw,"&gt;=0")&gt;0,"",$L18),IF($L18&gt;=$J18,MAX($J18,cfgRetakeRecordedCap),IF(COUNTIFS(nrES_PID,$D18,nrES_Code,$F18,nrES_Att,1)=0,$L18,SUMIFS(nrES_Raw,nrES_PID,$D18,nrES_Code,$F18,nrES_Att,1))))))))</f>
        <v/>
      </c>
      <c r="N18" s="17">
        <f>IF($C18="","",IF($L18="","",IF(NOT(ISNUMBER($L18)),"(not a score)",IF($L18&gt;=$J18,"Yes","No"))))</f>
        <v/>
      </c>
      <c r="O18" s="17">
        <f>IF($C18="","",IF($M18="","",IF(NOT(ISNUMBER($M18)),"(not a score)",IF($M18&gt;=$J18,"Yes","No"))))</f>
        <v/>
      </c>
      <c r="P18" s="17">
        <f>IF($C18="","",IF($K18="","",IF(N($K18)&gt;2,"No",IF(COUNTIFS(nrES_PID,$D18,nrES_Code,$F18,nrES_Att,"&gt;"&amp;$K18,nrES_Att,"&lt;=2",nrES_Raw,"&gt;=0")=0,"Yes","No"))))</f>
        <v/>
      </c>
      <c r="Q18" s="17">
        <f>IF($C18="","",IF($L18="","",IF(AND($K18=1,ISNUMBER($L18),$L18&lt;$J18,COUNTIFS(nrES_PID,$D18,nrES_Code,$F18,nrES_Att,2,nrES_Raw,"&gt;=0")=0),"Yes","No")))</f>
        <v/>
      </c>
      <c r="R18" s="17">
        <f>IF($C18="","",IF($L18="","",IF(AND(N($K18)&gt;=2,ISNUMBER($L18),$L18&lt;$J18),"Yes","No")))</f>
        <v/>
      </c>
      <c r="S18" s="18" t="n"/>
      <c r="T18" s="19">
        <f>IF(OR($C18="",$L18="",$K18&lt;&gt;1,NOT(ISNUMBER($L18)),$L18&gt;=$J18),"",IF($S18="","(enter date)",_xlfn.LET(_xlpm.dn,_xlfn.XLOOKUP($S18,nrCDdate,nrCDnum,"",1),IF(_xlpm.dn="","(after last class day)",_xlfn.LET(_xlpm.dd,_xlfn.XLOOKUP(_xlpm.dn+cfgRetestClassDays,nrCDnum,nrCDdate,""),_xlpm.ok,_xlfn.XLOOKUP(_xlpm.dn+cfgRetestClassDays,nrCDnum,nrCDinsession,"No"),IF(OR(_xlpm.dd="",_xlpm.ok&lt;&gt;"Yes"),"(after last class day)",_xlpm.dd))))))</f>
        <v/>
      </c>
      <c r="U18" s="17">
        <f>IF($C18="","",IF(AND($Y18="Excused",$L18="",N($K18)&lt;=1),"EXCUSED - 1st attempt pending",IF(OR($L18="",$K18&lt;&gt;1,NOT(ISNUMBER($L18)),$L18&gt;=$J18),"",IF(COUNTIFS(nrES_PID,$D18,nrES_Code,$F18,nrES_Att,2,nrES_Raw,"&gt;=0")&gt;0,IF(IFERROR(_xlfn.MINIFS(nrES_Date,nrES_PID,$D18,nrES_Code,$F18,nrES_Att,2,nrES_Raw,"&gt;=0",nrES_Date,"&gt;0"),0)=0,"RETEST UNDATED",IF(NOT(ISNUMBER($T18)),"RETEST DATE UNCHECKED",IF(_xlfn.MINIFS(nrES_Date,nrES_PID,$D18,nrES_Code,$F18,nrES_Att,2,nrES_Raw,"&gt;=0",nrES_Date,"&gt;0")&gt;$T18,"LATE RETEST "&amp;TEXT(_xlfn.MINIFS(nrES_Date,nrES_PID,$D18,nrES_Code,$F18,nrES_Att,2,nrES_Raw,"&gt;=0",nrES_Date,"&gt;0"),"mm/dd")&amp;" (due "&amp;TEXT($T18,"mm/dd")&amp;")","Retested"))),IF(NOT(ISNUMBER($T18)),"CHECK DATE",IF(TODAY()&gt;$T18,"OVERDUE","Due "&amp;TEXT($T18,"mm/dd")))))))</f>
        <v/>
      </c>
      <c r="V18" s="16" t="n"/>
      <c r="W18" s="16" t="n"/>
      <c r="X18" s="17">
        <f>IF($C18="","",IF(AND($L18&lt;&gt;"",NOT(ISNUMBER($L18))),"RAW SCORE NOT A NUMBER",IF(AND(ISNUMBER($L18),OR($L18&lt;0,$L18&gt;100)),"RAW SCORE OUT OF RANGE",IF(AND($Y18="Unexcused",OR($L18="",NOT(ISNUMBER($L18)),$L18&lt;&gt;0)),"UNEXCUSED ABSENCE MUST RECORD 0",IF(COUNTIF(nrES_RecID,$B18)&gt;1,"DUPLICATE RECORD",IF(N($K18)&gt;2,"ATTEMPT 3+ NOT ALLOWED - policy 300.5 permits one retest per exam; this row records nothing",IF(AND($K18=2,COUNTIFS(nrES_PID,$D18,nrES_Code,$F18,nrES_Att,1)=0),"ATTEMPT 2 WITHOUT ATTEMPT 1",IF(AND($K18=2,$L18=""),"RETEST ROW HAS NO SCORE",IF(AND($H18="Final",$L18&lt;&gt;"",IFERROR(INDEX(nrCKfinalExamElig,MATCH($D18,rngCadetPIDs,0)),"")="No"),"FINAL EXAM AFTER FAILED FINAL PT (500.1.H)",IF(AND($K18=2,ISNUMBER($L18),COUNTIFS(nrES_PID,$D18,nrES_Code,$F18,nrES_Att,1)&gt;0,SUMIFS(nrES_Raw,nrES_PID,$D18,nrES_Code,$F18,nrES_Att,1)&gt;=$J18),"RETEST AFTER A PASSING FIRST ATTEMPT","OK"))))))))))</f>
        <v/>
      </c>
      <c r="Y18" s="16" t="n"/>
    </row>
    <row r="19">
      <c r="B19" s="17">
        <f>IF($C19="","",$D19&amp;"-"&amp;$F19&amp;"-"&amp;$K19)</f>
        <v/>
      </c>
      <c r="C19" s="16" t="n"/>
      <c r="D19" s="17">
        <f>IF($C19="","",IFERROR(INDEX(rngCadetPIDs,MATCH($C19,rngCadetNames,0)),"?"))</f>
        <v/>
      </c>
      <c r="E19" s="17">
        <f>IF($D19="","",IFERROR(INDEX(nrCadetAgency,MATCH($D19,rngCadetPIDs,0)),""))</f>
        <v/>
      </c>
      <c r="F19" s="16" t="n"/>
      <c r="G19" s="17">
        <f>IF($F19="","",IFERROR(INDEX(rngEPname,MATCH($F19,rngEPcode,0)),"?"))</f>
        <v/>
      </c>
      <c r="H19" s="17">
        <f>IF($F19="","",IFERROR(INDEX(rngEPtype,MATCH($F19,rngEPcode,0)),"?"))</f>
        <v/>
      </c>
      <c r="I19" s="17">
        <f>IF($F19="","",IFERROR(INDEX(rngEPseq,MATCH($F19,rngEPcode,0)),""))</f>
        <v/>
      </c>
      <c r="J19" s="17">
        <f>IF($F19="","",IFERROR(INDEX(rngEPpass,MATCH($F19,rngEPcode,0)),cfgPassingScore))</f>
        <v/>
      </c>
      <c r="K19" s="16" t="n"/>
      <c r="L19" s="16" t="n"/>
      <c r="M19" s="17">
        <f>IF($C19="","",IF($L19="","",IF(NOT(ISNUMBER($L19)),$L19,IF(N($K19)&gt;2,"",IF($K19=1,IF(COUNTIFS(nrES_PID,$D19,nrES_Code,$F19,nrES_Att,2,nrES_Raw,"&gt;=0")&gt;0,"",$L19),IF($L19&gt;=$J19,MAX($J19,cfgRetakeRecordedCap),IF(COUNTIFS(nrES_PID,$D19,nrES_Code,$F19,nrES_Att,1)=0,$L19,SUMIFS(nrES_Raw,nrES_PID,$D19,nrES_Code,$F19,nrES_Att,1))))))))</f>
        <v/>
      </c>
      <c r="N19" s="17">
        <f>IF($C19="","",IF($L19="","",IF(NOT(ISNUMBER($L19)),"(not a score)",IF($L19&gt;=$J19,"Yes","No"))))</f>
        <v/>
      </c>
      <c r="O19" s="17">
        <f>IF($C19="","",IF($M19="","",IF(NOT(ISNUMBER($M19)),"(not a score)",IF($M19&gt;=$J19,"Yes","No"))))</f>
        <v/>
      </c>
      <c r="P19" s="17">
        <f>IF($C19="","",IF($K19="","",IF(N($K19)&gt;2,"No",IF(COUNTIFS(nrES_PID,$D19,nrES_Code,$F19,nrES_Att,"&gt;"&amp;$K19,nrES_Att,"&lt;=2",nrES_Raw,"&gt;=0")=0,"Yes","No"))))</f>
        <v/>
      </c>
      <c r="Q19" s="17">
        <f>IF($C19="","",IF($L19="","",IF(AND($K19=1,ISNUMBER($L19),$L19&lt;$J19,COUNTIFS(nrES_PID,$D19,nrES_Code,$F19,nrES_Att,2,nrES_Raw,"&gt;=0")=0),"Yes","No")))</f>
        <v/>
      </c>
      <c r="R19" s="17">
        <f>IF($C19="","",IF($L19="","",IF(AND(N($K19)&gt;=2,ISNUMBER($L19),$L19&lt;$J19),"Yes","No")))</f>
        <v/>
      </c>
      <c r="S19" s="18" t="n"/>
      <c r="T19" s="19">
        <f>IF(OR($C19="",$L19="",$K19&lt;&gt;1,NOT(ISNUMBER($L19)),$L19&gt;=$J19),"",IF($S19="","(enter date)",_xlfn.LET(_xlpm.dn,_xlfn.XLOOKUP($S19,nrCDdate,nrCDnum,"",1),IF(_xlpm.dn="","(after last class day)",_xlfn.LET(_xlpm.dd,_xlfn.XLOOKUP(_xlpm.dn+cfgRetestClassDays,nrCDnum,nrCDdate,""),_xlpm.ok,_xlfn.XLOOKUP(_xlpm.dn+cfgRetestClassDays,nrCDnum,nrCDinsession,"No"),IF(OR(_xlpm.dd="",_xlpm.ok&lt;&gt;"Yes"),"(after last class day)",_xlpm.dd))))))</f>
        <v/>
      </c>
      <c r="U19" s="17">
        <f>IF($C19="","",IF(AND($Y19="Excused",$L19="",N($K19)&lt;=1),"EXCUSED - 1st attempt pending",IF(OR($L19="",$K19&lt;&gt;1,NOT(ISNUMBER($L19)),$L19&gt;=$J19),"",IF(COUNTIFS(nrES_PID,$D19,nrES_Code,$F19,nrES_Att,2,nrES_Raw,"&gt;=0")&gt;0,IF(IFERROR(_xlfn.MINIFS(nrES_Date,nrES_PID,$D19,nrES_Code,$F19,nrES_Att,2,nrES_Raw,"&gt;=0",nrES_Date,"&gt;0"),0)=0,"RETEST UNDATED",IF(NOT(ISNUMBER($T19)),"RETEST DATE UNCHECKED",IF(_xlfn.MINIFS(nrES_Date,nrES_PID,$D19,nrES_Code,$F19,nrES_Att,2,nrES_Raw,"&gt;=0",nrES_Date,"&gt;0")&gt;$T19,"LATE RETEST "&amp;TEXT(_xlfn.MINIFS(nrES_Date,nrES_PID,$D19,nrES_Code,$F19,nrES_Att,2,nrES_Raw,"&gt;=0",nrES_Date,"&gt;0"),"mm/dd")&amp;" (due "&amp;TEXT($T19,"mm/dd")&amp;")","Retested"))),IF(NOT(ISNUMBER($T19)),"CHECK DATE",IF(TODAY()&gt;$T19,"OVERDUE","Due "&amp;TEXT($T19,"mm/dd")))))))</f>
        <v/>
      </c>
      <c r="V19" s="16" t="n"/>
      <c r="W19" s="16" t="n"/>
      <c r="X19" s="17">
        <f>IF($C19="","",IF(AND($L19&lt;&gt;"",NOT(ISNUMBER($L19))),"RAW SCORE NOT A NUMBER",IF(AND(ISNUMBER($L19),OR($L19&lt;0,$L19&gt;100)),"RAW SCORE OUT OF RANGE",IF(AND($Y19="Unexcused",OR($L19="",NOT(ISNUMBER($L19)),$L19&lt;&gt;0)),"UNEXCUSED ABSENCE MUST RECORD 0",IF(COUNTIF(nrES_RecID,$B19)&gt;1,"DUPLICATE RECORD",IF(N($K19)&gt;2,"ATTEMPT 3+ NOT ALLOWED - policy 300.5 permits one retest per exam; this row records nothing",IF(AND($K19=2,COUNTIFS(nrES_PID,$D19,nrES_Code,$F19,nrES_Att,1)=0),"ATTEMPT 2 WITHOUT ATTEMPT 1",IF(AND($K19=2,$L19=""),"RETEST ROW HAS NO SCORE",IF(AND($H19="Final",$L19&lt;&gt;"",IFERROR(INDEX(nrCKfinalExamElig,MATCH($D19,rngCadetPIDs,0)),"")="No"),"FINAL EXAM AFTER FAILED FINAL PT (500.1.H)",IF(AND($K19=2,ISNUMBER($L19),COUNTIFS(nrES_PID,$D19,nrES_Code,$F19,nrES_Att,1)&gt;0,SUMIFS(nrES_Raw,nrES_PID,$D19,nrES_Code,$F19,nrES_Att,1)&gt;=$J19),"RETEST AFTER A PASSING FIRST ATTEMPT","OK"))))))))))</f>
        <v/>
      </c>
      <c r="Y19" s="16" t="n"/>
    </row>
    <row r="20">
      <c r="B20" s="17">
        <f>IF($C20="","",$D20&amp;"-"&amp;$F20&amp;"-"&amp;$K20)</f>
        <v/>
      </c>
      <c r="C20" s="16" t="n"/>
      <c r="D20" s="17">
        <f>IF($C20="","",IFERROR(INDEX(rngCadetPIDs,MATCH($C20,rngCadetNames,0)),"?"))</f>
        <v/>
      </c>
      <c r="E20" s="17">
        <f>IF($D20="","",IFERROR(INDEX(nrCadetAgency,MATCH($D20,rngCadetPIDs,0)),""))</f>
        <v/>
      </c>
      <c r="F20" s="16" t="n"/>
      <c r="G20" s="17">
        <f>IF($F20="","",IFERROR(INDEX(rngEPname,MATCH($F20,rngEPcode,0)),"?"))</f>
        <v/>
      </c>
      <c r="H20" s="17">
        <f>IF($F20="","",IFERROR(INDEX(rngEPtype,MATCH($F20,rngEPcode,0)),"?"))</f>
        <v/>
      </c>
      <c r="I20" s="17">
        <f>IF($F20="","",IFERROR(INDEX(rngEPseq,MATCH($F20,rngEPcode,0)),""))</f>
        <v/>
      </c>
      <c r="J20" s="17">
        <f>IF($F20="","",IFERROR(INDEX(rngEPpass,MATCH($F20,rngEPcode,0)),cfgPassingScore))</f>
        <v/>
      </c>
      <c r="K20" s="16" t="n"/>
      <c r="L20" s="16" t="n"/>
      <c r="M20" s="17">
        <f>IF($C20="","",IF($L20="","",IF(NOT(ISNUMBER($L20)),$L20,IF(N($K20)&gt;2,"",IF($K20=1,IF(COUNTIFS(nrES_PID,$D20,nrES_Code,$F20,nrES_Att,2,nrES_Raw,"&gt;=0")&gt;0,"",$L20),IF($L20&gt;=$J20,MAX($J20,cfgRetakeRecordedCap),IF(COUNTIFS(nrES_PID,$D20,nrES_Code,$F20,nrES_Att,1)=0,$L20,SUMIFS(nrES_Raw,nrES_PID,$D20,nrES_Code,$F20,nrES_Att,1))))))))</f>
        <v/>
      </c>
      <c r="N20" s="17">
        <f>IF($C20="","",IF($L20="","",IF(NOT(ISNUMBER($L20)),"(not a score)",IF($L20&gt;=$J20,"Yes","No"))))</f>
        <v/>
      </c>
      <c r="O20" s="17">
        <f>IF($C20="","",IF($M20="","",IF(NOT(ISNUMBER($M20)),"(not a score)",IF($M20&gt;=$J20,"Yes","No"))))</f>
        <v/>
      </c>
      <c r="P20" s="17">
        <f>IF($C20="","",IF($K20="","",IF(N($K20)&gt;2,"No",IF(COUNTIFS(nrES_PID,$D20,nrES_Code,$F20,nrES_Att,"&gt;"&amp;$K20,nrES_Att,"&lt;=2",nrES_Raw,"&gt;=0")=0,"Yes","No"))))</f>
        <v/>
      </c>
      <c r="Q20" s="17">
        <f>IF($C20="","",IF($L20="","",IF(AND($K20=1,ISNUMBER($L20),$L20&lt;$J20,COUNTIFS(nrES_PID,$D20,nrES_Code,$F20,nrES_Att,2,nrES_Raw,"&gt;=0")=0),"Yes","No")))</f>
        <v/>
      </c>
      <c r="R20" s="17">
        <f>IF($C20="","",IF($L20="","",IF(AND(N($K20)&gt;=2,ISNUMBER($L20),$L20&lt;$J20),"Yes","No")))</f>
        <v/>
      </c>
      <c r="S20" s="18" t="n"/>
      <c r="T20" s="19">
        <f>IF(OR($C20="",$L20="",$K20&lt;&gt;1,NOT(ISNUMBER($L20)),$L20&gt;=$J20),"",IF($S20="","(enter date)",_xlfn.LET(_xlpm.dn,_xlfn.XLOOKUP($S20,nrCDdate,nrCDnum,"",1),IF(_xlpm.dn="","(after last class day)",_xlfn.LET(_xlpm.dd,_xlfn.XLOOKUP(_xlpm.dn+cfgRetestClassDays,nrCDnum,nrCDdate,""),_xlpm.ok,_xlfn.XLOOKUP(_xlpm.dn+cfgRetestClassDays,nrCDnum,nrCDinsession,"No"),IF(OR(_xlpm.dd="",_xlpm.ok&lt;&gt;"Yes"),"(after last class day)",_xlpm.dd))))))</f>
        <v/>
      </c>
      <c r="U20" s="17">
        <f>IF($C20="","",IF(AND($Y20="Excused",$L20="",N($K20)&lt;=1),"EXCUSED - 1st attempt pending",IF(OR($L20="",$K20&lt;&gt;1,NOT(ISNUMBER($L20)),$L20&gt;=$J20),"",IF(COUNTIFS(nrES_PID,$D20,nrES_Code,$F20,nrES_Att,2,nrES_Raw,"&gt;=0")&gt;0,IF(IFERROR(_xlfn.MINIFS(nrES_Date,nrES_PID,$D20,nrES_Code,$F20,nrES_Att,2,nrES_Raw,"&gt;=0",nrES_Date,"&gt;0"),0)=0,"RETEST UNDATED",IF(NOT(ISNUMBER($T20)),"RETEST DATE UNCHECKED",IF(_xlfn.MINIFS(nrES_Date,nrES_PID,$D20,nrES_Code,$F20,nrES_Att,2,nrES_Raw,"&gt;=0",nrES_Date,"&gt;0")&gt;$T20,"LATE RETEST "&amp;TEXT(_xlfn.MINIFS(nrES_Date,nrES_PID,$D20,nrES_Code,$F20,nrES_Att,2,nrES_Raw,"&gt;=0",nrES_Date,"&gt;0"),"mm/dd")&amp;" (due "&amp;TEXT($T20,"mm/dd")&amp;")","Retested"))),IF(NOT(ISNUMBER($T20)),"CHECK DATE",IF(TODAY()&gt;$T20,"OVERDUE","Due "&amp;TEXT($T20,"mm/dd")))))))</f>
        <v/>
      </c>
      <c r="V20" s="16" t="n"/>
      <c r="W20" s="16" t="n"/>
      <c r="X20" s="17">
        <f>IF($C20="","",IF(AND($L20&lt;&gt;"",NOT(ISNUMBER($L20))),"RAW SCORE NOT A NUMBER",IF(AND(ISNUMBER($L20),OR($L20&lt;0,$L20&gt;100)),"RAW SCORE OUT OF RANGE",IF(AND($Y20="Unexcused",OR($L20="",NOT(ISNUMBER($L20)),$L20&lt;&gt;0)),"UNEXCUSED ABSENCE MUST RECORD 0",IF(COUNTIF(nrES_RecID,$B20)&gt;1,"DUPLICATE RECORD",IF(N($K20)&gt;2,"ATTEMPT 3+ NOT ALLOWED - policy 300.5 permits one retest per exam; this row records nothing",IF(AND($K20=2,COUNTIFS(nrES_PID,$D20,nrES_Code,$F20,nrES_Att,1)=0),"ATTEMPT 2 WITHOUT ATTEMPT 1",IF(AND($K20=2,$L20=""),"RETEST ROW HAS NO SCORE",IF(AND($H20="Final",$L20&lt;&gt;"",IFERROR(INDEX(nrCKfinalExamElig,MATCH($D20,rngCadetPIDs,0)),"")="No"),"FINAL EXAM AFTER FAILED FINAL PT (500.1.H)",IF(AND($K20=2,ISNUMBER($L20),COUNTIFS(nrES_PID,$D20,nrES_Code,$F20,nrES_Att,1)&gt;0,SUMIFS(nrES_Raw,nrES_PID,$D20,nrES_Code,$F20,nrES_Att,1)&gt;=$J20),"RETEST AFTER A PASSING FIRST ATTEMPT","OK"))))))))))</f>
        <v/>
      </c>
      <c r="Y20" s="16" t="n"/>
    </row>
    <row r="21">
      <c r="B21" s="17">
        <f>IF($C21="","",$D21&amp;"-"&amp;$F21&amp;"-"&amp;$K21)</f>
        <v/>
      </c>
      <c r="C21" s="16" t="n"/>
      <c r="D21" s="17">
        <f>IF($C21="","",IFERROR(INDEX(rngCadetPIDs,MATCH($C21,rngCadetNames,0)),"?"))</f>
        <v/>
      </c>
      <c r="E21" s="17">
        <f>IF($D21="","",IFERROR(INDEX(nrCadetAgency,MATCH($D21,rngCadetPIDs,0)),""))</f>
        <v/>
      </c>
      <c r="F21" s="16" t="n"/>
      <c r="G21" s="17">
        <f>IF($F21="","",IFERROR(INDEX(rngEPname,MATCH($F21,rngEPcode,0)),"?"))</f>
        <v/>
      </c>
      <c r="H21" s="17">
        <f>IF($F21="","",IFERROR(INDEX(rngEPtype,MATCH($F21,rngEPcode,0)),"?"))</f>
        <v/>
      </c>
      <c r="I21" s="17">
        <f>IF($F21="","",IFERROR(INDEX(rngEPseq,MATCH($F21,rngEPcode,0)),""))</f>
        <v/>
      </c>
      <c r="J21" s="17">
        <f>IF($F21="","",IFERROR(INDEX(rngEPpass,MATCH($F21,rngEPcode,0)),cfgPassingScore))</f>
        <v/>
      </c>
      <c r="K21" s="16" t="n"/>
      <c r="L21" s="16" t="n"/>
      <c r="M21" s="17">
        <f>IF($C21="","",IF($L21="","",IF(NOT(ISNUMBER($L21)),$L21,IF(N($K21)&gt;2,"",IF($K21=1,IF(COUNTIFS(nrES_PID,$D21,nrES_Code,$F21,nrES_Att,2,nrES_Raw,"&gt;=0")&gt;0,"",$L21),IF($L21&gt;=$J21,MAX($J21,cfgRetakeRecordedCap),IF(COUNTIFS(nrES_PID,$D21,nrES_Code,$F21,nrES_Att,1)=0,$L21,SUMIFS(nrES_Raw,nrES_PID,$D21,nrES_Code,$F21,nrES_Att,1))))))))</f>
        <v/>
      </c>
      <c r="N21" s="17">
        <f>IF($C21="","",IF($L21="","",IF(NOT(ISNUMBER($L21)),"(not a score)",IF($L21&gt;=$J21,"Yes","No"))))</f>
        <v/>
      </c>
      <c r="O21" s="17">
        <f>IF($C21="","",IF($M21="","",IF(NOT(ISNUMBER($M21)),"(not a score)",IF($M21&gt;=$J21,"Yes","No"))))</f>
        <v/>
      </c>
      <c r="P21" s="17">
        <f>IF($C21="","",IF($K21="","",IF(N($K21)&gt;2,"No",IF(COUNTIFS(nrES_PID,$D21,nrES_Code,$F21,nrES_Att,"&gt;"&amp;$K21,nrES_Att,"&lt;=2",nrES_Raw,"&gt;=0")=0,"Yes","No"))))</f>
        <v/>
      </c>
      <c r="Q21" s="17">
        <f>IF($C21="","",IF($L21="","",IF(AND($K21=1,ISNUMBER($L21),$L21&lt;$J21,COUNTIFS(nrES_PID,$D21,nrES_Code,$F21,nrES_Att,2,nrES_Raw,"&gt;=0")=0),"Yes","No")))</f>
        <v/>
      </c>
      <c r="R21" s="17">
        <f>IF($C21="","",IF($L21="","",IF(AND(N($K21)&gt;=2,ISNUMBER($L21),$L21&lt;$J21),"Yes","No")))</f>
        <v/>
      </c>
      <c r="S21" s="18" t="n"/>
      <c r="T21" s="19">
        <f>IF(OR($C21="",$L21="",$K21&lt;&gt;1,NOT(ISNUMBER($L21)),$L21&gt;=$J21),"",IF($S21="","(enter date)",_xlfn.LET(_xlpm.dn,_xlfn.XLOOKUP($S21,nrCDdate,nrCDnum,"",1),IF(_xlpm.dn="","(after last class day)",_xlfn.LET(_xlpm.dd,_xlfn.XLOOKUP(_xlpm.dn+cfgRetestClassDays,nrCDnum,nrCDdate,""),_xlpm.ok,_xlfn.XLOOKUP(_xlpm.dn+cfgRetestClassDays,nrCDnum,nrCDinsession,"No"),IF(OR(_xlpm.dd="",_xlpm.ok&lt;&gt;"Yes"),"(after last class day)",_xlpm.dd))))))</f>
        <v/>
      </c>
      <c r="U21" s="17">
        <f>IF($C21="","",IF(AND($Y21="Excused",$L21="",N($K21)&lt;=1),"EXCUSED - 1st attempt pending",IF(OR($L21="",$K21&lt;&gt;1,NOT(ISNUMBER($L21)),$L21&gt;=$J21),"",IF(COUNTIFS(nrES_PID,$D21,nrES_Code,$F21,nrES_Att,2,nrES_Raw,"&gt;=0")&gt;0,IF(IFERROR(_xlfn.MINIFS(nrES_Date,nrES_PID,$D21,nrES_Code,$F21,nrES_Att,2,nrES_Raw,"&gt;=0",nrES_Date,"&gt;0"),0)=0,"RETEST UNDATED",IF(NOT(ISNUMBER($T21)),"RETEST DATE UNCHECKED",IF(_xlfn.MINIFS(nrES_Date,nrES_PID,$D21,nrES_Code,$F21,nrES_Att,2,nrES_Raw,"&gt;=0",nrES_Date,"&gt;0")&gt;$T21,"LATE RETEST "&amp;TEXT(_xlfn.MINIFS(nrES_Date,nrES_PID,$D21,nrES_Code,$F21,nrES_Att,2,nrES_Raw,"&gt;=0",nrES_Date,"&gt;0"),"mm/dd")&amp;" (due "&amp;TEXT($T21,"mm/dd")&amp;")","Retested"))),IF(NOT(ISNUMBER($T21)),"CHECK DATE",IF(TODAY()&gt;$T21,"OVERDUE","Due "&amp;TEXT($T21,"mm/dd")))))))</f>
        <v/>
      </c>
      <c r="V21" s="16" t="n"/>
      <c r="W21" s="16" t="n"/>
      <c r="X21" s="17">
        <f>IF($C21="","",IF(AND($L21&lt;&gt;"",NOT(ISNUMBER($L21))),"RAW SCORE NOT A NUMBER",IF(AND(ISNUMBER($L21),OR($L21&lt;0,$L21&gt;100)),"RAW SCORE OUT OF RANGE",IF(AND($Y21="Unexcused",OR($L21="",NOT(ISNUMBER($L21)),$L21&lt;&gt;0)),"UNEXCUSED ABSENCE MUST RECORD 0",IF(COUNTIF(nrES_RecID,$B21)&gt;1,"DUPLICATE RECORD",IF(N($K21)&gt;2,"ATTEMPT 3+ NOT ALLOWED - policy 300.5 permits one retest per exam; this row records nothing",IF(AND($K21=2,COUNTIFS(nrES_PID,$D21,nrES_Code,$F21,nrES_Att,1)=0),"ATTEMPT 2 WITHOUT ATTEMPT 1",IF(AND($K21=2,$L21=""),"RETEST ROW HAS NO SCORE",IF(AND($H21="Final",$L21&lt;&gt;"",IFERROR(INDEX(nrCKfinalExamElig,MATCH($D21,rngCadetPIDs,0)),"")="No"),"FINAL EXAM AFTER FAILED FINAL PT (500.1.H)",IF(AND($K21=2,ISNUMBER($L21),COUNTIFS(nrES_PID,$D21,nrES_Code,$F21,nrES_Att,1)&gt;0,SUMIFS(nrES_Raw,nrES_PID,$D21,nrES_Code,$F21,nrES_Att,1)&gt;=$J21),"RETEST AFTER A PASSING FIRST ATTEMPT","OK"))))))))))</f>
        <v/>
      </c>
      <c r="Y21" s="16" t="n"/>
    </row>
    <row r="22">
      <c r="B22" s="17">
        <f>IF($C22="","",$D22&amp;"-"&amp;$F22&amp;"-"&amp;$K22)</f>
        <v/>
      </c>
      <c r="C22" s="16" t="n"/>
      <c r="D22" s="17">
        <f>IF($C22="","",IFERROR(INDEX(rngCadetPIDs,MATCH($C22,rngCadetNames,0)),"?"))</f>
        <v/>
      </c>
      <c r="E22" s="17">
        <f>IF($D22="","",IFERROR(INDEX(nrCadetAgency,MATCH($D22,rngCadetPIDs,0)),""))</f>
        <v/>
      </c>
      <c r="F22" s="16" t="n"/>
      <c r="G22" s="17">
        <f>IF($F22="","",IFERROR(INDEX(rngEPname,MATCH($F22,rngEPcode,0)),"?"))</f>
        <v/>
      </c>
      <c r="H22" s="17">
        <f>IF($F22="","",IFERROR(INDEX(rngEPtype,MATCH($F22,rngEPcode,0)),"?"))</f>
        <v/>
      </c>
      <c r="I22" s="17">
        <f>IF($F22="","",IFERROR(INDEX(rngEPseq,MATCH($F22,rngEPcode,0)),""))</f>
        <v/>
      </c>
      <c r="J22" s="17">
        <f>IF($F22="","",IFERROR(INDEX(rngEPpass,MATCH($F22,rngEPcode,0)),cfgPassingScore))</f>
        <v/>
      </c>
      <c r="K22" s="16" t="n"/>
      <c r="L22" s="16" t="n"/>
      <c r="M22" s="17">
        <f>IF($C22="","",IF($L22="","",IF(NOT(ISNUMBER($L22)),$L22,IF(N($K22)&gt;2,"",IF($K22=1,IF(COUNTIFS(nrES_PID,$D22,nrES_Code,$F22,nrES_Att,2,nrES_Raw,"&gt;=0")&gt;0,"",$L22),IF($L22&gt;=$J22,MAX($J22,cfgRetakeRecordedCap),IF(COUNTIFS(nrES_PID,$D22,nrES_Code,$F22,nrES_Att,1)=0,$L22,SUMIFS(nrES_Raw,nrES_PID,$D22,nrES_Code,$F22,nrES_Att,1))))))))</f>
        <v/>
      </c>
      <c r="N22" s="17">
        <f>IF($C22="","",IF($L22="","",IF(NOT(ISNUMBER($L22)),"(not a score)",IF($L22&gt;=$J22,"Yes","No"))))</f>
        <v/>
      </c>
      <c r="O22" s="17">
        <f>IF($C22="","",IF($M22="","",IF(NOT(ISNUMBER($M22)),"(not a score)",IF($M22&gt;=$J22,"Yes","No"))))</f>
        <v/>
      </c>
      <c r="P22" s="17">
        <f>IF($C22="","",IF($K22="","",IF(N($K22)&gt;2,"No",IF(COUNTIFS(nrES_PID,$D22,nrES_Code,$F22,nrES_Att,"&gt;"&amp;$K22,nrES_Att,"&lt;=2",nrES_Raw,"&gt;=0")=0,"Yes","No"))))</f>
        <v/>
      </c>
      <c r="Q22" s="17">
        <f>IF($C22="","",IF($L22="","",IF(AND($K22=1,ISNUMBER($L22),$L22&lt;$J22,COUNTIFS(nrES_PID,$D22,nrES_Code,$F22,nrES_Att,2,nrES_Raw,"&gt;=0")=0),"Yes","No")))</f>
        <v/>
      </c>
      <c r="R22" s="17">
        <f>IF($C22="","",IF($L22="","",IF(AND(N($K22)&gt;=2,ISNUMBER($L22),$L22&lt;$J22),"Yes","No")))</f>
        <v/>
      </c>
      <c r="S22" s="18" t="n"/>
      <c r="T22" s="19">
        <f>IF(OR($C22="",$L22="",$K22&lt;&gt;1,NOT(ISNUMBER($L22)),$L22&gt;=$J22),"",IF($S22="","(enter date)",_xlfn.LET(_xlpm.dn,_xlfn.XLOOKUP($S22,nrCDdate,nrCDnum,"",1),IF(_xlpm.dn="","(after last class day)",_xlfn.LET(_xlpm.dd,_xlfn.XLOOKUP(_xlpm.dn+cfgRetestClassDays,nrCDnum,nrCDdate,""),_xlpm.ok,_xlfn.XLOOKUP(_xlpm.dn+cfgRetestClassDays,nrCDnum,nrCDinsession,"No"),IF(OR(_xlpm.dd="",_xlpm.ok&lt;&gt;"Yes"),"(after last class day)",_xlpm.dd))))))</f>
        <v/>
      </c>
      <c r="U22" s="17">
        <f>IF($C22="","",IF(AND($Y22="Excused",$L22="",N($K22)&lt;=1),"EXCUSED - 1st attempt pending",IF(OR($L22="",$K22&lt;&gt;1,NOT(ISNUMBER($L22)),$L22&gt;=$J22),"",IF(COUNTIFS(nrES_PID,$D22,nrES_Code,$F22,nrES_Att,2,nrES_Raw,"&gt;=0")&gt;0,IF(IFERROR(_xlfn.MINIFS(nrES_Date,nrES_PID,$D22,nrES_Code,$F22,nrES_Att,2,nrES_Raw,"&gt;=0",nrES_Date,"&gt;0"),0)=0,"RETEST UNDATED",IF(NOT(ISNUMBER($T22)),"RETEST DATE UNCHECKED",IF(_xlfn.MINIFS(nrES_Date,nrES_PID,$D22,nrES_Code,$F22,nrES_Att,2,nrES_Raw,"&gt;=0",nrES_Date,"&gt;0")&gt;$T22,"LATE RETEST "&amp;TEXT(_xlfn.MINIFS(nrES_Date,nrES_PID,$D22,nrES_Code,$F22,nrES_Att,2,nrES_Raw,"&gt;=0",nrES_Date,"&gt;0"),"mm/dd")&amp;" (due "&amp;TEXT($T22,"mm/dd")&amp;")","Retested"))),IF(NOT(ISNUMBER($T22)),"CHECK DATE",IF(TODAY()&gt;$T22,"OVERDUE","Due "&amp;TEXT($T22,"mm/dd")))))))</f>
        <v/>
      </c>
      <c r="V22" s="16" t="n"/>
      <c r="W22" s="16" t="n"/>
      <c r="X22" s="17">
        <f>IF($C22="","",IF(AND($L22&lt;&gt;"",NOT(ISNUMBER($L22))),"RAW SCORE NOT A NUMBER",IF(AND(ISNUMBER($L22),OR($L22&lt;0,$L22&gt;100)),"RAW SCORE OUT OF RANGE",IF(AND($Y22="Unexcused",OR($L22="",NOT(ISNUMBER($L22)),$L22&lt;&gt;0)),"UNEXCUSED ABSENCE MUST RECORD 0",IF(COUNTIF(nrES_RecID,$B22)&gt;1,"DUPLICATE RECORD",IF(N($K22)&gt;2,"ATTEMPT 3+ NOT ALLOWED - policy 300.5 permits one retest per exam; this row records nothing",IF(AND($K22=2,COUNTIFS(nrES_PID,$D22,nrES_Code,$F22,nrES_Att,1)=0),"ATTEMPT 2 WITHOUT ATTEMPT 1",IF(AND($K22=2,$L22=""),"RETEST ROW HAS NO SCORE",IF(AND($H22="Final",$L22&lt;&gt;"",IFERROR(INDEX(nrCKfinalExamElig,MATCH($D22,rngCadetPIDs,0)),"")="No"),"FINAL EXAM AFTER FAILED FINAL PT (500.1.H)",IF(AND($K22=2,ISNUMBER($L22),COUNTIFS(nrES_PID,$D22,nrES_Code,$F22,nrES_Att,1)&gt;0,SUMIFS(nrES_Raw,nrES_PID,$D22,nrES_Code,$F22,nrES_Att,1)&gt;=$J22),"RETEST AFTER A PASSING FIRST ATTEMPT","OK"))))))))))</f>
        <v/>
      </c>
      <c r="Y22" s="16" t="n"/>
    </row>
    <row r="23">
      <c r="B23" s="17">
        <f>IF($C23="","",$D23&amp;"-"&amp;$F23&amp;"-"&amp;$K23)</f>
        <v/>
      </c>
      <c r="C23" s="16" t="n"/>
      <c r="D23" s="17">
        <f>IF($C23="","",IFERROR(INDEX(rngCadetPIDs,MATCH($C23,rngCadetNames,0)),"?"))</f>
        <v/>
      </c>
      <c r="E23" s="17">
        <f>IF($D23="","",IFERROR(INDEX(nrCadetAgency,MATCH($D23,rngCadetPIDs,0)),""))</f>
        <v/>
      </c>
      <c r="F23" s="16" t="n"/>
      <c r="G23" s="17">
        <f>IF($F23="","",IFERROR(INDEX(rngEPname,MATCH($F23,rngEPcode,0)),"?"))</f>
        <v/>
      </c>
      <c r="H23" s="17">
        <f>IF($F23="","",IFERROR(INDEX(rngEPtype,MATCH($F23,rngEPcode,0)),"?"))</f>
        <v/>
      </c>
      <c r="I23" s="17">
        <f>IF($F23="","",IFERROR(INDEX(rngEPseq,MATCH($F23,rngEPcode,0)),""))</f>
        <v/>
      </c>
      <c r="J23" s="17">
        <f>IF($F23="","",IFERROR(INDEX(rngEPpass,MATCH($F23,rngEPcode,0)),cfgPassingScore))</f>
        <v/>
      </c>
      <c r="K23" s="16" t="n"/>
      <c r="L23" s="16" t="n"/>
      <c r="M23" s="17">
        <f>IF($C23="","",IF($L23="","",IF(NOT(ISNUMBER($L23)),$L23,IF(N($K23)&gt;2,"",IF($K23=1,IF(COUNTIFS(nrES_PID,$D23,nrES_Code,$F23,nrES_Att,2,nrES_Raw,"&gt;=0")&gt;0,"",$L23),IF($L23&gt;=$J23,MAX($J23,cfgRetakeRecordedCap),IF(COUNTIFS(nrES_PID,$D23,nrES_Code,$F23,nrES_Att,1)=0,$L23,SUMIFS(nrES_Raw,nrES_PID,$D23,nrES_Code,$F23,nrES_Att,1))))))))</f>
        <v/>
      </c>
      <c r="N23" s="17">
        <f>IF($C23="","",IF($L23="","",IF(NOT(ISNUMBER($L23)),"(not a score)",IF($L23&gt;=$J23,"Yes","No"))))</f>
        <v/>
      </c>
      <c r="O23" s="17">
        <f>IF($C23="","",IF($M23="","",IF(NOT(ISNUMBER($M23)),"(not a score)",IF($M23&gt;=$J23,"Yes","No"))))</f>
        <v/>
      </c>
      <c r="P23" s="17">
        <f>IF($C23="","",IF($K23="","",IF(N($K23)&gt;2,"No",IF(COUNTIFS(nrES_PID,$D23,nrES_Code,$F23,nrES_Att,"&gt;"&amp;$K23,nrES_Att,"&lt;=2",nrES_Raw,"&gt;=0")=0,"Yes","No"))))</f>
        <v/>
      </c>
      <c r="Q23" s="17">
        <f>IF($C23="","",IF($L23="","",IF(AND($K23=1,ISNUMBER($L23),$L23&lt;$J23,COUNTIFS(nrES_PID,$D23,nrES_Code,$F23,nrES_Att,2,nrES_Raw,"&gt;=0")=0),"Yes","No")))</f>
        <v/>
      </c>
      <c r="R23" s="17">
        <f>IF($C23="","",IF($L23="","",IF(AND(N($K23)&gt;=2,ISNUMBER($L23),$L23&lt;$J23),"Yes","No")))</f>
        <v/>
      </c>
      <c r="S23" s="18" t="n"/>
      <c r="T23" s="19">
        <f>IF(OR($C23="",$L23="",$K23&lt;&gt;1,NOT(ISNUMBER($L23)),$L23&gt;=$J23),"",IF($S23="","(enter date)",_xlfn.LET(_xlpm.dn,_xlfn.XLOOKUP($S23,nrCDdate,nrCDnum,"",1),IF(_xlpm.dn="","(after last class day)",_xlfn.LET(_xlpm.dd,_xlfn.XLOOKUP(_xlpm.dn+cfgRetestClassDays,nrCDnum,nrCDdate,""),_xlpm.ok,_xlfn.XLOOKUP(_xlpm.dn+cfgRetestClassDays,nrCDnum,nrCDinsession,"No"),IF(OR(_xlpm.dd="",_xlpm.ok&lt;&gt;"Yes"),"(after last class day)",_xlpm.dd))))))</f>
        <v/>
      </c>
      <c r="U23" s="17">
        <f>IF($C23="","",IF(AND($Y23="Excused",$L23="",N($K23)&lt;=1),"EXCUSED - 1st attempt pending",IF(OR($L23="",$K23&lt;&gt;1,NOT(ISNUMBER($L23)),$L23&gt;=$J23),"",IF(COUNTIFS(nrES_PID,$D23,nrES_Code,$F23,nrES_Att,2,nrES_Raw,"&gt;=0")&gt;0,IF(IFERROR(_xlfn.MINIFS(nrES_Date,nrES_PID,$D23,nrES_Code,$F23,nrES_Att,2,nrES_Raw,"&gt;=0",nrES_Date,"&gt;0"),0)=0,"RETEST UNDATED",IF(NOT(ISNUMBER($T23)),"RETEST DATE UNCHECKED",IF(_xlfn.MINIFS(nrES_Date,nrES_PID,$D23,nrES_Code,$F23,nrES_Att,2,nrES_Raw,"&gt;=0",nrES_Date,"&gt;0")&gt;$T23,"LATE RETEST "&amp;TEXT(_xlfn.MINIFS(nrES_Date,nrES_PID,$D23,nrES_Code,$F23,nrES_Att,2,nrES_Raw,"&gt;=0",nrES_Date,"&gt;0"),"mm/dd")&amp;" (due "&amp;TEXT($T23,"mm/dd")&amp;")","Retested"))),IF(NOT(ISNUMBER($T23)),"CHECK DATE",IF(TODAY()&gt;$T23,"OVERDUE","Due "&amp;TEXT($T23,"mm/dd")))))))</f>
        <v/>
      </c>
      <c r="V23" s="16" t="n"/>
      <c r="W23" s="16" t="n"/>
      <c r="X23" s="17">
        <f>IF($C23="","",IF(AND($L23&lt;&gt;"",NOT(ISNUMBER($L23))),"RAW SCORE NOT A NUMBER",IF(AND(ISNUMBER($L23),OR($L23&lt;0,$L23&gt;100)),"RAW SCORE OUT OF RANGE",IF(AND($Y23="Unexcused",OR($L23="",NOT(ISNUMBER($L23)),$L23&lt;&gt;0)),"UNEXCUSED ABSENCE MUST RECORD 0",IF(COUNTIF(nrES_RecID,$B23)&gt;1,"DUPLICATE RECORD",IF(N($K23)&gt;2,"ATTEMPT 3+ NOT ALLOWED - policy 300.5 permits one retest per exam; this row records nothing",IF(AND($K23=2,COUNTIFS(nrES_PID,$D23,nrES_Code,$F23,nrES_Att,1)=0),"ATTEMPT 2 WITHOUT ATTEMPT 1",IF(AND($K23=2,$L23=""),"RETEST ROW HAS NO SCORE",IF(AND($H23="Final",$L23&lt;&gt;"",IFERROR(INDEX(nrCKfinalExamElig,MATCH($D23,rngCadetPIDs,0)),"")="No"),"FINAL EXAM AFTER FAILED FINAL PT (500.1.H)",IF(AND($K23=2,ISNUMBER($L23),COUNTIFS(nrES_PID,$D23,nrES_Code,$F23,nrES_Att,1)&gt;0,SUMIFS(nrES_Raw,nrES_PID,$D23,nrES_Code,$F23,nrES_Att,1)&gt;=$J23),"RETEST AFTER A PASSING FIRST ATTEMPT","OK"))))))))))</f>
        <v/>
      </c>
      <c r="Y23" s="16" t="n"/>
    </row>
    <row r="24">
      <c r="B24" s="17">
        <f>IF($C24="","",$D24&amp;"-"&amp;$F24&amp;"-"&amp;$K24)</f>
        <v/>
      </c>
      <c r="C24" s="16" t="n"/>
      <c r="D24" s="17">
        <f>IF($C24="","",IFERROR(INDEX(rngCadetPIDs,MATCH($C24,rngCadetNames,0)),"?"))</f>
        <v/>
      </c>
      <c r="E24" s="17">
        <f>IF($D24="","",IFERROR(INDEX(nrCadetAgency,MATCH($D24,rngCadetPIDs,0)),""))</f>
        <v/>
      </c>
      <c r="F24" s="16" t="n"/>
      <c r="G24" s="17">
        <f>IF($F24="","",IFERROR(INDEX(rngEPname,MATCH($F24,rngEPcode,0)),"?"))</f>
        <v/>
      </c>
      <c r="H24" s="17">
        <f>IF($F24="","",IFERROR(INDEX(rngEPtype,MATCH($F24,rngEPcode,0)),"?"))</f>
        <v/>
      </c>
      <c r="I24" s="17">
        <f>IF($F24="","",IFERROR(INDEX(rngEPseq,MATCH($F24,rngEPcode,0)),""))</f>
        <v/>
      </c>
      <c r="J24" s="17">
        <f>IF($F24="","",IFERROR(INDEX(rngEPpass,MATCH($F24,rngEPcode,0)),cfgPassingScore))</f>
        <v/>
      </c>
      <c r="K24" s="16" t="n"/>
      <c r="L24" s="16" t="n"/>
      <c r="M24" s="17">
        <f>IF($C24="","",IF($L24="","",IF(NOT(ISNUMBER($L24)),$L24,IF(N($K24)&gt;2,"",IF($K24=1,IF(COUNTIFS(nrES_PID,$D24,nrES_Code,$F24,nrES_Att,2,nrES_Raw,"&gt;=0")&gt;0,"",$L24),IF($L24&gt;=$J24,MAX($J24,cfgRetakeRecordedCap),IF(COUNTIFS(nrES_PID,$D24,nrES_Code,$F24,nrES_Att,1)=0,$L24,SUMIFS(nrES_Raw,nrES_PID,$D24,nrES_Code,$F24,nrES_Att,1))))))))</f>
        <v/>
      </c>
      <c r="N24" s="17">
        <f>IF($C24="","",IF($L24="","",IF(NOT(ISNUMBER($L24)),"(not a score)",IF($L24&gt;=$J24,"Yes","No"))))</f>
        <v/>
      </c>
      <c r="O24" s="17">
        <f>IF($C24="","",IF($M24="","",IF(NOT(ISNUMBER($M24)),"(not a score)",IF($M24&gt;=$J24,"Yes","No"))))</f>
        <v/>
      </c>
      <c r="P24" s="17">
        <f>IF($C24="","",IF($K24="","",IF(N($K24)&gt;2,"No",IF(COUNTIFS(nrES_PID,$D24,nrES_Code,$F24,nrES_Att,"&gt;"&amp;$K24,nrES_Att,"&lt;=2",nrES_Raw,"&gt;=0")=0,"Yes","No"))))</f>
        <v/>
      </c>
      <c r="Q24" s="17">
        <f>IF($C24="","",IF($L24="","",IF(AND($K24=1,ISNUMBER($L24),$L24&lt;$J24,COUNTIFS(nrES_PID,$D24,nrES_Code,$F24,nrES_Att,2,nrES_Raw,"&gt;=0")=0),"Yes","No")))</f>
        <v/>
      </c>
      <c r="R24" s="17">
        <f>IF($C24="","",IF($L24="","",IF(AND(N($K24)&gt;=2,ISNUMBER($L24),$L24&lt;$J24),"Yes","No")))</f>
        <v/>
      </c>
      <c r="S24" s="18" t="n"/>
      <c r="T24" s="19">
        <f>IF(OR($C24="",$L24="",$K24&lt;&gt;1,NOT(ISNUMBER($L24)),$L24&gt;=$J24),"",IF($S24="","(enter date)",_xlfn.LET(_xlpm.dn,_xlfn.XLOOKUP($S24,nrCDdate,nrCDnum,"",1),IF(_xlpm.dn="","(after last class day)",_xlfn.LET(_xlpm.dd,_xlfn.XLOOKUP(_xlpm.dn+cfgRetestClassDays,nrCDnum,nrCDdate,""),_xlpm.ok,_xlfn.XLOOKUP(_xlpm.dn+cfgRetestClassDays,nrCDnum,nrCDinsession,"No"),IF(OR(_xlpm.dd="",_xlpm.ok&lt;&gt;"Yes"),"(after last class day)",_xlpm.dd))))))</f>
        <v/>
      </c>
      <c r="U24" s="17">
        <f>IF($C24="","",IF(AND($Y24="Excused",$L24="",N($K24)&lt;=1),"EXCUSED - 1st attempt pending",IF(OR($L24="",$K24&lt;&gt;1,NOT(ISNUMBER($L24)),$L24&gt;=$J24),"",IF(COUNTIFS(nrES_PID,$D24,nrES_Code,$F24,nrES_Att,2,nrES_Raw,"&gt;=0")&gt;0,IF(IFERROR(_xlfn.MINIFS(nrES_Date,nrES_PID,$D24,nrES_Code,$F24,nrES_Att,2,nrES_Raw,"&gt;=0",nrES_Date,"&gt;0"),0)=0,"RETEST UNDATED",IF(NOT(ISNUMBER($T24)),"RETEST DATE UNCHECKED",IF(_xlfn.MINIFS(nrES_Date,nrES_PID,$D24,nrES_Code,$F24,nrES_Att,2,nrES_Raw,"&gt;=0",nrES_Date,"&gt;0")&gt;$T24,"LATE RETEST "&amp;TEXT(_xlfn.MINIFS(nrES_Date,nrES_PID,$D24,nrES_Code,$F24,nrES_Att,2,nrES_Raw,"&gt;=0",nrES_Date,"&gt;0"),"mm/dd")&amp;" (due "&amp;TEXT($T24,"mm/dd")&amp;")","Retested"))),IF(NOT(ISNUMBER($T24)),"CHECK DATE",IF(TODAY()&gt;$T24,"OVERDUE","Due "&amp;TEXT($T24,"mm/dd")))))))</f>
        <v/>
      </c>
      <c r="V24" s="16" t="n"/>
      <c r="W24" s="16" t="n"/>
      <c r="X24" s="17">
        <f>IF($C24="","",IF(AND($L24&lt;&gt;"",NOT(ISNUMBER($L24))),"RAW SCORE NOT A NUMBER",IF(AND(ISNUMBER($L24),OR($L24&lt;0,$L24&gt;100)),"RAW SCORE OUT OF RANGE",IF(AND($Y24="Unexcused",OR($L24="",NOT(ISNUMBER($L24)),$L24&lt;&gt;0)),"UNEXCUSED ABSENCE MUST RECORD 0",IF(COUNTIF(nrES_RecID,$B24)&gt;1,"DUPLICATE RECORD",IF(N($K24)&gt;2,"ATTEMPT 3+ NOT ALLOWED - policy 300.5 permits one retest per exam; this row records nothing",IF(AND($K24=2,COUNTIFS(nrES_PID,$D24,nrES_Code,$F24,nrES_Att,1)=0),"ATTEMPT 2 WITHOUT ATTEMPT 1",IF(AND($K24=2,$L24=""),"RETEST ROW HAS NO SCORE",IF(AND($H24="Final",$L24&lt;&gt;"",IFERROR(INDEX(nrCKfinalExamElig,MATCH($D24,rngCadetPIDs,0)),"")="No"),"FINAL EXAM AFTER FAILED FINAL PT (500.1.H)",IF(AND($K24=2,ISNUMBER($L24),COUNTIFS(nrES_PID,$D24,nrES_Code,$F24,nrES_Att,1)&gt;0,SUMIFS(nrES_Raw,nrES_PID,$D24,nrES_Code,$F24,nrES_Att,1)&gt;=$J24),"RETEST AFTER A PASSING FIRST ATTEMPT","OK"))))))))))</f>
        <v/>
      </c>
      <c r="Y24" s="16" t="n"/>
    </row>
    <row r="25">
      <c r="B25" s="17">
        <f>IF($C25="","",$D25&amp;"-"&amp;$F25&amp;"-"&amp;$K25)</f>
        <v/>
      </c>
      <c r="C25" s="16" t="n"/>
      <c r="D25" s="17">
        <f>IF($C25="","",IFERROR(INDEX(rngCadetPIDs,MATCH($C25,rngCadetNames,0)),"?"))</f>
        <v/>
      </c>
      <c r="E25" s="17">
        <f>IF($D25="","",IFERROR(INDEX(nrCadetAgency,MATCH($D25,rngCadetPIDs,0)),""))</f>
        <v/>
      </c>
      <c r="F25" s="16" t="n"/>
      <c r="G25" s="17">
        <f>IF($F25="","",IFERROR(INDEX(rngEPname,MATCH($F25,rngEPcode,0)),"?"))</f>
        <v/>
      </c>
      <c r="H25" s="17">
        <f>IF($F25="","",IFERROR(INDEX(rngEPtype,MATCH($F25,rngEPcode,0)),"?"))</f>
        <v/>
      </c>
      <c r="I25" s="17">
        <f>IF($F25="","",IFERROR(INDEX(rngEPseq,MATCH($F25,rngEPcode,0)),""))</f>
        <v/>
      </c>
      <c r="J25" s="17">
        <f>IF($F25="","",IFERROR(INDEX(rngEPpass,MATCH($F25,rngEPcode,0)),cfgPassingScore))</f>
        <v/>
      </c>
      <c r="K25" s="16" t="n"/>
      <c r="L25" s="16" t="n"/>
      <c r="M25" s="17">
        <f>IF($C25="","",IF($L25="","",IF(NOT(ISNUMBER($L25)),$L25,IF(N($K25)&gt;2,"",IF($K25=1,IF(COUNTIFS(nrES_PID,$D25,nrES_Code,$F25,nrES_Att,2,nrES_Raw,"&gt;=0")&gt;0,"",$L25),IF($L25&gt;=$J25,MAX($J25,cfgRetakeRecordedCap),IF(COUNTIFS(nrES_PID,$D25,nrES_Code,$F25,nrES_Att,1)=0,$L25,SUMIFS(nrES_Raw,nrES_PID,$D25,nrES_Code,$F25,nrES_Att,1))))))))</f>
        <v/>
      </c>
      <c r="N25" s="17">
        <f>IF($C25="","",IF($L25="","",IF(NOT(ISNUMBER($L25)),"(not a score)",IF($L25&gt;=$J25,"Yes","No"))))</f>
        <v/>
      </c>
      <c r="O25" s="17">
        <f>IF($C25="","",IF($M25="","",IF(NOT(ISNUMBER($M25)),"(not a score)",IF($M25&gt;=$J25,"Yes","No"))))</f>
        <v/>
      </c>
      <c r="P25" s="17">
        <f>IF($C25="","",IF($K25="","",IF(N($K25)&gt;2,"No",IF(COUNTIFS(nrES_PID,$D25,nrES_Code,$F25,nrES_Att,"&gt;"&amp;$K25,nrES_Att,"&lt;=2",nrES_Raw,"&gt;=0")=0,"Yes","No"))))</f>
        <v/>
      </c>
      <c r="Q25" s="17">
        <f>IF($C25="","",IF($L25="","",IF(AND($K25=1,ISNUMBER($L25),$L25&lt;$J25,COUNTIFS(nrES_PID,$D25,nrES_Code,$F25,nrES_Att,2,nrES_Raw,"&gt;=0")=0),"Yes","No")))</f>
        <v/>
      </c>
      <c r="R25" s="17">
        <f>IF($C25="","",IF($L25="","",IF(AND(N($K25)&gt;=2,ISNUMBER($L25),$L25&lt;$J25),"Yes","No")))</f>
        <v/>
      </c>
      <c r="S25" s="18" t="n"/>
      <c r="T25" s="19">
        <f>IF(OR($C25="",$L25="",$K25&lt;&gt;1,NOT(ISNUMBER($L25)),$L25&gt;=$J25),"",IF($S25="","(enter date)",_xlfn.LET(_xlpm.dn,_xlfn.XLOOKUP($S25,nrCDdate,nrCDnum,"",1),IF(_xlpm.dn="","(after last class day)",_xlfn.LET(_xlpm.dd,_xlfn.XLOOKUP(_xlpm.dn+cfgRetestClassDays,nrCDnum,nrCDdate,""),_xlpm.ok,_xlfn.XLOOKUP(_xlpm.dn+cfgRetestClassDays,nrCDnum,nrCDinsession,"No"),IF(OR(_xlpm.dd="",_xlpm.ok&lt;&gt;"Yes"),"(after last class day)",_xlpm.dd))))))</f>
        <v/>
      </c>
      <c r="U25" s="17">
        <f>IF($C25="","",IF(AND($Y25="Excused",$L25="",N($K25)&lt;=1),"EXCUSED - 1st attempt pending",IF(OR($L25="",$K25&lt;&gt;1,NOT(ISNUMBER($L25)),$L25&gt;=$J25),"",IF(COUNTIFS(nrES_PID,$D25,nrES_Code,$F25,nrES_Att,2,nrES_Raw,"&gt;=0")&gt;0,IF(IFERROR(_xlfn.MINIFS(nrES_Date,nrES_PID,$D25,nrES_Code,$F25,nrES_Att,2,nrES_Raw,"&gt;=0",nrES_Date,"&gt;0"),0)=0,"RETEST UNDATED",IF(NOT(ISNUMBER($T25)),"RETEST DATE UNCHECKED",IF(_xlfn.MINIFS(nrES_Date,nrES_PID,$D25,nrES_Code,$F25,nrES_Att,2,nrES_Raw,"&gt;=0",nrES_Date,"&gt;0")&gt;$T25,"LATE RETEST "&amp;TEXT(_xlfn.MINIFS(nrES_Date,nrES_PID,$D25,nrES_Code,$F25,nrES_Att,2,nrES_Raw,"&gt;=0",nrES_Date,"&gt;0"),"mm/dd")&amp;" (due "&amp;TEXT($T25,"mm/dd")&amp;")","Retested"))),IF(NOT(ISNUMBER($T25)),"CHECK DATE",IF(TODAY()&gt;$T25,"OVERDUE","Due "&amp;TEXT($T25,"mm/dd")))))))</f>
        <v/>
      </c>
      <c r="V25" s="16" t="n"/>
      <c r="W25" s="16" t="n"/>
      <c r="X25" s="17">
        <f>IF($C25="","",IF(AND($L25&lt;&gt;"",NOT(ISNUMBER($L25))),"RAW SCORE NOT A NUMBER",IF(AND(ISNUMBER($L25),OR($L25&lt;0,$L25&gt;100)),"RAW SCORE OUT OF RANGE",IF(AND($Y25="Unexcused",OR($L25="",NOT(ISNUMBER($L25)),$L25&lt;&gt;0)),"UNEXCUSED ABSENCE MUST RECORD 0",IF(COUNTIF(nrES_RecID,$B25)&gt;1,"DUPLICATE RECORD",IF(N($K25)&gt;2,"ATTEMPT 3+ NOT ALLOWED - policy 300.5 permits one retest per exam; this row records nothing",IF(AND($K25=2,COUNTIFS(nrES_PID,$D25,nrES_Code,$F25,nrES_Att,1)=0),"ATTEMPT 2 WITHOUT ATTEMPT 1",IF(AND($K25=2,$L25=""),"RETEST ROW HAS NO SCORE",IF(AND($H25="Final",$L25&lt;&gt;"",IFERROR(INDEX(nrCKfinalExamElig,MATCH($D25,rngCadetPIDs,0)),"")="No"),"FINAL EXAM AFTER FAILED FINAL PT (500.1.H)",IF(AND($K25=2,ISNUMBER($L25),COUNTIFS(nrES_PID,$D25,nrES_Code,$F25,nrES_Att,1)&gt;0,SUMIFS(nrES_Raw,nrES_PID,$D25,nrES_Code,$F25,nrES_Att,1)&gt;=$J25),"RETEST AFTER A PASSING FIRST ATTEMPT","OK"))))))))))</f>
        <v/>
      </c>
      <c r="Y25" s="16" t="n"/>
    </row>
    <row r="26">
      <c r="B26" s="17">
        <f>IF($C26="","",$D26&amp;"-"&amp;$F26&amp;"-"&amp;$K26)</f>
        <v/>
      </c>
      <c r="C26" s="16" t="n"/>
      <c r="D26" s="17">
        <f>IF($C26="","",IFERROR(INDEX(rngCadetPIDs,MATCH($C26,rngCadetNames,0)),"?"))</f>
        <v/>
      </c>
      <c r="E26" s="17">
        <f>IF($D26="","",IFERROR(INDEX(nrCadetAgency,MATCH($D26,rngCadetPIDs,0)),""))</f>
        <v/>
      </c>
      <c r="F26" s="16" t="n"/>
      <c r="G26" s="17">
        <f>IF($F26="","",IFERROR(INDEX(rngEPname,MATCH($F26,rngEPcode,0)),"?"))</f>
        <v/>
      </c>
      <c r="H26" s="17">
        <f>IF($F26="","",IFERROR(INDEX(rngEPtype,MATCH($F26,rngEPcode,0)),"?"))</f>
        <v/>
      </c>
      <c r="I26" s="17">
        <f>IF($F26="","",IFERROR(INDEX(rngEPseq,MATCH($F26,rngEPcode,0)),""))</f>
        <v/>
      </c>
      <c r="J26" s="17">
        <f>IF($F26="","",IFERROR(INDEX(rngEPpass,MATCH($F26,rngEPcode,0)),cfgPassingScore))</f>
        <v/>
      </c>
      <c r="K26" s="16" t="n"/>
      <c r="L26" s="16" t="n"/>
      <c r="M26" s="17">
        <f>IF($C26="","",IF($L26="","",IF(NOT(ISNUMBER($L26)),$L26,IF(N($K26)&gt;2,"",IF($K26=1,IF(COUNTIFS(nrES_PID,$D26,nrES_Code,$F26,nrES_Att,2,nrES_Raw,"&gt;=0")&gt;0,"",$L26),IF($L26&gt;=$J26,MAX($J26,cfgRetakeRecordedCap),IF(COUNTIFS(nrES_PID,$D26,nrES_Code,$F26,nrES_Att,1)=0,$L26,SUMIFS(nrES_Raw,nrES_PID,$D26,nrES_Code,$F26,nrES_Att,1))))))))</f>
        <v/>
      </c>
      <c r="N26" s="17">
        <f>IF($C26="","",IF($L26="","",IF(NOT(ISNUMBER($L26)),"(not a score)",IF($L26&gt;=$J26,"Yes","No"))))</f>
        <v/>
      </c>
      <c r="O26" s="17">
        <f>IF($C26="","",IF($M26="","",IF(NOT(ISNUMBER($M26)),"(not a score)",IF($M26&gt;=$J26,"Yes","No"))))</f>
        <v/>
      </c>
      <c r="P26" s="17">
        <f>IF($C26="","",IF($K26="","",IF(N($K26)&gt;2,"No",IF(COUNTIFS(nrES_PID,$D26,nrES_Code,$F26,nrES_Att,"&gt;"&amp;$K26,nrES_Att,"&lt;=2",nrES_Raw,"&gt;=0")=0,"Yes","No"))))</f>
        <v/>
      </c>
      <c r="Q26" s="17">
        <f>IF($C26="","",IF($L26="","",IF(AND($K26=1,ISNUMBER($L26),$L26&lt;$J26,COUNTIFS(nrES_PID,$D26,nrES_Code,$F26,nrES_Att,2,nrES_Raw,"&gt;=0")=0),"Yes","No")))</f>
        <v/>
      </c>
      <c r="R26" s="17">
        <f>IF($C26="","",IF($L26="","",IF(AND(N($K26)&gt;=2,ISNUMBER($L26),$L26&lt;$J26),"Yes","No")))</f>
        <v/>
      </c>
      <c r="S26" s="18" t="n"/>
      <c r="T26" s="19">
        <f>IF(OR($C26="",$L26="",$K26&lt;&gt;1,NOT(ISNUMBER($L26)),$L26&gt;=$J26),"",IF($S26="","(enter date)",_xlfn.LET(_xlpm.dn,_xlfn.XLOOKUP($S26,nrCDdate,nrCDnum,"",1),IF(_xlpm.dn="","(after last class day)",_xlfn.LET(_xlpm.dd,_xlfn.XLOOKUP(_xlpm.dn+cfgRetestClassDays,nrCDnum,nrCDdate,""),_xlpm.ok,_xlfn.XLOOKUP(_xlpm.dn+cfgRetestClassDays,nrCDnum,nrCDinsession,"No"),IF(OR(_xlpm.dd="",_xlpm.ok&lt;&gt;"Yes"),"(after last class day)",_xlpm.dd))))))</f>
        <v/>
      </c>
      <c r="U26" s="17">
        <f>IF($C26="","",IF(AND($Y26="Excused",$L26="",N($K26)&lt;=1),"EXCUSED - 1st attempt pending",IF(OR($L26="",$K26&lt;&gt;1,NOT(ISNUMBER($L26)),$L26&gt;=$J26),"",IF(COUNTIFS(nrES_PID,$D26,nrES_Code,$F26,nrES_Att,2,nrES_Raw,"&gt;=0")&gt;0,IF(IFERROR(_xlfn.MINIFS(nrES_Date,nrES_PID,$D26,nrES_Code,$F26,nrES_Att,2,nrES_Raw,"&gt;=0",nrES_Date,"&gt;0"),0)=0,"RETEST UNDATED",IF(NOT(ISNUMBER($T26)),"RETEST DATE UNCHECKED",IF(_xlfn.MINIFS(nrES_Date,nrES_PID,$D26,nrES_Code,$F26,nrES_Att,2,nrES_Raw,"&gt;=0",nrES_Date,"&gt;0")&gt;$T26,"LATE RETEST "&amp;TEXT(_xlfn.MINIFS(nrES_Date,nrES_PID,$D26,nrES_Code,$F26,nrES_Att,2,nrES_Raw,"&gt;=0",nrES_Date,"&gt;0"),"mm/dd")&amp;" (due "&amp;TEXT($T26,"mm/dd")&amp;")","Retested"))),IF(NOT(ISNUMBER($T26)),"CHECK DATE",IF(TODAY()&gt;$T26,"OVERDUE","Due "&amp;TEXT($T26,"mm/dd")))))))</f>
        <v/>
      </c>
      <c r="V26" s="16" t="n"/>
      <c r="W26" s="16" t="n"/>
      <c r="X26" s="17">
        <f>IF($C26="","",IF(AND($L26&lt;&gt;"",NOT(ISNUMBER($L26))),"RAW SCORE NOT A NUMBER",IF(AND(ISNUMBER($L26),OR($L26&lt;0,$L26&gt;100)),"RAW SCORE OUT OF RANGE",IF(AND($Y26="Unexcused",OR($L26="",NOT(ISNUMBER($L26)),$L26&lt;&gt;0)),"UNEXCUSED ABSENCE MUST RECORD 0",IF(COUNTIF(nrES_RecID,$B26)&gt;1,"DUPLICATE RECORD",IF(N($K26)&gt;2,"ATTEMPT 3+ NOT ALLOWED - policy 300.5 permits one retest per exam; this row records nothing",IF(AND($K26=2,COUNTIFS(nrES_PID,$D26,nrES_Code,$F26,nrES_Att,1)=0),"ATTEMPT 2 WITHOUT ATTEMPT 1",IF(AND($K26=2,$L26=""),"RETEST ROW HAS NO SCORE",IF(AND($H26="Final",$L26&lt;&gt;"",IFERROR(INDEX(nrCKfinalExamElig,MATCH($D26,rngCadetPIDs,0)),"")="No"),"FINAL EXAM AFTER FAILED FINAL PT (500.1.H)",IF(AND($K26=2,ISNUMBER($L26),COUNTIFS(nrES_PID,$D26,nrES_Code,$F26,nrES_Att,1)&gt;0,SUMIFS(nrES_Raw,nrES_PID,$D26,nrES_Code,$F26,nrES_Att,1)&gt;=$J26),"RETEST AFTER A PASSING FIRST ATTEMPT","OK"))))))))))</f>
        <v/>
      </c>
      <c r="Y26" s="16" t="n"/>
    </row>
    <row r="27">
      <c r="B27" s="17">
        <f>IF($C27="","",$D27&amp;"-"&amp;$F27&amp;"-"&amp;$K27)</f>
        <v/>
      </c>
      <c r="C27" s="16" t="n"/>
      <c r="D27" s="17">
        <f>IF($C27="","",IFERROR(INDEX(rngCadetPIDs,MATCH($C27,rngCadetNames,0)),"?"))</f>
        <v/>
      </c>
      <c r="E27" s="17">
        <f>IF($D27="","",IFERROR(INDEX(nrCadetAgency,MATCH($D27,rngCadetPIDs,0)),""))</f>
        <v/>
      </c>
      <c r="F27" s="16" t="n"/>
      <c r="G27" s="17">
        <f>IF($F27="","",IFERROR(INDEX(rngEPname,MATCH($F27,rngEPcode,0)),"?"))</f>
        <v/>
      </c>
      <c r="H27" s="17">
        <f>IF($F27="","",IFERROR(INDEX(rngEPtype,MATCH($F27,rngEPcode,0)),"?"))</f>
        <v/>
      </c>
      <c r="I27" s="17">
        <f>IF($F27="","",IFERROR(INDEX(rngEPseq,MATCH($F27,rngEPcode,0)),""))</f>
        <v/>
      </c>
      <c r="J27" s="17">
        <f>IF($F27="","",IFERROR(INDEX(rngEPpass,MATCH($F27,rngEPcode,0)),cfgPassingScore))</f>
        <v/>
      </c>
      <c r="K27" s="16" t="n"/>
      <c r="L27" s="16" t="n"/>
      <c r="M27" s="17">
        <f>IF($C27="","",IF($L27="","",IF(NOT(ISNUMBER($L27)),$L27,IF(N($K27)&gt;2,"",IF($K27=1,IF(COUNTIFS(nrES_PID,$D27,nrES_Code,$F27,nrES_Att,2,nrES_Raw,"&gt;=0")&gt;0,"",$L27),IF($L27&gt;=$J27,MAX($J27,cfgRetakeRecordedCap),IF(COUNTIFS(nrES_PID,$D27,nrES_Code,$F27,nrES_Att,1)=0,$L27,SUMIFS(nrES_Raw,nrES_PID,$D27,nrES_Code,$F27,nrES_Att,1))))))))</f>
        <v/>
      </c>
      <c r="N27" s="17">
        <f>IF($C27="","",IF($L27="","",IF(NOT(ISNUMBER($L27)),"(not a score)",IF($L27&gt;=$J27,"Yes","No"))))</f>
        <v/>
      </c>
      <c r="O27" s="17">
        <f>IF($C27="","",IF($M27="","",IF(NOT(ISNUMBER($M27)),"(not a score)",IF($M27&gt;=$J27,"Yes","No"))))</f>
        <v/>
      </c>
      <c r="P27" s="17">
        <f>IF($C27="","",IF($K27="","",IF(N($K27)&gt;2,"No",IF(COUNTIFS(nrES_PID,$D27,nrES_Code,$F27,nrES_Att,"&gt;"&amp;$K27,nrES_Att,"&lt;=2",nrES_Raw,"&gt;=0")=0,"Yes","No"))))</f>
        <v/>
      </c>
      <c r="Q27" s="17">
        <f>IF($C27="","",IF($L27="","",IF(AND($K27=1,ISNUMBER($L27),$L27&lt;$J27,COUNTIFS(nrES_PID,$D27,nrES_Code,$F27,nrES_Att,2,nrES_Raw,"&gt;=0")=0),"Yes","No")))</f>
        <v/>
      </c>
      <c r="R27" s="17">
        <f>IF($C27="","",IF($L27="","",IF(AND(N($K27)&gt;=2,ISNUMBER($L27),$L27&lt;$J27),"Yes","No")))</f>
        <v/>
      </c>
      <c r="S27" s="18" t="n"/>
      <c r="T27" s="19">
        <f>IF(OR($C27="",$L27="",$K27&lt;&gt;1,NOT(ISNUMBER($L27)),$L27&gt;=$J27),"",IF($S27="","(enter date)",_xlfn.LET(_xlpm.dn,_xlfn.XLOOKUP($S27,nrCDdate,nrCDnum,"",1),IF(_xlpm.dn="","(after last class day)",_xlfn.LET(_xlpm.dd,_xlfn.XLOOKUP(_xlpm.dn+cfgRetestClassDays,nrCDnum,nrCDdate,""),_xlpm.ok,_xlfn.XLOOKUP(_xlpm.dn+cfgRetestClassDays,nrCDnum,nrCDinsession,"No"),IF(OR(_xlpm.dd="",_xlpm.ok&lt;&gt;"Yes"),"(after last class day)",_xlpm.dd))))))</f>
        <v/>
      </c>
      <c r="U27" s="17">
        <f>IF($C27="","",IF(AND($Y27="Excused",$L27="",N($K27)&lt;=1),"EXCUSED - 1st attempt pending",IF(OR($L27="",$K27&lt;&gt;1,NOT(ISNUMBER($L27)),$L27&gt;=$J27),"",IF(COUNTIFS(nrES_PID,$D27,nrES_Code,$F27,nrES_Att,2,nrES_Raw,"&gt;=0")&gt;0,IF(IFERROR(_xlfn.MINIFS(nrES_Date,nrES_PID,$D27,nrES_Code,$F27,nrES_Att,2,nrES_Raw,"&gt;=0",nrES_Date,"&gt;0"),0)=0,"RETEST UNDATED",IF(NOT(ISNUMBER($T27)),"RETEST DATE UNCHECKED",IF(_xlfn.MINIFS(nrES_Date,nrES_PID,$D27,nrES_Code,$F27,nrES_Att,2,nrES_Raw,"&gt;=0",nrES_Date,"&gt;0")&gt;$T27,"LATE RETEST "&amp;TEXT(_xlfn.MINIFS(nrES_Date,nrES_PID,$D27,nrES_Code,$F27,nrES_Att,2,nrES_Raw,"&gt;=0",nrES_Date,"&gt;0"),"mm/dd")&amp;" (due "&amp;TEXT($T27,"mm/dd")&amp;")","Retested"))),IF(NOT(ISNUMBER($T27)),"CHECK DATE",IF(TODAY()&gt;$T27,"OVERDUE","Due "&amp;TEXT($T27,"mm/dd")))))))</f>
        <v/>
      </c>
      <c r="V27" s="16" t="n"/>
      <c r="W27" s="16" t="n"/>
      <c r="X27" s="17">
        <f>IF($C27="","",IF(AND($L27&lt;&gt;"",NOT(ISNUMBER($L27))),"RAW SCORE NOT A NUMBER",IF(AND(ISNUMBER($L27),OR($L27&lt;0,$L27&gt;100)),"RAW SCORE OUT OF RANGE",IF(AND($Y27="Unexcused",OR($L27="",NOT(ISNUMBER($L27)),$L27&lt;&gt;0)),"UNEXCUSED ABSENCE MUST RECORD 0",IF(COUNTIF(nrES_RecID,$B27)&gt;1,"DUPLICATE RECORD",IF(N($K27)&gt;2,"ATTEMPT 3+ NOT ALLOWED - policy 300.5 permits one retest per exam; this row records nothing",IF(AND($K27=2,COUNTIFS(nrES_PID,$D27,nrES_Code,$F27,nrES_Att,1)=0),"ATTEMPT 2 WITHOUT ATTEMPT 1",IF(AND($K27=2,$L27=""),"RETEST ROW HAS NO SCORE",IF(AND($H27="Final",$L27&lt;&gt;"",IFERROR(INDEX(nrCKfinalExamElig,MATCH($D27,rngCadetPIDs,0)),"")="No"),"FINAL EXAM AFTER FAILED FINAL PT (500.1.H)",IF(AND($K27=2,ISNUMBER($L27),COUNTIFS(nrES_PID,$D27,nrES_Code,$F27,nrES_Att,1)&gt;0,SUMIFS(nrES_Raw,nrES_PID,$D27,nrES_Code,$F27,nrES_Att,1)&gt;=$J27),"RETEST AFTER A PASSING FIRST ATTEMPT","OK"))))))))))</f>
        <v/>
      </c>
      <c r="Y27" s="16" t="n"/>
    </row>
    <row r="28">
      <c r="B28" s="17">
        <f>IF($C28="","",$D28&amp;"-"&amp;$F28&amp;"-"&amp;$K28)</f>
        <v/>
      </c>
      <c r="C28" s="16" t="n"/>
      <c r="D28" s="17">
        <f>IF($C28="","",IFERROR(INDEX(rngCadetPIDs,MATCH($C28,rngCadetNames,0)),"?"))</f>
        <v/>
      </c>
      <c r="E28" s="17">
        <f>IF($D28="","",IFERROR(INDEX(nrCadetAgency,MATCH($D28,rngCadetPIDs,0)),""))</f>
        <v/>
      </c>
      <c r="F28" s="16" t="n"/>
      <c r="G28" s="17">
        <f>IF($F28="","",IFERROR(INDEX(rngEPname,MATCH($F28,rngEPcode,0)),"?"))</f>
        <v/>
      </c>
      <c r="H28" s="17">
        <f>IF($F28="","",IFERROR(INDEX(rngEPtype,MATCH($F28,rngEPcode,0)),"?"))</f>
        <v/>
      </c>
      <c r="I28" s="17">
        <f>IF($F28="","",IFERROR(INDEX(rngEPseq,MATCH($F28,rngEPcode,0)),""))</f>
        <v/>
      </c>
      <c r="J28" s="17">
        <f>IF($F28="","",IFERROR(INDEX(rngEPpass,MATCH($F28,rngEPcode,0)),cfgPassingScore))</f>
        <v/>
      </c>
      <c r="K28" s="16" t="n"/>
      <c r="L28" s="16" t="n"/>
      <c r="M28" s="17">
        <f>IF($C28="","",IF($L28="","",IF(NOT(ISNUMBER($L28)),$L28,IF(N($K28)&gt;2,"",IF($K28=1,IF(COUNTIFS(nrES_PID,$D28,nrES_Code,$F28,nrES_Att,2,nrES_Raw,"&gt;=0")&gt;0,"",$L28),IF($L28&gt;=$J28,MAX($J28,cfgRetakeRecordedCap),IF(COUNTIFS(nrES_PID,$D28,nrES_Code,$F28,nrES_Att,1)=0,$L28,SUMIFS(nrES_Raw,nrES_PID,$D28,nrES_Code,$F28,nrES_Att,1))))))))</f>
        <v/>
      </c>
      <c r="N28" s="17">
        <f>IF($C28="","",IF($L28="","",IF(NOT(ISNUMBER($L28)),"(not a score)",IF($L28&gt;=$J28,"Yes","No"))))</f>
        <v/>
      </c>
      <c r="O28" s="17">
        <f>IF($C28="","",IF($M28="","",IF(NOT(ISNUMBER($M28)),"(not a score)",IF($M28&gt;=$J28,"Yes","No"))))</f>
        <v/>
      </c>
      <c r="P28" s="17">
        <f>IF($C28="","",IF($K28="","",IF(N($K28)&gt;2,"No",IF(COUNTIFS(nrES_PID,$D28,nrES_Code,$F28,nrES_Att,"&gt;"&amp;$K28,nrES_Att,"&lt;=2",nrES_Raw,"&gt;=0")=0,"Yes","No"))))</f>
        <v/>
      </c>
      <c r="Q28" s="17">
        <f>IF($C28="","",IF($L28="","",IF(AND($K28=1,ISNUMBER($L28),$L28&lt;$J28,COUNTIFS(nrES_PID,$D28,nrES_Code,$F28,nrES_Att,2,nrES_Raw,"&gt;=0")=0),"Yes","No")))</f>
        <v/>
      </c>
      <c r="R28" s="17">
        <f>IF($C28="","",IF($L28="","",IF(AND(N($K28)&gt;=2,ISNUMBER($L28),$L28&lt;$J28),"Yes","No")))</f>
        <v/>
      </c>
      <c r="S28" s="18" t="n"/>
      <c r="T28" s="19">
        <f>IF(OR($C28="",$L28="",$K28&lt;&gt;1,NOT(ISNUMBER($L28)),$L28&gt;=$J28),"",IF($S28="","(enter date)",_xlfn.LET(_xlpm.dn,_xlfn.XLOOKUP($S28,nrCDdate,nrCDnum,"",1),IF(_xlpm.dn="","(after last class day)",_xlfn.LET(_xlpm.dd,_xlfn.XLOOKUP(_xlpm.dn+cfgRetestClassDays,nrCDnum,nrCDdate,""),_xlpm.ok,_xlfn.XLOOKUP(_xlpm.dn+cfgRetestClassDays,nrCDnum,nrCDinsession,"No"),IF(OR(_xlpm.dd="",_xlpm.ok&lt;&gt;"Yes"),"(after last class day)",_xlpm.dd))))))</f>
        <v/>
      </c>
      <c r="U28" s="17">
        <f>IF($C28="","",IF(AND($Y28="Excused",$L28="",N($K28)&lt;=1),"EXCUSED - 1st attempt pending",IF(OR($L28="",$K28&lt;&gt;1,NOT(ISNUMBER($L28)),$L28&gt;=$J28),"",IF(COUNTIFS(nrES_PID,$D28,nrES_Code,$F28,nrES_Att,2,nrES_Raw,"&gt;=0")&gt;0,IF(IFERROR(_xlfn.MINIFS(nrES_Date,nrES_PID,$D28,nrES_Code,$F28,nrES_Att,2,nrES_Raw,"&gt;=0",nrES_Date,"&gt;0"),0)=0,"RETEST UNDATED",IF(NOT(ISNUMBER($T28)),"RETEST DATE UNCHECKED",IF(_xlfn.MINIFS(nrES_Date,nrES_PID,$D28,nrES_Code,$F28,nrES_Att,2,nrES_Raw,"&gt;=0",nrES_Date,"&gt;0")&gt;$T28,"LATE RETEST "&amp;TEXT(_xlfn.MINIFS(nrES_Date,nrES_PID,$D28,nrES_Code,$F28,nrES_Att,2,nrES_Raw,"&gt;=0",nrES_Date,"&gt;0"),"mm/dd")&amp;" (due "&amp;TEXT($T28,"mm/dd")&amp;")","Retested"))),IF(NOT(ISNUMBER($T28)),"CHECK DATE",IF(TODAY()&gt;$T28,"OVERDUE","Due "&amp;TEXT($T28,"mm/dd")))))))</f>
        <v/>
      </c>
      <c r="V28" s="16" t="n"/>
      <c r="W28" s="16" t="n"/>
      <c r="X28" s="17">
        <f>IF($C28="","",IF(AND($L28&lt;&gt;"",NOT(ISNUMBER($L28))),"RAW SCORE NOT A NUMBER",IF(AND(ISNUMBER($L28),OR($L28&lt;0,$L28&gt;100)),"RAW SCORE OUT OF RANGE",IF(AND($Y28="Unexcused",OR($L28="",NOT(ISNUMBER($L28)),$L28&lt;&gt;0)),"UNEXCUSED ABSENCE MUST RECORD 0",IF(COUNTIF(nrES_RecID,$B28)&gt;1,"DUPLICATE RECORD",IF(N($K28)&gt;2,"ATTEMPT 3+ NOT ALLOWED - policy 300.5 permits one retest per exam; this row records nothing",IF(AND($K28=2,COUNTIFS(nrES_PID,$D28,nrES_Code,$F28,nrES_Att,1)=0),"ATTEMPT 2 WITHOUT ATTEMPT 1",IF(AND($K28=2,$L28=""),"RETEST ROW HAS NO SCORE",IF(AND($H28="Final",$L28&lt;&gt;"",IFERROR(INDEX(nrCKfinalExamElig,MATCH($D28,rngCadetPIDs,0)),"")="No"),"FINAL EXAM AFTER FAILED FINAL PT (500.1.H)",IF(AND($K28=2,ISNUMBER($L28),COUNTIFS(nrES_PID,$D28,nrES_Code,$F28,nrES_Att,1)&gt;0,SUMIFS(nrES_Raw,nrES_PID,$D28,nrES_Code,$F28,nrES_Att,1)&gt;=$J28),"RETEST AFTER A PASSING FIRST ATTEMPT","OK"))))))))))</f>
        <v/>
      </c>
      <c r="Y28" s="16" t="n"/>
    </row>
    <row r="29">
      <c r="B29" s="17">
        <f>IF($C29="","",$D29&amp;"-"&amp;$F29&amp;"-"&amp;$K29)</f>
        <v/>
      </c>
      <c r="C29" s="16" t="n"/>
      <c r="D29" s="17">
        <f>IF($C29="","",IFERROR(INDEX(rngCadetPIDs,MATCH($C29,rngCadetNames,0)),"?"))</f>
        <v/>
      </c>
      <c r="E29" s="17">
        <f>IF($D29="","",IFERROR(INDEX(nrCadetAgency,MATCH($D29,rngCadetPIDs,0)),""))</f>
        <v/>
      </c>
      <c r="F29" s="16" t="n"/>
      <c r="G29" s="17">
        <f>IF($F29="","",IFERROR(INDEX(rngEPname,MATCH($F29,rngEPcode,0)),"?"))</f>
        <v/>
      </c>
      <c r="H29" s="17">
        <f>IF($F29="","",IFERROR(INDEX(rngEPtype,MATCH($F29,rngEPcode,0)),"?"))</f>
        <v/>
      </c>
      <c r="I29" s="17">
        <f>IF($F29="","",IFERROR(INDEX(rngEPseq,MATCH($F29,rngEPcode,0)),""))</f>
        <v/>
      </c>
      <c r="J29" s="17">
        <f>IF($F29="","",IFERROR(INDEX(rngEPpass,MATCH($F29,rngEPcode,0)),cfgPassingScore))</f>
        <v/>
      </c>
      <c r="K29" s="16" t="n"/>
      <c r="L29" s="16" t="n"/>
      <c r="M29" s="17">
        <f>IF($C29="","",IF($L29="","",IF(NOT(ISNUMBER($L29)),$L29,IF(N($K29)&gt;2,"",IF($K29=1,IF(COUNTIFS(nrES_PID,$D29,nrES_Code,$F29,nrES_Att,2,nrES_Raw,"&gt;=0")&gt;0,"",$L29),IF($L29&gt;=$J29,MAX($J29,cfgRetakeRecordedCap),IF(COUNTIFS(nrES_PID,$D29,nrES_Code,$F29,nrES_Att,1)=0,$L29,SUMIFS(nrES_Raw,nrES_PID,$D29,nrES_Code,$F29,nrES_Att,1))))))))</f>
        <v/>
      </c>
      <c r="N29" s="17">
        <f>IF($C29="","",IF($L29="","",IF(NOT(ISNUMBER($L29)),"(not a score)",IF($L29&gt;=$J29,"Yes","No"))))</f>
        <v/>
      </c>
      <c r="O29" s="17">
        <f>IF($C29="","",IF($M29="","",IF(NOT(ISNUMBER($M29)),"(not a score)",IF($M29&gt;=$J29,"Yes","No"))))</f>
        <v/>
      </c>
      <c r="P29" s="17">
        <f>IF($C29="","",IF($K29="","",IF(N($K29)&gt;2,"No",IF(COUNTIFS(nrES_PID,$D29,nrES_Code,$F29,nrES_Att,"&gt;"&amp;$K29,nrES_Att,"&lt;=2",nrES_Raw,"&gt;=0")=0,"Yes","No"))))</f>
        <v/>
      </c>
      <c r="Q29" s="17">
        <f>IF($C29="","",IF($L29="","",IF(AND($K29=1,ISNUMBER($L29),$L29&lt;$J29,COUNTIFS(nrES_PID,$D29,nrES_Code,$F29,nrES_Att,2,nrES_Raw,"&gt;=0")=0),"Yes","No")))</f>
        <v/>
      </c>
      <c r="R29" s="17">
        <f>IF($C29="","",IF($L29="","",IF(AND(N($K29)&gt;=2,ISNUMBER($L29),$L29&lt;$J29),"Yes","No")))</f>
        <v/>
      </c>
      <c r="S29" s="18" t="n"/>
      <c r="T29" s="19">
        <f>IF(OR($C29="",$L29="",$K29&lt;&gt;1,NOT(ISNUMBER($L29)),$L29&gt;=$J29),"",IF($S29="","(enter date)",_xlfn.LET(_xlpm.dn,_xlfn.XLOOKUP($S29,nrCDdate,nrCDnum,"",1),IF(_xlpm.dn="","(after last class day)",_xlfn.LET(_xlpm.dd,_xlfn.XLOOKUP(_xlpm.dn+cfgRetestClassDays,nrCDnum,nrCDdate,""),_xlpm.ok,_xlfn.XLOOKUP(_xlpm.dn+cfgRetestClassDays,nrCDnum,nrCDinsession,"No"),IF(OR(_xlpm.dd="",_xlpm.ok&lt;&gt;"Yes"),"(after last class day)",_xlpm.dd))))))</f>
        <v/>
      </c>
      <c r="U29" s="17">
        <f>IF($C29="","",IF(AND($Y29="Excused",$L29="",N($K29)&lt;=1),"EXCUSED - 1st attempt pending",IF(OR($L29="",$K29&lt;&gt;1,NOT(ISNUMBER($L29)),$L29&gt;=$J29),"",IF(COUNTIFS(nrES_PID,$D29,nrES_Code,$F29,nrES_Att,2,nrES_Raw,"&gt;=0")&gt;0,IF(IFERROR(_xlfn.MINIFS(nrES_Date,nrES_PID,$D29,nrES_Code,$F29,nrES_Att,2,nrES_Raw,"&gt;=0",nrES_Date,"&gt;0"),0)=0,"RETEST UNDATED",IF(NOT(ISNUMBER($T29)),"RETEST DATE UNCHECKED",IF(_xlfn.MINIFS(nrES_Date,nrES_PID,$D29,nrES_Code,$F29,nrES_Att,2,nrES_Raw,"&gt;=0",nrES_Date,"&gt;0")&gt;$T29,"LATE RETEST "&amp;TEXT(_xlfn.MINIFS(nrES_Date,nrES_PID,$D29,nrES_Code,$F29,nrES_Att,2,nrES_Raw,"&gt;=0",nrES_Date,"&gt;0"),"mm/dd")&amp;" (due "&amp;TEXT($T29,"mm/dd")&amp;")","Retested"))),IF(NOT(ISNUMBER($T29)),"CHECK DATE",IF(TODAY()&gt;$T29,"OVERDUE","Due "&amp;TEXT($T29,"mm/dd")))))))</f>
        <v/>
      </c>
      <c r="V29" s="16" t="n"/>
      <c r="W29" s="16" t="n"/>
      <c r="X29" s="17">
        <f>IF($C29="","",IF(AND($L29&lt;&gt;"",NOT(ISNUMBER($L29))),"RAW SCORE NOT A NUMBER",IF(AND(ISNUMBER($L29),OR($L29&lt;0,$L29&gt;100)),"RAW SCORE OUT OF RANGE",IF(AND($Y29="Unexcused",OR($L29="",NOT(ISNUMBER($L29)),$L29&lt;&gt;0)),"UNEXCUSED ABSENCE MUST RECORD 0",IF(COUNTIF(nrES_RecID,$B29)&gt;1,"DUPLICATE RECORD",IF(N($K29)&gt;2,"ATTEMPT 3+ NOT ALLOWED - policy 300.5 permits one retest per exam; this row records nothing",IF(AND($K29=2,COUNTIFS(nrES_PID,$D29,nrES_Code,$F29,nrES_Att,1)=0),"ATTEMPT 2 WITHOUT ATTEMPT 1",IF(AND($K29=2,$L29=""),"RETEST ROW HAS NO SCORE",IF(AND($H29="Final",$L29&lt;&gt;"",IFERROR(INDEX(nrCKfinalExamElig,MATCH($D29,rngCadetPIDs,0)),"")="No"),"FINAL EXAM AFTER FAILED FINAL PT (500.1.H)",IF(AND($K29=2,ISNUMBER($L29),COUNTIFS(nrES_PID,$D29,nrES_Code,$F29,nrES_Att,1)&gt;0,SUMIFS(nrES_Raw,nrES_PID,$D29,nrES_Code,$F29,nrES_Att,1)&gt;=$J29),"RETEST AFTER A PASSING FIRST ATTEMPT","OK"))))))))))</f>
        <v/>
      </c>
      <c r="Y29" s="16" t="n"/>
    </row>
    <row r="30">
      <c r="B30" s="17">
        <f>IF($C30="","",$D30&amp;"-"&amp;$F30&amp;"-"&amp;$K30)</f>
        <v/>
      </c>
      <c r="C30" s="16" t="n"/>
      <c r="D30" s="17">
        <f>IF($C30="","",IFERROR(INDEX(rngCadetPIDs,MATCH($C30,rngCadetNames,0)),"?"))</f>
        <v/>
      </c>
      <c r="E30" s="17">
        <f>IF($D30="","",IFERROR(INDEX(nrCadetAgency,MATCH($D30,rngCadetPIDs,0)),""))</f>
        <v/>
      </c>
      <c r="F30" s="16" t="n"/>
      <c r="G30" s="17">
        <f>IF($F30="","",IFERROR(INDEX(rngEPname,MATCH($F30,rngEPcode,0)),"?"))</f>
        <v/>
      </c>
      <c r="H30" s="17">
        <f>IF($F30="","",IFERROR(INDEX(rngEPtype,MATCH($F30,rngEPcode,0)),"?"))</f>
        <v/>
      </c>
      <c r="I30" s="17">
        <f>IF($F30="","",IFERROR(INDEX(rngEPseq,MATCH($F30,rngEPcode,0)),""))</f>
        <v/>
      </c>
      <c r="J30" s="17">
        <f>IF($F30="","",IFERROR(INDEX(rngEPpass,MATCH($F30,rngEPcode,0)),cfgPassingScore))</f>
        <v/>
      </c>
      <c r="K30" s="16" t="n"/>
      <c r="L30" s="16" t="n"/>
      <c r="M30" s="17">
        <f>IF($C30="","",IF($L30="","",IF(NOT(ISNUMBER($L30)),$L30,IF(N($K30)&gt;2,"",IF($K30=1,IF(COUNTIFS(nrES_PID,$D30,nrES_Code,$F30,nrES_Att,2,nrES_Raw,"&gt;=0")&gt;0,"",$L30),IF($L30&gt;=$J30,MAX($J30,cfgRetakeRecordedCap),IF(COUNTIFS(nrES_PID,$D30,nrES_Code,$F30,nrES_Att,1)=0,$L30,SUMIFS(nrES_Raw,nrES_PID,$D30,nrES_Code,$F30,nrES_Att,1))))))))</f>
        <v/>
      </c>
      <c r="N30" s="17">
        <f>IF($C30="","",IF($L30="","",IF(NOT(ISNUMBER($L30)),"(not a score)",IF($L30&gt;=$J30,"Yes","No"))))</f>
        <v/>
      </c>
      <c r="O30" s="17">
        <f>IF($C30="","",IF($M30="","",IF(NOT(ISNUMBER($M30)),"(not a score)",IF($M30&gt;=$J30,"Yes","No"))))</f>
        <v/>
      </c>
      <c r="P30" s="17">
        <f>IF($C30="","",IF($K30="","",IF(N($K30)&gt;2,"No",IF(COUNTIFS(nrES_PID,$D30,nrES_Code,$F30,nrES_Att,"&gt;"&amp;$K30,nrES_Att,"&lt;=2",nrES_Raw,"&gt;=0")=0,"Yes","No"))))</f>
        <v/>
      </c>
      <c r="Q30" s="17">
        <f>IF($C30="","",IF($L30="","",IF(AND($K30=1,ISNUMBER($L30),$L30&lt;$J30,COUNTIFS(nrES_PID,$D30,nrES_Code,$F30,nrES_Att,2,nrES_Raw,"&gt;=0")=0),"Yes","No")))</f>
        <v/>
      </c>
      <c r="R30" s="17">
        <f>IF($C30="","",IF($L30="","",IF(AND(N($K30)&gt;=2,ISNUMBER($L30),$L30&lt;$J30),"Yes","No")))</f>
        <v/>
      </c>
      <c r="S30" s="18" t="n"/>
      <c r="T30" s="19">
        <f>IF(OR($C30="",$L30="",$K30&lt;&gt;1,NOT(ISNUMBER($L30)),$L30&gt;=$J30),"",IF($S30="","(enter date)",_xlfn.LET(_xlpm.dn,_xlfn.XLOOKUP($S30,nrCDdate,nrCDnum,"",1),IF(_xlpm.dn="","(after last class day)",_xlfn.LET(_xlpm.dd,_xlfn.XLOOKUP(_xlpm.dn+cfgRetestClassDays,nrCDnum,nrCDdate,""),_xlpm.ok,_xlfn.XLOOKUP(_xlpm.dn+cfgRetestClassDays,nrCDnum,nrCDinsession,"No"),IF(OR(_xlpm.dd="",_xlpm.ok&lt;&gt;"Yes"),"(after last class day)",_xlpm.dd))))))</f>
        <v/>
      </c>
      <c r="U30" s="17">
        <f>IF($C30="","",IF(AND($Y30="Excused",$L30="",N($K30)&lt;=1),"EXCUSED - 1st attempt pending",IF(OR($L30="",$K30&lt;&gt;1,NOT(ISNUMBER($L30)),$L30&gt;=$J30),"",IF(COUNTIFS(nrES_PID,$D30,nrES_Code,$F30,nrES_Att,2,nrES_Raw,"&gt;=0")&gt;0,IF(IFERROR(_xlfn.MINIFS(nrES_Date,nrES_PID,$D30,nrES_Code,$F30,nrES_Att,2,nrES_Raw,"&gt;=0",nrES_Date,"&gt;0"),0)=0,"RETEST UNDATED",IF(NOT(ISNUMBER($T30)),"RETEST DATE UNCHECKED",IF(_xlfn.MINIFS(nrES_Date,nrES_PID,$D30,nrES_Code,$F30,nrES_Att,2,nrES_Raw,"&gt;=0",nrES_Date,"&gt;0")&gt;$T30,"LATE RETEST "&amp;TEXT(_xlfn.MINIFS(nrES_Date,nrES_PID,$D30,nrES_Code,$F30,nrES_Att,2,nrES_Raw,"&gt;=0",nrES_Date,"&gt;0"),"mm/dd")&amp;" (due "&amp;TEXT($T30,"mm/dd")&amp;")","Retested"))),IF(NOT(ISNUMBER($T30)),"CHECK DATE",IF(TODAY()&gt;$T30,"OVERDUE","Due "&amp;TEXT($T30,"mm/dd")))))))</f>
        <v/>
      </c>
      <c r="V30" s="16" t="n"/>
      <c r="W30" s="16" t="n"/>
      <c r="X30" s="17">
        <f>IF($C30="","",IF(AND($L30&lt;&gt;"",NOT(ISNUMBER($L30))),"RAW SCORE NOT A NUMBER",IF(AND(ISNUMBER($L30),OR($L30&lt;0,$L30&gt;100)),"RAW SCORE OUT OF RANGE",IF(AND($Y30="Unexcused",OR($L30="",NOT(ISNUMBER($L30)),$L30&lt;&gt;0)),"UNEXCUSED ABSENCE MUST RECORD 0",IF(COUNTIF(nrES_RecID,$B30)&gt;1,"DUPLICATE RECORD",IF(N($K30)&gt;2,"ATTEMPT 3+ NOT ALLOWED - policy 300.5 permits one retest per exam; this row records nothing",IF(AND($K30=2,COUNTIFS(nrES_PID,$D30,nrES_Code,$F30,nrES_Att,1)=0),"ATTEMPT 2 WITHOUT ATTEMPT 1",IF(AND($K30=2,$L30=""),"RETEST ROW HAS NO SCORE",IF(AND($H30="Final",$L30&lt;&gt;"",IFERROR(INDEX(nrCKfinalExamElig,MATCH($D30,rngCadetPIDs,0)),"")="No"),"FINAL EXAM AFTER FAILED FINAL PT (500.1.H)",IF(AND($K30=2,ISNUMBER($L30),COUNTIFS(nrES_PID,$D30,nrES_Code,$F30,nrES_Att,1)&gt;0,SUMIFS(nrES_Raw,nrES_PID,$D30,nrES_Code,$F30,nrES_Att,1)&gt;=$J30),"RETEST AFTER A PASSING FIRST ATTEMPT","OK"))))))))))</f>
        <v/>
      </c>
      <c r="Y30" s="16" t="n"/>
    </row>
    <row r="31">
      <c r="B31" s="17">
        <f>IF($C31="","",$D31&amp;"-"&amp;$F31&amp;"-"&amp;$K31)</f>
        <v/>
      </c>
      <c r="C31" s="16" t="n"/>
      <c r="D31" s="17">
        <f>IF($C31="","",IFERROR(INDEX(rngCadetPIDs,MATCH($C31,rngCadetNames,0)),"?"))</f>
        <v/>
      </c>
      <c r="E31" s="17">
        <f>IF($D31="","",IFERROR(INDEX(nrCadetAgency,MATCH($D31,rngCadetPIDs,0)),""))</f>
        <v/>
      </c>
      <c r="F31" s="16" t="n"/>
      <c r="G31" s="17">
        <f>IF($F31="","",IFERROR(INDEX(rngEPname,MATCH($F31,rngEPcode,0)),"?"))</f>
        <v/>
      </c>
      <c r="H31" s="17">
        <f>IF($F31="","",IFERROR(INDEX(rngEPtype,MATCH($F31,rngEPcode,0)),"?"))</f>
        <v/>
      </c>
      <c r="I31" s="17">
        <f>IF($F31="","",IFERROR(INDEX(rngEPseq,MATCH($F31,rngEPcode,0)),""))</f>
        <v/>
      </c>
      <c r="J31" s="17">
        <f>IF($F31="","",IFERROR(INDEX(rngEPpass,MATCH($F31,rngEPcode,0)),cfgPassingScore))</f>
        <v/>
      </c>
      <c r="K31" s="16" t="n"/>
      <c r="L31" s="16" t="n"/>
      <c r="M31" s="17">
        <f>IF($C31="","",IF($L31="","",IF(NOT(ISNUMBER($L31)),$L31,IF(N($K31)&gt;2,"",IF($K31=1,IF(COUNTIFS(nrES_PID,$D31,nrES_Code,$F31,nrES_Att,2,nrES_Raw,"&gt;=0")&gt;0,"",$L31),IF($L31&gt;=$J31,MAX($J31,cfgRetakeRecordedCap),IF(COUNTIFS(nrES_PID,$D31,nrES_Code,$F31,nrES_Att,1)=0,$L31,SUMIFS(nrES_Raw,nrES_PID,$D31,nrES_Code,$F31,nrES_Att,1))))))))</f>
        <v/>
      </c>
      <c r="N31" s="17">
        <f>IF($C31="","",IF($L31="","",IF(NOT(ISNUMBER($L31)),"(not a score)",IF($L31&gt;=$J31,"Yes","No"))))</f>
        <v/>
      </c>
      <c r="O31" s="17">
        <f>IF($C31="","",IF($M31="","",IF(NOT(ISNUMBER($M31)),"(not a score)",IF($M31&gt;=$J31,"Yes","No"))))</f>
        <v/>
      </c>
      <c r="P31" s="17">
        <f>IF($C31="","",IF($K31="","",IF(N($K31)&gt;2,"No",IF(COUNTIFS(nrES_PID,$D31,nrES_Code,$F31,nrES_Att,"&gt;"&amp;$K31,nrES_Att,"&lt;=2",nrES_Raw,"&gt;=0")=0,"Yes","No"))))</f>
        <v/>
      </c>
      <c r="Q31" s="17">
        <f>IF($C31="","",IF($L31="","",IF(AND($K31=1,ISNUMBER($L31),$L31&lt;$J31,COUNTIFS(nrES_PID,$D31,nrES_Code,$F31,nrES_Att,2,nrES_Raw,"&gt;=0")=0),"Yes","No")))</f>
        <v/>
      </c>
      <c r="R31" s="17">
        <f>IF($C31="","",IF($L31="","",IF(AND(N($K31)&gt;=2,ISNUMBER($L31),$L31&lt;$J31),"Yes","No")))</f>
        <v/>
      </c>
      <c r="S31" s="18" t="n"/>
      <c r="T31" s="19">
        <f>IF(OR($C31="",$L31="",$K31&lt;&gt;1,NOT(ISNUMBER($L31)),$L31&gt;=$J31),"",IF($S31="","(enter date)",_xlfn.LET(_xlpm.dn,_xlfn.XLOOKUP($S31,nrCDdate,nrCDnum,"",1),IF(_xlpm.dn="","(after last class day)",_xlfn.LET(_xlpm.dd,_xlfn.XLOOKUP(_xlpm.dn+cfgRetestClassDays,nrCDnum,nrCDdate,""),_xlpm.ok,_xlfn.XLOOKUP(_xlpm.dn+cfgRetestClassDays,nrCDnum,nrCDinsession,"No"),IF(OR(_xlpm.dd="",_xlpm.ok&lt;&gt;"Yes"),"(after last class day)",_xlpm.dd))))))</f>
        <v/>
      </c>
      <c r="U31" s="17">
        <f>IF($C31="","",IF(AND($Y31="Excused",$L31="",N($K31)&lt;=1),"EXCUSED - 1st attempt pending",IF(OR($L31="",$K31&lt;&gt;1,NOT(ISNUMBER($L31)),$L31&gt;=$J31),"",IF(COUNTIFS(nrES_PID,$D31,nrES_Code,$F31,nrES_Att,2,nrES_Raw,"&gt;=0")&gt;0,IF(IFERROR(_xlfn.MINIFS(nrES_Date,nrES_PID,$D31,nrES_Code,$F31,nrES_Att,2,nrES_Raw,"&gt;=0",nrES_Date,"&gt;0"),0)=0,"RETEST UNDATED",IF(NOT(ISNUMBER($T31)),"RETEST DATE UNCHECKED",IF(_xlfn.MINIFS(nrES_Date,nrES_PID,$D31,nrES_Code,$F31,nrES_Att,2,nrES_Raw,"&gt;=0",nrES_Date,"&gt;0")&gt;$T31,"LATE RETEST "&amp;TEXT(_xlfn.MINIFS(nrES_Date,nrES_PID,$D31,nrES_Code,$F31,nrES_Att,2,nrES_Raw,"&gt;=0",nrES_Date,"&gt;0"),"mm/dd")&amp;" (due "&amp;TEXT($T31,"mm/dd")&amp;")","Retested"))),IF(NOT(ISNUMBER($T31)),"CHECK DATE",IF(TODAY()&gt;$T31,"OVERDUE","Due "&amp;TEXT($T31,"mm/dd")))))))</f>
        <v/>
      </c>
      <c r="V31" s="16" t="n"/>
      <c r="W31" s="16" t="n"/>
      <c r="X31" s="17">
        <f>IF($C31="","",IF(AND($L31&lt;&gt;"",NOT(ISNUMBER($L31))),"RAW SCORE NOT A NUMBER",IF(AND(ISNUMBER($L31),OR($L31&lt;0,$L31&gt;100)),"RAW SCORE OUT OF RANGE",IF(AND($Y31="Unexcused",OR($L31="",NOT(ISNUMBER($L31)),$L31&lt;&gt;0)),"UNEXCUSED ABSENCE MUST RECORD 0",IF(COUNTIF(nrES_RecID,$B31)&gt;1,"DUPLICATE RECORD",IF(N($K31)&gt;2,"ATTEMPT 3+ NOT ALLOWED - policy 300.5 permits one retest per exam; this row records nothing",IF(AND($K31=2,COUNTIFS(nrES_PID,$D31,nrES_Code,$F31,nrES_Att,1)=0),"ATTEMPT 2 WITHOUT ATTEMPT 1",IF(AND($K31=2,$L31=""),"RETEST ROW HAS NO SCORE",IF(AND($H31="Final",$L31&lt;&gt;"",IFERROR(INDEX(nrCKfinalExamElig,MATCH($D31,rngCadetPIDs,0)),"")="No"),"FINAL EXAM AFTER FAILED FINAL PT (500.1.H)",IF(AND($K31=2,ISNUMBER($L31),COUNTIFS(nrES_PID,$D31,nrES_Code,$F31,nrES_Att,1)&gt;0,SUMIFS(nrES_Raw,nrES_PID,$D31,nrES_Code,$F31,nrES_Att,1)&gt;=$J31),"RETEST AFTER A PASSING FIRST ATTEMPT","OK"))))))))))</f>
        <v/>
      </c>
      <c r="Y31" s="16" t="n"/>
    </row>
    <row r="32">
      <c r="B32" s="17">
        <f>IF($C32="","",$D32&amp;"-"&amp;$F32&amp;"-"&amp;$K32)</f>
        <v/>
      </c>
      <c r="C32" s="16" t="n"/>
      <c r="D32" s="17">
        <f>IF($C32="","",IFERROR(INDEX(rngCadetPIDs,MATCH($C32,rngCadetNames,0)),"?"))</f>
        <v/>
      </c>
      <c r="E32" s="17">
        <f>IF($D32="","",IFERROR(INDEX(nrCadetAgency,MATCH($D32,rngCadetPIDs,0)),""))</f>
        <v/>
      </c>
      <c r="F32" s="16" t="n"/>
      <c r="G32" s="17">
        <f>IF($F32="","",IFERROR(INDEX(rngEPname,MATCH($F32,rngEPcode,0)),"?"))</f>
        <v/>
      </c>
      <c r="H32" s="17">
        <f>IF($F32="","",IFERROR(INDEX(rngEPtype,MATCH($F32,rngEPcode,0)),"?"))</f>
        <v/>
      </c>
      <c r="I32" s="17">
        <f>IF($F32="","",IFERROR(INDEX(rngEPseq,MATCH($F32,rngEPcode,0)),""))</f>
        <v/>
      </c>
      <c r="J32" s="17">
        <f>IF($F32="","",IFERROR(INDEX(rngEPpass,MATCH($F32,rngEPcode,0)),cfgPassingScore))</f>
        <v/>
      </c>
      <c r="K32" s="16" t="n"/>
      <c r="L32" s="16" t="n"/>
      <c r="M32" s="17">
        <f>IF($C32="","",IF($L32="","",IF(NOT(ISNUMBER($L32)),$L32,IF(N($K32)&gt;2,"",IF($K32=1,IF(COUNTIFS(nrES_PID,$D32,nrES_Code,$F32,nrES_Att,2,nrES_Raw,"&gt;=0")&gt;0,"",$L32),IF($L32&gt;=$J32,MAX($J32,cfgRetakeRecordedCap),IF(COUNTIFS(nrES_PID,$D32,nrES_Code,$F32,nrES_Att,1)=0,$L32,SUMIFS(nrES_Raw,nrES_PID,$D32,nrES_Code,$F32,nrES_Att,1))))))))</f>
        <v/>
      </c>
      <c r="N32" s="17">
        <f>IF($C32="","",IF($L32="","",IF(NOT(ISNUMBER($L32)),"(not a score)",IF($L32&gt;=$J32,"Yes","No"))))</f>
        <v/>
      </c>
      <c r="O32" s="17">
        <f>IF($C32="","",IF($M32="","",IF(NOT(ISNUMBER($M32)),"(not a score)",IF($M32&gt;=$J32,"Yes","No"))))</f>
        <v/>
      </c>
      <c r="P32" s="17">
        <f>IF($C32="","",IF($K32="","",IF(N($K32)&gt;2,"No",IF(COUNTIFS(nrES_PID,$D32,nrES_Code,$F32,nrES_Att,"&gt;"&amp;$K32,nrES_Att,"&lt;=2",nrES_Raw,"&gt;=0")=0,"Yes","No"))))</f>
        <v/>
      </c>
      <c r="Q32" s="17">
        <f>IF($C32="","",IF($L32="","",IF(AND($K32=1,ISNUMBER($L32),$L32&lt;$J32,COUNTIFS(nrES_PID,$D32,nrES_Code,$F32,nrES_Att,2,nrES_Raw,"&gt;=0")=0),"Yes","No")))</f>
        <v/>
      </c>
      <c r="R32" s="17">
        <f>IF($C32="","",IF($L32="","",IF(AND(N($K32)&gt;=2,ISNUMBER($L32),$L32&lt;$J32),"Yes","No")))</f>
        <v/>
      </c>
      <c r="S32" s="18" t="n"/>
      <c r="T32" s="19">
        <f>IF(OR($C32="",$L32="",$K32&lt;&gt;1,NOT(ISNUMBER($L32)),$L32&gt;=$J32),"",IF($S32="","(enter date)",_xlfn.LET(_xlpm.dn,_xlfn.XLOOKUP($S32,nrCDdate,nrCDnum,"",1),IF(_xlpm.dn="","(after last class day)",_xlfn.LET(_xlpm.dd,_xlfn.XLOOKUP(_xlpm.dn+cfgRetestClassDays,nrCDnum,nrCDdate,""),_xlpm.ok,_xlfn.XLOOKUP(_xlpm.dn+cfgRetestClassDays,nrCDnum,nrCDinsession,"No"),IF(OR(_xlpm.dd="",_xlpm.ok&lt;&gt;"Yes"),"(after last class day)",_xlpm.dd))))))</f>
        <v/>
      </c>
      <c r="U32" s="17">
        <f>IF($C32="","",IF(AND($Y32="Excused",$L32="",N($K32)&lt;=1),"EXCUSED - 1st attempt pending",IF(OR($L32="",$K32&lt;&gt;1,NOT(ISNUMBER($L32)),$L32&gt;=$J32),"",IF(COUNTIFS(nrES_PID,$D32,nrES_Code,$F32,nrES_Att,2,nrES_Raw,"&gt;=0")&gt;0,IF(IFERROR(_xlfn.MINIFS(nrES_Date,nrES_PID,$D32,nrES_Code,$F32,nrES_Att,2,nrES_Raw,"&gt;=0",nrES_Date,"&gt;0"),0)=0,"RETEST UNDATED",IF(NOT(ISNUMBER($T32)),"RETEST DATE UNCHECKED",IF(_xlfn.MINIFS(nrES_Date,nrES_PID,$D32,nrES_Code,$F32,nrES_Att,2,nrES_Raw,"&gt;=0",nrES_Date,"&gt;0")&gt;$T32,"LATE RETEST "&amp;TEXT(_xlfn.MINIFS(nrES_Date,nrES_PID,$D32,nrES_Code,$F32,nrES_Att,2,nrES_Raw,"&gt;=0",nrES_Date,"&gt;0"),"mm/dd")&amp;" (due "&amp;TEXT($T32,"mm/dd")&amp;")","Retested"))),IF(NOT(ISNUMBER($T32)),"CHECK DATE",IF(TODAY()&gt;$T32,"OVERDUE","Due "&amp;TEXT($T32,"mm/dd")))))))</f>
        <v/>
      </c>
      <c r="V32" s="16" t="n"/>
      <c r="W32" s="16" t="n"/>
      <c r="X32" s="17">
        <f>IF($C32="","",IF(AND($L32&lt;&gt;"",NOT(ISNUMBER($L32))),"RAW SCORE NOT A NUMBER",IF(AND(ISNUMBER($L32),OR($L32&lt;0,$L32&gt;100)),"RAW SCORE OUT OF RANGE",IF(AND($Y32="Unexcused",OR($L32="",NOT(ISNUMBER($L32)),$L32&lt;&gt;0)),"UNEXCUSED ABSENCE MUST RECORD 0",IF(COUNTIF(nrES_RecID,$B32)&gt;1,"DUPLICATE RECORD",IF(N($K32)&gt;2,"ATTEMPT 3+ NOT ALLOWED - policy 300.5 permits one retest per exam; this row records nothing",IF(AND($K32=2,COUNTIFS(nrES_PID,$D32,nrES_Code,$F32,nrES_Att,1)=0),"ATTEMPT 2 WITHOUT ATTEMPT 1",IF(AND($K32=2,$L32=""),"RETEST ROW HAS NO SCORE",IF(AND($H32="Final",$L32&lt;&gt;"",IFERROR(INDEX(nrCKfinalExamElig,MATCH($D32,rngCadetPIDs,0)),"")="No"),"FINAL EXAM AFTER FAILED FINAL PT (500.1.H)",IF(AND($K32=2,ISNUMBER($L32),COUNTIFS(nrES_PID,$D32,nrES_Code,$F32,nrES_Att,1)&gt;0,SUMIFS(nrES_Raw,nrES_PID,$D32,nrES_Code,$F32,nrES_Att,1)&gt;=$J32),"RETEST AFTER A PASSING FIRST ATTEMPT","OK"))))))))))</f>
        <v/>
      </c>
      <c r="Y32" s="16" t="n"/>
    </row>
    <row r="33">
      <c r="B33" s="17">
        <f>IF($C33="","",$D33&amp;"-"&amp;$F33&amp;"-"&amp;$K33)</f>
        <v/>
      </c>
      <c r="C33" s="16" t="n"/>
      <c r="D33" s="17">
        <f>IF($C33="","",IFERROR(INDEX(rngCadetPIDs,MATCH($C33,rngCadetNames,0)),"?"))</f>
        <v/>
      </c>
      <c r="E33" s="17">
        <f>IF($D33="","",IFERROR(INDEX(nrCadetAgency,MATCH($D33,rngCadetPIDs,0)),""))</f>
        <v/>
      </c>
      <c r="F33" s="16" t="n"/>
      <c r="G33" s="17">
        <f>IF($F33="","",IFERROR(INDEX(rngEPname,MATCH($F33,rngEPcode,0)),"?"))</f>
        <v/>
      </c>
      <c r="H33" s="17">
        <f>IF($F33="","",IFERROR(INDEX(rngEPtype,MATCH($F33,rngEPcode,0)),"?"))</f>
        <v/>
      </c>
      <c r="I33" s="17">
        <f>IF($F33="","",IFERROR(INDEX(rngEPseq,MATCH($F33,rngEPcode,0)),""))</f>
        <v/>
      </c>
      <c r="J33" s="17">
        <f>IF($F33="","",IFERROR(INDEX(rngEPpass,MATCH($F33,rngEPcode,0)),cfgPassingScore))</f>
        <v/>
      </c>
      <c r="K33" s="16" t="n"/>
      <c r="L33" s="16" t="n"/>
      <c r="M33" s="17">
        <f>IF($C33="","",IF($L33="","",IF(NOT(ISNUMBER($L33)),$L33,IF(N($K33)&gt;2,"",IF($K33=1,IF(COUNTIFS(nrES_PID,$D33,nrES_Code,$F33,nrES_Att,2,nrES_Raw,"&gt;=0")&gt;0,"",$L33),IF($L33&gt;=$J33,MAX($J33,cfgRetakeRecordedCap),IF(COUNTIFS(nrES_PID,$D33,nrES_Code,$F33,nrES_Att,1)=0,$L33,SUMIFS(nrES_Raw,nrES_PID,$D33,nrES_Code,$F33,nrES_Att,1))))))))</f>
        <v/>
      </c>
      <c r="N33" s="17">
        <f>IF($C33="","",IF($L33="","",IF(NOT(ISNUMBER($L33)),"(not a score)",IF($L33&gt;=$J33,"Yes","No"))))</f>
        <v/>
      </c>
      <c r="O33" s="17">
        <f>IF($C33="","",IF($M33="","",IF(NOT(ISNUMBER($M33)),"(not a score)",IF($M33&gt;=$J33,"Yes","No"))))</f>
        <v/>
      </c>
      <c r="P33" s="17">
        <f>IF($C33="","",IF($K33="","",IF(N($K33)&gt;2,"No",IF(COUNTIFS(nrES_PID,$D33,nrES_Code,$F33,nrES_Att,"&gt;"&amp;$K33,nrES_Att,"&lt;=2",nrES_Raw,"&gt;=0")=0,"Yes","No"))))</f>
        <v/>
      </c>
      <c r="Q33" s="17">
        <f>IF($C33="","",IF($L33="","",IF(AND($K33=1,ISNUMBER($L33),$L33&lt;$J33,COUNTIFS(nrES_PID,$D33,nrES_Code,$F33,nrES_Att,2,nrES_Raw,"&gt;=0")=0),"Yes","No")))</f>
        <v/>
      </c>
      <c r="R33" s="17">
        <f>IF($C33="","",IF($L33="","",IF(AND(N($K33)&gt;=2,ISNUMBER($L33),$L33&lt;$J33),"Yes","No")))</f>
        <v/>
      </c>
      <c r="S33" s="18" t="n"/>
      <c r="T33" s="19">
        <f>IF(OR($C33="",$L33="",$K33&lt;&gt;1,NOT(ISNUMBER($L33)),$L33&gt;=$J33),"",IF($S33="","(enter date)",_xlfn.LET(_xlpm.dn,_xlfn.XLOOKUP($S33,nrCDdate,nrCDnum,"",1),IF(_xlpm.dn="","(after last class day)",_xlfn.LET(_xlpm.dd,_xlfn.XLOOKUP(_xlpm.dn+cfgRetestClassDays,nrCDnum,nrCDdate,""),_xlpm.ok,_xlfn.XLOOKUP(_xlpm.dn+cfgRetestClassDays,nrCDnum,nrCDinsession,"No"),IF(OR(_xlpm.dd="",_xlpm.ok&lt;&gt;"Yes"),"(after last class day)",_xlpm.dd))))))</f>
        <v/>
      </c>
      <c r="U33" s="17">
        <f>IF($C33="","",IF(AND($Y33="Excused",$L33="",N($K33)&lt;=1),"EXCUSED - 1st attempt pending",IF(OR($L33="",$K33&lt;&gt;1,NOT(ISNUMBER($L33)),$L33&gt;=$J33),"",IF(COUNTIFS(nrES_PID,$D33,nrES_Code,$F33,nrES_Att,2,nrES_Raw,"&gt;=0")&gt;0,IF(IFERROR(_xlfn.MINIFS(nrES_Date,nrES_PID,$D33,nrES_Code,$F33,nrES_Att,2,nrES_Raw,"&gt;=0",nrES_Date,"&gt;0"),0)=0,"RETEST UNDATED",IF(NOT(ISNUMBER($T33)),"RETEST DATE UNCHECKED",IF(_xlfn.MINIFS(nrES_Date,nrES_PID,$D33,nrES_Code,$F33,nrES_Att,2,nrES_Raw,"&gt;=0",nrES_Date,"&gt;0")&gt;$T33,"LATE RETEST "&amp;TEXT(_xlfn.MINIFS(nrES_Date,nrES_PID,$D33,nrES_Code,$F33,nrES_Att,2,nrES_Raw,"&gt;=0",nrES_Date,"&gt;0"),"mm/dd")&amp;" (due "&amp;TEXT($T33,"mm/dd")&amp;")","Retested"))),IF(NOT(ISNUMBER($T33)),"CHECK DATE",IF(TODAY()&gt;$T33,"OVERDUE","Due "&amp;TEXT($T33,"mm/dd")))))))</f>
        <v/>
      </c>
      <c r="V33" s="16" t="n"/>
      <c r="W33" s="16" t="n"/>
      <c r="X33" s="17">
        <f>IF($C33="","",IF(AND($L33&lt;&gt;"",NOT(ISNUMBER($L33))),"RAW SCORE NOT A NUMBER",IF(AND(ISNUMBER($L33),OR($L33&lt;0,$L33&gt;100)),"RAW SCORE OUT OF RANGE",IF(AND($Y33="Unexcused",OR($L33="",NOT(ISNUMBER($L33)),$L33&lt;&gt;0)),"UNEXCUSED ABSENCE MUST RECORD 0",IF(COUNTIF(nrES_RecID,$B33)&gt;1,"DUPLICATE RECORD",IF(N($K33)&gt;2,"ATTEMPT 3+ NOT ALLOWED - policy 300.5 permits one retest per exam; this row records nothing",IF(AND($K33=2,COUNTIFS(nrES_PID,$D33,nrES_Code,$F33,nrES_Att,1)=0),"ATTEMPT 2 WITHOUT ATTEMPT 1",IF(AND($K33=2,$L33=""),"RETEST ROW HAS NO SCORE",IF(AND($H33="Final",$L33&lt;&gt;"",IFERROR(INDEX(nrCKfinalExamElig,MATCH($D33,rngCadetPIDs,0)),"")="No"),"FINAL EXAM AFTER FAILED FINAL PT (500.1.H)",IF(AND($K33=2,ISNUMBER($L33),COUNTIFS(nrES_PID,$D33,nrES_Code,$F33,nrES_Att,1)&gt;0,SUMIFS(nrES_Raw,nrES_PID,$D33,nrES_Code,$F33,nrES_Att,1)&gt;=$J33),"RETEST AFTER A PASSING FIRST ATTEMPT","OK"))))))))))</f>
        <v/>
      </c>
      <c r="Y33" s="16" t="n"/>
    </row>
    <row r="34">
      <c r="B34" s="17">
        <f>IF($C34="","",$D34&amp;"-"&amp;$F34&amp;"-"&amp;$K34)</f>
        <v/>
      </c>
      <c r="C34" s="16" t="n"/>
      <c r="D34" s="17">
        <f>IF($C34="","",IFERROR(INDEX(rngCadetPIDs,MATCH($C34,rngCadetNames,0)),"?"))</f>
        <v/>
      </c>
      <c r="E34" s="17">
        <f>IF($D34="","",IFERROR(INDEX(nrCadetAgency,MATCH($D34,rngCadetPIDs,0)),""))</f>
        <v/>
      </c>
      <c r="F34" s="16" t="n"/>
      <c r="G34" s="17">
        <f>IF($F34="","",IFERROR(INDEX(rngEPname,MATCH($F34,rngEPcode,0)),"?"))</f>
        <v/>
      </c>
      <c r="H34" s="17">
        <f>IF($F34="","",IFERROR(INDEX(rngEPtype,MATCH($F34,rngEPcode,0)),"?"))</f>
        <v/>
      </c>
      <c r="I34" s="17">
        <f>IF($F34="","",IFERROR(INDEX(rngEPseq,MATCH($F34,rngEPcode,0)),""))</f>
        <v/>
      </c>
      <c r="J34" s="17">
        <f>IF($F34="","",IFERROR(INDEX(rngEPpass,MATCH($F34,rngEPcode,0)),cfgPassingScore))</f>
        <v/>
      </c>
      <c r="K34" s="16" t="n"/>
      <c r="L34" s="16" t="n"/>
      <c r="M34" s="17">
        <f>IF($C34="","",IF($L34="","",IF(NOT(ISNUMBER($L34)),$L34,IF(N($K34)&gt;2,"",IF($K34=1,IF(COUNTIFS(nrES_PID,$D34,nrES_Code,$F34,nrES_Att,2,nrES_Raw,"&gt;=0")&gt;0,"",$L34),IF($L34&gt;=$J34,MAX($J34,cfgRetakeRecordedCap),IF(COUNTIFS(nrES_PID,$D34,nrES_Code,$F34,nrES_Att,1)=0,$L34,SUMIFS(nrES_Raw,nrES_PID,$D34,nrES_Code,$F34,nrES_Att,1))))))))</f>
        <v/>
      </c>
      <c r="N34" s="17">
        <f>IF($C34="","",IF($L34="","",IF(NOT(ISNUMBER($L34)),"(not a score)",IF($L34&gt;=$J34,"Yes","No"))))</f>
        <v/>
      </c>
      <c r="O34" s="17">
        <f>IF($C34="","",IF($M34="","",IF(NOT(ISNUMBER($M34)),"(not a score)",IF($M34&gt;=$J34,"Yes","No"))))</f>
        <v/>
      </c>
      <c r="P34" s="17">
        <f>IF($C34="","",IF($K34="","",IF(N($K34)&gt;2,"No",IF(COUNTIFS(nrES_PID,$D34,nrES_Code,$F34,nrES_Att,"&gt;"&amp;$K34,nrES_Att,"&lt;=2",nrES_Raw,"&gt;=0")=0,"Yes","No"))))</f>
        <v/>
      </c>
      <c r="Q34" s="17">
        <f>IF($C34="","",IF($L34="","",IF(AND($K34=1,ISNUMBER($L34),$L34&lt;$J34,COUNTIFS(nrES_PID,$D34,nrES_Code,$F34,nrES_Att,2,nrES_Raw,"&gt;=0")=0),"Yes","No")))</f>
        <v/>
      </c>
      <c r="R34" s="17">
        <f>IF($C34="","",IF($L34="","",IF(AND(N($K34)&gt;=2,ISNUMBER($L34),$L34&lt;$J34),"Yes","No")))</f>
        <v/>
      </c>
      <c r="S34" s="18" t="n"/>
      <c r="T34" s="19">
        <f>IF(OR($C34="",$L34="",$K34&lt;&gt;1,NOT(ISNUMBER($L34)),$L34&gt;=$J34),"",IF($S34="","(enter date)",_xlfn.LET(_xlpm.dn,_xlfn.XLOOKUP($S34,nrCDdate,nrCDnum,"",1),IF(_xlpm.dn="","(after last class day)",_xlfn.LET(_xlpm.dd,_xlfn.XLOOKUP(_xlpm.dn+cfgRetestClassDays,nrCDnum,nrCDdate,""),_xlpm.ok,_xlfn.XLOOKUP(_xlpm.dn+cfgRetestClassDays,nrCDnum,nrCDinsession,"No"),IF(OR(_xlpm.dd="",_xlpm.ok&lt;&gt;"Yes"),"(after last class day)",_xlpm.dd))))))</f>
        <v/>
      </c>
      <c r="U34" s="17">
        <f>IF($C34="","",IF(AND($Y34="Excused",$L34="",N($K34)&lt;=1),"EXCUSED - 1st attempt pending",IF(OR($L34="",$K34&lt;&gt;1,NOT(ISNUMBER($L34)),$L34&gt;=$J34),"",IF(COUNTIFS(nrES_PID,$D34,nrES_Code,$F34,nrES_Att,2,nrES_Raw,"&gt;=0")&gt;0,IF(IFERROR(_xlfn.MINIFS(nrES_Date,nrES_PID,$D34,nrES_Code,$F34,nrES_Att,2,nrES_Raw,"&gt;=0",nrES_Date,"&gt;0"),0)=0,"RETEST UNDATED",IF(NOT(ISNUMBER($T34)),"RETEST DATE UNCHECKED",IF(_xlfn.MINIFS(nrES_Date,nrES_PID,$D34,nrES_Code,$F34,nrES_Att,2,nrES_Raw,"&gt;=0",nrES_Date,"&gt;0")&gt;$T34,"LATE RETEST "&amp;TEXT(_xlfn.MINIFS(nrES_Date,nrES_PID,$D34,nrES_Code,$F34,nrES_Att,2,nrES_Raw,"&gt;=0",nrES_Date,"&gt;0"),"mm/dd")&amp;" (due "&amp;TEXT($T34,"mm/dd")&amp;")","Retested"))),IF(NOT(ISNUMBER($T34)),"CHECK DATE",IF(TODAY()&gt;$T34,"OVERDUE","Due "&amp;TEXT($T34,"mm/dd")))))))</f>
        <v/>
      </c>
      <c r="V34" s="16" t="n"/>
      <c r="W34" s="16" t="n"/>
      <c r="X34" s="17">
        <f>IF($C34="","",IF(AND($L34&lt;&gt;"",NOT(ISNUMBER($L34))),"RAW SCORE NOT A NUMBER",IF(AND(ISNUMBER($L34),OR($L34&lt;0,$L34&gt;100)),"RAW SCORE OUT OF RANGE",IF(AND($Y34="Unexcused",OR($L34="",NOT(ISNUMBER($L34)),$L34&lt;&gt;0)),"UNEXCUSED ABSENCE MUST RECORD 0",IF(COUNTIF(nrES_RecID,$B34)&gt;1,"DUPLICATE RECORD",IF(N($K34)&gt;2,"ATTEMPT 3+ NOT ALLOWED - policy 300.5 permits one retest per exam; this row records nothing",IF(AND($K34=2,COUNTIFS(nrES_PID,$D34,nrES_Code,$F34,nrES_Att,1)=0),"ATTEMPT 2 WITHOUT ATTEMPT 1",IF(AND($K34=2,$L34=""),"RETEST ROW HAS NO SCORE",IF(AND($H34="Final",$L34&lt;&gt;"",IFERROR(INDEX(nrCKfinalExamElig,MATCH($D34,rngCadetPIDs,0)),"")="No"),"FINAL EXAM AFTER FAILED FINAL PT (500.1.H)",IF(AND($K34=2,ISNUMBER($L34),COUNTIFS(nrES_PID,$D34,nrES_Code,$F34,nrES_Att,1)&gt;0,SUMIFS(nrES_Raw,nrES_PID,$D34,nrES_Code,$F34,nrES_Att,1)&gt;=$J34),"RETEST AFTER A PASSING FIRST ATTEMPT","OK"))))))))))</f>
        <v/>
      </c>
      <c r="Y34" s="16" t="n"/>
    </row>
    <row r="35">
      <c r="B35" s="17">
        <f>IF($C35="","",$D35&amp;"-"&amp;$F35&amp;"-"&amp;$K35)</f>
        <v/>
      </c>
      <c r="C35" s="16" t="n"/>
      <c r="D35" s="17">
        <f>IF($C35="","",IFERROR(INDEX(rngCadetPIDs,MATCH($C35,rngCadetNames,0)),"?"))</f>
        <v/>
      </c>
      <c r="E35" s="17">
        <f>IF($D35="","",IFERROR(INDEX(nrCadetAgency,MATCH($D35,rngCadetPIDs,0)),""))</f>
        <v/>
      </c>
      <c r="F35" s="16" t="n"/>
      <c r="G35" s="17">
        <f>IF($F35="","",IFERROR(INDEX(rngEPname,MATCH($F35,rngEPcode,0)),"?"))</f>
        <v/>
      </c>
      <c r="H35" s="17">
        <f>IF($F35="","",IFERROR(INDEX(rngEPtype,MATCH($F35,rngEPcode,0)),"?"))</f>
        <v/>
      </c>
      <c r="I35" s="17">
        <f>IF($F35="","",IFERROR(INDEX(rngEPseq,MATCH($F35,rngEPcode,0)),""))</f>
        <v/>
      </c>
      <c r="J35" s="17">
        <f>IF($F35="","",IFERROR(INDEX(rngEPpass,MATCH($F35,rngEPcode,0)),cfgPassingScore))</f>
        <v/>
      </c>
      <c r="K35" s="16" t="n"/>
      <c r="L35" s="16" t="n"/>
      <c r="M35" s="17">
        <f>IF($C35="","",IF($L35="","",IF(NOT(ISNUMBER($L35)),$L35,IF(N($K35)&gt;2,"",IF($K35=1,IF(COUNTIFS(nrES_PID,$D35,nrES_Code,$F35,nrES_Att,2,nrES_Raw,"&gt;=0")&gt;0,"",$L35),IF($L35&gt;=$J35,MAX($J35,cfgRetakeRecordedCap),IF(COUNTIFS(nrES_PID,$D35,nrES_Code,$F35,nrES_Att,1)=0,$L35,SUMIFS(nrES_Raw,nrES_PID,$D35,nrES_Code,$F35,nrES_Att,1))))))))</f>
        <v/>
      </c>
      <c r="N35" s="17">
        <f>IF($C35="","",IF($L35="","",IF(NOT(ISNUMBER($L35)),"(not a score)",IF($L35&gt;=$J35,"Yes","No"))))</f>
        <v/>
      </c>
      <c r="O35" s="17">
        <f>IF($C35="","",IF($M35="","",IF(NOT(ISNUMBER($M35)),"(not a score)",IF($M35&gt;=$J35,"Yes","No"))))</f>
        <v/>
      </c>
      <c r="P35" s="17">
        <f>IF($C35="","",IF($K35="","",IF(N($K35)&gt;2,"No",IF(COUNTIFS(nrES_PID,$D35,nrES_Code,$F35,nrES_Att,"&gt;"&amp;$K35,nrES_Att,"&lt;=2",nrES_Raw,"&gt;=0")=0,"Yes","No"))))</f>
        <v/>
      </c>
      <c r="Q35" s="17">
        <f>IF($C35="","",IF($L35="","",IF(AND($K35=1,ISNUMBER($L35),$L35&lt;$J35,COUNTIFS(nrES_PID,$D35,nrES_Code,$F35,nrES_Att,2,nrES_Raw,"&gt;=0")=0),"Yes","No")))</f>
        <v/>
      </c>
      <c r="R35" s="17">
        <f>IF($C35="","",IF($L35="","",IF(AND(N($K35)&gt;=2,ISNUMBER($L35),$L35&lt;$J35),"Yes","No")))</f>
        <v/>
      </c>
      <c r="S35" s="18" t="n"/>
      <c r="T35" s="19">
        <f>IF(OR($C35="",$L35="",$K35&lt;&gt;1,NOT(ISNUMBER($L35)),$L35&gt;=$J35),"",IF($S35="","(enter date)",_xlfn.LET(_xlpm.dn,_xlfn.XLOOKUP($S35,nrCDdate,nrCDnum,"",1),IF(_xlpm.dn="","(after last class day)",_xlfn.LET(_xlpm.dd,_xlfn.XLOOKUP(_xlpm.dn+cfgRetestClassDays,nrCDnum,nrCDdate,""),_xlpm.ok,_xlfn.XLOOKUP(_xlpm.dn+cfgRetestClassDays,nrCDnum,nrCDinsession,"No"),IF(OR(_xlpm.dd="",_xlpm.ok&lt;&gt;"Yes"),"(after last class day)",_xlpm.dd))))))</f>
        <v/>
      </c>
      <c r="U35" s="17">
        <f>IF($C35="","",IF(AND($Y35="Excused",$L35="",N($K35)&lt;=1),"EXCUSED - 1st attempt pending",IF(OR($L35="",$K35&lt;&gt;1,NOT(ISNUMBER($L35)),$L35&gt;=$J35),"",IF(COUNTIFS(nrES_PID,$D35,nrES_Code,$F35,nrES_Att,2,nrES_Raw,"&gt;=0")&gt;0,IF(IFERROR(_xlfn.MINIFS(nrES_Date,nrES_PID,$D35,nrES_Code,$F35,nrES_Att,2,nrES_Raw,"&gt;=0",nrES_Date,"&gt;0"),0)=0,"RETEST UNDATED",IF(NOT(ISNUMBER($T35)),"RETEST DATE UNCHECKED",IF(_xlfn.MINIFS(nrES_Date,nrES_PID,$D35,nrES_Code,$F35,nrES_Att,2,nrES_Raw,"&gt;=0",nrES_Date,"&gt;0")&gt;$T35,"LATE RETEST "&amp;TEXT(_xlfn.MINIFS(nrES_Date,nrES_PID,$D35,nrES_Code,$F35,nrES_Att,2,nrES_Raw,"&gt;=0",nrES_Date,"&gt;0"),"mm/dd")&amp;" (due "&amp;TEXT($T35,"mm/dd")&amp;")","Retested"))),IF(NOT(ISNUMBER($T35)),"CHECK DATE",IF(TODAY()&gt;$T35,"OVERDUE","Due "&amp;TEXT($T35,"mm/dd")))))))</f>
        <v/>
      </c>
      <c r="V35" s="16" t="n"/>
      <c r="W35" s="16" t="n"/>
      <c r="X35" s="17">
        <f>IF($C35="","",IF(AND($L35&lt;&gt;"",NOT(ISNUMBER($L35))),"RAW SCORE NOT A NUMBER",IF(AND(ISNUMBER($L35),OR($L35&lt;0,$L35&gt;100)),"RAW SCORE OUT OF RANGE",IF(AND($Y35="Unexcused",OR($L35="",NOT(ISNUMBER($L35)),$L35&lt;&gt;0)),"UNEXCUSED ABSENCE MUST RECORD 0",IF(COUNTIF(nrES_RecID,$B35)&gt;1,"DUPLICATE RECORD",IF(N($K35)&gt;2,"ATTEMPT 3+ NOT ALLOWED - policy 300.5 permits one retest per exam; this row records nothing",IF(AND($K35=2,COUNTIFS(nrES_PID,$D35,nrES_Code,$F35,nrES_Att,1)=0),"ATTEMPT 2 WITHOUT ATTEMPT 1",IF(AND($K35=2,$L35=""),"RETEST ROW HAS NO SCORE",IF(AND($H35="Final",$L35&lt;&gt;"",IFERROR(INDEX(nrCKfinalExamElig,MATCH($D35,rngCadetPIDs,0)),"")="No"),"FINAL EXAM AFTER FAILED FINAL PT (500.1.H)",IF(AND($K35=2,ISNUMBER($L35),COUNTIFS(nrES_PID,$D35,nrES_Code,$F35,nrES_Att,1)&gt;0,SUMIFS(nrES_Raw,nrES_PID,$D35,nrES_Code,$F35,nrES_Att,1)&gt;=$J35),"RETEST AFTER A PASSING FIRST ATTEMPT","OK"))))))))))</f>
        <v/>
      </c>
      <c r="Y35" s="16" t="n"/>
    </row>
    <row r="36">
      <c r="B36" s="17">
        <f>IF($C36="","",$D36&amp;"-"&amp;$F36&amp;"-"&amp;$K36)</f>
        <v/>
      </c>
      <c r="C36" s="16" t="n"/>
      <c r="D36" s="17">
        <f>IF($C36="","",IFERROR(INDEX(rngCadetPIDs,MATCH($C36,rngCadetNames,0)),"?"))</f>
        <v/>
      </c>
      <c r="E36" s="17">
        <f>IF($D36="","",IFERROR(INDEX(nrCadetAgency,MATCH($D36,rngCadetPIDs,0)),""))</f>
        <v/>
      </c>
      <c r="F36" s="16" t="n"/>
      <c r="G36" s="17">
        <f>IF($F36="","",IFERROR(INDEX(rngEPname,MATCH($F36,rngEPcode,0)),"?"))</f>
        <v/>
      </c>
      <c r="H36" s="17">
        <f>IF($F36="","",IFERROR(INDEX(rngEPtype,MATCH($F36,rngEPcode,0)),"?"))</f>
        <v/>
      </c>
      <c r="I36" s="17">
        <f>IF($F36="","",IFERROR(INDEX(rngEPseq,MATCH($F36,rngEPcode,0)),""))</f>
        <v/>
      </c>
      <c r="J36" s="17">
        <f>IF($F36="","",IFERROR(INDEX(rngEPpass,MATCH($F36,rngEPcode,0)),cfgPassingScore))</f>
        <v/>
      </c>
      <c r="K36" s="16" t="n"/>
      <c r="L36" s="16" t="n"/>
      <c r="M36" s="17">
        <f>IF($C36="","",IF($L36="","",IF(NOT(ISNUMBER($L36)),$L36,IF(N($K36)&gt;2,"",IF($K36=1,IF(COUNTIFS(nrES_PID,$D36,nrES_Code,$F36,nrES_Att,2,nrES_Raw,"&gt;=0")&gt;0,"",$L36),IF($L36&gt;=$J36,MAX($J36,cfgRetakeRecordedCap),IF(COUNTIFS(nrES_PID,$D36,nrES_Code,$F36,nrES_Att,1)=0,$L36,SUMIFS(nrES_Raw,nrES_PID,$D36,nrES_Code,$F36,nrES_Att,1))))))))</f>
        <v/>
      </c>
      <c r="N36" s="17">
        <f>IF($C36="","",IF($L36="","",IF(NOT(ISNUMBER($L36)),"(not a score)",IF($L36&gt;=$J36,"Yes","No"))))</f>
        <v/>
      </c>
      <c r="O36" s="17">
        <f>IF($C36="","",IF($M36="","",IF(NOT(ISNUMBER($M36)),"(not a score)",IF($M36&gt;=$J36,"Yes","No"))))</f>
        <v/>
      </c>
      <c r="P36" s="17">
        <f>IF($C36="","",IF($K36="","",IF(N($K36)&gt;2,"No",IF(COUNTIFS(nrES_PID,$D36,nrES_Code,$F36,nrES_Att,"&gt;"&amp;$K36,nrES_Att,"&lt;=2",nrES_Raw,"&gt;=0")=0,"Yes","No"))))</f>
        <v/>
      </c>
      <c r="Q36" s="17">
        <f>IF($C36="","",IF($L36="","",IF(AND($K36=1,ISNUMBER($L36),$L36&lt;$J36,COUNTIFS(nrES_PID,$D36,nrES_Code,$F36,nrES_Att,2,nrES_Raw,"&gt;=0")=0),"Yes","No")))</f>
        <v/>
      </c>
      <c r="R36" s="17">
        <f>IF($C36="","",IF($L36="","",IF(AND(N($K36)&gt;=2,ISNUMBER($L36),$L36&lt;$J36),"Yes","No")))</f>
        <v/>
      </c>
      <c r="S36" s="18" t="n"/>
      <c r="T36" s="19">
        <f>IF(OR($C36="",$L36="",$K36&lt;&gt;1,NOT(ISNUMBER($L36)),$L36&gt;=$J36),"",IF($S36="","(enter date)",_xlfn.LET(_xlpm.dn,_xlfn.XLOOKUP($S36,nrCDdate,nrCDnum,"",1),IF(_xlpm.dn="","(after last class day)",_xlfn.LET(_xlpm.dd,_xlfn.XLOOKUP(_xlpm.dn+cfgRetestClassDays,nrCDnum,nrCDdate,""),_xlpm.ok,_xlfn.XLOOKUP(_xlpm.dn+cfgRetestClassDays,nrCDnum,nrCDinsession,"No"),IF(OR(_xlpm.dd="",_xlpm.ok&lt;&gt;"Yes"),"(after last class day)",_xlpm.dd))))))</f>
        <v/>
      </c>
      <c r="U36" s="17">
        <f>IF($C36="","",IF(AND($Y36="Excused",$L36="",N($K36)&lt;=1),"EXCUSED - 1st attempt pending",IF(OR($L36="",$K36&lt;&gt;1,NOT(ISNUMBER($L36)),$L36&gt;=$J36),"",IF(COUNTIFS(nrES_PID,$D36,nrES_Code,$F36,nrES_Att,2,nrES_Raw,"&gt;=0")&gt;0,IF(IFERROR(_xlfn.MINIFS(nrES_Date,nrES_PID,$D36,nrES_Code,$F36,nrES_Att,2,nrES_Raw,"&gt;=0",nrES_Date,"&gt;0"),0)=0,"RETEST UNDATED",IF(NOT(ISNUMBER($T36)),"RETEST DATE UNCHECKED",IF(_xlfn.MINIFS(nrES_Date,nrES_PID,$D36,nrES_Code,$F36,nrES_Att,2,nrES_Raw,"&gt;=0",nrES_Date,"&gt;0")&gt;$T36,"LATE RETEST "&amp;TEXT(_xlfn.MINIFS(nrES_Date,nrES_PID,$D36,nrES_Code,$F36,nrES_Att,2,nrES_Raw,"&gt;=0",nrES_Date,"&gt;0"),"mm/dd")&amp;" (due "&amp;TEXT($T36,"mm/dd")&amp;")","Retested"))),IF(NOT(ISNUMBER($T36)),"CHECK DATE",IF(TODAY()&gt;$T36,"OVERDUE","Due "&amp;TEXT($T36,"mm/dd")))))))</f>
        <v/>
      </c>
      <c r="V36" s="16" t="n"/>
      <c r="W36" s="16" t="n"/>
      <c r="X36" s="17">
        <f>IF($C36="","",IF(AND($L36&lt;&gt;"",NOT(ISNUMBER($L36))),"RAW SCORE NOT A NUMBER",IF(AND(ISNUMBER($L36),OR($L36&lt;0,$L36&gt;100)),"RAW SCORE OUT OF RANGE",IF(AND($Y36="Unexcused",OR($L36="",NOT(ISNUMBER($L36)),$L36&lt;&gt;0)),"UNEXCUSED ABSENCE MUST RECORD 0",IF(COUNTIF(nrES_RecID,$B36)&gt;1,"DUPLICATE RECORD",IF(N($K36)&gt;2,"ATTEMPT 3+ NOT ALLOWED - policy 300.5 permits one retest per exam; this row records nothing",IF(AND($K36=2,COUNTIFS(nrES_PID,$D36,nrES_Code,$F36,nrES_Att,1)=0),"ATTEMPT 2 WITHOUT ATTEMPT 1",IF(AND($K36=2,$L36=""),"RETEST ROW HAS NO SCORE",IF(AND($H36="Final",$L36&lt;&gt;"",IFERROR(INDEX(nrCKfinalExamElig,MATCH($D36,rngCadetPIDs,0)),"")="No"),"FINAL EXAM AFTER FAILED FINAL PT (500.1.H)",IF(AND($K36=2,ISNUMBER($L36),COUNTIFS(nrES_PID,$D36,nrES_Code,$F36,nrES_Att,1)&gt;0,SUMIFS(nrES_Raw,nrES_PID,$D36,nrES_Code,$F36,nrES_Att,1)&gt;=$J36),"RETEST AFTER A PASSING FIRST ATTEMPT","OK"))))))))))</f>
        <v/>
      </c>
      <c r="Y36" s="16" t="n"/>
    </row>
    <row r="37">
      <c r="B37" s="17">
        <f>IF($C37="","",$D37&amp;"-"&amp;$F37&amp;"-"&amp;$K37)</f>
        <v/>
      </c>
      <c r="C37" s="16" t="n"/>
      <c r="D37" s="17">
        <f>IF($C37="","",IFERROR(INDEX(rngCadetPIDs,MATCH($C37,rngCadetNames,0)),"?"))</f>
        <v/>
      </c>
      <c r="E37" s="17">
        <f>IF($D37="","",IFERROR(INDEX(nrCadetAgency,MATCH($D37,rngCadetPIDs,0)),""))</f>
        <v/>
      </c>
      <c r="F37" s="16" t="n"/>
      <c r="G37" s="17">
        <f>IF($F37="","",IFERROR(INDEX(rngEPname,MATCH($F37,rngEPcode,0)),"?"))</f>
        <v/>
      </c>
      <c r="H37" s="17">
        <f>IF($F37="","",IFERROR(INDEX(rngEPtype,MATCH($F37,rngEPcode,0)),"?"))</f>
        <v/>
      </c>
      <c r="I37" s="17">
        <f>IF($F37="","",IFERROR(INDEX(rngEPseq,MATCH($F37,rngEPcode,0)),""))</f>
        <v/>
      </c>
      <c r="J37" s="17">
        <f>IF($F37="","",IFERROR(INDEX(rngEPpass,MATCH($F37,rngEPcode,0)),cfgPassingScore))</f>
        <v/>
      </c>
      <c r="K37" s="16" t="n"/>
      <c r="L37" s="16" t="n"/>
      <c r="M37" s="17">
        <f>IF($C37="","",IF($L37="","",IF(NOT(ISNUMBER($L37)),$L37,IF(N($K37)&gt;2,"",IF($K37=1,IF(COUNTIFS(nrES_PID,$D37,nrES_Code,$F37,nrES_Att,2,nrES_Raw,"&gt;=0")&gt;0,"",$L37),IF($L37&gt;=$J37,MAX($J37,cfgRetakeRecordedCap),IF(COUNTIFS(nrES_PID,$D37,nrES_Code,$F37,nrES_Att,1)=0,$L37,SUMIFS(nrES_Raw,nrES_PID,$D37,nrES_Code,$F37,nrES_Att,1))))))))</f>
        <v/>
      </c>
      <c r="N37" s="17">
        <f>IF($C37="","",IF($L37="","",IF(NOT(ISNUMBER($L37)),"(not a score)",IF($L37&gt;=$J37,"Yes","No"))))</f>
        <v/>
      </c>
      <c r="O37" s="17">
        <f>IF($C37="","",IF($M37="","",IF(NOT(ISNUMBER($M37)),"(not a score)",IF($M37&gt;=$J37,"Yes","No"))))</f>
        <v/>
      </c>
      <c r="P37" s="17">
        <f>IF($C37="","",IF($K37="","",IF(N($K37)&gt;2,"No",IF(COUNTIFS(nrES_PID,$D37,nrES_Code,$F37,nrES_Att,"&gt;"&amp;$K37,nrES_Att,"&lt;=2",nrES_Raw,"&gt;=0")=0,"Yes","No"))))</f>
        <v/>
      </c>
      <c r="Q37" s="17">
        <f>IF($C37="","",IF($L37="","",IF(AND($K37=1,ISNUMBER($L37),$L37&lt;$J37,COUNTIFS(nrES_PID,$D37,nrES_Code,$F37,nrES_Att,2,nrES_Raw,"&gt;=0")=0),"Yes","No")))</f>
        <v/>
      </c>
      <c r="R37" s="17">
        <f>IF($C37="","",IF($L37="","",IF(AND(N($K37)&gt;=2,ISNUMBER($L37),$L37&lt;$J37),"Yes","No")))</f>
        <v/>
      </c>
      <c r="S37" s="18" t="n"/>
      <c r="T37" s="19">
        <f>IF(OR($C37="",$L37="",$K37&lt;&gt;1,NOT(ISNUMBER($L37)),$L37&gt;=$J37),"",IF($S37="","(enter date)",_xlfn.LET(_xlpm.dn,_xlfn.XLOOKUP($S37,nrCDdate,nrCDnum,"",1),IF(_xlpm.dn="","(after last class day)",_xlfn.LET(_xlpm.dd,_xlfn.XLOOKUP(_xlpm.dn+cfgRetestClassDays,nrCDnum,nrCDdate,""),_xlpm.ok,_xlfn.XLOOKUP(_xlpm.dn+cfgRetestClassDays,nrCDnum,nrCDinsession,"No"),IF(OR(_xlpm.dd="",_xlpm.ok&lt;&gt;"Yes"),"(after last class day)",_xlpm.dd))))))</f>
        <v/>
      </c>
      <c r="U37" s="17">
        <f>IF($C37="","",IF(AND($Y37="Excused",$L37="",N($K37)&lt;=1),"EXCUSED - 1st attempt pending",IF(OR($L37="",$K37&lt;&gt;1,NOT(ISNUMBER($L37)),$L37&gt;=$J37),"",IF(COUNTIFS(nrES_PID,$D37,nrES_Code,$F37,nrES_Att,2,nrES_Raw,"&gt;=0")&gt;0,IF(IFERROR(_xlfn.MINIFS(nrES_Date,nrES_PID,$D37,nrES_Code,$F37,nrES_Att,2,nrES_Raw,"&gt;=0",nrES_Date,"&gt;0"),0)=0,"RETEST UNDATED",IF(NOT(ISNUMBER($T37)),"RETEST DATE UNCHECKED",IF(_xlfn.MINIFS(nrES_Date,nrES_PID,$D37,nrES_Code,$F37,nrES_Att,2,nrES_Raw,"&gt;=0",nrES_Date,"&gt;0")&gt;$T37,"LATE RETEST "&amp;TEXT(_xlfn.MINIFS(nrES_Date,nrES_PID,$D37,nrES_Code,$F37,nrES_Att,2,nrES_Raw,"&gt;=0",nrES_Date,"&gt;0"),"mm/dd")&amp;" (due "&amp;TEXT($T37,"mm/dd")&amp;")","Retested"))),IF(NOT(ISNUMBER($T37)),"CHECK DATE",IF(TODAY()&gt;$T37,"OVERDUE","Due "&amp;TEXT($T37,"mm/dd")))))))</f>
        <v/>
      </c>
      <c r="V37" s="16" t="n"/>
      <c r="W37" s="16" t="n"/>
      <c r="X37" s="17">
        <f>IF($C37="","",IF(AND($L37&lt;&gt;"",NOT(ISNUMBER($L37))),"RAW SCORE NOT A NUMBER",IF(AND(ISNUMBER($L37),OR($L37&lt;0,$L37&gt;100)),"RAW SCORE OUT OF RANGE",IF(AND($Y37="Unexcused",OR($L37="",NOT(ISNUMBER($L37)),$L37&lt;&gt;0)),"UNEXCUSED ABSENCE MUST RECORD 0",IF(COUNTIF(nrES_RecID,$B37)&gt;1,"DUPLICATE RECORD",IF(N($K37)&gt;2,"ATTEMPT 3+ NOT ALLOWED - policy 300.5 permits one retest per exam; this row records nothing",IF(AND($K37=2,COUNTIFS(nrES_PID,$D37,nrES_Code,$F37,nrES_Att,1)=0),"ATTEMPT 2 WITHOUT ATTEMPT 1",IF(AND($K37=2,$L37=""),"RETEST ROW HAS NO SCORE",IF(AND($H37="Final",$L37&lt;&gt;"",IFERROR(INDEX(nrCKfinalExamElig,MATCH($D37,rngCadetPIDs,0)),"")="No"),"FINAL EXAM AFTER FAILED FINAL PT (500.1.H)",IF(AND($K37=2,ISNUMBER($L37),COUNTIFS(nrES_PID,$D37,nrES_Code,$F37,nrES_Att,1)&gt;0,SUMIFS(nrES_Raw,nrES_PID,$D37,nrES_Code,$F37,nrES_Att,1)&gt;=$J37),"RETEST AFTER A PASSING FIRST ATTEMPT","OK"))))))))))</f>
        <v/>
      </c>
      <c r="Y37" s="16" t="n"/>
    </row>
    <row r="38">
      <c r="B38" s="17">
        <f>IF($C38="","",$D38&amp;"-"&amp;$F38&amp;"-"&amp;$K38)</f>
        <v/>
      </c>
      <c r="C38" s="16" t="n"/>
      <c r="D38" s="17">
        <f>IF($C38="","",IFERROR(INDEX(rngCadetPIDs,MATCH($C38,rngCadetNames,0)),"?"))</f>
        <v/>
      </c>
      <c r="E38" s="17">
        <f>IF($D38="","",IFERROR(INDEX(nrCadetAgency,MATCH($D38,rngCadetPIDs,0)),""))</f>
        <v/>
      </c>
      <c r="F38" s="16" t="n"/>
      <c r="G38" s="17">
        <f>IF($F38="","",IFERROR(INDEX(rngEPname,MATCH($F38,rngEPcode,0)),"?"))</f>
        <v/>
      </c>
      <c r="H38" s="17">
        <f>IF($F38="","",IFERROR(INDEX(rngEPtype,MATCH($F38,rngEPcode,0)),"?"))</f>
        <v/>
      </c>
      <c r="I38" s="17">
        <f>IF($F38="","",IFERROR(INDEX(rngEPseq,MATCH($F38,rngEPcode,0)),""))</f>
        <v/>
      </c>
      <c r="J38" s="17">
        <f>IF($F38="","",IFERROR(INDEX(rngEPpass,MATCH($F38,rngEPcode,0)),cfgPassingScore))</f>
        <v/>
      </c>
      <c r="K38" s="16" t="n"/>
      <c r="L38" s="16" t="n"/>
      <c r="M38" s="17">
        <f>IF($C38="","",IF($L38="","",IF(NOT(ISNUMBER($L38)),$L38,IF(N($K38)&gt;2,"",IF($K38=1,IF(COUNTIFS(nrES_PID,$D38,nrES_Code,$F38,nrES_Att,2,nrES_Raw,"&gt;=0")&gt;0,"",$L38),IF($L38&gt;=$J38,MAX($J38,cfgRetakeRecordedCap),IF(COUNTIFS(nrES_PID,$D38,nrES_Code,$F38,nrES_Att,1)=0,$L38,SUMIFS(nrES_Raw,nrES_PID,$D38,nrES_Code,$F38,nrES_Att,1))))))))</f>
        <v/>
      </c>
      <c r="N38" s="17">
        <f>IF($C38="","",IF($L38="","",IF(NOT(ISNUMBER($L38)),"(not a score)",IF($L38&gt;=$J38,"Yes","No"))))</f>
        <v/>
      </c>
      <c r="O38" s="17">
        <f>IF($C38="","",IF($M38="","",IF(NOT(ISNUMBER($M38)),"(not a score)",IF($M38&gt;=$J38,"Yes","No"))))</f>
        <v/>
      </c>
      <c r="P38" s="17">
        <f>IF($C38="","",IF($K38="","",IF(N($K38)&gt;2,"No",IF(COUNTIFS(nrES_PID,$D38,nrES_Code,$F38,nrES_Att,"&gt;"&amp;$K38,nrES_Att,"&lt;=2",nrES_Raw,"&gt;=0")=0,"Yes","No"))))</f>
        <v/>
      </c>
      <c r="Q38" s="17">
        <f>IF($C38="","",IF($L38="","",IF(AND($K38=1,ISNUMBER($L38),$L38&lt;$J38,COUNTIFS(nrES_PID,$D38,nrES_Code,$F38,nrES_Att,2,nrES_Raw,"&gt;=0")=0),"Yes","No")))</f>
        <v/>
      </c>
      <c r="R38" s="17">
        <f>IF($C38="","",IF($L38="","",IF(AND(N($K38)&gt;=2,ISNUMBER($L38),$L38&lt;$J38),"Yes","No")))</f>
        <v/>
      </c>
      <c r="S38" s="18" t="n"/>
      <c r="T38" s="19">
        <f>IF(OR($C38="",$L38="",$K38&lt;&gt;1,NOT(ISNUMBER($L38)),$L38&gt;=$J38),"",IF($S38="","(enter date)",_xlfn.LET(_xlpm.dn,_xlfn.XLOOKUP($S38,nrCDdate,nrCDnum,"",1),IF(_xlpm.dn="","(after last class day)",_xlfn.LET(_xlpm.dd,_xlfn.XLOOKUP(_xlpm.dn+cfgRetestClassDays,nrCDnum,nrCDdate,""),_xlpm.ok,_xlfn.XLOOKUP(_xlpm.dn+cfgRetestClassDays,nrCDnum,nrCDinsession,"No"),IF(OR(_xlpm.dd="",_xlpm.ok&lt;&gt;"Yes"),"(after last class day)",_xlpm.dd))))))</f>
        <v/>
      </c>
      <c r="U38" s="17">
        <f>IF($C38="","",IF(AND($Y38="Excused",$L38="",N($K38)&lt;=1),"EXCUSED - 1st attempt pending",IF(OR($L38="",$K38&lt;&gt;1,NOT(ISNUMBER($L38)),$L38&gt;=$J38),"",IF(COUNTIFS(nrES_PID,$D38,nrES_Code,$F38,nrES_Att,2,nrES_Raw,"&gt;=0")&gt;0,IF(IFERROR(_xlfn.MINIFS(nrES_Date,nrES_PID,$D38,nrES_Code,$F38,nrES_Att,2,nrES_Raw,"&gt;=0",nrES_Date,"&gt;0"),0)=0,"RETEST UNDATED",IF(NOT(ISNUMBER($T38)),"RETEST DATE UNCHECKED",IF(_xlfn.MINIFS(nrES_Date,nrES_PID,$D38,nrES_Code,$F38,nrES_Att,2,nrES_Raw,"&gt;=0",nrES_Date,"&gt;0")&gt;$T38,"LATE RETEST "&amp;TEXT(_xlfn.MINIFS(nrES_Date,nrES_PID,$D38,nrES_Code,$F38,nrES_Att,2,nrES_Raw,"&gt;=0",nrES_Date,"&gt;0"),"mm/dd")&amp;" (due "&amp;TEXT($T38,"mm/dd")&amp;")","Retested"))),IF(NOT(ISNUMBER($T38)),"CHECK DATE",IF(TODAY()&gt;$T38,"OVERDUE","Due "&amp;TEXT($T38,"mm/dd")))))))</f>
        <v/>
      </c>
      <c r="V38" s="16" t="n"/>
      <c r="W38" s="16" t="n"/>
      <c r="X38" s="17">
        <f>IF($C38="","",IF(AND($L38&lt;&gt;"",NOT(ISNUMBER($L38))),"RAW SCORE NOT A NUMBER",IF(AND(ISNUMBER($L38),OR($L38&lt;0,$L38&gt;100)),"RAW SCORE OUT OF RANGE",IF(AND($Y38="Unexcused",OR($L38="",NOT(ISNUMBER($L38)),$L38&lt;&gt;0)),"UNEXCUSED ABSENCE MUST RECORD 0",IF(COUNTIF(nrES_RecID,$B38)&gt;1,"DUPLICATE RECORD",IF(N($K38)&gt;2,"ATTEMPT 3+ NOT ALLOWED - policy 300.5 permits one retest per exam; this row records nothing",IF(AND($K38=2,COUNTIFS(nrES_PID,$D38,nrES_Code,$F38,nrES_Att,1)=0),"ATTEMPT 2 WITHOUT ATTEMPT 1",IF(AND($K38=2,$L38=""),"RETEST ROW HAS NO SCORE",IF(AND($H38="Final",$L38&lt;&gt;"",IFERROR(INDEX(nrCKfinalExamElig,MATCH($D38,rngCadetPIDs,0)),"")="No"),"FINAL EXAM AFTER FAILED FINAL PT (500.1.H)",IF(AND($K38=2,ISNUMBER($L38),COUNTIFS(nrES_PID,$D38,nrES_Code,$F38,nrES_Att,1)&gt;0,SUMIFS(nrES_Raw,nrES_PID,$D38,nrES_Code,$F38,nrES_Att,1)&gt;=$J38),"RETEST AFTER A PASSING FIRST ATTEMPT","OK"))))))))))</f>
        <v/>
      </c>
      <c r="Y38" s="16" t="n"/>
    </row>
    <row r="39">
      <c r="B39" s="17">
        <f>IF($C39="","",$D39&amp;"-"&amp;$F39&amp;"-"&amp;$K39)</f>
        <v/>
      </c>
      <c r="C39" s="16" t="n"/>
      <c r="D39" s="17">
        <f>IF($C39="","",IFERROR(INDEX(rngCadetPIDs,MATCH($C39,rngCadetNames,0)),"?"))</f>
        <v/>
      </c>
      <c r="E39" s="17">
        <f>IF($D39="","",IFERROR(INDEX(nrCadetAgency,MATCH($D39,rngCadetPIDs,0)),""))</f>
        <v/>
      </c>
      <c r="F39" s="16" t="n"/>
      <c r="G39" s="17">
        <f>IF($F39="","",IFERROR(INDEX(rngEPname,MATCH($F39,rngEPcode,0)),"?"))</f>
        <v/>
      </c>
      <c r="H39" s="17">
        <f>IF($F39="","",IFERROR(INDEX(rngEPtype,MATCH($F39,rngEPcode,0)),"?"))</f>
        <v/>
      </c>
      <c r="I39" s="17">
        <f>IF($F39="","",IFERROR(INDEX(rngEPseq,MATCH($F39,rngEPcode,0)),""))</f>
        <v/>
      </c>
      <c r="J39" s="17">
        <f>IF($F39="","",IFERROR(INDEX(rngEPpass,MATCH($F39,rngEPcode,0)),cfgPassingScore))</f>
        <v/>
      </c>
      <c r="K39" s="16" t="n"/>
      <c r="L39" s="16" t="n"/>
      <c r="M39" s="17">
        <f>IF($C39="","",IF($L39="","",IF(NOT(ISNUMBER($L39)),$L39,IF(N($K39)&gt;2,"",IF($K39=1,IF(COUNTIFS(nrES_PID,$D39,nrES_Code,$F39,nrES_Att,2,nrES_Raw,"&gt;=0")&gt;0,"",$L39),IF($L39&gt;=$J39,MAX($J39,cfgRetakeRecordedCap),IF(COUNTIFS(nrES_PID,$D39,nrES_Code,$F39,nrES_Att,1)=0,$L39,SUMIFS(nrES_Raw,nrES_PID,$D39,nrES_Code,$F39,nrES_Att,1))))))))</f>
        <v/>
      </c>
      <c r="N39" s="17">
        <f>IF($C39="","",IF($L39="","",IF(NOT(ISNUMBER($L39)),"(not a score)",IF($L39&gt;=$J39,"Yes","No"))))</f>
        <v/>
      </c>
      <c r="O39" s="17">
        <f>IF($C39="","",IF($M39="","",IF(NOT(ISNUMBER($M39)),"(not a score)",IF($M39&gt;=$J39,"Yes","No"))))</f>
        <v/>
      </c>
      <c r="P39" s="17">
        <f>IF($C39="","",IF($K39="","",IF(N($K39)&gt;2,"No",IF(COUNTIFS(nrES_PID,$D39,nrES_Code,$F39,nrES_Att,"&gt;"&amp;$K39,nrES_Att,"&lt;=2",nrES_Raw,"&gt;=0")=0,"Yes","No"))))</f>
        <v/>
      </c>
      <c r="Q39" s="17">
        <f>IF($C39="","",IF($L39="","",IF(AND($K39=1,ISNUMBER($L39),$L39&lt;$J39,COUNTIFS(nrES_PID,$D39,nrES_Code,$F39,nrES_Att,2,nrES_Raw,"&gt;=0")=0),"Yes","No")))</f>
        <v/>
      </c>
      <c r="R39" s="17">
        <f>IF($C39="","",IF($L39="","",IF(AND(N($K39)&gt;=2,ISNUMBER($L39),$L39&lt;$J39),"Yes","No")))</f>
        <v/>
      </c>
      <c r="S39" s="18" t="n"/>
      <c r="T39" s="19">
        <f>IF(OR($C39="",$L39="",$K39&lt;&gt;1,NOT(ISNUMBER($L39)),$L39&gt;=$J39),"",IF($S39="","(enter date)",_xlfn.LET(_xlpm.dn,_xlfn.XLOOKUP($S39,nrCDdate,nrCDnum,"",1),IF(_xlpm.dn="","(after last class day)",_xlfn.LET(_xlpm.dd,_xlfn.XLOOKUP(_xlpm.dn+cfgRetestClassDays,nrCDnum,nrCDdate,""),_xlpm.ok,_xlfn.XLOOKUP(_xlpm.dn+cfgRetestClassDays,nrCDnum,nrCDinsession,"No"),IF(OR(_xlpm.dd="",_xlpm.ok&lt;&gt;"Yes"),"(after last class day)",_xlpm.dd))))))</f>
        <v/>
      </c>
      <c r="U39" s="17">
        <f>IF($C39="","",IF(AND($Y39="Excused",$L39="",N($K39)&lt;=1),"EXCUSED - 1st attempt pending",IF(OR($L39="",$K39&lt;&gt;1,NOT(ISNUMBER($L39)),$L39&gt;=$J39),"",IF(COUNTIFS(nrES_PID,$D39,nrES_Code,$F39,nrES_Att,2,nrES_Raw,"&gt;=0")&gt;0,IF(IFERROR(_xlfn.MINIFS(nrES_Date,nrES_PID,$D39,nrES_Code,$F39,nrES_Att,2,nrES_Raw,"&gt;=0",nrES_Date,"&gt;0"),0)=0,"RETEST UNDATED",IF(NOT(ISNUMBER($T39)),"RETEST DATE UNCHECKED",IF(_xlfn.MINIFS(nrES_Date,nrES_PID,$D39,nrES_Code,$F39,nrES_Att,2,nrES_Raw,"&gt;=0",nrES_Date,"&gt;0")&gt;$T39,"LATE RETEST "&amp;TEXT(_xlfn.MINIFS(nrES_Date,nrES_PID,$D39,nrES_Code,$F39,nrES_Att,2,nrES_Raw,"&gt;=0",nrES_Date,"&gt;0"),"mm/dd")&amp;" (due "&amp;TEXT($T39,"mm/dd")&amp;")","Retested"))),IF(NOT(ISNUMBER($T39)),"CHECK DATE",IF(TODAY()&gt;$T39,"OVERDUE","Due "&amp;TEXT($T39,"mm/dd")))))))</f>
        <v/>
      </c>
      <c r="V39" s="16" t="n"/>
      <c r="W39" s="16" t="n"/>
      <c r="X39" s="17">
        <f>IF($C39="","",IF(AND($L39&lt;&gt;"",NOT(ISNUMBER($L39))),"RAW SCORE NOT A NUMBER",IF(AND(ISNUMBER($L39),OR($L39&lt;0,$L39&gt;100)),"RAW SCORE OUT OF RANGE",IF(AND($Y39="Unexcused",OR($L39="",NOT(ISNUMBER($L39)),$L39&lt;&gt;0)),"UNEXCUSED ABSENCE MUST RECORD 0",IF(COUNTIF(nrES_RecID,$B39)&gt;1,"DUPLICATE RECORD",IF(N($K39)&gt;2,"ATTEMPT 3+ NOT ALLOWED - policy 300.5 permits one retest per exam; this row records nothing",IF(AND($K39=2,COUNTIFS(nrES_PID,$D39,nrES_Code,$F39,nrES_Att,1)=0),"ATTEMPT 2 WITHOUT ATTEMPT 1",IF(AND($K39=2,$L39=""),"RETEST ROW HAS NO SCORE",IF(AND($H39="Final",$L39&lt;&gt;"",IFERROR(INDEX(nrCKfinalExamElig,MATCH($D39,rngCadetPIDs,0)),"")="No"),"FINAL EXAM AFTER FAILED FINAL PT (500.1.H)",IF(AND($K39=2,ISNUMBER($L39),COUNTIFS(nrES_PID,$D39,nrES_Code,$F39,nrES_Att,1)&gt;0,SUMIFS(nrES_Raw,nrES_PID,$D39,nrES_Code,$F39,nrES_Att,1)&gt;=$J39),"RETEST AFTER A PASSING FIRST ATTEMPT","OK"))))))))))</f>
        <v/>
      </c>
      <c r="Y39" s="16" t="n"/>
    </row>
    <row r="40">
      <c r="B40" s="17">
        <f>IF($C40="","",$D40&amp;"-"&amp;$F40&amp;"-"&amp;$K40)</f>
        <v/>
      </c>
      <c r="C40" s="16" t="n"/>
      <c r="D40" s="17">
        <f>IF($C40="","",IFERROR(INDEX(rngCadetPIDs,MATCH($C40,rngCadetNames,0)),"?"))</f>
        <v/>
      </c>
      <c r="E40" s="17">
        <f>IF($D40="","",IFERROR(INDEX(nrCadetAgency,MATCH($D40,rngCadetPIDs,0)),""))</f>
        <v/>
      </c>
      <c r="F40" s="16" t="n"/>
      <c r="G40" s="17">
        <f>IF($F40="","",IFERROR(INDEX(rngEPname,MATCH($F40,rngEPcode,0)),"?"))</f>
        <v/>
      </c>
      <c r="H40" s="17">
        <f>IF($F40="","",IFERROR(INDEX(rngEPtype,MATCH($F40,rngEPcode,0)),"?"))</f>
        <v/>
      </c>
      <c r="I40" s="17">
        <f>IF($F40="","",IFERROR(INDEX(rngEPseq,MATCH($F40,rngEPcode,0)),""))</f>
        <v/>
      </c>
      <c r="J40" s="17">
        <f>IF($F40="","",IFERROR(INDEX(rngEPpass,MATCH($F40,rngEPcode,0)),cfgPassingScore))</f>
        <v/>
      </c>
      <c r="K40" s="16" t="n"/>
      <c r="L40" s="16" t="n"/>
      <c r="M40" s="17">
        <f>IF($C40="","",IF($L40="","",IF(NOT(ISNUMBER($L40)),$L40,IF(N($K40)&gt;2,"",IF($K40=1,IF(COUNTIFS(nrES_PID,$D40,nrES_Code,$F40,nrES_Att,2,nrES_Raw,"&gt;=0")&gt;0,"",$L40),IF($L40&gt;=$J40,MAX($J40,cfgRetakeRecordedCap),IF(COUNTIFS(nrES_PID,$D40,nrES_Code,$F40,nrES_Att,1)=0,$L40,SUMIFS(nrES_Raw,nrES_PID,$D40,nrES_Code,$F40,nrES_Att,1))))))))</f>
        <v/>
      </c>
      <c r="N40" s="17">
        <f>IF($C40="","",IF($L40="","",IF(NOT(ISNUMBER($L40)),"(not a score)",IF($L40&gt;=$J40,"Yes","No"))))</f>
        <v/>
      </c>
      <c r="O40" s="17">
        <f>IF($C40="","",IF($M40="","",IF(NOT(ISNUMBER($M40)),"(not a score)",IF($M40&gt;=$J40,"Yes","No"))))</f>
        <v/>
      </c>
      <c r="P40" s="17">
        <f>IF($C40="","",IF($K40="","",IF(N($K40)&gt;2,"No",IF(COUNTIFS(nrES_PID,$D40,nrES_Code,$F40,nrES_Att,"&gt;"&amp;$K40,nrES_Att,"&lt;=2",nrES_Raw,"&gt;=0")=0,"Yes","No"))))</f>
        <v/>
      </c>
      <c r="Q40" s="17">
        <f>IF($C40="","",IF($L40="","",IF(AND($K40=1,ISNUMBER($L40),$L40&lt;$J40,COUNTIFS(nrES_PID,$D40,nrES_Code,$F40,nrES_Att,2,nrES_Raw,"&gt;=0")=0),"Yes","No")))</f>
        <v/>
      </c>
      <c r="R40" s="17">
        <f>IF($C40="","",IF($L40="","",IF(AND(N($K40)&gt;=2,ISNUMBER($L40),$L40&lt;$J40),"Yes","No")))</f>
        <v/>
      </c>
      <c r="S40" s="18" t="n"/>
      <c r="T40" s="19">
        <f>IF(OR($C40="",$L40="",$K40&lt;&gt;1,NOT(ISNUMBER($L40)),$L40&gt;=$J40),"",IF($S40="","(enter date)",_xlfn.LET(_xlpm.dn,_xlfn.XLOOKUP($S40,nrCDdate,nrCDnum,"",1),IF(_xlpm.dn="","(after last class day)",_xlfn.LET(_xlpm.dd,_xlfn.XLOOKUP(_xlpm.dn+cfgRetestClassDays,nrCDnum,nrCDdate,""),_xlpm.ok,_xlfn.XLOOKUP(_xlpm.dn+cfgRetestClassDays,nrCDnum,nrCDinsession,"No"),IF(OR(_xlpm.dd="",_xlpm.ok&lt;&gt;"Yes"),"(after last class day)",_xlpm.dd))))))</f>
        <v/>
      </c>
      <c r="U40" s="17">
        <f>IF($C40="","",IF(AND($Y40="Excused",$L40="",N($K40)&lt;=1),"EXCUSED - 1st attempt pending",IF(OR($L40="",$K40&lt;&gt;1,NOT(ISNUMBER($L40)),$L40&gt;=$J40),"",IF(COUNTIFS(nrES_PID,$D40,nrES_Code,$F40,nrES_Att,2,nrES_Raw,"&gt;=0")&gt;0,IF(IFERROR(_xlfn.MINIFS(nrES_Date,nrES_PID,$D40,nrES_Code,$F40,nrES_Att,2,nrES_Raw,"&gt;=0",nrES_Date,"&gt;0"),0)=0,"RETEST UNDATED",IF(NOT(ISNUMBER($T40)),"RETEST DATE UNCHECKED",IF(_xlfn.MINIFS(nrES_Date,nrES_PID,$D40,nrES_Code,$F40,nrES_Att,2,nrES_Raw,"&gt;=0",nrES_Date,"&gt;0")&gt;$T40,"LATE RETEST "&amp;TEXT(_xlfn.MINIFS(nrES_Date,nrES_PID,$D40,nrES_Code,$F40,nrES_Att,2,nrES_Raw,"&gt;=0",nrES_Date,"&gt;0"),"mm/dd")&amp;" (due "&amp;TEXT($T40,"mm/dd")&amp;")","Retested"))),IF(NOT(ISNUMBER($T40)),"CHECK DATE",IF(TODAY()&gt;$T40,"OVERDUE","Due "&amp;TEXT($T40,"mm/dd")))))))</f>
        <v/>
      </c>
      <c r="V40" s="16" t="n"/>
      <c r="W40" s="16" t="n"/>
      <c r="X40" s="17">
        <f>IF($C40="","",IF(AND($L40&lt;&gt;"",NOT(ISNUMBER($L40))),"RAW SCORE NOT A NUMBER",IF(AND(ISNUMBER($L40),OR($L40&lt;0,$L40&gt;100)),"RAW SCORE OUT OF RANGE",IF(AND($Y40="Unexcused",OR($L40="",NOT(ISNUMBER($L40)),$L40&lt;&gt;0)),"UNEXCUSED ABSENCE MUST RECORD 0",IF(COUNTIF(nrES_RecID,$B40)&gt;1,"DUPLICATE RECORD",IF(N($K40)&gt;2,"ATTEMPT 3+ NOT ALLOWED - policy 300.5 permits one retest per exam; this row records nothing",IF(AND($K40=2,COUNTIFS(nrES_PID,$D40,nrES_Code,$F40,nrES_Att,1)=0),"ATTEMPT 2 WITHOUT ATTEMPT 1",IF(AND($K40=2,$L40=""),"RETEST ROW HAS NO SCORE",IF(AND($H40="Final",$L40&lt;&gt;"",IFERROR(INDEX(nrCKfinalExamElig,MATCH($D40,rngCadetPIDs,0)),"")="No"),"FINAL EXAM AFTER FAILED FINAL PT (500.1.H)",IF(AND($K40=2,ISNUMBER($L40),COUNTIFS(nrES_PID,$D40,nrES_Code,$F40,nrES_Att,1)&gt;0,SUMIFS(nrES_Raw,nrES_PID,$D40,nrES_Code,$F40,nrES_Att,1)&gt;=$J40),"RETEST AFTER A PASSING FIRST ATTEMPT","OK"))))))))))</f>
        <v/>
      </c>
      <c r="Y40" s="16" t="n"/>
    </row>
    <row r="41">
      <c r="B41" s="17">
        <f>IF($C41="","",$D41&amp;"-"&amp;$F41&amp;"-"&amp;$K41)</f>
        <v/>
      </c>
      <c r="C41" s="16" t="n"/>
      <c r="D41" s="17">
        <f>IF($C41="","",IFERROR(INDEX(rngCadetPIDs,MATCH($C41,rngCadetNames,0)),"?"))</f>
        <v/>
      </c>
      <c r="E41" s="17">
        <f>IF($D41="","",IFERROR(INDEX(nrCadetAgency,MATCH($D41,rngCadetPIDs,0)),""))</f>
        <v/>
      </c>
      <c r="F41" s="16" t="n"/>
      <c r="G41" s="17">
        <f>IF($F41="","",IFERROR(INDEX(rngEPname,MATCH($F41,rngEPcode,0)),"?"))</f>
        <v/>
      </c>
      <c r="H41" s="17">
        <f>IF($F41="","",IFERROR(INDEX(rngEPtype,MATCH($F41,rngEPcode,0)),"?"))</f>
        <v/>
      </c>
      <c r="I41" s="17">
        <f>IF($F41="","",IFERROR(INDEX(rngEPseq,MATCH($F41,rngEPcode,0)),""))</f>
        <v/>
      </c>
      <c r="J41" s="17">
        <f>IF($F41="","",IFERROR(INDEX(rngEPpass,MATCH($F41,rngEPcode,0)),cfgPassingScore))</f>
        <v/>
      </c>
      <c r="K41" s="16" t="n"/>
      <c r="L41" s="16" t="n"/>
      <c r="M41" s="17">
        <f>IF($C41="","",IF($L41="","",IF(NOT(ISNUMBER($L41)),$L41,IF(N($K41)&gt;2,"",IF($K41=1,IF(COUNTIFS(nrES_PID,$D41,nrES_Code,$F41,nrES_Att,2,nrES_Raw,"&gt;=0")&gt;0,"",$L41),IF($L41&gt;=$J41,MAX($J41,cfgRetakeRecordedCap),IF(COUNTIFS(nrES_PID,$D41,nrES_Code,$F41,nrES_Att,1)=0,$L41,SUMIFS(nrES_Raw,nrES_PID,$D41,nrES_Code,$F41,nrES_Att,1))))))))</f>
        <v/>
      </c>
      <c r="N41" s="17">
        <f>IF($C41="","",IF($L41="","",IF(NOT(ISNUMBER($L41)),"(not a score)",IF($L41&gt;=$J41,"Yes","No"))))</f>
        <v/>
      </c>
      <c r="O41" s="17">
        <f>IF($C41="","",IF($M41="","",IF(NOT(ISNUMBER($M41)),"(not a score)",IF($M41&gt;=$J41,"Yes","No"))))</f>
        <v/>
      </c>
      <c r="P41" s="17">
        <f>IF($C41="","",IF($K41="","",IF(N($K41)&gt;2,"No",IF(COUNTIFS(nrES_PID,$D41,nrES_Code,$F41,nrES_Att,"&gt;"&amp;$K41,nrES_Att,"&lt;=2",nrES_Raw,"&gt;=0")=0,"Yes","No"))))</f>
        <v/>
      </c>
      <c r="Q41" s="17">
        <f>IF($C41="","",IF($L41="","",IF(AND($K41=1,ISNUMBER($L41),$L41&lt;$J41,COUNTIFS(nrES_PID,$D41,nrES_Code,$F41,nrES_Att,2,nrES_Raw,"&gt;=0")=0),"Yes","No")))</f>
        <v/>
      </c>
      <c r="R41" s="17">
        <f>IF($C41="","",IF($L41="","",IF(AND(N($K41)&gt;=2,ISNUMBER($L41),$L41&lt;$J41),"Yes","No")))</f>
        <v/>
      </c>
      <c r="S41" s="18" t="n"/>
      <c r="T41" s="19">
        <f>IF(OR($C41="",$L41="",$K41&lt;&gt;1,NOT(ISNUMBER($L41)),$L41&gt;=$J41),"",IF($S41="","(enter date)",_xlfn.LET(_xlpm.dn,_xlfn.XLOOKUP($S41,nrCDdate,nrCDnum,"",1),IF(_xlpm.dn="","(after last class day)",_xlfn.LET(_xlpm.dd,_xlfn.XLOOKUP(_xlpm.dn+cfgRetestClassDays,nrCDnum,nrCDdate,""),_xlpm.ok,_xlfn.XLOOKUP(_xlpm.dn+cfgRetestClassDays,nrCDnum,nrCDinsession,"No"),IF(OR(_xlpm.dd="",_xlpm.ok&lt;&gt;"Yes"),"(after last class day)",_xlpm.dd))))))</f>
        <v/>
      </c>
      <c r="U41" s="17">
        <f>IF($C41="","",IF(AND($Y41="Excused",$L41="",N($K41)&lt;=1),"EXCUSED - 1st attempt pending",IF(OR($L41="",$K41&lt;&gt;1,NOT(ISNUMBER($L41)),$L41&gt;=$J41),"",IF(COUNTIFS(nrES_PID,$D41,nrES_Code,$F41,nrES_Att,2,nrES_Raw,"&gt;=0")&gt;0,IF(IFERROR(_xlfn.MINIFS(nrES_Date,nrES_PID,$D41,nrES_Code,$F41,nrES_Att,2,nrES_Raw,"&gt;=0",nrES_Date,"&gt;0"),0)=0,"RETEST UNDATED",IF(NOT(ISNUMBER($T41)),"RETEST DATE UNCHECKED",IF(_xlfn.MINIFS(nrES_Date,nrES_PID,$D41,nrES_Code,$F41,nrES_Att,2,nrES_Raw,"&gt;=0",nrES_Date,"&gt;0")&gt;$T41,"LATE RETEST "&amp;TEXT(_xlfn.MINIFS(nrES_Date,nrES_PID,$D41,nrES_Code,$F41,nrES_Att,2,nrES_Raw,"&gt;=0",nrES_Date,"&gt;0"),"mm/dd")&amp;" (due "&amp;TEXT($T41,"mm/dd")&amp;")","Retested"))),IF(NOT(ISNUMBER($T41)),"CHECK DATE",IF(TODAY()&gt;$T41,"OVERDUE","Due "&amp;TEXT($T41,"mm/dd")))))))</f>
        <v/>
      </c>
      <c r="V41" s="16" t="n"/>
      <c r="W41" s="16" t="n"/>
      <c r="X41" s="17">
        <f>IF($C41="","",IF(AND($L41&lt;&gt;"",NOT(ISNUMBER($L41))),"RAW SCORE NOT A NUMBER",IF(AND(ISNUMBER($L41),OR($L41&lt;0,$L41&gt;100)),"RAW SCORE OUT OF RANGE",IF(AND($Y41="Unexcused",OR($L41="",NOT(ISNUMBER($L41)),$L41&lt;&gt;0)),"UNEXCUSED ABSENCE MUST RECORD 0",IF(COUNTIF(nrES_RecID,$B41)&gt;1,"DUPLICATE RECORD",IF(N($K41)&gt;2,"ATTEMPT 3+ NOT ALLOWED - policy 300.5 permits one retest per exam; this row records nothing",IF(AND($K41=2,COUNTIFS(nrES_PID,$D41,nrES_Code,$F41,nrES_Att,1)=0),"ATTEMPT 2 WITHOUT ATTEMPT 1",IF(AND($K41=2,$L41=""),"RETEST ROW HAS NO SCORE",IF(AND($H41="Final",$L41&lt;&gt;"",IFERROR(INDEX(nrCKfinalExamElig,MATCH($D41,rngCadetPIDs,0)),"")="No"),"FINAL EXAM AFTER FAILED FINAL PT (500.1.H)",IF(AND($K41=2,ISNUMBER($L41),COUNTIFS(nrES_PID,$D41,nrES_Code,$F41,nrES_Att,1)&gt;0,SUMIFS(nrES_Raw,nrES_PID,$D41,nrES_Code,$F41,nrES_Att,1)&gt;=$J41),"RETEST AFTER A PASSING FIRST ATTEMPT","OK"))))))))))</f>
        <v/>
      </c>
      <c r="Y41" s="16" t="n"/>
    </row>
    <row r="42">
      <c r="B42" s="17">
        <f>IF($C42="","",$D42&amp;"-"&amp;$F42&amp;"-"&amp;$K42)</f>
        <v/>
      </c>
      <c r="C42" s="16" t="n"/>
      <c r="D42" s="17">
        <f>IF($C42="","",IFERROR(INDEX(rngCadetPIDs,MATCH($C42,rngCadetNames,0)),"?"))</f>
        <v/>
      </c>
      <c r="E42" s="17">
        <f>IF($D42="","",IFERROR(INDEX(nrCadetAgency,MATCH($D42,rngCadetPIDs,0)),""))</f>
        <v/>
      </c>
      <c r="F42" s="16" t="n"/>
      <c r="G42" s="17">
        <f>IF($F42="","",IFERROR(INDEX(rngEPname,MATCH($F42,rngEPcode,0)),"?"))</f>
        <v/>
      </c>
      <c r="H42" s="17">
        <f>IF($F42="","",IFERROR(INDEX(rngEPtype,MATCH($F42,rngEPcode,0)),"?"))</f>
        <v/>
      </c>
      <c r="I42" s="17">
        <f>IF($F42="","",IFERROR(INDEX(rngEPseq,MATCH($F42,rngEPcode,0)),""))</f>
        <v/>
      </c>
      <c r="J42" s="17">
        <f>IF($F42="","",IFERROR(INDEX(rngEPpass,MATCH($F42,rngEPcode,0)),cfgPassingScore))</f>
        <v/>
      </c>
      <c r="K42" s="16" t="n"/>
      <c r="L42" s="16" t="n"/>
      <c r="M42" s="17">
        <f>IF($C42="","",IF($L42="","",IF(NOT(ISNUMBER($L42)),$L42,IF(N($K42)&gt;2,"",IF($K42=1,IF(COUNTIFS(nrES_PID,$D42,nrES_Code,$F42,nrES_Att,2,nrES_Raw,"&gt;=0")&gt;0,"",$L42),IF($L42&gt;=$J42,MAX($J42,cfgRetakeRecordedCap),IF(COUNTIFS(nrES_PID,$D42,nrES_Code,$F42,nrES_Att,1)=0,$L42,SUMIFS(nrES_Raw,nrES_PID,$D42,nrES_Code,$F42,nrES_Att,1))))))))</f>
        <v/>
      </c>
      <c r="N42" s="17">
        <f>IF($C42="","",IF($L42="","",IF(NOT(ISNUMBER($L42)),"(not a score)",IF($L42&gt;=$J42,"Yes","No"))))</f>
        <v/>
      </c>
      <c r="O42" s="17">
        <f>IF($C42="","",IF($M42="","",IF(NOT(ISNUMBER($M42)),"(not a score)",IF($M42&gt;=$J42,"Yes","No"))))</f>
        <v/>
      </c>
      <c r="P42" s="17">
        <f>IF($C42="","",IF($K42="","",IF(N($K42)&gt;2,"No",IF(COUNTIFS(nrES_PID,$D42,nrES_Code,$F42,nrES_Att,"&gt;"&amp;$K42,nrES_Att,"&lt;=2",nrES_Raw,"&gt;=0")=0,"Yes","No"))))</f>
        <v/>
      </c>
      <c r="Q42" s="17">
        <f>IF($C42="","",IF($L42="","",IF(AND($K42=1,ISNUMBER($L42),$L42&lt;$J42,COUNTIFS(nrES_PID,$D42,nrES_Code,$F42,nrES_Att,2,nrES_Raw,"&gt;=0")=0),"Yes","No")))</f>
        <v/>
      </c>
      <c r="R42" s="17">
        <f>IF($C42="","",IF($L42="","",IF(AND(N($K42)&gt;=2,ISNUMBER($L42),$L42&lt;$J42),"Yes","No")))</f>
        <v/>
      </c>
      <c r="S42" s="18" t="n"/>
      <c r="T42" s="19">
        <f>IF(OR($C42="",$L42="",$K42&lt;&gt;1,NOT(ISNUMBER($L42)),$L42&gt;=$J42),"",IF($S42="","(enter date)",_xlfn.LET(_xlpm.dn,_xlfn.XLOOKUP($S42,nrCDdate,nrCDnum,"",1),IF(_xlpm.dn="","(after last class day)",_xlfn.LET(_xlpm.dd,_xlfn.XLOOKUP(_xlpm.dn+cfgRetestClassDays,nrCDnum,nrCDdate,""),_xlpm.ok,_xlfn.XLOOKUP(_xlpm.dn+cfgRetestClassDays,nrCDnum,nrCDinsession,"No"),IF(OR(_xlpm.dd="",_xlpm.ok&lt;&gt;"Yes"),"(after last class day)",_xlpm.dd))))))</f>
        <v/>
      </c>
      <c r="U42" s="17">
        <f>IF($C42="","",IF(AND($Y42="Excused",$L42="",N($K42)&lt;=1),"EXCUSED - 1st attempt pending",IF(OR($L42="",$K42&lt;&gt;1,NOT(ISNUMBER($L42)),$L42&gt;=$J42),"",IF(COUNTIFS(nrES_PID,$D42,nrES_Code,$F42,nrES_Att,2,nrES_Raw,"&gt;=0")&gt;0,IF(IFERROR(_xlfn.MINIFS(nrES_Date,nrES_PID,$D42,nrES_Code,$F42,nrES_Att,2,nrES_Raw,"&gt;=0",nrES_Date,"&gt;0"),0)=0,"RETEST UNDATED",IF(NOT(ISNUMBER($T42)),"RETEST DATE UNCHECKED",IF(_xlfn.MINIFS(nrES_Date,nrES_PID,$D42,nrES_Code,$F42,nrES_Att,2,nrES_Raw,"&gt;=0",nrES_Date,"&gt;0")&gt;$T42,"LATE RETEST "&amp;TEXT(_xlfn.MINIFS(nrES_Date,nrES_PID,$D42,nrES_Code,$F42,nrES_Att,2,nrES_Raw,"&gt;=0",nrES_Date,"&gt;0"),"mm/dd")&amp;" (due "&amp;TEXT($T42,"mm/dd")&amp;")","Retested"))),IF(NOT(ISNUMBER($T42)),"CHECK DATE",IF(TODAY()&gt;$T42,"OVERDUE","Due "&amp;TEXT($T42,"mm/dd")))))))</f>
        <v/>
      </c>
      <c r="V42" s="16" t="n"/>
      <c r="W42" s="16" t="n"/>
      <c r="X42" s="17">
        <f>IF($C42="","",IF(AND($L42&lt;&gt;"",NOT(ISNUMBER($L42))),"RAW SCORE NOT A NUMBER",IF(AND(ISNUMBER($L42),OR($L42&lt;0,$L42&gt;100)),"RAW SCORE OUT OF RANGE",IF(AND($Y42="Unexcused",OR($L42="",NOT(ISNUMBER($L42)),$L42&lt;&gt;0)),"UNEXCUSED ABSENCE MUST RECORD 0",IF(COUNTIF(nrES_RecID,$B42)&gt;1,"DUPLICATE RECORD",IF(N($K42)&gt;2,"ATTEMPT 3+ NOT ALLOWED - policy 300.5 permits one retest per exam; this row records nothing",IF(AND($K42=2,COUNTIFS(nrES_PID,$D42,nrES_Code,$F42,nrES_Att,1)=0),"ATTEMPT 2 WITHOUT ATTEMPT 1",IF(AND($K42=2,$L42=""),"RETEST ROW HAS NO SCORE",IF(AND($H42="Final",$L42&lt;&gt;"",IFERROR(INDEX(nrCKfinalExamElig,MATCH($D42,rngCadetPIDs,0)),"")="No"),"FINAL EXAM AFTER FAILED FINAL PT (500.1.H)",IF(AND($K42=2,ISNUMBER($L42),COUNTIFS(nrES_PID,$D42,nrES_Code,$F42,nrES_Att,1)&gt;0,SUMIFS(nrES_Raw,nrES_PID,$D42,nrES_Code,$F42,nrES_Att,1)&gt;=$J42),"RETEST AFTER A PASSING FIRST ATTEMPT","OK"))))))))))</f>
        <v/>
      </c>
      <c r="Y42" s="16" t="n"/>
    </row>
    <row r="43">
      <c r="B43" s="17">
        <f>IF($C43="","",$D43&amp;"-"&amp;$F43&amp;"-"&amp;$K43)</f>
        <v/>
      </c>
      <c r="C43" s="16" t="n"/>
      <c r="D43" s="17">
        <f>IF($C43="","",IFERROR(INDEX(rngCadetPIDs,MATCH($C43,rngCadetNames,0)),"?"))</f>
        <v/>
      </c>
      <c r="E43" s="17">
        <f>IF($D43="","",IFERROR(INDEX(nrCadetAgency,MATCH($D43,rngCadetPIDs,0)),""))</f>
        <v/>
      </c>
      <c r="F43" s="16" t="n"/>
      <c r="G43" s="17">
        <f>IF($F43="","",IFERROR(INDEX(rngEPname,MATCH($F43,rngEPcode,0)),"?"))</f>
        <v/>
      </c>
      <c r="H43" s="17">
        <f>IF($F43="","",IFERROR(INDEX(rngEPtype,MATCH($F43,rngEPcode,0)),"?"))</f>
        <v/>
      </c>
      <c r="I43" s="17">
        <f>IF($F43="","",IFERROR(INDEX(rngEPseq,MATCH($F43,rngEPcode,0)),""))</f>
        <v/>
      </c>
      <c r="J43" s="17">
        <f>IF($F43="","",IFERROR(INDEX(rngEPpass,MATCH($F43,rngEPcode,0)),cfgPassingScore))</f>
        <v/>
      </c>
      <c r="K43" s="16" t="n"/>
      <c r="L43" s="16" t="n"/>
      <c r="M43" s="17">
        <f>IF($C43="","",IF($L43="","",IF(NOT(ISNUMBER($L43)),$L43,IF(N($K43)&gt;2,"",IF($K43=1,IF(COUNTIFS(nrES_PID,$D43,nrES_Code,$F43,nrES_Att,2,nrES_Raw,"&gt;=0")&gt;0,"",$L43),IF($L43&gt;=$J43,MAX($J43,cfgRetakeRecordedCap),IF(COUNTIFS(nrES_PID,$D43,nrES_Code,$F43,nrES_Att,1)=0,$L43,SUMIFS(nrES_Raw,nrES_PID,$D43,nrES_Code,$F43,nrES_Att,1))))))))</f>
        <v/>
      </c>
      <c r="N43" s="17">
        <f>IF($C43="","",IF($L43="","",IF(NOT(ISNUMBER($L43)),"(not a score)",IF($L43&gt;=$J43,"Yes","No"))))</f>
        <v/>
      </c>
      <c r="O43" s="17">
        <f>IF($C43="","",IF($M43="","",IF(NOT(ISNUMBER($M43)),"(not a score)",IF($M43&gt;=$J43,"Yes","No"))))</f>
        <v/>
      </c>
      <c r="P43" s="17">
        <f>IF($C43="","",IF($K43="","",IF(N($K43)&gt;2,"No",IF(COUNTIFS(nrES_PID,$D43,nrES_Code,$F43,nrES_Att,"&gt;"&amp;$K43,nrES_Att,"&lt;=2",nrES_Raw,"&gt;=0")=0,"Yes","No"))))</f>
        <v/>
      </c>
      <c r="Q43" s="17">
        <f>IF($C43="","",IF($L43="","",IF(AND($K43=1,ISNUMBER($L43),$L43&lt;$J43,COUNTIFS(nrES_PID,$D43,nrES_Code,$F43,nrES_Att,2,nrES_Raw,"&gt;=0")=0),"Yes","No")))</f>
        <v/>
      </c>
      <c r="R43" s="17">
        <f>IF($C43="","",IF($L43="","",IF(AND(N($K43)&gt;=2,ISNUMBER($L43),$L43&lt;$J43),"Yes","No")))</f>
        <v/>
      </c>
      <c r="S43" s="18" t="n"/>
      <c r="T43" s="19">
        <f>IF(OR($C43="",$L43="",$K43&lt;&gt;1,NOT(ISNUMBER($L43)),$L43&gt;=$J43),"",IF($S43="","(enter date)",_xlfn.LET(_xlpm.dn,_xlfn.XLOOKUP($S43,nrCDdate,nrCDnum,"",1),IF(_xlpm.dn="","(after last class day)",_xlfn.LET(_xlpm.dd,_xlfn.XLOOKUP(_xlpm.dn+cfgRetestClassDays,nrCDnum,nrCDdate,""),_xlpm.ok,_xlfn.XLOOKUP(_xlpm.dn+cfgRetestClassDays,nrCDnum,nrCDinsession,"No"),IF(OR(_xlpm.dd="",_xlpm.ok&lt;&gt;"Yes"),"(after last class day)",_xlpm.dd))))))</f>
        <v/>
      </c>
      <c r="U43" s="17">
        <f>IF($C43="","",IF(AND($Y43="Excused",$L43="",N($K43)&lt;=1),"EXCUSED - 1st attempt pending",IF(OR($L43="",$K43&lt;&gt;1,NOT(ISNUMBER($L43)),$L43&gt;=$J43),"",IF(COUNTIFS(nrES_PID,$D43,nrES_Code,$F43,nrES_Att,2,nrES_Raw,"&gt;=0")&gt;0,IF(IFERROR(_xlfn.MINIFS(nrES_Date,nrES_PID,$D43,nrES_Code,$F43,nrES_Att,2,nrES_Raw,"&gt;=0",nrES_Date,"&gt;0"),0)=0,"RETEST UNDATED",IF(NOT(ISNUMBER($T43)),"RETEST DATE UNCHECKED",IF(_xlfn.MINIFS(nrES_Date,nrES_PID,$D43,nrES_Code,$F43,nrES_Att,2,nrES_Raw,"&gt;=0",nrES_Date,"&gt;0")&gt;$T43,"LATE RETEST "&amp;TEXT(_xlfn.MINIFS(nrES_Date,nrES_PID,$D43,nrES_Code,$F43,nrES_Att,2,nrES_Raw,"&gt;=0",nrES_Date,"&gt;0"),"mm/dd")&amp;" (due "&amp;TEXT($T43,"mm/dd")&amp;")","Retested"))),IF(NOT(ISNUMBER($T43)),"CHECK DATE",IF(TODAY()&gt;$T43,"OVERDUE","Due "&amp;TEXT($T43,"mm/dd")))))))</f>
        <v/>
      </c>
      <c r="V43" s="16" t="n"/>
      <c r="W43" s="16" t="n"/>
      <c r="X43" s="17">
        <f>IF($C43="","",IF(AND($L43&lt;&gt;"",NOT(ISNUMBER($L43))),"RAW SCORE NOT A NUMBER",IF(AND(ISNUMBER($L43),OR($L43&lt;0,$L43&gt;100)),"RAW SCORE OUT OF RANGE",IF(AND($Y43="Unexcused",OR($L43="",NOT(ISNUMBER($L43)),$L43&lt;&gt;0)),"UNEXCUSED ABSENCE MUST RECORD 0",IF(COUNTIF(nrES_RecID,$B43)&gt;1,"DUPLICATE RECORD",IF(N($K43)&gt;2,"ATTEMPT 3+ NOT ALLOWED - policy 300.5 permits one retest per exam; this row records nothing",IF(AND($K43=2,COUNTIFS(nrES_PID,$D43,nrES_Code,$F43,nrES_Att,1)=0),"ATTEMPT 2 WITHOUT ATTEMPT 1",IF(AND($K43=2,$L43=""),"RETEST ROW HAS NO SCORE",IF(AND($H43="Final",$L43&lt;&gt;"",IFERROR(INDEX(nrCKfinalExamElig,MATCH($D43,rngCadetPIDs,0)),"")="No"),"FINAL EXAM AFTER FAILED FINAL PT (500.1.H)",IF(AND($K43=2,ISNUMBER($L43),COUNTIFS(nrES_PID,$D43,nrES_Code,$F43,nrES_Att,1)&gt;0,SUMIFS(nrES_Raw,nrES_PID,$D43,nrES_Code,$F43,nrES_Att,1)&gt;=$J43),"RETEST AFTER A PASSING FIRST ATTEMPT","OK"))))))))))</f>
        <v/>
      </c>
      <c r="Y43" s="16" t="n"/>
    </row>
    <row r="44">
      <c r="B44" s="17">
        <f>IF($C44="","",$D44&amp;"-"&amp;$F44&amp;"-"&amp;$K44)</f>
        <v/>
      </c>
      <c r="C44" s="16" t="n"/>
      <c r="D44" s="17">
        <f>IF($C44="","",IFERROR(INDEX(rngCadetPIDs,MATCH($C44,rngCadetNames,0)),"?"))</f>
        <v/>
      </c>
      <c r="E44" s="17">
        <f>IF($D44="","",IFERROR(INDEX(nrCadetAgency,MATCH($D44,rngCadetPIDs,0)),""))</f>
        <v/>
      </c>
      <c r="F44" s="16" t="n"/>
      <c r="G44" s="17">
        <f>IF($F44="","",IFERROR(INDEX(rngEPname,MATCH($F44,rngEPcode,0)),"?"))</f>
        <v/>
      </c>
      <c r="H44" s="17">
        <f>IF($F44="","",IFERROR(INDEX(rngEPtype,MATCH($F44,rngEPcode,0)),"?"))</f>
        <v/>
      </c>
      <c r="I44" s="17">
        <f>IF($F44="","",IFERROR(INDEX(rngEPseq,MATCH($F44,rngEPcode,0)),""))</f>
        <v/>
      </c>
      <c r="J44" s="17">
        <f>IF($F44="","",IFERROR(INDEX(rngEPpass,MATCH($F44,rngEPcode,0)),cfgPassingScore))</f>
        <v/>
      </c>
      <c r="K44" s="16" t="n"/>
      <c r="L44" s="16" t="n"/>
      <c r="M44" s="17">
        <f>IF($C44="","",IF($L44="","",IF(NOT(ISNUMBER($L44)),$L44,IF(N($K44)&gt;2,"",IF($K44=1,IF(COUNTIFS(nrES_PID,$D44,nrES_Code,$F44,nrES_Att,2,nrES_Raw,"&gt;=0")&gt;0,"",$L44),IF($L44&gt;=$J44,MAX($J44,cfgRetakeRecordedCap),IF(COUNTIFS(nrES_PID,$D44,nrES_Code,$F44,nrES_Att,1)=0,$L44,SUMIFS(nrES_Raw,nrES_PID,$D44,nrES_Code,$F44,nrES_Att,1))))))))</f>
        <v/>
      </c>
      <c r="N44" s="17">
        <f>IF($C44="","",IF($L44="","",IF(NOT(ISNUMBER($L44)),"(not a score)",IF($L44&gt;=$J44,"Yes","No"))))</f>
        <v/>
      </c>
      <c r="O44" s="17">
        <f>IF($C44="","",IF($M44="","",IF(NOT(ISNUMBER($M44)),"(not a score)",IF($M44&gt;=$J44,"Yes","No"))))</f>
        <v/>
      </c>
      <c r="P44" s="17">
        <f>IF($C44="","",IF($K44="","",IF(N($K44)&gt;2,"No",IF(COUNTIFS(nrES_PID,$D44,nrES_Code,$F44,nrES_Att,"&gt;"&amp;$K44,nrES_Att,"&lt;=2",nrES_Raw,"&gt;=0")=0,"Yes","No"))))</f>
        <v/>
      </c>
      <c r="Q44" s="17">
        <f>IF($C44="","",IF($L44="","",IF(AND($K44=1,ISNUMBER($L44),$L44&lt;$J44,COUNTIFS(nrES_PID,$D44,nrES_Code,$F44,nrES_Att,2,nrES_Raw,"&gt;=0")=0),"Yes","No")))</f>
        <v/>
      </c>
      <c r="R44" s="17">
        <f>IF($C44="","",IF($L44="","",IF(AND(N($K44)&gt;=2,ISNUMBER($L44),$L44&lt;$J44),"Yes","No")))</f>
        <v/>
      </c>
      <c r="S44" s="18" t="n"/>
      <c r="T44" s="19">
        <f>IF(OR($C44="",$L44="",$K44&lt;&gt;1,NOT(ISNUMBER($L44)),$L44&gt;=$J44),"",IF($S44="","(enter date)",_xlfn.LET(_xlpm.dn,_xlfn.XLOOKUP($S44,nrCDdate,nrCDnum,"",1),IF(_xlpm.dn="","(after last class day)",_xlfn.LET(_xlpm.dd,_xlfn.XLOOKUP(_xlpm.dn+cfgRetestClassDays,nrCDnum,nrCDdate,""),_xlpm.ok,_xlfn.XLOOKUP(_xlpm.dn+cfgRetestClassDays,nrCDnum,nrCDinsession,"No"),IF(OR(_xlpm.dd="",_xlpm.ok&lt;&gt;"Yes"),"(after last class day)",_xlpm.dd))))))</f>
        <v/>
      </c>
      <c r="U44" s="17">
        <f>IF($C44="","",IF(AND($Y44="Excused",$L44="",N($K44)&lt;=1),"EXCUSED - 1st attempt pending",IF(OR($L44="",$K44&lt;&gt;1,NOT(ISNUMBER($L44)),$L44&gt;=$J44),"",IF(COUNTIFS(nrES_PID,$D44,nrES_Code,$F44,nrES_Att,2,nrES_Raw,"&gt;=0")&gt;0,IF(IFERROR(_xlfn.MINIFS(nrES_Date,nrES_PID,$D44,nrES_Code,$F44,nrES_Att,2,nrES_Raw,"&gt;=0",nrES_Date,"&gt;0"),0)=0,"RETEST UNDATED",IF(NOT(ISNUMBER($T44)),"RETEST DATE UNCHECKED",IF(_xlfn.MINIFS(nrES_Date,nrES_PID,$D44,nrES_Code,$F44,nrES_Att,2,nrES_Raw,"&gt;=0",nrES_Date,"&gt;0")&gt;$T44,"LATE RETEST "&amp;TEXT(_xlfn.MINIFS(nrES_Date,nrES_PID,$D44,nrES_Code,$F44,nrES_Att,2,nrES_Raw,"&gt;=0",nrES_Date,"&gt;0"),"mm/dd")&amp;" (due "&amp;TEXT($T44,"mm/dd")&amp;")","Retested"))),IF(NOT(ISNUMBER($T44)),"CHECK DATE",IF(TODAY()&gt;$T44,"OVERDUE","Due "&amp;TEXT($T44,"mm/dd")))))))</f>
        <v/>
      </c>
      <c r="V44" s="16" t="n"/>
      <c r="W44" s="16" t="n"/>
      <c r="X44" s="17">
        <f>IF($C44="","",IF(AND($L44&lt;&gt;"",NOT(ISNUMBER($L44))),"RAW SCORE NOT A NUMBER",IF(AND(ISNUMBER($L44),OR($L44&lt;0,$L44&gt;100)),"RAW SCORE OUT OF RANGE",IF(AND($Y44="Unexcused",OR($L44="",NOT(ISNUMBER($L44)),$L44&lt;&gt;0)),"UNEXCUSED ABSENCE MUST RECORD 0",IF(COUNTIF(nrES_RecID,$B44)&gt;1,"DUPLICATE RECORD",IF(N($K44)&gt;2,"ATTEMPT 3+ NOT ALLOWED - policy 300.5 permits one retest per exam; this row records nothing",IF(AND($K44=2,COUNTIFS(nrES_PID,$D44,nrES_Code,$F44,nrES_Att,1)=0),"ATTEMPT 2 WITHOUT ATTEMPT 1",IF(AND($K44=2,$L44=""),"RETEST ROW HAS NO SCORE",IF(AND($H44="Final",$L44&lt;&gt;"",IFERROR(INDEX(nrCKfinalExamElig,MATCH($D44,rngCadetPIDs,0)),"")="No"),"FINAL EXAM AFTER FAILED FINAL PT (500.1.H)",IF(AND($K44=2,ISNUMBER($L44),COUNTIFS(nrES_PID,$D44,nrES_Code,$F44,nrES_Att,1)&gt;0,SUMIFS(nrES_Raw,nrES_PID,$D44,nrES_Code,$F44,nrES_Att,1)&gt;=$J44),"RETEST AFTER A PASSING FIRST ATTEMPT","OK"))))))))))</f>
        <v/>
      </c>
      <c r="Y44" s="16" t="n"/>
    </row>
    <row r="45">
      <c r="B45" s="17">
        <f>IF($C45="","",$D45&amp;"-"&amp;$F45&amp;"-"&amp;$K45)</f>
        <v/>
      </c>
      <c r="C45" s="16" t="n"/>
      <c r="D45" s="17">
        <f>IF($C45="","",IFERROR(INDEX(rngCadetPIDs,MATCH($C45,rngCadetNames,0)),"?"))</f>
        <v/>
      </c>
      <c r="E45" s="17">
        <f>IF($D45="","",IFERROR(INDEX(nrCadetAgency,MATCH($D45,rngCadetPIDs,0)),""))</f>
        <v/>
      </c>
      <c r="F45" s="16" t="n"/>
      <c r="G45" s="17">
        <f>IF($F45="","",IFERROR(INDEX(rngEPname,MATCH($F45,rngEPcode,0)),"?"))</f>
        <v/>
      </c>
      <c r="H45" s="17">
        <f>IF($F45="","",IFERROR(INDEX(rngEPtype,MATCH($F45,rngEPcode,0)),"?"))</f>
        <v/>
      </c>
      <c r="I45" s="17">
        <f>IF($F45="","",IFERROR(INDEX(rngEPseq,MATCH($F45,rngEPcode,0)),""))</f>
        <v/>
      </c>
      <c r="J45" s="17">
        <f>IF($F45="","",IFERROR(INDEX(rngEPpass,MATCH($F45,rngEPcode,0)),cfgPassingScore))</f>
        <v/>
      </c>
      <c r="K45" s="16" t="n"/>
      <c r="L45" s="16" t="n"/>
      <c r="M45" s="17">
        <f>IF($C45="","",IF($L45="","",IF(NOT(ISNUMBER($L45)),$L45,IF(N($K45)&gt;2,"",IF($K45=1,IF(COUNTIFS(nrES_PID,$D45,nrES_Code,$F45,nrES_Att,2,nrES_Raw,"&gt;=0")&gt;0,"",$L45),IF($L45&gt;=$J45,MAX($J45,cfgRetakeRecordedCap),IF(COUNTIFS(nrES_PID,$D45,nrES_Code,$F45,nrES_Att,1)=0,$L45,SUMIFS(nrES_Raw,nrES_PID,$D45,nrES_Code,$F45,nrES_Att,1))))))))</f>
        <v/>
      </c>
      <c r="N45" s="17">
        <f>IF($C45="","",IF($L45="","",IF(NOT(ISNUMBER($L45)),"(not a score)",IF($L45&gt;=$J45,"Yes","No"))))</f>
        <v/>
      </c>
      <c r="O45" s="17">
        <f>IF($C45="","",IF($M45="","",IF(NOT(ISNUMBER($M45)),"(not a score)",IF($M45&gt;=$J45,"Yes","No"))))</f>
        <v/>
      </c>
      <c r="P45" s="17">
        <f>IF($C45="","",IF($K45="","",IF(N($K45)&gt;2,"No",IF(COUNTIFS(nrES_PID,$D45,nrES_Code,$F45,nrES_Att,"&gt;"&amp;$K45,nrES_Att,"&lt;=2",nrES_Raw,"&gt;=0")=0,"Yes","No"))))</f>
        <v/>
      </c>
      <c r="Q45" s="17">
        <f>IF($C45="","",IF($L45="","",IF(AND($K45=1,ISNUMBER($L45),$L45&lt;$J45,COUNTIFS(nrES_PID,$D45,nrES_Code,$F45,nrES_Att,2,nrES_Raw,"&gt;=0")=0),"Yes","No")))</f>
        <v/>
      </c>
      <c r="R45" s="17">
        <f>IF($C45="","",IF($L45="","",IF(AND(N($K45)&gt;=2,ISNUMBER($L45),$L45&lt;$J45),"Yes","No")))</f>
        <v/>
      </c>
      <c r="S45" s="18" t="n"/>
      <c r="T45" s="19">
        <f>IF(OR($C45="",$L45="",$K45&lt;&gt;1,NOT(ISNUMBER($L45)),$L45&gt;=$J45),"",IF($S45="","(enter date)",_xlfn.LET(_xlpm.dn,_xlfn.XLOOKUP($S45,nrCDdate,nrCDnum,"",1),IF(_xlpm.dn="","(after last class day)",_xlfn.LET(_xlpm.dd,_xlfn.XLOOKUP(_xlpm.dn+cfgRetestClassDays,nrCDnum,nrCDdate,""),_xlpm.ok,_xlfn.XLOOKUP(_xlpm.dn+cfgRetestClassDays,nrCDnum,nrCDinsession,"No"),IF(OR(_xlpm.dd="",_xlpm.ok&lt;&gt;"Yes"),"(after last class day)",_xlpm.dd))))))</f>
        <v/>
      </c>
      <c r="U45" s="17">
        <f>IF($C45="","",IF(AND($Y45="Excused",$L45="",N($K45)&lt;=1),"EXCUSED - 1st attempt pending",IF(OR($L45="",$K45&lt;&gt;1,NOT(ISNUMBER($L45)),$L45&gt;=$J45),"",IF(COUNTIFS(nrES_PID,$D45,nrES_Code,$F45,nrES_Att,2,nrES_Raw,"&gt;=0")&gt;0,IF(IFERROR(_xlfn.MINIFS(nrES_Date,nrES_PID,$D45,nrES_Code,$F45,nrES_Att,2,nrES_Raw,"&gt;=0",nrES_Date,"&gt;0"),0)=0,"RETEST UNDATED",IF(NOT(ISNUMBER($T45)),"RETEST DATE UNCHECKED",IF(_xlfn.MINIFS(nrES_Date,nrES_PID,$D45,nrES_Code,$F45,nrES_Att,2,nrES_Raw,"&gt;=0",nrES_Date,"&gt;0")&gt;$T45,"LATE RETEST "&amp;TEXT(_xlfn.MINIFS(nrES_Date,nrES_PID,$D45,nrES_Code,$F45,nrES_Att,2,nrES_Raw,"&gt;=0",nrES_Date,"&gt;0"),"mm/dd")&amp;" (due "&amp;TEXT($T45,"mm/dd")&amp;")","Retested"))),IF(NOT(ISNUMBER($T45)),"CHECK DATE",IF(TODAY()&gt;$T45,"OVERDUE","Due "&amp;TEXT($T45,"mm/dd")))))))</f>
        <v/>
      </c>
      <c r="V45" s="16" t="n"/>
      <c r="W45" s="16" t="n"/>
      <c r="X45" s="17">
        <f>IF($C45="","",IF(AND($L45&lt;&gt;"",NOT(ISNUMBER($L45))),"RAW SCORE NOT A NUMBER",IF(AND(ISNUMBER($L45),OR($L45&lt;0,$L45&gt;100)),"RAW SCORE OUT OF RANGE",IF(AND($Y45="Unexcused",OR($L45="",NOT(ISNUMBER($L45)),$L45&lt;&gt;0)),"UNEXCUSED ABSENCE MUST RECORD 0",IF(COUNTIF(nrES_RecID,$B45)&gt;1,"DUPLICATE RECORD",IF(N($K45)&gt;2,"ATTEMPT 3+ NOT ALLOWED - policy 300.5 permits one retest per exam; this row records nothing",IF(AND($K45=2,COUNTIFS(nrES_PID,$D45,nrES_Code,$F45,nrES_Att,1)=0),"ATTEMPT 2 WITHOUT ATTEMPT 1",IF(AND($K45=2,$L45=""),"RETEST ROW HAS NO SCORE",IF(AND($H45="Final",$L45&lt;&gt;"",IFERROR(INDEX(nrCKfinalExamElig,MATCH($D45,rngCadetPIDs,0)),"")="No"),"FINAL EXAM AFTER FAILED FINAL PT (500.1.H)",IF(AND($K45=2,ISNUMBER($L45),COUNTIFS(nrES_PID,$D45,nrES_Code,$F45,nrES_Att,1)&gt;0,SUMIFS(nrES_Raw,nrES_PID,$D45,nrES_Code,$F45,nrES_Att,1)&gt;=$J45),"RETEST AFTER A PASSING FIRST ATTEMPT","OK"))))))))))</f>
        <v/>
      </c>
      <c r="Y45" s="16" t="n"/>
    </row>
    <row r="46">
      <c r="B46" s="17">
        <f>IF($C46="","",$D46&amp;"-"&amp;$F46&amp;"-"&amp;$K46)</f>
        <v/>
      </c>
      <c r="C46" s="16" t="n"/>
      <c r="D46" s="17">
        <f>IF($C46="","",IFERROR(INDEX(rngCadetPIDs,MATCH($C46,rngCadetNames,0)),"?"))</f>
        <v/>
      </c>
      <c r="E46" s="17">
        <f>IF($D46="","",IFERROR(INDEX(nrCadetAgency,MATCH($D46,rngCadetPIDs,0)),""))</f>
        <v/>
      </c>
      <c r="F46" s="16" t="n"/>
      <c r="G46" s="17">
        <f>IF($F46="","",IFERROR(INDEX(rngEPname,MATCH($F46,rngEPcode,0)),"?"))</f>
        <v/>
      </c>
      <c r="H46" s="17">
        <f>IF($F46="","",IFERROR(INDEX(rngEPtype,MATCH($F46,rngEPcode,0)),"?"))</f>
        <v/>
      </c>
      <c r="I46" s="17">
        <f>IF($F46="","",IFERROR(INDEX(rngEPseq,MATCH($F46,rngEPcode,0)),""))</f>
        <v/>
      </c>
      <c r="J46" s="17">
        <f>IF($F46="","",IFERROR(INDEX(rngEPpass,MATCH($F46,rngEPcode,0)),cfgPassingScore))</f>
        <v/>
      </c>
      <c r="K46" s="16" t="n"/>
      <c r="L46" s="16" t="n"/>
      <c r="M46" s="17">
        <f>IF($C46="","",IF($L46="","",IF(NOT(ISNUMBER($L46)),$L46,IF(N($K46)&gt;2,"",IF($K46=1,IF(COUNTIFS(nrES_PID,$D46,nrES_Code,$F46,nrES_Att,2,nrES_Raw,"&gt;=0")&gt;0,"",$L46),IF($L46&gt;=$J46,MAX($J46,cfgRetakeRecordedCap),IF(COUNTIFS(nrES_PID,$D46,nrES_Code,$F46,nrES_Att,1)=0,$L46,SUMIFS(nrES_Raw,nrES_PID,$D46,nrES_Code,$F46,nrES_Att,1))))))))</f>
        <v/>
      </c>
      <c r="N46" s="17">
        <f>IF($C46="","",IF($L46="","",IF(NOT(ISNUMBER($L46)),"(not a score)",IF($L46&gt;=$J46,"Yes","No"))))</f>
        <v/>
      </c>
      <c r="O46" s="17">
        <f>IF($C46="","",IF($M46="","",IF(NOT(ISNUMBER($M46)),"(not a score)",IF($M46&gt;=$J46,"Yes","No"))))</f>
        <v/>
      </c>
      <c r="P46" s="17">
        <f>IF($C46="","",IF($K46="","",IF(N($K46)&gt;2,"No",IF(COUNTIFS(nrES_PID,$D46,nrES_Code,$F46,nrES_Att,"&gt;"&amp;$K46,nrES_Att,"&lt;=2",nrES_Raw,"&gt;=0")=0,"Yes","No"))))</f>
        <v/>
      </c>
      <c r="Q46" s="17">
        <f>IF($C46="","",IF($L46="","",IF(AND($K46=1,ISNUMBER($L46),$L46&lt;$J46,COUNTIFS(nrES_PID,$D46,nrES_Code,$F46,nrES_Att,2,nrES_Raw,"&gt;=0")=0),"Yes","No")))</f>
        <v/>
      </c>
      <c r="R46" s="17">
        <f>IF($C46="","",IF($L46="","",IF(AND(N($K46)&gt;=2,ISNUMBER($L46),$L46&lt;$J46),"Yes","No")))</f>
        <v/>
      </c>
      <c r="S46" s="18" t="n"/>
      <c r="T46" s="19">
        <f>IF(OR($C46="",$L46="",$K46&lt;&gt;1,NOT(ISNUMBER($L46)),$L46&gt;=$J46),"",IF($S46="","(enter date)",_xlfn.LET(_xlpm.dn,_xlfn.XLOOKUP($S46,nrCDdate,nrCDnum,"",1),IF(_xlpm.dn="","(after last class day)",_xlfn.LET(_xlpm.dd,_xlfn.XLOOKUP(_xlpm.dn+cfgRetestClassDays,nrCDnum,nrCDdate,""),_xlpm.ok,_xlfn.XLOOKUP(_xlpm.dn+cfgRetestClassDays,nrCDnum,nrCDinsession,"No"),IF(OR(_xlpm.dd="",_xlpm.ok&lt;&gt;"Yes"),"(after last class day)",_xlpm.dd))))))</f>
        <v/>
      </c>
      <c r="U46" s="17">
        <f>IF($C46="","",IF(AND($Y46="Excused",$L46="",N($K46)&lt;=1),"EXCUSED - 1st attempt pending",IF(OR($L46="",$K46&lt;&gt;1,NOT(ISNUMBER($L46)),$L46&gt;=$J46),"",IF(COUNTIFS(nrES_PID,$D46,nrES_Code,$F46,nrES_Att,2,nrES_Raw,"&gt;=0")&gt;0,IF(IFERROR(_xlfn.MINIFS(nrES_Date,nrES_PID,$D46,nrES_Code,$F46,nrES_Att,2,nrES_Raw,"&gt;=0",nrES_Date,"&gt;0"),0)=0,"RETEST UNDATED",IF(NOT(ISNUMBER($T46)),"RETEST DATE UNCHECKED",IF(_xlfn.MINIFS(nrES_Date,nrES_PID,$D46,nrES_Code,$F46,nrES_Att,2,nrES_Raw,"&gt;=0",nrES_Date,"&gt;0")&gt;$T46,"LATE RETEST "&amp;TEXT(_xlfn.MINIFS(nrES_Date,nrES_PID,$D46,nrES_Code,$F46,nrES_Att,2,nrES_Raw,"&gt;=0",nrES_Date,"&gt;0"),"mm/dd")&amp;" (due "&amp;TEXT($T46,"mm/dd")&amp;")","Retested"))),IF(NOT(ISNUMBER($T46)),"CHECK DATE",IF(TODAY()&gt;$T46,"OVERDUE","Due "&amp;TEXT($T46,"mm/dd")))))))</f>
        <v/>
      </c>
      <c r="V46" s="16" t="n"/>
      <c r="W46" s="16" t="n"/>
      <c r="X46" s="17">
        <f>IF($C46="","",IF(AND($L46&lt;&gt;"",NOT(ISNUMBER($L46))),"RAW SCORE NOT A NUMBER",IF(AND(ISNUMBER($L46),OR($L46&lt;0,$L46&gt;100)),"RAW SCORE OUT OF RANGE",IF(AND($Y46="Unexcused",OR($L46="",NOT(ISNUMBER($L46)),$L46&lt;&gt;0)),"UNEXCUSED ABSENCE MUST RECORD 0",IF(COUNTIF(nrES_RecID,$B46)&gt;1,"DUPLICATE RECORD",IF(N($K46)&gt;2,"ATTEMPT 3+ NOT ALLOWED - policy 300.5 permits one retest per exam; this row records nothing",IF(AND($K46=2,COUNTIFS(nrES_PID,$D46,nrES_Code,$F46,nrES_Att,1)=0),"ATTEMPT 2 WITHOUT ATTEMPT 1",IF(AND($K46=2,$L46=""),"RETEST ROW HAS NO SCORE",IF(AND($H46="Final",$L46&lt;&gt;"",IFERROR(INDEX(nrCKfinalExamElig,MATCH($D46,rngCadetPIDs,0)),"")="No"),"FINAL EXAM AFTER FAILED FINAL PT (500.1.H)",IF(AND($K46=2,ISNUMBER($L46),COUNTIFS(nrES_PID,$D46,nrES_Code,$F46,nrES_Att,1)&gt;0,SUMIFS(nrES_Raw,nrES_PID,$D46,nrES_Code,$F46,nrES_Att,1)&gt;=$J46),"RETEST AFTER A PASSING FIRST ATTEMPT","OK"))))))))))</f>
        <v/>
      </c>
      <c r="Y46" s="16" t="n"/>
    </row>
    <row r="47">
      <c r="B47" s="17">
        <f>IF($C47="","",$D47&amp;"-"&amp;$F47&amp;"-"&amp;$K47)</f>
        <v/>
      </c>
      <c r="C47" s="16" t="n"/>
      <c r="D47" s="17">
        <f>IF($C47="","",IFERROR(INDEX(rngCadetPIDs,MATCH($C47,rngCadetNames,0)),"?"))</f>
        <v/>
      </c>
      <c r="E47" s="17">
        <f>IF($D47="","",IFERROR(INDEX(nrCadetAgency,MATCH($D47,rngCadetPIDs,0)),""))</f>
        <v/>
      </c>
      <c r="F47" s="16" t="n"/>
      <c r="G47" s="17">
        <f>IF($F47="","",IFERROR(INDEX(rngEPname,MATCH($F47,rngEPcode,0)),"?"))</f>
        <v/>
      </c>
      <c r="H47" s="17">
        <f>IF($F47="","",IFERROR(INDEX(rngEPtype,MATCH($F47,rngEPcode,0)),"?"))</f>
        <v/>
      </c>
      <c r="I47" s="17">
        <f>IF($F47="","",IFERROR(INDEX(rngEPseq,MATCH($F47,rngEPcode,0)),""))</f>
        <v/>
      </c>
      <c r="J47" s="17">
        <f>IF($F47="","",IFERROR(INDEX(rngEPpass,MATCH($F47,rngEPcode,0)),cfgPassingScore))</f>
        <v/>
      </c>
      <c r="K47" s="16" t="n"/>
      <c r="L47" s="16" t="n"/>
      <c r="M47" s="17">
        <f>IF($C47="","",IF($L47="","",IF(NOT(ISNUMBER($L47)),$L47,IF(N($K47)&gt;2,"",IF($K47=1,IF(COUNTIFS(nrES_PID,$D47,nrES_Code,$F47,nrES_Att,2,nrES_Raw,"&gt;=0")&gt;0,"",$L47),IF($L47&gt;=$J47,MAX($J47,cfgRetakeRecordedCap),IF(COUNTIFS(nrES_PID,$D47,nrES_Code,$F47,nrES_Att,1)=0,$L47,SUMIFS(nrES_Raw,nrES_PID,$D47,nrES_Code,$F47,nrES_Att,1))))))))</f>
        <v/>
      </c>
      <c r="N47" s="17">
        <f>IF($C47="","",IF($L47="","",IF(NOT(ISNUMBER($L47)),"(not a score)",IF($L47&gt;=$J47,"Yes","No"))))</f>
        <v/>
      </c>
      <c r="O47" s="17">
        <f>IF($C47="","",IF($M47="","",IF(NOT(ISNUMBER($M47)),"(not a score)",IF($M47&gt;=$J47,"Yes","No"))))</f>
        <v/>
      </c>
      <c r="P47" s="17">
        <f>IF($C47="","",IF($K47="","",IF(N($K47)&gt;2,"No",IF(COUNTIFS(nrES_PID,$D47,nrES_Code,$F47,nrES_Att,"&gt;"&amp;$K47,nrES_Att,"&lt;=2",nrES_Raw,"&gt;=0")=0,"Yes","No"))))</f>
        <v/>
      </c>
      <c r="Q47" s="17">
        <f>IF($C47="","",IF($L47="","",IF(AND($K47=1,ISNUMBER($L47),$L47&lt;$J47,COUNTIFS(nrES_PID,$D47,nrES_Code,$F47,nrES_Att,2,nrES_Raw,"&gt;=0")=0),"Yes","No")))</f>
        <v/>
      </c>
      <c r="R47" s="17">
        <f>IF($C47="","",IF($L47="","",IF(AND(N($K47)&gt;=2,ISNUMBER($L47),$L47&lt;$J47),"Yes","No")))</f>
        <v/>
      </c>
      <c r="S47" s="18" t="n"/>
      <c r="T47" s="19">
        <f>IF(OR($C47="",$L47="",$K47&lt;&gt;1,NOT(ISNUMBER($L47)),$L47&gt;=$J47),"",IF($S47="","(enter date)",_xlfn.LET(_xlpm.dn,_xlfn.XLOOKUP($S47,nrCDdate,nrCDnum,"",1),IF(_xlpm.dn="","(after last class day)",_xlfn.LET(_xlpm.dd,_xlfn.XLOOKUP(_xlpm.dn+cfgRetestClassDays,nrCDnum,nrCDdate,""),_xlpm.ok,_xlfn.XLOOKUP(_xlpm.dn+cfgRetestClassDays,nrCDnum,nrCDinsession,"No"),IF(OR(_xlpm.dd="",_xlpm.ok&lt;&gt;"Yes"),"(after last class day)",_xlpm.dd))))))</f>
        <v/>
      </c>
      <c r="U47" s="17">
        <f>IF($C47="","",IF(AND($Y47="Excused",$L47="",N($K47)&lt;=1),"EXCUSED - 1st attempt pending",IF(OR($L47="",$K47&lt;&gt;1,NOT(ISNUMBER($L47)),$L47&gt;=$J47),"",IF(COUNTIFS(nrES_PID,$D47,nrES_Code,$F47,nrES_Att,2,nrES_Raw,"&gt;=0")&gt;0,IF(IFERROR(_xlfn.MINIFS(nrES_Date,nrES_PID,$D47,nrES_Code,$F47,nrES_Att,2,nrES_Raw,"&gt;=0",nrES_Date,"&gt;0"),0)=0,"RETEST UNDATED",IF(NOT(ISNUMBER($T47)),"RETEST DATE UNCHECKED",IF(_xlfn.MINIFS(nrES_Date,nrES_PID,$D47,nrES_Code,$F47,nrES_Att,2,nrES_Raw,"&gt;=0",nrES_Date,"&gt;0")&gt;$T47,"LATE RETEST "&amp;TEXT(_xlfn.MINIFS(nrES_Date,nrES_PID,$D47,nrES_Code,$F47,nrES_Att,2,nrES_Raw,"&gt;=0",nrES_Date,"&gt;0"),"mm/dd")&amp;" (due "&amp;TEXT($T47,"mm/dd")&amp;")","Retested"))),IF(NOT(ISNUMBER($T47)),"CHECK DATE",IF(TODAY()&gt;$T47,"OVERDUE","Due "&amp;TEXT($T47,"mm/dd")))))))</f>
        <v/>
      </c>
      <c r="V47" s="16" t="n"/>
      <c r="W47" s="16" t="n"/>
      <c r="X47" s="17">
        <f>IF($C47="","",IF(AND($L47&lt;&gt;"",NOT(ISNUMBER($L47))),"RAW SCORE NOT A NUMBER",IF(AND(ISNUMBER($L47),OR($L47&lt;0,$L47&gt;100)),"RAW SCORE OUT OF RANGE",IF(AND($Y47="Unexcused",OR($L47="",NOT(ISNUMBER($L47)),$L47&lt;&gt;0)),"UNEXCUSED ABSENCE MUST RECORD 0",IF(COUNTIF(nrES_RecID,$B47)&gt;1,"DUPLICATE RECORD",IF(N($K47)&gt;2,"ATTEMPT 3+ NOT ALLOWED - policy 300.5 permits one retest per exam; this row records nothing",IF(AND($K47=2,COUNTIFS(nrES_PID,$D47,nrES_Code,$F47,nrES_Att,1)=0),"ATTEMPT 2 WITHOUT ATTEMPT 1",IF(AND($K47=2,$L47=""),"RETEST ROW HAS NO SCORE",IF(AND($H47="Final",$L47&lt;&gt;"",IFERROR(INDEX(nrCKfinalExamElig,MATCH($D47,rngCadetPIDs,0)),"")="No"),"FINAL EXAM AFTER FAILED FINAL PT (500.1.H)",IF(AND($K47=2,ISNUMBER($L47),COUNTIFS(nrES_PID,$D47,nrES_Code,$F47,nrES_Att,1)&gt;0,SUMIFS(nrES_Raw,nrES_PID,$D47,nrES_Code,$F47,nrES_Att,1)&gt;=$J47),"RETEST AFTER A PASSING FIRST ATTEMPT","OK"))))))))))</f>
        <v/>
      </c>
      <c r="Y47" s="16" t="n"/>
    </row>
    <row r="48">
      <c r="B48" s="17">
        <f>IF($C48="","",$D48&amp;"-"&amp;$F48&amp;"-"&amp;$K48)</f>
        <v/>
      </c>
      <c r="C48" s="16" t="n"/>
      <c r="D48" s="17">
        <f>IF($C48="","",IFERROR(INDEX(rngCadetPIDs,MATCH($C48,rngCadetNames,0)),"?"))</f>
        <v/>
      </c>
      <c r="E48" s="17">
        <f>IF($D48="","",IFERROR(INDEX(nrCadetAgency,MATCH($D48,rngCadetPIDs,0)),""))</f>
        <v/>
      </c>
      <c r="F48" s="16" t="n"/>
      <c r="G48" s="17">
        <f>IF($F48="","",IFERROR(INDEX(rngEPname,MATCH($F48,rngEPcode,0)),"?"))</f>
        <v/>
      </c>
      <c r="H48" s="17">
        <f>IF($F48="","",IFERROR(INDEX(rngEPtype,MATCH($F48,rngEPcode,0)),"?"))</f>
        <v/>
      </c>
      <c r="I48" s="17">
        <f>IF($F48="","",IFERROR(INDEX(rngEPseq,MATCH($F48,rngEPcode,0)),""))</f>
        <v/>
      </c>
      <c r="J48" s="17">
        <f>IF($F48="","",IFERROR(INDEX(rngEPpass,MATCH($F48,rngEPcode,0)),cfgPassingScore))</f>
        <v/>
      </c>
      <c r="K48" s="16" t="n"/>
      <c r="L48" s="16" t="n"/>
      <c r="M48" s="17">
        <f>IF($C48="","",IF($L48="","",IF(NOT(ISNUMBER($L48)),$L48,IF(N($K48)&gt;2,"",IF($K48=1,IF(COUNTIFS(nrES_PID,$D48,nrES_Code,$F48,nrES_Att,2,nrES_Raw,"&gt;=0")&gt;0,"",$L48),IF($L48&gt;=$J48,MAX($J48,cfgRetakeRecordedCap),IF(COUNTIFS(nrES_PID,$D48,nrES_Code,$F48,nrES_Att,1)=0,$L48,SUMIFS(nrES_Raw,nrES_PID,$D48,nrES_Code,$F48,nrES_Att,1))))))))</f>
        <v/>
      </c>
      <c r="N48" s="17">
        <f>IF($C48="","",IF($L48="","",IF(NOT(ISNUMBER($L48)),"(not a score)",IF($L48&gt;=$J48,"Yes","No"))))</f>
        <v/>
      </c>
      <c r="O48" s="17">
        <f>IF($C48="","",IF($M48="","",IF(NOT(ISNUMBER($M48)),"(not a score)",IF($M48&gt;=$J48,"Yes","No"))))</f>
        <v/>
      </c>
      <c r="P48" s="17">
        <f>IF($C48="","",IF($K48="","",IF(N($K48)&gt;2,"No",IF(COUNTIFS(nrES_PID,$D48,nrES_Code,$F48,nrES_Att,"&gt;"&amp;$K48,nrES_Att,"&lt;=2",nrES_Raw,"&gt;=0")=0,"Yes","No"))))</f>
        <v/>
      </c>
      <c r="Q48" s="17">
        <f>IF($C48="","",IF($L48="","",IF(AND($K48=1,ISNUMBER($L48),$L48&lt;$J48,COUNTIFS(nrES_PID,$D48,nrES_Code,$F48,nrES_Att,2,nrES_Raw,"&gt;=0")=0),"Yes","No")))</f>
        <v/>
      </c>
      <c r="R48" s="17">
        <f>IF($C48="","",IF($L48="","",IF(AND(N($K48)&gt;=2,ISNUMBER($L48),$L48&lt;$J48),"Yes","No")))</f>
        <v/>
      </c>
      <c r="S48" s="18" t="n"/>
      <c r="T48" s="19">
        <f>IF(OR($C48="",$L48="",$K48&lt;&gt;1,NOT(ISNUMBER($L48)),$L48&gt;=$J48),"",IF($S48="","(enter date)",_xlfn.LET(_xlpm.dn,_xlfn.XLOOKUP($S48,nrCDdate,nrCDnum,"",1),IF(_xlpm.dn="","(after last class day)",_xlfn.LET(_xlpm.dd,_xlfn.XLOOKUP(_xlpm.dn+cfgRetestClassDays,nrCDnum,nrCDdate,""),_xlpm.ok,_xlfn.XLOOKUP(_xlpm.dn+cfgRetestClassDays,nrCDnum,nrCDinsession,"No"),IF(OR(_xlpm.dd="",_xlpm.ok&lt;&gt;"Yes"),"(after last class day)",_xlpm.dd))))))</f>
        <v/>
      </c>
      <c r="U48" s="17">
        <f>IF($C48="","",IF(AND($Y48="Excused",$L48="",N($K48)&lt;=1),"EXCUSED - 1st attempt pending",IF(OR($L48="",$K48&lt;&gt;1,NOT(ISNUMBER($L48)),$L48&gt;=$J48),"",IF(COUNTIFS(nrES_PID,$D48,nrES_Code,$F48,nrES_Att,2,nrES_Raw,"&gt;=0")&gt;0,IF(IFERROR(_xlfn.MINIFS(nrES_Date,nrES_PID,$D48,nrES_Code,$F48,nrES_Att,2,nrES_Raw,"&gt;=0",nrES_Date,"&gt;0"),0)=0,"RETEST UNDATED",IF(NOT(ISNUMBER($T48)),"RETEST DATE UNCHECKED",IF(_xlfn.MINIFS(nrES_Date,nrES_PID,$D48,nrES_Code,$F48,nrES_Att,2,nrES_Raw,"&gt;=0",nrES_Date,"&gt;0")&gt;$T48,"LATE RETEST "&amp;TEXT(_xlfn.MINIFS(nrES_Date,nrES_PID,$D48,nrES_Code,$F48,nrES_Att,2,nrES_Raw,"&gt;=0",nrES_Date,"&gt;0"),"mm/dd")&amp;" (due "&amp;TEXT($T48,"mm/dd")&amp;")","Retested"))),IF(NOT(ISNUMBER($T48)),"CHECK DATE",IF(TODAY()&gt;$T48,"OVERDUE","Due "&amp;TEXT($T48,"mm/dd")))))))</f>
        <v/>
      </c>
      <c r="V48" s="16" t="n"/>
      <c r="W48" s="16" t="n"/>
      <c r="X48" s="17">
        <f>IF($C48="","",IF(AND($L48&lt;&gt;"",NOT(ISNUMBER($L48))),"RAW SCORE NOT A NUMBER",IF(AND(ISNUMBER($L48),OR($L48&lt;0,$L48&gt;100)),"RAW SCORE OUT OF RANGE",IF(AND($Y48="Unexcused",OR($L48="",NOT(ISNUMBER($L48)),$L48&lt;&gt;0)),"UNEXCUSED ABSENCE MUST RECORD 0",IF(COUNTIF(nrES_RecID,$B48)&gt;1,"DUPLICATE RECORD",IF(N($K48)&gt;2,"ATTEMPT 3+ NOT ALLOWED - policy 300.5 permits one retest per exam; this row records nothing",IF(AND($K48=2,COUNTIFS(nrES_PID,$D48,nrES_Code,$F48,nrES_Att,1)=0),"ATTEMPT 2 WITHOUT ATTEMPT 1",IF(AND($K48=2,$L48=""),"RETEST ROW HAS NO SCORE",IF(AND($H48="Final",$L48&lt;&gt;"",IFERROR(INDEX(nrCKfinalExamElig,MATCH($D48,rngCadetPIDs,0)),"")="No"),"FINAL EXAM AFTER FAILED FINAL PT (500.1.H)",IF(AND($K48=2,ISNUMBER($L48),COUNTIFS(nrES_PID,$D48,nrES_Code,$F48,nrES_Att,1)&gt;0,SUMIFS(nrES_Raw,nrES_PID,$D48,nrES_Code,$F48,nrES_Att,1)&gt;=$J48),"RETEST AFTER A PASSING FIRST ATTEMPT","OK"))))))))))</f>
        <v/>
      </c>
      <c r="Y48" s="16" t="n"/>
    </row>
    <row r="49">
      <c r="B49" s="17">
        <f>IF($C49="","",$D49&amp;"-"&amp;$F49&amp;"-"&amp;$K49)</f>
        <v/>
      </c>
      <c r="C49" s="16" t="n"/>
      <c r="D49" s="17">
        <f>IF($C49="","",IFERROR(INDEX(rngCadetPIDs,MATCH($C49,rngCadetNames,0)),"?"))</f>
        <v/>
      </c>
      <c r="E49" s="17">
        <f>IF($D49="","",IFERROR(INDEX(nrCadetAgency,MATCH($D49,rngCadetPIDs,0)),""))</f>
        <v/>
      </c>
      <c r="F49" s="16" t="n"/>
      <c r="G49" s="17">
        <f>IF($F49="","",IFERROR(INDEX(rngEPname,MATCH($F49,rngEPcode,0)),"?"))</f>
        <v/>
      </c>
      <c r="H49" s="17">
        <f>IF($F49="","",IFERROR(INDEX(rngEPtype,MATCH($F49,rngEPcode,0)),"?"))</f>
        <v/>
      </c>
      <c r="I49" s="17">
        <f>IF($F49="","",IFERROR(INDEX(rngEPseq,MATCH($F49,rngEPcode,0)),""))</f>
        <v/>
      </c>
      <c r="J49" s="17">
        <f>IF($F49="","",IFERROR(INDEX(rngEPpass,MATCH($F49,rngEPcode,0)),cfgPassingScore))</f>
        <v/>
      </c>
      <c r="K49" s="16" t="n"/>
      <c r="L49" s="16" t="n"/>
      <c r="M49" s="17">
        <f>IF($C49="","",IF($L49="","",IF(NOT(ISNUMBER($L49)),$L49,IF(N($K49)&gt;2,"",IF($K49=1,IF(COUNTIFS(nrES_PID,$D49,nrES_Code,$F49,nrES_Att,2,nrES_Raw,"&gt;=0")&gt;0,"",$L49),IF($L49&gt;=$J49,MAX($J49,cfgRetakeRecordedCap),IF(COUNTIFS(nrES_PID,$D49,nrES_Code,$F49,nrES_Att,1)=0,$L49,SUMIFS(nrES_Raw,nrES_PID,$D49,nrES_Code,$F49,nrES_Att,1))))))))</f>
        <v/>
      </c>
      <c r="N49" s="17">
        <f>IF($C49="","",IF($L49="","",IF(NOT(ISNUMBER($L49)),"(not a score)",IF($L49&gt;=$J49,"Yes","No"))))</f>
        <v/>
      </c>
      <c r="O49" s="17">
        <f>IF($C49="","",IF($M49="","",IF(NOT(ISNUMBER($M49)),"(not a score)",IF($M49&gt;=$J49,"Yes","No"))))</f>
        <v/>
      </c>
      <c r="P49" s="17">
        <f>IF($C49="","",IF($K49="","",IF(N($K49)&gt;2,"No",IF(COUNTIFS(nrES_PID,$D49,nrES_Code,$F49,nrES_Att,"&gt;"&amp;$K49,nrES_Att,"&lt;=2",nrES_Raw,"&gt;=0")=0,"Yes","No"))))</f>
        <v/>
      </c>
      <c r="Q49" s="17">
        <f>IF($C49="","",IF($L49="","",IF(AND($K49=1,ISNUMBER($L49),$L49&lt;$J49,COUNTIFS(nrES_PID,$D49,nrES_Code,$F49,nrES_Att,2,nrES_Raw,"&gt;=0")=0),"Yes","No")))</f>
        <v/>
      </c>
      <c r="R49" s="17">
        <f>IF($C49="","",IF($L49="","",IF(AND(N($K49)&gt;=2,ISNUMBER($L49),$L49&lt;$J49),"Yes","No")))</f>
        <v/>
      </c>
      <c r="S49" s="18" t="n"/>
      <c r="T49" s="19">
        <f>IF(OR($C49="",$L49="",$K49&lt;&gt;1,NOT(ISNUMBER($L49)),$L49&gt;=$J49),"",IF($S49="","(enter date)",_xlfn.LET(_xlpm.dn,_xlfn.XLOOKUP($S49,nrCDdate,nrCDnum,"",1),IF(_xlpm.dn="","(after last class day)",_xlfn.LET(_xlpm.dd,_xlfn.XLOOKUP(_xlpm.dn+cfgRetestClassDays,nrCDnum,nrCDdate,""),_xlpm.ok,_xlfn.XLOOKUP(_xlpm.dn+cfgRetestClassDays,nrCDnum,nrCDinsession,"No"),IF(OR(_xlpm.dd="",_xlpm.ok&lt;&gt;"Yes"),"(after last class day)",_xlpm.dd))))))</f>
        <v/>
      </c>
      <c r="U49" s="17">
        <f>IF($C49="","",IF(AND($Y49="Excused",$L49="",N($K49)&lt;=1),"EXCUSED - 1st attempt pending",IF(OR($L49="",$K49&lt;&gt;1,NOT(ISNUMBER($L49)),$L49&gt;=$J49),"",IF(COUNTIFS(nrES_PID,$D49,nrES_Code,$F49,nrES_Att,2,nrES_Raw,"&gt;=0")&gt;0,IF(IFERROR(_xlfn.MINIFS(nrES_Date,nrES_PID,$D49,nrES_Code,$F49,nrES_Att,2,nrES_Raw,"&gt;=0",nrES_Date,"&gt;0"),0)=0,"RETEST UNDATED",IF(NOT(ISNUMBER($T49)),"RETEST DATE UNCHECKED",IF(_xlfn.MINIFS(nrES_Date,nrES_PID,$D49,nrES_Code,$F49,nrES_Att,2,nrES_Raw,"&gt;=0",nrES_Date,"&gt;0")&gt;$T49,"LATE RETEST "&amp;TEXT(_xlfn.MINIFS(nrES_Date,nrES_PID,$D49,nrES_Code,$F49,nrES_Att,2,nrES_Raw,"&gt;=0",nrES_Date,"&gt;0"),"mm/dd")&amp;" (due "&amp;TEXT($T49,"mm/dd")&amp;")","Retested"))),IF(NOT(ISNUMBER($T49)),"CHECK DATE",IF(TODAY()&gt;$T49,"OVERDUE","Due "&amp;TEXT($T49,"mm/dd")))))))</f>
        <v/>
      </c>
      <c r="V49" s="16" t="n"/>
      <c r="W49" s="16" t="n"/>
      <c r="X49" s="17">
        <f>IF($C49="","",IF(AND($L49&lt;&gt;"",NOT(ISNUMBER($L49))),"RAW SCORE NOT A NUMBER",IF(AND(ISNUMBER($L49),OR($L49&lt;0,$L49&gt;100)),"RAW SCORE OUT OF RANGE",IF(AND($Y49="Unexcused",OR($L49="",NOT(ISNUMBER($L49)),$L49&lt;&gt;0)),"UNEXCUSED ABSENCE MUST RECORD 0",IF(COUNTIF(nrES_RecID,$B49)&gt;1,"DUPLICATE RECORD",IF(N($K49)&gt;2,"ATTEMPT 3+ NOT ALLOWED - policy 300.5 permits one retest per exam; this row records nothing",IF(AND($K49=2,COUNTIFS(nrES_PID,$D49,nrES_Code,$F49,nrES_Att,1)=0),"ATTEMPT 2 WITHOUT ATTEMPT 1",IF(AND($K49=2,$L49=""),"RETEST ROW HAS NO SCORE",IF(AND($H49="Final",$L49&lt;&gt;"",IFERROR(INDEX(nrCKfinalExamElig,MATCH($D49,rngCadetPIDs,0)),"")="No"),"FINAL EXAM AFTER FAILED FINAL PT (500.1.H)",IF(AND($K49=2,ISNUMBER($L49),COUNTIFS(nrES_PID,$D49,nrES_Code,$F49,nrES_Att,1)&gt;0,SUMIFS(nrES_Raw,nrES_PID,$D49,nrES_Code,$F49,nrES_Att,1)&gt;=$J49),"RETEST AFTER A PASSING FIRST ATTEMPT","OK"))))))))))</f>
        <v/>
      </c>
      <c r="Y49" s="16" t="n"/>
    </row>
    <row r="50">
      <c r="B50" s="17">
        <f>IF($C50="","",$D50&amp;"-"&amp;$F50&amp;"-"&amp;$K50)</f>
        <v/>
      </c>
      <c r="C50" s="16" t="n"/>
      <c r="D50" s="17">
        <f>IF($C50="","",IFERROR(INDEX(rngCadetPIDs,MATCH($C50,rngCadetNames,0)),"?"))</f>
        <v/>
      </c>
      <c r="E50" s="17">
        <f>IF($D50="","",IFERROR(INDEX(nrCadetAgency,MATCH($D50,rngCadetPIDs,0)),""))</f>
        <v/>
      </c>
      <c r="F50" s="16" t="n"/>
      <c r="G50" s="17">
        <f>IF($F50="","",IFERROR(INDEX(rngEPname,MATCH($F50,rngEPcode,0)),"?"))</f>
        <v/>
      </c>
      <c r="H50" s="17">
        <f>IF($F50="","",IFERROR(INDEX(rngEPtype,MATCH($F50,rngEPcode,0)),"?"))</f>
        <v/>
      </c>
      <c r="I50" s="17">
        <f>IF($F50="","",IFERROR(INDEX(rngEPseq,MATCH($F50,rngEPcode,0)),""))</f>
        <v/>
      </c>
      <c r="J50" s="17">
        <f>IF($F50="","",IFERROR(INDEX(rngEPpass,MATCH($F50,rngEPcode,0)),cfgPassingScore))</f>
        <v/>
      </c>
      <c r="K50" s="16" t="n"/>
      <c r="L50" s="16" t="n"/>
      <c r="M50" s="17">
        <f>IF($C50="","",IF($L50="","",IF(NOT(ISNUMBER($L50)),$L50,IF(N($K50)&gt;2,"",IF($K50=1,IF(COUNTIFS(nrES_PID,$D50,nrES_Code,$F50,nrES_Att,2,nrES_Raw,"&gt;=0")&gt;0,"",$L50),IF($L50&gt;=$J50,MAX($J50,cfgRetakeRecordedCap),IF(COUNTIFS(nrES_PID,$D50,nrES_Code,$F50,nrES_Att,1)=0,$L50,SUMIFS(nrES_Raw,nrES_PID,$D50,nrES_Code,$F50,nrES_Att,1))))))))</f>
        <v/>
      </c>
      <c r="N50" s="17">
        <f>IF($C50="","",IF($L50="","",IF(NOT(ISNUMBER($L50)),"(not a score)",IF($L50&gt;=$J50,"Yes","No"))))</f>
        <v/>
      </c>
      <c r="O50" s="17">
        <f>IF($C50="","",IF($M50="","",IF(NOT(ISNUMBER($M50)),"(not a score)",IF($M50&gt;=$J50,"Yes","No"))))</f>
        <v/>
      </c>
      <c r="P50" s="17">
        <f>IF($C50="","",IF($K50="","",IF(N($K50)&gt;2,"No",IF(COUNTIFS(nrES_PID,$D50,nrES_Code,$F50,nrES_Att,"&gt;"&amp;$K50,nrES_Att,"&lt;=2",nrES_Raw,"&gt;=0")=0,"Yes","No"))))</f>
        <v/>
      </c>
      <c r="Q50" s="17">
        <f>IF($C50="","",IF($L50="","",IF(AND($K50=1,ISNUMBER($L50),$L50&lt;$J50,COUNTIFS(nrES_PID,$D50,nrES_Code,$F50,nrES_Att,2,nrES_Raw,"&gt;=0")=0),"Yes","No")))</f>
        <v/>
      </c>
      <c r="R50" s="17">
        <f>IF($C50="","",IF($L50="","",IF(AND(N($K50)&gt;=2,ISNUMBER($L50),$L50&lt;$J50),"Yes","No")))</f>
        <v/>
      </c>
      <c r="S50" s="18" t="n"/>
      <c r="T50" s="19">
        <f>IF(OR($C50="",$L50="",$K50&lt;&gt;1,NOT(ISNUMBER($L50)),$L50&gt;=$J50),"",IF($S50="","(enter date)",_xlfn.LET(_xlpm.dn,_xlfn.XLOOKUP($S50,nrCDdate,nrCDnum,"",1),IF(_xlpm.dn="","(after last class day)",_xlfn.LET(_xlpm.dd,_xlfn.XLOOKUP(_xlpm.dn+cfgRetestClassDays,nrCDnum,nrCDdate,""),_xlpm.ok,_xlfn.XLOOKUP(_xlpm.dn+cfgRetestClassDays,nrCDnum,nrCDinsession,"No"),IF(OR(_xlpm.dd="",_xlpm.ok&lt;&gt;"Yes"),"(after last class day)",_xlpm.dd))))))</f>
        <v/>
      </c>
      <c r="U50" s="17">
        <f>IF($C50="","",IF(AND($Y50="Excused",$L50="",N($K50)&lt;=1),"EXCUSED - 1st attempt pending",IF(OR($L50="",$K50&lt;&gt;1,NOT(ISNUMBER($L50)),$L50&gt;=$J50),"",IF(COUNTIFS(nrES_PID,$D50,nrES_Code,$F50,nrES_Att,2,nrES_Raw,"&gt;=0")&gt;0,IF(IFERROR(_xlfn.MINIFS(nrES_Date,nrES_PID,$D50,nrES_Code,$F50,nrES_Att,2,nrES_Raw,"&gt;=0",nrES_Date,"&gt;0"),0)=0,"RETEST UNDATED",IF(NOT(ISNUMBER($T50)),"RETEST DATE UNCHECKED",IF(_xlfn.MINIFS(nrES_Date,nrES_PID,$D50,nrES_Code,$F50,nrES_Att,2,nrES_Raw,"&gt;=0",nrES_Date,"&gt;0")&gt;$T50,"LATE RETEST "&amp;TEXT(_xlfn.MINIFS(nrES_Date,nrES_PID,$D50,nrES_Code,$F50,nrES_Att,2,nrES_Raw,"&gt;=0",nrES_Date,"&gt;0"),"mm/dd")&amp;" (due "&amp;TEXT($T50,"mm/dd")&amp;")","Retested"))),IF(NOT(ISNUMBER($T50)),"CHECK DATE",IF(TODAY()&gt;$T50,"OVERDUE","Due "&amp;TEXT($T50,"mm/dd")))))))</f>
        <v/>
      </c>
      <c r="V50" s="16" t="n"/>
      <c r="W50" s="16" t="n"/>
      <c r="X50" s="17">
        <f>IF($C50="","",IF(AND($L50&lt;&gt;"",NOT(ISNUMBER($L50))),"RAW SCORE NOT A NUMBER",IF(AND(ISNUMBER($L50),OR($L50&lt;0,$L50&gt;100)),"RAW SCORE OUT OF RANGE",IF(AND($Y50="Unexcused",OR($L50="",NOT(ISNUMBER($L50)),$L50&lt;&gt;0)),"UNEXCUSED ABSENCE MUST RECORD 0",IF(COUNTIF(nrES_RecID,$B50)&gt;1,"DUPLICATE RECORD",IF(N($K50)&gt;2,"ATTEMPT 3+ NOT ALLOWED - policy 300.5 permits one retest per exam; this row records nothing",IF(AND($K50=2,COUNTIFS(nrES_PID,$D50,nrES_Code,$F50,nrES_Att,1)=0),"ATTEMPT 2 WITHOUT ATTEMPT 1",IF(AND($K50=2,$L50=""),"RETEST ROW HAS NO SCORE",IF(AND($H50="Final",$L50&lt;&gt;"",IFERROR(INDEX(nrCKfinalExamElig,MATCH($D50,rngCadetPIDs,0)),"")="No"),"FINAL EXAM AFTER FAILED FINAL PT (500.1.H)",IF(AND($K50=2,ISNUMBER($L50),COUNTIFS(nrES_PID,$D50,nrES_Code,$F50,nrES_Att,1)&gt;0,SUMIFS(nrES_Raw,nrES_PID,$D50,nrES_Code,$F50,nrES_Att,1)&gt;=$J50),"RETEST AFTER A PASSING FIRST ATTEMPT","OK"))))))))))</f>
        <v/>
      </c>
      <c r="Y50" s="16" t="n"/>
    </row>
    <row r="51">
      <c r="B51" s="17">
        <f>IF($C51="","",$D51&amp;"-"&amp;$F51&amp;"-"&amp;$K51)</f>
        <v/>
      </c>
      <c r="C51" s="16" t="n"/>
      <c r="D51" s="17">
        <f>IF($C51="","",IFERROR(INDEX(rngCadetPIDs,MATCH($C51,rngCadetNames,0)),"?"))</f>
        <v/>
      </c>
      <c r="E51" s="17">
        <f>IF($D51="","",IFERROR(INDEX(nrCadetAgency,MATCH($D51,rngCadetPIDs,0)),""))</f>
        <v/>
      </c>
      <c r="F51" s="16" t="n"/>
      <c r="G51" s="17">
        <f>IF($F51="","",IFERROR(INDEX(rngEPname,MATCH($F51,rngEPcode,0)),"?"))</f>
        <v/>
      </c>
      <c r="H51" s="17">
        <f>IF($F51="","",IFERROR(INDEX(rngEPtype,MATCH($F51,rngEPcode,0)),"?"))</f>
        <v/>
      </c>
      <c r="I51" s="17">
        <f>IF($F51="","",IFERROR(INDEX(rngEPseq,MATCH($F51,rngEPcode,0)),""))</f>
        <v/>
      </c>
      <c r="J51" s="17">
        <f>IF($F51="","",IFERROR(INDEX(rngEPpass,MATCH($F51,rngEPcode,0)),cfgPassingScore))</f>
        <v/>
      </c>
      <c r="K51" s="16" t="n"/>
      <c r="L51" s="16" t="n"/>
      <c r="M51" s="17">
        <f>IF($C51="","",IF($L51="","",IF(NOT(ISNUMBER($L51)),$L51,IF(N($K51)&gt;2,"",IF($K51=1,IF(COUNTIFS(nrES_PID,$D51,nrES_Code,$F51,nrES_Att,2,nrES_Raw,"&gt;=0")&gt;0,"",$L51),IF($L51&gt;=$J51,MAX($J51,cfgRetakeRecordedCap),IF(COUNTIFS(nrES_PID,$D51,nrES_Code,$F51,nrES_Att,1)=0,$L51,SUMIFS(nrES_Raw,nrES_PID,$D51,nrES_Code,$F51,nrES_Att,1))))))))</f>
        <v/>
      </c>
      <c r="N51" s="17">
        <f>IF($C51="","",IF($L51="","",IF(NOT(ISNUMBER($L51)),"(not a score)",IF($L51&gt;=$J51,"Yes","No"))))</f>
        <v/>
      </c>
      <c r="O51" s="17">
        <f>IF($C51="","",IF($M51="","",IF(NOT(ISNUMBER($M51)),"(not a score)",IF($M51&gt;=$J51,"Yes","No"))))</f>
        <v/>
      </c>
      <c r="P51" s="17">
        <f>IF($C51="","",IF($K51="","",IF(N($K51)&gt;2,"No",IF(COUNTIFS(nrES_PID,$D51,nrES_Code,$F51,nrES_Att,"&gt;"&amp;$K51,nrES_Att,"&lt;=2",nrES_Raw,"&gt;=0")=0,"Yes","No"))))</f>
        <v/>
      </c>
      <c r="Q51" s="17">
        <f>IF($C51="","",IF($L51="","",IF(AND($K51=1,ISNUMBER($L51),$L51&lt;$J51,COUNTIFS(nrES_PID,$D51,nrES_Code,$F51,nrES_Att,2,nrES_Raw,"&gt;=0")=0),"Yes","No")))</f>
        <v/>
      </c>
      <c r="R51" s="17">
        <f>IF($C51="","",IF($L51="","",IF(AND(N($K51)&gt;=2,ISNUMBER($L51),$L51&lt;$J51),"Yes","No")))</f>
        <v/>
      </c>
      <c r="S51" s="18" t="n"/>
      <c r="T51" s="19">
        <f>IF(OR($C51="",$L51="",$K51&lt;&gt;1,NOT(ISNUMBER($L51)),$L51&gt;=$J51),"",IF($S51="","(enter date)",_xlfn.LET(_xlpm.dn,_xlfn.XLOOKUP($S51,nrCDdate,nrCDnum,"",1),IF(_xlpm.dn="","(after last class day)",_xlfn.LET(_xlpm.dd,_xlfn.XLOOKUP(_xlpm.dn+cfgRetestClassDays,nrCDnum,nrCDdate,""),_xlpm.ok,_xlfn.XLOOKUP(_xlpm.dn+cfgRetestClassDays,nrCDnum,nrCDinsession,"No"),IF(OR(_xlpm.dd="",_xlpm.ok&lt;&gt;"Yes"),"(after last class day)",_xlpm.dd))))))</f>
        <v/>
      </c>
      <c r="U51" s="17">
        <f>IF($C51="","",IF(AND($Y51="Excused",$L51="",N($K51)&lt;=1),"EXCUSED - 1st attempt pending",IF(OR($L51="",$K51&lt;&gt;1,NOT(ISNUMBER($L51)),$L51&gt;=$J51),"",IF(COUNTIFS(nrES_PID,$D51,nrES_Code,$F51,nrES_Att,2,nrES_Raw,"&gt;=0")&gt;0,IF(IFERROR(_xlfn.MINIFS(nrES_Date,nrES_PID,$D51,nrES_Code,$F51,nrES_Att,2,nrES_Raw,"&gt;=0",nrES_Date,"&gt;0"),0)=0,"RETEST UNDATED",IF(NOT(ISNUMBER($T51)),"RETEST DATE UNCHECKED",IF(_xlfn.MINIFS(nrES_Date,nrES_PID,$D51,nrES_Code,$F51,nrES_Att,2,nrES_Raw,"&gt;=0",nrES_Date,"&gt;0")&gt;$T51,"LATE RETEST "&amp;TEXT(_xlfn.MINIFS(nrES_Date,nrES_PID,$D51,nrES_Code,$F51,nrES_Att,2,nrES_Raw,"&gt;=0",nrES_Date,"&gt;0"),"mm/dd")&amp;" (due "&amp;TEXT($T51,"mm/dd")&amp;")","Retested"))),IF(NOT(ISNUMBER($T51)),"CHECK DATE",IF(TODAY()&gt;$T51,"OVERDUE","Due "&amp;TEXT($T51,"mm/dd")))))))</f>
        <v/>
      </c>
      <c r="V51" s="16" t="n"/>
      <c r="W51" s="16" t="n"/>
      <c r="X51" s="17">
        <f>IF($C51="","",IF(AND($L51&lt;&gt;"",NOT(ISNUMBER($L51))),"RAW SCORE NOT A NUMBER",IF(AND(ISNUMBER($L51),OR($L51&lt;0,$L51&gt;100)),"RAW SCORE OUT OF RANGE",IF(AND($Y51="Unexcused",OR($L51="",NOT(ISNUMBER($L51)),$L51&lt;&gt;0)),"UNEXCUSED ABSENCE MUST RECORD 0",IF(COUNTIF(nrES_RecID,$B51)&gt;1,"DUPLICATE RECORD",IF(N($K51)&gt;2,"ATTEMPT 3+ NOT ALLOWED - policy 300.5 permits one retest per exam; this row records nothing",IF(AND($K51=2,COUNTIFS(nrES_PID,$D51,nrES_Code,$F51,nrES_Att,1)=0),"ATTEMPT 2 WITHOUT ATTEMPT 1",IF(AND($K51=2,$L51=""),"RETEST ROW HAS NO SCORE",IF(AND($H51="Final",$L51&lt;&gt;"",IFERROR(INDEX(nrCKfinalExamElig,MATCH($D51,rngCadetPIDs,0)),"")="No"),"FINAL EXAM AFTER FAILED FINAL PT (500.1.H)",IF(AND($K51=2,ISNUMBER($L51),COUNTIFS(nrES_PID,$D51,nrES_Code,$F51,nrES_Att,1)&gt;0,SUMIFS(nrES_Raw,nrES_PID,$D51,nrES_Code,$F51,nrES_Att,1)&gt;=$J51),"RETEST AFTER A PASSING FIRST ATTEMPT","OK"))))))))))</f>
        <v/>
      </c>
      <c r="Y51" s="16" t="n"/>
    </row>
    <row r="52">
      <c r="B52" s="17">
        <f>IF($C52="","",$D52&amp;"-"&amp;$F52&amp;"-"&amp;$K52)</f>
        <v/>
      </c>
      <c r="C52" s="16" t="n"/>
      <c r="D52" s="17">
        <f>IF($C52="","",IFERROR(INDEX(rngCadetPIDs,MATCH($C52,rngCadetNames,0)),"?"))</f>
        <v/>
      </c>
      <c r="E52" s="17">
        <f>IF($D52="","",IFERROR(INDEX(nrCadetAgency,MATCH($D52,rngCadetPIDs,0)),""))</f>
        <v/>
      </c>
      <c r="F52" s="16" t="n"/>
      <c r="G52" s="17">
        <f>IF($F52="","",IFERROR(INDEX(rngEPname,MATCH($F52,rngEPcode,0)),"?"))</f>
        <v/>
      </c>
      <c r="H52" s="17">
        <f>IF($F52="","",IFERROR(INDEX(rngEPtype,MATCH($F52,rngEPcode,0)),"?"))</f>
        <v/>
      </c>
      <c r="I52" s="17">
        <f>IF($F52="","",IFERROR(INDEX(rngEPseq,MATCH($F52,rngEPcode,0)),""))</f>
        <v/>
      </c>
      <c r="J52" s="17">
        <f>IF($F52="","",IFERROR(INDEX(rngEPpass,MATCH($F52,rngEPcode,0)),cfgPassingScore))</f>
        <v/>
      </c>
      <c r="K52" s="16" t="n"/>
      <c r="L52" s="16" t="n"/>
      <c r="M52" s="17">
        <f>IF($C52="","",IF($L52="","",IF(NOT(ISNUMBER($L52)),$L52,IF(N($K52)&gt;2,"",IF($K52=1,IF(COUNTIFS(nrES_PID,$D52,nrES_Code,$F52,nrES_Att,2,nrES_Raw,"&gt;=0")&gt;0,"",$L52),IF($L52&gt;=$J52,MAX($J52,cfgRetakeRecordedCap),IF(COUNTIFS(nrES_PID,$D52,nrES_Code,$F52,nrES_Att,1)=0,$L52,SUMIFS(nrES_Raw,nrES_PID,$D52,nrES_Code,$F52,nrES_Att,1))))))))</f>
        <v/>
      </c>
      <c r="N52" s="17">
        <f>IF($C52="","",IF($L52="","",IF(NOT(ISNUMBER($L52)),"(not a score)",IF($L52&gt;=$J52,"Yes","No"))))</f>
        <v/>
      </c>
      <c r="O52" s="17">
        <f>IF($C52="","",IF($M52="","",IF(NOT(ISNUMBER($M52)),"(not a score)",IF($M52&gt;=$J52,"Yes","No"))))</f>
        <v/>
      </c>
      <c r="P52" s="17">
        <f>IF($C52="","",IF($K52="","",IF(N($K52)&gt;2,"No",IF(COUNTIFS(nrES_PID,$D52,nrES_Code,$F52,nrES_Att,"&gt;"&amp;$K52,nrES_Att,"&lt;=2",nrES_Raw,"&gt;=0")=0,"Yes","No"))))</f>
        <v/>
      </c>
      <c r="Q52" s="17">
        <f>IF($C52="","",IF($L52="","",IF(AND($K52=1,ISNUMBER($L52),$L52&lt;$J52,COUNTIFS(nrES_PID,$D52,nrES_Code,$F52,nrES_Att,2,nrES_Raw,"&gt;=0")=0),"Yes","No")))</f>
        <v/>
      </c>
      <c r="R52" s="17">
        <f>IF($C52="","",IF($L52="","",IF(AND(N($K52)&gt;=2,ISNUMBER($L52),$L52&lt;$J52),"Yes","No")))</f>
        <v/>
      </c>
      <c r="S52" s="18" t="n"/>
      <c r="T52" s="19">
        <f>IF(OR($C52="",$L52="",$K52&lt;&gt;1,NOT(ISNUMBER($L52)),$L52&gt;=$J52),"",IF($S52="","(enter date)",_xlfn.LET(_xlpm.dn,_xlfn.XLOOKUP($S52,nrCDdate,nrCDnum,"",1),IF(_xlpm.dn="","(after last class day)",_xlfn.LET(_xlpm.dd,_xlfn.XLOOKUP(_xlpm.dn+cfgRetestClassDays,nrCDnum,nrCDdate,""),_xlpm.ok,_xlfn.XLOOKUP(_xlpm.dn+cfgRetestClassDays,nrCDnum,nrCDinsession,"No"),IF(OR(_xlpm.dd="",_xlpm.ok&lt;&gt;"Yes"),"(after last class day)",_xlpm.dd))))))</f>
        <v/>
      </c>
      <c r="U52" s="17">
        <f>IF($C52="","",IF(AND($Y52="Excused",$L52="",N($K52)&lt;=1),"EXCUSED - 1st attempt pending",IF(OR($L52="",$K52&lt;&gt;1,NOT(ISNUMBER($L52)),$L52&gt;=$J52),"",IF(COUNTIFS(nrES_PID,$D52,nrES_Code,$F52,nrES_Att,2,nrES_Raw,"&gt;=0")&gt;0,IF(IFERROR(_xlfn.MINIFS(nrES_Date,nrES_PID,$D52,nrES_Code,$F52,nrES_Att,2,nrES_Raw,"&gt;=0",nrES_Date,"&gt;0"),0)=0,"RETEST UNDATED",IF(NOT(ISNUMBER($T52)),"RETEST DATE UNCHECKED",IF(_xlfn.MINIFS(nrES_Date,nrES_PID,$D52,nrES_Code,$F52,nrES_Att,2,nrES_Raw,"&gt;=0",nrES_Date,"&gt;0")&gt;$T52,"LATE RETEST "&amp;TEXT(_xlfn.MINIFS(nrES_Date,nrES_PID,$D52,nrES_Code,$F52,nrES_Att,2,nrES_Raw,"&gt;=0",nrES_Date,"&gt;0"),"mm/dd")&amp;" (due "&amp;TEXT($T52,"mm/dd")&amp;")","Retested"))),IF(NOT(ISNUMBER($T52)),"CHECK DATE",IF(TODAY()&gt;$T52,"OVERDUE","Due "&amp;TEXT($T52,"mm/dd")))))))</f>
        <v/>
      </c>
      <c r="V52" s="16" t="n"/>
      <c r="W52" s="16" t="n"/>
      <c r="X52" s="17">
        <f>IF($C52="","",IF(AND($L52&lt;&gt;"",NOT(ISNUMBER($L52))),"RAW SCORE NOT A NUMBER",IF(AND(ISNUMBER($L52),OR($L52&lt;0,$L52&gt;100)),"RAW SCORE OUT OF RANGE",IF(AND($Y52="Unexcused",OR($L52="",NOT(ISNUMBER($L52)),$L52&lt;&gt;0)),"UNEXCUSED ABSENCE MUST RECORD 0",IF(COUNTIF(nrES_RecID,$B52)&gt;1,"DUPLICATE RECORD",IF(N($K52)&gt;2,"ATTEMPT 3+ NOT ALLOWED - policy 300.5 permits one retest per exam; this row records nothing",IF(AND($K52=2,COUNTIFS(nrES_PID,$D52,nrES_Code,$F52,nrES_Att,1)=0),"ATTEMPT 2 WITHOUT ATTEMPT 1",IF(AND($K52=2,$L52=""),"RETEST ROW HAS NO SCORE",IF(AND($H52="Final",$L52&lt;&gt;"",IFERROR(INDEX(nrCKfinalExamElig,MATCH($D52,rngCadetPIDs,0)),"")="No"),"FINAL EXAM AFTER FAILED FINAL PT (500.1.H)",IF(AND($K52=2,ISNUMBER($L52),COUNTIFS(nrES_PID,$D52,nrES_Code,$F52,nrES_Att,1)&gt;0,SUMIFS(nrES_Raw,nrES_PID,$D52,nrES_Code,$F52,nrES_Att,1)&gt;=$J52),"RETEST AFTER A PASSING FIRST ATTEMPT","OK"))))))))))</f>
        <v/>
      </c>
      <c r="Y52" s="16" t="n"/>
    </row>
    <row r="53">
      <c r="B53" s="17">
        <f>IF($C53="","",$D53&amp;"-"&amp;$F53&amp;"-"&amp;$K53)</f>
        <v/>
      </c>
      <c r="C53" s="16" t="n"/>
      <c r="D53" s="17">
        <f>IF($C53="","",IFERROR(INDEX(rngCadetPIDs,MATCH($C53,rngCadetNames,0)),"?"))</f>
        <v/>
      </c>
      <c r="E53" s="17">
        <f>IF($D53="","",IFERROR(INDEX(nrCadetAgency,MATCH($D53,rngCadetPIDs,0)),""))</f>
        <v/>
      </c>
      <c r="F53" s="16" t="n"/>
      <c r="G53" s="17">
        <f>IF($F53="","",IFERROR(INDEX(rngEPname,MATCH($F53,rngEPcode,0)),"?"))</f>
        <v/>
      </c>
      <c r="H53" s="17">
        <f>IF($F53="","",IFERROR(INDEX(rngEPtype,MATCH($F53,rngEPcode,0)),"?"))</f>
        <v/>
      </c>
      <c r="I53" s="17">
        <f>IF($F53="","",IFERROR(INDEX(rngEPseq,MATCH($F53,rngEPcode,0)),""))</f>
        <v/>
      </c>
      <c r="J53" s="17">
        <f>IF($F53="","",IFERROR(INDEX(rngEPpass,MATCH($F53,rngEPcode,0)),cfgPassingScore))</f>
        <v/>
      </c>
      <c r="K53" s="16" t="n"/>
      <c r="L53" s="16" t="n"/>
      <c r="M53" s="17">
        <f>IF($C53="","",IF($L53="","",IF(NOT(ISNUMBER($L53)),$L53,IF(N($K53)&gt;2,"",IF($K53=1,IF(COUNTIFS(nrES_PID,$D53,nrES_Code,$F53,nrES_Att,2,nrES_Raw,"&gt;=0")&gt;0,"",$L53),IF($L53&gt;=$J53,MAX($J53,cfgRetakeRecordedCap),IF(COUNTIFS(nrES_PID,$D53,nrES_Code,$F53,nrES_Att,1)=0,$L53,SUMIFS(nrES_Raw,nrES_PID,$D53,nrES_Code,$F53,nrES_Att,1))))))))</f>
        <v/>
      </c>
      <c r="N53" s="17">
        <f>IF($C53="","",IF($L53="","",IF(NOT(ISNUMBER($L53)),"(not a score)",IF($L53&gt;=$J53,"Yes","No"))))</f>
        <v/>
      </c>
      <c r="O53" s="17">
        <f>IF($C53="","",IF($M53="","",IF(NOT(ISNUMBER($M53)),"(not a score)",IF($M53&gt;=$J53,"Yes","No"))))</f>
        <v/>
      </c>
      <c r="P53" s="17">
        <f>IF($C53="","",IF($K53="","",IF(N($K53)&gt;2,"No",IF(COUNTIFS(nrES_PID,$D53,nrES_Code,$F53,nrES_Att,"&gt;"&amp;$K53,nrES_Att,"&lt;=2",nrES_Raw,"&gt;=0")=0,"Yes","No"))))</f>
        <v/>
      </c>
      <c r="Q53" s="17">
        <f>IF($C53="","",IF($L53="","",IF(AND($K53=1,ISNUMBER($L53),$L53&lt;$J53,COUNTIFS(nrES_PID,$D53,nrES_Code,$F53,nrES_Att,2,nrES_Raw,"&gt;=0")=0),"Yes","No")))</f>
        <v/>
      </c>
      <c r="R53" s="17">
        <f>IF($C53="","",IF($L53="","",IF(AND(N($K53)&gt;=2,ISNUMBER($L53),$L53&lt;$J53),"Yes","No")))</f>
        <v/>
      </c>
      <c r="S53" s="18" t="n"/>
      <c r="T53" s="19">
        <f>IF(OR($C53="",$L53="",$K53&lt;&gt;1,NOT(ISNUMBER($L53)),$L53&gt;=$J53),"",IF($S53="","(enter date)",_xlfn.LET(_xlpm.dn,_xlfn.XLOOKUP($S53,nrCDdate,nrCDnum,"",1),IF(_xlpm.dn="","(after last class day)",_xlfn.LET(_xlpm.dd,_xlfn.XLOOKUP(_xlpm.dn+cfgRetestClassDays,nrCDnum,nrCDdate,""),_xlpm.ok,_xlfn.XLOOKUP(_xlpm.dn+cfgRetestClassDays,nrCDnum,nrCDinsession,"No"),IF(OR(_xlpm.dd="",_xlpm.ok&lt;&gt;"Yes"),"(after last class day)",_xlpm.dd))))))</f>
        <v/>
      </c>
      <c r="U53" s="17">
        <f>IF($C53="","",IF(AND($Y53="Excused",$L53="",N($K53)&lt;=1),"EXCUSED - 1st attempt pending",IF(OR($L53="",$K53&lt;&gt;1,NOT(ISNUMBER($L53)),$L53&gt;=$J53),"",IF(COUNTIFS(nrES_PID,$D53,nrES_Code,$F53,nrES_Att,2,nrES_Raw,"&gt;=0")&gt;0,IF(IFERROR(_xlfn.MINIFS(nrES_Date,nrES_PID,$D53,nrES_Code,$F53,nrES_Att,2,nrES_Raw,"&gt;=0",nrES_Date,"&gt;0"),0)=0,"RETEST UNDATED",IF(NOT(ISNUMBER($T53)),"RETEST DATE UNCHECKED",IF(_xlfn.MINIFS(nrES_Date,nrES_PID,$D53,nrES_Code,$F53,nrES_Att,2,nrES_Raw,"&gt;=0",nrES_Date,"&gt;0")&gt;$T53,"LATE RETEST "&amp;TEXT(_xlfn.MINIFS(nrES_Date,nrES_PID,$D53,nrES_Code,$F53,nrES_Att,2,nrES_Raw,"&gt;=0",nrES_Date,"&gt;0"),"mm/dd")&amp;" (due "&amp;TEXT($T53,"mm/dd")&amp;")","Retested"))),IF(NOT(ISNUMBER($T53)),"CHECK DATE",IF(TODAY()&gt;$T53,"OVERDUE","Due "&amp;TEXT($T53,"mm/dd")))))))</f>
        <v/>
      </c>
      <c r="V53" s="16" t="n"/>
      <c r="W53" s="16" t="n"/>
      <c r="X53" s="17">
        <f>IF($C53="","",IF(AND($L53&lt;&gt;"",NOT(ISNUMBER($L53))),"RAW SCORE NOT A NUMBER",IF(AND(ISNUMBER($L53),OR($L53&lt;0,$L53&gt;100)),"RAW SCORE OUT OF RANGE",IF(AND($Y53="Unexcused",OR($L53="",NOT(ISNUMBER($L53)),$L53&lt;&gt;0)),"UNEXCUSED ABSENCE MUST RECORD 0",IF(COUNTIF(nrES_RecID,$B53)&gt;1,"DUPLICATE RECORD",IF(N($K53)&gt;2,"ATTEMPT 3+ NOT ALLOWED - policy 300.5 permits one retest per exam; this row records nothing",IF(AND($K53=2,COUNTIFS(nrES_PID,$D53,nrES_Code,$F53,nrES_Att,1)=0),"ATTEMPT 2 WITHOUT ATTEMPT 1",IF(AND($K53=2,$L53=""),"RETEST ROW HAS NO SCORE",IF(AND($H53="Final",$L53&lt;&gt;"",IFERROR(INDEX(nrCKfinalExamElig,MATCH($D53,rngCadetPIDs,0)),"")="No"),"FINAL EXAM AFTER FAILED FINAL PT (500.1.H)",IF(AND($K53=2,ISNUMBER($L53),COUNTIFS(nrES_PID,$D53,nrES_Code,$F53,nrES_Att,1)&gt;0,SUMIFS(nrES_Raw,nrES_PID,$D53,nrES_Code,$F53,nrES_Att,1)&gt;=$J53),"RETEST AFTER A PASSING FIRST ATTEMPT","OK"))))))))))</f>
        <v/>
      </c>
      <c r="Y53" s="16" t="n"/>
    </row>
    <row r="54">
      <c r="B54" s="17">
        <f>IF($C54="","",$D54&amp;"-"&amp;$F54&amp;"-"&amp;$K54)</f>
        <v/>
      </c>
      <c r="C54" s="16" t="n"/>
      <c r="D54" s="17">
        <f>IF($C54="","",IFERROR(INDEX(rngCadetPIDs,MATCH($C54,rngCadetNames,0)),"?"))</f>
        <v/>
      </c>
      <c r="E54" s="17">
        <f>IF($D54="","",IFERROR(INDEX(nrCadetAgency,MATCH($D54,rngCadetPIDs,0)),""))</f>
        <v/>
      </c>
      <c r="F54" s="16" t="n"/>
      <c r="G54" s="17">
        <f>IF($F54="","",IFERROR(INDEX(rngEPname,MATCH($F54,rngEPcode,0)),"?"))</f>
        <v/>
      </c>
      <c r="H54" s="17">
        <f>IF($F54="","",IFERROR(INDEX(rngEPtype,MATCH($F54,rngEPcode,0)),"?"))</f>
        <v/>
      </c>
      <c r="I54" s="17">
        <f>IF($F54="","",IFERROR(INDEX(rngEPseq,MATCH($F54,rngEPcode,0)),""))</f>
        <v/>
      </c>
      <c r="J54" s="17">
        <f>IF($F54="","",IFERROR(INDEX(rngEPpass,MATCH($F54,rngEPcode,0)),cfgPassingScore))</f>
        <v/>
      </c>
      <c r="K54" s="16" t="n"/>
      <c r="L54" s="16" t="n"/>
      <c r="M54" s="17">
        <f>IF($C54="","",IF($L54="","",IF(NOT(ISNUMBER($L54)),$L54,IF(N($K54)&gt;2,"",IF($K54=1,IF(COUNTIFS(nrES_PID,$D54,nrES_Code,$F54,nrES_Att,2,nrES_Raw,"&gt;=0")&gt;0,"",$L54),IF($L54&gt;=$J54,MAX($J54,cfgRetakeRecordedCap),IF(COUNTIFS(nrES_PID,$D54,nrES_Code,$F54,nrES_Att,1)=0,$L54,SUMIFS(nrES_Raw,nrES_PID,$D54,nrES_Code,$F54,nrES_Att,1))))))))</f>
        <v/>
      </c>
      <c r="N54" s="17">
        <f>IF($C54="","",IF($L54="","",IF(NOT(ISNUMBER($L54)),"(not a score)",IF($L54&gt;=$J54,"Yes","No"))))</f>
        <v/>
      </c>
      <c r="O54" s="17">
        <f>IF($C54="","",IF($M54="","",IF(NOT(ISNUMBER($M54)),"(not a score)",IF($M54&gt;=$J54,"Yes","No"))))</f>
        <v/>
      </c>
      <c r="P54" s="17">
        <f>IF($C54="","",IF($K54="","",IF(N($K54)&gt;2,"No",IF(COUNTIFS(nrES_PID,$D54,nrES_Code,$F54,nrES_Att,"&gt;"&amp;$K54,nrES_Att,"&lt;=2",nrES_Raw,"&gt;=0")=0,"Yes","No"))))</f>
        <v/>
      </c>
      <c r="Q54" s="17">
        <f>IF($C54="","",IF($L54="","",IF(AND($K54=1,ISNUMBER($L54),$L54&lt;$J54,COUNTIFS(nrES_PID,$D54,nrES_Code,$F54,nrES_Att,2,nrES_Raw,"&gt;=0")=0),"Yes","No")))</f>
        <v/>
      </c>
      <c r="R54" s="17">
        <f>IF($C54="","",IF($L54="","",IF(AND(N($K54)&gt;=2,ISNUMBER($L54),$L54&lt;$J54),"Yes","No")))</f>
        <v/>
      </c>
      <c r="S54" s="18" t="n"/>
      <c r="T54" s="19">
        <f>IF(OR($C54="",$L54="",$K54&lt;&gt;1,NOT(ISNUMBER($L54)),$L54&gt;=$J54),"",IF($S54="","(enter date)",_xlfn.LET(_xlpm.dn,_xlfn.XLOOKUP($S54,nrCDdate,nrCDnum,"",1),IF(_xlpm.dn="","(after last class day)",_xlfn.LET(_xlpm.dd,_xlfn.XLOOKUP(_xlpm.dn+cfgRetestClassDays,nrCDnum,nrCDdate,""),_xlpm.ok,_xlfn.XLOOKUP(_xlpm.dn+cfgRetestClassDays,nrCDnum,nrCDinsession,"No"),IF(OR(_xlpm.dd="",_xlpm.ok&lt;&gt;"Yes"),"(after last class day)",_xlpm.dd))))))</f>
        <v/>
      </c>
      <c r="U54" s="17">
        <f>IF($C54="","",IF(AND($Y54="Excused",$L54="",N($K54)&lt;=1),"EXCUSED - 1st attempt pending",IF(OR($L54="",$K54&lt;&gt;1,NOT(ISNUMBER($L54)),$L54&gt;=$J54),"",IF(COUNTIFS(nrES_PID,$D54,nrES_Code,$F54,nrES_Att,2,nrES_Raw,"&gt;=0")&gt;0,IF(IFERROR(_xlfn.MINIFS(nrES_Date,nrES_PID,$D54,nrES_Code,$F54,nrES_Att,2,nrES_Raw,"&gt;=0",nrES_Date,"&gt;0"),0)=0,"RETEST UNDATED",IF(NOT(ISNUMBER($T54)),"RETEST DATE UNCHECKED",IF(_xlfn.MINIFS(nrES_Date,nrES_PID,$D54,nrES_Code,$F54,nrES_Att,2,nrES_Raw,"&gt;=0",nrES_Date,"&gt;0")&gt;$T54,"LATE RETEST "&amp;TEXT(_xlfn.MINIFS(nrES_Date,nrES_PID,$D54,nrES_Code,$F54,nrES_Att,2,nrES_Raw,"&gt;=0",nrES_Date,"&gt;0"),"mm/dd")&amp;" (due "&amp;TEXT($T54,"mm/dd")&amp;")","Retested"))),IF(NOT(ISNUMBER($T54)),"CHECK DATE",IF(TODAY()&gt;$T54,"OVERDUE","Due "&amp;TEXT($T54,"mm/dd")))))))</f>
        <v/>
      </c>
      <c r="V54" s="16" t="n"/>
      <c r="W54" s="16" t="n"/>
      <c r="X54" s="17">
        <f>IF($C54="","",IF(AND($L54&lt;&gt;"",NOT(ISNUMBER($L54))),"RAW SCORE NOT A NUMBER",IF(AND(ISNUMBER($L54),OR($L54&lt;0,$L54&gt;100)),"RAW SCORE OUT OF RANGE",IF(AND($Y54="Unexcused",OR($L54="",NOT(ISNUMBER($L54)),$L54&lt;&gt;0)),"UNEXCUSED ABSENCE MUST RECORD 0",IF(COUNTIF(nrES_RecID,$B54)&gt;1,"DUPLICATE RECORD",IF(N($K54)&gt;2,"ATTEMPT 3+ NOT ALLOWED - policy 300.5 permits one retest per exam; this row records nothing",IF(AND($K54=2,COUNTIFS(nrES_PID,$D54,nrES_Code,$F54,nrES_Att,1)=0),"ATTEMPT 2 WITHOUT ATTEMPT 1",IF(AND($K54=2,$L54=""),"RETEST ROW HAS NO SCORE",IF(AND($H54="Final",$L54&lt;&gt;"",IFERROR(INDEX(nrCKfinalExamElig,MATCH($D54,rngCadetPIDs,0)),"")="No"),"FINAL EXAM AFTER FAILED FINAL PT (500.1.H)",IF(AND($K54=2,ISNUMBER($L54),COUNTIFS(nrES_PID,$D54,nrES_Code,$F54,nrES_Att,1)&gt;0,SUMIFS(nrES_Raw,nrES_PID,$D54,nrES_Code,$F54,nrES_Att,1)&gt;=$J54),"RETEST AFTER A PASSING FIRST ATTEMPT","OK"))))))))))</f>
        <v/>
      </c>
      <c r="Y54" s="16" t="n"/>
    </row>
    <row r="55">
      <c r="B55" s="17">
        <f>IF($C55="","",$D55&amp;"-"&amp;$F55&amp;"-"&amp;$K55)</f>
        <v/>
      </c>
      <c r="C55" s="16" t="n"/>
      <c r="D55" s="17">
        <f>IF($C55="","",IFERROR(INDEX(rngCadetPIDs,MATCH($C55,rngCadetNames,0)),"?"))</f>
        <v/>
      </c>
      <c r="E55" s="17">
        <f>IF($D55="","",IFERROR(INDEX(nrCadetAgency,MATCH($D55,rngCadetPIDs,0)),""))</f>
        <v/>
      </c>
      <c r="F55" s="16" t="n"/>
      <c r="G55" s="17">
        <f>IF($F55="","",IFERROR(INDEX(rngEPname,MATCH($F55,rngEPcode,0)),"?"))</f>
        <v/>
      </c>
      <c r="H55" s="17">
        <f>IF($F55="","",IFERROR(INDEX(rngEPtype,MATCH($F55,rngEPcode,0)),"?"))</f>
        <v/>
      </c>
      <c r="I55" s="17">
        <f>IF($F55="","",IFERROR(INDEX(rngEPseq,MATCH($F55,rngEPcode,0)),""))</f>
        <v/>
      </c>
      <c r="J55" s="17">
        <f>IF($F55="","",IFERROR(INDEX(rngEPpass,MATCH($F55,rngEPcode,0)),cfgPassingScore))</f>
        <v/>
      </c>
      <c r="K55" s="16" t="n"/>
      <c r="L55" s="16" t="n"/>
      <c r="M55" s="17">
        <f>IF($C55="","",IF($L55="","",IF(NOT(ISNUMBER($L55)),$L55,IF(N($K55)&gt;2,"",IF($K55=1,IF(COUNTIFS(nrES_PID,$D55,nrES_Code,$F55,nrES_Att,2,nrES_Raw,"&gt;=0")&gt;0,"",$L55),IF($L55&gt;=$J55,MAX($J55,cfgRetakeRecordedCap),IF(COUNTIFS(nrES_PID,$D55,nrES_Code,$F55,nrES_Att,1)=0,$L55,SUMIFS(nrES_Raw,nrES_PID,$D55,nrES_Code,$F55,nrES_Att,1))))))))</f>
        <v/>
      </c>
      <c r="N55" s="17">
        <f>IF($C55="","",IF($L55="","",IF(NOT(ISNUMBER($L55)),"(not a score)",IF($L55&gt;=$J55,"Yes","No"))))</f>
        <v/>
      </c>
      <c r="O55" s="17">
        <f>IF($C55="","",IF($M55="","",IF(NOT(ISNUMBER($M55)),"(not a score)",IF($M55&gt;=$J55,"Yes","No"))))</f>
        <v/>
      </c>
      <c r="P55" s="17">
        <f>IF($C55="","",IF($K55="","",IF(N($K55)&gt;2,"No",IF(COUNTIFS(nrES_PID,$D55,nrES_Code,$F55,nrES_Att,"&gt;"&amp;$K55,nrES_Att,"&lt;=2",nrES_Raw,"&gt;=0")=0,"Yes","No"))))</f>
        <v/>
      </c>
      <c r="Q55" s="17">
        <f>IF($C55="","",IF($L55="","",IF(AND($K55=1,ISNUMBER($L55),$L55&lt;$J55,COUNTIFS(nrES_PID,$D55,nrES_Code,$F55,nrES_Att,2,nrES_Raw,"&gt;=0")=0),"Yes","No")))</f>
        <v/>
      </c>
      <c r="R55" s="17">
        <f>IF($C55="","",IF($L55="","",IF(AND(N($K55)&gt;=2,ISNUMBER($L55),$L55&lt;$J55),"Yes","No")))</f>
        <v/>
      </c>
      <c r="S55" s="18" t="n"/>
      <c r="T55" s="19">
        <f>IF(OR($C55="",$L55="",$K55&lt;&gt;1,NOT(ISNUMBER($L55)),$L55&gt;=$J55),"",IF($S55="","(enter date)",_xlfn.LET(_xlpm.dn,_xlfn.XLOOKUP($S55,nrCDdate,nrCDnum,"",1),IF(_xlpm.dn="","(after last class day)",_xlfn.LET(_xlpm.dd,_xlfn.XLOOKUP(_xlpm.dn+cfgRetestClassDays,nrCDnum,nrCDdate,""),_xlpm.ok,_xlfn.XLOOKUP(_xlpm.dn+cfgRetestClassDays,nrCDnum,nrCDinsession,"No"),IF(OR(_xlpm.dd="",_xlpm.ok&lt;&gt;"Yes"),"(after last class day)",_xlpm.dd))))))</f>
        <v/>
      </c>
      <c r="U55" s="17">
        <f>IF($C55="","",IF(AND($Y55="Excused",$L55="",N($K55)&lt;=1),"EXCUSED - 1st attempt pending",IF(OR($L55="",$K55&lt;&gt;1,NOT(ISNUMBER($L55)),$L55&gt;=$J55),"",IF(COUNTIFS(nrES_PID,$D55,nrES_Code,$F55,nrES_Att,2,nrES_Raw,"&gt;=0")&gt;0,IF(IFERROR(_xlfn.MINIFS(nrES_Date,nrES_PID,$D55,nrES_Code,$F55,nrES_Att,2,nrES_Raw,"&gt;=0",nrES_Date,"&gt;0"),0)=0,"RETEST UNDATED",IF(NOT(ISNUMBER($T55)),"RETEST DATE UNCHECKED",IF(_xlfn.MINIFS(nrES_Date,nrES_PID,$D55,nrES_Code,$F55,nrES_Att,2,nrES_Raw,"&gt;=0",nrES_Date,"&gt;0")&gt;$T55,"LATE RETEST "&amp;TEXT(_xlfn.MINIFS(nrES_Date,nrES_PID,$D55,nrES_Code,$F55,nrES_Att,2,nrES_Raw,"&gt;=0",nrES_Date,"&gt;0"),"mm/dd")&amp;" (due "&amp;TEXT($T55,"mm/dd")&amp;")","Retested"))),IF(NOT(ISNUMBER($T55)),"CHECK DATE",IF(TODAY()&gt;$T55,"OVERDUE","Due "&amp;TEXT($T55,"mm/dd")))))))</f>
        <v/>
      </c>
      <c r="V55" s="16" t="n"/>
      <c r="W55" s="16" t="n"/>
      <c r="X55" s="17">
        <f>IF($C55="","",IF(AND($L55&lt;&gt;"",NOT(ISNUMBER($L55))),"RAW SCORE NOT A NUMBER",IF(AND(ISNUMBER($L55),OR($L55&lt;0,$L55&gt;100)),"RAW SCORE OUT OF RANGE",IF(AND($Y55="Unexcused",OR($L55="",NOT(ISNUMBER($L55)),$L55&lt;&gt;0)),"UNEXCUSED ABSENCE MUST RECORD 0",IF(COUNTIF(nrES_RecID,$B55)&gt;1,"DUPLICATE RECORD",IF(N($K55)&gt;2,"ATTEMPT 3+ NOT ALLOWED - policy 300.5 permits one retest per exam; this row records nothing",IF(AND($K55=2,COUNTIFS(nrES_PID,$D55,nrES_Code,$F55,nrES_Att,1)=0),"ATTEMPT 2 WITHOUT ATTEMPT 1",IF(AND($K55=2,$L55=""),"RETEST ROW HAS NO SCORE",IF(AND($H55="Final",$L55&lt;&gt;"",IFERROR(INDEX(nrCKfinalExamElig,MATCH($D55,rngCadetPIDs,0)),"")="No"),"FINAL EXAM AFTER FAILED FINAL PT (500.1.H)",IF(AND($K55=2,ISNUMBER($L55),COUNTIFS(nrES_PID,$D55,nrES_Code,$F55,nrES_Att,1)&gt;0,SUMIFS(nrES_Raw,nrES_PID,$D55,nrES_Code,$F55,nrES_Att,1)&gt;=$J55),"RETEST AFTER A PASSING FIRST ATTEMPT","OK"))))))))))</f>
        <v/>
      </c>
      <c r="Y55" s="16" t="n"/>
    </row>
    <row r="56">
      <c r="B56" s="17">
        <f>IF($C56="","",$D56&amp;"-"&amp;$F56&amp;"-"&amp;$K56)</f>
        <v/>
      </c>
      <c r="C56" s="16" t="n"/>
      <c r="D56" s="17">
        <f>IF($C56="","",IFERROR(INDEX(rngCadetPIDs,MATCH($C56,rngCadetNames,0)),"?"))</f>
        <v/>
      </c>
      <c r="E56" s="17">
        <f>IF($D56="","",IFERROR(INDEX(nrCadetAgency,MATCH($D56,rngCadetPIDs,0)),""))</f>
        <v/>
      </c>
      <c r="F56" s="16" t="n"/>
      <c r="G56" s="17">
        <f>IF($F56="","",IFERROR(INDEX(rngEPname,MATCH($F56,rngEPcode,0)),"?"))</f>
        <v/>
      </c>
      <c r="H56" s="17">
        <f>IF($F56="","",IFERROR(INDEX(rngEPtype,MATCH($F56,rngEPcode,0)),"?"))</f>
        <v/>
      </c>
      <c r="I56" s="17">
        <f>IF($F56="","",IFERROR(INDEX(rngEPseq,MATCH($F56,rngEPcode,0)),""))</f>
        <v/>
      </c>
      <c r="J56" s="17">
        <f>IF($F56="","",IFERROR(INDEX(rngEPpass,MATCH($F56,rngEPcode,0)),cfgPassingScore))</f>
        <v/>
      </c>
      <c r="K56" s="16" t="n"/>
      <c r="L56" s="16" t="n"/>
      <c r="M56" s="17">
        <f>IF($C56="","",IF($L56="","",IF(NOT(ISNUMBER($L56)),$L56,IF(N($K56)&gt;2,"",IF($K56=1,IF(COUNTIFS(nrES_PID,$D56,nrES_Code,$F56,nrES_Att,2,nrES_Raw,"&gt;=0")&gt;0,"",$L56),IF($L56&gt;=$J56,MAX($J56,cfgRetakeRecordedCap),IF(COUNTIFS(nrES_PID,$D56,nrES_Code,$F56,nrES_Att,1)=0,$L56,SUMIFS(nrES_Raw,nrES_PID,$D56,nrES_Code,$F56,nrES_Att,1))))))))</f>
        <v/>
      </c>
      <c r="N56" s="17">
        <f>IF($C56="","",IF($L56="","",IF(NOT(ISNUMBER($L56)),"(not a score)",IF($L56&gt;=$J56,"Yes","No"))))</f>
        <v/>
      </c>
      <c r="O56" s="17">
        <f>IF($C56="","",IF($M56="","",IF(NOT(ISNUMBER($M56)),"(not a score)",IF($M56&gt;=$J56,"Yes","No"))))</f>
        <v/>
      </c>
      <c r="P56" s="17">
        <f>IF($C56="","",IF($K56="","",IF(N($K56)&gt;2,"No",IF(COUNTIFS(nrES_PID,$D56,nrES_Code,$F56,nrES_Att,"&gt;"&amp;$K56,nrES_Att,"&lt;=2",nrES_Raw,"&gt;=0")=0,"Yes","No"))))</f>
        <v/>
      </c>
      <c r="Q56" s="17">
        <f>IF($C56="","",IF($L56="","",IF(AND($K56=1,ISNUMBER($L56),$L56&lt;$J56,COUNTIFS(nrES_PID,$D56,nrES_Code,$F56,nrES_Att,2,nrES_Raw,"&gt;=0")=0),"Yes","No")))</f>
        <v/>
      </c>
      <c r="R56" s="17">
        <f>IF($C56="","",IF($L56="","",IF(AND(N($K56)&gt;=2,ISNUMBER($L56),$L56&lt;$J56),"Yes","No")))</f>
        <v/>
      </c>
      <c r="S56" s="18" t="n"/>
      <c r="T56" s="19">
        <f>IF(OR($C56="",$L56="",$K56&lt;&gt;1,NOT(ISNUMBER($L56)),$L56&gt;=$J56),"",IF($S56="","(enter date)",_xlfn.LET(_xlpm.dn,_xlfn.XLOOKUP($S56,nrCDdate,nrCDnum,"",1),IF(_xlpm.dn="","(after last class day)",_xlfn.LET(_xlpm.dd,_xlfn.XLOOKUP(_xlpm.dn+cfgRetestClassDays,nrCDnum,nrCDdate,""),_xlpm.ok,_xlfn.XLOOKUP(_xlpm.dn+cfgRetestClassDays,nrCDnum,nrCDinsession,"No"),IF(OR(_xlpm.dd="",_xlpm.ok&lt;&gt;"Yes"),"(after last class day)",_xlpm.dd))))))</f>
        <v/>
      </c>
      <c r="U56" s="17">
        <f>IF($C56="","",IF(AND($Y56="Excused",$L56="",N($K56)&lt;=1),"EXCUSED - 1st attempt pending",IF(OR($L56="",$K56&lt;&gt;1,NOT(ISNUMBER($L56)),$L56&gt;=$J56),"",IF(COUNTIFS(nrES_PID,$D56,nrES_Code,$F56,nrES_Att,2,nrES_Raw,"&gt;=0")&gt;0,IF(IFERROR(_xlfn.MINIFS(nrES_Date,nrES_PID,$D56,nrES_Code,$F56,nrES_Att,2,nrES_Raw,"&gt;=0",nrES_Date,"&gt;0"),0)=0,"RETEST UNDATED",IF(NOT(ISNUMBER($T56)),"RETEST DATE UNCHECKED",IF(_xlfn.MINIFS(nrES_Date,nrES_PID,$D56,nrES_Code,$F56,nrES_Att,2,nrES_Raw,"&gt;=0",nrES_Date,"&gt;0")&gt;$T56,"LATE RETEST "&amp;TEXT(_xlfn.MINIFS(nrES_Date,nrES_PID,$D56,nrES_Code,$F56,nrES_Att,2,nrES_Raw,"&gt;=0",nrES_Date,"&gt;0"),"mm/dd")&amp;" (due "&amp;TEXT($T56,"mm/dd")&amp;")","Retested"))),IF(NOT(ISNUMBER($T56)),"CHECK DATE",IF(TODAY()&gt;$T56,"OVERDUE","Due "&amp;TEXT($T56,"mm/dd")))))))</f>
        <v/>
      </c>
      <c r="V56" s="16" t="n"/>
      <c r="W56" s="16" t="n"/>
      <c r="X56" s="17">
        <f>IF($C56="","",IF(AND($L56&lt;&gt;"",NOT(ISNUMBER($L56))),"RAW SCORE NOT A NUMBER",IF(AND(ISNUMBER($L56),OR($L56&lt;0,$L56&gt;100)),"RAW SCORE OUT OF RANGE",IF(AND($Y56="Unexcused",OR($L56="",NOT(ISNUMBER($L56)),$L56&lt;&gt;0)),"UNEXCUSED ABSENCE MUST RECORD 0",IF(COUNTIF(nrES_RecID,$B56)&gt;1,"DUPLICATE RECORD",IF(N($K56)&gt;2,"ATTEMPT 3+ NOT ALLOWED - policy 300.5 permits one retest per exam; this row records nothing",IF(AND($K56=2,COUNTIFS(nrES_PID,$D56,nrES_Code,$F56,nrES_Att,1)=0),"ATTEMPT 2 WITHOUT ATTEMPT 1",IF(AND($K56=2,$L56=""),"RETEST ROW HAS NO SCORE",IF(AND($H56="Final",$L56&lt;&gt;"",IFERROR(INDEX(nrCKfinalExamElig,MATCH($D56,rngCadetPIDs,0)),"")="No"),"FINAL EXAM AFTER FAILED FINAL PT (500.1.H)",IF(AND($K56=2,ISNUMBER($L56),COUNTIFS(nrES_PID,$D56,nrES_Code,$F56,nrES_Att,1)&gt;0,SUMIFS(nrES_Raw,nrES_PID,$D56,nrES_Code,$F56,nrES_Att,1)&gt;=$J56),"RETEST AFTER A PASSING FIRST ATTEMPT","OK"))))))))))</f>
        <v/>
      </c>
      <c r="Y56" s="16" t="n"/>
    </row>
    <row r="57">
      <c r="B57" s="17">
        <f>IF($C57="","",$D57&amp;"-"&amp;$F57&amp;"-"&amp;$K57)</f>
        <v/>
      </c>
      <c r="C57" s="16" t="n"/>
      <c r="D57" s="17">
        <f>IF($C57="","",IFERROR(INDEX(rngCadetPIDs,MATCH($C57,rngCadetNames,0)),"?"))</f>
        <v/>
      </c>
      <c r="E57" s="17">
        <f>IF($D57="","",IFERROR(INDEX(nrCadetAgency,MATCH($D57,rngCadetPIDs,0)),""))</f>
        <v/>
      </c>
      <c r="F57" s="16" t="n"/>
      <c r="G57" s="17">
        <f>IF($F57="","",IFERROR(INDEX(rngEPname,MATCH($F57,rngEPcode,0)),"?"))</f>
        <v/>
      </c>
      <c r="H57" s="17">
        <f>IF($F57="","",IFERROR(INDEX(rngEPtype,MATCH($F57,rngEPcode,0)),"?"))</f>
        <v/>
      </c>
      <c r="I57" s="17">
        <f>IF($F57="","",IFERROR(INDEX(rngEPseq,MATCH($F57,rngEPcode,0)),""))</f>
        <v/>
      </c>
      <c r="J57" s="17">
        <f>IF($F57="","",IFERROR(INDEX(rngEPpass,MATCH($F57,rngEPcode,0)),cfgPassingScore))</f>
        <v/>
      </c>
      <c r="K57" s="16" t="n"/>
      <c r="L57" s="16" t="n"/>
      <c r="M57" s="17">
        <f>IF($C57="","",IF($L57="","",IF(NOT(ISNUMBER($L57)),$L57,IF(N($K57)&gt;2,"",IF($K57=1,IF(COUNTIFS(nrES_PID,$D57,nrES_Code,$F57,nrES_Att,2,nrES_Raw,"&gt;=0")&gt;0,"",$L57),IF($L57&gt;=$J57,MAX($J57,cfgRetakeRecordedCap),IF(COUNTIFS(nrES_PID,$D57,nrES_Code,$F57,nrES_Att,1)=0,$L57,SUMIFS(nrES_Raw,nrES_PID,$D57,nrES_Code,$F57,nrES_Att,1))))))))</f>
        <v/>
      </c>
      <c r="N57" s="17">
        <f>IF($C57="","",IF($L57="","",IF(NOT(ISNUMBER($L57)),"(not a score)",IF($L57&gt;=$J57,"Yes","No"))))</f>
        <v/>
      </c>
      <c r="O57" s="17">
        <f>IF($C57="","",IF($M57="","",IF(NOT(ISNUMBER($M57)),"(not a score)",IF($M57&gt;=$J57,"Yes","No"))))</f>
        <v/>
      </c>
      <c r="P57" s="17">
        <f>IF($C57="","",IF($K57="","",IF(N($K57)&gt;2,"No",IF(COUNTIFS(nrES_PID,$D57,nrES_Code,$F57,nrES_Att,"&gt;"&amp;$K57,nrES_Att,"&lt;=2",nrES_Raw,"&gt;=0")=0,"Yes","No"))))</f>
        <v/>
      </c>
      <c r="Q57" s="17">
        <f>IF($C57="","",IF($L57="","",IF(AND($K57=1,ISNUMBER($L57),$L57&lt;$J57,COUNTIFS(nrES_PID,$D57,nrES_Code,$F57,nrES_Att,2,nrES_Raw,"&gt;=0")=0),"Yes","No")))</f>
        <v/>
      </c>
      <c r="R57" s="17">
        <f>IF($C57="","",IF($L57="","",IF(AND(N($K57)&gt;=2,ISNUMBER($L57),$L57&lt;$J57),"Yes","No")))</f>
        <v/>
      </c>
      <c r="S57" s="18" t="n"/>
      <c r="T57" s="19">
        <f>IF(OR($C57="",$L57="",$K57&lt;&gt;1,NOT(ISNUMBER($L57)),$L57&gt;=$J57),"",IF($S57="","(enter date)",_xlfn.LET(_xlpm.dn,_xlfn.XLOOKUP($S57,nrCDdate,nrCDnum,"",1),IF(_xlpm.dn="","(after last class day)",_xlfn.LET(_xlpm.dd,_xlfn.XLOOKUP(_xlpm.dn+cfgRetestClassDays,nrCDnum,nrCDdate,""),_xlpm.ok,_xlfn.XLOOKUP(_xlpm.dn+cfgRetestClassDays,nrCDnum,nrCDinsession,"No"),IF(OR(_xlpm.dd="",_xlpm.ok&lt;&gt;"Yes"),"(after last class day)",_xlpm.dd))))))</f>
        <v/>
      </c>
      <c r="U57" s="17">
        <f>IF($C57="","",IF(AND($Y57="Excused",$L57="",N($K57)&lt;=1),"EXCUSED - 1st attempt pending",IF(OR($L57="",$K57&lt;&gt;1,NOT(ISNUMBER($L57)),$L57&gt;=$J57),"",IF(COUNTIFS(nrES_PID,$D57,nrES_Code,$F57,nrES_Att,2,nrES_Raw,"&gt;=0")&gt;0,IF(IFERROR(_xlfn.MINIFS(nrES_Date,nrES_PID,$D57,nrES_Code,$F57,nrES_Att,2,nrES_Raw,"&gt;=0",nrES_Date,"&gt;0"),0)=0,"RETEST UNDATED",IF(NOT(ISNUMBER($T57)),"RETEST DATE UNCHECKED",IF(_xlfn.MINIFS(nrES_Date,nrES_PID,$D57,nrES_Code,$F57,nrES_Att,2,nrES_Raw,"&gt;=0",nrES_Date,"&gt;0")&gt;$T57,"LATE RETEST "&amp;TEXT(_xlfn.MINIFS(nrES_Date,nrES_PID,$D57,nrES_Code,$F57,nrES_Att,2,nrES_Raw,"&gt;=0",nrES_Date,"&gt;0"),"mm/dd")&amp;" (due "&amp;TEXT($T57,"mm/dd")&amp;")","Retested"))),IF(NOT(ISNUMBER($T57)),"CHECK DATE",IF(TODAY()&gt;$T57,"OVERDUE","Due "&amp;TEXT($T57,"mm/dd")))))))</f>
        <v/>
      </c>
      <c r="V57" s="16" t="n"/>
      <c r="W57" s="16" t="n"/>
      <c r="X57" s="17">
        <f>IF($C57="","",IF(AND($L57&lt;&gt;"",NOT(ISNUMBER($L57))),"RAW SCORE NOT A NUMBER",IF(AND(ISNUMBER($L57),OR($L57&lt;0,$L57&gt;100)),"RAW SCORE OUT OF RANGE",IF(AND($Y57="Unexcused",OR($L57="",NOT(ISNUMBER($L57)),$L57&lt;&gt;0)),"UNEXCUSED ABSENCE MUST RECORD 0",IF(COUNTIF(nrES_RecID,$B57)&gt;1,"DUPLICATE RECORD",IF(N($K57)&gt;2,"ATTEMPT 3+ NOT ALLOWED - policy 300.5 permits one retest per exam; this row records nothing",IF(AND($K57=2,COUNTIFS(nrES_PID,$D57,nrES_Code,$F57,nrES_Att,1)=0),"ATTEMPT 2 WITHOUT ATTEMPT 1",IF(AND($K57=2,$L57=""),"RETEST ROW HAS NO SCORE",IF(AND($H57="Final",$L57&lt;&gt;"",IFERROR(INDEX(nrCKfinalExamElig,MATCH($D57,rngCadetPIDs,0)),"")="No"),"FINAL EXAM AFTER FAILED FINAL PT (500.1.H)",IF(AND($K57=2,ISNUMBER($L57),COUNTIFS(nrES_PID,$D57,nrES_Code,$F57,nrES_Att,1)&gt;0,SUMIFS(nrES_Raw,nrES_PID,$D57,nrES_Code,$F57,nrES_Att,1)&gt;=$J57),"RETEST AFTER A PASSING FIRST ATTEMPT","OK"))))))))))</f>
        <v/>
      </c>
      <c r="Y57" s="16" t="n"/>
    </row>
    <row r="58">
      <c r="B58" s="17">
        <f>IF($C58="","",$D58&amp;"-"&amp;$F58&amp;"-"&amp;$K58)</f>
        <v/>
      </c>
      <c r="C58" s="16" t="n"/>
      <c r="D58" s="17">
        <f>IF($C58="","",IFERROR(INDEX(rngCadetPIDs,MATCH($C58,rngCadetNames,0)),"?"))</f>
        <v/>
      </c>
      <c r="E58" s="17">
        <f>IF($D58="","",IFERROR(INDEX(nrCadetAgency,MATCH($D58,rngCadetPIDs,0)),""))</f>
        <v/>
      </c>
      <c r="F58" s="16" t="n"/>
      <c r="G58" s="17">
        <f>IF($F58="","",IFERROR(INDEX(rngEPname,MATCH($F58,rngEPcode,0)),"?"))</f>
        <v/>
      </c>
      <c r="H58" s="17">
        <f>IF($F58="","",IFERROR(INDEX(rngEPtype,MATCH($F58,rngEPcode,0)),"?"))</f>
        <v/>
      </c>
      <c r="I58" s="17">
        <f>IF($F58="","",IFERROR(INDEX(rngEPseq,MATCH($F58,rngEPcode,0)),""))</f>
        <v/>
      </c>
      <c r="J58" s="17">
        <f>IF($F58="","",IFERROR(INDEX(rngEPpass,MATCH($F58,rngEPcode,0)),cfgPassingScore))</f>
        <v/>
      </c>
      <c r="K58" s="16" t="n"/>
      <c r="L58" s="16" t="n"/>
      <c r="M58" s="17">
        <f>IF($C58="","",IF($L58="","",IF(NOT(ISNUMBER($L58)),$L58,IF(N($K58)&gt;2,"",IF($K58=1,IF(COUNTIFS(nrES_PID,$D58,nrES_Code,$F58,nrES_Att,2,nrES_Raw,"&gt;=0")&gt;0,"",$L58),IF($L58&gt;=$J58,MAX($J58,cfgRetakeRecordedCap),IF(COUNTIFS(nrES_PID,$D58,nrES_Code,$F58,nrES_Att,1)=0,$L58,SUMIFS(nrES_Raw,nrES_PID,$D58,nrES_Code,$F58,nrES_Att,1))))))))</f>
        <v/>
      </c>
      <c r="N58" s="17">
        <f>IF($C58="","",IF($L58="","",IF(NOT(ISNUMBER($L58)),"(not a score)",IF($L58&gt;=$J58,"Yes","No"))))</f>
        <v/>
      </c>
      <c r="O58" s="17">
        <f>IF($C58="","",IF($M58="","",IF(NOT(ISNUMBER($M58)),"(not a score)",IF($M58&gt;=$J58,"Yes","No"))))</f>
        <v/>
      </c>
      <c r="P58" s="17">
        <f>IF($C58="","",IF($K58="","",IF(N($K58)&gt;2,"No",IF(COUNTIFS(nrES_PID,$D58,nrES_Code,$F58,nrES_Att,"&gt;"&amp;$K58,nrES_Att,"&lt;=2",nrES_Raw,"&gt;=0")=0,"Yes","No"))))</f>
        <v/>
      </c>
      <c r="Q58" s="17">
        <f>IF($C58="","",IF($L58="","",IF(AND($K58=1,ISNUMBER($L58),$L58&lt;$J58,COUNTIFS(nrES_PID,$D58,nrES_Code,$F58,nrES_Att,2,nrES_Raw,"&gt;=0")=0),"Yes","No")))</f>
        <v/>
      </c>
      <c r="R58" s="17">
        <f>IF($C58="","",IF($L58="","",IF(AND(N($K58)&gt;=2,ISNUMBER($L58),$L58&lt;$J58),"Yes","No")))</f>
        <v/>
      </c>
      <c r="S58" s="18" t="n"/>
      <c r="T58" s="19">
        <f>IF(OR($C58="",$L58="",$K58&lt;&gt;1,NOT(ISNUMBER($L58)),$L58&gt;=$J58),"",IF($S58="","(enter date)",_xlfn.LET(_xlpm.dn,_xlfn.XLOOKUP($S58,nrCDdate,nrCDnum,"",1),IF(_xlpm.dn="","(after last class day)",_xlfn.LET(_xlpm.dd,_xlfn.XLOOKUP(_xlpm.dn+cfgRetestClassDays,nrCDnum,nrCDdate,""),_xlpm.ok,_xlfn.XLOOKUP(_xlpm.dn+cfgRetestClassDays,nrCDnum,nrCDinsession,"No"),IF(OR(_xlpm.dd="",_xlpm.ok&lt;&gt;"Yes"),"(after last class day)",_xlpm.dd))))))</f>
        <v/>
      </c>
      <c r="U58" s="17">
        <f>IF($C58="","",IF(AND($Y58="Excused",$L58="",N($K58)&lt;=1),"EXCUSED - 1st attempt pending",IF(OR($L58="",$K58&lt;&gt;1,NOT(ISNUMBER($L58)),$L58&gt;=$J58),"",IF(COUNTIFS(nrES_PID,$D58,nrES_Code,$F58,nrES_Att,2,nrES_Raw,"&gt;=0")&gt;0,IF(IFERROR(_xlfn.MINIFS(nrES_Date,nrES_PID,$D58,nrES_Code,$F58,nrES_Att,2,nrES_Raw,"&gt;=0",nrES_Date,"&gt;0"),0)=0,"RETEST UNDATED",IF(NOT(ISNUMBER($T58)),"RETEST DATE UNCHECKED",IF(_xlfn.MINIFS(nrES_Date,nrES_PID,$D58,nrES_Code,$F58,nrES_Att,2,nrES_Raw,"&gt;=0",nrES_Date,"&gt;0")&gt;$T58,"LATE RETEST "&amp;TEXT(_xlfn.MINIFS(nrES_Date,nrES_PID,$D58,nrES_Code,$F58,nrES_Att,2,nrES_Raw,"&gt;=0",nrES_Date,"&gt;0"),"mm/dd")&amp;" (due "&amp;TEXT($T58,"mm/dd")&amp;")","Retested"))),IF(NOT(ISNUMBER($T58)),"CHECK DATE",IF(TODAY()&gt;$T58,"OVERDUE","Due "&amp;TEXT($T58,"mm/dd")))))))</f>
        <v/>
      </c>
      <c r="V58" s="16" t="n"/>
      <c r="W58" s="16" t="n"/>
      <c r="X58" s="17">
        <f>IF($C58="","",IF(AND($L58&lt;&gt;"",NOT(ISNUMBER($L58))),"RAW SCORE NOT A NUMBER",IF(AND(ISNUMBER($L58),OR($L58&lt;0,$L58&gt;100)),"RAW SCORE OUT OF RANGE",IF(AND($Y58="Unexcused",OR($L58="",NOT(ISNUMBER($L58)),$L58&lt;&gt;0)),"UNEXCUSED ABSENCE MUST RECORD 0",IF(COUNTIF(nrES_RecID,$B58)&gt;1,"DUPLICATE RECORD",IF(N($K58)&gt;2,"ATTEMPT 3+ NOT ALLOWED - policy 300.5 permits one retest per exam; this row records nothing",IF(AND($K58=2,COUNTIFS(nrES_PID,$D58,nrES_Code,$F58,nrES_Att,1)=0),"ATTEMPT 2 WITHOUT ATTEMPT 1",IF(AND($K58=2,$L58=""),"RETEST ROW HAS NO SCORE",IF(AND($H58="Final",$L58&lt;&gt;"",IFERROR(INDEX(nrCKfinalExamElig,MATCH($D58,rngCadetPIDs,0)),"")="No"),"FINAL EXAM AFTER FAILED FINAL PT (500.1.H)",IF(AND($K58=2,ISNUMBER($L58),COUNTIFS(nrES_PID,$D58,nrES_Code,$F58,nrES_Att,1)&gt;0,SUMIFS(nrES_Raw,nrES_PID,$D58,nrES_Code,$F58,nrES_Att,1)&gt;=$J58),"RETEST AFTER A PASSING FIRST ATTEMPT","OK"))))))))))</f>
        <v/>
      </c>
      <c r="Y58" s="16" t="n"/>
    </row>
    <row r="59">
      <c r="B59" s="17">
        <f>IF($C59="","",$D59&amp;"-"&amp;$F59&amp;"-"&amp;$K59)</f>
        <v/>
      </c>
      <c r="C59" s="16" t="n"/>
      <c r="D59" s="17">
        <f>IF($C59="","",IFERROR(INDEX(rngCadetPIDs,MATCH($C59,rngCadetNames,0)),"?"))</f>
        <v/>
      </c>
      <c r="E59" s="17">
        <f>IF($D59="","",IFERROR(INDEX(nrCadetAgency,MATCH($D59,rngCadetPIDs,0)),""))</f>
        <v/>
      </c>
      <c r="F59" s="16" t="n"/>
      <c r="G59" s="17">
        <f>IF($F59="","",IFERROR(INDEX(rngEPname,MATCH($F59,rngEPcode,0)),"?"))</f>
        <v/>
      </c>
      <c r="H59" s="17">
        <f>IF($F59="","",IFERROR(INDEX(rngEPtype,MATCH($F59,rngEPcode,0)),"?"))</f>
        <v/>
      </c>
      <c r="I59" s="17">
        <f>IF($F59="","",IFERROR(INDEX(rngEPseq,MATCH($F59,rngEPcode,0)),""))</f>
        <v/>
      </c>
      <c r="J59" s="17">
        <f>IF($F59="","",IFERROR(INDEX(rngEPpass,MATCH($F59,rngEPcode,0)),cfgPassingScore))</f>
        <v/>
      </c>
      <c r="K59" s="16" t="n"/>
      <c r="L59" s="16" t="n"/>
      <c r="M59" s="17">
        <f>IF($C59="","",IF($L59="","",IF(NOT(ISNUMBER($L59)),$L59,IF(N($K59)&gt;2,"",IF($K59=1,IF(COUNTIFS(nrES_PID,$D59,nrES_Code,$F59,nrES_Att,2,nrES_Raw,"&gt;=0")&gt;0,"",$L59),IF($L59&gt;=$J59,MAX($J59,cfgRetakeRecordedCap),IF(COUNTIFS(nrES_PID,$D59,nrES_Code,$F59,nrES_Att,1)=0,$L59,SUMIFS(nrES_Raw,nrES_PID,$D59,nrES_Code,$F59,nrES_Att,1))))))))</f>
        <v/>
      </c>
      <c r="N59" s="17">
        <f>IF($C59="","",IF($L59="","",IF(NOT(ISNUMBER($L59)),"(not a score)",IF($L59&gt;=$J59,"Yes","No"))))</f>
        <v/>
      </c>
      <c r="O59" s="17">
        <f>IF($C59="","",IF($M59="","",IF(NOT(ISNUMBER($M59)),"(not a score)",IF($M59&gt;=$J59,"Yes","No"))))</f>
        <v/>
      </c>
      <c r="P59" s="17">
        <f>IF($C59="","",IF($K59="","",IF(N($K59)&gt;2,"No",IF(COUNTIFS(nrES_PID,$D59,nrES_Code,$F59,nrES_Att,"&gt;"&amp;$K59,nrES_Att,"&lt;=2",nrES_Raw,"&gt;=0")=0,"Yes","No"))))</f>
        <v/>
      </c>
      <c r="Q59" s="17">
        <f>IF($C59="","",IF($L59="","",IF(AND($K59=1,ISNUMBER($L59),$L59&lt;$J59,COUNTIFS(nrES_PID,$D59,nrES_Code,$F59,nrES_Att,2,nrES_Raw,"&gt;=0")=0),"Yes","No")))</f>
        <v/>
      </c>
      <c r="R59" s="17">
        <f>IF($C59="","",IF($L59="","",IF(AND(N($K59)&gt;=2,ISNUMBER($L59),$L59&lt;$J59),"Yes","No")))</f>
        <v/>
      </c>
      <c r="S59" s="18" t="n"/>
      <c r="T59" s="19">
        <f>IF(OR($C59="",$L59="",$K59&lt;&gt;1,NOT(ISNUMBER($L59)),$L59&gt;=$J59),"",IF($S59="","(enter date)",_xlfn.LET(_xlpm.dn,_xlfn.XLOOKUP($S59,nrCDdate,nrCDnum,"",1),IF(_xlpm.dn="","(after last class day)",_xlfn.LET(_xlpm.dd,_xlfn.XLOOKUP(_xlpm.dn+cfgRetestClassDays,nrCDnum,nrCDdate,""),_xlpm.ok,_xlfn.XLOOKUP(_xlpm.dn+cfgRetestClassDays,nrCDnum,nrCDinsession,"No"),IF(OR(_xlpm.dd="",_xlpm.ok&lt;&gt;"Yes"),"(after last class day)",_xlpm.dd))))))</f>
        <v/>
      </c>
      <c r="U59" s="17">
        <f>IF($C59="","",IF(AND($Y59="Excused",$L59="",N($K59)&lt;=1),"EXCUSED - 1st attempt pending",IF(OR($L59="",$K59&lt;&gt;1,NOT(ISNUMBER($L59)),$L59&gt;=$J59),"",IF(COUNTIFS(nrES_PID,$D59,nrES_Code,$F59,nrES_Att,2,nrES_Raw,"&gt;=0")&gt;0,IF(IFERROR(_xlfn.MINIFS(nrES_Date,nrES_PID,$D59,nrES_Code,$F59,nrES_Att,2,nrES_Raw,"&gt;=0",nrES_Date,"&gt;0"),0)=0,"RETEST UNDATED",IF(NOT(ISNUMBER($T59)),"RETEST DATE UNCHECKED",IF(_xlfn.MINIFS(nrES_Date,nrES_PID,$D59,nrES_Code,$F59,nrES_Att,2,nrES_Raw,"&gt;=0",nrES_Date,"&gt;0")&gt;$T59,"LATE RETEST "&amp;TEXT(_xlfn.MINIFS(nrES_Date,nrES_PID,$D59,nrES_Code,$F59,nrES_Att,2,nrES_Raw,"&gt;=0",nrES_Date,"&gt;0"),"mm/dd")&amp;" (due "&amp;TEXT($T59,"mm/dd")&amp;")","Retested"))),IF(NOT(ISNUMBER($T59)),"CHECK DATE",IF(TODAY()&gt;$T59,"OVERDUE","Due "&amp;TEXT($T59,"mm/dd")))))))</f>
        <v/>
      </c>
      <c r="V59" s="16" t="n"/>
      <c r="W59" s="16" t="n"/>
      <c r="X59" s="17">
        <f>IF($C59="","",IF(AND($L59&lt;&gt;"",NOT(ISNUMBER($L59))),"RAW SCORE NOT A NUMBER",IF(AND(ISNUMBER($L59),OR($L59&lt;0,$L59&gt;100)),"RAW SCORE OUT OF RANGE",IF(AND($Y59="Unexcused",OR($L59="",NOT(ISNUMBER($L59)),$L59&lt;&gt;0)),"UNEXCUSED ABSENCE MUST RECORD 0",IF(COUNTIF(nrES_RecID,$B59)&gt;1,"DUPLICATE RECORD",IF(N($K59)&gt;2,"ATTEMPT 3+ NOT ALLOWED - policy 300.5 permits one retest per exam; this row records nothing",IF(AND($K59=2,COUNTIFS(nrES_PID,$D59,nrES_Code,$F59,nrES_Att,1)=0),"ATTEMPT 2 WITHOUT ATTEMPT 1",IF(AND($K59=2,$L59=""),"RETEST ROW HAS NO SCORE",IF(AND($H59="Final",$L59&lt;&gt;"",IFERROR(INDEX(nrCKfinalExamElig,MATCH($D59,rngCadetPIDs,0)),"")="No"),"FINAL EXAM AFTER FAILED FINAL PT (500.1.H)",IF(AND($K59=2,ISNUMBER($L59),COUNTIFS(nrES_PID,$D59,nrES_Code,$F59,nrES_Att,1)&gt;0,SUMIFS(nrES_Raw,nrES_PID,$D59,nrES_Code,$F59,nrES_Att,1)&gt;=$J59),"RETEST AFTER A PASSING FIRST ATTEMPT","OK"))))))))))</f>
        <v/>
      </c>
      <c r="Y59" s="16" t="n"/>
    </row>
    <row r="60">
      <c r="B60" s="17">
        <f>IF($C60="","",$D60&amp;"-"&amp;$F60&amp;"-"&amp;$K60)</f>
        <v/>
      </c>
      <c r="C60" s="16" t="n"/>
      <c r="D60" s="17">
        <f>IF($C60="","",IFERROR(INDEX(rngCadetPIDs,MATCH($C60,rngCadetNames,0)),"?"))</f>
        <v/>
      </c>
      <c r="E60" s="17">
        <f>IF($D60="","",IFERROR(INDEX(nrCadetAgency,MATCH($D60,rngCadetPIDs,0)),""))</f>
        <v/>
      </c>
      <c r="F60" s="16" t="n"/>
      <c r="G60" s="17">
        <f>IF($F60="","",IFERROR(INDEX(rngEPname,MATCH($F60,rngEPcode,0)),"?"))</f>
        <v/>
      </c>
      <c r="H60" s="17">
        <f>IF($F60="","",IFERROR(INDEX(rngEPtype,MATCH($F60,rngEPcode,0)),"?"))</f>
        <v/>
      </c>
      <c r="I60" s="17">
        <f>IF($F60="","",IFERROR(INDEX(rngEPseq,MATCH($F60,rngEPcode,0)),""))</f>
        <v/>
      </c>
      <c r="J60" s="17">
        <f>IF($F60="","",IFERROR(INDEX(rngEPpass,MATCH($F60,rngEPcode,0)),cfgPassingScore))</f>
        <v/>
      </c>
      <c r="K60" s="16" t="n"/>
      <c r="L60" s="16" t="n"/>
      <c r="M60" s="17">
        <f>IF($C60="","",IF($L60="","",IF(NOT(ISNUMBER($L60)),$L60,IF(N($K60)&gt;2,"",IF($K60=1,IF(COUNTIFS(nrES_PID,$D60,nrES_Code,$F60,nrES_Att,2,nrES_Raw,"&gt;=0")&gt;0,"",$L60),IF($L60&gt;=$J60,MAX($J60,cfgRetakeRecordedCap),IF(COUNTIFS(nrES_PID,$D60,nrES_Code,$F60,nrES_Att,1)=0,$L60,SUMIFS(nrES_Raw,nrES_PID,$D60,nrES_Code,$F60,nrES_Att,1))))))))</f>
        <v/>
      </c>
      <c r="N60" s="17">
        <f>IF($C60="","",IF($L60="","",IF(NOT(ISNUMBER($L60)),"(not a score)",IF($L60&gt;=$J60,"Yes","No"))))</f>
        <v/>
      </c>
      <c r="O60" s="17">
        <f>IF($C60="","",IF($M60="","",IF(NOT(ISNUMBER($M60)),"(not a score)",IF($M60&gt;=$J60,"Yes","No"))))</f>
        <v/>
      </c>
      <c r="P60" s="17">
        <f>IF($C60="","",IF($K60="","",IF(N($K60)&gt;2,"No",IF(COUNTIFS(nrES_PID,$D60,nrES_Code,$F60,nrES_Att,"&gt;"&amp;$K60,nrES_Att,"&lt;=2",nrES_Raw,"&gt;=0")=0,"Yes","No"))))</f>
        <v/>
      </c>
      <c r="Q60" s="17">
        <f>IF($C60="","",IF($L60="","",IF(AND($K60=1,ISNUMBER($L60),$L60&lt;$J60,COUNTIFS(nrES_PID,$D60,nrES_Code,$F60,nrES_Att,2,nrES_Raw,"&gt;=0")=0),"Yes","No")))</f>
        <v/>
      </c>
      <c r="R60" s="17">
        <f>IF($C60="","",IF($L60="","",IF(AND(N($K60)&gt;=2,ISNUMBER($L60),$L60&lt;$J60),"Yes","No")))</f>
        <v/>
      </c>
      <c r="S60" s="18" t="n"/>
      <c r="T60" s="19">
        <f>IF(OR($C60="",$L60="",$K60&lt;&gt;1,NOT(ISNUMBER($L60)),$L60&gt;=$J60),"",IF($S60="","(enter date)",_xlfn.LET(_xlpm.dn,_xlfn.XLOOKUP($S60,nrCDdate,nrCDnum,"",1),IF(_xlpm.dn="","(after last class day)",_xlfn.LET(_xlpm.dd,_xlfn.XLOOKUP(_xlpm.dn+cfgRetestClassDays,nrCDnum,nrCDdate,""),_xlpm.ok,_xlfn.XLOOKUP(_xlpm.dn+cfgRetestClassDays,nrCDnum,nrCDinsession,"No"),IF(OR(_xlpm.dd="",_xlpm.ok&lt;&gt;"Yes"),"(after last class day)",_xlpm.dd))))))</f>
        <v/>
      </c>
      <c r="U60" s="17">
        <f>IF($C60="","",IF(AND($Y60="Excused",$L60="",N($K60)&lt;=1),"EXCUSED - 1st attempt pending",IF(OR($L60="",$K60&lt;&gt;1,NOT(ISNUMBER($L60)),$L60&gt;=$J60),"",IF(COUNTIFS(nrES_PID,$D60,nrES_Code,$F60,nrES_Att,2,nrES_Raw,"&gt;=0")&gt;0,IF(IFERROR(_xlfn.MINIFS(nrES_Date,nrES_PID,$D60,nrES_Code,$F60,nrES_Att,2,nrES_Raw,"&gt;=0",nrES_Date,"&gt;0"),0)=0,"RETEST UNDATED",IF(NOT(ISNUMBER($T60)),"RETEST DATE UNCHECKED",IF(_xlfn.MINIFS(nrES_Date,nrES_PID,$D60,nrES_Code,$F60,nrES_Att,2,nrES_Raw,"&gt;=0",nrES_Date,"&gt;0")&gt;$T60,"LATE RETEST "&amp;TEXT(_xlfn.MINIFS(nrES_Date,nrES_PID,$D60,nrES_Code,$F60,nrES_Att,2,nrES_Raw,"&gt;=0",nrES_Date,"&gt;0"),"mm/dd")&amp;" (due "&amp;TEXT($T60,"mm/dd")&amp;")","Retested"))),IF(NOT(ISNUMBER($T60)),"CHECK DATE",IF(TODAY()&gt;$T60,"OVERDUE","Due "&amp;TEXT($T60,"mm/dd")))))))</f>
        <v/>
      </c>
      <c r="V60" s="16" t="n"/>
      <c r="W60" s="16" t="n"/>
      <c r="X60" s="17">
        <f>IF($C60="","",IF(AND($L60&lt;&gt;"",NOT(ISNUMBER($L60))),"RAW SCORE NOT A NUMBER",IF(AND(ISNUMBER($L60),OR($L60&lt;0,$L60&gt;100)),"RAW SCORE OUT OF RANGE",IF(AND($Y60="Unexcused",OR($L60="",NOT(ISNUMBER($L60)),$L60&lt;&gt;0)),"UNEXCUSED ABSENCE MUST RECORD 0",IF(COUNTIF(nrES_RecID,$B60)&gt;1,"DUPLICATE RECORD",IF(N($K60)&gt;2,"ATTEMPT 3+ NOT ALLOWED - policy 300.5 permits one retest per exam; this row records nothing",IF(AND($K60=2,COUNTIFS(nrES_PID,$D60,nrES_Code,$F60,nrES_Att,1)=0),"ATTEMPT 2 WITHOUT ATTEMPT 1",IF(AND($K60=2,$L60=""),"RETEST ROW HAS NO SCORE",IF(AND($H60="Final",$L60&lt;&gt;"",IFERROR(INDEX(nrCKfinalExamElig,MATCH($D60,rngCadetPIDs,0)),"")="No"),"FINAL EXAM AFTER FAILED FINAL PT (500.1.H)",IF(AND($K60=2,ISNUMBER($L60),COUNTIFS(nrES_PID,$D60,nrES_Code,$F60,nrES_Att,1)&gt;0,SUMIFS(nrES_Raw,nrES_PID,$D60,nrES_Code,$F60,nrES_Att,1)&gt;=$J60),"RETEST AFTER A PASSING FIRST ATTEMPT","OK"))))))))))</f>
        <v/>
      </c>
      <c r="Y60" s="16" t="n"/>
    </row>
    <row r="61">
      <c r="B61" s="17">
        <f>IF($C61="","",$D61&amp;"-"&amp;$F61&amp;"-"&amp;$K61)</f>
        <v/>
      </c>
      <c r="C61" s="16" t="n"/>
      <c r="D61" s="17">
        <f>IF($C61="","",IFERROR(INDEX(rngCadetPIDs,MATCH($C61,rngCadetNames,0)),"?"))</f>
        <v/>
      </c>
      <c r="E61" s="17">
        <f>IF($D61="","",IFERROR(INDEX(nrCadetAgency,MATCH($D61,rngCadetPIDs,0)),""))</f>
        <v/>
      </c>
      <c r="F61" s="16" t="n"/>
      <c r="G61" s="17">
        <f>IF($F61="","",IFERROR(INDEX(rngEPname,MATCH($F61,rngEPcode,0)),"?"))</f>
        <v/>
      </c>
      <c r="H61" s="17">
        <f>IF($F61="","",IFERROR(INDEX(rngEPtype,MATCH($F61,rngEPcode,0)),"?"))</f>
        <v/>
      </c>
      <c r="I61" s="17">
        <f>IF($F61="","",IFERROR(INDEX(rngEPseq,MATCH($F61,rngEPcode,0)),""))</f>
        <v/>
      </c>
      <c r="J61" s="17">
        <f>IF($F61="","",IFERROR(INDEX(rngEPpass,MATCH($F61,rngEPcode,0)),cfgPassingScore))</f>
        <v/>
      </c>
      <c r="K61" s="16" t="n"/>
      <c r="L61" s="16" t="n"/>
      <c r="M61" s="17">
        <f>IF($C61="","",IF($L61="","",IF(NOT(ISNUMBER($L61)),$L61,IF(N($K61)&gt;2,"",IF($K61=1,IF(COUNTIFS(nrES_PID,$D61,nrES_Code,$F61,nrES_Att,2,nrES_Raw,"&gt;=0")&gt;0,"",$L61),IF($L61&gt;=$J61,MAX($J61,cfgRetakeRecordedCap),IF(COUNTIFS(nrES_PID,$D61,nrES_Code,$F61,nrES_Att,1)=0,$L61,SUMIFS(nrES_Raw,nrES_PID,$D61,nrES_Code,$F61,nrES_Att,1))))))))</f>
        <v/>
      </c>
      <c r="N61" s="17">
        <f>IF($C61="","",IF($L61="","",IF(NOT(ISNUMBER($L61)),"(not a score)",IF($L61&gt;=$J61,"Yes","No"))))</f>
        <v/>
      </c>
      <c r="O61" s="17">
        <f>IF($C61="","",IF($M61="","",IF(NOT(ISNUMBER($M61)),"(not a score)",IF($M61&gt;=$J61,"Yes","No"))))</f>
        <v/>
      </c>
      <c r="P61" s="17">
        <f>IF($C61="","",IF($K61="","",IF(N($K61)&gt;2,"No",IF(COUNTIFS(nrES_PID,$D61,nrES_Code,$F61,nrES_Att,"&gt;"&amp;$K61,nrES_Att,"&lt;=2",nrES_Raw,"&gt;=0")=0,"Yes","No"))))</f>
        <v/>
      </c>
      <c r="Q61" s="17">
        <f>IF($C61="","",IF($L61="","",IF(AND($K61=1,ISNUMBER($L61),$L61&lt;$J61,COUNTIFS(nrES_PID,$D61,nrES_Code,$F61,nrES_Att,2,nrES_Raw,"&gt;=0")=0),"Yes","No")))</f>
        <v/>
      </c>
      <c r="R61" s="17">
        <f>IF($C61="","",IF($L61="","",IF(AND(N($K61)&gt;=2,ISNUMBER($L61),$L61&lt;$J61),"Yes","No")))</f>
        <v/>
      </c>
      <c r="S61" s="18" t="n"/>
      <c r="T61" s="19">
        <f>IF(OR($C61="",$L61="",$K61&lt;&gt;1,NOT(ISNUMBER($L61)),$L61&gt;=$J61),"",IF($S61="","(enter date)",_xlfn.LET(_xlpm.dn,_xlfn.XLOOKUP($S61,nrCDdate,nrCDnum,"",1),IF(_xlpm.dn="","(after last class day)",_xlfn.LET(_xlpm.dd,_xlfn.XLOOKUP(_xlpm.dn+cfgRetestClassDays,nrCDnum,nrCDdate,""),_xlpm.ok,_xlfn.XLOOKUP(_xlpm.dn+cfgRetestClassDays,nrCDnum,nrCDinsession,"No"),IF(OR(_xlpm.dd="",_xlpm.ok&lt;&gt;"Yes"),"(after last class day)",_xlpm.dd))))))</f>
        <v/>
      </c>
      <c r="U61" s="17">
        <f>IF($C61="","",IF(AND($Y61="Excused",$L61="",N($K61)&lt;=1),"EXCUSED - 1st attempt pending",IF(OR($L61="",$K61&lt;&gt;1,NOT(ISNUMBER($L61)),$L61&gt;=$J61),"",IF(COUNTIFS(nrES_PID,$D61,nrES_Code,$F61,nrES_Att,2,nrES_Raw,"&gt;=0")&gt;0,IF(IFERROR(_xlfn.MINIFS(nrES_Date,nrES_PID,$D61,nrES_Code,$F61,nrES_Att,2,nrES_Raw,"&gt;=0",nrES_Date,"&gt;0"),0)=0,"RETEST UNDATED",IF(NOT(ISNUMBER($T61)),"RETEST DATE UNCHECKED",IF(_xlfn.MINIFS(nrES_Date,nrES_PID,$D61,nrES_Code,$F61,nrES_Att,2,nrES_Raw,"&gt;=0",nrES_Date,"&gt;0")&gt;$T61,"LATE RETEST "&amp;TEXT(_xlfn.MINIFS(nrES_Date,nrES_PID,$D61,nrES_Code,$F61,nrES_Att,2,nrES_Raw,"&gt;=0",nrES_Date,"&gt;0"),"mm/dd")&amp;" (due "&amp;TEXT($T61,"mm/dd")&amp;")","Retested"))),IF(NOT(ISNUMBER($T61)),"CHECK DATE",IF(TODAY()&gt;$T61,"OVERDUE","Due "&amp;TEXT($T61,"mm/dd")))))))</f>
        <v/>
      </c>
      <c r="V61" s="16" t="n"/>
      <c r="W61" s="16" t="n"/>
      <c r="X61" s="17">
        <f>IF($C61="","",IF(AND($L61&lt;&gt;"",NOT(ISNUMBER($L61))),"RAW SCORE NOT A NUMBER",IF(AND(ISNUMBER($L61),OR($L61&lt;0,$L61&gt;100)),"RAW SCORE OUT OF RANGE",IF(AND($Y61="Unexcused",OR($L61="",NOT(ISNUMBER($L61)),$L61&lt;&gt;0)),"UNEXCUSED ABSENCE MUST RECORD 0",IF(COUNTIF(nrES_RecID,$B61)&gt;1,"DUPLICATE RECORD",IF(N($K61)&gt;2,"ATTEMPT 3+ NOT ALLOWED - policy 300.5 permits one retest per exam; this row records nothing",IF(AND($K61=2,COUNTIFS(nrES_PID,$D61,nrES_Code,$F61,nrES_Att,1)=0),"ATTEMPT 2 WITHOUT ATTEMPT 1",IF(AND($K61=2,$L61=""),"RETEST ROW HAS NO SCORE",IF(AND($H61="Final",$L61&lt;&gt;"",IFERROR(INDEX(nrCKfinalExamElig,MATCH($D61,rngCadetPIDs,0)),"")="No"),"FINAL EXAM AFTER FAILED FINAL PT (500.1.H)",IF(AND($K61=2,ISNUMBER($L61),COUNTIFS(nrES_PID,$D61,nrES_Code,$F61,nrES_Att,1)&gt;0,SUMIFS(nrES_Raw,nrES_PID,$D61,nrES_Code,$F61,nrES_Att,1)&gt;=$J61),"RETEST AFTER A PASSING FIRST ATTEMPT","OK"))))))))))</f>
        <v/>
      </c>
      <c r="Y61" s="16" t="n"/>
    </row>
    <row r="62">
      <c r="B62" s="17">
        <f>IF($C62="","",$D62&amp;"-"&amp;$F62&amp;"-"&amp;$K62)</f>
        <v/>
      </c>
      <c r="C62" s="16" t="n"/>
      <c r="D62" s="17">
        <f>IF($C62="","",IFERROR(INDEX(rngCadetPIDs,MATCH($C62,rngCadetNames,0)),"?"))</f>
        <v/>
      </c>
      <c r="E62" s="17">
        <f>IF($D62="","",IFERROR(INDEX(nrCadetAgency,MATCH($D62,rngCadetPIDs,0)),""))</f>
        <v/>
      </c>
      <c r="F62" s="16" t="n"/>
      <c r="G62" s="17">
        <f>IF($F62="","",IFERROR(INDEX(rngEPname,MATCH($F62,rngEPcode,0)),"?"))</f>
        <v/>
      </c>
      <c r="H62" s="17">
        <f>IF($F62="","",IFERROR(INDEX(rngEPtype,MATCH($F62,rngEPcode,0)),"?"))</f>
        <v/>
      </c>
      <c r="I62" s="17">
        <f>IF($F62="","",IFERROR(INDEX(rngEPseq,MATCH($F62,rngEPcode,0)),""))</f>
        <v/>
      </c>
      <c r="J62" s="17">
        <f>IF($F62="","",IFERROR(INDEX(rngEPpass,MATCH($F62,rngEPcode,0)),cfgPassingScore))</f>
        <v/>
      </c>
      <c r="K62" s="16" t="n"/>
      <c r="L62" s="16" t="n"/>
      <c r="M62" s="17">
        <f>IF($C62="","",IF($L62="","",IF(NOT(ISNUMBER($L62)),$L62,IF(N($K62)&gt;2,"",IF($K62=1,IF(COUNTIFS(nrES_PID,$D62,nrES_Code,$F62,nrES_Att,2,nrES_Raw,"&gt;=0")&gt;0,"",$L62),IF($L62&gt;=$J62,MAX($J62,cfgRetakeRecordedCap),IF(COUNTIFS(nrES_PID,$D62,nrES_Code,$F62,nrES_Att,1)=0,$L62,SUMIFS(nrES_Raw,nrES_PID,$D62,nrES_Code,$F62,nrES_Att,1))))))))</f>
        <v/>
      </c>
      <c r="N62" s="17">
        <f>IF($C62="","",IF($L62="","",IF(NOT(ISNUMBER($L62)),"(not a score)",IF($L62&gt;=$J62,"Yes","No"))))</f>
        <v/>
      </c>
      <c r="O62" s="17">
        <f>IF($C62="","",IF($M62="","",IF(NOT(ISNUMBER($M62)),"(not a score)",IF($M62&gt;=$J62,"Yes","No"))))</f>
        <v/>
      </c>
      <c r="P62" s="17">
        <f>IF($C62="","",IF($K62="","",IF(N($K62)&gt;2,"No",IF(COUNTIFS(nrES_PID,$D62,nrES_Code,$F62,nrES_Att,"&gt;"&amp;$K62,nrES_Att,"&lt;=2",nrES_Raw,"&gt;=0")=0,"Yes","No"))))</f>
        <v/>
      </c>
      <c r="Q62" s="17">
        <f>IF($C62="","",IF($L62="","",IF(AND($K62=1,ISNUMBER($L62),$L62&lt;$J62,COUNTIFS(nrES_PID,$D62,nrES_Code,$F62,nrES_Att,2,nrES_Raw,"&gt;=0")=0),"Yes","No")))</f>
        <v/>
      </c>
      <c r="R62" s="17">
        <f>IF($C62="","",IF($L62="","",IF(AND(N($K62)&gt;=2,ISNUMBER($L62),$L62&lt;$J62),"Yes","No")))</f>
        <v/>
      </c>
      <c r="S62" s="18" t="n"/>
      <c r="T62" s="19">
        <f>IF(OR($C62="",$L62="",$K62&lt;&gt;1,NOT(ISNUMBER($L62)),$L62&gt;=$J62),"",IF($S62="","(enter date)",_xlfn.LET(_xlpm.dn,_xlfn.XLOOKUP($S62,nrCDdate,nrCDnum,"",1),IF(_xlpm.dn="","(after last class day)",_xlfn.LET(_xlpm.dd,_xlfn.XLOOKUP(_xlpm.dn+cfgRetestClassDays,nrCDnum,nrCDdate,""),_xlpm.ok,_xlfn.XLOOKUP(_xlpm.dn+cfgRetestClassDays,nrCDnum,nrCDinsession,"No"),IF(OR(_xlpm.dd="",_xlpm.ok&lt;&gt;"Yes"),"(after last class day)",_xlpm.dd))))))</f>
        <v/>
      </c>
      <c r="U62" s="17">
        <f>IF($C62="","",IF(AND($Y62="Excused",$L62="",N($K62)&lt;=1),"EXCUSED - 1st attempt pending",IF(OR($L62="",$K62&lt;&gt;1,NOT(ISNUMBER($L62)),$L62&gt;=$J62),"",IF(COUNTIFS(nrES_PID,$D62,nrES_Code,$F62,nrES_Att,2,nrES_Raw,"&gt;=0")&gt;0,IF(IFERROR(_xlfn.MINIFS(nrES_Date,nrES_PID,$D62,nrES_Code,$F62,nrES_Att,2,nrES_Raw,"&gt;=0",nrES_Date,"&gt;0"),0)=0,"RETEST UNDATED",IF(NOT(ISNUMBER($T62)),"RETEST DATE UNCHECKED",IF(_xlfn.MINIFS(nrES_Date,nrES_PID,$D62,nrES_Code,$F62,nrES_Att,2,nrES_Raw,"&gt;=0",nrES_Date,"&gt;0")&gt;$T62,"LATE RETEST "&amp;TEXT(_xlfn.MINIFS(nrES_Date,nrES_PID,$D62,nrES_Code,$F62,nrES_Att,2,nrES_Raw,"&gt;=0",nrES_Date,"&gt;0"),"mm/dd")&amp;" (due "&amp;TEXT($T62,"mm/dd")&amp;")","Retested"))),IF(NOT(ISNUMBER($T62)),"CHECK DATE",IF(TODAY()&gt;$T62,"OVERDUE","Due "&amp;TEXT($T62,"mm/dd")))))))</f>
        <v/>
      </c>
      <c r="V62" s="16" t="n"/>
      <c r="W62" s="16" t="n"/>
      <c r="X62" s="17">
        <f>IF($C62="","",IF(AND($L62&lt;&gt;"",NOT(ISNUMBER($L62))),"RAW SCORE NOT A NUMBER",IF(AND(ISNUMBER($L62),OR($L62&lt;0,$L62&gt;100)),"RAW SCORE OUT OF RANGE",IF(AND($Y62="Unexcused",OR($L62="",NOT(ISNUMBER($L62)),$L62&lt;&gt;0)),"UNEXCUSED ABSENCE MUST RECORD 0",IF(COUNTIF(nrES_RecID,$B62)&gt;1,"DUPLICATE RECORD",IF(N($K62)&gt;2,"ATTEMPT 3+ NOT ALLOWED - policy 300.5 permits one retest per exam; this row records nothing",IF(AND($K62=2,COUNTIFS(nrES_PID,$D62,nrES_Code,$F62,nrES_Att,1)=0),"ATTEMPT 2 WITHOUT ATTEMPT 1",IF(AND($K62=2,$L62=""),"RETEST ROW HAS NO SCORE",IF(AND($H62="Final",$L62&lt;&gt;"",IFERROR(INDEX(nrCKfinalExamElig,MATCH($D62,rngCadetPIDs,0)),"")="No"),"FINAL EXAM AFTER FAILED FINAL PT (500.1.H)",IF(AND($K62=2,ISNUMBER($L62),COUNTIFS(nrES_PID,$D62,nrES_Code,$F62,nrES_Att,1)&gt;0,SUMIFS(nrES_Raw,nrES_PID,$D62,nrES_Code,$F62,nrES_Att,1)&gt;=$J62),"RETEST AFTER A PASSING FIRST ATTEMPT","OK"))))))))))</f>
        <v/>
      </c>
      <c r="Y62" s="16" t="n"/>
    </row>
    <row r="63">
      <c r="B63" s="17">
        <f>IF($C63="","",$D63&amp;"-"&amp;$F63&amp;"-"&amp;$K63)</f>
        <v/>
      </c>
      <c r="C63" s="16" t="n"/>
      <c r="D63" s="17">
        <f>IF($C63="","",IFERROR(INDEX(rngCadetPIDs,MATCH($C63,rngCadetNames,0)),"?"))</f>
        <v/>
      </c>
      <c r="E63" s="17">
        <f>IF($D63="","",IFERROR(INDEX(nrCadetAgency,MATCH($D63,rngCadetPIDs,0)),""))</f>
        <v/>
      </c>
      <c r="F63" s="16" t="n"/>
      <c r="G63" s="17">
        <f>IF($F63="","",IFERROR(INDEX(rngEPname,MATCH($F63,rngEPcode,0)),"?"))</f>
        <v/>
      </c>
      <c r="H63" s="17">
        <f>IF($F63="","",IFERROR(INDEX(rngEPtype,MATCH($F63,rngEPcode,0)),"?"))</f>
        <v/>
      </c>
      <c r="I63" s="17">
        <f>IF($F63="","",IFERROR(INDEX(rngEPseq,MATCH($F63,rngEPcode,0)),""))</f>
        <v/>
      </c>
      <c r="J63" s="17">
        <f>IF($F63="","",IFERROR(INDEX(rngEPpass,MATCH($F63,rngEPcode,0)),cfgPassingScore))</f>
        <v/>
      </c>
      <c r="K63" s="16" t="n"/>
      <c r="L63" s="16" t="n"/>
      <c r="M63" s="17">
        <f>IF($C63="","",IF($L63="","",IF(NOT(ISNUMBER($L63)),$L63,IF(N($K63)&gt;2,"",IF($K63=1,IF(COUNTIFS(nrES_PID,$D63,nrES_Code,$F63,nrES_Att,2,nrES_Raw,"&gt;=0")&gt;0,"",$L63),IF($L63&gt;=$J63,MAX($J63,cfgRetakeRecordedCap),IF(COUNTIFS(nrES_PID,$D63,nrES_Code,$F63,nrES_Att,1)=0,$L63,SUMIFS(nrES_Raw,nrES_PID,$D63,nrES_Code,$F63,nrES_Att,1))))))))</f>
        <v/>
      </c>
      <c r="N63" s="17">
        <f>IF($C63="","",IF($L63="","",IF(NOT(ISNUMBER($L63)),"(not a score)",IF($L63&gt;=$J63,"Yes","No"))))</f>
        <v/>
      </c>
      <c r="O63" s="17">
        <f>IF($C63="","",IF($M63="","",IF(NOT(ISNUMBER($M63)),"(not a score)",IF($M63&gt;=$J63,"Yes","No"))))</f>
        <v/>
      </c>
      <c r="P63" s="17">
        <f>IF($C63="","",IF($K63="","",IF(N($K63)&gt;2,"No",IF(COUNTIFS(nrES_PID,$D63,nrES_Code,$F63,nrES_Att,"&gt;"&amp;$K63,nrES_Att,"&lt;=2",nrES_Raw,"&gt;=0")=0,"Yes","No"))))</f>
        <v/>
      </c>
      <c r="Q63" s="17">
        <f>IF($C63="","",IF($L63="","",IF(AND($K63=1,ISNUMBER($L63),$L63&lt;$J63,COUNTIFS(nrES_PID,$D63,nrES_Code,$F63,nrES_Att,2,nrES_Raw,"&gt;=0")=0),"Yes","No")))</f>
        <v/>
      </c>
      <c r="R63" s="17">
        <f>IF($C63="","",IF($L63="","",IF(AND(N($K63)&gt;=2,ISNUMBER($L63),$L63&lt;$J63),"Yes","No")))</f>
        <v/>
      </c>
      <c r="S63" s="18" t="n"/>
      <c r="T63" s="19">
        <f>IF(OR($C63="",$L63="",$K63&lt;&gt;1,NOT(ISNUMBER($L63)),$L63&gt;=$J63),"",IF($S63="","(enter date)",_xlfn.LET(_xlpm.dn,_xlfn.XLOOKUP($S63,nrCDdate,nrCDnum,"",1),IF(_xlpm.dn="","(after last class day)",_xlfn.LET(_xlpm.dd,_xlfn.XLOOKUP(_xlpm.dn+cfgRetestClassDays,nrCDnum,nrCDdate,""),_xlpm.ok,_xlfn.XLOOKUP(_xlpm.dn+cfgRetestClassDays,nrCDnum,nrCDinsession,"No"),IF(OR(_xlpm.dd="",_xlpm.ok&lt;&gt;"Yes"),"(after last class day)",_xlpm.dd))))))</f>
        <v/>
      </c>
      <c r="U63" s="17">
        <f>IF($C63="","",IF(AND($Y63="Excused",$L63="",N($K63)&lt;=1),"EXCUSED - 1st attempt pending",IF(OR($L63="",$K63&lt;&gt;1,NOT(ISNUMBER($L63)),$L63&gt;=$J63),"",IF(COUNTIFS(nrES_PID,$D63,nrES_Code,$F63,nrES_Att,2,nrES_Raw,"&gt;=0")&gt;0,IF(IFERROR(_xlfn.MINIFS(nrES_Date,nrES_PID,$D63,nrES_Code,$F63,nrES_Att,2,nrES_Raw,"&gt;=0",nrES_Date,"&gt;0"),0)=0,"RETEST UNDATED",IF(NOT(ISNUMBER($T63)),"RETEST DATE UNCHECKED",IF(_xlfn.MINIFS(nrES_Date,nrES_PID,$D63,nrES_Code,$F63,nrES_Att,2,nrES_Raw,"&gt;=0",nrES_Date,"&gt;0")&gt;$T63,"LATE RETEST "&amp;TEXT(_xlfn.MINIFS(nrES_Date,nrES_PID,$D63,nrES_Code,$F63,nrES_Att,2,nrES_Raw,"&gt;=0",nrES_Date,"&gt;0"),"mm/dd")&amp;" (due "&amp;TEXT($T63,"mm/dd")&amp;")","Retested"))),IF(NOT(ISNUMBER($T63)),"CHECK DATE",IF(TODAY()&gt;$T63,"OVERDUE","Due "&amp;TEXT($T63,"mm/dd")))))))</f>
        <v/>
      </c>
      <c r="V63" s="16" t="n"/>
      <c r="W63" s="16" t="n"/>
      <c r="X63" s="17">
        <f>IF($C63="","",IF(AND($L63&lt;&gt;"",NOT(ISNUMBER($L63))),"RAW SCORE NOT A NUMBER",IF(AND(ISNUMBER($L63),OR($L63&lt;0,$L63&gt;100)),"RAW SCORE OUT OF RANGE",IF(AND($Y63="Unexcused",OR($L63="",NOT(ISNUMBER($L63)),$L63&lt;&gt;0)),"UNEXCUSED ABSENCE MUST RECORD 0",IF(COUNTIF(nrES_RecID,$B63)&gt;1,"DUPLICATE RECORD",IF(N($K63)&gt;2,"ATTEMPT 3+ NOT ALLOWED - policy 300.5 permits one retest per exam; this row records nothing",IF(AND($K63=2,COUNTIFS(nrES_PID,$D63,nrES_Code,$F63,nrES_Att,1)=0),"ATTEMPT 2 WITHOUT ATTEMPT 1",IF(AND($K63=2,$L63=""),"RETEST ROW HAS NO SCORE",IF(AND($H63="Final",$L63&lt;&gt;"",IFERROR(INDEX(nrCKfinalExamElig,MATCH($D63,rngCadetPIDs,0)),"")="No"),"FINAL EXAM AFTER FAILED FINAL PT (500.1.H)",IF(AND($K63=2,ISNUMBER($L63),COUNTIFS(nrES_PID,$D63,nrES_Code,$F63,nrES_Att,1)&gt;0,SUMIFS(nrES_Raw,nrES_PID,$D63,nrES_Code,$F63,nrES_Att,1)&gt;=$J63),"RETEST AFTER A PASSING FIRST ATTEMPT","OK"))))))))))</f>
        <v/>
      </c>
      <c r="Y63" s="16" t="n"/>
    </row>
    <row r="64">
      <c r="B64" s="17">
        <f>IF($C64="","",$D64&amp;"-"&amp;$F64&amp;"-"&amp;$K64)</f>
        <v/>
      </c>
      <c r="C64" s="16" t="n"/>
      <c r="D64" s="17">
        <f>IF($C64="","",IFERROR(INDEX(rngCadetPIDs,MATCH($C64,rngCadetNames,0)),"?"))</f>
        <v/>
      </c>
      <c r="E64" s="17">
        <f>IF($D64="","",IFERROR(INDEX(nrCadetAgency,MATCH($D64,rngCadetPIDs,0)),""))</f>
        <v/>
      </c>
      <c r="F64" s="16" t="n"/>
      <c r="G64" s="17">
        <f>IF($F64="","",IFERROR(INDEX(rngEPname,MATCH($F64,rngEPcode,0)),"?"))</f>
        <v/>
      </c>
      <c r="H64" s="17">
        <f>IF($F64="","",IFERROR(INDEX(rngEPtype,MATCH($F64,rngEPcode,0)),"?"))</f>
        <v/>
      </c>
      <c r="I64" s="17">
        <f>IF($F64="","",IFERROR(INDEX(rngEPseq,MATCH($F64,rngEPcode,0)),""))</f>
        <v/>
      </c>
      <c r="J64" s="17">
        <f>IF($F64="","",IFERROR(INDEX(rngEPpass,MATCH($F64,rngEPcode,0)),cfgPassingScore))</f>
        <v/>
      </c>
      <c r="K64" s="16" t="n"/>
      <c r="L64" s="16" t="n"/>
      <c r="M64" s="17">
        <f>IF($C64="","",IF($L64="","",IF(NOT(ISNUMBER($L64)),$L64,IF(N($K64)&gt;2,"",IF($K64=1,IF(COUNTIFS(nrES_PID,$D64,nrES_Code,$F64,nrES_Att,2,nrES_Raw,"&gt;=0")&gt;0,"",$L64),IF($L64&gt;=$J64,MAX($J64,cfgRetakeRecordedCap),IF(COUNTIFS(nrES_PID,$D64,nrES_Code,$F64,nrES_Att,1)=0,$L64,SUMIFS(nrES_Raw,nrES_PID,$D64,nrES_Code,$F64,nrES_Att,1))))))))</f>
        <v/>
      </c>
      <c r="N64" s="17">
        <f>IF($C64="","",IF($L64="","",IF(NOT(ISNUMBER($L64)),"(not a score)",IF($L64&gt;=$J64,"Yes","No"))))</f>
        <v/>
      </c>
      <c r="O64" s="17">
        <f>IF($C64="","",IF($M64="","",IF(NOT(ISNUMBER($M64)),"(not a score)",IF($M64&gt;=$J64,"Yes","No"))))</f>
        <v/>
      </c>
      <c r="P64" s="17">
        <f>IF($C64="","",IF($K64="","",IF(N($K64)&gt;2,"No",IF(COUNTIFS(nrES_PID,$D64,nrES_Code,$F64,nrES_Att,"&gt;"&amp;$K64,nrES_Att,"&lt;=2",nrES_Raw,"&gt;=0")=0,"Yes","No"))))</f>
        <v/>
      </c>
      <c r="Q64" s="17">
        <f>IF($C64="","",IF($L64="","",IF(AND($K64=1,ISNUMBER($L64),$L64&lt;$J64,COUNTIFS(nrES_PID,$D64,nrES_Code,$F64,nrES_Att,2,nrES_Raw,"&gt;=0")=0),"Yes","No")))</f>
        <v/>
      </c>
      <c r="R64" s="17">
        <f>IF($C64="","",IF($L64="","",IF(AND(N($K64)&gt;=2,ISNUMBER($L64),$L64&lt;$J64),"Yes","No")))</f>
        <v/>
      </c>
      <c r="S64" s="18" t="n"/>
      <c r="T64" s="19">
        <f>IF(OR($C64="",$L64="",$K64&lt;&gt;1,NOT(ISNUMBER($L64)),$L64&gt;=$J64),"",IF($S64="","(enter date)",_xlfn.LET(_xlpm.dn,_xlfn.XLOOKUP($S64,nrCDdate,nrCDnum,"",1),IF(_xlpm.dn="","(after last class day)",_xlfn.LET(_xlpm.dd,_xlfn.XLOOKUP(_xlpm.dn+cfgRetestClassDays,nrCDnum,nrCDdate,""),_xlpm.ok,_xlfn.XLOOKUP(_xlpm.dn+cfgRetestClassDays,nrCDnum,nrCDinsession,"No"),IF(OR(_xlpm.dd="",_xlpm.ok&lt;&gt;"Yes"),"(after last class day)",_xlpm.dd))))))</f>
        <v/>
      </c>
      <c r="U64" s="17">
        <f>IF($C64="","",IF(AND($Y64="Excused",$L64="",N($K64)&lt;=1),"EXCUSED - 1st attempt pending",IF(OR($L64="",$K64&lt;&gt;1,NOT(ISNUMBER($L64)),$L64&gt;=$J64),"",IF(COUNTIFS(nrES_PID,$D64,nrES_Code,$F64,nrES_Att,2,nrES_Raw,"&gt;=0")&gt;0,IF(IFERROR(_xlfn.MINIFS(nrES_Date,nrES_PID,$D64,nrES_Code,$F64,nrES_Att,2,nrES_Raw,"&gt;=0",nrES_Date,"&gt;0"),0)=0,"RETEST UNDATED",IF(NOT(ISNUMBER($T64)),"RETEST DATE UNCHECKED",IF(_xlfn.MINIFS(nrES_Date,nrES_PID,$D64,nrES_Code,$F64,nrES_Att,2,nrES_Raw,"&gt;=0",nrES_Date,"&gt;0")&gt;$T64,"LATE RETEST "&amp;TEXT(_xlfn.MINIFS(nrES_Date,nrES_PID,$D64,nrES_Code,$F64,nrES_Att,2,nrES_Raw,"&gt;=0",nrES_Date,"&gt;0"),"mm/dd")&amp;" (due "&amp;TEXT($T64,"mm/dd")&amp;")","Retested"))),IF(NOT(ISNUMBER($T64)),"CHECK DATE",IF(TODAY()&gt;$T64,"OVERDUE","Due "&amp;TEXT($T64,"mm/dd")))))))</f>
        <v/>
      </c>
      <c r="V64" s="16" t="n"/>
      <c r="W64" s="16" t="n"/>
      <c r="X64" s="17">
        <f>IF($C64="","",IF(AND($L64&lt;&gt;"",NOT(ISNUMBER($L64))),"RAW SCORE NOT A NUMBER",IF(AND(ISNUMBER($L64),OR($L64&lt;0,$L64&gt;100)),"RAW SCORE OUT OF RANGE",IF(AND($Y64="Unexcused",OR($L64="",NOT(ISNUMBER($L64)),$L64&lt;&gt;0)),"UNEXCUSED ABSENCE MUST RECORD 0",IF(COUNTIF(nrES_RecID,$B64)&gt;1,"DUPLICATE RECORD",IF(N($K64)&gt;2,"ATTEMPT 3+ NOT ALLOWED - policy 300.5 permits one retest per exam; this row records nothing",IF(AND($K64=2,COUNTIFS(nrES_PID,$D64,nrES_Code,$F64,nrES_Att,1)=0),"ATTEMPT 2 WITHOUT ATTEMPT 1",IF(AND($K64=2,$L64=""),"RETEST ROW HAS NO SCORE",IF(AND($H64="Final",$L64&lt;&gt;"",IFERROR(INDEX(nrCKfinalExamElig,MATCH($D64,rngCadetPIDs,0)),"")="No"),"FINAL EXAM AFTER FAILED FINAL PT (500.1.H)",IF(AND($K64=2,ISNUMBER($L64),COUNTIFS(nrES_PID,$D64,nrES_Code,$F64,nrES_Att,1)&gt;0,SUMIFS(nrES_Raw,nrES_PID,$D64,nrES_Code,$F64,nrES_Att,1)&gt;=$J64),"RETEST AFTER A PASSING FIRST ATTEMPT","OK"))))))))))</f>
        <v/>
      </c>
      <c r="Y64" s="16" t="n"/>
    </row>
    <row r="65">
      <c r="B65" s="17">
        <f>IF($C65="","",$D65&amp;"-"&amp;$F65&amp;"-"&amp;$K65)</f>
        <v/>
      </c>
      <c r="C65" s="16" t="n"/>
      <c r="D65" s="17">
        <f>IF($C65="","",IFERROR(INDEX(rngCadetPIDs,MATCH($C65,rngCadetNames,0)),"?"))</f>
        <v/>
      </c>
      <c r="E65" s="17">
        <f>IF($D65="","",IFERROR(INDEX(nrCadetAgency,MATCH($D65,rngCadetPIDs,0)),""))</f>
        <v/>
      </c>
      <c r="F65" s="16" t="n"/>
      <c r="G65" s="17">
        <f>IF($F65="","",IFERROR(INDEX(rngEPname,MATCH($F65,rngEPcode,0)),"?"))</f>
        <v/>
      </c>
      <c r="H65" s="17">
        <f>IF($F65="","",IFERROR(INDEX(rngEPtype,MATCH($F65,rngEPcode,0)),"?"))</f>
        <v/>
      </c>
      <c r="I65" s="17">
        <f>IF($F65="","",IFERROR(INDEX(rngEPseq,MATCH($F65,rngEPcode,0)),""))</f>
        <v/>
      </c>
      <c r="J65" s="17">
        <f>IF($F65="","",IFERROR(INDEX(rngEPpass,MATCH($F65,rngEPcode,0)),cfgPassingScore))</f>
        <v/>
      </c>
      <c r="K65" s="16" t="n"/>
      <c r="L65" s="16" t="n"/>
      <c r="M65" s="17">
        <f>IF($C65="","",IF($L65="","",IF(NOT(ISNUMBER($L65)),$L65,IF(N($K65)&gt;2,"",IF($K65=1,IF(COUNTIFS(nrES_PID,$D65,nrES_Code,$F65,nrES_Att,2,nrES_Raw,"&gt;=0")&gt;0,"",$L65),IF($L65&gt;=$J65,MAX($J65,cfgRetakeRecordedCap),IF(COUNTIFS(nrES_PID,$D65,nrES_Code,$F65,nrES_Att,1)=0,$L65,SUMIFS(nrES_Raw,nrES_PID,$D65,nrES_Code,$F65,nrES_Att,1))))))))</f>
        <v/>
      </c>
      <c r="N65" s="17">
        <f>IF($C65="","",IF($L65="","",IF(NOT(ISNUMBER($L65)),"(not a score)",IF($L65&gt;=$J65,"Yes","No"))))</f>
        <v/>
      </c>
      <c r="O65" s="17">
        <f>IF($C65="","",IF($M65="","",IF(NOT(ISNUMBER($M65)),"(not a score)",IF($M65&gt;=$J65,"Yes","No"))))</f>
        <v/>
      </c>
      <c r="P65" s="17">
        <f>IF($C65="","",IF($K65="","",IF(N($K65)&gt;2,"No",IF(COUNTIFS(nrES_PID,$D65,nrES_Code,$F65,nrES_Att,"&gt;"&amp;$K65,nrES_Att,"&lt;=2",nrES_Raw,"&gt;=0")=0,"Yes","No"))))</f>
        <v/>
      </c>
      <c r="Q65" s="17">
        <f>IF($C65="","",IF($L65="","",IF(AND($K65=1,ISNUMBER($L65),$L65&lt;$J65,COUNTIFS(nrES_PID,$D65,nrES_Code,$F65,nrES_Att,2,nrES_Raw,"&gt;=0")=0),"Yes","No")))</f>
        <v/>
      </c>
      <c r="R65" s="17">
        <f>IF($C65="","",IF($L65="","",IF(AND(N($K65)&gt;=2,ISNUMBER($L65),$L65&lt;$J65),"Yes","No")))</f>
        <v/>
      </c>
      <c r="S65" s="18" t="n"/>
      <c r="T65" s="19">
        <f>IF(OR($C65="",$L65="",$K65&lt;&gt;1,NOT(ISNUMBER($L65)),$L65&gt;=$J65),"",IF($S65="","(enter date)",_xlfn.LET(_xlpm.dn,_xlfn.XLOOKUP($S65,nrCDdate,nrCDnum,"",1),IF(_xlpm.dn="","(after last class day)",_xlfn.LET(_xlpm.dd,_xlfn.XLOOKUP(_xlpm.dn+cfgRetestClassDays,nrCDnum,nrCDdate,""),_xlpm.ok,_xlfn.XLOOKUP(_xlpm.dn+cfgRetestClassDays,nrCDnum,nrCDinsession,"No"),IF(OR(_xlpm.dd="",_xlpm.ok&lt;&gt;"Yes"),"(after last class day)",_xlpm.dd))))))</f>
        <v/>
      </c>
      <c r="U65" s="17">
        <f>IF($C65="","",IF(AND($Y65="Excused",$L65="",N($K65)&lt;=1),"EXCUSED - 1st attempt pending",IF(OR($L65="",$K65&lt;&gt;1,NOT(ISNUMBER($L65)),$L65&gt;=$J65),"",IF(COUNTIFS(nrES_PID,$D65,nrES_Code,$F65,nrES_Att,2,nrES_Raw,"&gt;=0")&gt;0,IF(IFERROR(_xlfn.MINIFS(nrES_Date,nrES_PID,$D65,nrES_Code,$F65,nrES_Att,2,nrES_Raw,"&gt;=0",nrES_Date,"&gt;0"),0)=0,"RETEST UNDATED",IF(NOT(ISNUMBER($T65)),"RETEST DATE UNCHECKED",IF(_xlfn.MINIFS(nrES_Date,nrES_PID,$D65,nrES_Code,$F65,nrES_Att,2,nrES_Raw,"&gt;=0",nrES_Date,"&gt;0")&gt;$T65,"LATE RETEST "&amp;TEXT(_xlfn.MINIFS(nrES_Date,nrES_PID,$D65,nrES_Code,$F65,nrES_Att,2,nrES_Raw,"&gt;=0",nrES_Date,"&gt;0"),"mm/dd")&amp;" (due "&amp;TEXT($T65,"mm/dd")&amp;")","Retested"))),IF(NOT(ISNUMBER($T65)),"CHECK DATE",IF(TODAY()&gt;$T65,"OVERDUE","Due "&amp;TEXT($T65,"mm/dd")))))))</f>
        <v/>
      </c>
      <c r="V65" s="16" t="n"/>
      <c r="W65" s="16" t="n"/>
      <c r="X65" s="17">
        <f>IF($C65="","",IF(AND($L65&lt;&gt;"",NOT(ISNUMBER($L65))),"RAW SCORE NOT A NUMBER",IF(AND(ISNUMBER($L65),OR($L65&lt;0,$L65&gt;100)),"RAW SCORE OUT OF RANGE",IF(AND($Y65="Unexcused",OR($L65="",NOT(ISNUMBER($L65)),$L65&lt;&gt;0)),"UNEXCUSED ABSENCE MUST RECORD 0",IF(COUNTIF(nrES_RecID,$B65)&gt;1,"DUPLICATE RECORD",IF(N($K65)&gt;2,"ATTEMPT 3+ NOT ALLOWED - policy 300.5 permits one retest per exam; this row records nothing",IF(AND($K65=2,COUNTIFS(nrES_PID,$D65,nrES_Code,$F65,nrES_Att,1)=0),"ATTEMPT 2 WITHOUT ATTEMPT 1",IF(AND($K65=2,$L65=""),"RETEST ROW HAS NO SCORE",IF(AND($H65="Final",$L65&lt;&gt;"",IFERROR(INDEX(nrCKfinalExamElig,MATCH($D65,rngCadetPIDs,0)),"")="No"),"FINAL EXAM AFTER FAILED FINAL PT (500.1.H)",IF(AND($K65=2,ISNUMBER($L65),COUNTIFS(nrES_PID,$D65,nrES_Code,$F65,nrES_Att,1)&gt;0,SUMIFS(nrES_Raw,nrES_PID,$D65,nrES_Code,$F65,nrES_Att,1)&gt;=$J65),"RETEST AFTER A PASSING FIRST ATTEMPT","OK"))))))))))</f>
        <v/>
      </c>
      <c r="Y65" s="16" t="n"/>
    </row>
    <row r="66">
      <c r="B66" s="17">
        <f>IF($C66="","",$D66&amp;"-"&amp;$F66&amp;"-"&amp;$K66)</f>
        <v/>
      </c>
      <c r="C66" s="16" t="n"/>
      <c r="D66" s="17">
        <f>IF($C66="","",IFERROR(INDEX(rngCadetPIDs,MATCH($C66,rngCadetNames,0)),"?"))</f>
        <v/>
      </c>
      <c r="E66" s="17">
        <f>IF($D66="","",IFERROR(INDEX(nrCadetAgency,MATCH($D66,rngCadetPIDs,0)),""))</f>
        <v/>
      </c>
      <c r="F66" s="16" t="n"/>
      <c r="G66" s="17">
        <f>IF($F66="","",IFERROR(INDEX(rngEPname,MATCH($F66,rngEPcode,0)),"?"))</f>
        <v/>
      </c>
      <c r="H66" s="17">
        <f>IF($F66="","",IFERROR(INDEX(rngEPtype,MATCH($F66,rngEPcode,0)),"?"))</f>
        <v/>
      </c>
      <c r="I66" s="17">
        <f>IF($F66="","",IFERROR(INDEX(rngEPseq,MATCH($F66,rngEPcode,0)),""))</f>
        <v/>
      </c>
      <c r="J66" s="17">
        <f>IF($F66="","",IFERROR(INDEX(rngEPpass,MATCH($F66,rngEPcode,0)),cfgPassingScore))</f>
        <v/>
      </c>
      <c r="K66" s="16" t="n"/>
      <c r="L66" s="16" t="n"/>
      <c r="M66" s="17">
        <f>IF($C66="","",IF($L66="","",IF(NOT(ISNUMBER($L66)),$L66,IF(N($K66)&gt;2,"",IF($K66=1,IF(COUNTIFS(nrES_PID,$D66,nrES_Code,$F66,nrES_Att,2,nrES_Raw,"&gt;=0")&gt;0,"",$L66),IF($L66&gt;=$J66,MAX($J66,cfgRetakeRecordedCap),IF(COUNTIFS(nrES_PID,$D66,nrES_Code,$F66,nrES_Att,1)=0,$L66,SUMIFS(nrES_Raw,nrES_PID,$D66,nrES_Code,$F66,nrES_Att,1))))))))</f>
        <v/>
      </c>
      <c r="N66" s="17">
        <f>IF($C66="","",IF($L66="","",IF(NOT(ISNUMBER($L66)),"(not a score)",IF($L66&gt;=$J66,"Yes","No"))))</f>
        <v/>
      </c>
      <c r="O66" s="17">
        <f>IF($C66="","",IF($M66="","",IF(NOT(ISNUMBER($M66)),"(not a score)",IF($M66&gt;=$J66,"Yes","No"))))</f>
        <v/>
      </c>
      <c r="P66" s="17">
        <f>IF($C66="","",IF($K66="","",IF(N($K66)&gt;2,"No",IF(COUNTIFS(nrES_PID,$D66,nrES_Code,$F66,nrES_Att,"&gt;"&amp;$K66,nrES_Att,"&lt;=2",nrES_Raw,"&gt;=0")=0,"Yes","No"))))</f>
        <v/>
      </c>
      <c r="Q66" s="17">
        <f>IF($C66="","",IF($L66="","",IF(AND($K66=1,ISNUMBER($L66),$L66&lt;$J66,COUNTIFS(nrES_PID,$D66,nrES_Code,$F66,nrES_Att,2,nrES_Raw,"&gt;=0")=0),"Yes","No")))</f>
        <v/>
      </c>
      <c r="R66" s="17">
        <f>IF($C66="","",IF($L66="","",IF(AND(N($K66)&gt;=2,ISNUMBER($L66),$L66&lt;$J66),"Yes","No")))</f>
        <v/>
      </c>
      <c r="S66" s="18" t="n"/>
      <c r="T66" s="19">
        <f>IF(OR($C66="",$L66="",$K66&lt;&gt;1,NOT(ISNUMBER($L66)),$L66&gt;=$J66),"",IF($S66="","(enter date)",_xlfn.LET(_xlpm.dn,_xlfn.XLOOKUP($S66,nrCDdate,nrCDnum,"",1),IF(_xlpm.dn="","(after last class day)",_xlfn.LET(_xlpm.dd,_xlfn.XLOOKUP(_xlpm.dn+cfgRetestClassDays,nrCDnum,nrCDdate,""),_xlpm.ok,_xlfn.XLOOKUP(_xlpm.dn+cfgRetestClassDays,nrCDnum,nrCDinsession,"No"),IF(OR(_xlpm.dd="",_xlpm.ok&lt;&gt;"Yes"),"(after last class day)",_xlpm.dd))))))</f>
        <v/>
      </c>
      <c r="U66" s="17">
        <f>IF($C66="","",IF(AND($Y66="Excused",$L66="",N($K66)&lt;=1),"EXCUSED - 1st attempt pending",IF(OR($L66="",$K66&lt;&gt;1,NOT(ISNUMBER($L66)),$L66&gt;=$J66),"",IF(COUNTIFS(nrES_PID,$D66,nrES_Code,$F66,nrES_Att,2,nrES_Raw,"&gt;=0")&gt;0,IF(IFERROR(_xlfn.MINIFS(nrES_Date,nrES_PID,$D66,nrES_Code,$F66,nrES_Att,2,nrES_Raw,"&gt;=0",nrES_Date,"&gt;0"),0)=0,"RETEST UNDATED",IF(NOT(ISNUMBER($T66)),"RETEST DATE UNCHECKED",IF(_xlfn.MINIFS(nrES_Date,nrES_PID,$D66,nrES_Code,$F66,nrES_Att,2,nrES_Raw,"&gt;=0",nrES_Date,"&gt;0")&gt;$T66,"LATE RETEST "&amp;TEXT(_xlfn.MINIFS(nrES_Date,nrES_PID,$D66,nrES_Code,$F66,nrES_Att,2,nrES_Raw,"&gt;=0",nrES_Date,"&gt;0"),"mm/dd")&amp;" (due "&amp;TEXT($T66,"mm/dd")&amp;")","Retested"))),IF(NOT(ISNUMBER($T66)),"CHECK DATE",IF(TODAY()&gt;$T66,"OVERDUE","Due "&amp;TEXT($T66,"mm/dd")))))))</f>
        <v/>
      </c>
      <c r="V66" s="16" t="n"/>
      <c r="W66" s="16" t="n"/>
      <c r="X66" s="17">
        <f>IF($C66="","",IF(AND($L66&lt;&gt;"",NOT(ISNUMBER($L66))),"RAW SCORE NOT A NUMBER",IF(AND(ISNUMBER($L66),OR($L66&lt;0,$L66&gt;100)),"RAW SCORE OUT OF RANGE",IF(AND($Y66="Unexcused",OR($L66="",NOT(ISNUMBER($L66)),$L66&lt;&gt;0)),"UNEXCUSED ABSENCE MUST RECORD 0",IF(COUNTIF(nrES_RecID,$B66)&gt;1,"DUPLICATE RECORD",IF(N($K66)&gt;2,"ATTEMPT 3+ NOT ALLOWED - policy 300.5 permits one retest per exam; this row records nothing",IF(AND($K66=2,COUNTIFS(nrES_PID,$D66,nrES_Code,$F66,nrES_Att,1)=0),"ATTEMPT 2 WITHOUT ATTEMPT 1",IF(AND($K66=2,$L66=""),"RETEST ROW HAS NO SCORE",IF(AND($H66="Final",$L66&lt;&gt;"",IFERROR(INDEX(nrCKfinalExamElig,MATCH($D66,rngCadetPIDs,0)),"")="No"),"FINAL EXAM AFTER FAILED FINAL PT (500.1.H)",IF(AND($K66=2,ISNUMBER($L66),COUNTIFS(nrES_PID,$D66,nrES_Code,$F66,nrES_Att,1)&gt;0,SUMIFS(nrES_Raw,nrES_PID,$D66,nrES_Code,$F66,nrES_Att,1)&gt;=$J66),"RETEST AFTER A PASSING FIRST ATTEMPT","OK"))))))))))</f>
        <v/>
      </c>
      <c r="Y66" s="16" t="n"/>
    </row>
    <row r="67">
      <c r="B67" s="17">
        <f>IF($C67="","",$D67&amp;"-"&amp;$F67&amp;"-"&amp;$K67)</f>
        <v/>
      </c>
      <c r="C67" s="16" t="n"/>
      <c r="D67" s="17">
        <f>IF($C67="","",IFERROR(INDEX(rngCadetPIDs,MATCH($C67,rngCadetNames,0)),"?"))</f>
        <v/>
      </c>
      <c r="E67" s="17">
        <f>IF($D67="","",IFERROR(INDEX(nrCadetAgency,MATCH($D67,rngCadetPIDs,0)),""))</f>
        <v/>
      </c>
      <c r="F67" s="16" t="n"/>
      <c r="G67" s="17">
        <f>IF($F67="","",IFERROR(INDEX(rngEPname,MATCH($F67,rngEPcode,0)),"?"))</f>
        <v/>
      </c>
      <c r="H67" s="17">
        <f>IF($F67="","",IFERROR(INDEX(rngEPtype,MATCH($F67,rngEPcode,0)),"?"))</f>
        <v/>
      </c>
      <c r="I67" s="17">
        <f>IF($F67="","",IFERROR(INDEX(rngEPseq,MATCH($F67,rngEPcode,0)),""))</f>
        <v/>
      </c>
      <c r="J67" s="17">
        <f>IF($F67="","",IFERROR(INDEX(rngEPpass,MATCH($F67,rngEPcode,0)),cfgPassingScore))</f>
        <v/>
      </c>
      <c r="K67" s="16" t="n"/>
      <c r="L67" s="16" t="n"/>
      <c r="M67" s="17">
        <f>IF($C67="","",IF($L67="","",IF(NOT(ISNUMBER($L67)),$L67,IF(N($K67)&gt;2,"",IF($K67=1,IF(COUNTIFS(nrES_PID,$D67,nrES_Code,$F67,nrES_Att,2,nrES_Raw,"&gt;=0")&gt;0,"",$L67),IF($L67&gt;=$J67,MAX($J67,cfgRetakeRecordedCap),IF(COUNTIFS(nrES_PID,$D67,nrES_Code,$F67,nrES_Att,1)=0,$L67,SUMIFS(nrES_Raw,nrES_PID,$D67,nrES_Code,$F67,nrES_Att,1))))))))</f>
        <v/>
      </c>
      <c r="N67" s="17">
        <f>IF($C67="","",IF($L67="","",IF(NOT(ISNUMBER($L67)),"(not a score)",IF($L67&gt;=$J67,"Yes","No"))))</f>
        <v/>
      </c>
      <c r="O67" s="17">
        <f>IF($C67="","",IF($M67="","",IF(NOT(ISNUMBER($M67)),"(not a score)",IF($M67&gt;=$J67,"Yes","No"))))</f>
        <v/>
      </c>
      <c r="P67" s="17">
        <f>IF($C67="","",IF($K67="","",IF(N($K67)&gt;2,"No",IF(COUNTIFS(nrES_PID,$D67,nrES_Code,$F67,nrES_Att,"&gt;"&amp;$K67,nrES_Att,"&lt;=2",nrES_Raw,"&gt;=0")=0,"Yes","No"))))</f>
        <v/>
      </c>
      <c r="Q67" s="17">
        <f>IF($C67="","",IF($L67="","",IF(AND($K67=1,ISNUMBER($L67),$L67&lt;$J67,COUNTIFS(nrES_PID,$D67,nrES_Code,$F67,nrES_Att,2,nrES_Raw,"&gt;=0")=0),"Yes","No")))</f>
        <v/>
      </c>
      <c r="R67" s="17">
        <f>IF($C67="","",IF($L67="","",IF(AND(N($K67)&gt;=2,ISNUMBER($L67),$L67&lt;$J67),"Yes","No")))</f>
        <v/>
      </c>
      <c r="S67" s="18" t="n"/>
      <c r="T67" s="19">
        <f>IF(OR($C67="",$L67="",$K67&lt;&gt;1,NOT(ISNUMBER($L67)),$L67&gt;=$J67),"",IF($S67="","(enter date)",_xlfn.LET(_xlpm.dn,_xlfn.XLOOKUP($S67,nrCDdate,nrCDnum,"",1),IF(_xlpm.dn="","(after last class day)",_xlfn.LET(_xlpm.dd,_xlfn.XLOOKUP(_xlpm.dn+cfgRetestClassDays,nrCDnum,nrCDdate,""),_xlpm.ok,_xlfn.XLOOKUP(_xlpm.dn+cfgRetestClassDays,nrCDnum,nrCDinsession,"No"),IF(OR(_xlpm.dd="",_xlpm.ok&lt;&gt;"Yes"),"(after last class day)",_xlpm.dd))))))</f>
        <v/>
      </c>
      <c r="U67" s="17">
        <f>IF($C67="","",IF(AND($Y67="Excused",$L67="",N($K67)&lt;=1),"EXCUSED - 1st attempt pending",IF(OR($L67="",$K67&lt;&gt;1,NOT(ISNUMBER($L67)),$L67&gt;=$J67),"",IF(COUNTIFS(nrES_PID,$D67,nrES_Code,$F67,nrES_Att,2,nrES_Raw,"&gt;=0")&gt;0,IF(IFERROR(_xlfn.MINIFS(nrES_Date,nrES_PID,$D67,nrES_Code,$F67,nrES_Att,2,nrES_Raw,"&gt;=0",nrES_Date,"&gt;0"),0)=0,"RETEST UNDATED",IF(NOT(ISNUMBER($T67)),"RETEST DATE UNCHECKED",IF(_xlfn.MINIFS(nrES_Date,nrES_PID,$D67,nrES_Code,$F67,nrES_Att,2,nrES_Raw,"&gt;=0",nrES_Date,"&gt;0")&gt;$T67,"LATE RETEST "&amp;TEXT(_xlfn.MINIFS(nrES_Date,nrES_PID,$D67,nrES_Code,$F67,nrES_Att,2,nrES_Raw,"&gt;=0",nrES_Date,"&gt;0"),"mm/dd")&amp;" (due "&amp;TEXT($T67,"mm/dd")&amp;")","Retested"))),IF(NOT(ISNUMBER($T67)),"CHECK DATE",IF(TODAY()&gt;$T67,"OVERDUE","Due "&amp;TEXT($T67,"mm/dd")))))))</f>
        <v/>
      </c>
      <c r="V67" s="16" t="n"/>
      <c r="W67" s="16" t="n"/>
      <c r="X67" s="17">
        <f>IF($C67="","",IF(AND($L67&lt;&gt;"",NOT(ISNUMBER($L67))),"RAW SCORE NOT A NUMBER",IF(AND(ISNUMBER($L67),OR($L67&lt;0,$L67&gt;100)),"RAW SCORE OUT OF RANGE",IF(AND($Y67="Unexcused",OR($L67="",NOT(ISNUMBER($L67)),$L67&lt;&gt;0)),"UNEXCUSED ABSENCE MUST RECORD 0",IF(COUNTIF(nrES_RecID,$B67)&gt;1,"DUPLICATE RECORD",IF(N($K67)&gt;2,"ATTEMPT 3+ NOT ALLOWED - policy 300.5 permits one retest per exam; this row records nothing",IF(AND($K67=2,COUNTIFS(nrES_PID,$D67,nrES_Code,$F67,nrES_Att,1)=0),"ATTEMPT 2 WITHOUT ATTEMPT 1",IF(AND($K67=2,$L67=""),"RETEST ROW HAS NO SCORE",IF(AND($H67="Final",$L67&lt;&gt;"",IFERROR(INDEX(nrCKfinalExamElig,MATCH($D67,rngCadetPIDs,0)),"")="No"),"FINAL EXAM AFTER FAILED FINAL PT (500.1.H)",IF(AND($K67=2,ISNUMBER($L67),COUNTIFS(nrES_PID,$D67,nrES_Code,$F67,nrES_Att,1)&gt;0,SUMIFS(nrES_Raw,nrES_PID,$D67,nrES_Code,$F67,nrES_Att,1)&gt;=$J67),"RETEST AFTER A PASSING FIRST ATTEMPT","OK"))))))))))</f>
        <v/>
      </c>
      <c r="Y67" s="16" t="n"/>
    </row>
    <row r="68">
      <c r="B68" s="17">
        <f>IF($C68="","",$D68&amp;"-"&amp;$F68&amp;"-"&amp;$K68)</f>
        <v/>
      </c>
      <c r="C68" s="16" t="n"/>
      <c r="D68" s="17">
        <f>IF($C68="","",IFERROR(INDEX(rngCadetPIDs,MATCH($C68,rngCadetNames,0)),"?"))</f>
        <v/>
      </c>
      <c r="E68" s="17">
        <f>IF($D68="","",IFERROR(INDEX(nrCadetAgency,MATCH($D68,rngCadetPIDs,0)),""))</f>
        <v/>
      </c>
      <c r="F68" s="16" t="n"/>
      <c r="G68" s="17">
        <f>IF($F68="","",IFERROR(INDEX(rngEPname,MATCH($F68,rngEPcode,0)),"?"))</f>
        <v/>
      </c>
      <c r="H68" s="17">
        <f>IF($F68="","",IFERROR(INDEX(rngEPtype,MATCH($F68,rngEPcode,0)),"?"))</f>
        <v/>
      </c>
      <c r="I68" s="17">
        <f>IF($F68="","",IFERROR(INDEX(rngEPseq,MATCH($F68,rngEPcode,0)),""))</f>
        <v/>
      </c>
      <c r="J68" s="17">
        <f>IF($F68="","",IFERROR(INDEX(rngEPpass,MATCH($F68,rngEPcode,0)),cfgPassingScore))</f>
        <v/>
      </c>
      <c r="K68" s="16" t="n"/>
      <c r="L68" s="16" t="n"/>
      <c r="M68" s="17">
        <f>IF($C68="","",IF($L68="","",IF(NOT(ISNUMBER($L68)),$L68,IF(N($K68)&gt;2,"",IF($K68=1,IF(COUNTIFS(nrES_PID,$D68,nrES_Code,$F68,nrES_Att,2,nrES_Raw,"&gt;=0")&gt;0,"",$L68),IF($L68&gt;=$J68,MAX($J68,cfgRetakeRecordedCap),IF(COUNTIFS(nrES_PID,$D68,nrES_Code,$F68,nrES_Att,1)=0,$L68,SUMIFS(nrES_Raw,nrES_PID,$D68,nrES_Code,$F68,nrES_Att,1))))))))</f>
        <v/>
      </c>
      <c r="N68" s="17">
        <f>IF($C68="","",IF($L68="","",IF(NOT(ISNUMBER($L68)),"(not a score)",IF($L68&gt;=$J68,"Yes","No"))))</f>
        <v/>
      </c>
      <c r="O68" s="17">
        <f>IF($C68="","",IF($M68="","",IF(NOT(ISNUMBER($M68)),"(not a score)",IF($M68&gt;=$J68,"Yes","No"))))</f>
        <v/>
      </c>
      <c r="P68" s="17">
        <f>IF($C68="","",IF($K68="","",IF(N($K68)&gt;2,"No",IF(COUNTIFS(nrES_PID,$D68,nrES_Code,$F68,nrES_Att,"&gt;"&amp;$K68,nrES_Att,"&lt;=2",nrES_Raw,"&gt;=0")=0,"Yes","No"))))</f>
        <v/>
      </c>
      <c r="Q68" s="17">
        <f>IF($C68="","",IF($L68="","",IF(AND($K68=1,ISNUMBER($L68),$L68&lt;$J68,COUNTIFS(nrES_PID,$D68,nrES_Code,$F68,nrES_Att,2,nrES_Raw,"&gt;=0")=0),"Yes","No")))</f>
        <v/>
      </c>
      <c r="R68" s="17">
        <f>IF($C68="","",IF($L68="","",IF(AND(N($K68)&gt;=2,ISNUMBER($L68),$L68&lt;$J68),"Yes","No")))</f>
        <v/>
      </c>
      <c r="S68" s="18" t="n"/>
      <c r="T68" s="19">
        <f>IF(OR($C68="",$L68="",$K68&lt;&gt;1,NOT(ISNUMBER($L68)),$L68&gt;=$J68),"",IF($S68="","(enter date)",_xlfn.LET(_xlpm.dn,_xlfn.XLOOKUP($S68,nrCDdate,nrCDnum,"",1),IF(_xlpm.dn="","(after last class day)",_xlfn.LET(_xlpm.dd,_xlfn.XLOOKUP(_xlpm.dn+cfgRetestClassDays,nrCDnum,nrCDdate,""),_xlpm.ok,_xlfn.XLOOKUP(_xlpm.dn+cfgRetestClassDays,nrCDnum,nrCDinsession,"No"),IF(OR(_xlpm.dd="",_xlpm.ok&lt;&gt;"Yes"),"(after last class day)",_xlpm.dd))))))</f>
        <v/>
      </c>
      <c r="U68" s="17">
        <f>IF($C68="","",IF(AND($Y68="Excused",$L68="",N($K68)&lt;=1),"EXCUSED - 1st attempt pending",IF(OR($L68="",$K68&lt;&gt;1,NOT(ISNUMBER($L68)),$L68&gt;=$J68),"",IF(COUNTIFS(nrES_PID,$D68,nrES_Code,$F68,nrES_Att,2,nrES_Raw,"&gt;=0")&gt;0,IF(IFERROR(_xlfn.MINIFS(nrES_Date,nrES_PID,$D68,nrES_Code,$F68,nrES_Att,2,nrES_Raw,"&gt;=0",nrES_Date,"&gt;0"),0)=0,"RETEST UNDATED",IF(NOT(ISNUMBER($T68)),"RETEST DATE UNCHECKED",IF(_xlfn.MINIFS(nrES_Date,nrES_PID,$D68,nrES_Code,$F68,nrES_Att,2,nrES_Raw,"&gt;=0",nrES_Date,"&gt;0")&gt;$T68,"LATE RETEST "&amp;TEXT(_xlfn.MINIFS(nrES_Date,nrES_PID,$D68,nrES_Code,$F68,nrES_Att,2,nrES_Raw,"&gt;=0",nrES_Date,"&gt;0"),"mm/dd")&amp;" (due "&amp;TEXT($T68,"mm/dd")&amp;")","Retested"))),IF(NOT(ISNUMBER($T68)),"CHECK DATE",IF(TODAY()&gt;$T68,"OVERDUE","Due "&amp;TEXT($T68,"mm/dd")))))))</f>
        <v/>
      </c>
      <c r="V68" s="16" t="n"/>
      <c r="W68" s="16" t="n"/>
      <c r="X68" s="17">
        <f>IF($C68="","",IF(AND($L68&lt;&gt;"",NOT(ISNUMBER($L68))),"RAW SCORE NOT A NUMBER",IF(AND(ISNUMBER($L68),OR($L68&lt;0,$L68&gt;100)),"RAW SCORE OUT OF RANGE",IF(AND($Y68="Unexcused",OR($L68="",NOT(ISNUMBER($L68)),$L68&lt;&gt;0)),"UNEXCUSED ABSENCE MUST RECORD 0",IF(COUNTIF(nrES_RecID,$B68)&gt;1,"DUPLICATE RECORD",IF(N($K68)&gt;2,"ATTEMPT 3+ NOT ALLOWED - policy 300.5 permits one retest per exam; this row records nothing",IF(AND($K68=2,COUNTIFS(nrES_PID,$D68,nrES_Code,$F68,nrES_Att,1)=0),"ATTEMPT 2 WITHOUT ATTEMPT 1",IF(AND($K68=2,$L68=""),"RETEST ROW HAS NO SCORE",IF(AND($H68="Final",$L68&lt;&gt;"",IFERROR(INDEX(nrCKfinalExamElig,MATCH($D68,rngCadetPIDs,0)),"")="No"),"FINAL EXAM AFTER FAILED FINAL PT (500.1.H)",IF(AND($K68=2,ISNUMBER($L68),COUNTIFS(nrES_PID,$D68,nrES_Code,$F68,nrES_Att,1)&gt;0,SUMIFS(nrES_Raw,nrES_PID,$D68,nrES_Code,$F68,nrES_Att,1)&gt;=$J68),"RETEST AFTER A PASSING FIRST ATTEMPT","OK"))))))))))</f>
        <v/>
      </c>
      <c r="Y68" s="16" t="n"/>
    </row>
    <row r="69">
      <c r="B69" s="17">
        <f>IF($C69="","",$D69&amp;"-"&amp;$F69&amp;"-"&amp;$K69)</f>
        <v/>
      </c>
      <c r="C69" s="16" t="n"/>
      <c r="D69" s="17">
        <f>IF($C69="","",IFERROR(INDEX(rngCadetPIDs,MATCH($C69,rngCadetNames,0)),"?"))</f>
        <v/>
      </c>
      <c r="E69" s="17">
        <f>IF($D69="","",IFERROR(INDEX(nrCadetAgency,MATCH($D69,rngCadetPIDs,0)),""))</f>
        <v/>
      </c>
      <c r="F69" s="16" t="n"/>
      <c r="G69" s="17">
        <f>IF($F69="","",IFERROR(INDEX(rngEPname,MATCH($F69,rngEPcode,0)),"?"))</f>
        <v/>
      </c>
      <c r="H69" s="17">
        <f>IF($F69="","",IFERROR(INDEX(rngEPtype,MATCH($F69,rngEPcode,0)),"?"))</f>
        <v/>
      </c>
      <c r="I69" s="17">
        <f>IF($F69="","",IFERROR(INDEX(rngEPseq,MATCH($F69,rngEPcode,0)),""))</f>
        <v/>
      </c>
      <c r="J69" s="17">
        <f>IF($F69="","",IFERROR(INDEX(rngEPpass,MATCH($F69,rngEPcode,0)),cfgPassingScore))</f>
        <v/>
      </c>
      <c r="K69" s="16" t="n"/>
      <c r="L69" s="16" t="n"/>
      <c r="M69" s="17">
        <f>IF($C69="","",IF($L69="","",IF(NOT(ISNUMBER($L69)),$L69,IF(N($K69)&gt;2,"",IF($K69=1,IF(COUNTIFS(nrES_PID,$D69,nrES_Code,$F69,nrES_Att,2,nrES_Raw,"&gt;=0")&gt;0,"",$L69),IF($L69&gt;=$J69,MAX($J69,cfgRetakeRecordedCap),IF(COUNTIFS(nrES_PID,$D69,nrES_Code,$F69,nrES_Att,1)=0,$L69,SUMIFS(nrES_Raw,nrES_PID,$D69,nrES_Code,$F69,nrES_Att,1))))))))</f>
        <v/>
      </c>
      <c r="N69" s="17">
        <f>IF($C69="","",IF($L69="","",IF(NOT(ISNUMBER($L69)),"(not a score)",IF($L69&gt;=$J69,"Yes","No"))))</f>
        <v/>
      </c>
      <c r="O69" s="17">
        <f>IF($C69="","",IF($M69="","",IF(NOT(ISNUMBER($M69)),"(not a score)",IF($M69&gt;=$J69,"Yes","No"))))</f>
        <v/>
      </c>
      <c r="P69" s="17">
        <f>IF($C69="","",IF($K69="","",IF(N($K69)&gt;2,"No",IF(COUNTIFS(nrES_PID,$D69,nrES_Code,$F69,nrES_Att,"&gt;"&amp;$K69,nrES_Att,"&lt;=2",nrES_Raw,"&gt;=0")=0,"Yes","No"))))</f>
        <v/>
      </c>
      <c r="Q69" s="17">
        <f>IF($C69="","",IF($L69="","",IF(AND($K69=1,ISNUMBER($L69),$L69&lt;$J69,COUNTIFS(nrES_PID,$D69,nrES_Code,$F69,nrES_Att,2,nrES_Raw,"&gt;=0")=0),"Yes","No")))</f>
        <v/>
      </c>
      <c r="R69" s="17">
        <f>IF($C69="","",IF($L69="","",IF(AND(N($K69)&gt;=2,ISNUMBER($L69),$L69&lt;$J69),"Yes","No")))</f>
        <v/>
      </c>
      <c r="S69" s="18" t="n"/>
      <c r="T69" s="19">
        <f>IF(OR($C69="",$L69="",$K69&lt;&gt;1,NOT(ISNUMBER($L69)),$L69&gt;=$J69),"",IF($S69="","(enter date)",_xlfn.LET(_xlpm.dn,_xlfn.XLOOKUP($S69,nrCDdate,nrCDnum,"",1),IF(_xlpm.dn="","(after last class day)",_xlfn.LET(_xlpm.dd,_xlfn.XLOOKUP(_xlpm.dn+cfgRetestClassDays,nrCDnum,nrCDdate,""),_xlpm.ok,_xlfn.XLOOKUP(_xlpm.dn+cfgRetestClassDays,nrCDnum,nrCDinsession,"No"),IF(OR(_xlpm.dd="",_xlpm.ok&lt;&gt;"Yes"),"(after last class day)",_xlpm.dd))))))</f>
        <v/>
      </c>
      <c r="U69" s="17">
        <f>IF($C69="","",IF(AND($Y69="Excused",$L69="",N($K69)&lt;=1),"EXCUSED - 1st attempt pending",IF(OR($L69="",$K69&lt;&gt;1,NOT(ISNUMBER($L69)),$L69&gt;=$J69),"",IF(COUNTIFS(nrES_PID,$D69,nrES_Code,$F69,nrES_Att,2,nrES_Raw,"&gt;=0")&gt;0,IF(IFERROR(_xlfn.MINIFS(nrES_Date,nrES_PID,$D69,nrES_Code,$F69,nrES_Att,2,nrES_Raw,"&gt;=0",nrES_Date,"&gt;0"),0)=0,"RETEST UNDATED",IF(NOT(ISNUMBER($T69)),"RETEST DATE UNCHECKED",IF(_xlfn.MINIFS(nrES_Date,nrES_PID,$D69,nrES_Code,$F69,nrES_Att,2,nrES_Raw,"&gt;=0",nrES_Date,"&gt;0")&gt;$T69,"LATE RETEST "&amp;TEXT(_xlfn.MINIFS(nrES_Date,nrES_PID,$D69,nrES_Code,$F69,nrES_Att,2,nrES_Raw,"&gt;=0",nrES_Date,"&gt;0"),"mm/dd")&amp;" (due "&amp;TEXT($T69,"mm/dd")&amp;")","Retested"))),IF(NOT(ISNUMBER($T69)),"CHECK DATE",IF(TODAY()&gt;$T69,"OVERDUE","Due "&amp;TEXT($T69,"mm/dd")))))))</f>
        <v/>
      </c>
      <c r="V69" s="16" t="n"/>
      <c r="W69" s="16" t="n"/>
      <c r="X69" s="17">
        <f>IF($C69="","",IF(AND($L69&lt;&gt;"",NOT(ISNUMBER($L69))),"RAW SCORE NOT A NUMBER",IF(AND(ISNUMBER($L69),OR($L69&lt;0,$L69&gt;100)),"RAW SCORE OUT OF RANGE",IF(AND($Y69="Unexcused",OR($L69="",NOT(ISNUMBER($L69)),$L69&lt;&gt;0)),"UNEXCUSED ABSENCE MUST RECORD 0",IF(COUNTIF(nrES_RecID,$B69)&gt;1,"DUPLICATE RECORD",IF(N($K69)&gt;2,"ATTEMPT 3+ NOT ALLOWED - policy 300.5 permits one retest per exam; this row records nothing",IF(AND($K69=2,COUNTIFS(nrES_PID,$D69,nrES_Code,$F69,nrES_Att,1)=0),"ATTEMPT 2 WITHOUT ATTEMPT 1",IF(AND($K69=2,$L69=""),"RETEST ROW HAS NO SCORE",IF(AND($H69="Final",$L69&lt;&gt;"",IFERROR(INDEX(nrCKfinalExamElig,MATCH($D69,rngCadetPIDs,0)),"")="No"),"FINAL EXAM AFTER FAILED FINAL PT (500.1.H)",IF(AND($K69=2,ISNUMBER($L69),COUNTIFS(nrES_PID,$D69,nrES_Code,$F69,nrES_Att,1)&gt;0,SUMIFS(nrES_Raw,nrES_PID,$D69,nrES_Code,$F69,nrES_Att,1)&gt;=$J69),"RETEST AFTER A PASSING FIRST ATTEMPT","OK"))))))))))</f>
        <v/>
      </c>
      <c r="Y69" s="16" t="n"/>
    </row>
    <row r="70">
      <c r="B70" s="17">
        <f>IF($C70="","",$D70&amp;"-"&amp;$F70&amp;"-"&amp;$K70)</f>
        <v/>
      </c>
      <c r="C70" s="16" t="n"/>
      <c r="D70" s="17">
        <f>IF($C70="","",IFERROR(INDEX(rngCadetPIDs,MATCH($C70,rngCadetNames,0)),"?"))</f>
        <v/>
      </c>
      <c r="E70" s="17">
        <f>IF($D70="","",IFERROR(INDEX(nrCadetAgency,MATCH($D70,rngCadetPIDs,0)),""))</f>
        <v/>
      </c>
      <c r="F70" s="16" t="n"/>
      <c r="G70" s="17">
        <f>IF($F70="","",IFERROR(INDEX(rngEPname,MATCH($F70,rngEPcode,0)),"?"))</f>
        <v/>
      </c>
      <c r="H70" s="17">
        <f>IF($F70="","",IFERROR(INDEX(rngEPtype,MATCH($F70,rngEPcode,0)),"?"))</f>
        <v/>
      </c>
      <c r="I70" s="17">
        <f>IF($F70="","",IFERROR(INDEX(rngEPseq,MATCH($F70,rngEPcode,0)),""))</f>
        <v/>
      </c>
      <c r="J70" s="17">
        <f>IF($F70="","",IFERROR(INDEX(rngEPpass,MATCH($F70,rngEPcode,0)),cfgPassingScore))</f>
        <v/>
      </c>
      <c r="K70" s="16" t="n"/>
      <c r="L70" s="16" t="n"/>
      <c r="M70" s="17">
        <f>IF($C70="","",IF($L70="","",IF(NOT(ISNUMBER($L70)),$L70,IF(N($K70)&gt;2,"",IF($K70=1,IF(COUNTIFS(nrES_PID,$D70,nrES_Code,$F70,nrES_Att,2,nrES_Raw,"&gt;=0")&gt;0,"",$L70),IF($L70&gt;=$J70,MAX($J70,cfgRetakeRecordedCap),IF(COUNTIFS(nrES_PID,$D70,nrES_Code,$F70,nrES_Att,1)=0,$L70,SUMIFS(nrES_Raw,nrES_PID,$D70,nrES_Code,$F70,nrES_Att,1))))))))</f>
        <v/>
      </c>
      <c r="N70" s="17">
        <f>IF($C70="","",IF($L70="","",IF(NOT(ISNUMBER($L70)),"(not a score)",IF($L70&gt;=$J70,"Yes","No"))))</f>
        <v/>
      </c>
      <c r="O70" s="17">
        <f>IF($C70="","",IF($M70="","",IF(NOT(ISNUMBER($M70)),"(not a score)",IF($M70&gt;=$J70,"Yes","No"))))</f>
        <v/>
      </c>
      <c r="P70" s="17">
        <f>IF($C70="","",IF($K70="","",IF(N($K70)&gt;2,"No",IF(COUNTIFS(nrES_PID,$D70,nrES_Code,$F70,nrES_Att,"&gt;"&amp;$K70,nrES_Att,"&lt;=2",nrES_Raw,"&gt;=0")=0,"Yes","No"))))</f>
        <v/>
      </c>
      <c r="Q70" s="17">
        <f>IF($C70="","",IF($L70="","",IF(AND($K70=1,ISNUMBER($L70),$L70&lt;$J70,COUNTIFS(nrES_PID,$D70,nrES_Code,$F70,nrES_Att,2,nrES_Raw,"&gt;=0")=0),"Yes","No")))</f>
        <v/>
      </c>
      <c r="R70" s="17">
        <f>IF($C70="","",IF($L70="","",IF(AND(N($K70)&gt;=2,ISNUMBER($L70),$L70&lt;$J70),"Yes","No")))</f>
        <v/>
      </c>
      <c r="S70" s="18" t="n"/>
      <c r="T70" s="19">
        <f>IF(OR($C70="",$L70="",$K70&lt;&gt;1,NOT(ISNUMBER($L70)),$L70&gt;=$J70),"",IF($S70="","(enter date)",_xlfn.LET(_xlpm.dn,_xlfn.XLOOKUP($S70,nrCDdate,nrCDnum,"",1),IF(_xlpm.dn="","(after last class day)",_xlfn.LET(_xlpm.dd,_xlfn.XLOOKUP(_xlpm.dn+cfgRetestClassDays,nrCDnum,nrCDdate,""),_xlpm.ok,_xlfn.XLOOKUP(_xlpm.dn+cfgRetestClassDays,nrCDnum,nrCDinsession,"No"),IF(OR(_xlpm.dd="",_xlpm.ok&lt;&gt;"Yes"),"(after last class day)",_xlpm.dd))))))</f>
        <v/>
      </c>
      <c r="U70" s="17">
        <f>IF($C70="","",IF(AND($Y70="Excused",$L70="",N($K70)&lt;=1),"EXCUSED - 1st attempt pending",IF(OR($L70="",$K70&lt;&gt;1,NOT(ISNUMBER($L70)),$L70&gt;=$J70),"",IF(COUNTIFS(nrES_PID,$D70,nrES_Code,$F70,nrES_Att,2,nrES_Raw,"&gt;=0")&gt;0,IF(IFERROR(_xlfn.MINIFS(nrES_Date,nrES_PID,$D70,nrES_Code,$F70,nrES_Att,2,nrES_Raw,"&gt;=0",nrES_Date,"&gt;0"),0)=0,"RETEST UNDATED",IF(NOT(ISNUMBER($T70)),"RETEST DATE UNCHECKED",IF(_xlfn.MINIFS(nrES_Date,nrES_PID,$D70,nrES_Code,$F70,nrES_Att,2,nrES_Raw,"&gt;=0",nrES_Date,"&gt;0")&gt;$T70,"LATE RETEST "&amp;TEXT(_xlfn.MINIFS(nrES_Date,nrES_PID,$D70,nrES_Code,$F70,nrES_Att,2,nrES_Raw,"&gt;=0",nrES_Date,"&gt;0"),"mm/dd")&amp;" (due "&amp;TEXT($T70,"mm/dd")&amp;")","Retested"))),IF(NOT(ISNUMBER($T70)),"CHECK DATE",IF(TODAY()&gt;$T70,"OVERDUE","Due "&amp;TEXT($T70,"mm/dd")))))))</f>
        <v/>
      </c>
      <c r="V70" s="16" t="n"/>
      <c r="W70" s="16" t="n"/>
      <c r="X70" s="17">
        <f>IF($C70="","",IF(AND($L70&lt;&gt;"",NOT(ISNUMBER($L70))),"RAW SCORE NOT A NUMBER",IF(AND(ISNUMBER($L70),OR($L70&lt;0,$L70&gt;100)),"RAW SCORE OUT OF RANGE",IF(AND($Y70="Unexcused",OR($L70="",NOT(ISNUMBER($L70)),$L70&lt;&gt;0)),"UNEXCUSED ABSENCE MUST RECORD 0",IF(COUNTIF(nrES_RecID,$B70)&gt;1,"DUPLICATE RECORD",IF(N($K70)&gt;2,"ATTEMPT 3+ NOT ALLOWED - policy 300.5 permits one retest per exam; this row records nothing",IF(AND($K70=2,COUNTIFS(nrES_PID,$D70,nrES_Code,$F70,nrES_Att,1)=0),"ATTEMPT 2 WITHOUT ATTEMPT 1",IF(AND($K70=2,$L70=""),"RETEST ROW HAS NO SCORE",IF(AND($H70="Final",$L70&lt;&gt;"",IFERROR(INDEX(nrCKfinalExamElig,MATCH($D70,rngCadetPIDs,0)),"")="No"),"FINAL EXAM AFTER FAILED FINAL PT (500.1.H)",IF(AND($K70=2,ISNUMBER($L70),COUNTIFS(nrES_PID,$D70,nrES_Code,$F70,nrES_Att,1)&gt;0,SUMIFS(nrES_Raw,nrES_PID,$D70,nrES_Code,$F70,nrES_Att,1)&gt;=$J70),"RETEST AFTER A PASSING FIRST ATTEMPT","OK"))))))))))</f>
        <v/>
      </c>
      <c r="Y70" s="16" t="n"/>
    </row>
    <row r="71">
      <c r="B71" s="17">
        <f>IF($C71="","",$D71&amp;"-"&amp;$F71&amp;"-"&amp;$K71)</f>
        <v/>
      </c>
      <c r="C71" s="16" t="n"/>
      <c r="D71" s="17">
        <f>IF($C71="","",IFERROR(INDEX(rngCadetPIDs,MATCH($C71,rngCadetNames,0)),"?"))</f>
        <v/>
      </c>
      <c r="E71" s="17">
        <f>IF($D71="","",IFERROR(INDEX(nrCadetAgency,MATCH($D71,rngCadetPIDs,0)),""))</f>
        <v/>
      </c>
      <c r="F71" s="16" t="n"/>
      <c r="G71" s="17">
        <f>IF($F71="","",IFERROR(INDEX(rngEPname,MATCH($F71,rngEPcode,0)),"?"))</f>
        <v/>
      </c>
      <c r="H71" s="17">
        <f>IF($F71="","",IFERROR(INDEX(rngEPtype,MATCH($F71,rngEPcode,0)),"?"))</f>
        <v/>
      </c>
      <c r="I71" s="17">
        <f>IF($F71="","",IFERROR(INDEX(rngEPseq,MATCH($F71,rngEPcode,0)),""))</f>
        <v/>
      </c>
      <c r="J71" s="17">
        <f>IF($F71="","",IFERROR(INDEX(rngEPpass,MATCH($F71,rngEPcode,0)),cfgPassingScore))</f>
        <v/>
      </c>
      <c r="K71" s="16" t="n"/>
      <c r="L71" s="16" t="n"/>
      <c r="M71" s="17">
        <f>IF($C71="","",IF($L71="","",IF(NOT(ISNUMBER($L71)),$L71,IF(N($K71)&gt;2,"",IF($K71=1,IF(COUNTIFS(nrES_PID,$D71,nrES_Code,$F71,nrES_Att,2,nrES_Raw,"&gt;=0")&gt;0,"",$L71),IF($L71&gt;=$J71,MAX($J71,cfgRetakeRecordedCap),IF(COUNTIFS(nrES_PID,$D71,nrES_Code,$F71,nrES_Att,1)=0,$L71,SUMIFS(nrES_Raw,nrES_PID,$D71,nrES_Code,$F71,nrES_Att,1))))))))</f>
        <v/>
      </c>
      <c r="N71" s="17">
        <f>IF($C71="","",IF($L71="","",IF(NOT(ISNUMBER($L71)),"(not a score)",IF($L71&gt;=$J71,"Yes","No"))))</f>
        <v/>
      </c>
      <c r="O71" s="17">
        <f>IF($C71="","",IF($M71="","",IF(NOT(ISNUMBER($M71)),"(not a score)",IF($M71&gt;=$J71,"Yes","No"))))</f>
        <v/>
      </c>
      <c r="P71" s="17">
        <f>IF($C71="","",IF($K71="","",IF(N($K71)&gt;2,"No",IF(COUNTIFS(nrES_PID,$D71,nrES_Code,$F71,nrES_Att,"&gt;"&amp;$K71,nrES_Att,"&lt;=2",nrES_Raw,"&gt;=0")=0,"Yes","No"))))</f>
        <v/>
      </c>
      <c r="Q71" s="17">
        <f>IF($C71="","",IF($L71="","",IF(AND($K71=1,ISNUMBER($L71),$L71&lt;$J71,COUNTIFS(nrES_PID,$D71,nrES_Code,$F71,nrES_Att,2,nrES_Raw,"&gt;=0")=0),"Yes","No")))</f>
        <v/>
      </c>
      <c r="R71" s="17">
        <f>IF($C71="","",IF($L71="","",IF(AND(N($K71)&gt;=2,ISNUMBER($L71),$L71&lt;$J71),"Yes","No")))</f>
        <v/>
      </c>
      <c r="S71" s="18" t="n"/>
      <c r="T71" s="19">
        <f>IF(OR($C71="",$L71="",$K71&lt;&gt;1,NOT(ISNUMBER($L71)),$L71&gt;=$J71),"",IF($S71="","(enter date)",_xlfn.LET(_xlpm.dn,_xlfn.XLOOKUP($S71,nrCDdate,nrCDnum,"",1),IF(_xlpm.dn="","(after last class day)",_xlfn.LET(_xlpm.dd,_xlfn.XLOOKUP(_xlpm.dn+cfgRetestClassDays,nrCDnum,nrCDdate,""),_xlpm.ok,_xlfn.XLOOKUP(_xlpm.dn+cfgRetestClassDays,nrCDnum,nrCDinsession,"No"),IF(OR(_xlpm.dd="",_xlpm.ok&lt;&gt;"Yes"),"(after last class day)",_xlpm.dd))))))</f>
        <v/>
      </c>
      <c r="U71" s="17">
        <f>IF($C71="","",IF(AND($Y71="Excused",$L71="",N($K71)&lt;=1),"EXCUSED - 1st attempt pending",IF(OR($L71="",$K71&lt;&gt;1,NOT(ISNUMBER($L71)),$L71&gt;=$J71),"",IF(COUNTIFS(nrES_PID,$D71,nrES_Code,$F71,nrES_Att,2,nrES_Raw,"&gt;=0")&gt;0,IF(IFERROR(_xlfn.MINIFS(nrES_Date,nrES_PID,$D71,nrES_Code,$F71,nrES_Att,2,nrES_Raw,"&gt;=0",nrES_Date,"&gt;0"),0)=0,"RETEST UNDATED",IF(NOT(ISNUMBER($T71)),"RETEST DATE UNCHECKED",IF(_xlfn.MINIFS(nrES_Date,nrES_PID,$D71,nrES_Code,$F71,nrES_Att,2,nrES_Raw,"&gt;=0",nrES_Date,"&gt;0")&gt;$T71,"LATE RETEST "&amp;TEXT(_xlfn.MINIFS(nrES_Date,nrES_PID,$D71,nrES_Code,$F71,nrES_Att,2,nrES_Raw,"&gt;=0",nrES_Date,"&gt;0"),"mm/dd")&amp;" (due "&amp;TEXT($T71,"mm/dd")&amp;")","Retested"))),IF(NOT(ISNUMBER($T71)),"CHECK DATE",IF(TODAY()&gt;$T71,"OVERDUE","Due "&amp;TEXT($T71,"mm/dd")))))))</f>
        <v/>
      </c>
      <c r="V71" s="16" t="n"/>
      <c r="W71" s="16" t="n"/>
      <c r="X71" s="17">
        <f>IF($C71="","",IF(AND($L71&lt;&gt;"",NOT(ISNUMBER($L71))),"RAW SCORE NOT A NUMBER",IF(AND(ISNUMBER($L71),OR($L71&lt;0,$L71&gt;100)),"RAW SCORE OUT OF RANGE",IF(AND($Y71="Unexcused",OR($L71="",NOT(ISNUMBER($L71)),$L71&lt;&gt;0)),"UNEXCUSED ABSENCE MUST RECORD 0",IF(COUNTIF(nrES_RecID,$B71)&gt;1,"DUPLICATE RECORD",IF(N($K71)&gt;2,"ATTEMPT 3+ NOT ALLOWED - policy 300.5 permits one retest per exam; this row records nothing",IF(AND($K71=2,COUNTIFS(nrES_PID,$D71,nrES_Code,$F71,nrES_Att,1)=0),"ATTEMPT 2 WITHOUT ATTEMPT 1",IF(AND($K71=2,$L71=""),"RETEST ROW HAS NO SCORE",IF(AND($H71="Final",$L71&lt;&gt;"",IFERROR(INDEX(nrCKfinalExamElig,MATCH($D71,rngCadetPIDs,0)),"")="No"),"FINAL EXAM AFTER FAILED FINAL PT (500.1.H)",IF(AND($K71=2,ISNUMBER($L71),COUNTIFS(nrES_PID,$D71,nrES_Code,$F71,nrES_Att,1)&gt;0,SUMIFS(nrES_Raw,nrES_PID,$D71,nrES_Code,$F71,nrES_Att,1)&gt;=$J71),"RETEST AFTER A PASSING FIRST ATTEMPT","OK"))))))))))</f>
        <v/>
      </c>
      <c r="Y71" s="16" t="n"/>
    </row>
    <row r="72">
      <c r="B72" s="17">
        <f>IF($C72="","",$D72&amp;"-"&amp;$F72&amp;"-"&amp;$K72)</f>
        <v/>
      </c>
      <c r="C72" s="16" t="n"/>
      <c r="D72" s="17">
        <f>IF($C72="","",IFERROR(INDEX(rngCadetPIDs,MATCH($C72,rngCadetNames,0)),"?"))</f>
        <v/>
      </c>
      <c r="E72" s="17">
        <f>IF($D72="","",IFERROR(INDEX(nrCadetAgency,MATCH($D72,rngCadetPIDs,0)),""))</f>
        <v/>
      </c>
      <c r="F72" s="16" t="n"/>
      <c r="G72" s="17">
        <f>IF($F72="","",IFERROR(INDEX(rngEPname,MATCH($F72,rngEPcode,0)),"?"))</f>
        <v/>
      </c>
      <c r="H72" s="17">
        <f>IF($F72="","",IFERROR(INDEX(rngEPtype,MATCH($F72,rngEPcode,0)),"?"))</f>
        <v/>
      </c>
      <c r="I72" s="17">
        <f>IF($F72="","",IFERROR(INDEX(rngEPseq,MATCH($F72,rngEPcode,0)),""))</f>
        <v/>
      </c>
      <c r="J72" s="17">
        <f>IF($F72="","",IFERROR(INDEX(rngEPpass,MATCH($F72,rngEPcode,0)),cfgPassingScore))</f>
        <v/>
      </c>
      <c r="K72" s="16" t="n"/>
      <c r="L72" s="16" t="n"/>
      <c r="M72" s="17">
        <f>IF($C72="","",IF($L72="","",IF(NOT(ISNUMBER($L72)),$L72,IF(N($K72)&gt;2,"",IF($K72=1,IF(COUNTIFS(nrES_PID,$D72,nrES_Code,$F72,nrES_Att,2,nrES_Raw,"&gt;=0")&gt;0,"",$L72),IF($L72&gt;=$J72,MAX($J72,cfgRetakeRecordedCap),IF(COUNTIFS(nrES_PID,$D72,nrES_Code,$F72,nrES_Att,1)=0,$L72,SUMIFS(nrES_Raw,nrES_PID,$D72,nrES_Code,$F72,nrES_Att,1))))))))</f>
        <v/>
      </c>
      <c r="N72" s="17">
        <f>IF($C72="","",IF($L72="","",IF(NOT(ISNUMBER($L72)),"(not a score)",IF($L72&gt;=$J72,"Yes","No"))))</f>
        <v/>
      </c>
      <c r="O72" s="17">
        <f>IF($C72="","",IF($M72="","",IF(NOT(ISNUMBER($M72)),"(not a score)",IF($M72&gt;=$J72,"Yes","No"))))</f>
        <v/>
      </c>
      <c r="P72" s="17">
        <f>IF($C72="","",IF($K72="","",IF(N($K72)&gt;2,"No",IF(COUNTIFS(nrES_PID,$D72,nrES_Code,$F72,nrES_Att,"&gt;"&amp;$K72,nrES_Att,"&lt;=2",nrES_Raw,"&gt;=0")=0,"Yes","No"))))</f>
        <v/>
      </c>
      <c r="Q72" s="17">
        <f>IF($C72="","",IF($L72="","",IF(AND($K72=1,ISNUMBER($L72),$L72&lt;$J72,COUNTIFS(nrES_PID,$D72,nrES_Code,$F72,nrES_Att,2,nrES_Raw,"&gt;=0")=0),"Yes","No")))</f>
        <v/>
      </c>
      <c r="R72" s="17">
        <f>IF($C72="","",IF($L72="","",IF(AND(N($K72)&gt;=2,ISNUMBER($L72),$L72&lt;$J72),"Yes","No")))</f>
        <v/>
      </c>
      <c r="S72" s="18" t="n"/>
      <c r="T72" s="19">
        <f>IF(OR($C72="",$L72="",$K72&lt;&gt;1,NOT(ISNUMBER($L72)),$L72&gt;=$J72),"",IF($S72="","(enter date)",_xlfn.LET(_xlpm.dn,_xlfn.XLOOKUP($S72,nrCDdate,nrCDnum,"",1),IF(_xlpm.dn="","(after last class day)",_xlfn.LET(_xlpm.dd,_xlfn.XLOOKUP(_xlpm.dn+cfgRetestClassDays,nrCDnum,nrCDdate,""),_xlpm.ok,_xlfn.XLOOKUP(_xlpm.dn+cfgRetestClassDays,nrCDnum,nrCDinsession,"No"),IF(OR(_xlpm.dd="",_xlpm.ok&lt;&gt;"Yes"),"(after last class day)",_xlpm.dd))))))</f>
        <v/>
      </c>
      <c r="U72" s="17">
        <f>IF($C72="","",IF(AND($Y72="Excused",$L72="",N($K72)&lt;=1),"EXCUSED - 1st attempt pending",IF(OR($L72="",$K72&lt;&gt;1,NOT(ISNUMBER($L72)),$L72&gt;=$J72),"",IF(COUNTIFS(nrES_PID,$D72,nrES_Code,$F72,nrES_Att,2,nrES_Raw,"&gt;=0")&gt;0,IF(IFERROR(_xlfn.MINIFS(nrES_Date,nrES_PID,$D72,nrES_Code,$F72,nrES_Att,2,nrES_Raw,"&gt;=0",nrES_Date,"&gt;0"),0)=0,"RETEST UNDATED",IF(NOT(ISNUMBER($T72)),"RETEST DATE UNCHECKED",IF(_xlfn.MINIFS(nrES_Date,nrES_PID,$D72,nrES_Code,$F72,nrES_Att,2,nrES_Raw,"&gt;=0",nrES_Date,"&gt;0")&gt;$T72,"LATE RETEST "&amp;TEXT(_xlfn.MINIFS(nrES_Date,nrES_PID,$D72,nrES_Code,$F72,nrES_Att,2,nrES_Raw,"&gt;=0",nrES_Date,"&gt;0"),"mm/dd")&amp;" (due "&amp;TEXT($T72,"mm/dd")&amp;")","Retested"))),IF(NOT(ISNUMBER($T72)),"CHECK DATE",IF(TODAY()&gt;$T72,"OVERDUE","Due "&amp;TEXT($T72,"mm/dd")))))))</f>
        <v/>
      </c>
      <c r="V72" s="16" t="n"/>
      <c r="W72" s="16" t="n"/>
      <c r="X72" s="17">
        <f>IF($C72="","",IF(AND($L72&lt;&gt;"",NOT(ISNUMBER($L72))),"RAW SCORE NOT A NUMBER",IF(AND(ISNUMBER($L72),OR($L72&lt;0,$L72&gt;100)),"RAW SCORE OUT OF RANGE",IF(AND($Y72="Unexcused",OR($L72="",NOT(ISNUMBER($L72)),$L72&lt;&gt;0)),"UNEXCUSED ABSENCE MUST RECORD 0",IF(COUNTIF(nrES_RecID,$B72)&gt;1,"DUPLICATE RECORD",IF(N($K72)&gt;2,"ATTEMPT 3+ NOT ALLOWED - policy 300.5 permits one retest per exam; this row records nothing",IF(AND($K72=2,COUNTIFS(nrES_PID,$D72,nrES_Code,$F72,nrES_Att,1)=0),"ATTEMPT 2 WITHOUT ATTEMPT 1",IF(AND($K72=2,$L72=""),"RETEST ROW HAS NO SCORE",IF(AND($H72="Final",$L72&lt;&gt;"",IFERROR(INDEX(nrCKfinalExamElig,MATCH($D72,rngCadetPIDs,0)),"")="No"),"FINAL EXAM AFTER FAILED FINAL PT (500.1.H)",IF(AND($K72=2,ISNUMBER($L72),COUNTIFS(nrES_PID,$D72,nrES_Code,$F72,nrES_Att,1)&gt;0,SUMIFS(nrES_Raw,nrES_PID,$D72,nrES_Code,$F72,nrES_Att,1)&gt;=$J72),"RETEST AFTER A PASSING FIRST ATTEMPT","OK"))))))))))</f>
        <v/>
      </c>
      <c r="Y72" s="16" t="n"/>
    </row>
    <row r="73">
      <c r="B73" s="17">
        <f>IF($C73="","",$D73&amp;"-"&amp;$F73&amp;"-"&amp;$K73)</f>
        <v/>
      </c>
      <c r="C73" s="16" t="n"/>
      <c r="D73" s="17">
        <f>IF($C73="","",IFERROR(INDEX(rngCadetPIDs,MATCH($C73,rngCadetNames,0)),"?"))</f>
        <v/>
      </c>
      <c r="E73" s="17">
        <f>IF($D73="","",IFERROR(INDEX(nrCadetAgency,MATCH($D73,rngCadetPIDs,0)),""))</f>
        <v/>
      </c>
      <c r="F73" s="16" t="n"/>
      <c r="G73" s="17">
        <f>IF($F73="","",IFERROR(INDEX(rngEPname,MATCH($F73,rngEPcode,0)),"?"))</f>
        <v/>
      </c>
      <c r="H73" s="17">
        <f>IF($F73="","",IFERROR(INDEX(rngEPtype,MATCH($F73,rngEPcode,0)),"?"))</f>
        <v/>
      </c>
      <c r="I73" s="17">
        <f>IF($F73="","",IFERROR(INDEX(rngEPseq,MATCH($F73,rngEPcode,0)),""))</f>
        <v/>
      </c>
      <c r="J73" s="17">
        <f>IF($F73="","",IFERROR(INDEX(rngEPpass,MATCH($F73,rngEPcode,0)),cfgPassingScore))</f>
        <v/>
      </c>
      <c r="K73" s="16" t="n"/>
      <c r="L73" s="16" t="n"/>
      <c r="M73" s="17">
        <f>IF($C73="","",IF($L73="","",IF(NOT(ISNUMBER($L73)),$L73,IF(N($K73)&gt;2,"",IF($K73=1,IF(COUNTIFS(nrES_PID,$D73,nrES_Code,$F73,nrES_Att,2,nrES_Raw,"&gt;=0")&gt;0,"",$L73),IF($L73&gt;=$J73,MAX($J73,cfgRetakeRecordedCap),IF(COUNTIFS(nrES_PID,$D73,nrES_Code,$F73,nrES_Att,1)=0,$L73,SUMIFS(nrES_Raw,nrES_PID,$D73,nrES_Code,$F73,nrES_Att,1))))))))</f>
        <v/>
      </c>
      <c r="N73" s="17">
        <f>IF($C73="","",IF($L73="","",IF(NOT(ISNUMBER($L73)),"(not a score)",IF($L73&gt;=$J73,"Yes","No"))))</f>
        <v/>
      </c>
      <c r="O73" s="17">
        <f>IF($C73="","",IF($M73="","",IF(NOT(ISNUMBER($M73)),"(not a score)",IF($M73&gt;=$J73,"Yes","No"))))</f>
        <v/>
      </c>
      <c r="P73" s="17">
        <f>IF($C73="","",IF($K73="","",IF(N($K73)&gt;2,"No",IF(COUNTIFS(nrES_PID,$D73,nrES_Code,$F73,nrES_Att,"&gt;"&amp;$K73,nrES_Att,"&lt;=2",nrES_Raw,"&gt;=0")=0,"Yes","No"))))</f>
        <v/>
      </c>
      <c r="Q73" s="17">
        <f>IF($C73="","",IF($L73="","",IF(AND($K73=1,ISNUMBER($L73),$L73&lt;$J73,COUNTIFS(nrES_PID,$D73,nrES_Code,$F73,nrES_Att,2,nrES_Raw,"&gt;=0")=0),"Yes","No")))</f>
        <v/>
      </c>
      <c r="R73" s="17">
        <f>IF($C73="","",IF($L73="","",IF(AND(N($K73)&gt;=2,ISNUMBER($L73),$L73&lt;$J73),"Yes","No")))</f>
        <v/>
      </c>
      <c r="S73" s="18" t="n"/>
      <c r="T73" s="19">
        <f>IF(OR($C73="",$L73="",$K73&lt;&gt;1,NOT(ISNUMBER($L73)),$L73&gt;=$J73),"",IF($S73="","(enter date)",_xlfn.LET(_xlpm.dn,_xlfn.XLOOKUP($S73,nrCDdate,nrCDnum,"",1),IF(_xlpm.dn="","(after last class day)",_xlfn.LET(_xlpm.dd,_xlfn.XLOOKUP(_xlpm.dn+cfgRetestClassDays,nrCDnum,nrCDdate,""),_xlpm.ok,_xlfn.XLOOKUP(_xlpm.dn+cfgRetestClassDays,nrCDnum,nrCDinsession,"No"),IF(OR(_xlpm.dd="",_xlpm.ok&lt;&gt;"Yes"),"(after last class day)",_xlpm.dd))))))</f>
        <v/>
      </c>
      <c r="U73" s="17">
        <f>IF($C73="","",IF(AND($Y73="Excused",$L73="",N($K73)&lt;=1),"EXCUSED - 1st attempt pending",IF(OR($L73="",$K73&lt;&gt;1,NOT(ISNUMBER($L73)),$L73&gt;=$J73),"",IF(COUNTIFS(nrES_PID,$D73,nrES_Code,$F73,nrES_Att,2,nrES_Raw,"&gt;=0")&gt;0,IF(IFERROR(_xlfn.MINIFS(nrES_Date,nrES_PID,$D73,nrES_Code,$F73,nrES_Att,2,nrES_Raw,"&gt;=0",nrES_Date,"&gt;0"),0)=0,"RETEST UNDATED",IF(NOT(ISNUMBER($T73)),"RETEST DATE UNCHECKED",IF(_xlfn.MINIFS(nrES_Date,nrES_PID,$D73,nrES_Code,$F73,nrES_Att,2,nrES_Raw,"&gt;=0",nrES_Date,"&gt;0")&gt;$T73,"LATE RETEST "&amp;TEXT(_xlfn.MINIFS(nrES_Date,nrES_PID,$D73,nrES_Code,$F73,nrES_Att,2,nrES_Raw,"&gt;=0",nrES_Date,"&gt;0"),"mm/dd")&amp;" (due "&amp;TEXT($T73,"mm/dd")&amp;")","Retested"))),IF(NOT(ISNUMBER($T73)),"CHECK DATE",IF(TODAY()&gt;$T73,"OVERDUE","Due "&amp;TEXT($T73,"mm/dd")))))))</f>
        <v/>
      </c>
      <c r="V73" s="16" t="n"/>
      <c r="W73" s="16" t="n"/>
      <c r="X73" s="17">
        <f>IF($C73="","",IF(AND($L73&lt;&gt;"",NOT(ISNUMBER($L73))),"RAW SCORE NOT A NUMBER",IF(AND(ISNUMBER($L73),OR($L73&lt;0,$L73&gt;100)),"RAW SCORE OUT OF RANGE",IF(AND($Y73="Unexcused",OR($L73="",NOT(ISNUMBER($L73)),$L73&lt;&gt;0)),"UNEXCUSED ABSENCE MUST RECORD 0",IF(COUNTIF(nrES_RecID,$B73)&gt;1,"DUPLICATE RECORD",IF(N($K73)&gt;2,"ATTEMPT 3+ NOT ALLOWED - policy 300.5 permits one retest per exam; this row records nothing",IF(AND($K73=2,COUNTIFS(nrES_PID,$D73,nrES_Code,$F73,nrES_Att,1)=0),"ATTEMPT 2 WITHOUT ATTEMPT 1",IF(AND($K73=2,$L73=""),"RETEST ROW HAS NO SCORE",IF(AND($H73="Final",$L73&lt;&gt;"",IFERROR(INDEX(nrCKfinalExamElig,MATCH($D73,rngCadetPIDs,0)),"")="No"),"FINAL EXAM AFTER FAILED FINAL PT (500.1.H)",IF(AND($K73=2,ISNUMBER($L73),COUNTIFS(nrES_PID,$D73,nrES_Code,$F73,nrES_Att,1)&gt;0,SUMIFS(nrES_Raw,nrES_PID,$D73,nrES_Code,$F73,nrES_Att,1)&gt;=$J73),"RETEST AFTER A PASSING FIRST ATTEMPT","OK"))))))))))</f>
        <v/>
      </c>
      <c r="Y73" s="16" t="n"/>
    </row>
    <row r="74">
      <c r="B74" s="17">
        <f>IF($C74="","",$D74&amp;"-"&amp;$F74&amp;"-"&amp;$K74)</f>
        <v/>
      </c>
      <c r="C74" s="16" t="n"/>
      <c r="D74" s="17">
        <f>IF($C74="","",IFERROR(INDEX(rngCadetPIDs,MATCH($C74,rngCadetNames,0)),"?"))</f>
        <v/>
      </c>
      <c r="E74" s="17">
        <f>IF($D74="","",IFERROR(INDEX(nrCadetAgency,MATCH($D74,rngCadetPIDs,0)),""))</f>
        <v/>
      </c>
      <c r="F74" s="16" t="n"/>
      <c r="G74" s="17">
        <f>IF($F74="","",IFERROR(INDEX(rngEPname,MATCH($F74,rngEPcode,0)),"?"))</f>
        <v/>
      </c>
      <c r="H74" s="17">
        <f>IF($F74="","",IFERROR(INDEX(rngEPtype,MATCH($F74,rngEPcode,0)),"?"))</f>
        <v/>
      </c>
      <c r="I74" s="17">
        <f>IF($F74="","",IFERROR(INDEX(rngEPseq,MATCH($F74,rngEPcode,0)),""))</f>
        <v/>
      </c>
      <c r="J74" s="17">
        <f>IF($F74="","",IFERROR(INDEX(rngEPpass,MATCH($F74,rngEPcode,0)),cfgPassingScore))</f>
        <v/>
      </c>
      <c r="K74" s="16" t="n"/>
      <c r="L74" s="16" t="n"/>
      <c r="M74" s="17">
        <f>IF($C74="","",IF($L74="","",IF(NOT(ISNUMBER($L74)),$L74,IF(N($K74)&gt;2,"",IF($K74=1,IF(COUNTIFS(nrES_PID,$D74,nrES_Code,$F74,nrES_Att,2,nrES_Raw,"&gt;=0")&gt;0,"",$L74),IF($L74&gt;=$J74,MAX($J74,cfgRetakeRecordedCap),IF(COUNTIFS(nrES_PID,$D74,nrES_Code,$F74,nrES_Att,1)=0,$L74,SUMIFS(nrES_Raw,nrES_PID,$D74,nrES_Code,$F74,nrES_Att,1))))))))</f>
        <v/>
      </c>
      <c r="N74" s="17">
        <f>IF($C74="","",IF($L74="","",IF(NOT(ISNUMBER($L74)),"(not a score)",IF($L74&gt;=$J74,"Yes","No"))))</f>
        <v/>
      </c>
      <c r="O74" s="17">
        <f>IF($C74="","",IF($M74="","",IF(NOT(ISNUMBER($M74)),"(not a score)",IF($M74&gt;=$J74,"Yes","No"))))</f>
        <v/>
      </c>
      <c r="P74" s="17">
        <f>IF($C74="","",IF($K74="","",IF(N($K74)&gt;2,"No",IF(COUNTIFS(nrES_PID,$D74,nrES_Code,$F74,nrES_Att,"&gt;"&amp;$K74,nrES_Att,"&lt;=2",nrES_Raw,"&gt;=0")=0,"Yes","No"))))</f>
        <v/>
      </c>
      <c r="Q74" s="17">
        <f>IF($C74="","",IF($L74="","",IF(AND($K74=1,ISNUMBER($L74),$L74&lt;$J74,COUNTIFS(nrES_PID,$D74,nrES_Code,$F74,nrES_Att,2,nrES_Raw,"&gt;=0")=0),"Yes","No")))</f>
        <v/>
      </c>
      <c r="R74" s="17">
        <f>IF($C74="","",IF($L74="","",IF(AND(N($K74)&gt;=2,ISNUMBER($L74),$L74&lt;$J74),"Yes","No")))</f>
        <v/>
      </c>
      <c r="S74" s="18" t="n"/>
      <c r="T74" s="19">
        <f>IF(OR($C74="",$L74="",$K74&lt;&gt;1,NOT(ISNUMBER($L74)),$L74&gt;=$J74),"",IF($S74="","(enter date)",_xlfn.LET(_xlpm.dn,_xlfn.XLOOKUP($S74,nrCDdate,nrCDnum,"",1),IF(_xlpm.dn="","(after last class day)",_xlfn.LET(_xlpm.dd,_xlfn.XLOOKUP(_xlpm.dn+cfgRetestClassDays,nrCDnum,nrCDdate,""),_xlpm.ok,_xlfn.XLOOKUP(_xlpm.dn+cfgRetestClassDays,nrCDnum,nrCDinsession,"No"),IF(OR(_xlpm.dd="",_xlpm.ok&lt;&gt;"Yes"),"(after last class day)",_xlpm.dd))))))</f>
        <v/>
      </c>
      <c r="U74" s="17">
        <f>IF($C74="","",IF(AND($Y74="Excused",$L74="",N($K74)&lt;=1),"EXCUSED - 1st attempt pending",IF(OR($L74="",$K74&lt;&gt;1,NOT(ISNUMBER($L74)),$L74&gt;=$J74),"",IF(COUNTIFS(nrES_PID,$D74,nrES_Code,$F74,nrES_Att,2,nrES_Raw,"&gt;=0")&gt;0,IF(IFERROR(_xlfn.MINIFS(nrES_Date,nrES_PID,$D74,nrES_Code,$F74,nrES_Att,2,nrES_Raw,"&gt;=0",nrES_Date,"&gt;0"),0)=0,"RETEST UNDATED",IF(NOT(ISNUMBER($T74)),"RETEST DATE UNCHECKED",IF(_xlfn.MINIFS(nrES_Date,nrES_PID,$D74,nrES_Code,$F74,nrES_Att,2,nrES_Raw,"&gt;=0",nrES_Date,"&gt;0")&gt;$T74,"LATE RETEST "&amp;TEXT(_xlfn.MINIFS(nrES_Date,nrES_PID,$D74,nrES_Code,$F74,nrES_Att,2,nrES_Raw,"&gt;=0",nrES_Date,"&gt;0"),"mm/dd")&amp;" (due "&amp;TEXT($T74,"mm/dd")&amp;")","Retested"))),IF(NOT(ISNUMBER($T74)),"CHECK DATE",IF(TODAY()&gt;$T74,"OVERDUE","Due "&amp;TEXT($T74,"mm/dd")))))))</f>
        <v/>
      </c>
      <c r="V74" s="16" t="n"/>
      <c r="W74" s="16" t="n"/>
      <c r="X74" s="17">
        <f>IF($C74="","",IF(AND($L74&lt;&gt;"",NOT(ISNUMBER($L74))),"RAW SCORE NOT A NUMBER",IF(AND(ISNUMBER($L74),OR($L74&lt;0,$L74&gt;100)),"RAW SCORE OUT OF RANGE",IF(AND($Y74="Unexcused",OR($L74="",NOT(ISNUMBER($L74)),$L74&lt;&gt;0)),"UNEXCUSED ABSENCE MUST RECORD 0",IF(COUNTIF(nrES_RecID,$B74)&gt;1,"DUPLICATE RECORD",IF(N($K74)&gt;2,"ATTEMPT 3+ NOT ALLOWED - policy 300.5 permits one retest per exam; this row records nothing",IF(AND($K74=2,COUNTIFS(nrES_PID,$D74,nrES_Code,$F74,nrES_Att,1)=0),"ATTEMPT 2 WITHOUT ATTEMPT 1",IF(AND($K74=2,$L74=""),"RETEST ROW HAS NO SCORE",IF(AND($H74="Final",$L74&lt;&gt;"",IFERROR(INDEX(nrCKfinalExamElig,MATCH($D74,rngCadetPIDs,0)),"")="No"),"FINAL EXAM AFTER FAILED FINAL PT (500.1.H)",IF(AND($K74=2,ISNUMBER($L74),COUNTIFS(nrES_PID,$D74,nrES_Code,$F74,nrES_Att,1)&gt;0,SUMIFS(nrES_Raw,nrES_PID,$D74,nrES_Code,$F74,nrES_Att,1)&gt;=$J74),"RETEST AFTER A PASSING FIRST ATTEMPT","OK"))))))))))</f>
        <v/>
      </c>
      <c r="Y74" s="16" t="n"/>
    </row>
    <row r="75">
      <c r="B75" s="17">
        <f>IF($C75="","",$D75&amp;"-"&amp;$F75&amp;"-"&amp;$K75)</f>
        <v/>
      </c>
      <c r="C75" s="16" t="n"/>
      <c r="D75" s="17">
        <f>IF($C75="","",IFERROR(INDEX(rngCadetPIDs,MATCH($C75,rngCadetNames,0)),"?"))</f>
        <v/>
      </c>
      <c r="E75" s="17">
        <f>IF($D75="","",IFERROR(INDEX(nrCadetAgency,MATCH($D75,rngCadetPIDs,0)),""))</f>
        <v/>
      </c>
      <c r="F75" s="16" t="n"/>
      <c r="G75" s="17">
        <f>IF($F75="","",IFERROR(INDEX(rngEPname,MATCH($F75,rngEPcode,0)),"?"))</f>
        <v/>
      </c>
      <c r="H75" s="17">
        <f>IF($F75="","",IFERROR(INDEX(rngEPtype,MATCH($F75,rngEPcode,0)),"?"))</f>
        <v/>
      </c>
      <c r="I75" s="17">
        <f>IF($F75="","",IFERROR(INDEX(rngEPseq,MATCH($F75,rngEPcode,0)),""))</f>
        <v/>
      </c>
      <c r="J75" s="17">
        <f>IF($F75="","",IFERROR(INDEX(rngEPpass,MATCH($F75,rngEPcode,0)),cfgPassingScore))</f>
        <v/>
      </c>
      <c r="K75" s="16" t="n"/>
      <c r="L75" s="16" t="n"/>
      <c r="M75" s="17">
        <f>IF($C75="","",IF($L75="","",IF(NOT(ISNUMBER($L75)),$L75,IF(N($K75)&gt;2,"",IF($K75=1,IF(COUNTIFS(nrES_PID,$D75,nrES_Code,$F75,nrES_Att,2,nrES_Raw,"&gt;=0")&gt;0,"",$L75),IF($L75&gt;=$J75,MAX($J75,cfgRetakeRecordedCap),IF(COUNTIFS(nrES_PID,$D75,nrES_Code,$F75,nrES_Att,1)=0,$L75,SUMIFS(nrES_Raw,nrES_PID,$D75,nrES_Code,$F75,nrES_Att,1))))))))</f>
        <v/>
      </c>
      <c r="N75" s="17">
        <f>IF($C75="","",IF($L75="","",IF(NOT(ISNUMBER($L75)),"(not a score)",IF($L75&gt;=$J75,"Yes","No"))))</f>
        <v/>
      </c>
      <c r="O75" s="17">
        <f>IF($C75="","",IF($M75="","",IF(NOT(ISNUMBER($M75)),"(not a score)",IF($M75&gt;=$J75,"Yes","No"))))</f>
        <v/>
      </c>
      <c r="P75" s="17">
        <f>IF($C75="","",IF($K75="","",IF(N($K75)&gt;2,"No",IF(COUNTIFS(nrES_PID,$D75,nrES_Code,$F75,nrES_Att,"&gt;"&amp;$K75,nrES_Att,"&lt;=2",nrES_Raw,"&gt;=0")=0,"Yes","No"))))</f>
        <v/>
      </c>
      <c r="Q75" s="17">
        <f>IF($C75="","",IF($L75="","",IF(AND($K75=1,ISNUMBER($L75),$L75&lt;$J75,COUNTIFS(nrES_PID,$D75,nrES_Code,$F75,nrES_Att,2,nrES_Raw,"&gt;=0")=0),"Yes","No")))</f>
        <v/>
      </c>
      <c r="R75" s="17">
        <f>IF($C75="","",IF($L75="","",IF(AND(N($K75)&gt;=2,ISNUMBER($L75),$L75&lt;$J75),"Yes","No")))</f>
        <v/>
      </c>
      <c r="S75" s="18" t="n"/>
      <c r="T75" s="19">
        <f>IF(OR($C75="",$L75="",$K75&lt;&gt;1,NOT(ISNUMBER($L75)),$L75&gt;=$J75),"",IF($S75="","(enter date)",_xlfn.LET(_xlpm.dn,_xlfn.XLOOKUP($S75,nrCDdate,nrCDnum,"",1),IF(_xlpm.dn="","(after last class day)",_xlfn.LET(_xlpm.dd,_xlfn.XLOOKUP(_xlpm.dn+cfgRetestClassDays,nrCDnum,nrCDdate,""),_xlpm.ok,_xlfn.XLOOKUP(_xlpm.dn+cfgRetestClassDays,nrCDnum,nrCDinsession,"No"),IF(OR(_xlpm.dd="",_xlpm.ok&lt;&gt;"Yes"),"(after last class day)",_xlpm.dd))))))</f>
        <v/>
      </c>
      <c r="U75" s="17">
        <f>IF($C75="","",IF(AND($Y75="Excused",$L75="",N($K75)&lt;=1),"EXCUSED - 1st attempt pending",IF(OR($L75="",$K75&lt;&gt;1,NOT(ISNUMBER($L75)),$L75&gt;=$J75),"",IF(COUNTIFS(nrES_PID,$D75,nrES_Code,$F75,nrES_Att,2,nrES_Raw,"&gt;=0")&gt;0,IF(IFERROR(_xlfn.MINIFS(nrES_Date,nrES_PID,$D75,nrES_Code,$F75,nrES_Att,2,nrES_Raw,"&gt;=0",nrES_Date,"&gt;0"),0)=0,"RETEST UNDATED",IF(NOT(ISNUMBER($T75)),"RETEST DATE UNCHECKED",IF(_xlfn.MINIFS(nrES_Date,nrES_PID,$D75,nrES_Code,$F75,nrES_Att,2,nrES_Raw,"&gt;=0",nrES_Date,"&gt;0")&gt;$T75,"LATE RETEST "&amp;TEXT(_xlfn.MINIFS(nrES_Date,nrES_PID,$D75,nrES_Code,$F75,nrES_Att,2,nrES_Raw,"&gt;=0",nrES_Date,"&gt;0"),"mm/dd")&amp;" (due "&amp;TEXT($T75,"mm/dd")&amp;")","Retested"))),IF(NOT(ISNUMBER($T75)),"CHECK DATE",IF(TODAY()&gt;$T75,"OVERDUE","Due "&amp;TEXT($T75,"mm/dd")))))))</f>
        <v/>
      </c>
      <c r="V75" s="16" t="n"/>
      <c r="W75" s="16" t="n"/>
      <c r="X75" s="17">
        <f>IF($C75="","",IF(AND($L75&lt;&gt;"",NOT(ISNUMBER($L75))),"RAW SCORE NOT A NUMBER",IF(AND(ISNUMBER($L75),OR($L75&lt;0,$L75&gt;100)),"RAW SCORE OUT OF RANGE",IF(AND($Y75="Unexcused",OR($L75="",NOT(ISNUMBER($L75)),$L75&lt;&gt;0)),"UNEXCUSED ABSENCE MUST RECORD 0",IF(COUNTIF(nrES_RecID,$B75)&gt;1,"DUPLICATE RECORD",IF(N($K75)&gt;2,"ATTEMPT 3+ NOT ALLOWED - policy 300.5 permits one retest per exam; this row records nothing",IF(AND($K75=2,COUNTIFS(nrES_PID,$D75,nrES_Code,$F75,nrES_Att,1)=0),"ATTEMPT 2 WITHOUT ATTEMPT 1",IF(AND($K75=2,$L75=""),"RETEST ROW HAS NO SCORE",IF(AND($H75="Final",$L75&lt;&gt;"",IFERROR(INDEX(nrCKfinalExamElig,MATCH($D75,rngCadetPIDs,0)),"")="No"),"FINAL EXAM AFTER FAILED FINAL PT (500.1.H)",IF(AND($K75=2,ISNUMBER($L75),COUNTIFS(nrES_PID,$D75,nrES_Code,$F75,nrES_Att,1)&gt;0,SUMIFS(nrES_Raw,nrES_PID,$D75,nrES_Code,$F75,nrES_Att,1)&gt;=$J75),"RETEST AFTER A PASSING FIRST ATTEMPT","OK"))))))))))</f>
        <v/>
      </c>
      <c r="Y75" s="16" t="n"/>
    </row>
    <row r="76">
      <c r="B76" s="17">
        <f>IF($C76="","",$D76&amp;"-"&amp;$F76&amp;"-"&amp;$K76)</f>
        <v/>
      </c>
      <c r="C76" s="16" t="n"/>
      <c r="D76" s="17">
        <f>IF($C76="","",IFERROR(INDEX(rngCadetPIDs,MATCH($C76,rngCadetNames,0)),"?"))</f>
        <v/>
      </c>
      <c r="E76" s="17">
        <f>IF($D76="","",IFERROR(INDEX(nrCadetAgency,MATCH($D76,rngCadetPIDs,0)),""))</f>
        <v/>
      </c>
      <c r="F76" s="16" t="n"/>
      <c r="G76" s="17">
        <f>IF($F76="","",IFERROR(INDEX(rngEPname,MATCH($F76,rngEPcode,0)),"?"))</f>
        <v/>
      </c>
      <c r="H76" s="17">
        <f>IF($F76="","",IFERROR(INDEX(rngEPtype,MATCH($F76,rngEPcode,0)),"?"))</f>
        <v/>
      </c>
      <c r="I76" s="17">
        <f>IF($F76="","",IFERROR(INDEX(rngEPseq,MATCH($F76,rngEPcode,0)),""))</f>
        <v/>
      </c>
      <c r="J76" s="17">
        <f>IF($F76="","",IFERROR(INDEX(rngEPpass,MATCH($F76,rngEPcode,0)),cfgPassingScore))</f>
        <v/>
      </c>
      <c r="K76" s="16" t="n"/>
      <c r="L76" s="16" t="n"/>
      <c r="M76" s="17">
        <f>IF($C76="","",IF($L76="","",IF(NOT(ISNUMBER($L76)),$L76,IF(N($K76)&gt;2,"",IF($K76=1,IF(COUNTIFS(nrES_PID,$D76,nrES_Code,$F76,nrES_Att,2,nrES_Raw,"&gt;=0")&gt;0,"",$L76),IF($L76&gt;=$J76,MAX($J76,cfgRetakeRecordedCap),IF(COUNTIFS(nrES_PID,$D76,nrES_Code,$F76,nrES_Att,1)=0,$L76,SUMIFS(nrES_Raw,nrES_PID,$D76,nrES_Code,$F76,nrES_Att,1))))))))</f>
        <v/>
      </c>
      <c r="N76" s="17">
        <f>IF($C76="","",IF($L76="","",IF(NOT(ISNUMBER($L76)),"(not a score)",IF($L76&gt;=$J76,"Yes","No"))))</f>
        <v/>
      </c>
      <c r="O76" s="17">
        <f>IF($C76="","",IF($M76="","",IF(NOT(ISNUMBER($M76)),"(not a score)",IF($M76&gt;=$J76,"Yes","No"))))</f>
        <v/>
      </c>
      <c r="P76" s="17">
        <f>IF($C76="","",IF($K76="","",IF(N($K76)&gt;2,"No",IF(COUNTIFS(nrES_PID,$D76,nrES_Code,$F76,nrES_Att,"&gt;"&amp;$K76,nrES_Att,"&lt;=2",nrES_Raw,"&gt;=0")=0,"Yes","No"))))</f>
        <v/>
      </c>
      <c r="Q76" s="17">
        <f>IF($C76="","",IF($L76="","",IF(AND($K76=1,ISNUMBER($L76),$L76&lt;$J76,COUNTIFS(nrES_PID,$D76,nrES_Code,$F76,nrES_Att,2,nrES_Raw,"&gt;=0")=0),"Yes","No")))</f>
        <v/>
      </c>
      <c r="R76" s="17">
        <f>IF($C76="","",IF($L76="","",IF(AND(N($K76)&gt;=2,ISNUMBER($L76),$L76&lt;$J76),"Yes","No")))</f>
        <v/>
      </c>
      <c r="S76" s="18" t="n"/>
      <c r="T76" s="19">
        <f>IF(OR($C76="",$L76="",$K76&lt;&gt;1,NOT(ISNUMBER($L76)),$L76&gt;=$J76),"",IF($S76="","(enter date)",_xlfn.LET(_xlpm.dn,_xlfn.XLOOKUP($S76,nrCDdate,nrCDnum,"",1),IF(_xlpm.dn="","(after last class day)",_xlfn.LET(_xlpm.dd,_xlfn.XLOOKUP(_xlpm.dn+cfgRetestClassDays,nrCDnum,nrCDdate,""),_xlpm.ok,_xlfn.XLOOKUP(_xlpm.dn+cfgRetestClassDays,nrCDnum,nrCDinsession,"No"),IF(OR(_xlpm.dd="",_xlpm.ok&lt;&gt;"Yes"),"(after last class day)",_xlpm.dd))))))</f>
        <v/>
      </c>
      <c r="U76" s="17">
        <f>IF($C76="","",IF(AND($Y76="Excused",$L76="",N($K76)&lt;=1),"EXCUSED - 1st attempt pending",IF(OR($L76="",$K76&lt;&gt;1,NOT(ISNUMBER($L76)),$L76&gt;=$J76),"",IF(COUNTIFS(nrES_PID,$D76,nrES_Code,$F76,nrES_Att,2,nrES_Raw,"&gt;=0")&gt;0,IF(IFERROR(_xlfn.MINIFS(nrES_Date,nrES_PID,$D76,nrES_Code,$F76,nrES_Att,2,nrES_Raw,"&gt;=0",nrES_Date,"&gt;0"),0)=0,"RETEST UNDATED",IF(NOT(ISNUMBER($T76)),"RETEST DATE UNCHECKED",IF(_xlfn.MINIFS(nrES_Date,nrES_PID,$D76,nrES_Code,$F76,nrES_Att,2,nrES_Raw,"&gt;=0",nrES_Date,"&gt;0")&gt;$T76,"LATE RETEST "&amp;TEXT(_xlfn.MINIFS(nrES_Date,nrES_PID,$D76,nrES_Code,$F76,nrES_Att,2,nrES_Raw,"&gt;=0",nrES_Date,"&gt;0"),"mm/dd")&amp;" (due "&amp;TEXT($T76,"mm/dd")&amp;")","Retested"))),IF(NOT(ISNUMBER($T76)),"CHECK DATE",IF(TODAY()&gt;$T76,"OVERDUE","Due "&amp;TEXT($T76,"mm/dd")))))))</f>
        <v/>
      </c>
      <c r="V76" s="16" t="n"/>
      <c r="W76" s="16" t="n"/>
      <c r="X76" s="17">
        <f>IF($C76="","",IF(AND($L76&lt;&gt;"",NOT(ISNUMBER($L76))),"RAW SCORE NOT A NUMBER",IF(AND(ISNUMBER($L76),OR($L76&lt;0,$L76&gt;100)),"RAW SCORE OUT OF RANGE",IF(AND($Y76="Unexcused",OR($L76="",NOT(ISNUMBER($L76)),$L76&lt;&gt;0)),"UNEXCUSED ABSENCE MUST RECORD 0",IF(COUNTIF(nrES_RecID,$B76)&gt;1,"DUPLICATE RECORD",IF(N($K76)&gt;2,"ATTEMPT 3+ NOT ALLOWED - policy 300.5 permits one retest per exam; this row records nothing",IF(AND($K76=2,COUNTIFS(nrES_PID,$D76,nrES_Code,$F76,nrES_Att,1)=0),"ATTEMPT 2 WITHOUT ATTEMPT 1",IF(AND($K76=2,$L76=""),"RETEST ROW HAS NO SCORE",IF(AND($H76="Final",$L76&lt;&gt;"",IFERROR(INDEX(nrCKfinalExamElig,MATCH($D76,rngCadetPIDs,0)),"")="No"),"FINAL EXAM AFTER FAILED FINAL PT (500.1.H)",IF(AND($K76=2,ISNUMBER($L76),COUNTIFS(nrES_PID,$D76,nrES_Code,$F76,nrES_Att,1)&gt;0,SUMIFS(nrES_Raw,nrES_PID,$D76,nrES_Code,$F76,nrES_Att,1)&gt;=$J76),"RETEST AFTER A PASSING FIRST ATTEMPT","OK"))))))))))</f>
        <v/>
      </c>
      <c r="Y76" s="16" t="n"/>
    </row>
    <row r="77">
      <c r="B77" s="17">
        <f>IF($C77="","",$D77&amp;"-"&amp;$F77&amp;"-"&amp;$K77)</f>
        <v/>
      </c>
      <c r="C77" s="16" t="n"/>
      <c r="D77" s="17">
        <f>IF($C77="","",IFERROR(INDEX(rngCadetPIDs,MATCH($C77,rngCadetNames,0)),"?"))</f>
        <v/>
      </c>
      <c r="E77" s="17">
        <f>IF($D77="","",IFERROR(INDEX(nrCadetAgency,MATCH($D77,rngCadetPIDs,0)),""))</f>
        <v/>
      </c>
      <c r="F77" s="16" t="n"/>
      <c r="G77" s="17">
        <f>IF($F77="","",IFERROR(INDEX(rngEPname,MATCH($F77,rngEPcode,0)),"?"))</f>
        <v/>
      </c>
      <c r="H77" s="17">
        <f>IF($F77="","",IFERROR(INDEX(rngEPtype,MATCH($F77,rngEPcode,0)),"?"))</f>
        <v/>
      </c>
      <c r="I77" s="17">
        <f>IF($F77="","",IFERROR(INDEX(rngEPseq,MATCH($F77,rngEPcode,0)),""))</f>
        <v/>
      </c>
      <c r="J77" s="17">
        <f>IF($F77="","",IFERROR(INDEX(rngEPpass,MATCH($F77,rngEPcode,0)),cfgPassingScore))</f>
        <v/>
      </c>
      <c r="K77" s="16" t="n"/>
      <c r="L77" s="16" t="n"/>
      <c r="M77" s="17">
        <f>IF($C77="","",IF($L77="","",IF(NOT(ISNUMBER($L77)),$L77,IF(N($K77)&gt;2,"",IF($K77=1,IF(COUNTIFS(nrES_PID,$D77,nrES_Code,$F77,nrES_Att,2,nrES_Raw,"&gt;=0")&gt;0,"",$L77),IF($L77&gt;=$J77,MAX($J77,cfgRetakeRecordedCap),IF(COUNTIFS(nrES_PID,$D77,nrES_Code,$F77,nrES_Att,1)=0,$L77,SUMIFS(nrES_Raw,nrES_PID,$D77,nrES_Code,$F77,nrES_Att,1))))))))</f>
        <v/>
      </c>
      <c r="N77" s="17">
        <f>IF($C77="","",IF($L77="","",IF(NOT(ISNUMBER($L77)),"(not a score)",IF($L77&gt;=$J77,"Yes","No"))))</f>
        <v/>
      </c>
      <c r="O77" s="17">
        <f>IF($C77="","",IF($M77="","",IF(NOT(ISNUMBER($M77)),"(not a score)",IF($M77&gt;=$J77,"Yes","No"))))</f>
        <v/>
      </c>
      <c r="P77" s="17">
        <f>IF($C77="","",IF($K77="","",IF(N($K77)&gt;2,"No",IF(COUNTIFS(nrES_PID,$D77,nrES_Code,$F77,nrES_Att,"&gt;"&amp;$K77,nrES_Att,"&lt;=2",nrES_Raw,"&gt;=0")=0,"Yes","No"))))</f>
        <v/>
      </c>
      <c r="Q77" s="17">
        <f>IF($C77="","",IF($L77="","",IF(AND($K77=1,ISNUMBER($L77),$L77&lt;$J77,COUNTIFS(nrES_PID,$D77,nrES_Code,$F77,nrES_Att,2,nrES_Raw,"&gt;=0")=0),"Yes","No")))</f>
        <v/>
      </c>
      <c r="R77" s="17">
        <f>IF($C77="","",IF($L77="","",IF(AND(N($K77)&gt;=2,ISNUMBER($L77),$L77&lt;$J77),"Yes","No")))</f>
        <v/>
      </c>
      <c r="S77" s="18" t="n"/>
      <c r="T77" s="19">
        <f>IF(OR($C77="",$L77="",$K77&lt;&gt;1,NOT(ISNUMBER($L77)),$L77&gt;=$J77),"",IF($S77="","(enter date)",_xlfn.LET(_xlpm.dn,_xlfn.XLOOKUP($S77,nrCDdate,nrCDnum,"",1),IF(_xlpm.dn="","(after last class day)",_xlfn.LET(_xlpm.dd,_xlfn.XLOOKUP(_xlpm.dn+cfgRetestClassDays,nrCDnum,nrCDdate,""),_xlpm.ok,_xlfn.XLOOKUP(_xlpm.dn+cfgRetestClassDays,nrCDnum,nrCDinsession,"No"),IF(OR(_xlpm.dd="",_xlpm.ok&lt;&gt;"Yes"),"(after last class day)",_xlpm.dd))))))</f>
        <v/>
      </c>
      <c r="U77" s="17">
        <f>IF($C77="","",IF(AND($Y77="Excused",$L77="",N($K77)&lt;=1),"EXCUSED - 1st attempt pending",IF(OR($L77="",$K77&lt;&gt;1,NOT(ISNUMBER($L77)),$L77&gt;=$J77),"",IF(COUNTIFS(nrES_PID,$D77,nrES_Code,$F77,nrES_Att,2,nrES_Raw,"&gt;=0")&gt;0,IF(IFERROR(_xlfn.MINIFS(nrES_Date,nrES_PID,$D77,nrES_Code,$F77,nrES_Att,2,nrES_Raw,"&gt;=0",nrES_Date,"&gt;0"),0)=0,"RETEST UNDATED",IF(NOT(ISNUMBER($T77)),"RETEST DATE UNCHECKED",IF(_xlfn.MINIFS(nrES_Date,nrES_PID,$D77,nrES_Code,$F77,nrES_Att,2,nrES_Raw,"&gt;=0",nrES_Date,"&gt;0")&gt;$T77,"LATE RETEST "&amp;TEXT(_xlfn.MINIFS(nrES_Date,nrES_PID,$D77,nrES_Code,$F77,nrES_Att,2,nrES_Raw,"&gt;=0",nrES_Date,"&gt;0"),"mm/dd")&amp;" (due "&amp;TEXT($T77,"mm/dd")&amp;")","Retested"))),IF(NOT(ISNUMBER($T77)),"CHECK DATE",IF(TODAY()&gt;$T77,"OVERDUE","Due "&amp;TEXT($T77,"mm/dd")))))))</f>
        <v/>
      </c>
      <c r="V77" s="16" t="n"/>
      <c r="W77" s="16" t="n"/>
      <c r="X77" s="17">
        <f>IF($C77="","",IF(AND($L77&lt;&gt;"",NOT(ISNUMBER($L77))),"RAW SCORE NOT A NUMBER",IF(AND(ISNUMBER($L77),OR($L77&lt;0,$L77&gt;100)),"RAW SCORE OUT OF RANGE",IF(AND($Y77="Unexcused",OR($L77="",NOT(ISNUMBER($L77)),$L77&lt;&gt;0)),"UNEXCUSED ABSENCE MUST RECORD 0",IF(COUNTIF(nrES_RecID,$B77)&gt;1,"DUPLICATE RECORD",IF(N($K77)&gt;2,"ATTEMPT 3+ NOT ALLOWED - policy 300.5 permits one retest per exam; this row records nothing",IF(AND($K77=2,COUNTIFS(nrES_PID,$D77,nrES_Code,$F77,nrES_Att,1)=0),"ATTEMPT 2 WITHOUT ATTEMPT 1",IF(AND($K77=2,$L77=""),"RETEST ROW HAS NO SCORE",IF(AND($H77="Final",$L77&lt;&gt;"",IFERROR(INDEX(nrCKfinalExamElig,MATCH($D77,rngCadetPIDs,0)),"")="No"),"FINAL EXAM AFTER FAILED FINAL PT (500.1.H)",IF(AND($K77=2,ISNUMBER($L77),COUNTIFS(nrES_PID,$D77,nrES_Code,$F77,nrES_Att,1)&gt;0,SUMIFS(nrES_Raw,nrES_PID,$D77,nrES_Code,$F77,nrES_Att,1)&gt;=$J77),"RETEST AFTER A PASSING FIRST ATTEMPT","OK"))))))))))</f>
        <v/>
      </c>
      <c r="Y77" s="16" t="n"/>
    </row>
    <row r="78">
      <c r="B78" s="17">
        <f>IF($C78="","",$D78&amp;"-"&amp;$F78&amp;"-"&amp;$K78)</f>
        <v/>
      </c>
      <c r="C78" s="16" t="n"/>
      <c r="D78" s="17">
        <f>IF($C78="","",IFERROR(INDEX(rngCadetPIDs,MATCH($C78,rngCadetNames,0)),"?"))</f>
        <v/>
      </c>
      <c r="E78" s="17">
        <f>IF($D78="","",IFERROR(INDEX(nrCadetAgency,MATCH($D78,rngCadetPIDs,0)),""))</f>
        <v/>
      </c>
      <c r="F78" s="16" t="n"/>
      <c r="G78" s="17">
        <f>IF($F78="","",IFERROR(INDEX(rngEPname,MATCH($F78,rngEPcode,0)),"?"))</f>
        <v/>
      </c>
      <c r="H78" s="17">
        <f>IF($F78="","",IFERROR(INDEX(rngEPtype,MATCH($F78,rngEPcode,0)),"?"))</f>
        <v/>
      </c>
      <c r="I78" s="17">
        <f>IF($F78="","",IFERROR(INDEX(rngEPseq,MATCH($F78,rngEPcode,0)),""))</f>
        <v/>
      </c>
      <c r="J78" s="17">
        <f>IF($F78="","",IFERROR(INDEX(rngEPpass,MATCH($F78,rngEPcode,0)),cfgPassingScore))</f>
        <v/>
      </c>
      <c r="K78" s="16" t="n"/>
      <c r="L78" s="16" t="n"/>
      <c r="M78" s="17">
        <f>IF($C78="","",IF($L78="","",IF(NOT(ISNUMBER($L78)),$L78,IF(N($K78)&gt;2,"",IF($K78=1,IF(COUNTIFS(nrES_PID,$D78,nrES_Code,$F78,nrES_Att,2,nrES_Raw,"&gt;=0")&gt;0,"",$L78),IF($L78&gt;=$J78,MAX($J78,cfgRetakeRecordedCap),IF(COUNTIFS(nrES_PID,$D78,nrES_Code,$F78,nrES_Att,1)=0,$L78,SUMIFS(nrES_Raw,nrES_PID,$D78,nrES_Code,$F78,nrES_Att,1))))))))</f>
        <v/>
      </c>
      <c r="N78" s="17">
        <f>IF($C78="","",IF($L78="","",IF(NOT(ISNUMBER($L78)),"(not a score)",IF($L78&gt;=$J78,"Yes","No"))))</f>
        <v/>
      </c>
      <c r="O78" s="17">
        <f>IF($C78="","",IF($M78="","",IF(NOT(ISNUMBER($M78)),"(not a score)",IF($M78&gt;=$J78,"Yes","No"))))</f>
        <v/>
      </c>
      <c r="P78" s="17">
        <f>IF($C78="","",IF($K78="","",IF(N($K78)&gt;2,"No",IF(COUNTIFS(nrES_PID,$D78,nrES_Code,$F78,nrES_Att,"&gt;"&amp;$K78,nrES_Att,"&lt;=2",nrES_Raw,"&gt;=0")=0,"Yes","No"))))</f>
        <v/>
      </c>
      <c r="Q78" s="17">
        <f>IF($C78="","",IF($L78="","",IF(AND($K78=1,ISNUMBER($L78),$L78&lt;$J78,COUNTIFS(nrES_PID,$D78,nrES_Code,$F78,nrES_Att,2,nrES_Raw,"&gt;=0")=0),"Yes","No")))</f>
        <v/>
      </c>
      <c r="R78" s="17">
        <f>IF($C78="","",IF($L78="","",IF(AND(N($K78)&gt;=2,ISNUMBER($L78),$L78&lt;$J78),"Yes","No")))</f>
        <v/>
      </c>
      <c r="S78" s="18" t="n"/>
      <c r="T78" s="19">
        <f>IF(OR($C78="",$L78="",$K78&lt;&gt;1,NOT(ISNUMBER($L78)),$L78&gt;=$J78),"",IF($S78="","(enter date)",_xlfn.LET(_xlpm.dn,_xlfn.XLOOKUP($S78,nrCDdate,nrCDnum,"",1),IF(_xlpm.dn="","(after last class day)",_xlfn.LET(_xlpm.dd,_xlfn.XLOOKUP(_xlpm.dn+cfgRetestClassDays,nrCDnum,nrCDdate,""),_xlpm.ok,_xlfn.XLOOKUP(_xlpm.dn+cfgRetestClassDays,nrCDnum,nrCDinsession,"No"),IF(OR(_xlpm.dd="",_xlpm.ok&lt;&gt;"Yes"),"(after last class day)",_xlpm.dd))))))</f>
        <v/>
      </c>
      <c r="U78" s="17">
        <f>IF($C78="","",IF(AND($Y78="Excused",$L78="",N($K78)&lt;=1),"EXCUSED - 1st attempt pending",IF(OR($L78="",$K78&lt;&gt;1,NOT(ISNUMBER($L78)),$L78&gt;=$J78),"",IF(COUNTIFS(nrES_PID,$D78,nrES_Code,$F78,nrES_Att,2,nrES_Raw,"&gt;=0")&gt;0,IF(IFERROR(_xlfn.MINIFS(nrES_Date,nrES_PID,$D78,nrES_Code,$F78,nrES_Att,2,nrES_Raw,"&gt;=0",nrES_Date,"&gt;0"),0)=0,"RETEST UNDATED",IF(NOT(ISNUMBER($T78)),"RETEST DATE UNCHECKED",IF(_xlfn.MINIFS(nrES_Date,nrES_PID,$D78,nrES_Code,$F78,nrES_Att,2,nrES_Raw,"&gt;=0",nrES_Date,"&gt;0")&gt;$T78,"LATE RETEST "&amp;TEXT(_xlfn.MINIFS(nrES_Date,nrES_PID,$D78,nrES_Code,$F78,nrES_Att,2,nrES_Raw,"&gt;=0",nrES_Date,"&gt;0"),"mm/dd")&amp;" (due "&amp;TEXT($T78,"mm/dd")&amp;")","Retested"))),IF(NOT(ISNUMBER($T78)),"CHECK DATE",IF(TODAY()&gt;$T78,"OVERDUE","Due "&amp;TEXT($T78,"mm/dd")))))))</f>
        <v/>
      </c>
      <c r="V78" s="16" t="n"/>
      <c r="W78" s="16" t="n"/>
      <c r="X78" s="17">
        <f>IF($C78="","",IF(AND($L78&lt;&gt;"",NOT(ISNUMBER($L78))),"RAW SCORE NOT A NUMBER",IF(AND(ISNUMBER($L78),OR($L78&lt;0,$L78&gt;100)),"RAW SCORE OUT OF RANGE",IF(AND($Y78="Unexcused",OR($L78="",NOT(ISNUMBER($L78)),$L78&lt;&gt;0)),"UNEXCUSED ABSENCE MUST RECORD 0",IF(COUNTIF(nrES_RecID,$B78)&gt;1,"DUPLICATE RECORD",IF(N($K78)&gt;2,"ATTEMPT 3+ NOT ALLOWED - policy 300.5 permits one retest per exam; this row records nothing",IF(AND($K78=2,COUNTIFS(nrES_PID,$D78,nrES_Code,$F78,nrES_Att,1)=0),"ATTEMPT 2 WITHOUT ATTEMPT 1",IF(AND($K78=2,$L78=""),"RETEST ROW HAS NO SCORE",IF(AND($H78="Final",$L78&lt;&gt;"",IFERROR(INDEX(nrCKfinalExamElig,MATCH($D78,rngCadetPIDs,0)),"")="No"),"FINAL EXAM AFTER FAILED FINAL PT (500.1.H)",IF(AND($K78=2,ISNUMBER($L78),COUNTIFS(nrES_PID,$D78,nrES_Code,$F78,nrES_Att,1)&gt;0,SUMIFS(nrES_Raw,nrES_PID,$D78,nrES_Code,$F78,nrES_Att,1)&gt;=$J78),"RETEST AFTER A PASSING FIRST ATTEMPT","OK"))))))))))</f>
        <v/>
      </c>
      <c r="Y78" s="16" t="n"/>
    </row>
    <row r="79">
      <c r="B79" s="17">
        <f>IF($C79="","",$D79&amp;"-"&amp;$F79&amp;"-"&amp;$K79)</f>
        <v/>
      </c>
      <c r="C79" s="16" t="n"/>
      <c r="D79" s="17">
        <f>IF($C79="","",IFERROR(INDEX(rngCadetPIDs,MATCH($C79,rngCadetNames,0)),"?"))</f>
        <v/>
      </c>
      <c r="E79" s="17">
        <f>IF($D79="","",IFERROR(INDEX(nrCadetAgency,MATCH($D79,rngCadetPIDs,0)),""))</f>
        <v/>
      </c>
      <c r="F79" s="16" t="n"/>
      <c r="G79" s="17">
        <f>IF($F79="","",IFERROR(INDEX(rngEPname,MATCH($F79,rngEPcode,0)),"?"))</f>
        <v/>
      </c>
      <c r="H79" s="17">
        <f>IF($F79="","",IFERROR(INDEX(rngEPtype,MATCH($F79,rngEPcode,0)),"?"))</f>
        <v/>
      </c>
      <c r="I79" s="17">
        <f>IF($F79="","",IFERROR(INDEX(rngEPseq,MATCH($F79,rngEPcode,0)),""))</f>
        <v/>
      </c>
      <c r="J79" s="17">
        <f>IF($F79="","",IFERROR(INDEX(rngEPpass,MATCH($F79,rngEPcode,0)),cfgPassingScore))</f>
        <v/>
      </c>
      <c r="K79" s="16" t="n"/>
      <c r="L79" s="16" t="n"/>
      <c r="M79" s="17">
        <f>IF($C79="","",IF($L79="","",IF(NOT(ISNUMBER($L79)),$L79,IF(N($K79)&gt;2,"",IF($K79=1,IF(COUNTIFS(nrES_PID,$D79,nrES_Code,$F79,nrES_Att,2,nrES_Raw,"&gt;=0")&gt;0,"",$L79),IF($L79&gt;=$J79,MAX($J79,cfgRetakeRecordedCap),IF(COUNTIFS(nrES_PID,$D79,nrES_Code,$F79,nrES_Att,1)=0,$L79,SUMIFS(nrES_Raw,nrES_PID,$D79,nrES_Code,$F79,nrES_Att,1))))))))</f>
        <v/>
      </c>
      <c r="N79" s="17">
        <f>IF($C79="","",IF($L79="","",IF(NOT(ISNUMBER($L79)),"(not a score)",IF($L79&gt;=$J79,"Yes","No"))))</f>
        <v/>
      </c>
      <c r="O79" s="17">
        <f>IF($C79="","",IF($M79="","",IF(NOT(ISNUMBER($M79)),"(not a score)",IF($M79&gt;=$J79,"Yes","No"))))</f>
        <v/>
      </c>
      <c r="P79" s="17">
        <f>IF($C79="","",IF($K79="","",IF(N($K79)&gt;2,"No",IF(COUNTIFS(nrES_PID,$D79,nrES_Code,$F79,nrES_Att,"&gt;"&amp;$K79,nrES_Att,"&lt;=2",nrES_Raw,"&gt;=0")=0,"Yes","No"))))</f>
        <v/>
      </c>
      <c r="Q79" s="17">
        <f>IF($C79="","",IF($L79="","",IF(AND($K79=1,ISNUMBER($L79),$L79&lt;$J79,COUNTIFS(nrES_PID,$D79,nrES_Code,$F79,nrES_Att,2,nrES_Raw,"&gt;=0")=0),"Yes","No")))</f>
        <v/>
      </c>
      <c r="R79" s="17">
        <f>IF($C79="","",IF($L79="","",IF(AND(N($K79)&gt;=2,ISNUMBER($L79),$L79&lt;$J79),"Yes","No")))</f>
        <v/>
      </c>
      <c r="S79" s="18" t="n"/>
      <c r="T79" s="19">
        <f>IF(OR($C79="",$L79="",$K79&lt;&gt;1,NOT(ISNUMBER($L79)),$L79&gt;=$J79),"",IF($S79="","(enter date)",_xlfn.LET(_xlpm.dn,_xlfn.XLOOKUP($S79,nrCDdate,nrCDnum,"",1),IF(_xlpm.dn="","(after last class day)",_xlfn.LET(_xlpm.dd,_xlfn.XLOOKUP(_xlpm.dn+cfgRetestClassDays,nrCDnum,nrCDdate,""),_xlpm.ok,_xlfn.XLOOKUP(_xlpm.dn+cfgRetestClassDays,nrCDnum,nrCDinsession,"No"),IF(OR(_xlpm.dd="",_xlpm.ok&lt;&gt;"Yes"),"(after last class day)",_xlpm.dd))))))</f>
        <v/>
      </c>
      <c r="U79" s="17">
        <f>IF($C79="","",IF(AND($Y79="Excused",$L79="",N($K79)&lt;=1),"EXCUSED - 1st attempt pending",IF(OR($L79="",$K79&lt;&gt;1,NOT(ISNUMBER($L79)),$L79&gt;=$J79),"",IF(COUNTIFS(nrES_PID,$D79,nrES_Code,$F79,nrES_Att,2,nrES_Raw,"&gt;=0")&gt;0,IF(IFERROR(_xlfn.MINIFS(nrES_Date,nrES_PID,$D79,nrES_Code,$F79,nrES_Att,2,nrES_Raw,"&gt;=0",nrES_Date,"&gt;0"),0)=0,"RETEST UNDATED",IF(NOT(ISNUMBER($T79)),"RETEST DATE UNCHECKED",IF(_xlfn.MINIFS(nrES_Date,nrES_PID,$D79,nrES_Code,$F79,nrES_Att,2,nrES_Raw,"&gt;=0",nrES_Date,"&gt;0")&gt;$T79,"LATE RETEST "&amp;TEXT(_xlfn.MINIFS(nrES_Date,nrES_PID,$D79,nrES_Code,$F79,nrES_Att,2,nrES_Raw,"&gt;=0",nrES_Date,"&gt;0"),"mm/dd")&amp;" (due "&amp;TEXT($T79,"mm/dd")&amp;")","Retested"))),IF(NOT(ISNUMBER($T79)),"CHECK DATE",IF(TODAY()&gt;$T79,"OVERDUE","Due "&amp;TEXT($T79,"mm/dd")))))))</f>
        <v/>
      </c>
      <c r="V79" s="16" t="n"/>
      <c r="W79" s="16" t="n"/>
      <c r="X79" s="17">
        <f>IF($C79="","",IF(AND($L79&lt;&gt;"",NOT(ISNUMBER($L79))),"RAW SCORE NOT A NUMBER",IF(AND(ISNUMBER($L79),OR($L79&lt;0,$L79&gt;100)),"RAW SCORE OUT OF RANGE",IF(AND($Y79="Unexcused",OR($L79="",NOT(ISNUMBER($L79)),$L79&lt;&gt;0)),"UNEXCUSED ABSENCE MUST RECORD 0",IF(COUNTIF(nrES_RecID,$B79)&gt;1,"DUPLICATE RECORD",IF(N($K79)&gt;2,"ATTEMPT 3+ NOT ALLOWED - policy 300.5 permits one retest per exam; this row records nothing",IF(AND($K79=2,COUNTIFS(nrES_PID,$D79,nrES_Code,$F79,nrES_Att,1)=0),"ATTEMPT 2 WITHOUT ATTEMPT 1",IF(AND($K79=2,$L79=""),"RETEST ROW HAS NO SCORE",IF(AND($H79="Final",$L79&lt;&gt;"",IFERROR(INDEX(nrCKfinalExamElig,MATCH($D79,rngCadetPIDs,0)),"")="No"),"FINAL EXAM AFTER FAILED FINAL PT (500.1.H)",IF(AND($K79=2,ISNUMBER($L79),COUNTIFS(nrES_PID,$D79,nrES_Code,$F79,nrES_Att,1)&gt;0,SUMIFS(nrES_Raw,nrES_PID,$D79,nrES_Code,$F79,nrES_Att,1)&gt;=$J79),"RETEST AFTER A PASSING FIRST ATTEMPT","OK"))))))))))</f>
        <v/>
      </c>
      <c r="Y79" s="16" t="n"/>
    </row>
    <row r="80">
      <c r="B80" s="17">
        <f>IF($C80="","",$D80&amp;"-"&amp;$F80&amp;"-"&amp;$K80)</f>
        <v/>
      </c>
      <c r="C80" s="16" t="n"/>
      <c r="D80" s="17">
        <f>IF($C80="","",IFERROR(INDEX(rngCadetPIDs,MATCH($C80,rngCadetNames,0)),"?"))</f>
        <v/>
      </c>
      <c r="E80" s="17">
        <f>IF($D80="","",IFERROR(INDEX(nrCadetAgency,MATCH($D80,rngCadetPIDs,0)),""))</f>
        <v/>
      </c>
      <c r="F80" s="16" t="n"/>
      <c r="G80" s="17">
        <f>IF($F80="","",IFERROR(INDEX(rngEPname,MATCH($F80,rngEPcode,0)),"?"))</f>
        <v/>
      </c>
      <c r="H80" s="17">
        <f>IF($F80="","",IFERROR(INDEX(rngEPtype,MATCH($F80,rngEPcode,0)),"?"))</f>
        <v/>
      </c>
      <c r="I80" s="17">
        <f>IF($F80="","",IFERROR(INDEX(rngEPseq,MATCH($F80,rngEPcode,0)),""))</f>
        <v/>
      </c>
      <c r="J80" s="17">
        <f>IF($F80="","",IFERROR(INDEX(rngEPpass,MATCH($F80,rngEPcode,0)),cfgPassingScore))</f>
        <v/>
      </c>
      <c r="K80" s="16" t="n"/>
      <c r="L80" s="16" t="n"/>
      <c r="M80" s="17">
        <f>IF($C80="","",IF($L80="","",IF(NOT(ISNUMBER($L80)),$L80,IF(N($K80)&gt;2,"",IF($K80=1,IF(COUNTIFS(nrES_PID,$D80,nrES_Code,$F80,nrES_Att,2,nrES_Raw,"&gt;=0")&gt;0,"",$L80),IF($L80&gt;=$J80,MAX($J80,cfgRetakeRecordedCap),IF(COUNTIFS(nrES_PID,$D80,nrES_Code,$F80,nrES_Att,1)=0,$L80,SUMIFS(nrES_Raw,nrES_PID,$D80,nrES_Code,$F80,nrES_Att,1))))))))</f>
        <v/>
      </c>
      <c r="N80" s="17">
        <f>IF($C80="","",IF($L80="","",IF(NOT(ISNUMBER($L80)),"(not a score)",IF($L80&gt;=$J80,"Yes","No"))))</f>
        <v/>
      </c>
      <c r="O80" s="17">
        <f>IF($C80="","",IF($M80="","",IF(NOT(ISNUMBER($M80)),"(not a score)",IF($M80&gt;=$J80,"Yes","No"))))</f>
        <v/>
      </c>
      <c r="P80" s="17">
        <f>IF($C80="","",IF($K80="","",IF(N($K80)&gt;2,"No",IF(COUNTIFS(nrES_PID,$D80,nrES_Code,$F80,nrES_Att,"&gt;"&amp;$K80,nrES_Att,"&lt;=2",nrES_Raw,"&gt;=0")=0,"Yes","No"))))</f>
        <v/>
      </c>
      <c r="Q80" s="17">
        <f>IF($C80="","",IF($L80="","",IF(AND($K80=1,ISNUMBER($L80),$L80&lt;$J80,COUNTIFS(nrES_PID,$D80,nrES_Code,$F80,nrES_Att,2,nrES_Raw,"&gt;=0")=0),"Yes","No")))</f>
        <v/>
      </c>
      <c r="R80" s="17">
        <f>IF($C80="","",IF($L80="","",IF(AND(N($K80)&gt;=2,ISNUMBER($L80),$L80&lt;$J80),"Yes","No")))</f>
        <v/>
      </c>
      <c r="S80" s="18" t="n"/>
      <c r="T80" s="19">
        <f>IF(OR($C80="",$L80="",$K80&lt;&gt;1,NOT(ISNUMBER($L80)),$L80&gt;=$J80),"",IF($S80="","(enter date)",_xlfn.LET(_xlpm.dn,_xlfn.XLOOKUP($S80,nrCDdate,nrCDnum,"",1),IF(_xlpm.dn="","(after last class day)",_xlfn.LET(_xlpm.dd,_xlfn.XLOOKUP(_xlpm.dn+cfgRetestClassDays,nrCDnum,nrCDdate,""),_xlpm.ok,_xlfn.XLOOKUP(_xlpm.dn+cfgRetestClassDays,nrCDnum,nrCDinsession,"No"),IF(OR(_xlpm.dd="",_xlpm.ok&lt;&gt;"Yes"),"(after last class day)",_xlpm.dd))))))</f>
        <v/>
      </c>
      <c r="U80" s="17">
        <f>IF($C80="","",IF(AND($Y80="Excused",$L80="",N($K80)&lt;=1),"EXCUSED - 1st attempt pending",IF(OR($L80="",$K80&lt;&gt;1,NOT(ISNUMBER($L80)),$L80&gt;=$J80),"",IF(COUNTIFS(nrES_PID,$D80,nrES_Code,$F80,nrES_Att,2,nrES_Raw,"&gt;=0")&gt;0,IF(IFERROR(_xlfn.MINIFS(nrES_Date,nrES_PID,$D80,nrES_Code,$F80,nrES_Att,2,nrES_Raw,"&gt;=0",nrES_Date,"&gt;0"),0)=0,"RETEST UNDATED",IF(NOT(ISNUMBER($T80)),"RETEST DATE UNCHECKED",IF(_xlfn.MINIFS(nrES_Date,nrES_PID,$D80,nrES_Code,$F80,nrES_Att,2,nrES_Raw,"&gt;=0",nrES_Date,"&gt;0")&gt;$T80,"LATE RETEST "&amp;TEXT(_xlfn.MINIFS(nrES_Date,nrES_PID,$D80,nrES_Code,$F80,nrES_Att,2,nrES_Raw,"&gt;=0",nrES_Date,"&gt;0"),"mm/dd")&amp;" (due "&amp;TEXT($T80,"mm/dd")&amp;")","Retested"))),IF(NOT(ISNUMBER($T80)),"CHECK DATE",IF(TODAY()&gt;$T80,"OVERDUE","Due "&amp;TEXT($T80,"mm/dd")))))))</f>
        <v/>
      </c>
      <c r="V80" s="16" t="n"/>
      <c r="W80" s="16" t="n"/>
      <c r="X80" s="17">
        <f>IF($C80="","",IF(AND($L80&lt;&gt;"",NOT(ISNUMBER($L80))),"RAW SCORE NOT A NUMBER",IF(AND(ISNUMBER($L80),OR($L80&lt;0,$L80&gt;100)),"RAW SCORE OUT OF RANGE",IF(AND($Y80="Unexcused",OR($L80="",NOT(ISNUMBER($L80)),$L80&lt;&gt;0)),"UNEXCUSED ABSENCE MUST RECORD 0",IF(COUNTIF(nrES_RecID,$B80)&gt;1,"DUPLICATE RECORD",IF(N($K80)&gt;2,"ATTEMPT 3+ NOT ALLOWED - policy 300.5 permits one retest per exam; this row records nothing",IF(AND($K80=2,COUNTIFS(nrES_PID,$D80,nrES_Code,$F80,nrES_Att,1)=0),"ATTEMPT 2 WITHOUT ATTEMPT 1",IF(AND($K80=2,$L80=""),"RETEST ROW HAS NO SCORE",IF(AND($H80="Final",$L80&lt;&gt;"",IFERROR(INDEX(nrCKfinalExamElig,MATCH($D80,rngCadetPIDs,0)),"")="No"),"FINAL EXAM AFTER FAILED FINAL PT (500.1.H)",IF(AND($K80=2,ISNUMBER($L80),COUNTIFS(nrES_PID,$D80,nrES_Code,$F80,nrES_Att,1)&gt;0,SUMIFS(nrES_Raw,nrES_PID,$D80,nrES_Code,$F80,nrES_Att,1)&gt;=$J80),"RETEST AFTER A PASSING FIRST ATTEMPT","OK"))))))))))</f>
        <v/>
      </c>
      <c r="Y80" s="16" t="n"/>
    </row>
    <row r="81">
      <c r="B81" s="17">
        <f>IF($C81="","",$D81&amp;"-"&amp;$F81&amp;"-"&amp;$K81)</f>
        <v/>
      </c>
      <c r="C81" s="16" t="n"/>
      <c r="D81" s="17">
        <f>IF($C81="","",IFERROR(INDEX(rngCadetPIDs,MATCH($C81,rngCadetNames,0)),"?"))</f>
        <v/>
      </c>
      <c r="E81" s="17">
        <f>IF($D81="","",IFERROR(INDEX(nrCadetAgency,MATCH($D81,rngCadetPIDs,0)),""))</f>
        <v/>
      </c>
      <c r="F81" s="16" t="n"/>
      <c r="G81" s="17">
        <f>IF($F81="","",IFERROR(INDEX(rngEPname,MATCH($F81,rngEPcode,0)),"?"))</f>
        <v/>
      </c>
      <c r="H81" s="17">
        <f>IF($F81="","",IFERROR(INDEX(rngEPtype,MATCH($F81,rngEPcode,0)),"?"))</f>
        <v/>
      </c>
      <c r="I81" s="17">
        <f>IF($F81="","",IFERROR(INDEX(rngEPseq,MATCH($F81,rngEPcode,0)),""))</f>
        <v/>
      </c>
      <c r="J81" s="17">
        <f>IF($F81="","",IFERROR(INDEX(rngEPpass,MATCH($F81,rngEPcode,0)),cfgPassingScore))</f>
        <v/>
      </c>
      <c r="K81" s="16" t="n"/>
      <c r="L81" s="16" t="n"/>
      <c r="M81" s="17">
        <f>IF($C81="","",IF($L81="","",IF(NOT(ISNUMBER($L81)),$L81,IF(N($K81)&gt;2,"",IF($K81=1,IF(COUNTIFS(nrES_PID,$D81,nrES_Code,$F81,nrES_Att,2,nrES_Raw,"&gt;=0")&gt;0,"",$L81),IF($L81&gt;=$J81,MAX($J81,cfgRetakeRecordedCap),IF(COUNTIFS(nrES_PID,$D81,nrES_Code,$F81,nrES_Att,1)=0,$L81,SUMIFS(nrES_Raw,nrES_PID,$D81,nrES_Code,$F81,nrES_Att,1))))))))</f>
        <v/>
      </c>
      <c r="N81" s="17">
        <f>IF($C81="","",IF($L81="","",IF(NOT(ISNUMBER($L81)),"(not a score)",IF($L81&gt;=$J81,"Yes","No"))))</f>
        <v/>
      </c>
      <c r="O81" s="17">
        <f>IF($C81="","",IF($M81="","",IF(NOT(ISNUMBER($M81)),"(not a score)",IF($M81&gt;=$J81,"Yes","No"))))</f>
        <v/>
      </c>
      <c r="P81" s="17">
        <f>IF($C81="","",IF($K81="","",IF(N($K81)&gt;2,"No",IF(COUNTIFS(nrES_PID,$D81,nrES_Code,$F81,nrES_Att,"&gt;"&amp;$K81,nrES_Att,"&lt;=2",nrES_Raw,"&gt;=0")=0,"Yes","No"))))</f>
        <v/>
      </c>
      <c r="Q81" s="17">
        <f>IF($C81="","",IF($L81="","",IF(AND($K81=1,ISNUMBER($L81),$L81&lt;$J81,COUNTIFS(nrES_PID,$D81,nrES_Code,$F81,nrES_Att,2,nrES_Raw,"&gt;=0")=0),"Yes","No")))</f>
        <v/>
      </c>
      <c r="R81" s="17">
        <f>IF($C81="","",IF($L81="","",IF(AND(N($K81)&gt;=2,ISNUMBER($L81),$L81&lt;$J81),"Yes","No")))</f>
        <v/>
      </c>
      <c r="S81" s="18" t="n"/>
      <c r="T81" s="19">
        <f>IF(OR($C81="",$L81="",$K81&lt;&gt;1,NOT(ISNUMBER($L81)),$L81&gt;=$J81),"",IF($S81="","(enter date)",_xlfn.LET(_xlpm.dn,_xlfn.XLOOKUP($S81,nrCDdate,nrCDnum,"",1),IF(_xlpm.dn="","(after last class day)",_xlfn.LET(_xlpm.dd,_xlfn.XLOOKUP(_xlpm.dn+cfgRetestClassDays,nrCDnum,nrCDdate,""),_xlpm.ok,_xlfn.XLOOKUP(_xlpm.dn+cfgRetestClassDays,nrCDnum,nrCDinsession,"No"),IF(OR(_xlpm.dd="",_xlpm.ok&lt;&gt;"Yes"),"(after last class day)",_xlpm.dd))))))</f>
        <v/>
      </c>
      <c r="U81" s="17">
        <f>IF($C81="","",IF(AND($Y81="Excused",$L81="",N($K81)&lt;=1),"EXCUSED - 1st attempt pending",IF(OR($L81="",$K81&lt;&gt;1,NOT(ISNUMBER($L81)),$L81&gt;=$J81),"",IF(COUNTIFS(nrES_PID,$D81,nrES_Code,$F81,nrES_Att,2,nrES_Raw,"&gt;=0")&gt;0,IF(IFERROR(_xlfn.MINIFS(nrES_Date,nrES_PID,$D81,nrES_Code,$F81,nrES_Att,2,nrES_Raw,"&gt;=0",nrES_Date,"&gt;0"),0)=0,"RETEST UNDATED",IF(NOT(ISNUMBER($T81)),"RETEST DATE UNCHECKED",IF(_xlfn.MINIFS(nrES_Date,nrES_PID,$D81,nrES_Code,$F81,nrES_Att,2,nrES_Raw,"&gt;=0",nrES_Date,"&gt;0")&gt;$T81,"LATE RETEST "&amp;TEXT(_xlfn.MINIFS(nrES_Date,nrES_PID,$D81,nrES_Code,$F81,nrES_Att,2,nrES_Raw,"&gt;=0",nrES_Date,"&gt;0"),"mm/dd")&amp;" (due "&amp;TEXT($T81,"mm/dd")&amp;")","Retested"))),IF(NOT(ISNUMBER($T81)),"CHECK DATE",IF(TODAY()&gt;$T81,"OVERDUE","Due "&amp;TEXT($T81,"mm/dd")))))))</f>
        <v/>
      </c>
      <c r="V81" s="16" t="n"/>
      <c r="W81" s="16" t="n"/>
      <c r="X81" s="17">
        <f>IF($C81="","",IF(AND($L81&lt;&gt;"",NOT(ISNUMBER($L81))),"RAW SCORE NOT A NUMBER",IF(AND(ISNUMBER($L81),OR($L81&lt;0,$L81&gt;100)),"RAW SCORE OUT OF RANGE",IF(AND($Y81="Unexcused",OR($L81="",NOT(ISNUMBER($L81)),$L81&lt;&gt;0)),"UNEXCUSED ABSENCE MUST RECORD 0",IF(COUNTIF(nrES_RecID,$B81)&gt;1,"DUPLICATE RECORD",IF(N($K81)&gt;2,"ATTEMPT 3+ NOT ALLOWED - policy 300.5 permits one retest per exam; this row records nothing",IF(AND($K81=2,COUNTIFS(nrES_PID,$D81,nrES_Code,$F81,nrES_Att,1)=0),"ATTEMPT 2 WITHOUT ATTEMPT 1",IF(AND($K81=2,$L81=""),"RETEST ROW HAS NO SCORE",IF(AND($H81="Final",$L81&lt;&gt;"",IFERROR(INDEX(nrCKfinalExamElig,MATCH($D81,rngCadetPIDs,0)),"")="No"),"FINAL EXAM AFTER FAILED FINAL PT (500.1.H)",IF(AND($K81=2,ISNUMBER($L81),COUNTIFS(nrES_PID,$D81,nrES_Code,$F81,nrES_Att,1)&gt;0,SUMIFS(nrES_Raw,nrES_PID,$D81,nrES_Code,$F81,nrES_Att,1)&gt;=$J81),"RETEST AFTER A PASSING FIRST ATTEMPT","OK"))))))))))</f>
        <v/>
      </c>
      <c r="Y81" s="16" t="n"/>
    </row>
    <row r="82">
      <c r="B82" s="17">
        <f>IF($C82="","",$D82&amp;"-"&amp;$F82&amp;"-"&amp;$K82)</f>
        <v/>
      </c>
      <c r="C82" s="16" t="n"/>
      <c r="D82" s="17">
        <f>IF($C82="","",IFERROR(INDEX(rngCadetPIDs,MATCH($C82,rngCadetNames,0)),"?"))</f>
        <v/>
      </c>
      <c r="E82" s="17">
        <f>IF($D82="","",IFERROR(INDEX(nrCadetAgency,MATCH($D82,rngCadetPIDs,0)),""))</f>
        <v/>
      </c>
      <c r="F82" s="16" t="n"/>
      <c r="G82" s="17">
        <f>IF($F82="","",IFERROR(INDEX(rngEPname,MATCH($F82,rngEPcode,0)),"?"))</f>
        <v/>
      </c>
      <c r="H82" s="17">
        <f>IF($F82="","",IFERROR(INDEX(rngEPtype,MATCH($F82,rngEPcode,0)),"?"))</f>
        <v/>
      </c>
      <c r="I82" s="17">
        <f>IF($F82="","",IFERROR(INDEX(rngEPseq,MATCH($F82,rngEPcode,0)),""))</f>
        <v/>
      </c>
      <c r="J82" s="17">
        <f>IF($F82="","",IFERROR(INDEX(rngEPpass,MATCH($F82,rngEPcode,0)),cfgPassingScore))</f>
        <v/>
      </c>
      <c r="K82" s="16" t="n"/>
      <c r="L82" s="16" t="n"/>
      <c r="M82" s="17">
        <f>IF($C82="","",IF($L82="","",IF(NOT(ISNUMBER($L82)),$L82,IF(N($K82)&gt;2,"",IF($K82=1,IF(COUNTIFS(nrES_PID,$D82,nrES_Code,$F82,nrES_Att,2,nrES_Raw,"&gt;=0")&gt;0,"",$L82),IF($L82&gt;=$J82,MAX($J82,cfgRetakeRecordedCap),IF(COUNTIFS(nrES_PID,$D82,nrES_Code,$F82,nrES_Att,1)=0,$L82,SUMIFS(nrES_Raw,nrES_PID,$D82,nrES_Code,$F82,nrES_Att,1))))))))</f>
        <v/>
      </c>
      <c r="N82" s="17">
        <f>IF($C82="","",IF($L82="","",IF(NOT(ISNUMBER($L82)),"(not a score)",IF($L82&gt;=$J82,"Yes","No"))))</f>
        <v/>
      </c>
      <c r="O82" s="17">
        <f>IF($C82="","",IF($M82="","",IF(NOT(ISNUMBER($M82)),"(not a score)",IF($M82&gt;=$J82,"Yes","No"))))</f>
        <v/>
      </c>
      <c r="P82" s="17">
        <f>IF($C82="","",IF($K82="","",IF(N($K82)&gt;2,"No",IF(COUNTIFS(nrES_PID,$D82,nrES_Code,$F82,nrES_Att,"&gt;"&amp;$K82,nrES_Att,"&lt;=2",nrES_Raw,"&gt;=0")=0,"Yes","No"))))</f>
        <v/>
      </c>
      <c r="Q82" s="17">
        <f>IF($C82="","",IF($L82="","",IF(AND($K82=1,ISNUMBER($L82),$L82&lt;$J82,COUNTIFS(nrES_PID,$D82,nrES_Code,$F82,nrES_Att,2,nrES_Raw,"&gt;=0")=0),"Yes","No")))</f>
        <v/>
      </c>
      <c r="R82" s="17">
        <f>IF($C82="","",IF($L82="","",IF(AND(N($K82)&gt;=2,ISNUMBER($L82),$L82&lt;$J82),"Yes","No")))</f>
        <v/>
      </c>
      <c r="S82" s="18" t="n"/>
      <c r="T82" s="19">
        <f>IF(OR($C82="",$L82="",$K82&lt;&gt;1,NOT(ISNUMBER($L82)),$L82&gt;=$J82),"",IF($S82="","(enter date)",_xlfn.LET(_xlpm.dn,_xlfn.XLOOKUP($S82,nrCDdate,nrCDnum,"",1),IF(_xlpm.dn="","(after last class day)",_xlfn.LET(_xlpm.dd,_xlfn.XLOOKUP(_xlpm.dn+cfgRetestClassDays,nrCDnum,nrCDdate,""),_xlpm.ok,_xlfn.XLOOKUP(_xlpm.dn+cfgRetestClassDays,nrCDnum,nrCDinsession,"No"),IF(OR(_xlpm.dd="",_xlpm.ok&lt;&gt;"Yes"),"(after last class day)",_xlpm.dd))))))</f>
        <v/>
      </c>
      <c r="U82" s="17">
        <f>IF($C82="","",IF(AND($Y82="Excused",$L82="",N($K82)&lt;=1),"EXCUSED - 1st attempt pending",IF(OR($L82="",$K82&lt;&gt;1,NOT(ISNUMBER($L82)),$L82&gt;=$J82),"",IF(COUNTIFS(nrES_PID,$D82,nrES_Code,$F82,nrES_Att,2,nrES_Raw,"&gt;=0")&gt;0,IF(IFERROR(_xlfn.MINIFS(nrES_Date,nrES_PID,$D82,nrES_Code,$F82,nrES_Att,2,nrES_Raw,"&gt;=0",nrES_Date,"&gt;0"),0)=0,"RETEST UNDATED",IF(NOT(ISNUMBER($T82)),"RETEST DATE UNCHECKED",IF(_xlfn.MINIFS(nrES_Date,nrES_PID,$D82,nrES_Code,$F82,nrES_Att,2,nrES_Raw,"&gt;=0",nrES_Date,"&gt;0")&gt;$T82,"LATE RETEST "&amp;TEXT(_xlfn.MINIFS(nrES_Date,nrES_PID,$D82,nrES_Code,$F82,nrES_Att,2,nrES_Raw,"&gt;=0",nrES_Date,"&gt;0"),"mm/dd")&amp;" (due "&amp;TEXT($T82,"mm/dd")&amp;")","Retested"))),IF(NOT(ISNUMBER($T82)),"CHECK DATE",IF(TODAY()&gt;$T82,"OVERDUE","Due "&amp;TEXT($T82,"mm/dd")))))))</f>
        <v/>
      </c>
      <c r="V82" s="16" t="n"/>
      <c r="W82" s="16" t="n"/>
      <c r="X82" s="17">
        <f>IF($C82="","",IF(AND($L82&lt;&gt;"",NOT(ISNUMBER($L82))),"RAW SCORE NOT A NUMBER",IF(AND(ISNUMBER($L82),OR($L82&lt;0,$L82&gt;100)),"RAW SCORE OUT OF RANGE",IF(AND($Y82="Unexcused",OR($L82="",NOT(ISNUMBER($L82)),$L82&lt;&gt;0)),"UNEXCUSED ABSENCE MUST RECORD 0",IF(COUNTIF(nrES_RecID,$B82)&gt;1,"DUPLICATE RECORD",IF(N($K82)&gt;2,"ATTEMPT 3+ NOT ALLOWED - policy 300.5 permits one retest per exam; this row records nothing",IF(AND($K82=2,COUNTIFS(nrES_PID,$D82,nrES_Code,$F82,nrES_Att,1)=0),"ATTEMPT 2 WITHOUT ATTEMPT 1",IF(AND($K82=2,$L82=""),"RETEST ROW HAS NO SCORE",IF(AND($H82="Final",$L82&lt;&gt;"",IFERROR(INDEX(nrCKfinalExamElig,MATCH($D82,rngCadetPIDs,0)),"")="No"),"FINAL EXAM AFTER FAILED FINAL PT (500.1.H)",IF(AND($K82=2,ISNUMBER($L82),COUNTIFS(nrES_PID,$D82,nrES_Code,$F82,nrES_Att,1)&gt;0,SUMIFS(nrES_Raw,nrES_PID,$D82,nrES_Code,$F82,nrES_Att,1)&gt;=$J82),"RETEST AFTER A PASSING FIRST ATTEMPT","OK"))))))))))</f>
        <v/>
      </c>
      <c r="Y82" s="16" t="n"/>
    </row>
    <row r="83">
      <c r="B83" s="17">
        <f>IF($C83="","",$D83&amp;"-"&amp;$F83&amp;"-"&amp;$K83)</f>
        <v/>
      </c>
      <c r="C83" s="16" t="n"/>
      <c r="D83" s="17">
        <f>IF($C83="","",IFERROR(INDEX(rngCadetPIDs,MATCH($C83,rngCadetNames,0)),"?"))</f>
        <v/>
      </c>
      <c r="E83" s="17">
        <f>IF($D83="","",IFERROR(INDEX(nrCadetAgency,MATCH($D83,rngCadetPIDs,0)),""))</f>
        <v/>
      </c>
      <c r="F83" s="16" t="n"/>
      <c r="G83" s="17">
        <f>IF($F83="","",IFERROR(INDEX(rngEPname,MATCH($F83,rngEPcode,0)),"?"))</f>
        <v/>
      </c>
      <c r="H83" s="17">
        <f>IF($F83="","",IFERROR(INDEX(rngEPtype,MATCH($F83,rngEPcode,0)),"?"))</f>
        <v/>
      </c>
      <c r="I83" s="17">
        <f>IF($F83="","",IFERROR(INDEX(rngEPseq,MATCH($F83,rngEPcode,0)),""))</f>
        <v/>
      </c>
      <c r="J83" s="17">
        <f>IF($F83="","",IFERROR(INDEX(rngEPpass,MATCH($F83,rngEPcode,0)),cfgPassingScore))</f>
        <v/>
      </c>
      <c r="K83" s="16" t="n"/>
      <c r="L83" s="16" t="n"/>
      <c r="M83" s="17">
        <f>IF($C83="","",IF($L83="","",IF(NOT(ISNUMBER($L83)),$L83,IF(N($K83)&gt;2,"",IF($K83=1,IF(COUNTIFS(nrES_PID,$D83,nrES_Code,$F83,nrES_Att,2,nrES_Raw,"&gt;=0")&gt;0,"",$L83),IF($L83&gt;=$J83,MAX($J83,cfgRetakeRecordedCap),IF(COUNTIFS(nrES_PID,$D83,nrES_Code,$F83,nrES_Att,1)=0,$L83,SUMIFS(nrES_Raw,nrES_PID,$D83,nrES_Code,$F83,nrES_Att,1))))))))</f>
        <v/>
      </c>
      <c r="N83" s="17">
        <f>IF($C83="","",IF($L83="","",IF(NOT(ISNUMBER($L83)),"(not a score)",IF($L83&gt;=$J83,"Yes","No"))))</f>
        <v/>
      </c>
      <c r="O83" s="17">
        <f>IF($C83="","",IF($M83="","",IF(NOT(ISNUMBER($M83)),"(not a score)",IF($M83&gt;=$J83,"Yes","No"))))</f>
        <v/>
      </c>
      <c r="P83" s="17">
        <f>IF($C83="","",IF($K83="","",IF(N($K83)&gt;2,"No",IF(COUNTIFS(nrES_PID,$D83,nrES_Code,$F83,nrES_Att,"&gt;"&amp;$K83,nrES_Att,"&lt;=2",nrES_Raw,"&gt;=0")=0,"Yes","No"))))</f>
        <v/>
      </c>
      <c r="Q83" s="17">
        <f>IF($C83="","",IF($L83="","",IF(AND($K83=1,ISNUMBER($L83),$L83&lt;$J83,COUNTIFS(nrES_PID,$D83,nrES_Code,$F83,nrES_Att,2,nrES_Raw,"&gt;=0")=0),"Yes","No")))</f>
        <v/>
      </c>
      <c r="R83" s="17">
        <f>IF($C83="","",IF($L83="","",IF(AND(N($K83)&gt;=2,ISNUMBER($L83),$L83&lt;$J83),"Yes","No")))</f>
        <v/>
      </c>
      <c r="S83" s="18" t="n"/>
      <c r="T83" s="19">
        <f>IF(OR($C83="",$L83="",$K83&lt;&gt;1,NOT(ISNUMBER($L83)),$L83&gt;=$J83),"",IF($S83="","(enter date)",_xlfn.LET(_xlpm.dn,_xlfn.XLOOKUP($S83,nrCDdate,nrCDnum,"",1),IF(_xlpm.dn="","(after last class day)",_xlfn.LET(_xlpm.dd,_xlfn.XLOOKUP(_xlpm.dn+cfgRetestClassDays,nrCDnum,nrCDdate,""),_xlpm.ok,_xlfn.XLOOKUP(_xlpm.dn+cfgRetestClassDays,nrCDnum,nrCDinsession,"No"),IF(OR(_xlpm.dd="",_xlpm.ok&lt;&gt;"Yes"),"(after last class day)",_xlpm.dd))))))</f>
        <v/>
      </c>
      <c r="U83" s="17">
        <f>IF($C83="","",IF(AND($Y83="Excused",$L83="",N($K83)&lt;=1),"EXCUSED - 1st attempt pending",IF(OR($L83="",$K83&lt;&gt;1,NOT(ISNUMBER($L83)),$L83&gt;=$J83),"",IF(COUNTIFS(nrES_PID,$D83,nrES_Code,$F83,nrES_Att,2,nrES_Raw,"&gt;=0")&gt;0,IF(IFERROR(_xlfn.MINIFS(nrES_Date,nrES_PID,$D83,nrES_Code,$F83,nrES_Att,2,nrES_Raw,"&gt;=0",nrES_Date,"&gt;0"),0)=0,"RETEST UNDATED",IF(NOT(ISNUMBER($T83)),"RETEST DATE UNCHECKED",IF(_xlfn.MINIFS(nrES_Date,nrES_PID,$D83,nrES_Code,$F83,nrES_Att,2,nrES_Raw,"&gt;=0",nrES_Date,"&gt;0")&gt;$T83,"LATE RETEST "&amp;TEXT(_xlfn.MINIFS(nrES_Date,nrES_PID,$D83,nrES_Code,$F83,nrES_Att,2,nrES_Raw,"&gt;=0",nrES_Date,"&gt;0"),"mm/dd")&amp;" (due "&amp;TEXT($T83,"mm/dd")&amp;")","Retested"))),IF(NOT(ISNUMBER($T83)),"CHECK DATE",IF(TODAY()&gt;$T83,"OVERDUE","Due "&amp;TEXT($T83,"mm/dd")))))))</f>
        <v/>
      </c>
      <c r="V83" s="16" t="n"/>
      <c r="W83" s="16" t="n"/>
      <c r="X83" s="17">
        <f>IF($C83="","",IF(AND($L83&lt;&gt;"",NOT(ISNUMBER($L83))),"RAW SCORE NOT A NUMBER",IF(AND(ISNUMBER($L83),OR($L83&lt;0,$L83&gt;100)),"RAW SCORE OUT OF RANGE",IF(AND($Y83="Unexcused",OR($L83="",NOT(ISNUMBER($L83)),$L83&lt;&gt;0)),"UNEXCUSED ABSENCE MUST RECORD 0",IF(COUNTIF(nrES_RecID,$B83)&gt;1,"DUPLICATE RECORD",IF(N($K83)&gt;2,"ATTEMPT 3+ NOT ALLOWED - policy 300.5 permits one retest per exam; this row records nothing",IF(AND($K83=2,COUNTIFS(nrES_PID,$D83,nrES_Code,$F83,nrES_Att,1)=0),"ATTEMPT 2 WITHOUT ATTEMPT 1",IF(AND($K83=2,$L83=""),"RETEST ROW HAS NO SCORE",IF(AND($H83="Final",$L83&lt;&gt;"",IFERROR(INDEX(nrCKfinalExamElig,MATCH($D83,rngCadetPIDs,0)),"")="No"),"FINAL EXAM AFTER FAILED FINAL PT (500.1.H)",IF(AND($K83=2,ISNUMBER($L83),COUNTIFS(nrES_PID,$D83,nrES_Code,$F83,nrES_Att,1)&gt;0,SUMIFS(nrES_Raw,nrES_PID,$D83,nrES_Code,$F83,nrES_Att,1)&gt;=$J83),"RETEST AFTER A PASSING FIRST ATTEMPT","OK"))))))))))</f>
        <v/>
      </c>
      <c r="Y83" s="16" t="n"/>
    </row>
    <row r="84">
      <c r="B84" s="17">
        <f>IF($C84="","",$D84&amp;"-"&amp;$F84&amp;"-"&amp;$K84)</f>
        <v/>
      </c>
      <c r="C84" s="16" t="n"/>
      <c r="D84" s="17">
        <f>IF($C84="","",IFERROR(INDEX(rngCadetPIDs,MATCH($C84,rngCadetNames,0)),"?"))</f>
        <v/>
      </c>
      <c r="E84" s="17">
        <f>IF($D84="","",IFERROR(INDEX(nrCadetAgency,MATCH($D84,rngCadetPIDs,0)),""))</f>
        <v/>
      </c>
      <c r="F84" s="16" t="n"/>
      <c r="G84" s="17">
        <f>IF($F84="","",IFERROR(INDEX(rngEPname,MATCH($F84,rngEPcode,0)),"?"))</f>
        <v/>
      </c>
      <c r="H84" s="17">
        <f>IF($F84="","",IFERROR(INDEX(rngEPtype,MATCH($F84,rngEPcode,0)),"?"))</f>
        <v/>
      </c>
      <c r="I84" s="17">
        <f>IF($F84="","",IFERROR(INDEX(rngEPseq,MATCH($F84,rngEPcode,0)),""))</f>
        <v/>
      </c>
      <c r="J84" s="17">
        <f>IF($F84="","",IFERROR(INDEX(rngEPpass,MATCH($F84,rngEPcode,0)),cfgPassingScore))</f>
        <v/>
      </c>
      <c r="K84" s="16" t="n"/>
      <c r="L84" s="16" t="n"/>
      <c r="M84" s="17">
        <f>IF($C84="","",IF($L84="","",IF(NOT(ISNUMBER($L84)),$L84,IF(N($K84)&gt;2,"",IF($K84=1,IF(COUNTIFS(nrES_PID,$D84,nrES_Code,$F84,nrES_Att,2,nrES_Raw,"&gt;=0")&gt;0,"",$L84),IF($L84&gt;=$J84,MAX($J84,cfgRetakeRecordedCap),IF(COUNTIFS(nrES_PID,$D84,nrES_Code,$F84,nrES_Att,1)=0,$L84,SUMIFS(nrES_Raw,nrES_PID,$D84,nrES_Code,$F84,nrES_Att,1))))))))</f>
        <v/>
      </c>
      <c r="N84" s="17">
        <f>IF($C84="","",IF($L84="","",IF(NOT(ISNUMBER($L84)),"(not a score)",IF($L84&gt;=$J84,"Yes","No"))))</f>
        <v/>
      </c>
      <c r="O84" s="17">
        <f>IF($C84="","",IF($M84="","",IF(NOT(ISNUMBER($M84)),"(not a score)",IF($M84&gt;=$J84,"Yes","No"))))</f>
        <v/>
      </c>
      <c r="P84" s="17">
        <f>IF($C84="","",IF($K84="","",IF(N($K84)&gt;2,"No",IF(COUNTIFS(nrES_PID,$D84,nrES_Code,$F84,nrES_Att,"&gt;"&amp;$K84,nrES_Att,"&lt;=2",nrES_Raw,"&gt;=0")=0,"Yes","No"))))</f>
        <v/>
      </c>
      <c r="Q84" s="17">
        <f>IF($C84="","",IF($L84="","",IF(AND($K84=1,ISNUMBER($L84),$L84&lt;$J84,COUNTIFS(nrES_PID,$D84,nrES_Code,$F84,nrES_Att,2,nrES_Raw,"&gt;=0")=0),"Yes","No")))</f>
        <v/>
      </c>
      <c r="R84" s="17">
        <f>IF($C84="","",IF($L84="","",IF(AND(N($K84)&gt;=2,ISNUMBER($L84),$L84&lt;$J84),"Yes","No")))</f>
        <v/>
      </c>
      <c r="S84" s="18" t="n"/>
      <c r="T84" s="19">
        <f>IF(OR($C84="",$L84="",$K84&lt;&gt;1,NOT(ISNUMBER($L84)),$L84&gt;=$J84),"",IF($S84="","(enter date)",_xlfn.LET(_xlpm.dn,_xlfn.XLOOKUP($S84,nrCDdate,nrCDnum,"",1),IF(_xlpm.dn="","(after last class day)",_xlfn.LET(_xlpm.dd,_xlfn.XLOOKUP(_xlpm.dn+cfgRetestClassDays,nrCDnum,nrCDdate,""),_xlpm.ok,_xlfn.XLOOKUP(_xlpm.dn+cfgRetestClassDays,nrCDnum,nrCDinsession,"No"),IF(OR(_xlpm.dd="",_xlpm.ok&lt;&gt;"Yes"),"(after last class day)",_xlpm.dd))))))</f>
        <v/>
      </c>
      <c r="U84" s="17">
        <f>IF($C84="","",IF(AND($Y84="Excused",$L84="",N($K84)&lt;=1),"EXCUSED - 1st attempt pending",IF(OR($L84="",$K84&lt;&gt;1,NOT(ISNUMBER($L84)),$L84&gt;=$J84),"",IF(COUNTIFS(nrES_PID,$D84,nrES_Code,$F84,nrES_Att,2,nrES_Raw,"&gt;=0")&gt;0,IF(IFERROR(_xlfn.MINIFS(nrES_Date,nrES_PID,$D84,nrES_Code,$F84,nrES_Att,2,nrES_Raw,"&gt;=0",nrES_Date,"&gt;0"),0)=0,"RETEST UNDATED",IF(NOT(ISNUMBER($T84)),"RETEST DATE UNCHECKED",IF(_xlfn.MINIFS(nrES_Date,nrES_PID,$D84,nrES_Code,$F84,nrES_Att,2,nrES_Raw,"&gt;=0",nrES_Date,"&gt;0")&gt;$T84,"LATE RETEST "&amp;TEXT(_xlfn.MINIFS(nrES_Date,nrES_PID,$D84,nrES_Code,$F84,nrES_Att,2,nrES_Raw,"&gt;=0",nrES_Date,"&gt;0"),"mm/dd")&amp;" (due "&amp;TEXT($T84,"mm/dd")&amp;")","Retested"))),IF(NOT(ISNUMBER($T84)),"CHECK DATE",IF(TODAY()&gt;$T84,"OVERDUE","Due "&amp;TEXT($T84,"mm/dd")))))))</f>
        <v/>
      </c>
      <c r="V84" s="16" t="n"/>
      <c r="W84" s="16" t="n"/>
      <c r="X84" s="17">
        <f>IF($C84="","",IF(AND($L84&lt;&gt;"",NOT(ISNUMBER($L84))),"RAW SCORE NOT A NUMBER",IF(AND(ISNUMBER($L84),OR($L84&lt;0,$L84&gt;100)),"RAW SCORE OUT OF RANGE",IF(AND($Y84="Unexcused",OR($L84="",NOT(ISNUMBER($L84)),$L84&lt;&gt;0)),"UNEXCUSED ABSENCE MUST RECORD 0",IF(COUNTIF(nrES_RecID,$B84)&gt;1,"DUPLICATE RECORD",IF(N($K84)&gt;2,"ATTEMPT 3+ NOT ALLOWED - policy 300.5 permits one retest per exam; this row records nothing",IF(AND($K84=2,COUNTIFS(nrES_PID,$D84,nrES_Code,$F84,nrES_Att,1)=0),"ATTEMPT 2 WITHOUT ATTEMPT 1",IF(AND($K84=2,$L84=""),"RETEST ROW HAS NO SCORE",IF(AND($H84="Final",$L84&lt;&gt;"",IFERROR(INDEX(nrCKfinalExamElig,MATCH($D84,rngCadetPIDs,0)),"")="No"),"FINAL EXAM AFTER FAILED FINAL PT (500.1.H)",IF(AND($K84=2,ISNUMBER($L84),COUNTIFS(nrES_PID,$D84,nrES_Code,$F84,nrES_Att,1)&gt;0,SUMIFS(nrES_Raw,nrES_PID,$D84,nrES_Code,$F84,nrES_Att,1)&gt;=$J84),"RETEST AFTER A PASSING FIRST ATTEMPT","OK"))))))))))</f>
        <v/>
      </c>
      <c r="Y84" s="16" t="n"/>
    </row>
    <row r="85">
      <c r="B85" s="17">
        <f>IF($C85="","",$D85&amp;"-"&amp;$F85&amp;"-"&amp;$K85)</f>
        <v/>
      </c>
      <c r="C85" s="16" t="n"/>
      <c r="D85" s="17">
        <f>IF($C85="","",IFERROR(INDEX(rngCadetPIDs,MATCH($C85,rngCadetNames,0)),"?"))</f>
        <v/>
      </c>
      <c r="E85" s="17">
        <f>IF($D85="","",IFERROR(INDEX(nrCadetAgency,MATCH($D85,rngCadetPIDs,0)),""))</f>
        <v/>
      </c>
      <c r="F85" s="16" t="n"/>
      <c r="G85" s="17">
        <f>IF($F85="","",IFERROR(INDEX(rngEPname,MATCH($F85,rngEPcode,0)),"?"))</f>
        <v/>
      </c>
      <c r="H85" s="17">
        <f>IF($F85="","",IFERROR(INDEX(rngEPtype,MATCH($F85,rngEPcode,0)),"?"))</f>
        <v/>
      </c>
      <c r="I85" s="17">
        <f>IF($F85="","",IFERROR(INDEX(rngEPseq,MATCH($F85,rngEPcode,0)),""))</f>
        <v/>
      </c>
      <c r="J85" s="17">
        <f>IF($F85="","",IFERROR(INDEX(rngEPpass,MATCH($F85,rngEPcode,0)),cfgPassingScore))</f>
        <v/>
      </c>
      <c r="K85" s="16" t="n"/>
      <c r="L85" s="16" t="n"/>
      <c r="M85" s="17">
        <f>IF($C85="","",IF($L85="","",IF(NOT(ISNUMBER($L85)),$L85,IF(N($K85)&gt;2,"",IF($K85=1,IF(COUNTIFS(nrES_PID,$D85,nrES_Code,$F85,nrES_Att,2,nrES_Raw,"&gt;=0")&gt;0,"",$L85),IF($L85&gt;=$J85,MAX($J85,cfgRetakeRecordedCap),IF(COUNTIFS(nrES_PID,$D85,nrES_Code,$F85,nrES_Att,1)=0,$L85,SUMIFS(nrES_Raw,nrES_PID,$D85,nrES_Code,$F85,nrES_Att,1))))))))</f>
        <v/>
      </c>
      <c r="N85" s="17">
        <f>IF($C85="","",IF($L85="","",IF(NOT(ISNUMBER($L85)),"(not a score)",IF($L85&gt;=$J85,"Yes","No"))))</f>
        <v/>
      </c>
      <c r="O85" s="17">
        <f>IF($C85="","",IF($M85="","",IF(NOT(ISNUMBER($M85)),"(not a score)",IF($M85&gt;=$J85,"Yes","No"))))</f>
        <v/>
      </c>
      <c r="P85" s="17">
        <f>IF($C85="","",IF($K85="","",IF(N($K85)&gt;2,"No",IF(COUNTIFS(nrES_PID,$D85,nrES_Code,$F85,nrES_Att,"&gt;"&amp;$K85,nrES_Att,"&lt;=2",nrES_Raw,"&gt;=0")=0,"Yes","No"))))</f>
        <v/>
      </c>
      <c r="Q85" s="17">
        <f>IF($C85="","",IF($L85="","",IF(AND($K85=1,ISNUMBER($L85),$L85&lt;$J85,COUNTIFS(nrES_PID,$D85,nrES_Code,$F85,nrES_Att,2,nrES_Raw,"&gt;=0")=0),"Yes","No")))</f>
        <v/>
      </c>
      <c r="R85" s="17">
        <f>IF($C85="","",IF($L85="","",IF(AND(N($K85)&gt;=2,ISNUMBER($L85),$L85&lt;$J85),"Yes","No")))</f>
        <v/>
      </c>
      <c r="S85" s="18" t="n"/>
      <c r="T85" s="19">
        <f>IF(OR($C85="",$L85="",$K85&lt;&gt;1,NOT(ISNUMBER($L85)),$L85&gt;=$J85),"",IF($S85="","(enter date)",_xlfn.LET(_xlpm.dn,_xlfn.XLOOKUP($S85,nrCDdate,nrCDnum,"",1),IF(_xlpm.dn="","(after last class day)",_xlfn.LET(_xlpm.dd,_xlfn.XLOOKUP(_xlpm.dn+cfgRetestClassDays,nrCDnum,nrCDdate,""),_xlpm.ok,_xlfn.XLOOKUP(_xlpm.dn+cfgRetestClassDays,nrCDnum,nrCDinsession,"No"),IF(OR(_xlpm.dd="",_xlpm.ok&lt;&gt;"Yes"),"(after last class day)",_xlpm.dd))))))</f>
        <v/>
      </c>
      <c r="U85" s="17">
        <f>IF($C85="","",IF(AND($Y85="Excused",$L85="",N($K85)&lt;=1),"EXCUSED - 1st attempt pending",IF(OR($L85="",$K85&lt;&gt;1,NOT(ISNUMBER($L85)),$L85&gt;=$J85),"",IF(COUNTIFS(nrES_PID,$D85,nrES_Code,$F85,nrES_Att,2,nrES_Raw,"&gt;=0")&gt;0,IF(IFERROR(_xlfn.MINIFS(nrES_Date,nrES_PID,$D85,nrES_Code,$F85,nrES_Att,2,nrES_Raw,"&gt;=0",nrES_Date,"&gt;0"),0)=0,"RETEST UNDATED",IF(NOT(ISNUMBER($T85)),"RETEST DATE UNCHECKED",IF(_xlfn.MINIFS(nrES_Date,nrES_PID,$D85,nrES_Code,$F85,nrES_Att,2,nrES_Raw,"&gt;=0",nrES_Date,"&gt;0")&gt;$T85,"LATE RETEST "&amp;TEXT(_xlfn.MINIFS(nrES_Date,nrES_PID,$D85,nrES_Code,$F85,nrES_Att,2,nrES_Raw,"&gt;=0",nrES_Date,"&gt;0"),"mm/dd")&amp;" (due "&amp;TEXT($T85,"mm/dd")&amp;")","Retested"))),IF(NOT(ISNUMBER($T85)),"CHECK DATE",IF(TODAY()&gt;$T85,"OVERDUE","Due "&amp;TEXT($T85,"mm/dd")))))))</f>
        <v/>
      </c>
      <c r="V85" s="16" t="n"/>
      <c r="W85" s="16" t="n"/>
      <c r="X85" s="17">
        <f>IF($C85="","",IF(AND($L85&lt;&gt;"",NOT(ISNUMBER($L85))),"RAW SCORE NOT A NUMBER",IF(AND(ISNUMBER($L85),OR($L85&lt;0,$L85&gt;100)),"RAW SCORE OUT OF RANGE",IF(AND($Y85="Unexcused",OR($L85="",NOT(ISNUMBER($L85)),$L85&lt;&gt;0)),"UNEXCUSED ABSENCE MUST RECORD 0",IF(COUNTIF(nrES_RecID,$B85)&gt;1,"DUPLICATE RECORD",IF(N($K85)&gt;2,"ATTEMPT 3+ NOT ALLOWED - policy 300.5 permits one retest per exam; this row records nothing",IF(AND($K85=2,COUNTIFS(nrES_PID,$D85,nrES_Code,$F85,nrES_Att,1)=0),"ATTEMPT 2 WITHOUT ATTEMPT 1",IF(AND($K85=2,$L85=""),"RETEST ROW HAS NO SCORE",IF(AND($H85="Final",$L85&lt;&gt;"",IFERROR(INDEX(nrCKfinalExamElig,MATCH($D85,rngCadetPIDs,0)),"")="No"),"FINAL EXAM AFTER FAILED FINAL PT (500.1.H)",IF(AND($K85=2,ISNUMBER($L85),COUNTIFS(nrES_PID,$D85,nrES_Code,$F85,nrES_Att,1)&gt;0,SUMIFS(nrES_Raw,nrES_PID,$D85,nrES_Code,$F85,nrES_Att,1)&gt;=$J85),"RETEST AFTER A PASSING FIRST ATTEMPT","OK"))))))))))</f>
        <v/>
      </c>
      <c r="Y85" s="16" t="n"/>
    </row>
    <row r="86">
      <c r="B86" s="17">
        <f>IF($C86="","",$D86&amp;"-"&amp;$F86&amp;"-"&amp;$K86)</f>
        <v/>
      </c>
      <c r="C86" s="16" t="n"/>
      <c r="D86" s="17">
        <f>IF($C86="","",IFERROR(INDEX(rngCadetPIDs,MATCH($C86,rngCadetNames,0)),"?"))</f>
        <v/>
      </c>
      <c r="E86" s="17">
        <f>IF($D86="","",IFERROR(INDEX(nrCadetAgency,MATCH($D86,rngCadetPIDs,0)),""))</f>
        <v/>
      </c>
      <c r="F86" s="16" t="n"/>
      <c r="G86" s="17">
        <f>IF($F86="","",IFERROR(INDEX(rngEPname,MATCH($F86,rngEPcode,0)),"?"))</f>
        <v/>
      </c>
      <c r="H86" s="17">
        <f>IF($F86="","",IFERROR(INDEX(rngEPtype,MATCH($F86,rngEPcode,0)),"?"))</f>
        <v/>
      </c>
      <c r="I86" s="17">
        <f>IF($F86="","",IFERROR(INDEX(rngEPseq,MATCH($F86,rngEPcode,0)),""))</f>
        <v/>
      </c>
      <c r="J86" s="17">
        <f>IF($F86="","",IFERROR(INDEX(rngEPpass,MATCH($F86,rngEPcode,0)),cfgPassingScore))</f>
        <v/>
      </c>
      <c r="K86" s="16" t="n"/>
      <c r="L86" s="16" t="n"/>
      <c r="M86" s="17">
        <f>IF($C86="","",IF($L86="","",IF(NOT(ISNUMBER($L86)),$L86,IF(N($K86)&gt;2,"",IF($K86=1,IF(COUNTIFS(nrES_PID,$D86,nrES_Code,$F86,nrES_Att,2,nrES_Raw,"&gt;=0")&gt;0,"",$L86),IF($L86&gt;=$J86,MAX($J86,cfgRetakeRecordedCap),IF(COUNTIFS(nrES_PID,$D86,nrES_Code,$F86,nrES_Att,1)=0,$L86,SUMIFS(nrES_Raw,nrES_PID,$D86,nrES_Code,$F86,nrES_Att,1))))))))</f>
        <v/>
      </c>
      <c r="N86" s="17">
        <f>IF($C86="","",IF($L86="","",IF(NOT(ISNUMBER($L86)),"(not a score)",IF($L86&gt;=$J86,"Yes","No"))))</f>
        <v/>
      </c>
      <c r="O86" s="17">
        <f>IF($C86="","",IF($M86="","",IF(NOT(ISNUMBER($M86)),"(not a score)",IF($M86&gt;=$J86,"Yes","No"))))</f>
        <v/>
      </c>
      <c r="P86" s="17">
        <f>IF($C86="","",IF($K86="","",IF(N($K86)&gt;2,"No",IF(COUNTIFS(nrES_PID,$D86,nrES_Code,$F86,nrES_Att,"&gt;"&amp;$K86,nrES_Att,"&lt;=2",nrES_Raw,"&gt;=0")=0,"Yes","No"))))</f>
        <v/>
      </c>
      <c r="Q86" s="17">
        <f>IF($C86="","",IF($L86="","",IF(AND($K86=1,ISNUMBER($L86),$L86&lt;$J86,COUNTIFS(nrES_PID,$D86,nrES_Code,$F86,nrES_Att,2,nrES_Raw,"&gt;=0")=0),"Yes","No")))</f>
        <v/>
      </c>
      <c r="R86" s="17">
        <f>IF($C86="","",IF($L86="","",IF(AND(N($K86)&gt;=2,ISNUMBER($L86),$L86&lt;$J86),"Yes","No")))</f>
        <v/>
      </c>
      <c r="S86" s="18" t="n"/>
      <c r="T86" s="19">
        <f>IF(OR($C86="",$L86="",$K86&lt;&gt;1,NOT(ISNUMBER($L86)),$L86&gt;=$J86),"",IF($S86="","(enter date)",_xlfn.LET(_xlpm.dn,_xlfn.XLOOKUP($S86,nrCDdate,nrCDnum,"",1),IF(_xlpm.dn="","(after last class day)",_xlfn.LET(_xlpm.dd,_xlfn.XLOOKUP(_xlpm.dn+cfgRetestClassDays,nrCDnum,nrCDdate,""),_xlpm.ok,_xlfn.XLOOKUP(_xlpm.dn+cfgRetestClassDays,nrCDnum,nrCDinsession,"No"),IF(OR(_xlpm.dd="",_xlpm.ok&lt;&gt;"Yes"),"(after last class day)",_xlpm.dd))))))</f>
        <v/>
      </c>
      <c r="U86" s="17">
        <f>IF($C86="","",IF(AND($Y86="Excused",$L86="",N($K86)&lt;=1),"EXCUSED - 1st attempt pending",IF(OR($L86="",$K86&lt;&gt;1,NOT(ISNUMBER($L86)),$L86&gt;=$J86),"",IF(COUNTIFS(nrES_PID,$D86,nrES_Code,$F86,nrES_Att,2,nrES_Raw,"&gt;=0")&gt;0,IF(IFERROR(_xlfn.MINIFS(nrES_Date,nrES_PID,$D86,nrES_Code,$F86,nrES_Att,2,nrES_Raw,"&gt;=0",nrES_Date,"&gt;0"),0)=0,"RETEST UNDATED",IF(NOT(ISNUMBER($T86)),"RETEST DATE UNCHECKED",IF(_xlfn.MINIFS(nrES_Date,nrES_PID,$D86,nrES_Code,$F86,nrES_Att,2,nrES_Raw,"&gt;=0",nrES_Date,"&gt;0")&gt;$T86,"LATE RETEST "&amp;TEXT(_xlfn.MINIFS(nrES_Date,nrES_PID,$D86,nrES_Code,$F86,nrES_Att,2,nrES_Raw,"&gt;=0",nrES_Date,"&gt;0"),"mm/dd")&amp;" (due "&amp;TEXT($T86,"mm/dd")&amp;")","Retested"))),IF(NOT(ISNUMBER($T86)),"CHECK DATE",IF(TODAY()&gt;$T86,"OVERDUE","Due "&amp;TEXT($T86,"mm/dd")))))))</f>
        <v/>
      </c>
      <c r="V86" s="16" t="n"/>
      <c r="W86" s="16" t="n"/>
      <c r="X86" s="17">
        <f>IF($C86="","",IF(AND($L86&lt;&gt;"",NOT(ISNUMBER($L86))),"RAW SCORE NOT A NUMBER",IF(AND(ISNUMBER($L86),OR($L86&lt;0,$L86&gt;100)),"RAW SCORE OUT OF RANGE",IF(AND($Y86="Unexcused",OR($L86="",NOT(ISNUMBER($L86)),$L86&lt;&gt;0)),"UNEXCUSED ABSENCE MUST RECORD 0",IF(COUNTIF(nrES_RecID,$B86)&gt;1,"DUPLICATE RECORD",IF(N($K86)&gt;2,"ATTEMPT 3+ NOT ALLOWED - policy 300.5 permits one retest per exam; this row records nothing",IF(AND($K86=2,COUNTIFS(nrES_PID,$D86,nrES_Code,$F86,nrES_Att,1)=0),"ATTEMPT 2 WITHOUT ATTEMPT 1",IF(AND($K86=2,$L86=""),"RETEST ROW HAS NO SCORE",IF(AND($H86="Final",$L86&lt;&gt;"",IFERROR(INDEX(nrCKfinalExamElig,MATCH($D86,rngCadetPIDs,0)),"")="No"),"FINAL EXAM AFTER FAILED FINAL PT (500.1.H)",IF(AND($K86=2,ISNUMBER($L86),COUNTIFS(nrES_PID,$D86,nrES_Code,$F86,nrES_Att,1)&gt;0,SUMIFS(nrES_Raw,nrES_PID,$D86,nrES_Code,$F86,nrES_Att,1)&gt;=$J86),"RETEST AFTER A PASSING FIRST ATTEMPT","OK"))))))))))</f>
        <v/>
      </c>
      <c r="Y86" s="16" t="n"/>
    </row>
    <row r="87">
      <c r="B87" s="17">
        <f>IF($C87="","",$D87&amp;"-"&amp;$F87&amp;"-"&amp;$K87)</f>
        <v/>
      </c>
      <c r="C87" s="16" t="n"/>
      <c r="D87" s="17">
        <f>IF($C87="","",IFERROR(INDEX(rngCadetPIDs,MATCH($C87,rngCadetNames,0)),"?"))</f>
        <v/>
      </c>
      <c r="E87" s="17">
        <f>IF($D87="","",IFERROR(INDEX(nrCadetAgency,MATCH($D87,rngCadetPIDs,0)),""))</f>
        <v/>
      </c>
      <c r="F87" s="16" t="n"/>
      <c r="G87" s="17">
        <f>IF($F87="","",IFERROR(INDEX(rngEPname,MATCH($F87,rngEPcode,0)),"?"))</f>
        <v/>
      </c>
      <c r="H87" s="17">
        <f>IF($F87="","",IFERROR(INDEX(rngEPtype,MATCH($F87,rngEPcode,0)),"?"))</f>
        <v/>
      </c>
      <c r="I87" s="17">
        <f>IF($F87="","",IFERROR(INDEX(rngEPseq,MATCH($F87,rngEPcode,0)),""))</f>
        <v/>
      </c>
      <c r="J87" s="17">
        <f>IF($F87="","",IFERROR(INDEX(rngEPpass,MATCH($F87,rngEPcode,0)),cfgPassingScore))</f>
        <v/>
      </c>
      <c r="K87" s="16" t="n"/>
      <c r="L87" s="16" t="n"/>
      <c r="M87" s="17">
        <f>IF($C87="","",IF($L87="","",IF(NOT(ISNUMBER($L87)),$L87,IF(N($K87)&gt;2,"",IF($K87=1,IF(COUNTIFS(nrES_PID,$D87,nrES_Code,$F87,nrES_Att,2,nrES_Raw,"&gt;=0")&gt;0,"",$L87),IF($L87&gt;=$J87,MAX($J87,cfgRetakeRecordedCap),IF(COUNTIFS(nrES_PID,$D87,nrES_Code,$F87,nrES_Att,1)=0,$L87,SUMIFS(nrES_Raw,nrES_PID,$D87,nrES_Code,$F87,nrES_Att,1))))))))</f>
        <v/>
      </c>
      <c r="N87" s="17">
        <f>IF($C87="","",IF($L87="","",IF(NOT(ISNUMBER($L87)),"(not a score)",IF($L87&gt;=$J87,"Yes","No"))))</f>
        <v/>
      </c>
      <c r="O87" s="17">
        <f>IF($C87="","",IF($M87="","",IF(NOT(ISNUMBER($M87)),"(not a score)",IF($M87&gt;=$J87,"Yes","No"))))</f>
        <v/>
      </c>
      <c r="P87" s="17">
        <f>IF($C87="","",IF($K87="","",IF(N($K87)&gt;2,"No",IF(COUNTIFS(nrES_PID,$D87,nrES_Code,$F87,nrES_Att,"&gt;"&amp;$K87,nrES_Att,"&lt;=2",nrES_Raw,"&gt;=0")=0,"Yes","No"))))</f>
        <v/>
      </c>
      <c r="Q87" s="17">
        <f>IF($C87="","",IF($L87="","",IF(AND($K87=1,ISNUMBER($L87),$L87&lt;$J87,COUNTIFS(nrES_PID,$D87,nrES_Code,$F87,nrES_Att,2,nrES_Raw,"&gt;=0")=0),"Yes","No")))</f>
        <v/>
      </c>
      <c r="R87" s="17">
        <f>IF($C87="","",IF($L87="","",IF(AND(N($K87)&gt;=2,ISNUMBER($L87),$L87&lt;$J87),"Yes","No")))</f>
        <v/>
      </c>
      <c r="S87" s="18" t="n"/>
      <c r="T87" s="19">
        <f>IF(OR($C87="",$L87="",$K87&lt;&gt;1,NOT(ISNUMBER($L87)),$L87&gt;=$J87),"",IF($S87="","(enter date)",_xlfn.LET(_xlpm.dn,_xlfn.XLOOKUP($S87,nrCDdate,nrCDnum,"",1),IF(_xlpm.dn="","(after last class day)",_xlfn.LET(_xlpm.dd,_xlfn.XLOOKUP(_xlpm.dn+cfgRetestClassDays,nrCDnum,nrCDdate,""),_xlpm.ok,_xlfn.XLOOKUP(_xlpm.dn+cfgRetestClassDays,nrCDnum,nrCDinsession,"No"),IF(OR(_xlpm.dd="",_xlpm.ok&lt;&gt;"Yes"),"(after last class day)",_xlpm.dd))))))</f>
        <v/>
      </c>
      <c r="U87" s="17">
        <f>IF($C87="","",IF(AND($Y87="Excused",$L87="",N($K87)&lt;=1),"EXCUSED - 1st attempt pending",IF(OR($L87="",$K87&lt;&gt;1,NOT(ISNUMBER($L87)),$L87&gt;=$J87),"",IF(COUNTIFS(nrES_PID,$D87,nrES_Code,$F87,nrES_Att,2,nrES_Raw,"&gt;=0")&gt;0,IF(IFERROR(_xlfn.MINIFS(nrES_Date,nrES_PID,$D87,nrES_Code,$F87,nrES_Att,2,nrES_Raw,"&gt;=0",nrES_Date,"&gt;0"),0)=0,"RETEST UNDATED",IF(NOT(ISNUMBER($T87)),"RETEST DATE UNCHECKED",IF(_xlfn.MINIFS(nrES_Date,nrES_PID,$D87,nrES_Code,$F87,nrES_Att,2,nrES_Raw,"&gt;=0",nrES_Date,"&gt;0")&gt;$T87,"LATE RETEST "&amp;TEXT(_xlfn.MINIFS(nrES_Date,nrES_PID,$D87,nrES_Code,$F87,nrES_Att,2,nrES_Raw,"&gt;=0",nrES_Date,"&gt;0"),"mm/dd")&amp;" (due "&amp;TEXT($T87,"mm/dd")&amp;")","Retested"))),IF(NOT(ISNUMBER($T87)),"CHECK DATE",IF(TODAY()&gt;$T87,"OVERDUE","Due "&amp;TEXT($T87,"mm/dd")))))))</f>
        <v/>
      </c>
      <c r="V87" s="16" t="n"/>
      <c r="W87" s="16" t="n"/>
      <c r="X87" s="17">
        <f>IF($C87="","",IF(AND($L87&lt;&gt;"",NOT(ISNUMBER($L87))),"RAW SCORE NOT A NUMBER",IF(AND(ISNUMBER($L87),OR($L87&lt;0,$L87&gt;100)),"RAW SCORE OUT OF RANGE",IF(AND($Y87="Unexcused",OR($L87="",NOT(ISNUMBER($L87)),$L87&lt;&gt;0)),"UNEXCUSED ABSENCE MUST RECORD 0",IF(COUNTIF(nrES_RecID,$B87)&gt;1,"DUPLICATE RECORD",IF(N($K87)&gt;2,"ATTEMPT 3+ NOT ALLOWED - policy 300.5 permits one retest per exam; this row records nothing",IF(AND($K87=2,COUNTIFS(nrES_PID,$D87,nrES_Code,$F87,nrES_Att,1)=0),"ATTEMPT 2 WITHOUT ATTEMPT 1",IF(AND($K87=2,$L87=""),"RETEST ROW HAS NO SCORE",IF(AND($H87="Final",$L87&lt;&gt;"",IFERROR(INDEX(nrCKfinalExamElig,MATCH($D87,rngCadetPIDs,0)),"")="No"),"FINAL EXAM AFTER FAILED FINAL PT (500.1.H)",IF(AND($K87=2,ISNUMBER($L87),COUNTIFS(nrES_PID,$D87,nrES_Code,$F87,nrES_Att,1)&gt;0,SUMIFS(nrES_Raw,nrES_PID,$D87,nrES_Code,$F87,nrES_Att,1)&gt;=$J87),"RETEST AFTER A PASSING FIRST ATTEMPT","OK"))))))))))</f>
        <v/>
      </c>
      <c r="Y87" s="16" t="n"/>
    </row>
    <row r="88">
      <c r="B88" s="17">
        <f>IF($C88="","",$D88&amp;"-"&amp;$F88&amp;"-"&amp;$K88)</f>
        <v/>
      </c>
      <c r="C88" s="16" t="n"/>
      <c r="D88" s="17">
        <f>IF($C88="","",IFERROR(INDEX(rngCadetPIDs,MATCH($C88,rngCadetNames,0)),"?"))</f>
        <v/>
      </c>
      <c r="E88" s="17">
        <f>IF($D88="","",IFERROR(INDEX(nrCadetAgency,MATCH($D88,rngCadetPIDs,0)),""))</f>
        <v/>
      </c>
      <c r="F88" s="16" t="n"/>
      <c r="G88" s="17">
        <f>IF($F88="","",IFERROR(INDEX(rngEPname,MATCH($F88,rngEPcode,0)),"?"))</f>
        <v/>
      </c>
      <c r="H88" s="17">
        <f>IF($F88="","",IFERROR(INDEX(rngEPtype,MATCH($F88,rngEPcode,0)),"?"))</f>
        <v/>
      </c>
      <c r="I88" s="17">
        <f>IF($F88="","",IFERROR(INDEX(rngEPseq,MATCH($F88,rngEPcode,0)),""))</f>
        <v/>
      </c>
      <c r="J88" s="17">
        <f>IF($F88="","",IFERROR(INDEX(rngEPpass,MATCH($F88,rngEPcode,0)),cfgPassingScore))</f>
        <v/>
      </c>
      <c r="K88" s="16" t="n"/>
      <c r="L88" s="16" t="n"/>
      <c r="M88" s="17">
        <f>IF($C88="","",IF($L88="","",IF(NOT(ISNUMBER($L88)),$L88,IF(N($K88)&gt;2,"",IF($K88=1,IF(COUNTIFS(nrES_PID,$D88,nrES_Code,$F88,nrES_Att,2,nrES_Raw,"&gt;=0")&gt;0,"",$L88),IF($L88&gt;=$J88,MAX($J88,cfgRetakeRecordedCap),IF(COUNTIFS(nrES_PID,$D88,nrES_Code,$F88,nrES_Att,1)=0,$L88,SUMIFS(nrES_Raw,nrES_PID,$D88,nrES_Code,$F88,nrES_Att,1))))))))</f>
        <v/>
      </c>
      <c r="N88" s="17">
        <f>IF($C88="","",IF($L88="","",IF(NOT(ISNUMBER($L88)),"(not a score)",IF($L88&gt;=$J88,"Yes","No"))))</f>
        <v/>
      </c>
      <c r="O88" s="17">
        <f>IF($C88="","",IF($M88="","",IF(NOT(ISNUMBER($M88)),"(not a score)",IF($M88&gt;=$J88,"Yes","No"))))</f>
        <v/>
      </c>
      <c r="P88" s="17">
        <f>IF($C88="","",IF($K88="","",IF(N($K88)&gt;2,"No",IF(COUNTIFS(nrES_PID,$D88,nrES_Code,$F88,nrES_Att,"&gt;"&amp;$K88,nrES_Att,"&lt;=2",nrES_Raw,"&gt;=0")=0,"Yes","No"))))</f>
        <v/>
      </c>
      <c r="Q88" s="17">
        <f>IF($C88="","",IF($L88="","",IF(AND($K88=1,ISNUMBER($L88),$L88&lt;$J88,COUNTIFS(nrES_PID,$D88,nrES_Code,$F88,nrES_Att,2,nrES_Raw,"&gt;=0")=0),"Yes","No")))</f>
        <v/>
      </c>
      <c r="R88" s="17">
        <f>IF($C88="","",IF($L88="","",IF(AND(N($K88)&gt;=2,ISNUMBER($L88),$L88&lt;$J88),"Yes","No")))</f>
        <v/>
      </c>
      <c r="S88" s="18" t="n"/>
      <c r="T88" s="19">
        <f>IF(OR($C88="",$L88="",$K88&lt;&gt;1,NOT(ISNUMBER($L88)),$L88&gt;=$J88),"",IF($S88="","(enter date)",_xlfn.LET(_xlpm.dn,_xlfn.XLOOKUP($S88,nrCDdate,nrCDnum,"",1),IF(_xlpm.dn="","(after last class day)",_xlfn.LET(_xlpm.dd,_xlfn.XLOOKUP(_xlpm.dn+cfgRetestClassDays,nrCDnum,nrCDdate,""),_xlpm.ok,_xlfn.XLOOKUP(_xlpm.dn+cfgRetestClassDays,nrCDnum,nrCDinsession,"No"),IF(OR(_xlpm.dd="",_xlpm.ok&lt;&gt;"Yes"),"(after last class day)",_xlpm.dd))))))</f>
        <v/>
      </c>
      <c r="U88" s="17">
        <f>IF($C88="","",IF(AND($Y88="Excused",$L88="",N($K88)&lt;=1),"EXCUSED - 1st attempt pending",IF(OR($L88="",$K88&lt;&gt;1,NOT(ISNUMBER($L88)),$L88&gt;=$J88),"",IF(COUNTIFS(nrES_PID,$D88,nrES_Code,$F88,nrES_Att,2,nrES_Raw,"&gt;=0")&gt;0,IF(IFERROR(_xlfn.MINIFS(nrES_Date,nrES_PID,$D88,nrES_Code,$F88,nrES_Att,2,nrES_Raw,"&gt;=0",nrES_Date,"&gt;0"),0)=0,"RETEST UNDATED",IF(NOT(ISNUMBER($T88)),"RETEST DATE UNCHECKED",IF(_xlfn.MINIFS(nrES_Date,nrES_PID,$D88,nrES_Code,$F88,nrES_Att,2,nrES_Raw,"&gt;=0",nrES_Date,"&gt;0")&gt;$T88,"LATE RETEST "&amp;TEXT(_xlfn.MINIFS(nrES_Date,nrES_PID,$D88,nrES_Code,$F88,nrES_Att,2,nrES_Raw,"&gt;=0",nrES_Date,"&gt;0"),"mm/dd")&amp;" (due "&amp;TEXT($T88,"mm/dd")&amp;")","Retested"))),IF(NOT(ISNUMBER($T88)),"CHECK DATE",IF(TODAY()&gt;$T88,"OVERDUE","Due "&amp;TEXT($T88,"mm/dd")))))))</f>
        <v/>
      </c>
      <c r="V88" s="16" t="n"/>
      <c r="W88" s="16" t="n"/>
      <c r="X88" s="17">
        <f>IF($C88="","",IF(AND($L88&lt;&gt;"",NOT(ISNUMBER($L88))),"RAW SCORE NOT A NUMBER",IF(AND(ISNUMBER($L88),OR($L88&lt;0,$L88&gt;100)),"RAW SCORE OUT OF RANGE",IF(AND($Y88="Unexcused",OR($L88="",NOT(ISNUMBER($L88)),$L88&lt;&gt;0)),"UNEXCUSED ABSENCE MUST RECORD 0",IF(COUNTIF(nrES_RecID,$B88)&gt;1,"DUPLICATE RECORD",IF(N($K88)&gt;2,"ATTEMPT 3+ NOT ALLOWED - policy 300.5 permits one retest per exam; this row records nothing",IF(AND($K88=2,COUNTIFS(nrES_PID,$D88,nrES_Code,$F88,nrES_Att,1)=0),"ATTEMPT 2 WITHOUT ATTEMPT 1",IF(AND($K88=2,$L88=""),"RETEST ROW HAS NO SCORE",IF(AND($H88="Final",$L88&lt;&gt;"",IFERROR(INDEX(nrCKfinalExamElig,MATCH($D88,rngCadetPIDs,0)),"")="No"),"FINAL EXAM AFTER FAILED FINAL PT (500.1.H)",IF(AND($K88=2,ISNUMBER($L88),COUNTIFS(nrES_PID,$D88,nrES_Code,$F88,nrES_Att,1)&gt;0,SUMIFS(nrES_Raw,nrES_PID,$D88,nrES_Code,$F88,nrES_Att,1)&gt;=$J88),"RETEST AFTER A PASSING FIRST ATTEMPT","OK"))))))))))</f>
        <v/>
      </c>
      <c r="Y88" s="16" t="n"/>
    </row>
    <row r="89">
      <c r="B89" s="17">
        <f>IF($C89="","",$D89&amp;"-"&amp;$F89&amp;"-"&amp;$K89)</f>
        <v/>
      </c>
      <c r="C89" s="16" t="n"/>
      <c r="D89" s="17">
        <f>IF($C89="","",IFERROR(INDEX(rngCadetPIDs,MATCH($C89,rngCadetNames,0)),"?"))</f>
        <v/>
      </c>
      <c r="E89" s="17">
        <f>IF($D89="","",IFERROR(INDEX(nrCadetAgency,MATCH($D89,rngCadetPIDs,0)),""))</f>
        <v/>
      </c>
      <c r="F89" s="16" t="n"/>
      <c r="G89" s="17">
        <f>IF($F89="","",IFERROR(INDEX(rngEPname,MATCH($F89,rngEPcode,0)),"?"))</f>
        <v/>
      </c>
      <c r="H89" s="17">
        <f>IF($F89="","",IFERROR(INDEX(rngEPtype,MATCH($F89,rngEPcode,0)),"?"))</f>
        <v/>
      </c>
      <c r="I89" s="17">
        <f>IF($F89="","",IFERROR(INDEX(rngEPseq,MATCH($F89,rngEPcode,0)),""))</f>
        <v/>
      </c>
      <c r="J89" s="17">
        <f>IF($F89="","",IFERROR(INDEX(rngEPpass,MATCH($F89,rngEPcode,0)),cfgPassingScore))</f>
        <v/>
      </c>
      <c r="K89" s="16" t="n"/>
      <c r="L89" s="16" t="n"/>
      <c r="M89" s="17">
        <f>IF($C89="","",IF($L89="","",IF(NOT(ISNUMBER($L89)),$L89,IF(N($K89)&gt;2,"",IF($K89=1,IF(COUNTIFS(nrES_PID,$D89,nrES_Code,$F89,nrES_Att,2,nrES_Raw,"&gt;=0")&gt;0,"",$L89),IF($L89&gt;=$J89,MAX($J89,cfgRetakeRecordedCap),IF(COUNTIFS(nrES_PID,$D89,nrES_Code,$F89,nrES_Att,1)=0,$L89,SUMIFS(nrES_Raw,nrES_PID,$D89,nrES_Code,$F89,nrES_Att,1))))))))</f>
        <v/>
      </c>
      <c r="N89" s="17">
        <f>IF($C89="","",IF($L89="","",IF(NOT(ISNUMBER($L89)),"(not a score)",IF($L89&gt;=$J89,"Yes","No"))))</f>
        <v/>
      </c>
      <c r="O89" s="17">
        <f>IF($C89="","",IF($M89="","",IF(NOT(ISNUMBER($M89)),"(not a score)",IF($M89&gt;=$J89,"Yes","No"))))</f>
        <v/>
      </c>
      <c r="P89" s="17">
        <f>IF($C89="","",IF($K89="","",IF(N($K89)&gt;2,"No",IF(COUNTIFS(nrES_PID,$D89,nrES_Code,$F89,nrES_Att,"&gt;"&amp;$K89,nrES_Att,"&lt;=2",nrES_Raw,"&gt;=0")=0,"Yes","No"))))</f>
        <v/>
      </c>
      <c r="Q89" s="17">
        <f>IF($C89="","",IF($L89="","",IF(AND($K89=1,ISNUMBER($L89),$L89&lt;$J89,COUNTIFS(nrES_PID,$D89,nrES_Code,$F89,nrES_Att,2,nrES_Raw,"&gt;=0")=0),"Yes","No")))</f>
        <v/>
      </c>
      <c r="R89" s="17">
        <f>IF($C89="","",IF($L89="","",IF(AND(N($K89)&gt;=2,ISNUMBER($L89),$L89&lt;$J89),"Yes","No")))</f>
        <v/>
      </c>
      <c r="S89" s="18" t="n"/>
      <c r="T89" s="19">
        <f>IF(OR($C89="",$L89="",$K89&lt;&gt;1,NOT(ISNUMBER($L89)),$L89&gt;=$J89),"",IF($S89="","(enter date)",_xlfn.LET(_xlpm.dn,_xlfn.XLOOKUP($S89,nrCDdate,nrCDnum,"",1),IF(_xlpm.dn="","(after last class day)",_xlfn.LET(_xlpm.dd,_xlfn.XLOOKUP(_xlpm.dn+cfgRetestClassDays,nrCDnum,nrCDdate,""),_xlpm.ok,_xlfn.XLOOKUP(_xlpm.dn+cfgRetestClassDays,nrCDnum,nrCDinsession,"No"),IF(OR(_xlpm.dd="",_xlpm.ok&lt;&gt;"Yes"),"(after last class day)",_xlpm.dd))))))</f>
        <v/>
      </c>
      <c r="U89" s="17">
        <f>IF($C89="","",IF(AND($Y89="Excused",$L89="",N($K89)&lt;=1),"EXCUSED - 1st attempt pending",IF(OR($L89="",$K89&lt;&gt;1,NOT(ISNUMBER($L89)),$L89&gt;=$J89),"",IF(COUNTIFS(nrES_PID,$D89,nrES_Code,$F89,nrES_Att,2,nrES_Raw,"&gt;=0")&gt;0,IF(IFERROR(_xlfn.MINIFS(nrES_Date,nrES_PID,$D89,nrES_Code,$F89,nrES_Att,2,nrES_Raw,"&gt;=0",nrES_Date,"&gt;0"),0)=0,"RETEST UNDATED",IF(NOT(ISNUMBER($T89)),"RETEST DATE UNCHECKED",IF(_xlfn.MINIFS(nrES_Date,nrES_PID,$D89,nrES_Code,$F89,nrES_Att,2,nrES_Raw,"&gt;=0",nrES_Date,"&gt;0")&gt;$T89,"LATE RETEST "&amp;TEXT(_xlfn.MINIFS(nrES_Date,nrES_PID,$D89,nrES_Code,$F89,nrES_Att,2,nrES_Raw,"&gt;=0",nrES_Date,"&gt;0"),"mm/dd")&amp;" (due "&amp;TEXT($T89,"mm/dd")&amp;")","Retested"))),IF(NOT(ISNUMBER($T89)),"CHECK DATE",IF(TODAY()&gt;$T89,"OVERDUE","Due "&amp;TEXT($T89,"mm/dd")))))))</f>
        <v/>
      </c>
      <c r="V89" s="16" t="n"/>
      <c r="W89" s="16" t="n"/>
      <c r="X89" s="17">
        <f>IF($C89="","",IF(AND($L89&lt;&gt;"",NOT(ISNUMBER($L89))),"RAW SCORE NOT A NUMBER",IF(AND(ISNUMBER($L89),OR($L89&lt;0,$L89&gt;100)),"RAW SCORE OUT OF RANGE",IF(AND($Y89="Unexcused",OR($L89="",NOT(ISNUMBER($L89)),$L89&lt;&gt;0)),"UNEXCUSED ABSENCE MUST RECORD 0",IF(COUNTIF(nrES_RecID,$B89)&gt;1,"DUPLICATE RECORD",IF(N($K89)&gt;2,"ATTEMPT 3+ NOT ALLOWED - policy 300.5 permits one retest per exam; this row records nothing",IF(AND($K89=2,COUNTIFS(nrES_PID,$D89,nrES_Code,$F89,nrES_Att,1)=0),"ATTEMPT 2 WITHOUT ATTEMPT 1",IF(AND($K89=2,$L89=""),"RETEST ROW HAS NO SCORE",IF(AND($H89="Final",$L89&lt;&gt;"",IFERROR(INDEX(nrCKfinalExamElig,MATCH($D89,rngCadetPIDs,0)),"")="No"),"FINAL EXAM AFTER FAILED FINAL PT (500.1.H)",IF(AND($K89=2,ISNUMBER($L89),COUNTIFS(nrES_PID,$D89,nrES_Code,$F89,nrES_Att,1)&gt;0,SUMIFS(nrES_Raw,nrES_PID,$D89,nrES_Code,$F89,nrES_Att,1)&gt;=$J89),"RETEST AFTER A PASSING FIRST ATTEMPT","OK"))))))))))</f>
        <v/>
      </c>
      <c r="Y89" s="16" t="n"/>
    </row>
    <row r="90">
      <c r="B90" s="17">
        <f>IF($C90="","",$D90&amp;"-"&amp;$F90&amp;"-"&amp;$K90)</f>
        <v/>
      </c>
      <c r="C90" s="16" t="n"/>
      <c r="D90" s="17">
        <f>IF($C90="","",IFERROR(INDEX(rngCadetPIDs,MATCH($C90,rngCadetNames,0)),"?"))</f>
        <v/>
      </c>
      <c r="E90" s="17">
        <f>IF($D90="","",IFERROR(INDEX(nrCadetAgency,MATCH($D90,rngCadetPIDs,0)),""))</f>
        <v/>
      </c>
      <c r="F90" s="16" t="n"/>
      <c r="G90" s="17">
        <f>IF($F90="","",IFERROR(INDEX(rngEPname,MATCH($F90,rngEPcode,0)),"?"))</f>
        <v/>
      </c>
      <c r="H90" s="17">
        <f>IF($F90="","",IFERROR(INDEX(rngEPtype,MATCH($F90,rngEPcode,0)),"?"))</f>
        <v/>
      </c>
      <c r="I90" s="17">
        <f>IF($F90="","",IFERROR(INDEX(rngEPseq,MATCH($F90,rngEPcode,0)),""))</f>
        <v/>
      </c>
      <c r="J90" s="17">
        <f>IF($F90="","",IFERROR(INDEX(rngEPpass,MATCH($F90,rngEPcode,0)),cfgPassingScore))</f>
        <v/>
      </c>
      <c r="K90" s="16" t="n"/>
      <c r="L90" s="16" t="n"/>
      <c r="M90" s="17">
        <f>IF($C90="","",IF($L90="","",IF(NOT(ISNUMBER($L90)),$L90,IF(N($K90)&gt;2,"",IF($K90=1,IF(COUNTIFS(nrES_PID,$D90,nrES_Code,$F90,nrES_Att,2,nrES_Raw,"&gt;=0")&gt;0,"",$L90),IF($L90&gt;=$J90,MAX($J90,cfgRetakeRecordedCap),IF(COUNTIFS(nrES_PID,$D90,nrES_Code,$F90,nrES_Att,1)=0,$L90,SUMIFS(nrES_Raw,nrES_PID,$D90,nrES_Code,$F90,nrES_Att,1))))))))</f>
        <v/>
      </c>
      <c r="N90" s="17">
        <f>IF($C90="","",IF($L90="","",IF(NOT(ISNUMBER($L90)),"(not a score)",IF($L90&gt;=$J90,"Yes","No"))))</f>
        <v/>
      </c>
      <c r="O90" s="17">
        <f>IF($C90="","",IF($M90="","",IF(NOT(ISNUMBER($M90)),"(not a score)",IF($M90&gt;=$J90,"Yes","No"))))</f>
        <v/>
      </c>
      <c r="P90" s="17">
        <f>IF($C90="","",IF($K90="","",IF(N($K90)&gt;2,"No",IF(COUNTIFS(nrES_PID,$D90,nrES_Code,$F90,nrES_Att,"&gt;"&amp;$K90,nrES_Att,"&lt;=2",nrES_Raw,"&gt;=0")=0,"Yes","No"))))</f>
        <v/>
      </c>
      <c r="Q90" s="17">
        <f>IF($C90="","",IF($L90="","",IF(AND($K90=1,ISNUMBER($L90),$L90&lt;$J90,COUNTIFS(nrES_PID,$D90,nrES_Code,$F90,nrES_Att,2,nrES_Raw,"&gt;=0")=0),"Yes","No")))</f>
        <v/>
      </c>
      <c r="R90" s="17">
        <f>IF($C90="","",IF($L90="","",IF(AND(N($K90)&gt;=2,ISNUMBER($L90),$L90&lt;$J90),"Yes","No")))</f>
        <v/>
      </c>
      <c r="S90" s="18" t="n"/>
      <c r="T90" s="19">
        <f>IF(OR($C90="",$L90="",$K90&lt;&gt;1,NOT(ISNUMBER($L90)),$L90&gt;=$J90),"",IF($S90="","(enter date)",_xlfn.LET(_xlpm.dn,_xlfn.XLOOKUP($S90,nrCDdate,nrCDnum,"",1),IF(_xlpm.dn="","(after last class day)",_xlfn.LET(_xlpm.dd,_xlfn.XLOOKUP(_xlpm.dn+cfgRetestClassDays,nrCDnum,nrCDdate,""),_xlpm.ok,_xlfn.XLOOKUP(_xlpm.dn+cfgRetestClassDays,nrCDnum,nrCDinsession,"No"),IF(OR(_xlpm.dd="",_xlpm.ok&lt;&gt;"Yes"),"(after last class day)",_xlpm.dd))))))</f>
        <v/>
      </c>
      <c r="U90" s="17">
        <f>IF($C90="","",IF(AND($Y90="Excused",$L90="",N($K90)&lt;=1),"EXCUSED - 1st attempt pending",IF(OR($L90="",$K90&lt;&gt;1,NOT(ISNUMBER($L90)),$L90&gt;=$J90),"",IF(COUNTIFS(nrES_PID,$D90,nrES_Code,$F90,nrES_Att,2,nrES_Raw,"&gt;=0")&gt;0,IF(IFERROR(_xlfn.MINIFS(nrES_Date,nrES_PID,$D90,nrES_Code,$F90,nrES_Att,2,nrES_Raw,"&gt;=0",nrES_Date,"&gt;0"),0)=0,"RETEST UNDATED",IF(NOT(ISNUMBER($T90)),"RETEST DATE UNCHECKED",IF(_xlfn.MINIFS(nrES_Date,nrES_PID,$D90,nrES_Code,$F90,nrES_Att,2,nrES_Raw,"&gt;=0",nrES_Date,"&gt;0")&gt;$T90,"LATE RETEST "&amp;TEXT(_xlfn.MINIFS(nrES_Date,nrES_PID,$D90,nrES_Code,$F90,nrES_Att,2,nrES_Raw,"&gt;=0",nrES_Date,"&gt;0"),"mm/dd")&amp;" (due "&amp;TEXT($T90,"mm/dd")&amp;")","Retested"))),IF(NOT(ISNUMBER($T90)),"CHECK DATE",IF(TODAY()&gt;$T90,"OVERDUE","Due "&amp;TEXT($T90,"mm/dd")))))))</f>
        <v/>
      </c>
      <c r="V90" s="16" t="n"/>
      <c r="W90" s="16" t="n"/>
      <c r="X90" s="17">
        <f>IF($C90="","",IF(AND($L90&lt;&gt;"",NOT(ISNUMBER($L90))),"RAW SCORE NOT A NUMBER",IF(AND(ISNUMBER($L90),OR($L90&lt;0,$L90&gt;100)),"RAW SCORE OUT OF RANGE",IF(AND($Y90="Unexcused",OR($L90="",NOT(ISNUMBER($L90)),$L90&lt;&gt;0)),"UNEXCUSED ABSENCE MUST RECORD 0",IF(COUNTIF(nrES_RecID,$B90)&gt;1,"DUPLICATE RECORD",IF(N($K90)&gt;2,"ATTEMPT 3+ NOT ALLOWED - policy 300.5 permits one retest per exam; this row records nothing",IF(AND($K90=2,COUNTIFS(nrES_PID,$D90,nrES_Code,$F90,nrES_Att,1)=0),"ATTEMPT 2 WITHOUT ATTEMPT 1",IF(AND($K90=2,$L90=""),"RETEST ROW HAS NO SCORE",IF(AND($H90="Final",$L90&lt;&gt;"",IFERROR(INDEX(nrCKfinalExamElig,MATCH($D90,rngCadetPIDs,0)),"")="No"),"FINAL EXAM AFTER FAILED FINAL PT (500.1.H)",IF(AND($K90=2,ISNUMBER($L90),COUNTIFS(nrES_PID,$D90,nrES_Code,$F90,nrES_Att,1)&gt;0,SUMIFS(nrES_Raw,nrES_PID,$D90,nrES_Code,$F90,nrES_Att,1)&gt;=$J90),"RETEST AFTER A PASSING FIRST ATTEMPT","OK"))))))))))</f>
        <v/>
      </c>
      <c r="Y90" s="16" t="n"/>
    </row>
    <row r="91">
      <c r="B91" s="17">
        <f>IF($C91="","",$D91&amp;"-"&amp;$F91&amp;"-"&amp;$K91)</f>
        <v/>
      </c>
      <c r="C91" s="16" t="n"/>
      <c r="D91" s="17">
        <f>IF($C91="","",IFERROR(INDEX(rngCadetPIDs,MATCH($C91,rngCadetNames,0)),"?"))</f>
        <v/>
      </c>
      <c r="E91" s="17">
        <f>IF($D91="","",IFERROR(INDEX(nrCadetAgency,MATCH($D91,rngCadetPIDs,0)),""))</f>
        <v/>
      </c>
      <c r="F91" s="16" t="n"/>
      <c r="G91" s="17">
        <f>IF($F91="","",IFERROR(INDEX(rngEPname,MATCH($F91,rngEPcode,0)),"?"))</f>
        <v/>
      </c>
      <c r="H91" s="17">
        <f>IF($F91="","",IFERROR(INDEX(rngEPtype,MATCH($F91,rngEPcode,0)),"?"))</f>
        <v/>
      </c>
      <c r="I91" s="17">
        <f>IF($F91="","",IFERROR(INDEX(rngEPseq,MATCH($F91,rngEPcode,0)),""))</f>
        <v/>
      </c>
      <c r="J91" s="17">
        <f>IF($F91="","",IFERROR(INDEX(rngEPpass,MATCH($F91,rngEPcode,0)),cfgPassingScore))</f>
        <v/>
      </c>
      <c r="K91" s="16" t="n"/>
      <c r="L91" s="16" t="n"/>
      <c r="M91" s="17">
        <f>IF($C91="","",IF($L91="","",IF(NOT(ISNUMBER($L91)),$L91,IF(N($K91)&gt;2,"",IF($K91=1,IF(COUNTIFS(nrES_PID,$D91,nrES_Code,$F91,nrES_Att,2,nrES_Raw,"&gt;=0")&gt;0,"",$L91),IF($L91&gt;=$J91,MAX($J91,cfgRetakeRecordedCap),IF(COUNTIFS(nrES_PID,$D91,nrES_Code,$F91,nrES_Att,1)=0,$L91,SUMIFS(nrES_Raw,nrES_PID,$D91,nrES_Code,$F91,nrES_Att,1))))))))</f>
        <v/>
      </c>
      <c r="N91" s="17">
        <f>IF($C91="","",IF($L91="","",IF(NOT(ISNUMBER($L91)),"(not a score)",IF($L91&gt;=$J91,"Yes","No"))))</f>
        <v/>
      </c>
      <c r="O91" s="17">
        <f>IF($C91="","",IF($M91="","",IF(NOT(ISNUMBER($M91)),"(not a score)",IF($M91&gt;=$J91,"Yes","No"))))</f>
        <v/>
      </c>
      <c r="P91" s="17">
        <f>IF($C91="","",IF($K91="","",IF(N($K91)&gt;2,"No",IF(COUNTIFS(nrES_PID,$D91,nrES_Code,$F91,nrES_Att,"&gt;"&amp;$K91,nrES_Att,"&lt;=2",nrES_Raw,"&gt;=0")=0,"Yes","No"))))</f>
        <v/>
      </c>
      <c r="Q91" s="17">
        <f>IF($C91="","",IF($L91="","",IF(AND($K91=1,ISNUMBER($L91),$L91&lt;$J91,COUNTIFS(nrES_PID,$D91,nrES_Code,$F91,nrES_Att,2,nrES_Raw,"&gt;=0")=0),"Yes","No")))</f>
        <v/>
      </c>
      <c r="R91" s="17">
        <f>IF($C91="","",IF($L91="","",IF(AND(N($K91)&gt;=2,ISNUMBER($L91),$L91&lt;$J91),"Yes","No")))</f>
        <v/>
      </c>
      <c r="S91" s="18" t="n"/>
      <c r="T91" s="19">
        <f>IF(OR($C91="",$L91="",$K91&lt;&gt;1,NOT(ISNUMBER($L91)),$L91&gt;=$J91),"",IF($S91="","(enter date)",_xlfn.LET(_xlpm.dn,_xlfn.XLOOKUP($S91,nrCDdate,nrCDnum,"",1),IF(_xlpm.dn="","(after last class day)",_xlfn.LET(_xlpm.dd,_xlfn.XLOOKUP(_xlpm.dn+cfgRetestClassDays,nrCDnum,nrCDdate,""),_xlpm.ok,_xlfn.XLOOKUP(_xlpm.dn+cfgRetestClassDays,nrCDnum,nrCDinsession,"No"),IF(OR(_xlpm.dd="",_xlpm.ok&lt;&gt;"Yes"),"(after last class day)",_xlpm.dd))))))</f>
        <v/>
      </c>
      <c r="U91" s="17">
        <f>IF($C91="","",IF(AND($Y91="Excused",$L91="",N($K91)&lt;=1),"EXCUSED - 1st attempt pending",IF(OR($L91="",$K91&lt;&gt;1,NOT(ISNUMBER($L91)),$L91&gt;=$J91),"",IF(COUNTIFS(nrES_PID,$D91,nrES_Code,$F91,nrES_Att,2,nrES_Raw,"&gt;=0")&gt;0,IF(IFERROR(_xlfn.MINIFS(nrES_Date,nrES_PID,$D91,nrES_Code,$F91,nrES_Att,2,nrES_Raw,"&gt;=0",nrES_Date,"&gt;0"),0)=0,"RETEST UNDATED",IF(NOT(ISNUMBER($T91)),"RETEST DATE UNCHECKED",IF(_xlfn.MINIFS(nrES_Date,nrES_PID,$D91,nrES_Code,$F91,nrES_Att,2,nrES_Raw,"&gt;=0",nrES_Date,"&gt;0")&gt;$T91,"LATE RETEST "&amp;TEXT(_xlfn.MINIFS(nrES_Date,nrES_PID,$D91,nrES_Code,$F91,nrES_Att,2,nrES_Raw,"&gt;=0",nrES_Date,"&gt;0"),"mm/dd")&amp;" (due "&amp;TEXT($T91,"mm/dd")&amp;")","Retested"))),IF(NOT(ISNUMBER($T91)),"CHECK DATE",IF(TODAY()&gt;$T91,"OVERDUE","Due "&amp;TEXT($T91,"mm/dd")))))))</f>
        <v/>
      </c>
      <c r="V91" s="16" t="n"/>
      <c r="W91" s="16" t="n"/>
      <c r="X91" s="17">
        <f>IF($C91="","",IF(AND($L91&lt;&gt;"",NOT(ISNUMBER($L91))),"RAW SCORE NOT A NUMBER",IF(AND(ISNUMBER($L91),OR($L91&lt;0,$L91&gt;100)),"RAW SCORE OUT OF RANGE",IF(AND($Y91="Unexcused",OR($L91="",NOT(ISNUMBER($L91)),$L91&lt;&gt;0)),"UNEXCUSED ABSENCE MUST RECORD 0",IF(COUNTIF(nrES_RecID,$B91)&gt;1,"DUPLICATE RECORD",IF(N($K91)&gt;2,"ATTEMPT 3+ NOT ALLOWED - policy 300.5 permits one retest per exam; this row records nothing",IF(AND($K91=2,COUNTIFS(nrES_PID,$D91,nrES_Code,$F91,nrES_Att,1)=0),"ATTEMPT 2 WITHOUT ATTEMPT 1",IF(AND($K91=2,$L91=""),"RETEST ROW HAS NO SCORE",IF(AND($H91="Final",$L91&lt;&gt;"",IFERROR(INDEX(nrCKfinalExamElig,MATCH($D91,rngCadetPIDs,0)),"")="No"),"FINAL EXAM AFTER FAILED FINAL PT (500.1.H)",IF(AND($K91=2,ISNUMBER($L91),COUNTIFS(nrES_PID,$D91,nrES_Code,$F91,nrES_Att,1)&gt;0,SUMIFS(nrES_Raw,nrES_PID,$D91,nrES_Code,$F91,nrES_Att,1)&gt;=$J91),"RETEST AFTER A PASSING FIRST ATTEMPT","OK"))))))))))</f>
        <v/>
      </c>
      <c r="Y91" s="16" t="n"/>
    </row>
    <row r="92">
      <c r="B92" s="17">
        <f>IF($C92="","",$D92&amp;"-"&amp;$F92&amp;"-"&amp;$K92)</f>
        <v/>
      </c>
      <c r="C92" s="16" t="n"/>
      <c r="D92" s="17">
        <f>IF($C92="","",IFERROR(INDEX(rngCadetPIDs,MATCH($C92,rngCadetNames,0)),"?"))</f>
        <v/>
      </c>
      <c r="E92" s="17">
        <f>IF($D92="","",IFERROR(INDEX(nrCadetAgency,MATCH($D92,rngCadetPIDs,0)),""))</f>
        <v/>
      </c>
      <c r="F92" s="16" t="n"/>
      <c r="G92" s="17">
        <f>IF($F92="","",IFERROR(INDEX(rngEPname,MATCH($F92,rngEPcode,0)),"?"))</f>
        <v/>
      </c>
      <c r="H92" s="17">
        <f>IF($F92="","",IFERROR(INDEX(rngEPtype,MATCH($F92,rngEPcode,0)),"?"))</f>
        <v/>
      </c>
      <c r="I92" s="17">
        <f>IF($F92="","",IFERROR(INDEX(rngEPseq,MATCH($F92,rngEPcode,0)),""))</f>
        <v/>
      </c>
      <c r="J92" s="17">
        <f>IF($F92="","",IFERROR(INDEX(rngEPpass,MATCH($F92,rngEPcode,0)),cfgPassingScore))</f>
        <v/>
      </c>
      <c r="K92" s="16" t="n"/>
      <c r="L92" s="16" t="n"/>
      <c r="M92" s="17">
        <f>IF($C92="","",IF($L92="","",IF(NOT(ISNUMBER($L92)),$L92,IF(N($K92)&gt;2,"",IF($K92=1,IF(COUNTIFS(nrES_PID,$D92,nrES_Code,$F92,nrES_Att,2,nrES_Raw,"&gt;=0")&gt;0,"",$L92),IF($L92&gt;=$J92,MAX($J92,cfgRetakeRecordedCap),IF(COUNTIFS(nrES_PID,$D92,nrES_Code,$F92,nrES_Att,1)=0,$L92,SUMIFS(nrES_Raw,nrES_PID,$D92,nrES_Code,$F92,nrES_Att,1))))))))</f>
        <v/>
      </c>
      <c r="N92" s="17">
        <f>IF($C92="","",IF($L92="","",IF(NOT(ISNUMBER($L92)),"(not a score)",IF($L92&gt;=$J92,"Yes","No"))))</f>
        <v/>
      </c>
      <c r="O92" s="17">
        <f>IF($C92="","",IF($M92="","",IF(NOT(ISNUMBER($M92)),"(not a score)",IF($M92&gt;=$J92,"Yes","No"))))</f>
        <v/>
      </c>
      <c r="P92" s="17">
        <f>IF($C92="","",IF($K92="","",IF(N($K92)&gt;2,"No",IF(COUNTIFS(nrES_PID,$D92,nrES_Code,$F92,nrES_Att,"&gt;"&amp;$K92,nrES_Att,"&lt;=2",nrES_Raw,"&gt;=0")=0,"Yes","No"))))</f>
        <v/>
      </c>
      <c r="Q92" s="17">
        <f>IF($C92="","",IF($L92="","",IF(AND($K92=1,ISNUMBER($L92),$L92&lt;$J92,COUNTIFS(nrES_PID,$D92,nrES_Code,$F92,nrES_Att,2,nrES_Raw,"&gt;=0")=0),"Yes","No")))</f>
        <v/>
      </c>
      <c r="R92" s="17">
        <f>IF($C92="","",IF($L92="","",IF(AND(N($K92)&gt;=2,ISNUMBER($L92),$L92&lt;$J92),"Yes","No")))</f>
        <v/>
      </c>
      <c r="S92" s="18" t="n"/>
      <c r="T92" s="19">
        <f>IF(OR($C92="",$L92="",$K92&lt;&gt;1,NOT(ISNUMBER($L92)),$L92&gt;=$J92),"",IF($S92="","(enter date)",_xlfn.LET(_xlpm.dn,_xlfn.XLOOKUP($S92,nrCDdate,nrCDnum,"",1),IF(_xlpm.dn="","(after last class day)",_xlfn.LET(_xlpm.dd,_xlfn.XLOOKUP(_xlpm.dn+cfgRetestClassDays,nrCDnum,nrCDdate,""),_xlpm.ok,_xlfn.XLOOKUP(_xlpm.dn+cfgRetestClassDays,nrCDnum,nrCDinsession,"No"),IF(OR(_xlpm.dd="",_xlpm.ok&lt;&gt;"Yes"),"(after last class day)",_xlpm.dd))))))</f>
        <v/>
      </c>
      <c r="U92" s="17">
        <f>IF($C92="","",IF(AND($Y92="Excused",$L92="",N($K92)&lt;=1),"EXCUSED - 1st attempt pending",IF(OR($L92="",$K92&lt;&gt;1,NOT(ISNUMBER($L92)),$L92&gt;=$J92),"",IF(COUNTIFS(nrES_PID,$D92,nrES_Code,$F92,nrES_Att,2,nrES_Raw,"&gt;=0")&gt;0,IF(IFERROR(_xlfn.MINIFS(nrES_Date,nrES_PID,$D92,nrES_Code,$F92,nrES_Att,2,nrES_Raw,"&gt;=0",nrES_Date,"&gt;0"),0)=0,"RETEST UNDATED",IF(NOT(ISNUMBER($T92)),"RETEST DATE UNCHECKED",IF(_xlfn.MINIFS(nrES_Date,nrES_PID,$D92,nrES_Code,$F92,nrES_Att,2,nrES_Raw,"&gt;=0",nrES_Date,"&gt;0")&gt;$T92,"LATE RETEST "&amp;TEXT(_xlfn.MINIFS(nrES_Date,nrES_PID,$D92,nrES_Code,$F92,nrES_Att,2,nrES_Raw,"&gt;=0",nrES_Date,"&gt;0"),"mm/dd")&amp;" (due "&amp;TEXT($T92,"mm/dd")&amp;")","Retested"))),IF(NOT(ISNUMBER($T92)),"CHECK DATE",IF(TODAY()&gt;$T92,"OVERDUE","Due "&amp;TEXT($T92,"mm/dd")))))))</f>
        <v/>
      </c>
      <c r="V92" s="16" t="n"/>
      <c r="W92" s="16" t="n"/>
      <c r="X92" s="17">
        <f>IF($C92="","",IF(AND($L92&lt;&gt;"",NOT(ISNUMBER($L92))),"RAW SCORE NOT A NUMBER",IF(AND(ISNUMBER($L92),OR($L92&lt;0,$L92&gt;100)),"RAW SCORE OUT OF RANGE",IF(AND($Y92="Unexcused",OR($L92="",NOT(ISNUMBER($L92)),$L92&lt;&gt;0)),"UNEXCUSED ABSENCE MUST RECORD 0",IF(COUNTIF(nrES_RecID,$B92)&gt;1,"DUPLICATE RECORD",IF(N($K92)&gt;2,"ATTEMPT 3+ NOT ALLOWED - policy 300.5 permits one retest per exam; this row records nothing",IF(AND($K92=2,COUNTIFS(nrES_PID,$D92,nrES_Code,$F92,nrES_Att,1)=0),"ATTEMPT 2 WITHOUT ATTEMPT 1",IF(AND($K92=2,$L92=""),"RETEST ROW HAS NO SCORE",IF(AND($H92="Final",$L92&lt;&gt;"",IFERROR(INDEX(nrCKfinalExamElig,MATCH($D92,rngCadetPIDs,0)),"")="No"),"FINAL EXAM AFTER FAILED FINAL PT (500.1.H)",IF(AND($K92=2,ISNUMBER($L92),COUNTIFS(nrES_PID,$D92,nrES_Code,$F92,nrES_Att,1)&gt;0,SUMIFS(nrES_Raw,nrES_PID,$D92,nrES_Code,$F92,nrES_Att,1)&gt;=$J92),"RETEST AFTER A PASSING FIRST ATTEMPT","OK"))))))))))</f>
        <v/>
      </c>
      <c r="Y92" s="16" t="n"/>
    </row>
    <row r="93">
      <c r="B93" s="17">
        <f>IF($C93="","",$D93&amp;"-"&amp;$F93&amp;"-"&amp;$K93)</f>
        <v/>
      </c>
      <c r="C93" s="16" t="n"/>
      <c r="D93" s="17">
        <f>IF($C93="","",IFERROR(INDEX(rngCadetPIDs,MATCH($C93,rngCadetNames,0)),"?"))</f>
        <v/>
      </c>
      <c r="E93" s="17">
        <f>IF($D93="","",IFERROR(INDEX(nrCadetAgency,MATCH($D93,rngCadetPIDs,0)),""))</f>
        <v/>
      </c>
      <c r="F93" s="16" t="n"/>
      <c r="G93" s="17">
        <f>IF($F93="","",IFERROR(INDEX(rngEPname,MATCH($F93,rngEPcode,0)),"?"))</f>
        <v/>
      </c>
      <c r="H93" s="17">
        <f>IF($F93="","",IFERROR(INDEX(rngEPtype,MATCH($F93,rngEPcode,0)),"?"))</f>
        <v/>
      </c>
      <c r="I93" s="17">
        <f>IF($F93="","",IFERROR(INDEX(rngEPseq,MATCH($F93,rngEPcode,0)),""))</f>
        <v/>
      </c>
      <c r="J93" s="17">
        <f>IF($F93="","",IFERROR(INDEX(rngEPpass,MATCH($F93,rngEPcode,0)),cfgPassingScore))</f>
        <v/>
      </c>
      <c r="K93" s="16" t="n"/>
      <c r="L93" s="16" t="n"/>
      <c r="M93" s="17">
        <f>IF($C93="","",IF($L93="","",IF(NOT(ISNUMBER($L93)),$L93,IF(N($K93)&gt;2,"",IF($K93=1,IF(COUNTIFS(nrES_PID,$D93,nrES_Code,$F93,nrES_Att,2,nrES_Raw,"&gt;=0")&gt;0,"",$L93),IF($L93&gt;=$J93,MAX($J93,cfgRetakeRecordedCap),IF(COUNTIFS(nrES_PID,$D93,nrES_Code,$F93,nrES_Att,1)=0,$L93,SUMIFS(nrES_Raw,nrES_PID,$D93,nrES_Code,$F93,nrES_Att,1))))))))</f>
        <v/>
      </c>
      <c r="N93" s="17">
        <f>IF($C93="","",IF($L93="","",IF(NOT(ISNUMBER($L93)),"(not a score)",IF($L93&gt;=$J93,"Yes","No"))))</f>
        <v/>
      </c>
      <c r="O93" s="17">
        <f>IF($C93="","",IF($M93="","",IF(NOT(ISNUMBER($M93)),"(not a score)",IF($M93&gt;=$J93,"Yes","No"))))</f>
        <v/>
      </c>
      <c r="P93" s="17">
        <f>IF($C93="","",IF($K93="","",IF(N($K93)&gt;2,"No",IF(COUNTIFS(nrES_PID,$D93,nrES_Code,$F93,nrES_Att,"&gt;"&amp;$K93,nrES_Att,"&lt;=2",nrES_Raw,"&gt;=0")=0,"Yes","No"))))</f>
        <v/>
      </c>
      <c r="Q93" s="17">
        <f>IF($C93="","",IF($L93="","",IF(AND($K93=1,ISNUMBER($L93),$L93&lt;$J93,COUNTIFS(nrES_PID,$D93,nrES_Code,$F93,nrES_Att,2,nrES_Raw,"&gt;=0")=0),"Yes","No")))</f>
        <v/>
      </c>
      <c r="R93" s="17">
        <f>IF($C93="","",IF($L93="","",IF(AND(N($K93)&gt;=2,ISNUMBER($L93),$L93&lt;$J93),"Yes","No")))</f>
        <v/>
      </c>
      <c r="S93" s="18" t="n"/>
      <c r="T93" s="19">
        <f>IF(OR($C93="",$L93="",$K93&lt;&gt;1,NOT(ISNUMBER($L93)),$L93&gt;=$J93),"",IF($S93="","(enter date)",_xlfn.LET(_xlpm.dn,_xlfn.XLOOKUP($S93,nrCDdate,nrCDnum,"",1),IF(_xlpm.dn="","(after last class day)",_xlfn.LET(_xlpm.dd,_xlfn.XLOOKUP(_xlpm.dn+cfgRetestClassDays,nrCDnum,nrCDdate,""),_xlpm.ok,_xlfn.XLOOKUP(_xlpm.dn+cfgRetestClassDays,nrCDnum,nrCDinsession,"No"),IF(OR(_xlpm.dd="",_xlpm.ok&lt;&gt;"Yes"),"(after last class day)",_xlpm.dd))))))</f>
        <v/>
      </c>
      <c r="U93" s="17">
        <f>IF($C93="","",IF(AND($Y93="Excused",$L93="",N($K93)&lt;=1),"EXCUSED - 1st attempt pending",IF(OR($L93="",$K93&lt;&gt;1,NOT(ISNUMBER($L93)),$L93&gt;=$J93),"",IF(COUNTIFS(nrES_PID,$D93,nrES_Code,$F93,nrES_Att,2,nrES_Raw,"&gt;=0")&gt;0,IF(IFERROR(_xlfn.MINIFS(nrES_Date,nrES_PID,$D93,nrES_Code,$F93,nrES_Att,2,nrES_Raw,"&gt;=0",nrES_Date,"&gt;0"),0)=0,"RETEST UNDATED",IF(NOT(ISNUMBER($T93)),"RETEST DATE UNCHECKED",IF(_xlfn.MINIFS(nrES_Date,nrES_PID,$D93,nrES_Code,$F93,nrES_Att,2,nrES_Raw,"&gt;=0",nrES_Date,"&gt;0")&gt;$T93,"LATE RETEST "&amp;TEXT(_xlfn.MINIFS(nrES_Date,nrES_PID,$D93,nrES_Code,$F93,nrES_Att,2,nrES_Raw,"&gt;=0",nrES_Date,"&gt;0"),"mm/dd")&amp;" (due "&amp;TEXT($T93,"mm/dd")&amp;")","Retested"))),IF(NOT(ISNUMBER($T93)),"CHECK DATE",IF(TODAY()&gt;$T93,"OVERDUE","Due "&amp;TEXT($T93,"mm/dd")))))))</f>
        <v/>
      </c>
      <c r="V93" s="16" t="n"/>
      <c r="W93" s="16" t="n"/>
      <c r="X93" s="17">
        <f>IF($C93="","",IF(AND($L93&lt;&gt;"",NOT(ISNUMBER($L93))),"RAW SCORE NOT A NUMBER",IF(AND(ISNUMBER($L93),OR($L93&lt;0,$L93&gt;100)),"RAW SCORE OUT OF RANGE",IF(AND($Y93="Unexcused",OR($L93="",NOT(ISNUMBER($L93)),$L93&lt;&gt;0)),"UNEXCUSED ABSENCE MUST RECORD 0",IF(COUNTIF(nrES_RecID,$B93)&gt;1,"DUPLICATE RECORD",IF(N($K93)&gt;2,"ATTEMPT 3+ NOT ALLOWED - policy 300.5 permits one retest per exam; this row records nothing",IF(AND($K93=2,COUNTIFS(nrES_PID,$D93,nrES_Code,$F93,nrES_Att,1)=0),"ATTEMPT 2 WITHOUT ATTEMPT 1",IF(AND($K93=2,$L93=""),"RETEST ROW HAS NO SCORE",IF(AND($H93="Final",$L93&lt;&gt;"",IFERROR(INDEX(nrCKfinalExamElig,MATCH($D93,rngCadetPIDs,0)),"")="No"),"FINAL EXAM AFTER FAILED FINAL PT (500.1.H)",IF(AND($K93=2,ISNUMBER($L93),COUNTIFS(nrES_PID,$D93,nrES_Code,$F93,nrES_Att,1)&gt;0,SUMIFS(nrES_Raw,nrES_PID,$D93,nrES_Code,$F93,nrES_Att,1)&gt;=$J93),"RETEST AFTER A PASSING FIRST ATTEMPT","OK"))))))))))</f>
        <v/>
      </c>
      <c r="Y93" s="16" t="n"/>
    </row>
    <row r="94">
      <c r="B94" s="17">
        <f>IF($C94="","",$D94&amp;"-"&amp;$F94&amp;"-"&amp;$K94)</f>
        <v/>
      </c>
      <c r="C94" s="16" t="n"/>
      <c r="D94" s="17">
        <f>IF($C94="","",IFERROR(INDEX(rngCadetPIDs,MATCH($C94,rngCadetNames,0)),"?"))</f>
        <v/>
      </c>
      <c r="E94" s="17">
        <f>IF($D94="","",IFERROR(INDEX(nrCadetAgency,MATCH($D94,rngCadetPIDs,0)),""))</f>
        <v/>
      </c>
      <c r="F94" s="16" t="n"/>
      <c r="G94" s="17">
        <f>IF($F94="","",IFERROR(INDEX(rngEPname,MATCH($F94,rngEPcode,0)),"?"))</f>
        <v/>
      </c>
      <c r="H94" s="17">
        <f>IF($F94="","",IFERROR(INDEX(rngEPtype,MATCH($F94,rngEPcode,0)),"?"))</f>
        <v/>
      </c>
      <c r="I94" s="17">
        <f>IF($F94="","",IFERROR(INDEX(rngEPseq,MATCH($F94,rngEPcode,0)),""))</f>
        <v/>
      </c>
      <c r="J94" s="17">
        <f>IF($F94="","",IFERROR(INDEX(rngEPpass,MATCH($F94,rngEPcode,0)),cfgPassingScore))</f>
        <v/>
      </c>
      <c r="K94" s="16" t="n"/>
      <c r="L94" s="16" t="n"/>
      <c r="M94" s="17">
        <f>IF($C94="","",IF($L94="","",IF(NOT(ISNUMBER($L94)),$L94,IF(N($K94)&gt;2,"",IF($K94=1,IF(COUNTIFS(nrES_PID,$D94,nrES_Code,$F94,nrES_Att,2,nrES_Raw,"&gt;=0")&gt;0,"",$L94),IF($L94&gt;=$J94,MAX($J94,cfgRetakeRecordedCap),IF(COUNTIFS(nrES_PID,$D94,nrES_Code,$F94,nrES_Att,1)=0,$L94,SUMIFS(nrES_Raw,nrES_PID,$D94,nrES_Code,$F94,nrES_Att,1))))))))</f>
        <v/>
      </c>
      <c r="N94" s="17">
        <f>IF($C94="","",IF($L94="","",IF(NOT(ISNUMBER($L94)),"(not a score)",IF($L94&gt;=$J94,"Yes","No"))))</f>
        <v/>
      </c>
      <c r="O94" s="17">
        <f>IF($C94="","",IF($M94="","",IF(NOT(ISNUMBER($M94)),"(not a score)",IF($M94&gt;=$J94,"Yes","No"))))</f>
        <v/>
      </c>
      <c r="P94" s="17">
        <f>IF($C94="","",IF($K94="","",IF(N($K94)&gt;2,"No",IF(COUNTIFS(nrES_PID,$D94,nrES_Code,$F94,nrES_Att,"&gt;"&amp;$K94,nrES_Att,"&lt;=2",nrES_Raw,"&gt;=0")=0,"Yes","No"))))</f>
        <v/>
      </c>
      <c r="Q94" s="17">
        <f>IF($C94="","",IF($L94="","",IF(AND($K94=1,ISNUMBER($L94),$L94&lt;$J94,COUNTIFS(nrES_PID,$D94,nrES_Code,$F94,nrES_Att,2,nrES_Raw,"&gt;=0")=0),"Yes","No")))</f>
        <v/>
      </c>
      <c r="R94" s="17">
        <f>IF($C94="","",IF($L94="","",IF(AND(N($K94)&gt;=2,ISNUMBER($L94),$L94&lt;$J94),"Yes","No")))</f>
        <v/>
      </c>
      <c r="S94" s="18" t="n"/>
      <c r="T94" s="19">
        <f>IF(OR($C94="",$L94="",$K94&lt;&gt;1,NOT(ISNUMBER($L94)),$L94&gt;=$J94),"",IF($S94="","(enter date)",_xlfn.LET(_xlpm.dn,_xlfn.XLOOKUP($S94,nrCDdate,nrCDnum,"",1),IF(_xlpm.dn="","(after last class day)",_xlfn.LET(_xlpm.dd,_xlfn.XLOOKUP(_xlpm.dn+cfgRetestClassDays,nrCDnum,nrCDdate,""),_xlpm.ok,_xlfn.XLOOKUP(_xlpm.dn+cfgRetestClassDays,nrCDnum,nrCDinsession,"No"),IF(OR(_xlpm.dd="",_xlpm.ok&lt;&gt;"Yes"),"(after last class day)",_xlpm.dd))))))</f>
        <v/>
      </c>
      <c r="U94" s="17">
        <f>IF($C94="","",IF(AND($Y94="Excused",$L94="",N($K94)&lt;=1),"EXCUSED - 1st attempt pending",IF(OR($L94="",$K94&lt;&gt;1,NOT(ISNUMBER($L94)),$L94&gt;=$J94),"",IF(COUNTIFS(nrES_PID,$D94,nrES_Code,$F94,nrES_Att,2,nrES_Raw,"&gt;=0")&gt;0,IF(IFERROR(_xlfn.MINIFS(nrES_Date,nrES_PID,$D94,nrES_Code,$F94,nrES_Att,2,nrES_Raw,"&gt;=0",nrES_Date,"&gt;0"),0)=0,"RETEST UNDATED",IF(NOT(ISNUMBER($T94)),"RETEST DATE UNCHECKED",IF(_xlfn.MINIFS(nrES_Date,nrES_PID,$D94,nrES_Code,$F94,nrES_Att,2,nrES_Raw,"&gt;=0",nrES_Date,"&gt;0")&gt;$T94,"LATE RETEST "&amp;TEXT(_xlfn.MINIFS(nrES_Date,nrES_PID,$D94,nrES_Code,$F94,nrES_Att,2,nrES_Raw,"&gt;=0",nrES_Date,"&gt;0"),"mm/dd")&amp;" (due "&amp;TEXT($T94,"mm/dd")&amp;")","Retested"))),IF(NOT(ISNUMBER($T94)),"CHECK DATE",IF(TODAY()&gt;$T94,"OVERDUE","Due "&amp;TEXT($T94,"mm/dd")))))))</f>
        <v/>
      </c>
      <c r="V94" s="16" t="n"/>
      <c r="W94" s="16" t="n"/>
      <c r="X94" s="17">
        <f>IF($C94="","",IF(AND($L94&lt;&gt;"",NOT(ISNUMBER($L94))),"RAW SCORE NOT A NUMBER",IF(AND(ISNUMBER($L94),OR($L94&lt;0,$L94&gt;100)),"RAW SCORE OUT OF RANGE",IF(AND($Y94="Unexcused",OR($L94="",NOT(ISNUMBER($L94)),$L94&lt;&gt;0)),"UNEXCUSED ABSENCE MUST RECORD 0",IF(COUNTIF(nrES_RecID,$B94)&gt;1,"DUPLICATE RECORD",IF(N($K94)&gt;2,"ATTEMPT 3+ NOT ALLOWED - policy 300.5 permits one retest per exam; this row records nothing",IF(AND($K94=2,COUNTIFS(nrES_PID,$D94,nrES_Code,$F94,nrES_Att,1)=0),"ATTEMPT 2 WITHOUT ATTEMPT 1",IF(AND($K94=2,$L94=""),"RETEST ROW HAS NO SCORE",IF(AND($H94="Final",$L94&lt;&gt;"",IFERROR(INDEX(nrCKfinalExamElig,MATCH($D94,rngCadetPIDs,0)),"")="No"),"FINAL EXAM AFTER FAILED FINAL PT (500.1.H)",IF(AND($K94=2,ISNUMBER($L94),COUNTIFS(nrES_PID,$D94,nrES_Code,$F94,nrES_Att,1)&gt;0,SUMIFS(nrES_Raw,nrES_PID,$D94,nrES_Code,$F94,nrES_Att,1)&gt;=$J94),"RETEST AFTER A PASSING FIRST ATTEMPT","OK"))))))))))</f>
        <v/>
      </c>
      <c r="Y94" s="16" t="n"/>
    </row>
    <row r="95">
      <c r="B95" s="17">
        <f>IF($C95="","",$D95&amp;"-"&amp;$F95&amp;"-"&amp;$K95)</f>
        <v/>
      </c>
      <c r="C95" s="16" t="n"/>
      <c r="D95" s="17">
        <f>IF($C95="","",IFERROR(INDEX(rngCadetPIDs,MATCH($C95,rngCadetNames,0)),"?"))</f>
        <v/>
      </c>
      <c r="E95" s="17">
        <f>IF($D95="","",IFERROR(INDEX(nrCadetAgency,MATCH($D95,rngCadetPIDs,0)),""))</f>
        <v/>
      </c>
      <c r="F95" s="16" t="n"/>
      <c r="G95" s="17">
        <f>IF($F95="","",IFERROR(INDEX(rngEPname,MATCH($F95,rngEPcode,0)),"?"))</f>
        <v/>
      </c>
      <c r="H95" s="17">
        <f>IF($F95="","",IFERROR(INDEX(rngEPtype,MATCH($F95,rngEPcode,0)),"?"))</f>
        <v/>
      </c>
      <c r="I95" s="17">
        <f>IF($F95="","",IFERROR(INDEX(rngEPseq,MATCH($F95,rngEPcode,0)),""))</f>
        <v/>
      </c>
      <c r="J95" s="17">
        <f>IF($F95="","",IFERROR(INDEX(rngEPpass,MATCH($F95,rngEPcode,0)),cfgPassingScore))</f>
        <v/>
      </c>
      <c r="K95" s="16" t="n"/>
      <c r="L95" s="16" t="n"/>
      <c r="M95" s="17">
        <f>IF($C95="","",IF($L95="","",IF(NOT(ISNUMBER($L95)),$L95,IF(N($K95)&gt;2,"",IF($K95=1,IF(COUNTIFS(nrES_PID,$D95,nrES_Code,$F95,nrES_Att,2,nrES_Raw,"&gt;=0")&gt;0,"",$L95),IF($L95&gt;=$J95,MAX($J95,cfgRetakeRecordedCap),IF(COUNTIFS(nrES_PID,$D95,nrES_Code,$F95,nrES_Att,1)=0,$L95,SUMIFS(nrES_Raw,nrES_PID,$D95,nrES_Code,$F95,nrES_Att,1))))))))</f>
        <v/>
      </c>
      <c r="N95" s="17">
        <f>IF($C95="","",IF($L95="","",IF(NOT(ISNUMBER($L95)),"(not a score)",IF($L95&gt;=$J95,"Yes","No"))))</f>
        <v/>
      </c>
      <c r="O95" s="17">
        <f>IF($C95="","",IF($M95="","",IF(NOT(ISNUMBER($M95)),"(not a score)",IF($M95&gt;=$J95,"Yes","No"))))</f>
        <v/>
      </c>
      <c r="P95" s="17">
        <f>IF($C95="","",IF($K95="","",IF(N($K95)&gt;2,"No",IF(COUNTIFS(nrES_PID,$D95,nrES_Code,$F95,nrES_Att,"&gt;"&amp;$K95,nrES_Att,"&lt;=2",nrES_Raw,"&gt;=0")=0,"Yes","No"))))</f>
        <v/>
      </c>
      <c r="Q95" s="17">
        <f>IF($C95="","",IF($L95="","",IF(AND($K95=1,ISNUMBER($L95),$L95&lt;$J95,COUNTIFS(nrES_PID,$D95,nrES_Code,$F95,nrES_Att,2,nrES_Raw,"&gt;=0")=0),"Yes","No")))</f>
        <v/>
      </c>
      <c r="R95" s="17">
        <f>IF($C95="","",IF($L95="","",IF(AND(N($K95)&gt;=2,ISNUMBER($L95),$L95&lt;$J95),"Yes","No")))</f>
        <v/>
      </c>
      <c r="S95" s="18" t="n"/>
      <c r="T95" s="19">
        <f>IF(OR($C95="",$L95="",$K95&lt;&gt;1,NOT(ISNUMBER($L95)),$L95&gt;=$J95),"",IF($S95="","(enter date)",_xlfn.LET(_xlpm.dn,_xlfn.XLOOKUP($S95,nrCDdate,nrCDnum,"",1),IF(_xlpm.dn="","(after last class day)",_xlfn.LET(_xlpm.dd,_xlfn.XLOOKUP(_xlpm.dn+cfgRetestClassDays,nrCDnum,nrCDdate,""),_xlpm.ok,_xlfn.XLOOKUP(_xlpm.dn+cfgRetestClassDays,nrCDnum,nrCDinsession,"No"),IF(OR(_xlpm.dd="",_xlpm.ok&lt;&gt;"Yes"),"(after last class day)",_xlpm.dd))))))</f>
        <v/>
      </c>
      <c r="U95" s="17">
        <f>IF($C95="","",IF(AND($Y95="Excused",$L95="",N($K95)&lt;=1),"EXCUSED - 1st attempt pending",IF(OR($L95="",$K95&lt;&gt;1,NOT(ISNUMBER($L95)),$L95&gt;=$J95),"",IF(COUNTIFS(nrES_PID,$D95,nrES_Code,$F95,nrES_Att,2,nrES_Raw,"&gt;=0")&gt;0,IF(IFERROR(_xlfn.MINIFS(nrES_Date,nrES_PID,$D95,nrES_Code,$F95,nrES_Att,2,nrES_Raw,"&gt;=0",nrES_Date,"&gt;0"),0)=0,"RETEST UNDATED",IF(NOT(ISNUMBER($T95)),"RETEST DATE UNCHECKED",IF(_xlfn.MINIFS(nrES_Date,nrES_PID,$D95,nrES_Code,$F95,nrES_Att,2,nrES_Raw,"&gt;=0",nrES_Date,"&gt;0")&gt;$T95,"LATE RETEST "&amp;TEXT(_xlfn.MINIFS(nrES_Date,nrES_PID,$D95,nrES_Code,$F95,nrES_Att,2,nrES_Raw,"&gt;=0",nrES_Date,"&gt;0"),"mm/dd")&amp;" (due "&amp;TEXT($T95,"mm/dd")&amp;")","Retested"))),IF(NOT(ISNUMBER($T95)),"CHECK DATE",IF(TODAY()&gt;$T95,"OVERDUE","Due "&amp;TEXT($T95,"mm/dd")))))))</f>
        <v/>
      </c>
      <c r="V95" s="16" t="n"/>
      <c r="W95" s="16" t="n"/>
      <c r="X95" s="17">
        <f>IF($C95="","",IF(AND($L95&lt;&gt;"",NOT(ISNUMBER($L95))),"RAW SCORE NOT A NUMBER",IF(AND(ISNUMBER($L95),OR($L95&lt;0,$L95&gt;100)),"RAW SCORE OUT OF RANGE",IF(AND($Y95="Unexcused",OR($L95="",NOT(ISNUMBER($L95)),$L95&lt;&gt;0)),"UNEXCUSED ABSENCE MUST RECORD 0",IF(COUNTIF(nrES_RecID,$B95)&gt;1,"DUPLICATE RECORD",IF(N($K95)&gt;2,"ATTEMPT 3+ NOT ALLOWED - policy 300.5 permits one retest per exam; this row records nothing",IF(AND($K95=2,COUNTIFS(nrES_PID,$D95,nrES_Code,$F95,nrES_Att,1)=0),"ATTEMPT 2 WITHOUT ATTEMPT 1",IF(AND($K95=2,$L95=""),"RETEST ROW HAS NO SCORE",IF(AND($H95="Final",$L95&lt;&gt;"",IFERROR(INDEX(nrCKfinalExamElig,MATCH($D95,rngCadetPIDs,0)),"")="No"),"FINAL EXAM AFTER FAILED FINAL PT (500.1.H)",IF(AND($K95=2,ISNUMBER($L95),COUNTIFS(nrES_PID,$D95,nrES_Code,$F95,nrES_Att,1)&gt;0,SUMIFS(nrES_Raw,nrES_PID,$D95,nrES_Code,$F95,nrES_Att,1)&gt;=$J95),"RETEST AFTER A PASSING FIRST ATTEMPT","OK"))))))))))</f>
        <v/>
      </c>
      <c r="Y95" s="16" t="n"/>
    </row>
    <row r="96">
      <c r="B96" s="17">
        <f>IF($C96="","",$D96&amp;"-"&amp;$F96&amp;"-"&amp;$K96)</f>
        <v/>
      </c>
      <c r="C96" s="16" t="n"/>
      <c r="D96" s="17">
        <f>IF($C96="","",IFERROR(INDEX(rngCadetPIDs,MATCH($C96,rngCadetNames,0)),"?"))</f>
        <v/>
      </c>
      <c r="E96" s="17">
        <f>IF($D96="","",IFERROR(INDEX(nrCadetAgency,MATCH($D96,rngCadetPIDs,0)),""))</f>
        <v/>
      </c>
      <c r="F96" s="16" t="n"/>
      <c r="G96" s="17">
        <f>IF($F96="","",IFERROR(INDEX(rngEPname,MATCH($F96,rngEPcode,0)),"?"))</f>
        <v/>
      </c>
      <c r="H96" s="17">
        <f>IF($F96="","",IFERROR(INDEX(rngEPtype,MATCH($F96,rngEPcode,0)),"?"))</f>
        <v/>
      </c>
      <c r="I96" s="17">
        <f>IF($F96="","",IFERROR(INDEX(rngEPseq,MATCH($F96,rngEPcode,0)),""))</f>
        <v/>
      </c>
      <c r="J96" s="17">
        <f>IF($F96="","",IFERROR(INDEX(rngEPpass,MATCH($F96,rngEPcode,0)),cfgPassingScore))</f>
        <v/>
      </c>
      <c r="K96" s="16" t="n"/>
      <c r="L96" s="16" t="n"/>
      <c r="M96" s="17">
        <f>IF($C96="","",IF($L96="","",IF(NOT(ISNUMBER($L96)),$L96,IF(N($K96)&gt;2,"",IF($K96=1,IF(COUNTIFS(nrES_PID,$D96,nrES_Code,$F96,nrES_Att,2,nrES_Raw,"&gt;=0")&gt;0,"",$L96),IF($L96&gt;=$J96,MAX($J96,cfgRetakeRecordedCap),IF(COUNTIFS(nrES_PID,$D96,nrES_Code,$F96,nrES_Att,1)=0,$L96,SUMIFS(nrES_Raw,nrES_PID,$D96,nrES_Code,$F96,nrES_Att,1))))))))</f>
        <v/>
      </c>
      <c r="N96" s="17">
        <f>IF($C96="","",IF($L96="","",IF(NOT(ISNUMBER($L96)),"(not a score)",IF($L96&gt;=$J96,"Yes","No"))))</f>
        <v/>
      </c>
      <c r="O96" s="17">
        <f>IF($C96="","",IF($M96="","",IF(NOT(ISNUMBER($M96)),"(not a score)",IF($M96&gt;=$J96,"Yes","No"))))</f>
        <v/>
      </c>
      <c r="P96" s="17">
        <f>IF($C96="","",IF($K96="","",IF(N($K96)&gt;2,"No",IF(COUNTIFS(nrES_PID,$D96,nrES_Code,$F96,nrES_Att,"&gt;"&amp;$K96,nrES_Att,"&lt;=2",nrES_Raw,"&gt;=0")=0,"Yes","No"))))</f>
        <v/>
      </c>
      <c r="Q96" s="17">
        <f>IF($C96="","",IF($L96="","",IF(AND($K96=1,ISNUMBER($L96),$L96&lt;$J96,COUNTIFS(nrES_PID,$D96,nrES_Code,$F96,nrES_Att,2,nrES_Raw,"&gt;=0")=0),"Yes","No")))</f>
        <v/>
      </c>
      <c r="R96" s="17">
        <f>IF($C96="","",IF($L96="","",IF(AND(N($K96)&gt;=2,ISNUMBER($L96),$L96&lt;$J96),"Yes","No")))</f>
        <v/>
      </c>
      <c r="S96" s="18" t="n"/>
      <c r="T96" s="19">
        <f>IF(OR($C96="",$L96="",$K96&lt;&gt;1,NOT(ISNUMBER($L96)),$L96&gt;=$J96),"",IF($S96="","(enter date)",_xlfn.LET(_xlpm.dn,_xlfn.XLOOKUP($S96,nrCDdate,nrCDnum,"",1),IF(_xlpm.dn="","(after last class day)",_xlfn.LET(_xlpm.dd,_xlfn.XLOOKUP(_xlpm.dn+cfgRetestClassDays,nrCDnum,nrCDdate,""),_xlpm.ok,_xlfn.XLOOKUP(_xlpm.dn+cfgRetestClassDays,nrCDnum,nrCDinsession,"No"),IF(OR(_xlpm.dd="",_xlpm.ok&lt;&gt;"Yes"),"(after last class day)",_xlpm.dd))))))</f>
        <v/>
      </c>
      <c r="U96" s="17">
        <f>IF($C96="","",IF(AND($Y96="Excused",$L96="",N($K96)&lt;=1),"EXCUSED - 1st attempt pending",IF(OR($L96="",$K96&lt;&gt;1,NOT(ISNUMBER($L96)),$L96&gt;=$J96),"",IF(COUNTIFS(nrES_PID,$D96,nrES_Code,$F96,nrES_Att,2,nrES_Raw,"&gt;=0")&gt;0,IF(IFERROR(_xlfn.MINIFS(nrES_Date,nrES_PID,$D96,nrES_Code,$F96,nrES_Att,2,nrES_Raw,"&gt;=0",nrES_Date,"&gt;0"),0)=0,"RETEST UNDATED",IF(NOT(ISNUMBER($T96)),"RETEST DATE UNCHECKED",IF(_xlfn.MINIFS(nrES_Date,nrES_PID,$D96,nrES_Code,$F96,nrES_Att,2,nrES_Raw,"&gt;=0",nrES_Date,"&gt;0")&gt;$T96,"LATE RETEST "&amp;TEXT(_xlfn.MINIFS(nrES_Date,nrES_PID,$D96,nrES_Code,$F96,nrES_Att,2,nrES_Raw,"&gt;=0",nrES_Date,"&gt;0"),"mm/dd")&amp;" (due "&amp;TEXT($T96,"mm/dd")&amp;")","Retested"))),IF(NOT(ISNUMBER($T96)),"CHECK DATE",IF(TODAY()&gt;$T96,"OVERDUE","Due "&amp;TEXT($T96,"mm/dd")))))))</f>
        <v/>
      </c>
      <c r="V96" s="16" t="n"/>
      <c r="W96" s="16" t="n"/>
      <c r="X96" s="17">
        <f>IF($C96="","",IF(AND($L96&lt;&gt;"",NOT(ISNUMBER($L96))),"RAW SCORE NOT A NUMBER",IF(AND(ISNUMBER($L96),OR($L96&lt;0,$L96&gt;100)),"RAW SCORE OUT OF RANGE",IF(AND($Y96="Unexcused",OR($L96="",NOT(ISNUMBER($L96)),$L96&lt;&gt;0)),"UNEXCUSED ABSENCE MUST RECORD 0",IF(COUNTIF(nrES_RecID,$B96)&gt;1,"DUPLICATE RECORD",IF(N($K96)&gt;2,"ATTEMPT 3+ NOT ALLOWED - policy 300.5 permits one retest per exam; this row records nothing",IF(AND($K96=2,COUNTIFS(nrES_PID,$D96,nrES_Code,$F96,nrES_Att,1)=0),"ATTEMPT 2 WITHOUT ATTEMPT 1",IF(AND($K96=2,$L96=""),"RETEST ROW HAS NO SCORE",IF(AND($H96="Final",$L96&lt;&gt;"",IFERROR(INDEX(nrCKfinalExamElig,MATCH($D96,rngCadetPIDs,0)),"")="No"),"FINAL EXAM AFTER FAILED FINAL PT (500.1.H)",IF(AND($K96=2,ISNUMBER($L96),COUNTIFS(nrES_PID,$D96,nrES_Code,$F96,nrES_Att,1)&gt;0,SUMIFS(nrES_Raw,nrES_PID,$D96,nrES_Code,$F96,nrES_Att,1)&gt;=$J96),"RETEST AFTER A PASSING FIRST ATTEMPT","OK"))))))))))</f>
        <v/>
      </c>
      <c r="Y96" s="16" t="n"/>
    </row>
    <row r="97">
      <c r="B97" s="17">
        <f>IF($C97="","",$D97&amp;"-"&amp;$F97&amp;"-"&amp;$K97)</f>
        <v/>
      </c>
      <c r="C97" s="16" t="n"/>
      <c r="D97" s="17">
        <f>IF($C97="","",IFERROR(INDEX(rngCadetPIDs,MATCH($C97,rngCadetNames,0)),"?"))</f>
        <v/>
      </c>
      <c r="E97" s="17">
        <f>IF($D97="","",IFERROR(INDEX(nrCadetAgency,MATCH($D97,rngCadetPIDs,0)),""))</f>
        <v/>
      </c>
      <c r="F97" s="16" t="n"/>
      <c r="G97" s="17">
        <f>IF($F97="","",IFERROR(INDEX(rngEPname,MATCH($F97,rngEPcode,0)),"?"))</f>
        <v/>
      </c>
      <c r="H97" s="17">
        <f>IF($F97="","",IFERROR(INDEX(rngEPtype,MATCH($F97,rngEPcode,0)),"?"))</f>
        <v/>
      </c>
      <c r="I97" s="17">
        <f>IF($F97="","",IFERROR(INDEX(rngEPseq,MATCH($F97,rngEPcode,0)),""))</f>
        <v/>
      </c>
      <c r="J97" s="17">
        <f>IF($F97="","",IFERROR(INDEX(rngEPpass,MATCH($F97,rngEPcode,0)),cfgPassingScore))</f>
        <v/>
      </c>
      <c r="K97" s="16" t="n"/>
      <c r="L97" s="16" t="n"/>
      <c r="M97" s="17">
        <f>IF($C97="","",IF($L97="","",IF(NOT(ISNUMBER($L97)),$L97,IF(N($K97)&gt;2,"",IF($K97=1,IF(COUNTIFS(nrES_PID,$D97,nrES_Code,$F97,nrES_Att,2,nrES_Raw,"&gt;=0")&gt;0,"",$L97),IF($L97&gt;=$J97,MAX($J97,cfgRetakeRecordedCap),IF(COUNTIFS(nrES_PID,$D97,nrES_Code,$F97,nrES_Att,1)=0,$L97,SUMIFS(nrES_Raw,nrES_PID,$D97,nrES_Code,$F97,nrES_Att,1))))))))</f>
        <v/>
      </c>
      <c r="N97" s="17">
        <f>IF($C97="","",IF($L97="","",IF(NOT(ISNUMBER($L97)),"(not a score)",IF($L97&gt;=$J97,"Yes","No"))))</f>
        <v/>
      </c>
      <c r="O97" s="17">
        <f>IF($C97="","",IF($M97="","",IF(NOT(ISNUMBER($M97)),"(not a score)",IF($M97&gt;=$J97,"Yes","No"))))</f>
        <v/>
      </c>
      <c r="P97" s="17">
        <f>IF($C97="","",IF($K97="","",IF(N($K97)&gt;2,"No",IF(COUNTIFS(nrES_PID,$D97,nrES_Code,$F97,nrES_Att,"&gt;"&amp;$K97,nrES_Att,"&lt;=2",nrES_Raw,"&gt;=0")=0,"Yes","No"))))</f>
        <v/>
      </c>
      <c r="Q97" s="17">
        <f>IF($C97="","",IF($L97="","",IF(AND($K97=1,ISNUMBER($L97),$L97&lt;$J97,COUNTIFS(nrES_PID,$D97,nrES_Code,$F97,nrES_Att,2,nrES_Raw,"&gt;=0")=0),"Yes","No")))</f>
        <v/>
      </c>
      <c r="R97" s="17">
        <f>IF($C97="","",IF($L97="","",IF(AND(N($K97)&gt;=2,ISNUMBER($L97),$L97&lt;$J97),"Yes","No")))</f>
        <v/>
      </c>
      <c r="S97" s="18" t="n"/>
      <c r="T97" s="19">
        <f>IF(OR($C97="",$L97="",$K97&lt;&gt;1,NOT(ISNUMBER($L97)),$L97&gt;=$J97),"",IF($S97="","(enter date)",_xlfn.LET(_xlpm.dn,_xlfn.XLOOKUP($S97,nrCDdate,nrCDnum,"",1),IF(_xlpm.dn="","(after last class day)",_xlfn.LET(_xlpm.dd,_xlfn.XLOOKUP(_xlpm.dn+cfgRetestClassDays,nrCDnum,nrCDdate,""),_xlpm.ok,_xlfn.XLOOKUP(_xlpm.dn+cfgRetestClassDays,nrCDnum,nrCDinsession,"No"),IF(OR(_xlpm.dd="",_xlpm.ok&lt;&gt;"Yes"),"(after last class day)",_xlpm.dd))))))</f>
        <v/>
      </c>
      <c r="U97" s="17">
        <f>IF($C97="","",IF(AND($Y97="Excused",$L97="",N($K97)&lt;=1),"EXCUSED - 1st attempt pending",IF(OR($L97="",$K97&lt;&gt;1,NOT(ISNUMBER($L97)),$L97&gt;=$J97),"",IF(COUNTIFS(nrES_PID,$D97,nrES_Code,$F97,nrES_Att,2,nrES_Raw,"&gt;=0")&gt;0,IF(IFERROR(_xlfn.MINIFS(nrES_Date,nrES_PID,$D97,nrES_Code,$F97,nrES_Att,2,nrES_Raw,"&gt;=0",nrES_Date,"&gt;0"),0)=0,"RETEST UNDATED",IF(NOT(ISNUMBER($T97)),"RETEST DATE UNCHECKED",IF(_xlfn.MINIFS(nrES_Date,nrES_PID,$D97,nrES_Code,$F97,nrES_Att,2,nrES_Raw,"&gt;=0",nrES_Date,"&gt;0")&gt;$T97,"LATE RETEST "&amp;TEXT(_xlfn.MINIFS(nrES_Date,nrES_PID,$D97,nrES_Code,$F97,nrES_Att,2,nrES_Raw,"&gt;=0",nrES_Date,"&gt;0"),"mm/dd")&amp;" (due "&amp;TEXT($T97,"mm/dd")&amp;")","Retested"))),IF(NOT(ISNUMBER($T97)),"CHECK DATE",IF(TODAY()&gt;$T97,"OVERDUE","Due "&amp;TEXT($T97,"mm/dd")))))))</f>
        <v/>
      </c>
      <c r="V97" s="16" t="n"/>
      <c r="W97" s="16" t="n"/>
      <c r="X97" s="17">
        <f>IF($C97="","",IF(AND($L97&lt;&gt;"",NOT(ISNUMBER($L97))),"RAW SCORE NOT A NUMBER",IF(AND(ISNUMBER($L97),OR($L97&lt;0,$L97&gt;100)),"RAW SCORE OUT OF RANGE",IF(AND($Y97="Unexcused",OR($L97="",NOT(ISNUMBER($L97)),$L97&lt;&gt;0)),"UNEXCUSED ABSENCE MUST RECORD 0",IF(COUNTIF(nrES_RecID,$B97)&gt;1,"DUPLICATE RECORD",IF(N($K97)&gt;2,"ATTEMPT 3+ NOT ALLOWED - policy 300.5 permits one retest per exam; this row records nothing",IF(AND($K97=2,COUNTIFS(nrES_PID,$D97,nrES_Code,$F97,nrES_Att,1)=0),"ATTEMPT 2 WITHOUT ATTEMPT 1",IF(AND($K97=2,$L97=""),"RETEST ROW HAS NO SCORE",IF(AND($H97="Final",$L97&lt;&gt;"",IFERROR(INDEX(nrCKfinalExamElig,MATCH($D97,rngCadetPIDs,0)),"")="No"),"FINAL EXAM AFTER FAILED FINAL PT (500.1.H)",IF(AND($K97=2,ISNUMBER($L97),COUNTIFS(nrES_PID,$D97,nrES_Code,$F97,nrES_Att,1)&gt;0,SUMIFS(nrES_Raw,nrES_PID,$D97,nrES_Code,$F97,nrES_Att,1)&gt;=$J97),"RETEST AFTER A PASSING FIRST ATTEMPT","OK"))))))))))</f>
        <v/>
      </c>
      <c r="Y97" s="16" t="n"/>
    </row>
    <row r="98">
      <c r="B98" s="17">
        <f>IF($C98="","",$D98&amp;"-"&amp;$F98&amp;"-"&amp;$K98)</f>
        <v/>
      </c>
      <c r="C98" s="16" t="n"/>
      <c r="D98" s="17">
        <f>IF($C98="","",IFERROR(INDEX(rngCadetPIDs,MATCH($C98,rngCadetNames,0)),"?"))</f>
        <v/>
      </c>
      <c r="E98" s="17">
        <f>IF($D98="","",IFERROR(INDEX(nrCadetAgency,MATCH($D98,rngCadetPIDs,0)),""))</f>
        <v/>
      </c>
      <c r="F98" s="16" t="n"/>
      <c r="G98" s="17">
        <f>IF($F98="","",IFERROR(INDEX(rngEPname,MATCH($F98,rngEPcode,0)),"?"))</f>
        <v/>
      </c>
      <c r="H98" s="17">
        <f>IF($F98="","",IFERROR(INDEX(rngEPtype,MATCH($F98,rngEPcode,0)),"?"))</f>
        <v/>
      </c>
      <c r="I98" s="17">
        <f>IF($F98="","",IFERROR(INDEX(rngEPseq,MATCH($F98,rngEPcode,0)),""))</f>
        <v/>
      </c>
      <c r="J98" s="17">
        <f>IF($F98="","",IFERROR(INDEX(rngEPpass,MATCH($F98,rngEPcode,0)),cfgPassingScore))</f>
        <v/>
      </c>
      <c r="K98" s="16" t="n"/>
      <c r="L98" s="16" t="n"/>
      <c r="M98" s="17">
        <f>IF($C98="","",IF($L98="","",IF(NOT(ISNUMBER($L98)),$L98,IF(N($K98)&gt;2,"",IF($K98=1,IF(COUNTIFS(nrES_PID,$D98,nrES_Code,$F98,nrES_Att,2,nrES_Raw,"&gt;=0")&gt;0,"",$L98),IF($L98&gt;=$J98,MAX($J98,cfgRetakeRecordedCap),IF(COUNTIFS(nrES_PID,$D98,nrES_Code,$F98,nrES_Att,1)=0,$L98,SUMIFS(nrES_Raw,nrES_PID,$D98,nrES_Code,$F98,nrES_Att,1))))))))</f>
        <v/>
      </c>
      <c r="N98" s="17">
        <f>IF($C98="","",IF($L98="","",IF(NOT(ISNUMBER($L98)),"(not a score)",IF($L98&gt;=$J98,"Yes","No"))))</f>
        <v/>
      </c>
      <c r="O98" s="17">
        <f>IF($C98="","",IF($M98="","",IF(NOT(ISNUMBER($M98)),"(not a score)",IF($M98&gt;=$J98,"Yes","No"))))</f>
        <v/>
      </c>
      <c r="P98" s="17">
        <f>IF($C98="","",IF($K98="","",IF(N($K98)&gt;2,"No",IF(COUNTIFS(nrES_PID,$D98,nrES_Code,$F98,nrES_Att,"&gt;"&amp;$K98,nrES_Att,"&lt;=2",nrES_Raw,"&gt;=0")=0,"Yes","No"))))</f>
        <v/>
      </c>
      <c r="Q98" s="17">
        <f>IF($C98="","",IF($L98="","",IF(AND($K98=1,ISNUMBER($L98),$L98&lt;$J98,COUNTIFS(nrES_PID,$D98,nrES_Code,$F98,nrES_Att,2,nrES_Raw,"&gt;=0")=0),"Yes","No")))</f>
        <v/>
      </c>
      <c r="R98" s="17">
        <f>IF($C98="","",IF($L98="","",IF(AND(N($K98)&gt;=2,ISNUMBER($L98),$L98&lt;$J98),"Yes","No")))</f>
        <v/>
      </c>
      <c r="S98" s="18" t="n"/>
      <c r="T98" s="19">
        <f>IF(OR($C98="",$L98="",$K98&lt;&gt;1,NOT(ISNUMBER($L98)),$L98&gt;=$J98),"",IF($S98="","(enter date)",_xlfn.LET(_xlpm.dn,_xlfn.XLOOKUP($S98,nrCDdate,nrCDnum,"",1),IF(_xlpm.dn="","(after last class day)",_xlfn.LET(_xlpm.dd,_xlfn.XLOOKUP(_xlpm.dn+cfgRetestClassDays,nrCDnum,nrCDdate,""),_xlpm.ok,_xlfn.XLOOKUP(_xlpm.dn+cfgRetestClassDays,nrCDnum,nrCDinsession,"No"),IF(OR(_xlpm.dd="",_xlpm.ok&lt;&gt;"Yes"),"(after last class day)",_xlpm.dd))))))</f>
        <v/>
      </c>
      <c r="U98" s="17">
        <f>IF($C98="","",IF(AND($Y98="Excused",$L98="",N($K98)&lt;=1),"EXCUSED - 1st attempt pending",IF(OR($L98="",$K98&lt;&gt;1,NOT(ISNUMBER($L98)),$L98&gt;=$J98),"",IF(COUNTIFS(nrES_PID,$D98,nrES_Code,$F98,nrES_Att,2,nrES_Raw,"&gt;=0")&gt;0,IF(IFERROR(_xlfn.MINIFS(nrES_Date,nrES_PID,$D98,nrES_Code,$F98,nrES_Att,2,nrES_Raw,"&gt;=0",nrES_Date,"&gt;0"),0)=0,"RETEST UNDATED",IF(NOT(ISNUMBER($T98)),"RETEST DATE UNCHECKED",IF(_xlfn.MINIFS(nrES_Date,nrES_PID,$D98,nrES_Code,$F98,nrES_Att,2,nrES_Raw,"&gt;=0",nrES_Date,"&gt;0")&gt;$T98,"LATE RETEST "&amp;TEXT(_xlfn.MINIFS(nrES_Date,nrES_PID,$D98,nrES_Code,$F98,nrES_Att,2,nrES_Raw,"&gt;=0",nrES_Date,"&gt;0"),"mm/dd")&amp;" (due "&amp;TEXT($T98,"mm/dd")&amp;")","Retested"))),IF(NOT(ISNUMBER($T98)),"CHECK DATE",IF(TODAY()&gt;$T98,"OVERDUE","Due "&amp;TEXT($T98,"mm/dd")))))))</f>
        <v/>
      </c>
      <c r="V98" s="16" t="n"/>
      <c r="W98" s="16" t="n"/>
      <c r="X98" s="17">
        <f>IF($C98="","",IF(AND($L98&lt;&gt;"",NOT(ISNUMBER($L98))),"RAW SCORE NOT A NUMBER",IF(AND(ISNUMBER($L98),OR($L98&lt;0,$L98&gt;100)),"RAW SCORE OUT OF RANGE",IF(AND($Y98="Unexcused",OR($L98="",NOT(ISNUMBER($L98)),$L98&lt;&gt;0)),"UNEXCUSED ABSENCE MUST RECORD 0",IF(COUNTIF(nrES_RecID,$B98)&gt;1,"DUPLICATE RECORD",IF(N($K98)&gt;2,"ATTEMPT 3+ NOT ALLOWED - policy 300.5 permits one retest per exam; this row records nothing",IF(AND($K98=2,COUNTIFS(nrES_PID,$D98,nrES_Code,$F98,nrES_Att,1)=0),"ATTEMPT 2 WITHOUT ATTEMPT 1",IF(AND($K98=2,$L98=""),"RETEST ROW HAS NO SCORE",IF(AND($H98="Final",$L98&lt;&gt;"",IFERROR(INDEX(nrCKfinalExamElig,MATCH($D98,rngCadetPIDs,0)),"")="No"),"FINAL EXAM AFTER FAILED FINAL PT (500.1.H)",IF(AND($K98=2,ISNUMBER($L98),COUNTIFS(nrES_PID,$D98,nrES_Code,$F98,nrES_Att,1)&gt;0,SUMIFS(nrES_Raw,nrES_PID,$D98,nrES_Code,$F98,nrES_Att,1)&gt;=$J98),"RETEST AFTER A PASSING FIRST ATTEMPT","OK"))))))))))</f>
        <v/>
      </c>
      <c r="Y98" s="16" t="n"/>
    </row>
    <row r="99">
      <c r="B99" s="17">
        <f>IF($C99="","",$D99&amp;"-"&amp;$F99&amp;"-"&amp;$K99)</f>
        <v/>
      </c>
      <c r="C99" s="16" t="n"/>
      <c r="D99" s="17">
        <f>IF($C99="","",IFERROR(INDEX(rngCadetPIDs,MATCH($C99,rngCadetNames,0)),"?"))</f>
        <v/>
      </c>
      <c r="E99" s="17">
        <f>IF($D99="","",IFERROR(INDEX(nrCadetAgency,MATCH($D99,rngCadetPIDs,0)),""))</f>
        <v/>
      </c>
      <c r="F99" s="16" t="n"/>
      <c r="G99" s="17">
        <f>IF($F99="","",IFERROR(INDEX(rngEPname,MATCH($F99,rngEPcode,0)),"?"))</f>
        <v/>
      </c>
      <c r="H99" s="17">
        <f>IF($F99="","",IFERROR(INDEX(rngEPtype,MATCH($F99,rngEPcode,0)),"?"))</f>
        <v/>
      </c>
      <c r="I99" s="17">
        <f>IF($F99="","",IFERROR(INDEX(rngEPseq,MATCH($F99,rngEPcode,0)),""))</f>
        <v/>
      </c>
      <c r="J99" s="17">
        <f>IF($F99="","",IFERROR(INDEX(rngEPpass,MATCH($F99,rngEPcode,0)),cfgPassingScore))</f>
        <v/>
      </c>
      <c r="K99" s="16" t="n"/>
      <c r="L99" s="16" t="n"/>
      <c r="M99" s="17">
        <f>IF($C99="","",IF($L99="","",IF(NOT(ISNUMBER($L99)),$L99,IF(N($K99)&gt;2,"",IF($K99=1,IF(COUNTIFS(nrES_PID,$D99,nrES_Code,$F99,nrES_Att,2,nrES_Raw,"&gt;=0")&gt;0,"",$L99),IF($L99&gt;=$J99,MAX($J99,cfgRetakeRecordedCap),IF(COUNTIFS(nrES_PID,$D99,nrES_Code,$F99,nrES_Att,1)=0,$L99,SUMIFS(nrES_Raw,nrES_PID,$D99,nrES_Code,$F99,nrES_Att,1))))))))</f>
        <v/>
      </c>
      <c r="N99" s="17">
        <f>IF($C99="","",IF($L99="","",IF(NOT(ISNUMBER($L99)),"(not a score)",IF($L99&gt;=$J99,"Yes","No"))))</f>
        <v/>
      </c>
      <c r="O99" s="17">
        <f>IF($C99="","",IF($M99="","",IF(NOT(ISNUMBER($M99)),"(not a score)",IF($M99&gt;=$J99,"Yes","No"))))</f>
        <v/>
      </c>
      <c r="P99" s="17">
        <f>IF($C99="","",IF($K99="","",IF(N($K99)&gt;2,"No",IF(COUNTIFS(nrES_PID,$D99,nrES_Code,$F99,nrES_Att,"&gt;"&amp;$K99,nrES_Att,"&lt;=2",nrES_Raw,"&gt;=0")=0,"Yes","No"))))</f>
        <v/>
      </c>
      <c r="Q99" s="17">
        <f>IF($C99="","",IF($L99="","",IF(AND($K99=1,ISNUMBER($L99),$L99&lt;$J99,COUNTIFS(nrES_PID,$D99,nrES_Code,$F99,nrES_Att,2,nrES_Raw,"&gt;=0")=0),"Yes","No")))</f>
        <v/>
      </c>
      <c r="R99" s="17">
        <f>IF($C99="","",IF($L99="","",IF(AND(N($K99)&gt;=2,ISNUMBER($L99),$L99&lt;$J99),"Yes","No")))</f>
        <v/>
      </c>
      <c r="S99" s="18" t="n"/>
      <c r="T99" s="19">
        <f>IF(OR($C99="",$L99="",$K99&lt;&gt;1,NOT(ISNUMBER($L99)),$L99&gt;=$J99),"",IF($S99="","(enter date)",_xlfn.LET(_xlpm.dn,_xlfn.XLOOKUP($S99,nrCDdate,nrCDnum,"",1),IF(_xlpm.dn="","(after last class day)",_xlfn.LET(_xlpm.dd,_xlfn.XLOOKUP(_xlpm.dn+cfgRetestClassDays,nrCDnum,nrCDdate,""),_xlpm.ok,_xlfn.XLOOKUP(_xlpm.dn+cfgRetestClassDays,nrCDnum,nrCDinsession,"No"),IF(OR(_xlpm.dd="",_xlpm.ok&lt;&gt;"Yes"),"(after last class day)",_xlpm.dd))))))</f>
        <v/>
      </c>
      <c r="U99" s="17">
        <f>IF($C99="","",IF(AND($Y99="Excused",$L99="",N($K99)&lt;=1),"EXCUSED - 1st attempt pending",IF(OR($L99="",$K99&lt;&gt;1,NOT(ISNUMBER($L99)),$L99&gt;=$J99),"",IF(COUNTIFS(nrES_PID,$D99,nrES_Code,$F99,nrES_Att,2,nrES_Raw,"&gt;=0")&gt;0,IF(IFERROR(_xlfn.MINIFS(nrES_Date,nrES_PID,$D99,nrES_Code,$F99,nrES_Att,2,nrES_Raw,"&gt;=0",nrES_Date,"&gt;0"),0)=0,"RETEST UNDATED",IF(NOT(ISNUMBER($T99)),"RETEST DATE UNCHECKED",IF(_xlfn.MINIFS(nrES_Date,nrES_PID,$D99,nrES_Code,$F99,nrES_Att,2,nrES_Raw,"&gt;=0",nrES_Date,"&gt;0")&gt;$T99,"LATE RETEST "&amp;TEXT(_xlfn.MINIFS(nrES_Date,nrES_PID,$D99,nrES_Code,$F99,nrES_Att,2,nrES_Raw,"&gt;=0",nrES_Date,"&gt;0"),"mm/dd")&amp;" (due "&amp;TEXT($T99,"mm/dd")&amp;")","Retested"))),IF(NOT(ISNUMBER($T99)),"CHECK DATE",IF(TODAY()&gt;$T99,"OVERDUE","Due "&amp;TEXT($T99,"mm/dd")))))))</f>
        <v/>
      </c>
      <c r="V99" s="16" t="n"/>
      <c r="W99" s="16" t="n"/>
      <c r="X99" s="17">
        <f>IF($C99="","",IF(AND($L99&lt;&gt;"",NOT(ISNUMBER($L99))),"RAW SCORE NOT A NUMBER",IF(AND(ISNUMBER($L99),OR($L99&lt;0,$L99&gt;100)),"RAW SCORE OUT OF RANGE",IF(AND($Y99="Unexcused",OR($L99="",NOT(ISNUMBER($L99)),$L99&lt;&gt;0)),"UNEXCUSED ABSENCE MUST RECORD 0",IF(COUNTIF(nrES_RecID,$B99)&gt;1,"DUPLICATE RECORD",IF(N($K99)&gt;2,"ATTEMPT 3+ NOT ALLOWED - policy 300.5 permits one retest per exam; this row records nothing",IF(AND($K99=2,COUNTIFS(nrES_PID,$D99,nrES_Code,$F99,nrES_Att,1)=0),"ATTEMPT 2 WITHOUT ATTEMPT 1",IF(AND($K99=2,$L99=""),"RETEST ROW HAS NO SCORE",IF(AND($H99="Final",$L99&lt;&gt;"",IFERROR(INDEX(nrCKfinalExamElig,MATCH($D99,rngCadetPIDs,0)),"")="No"),"FINAL EXAM AFTER FAILED FINAL PT (500.1.H)",IF(AND($K99=2,ISNUMBER($L99),COUNTIFS(nrES_PID,$D99,nrES_Code,$F99,nrES_Att,1)&gt;0,SUMIFS(nrES_Raw,nrES_PID,$D99,nrES_Code,$F99,nrES_Att,1)&gt;=$J99),"RETEST AFTER A PASSING FIRST ATTEMPT","OK"))))))))))</f>
        <v/>
      </c>
      <c r="Y99" s="16" t="n"/>
    </row>
    <row r="100">
      <c r="B100" s="17">
        <f>IF($C100="","",$D100&amp;"-"&amp;$F100&amp;"-"&amp;$K100)</f>
        <v/>
      </c>
      <c r="C100" s="16" t="n"/>
      <c r="D100" s="17">
        <f>IF($C100="","",IFERROR(INDEX(rngCadetPIDs,MATCH($C100,rngCadetNames,0)),"?"))</f>
        <v/>
      </c>
      <c r="E100" s="17">
        <f>IF($D100="","",IFERROR(INDEX(nrCadetAgency,MATCH($D100,rngCadetPIDs,0)),""))</f>
        <v/>
      </c>
      <c r="F100" s="16" t="n"/>
      <c r="G100" s="17">
        <f>IF($F100="","",IFERROR(INDEX(rngEPname,MATCH($F100,rngEPcode,0)),"?"))</f>
        <v/>
      </c>
      <c r="H100" s="17">
        <f>IF($F100="","",IFERROR(INDEX(rngEPtype,MATCH($F100,rngEPcode,0)),"?"))</f>
        <v/>
      </c>
      <c r="I100" s="17">
        <f>IF($F100="","",IFERROR(INDEX(rngEPseq,MATCH($F100,rngEPcode,0)),""))</f>
        <v/>
      </c>
      <c r="J100" s="17">
        <f>IF($F100="","",IFERROR(INDEX(rngEPpass,MATCH($F100,rngEPcode,0)),cfgPassingScore))</f>
        <v/>
      </c>
      <c r="K100" s="16" t="n"/>
      <c r="L100" s="16" t="n"/>
      <c r="M100" s="17">
        <f>IF($C100="","",IF($L100="","",IF(NOT(ISNUMBER($L100)),$L100,IF(N($K100)&gt;2,"",IF($K100=1,IF(COUNTIFS(nrES_PID,$D100,nrES_Code,$F100,nrES_Att,2,nrES_Raw,"&gt;=0")&gt;0,"",$L100),IF($L100&gt;=$J100,MAX($J100,cfgRetakeRecordedCap),IF(COUNTIFS(nrES_PID,$D100,nrES_Code,$F100,nrES_Att,1)=0,$L100,SUMIFS(nrES_Raw,nrES_PID,$D100,nrES_Code,$F100,nrES_Att,1))))))))</f>
        <v/>
      </c>
      <c r="N100" s="17">
        <f>IF($C100="","",IF($L100="","",IF(NOT(ISNUMBER($L100)),"(not a score)",IF($L100&gt;=$J100,"Yes","No"))))</f>
        <v/>
      </c>
      <c r="O100" s="17">
        <f>IF($C100="","",IF($M100="","",IF(NOT(ISNUMBER($M100)),"(not a score)",IF($M100&gt;=$J100,"Yes","No"))))</f>
        <v/>
      </c>
      <c r="P100" s="17">
        <f>IF($C100="","",IF($K100="","",IF(N($K100)&gt;2,"No",IF(COUNTIFS(nrES_PID,$D100,nrES_Code,$F100,nrES_Att,"&gt;"&amp;$K100,nrES_Att,"&lt;=2",nrES_Raw,"&gt;=0")=0,"Yes","No"))))</f>
        <v/>
      </c>
      <c r="Q100" s="17">
        <f>IF($C100="","",IF($L100="","",IF(AND($K100=1,ISNUMBER($L100),$L100&lt;$J100,COUNTIFS(nrES_PID,$D100,nrES_Code,$F100,nrES_Att,2,nrES_Raw,"&gt;=0")=0),"Yes","No")))</f>
        <v/>
      </c>
      <c r="R100" s="17">
        <f>IF($C100="","",IF($L100="","",IF(AND(N($K100)&gt;=2,ISNUMBER($L100),$L100&lt;$J100),"Yes","No")))</f>
        <v/>
      </c>
      <c r="S100" s="18" t="n"/>
      <c r="T100" s="19">
        <f>IF(OR($C100="",$L100="",$K100&lt;&gt;1,NOT(ISNUMBER($L100)),$L100&gt;=$J100),"",IF($S100="","(enter date)",_xlfn.LET(_xlpm.dn,_xlfn.XLOOKUP($S100,nrCDdate,nrCDnum,"",1),IF(_xlpm.dn="","(after last class day)",_xlfn.LET(_xlpm.dd,_xlfn.XLOOKUP(_xlpm.dn+cfgRetestClassDays,nrCDnum,nrCDdate,""),_xlpm.ok,_xlfn.XLOOKUP(_xlpm.dn+cfgRetestClassDays,nrCDnum,nrCDinsession,"No"),IF(OR(_xlpm.dd="",_xlpm.ok&lt;&gt;"Yes"),"(after last class day)",_xlpm.dd))))))</f>
        <v/>
      </c>
      <c r="U100" s="17">
        <f>IF($C100="","",IF(AND($Y100="Excused",$L100="",N($K100)&lt;=1),"EXCUSED - 1st attempt pending",IF(OR($L100="",$K100&lt;&gt;1,NOT(ISNUMBER($L100)),$L100&gt;=$J100),"",IF(COUNTIFS(nrES_PID,$D100,nrES_Code,$F100,nrES_Att,2,nrES_Raw,"&gt;=0")&gt;0,IF(IFERROR(_xlfn.MINIFS(nrES_Date,nrES_PID,$D100,nrES_Code,$F100,nrES_Att,2,nrES_Raw,"&gt;=0",nrES_Date,"&gt;0"),0)=0,"RETEST UNDATED",IF(NOT(ISNUMBER($T100)),"RETEST DATE UNCHECKED",IF(_xlfn.MINIFS(nrES_Date,nrES_PID,$D100,nrES_Code,$F100,nrES_Att,2,nrES_Raw,"&gt;=0",nrES_Date,"&gt;0")&gt;$T100,"LATE RETEST "&amp;TEXT(_xlfn.MINIFS(nrES_Date,nrES_PID,$D100,nrES_Code,$F100,nrES_Att,2,nrES_Raw,"&gt;=0",nrES_Date,"&gt;0"),"mm/dd")&amp;" (due "&amp;TEXT($T100,"mm/dd")&amp;")","Retested"))),IF(NOT(ISNUMBER($T100)),"CHECK DATE",IF(TODAY()&gt;$T100,"OVERDUE","Due "&amp;TEXT($T100,"mm/dd")))))))</f>
        <v/>
      </c>
      <c r="V100" s="16" t="n"/>
      <c r="W100" s="16" t="n"/>
      <c r="X100" s="17">
        <f>IF($C100="","",IF(AND($L100&lt;&gt;"",NOT(ISNUMBER($L100))),"RAW SCORE NOT A NUMBER",IF(AND(ISNUMBER($L100),OR($L100&lt;0,$L100&gt;100)),"RAW SCORE OUT OF RANGE",IF(AND($Y100="Unexcused",OR($L100="",NOT(ISNUMBER($L100)),$L100&lt;&gt;0)),"UNEXCUSED ABSENCE MUST RECORD 0",IF(COUNTIF(nrES_RecID,$B100)&gt;1,"DUPLICATE RECORD",IF(N($K100)&gt;2,"ATTEMPT 3+ NOT ALLOWED - policy 300.5 permits one retest per exam; this row records nothing",IF(AND($K100=2,COUNTIFS(nrES_PID,$D100,nrES_Code,$F100,nrES_Att,1)=0),"ATTEMPT 2 WITHOUT ATTEMPT 1",IF(AND($K100=2,$L100=""),"RETEST ROW HAS NO SCORE",IF(AND($H100="Final",$L100&lt;&gt;"",IFERROR(INDEX(nrCKfinalExamElig,MATCH($D100,rngCadetPIDs,0)),"")="No"),"FINAL EXAM AFTER FAILED FINAL PT (500.1.H)",IF(AND($K100=2,ISNUMBER($L100),COUNTIFS(nrES_PID,$D100,nrES_Code,$F100,nrES_Att,1)&gt;0,SUMIFS(nrES_Raw,nrES_PID,$D100,nrES_Code,$F100,nrES_Att,1)&gt;=$J100),"RETEST AFTER A PASSING FIRST ATTEMPT","OK"))))))))))</f>
        <v/>
      </c>
      <c r="Y100" s="16" t="n"/>
    </row>
    <row r="101">
      <c r="B101" s="17">
        <f>IF($C101="","",$D101&amp;"-"&amp;$F101&amp;"-"&amp;$K101)</f>
        <v/>
      </c>
      <c r="C101" s="16" t="n"/>
      <c r="D101" s="17">
        <f>IF($C101="","",IFERROR(INDEX(rngCadetPIDs,MATCH($C101,rngCadetNames,0)),"?"))</f>
        <v/>
      </c>
      <c r="E101" s="17">
        <f>IF($D101="","",IFERROR(INDEX(nrCadetAgency,MATCH($D101,rngCadetPIDs,0)),""))</f>
        <v/>
      </c>
      <c r="F101" s="16" t="n"/>
      <c r="G101" s="17">
        <f>IF($F101="","",IFERROR(INDEX(rngEPname,MATCH($F101,rngEPcode,0)),"?"))</f>
        <v/>
      </c>
      <c r="H101" s="17">
        <f>IF($F101="","",IFERROR(INDEX(rngEPtype,MATCH($F101,rngEPcode,0)),"?"))</f>
        <v/>
      </c>
      <c r="I101" s="17">
        <f>IF($F101="","",IFERROR(INDEX(rngEPseq,MATCH($F101,rngEPcode,0)),""))</f>
        <v/>
      </c>
      <c r="J101" s="17">
        <f>IF($F101="","",IFERROR(INDEX(rngEPpass,MATCH($F101,rngEPcode,0)),cfgPassingScore))</f>
        <v/>
      </c>
      <c r="K101" s="16" t="n"/>
      <c r="L101" s="16" t="n"/>
      <c r="M101" s="17">
        <f>IF($C101="","",IF($L101="","",IF(NOT(ISNUMBER($L101)),$L101,IF(N($K101)&gt;2,"",IF($K101=1,IF(COUNTIFS(nrES_PID,$D101,nrES_Code,$F101,nrES_Att,2,nrES_Raw,"&gt;=0")&gt;0,"",$L101),IF($L101&gt;=$J101,MAX($J101,cfgRetakeRecordedCap),IF(COUNTIFS(nrES_PID,$D101,nrES_Code,$F101,nrES_Att,1)=0,$L101,SUMIFS(nrES_Raw,nrES_PID,$D101,nrES_Code,$F101,nrES_Att,1))))))))</f>
        <v/>
      </c>
      <c r="N101" s="17">
        <f>IF($C101="","",IF($L101="","",IF(NOT(ISNUMBER($L101)),"(not a score)",IF($L101&gt;=$J101,"Yes","No"))))</f>
        <v/>
      </c>
      <c r="O101" s="17">
        <f>IF($C101="","",IF($M101="","",IF(NOT(ISNUMBER($M101)),"(not a score)",IF($M101&gt;=$J101,"Yes","No"))))</f>
        <v/>
      </c>
      <c r="P101" s="17">
        <f>IF($C101="","",IF($K101="","",IF(N($K101)&gt;2,"No",IF(COUNTIFS(nrES_PID,$D101,nrES_Code,$F101,nrES_Att,"&gt;"&amp;$K101,nrES_Att,"&lt;=2",nrES_Raw,"&gt;=0")=0,"Yes","No"))))</f>
        <v/>
      </c>
      <c r="Q101" s="17">
        <f>IF($C101="","",IF($L101="","",IF(AND($K101=1,ISNUMBER($L101),$L101&lt;$J101,COUNTIFS(nrES_PID,$D101,nrES_Code,$F101,nrES_Att,2,nrES_Raw,"&gt;=0")=0),"Yes","No")))</f>
        <v/>
      </c>
      <c r="R101" s="17">
        <f>IF($C101="","",IF($L101="","",IF(AND(N($K101)&gt;=2,ISNUMBER($L101),$L101&lt;$J101),"Yes","No")))</f>
        <v/>
      </c>
      <c r="S101" s="18" t="n"/>
      <c r="T101" s="19">
        <f>IF(OR($C101="",$L101="",$K101&lt;&gt;1,NOT(ISNUMBER($L101)),$L101&gt;=$J101),"",IF($S101="","(enter date)",_xlfn.LET(_xlpm.dn,_xlfn.XLOOKUP($S101,nrCDdate,nrCDnum,"",1),IF(_xlpm.dn="","(after last class day)",_xlfn.LET(_xlpm.dd,_xlfn.XLOOKUP(_xlpm.dn+cfgRetestClassDays,nrCDnum,nrCDdate,""),_xlpm.ok,_xlfn.XLOOKUP(_xlpm.dn+cfgRetestClassDays,nrCDnum,nrCDinsession,"No"),IF(OR(_xlpm.dd="",_xlpm.ok&lt;&gt;"Yes"),"(after last class day)",_xlpm.dd))))))</f>
        <v/>
      </c>
      <c r="U101" s="17">
        <f>IF($C101="","",IF(AND($Y101="Excused",$L101="",N($K101)&lt;=1),"EXCUSED - 1st attempt pending",IF(OR($L101="",$K101&lt;&gt;1,NOT(ISNUMBER($L101)),$L101&gt;=$J101),"",IF(COUNTIFS(nrES_PID,$D101,nrES_Code,$F101,nrES_Att,2,nrES_Raw,"&gt;=0")&gt;0,IF(IFERROR(_xlfn.MINIFS(nrES_Date,nrES_PID,$D101,nrES_Code,$F101,nrES_Att,2,nrES_Raw,"&gt;=0",nrES_Date,"&gt;0"),0)=0,"RETEST UNDATED",IF(NOT(ISNUMBER($T101)),"RETEST DATE UNCHECKED",IF(_xlfn.MINIFS(nrES_Date,nrES_PID,$D101,nrES_Code,$F101,nrES_Att,2,nrES_Raw,"&gt;=0",nrES_Date,"&gt;0")&gt;$T101,"LATE RETEST "&amp;TEXT(_xlfn.MINIFS(nrES_Date,nrES_PID,$D101,nrES_Code,$F101,nrES_Att,2,nrES_Raw,"&gt;=0",nrES_Date,"&gt;0"),"mm/dd")&amp;" (due "&amp;TEXT($T101,"mm/dd")&amp;")","Retested"))),IF(NOT(ISNUMBER($T101)),"CHECK DATE",IF(TODAY()&gt;$T101,"OVERDUE","Due "&amp;TEXT($T101,"mm/dd")))))))</f>
        <v/>
      </c>
      <c r="V101" s="16" t="n"/>
      <c r="W101" s="16" t="n"/>
      <c r="X101" s="17">
        <f>IF($C101="","",IF(AND($L101&lt;&gt;"",NOT(ISNUMBER($L101))),"RAW SCORE NOT A NUMBER",IF(AND(ISNUMBER($L101),OR($L101&lt;0,$L101&gt;100)),"RAW SCORE OUT OF RANGE",IF(AND($Y101="Unexcused",OR($L101="",NOT(ISNUMBER($L101)),$L101&lt;&gt;0)),"UNEXCUSED ABSENCE MUST RECORD 0",IF(COUNTIF(nrES_RecID,$B101)&gt;1,"DUPLICATE RECORD",IF(N($K101)&gt;2,"ATTEMPT 3+ NOT ALLOWED - policy 300.5 permits one retest per exam; this row records nothing",IF(AND($K101=2,COUNTIFS(nrES_PID,$D101,nrES_Code,$F101,nrES_Att,1)=0),"ATTEMPT 2 WITHOUT ATTEMPT 1",IF(AND($K101=2,$L101=""),"RETEST ROW HAS NO SCORE",IF(AND($H101="Final",$L101&lt;&gt;"",IFERROR(INDEX(nrCKfinalExamElig,MATCH($D101,rngCadetPIDs,0)),"")="No"),"FINAL EXAM AFTER FAILED FINAL PT (500.1.H)",IF(AND($K101=2,ISNUMBER($L101),COUNTIFS(nrES_PID,$D101,nrES_Code,$F101,nrES_Att,1)&gt;0,SUMIFS(nrES_Raw,nrES_PID,$D101,nrES_Code,$F101,nrES_Att,1)&gt;=$J101),"RETEST AFTER A PASSING FIRST ATTEMPT","OK"))))))))))</f>
        <v/>
      </c>
      <c r="Y101" s="16" t="n"/>
    </row>
    <row r="102">
      <c r="B102" s="17">
        <f>IF($C102="","",$D102&amp;"-"&amp;$F102&amp;"-"&amp;$K102)</f>
        <v/>
      </c>
      <c r="C102" s="16" t="n"/>
      <c r="D102" s="17">
        <f>IF($C102="","",IFERROR(INDEX(rngCadetPIDs,MATCH($C102,rngCadetNames,0)),"?"))</f>
        <v/>
      </c>
      <c r="E102" s="17">
        <f>IF($D102="","",IFERROR(INDEX(nrCadetAgency,MATCH($D102,rngCadetPIDs,0)),""))</f>
        <v/>
      </c>
      <c r="F102" s="16" t="n"/>
      <c r="G102" s="17">
        <f>IF($F102="","",IFERROR(INDEX(rngEPname,MATCH($F102,rngEPcode,0)),"?"))</f>
        <v/>
      </c>
      <c r="H102" s="17">
        <f>IF($F102="","",IFERROR(INDEX(rngEPtype,MATCH($F102,rngEPcode,0)),"?"))</f>
        <v/>
      </c>
      <c r="I102" s="17">
        <f>IF($F102="","",IFERROR(INDEX(rngEPseq,MATCH($F102,rngEPcode,0)),""))</f>
        <v/>
      </c>
      <c r="J102" s="17">
        <f>IF($F102="","",IFERROR(INDEX(rngEPpass,MATCH($F102,rngEPcode,0)),cfgPassingScore))</f>
        <v/>
      </c>
      <c r="K102" s="16" t="n"/>
      <c r="L102" s="16" t="n"/>
      <c r="M102" s="17">
        <f>IF($C102="","",IF($L102="","",IF(NOT(ISNUMBER($L102)),$L102,IF(N($K102)&gt;2,"",IF($K102=1,IF(COUNTIFS(nrES_PID,$D102,nrES_Code,$F102,nrES_Att,2,nrES_Raw,"&gt;=0")&gt;0,"",$L102),IF($L102&gt;=$J102,MAX($J102,cfgRetakeRecordedCap),IF(COUNTIFS(nrES_PID,$D102,nrES_Code,$F102,nrES_Att,1)=0,$L102,SUMIFS(nrES_Raw,nrES_PID,$D102,nrES_Code,$F102,nrES_Att,1))))))))</f>
        <v/>
      </c>
      <c r="N102" s="17">
        <f>IF($C102="","",IF($L102="","",IF(NOT(ISNUMBER($L102)),"(not a score)",IF($L102&gt;=$J102,"Yes","No"))))</f>
        <v/>
      </c>
      <c r="O102" s="17">
        <f>IF($C102="","",IF($M102="","",IF(NOT(ISNUMBER($M102)),"(not a score)",IF($M102&gt;=$J102,"Yes","No"))))</f>
        <v/>
      </c>
      <c r="P102" s="17">
        <f>IF($C102="","",IF($K102="","",IF(N($K102)&gt;2,"No",IF(COUNTIFS(nrES_PID,$D102,nrES_Code,$F102,nrES_Att,"&gt;"&amp;$K102,nrES_Att,"&lt;=2",nrES_Raw,"&gt;=0")=0,"Yes","No"))))</f>
        <v/>
      </c>
      <c r="Q102" s="17">
        <f>IF($C102="","",IF($L102="","",IF(AND($K102=1,ISNUMBER($L102),$L102&lt;$J102,COUNTIFS(nrES_PID,$D102,nrES_Code,$F102,nrES_Att,2,nrES_Raw,"&gt;=0")=0),"Yes","No")))</f>
        <v/>
      </c>
      <c r="R102" s="17">
        <f>IF($C102="","",IF($L102="","",IF(AND(N($K102)&gt;=2,ISNUMBER($L102),$L102&lt;$J102),"Yes","No")))</f>
        <v/>
      </c>
      <c r="S102" s="18" t="n"/>
      <c r="T102" s="19">
        <f>IF(OR($C102="",$L102="",$K102&lt;&gt;1,NOT(ISNUMBER($L102)),$L102&gt;=$J102),"",IF($S102="","(enter date)",_xlfn.LET(_xlpm.dn,_xlfn.XLOOKUP($S102,nrCDdate,nrCDnum,"",1),IF(_xlpm.dn="","(after last class day)",_xlfn.LET(_xlpm.dd,_xlfn.XLOOKUP(_xlpm.dn+cfgRetestClassDays,nrCDnum,nrCDdate,""),_xlpm.ok,_xlfn.XLOOKUP(_xlpm.dn+cfgRetestClassDays,nrCDnum,nrCDinsession,"No"),IF(OR(_xlpm.dd="",_xlpm.ok&lt;&gt;"Yes"),"(after last class day)",_xlpm.dd))))))</f>
        <v/>
      </c>
      <c r="U102" s="17">
        <f>IF($C102="","",IF(AND($Y102="Excused",$L102="",N($K102)&lt;=1),"EXCUSED - 1st attempt pending",IF(OR($L102="",$K102&lt;&gt;1,NOT(ISNUMBER($L102)),$L102&gt;=$J102),"",IF(COUNTIFS(nrES_PID,$D102,nrES_Code,$F102,nrES_Att,2,nrES_Raw,"&gt;=0")&gt;0,IF(IFERROR(_xlfn.MINIFS(nrES_Date,nrES_PID,$D102,nrES_Code,$F102,nrES_Att,2,nrES_Raw,"&gt;=0",nrES_Date,"&gt;0"),0)=0,"RETEST UNDATED",IF(NOT(ISNUMBER($T102)),"RETEST DATE UNCHECKED",IF(_xlfn.MINIFS(nrES_Date,nrES_PID,$D102,nrES_Code,$F102,nrES_Att,2,nrES_Raw,"&gt;=0",nrES_Date,"&gt;0")&gt;$T102,"LATE RETEST "&amp;TEXT(_xlfn.MINIFS(nrES_Date,nrES_PID,$D102,nrES_Code,$F102,nrES_Att,2,nrES_Raw,"&gt;=0",nrES_Date,"&gt;0"),"mm/dd")&amp;" (due "&amp;TEXT($T102,"mm/dd")&amp;")","Retested"))),IF(NOT(ISNUMBER($T102)),"CHECK DATE",IF(TODAY()&gt;$T102,"OVERDUE","Due "&amp;TEXT($T102,"mm/dd")))))))</f>
        <v/>
      </c>
      <c r="V102" s="16" t="n"/>
      <c r="W102" s="16" t="n"/>
      <c r="X102" s="17">
        <f>IF($C102="","",IF(AND($L102&lt;&gt;"",NOT(ISNUMBER($L102))),"RAW SCORE NOT A NUMBER",IF(AND(ISNUMBER($L102),OR($L102&lt;0,$L102&gt;100)),"RAW SCORE OUT OF RANGE",IF(AND($Y102="Unexcused",OR($L102="",NOT(ISNUMBER($L102)),$L102&lt;&gt;0)),"UNEXCUSED ABSENCE MUST RECORD 0",IF(COUNTIF(nrES_RecID,$B102)&gt;1,"DUPLICATE RECORD",IF(N($K102)&gt;2,"ATTEMPT 3+ NOT ALLOWED - policy 300.5 permits one retest per exam; this row records nothing",IF(AND($K102=2,COUNTIFS(nrES_PID,$D102,nrES_Code,$F102,nrES_Att,1)=0),"ATTEMPT 2 WITHOUT ATTEMPT 1",IF(AND($K102=2,$L102=""),"RETEST ROW HAS NO SCORE",IF(AND($H102="Final",$L102&lt;&gt;"",IFERROR(INDEX(nrCKfinalExamElig,MATCH($D102,rngCadetPIDs,0)),"")="No"),"FINAL EXAM AFTER FAILED FINAL PT (500.1.H)",IF(AND($K102=2,ISNUMBER($L102),COUNTIFS(nrES_PID,$D102,nrES_Code,$F102,nrES_Att,1)&gt;0,SUMIFS(nrES_Raw,nrES_PID,$D102,nrES_Code,$F102,nrES_Att,1)&gt;=$J102),"RETEST AFTER A PASSING FIRST ATTEMPT","OK"))))))))))</f>
        <v/>
      </c>
      <c r="Y102" s="16" t="n"/>
    </row>
    <row r="103">
      <c r="B103" s="17">
        <f>IF($C103="","",$D103&amp;"-"&amp;$F103&amp;"-"&amp;$K103)</f>
        <v/>
      </c>
      <c r="C103" s="16" t="n"/>
      <c r="D103" s="17">
        <f>IF($C103="","",IFERROR(INDEX(rngCadetPIDs,MATCH($C103,rngCadetNames,0)),"?"))</f>
        <v/>
      </c>
      <c r="E103" s="17">
        <f>IF($D103="","",IFERROR(INDEX(nrCadetAgency,MATCH($D103,rngCadetPIDs,0)),""))</f>
        <v/>
      </c>
      <c r="F103" s="16" t="n"/>
      <c r="G103" s="17">
        <f>IF($F103="","",IFERROR(INDEX(rngEPname,MATCH($F103,rngEPcode,0)),"?"))</f>
        <v/>
      </c>
      <c r="H103" s="17">
        <f>IF($F103="","",IFERROR(INDEX(rngEPtype,MATCH($F103,rngEPcode,0)),"?"))</f>
        <v/>
      </c>
      <c r="I103" s="17">
        <f>IF($F103="","",IFERROR(INDEX(rngEPseq,MATCH($F103,rngEPcode,0)),""))</f>
        <v/>
      </c>
      <c r="J103" s="17">
        <f>IF($F103="","",IFERROR(INDEX(rngEPpass,MATCH($F103,rngEPcode,0)),cfgPassingScore))</f>
        <v/>
      </c>
      <c r="K103" s="16" t="n"/>
      <c r="L103" s="16" t="n"/>
      <c r="M103" s="17">
        <f>IF($C103="","",IF($L103="","",IF(NOT(ISNUMBER($L103)),$L103,IF(N($K103)&gt;2,"",IF($K103=1,IF(COUNTIFS(nrES_PID,$D103,nrES_Code,$F103,nrES_Att,2,nrES_Raw,"&gt;=0")&gt;0,"",$L103),IF($L103&gt;=$J103,MAX($J103,cfgRetakeRecordedCap),IF(COUNTIFS(nrES_PID,$D103,nrES_Code,$F103,nrES_Att,1)=0,$L103,SUMIFS(nrES_Raw,nrES_PID,$D103,nrES_Code,$F103,nrES_Att,1))))))))</f>
        <v/>
      </c>
      <c r="N103" s="17">
        <f>IF($C103="","",IF($L103="","",IF(NOT(ISNUMBER($L103)),"(not a score)",IF($L103&gt;=$J103,"Yes","No"))))</f>
        <v/>
      </c>
      <c r="O103" s="17">
        <f>IF($C103="","",IF($M103="","",IF(NOT(ISNUMBER($M103)),"(not a score)",IF($M103&gt;=$J103,"Yes","No"))))</f>
        <v/>
      </c>
      <c r="P103" s="17">
        <f>IF($C103="","",IF($K103="","",IF(N($K103)&gt;2,"No",IF(COUNTIFS(nrES_PID,$D103,nrES_Code,$F103,nrES_Att,"&gt;"&amp;$K103,nrES_Att,"&lt;=2",nrES_Raw,"&gt;=0")=0,"Yes","No"))))</f>
        <v/>
      </c>
      <c r="Q103" s="17">
        <f>IF($C103="","",IF($L103="","",IF(AND($K103=1,ISNUMBER($L103),$L103&lt;$J103,COUNTIFS(nrES_PID,$D103,nrES_Code,$F103,nrES_Att,2,nrES_Raw,"&gt;=0")=0),"Yes","No")))</f>
        <v/>
      </c>
      <c r="R103" s="17">
        <f>IF($C103="","",IF($L103="","",IF(AND(N($K103)&gt;=2,ISNUMBER($L103),$L103&lt;$J103),"Yes","No")))</f>
        <v/>
      </c>
      <c r="S103" s="18" t="n"/>
      <c r="T103" s="19">
        <f>IF(OR($C103="",$L103="",$K103&lt;&gt;1,NOT(ISNUMBER($L103)),$L103&gt;=$J103),"",IF($S103="","(enter date)",_xlfn.LET(_xlpm.dn,_xlfn.XLOOKUP($S103,nrCDdate,nrCDnum,"",1),IF(_xlpm.dn="","(after last class day)",_xlfn.LET(_xlpm.dd,_xlfn.XLOOKUP(_xlpm.dn+cfgRetestClassDays,nrCDnum,nrCDdate,""),_xlpm.ok,_xlfn.XLOOKUP(_xlpm.dn+cfgRetestClassDays,nrCDnum,nrCDinsession,"No"),IF(OR(_xlpm.dd="",_xlpm.ok&lt;&gt;"Yes"),"(after last class day)",_xlpm.dd))))))</f>
        <v/>
      </c>
      <c r="U103" s="17">
        <f>IF($C103="","",IF(AND($Y103="Excused",$L103="",N($K103)&lt;=1),"EXCUSED - 1st attempt pending",IF(OR($L103="",$K103&lt;&gt;1,NOT(ISNUMBER($L103)),$L103&gt;=$J103),"",IF(COUNTIFS(nrES_PID,$D103,nrES_Code,$F103,nrES_Att,2,nrES_Raw,"&gt;=0")&gt;0,IF(IFERROR(_xlfn.MINIFS(nrES_Date,nrES_PID,$D103,nrES_Code,$F103,nrES_Att,2,nrES_Raw,"&gt;=0",nrES_Date,"&gt;0"),0)=0,"RETEST UNDATED",IF(NOT(ISNUMBER($T103)),"RETEST DATE UNCHECKED",IF(_xlfn.MINIFS(nrES_Date,nrES_PID,$D103,nrES_Code,$F103,nrES_Att,2,nrES_Raw,"&gt;=0",nrES_Date,"&gt;0")&gt;$T103,"LATE RETEST "&amp;TEXT(_xlfn.MINIFS(nrES_Date,nrES_PID,$D103,nrES_Code,$F103,nrES_Att,2,nrES_Raw,"&gt;=0",nrES_Date,"&gt;0"),"mm/dd")&amp;" (due "&amp;TEXT($T103,"mm/dd")&amp;")","Retested"))),IF(NOT(ISNUMBER($T103)),"CHECK DATE",IF(TODAY()&gt;$T103,"OVERDUE","Due "&amp;TEXT($T103,"mm/dd")))))))</f>
        <v/>
      </c>
      <c r="V103" s="16" t="n"/>
      <c r="W103" s="16" t="n"/>
      <c r="X103" s="17">
        <f>IF($C103="","",IF(AND($L103&lt;&gt;"",NOT(ISNUMBER($L103))),"RAW SCORE NOT A NUMBER",IF(AND(ISNUMBER($L103),OR($L103&lt;0,$L103&gt;100)),"RAW SCORE OUT OF RANGE",IF(AND($Y103="Unexcused",OR($L103="",NOT(ISNUMBER($L103)),$L103&lt;&gt;0)),"UNEXCUSED ABSENCE MUST RECORD 0",IF(COUNTIF(nrES_RecID,$B103)&gt;1,"DUPLICATE RECORD",IF(N($K103)&gt;2,"ATTEMPT 3+ NOT ALLOWED - policy 300.5 permits one retest per exam; this row records nothing",IF(AND($K103=2,COUNTIFS(nrES_PID,$D103,nrES_Code,$F103,nrES_Att,1)=0),"ATTEMPT 2 WITHOUT ATTEMPT 1",IF(AND($K103=2,$L103=""),"RETEST ROW HAS NO SCORE",IF(AND($H103="Final",$L103&lt;&gt;"",IFERROR(INDEX(nrCKfinalExamElig,MATCH($D103,rngCadetPIDs,0)),"")="No"),"FINAL EXAM AFTER FAILED FINAL PT (500.1.H)",IF(AND($K103=2,ISNUMBER($L103),COUNTIFS(nrES_PID,$D103,nrES_Code,$F103,nrES_Att,1)&gt;0,SUMIFS(nrES_Raw,nrES_PID,$D103,nrES_Code,$F103,nrES_Att,1)&gt;=$J103),"RETEST AFTER A PASSING FIRST ATTEMPT","OK"))))))))))</f>
        <v/>
      </c>
      <c r="Y103" s="16" t="n"/>
    </row>
    <row r="104">
      <c r="B104" s="17">
        <f>IF($C104="","",$D104&amp;"-"&amp;$F104&amp;"-"&amp;$K104)</f>
        <v/>
      </c>
      <c r="C104" s="16" t="n"/>
      <c r="D104" s="17">
        <f>IF($C104="","",IFERROR(INDEX(rngCadetPIDs,MATCH($C104,rngCadetNames,0)),"?"))</f>
        <v/>
      </c>
      <c r="E104" s="17">
        <f>IF($D104="","",IFERROR(INDEX(nrCadetAgency,MATCH($D104,rngCadetPIDs,0)),""))</f>
        <v/>
      </c>
      <c r="F104" s="16" t="n"/>
      <c r="G104" s="17">
        <f>IF($F104="","",IFERROR(INDEX(rngEPname,MATCH($F104,rngEPcode,0)),"?"))</f>
        <v/>
      </c>
      <c r="H104" s="17">
        <f>IF($F104="","",IFERROR(INDEX(rngEPtype,MATCH($F104,rngEPcode,0)),"?"))</f>
        <v/>
      </c>
      <c r="I104" s="17">
        <f>IF($F104="","",IFERROR(INDEX(rngEPseq,MATCH($F104,rngEPcode,0)),""))</f>
        <v/>
      </c>
      <c r="J104" s="17">
        <f>IF($F104="","",IFERROR(INDEX(rngEPpass,MATCH($F104,rngEPcode,0)),cfgPassingScore))</f>
        <v/>
      </c>
      <c r="K104" s="16" t="n"/>
      <c r="L104" s="16" t="n"/>
      <c r="M104" s="17">
        <f>IF($C104="","",IF($L104="","",IF(NOT(ISNUMBER($L104)),$L104,IF(N($K104)&gt;2,"",IF($K104=1,IF(COUNTIFS(nrES_PID,$D104,nrES_Code,$F104,nrES_Att,2,nrES_Raw,"&gt;=0")&gt;0,"",$L104),IF($L104&gt;=$J104,MAX($J104,cfgRetakeRecordedCap),IF(COUNTIFS(nrES_PID,$D104,nrES_Code,$F104,nrES_Att,1)=0,$L104,SUMIFS(nrES_Raw,nrES_PID,$D104,nrES_Code,$F104,nrES_Att,1))))))))</f>
        <v/>
      </c>
      <c r="N104" s="17">
        <f>IF($C104="","",IF($L104="","",IF(NOT(ISNUMBER($L104)),"(not a score)",IF($L104&gt;=$J104,"Yes","No"))))</f>
        <v/>
      </c>
      <c r="O104" s="17">
        <f>IF($C104="","",IF($M104="","",IF(NOT(ISNUMBER($M104)),"(not a score)",IF($M104&gt;=$J104,"Yes","No"))))</f>
        <v/>
      </c>
      <c r="P104" s="17">
        <f>IF($C104="","",IF($K104="","",IF(N($K104)&gt;2,"No",IF(COUNTIFS(nrES_PID,$D104,nrES_Code,$F104,nrES_Att,"&gt;"&amp;$K104,nrES_Att,"&lt;=2",nrES_Raw,"&gt;=0")=0,"Yes","No"))))</f>
        <v/>
      </c>
      <c r="Q104" s="17">
        <f>IF($C104="","",IF($L104="","",IF(AND($K104=1,ISNUMBER($L104),$L104&lt;$J104,COUNTIFS(nrES_PID,$D104,nrES_Code,$F104,nrES_Att,2,nrES_Raw,"&gt;=0")=0),"Yes","No")))</f>
        <v/>
      </c>
      <c r="R104" s="17">
        <f>IF($C104="","",IF($L104="","",IF(AND(N($K104)&gt;=2,ISNUMBER($L104),$L104&lt;$J104),"Yes","No")))</f>
        <v/>
      </c>
      <c r="S104" s="18" t="n"/>
      <c r="T104" s="19">
        <f>IF(OR($C104="",$L104="",$K104&lt;&gt;1,NOT(ISNUMBER($L104)),$L104&gt;=$J104),"",IF($S104="","(enter date)",_xlfn.LET(_xlpm.dn,_xlfn.XLOOKUP($S104,nrCDdate,nrCDnum,"",1),IF(_xlpm.dn="","(after last class day)",_xlfn.LET(_xlpm.dd,_xlfn.XLOOKUP(_xlpm.dn+cfgRetestClassDays,nrCDnum,nrCDdate,""),_xlpm.ok,_xlfn.XLOOKUP(_xlpm.dn+cfgRetestClassDays,nrCDnum,nrCDinsession,"No"),IF(OR(_xlpm.dd="",_xlpm.ok&lt;&gt;"Yes"),"(after last class day)",_xlpm.dd))))))</f>
        <v/>
      </c>
      <c r="U104" s="17">
        <f>IF($C104="","",IF(AND($Y104="Excused",$L104="",N($K104)&lt;=1),"EXCUSED - 1st attempt pending",IF(OR($L104="",$K104&lt;&gt;1,NOT(ISNUMBER($L104)),$L104&gt;=$J104),"",IF(COUNTIFS(nrES_PID,$D104,nrES_Code,$F104,nrES_Att,2,nrES_Raw,"&gt;=0")&gt;0,IF(IFERROR(_xlfn.MINIFS(nrES_Date,nrES_PID,$D104,nrES_Code,$F104,nrES_Att,2,nrES_Raw,"&gt;=0",nrES_Date,"&gt;0"),0)=0,"RETEST UNDATED",IF(NOT(ISNUMBER($T104)),"RETEST DATE UNCHECKED",IF(_xlfn.MINIFS(nrES_Date,nrES_PID,$D104,nrES_Code,$F104,nrES_Att,2,nrES_Raw,"&gt;=0",nrES_Date,"&gt;0")&gt;$T104,"LATE RETEST "&amp;TEXT(_xlfn.MINIFS(nrES_Date,nrES_PID,$D104,nrES_Code,$F104,nrES_Att,2,nrES_Raw,"&gt;=0",nrES_Date,"&gt;0"),"mm/dd")&amp;" (due "&amp;TEXT($T104,"mm/dd")&amp;")","Retested"))),IF(NOT(ISNUMBER($T104)),"CHECK DATE",IF(TODAY()&gt;$T104,"OVERDUE","Due "&amp;TEXT($T104,"mm/dd")))))))</f>
        <v/>
      </c>
      <c r="V104" s="16" t="n"/>
      <c r="W104" s="16" t="n"/>
      <c r="X104" s="17">
        <f>IF($C104="","",IF(AND($L104&lt;&gt;"",NOT(ISNUMBER($L104))),"RAW SCORE NOT A NUMBER",IF(AND(ISNUMBER($L104),OR($L104&lt;0,$L104&gt;100)),"RAW SCORE OUT OF RANGE",IF(AND($Y104="Unexcused",OR($L104="",NOT(ISNUMBER($L104)),$L104&lt;&gt;0)),"UNEXCUSED ABSENCE MUST RECORD 0",IF(COUNTIF(nrES_RecID,$B104)&gt;1,"DUPLICATE RECORD",IF(N($K104)&gt;2,"ATTEMPT 3+ NOT ALLOWED - policy 300.5 permits one retest per exam; this row records nothing",IF(AND($K104=2,COUNTIFS(nrES_PID,$D104,nrES_Code,$F104,nrES_Att,1)=0),"ATTEMPT 2 WITHOUT ATTEMPT 1",IF(AND($K104=2,$L104=""),"RETEST ROW HAS NO SCORE",IF(AND($H104="Final",$L104&lt;&gt;"",IFERROR(INDEX(nrCKfinalExamElig,MATCH($D104,rngCadetPIDs,0)),"")="No"),"FINAL EXAM AFTER FAILED FINAL PT (500.1.H)",IF(AND($K104=2,ISNUMBER($L104),COUNTIFS(nrES_PID,$D104,nrES_Code,$F104,nrES_Att,1)&gt;0,SUMIFS(nrES_Raw,nrES_PID,$D104,nrES_Code,$F104,nrES_Att,1)&gt;=$J104),"RETEST AFTER A PASSING FIRST ATTEMPT","OK"))))))))))</f>
        <v/>
      </c>
      <c r="Y104" s="16" t="n"/>
    </row>
    <row r="105">
      <c r="B105" s="17">
        <f>IF($C105="","",$D105&amp;"-"&amp;$F105&amp;"-"&amp;$K105)</f>
        <v/>
      </c>
      <c r="C105" s="16" t="n"/>
      <c r="D105" s="17">
        <f>IF($C105="","",IFERROR(INDEX(rngCadetPIDs,MATCH($C105,rngCadetNames,0)),"?"))</f>
        <v/>
      </c>
      <c r="E105" s="17">
        <f>IF($D105="","",IFERROR(INDEX(nrCadetAgency,MATCH($D105,rngCadetPIDs,0)),""))</f>
        <v/>
      </c>
      <c r="F105" s="16" t="n"/>
      <c r="G105" s="17">
        <f>IF($F105="","",IFERROR(INDEX(rngEPname,MATCH($F105,rngEPcode,0)),"?"))</f>
        <v/>
      </c>
      <c r="H105" s="17">
        <f>IF($F105="","",IFERROR(INDEX(rngEPtype,MATCH($F105,rngEPcode,0)),"?"))</f>
        <v/>
      </c>
      <c r="I105" s="17">
        <f>IF($F105="","",IFERROR(INDEX(rngEPseq,MATCH($F105,rngEPcode,0)),""))</f>
        <v/>
      </c>
      <c r="J105" s="17">
        <f>IF($F105="","",IFERROR(INDEX(rngEPpass,MATCH($F105,rngEPcode,0)),cfgPassingScore))</f>
        <v/>
      </c>
      <c r="K105" s="16" t="n"/>
      <c r="L105" s="16" t="n"/>
      <c r="M105" s="17">
        <f>IF($C105="","",IF($L105="","",IF(NOT(ISNUMBER($L105)),$L105,IF(N($K105)&gt;2,"",IF($K105=1,IF(COUNTIFS(nrES_PID,$D105,nrES_Code,$F105,nrES_Att,2,nrES_Raw,"&gt;=0")&gt;0,"",$L105),IF($L105&gt;=$J105,MAX($J105,cfgRetakeRecordedCap),IF(COUNTIFS(nrES_PID,$D105,nrES_Code,$F105,nrES_Att,1)=0,$L105,SUMIFS(nrES_Raw,nrES_PID,$D105,nrES_Code,$F105,nrES_Att,1))))))))</f>
        <v/>
      </c>
      <c r="N105" s="17">
        <f>IF($C105="","",IF($L105="","",IF(NOT(ISNUMBER($L105)),"(not a score)",IF($L105&gt;=$J105,"Yes","No"))))</f>
        <v/>
      </c>
      <c r="O105" s="17">
        <f>IF($C105="","",IF($M105="","",IF(NOT(ISNUMBER($M105)),"(not a score)",IF($M105&gt;=$J105,"Yes","No"))))</f>
        <v/>
      </c>
      <c r="P105" s="17">
        <f>IF($C105="","",IF($K105="","",IF(N($K105)&gt;2,"No",IF(COUNTIFS(nrES_PID,$D105,nrES_Code,$F105,nrES_Att,"&gt;"&amp;$K105,nrES_Att,"&lt;=2",nrES_Raw,"&gt;=0")=0,"Yes","No"))))</f>
        <v/>
      </c>
      <c r="Q105" s="17">
        <f>IF($C105="","",IF($L105="","",IF(AND($K105=1,ISNUMBER($L105),$L105&lt;$J105,COUNTIFS(nrES_PID,$D105,nrES_Code,$F105,nrES_Att,2,nrES_Raw,"&gt;=0")=0),"Yes","No")))</f>
        <v/>
      </c>
      <c r="R105" s="17">
        <f>IF($C105="","",IF($L105="","",IF(AND(N($K105)&gt;=2,ISNUMBER($L105),$L105&lt;$J105),"Yes","No")))</f>
        <v/>
      </c>
      <c r="S105" s="18" t="n"/>
      <c r="T105" s="19">
        <f>IF(OR($C105="",$L105="",$K105&lt;&gt;1,NOT(ISNUMBER($L105)),$L105&gt;=$J105),"",IF($S105="","(enter date)",_xlfn.LET(_xlpm.dn,_xlfn.XLOOKUP($S105,nrCDdate,nrCDnum,"",1),IF(_xlpm.dn="","(after last class day)",_xlfn.LET(_xlpm.dd,_xlfn.XLOOKUP(_xlpm.dn+cfgRetestClassDays,nrCDnum,nrCDdate,""),_xlpm.ok,_xlfn.XLOOKUP(_xlpm.dn+cfgRetestClassDays,nrCDnum,nrCDinsession,"No"),IF(OR(_xlpm.dd="",_xlpm.ok&lt;&gt;"Yes"),"(after last class day)",_xlpm.dd))))))</f>
        <v/>
      </c>
      <c r="U105" s="17">
        <f>IF($C105="","",IF(AND($Y105="Excused",$L105="",N($K105)&lt;=1),"EXCUSED - 1st attempt pending",IF(OR($L105="",$K105&lt;&gt;1,NOT(ISNUMBER($L105)),$L105&gt;=$J105),"",IF(COUNTIFS(nrES_PID,$D105,nrES_Code,$F105,nrES_Att,2,nrES_Raw,"&gt;=0")&gt;0,IF(IFERROR(_xlfn.MINIFS(nrES_Date,nrES_PID,$D105,nrES_Code,$F105,nrES_Att,2,nrES_Raw,"&gt;=0",nrES_Date,"&gt;0"),0)=0,"RETEST UNDATED",IF(NOT(ISNUMBER($T105)),"RETEST DATE UNCHECKED",IF(_xlfn.MINIFS(nrES_Date,nrES_PID,$D105,nrES_Code,$F105,nrES_Att,2,nrES_Raw,"&gt;=0",nrES_Date,"&gt;0")&gt;$T105,"LATE RETEST "&amp;TEXT(_xlfn.MINIFS(nrES_Date,nrES_PID,$D105,nrES_Code,$F105,nrES_Att,2,nrES_Raw,"&gt;=0",nrES_Date,"&gt;0"),"mm/dd")&amp;" (due "&amp;TEXT($T105,"mm/dd")&amp;")","Retested"))),IF(NOT(ISNUMBER($T105)),"CHECK DATE",IF(TODAY()&gt;$T105,"OVERDUE","Due "&amp;TEXT($T105,"mm/dd")))))))</f>
        <v/>
      </c>
      <c r="V105" s="16" t="n"/>
      <c r="W105" s="16" t="n"/>
      <c r="X105" s="17">
        <f>IF($C105="","",IF(AND($L105&lt;&gt;"",NOT(ISNUMBER($L105))),"RAW SCORE NOT A NUMBER",IF(AND(ISNUMBER($L105),OR($L105&lt;0,$L105&gt;100)),"RAW SCORE OUT OF RANGE",IF(AND($Y105="Unexcused",OR($L105="",NOT(ISNUMBER($L105)),$L105&lt;&gt;0)),"UNEXCUSED ABSENCE MUST RECORD 0",IF(COUNTIF(nrES_RecID,$B105)&gt;1,"DUPLICATE RECORD",IF(N($K105)&gt;2,"ATTEMPT 3+ NOT ALLOWED - policy 300.5 permits one retest per exam; this row records nothing",IF(AND($K105=2,COUNTIFS(nrES_PID,$D105,nrES_Code,$F105,nrES_Att,1)=0),"ATTEMPT 2 WITHOUT ATTEMPT 1",IF(AND($K105=2,$L105=""),"RETEST ROW HAS NO SCORE",IF(AND($H105="Final",$L105&lt;&gt;"",IFERROR(INDEX(nrCKfinalExamElig,MATCH($D105,rngCadetPIDs,0)),"")="No"),"FINAL EXAM AFTER FAILED FINAL PT (500.1.H)",IF(AND($K105=2,ISNUMBER($L105),COUNTIFS(nrES_PID,$D105,nrES_Code,$F105,nrES_Att,1)&gt;0,SUMIFS(nrES_Raw,nrES_PID,$D105,nrES_Code,$F105,nrES_Att,1)&gt;=$J105),"RETEST AFTER A PASSING FIRST ATTEMPT","OK"))))))))))</f>
        <v/>
      </c>
      <c r="Y105" s="16" t="n"/>
    </row>
    <row r="106">
      <c r="B106" s="17">
        <f>IF($C106="","",$D106&amp;"-"&amp;$F106&amp;"-"&amp;$K106)</f>
        <v/>
      </c>
      <c r="C106" s="16" t="n"/>
      <c r="D106" s="17">
        <f>IF($C106="","",IFERROR(INDEX(rngCadetPIDs,MATCH($C106,rngCadetNames,0)),"?"))</f>
        <v/>
      </c>
      <c r="E106" s="17">
        <f>IF($D106="","",IFERROR(INDEX(nrCadetAgency,MATCH($D106,rngCadetPIDs,0)),""))</f>
        <v/>
      </c>
      <c r="F106" s="16" t="n"/>
      <c r="G106" s="17">
        <f>IF($F106="","",IFERROR(INDEX(rngEPname,MATCH($F106,rngEPcode,0)),"?"))</f>
        <v/>
      </c>
      <c r="H106" s="17">
        <f>IF($F106="","",IFERROR(INDEX(rngEPtype,MATCH($F106,rngEPcode,0)),"?"))</f>
        <v/>
      </c>
      <c r="I106" s="17">
        <f>IF($F106="","",IFERROR(INDEX(rngEPseq,MATCH($F106,rngEPcode,0)),""))</f>
        <v/>
      </c>
      <c r="J106" s="17">
        <f>IF($F106="","",IFERROR(INDEX(rngEPpass,MATCH($F106,rngEPcode,0)),cfgPassingScore))</f>
        <v/>
      </c>
      <c r="K106" s="16" t="n"/>
      <c r="L106" s="16" t="n"/>
      <c r="M106" s="17">
        <f>IF($C106="","",IF($L106="","",IF(NOT(ISNUMBER($L106)),$L106,IF(N($K106)&gt;2,"",IF($K106=1,IF(COUNTIFS(nrES_PID,$D106,nrES_Code,$F106,nrES_Att,2,nrES_Raw,"&gt;=0")&gt;0,"",$L106),IF($L106&gt;=$J106,MAX($J106,cfgRetakeRecordedCap),IF(COUNTIFS(nrES_PID,$D106,nrES_Code,$F106,nrES_Att,1)=0,$L106,SUMIFS(nrES_Raw,nrES_PID,$D106,nrES_Code,$F106,nrES_Att,1))))))))</f>
        <v/>
      </c>
      <c r="N106" s="17">
        <f>IF($C106="","",IF($L106="","",IF(NOT(ISNUMBER($L106)),"(not a score)",IF($L106&gt;=$J106,"Yes","No"))))</f>
        <v/>
      </c>
      <c r="O106" s="17">
        <f>IF($C106="","",IF($M106="","",IF(NOT(ISNUMBER($M106)),"(not a score)",IF($M106&gt;=$J106,"Yes","No"))))</f>
        <v/>
      </c>
      <c r="P106" s="17">
        <f>IF($C106="","",IF($K106="","",IF(N($K106)&gt;2,"No",IF(COUNTIFS(nrES_PID,$D106,nrES_Code,$F106,nrES_Att,"&gt;"&amp;$K106,nrES_Att,"&lt;=2",nrES_Raw,"&gt;=0")=0,"Yes","No"))))</f>
        <v/>
      </c>
      <c r="Q106" s="17">
        <f>IF($C106="","",IF($L106="","",IF(AND($K106=1,ISNUMBER($L106),$L106&lt;$J106,COUNTIFS(nrES_PID,$D106,nrES_Code,$F106,nrES_Att,2,nrES_Raw,"&gt;=0")=0),"Yes","No")))</f>
        <v/>
      </c>
      <c r="R106" s="17">
        <f>IF($C106="","",IF($L106="","",IF(AND(N($K106)&gt;=2,ISNUMBER($L106),$L106&lt;$J106),"Yes","No")))</f>
        <v/>
      </c>
      <c r="S106" s="18" t="n"/>
      <c r="T106" s="19">
        <f>IF(OR($C106="",$L106="",$K106&lt;&gt;1,NOT(ISNUMBER($L106)),$L106&gt;=$J106),"",IF($S106="","(enter date)",_xlfn.LET(_xlpm.dn,_xlfn.XLOOKUP($S106,nrCDdate,nrCDnum,"",1),IF(_xlpm.dn="","(after last class day)",_xlfn.LET(_xlpm.dd,_xlfn.XLOOKUP(_xlpm.dn+cfgRetestClassDays,nrCDnum,nrCDdate,""),_xlpm.ok,_xlfn.XLOOKUP(_xlpm.dn+cfgRetestClassDays,nrCDnum,nrCDinsession,"No"),IF(OR(_xlpm.dd="",_xlpm.ok&lt;&gt;"Yes"),"(after last class day)",_xlpm.dd))))))</f>
        <v/>
      </c>
      <c r="U106" s="17">
        <f>IF($C106="","",IF(AND($Y106="Excused",$L106="",N($K106)&lt;=1),"EXCUSED - 1st attempt pending",IF(OR($L106="",$K106&lt;&gt;1,NOT(ISNUMBER($L106)),$L106&gt;=$J106),"",IF(COUNTIFS(nrES_PID,$D106,nrES_Code,$F106,nrES_Att,2,nrES_Raw,"&gt;=0")&gt;0,IF(IFERROR(_xlfn.MINIFS(nrES_Date,nrES_PID,$D106,nrES_Code,$F106,nrES_Att,2,nrES_Raw,"&gt;=0",nrES_Date,"&gt;0"),0)=0,"RETEST UNDATED",IF(NOT(ISNUMBER($T106)),"RETEST DATE UNCHECKED",IF(_xlfn.MINIFS(nrES_Date,nrES_PID,$D106,nrES_Code,$F106,nrES_Att,2,nrES_Raw,"&gt;=0",nrES_Date,"&gt;0")&gt;$T106,"LATE RETEST "&amp;TEXT(_xlfn.MINIFS(nrES_Date,nrES_PID,$D106,nrES_Code,$F106,nrES_Att,2,nrES_Raw,"&gt;=0",nrES_Date,"&gt;0"),"mm/dd")&amp;" (due "&amp;TEXT($T106,"mm/dd")&amp;")","Retested"))),IF(NOT(ISNUMBER($T106)),"CHECK DATE",IF(TODAY()&gt;$T106,"OVERDUE","Due "&amp;TEXT($T106,"mm/dd")))))))</f>
        <v/>
      </c>
      <c r="V106" s="16" t="n"/>
      <c r="W106" s="16" t="n"/>
      <c r="X106" s="17">
        <f>IF($C106="","",IF(AND($L106&lt;&gt;"",NOT(ISNUMBER($L106))),"RAW SCORE NOT A NUMBER",IF(AND(ISNUMBER($L106),OR($L106&lt;0,$L106&gt;100)),"RAW SCORE OUT OF RANGE",IF(AND($Y106="Unexcused",OR($L106="",NOT(ISNUMBER($L106)),$L106&lt;&gt;0)),"UNEXCUSED ABSENCE MUST RECORD 0",IF(COUNTIF(nrES_RecID,$B106)&gt;1,"DUPLICATE RECORD",IF(N($K106)&gt;2,"ATTEMPT 3+ NOT ALLOWED - policy 300.5 permits one retest per exam; this row records nothing",IF(AND($K106=2,COUNTIFS(nrES_PID,$D106,nrES_Code,$F106,nrES_Att,1)=0),"ATTEMPT 2 WITHOUT ATTEMPT 1",IF(AND($K106=2,$L106=""),"RETEST ROW HAS NO SCORE",IF(AND($H106="Final",$L106&lt;&gt;"",IFERROR(INDEX(nrCKfinalExamElig,MATCH($D106,rngCadetPIDs,0)),"")="No"),"FINAL EXAM AFTER FAILED FINAL PT (500.1.H)",IF(AND($K106=2,ISNUMBER($L106),COUNTIFS(nrES_PID,$D106,nrES_Code,$F106,nrES_Att,1)&gt;0,SUMIFS(nrES_Raw,nrES_PID,$D106,nrES_Code,$F106,nrES_Att,1)&gt;=$J106),"RETEST AFTER A PASSING FIRST ATTEMPT","OK"))))))))))</f>
        <v/>
      </c>
      <c r="Y106" s="16" t="n"/>
    </row>
    <row r="107">
      <c r="B107" s="17">
        <f>IF($C107="","",$D107&amp;"-"&amp;$F107&amp;"-"&amp;$K107)</f>
        <v/>
      </c>
      <c r="C107" s="16" t="n"/>
      <c r="D107" s="17">
        <f>IF($C107="","",IFERROR(INDEX(rngCadetPIDs,MATCH($C107,rngCadetNames,0)),"?"))</f>
        <v/>
      </c>
      <c r="E107" s="17">
        <f>IF($D107="","",IFERROR(INDEX(nrCadetAgency,MATCH($D107,rngCadetPIDs,0)),""))</f>
        <v/>
      </c>
      <c r="F107" s="16" t="n"/>
      <c r="G107" s="17">
        <f>IF($F107="","",IFERROR(INDEX(rngEPname,MATCH($F107,rngEPcode,0)),"?"))</f>
        <v/>
      </c>
      <c r="H107" s="17">
        <f>IF($F107="","",IFERROR(INDEX(rngEPtype,MATCH($F107,rngEPcode,0)),"?"))</f>
        <v/>
      </c>
      <c r="I107" s="17">
        <f>IF($F107="","",IFERROR(INDEX(rngEPseq,MATCH($F107,rngEPcode,0)),""))</f>
        <v/>
      </c>
      <c r="J107" s="17">
        <f>IF($F107="","",IFERROR(INDEX(rngEPpass,MATCH($F107,rngEPcode,0)),cfgPassingScore))</f>
        <v/>
      </c>
      <c r="K107" s="16" t="n"/>
      <c r="L107" s="16" t="n"/>
      <c r="M107" s="17">
        <f>IF($C107="","",IF($L107="","",IF(NOT(ISNUMBER($L107)),$L107,IF(N($K107)&gt;2,"",IF($K107=1,IF(COUNTIFS(nrES_PID,$D107,nrES_Code,$F107,nrES_Att,2,nrES_Raw,"&gt;=0")&gt;0,"",$L107),IF($L107&gt;=$J107,MAX($J107,cfgRetakeRecordedCap),IF(COUNTIFS(nrES_PID,$D107,nrES_Code,$F107,nrES_Att,1)=0,$L107,SUMIFS(nrES_Raw,nrES_PID,$D107,nrES_Code,$F107,nrES_Att,1))))))))</f>
        <v/>
      </c>
      <c r="N107" s="17">
        <f>IF($C107="","",IF($L107="","",IF(NOT(ISNUMBER($L107)),"(not a score)",IF($L107&gt;=$J107,"Yes","No"))))</f>
        <v/>
      </c>
      <c r="O107" s="17">
        <f>IF($C107="","",IF($M107="","",IF(NOT(ISNUMBER($M107)),"(not a score)",IF($M107&gt;=$J107,"Yes","No"))))</f>
        <v/>
      </c>
      <c r="P107" s="17">
        <f>IF($C107="","",IF($K107="","",IF(N($K107)&gt;2,"No",IF(COUNTIFS(nrES_PID,$D107,nrES_Code,$F107,nrES_Att,"&gt;"&amp;$K107,nrES_Att,"&lt;=2",nrES_Raw,"&gt;=0")=0,"Yes","No"))))</f>
        <v/>
      </c>
      <c r="Q107" s="17">
        <f>IF($C107="","",IF($L107="","",IF(AND($K107=1,ISNUMBER($L107),$L107&lt;$J107,COUNTIFS(nrES_PID,$D107,nrES_Code,$F107,nrES_Att,2,nrES_Raw,"&gt;=0")=0),"Yes","No")))</f>
        <v/>
      </c>
      <c r="R107" s="17">
        <f>IF($C107="","",IF($L107="","",IF(AND(N($K107)&gt;=2,ISNUMBER($L107),$L107&lt;$J107),"Yes","No")))</f>
        <v/>
      </c>
      <c r="S107" s="18" t="n"/>
      <c r="T107" s="19">
        <f>IF(OR($C107="",$L107="",$K107&lt;&gt;1,NOT(ISNUMBER($L107)),$L107&gt;=$J107),"",IF($S107="","(enter date)",_xlfn.LET(_xlpm.dn,_xlfn.XLOOKUP($S107,nrCDdate,nrCDnum,"",1),IF(_xlpm.dn="","(after last class day)",_xlfn.LET(_xlpm.dd,_xlfn.XLOOKUP(_xlpm.dn+cfgRetestClassDays,nrCDnum,nrCDdate,""),_xlpm.ok,_xlfn.XLOOKUP(_xlpm.dn+cfgRetestClassDays,nrCDnum,nrCDinsession,"No"),IF(OR(_xlpm.dd="",_xlpm.ok&lt;&gt;"Yes"),"(after last class day)",_xlpm.dd))))))</f>
        <v/>
      </c>
      <c r="U107" s="17">
        <f>IF($C107="","",IF(AND($Y107="Excused",$L107="",N($K107)&lt;=1),"EXCUSED - 1st attempt pending",IF(OR($L107="",$K107&lt;&gt;1,NOT(ISNUMBER($L107)),$L107&gt;=$J107),"",IF(COUNTIFS(nrES_PID,$D107,nrES_Code,$F107,nrES_Att,2,nrES_Raw,"&gt;=0")&gt;0,IF(IFERROR(_xlfn.MINIFS(nrES_Date,nrES_PID,$D107,nrES_Code,$F107,nrES_Att,2,nrES_Raw,"&gt;=0",nrES_Date,"&gt;0"),0)=0,"RETEST UNDATED",IF(NOT(ISNUMBER($T107)),"RETEST DATE UNCHECKED",IF(_xlfn.MINIFS(nrES_Date,nrES_PID,$D107,nrES_Code,$F107,nrES_Att,2,nrES_Raw,"&gt;=0",nrES_Date,"&gt;0")&gt;$T107,"LATE RETEST "&amp;TEXT(_xlfn.MINIFS(nrES_Date,nrES_PID,$D107,nrES_Code,$F107,nrES_Att,2,nrES_Raw,"&gt;=0",nrES_Date,"&gt;0"),"mm/dd")&amp;" (due "&amp;TEXT($T107,"mm/dd")&amp;")","Retested"))),IF(NOT(ISNUMBER($T107)),"CHECK DATE",IF(TODAY()&gt;$T107,"OVERDUE","Due "&amp;TEXT($T107,"mm/dd")))))))</f>
        <v/>
      </c>
      <c r="V107" s="16" t="n"/>
      <c r="W107" s="16" t="n"/>
      <c r="X107" s="17">
        <f>IF($C107="","",IF(AND($L107&lt;&gt;"",NOT(ISNUMBER($L107))),"RAW SCORE NOT A NUMBER",IF(AND(ISNUMBER($L107),OR($L107&lt;0,$L107&gt;100)),"RAW SCORE OUT OF RANGE",IF(AND($Y107="Unexcused",OR($L107="",NOT(ISNUMBER($L107)),$L107&lt;&gt;0)),"UNEXCUSED ABSENCE MUST RECORD 0",IF(COUNTIF(nrES_RecID,$B107)&gt;1,"DUPLICATE RECORD",IF(N($K107)&gt;2,"ATTEMPT 3+ NOT ALLOWED - policy 300.5 permits one retest per exam; this row records nothing",IF(AND($K107=2,COUNTIFS(nrES_PID,$D107,nrES_Code,$F107,nrES_Att,1)=0),"ATTEMPT 2 WITHOUT ATTEMPT 1",IF(AND($K107=2,$L107=""),"RETEST ROW HAS NO SCORE",IF(AND($H107="Final",$L107&lt;&gt;"",IFERROR(INDEX(nrCKfinalExamElig,MATCH($D107,rngCadetPIDs,0)),"")="No"),"FINAL EXAM AFTER FAILED FINAL PT (500.1.H)",IF(AND($K107=2,ISNUMBER($L107),COUNTIFS(nrES_PID,$D107,nrES_Code,$F107,nrES_Att,1)&gt;0,SUMIFS(nrES_Raw,nrES_PID,$D107,nrES_Code,$F107,nrES_Att,1)&gt;=$J107),"RETEST AFTER A PASSING FIRST ATTEMPT","OK"))))))))))</f>
        <v/>
      </c>
      <c r="Y107" s="16" t="n"/>
    </row>
    <row r="108">
      <c r="B108" s="17">
        <f>IF($C108="","",$D108&amp;"-"&amp;$F108&amp;"-"&amp;$K108)</f>
        <v/>
      </c>
      <c r="C108" s="16" t="n"/>
      <c r="D108" s="17">
        <f>IF($C108="","",IFERROR(INDEX(rngCadetPIDs,MATCH($C108,rngCadetNames,0)),"?"))</f>
        <v/>
      </c>
      <c r="E108" s="17">
        <f>IF($D108="","",IFERROR(INDEX(nrCadetAgency,MATCH($D108,rngCadetPIDs,0)),""))</f>
        <v/>
      </c>
      <c r="F108" s="16" t="n"/>
      <c r="G108" s="17">
        <f>IF($F108="","",IFERROR(INDEX(rngEPname,MATCH($F108,rngEPcode,0)),"?"))</f>
        <v/>
      </c>
      <c r="H108" s="17">
        <f>IF($F108="","",IFERROR(INDEX(rngEPtype,MATCH($F108,rngEPcode,0)),"?"))</f>
        <v/>
      </c>
      <c r="I108" s="17">
        <f>IF($F108="","",IFERROR(INDEX(rngEPseq,MATCH($F108,rngEPcode,0)),""))</f>
        <v/>
      </c>
      <c r="J108" s="17">
        <f>IF($F108="","",IFERROR(INDEX(rngEPpass,MATCH($F108,rngEPcode,0)),cfgPassingScore))</f>
        <v/>
      </c>
      <c r="K108" s="16" t="n"/>
      <c r="L108" s="16" t="n"/>
      <c r="M108" s="17">
        <f>IF($C108="","",IF($L108="","",IF(NOT(ISNUMBER($L108)),$L108,IF(N($K108)&gt;2,"",IF($K108=1,IF(COUNTIFS(nrES_PID,$D108,nrES_Code,$F108,nrES_Att,2,nrES_Raw,"&gt;=0")&gt;0,"",$L108),IF($L108&gt;=$J108,MAX($J108,cfgRetakeRecordedCap),IF(COUNTIFS(nrES_PID,$D108,nrES_Code,$F108,nrES_Att,1)=0,$L108,SUMIFS(nrES_Raw,nrES_PID,$D108,nrES_Code,$F108,nrES_Att,1))))))))</f>
        <v/>
      </c>
      <c r="N108" s="17">
        <f>IF($C108="","",IF($L108="","",IF(NOT(ISNUMBER($L108)),"(not a score)",IF($L108&gt;=$J108,"Yes","No"))))</f>
        <v/>
      </c>
      <c r="O108" s="17">
        <f>IF($C108="","",IF($M108="","",IF(NOT(ISNUMBER($M108)),"(not a score)",IF($M108&gt;=$J108,"Yes","No"))))</f>
        <v/>
      </c>
      <c r="P108" s="17">
        <f>IF($C108="","",IF($K108="","",IF(N($K108)&gt;2,"No",IF(COUNTIFS(nrES_PID,$D108,nrES_Code,$F108,nrES_Att,"&gt;"&amp;$K108,nrES_Att,"&lt;=2",nrES_Raw,"&gt;=0")=0,"Yes","No"))))</f>
        <v/>
      </c>
      <c r="Q108" s="17">
        <f>IF($C108="","",IF($L108="","",IF(AND($K108=1,ISNUMBER($L108),$L108&lt;$J108,COUNTIFS(nrES_PID,$D108,nrES_Code,$F108,nrES_Att,2,nrES_Raw,"&gt;=0")=0),"Yes","No")))</f>
        <v/>
      </c>
      <c r="R108" s="17">
        <f>IF($C108="","",IF($L108="","",IF(AND(N($K108)&gt;=2,ISNUMBER($L108),$L108&lt;$J108),"Yes","No")))</f>
        <v/>
      </c>
      <c r="S108" s="18" t="n"/>
      <c r="T108" s="19">
        <f>IF(OR($C108="",$L108="",$K108&lt;&gt;1,NOT(ISNUMBER($L108)),$L108&gt;=$J108),"",IF($S108="","(enter date)",_xlfn.LET(_xlpm.dn,_xlfn.XLOOKUP($S108,nrCDdate,nrCDnum,"",1),IF(_xlpm.dn="","(after last class day)",_xlfn.LET(_xlpm.dd,_xlfn.XLOOKUP(_xlpm.dn+cfgRetestClassDays,nrCDnum,nrCDdate,""),_xlpm.ok,_xlfn.XLOOKUP(_xlpm.dn+cfgRetestClassDays,nrCDnum,nrCDinsession,"No"),IF(OR(_xlpm.dd="",_xlpm.ok&lt;&gt;"Yes"),"(after last class day)",_xlpm.dd))))))</f>
        <v/>
      </c>
      <c r="U108" s="17">
        <f>IF($C108="","",IF(AND($Y108="Excused",$L108="",N($K108)&lt;=1),"EXCUSED - 1st attempt pending",IF(OR($L108="",$K108&lt;&gt;1,NOT(ISNUMBER($L108)),$L108&gt;=$J108),"",IF(COUNTIFS(nrES_PID,$D108,nrES_Code,$F108,nrES_Att,2,nrES_Raw,"&gt;=0")&gt;0,IF(IFERROR(_xlfn.MINIFS(nrES_Date,nrES_PID,$D108,nrES_Code,$F108,nrES_Att,2,nrES_Raw,"&gt;=0",nrES_Date,"&gt;0"),0)=0,"RETEST UNDATED",IF(NOT(ISNUMBER($T108)),"RETEST DATE UNCHECKED",IF(_xlfn.MINIFS(nrES_Date,nrES_PID,$D108,nrES_Code,$F108,nrES_Att,2,nrES_Raw,"&gt;=0",nrES_Date,"&gt;0")&gt;$T108,"LATE RETEST "&amp;TEXT(_xlfn.MINIFS(nrES_Date,nrES_PID,$D108,nrES_Code,$F108,nrES_Att,2,nrES_Raw,"&gt;=0",nrES_Date,"&gt;0"),"mm/dd")&amp;" (due "&amp;TEXT($T108,"mm/dd")&amp;")","Retested"))),IF(NOT(ISNUMBER($T108)),"CHECK DATE",IF(TODAY()&gt;$T108,"OVERDUE","Due "&amp;TEXT($T108,"mm/dd")))))))</f>
        <v/>
      </c>
      <c r="V108" s="16" t="n"/>
      <c r="W108" s="16" t="n"/>
      <c r="X108" s="17">
        <f>IF($C108="","",IF(AND($L108&lt;&gt;"",NOT(ISNUMBER($L108))),"RAW SCORE NOT A NUMBER",IF(AND(ISNUMBER($L108),OR($L108&lt;0,$L108&gt;100)),"RAW SCORE OUT OF RANGE",IF(AND($Y108="Unexcused",OR($L108="",NOT(ISNUMBER($L108)),$L108&lt;&gt;0)),"UNEXCUSED ABSENCE MUST RECORD 0",IF(COUNTIF(nrES_RecID,$B108)&gt;1,"DUPLICATE RECORD",IF(N($K108)&gt;2,"ATTEMPT 3+ NOT ALLOWED - policy 300.5 permits one retest per exam; this row records nothing",IF(AND($K108=2,COUNTIFS(nrES_PID,$D108,nrES_Code,$F108,nrES_Att,1)=0),"ATTEMPT 2 WITHOUT ATTEMPT 1",IF(AND($K108=2,$L108=""),"RETEST ROW HAS NO SCORE",IF(AND($H108="Final",$L108&lt;&gt;"",IFERROR(INDEX(nrCKfinalExamElig,MATCH($D108,rngCadetPIDs,0)),"")="No"),"FINAL EXAM AFTER FAILED FINAL PT (500.1.H)",IF(AND($K108=2,ISNUMBER($L108),COUNTIFS(nrES_PID,$D108,nrES_Code,$F108,nrES_Att,1)&gt;0,SUMIFS(nrES_Raw,nrES_PID,$D108,nrES_Code,$F108,nrES_Att,1)&gt;=$J108),"RETEST AFTER A PASSING FIRST ATTEMPT","OK"))))))))))</f>
        <v/>
      </c>
      <c r="Y108" s="16" t="n"/>
    </row>
    <row r="109">
      <c r="B109" s="17">
        <f>IF($C109="","",$D109&amp;"-"&amp;$F109&amp;"-"&amp;$K109)</f>
        <v/>
      </c>
      <c r="C109" s="16" t="n"/>
      <c r="D109" s="17">
        <f>IF($C109="","",IFERROR(INDEX(rngCadetPIDs,MATCH($C109,rngCadetNames,0)),"?"))</f>
        <v/>
      </c>
      <c r="E109" s="17">
        <f>IF($D109="","",IFERROR(INDEX(nrCadetAgency,MATCH($D109,rngCadetPIDs,0)),""))</f>
        <v/>
      </c>
      <c r="F109" s="16" t="n"/>
      <c r="G109" s="17">
        <f>IF($F109="","",IFERROR(INDEX(rngEPname,MATCH($F109,rngEPcode,0)),"?"))</f>
        <v/>
      </c>
      <c r="H109" s="17">
        <f>IF($F109="","",IFERROR(INDEX(rngEPtype,MATCH($F109,rngEPcode,0)),"?"))</f>
        <v/>
      </c>
      <c r="I109" s="17">
        <f>IF($F109="","",IFERROR(INDEX(rngEPseq,MATCH($F109,rngEPcode,0)),""))</f>
        <v/>
      </c>
      <c r="J109" s="17">
        <f>IF($F109="","",IFERROR(INDEX(rngEPpass,MATCH($F109,rngEPcode,0)),cfgPassingScore))</f>
        <v/>
      </c>
      <c r="K109" s="16" t="n"/>
      <c r="L109" s="16" t="n"/>
      <c r="M109" s="17">
        <f>IF($C109="","",IF($L109="","",IF(NOT(ISNUMBER($L109)),$L109,IF(N($K109)&gt;2,"",IF($K109=1,IF(COUNTIFS(nrES_PID,$D109,nrES_Code,$F109,nrES_Att,2,nrES_Raw,"&gt;=0")&gt;0,"",$L109),IF($L109&gt;=$J109,MAX($J109,cfgRetakeRecordedCap),IF(COUNTIFS(nrES_PID,$D109,nrES_Code,$F109,nrES_Att,1)=0,$L109,SUMIFS(nrES_Raw,nrES_PID,$D109,nrES_Code,$F109,nrES_Att,1))))))))</f>
        <v/>
      </c>
      <c r="N109" s="17">
        <f>IF($C109="","",IF($L109="","",IF(NOT(ISNUMBER($L109)),"(not a score)",IF($L109&gt;=$J109,"Yes","No"))))</f>
        <v/>
      </c>
      <c r="O109" s="17">
        <f>IF($C109="","",IF($M109="","",IF(NOT(ISNUMBER($M109)),"(not a score)",IF($M109&gt;=$J109,"Yes","No"))))</f>
        <v/>
      </c>
      <c r="P109" s="17">
        <f>IF($C109="","",IF($K109="","",IF(N($K109)&gt;2,"No",IF(COUNTIFS(nrES_PID,$D109,nrES_Code,$F109,nrES_Att,"&gt;"&amp;$K109,nrES_Att,"&lt;=2",nrES_Raw,"&gt;=0")=0,"Yes","No"))))</f>
        <v/>
      </c>
      <c r="Q109" s="17">
        <f>IF($C109="","",IF($L109="","",IF(AND($K109=1,ISNUMBER($L109),$L109&lt;$J109,COUNTIFS(nrES_PID,$D109,nrES_Code,$F109,nrES_Att,2,nrES_Raw,"&gt;=0")=0),"Yes","No")))</f>
        <v/>
      </c>
      <c r="R109" s="17">
        <f>IF($C109="","",IF($L109="","",IF(AND(N($K109)&gt;=2,ISNUMBER($L109),$L109&lt;$J109),"Yes","No")))</f>
        <v/>
      </c>
      <c r="S109" s="18" t="n"/>
      <c r="T109" s="19">
        <f>IF(OR($C109="",$L109="",$K109&lt;&gt;1,NOT(ISNUMBER($L109)),$L109&gt;=$J109),"",IF($S109="","(enter date)",_xlfn.LET(_xlpm.dn,_xlfn.XLOOKUP($S109,nrCDdate,nrCDnum,"",1),IF(_xlpm.dn="","(after last class day)",_xlfn.LET(_xlpm.dd,_xlfn.XLOOKUP(_xlpm.dn+cfgRetestClassDays,nrCDnum,nrCDdate,""),_xlpm.ok,_xlfn.XLOOKUP(_xlpm.dn+cfgRetestClassDays,nrCDnum,nrCDinsession,"No"),IF(OR(_xlpm.dd="",_xlpm.ok&lt;&gt;"Yes"),"(after last class day)",_xlpm.dd))))))</f>
        <v/>
      </c>
      <c r="U109" s="17">
        <f>IF($C109="","",IF(AND($Y109="Excused",$L109="",N($K109)&lt;=1),"EXCUSED - 1st attempt pending",IF(OR($L109="",$K109&lt;&gt;1,NOT(ISNUMBER($L109)),$L109&gt;=$J109),"",IF(COUNTIFS(nrES_PID,$D109,nrES_Code,$F109,nrES_Att,2,nrES_Raw,"&gt;=0")&gt;0,IF(IFERROR(_xlfn.MINIFS(nrES_Date,nrES_PID,$D109,nrES_Code,$F109,nrES_Att,2,nrES_Raw,"&gt;=0",nrES_Date,"&gt;0"),0)=0,"RETEST UNDATED",IF(NOT(ISNUMBER($T109)),"RETEST DATE UNCHECKED",IF(_xlfn.MINIFS(nrES_Date,nrES_PID,$D109,nrES_Code,$F109,nrES_Att,2,nrES_Raw,"&gt;=0",nrES_Date,"&gt;0")&gt;$T109,"LATE RETEST "&amp;TEXT(_xlfn.MINIFS(nrES_Date,nrES_PID,$D109,nrES_Code,$F109,nrES_Att,2,nrES_Raw,"&gt;=0",nrES_Date,"&gt;0"),"mm/dd")&amp;" (due "&amp;TEXT($T109,"mm/dd")&amp;")","Retested"))),IF(NOT(ISNUMBER($T109)),"CHECK DATE",IF(TODAY()&gt;$T109,"OVERDUE","Due "&amp;TEXT($T109,"mm/dd")))))))</f>
        <v/>
      </c>
      <c r="V109" s="16" t="n"/>
      <c r="W109" s="16" t="n"/>
      <c r="X109" s="17">
        <f>IF($C109="","",IF(AND($L109&lt;&gt;"",NOT(ISNUMBER($L109))),"RAW SCORE NOT A NUMBER",IF(AND(ISNUMBER($L109),OR($L109&lt;0,$L109&gt;100)),"RAW SCORE OUT OF RANGE",IF(AND($Y109="Unexcused",OR($L109="",NOT(ISNUMBER($L109)),$L109&lt;&gt;0)),"UNEXCUSED ABSENCE MUST RECORD 0",IF(COUNTIF(nrES_RecID,$B109)&gt;1,"DUPLICATE RECORD",IF(N($K109)&gt;2,"ATTEMPT 3+ NOT ALLOWED - policy 300.5 permits one retest per exam; this row records nothing",IF(AND($K109=2,COUNTIFS(nrES_PID,$D109,nrES_Code,$F109,nrES_Att,1)=0),"ATTEMPT 2 WITHOUT ATTEMPT 1",IF(AND($K109=2,$L109=""),"RETEST ROW HAS NO SCORE",IF(AND($H109="Final",$L109&lt;&gt;"",IFERROR(INDEX(nrCKfinalExamElig,MATCH($D109,rngCadetPIDs,0)),"")="No"),"FINAL EXAM AFTER FAILED FINAL PT (500.1.H)",IF(AND($K109=2,ISNUMBER($L109),COUNTIFS(nrES_PID,$D109,nrES_Code,$F109,nrES_Att,1)&gt;0,SUMIFS(nrES_Raw,nrES_PID,$D109,nrES_Code,$F109,nrES_Att,1)&gt;=$J109),"RETEST AFTER A PASSING FIRST ATTEMPT","OK"))))))))))</f>
        <v/>
      </c>
      <c r="Y109" s="16" t="n"/>
    </row>
    <row r="110">
      <c r="B110" s="17">
        <f>IF($C110="","",$D110&amp;"-"&amp;$F110&amp;"-"&amp;$K110)</f>
        <v/>
      </c>
      <c r="C110" s="16" t="n"/>
      <c r="D110" s="17">
        <f>IF($C110="","",IFERROR(INDEX(rngCadetPIDs,MATCH($C110,rngCadetNames,0)),"?"))</f>
        <v/>
      </c>
      <c r="E110" s="17">
        <f>IF($D110="","",IFERROR(INDEX(nrCadetAgency,MATCH($D110,rngCadetPIDs,0)),""))</f>
        <v/>
      </c>
      <c r="F110" s="16" t="n"/>
      <c r="G110" s="17">
        <f>IF($F110="","",IFERROR(INDEX(rngEPname,MATCH($F110,rngEPcode,0)),"?"))</f>
        <v/>
      </c>
      <c r="H110" s="17">
        <f>IF($F110="","",IFERROR(INDEX(rngEPtype,MATCH($F110,rngEPcode,0)),"?"))</f>
        <v/>
      </c>
      <c r="I110" s="17">
        <f>IF($F110="","",IFERROR(INDEX(rngEPseq,MATCH($F110,rngEPcode,0)),""))</f>
        <v/>
      </c>
      <c r="J110" s="17">
        <f>IF($F110="","",IFERROR(INDEX(rngEPpass,MATCH($F110,rngEPcode,0)),cfgPassingScore))</f>
        <v/>
      </c>
      <c r="K110" s="16" t="n"/>
      <c r="L110" s="16" t="n"/>
      <c r="M110" s="17">
        <f>IF($C110="","",IF($L110="","",IF(NOT(ISNUMBER($L110)),$L110,IF(N($K110)&gt;2,"",IF($K110=1,IF(COUNTIFS(nrES_PID,$D110,nrES_Code,$F110,nrES_Att,2,nrES_Raw,"&gt;=0")&gt;0,"",$L110),IF($L110&gt;=$J110,MAX($J110,cfgRetakeRecordedCap),IF(COUNTIFS(nrES_PID,$D110,nrES_Code,$F110,nrES_Att,1)=0,$L110,SUMIFS(nrES_Raw,nrES_PID,$D110,nrES_Code,$F110,nrES_Att,1))))))))</f>
        <v/>
      </c>
      <c r="N110" s="17">
        <f>IF($C110="","",IF($L110="","",IF(NOT(ISNUMBER($L110)),"(not a score)",IF($L110&gt;=$J110,"Yes","No"))))</f>
        <v/>
      </c>
      <c r="O110" s="17">
        <f>IF($C110="","",IF($M110="","",IF(NOT(ISNUMBER($M110)),"(not a score)",IF($M110&gt;=$J110,"Yes","No"))))</f>
        <v/>
      </c>
      <c r="P110" s="17">
        <f>IF($C110="","",IF($K110="","",IF(N($K110)&gt;2,"No",IF(COUNTIFS(nrES_PID,$D110,nrES_Code,$F110,nrES_Att,"&gt;"&amp;$K110,nrES_Att,"&lt;=2",nrES_Raw,"&gt;=0")=0,"Yes","No"))))</f>
        <v/>
      </c>
      <c r="Q110" s="17">
        <f>IF($C110="","",IF($L110="","",IF(AND($K110=1,ISNUMBER($L110),$L110&lt;$J110,COUNTIFS(nrES_PID,$D110,nrES_Code,$F110,nrES_Att,2,nrES_Raw,"&gt;=0")=0),"Yes","No")))</f>
        <v/>
      </c>
      <c r="R110" s="17">
        <f>IF($C110="","",IF($L110="","",IF(AND(N($K110)&gt;=2,ISNUMBER($L110),$L110&lt;$J110),"Yes","No")))</f>
        <v/>
      </c>
      <c r="S110" s="18" t="n"/>
      <c r="T110" s="19">
        <f>IF(OR($C110="",$L110="",$K110&lt;&gt;1,NOT(ISNUMBER($L110)),$L110&gt;=$J110),"",IF($S110="","(enter date)",_xlfn.LET(_xlpm.dn,_xlfn.XLOOKUP($S110,nrCDdate,nrCDnum,"",1),IF(_xlpm.dn="","(after last class day)",_xlfn.LET(_xlpm.dd,_xlfn.XLOOKUP(_xlpm.dn+cfgRetestClassDays,nrCDnum,nrCDdate,""),_xlpm.ok,_xlfn.XLOOKUP(_xlpm.dn+cfgRetestClassDays,nrCDnum,nrCDinsession,"No"),IF(OR(_xlpm.dd="",_xlpm.ok&lt;&gt;"Yes"),"(after last class day)",_xlpm.dd))))))</f>
        <v/>
      </c>
      <c r="U110" s="17">
        <f>IF($C110="","",IF(AND($Y110="Excused",$L110="",N($K110)&lt;=1),"EXCUSED - 1st attempt pending",IF(OR($L110="",$K110&lt;&gt;1,NOT(ISNUMBER($L110)),$L110&gt;=$J110),"",IF(COUNTIFS(nrES_PID,$D110,nrES_Code,$F110,nrES_Att,2,nrES_Raw,"&gt;=0")&gt;0,IF(IFERROR(_xlfn.MINIFS(nrES_Date,nrES_PID,$D110,nrES_Code,$F110,nrES_Att,2,nrES_Raw,"&gt;=0",nrES_Date,"&gt;0"),0)=0,"RETEST UNDATED",IF(NOT(ISNUMBER($T110)),"RETEST DATE UNCHECKED",IF(_xlfn.MINIFS(nrES_Date,nrES_PID,$D110,nrES_Code,$F110,nrES_Att,2,nrES_Raw,"&gt;=0",nrES_Date,"&gt;0")&gt;$T110,"LATE RETEST "&amp;TEXT(_xlfn.MINIFS(nrES_Date,nrES_PID,$D110,nrES_Code,$F110,nrES_Att,2,nrES_Raw,"&gt;=0",nrES_Date,"&gt;0"),"mm/dd")&amp;" (due "&amp;TEXT($T110,"mm/dd")&amp;")","Retested"))),IF(NOT(ISNUMBER($T110)),"CHECK DATE",IF(TODAY()&gt;$T110,"OVERDUE","Due "&amp;TEXT($T110,"mm/dd")))))))</f>
        <v/>
      </c>
      <c r="V110" s="16" t="n"/>
      <c r="W110" s="16" t="n"/>
      <c r="X110" s="17">
        <f>IF($C110="","",IF(AND($L110&lt;&gt;"",NOT(ISNUMBER($L110))),"RAW SCORE NOT A NUMBER",IF(AND(ISNUMBER($L110),OR($L110&lt;0,$L110&gt;100)),"RAW SCORE OUT OF RANGE",IF(AND($Y110="Unexcused",OR($L110="",NOT(ISNUMBER($L110)),$L110&lt;&gt;0)),"UNEXCUSED ABSENCE MUST RECORD 0",IF(COUNTIF(nrES_RecID,$B110)&gt;1,"DUPLICATE RECORD",IF(N($K110)&gt;2,"ATTEMPT 3+ NOT ALLOWED - policy 300.5 permits one retest per exam; this row records nothing",IF(AND($K110=2,COUNTIFS(nrES_PID,$D110,nrES_Code,$F110,nrES_Att,1)=0),"ATTEMPT 2 WITHOUT ATTEMPT 1",IF(AND($K110=2,$L110=""),"RETEST ROW HAS NO SCORE",IF(AND($H110="Final",$L110&lt;&gt;"",IFERROR(INDEX(nrCKfinalExamElig,MATCH($D110,rngCadetPIDs,0)),"")="No"),"FINAL EXAM AFTER FAILED FINAL PT (500.1.H)",IF(AND($K110=2,ISNUMBER($L110),COUNTIFS(nrES_PID,$D110,nrES_Code,$F110,nrES_Att,1)&gt;0,SUMIFS(nrES_Raw,nrES_PID,$D110,nrES_Code,$F110,nrES_Att,1)&gt;=$J110),"RETEST AFTER A PASSING FIRST ATTEMPT","OK"))))))))))</f>
        <v/>
      </c>
      <c r="Y110" s="16" t="n"/>
    </row>
    <row r="111">
      <c r="B111" s="17">
        <f>IF($C111="","",$D111&amp;"-"&amp;$F111&amp;"-"&amp;$K111)</f>
        <v/>
      </c>
      <c r="C111" s="16" t="n"/>
      <c r="D111" s="17">
        <f>IF($C111="","",IFERROR(INDEX(rngCadetPIDs,MATCH($C111,rngCadetNames,0)),"?"))</f>
        <v/>
      </c>
      <c r="E111" s="17">
        <f>IF($D111="","",IFERROR(INDEX(nrCadetAgency,MATCH($D111,rngCadetPIDs,0)),""))</f>
        <v/>
      </c>
      <c r="F111" s="16" t="n"/>
      <c r="G111" s="17">
        <f>IF($F111="","",IFERROR(INDEX(rngEPname,MATCH($F111,rngEPcode,0)),"?"))</f>
        <v/>
      </c>
      <c r="H111" s="17">
        <f>IF($F111="","",IFERROR(INDEX(rngEPtype,MATCH($F111,rngEPcode,0)),"?"))</f>
        <v/>
      </c>
      <c r="I111" s="17">
        <f>IF($F111="","",IFERROR(INDEX(rngEPseq,MATCH($F111,rngEPcode,0)),""))</f>
        <v/>
      </c>
      <c r="J111" s="17">
        <f>IF($F111="","",IFERROR(INDEX(rngEPpass,MATCH($F111,rngEPcode,0)),cfgPassingScore))</f>
        <v/>
      </c>
      <c r="K111" s="16" t="n"/>
      <c r="L111" s="16" t="n"/>
      <c r="M111" s="17">
        <f>IF($C111="","",IF($L111="","",IF(NOT(ISNUMBER($L111)),$L111,IF(N($K111)&gt;2,"",IF($K111=1,IF(COUNTIFS(nrES_PID,$D111,nrES_Code,$F111,nrES_Att,2,nrES_Raw,"&gt;=0")&gt;0,"",$L111),IF($L111&gt;=$J111,MAX($J111,cfgRetakeRecordedCap),IF(COUNTIFS(nrES_PID,$D111,nrES_Code,$F111,nrES_Att,1)=0,$L111,SUMIFS(nrES_Raw,nrES_PID,$D111,nrES_Code,$F111,nrES_Att,1))))))))</f>
        <v/>
      </c>
      <c r="N111" s="17">
        <f>IF($C111="","",IF($L111="","",IF(NOT(ISNUMBER($L111)),"(not a score)",IF($L111&gt;=$J111,"Yes","No"))))</f>
        <v/>
      </c>
      <c r="O111" s="17">
        <f>IF($C111="","",IF($M111="","",IF(NOT(ISNUMBER($M111)),"(not a score)",IF($M111&gt;=$J111,"Yes","No"))))</f>
        <v/>
      </c>
      <c r="P111" s="17">
        <f>IF($C111="","",IF($K111="","",IF(N($K111)&gt;2,"No",IF(COUNTIFS(nrES_PID,$D111,nrES_Code,$F111,nrES_Att,"&gt;"&amp;$K111,nrES_Att,"&lt;=2",nrES_Raw,"&gt;=0")=0,"Yes","No"))))</f>
        <v/>
      </c>
      <c r="Q111" s="17">
        <f>IF($C111="","",IF($L111="","",IF(AND($K111=1,ISNUMBER($L111),$L111&lt;$J111,COUNTIFS(nrES_PID,$D111,nrES_Code,$F111,nrES_Att,2,nrES_Raw,"&gt;=0")=0),"Yes","No")))</f>
        <v/>
      </c>
      <c r="R111" s="17">
        <f>IF($C111="","",IF($L111="","",IF(AND(N($K111)&gt;=2,ISNUMBER($L111),$L111&lt;$J111),"Yes","No")))</f>
        <v/>
      </c>
      <c r="S111" s="18" t="n"/>
      <c r="T111" s="19">
        <f>IF(OR($C111="",$L111="",$K111&lt;&gt;1,NOT(ISNUMBER($L111)),$L111&gt;=$J111),"",IF($S111="","(enter date)",_xlfn.LET(_xlpm.dn,_xlfn.XLOOKUP($S111,nrCDdate,nrCDnum,"",1),IF(_xlpm.dn="","(after last class day)",_xlfn.LET(_xlpm.dd,_xlfn.XLOOKUP(_xlpm.dn+cfgRetestClassDays,nrCDnum,nrCDdate,""),_xlpm.ok,_xlfn.XLOOKUP(_xlpm.dn+cfgRetestClassDays,nrCDnum,nrCDinsession,"No"),IF(OR(_xlpm.dd="",_xlpm.ok&lt;&gt;"Yes"),"(after last class day)",_xlpm.dd))))))</f>
        <v/>
      </c>
      <c r="U111" s="17">
        <f>IF($C111="","",IF(AND($Y111="Excused",$L111="",N($K111)&lt;=1),"EXCUSED - 1st attempt pending",IF(OR($L111="",$K111&lt;&gt;1,NOT(ISNUMBER($L111)),$L111&gt;=$J111),"",IF(COUNTIFS(nrES_PID,$D111,nrES_Code,$F111,nrES_Att,2,nrES_Raw,"&gt;=0")&gt;0,IF(IFERROR(_xlfn.MINIFS(nrES_Date,nrES_PID,$D111,nrES_Code,$F111,nrES_Att,2,nrES_Raw,"&gt;=0",nrES_Date,"&gt;0"),0)=0,"RETEST UNDATED",IF(NOT(ISNUMBER($T111)),"RETEST DATE UNCHECKED",IF(_xlfn.MINIFS(nrES_Date,nrES_PID,$D111,nrES_Code,$F111,nrES_Att,2,nrES_Raw,"&gt;=0",nrES_Date,"&gt;0")&gt;$T111,"LATE RETEST "&amp;TEXT(_xlfn.MINIFS(nrES_Date,nrES_PID,$D111,nrES_Code,$F111,nrES_Att,2,nrES_Raw,"&gt;=0",nrES_Date,"&gt;0"),"mm/dd")&amp;" (due "&amp;TEXT($T111,"mm/dd")&amp;")","Retested"))),IF(NOT(ISNUMBER($T111)),"CHECK DATE",IF(TODAY()&gt;$T111,"OVERDUE","Due "&amp;TEXT($T111,"mm/dd")))))))</f>
        <v/>
      </c>
      <c r="V111" s="16" t="n"/>
      <c r="W111" s="16" t="n"/>
      <c r="X111" s="17">
        <f>IF($C111="","",IF(AND($L111&lt;&gt;"",NOT(ISNUMBER($L111))),"RAW SCORE NOT A NUMBER",IF(AND(ISNUMBER($L111),OR($L111&lt;0,$L111&gt;100)),"RAW SCORE OUT OF RANGE",IF(AND($Y111="Unexcused",OR($L111="",NOT(ISNUMBER($L111)),$L111&lt;&gt;0)),"UNEXCUSED ABSENCE MUST RECORD 0",IF(COUNTIF(nrES_RecID,$B111)&gt;1,"DUPLICATE RECORD",IF(N($K111)&gt;2,"ATTEMPT 3+ NOT ALLOWED - policy 300.5 permits one retest per exam; this row records nothing",IF(AND($K111=2,COUNTIFS(nrES_PID,$D111,nrES_Code,$F111,nrES_Att,1)=0),"ATTEMPT 2 WITHOUT ATTEMPT 1",IF(AND($K111=2,$L111=""),"RETEST ROW HAS NO SCORE",IF(AND($H111="Final",$L111&lt;&gt;"",IFERROR(INDEX(nrCKfinalExamElig,MATCH($D111,rngCadetPIDs,0)),"")="No"),"FINAL EXAM AFTER FAILED FINAL PT (500.1.H)",IF(AND($K111=2,ISNUMBER($L111),COUNTIFS(nrES_PID,$D111,nrES_Code,$F111,nrES_Att,1)&gt;0,SUMIFS(nrES_Raw,nrES_PID,$D111,nrES_Code,$F111,nrES_Att,1)&gt;=$J111),"RETEST AFTER A PASSING FIRST ATTEMPT","OK"))))))))))</f>
        <v/>
      </c>
      <c r="Y111" s="16" t="n"/>
    </row>
    <row r="112">
      <c r="B112" s="17">
        <f>IF($C112="","",$D112&amp;"-"&amp;$F112&amp;"-"&amp;$K112)</f>
        <v/>
      </c>
      <c r="C112" s="16" t="n"/>
      <c r="D112" s="17">
        <f>IF($C112="","",IFERROR(INDEX(rngCadetPIDs,MATCH($C112,rngCadetNames,0)),"?"))</f>
        <v/>
      </c>
      <c r="E112" s="17">
        <f>IF($D112="","",IFERROR(INDEX(nrCadetAgency,MATCH($D112,rngCadetPIDs,0)),""))</f>
        <v/>
      </c>
      <c r="F112" s="16" t="n"/>
      <c r="G112" s="17">
        <f>IF($F112="","",IFERROR(INDEX(rngEPname,MATCH($F112,rngEPcode,0)),"?"))</f>
        <v/>
      </c>
      <c r="H112" s="17">
        <f>IF($F112="","",IFERROR(INDEX(rngEPtype,MATCH($F112,rngEPcode,0)),"?"))</f>
        <v/>
      </c>
      <c r="I112" s="17">
        <f>IF($F112="","",IFERROR(INDEX(rngEPseq,MATCH($F112,rngEPcode,0)),""))</f>
        <v/>
      </c>
      <c r="J112" s="17">
        <f>IF($F112="","",IFERROR(INDEX(rngEPpass,MATCH($F112,rngEPcode,0)),cfgPassingScore))</f>
        <v/>
      </c>
      <c r="K112" s="16" t="n"/>
      <c r="L112" s="16" t="n"/>
      <c r="M112" s="17">
        <f>IF($C112="","",IF($L112="","",IF(NOT(ISNUMBER($L112)),$L112,IF(N($K112)&gt;2,"",IF($K112=1,IF(COUNTIFS(nrES_PID,$D112,nrES_Code,$F112,nrES_Att,2,nrES_Raw,"&gt;=0")&gt;0,"",$L112),IF($L112&gt;=$J112,MAX($J112,cfgRetakeRecordedCap),IF(COUNTIFS(nrES_PID,$D112,nrES_Code,$F112,nrES_Att,1)=0,$L112,SUMIFS(nrES_Raw,nrES_PID,$D112,nrES_Code,$F112,nrES_Att,1))))))))</f>
        <v/>
      </c>
      <c r="N112" s="17">
        <f>IF($C112="","",IF($L112="","",IF(NOT(ISNUMBER($L112)),"(not a score)",IF($L112&gt;=$J112,"Yes","No"))))</f>
        <v/>
      </c>
      <c r="O112" s="17">
        <f>IF($C112="","",IF($M112="","",IF(NOT(ISNUMBER($M112)),"(not a score)",IF($M112&gt;=$J112,"Yes","No"))))</f>
        <v/>
      </c>
      <c r="P112" s="17">
        <f>IF($C112="","",IF($K112="","",IF(N($K112)&gt;2,"No",IF(COUNTIFS(nrES_PID,$D112,nrES_Code,$F112,nrES_Att,"&gt;"&amp;$K112,nrES_Att,"&lt;=2",nrES_Raw,"&gt;=0")=0,"Yes","No"))))</f>
        <v/>
      </c>
      <c r="Q112" s="17">
        <f>IF($C112="","",IF($L112="","",IF(AND($K112=1,ISNUMBER($L112),$L112&lt;$J112,COUNTIFS(nrES_PID,$D112,nrES_Code,$F112,nrES_Att,2,nrES_Raw,"&gt;=0")=0),"Yes","No")))</f>
        <v/>
      </c>
      <c r="R112" s="17">
        <f>IF($C112="","",IF($L112="","",IF(AND(N($K112)&gt;=2,ISNUMBER($L112),$L112&lt;$J112),"Yes","No")))</f>
        <v/>
      </c>
      <c r="S112" s="18" t="n"/>
      <c r="T112" s="19">
        <f>IF(OR($C112="",$L112="",$K112&lt;&gt;1,NOT(ISNUMBER($L112)),$L112&gt;=$J112),"",IF($S112="","(enter date)",_xlfn.LET(_xlpm.dn,_xlfn.XLOOKUP($S112,nrCDdate,nrCDnum,"",1),IF(_xlpm.dn="","(after last class day)",_xlfn.LET(_xlpm.dd,_xlfn.XLOOKUP(_xlpm.dn+cfgRetestClassDays,nrCDnum,nrCDdate,""),_xlpm.ok,_xlfn.XLOOKUP(_xlpm.dn+cfgRetestClassDays,nrCDnum,nrCDinsession,"No"),IF(OR(_xlpm.dd="",_xlpm.ok&lt;&gt;"Yes"),"(after last class day)",_xlpm.dd))))))</f>
        <v/>
      </c>
      <c r="U112" s="17">
        <f>IF($C112="","",IF(AND($Y112="Excused",$L112="",N($K112)&lt;=1),"EXCUSED - 1st attempt pending",IF(OR($L112="",$K112&lt;&gt;1,NOT(ISNUMBER($L112)),$L112&gt;=$J112),"",IF(COUNTIFS(nrES_PID,$D112,nrES_Code,$F112,nrES_Att,2,nrES_Raw,"&gt;=0")&gt;0,IF(IFERROR(_xlfn.MINIFS(nrES_Date,nrES_PID,$D112,nrES_Code,$F112,nrES_Att,2,nrES_Raw,"&gt;=0",nrES_Date,"&gt;0"),0)=0,"RETEST UNDATED",IF(NOT(ISNUMBER($T112)),"RETEST DATE UNCHECKED",IF(_xlfn.MINIFS(nrES_Date,nrES_PID,$D112,nrES_Code,$F112,nrES_Att,2,nrES_Raw,"&gt;=0",nrES_Date,"&gt;0")&gt;$T112,"LATE RETEST "&amp;TEXT(_xlfn.MINIFS(nrES_Date,nrES_PID,$D112,nrES_Code,$F112,nrES_Att,2,nrES_Raw,"&gt;=0",nrES_Date,"&gt;0"),"mm/dd")&amp;" (due "&amp;TEXT($T112,"mm/dd")&amp;")","Retested"))),IF(NOT(ISNUMBER($T112)),"CHECK DATE",IF(TODAY()&gt;$T112,"OVERDUE","Due "&amp;TEXT($T112,"mm/dd")))))))</f>
        <v/>
      </c>
      <c r="V112" s="16" t="n"/>
      <c r="W112" s="16" t="n"/>
      <c r="X112" s="17">
        <f>IF($C112="","",IF(AND($L112&lt;&gt;"",NOT(ISNUMBER($L112))),"RAW SCORE NOT A NUMBER",IF(AND(ISNUMBER($L112),OR($L112&lt;0,$L112&gt;100)),"RAW SCORE OUT OF RANGE",IF(AND($Y112="Unexcused",OR($L112="",NOT(ISNUMBER($L112)),$L112&lt;&gt;0)),"UNEXCUSED ABSENCE MUST RECORD 0",IF(COUNTIF(nrES_RecID,$B112)&gt;1,"DUPLICATE RECORD",IF(N($K112)&gt;2,"ATTEMPT 3+ NOT ALLOWED - policy 300.5 permits one retest per exam; this row records nothing",IF(AND($K112=2,COUNTIFS(nrES_PID,$D112,nrES_Code,$F112,nrES_Att,1)=0),"ATTEMPT 2 WITHOUT ATTEMPT 1",IF(AND($K112=2,$L112=""),"RETEST ROW HAS NO SCORE",IF(AND($H112="Final",$L112&lt;&gt;"",IFERROR(INDEX(nrCKfinalExamElig,MATCH($D112,rngCadetPIDs,0)),"")="No"),"FINAL EXAM AFTER FAILED FINAL PT (500.1.H)",IF(AND($K112=2,ISNUMBER($L112),COUNTIFS(nrES_PID,$D112,nrES_Code,$F112,nrES_Att,1)&gt;0,SUMIFS(nrES_Raw,nrES_PID,$D112,nrES_Code,$F112,nrES_Att,1)&gt;=$J112),"RETEST AFTER A PASSING FIRST ATTEMPT","OK"))))))))))</f>
        <v/>
      </c>
      <c r="Y112" s="16" t="n"/>
    </row>
    <row r="113">
      <c r="B113" s="17">
        <f>IF($C113="","",$D113&amp;"-"&amp;$F113&amp;"-"&amp;$K113)</f>
        <v/>
      </c>
      <c r="C113" s="16" t="n"/>
      <c r="D113" s="17">
        <f>IF($C113="","",IFERROR(INDEX(rngCadetPIDs,MATCH($C113,rngCadetNames,0)),"?"))</f>
        <v/>
      </c>
      <c r="E113" s="17">
        <f>IF($D113="","",IFERROR(INDEX(nrCadetAgency,MATCH($D113,rngCadetPIDs,0)),""))</f>
        <v/>
      </c>
      <c r="F113" s="16" t="n"/>
      <c r="G113" s="17">
        <f>IF($F113="","",IFERROR(INDEX(rngEPname,MATCH($F113,rngEPcode,0)),"?"))</f>
        <v/>
      </c>
      <c r="H113" s="17">
        <f>IF($F113="","",IFERROR(INDEX(rngEPtype,MATCH($F113,rngEPcode,0)),"?"))</f>
        <v/>
      </c>
      <c r="I113" s="17">
        <f>IF($F113="","",IFERROR(INDEX(rngEPseq,MATCH($F113,rngEPcode,0)),""))</f>
        <v/>
      </c>
      <c r="J113" s="17">
        <f>IF($F113="","",IFERROR(INDEX(rngEPpass,MATCH($F113,rngEPcode,0)),cfgPassingScore))</f>
        <v/>
      </c>
      <c r="K113" s="16" t="n"/>
      <c r="L113" s="16" t="n"/>
      <c r="M113" s="17">
        <f>IF($C113="","",IF($L113="","",IF(NOT(ISNUMBER($L113)),$L113,IF(N($K113)&gt;2,"",IF($K113=1,IF(COUNTIFS(nrES_PID,$D113,nrES_Code,$F113,nrES_Att,2,nrES_Raw,"&gt;=0")&gt;0,"",$L113),IF($L113&gt;=$J113,MAX($J113,cfgRetakeRecordedCap),IF(COUNTIFS(nrES_PID,$D113,nrES_Code,$F113,nrES_Att,1)=0,$L113,SUMIFS(nrES_Raw,nrES_PID,$D113,nrES_Code,$F113,nrES_Att,1))))))))</f>
        <v/>
      </c>
      <c r="N113" s="17">
        <f>IF($C113="","",IF($L113="","",IF(NOT(ISNUMBER($L113)),"(not a score)",IF($L113&gt;=$J113,"Yes","No"))))</f>
        <v/>
      </c>
      <c r="O113" s="17">
        <f>IF($C113="","",IF($M113="","",IF(NOT(ISNUMBER($M113)),"(not a score)",IF($M113&gt;=$J113,"Yes","No"))))</f>
        <v/>
      </c>
      <c r="P113" s="17">
        <f>IF($C113="","",IF($K113="","",IF(N($K113)&gt;2,"No",IF(COUNTIFS(nrES_PID,$D113,nrES_Code,$F113,nrES_Att,"&gt;"&amp;$K113,nrES_Att,"&lt;=2",nrES_Raw,"&gt;=0")=0,"Yes","No"))))</f>
        <v/>
      </c>
      <c r="Q113" s="17">
        <f>IF($C113="","",IF($L113="","",IF(AND($K113=1,ISNUMBER($L113),$L113&lt;$J113,COUNTIFS(nrES_PID,$D113,nrES_Code,$F113,nrES_Att,2,nrES_Raw,"&gt;=0")=0),"Yes","No")))</f>
        <v/>
      </c>
      <c r="R113" s="17">
        <f>IF($C113="","",IF($L113="","",IF(AND(N($K113)&gt;=2,ISNUMBER($L113),$L113&lt;$J113),"Yes","No")))</f>
        <v/>
      </c>
      <c r="S113" s="18" t="n"/>
      <c r="T113" s="19">
        <f>IF(OR($C113="",$L113="",$K113&lt;&gt;1,NOT(ISNUMBER($L113)),$L113&gt;=$J113),"",IF($S113="","(enter date)",_xlfn.LET(_xlpm.dn,_xlfn.XLOOKUP($S113,nrCDdate,nrCDnum,"",1),IF(_xlpm.dn="","(after last class day)",_xlfn.LET(_xlpm.dd,_xlfn.XLOOKUP(_xlpm.dn+cfgRetestClassDays,nrCDnum,nrCDdate,""),_xlpm.ok,_xlfn.XLOOKUP(_xlpm.dn+cfgRetestClassDays,nrCDnum,nrCDinsession,"No"),IF(OR(_xlpm.dd="",_xlpm.ok&lt;&gt;"Yes"),"(after last class day)",_xlpm.dd))))))</f>
        <v/>
      </c>
      <c r="U113" s="17">
        <f>IF($C113="","",IF(AND($Y113="Excused",$L113="",N($K113)&lt;=1),"EXCUSED - 1st attempt pending",IF(OR($L113="",$K113&lt;&gt;1,NOT(ISNUMBER($L113)),$L113&gt;=$J113),"",IF(COUNTIFS(nrES_PID,$D113,nrES_Code,$F113,nrES_Att,2,nrES_Raw,"&gt;=0")&gt;0,IF(IFERROR(_xlfn.MINIFS(nrES_Date,nrES_PID,$D113,nrES_Code,$F113,nrES_Att,2,nrES_Raw,"&gt;=0",nrES_Date,"&gt;0"),0)=0,"RETEST UNDATED",IF(NOT(ISNUMBER($T113)),"RETEST DATE UNCHECKED",IF(_xlfn.MINIFS(nrES_Date,nrES_PID,$D113,nrES_Code,$F113,nrES_Att,2,nrES_Raw,"&gt;=0",nrES_Date,"&gt;0")&gt;$T113,"LATE RETEST "&amp;TEXT(_xlfn.MINIFS(nrES_Date,nrES_PID,$D113,nrES_Code,$F113,nrES_Att,2,nrES_Raw,"&gt;=0",nrES_Date,"&gt;0"),"mm/dd")&amp;" (due "&amp;TEXT($T113,"mm/dd")&amp;")","Retested"))),IF(NOT(ISNUMBER($T113)),"CHECK DATE",IF(TODAY()&gt;$T113,"OVERDUE","Due "&amp;TEXT($T113,"mm/dd")))))))</f>
        <v/>
      </c>
      <c r="V113" s="16" t="n"/>
      <c r="W113" s="16" t="n"/>
      <c r="X113" s="17">
        <f>IF($C113="","",IF(AND($L113&lt;&gt;"",NOT(ISNUMBER($L113))),"RAW SCORE NOT A NUMBER",IF(AND(ISNUMBER($L113),OR($L113&lt;0,$L113&gt;100)),"RAW SCORE OUT OF RANGE",IF(AND($Y113="Unexcused",OR($L113="",NOT(ISNUMBER($L113)),$L113&lt;&gt;0)),"UNEXCUSED ABSENCE MUST RECORD 0",IF(COUNTIF(nrES_RecID,$B113)&gt;1,"DUPLICATE RECORD",IF(N($K113)&gt;2,"ATTEMPT 3+ NOT ALLOWED - policy 300.5 permits one retest per exam; this row records nothing",IF(AND($K113=2,COUNTIFS(nrES_PID,$D113,nrES_Code,$F113,nrES_Att,1)=0),"ATTEMPT 2 WITHOUT ATTEMPT 1",IF(AND($K113=2,$L113=""),"RETEST ROW HAS NO SCORE",IF(AND($H113="Final",$L113&lt;&gt;"",IFERROR(INDEX(nrCKfinalExamElig,MATCH($D113,rngCadetPIDs,0)),"")="No"),"FINAL EXAM AFTER FAILED FINAL PT (500.1.H)",IF(AND($K113=2,ISNUMBER($L113),COUNTIFS(nrES_PID,$D113,nrES_Code,$F113,nrES_Att,1)&gt;0,SUMIFS(nrES_Raw,nrES_PID,$D113,nrES_Code,$F113,nrES_Att,1)&gt;=$J113),"RETEST AFTER A PASSING FIRST ATTEMPT","OK"))))))))))</f>
        <v/>
      </c>
      <c r="Y113" s="16" t="n"/>
    </row>
    <row r="114">
      <c r="B114" s="17">
        <f>IF($C114="","",$D114&amp;"-"&amp;$F114&amp;"-"&amp;$K114)</f>
        <v/>
      </c>
      <c r="C114" s="16" t="n"/>
      <c r="D114" s="17">
        <f>IF($C114="","",IFERROR(INDEX(rngCadetPIDs,MATCH($C114,rngCadetNames,0)),"?"))</f>
        <v/>
      </c>
      <c r="E114" s="17">
        <f>IF($D114="","",IFERROR(INDEX(nrCadetAgency,MATCH($D114,rngCadetPIDs,0)),""))</f>
        <v/>
      </c>
      <c r="F114" s="16" t="n"/>
      <c r="G114" s="17">
        <f>IF($F114="","",IFERROR(INDEX(rngEPname,MATCH($F114,rngEPcode,0)),"?"))</f>
        <v/>
      </c>
      <c r="H114" s="17">
        <f>IF($F114="","",IFERROR(INDEX(rngEPtype,MATCH($F114,rngEPcode,0)),"?"))</f>
        <v/>
      </c>
      <c r="I114" s="17">
        <f>IF($F114="","",IFERROR(INDEX(rngEPseq,MATCH($F114,rngEPcode,0)),""))</f>
        <v/>
      </c>
      <c r="J114" s="17">
        <f>IF($F114="","",IFERROR(INDEX(rngEPpass,MATCH($F114,rngEPcode,0)),cfgPassingScore))</f>
        <v/>
      </c>
      <c r="K114" s="16" t="n"/>
      <c r="L114" s="16" t="n"/>
      <c r="M114" s="17">
        <f>IF($C114="","",IF($L114="","",IF(NOT(ISNUMBER($L114)),$L114,IF(N($K114)&gt;2,"",IF($K114=1,IF(COUNTIFS(nrES_PID,$D114,nrES_Code,$F114,nrES_Att,2,nrES_Raw,"&gt;=0")&gt;0,"",$L114),IF($L114&gt;=$J114,MAX($J114,cfgRetakeRecordedCap),IF(COUNTIFS(nrES_PID,$D114,nrES_Code,$F114,nrES_Att,1)=0,$L114,SUMIFS(nrES_Raw,nrES_PID,$D114,nrES_Code,$F114,nrES_Att,1))))))))</f>
        <v/>
      </c>
      <c r="N114" s="17">
        <f>IF($C114="","",IF($L114="","",IF(NOT(ISNUMBER($L114)),"(not a score)",IF($L114&gt;=$J114,"Yes","No"))))</f>
        <v/>
      </c>
      <c r="O114" s="17">
        <f>IF($C114="","",IF($M114="","",IF(NOT(ISNUMBER($M114)),"(not a score)",IF($M114&gt;=$J114,"Yes","No"))))</f>
        <v/>
      </c>
      <c r="P114" s="17">
        <f>IF($C114="","",IF($K114="","",IF(N($K114)&gt;2,"No",IF(COUNTIFS(nrES_PID,$D114,nrES_Code,$F114,nrES_Att,"&gt;"&amp;$K114,nrES_Att,"&lt;=2",nrES_Raw,"&gt;=0")=0,"Yes","No"))))</f>
        <v/>
      </c>
      <c r="Q114" s="17">
        <f>IF($C114="","",IF($L114="","",IF(AND($K114=1,ISNUMBER($L114),$L114&lt;$J114,COUNTIFS(nrES_PID,$D114,nrES_Code,$F114,nrES_Att,2,nrES_Raw,"&gt;=0")=0),"Yes","No")))</f>
        <v/>
      </c>
      <c r="R114" s="17">
        <f>IF($C114="","",IF($L114="","",IF(AND(N($K114)&gt;=2,ISNUMBER($L114),$L114&lt;$J114),"Yes","No")))</f>
        <v/>
      </c>
      <c r="S114" s="18" t="n"/>
      <c r="T114" s="19">
        <f>IF(OR($C114="",$L114="",$K114&lt;&gt;1,NOT(ISNUMBER($L114)),$L114&gt;=$J114),"",IF($S114="","(enter date)",_xlfn.LET(_xlpm.dn,_xlfn.XLOOKUP($S114,nrCDdate,nrCDnum,"",1),IF(_xlpm.dn="","(after last class day)",_xlfn.LET(_xlpm.dd,_xlfn.XLOOKUP(_xlpm.dn+cfgRetestClassDays,nrCDnum,nrCDdate,""),_xlpm.ok,_xlfn.XLOOKUP(_xlpm.dn+cfgRetestClassDays,nrCDnum,nrCDinsession,"No"),IF(OR(_xlpm.dd="",_xlpm.ok&lt;&gt;"Yes"),"(after last class day)",_xlpm.dd))))))</f>
        <v/>
      </c>
      <c r="U114" s="17">
        <f>IF($C114="","",IF(AND($Y114="Excused",$L114="",N($K114)&lt;=1),"EXCUSED - 1st attempt pending",IF(OR($L114="",$K114&lt;&gt;1,NOT(ISNUMBER($L114)),$L114&gt;=$J114),"",IF(COUNTIFS(nrES_PID,$D114,nrES_Code,$F114,nrES_Att,2,nrES_Raw,"&gt;=0")&gt;0,IF(IFERROR(_xlfn.MINIFS(nrES_Date,nrES_PID,$D114,nrES_Code,$F114,nrES_Att,2,nrES_Raw,"&gt;=0",nrES_Date,"&gt;0"),0)=0,"RETEST UNDATED",IF(NOT(ISNUMBER($T114)),"RETEST DATE UNCHECKED",IF(_xlfn.MINIFS(nrES_Date,nrES_PID,$D114,nrES_Code,$F114,nrES_Att,2,nrES_Raw,"&gt;=0",nrES_Date,"&gt;0")&gt;$T114,"LATE RETEST "&amp;TEXT(_xlfn.MINIFS(nrES_Date,nrES_PID,$D114,nrES_Code,$F114,nrES_Att,2,nrES_Raw,"&gt;=0",nrES_Date,"&gt;0"),"mm/dd")&amp;" (due "&amp;TEXT($T114,"mm/dd")&amp;")","Retested"))),IF(NOT(ISNUMBER($T114)),"CHECK DATE",IF(TODAY()&gt;$T114,"OVERDUE","Due "&amp;TEXT($T114,"mm/dd")))))))</f>
        <v/>
      </c>
      <c r="V114" s="16" t="n"/>
      <c r="W114" s="16" t="n"/>
      <c r="X114" s="17">
        <f>IF($C114="","",IF(AND($L114&lt;&gt;"",NOT(ISNUMBER($L114))),"RAW SCORE NOT A NUMBER",IF(AND(ISNUMBER($L114),OR($L114&lt;0,$L114&gt;100)),"RAW SCORE OUT OF RANGE",IF(AND($Y114="Unexcused",OR($L114="",NOT(ISNUMBER($L114)),$L114&lt;&gt;0)),"UNEXCUSED ABSENCE MUST RECORD 0",IF(COUNTIF(nrES_RecID,$B114)&gt;1,"DUPLICATE RECORD",IF(N($K114)&gt;2,"ATTEMPT 3+ NOT ALLOWED - policy 300.5 permits one retest per exam; this row records nothing",IF(AND($K114=2,COUNTIFS(nrES_PID,$D114,nrES_Code,$F114,nrES_Att,1)=0),"ATTEMPT 2 WITHOUT ATTEMPT 1",IF(AND($K114=2,$L114=""),"RETEST ROW HAS NO SCORE",IF(AND($H114="Final",$L114&lt;&gt;"",IFERROR(INDEX(nrCKfinalExamElig,MATCH($D114,rngCadetPIDs,0)),"")="No"),"FINAL EXAM AFTER FAILED FINAL PT (500.1.H)",IF(AND($K114=2,ISNUMBER($L114),COUNTIFS(nrES_PID,$D114,nrES_Code,$F114,nrES_Att,1)&gt;0,SUMIFS(nrES_Raw,nrES_PID,$D114,nrES_Code,$F114,nrES_Att,1)&gt;=$J114),"RETEST AFTER A PASSING FIRST ATTEMPT","OK"))))))))))</f>
        <v/>
      </c>
      <c r="Y114" s="16" t="n"/>
    </row>
    <row r="115">
      <c r="B115" s="17">
        <f>IF($C115="","",$D115&amp;"-"&amp;$F115&amp;"-"&amp;$K115)</f>
        <v/>
      </c>
      <c r="C115" s="16" t="n"/>
      <c r="D115" s="17">
        <f>IF($C115="","",IFERROR(INDEX(rngCadetPIDs,MATCH($C115,rngCadetNames,0)),"?"))</f>
        <v/>
      </c>
      <c r="E115" s="17">
        <f>IF($D115="","",IFERROR(INDEX(nrCadetAgency,MATCH($D115,rngCadetPIDs,0)),""))</f>
        <v/>
      </c>
      <c r="F115" s="16" t="n"/>
      <c r="G115" s="17">
        <f>IF($F115="","",IFERROR(INDEX(rngEPname,MATCH($F115,rngEPcode,0)),"?"))</f>
        <v/>
      </c>
      <c r="H115" s="17">
        <f>IF($F115="","",IFERROR(INDEX(rngEPtype,MATCH($F115,rngEPcode,0)),"?"))</f>
        <v/>
      </c>
      <c r="I115" s="17">
        <f>IF($F115="","",IFERROR(INDEX(rngEPseq,MATCH($F115,rngEPcode,0)),""))</f>
        <v/>
      </c>
      <c r="J115" s="17">
        <f>IF($F115="","",IFERROR(INDEX(rngEPpass,MATCH($F115,rngEPcode,0)),cfgPassingScore))</f>
        <v/>
      </c>
      <c r="K115" s="16" t="n"/>
      <c r="L115" s="16" t="n"/>
      <c r="M115" s="17">
        <f>IF($C115="","",IF($L115="","",IF(NOT(ISNUMBER($L115)),$L115,IF(N($K115)&gt;2,"",IF($K115=1,IF(COUNTIFS(nrES_PID,$D115,nrES_Code,$F115,nrES_Att,2,nrES_Raw,"&gt;=0")&gt;0,"",$L115),IF($L115&gt;=$J115,MAX($J115,cfgRetakeRecordedCap),IF(COUNTIFS(nrES_PID,$D115,nrES_Code,$F115,nrES_Att,1)=0,$L115,SUMIFS(nrES_Raw,nrES_PID,$D115,nrES_Code,$F115,nrES_Att,1))))))))</f>
        <v/>
      </c>
      <c r="N115" s="17">
        <f>IF($C115="","",IF($L115="","",IF(NOT(ISNUMBER($L115)),"(not a score)",IF($L115&gt;=$J115,"Yes","No"))))</f>
        <v/>
      </c>
      <c r="O115" s="17">
        <f>IF($C115="","",IF($M115="","",IF(NOT(ISNUMBER($M115)),"(not a score)",IF($M115&gt;=$J115,"Yes","No"))))</f>
        <v/>
      </c>
      <c r="P115" s="17">
        <f>IF($C115="","",IF($K115="","",IF(N($K115)&gt;2,"No",IF(COUNTIFS(nrES_PID,$D115,nrES_Code,$F115,nrES_Att,"&gt;"&amp;$K115,nrES_Att,"&lt;=2",nrES_Raw,"&gt;=0")=0,"Yes","No"))))</f>
        <v/>
      </c>
      <c r="Q115" s="17">
        <f>IF($C115="","",IF($L115="","",IF(AND($K115=1,ISNUMBER($L115),$L115&lt;$J115,COUNTIFS(nrES_PID,$D115,nrES_Code,$F115,nrES_Att,2,nrES_Raw,"&gt;=0")=0),"Yes","No")))</f>
        <v/>
      </c>
      <c r="R115" s="17">
        <f>IF($C115="","",IF($L115="","",IF(AND(N($K115)&gt;=2,ISNUMBER($L115),$L115&lt;$J115),"Yes","No")))</f>
        <v/>
      </c>
      <c r="S115" s="18" t="n"/>
      <c r="T115" s="19">
        <f>IF(OR($C115="",$L115="",$K115&lt;&gt;1,NOT(ISNUMBER($L115)),$L115&gt;=$J115),"",IF($S115="","(enter date)",_xlfn.LET(_xlpm.dn,_xlfn.XLOOKUP($S115,nrCDdate,nrCDnum,"",1),IF(_xlpm.dn="","(after last class day)",_xlfn.LET(_xlpm.dd,_xlfn.XLOOKUP(_xlpm.dn+cfgRetestClassDays,nrCDnum,nrCDdate,""),_xlpm.ok,_xlfn.XLOOKUP(_xlpm.dn+cfgRetestClassDays,nrCDnum,nrCDinsession,"No"),IF(OR(_xlpm.dd="",_xlpm.ok&lt;&gt;"Yes"),"(after last class day)",_xlpm.dd))))))</f>
        <v/>
      </c>
      <c r="U115" s="17">
        <f>IF($C115="","",IF(AND($Y115="Excused",$L115="",N($K115)&lt;=1),"EXCUSED - 1st attempt pending",IF(OR($L115="",$K115&lt;&gt;1,NOT(ISNUMBER($L115)),$L115&gt;=$J115),"",IF(COUNTIFS(nrES_PID,$D115,nrES_Code,$F115,nrES_Att,2,nrES_Raw,"&gt;=0")&gt;0,IF(IFERROR(_xlfn.MINIFS(nrES_Date,nrES_PID,$D115,nrES_Code,$F115,nrES_Att,2,nrES_Raw,"&gt;=0",nrES_Date,"&gt;0"),0)=0,"RETEST UNDATED",IF(NOT(ISNUMBER($T115)),"RETEST DATE UNCHECKED",IF(_xlfn.MINIFS(nrES_Date,nrES_PID,$D115,nrES_Code,$F115,nrES_Att,2,nrES_Raw,"&gt;=0",nrES_Date,"&gt;0")&gt;$T115,"LATE RETEST "&amp;TEXT(_xlfn.MINIFS(nrES_Date,nrES_PID,$D115,nrES_Code,$F115,nrES_Att,2,nrES_Raw,"&gt;=0",nrES_Date,"&gt;0"),"mm/dd")&amp;" (due "&amp;TEXT($T115,"mm/dd")&amp;")","Retested"))),IF(NOT(ISNUMBER($T115)),"CHECK DATE",IF(TODAY()&gt;$T115,"OVERDUE","Due "&amp;TEXT($T115,"mm/dd")))))))</f>
        <v/>
      </c>
      <c r="V115" s="16" t="n"/>
      <c r="W115" s="16" t="n"/>
      <c r="X115" s="17">
        <f>IF($C115="","",IF(AND($L115&lt;&gt;"",NOT(ISNUMBER($L115))),"RAW SCORE NOT A NUMBER",IF(AND(ISNUMBER($L115),OR($L115&lt;0,$L115&gt;100)),"RAW SCORE OUT OF RANGE",IF(AND($Y115="Unexcused",OR($L115="",NOT(ISNUMBER($L115)),$L115&lt;&gt;0)),"UNEXCUSED ABSENCE MUST RECORD 0",IF(COUNTIF(nrES_RecID,$B115)&gt;1,"DUPLICATE RECORD",IF(N($K115)&gt;2,"ATTEMPT 3+ NOT ALLOWED - policy 300.5 permits one retest per exam; this row records nothing",IF(AND($K115=2,COUNTIFS(nrES_PID,$D115,nrES_Code,$F115,nrES_Att,1)=0),"ATTEMPT 2 WITHOUT ATTEMPT 1",IF(AND($K115=2,$L115=""),"RETEST ROW HAS NO SCORE",IF(AND($H115="Final",$L115&lt;&gt;"",IFERROR(INDEX(nrCKfinalExamElig,MATCH($D115,rngCadetPIDs,0)),"")="No"),"FINAL EXAM AFTER FAILED FINAL PT (500.1.H)",IF(AND($K115=2,ISNUMBER($L115),COUNTIFS(nrES_PID,$D115,nrES_Code,$F115,nrES_Att,1)&gt;0,SUMIFS(nrES_Raw,nrES_PID,$D115,nrES_Code,$F115,nrES_Att,1)&gt;=$J115),"RETEST AFTER A PASSING FIRST ATTEMPT","OK"))))))))))</f>
        <v/>
      </c>
      <c r="Y115" s="16" t="n"/>
    </row>
    <row r="116">
      <c r="B116" s="17">
        <f>IF($C116="","",$D116&amp;"-"&amp;$F116&amp;"-"&amp;$K116)</f>
        <v/>
      </c>
      <c r="C116" s="16" t="n"/>
      <c r="D116" s="17">
        <f>IF($C116="","",IFERROR(INDEX(rngCadetPIDs,MATCH($C116,rngCadetNames,0)),"?"))</f>
        <v/>
      </c>
      <c r="E116" s="17">
        <f>IF($D116="","",IFERROR(INDEX(nrCadetAgency,MATCH($D116,rngCadetPIDs,0)),""))</f>
        <v/>
      </c>
      <c r="F116" s="16" t="n"/>
      <c r="G116" s="17">
        <f>IF($F116="","",IFERROR(INDEX(rngEPname,MATCH($F116,rngEPcode,0)),"?"))</f>
        <v/>
      </c>
      <c r="H116" s="17">
        <f>IF($F116="","",IFERROR(INDEX(rngEPtype,MATCH($F116,rngEPcode,0)),"?"))</f>
        <v/>
      </c>
      <c r="I116" s="17">
        <f>IF($F116="","",IFERROR(INDEX(rngEPseq,MATCH($F116,rngEPcode,0)),""))</f>
        <v/>
      </c>
      <c r="J116" s="17">
        <f>IF($F116="","",IFERROR(INDEX(rngEPpass,MATCH($F116,rngEPcode,0)),cfgPassingScore))</f>
        <v/>
      </c>
      <c r="K116" s="16" t="n"/>
      <c r="L116" s="16" t="n"/>
      <c r="M116" s="17">
        <f>IF($C116="","",IF($L116="","",IF(NOT(ISNUMBER($L116)),$L116,IF(N($K116)&gt;2,"",IF($K116=1,IF(COUNTIFS(nrES_PID,$D116,nrES_Code,$F116,nrES_Att,2,nrES_Raw,"&gt;=0")&gt;0,"",$L116),IF($L116&gt;=$J116,MAX($J116,cfgRetakeRecordedCap),IF(COUNTIFS(nrES_PID,$D116,nrES_Code,$F116,nrES_Att,1)=0,$L116,SUMIFS(nrES_Raw,nrES_PID,$D116,nrES_Code,$F116,nrES_Att,1))))))))</f>
        <v/>
      </c>
      <c r="N116" s="17">
        <f>IF($C116="","",IF($L116="","",IF(NOT(ISNUMBER($L116)),"(not a score)",IF($L116&gt;=$J116,"Yes","No"))))</f>
        <v/>
      </c>
      <c r="O116" s="17">
        <f>IF($C116="","",IF($M116="","",IF(NOT(ISNUMBER($M116)),"(not a score)",IF($M116&gt;=$J116,"Yes","No"))))</f>
        <v/>
      </c>
      <c r="P116" s="17">
        <f>IF($C116="","",IF($K116="","",IF(N($K116)&gt;2,"No",IF(COUNTIFS(nrES_PID,$D116,nrES_Code,$F116,nrES_Att,"&gt;"&amp;$K116,nrES_Att,"&lt;=2",nrES_Raw,"&gt;=0")=0,"Yes","No"))))</f>
        <v/>
      </c>
      <c r="Q116" s="17">
        <f>IF($C116="","",IF($L116="","",IF(AND($K116=1,ISNUMBER($L116),$L116&lt;$J116,COUNTIFS(nrES_PID,$D116,nrES_Code,$F116,nrES_Att,2,nrES_Raw,"&gt;=0")=0),"Yes","No")))</f>
        <v/>
      </c>
      <c r="R116" s="17">
        <f>IF($C116="","",IF($L116="","",IF(AND(N($K116)&gt;=2,ISNUMBER($L116),$L116&lt;$J116),"Yes","No")))</f>
        <v/>
      </c>
      <c r="S116" s="18" t="n"/>
      <c r="T116" s="19">
        <f>IF(OR($C116="",$L116="",$K116&lt;&gt;1,NOT(ISNUMBER($L116)),$L116&gt;=$J116),"",IF($S116="","(enter date)",_xlfn.LET(_xlpm.dn,_xlfn.XLOOKUP($S116,nrCDdate,nrCDnum,"",1),IF(_xlpm.dn="","(after last class day)",_xlfn.LET(_xlpm.dd,_xlfn.XLOOKUP(_xlpm.dn+cfgRetestClassDays,nrCDnum,nrCDdate,""),_xlpm.ok,_xlfn.XLOOKUP(_xlpm.dn+cfgRetestClassDays,nrCDnum,nrCDinsession,"No"),IF(OR(_xlpm.dd="",_xlpm.ok&lt;&gt;"Yes"),"(after last class day)",_xlpm.dd))))))</f>
        <v/>
      </c>
      <c r="U116" s="17">
        <f>IF($C116="","",IF(AND($Y116="Excused",$L116="",N($K116)&lt;=1),"EXCUSED - 1st attempt pending",IF(OR($L116="",$K116&lt;&gt;1,NOT(ISNUMBER($L116)),$L116&gt;=$J116),"",IF(COUNTIFS(nrES_PID,$D116,nrES_Code,$F116,nrES_Att,2,nrES_Raw,"&gt;=0")&gt;0,IF(IFERROR(_xlfn.MINIFS(nrES_Date,nrES_PID,$D116,nrES_Code,$F116,nrES_Att,2,nrES_Raw,"&gt;=0",nrES_Date,"&gt;0"),0)=0,"RETEST UNDATED",IF(NOT(ISNUMBER($T116)),"RETEST DATE UNCHECKED",IF(_xlfn.MINIFS(nrES_Date,nrES_PID,$D116,nrES_Code,$F116,nrES_Att,2,nrES_Raw,"&gt;=0",nrES_Date,"&gt;0")&gt;$T116,"LATE RETEST "&amp;TEXT(_xlfn.MINIFS(nrES_Date,nrES_PID,$D116,nrES_Code,$F116,nrES_Att,2,nrES_Raw,"&gt;=0",nrES_Date,"&gt;0"),"mm/dd")&amp;" (due "&amp;TEXT($T116,"mm/dd")&amp;")","Retested"))),IF(NOT(ISNUMBER($T116)),"CHECK DATE",IF(TODAY()&gt;$T116,"OVERDUE","Due "&amp;TEXT($T116,"mm/dd")))))))</f>
        <v/>
      </c>
      <c r="V116" s="16" t="n"/>
      <c r="W116" s="16" t="n"/>
      <c r="X116" s="17">
        <f>IF($C116="","",IF(AND($L116&lt;&gt;"",NOT(ISNUMBER($L116))),"RAW SCORE NOT A NUMBER",IF(AND(ISNUMBER($L116),OR($L116&lt;0,$L116&gt;100)),"RAW SCORE OUT OF RANGE",IF(AND($Y116="Unexcused",OR($L116="",NOT(ISNUMBER($L116)),$L116&lt;&gt;0)),"UNEXCUSED ABSENCE MUST RECORD 0",IF(COUNTIF(nrES_RecID,$B116)&gt;1,"DUPLICATE RECORD",IF(N($K116)&gt;2,"ATTEMPT 3+ NOT ALLOWED - policy 300.5 permits one retest per exam; this row records nothing",IF(AND($K116=2,COUNTIFS(nrES_PID,$D116,nrES_Code,$F116,nrES_Att,1)=0),"ATTEMPT 2 WITHOUT ATTEMPT 1",IF(AND($K116=2,$L116=""),"RETEST ROW HAS NO SCORE",IF(AND($H116="Final",$L116&lt;&gt;"",IFERROR(INDEX(nrCKfinalExamElig,MATCH($D116,rngCadetPIDs,0)),"")="No"),"FINAL EXAM AFTER FAILED FINAL PT (500.1.H)",IF(AND($K116=2,ISNUMBER($L116),COUNTIFS(nrES_PID,$D116,nrES_Code,$F116,nrES_Att,1)&gt;0,SUMIFS(nrES_Raw,nrES_PID,$D116,nrES_Code,$F116,nrES_Att,1)&gt;=$J116),"RETEST AFTER A PASSING FIRST ATTEMPT","OK"))))))))))</f>
        <v/>
      </c>
      <c r="Y116" s="16" t="n"/>
    </row>
    <row r="117">
      <c r="B117" s="17">
        <f>IF($C117="","",$D117&amp;"-"&amp;$F117&amp;"-"&amp;$K117)</f>
        <v/>
      </c>
      <c r="C117" s="16" t="n"/>
      <c r="D117" s="17">
        <f>IF($C117="","",IFERROR(INDEX(rngCadetPIDs,MATCH($C117,rngCadetNames,0)),"?"))</f>
        <v/>
      </c>
      <c r="E117" s="17">
        <f>IF($D117="","",IFERROR(INDEX(nrCadetAgency,MATCH($D117,rngCadetPIDs,0)),""))</f>
        <v/>
      </c>
      <c r="F117" s="16" t="n"/>
      <c r="G117" s="17">
        <f>IF($F117="","",IFERROR(INDEX(rngEPname,MATCH($F117,rngEPcode,0)),"?"))</f>
        <v/>
      </c>
      <c r="H117" s="17">
        <f>IF($F117="","",IFERROR(INDEX(rngEPtype,MATCH($F117,rngEPcode,0)),"?"))</f>
        <v/>
      </c>
      <c r="I117" s="17">
        <f>IF($F117="","",IFERROR(INDEX(rngEPseq,MATCH($F117,rngEPcode,0)),""))</f>
        <v/>
      </c>
      <c r="J117" s="17">
        <f>IF($F117="","",IFERROR(INDEX(rngEPpass,MATCH($F117,rngEPcode,0)),cfgPassingScore))</f>
        <v/>
      </c>
      <c r="K117" s="16" t="n"/>
      <c r="L117" s="16" t="n"/>
      <c r="M117" s="17">
        <f>IF($C117="","",IF($L117="","",IF(NOT(ISNUMBER($L117)),$L117,IF(N($K117)&gt;2,"",IF($K117=1,IF(COUNTIFS(nrES_PID,$D117,nrES_Code,$F117,nrES_Att,2,nrES_Raw,"&gt;=0")&gt;0,"",$L117),IF($L117&gt;=$J117,MAX($J117,cfgRetakeRecordedCap),IF(COUNTIFS(nrES_PID,$D117,nrES_Code,$F117,nrES_Att,1)=0,$L117,SUMIFS(nrES_Raw,nrES_PID,$D117,nrES_Code,$F117,nrES_Att,1))))))))</f>
        <v/>
      </c>
      <c r="N117" s="17">
        <f>IF($C117="","",IF($L117="","",IF(NOT(ISNUMBER($L117)),"(not a score)",IF($L117&gt;=$J117,"Yes","No"))))</f>
        <v/>
      </c>
      <c r="O117" s="17">
        <f>IF($C117="","",IF($M117="","",IF(NOT(ISNUMBER($M117)),"(not a score)",IF($M117&gt;=$J117,"Yes","No"))))</f>
        <v/>
      </c>
      <c r="P117" s="17">
        <f>IF($C117="","",IF($K117="","",IF(N($K117)&gt;2,"No",IF(COUNTIFS(nrES_PID,$D117,nrES_Code,$F117,nrES_Att,"&gt;"&amp;$K117,nrES_Att,"&lt;=2",nrES_Raw,"&gt;=0")=0,"Yes","No"))))</f>
        <v/>
      </c>
      <c r="Q117" s="17">
        <f>IF($C117="","",IF($L117="","",IF(AND($K117=1,ISNUMBER($L117),$L117&lt;$J117,COUNTIFS(nrES_PID,$D117,nrES_Code,$F117,nrES_Att,2,nrES_Raw,"&gt;=0")=0),"Yes","No")))</f>
        <v/>
      </c>
      <c r="R117" s="17">
        <f>IF($C117="","",IF($L117="","",IF(AND(N($K117)&gt;=2,ISNUMBER($L117),$L117&lt;$J117),"Yes","No")))</f>
        <v/>
      </c>
      <c r="S117" s="18" t="n"/>
      <c r="T117" s="19">
        <f>IF(OR($C117="",$L117="",$K117&lt;&gt;1,NOT(ISNUMBER($L117)),$L117&gt;=$J117),"",IF($S117="","(enter date)",_xlfn.LET(_xlpm.dn,_xlfn.XLOOKUP($S117,nrCDdate,nrCDnum,"",1),IF(_xlpm.dn="","(after last class day)",_xlfn.LET(_xlpm.dd,_xlfn.XLOOKUP(_xlpm.dn+cfgRetestClassDays,nrCDnum,nrCDdate,""),_xlpm.ok,_xlfn.XLOOKUP(_xlpm.dn+cfgRetestClassDays,nrCDnum,nrCDinsession,"No"),IF(OR(_xlpm.dd="",_xlpm.ok&lt;&gt;"Yes"),"(after last class day)",_xlpm.dd))))))</f>
        <v/>
      </c>
      <c r="U117" s="17">
        <f>IF($C117="","",IF(AND($Y117="Excused",$L117="",N($K117)&lt;=1),"EXCUSED - 1st attempt pending",IF(OR($L117="",$K117&lt;&gt;1,NOT(ISNUMBER($L117)),$L117&gt;=$J117),"",IF(COUNTIFS(nrES_PID,$D117,nrES_Code,$F117,nrES_Att,2,nrES_Raw,"&gt;=0")&gt;0,IF(IFERROR(_xlfn.MINIFS(nrES_Date,nrES_PID,$D117,nrES_Code,$F117,nrES_Att,2,nrES_Raw,"&gt;=0",nrES_Date,"&gt;0"),0)=0,"RETEST UNDATED",IF(NOT(ISNUMBER($T117)),"RETEST DATE UNCHECKED",IF(_xlfn.MINIFS(nrES_Date,nrES_PID,$D117,nrES_Code,$F117,nrES_Att,2,nrES_Raw,"&gt;=0",nrES_Date,"&gt;0")&gt;$T117,"LATE RETEST "&amp;TEXT(_xlfn.MINIFS(nrES_Date,nrES_PID,$D117,nrES_Code,$F117,nrES_Att,2,nrES_Raw,"&gt;=0",nrES_Date,"&gt;0"),"mm/dd")&amp;" (due "&amp;TEXT($T117,"mm/dd")&amp;")","Retested"))),IF(NOT(ISNUMBER($T117)),"CHECK DATE",IF(TODAY()&gt;$T117,"OVERDUE","Due "&amp;TEXT($T117,"mm/dd")))))))</f>
        <v/>
      </c>
      <c r="V117" s="16" t="n"/>
      <c r="W117" s="16" t="n"/>
      <c r="X117" s="17">
        <f>IF($C117="","",IF(AND($L117&lt;&gt;"",NOT(ISNUMBER($L117))),"RAW SCORE NOT A NUMBER",IF(AND(ISNUMBER($L117),OR($L117&lt;0,$L117&gt;100)),"RAW SCORE OUT OF RANGE",IF(AND($Y117="Unexcused",OR($L117="",NOT(ISNUMBER($L117)),$L117&lt;&gt;0)),"UNEXCUSED ABSENCE MUST RECORD 0",IF(COUNTIF(nrES_RecID,$B117)&gt;1,"DUPLICATE RECORD",IF(N($K117)&gt;2,"ATTEMPT 3+ NOT ALLOWED - policy 300.5 permits one retest per exam; this row records nothing",IF(AND($K117=2,COUNTIFS(nrES_PID,$D117,nrES_Code,$F117,nrES_Att,1)=0),"ATTEMPT 2 WITHOUT ATTEMPT 1",IF(AND($K117=2,$L117=""),"RETEST ROW HAS NO SCORE",IF(AND($H117="Final",$L117&lt;&gt;"",IFERROR(INDEX(nrCKfinalExamElig,MATCH($D117,rngCadetPIDs,0)),"")="No"),"FINAL EXAM AFTER FAILED FINAL PT (500.1.H)",IF(AND($K117=2,ISNUMBER($L117),COUNTIFS(nrES_PID,$D117,nrES_Code,$F117,nrES_Att,1)&gt;0,SUMIFS(nrES_Raw,nrES_PID,$D117,nrES_Code,$F117,nrES_Att,1)&gt;=$J117),"RETEST AFTER A PASSING FIRST ATTEMPT","OK"))))))))))</f>
        <v/>
      </c>
      <c r="Y117" s="16" t="n"/>
    </row>
    <row r="118">
      <c r="B118" s="17">
        <f>IF($C118="","",$D118&amp;"-"&amp;$F118&amp;"-"&amp;$K118)</f>
        <v/>
      </c>
      <c r="C118" s="16" t="n"/>
      <c r="D118" s="17">
        <f>IF($C118="","",IFERROR(INDEX(rngCadetPIDs,MATCH($C118,rngCadetNames,0)),"?"))</f>
        <v/>
      </c>
      <c r="E118" s="17">
        <f>IF($D118="","",IFERROR(INDEX(nrCadetAgency,MATCH($D118,rngCadetPIDs,0)),""))</f>
        <v/>
      </c>
      <c r="F118" s="16" t="n"/>
      <c r="G118" s="17">
        <f>IF($F118="","",IFERROR(INDEX(rngEPname,MATCH($F118,rngEPcode,0)),"?"))</f>
        <v/>
      </c>
      <c r="H118" s="17">
        <f>IF($F118="","",IFERROR(INDEX(rngEPtype,MATCH($F118,rngEPcode,0)),"?"))</f>
        <v/>
      </c>
      <c r="I118" s="17">
        <f>IF($F118="","",IFERROR(INDEX(rngEPseq,MATCH($F118,rngEPcode,0)),""))</f>
        <v/>
      </c>
      <c r="J118" s="17">
        <f>IF($F118="","",IFERROR(INDEX(rngEPpass,MATCH($F118,rngEPcode,0)),cfgPassingScore))</f>
        <v/>
      </c>
      <c r="K118" s="16" t="n"/>
      <c r="L118" s="16" t="n"/>
      <c r="M118" s="17">
        <f>IF($C118="","",IF($L118="","",IF(NOT(ISNUMBER($L118)),$L118,IF(N($K118)&gt;2,"",IF($K118=1,IF(COUNTIFS(nrES_PID,$D118,nrES_Code,$F118,nrES_Att,2,nrES_Raw,"&gt;=0")&gt;0,"",$L118),IF($L118&gt;=$J118,MAX($J118,cfgRetakeRecordedCap),IF(COUNTIFS(nrES_PID,$D118,nrES_Code,$F118,nrES_Att,1)=0,$L118,SUMIFS(nrES_Raw,nrES_PID,$D118,nrES_Code,$F118,nrES_Att,1))))))))</f>
        <v/>
      </c>
      <c r="N118" s="17">
        <f>IF($C118="","",IF($L118="","",IF(NOT(ISNUMBER($L118)),"(not a score)",IF($L118&gt;=$J118,"Yes","No"))))</f>
        <v/>
      </c>
      <c r="O118" s="17">
        <f>IF($C118="","",IF($M118="","",IF(NOT(ISNUMBER($M118)),"(not a score)",IF($M118&gt;=$J118,"Yes","No"))))</f>
        <v/>
      </c>
      <c r="P118" s="17">
        <f>IF($C118="","",IF($K118="","",IF(N($K118)&gt;2,"No",IF(COUNTIFS(nrES_PID,$D118,nrES_Code,$F118,nrES_Att,"&gt;"&amp;$K118,nrES_Att,"&lt;=2",nrES_Raw,"&gt;=0")=0,"Yes","No"))))</f>
        <v/>
      </c>
      <c r="Q118" s="17">
        <f>IF($C118="","",IF($L118="","",IF(AND($K118=1,ISNUMBER($L118),$L118&lt;$J118,COUNTIFS(nrES_PID,$D118,nrES_Code,$F118,nrES_Att,2,nrES_Raw,"&gt;=0")=0),"Yes","No")))</f>
        <v/>
      </c>
      <c r="R118" s="17">
        <f>IF($C118="","",IF($L118="","",IF(AND(N($K118)&gt;=2,ISNUMBER($L118),$L118&lt;$J118),"Yes","No")))</f>
        <v/>
      </c>
      <c r="S118" s="18" t="n"/>
      <c r="T118" s="19">
        <f>IF(OR($C118="",$L118="",$K118&lt;&gt;1,NOT(ISNUMBER($L118)),$L118&gt;=$J118),"",IF($S118="","(enter date)",_xlfn.LET(_xlpm.dn,_xlfn.XLOOKUP($S118,nrCDdate,nrCDnum,"",1),IF(_xlpm.dn="","(after last class day)",_xlfn.LET(_xlpm.dd,_xlfn.XLOOKUP(_xlpm.dn+cfgRetestClassDays,nrCDnum,nrCDdate,""),_xlpm.ok,_xlfn.XLOOKUP(_xlpm.dn+cfgRetestClassDays,nrCDnum,nrCDinsession,"No"),IF(OR(_xlpm.dd="",_xlpm.ok&lt;&gt;"Yes"),"(after last class day)",_xlpm.dd))))))</f>
        <v/>
      </c>
      <c r="U118" s="17">
        <f>IF($C118="","",IF(AND($Y118="Excused",$L118="",N($K118)&lt;=1),"EXCUSED - 1st attempt pending",IF(OR($L118="",$K118&lt;&gt;1,NOT(ISNUMBER($L118)),$L118&gt;=$J118),"",IF(COUNTIFS(nrES_PID,$D118,nrES_Code,$F118,nrES_Att,2,nrES_Raw,"&gt;=0")&gt;0,IF(IFERROR(_xlfn.MINIFS(nrES_Date,nrES_PID,$D118,nrES_Code,$F118,nrES_Att,2,nrES_Raw,"&gt;=0",nrES_Date,"&gt;0"),0)=0,"RETEST UNDATED",IF(NOT(ISNUMBER($T118)),"RETEST DATE UNCHECKED",IF(_xlfn.MINIFS(nrES_Date,nrES_PID,$D118,nrES_Code,$F118,nrES_Att,2,nrES_Raw,"&gt;=0",nrES_Date,"&gt;0")&gt;$T118,"LATE RETEST "&amp;TEXT(_xlfn.MINIFS(nrES_Date,nrES_PID,$D118,nrES_Code,$F118,nrES_Att,2,nrES_Raw,"&gt;=0",nrES_Date,"&gt;0"),"mm/dd")&amp;" (due "&amp;TEXT($T118,"mm/dd")&amp;")","Retested"))),IF(NOT(ISNUMBER($T118)),"CHECK DATE",IF(TODAY()&gt;$T118,"OVERDUE","Due "&amp;TEXT($T118,"mm/dd")))))))</f>
        <v/>
      </c>
      <c r="V118" s="16" t="n"/>
      <c r="W118" s="16" t="n"/>
      <c r="X118" s="17">
        <f>IF($C118="","",IF(AND($L118&lt;&gt;"",NOT(ISNUMBER($L118))),"RAW SCORE NOT A NUMBER",IF(AND(ISNUMBER($L118),OR($L118&lt;0,$L118&gt;100)),"RAW SCORE OUT OF RANGE",IF(AND($Y118="Unexcused",OR($L118="",NOT(ISNUMBER($L118)),$L118&lt;&gt;0)),"UNEXCUSED ABSENCE MUST RECORD 0",IF(COUNTIF(nrES_RecID,$B118)&gt;1,"DUPLICATE RECORD",IF(N($K118)&gt;2,"ATTEMPT 3+ NOT ALLOWED - policy 300.5 permits one retest per exam; this row records nothing",IF(AND($K118=2,COUNTIFS(nrES_PID,$D118,nrES_Code,$F118,nrES_Att,1)=0),"ATTEMPT 2 WITHOUT ATTEMPT 1",IF(AND($K118=2,$L118=""),"RETEST ROW HAS NO SCORE",IF(AND($H118="Final",$L118&lt;&gt;"",IFERROR(INDEX(nrCKfinalExamElig,MATCH($D118,rngCadetPIDs,0)),"")="No"),"FINAL EXAM AFTER FAILED FINAL PT (500.1.H)",IF(AND($K118=2,ISNUMBER($L118),COUNTIFS(nrES_PID,$D118,nrES_Code,$F118,nrES_Att,1)&gt;0,SUMIFS(nrES_Raw,nrES_PID,$D118,nrES_Code,$F118,nrES_Att,1)&gt;=$J118),"RETEST AFTER A PASSING FIRST ATTEMPT","OK"))))))))))</f>
        <v/>
      </c>
      <c r="Y118" s="16" t="n"/>
    </row>
    <row r="119">
      <c r="B119" s="17">
        <f>IF($C119="","",$D119&amp;"-"&amp;$F119&amp;"-"&amp;$K119)</f>
        <v/>
      </c>
      <c r="C119" s="16" t="n"/>
      <c r="D119" s="17">
        <f>IF($C119="","",IFERROR(INDEX(rngCadetPIDs,MATCH($C119,rngCadetNames,0)),"?"))</f>
        <v/>
      </c>
      <c r="E119" s="17">
        <f>IF($D119="","",IFERROR(INDEX(nrCadetAgency,MATCH($D119,rngCadetPIDs,0)),""))</f>
        <v/>
      </c>
      <c r="F119" s="16" t="n"/>
      <c r="G119" s="17">
        <f>IF($F119="","",IFERROR(INDEX(rngEPname,MATCH($F119,rngEPcode,0)),"?"))</f>
        <v/>
      </c>
      <c r="H119" s="17">
        <f>IF($F119="","",IFERROR(INDEX(rngEPtype,MATCH($F119,rngEPcode,0)),"?"))</f>
        <v/>
      </c>
      <c r="I119" s="17">
        <f>IF($F119="","",IFERROR(INDEX(rngEPseq,MATCH($F119,rngEPcode,0)),""))</f>
        <v/>
      </c>
      <c r="J119" s="17">
        <f>IF($F119="","",IFERROR(INDEX(rngEPpass,MATCH($F119,rngEPcode,0)),cfgPassingScore))</f>
        <v/>
      </c>
      <c r="K119" s="16" t="n"/>
      <c r="L119" s="16" t="n"/>
      <c r="M119" s="17">
        <f>IF($C119="","",IF($L119="","",IF(NOT(ISNUMBER($L119)),$L119,IF(N($K119)&gt;2,"",IF($K119=1,IF(COUNTIFS(nrES_PID,$D119,nrES_Code,$F119,nrES_Att,2,nrES_Raw,"&gt;=0")&gt;0,"",$L119),IF($L119&gt;=$J119,MAX($J119,cfgRetakeRecordedCap),IF(COUNTIFS(nrES_PID,$D119,nrES_Code,$F119,nrES_Att,1)=0,$L119,SUMIFS(nrES_Raw,nrES_PID,$D119,nrES_Code,$F119,nrES_Att,1))))))))</f>
        <v/>
      </c>
      <c r="N119" s="17">
        <f>IF($C119="","",IF($L119="","",IF(NOT(ISNUMBER($L119)),"(not a score)",IF($L119&gt;=$J119,"Yes","No"))))</f>
        <v/>
      </c>
      <c r="O119" s="17">
        <f>IF($C119="","",IF($M119="","",IF(NOT(ISNUMBER($M119)),"(not a score)",IF($M119&gt;=$J119,"Yes","No"))))</f>
        <v/>
      </c>
      <c r="P119" s="17">
        <f>IF($C119="","",IF($K119="","",IF(N($K119)&gt;2,"No",IF(COUNTIFS(nrES_PID,$D119,nrES_Code,$F119,nrES_Att,"&gt;"&amp;$K119,nrES_Att,"&lt;=2",nrES_Raw,"&gt;=0")=0,"Yes","No"))))</f>
        <v/>
      </c>
      <c r="Q119" s="17">
        <f>IF($C119="","",IF($L119="","",IF(AND($K119=1,ISNUMBER($L119),$L119&lt;$J119,COUNTIFS(nrES_PID,$D119,nrES_Code,$F119,nrES_Att,2,nrES_Raw,"&gt;=0")=0),"Yes","No")))</f>
        <v/>
      </c>
      <c r="R119" s="17">
        <f>IF($C119="","",IF($L119="","",IF(AND(N($K119)&gt;=2,ISNUMBER($L119),$L119&lt;$J119),"Yes","No")))</f>
        <v/>
      </c>
      <c r="S119" s="18" t="n"/>
      <c r="T119" s="19">
        <f>IF(OR($C119="",$L119="",$K119&lt;&gt;1,NOT(ISNUMBER($L119)),$L119&gt;=$J119),"",IF($S119="","(enter date)",_xlfn.LET(_xlpm.dn,_xlfn.XLOOKUP($S119,nrCDdate,nrCDnum,"",1),IF(_xlpm.dn="","(after last class day)",_xlfn.LET(_xlpm.dd,_xlfn.XLOOKUP(_xlpm.dn+cfgRetestClassDays,nrCDnum,nrCDdate,""),_xlpm.ok,_xlfn.XLOOKUP(_xlpm.dn+cfgRetestClassDays,nrCDnum,nrCDinsession,"No"),IF(OR(_xlpm.dd="",_xlpm.ok&lt;&gt;"Yes"),"(after last class day)",_xlpm.dd))))))</f>
        <v/>
      </c>
      <c r="U119" s="17">
        <f>IF($C119="","",IF(AND($Y119="Excused",$L119="",N($K119)&lt;=1),"EXCUSED - 1st attempt pending",IF(OR($L119="",$K119&lt;&gt;1,NOT(ISNUMBER($L119)),$L119&gt;=$J119),"",IF(COUNTIFS(nrES_PID,$D119,nrES_Code,$F119,nrES_Att,2,nrES_Raw,"&gt;=0")&gt;0,IF(IFERROR(_xlfn.MINIFS(nrES_Date,nrES_PID,$D119,nrES_Code,$F119,nrES_Att,2,nrES_Raw,"&gt;=0",nrES_Date,"&gt;0"),0)=0,"RETEST UNDATED",IF(NOT(ISNUMBER($T119)),"RETEST DATE UNCHECKED",IF(_xlfn.MINIFS(nrES_Date,nrES_PID,$D119,nrES_Code,$F119,nrES_Att,2,nrES_Raw,"&gt;=0",nrES_Date,"&gt;0")&gt;$T119,"LATE RETEST "&amp;TEXT(_xlfn.MINIFS(nrES_Date,nrES_PID,$D119,nrES_Code,$F119,nrES_Att,2,nrES_Raw,"&gt;=0",nrES_Date,"&gt;0"),"mm/dd")&amp;" (due "&amp;TEXT($T119,"mm/dd")&amp;")","Retested"))),IF(NOT(ISNUMBER($T119)),"CHECK DATE",IF(TODAY()&gt;$T119,"OVERDUE","Due "&amp;TEXT($T119,"mm/dd")))))))</f>
        <v/>
      </c>
      <c r="V119" s="16" t="n"/>
      <c r="W119" s="16" t="n"/>
      <c r="X119" s="17">
        <f>IF($C119="","",IF(AND($L119&lt;&gt;"",NOT(ISNUMBER($L119))),"RAW SCORE NOT A NUMBER",IF(AND(ISNUMBER($L119),OR($L119&lt;0,$L119&gt;100)),"RAW SCORE OUT OF RANGE",IF(AND($Y119="Unexcused",OR($L119="",NOT(ISNUMBER($L119)),$L119&lt;&gt;0)),"UNEXCUSED ABSENCE MUST RECORD 0",IF(COUNTIF(nrES_RecID,$B119)&gt;1,"DUPLICATE RECORD",IF(N($K119)&gt;2,"ATTEMPT 3+ NOT ALLOWED - policy 300.5 permits one retest per exam; this row records nothing",IF(AND($K119=2,COUNTIFS(nrES_PID,$D119,nrES_Code,$F119,nrES_Att,1)=0),"ATTEMPT 2 WITHOUT ATTEMPT 1",IF(AND($K119=2,$L119=""),"RETEST ROW HAS NO SCORE",IF(AND($H119="Final",$L119&lt;&gt;"",IFERROR(INDEX(nrCKfinalExamElig,MATCH($D119,rngCadetPIDs,0)),"")="No"),"FINAL EXAM AFTER FAILED FINAL PT (500.1.H)",IF(AND($K119=2,ISNUMBER($L119),COUNTIFS(nrES_PID,$D119,nrES_Code,$F119,nrES_Att,1)&gt;0,SUMIFS(nrES_Raw,nrES_PID,$D119,nrES_Code,$F119,nrES_Att,1)&gt;=$J119),"RETEST AFTER A PASSING FIRST ATTEMPT","OK"))))))))))</f>
        <v/>
      </c>
      <c r="Y119" s="16" t="n"/>
    </row>
    <row r="120">
      <c r="B120" s="17">
        <f>IF($C120="","",$D120&amp;"-"&amp;$F120&amp;"-"&amp;$K120)</f>
        <v/>
      </c>
      <c r="C120" s="16" t="n"/>
      <c r="D120" s="17">
        <f>IF($C120="","",IFERROR(INDEX(rngCadetPIDs,MATCH($C120,rngCadetNames,0)),"?"))</f>
        <v/>
      </c>
      <c r="E120" s="17">
        <f>IF($D120="","",IFERROR(INDEX(nrCadetAgency,MATCH($D120,rngCadetPIDs,0)),""))</f>
        <v/>
      </c>
      <c r="F120" s="16" t="n"/>
      <c r="G120" s="17">
        <f>IF($F120="","",IFERROR(INDEX(rngEPname,MATCH($F120,rngEPcode,0)),"?"))</f>
        <v/>
      </c>
      <c r="H120" s="17">
        <f>IF($F120="","",IFERROR(INDEX(rngEPtype,MATCH($F120,rngEPcode,0)),"?"))</f>
        <v/>
      </c>
      <c r="I120" s="17">
        <f>IF($F120="","",IFERROR(INDEX(rngEPseq,MATCH($F120,rngEPcode,0)),""))</f>
        <v/>
      </c>
      <c r="J120" s="17">
        <f>IF($F120="","",IFERROR(INDEX(rngEPpass,MATCH($F120,rngEPcode,0)),cfgPassingScore))</f>
        <v/>
      </c>
      <c r="K120" s="16" t="n"/>
      <c r="L120" s="16" t="n"/>
      <c r="M120" s="17">
        <f>IF($C120="","",IF($L120="","",IF(NOT(ISNUMBER($L120)),$L120,IF(N($K120)&gt;2,"",IF($K120=1,IF(COUNTIFS(nrES_PID,$D120,nrES_Code,$F120,nrES_Att,2,nrES_Raw,"&gt;=0")&gt;0,"",$L120),IF($L120&gt;=$J120,MAX($J120,cfgRetakeRecordedCap),IF(COUNTIFS(nrES_PID,$D120,nrES_Code,$F120,nrES_Att,1)=0,$L120,SUMIFS(nrES_Raw,nrES_PID,$D120,nrES_Code,$F120,nrES_Att,1))))))))</f>
        <v/>
      </c>
      <c r="N120" s="17">
        <f>IF($C120="","",IF($L120="","",IF(NOT(ISNUMBER($L120)),"(not a score)",IF($L120&gt;=$J120,"Yes","No"))))</f>
        <v/>
      </c>
      <c r="O120" s="17">
        <f>IF($C120="","",IF($M120="","",IF(NOT(ISNUMBER($M120)),"(not a score)",IF($M120&gt;=$J120,"Yes","No"))))</f>
        <v/>
      </c>
      <c r="P120" s="17">
        <f>IF($C120="","",IF($K120="","",IF(N($K120)&gt;2,"No",IF(COUNTIFS(nrES_PID,$D120,nrES_Code,$F120,nrES_Att,"&gt;"&amp;$K120,nrES_Att,"&lt;=2",nrES_Raw,"&gt;=0")=0,"Yes","No"))))</f>
        <v/>
      </c>
      <c r="Q120" s="17">
        <f>IF($C120="","",IF($L120="","",IF(AND($K120=1,ISNUMBER($L120),$L120&lt;$J120,COUNTIFS(nrES_PID,$D120,nrES_Code,$F120,nrES_Att,2,nrES_Raw,"&gt;=0")=0),"Yes","No")))</f>
        <v/>
      </c>
      <c r="R120" s="17">
        <f>IF($C120="","",IF($L120="","",IF(AND(N($K120)&gt;=2,ISNUMBER($L120),$L120&lt;$J120),"Yes","No")))</f>
        <v/>
      </c>
      <c r="S120" s="18" t="n"/>
      <c r="T120" s="19">
        <f>IF(OR($C120="",$L120="",$K120&lt;&gt;1,NOT(ISNUMBER($L120)),$L120&gt;=$J120),"",IF($S120="","(enter date)",_xlfn.LET(_xlpm.dn,_xlfn.XLOOKUP($S120,nrCDdate,nrCDnum,"",1),IF(_xlpm.dn="","(after last class day)",_xlfn.LET(_xlpm.dd,_xlfn.XLOOKUP(_xlpm.dn+cfgRetestClassDays,nrCDnum,nrCDdate,""),_xlpm.ok,_xlfn.XLOOKUP(_xlpm.dn+cfgRetestClassDays,nrCDnum,nrCDinsession,"No"),IF(OR(_xlpm.dd="",_xlpm.ok&lt;&gt;"Yes"),"(after last class day)",_xlpm.dd))))))</f>
        <v/>
      </c>
      <c r="U120" s="17">
        <f>IF($C120="","",IF(AND($Y120="Excused",$L120="",N($K120)&lt;=1),"EXCUSED - 1st attempt pending",IF(OR($L120="",$K120&lt;&gt;1,NOT(ISNUMBER($L120)),$L120&gt;=$J120),"",IF(COUNTIFS(nrES_PID,$D120,nrES_Code,$F120,nrES_Att,2,nrES_Raw,"&gt;=0")&gt;0,IF(IFERROR(_xlfn.MINIFS(nrES_Date,nrES_PID,$D120,nrES_Code,$F120,nrES_Att,2,nrES_Raw,"&gt;=0",nrES_Date,"&gt;0"),0)=0,"RETEST UNDATED",IF(NOT(ISNUMBER($T120)),"RETEST DATE UNCHECKED",IF(_xlfn.MINIFS(nrES_Date,nrES_PID,$D120,nrES_Code,$F120,nrES_Att,2,nrES_Raw,"&gt;=0",nrES_Date,"&gt;0")&gt;$T120,"LATE RETEST "&amp;TEXT(_xlfn.MINIFS(nrES_Date,nrES_PID,$D120,nrES_Code,$F120,nrES_Att,2,nrES_Raw,"&gt;=0",nrES_Date,"&gt;0"),"mm/dd")&amp;" (due "&amp;TEXT($T120,"mm/dd")&amp;")","Retested"))),IF(NOT(ISNUMBER($T120)),"CHECK DATE",IF(TODAY()&gt;$T120,"OVERDUE","Due "&amp;TEXT($T120,"mm/dd")))))))</f>
        <v/>
      </c>
      <c r="V120" s="16" t="n"/>
      <c r="W120" s="16" t="n"/>
      <c r="X120" s="17">
        <f>IF($C120="","",IF(AND($L120&lt;&gt;"",NOT(ISNUMBER($L120))),"RAW SCORE NOT A NUMBER",IF(AND(ISNUMBER($L120),OR($L120&lt;0,$L120&gt;100)),"RAW SCORE OUT OF RANGE",IF(AND($Y120="Unexcused",OR($L120="",NOT(ISNUMBER($L120)),$L120&lt;&gt;0)),"UNEXCUSED ABSENCE MUST RECORD 0",IF(COUNTIF(nrES_RecID,$B120)&gt;1,"DUPLICATE RECORD",IF(N($K120)&gt;2,"ATTEMPT 3+ NOT ALLOWED - policy 300.5 permits one retest per exam; this row records nothing",IF(AND($K120=2,COUNTIFS(nrES_PID,$D120,nrES_Code,$F120,nrES_Att,1)=0),"ATTEMPT 2 WITHOUT ATTEMPT 1",IF(AND($K120=2,$L120=""),"RETEST ROW HAS NO SCORE",IF(AND($H120="Final",$L120&lt;&gt;"",IFERROR(INDEX(nrCKfinalExamElig,MATCH($D120,rngCadetPIDs,0)),"")="No"),"FINAL EXAM AFTER FAILED FINAL PT (500.1.H)",IF(AND($K120=2,ISNUMBER($L120),COUNTIFS(nrES_PID,$D120,nrES_Code,$F120,nrES_Att,1)&gt;0,SUMIFS(nrES_Raw,nrES_PID,$D120,nrES_Code,$F120,nrES_Att,1)&gt;=$J120),"RETEST AFTER A PASSING FIRST ATTEMPT","OK"))))))))))</f>
        <v/>
      </c>
      <c r="Y120" s="16" t="n"/>
    </row>
    <row r="121">
      <c r="B121" s="17">
        <f>IF($C121="","",$D121&amp;"-"&amp;$F121&amp;"-"&amp;$K121)</f>
        <v/>
      </c>
      <c r="C121" s="16" t="n"/>
      <c r="D121" s="17">
        <f>IF($C121="","",IFERROR(INDEX(rngCadetPIDs,MATCH($C121,rngCadetNames,0)),"?"))</f>
        <v/>
      </c>
      <c r="E121" s="17">
        <f>IF($D121="","",IFERROR(INDEX(nrCadetAgency,MATCH($D121,rngCadetPIDs,0)),""))</f>
        <v/>
      </c>
      <c r="F121" s="16" t="n"/>
      <c r="G121" s="17">
        <f>IF($F121="","",IFERROR(INDEX(rngEPname,MATCH($F121,rngEPcode,0)),"?"))</f>
        <v/>
      </c>
      <c r="H121" s="17">
        <f>IF($F121="","",IFERROR(INDEX(rngEPtype,MATCH($F121,rngEPcode,0)),"?"))</f>
        <v/>
      </c>
      <c r="I121" s="17">
        <f>IF($F121="","",IFERROR(INDEX(rngEPseq,MATCH($F121,rngEPcode,0)),""))</f>
        <v/>
      </c>
      <c r="J121" s="17">
        <f>IF($F121="","",IFERROR(INDEX(rngEPpass,MATCH($F121,rngEPcode,0)),cfgPassingScore))</f>
        <v/>
      </c>
      <c r="K121" s="16" t="n"/>
      <c r="L121" s="16" t="n"/>
      <c r="M121" s="17">
        <f>IF($C121="","",IF($L121="","",IF(NOT(ISNUMBER($L121)),$L121,IF(N($K121)&gt;2,"",IF($K121=1,IF(COUNTIFS(nrES_PID,$D121,nrES_Code,$F121,nrES_Att,2,nrES_Raw,"&gt;=0")&gt;0,"",$L121),IF($L121&gt;=$J121,MAX($J121,cfgRetakeRecordedCap),IF(COUNTIFS(nrES_PID,$D121,nrES_Code,$F121,nrES_Att,1)=0,$L121,SUMIFS(nrES_Raw,nrES_PID,$D121,nrES_Code,$F121,nrES_Att,1))))))))</f>
        <v/>
      </c>
      <c r="N121" s="17">
        <f>IF($C121="","",IF($L121="","",IF(NOT(ISNUMBER($L121)),"(not a score)",IF($L121&gt;=$J121,"Yes","No"))))</f>
        <v/>
      </c>
      <c r="O121" s="17">
        <f>IF($C121="","",IF($M121="","",IF(NOT(ISNUMBER($M121)),"(not a score)",IF($M121&gt;=$J121,"Yes","No"))))</f>
        <v/>
      </c>
      <c r="P121" s="17">
        <f>IF($C121="","",IF($K121="","",IF(N($K121)&gt;2,"No",IF(COUNTIFS(nrES_PID,$D121,nrES_Code,$F121,nrES_Att,"&gt;"&amp;$K121,nrES_Att,"&lt;=2",nrES_Raw,"&gt;=0")=0,"Yes","No"))))</f>
        <v/>
      </c>
      <c r="Q121" s="17">
        <f>IF($C121="","",IF($L121="","",IF(AND($K121=1,ISNUMBER($L121),$L121&lt;$J121,COUNTIFS(nrES_PID,$D121,nrES_Code,$F121,nrES_Att,2,nrES_Raw,"&gt;=0")=0),"Yes","No")))</f>
        <v/>
      </c>
      <c r="R121" s="17">
        <f>IF($C121="","",IF($L121="","",IF(AND(N($K121)&gt;=2,ISNUMBER($L121),$L121&lt;$J121),"Yes","No")))</f>
        <v/>
      </c>
      <c r="S121" s="18" t="n"/>
      <c r="T121" s="19">
        <f>IF(OR($C121="",$L121="",$K121&lt;&gt;1,NOT(ISNUMBER($L121)),$L121&gt;=$J121),"",IF($S121="","(enter date)",_xlfn.LET(_xlpm.dn,_xlfn.XLOOKUP($S121,nrCDdate,nrCDnum,"",1),IF(_xlpm.dn="","(after last class day)",_xlfn.LET(_xlpm.dd,_xlfn.XLOOKUP(_xlpm.dn+cfgRetestClassDays,nrCDnum,nrCDdate,""),_xlpm.ok,_xlfn.XLOOKUP(_xlpm.dn+cfgRetestClassDays,nrCDnum,nrCDinsession,"No"),IF(OR(_xlpm.dd="",_xlpm.ok&lt;&gt;"Yes"),"(after last class day)",_xlpm.dd))))))</f>
        <v/>
      </c>
      <c r="U121" s="17">
        <f>IF($C121="","",IF(AND($Y121="Excused",$L121="",N($K121)&lt;=1),"EXCUSED - 1st attempt pending",IF(OR($L121="",$K121&lt;&gt;1,NOT(ISNUMBER($L121)),$L121&gt;=$J121),"",IF(COUNTIFS(nrES_PID,$D121,nrES_Code,$F121,nrES_Att,2,nrES_Raw,"&gt;=0")&gt;0,IF(IFERROR(_xlfn.MINIFS(nrES_Date,nrES_PID,$D121,nrES_Code,$F121,nrES_Att,2,nrES_Raw,"&gt;=0",nrES_Date,"&gt;0"),0)=0,"RETEST UNDATED",IF(NOT(ISNUMBER($T121)),"RETEST DATE UNCHECKED",IF(_xlfn.MINIFS(nrES_Date,nrES_PID,$D121,nrES_Code,$F121,nrES_Att,2,nrES_Raw,"&gt;=0",nrES_Date,"&gt;0")&gt;$T121,"LATE RETEST "&amp;TEXT(_xlfn.MINIFS(nrES_Date,nrES_PID,$D121,nrES_Code,$F121,nrES_Att,2,nrES_Raw,"&gt;=0",nrES_Date,"&gt;0"),"mm/dd")&amp;" (due "&amp;TEXT($T121,"mm/dd")&amp;")","Retested"))),IF(NOT(ISNUMBER($T121)),"CHECK DATE",IF(TODAY()&gt;$T121,"OVERDUE","Due "&amp;TEXT($T121,"mm/dd")))))))</f>
        <v/>
      </c>
      <c r="V121" s="16" t="n"/>
      <c r="W121" s="16" t="n"/>
      <c r="X121" s="17">
        <f>IF($C121="","",IF(AND($L121&lt;&gt;"",NOT(ISNUMBER($L121))),"RAW SCORE NOT A NUMBER",IF(AND(ISNUMBER($L121),OR($L121&lt;0,$L121&gt;100)),"RAW SCORE OUT OF RANGE",IF(AND($Y121="Unexcused",OR($L121="",NOT(ISNUMBER($L121)),$L121&lt;&gt;0)),"UNEXCUSED ABSENCE MUST RECORD 0",IF(COUNTIF(nrES_RecID,$B121)&gt;1,"DUPLICATE RECORD",IF(N($K121)&gt;2,"ATTEMPT 3+ NOT ALLOWED - policy 300.5 permits one retest per exam; this row records nothing",IF(AND($K121=2,COUNTIFS(nrES_PID,$D121,nrES_Code,$F121,nrES_Att,1)=0),"ATTEMPT 2 WITHOUT ATTEMPT 1",IF(AND($K121=2,$L121=""),"RETEST ROW HAS NO SCORE",IF(AND($H121="Final",$L121&lt;&gt;"",IFERROR(INDEX(nrCKfinalExamElig,MATCH($D121,rngCadetPIDs,0)),"")="No"),"FINAL EXAM AFTER FAILED FINAL PT (500.1.H)",IF(AND($K121=2,ISNUMBER($L121),COUNTIFS(nrES_PID,$D121,nrES_Code,$F121,nrES_Att,1)&gt;0,SUMIFS(nrES_Raw,nrES_PID,$D121,nrES_Code,$F121,nrES_Att,1)&gt;=$J121),"RETEST AFTER A PASSING FIRST ATTEMPT","OK"))))))))))</f>
        <v/>
      </c>
      <c r="Y121" s="16" t="n"/>
    </row>
    <row r="122">
      <c r="B122" s="17">
        <f>IF($C122="","",$D122&amp;"-"&amp;$F122&amp;"-"&amp;$K122)</f>
        <v/>
      </c>
      <c r="C122" s="16" t="n"/>
      <c r="D122" s="17">
        <f>IF($C122="","",IFERROR(INDEX(rngCadetPIDs,MATCH($C122,rngCadetNames,0)),"?"))</f>
        <v/>
      </c>
      <c r="E122" s="17">
        <f>IF($D122="","",IFERROR(INDEX(nrCadetAgency,MATCH($D122,rngCadetPIDs,0)),""))</f>
        <v/>
      </c>
      <c r="F122" s="16" t="n"/>
      <c r="G122" s="17">
        <f>IF($F122="","",IFERROR(INDEX(rngEPname,MATCH($F122,rngEPcode,0)),"?"))</f>
        <v/>
      </c>
      <c r="H122" s="17">
        <f>IF($F122="","",IFERROR(INDEX(rngEPtype,MATCH($F122,rngEPcode,0)),"?"))</f>
        <v/>
      </c>
      <c r="I122" s="17">
        <f>IF($F122="","",IFERROR(INDEX(rngEPseq,MATCH($F122,rngEPcode,0)),""))</f>
        <v/>
      </c>
      <c r="J122" s="17">
        <f>IF($F122="","",IFERROR(INDEX(rngEPpass,MATCH($F122,rngEPcode,0)),cfgPassingScore))</f>
        <v/>
      </c>
      <c r="K122" s="16" t="n"/>
      <c r="L122" s="16" t="n"/>
      <c r="M122" s="17">
        <f>IF($C122="","",IF($L122="","",IF(NOT(ISNUMBER($L122)),$L122,IF(N($K122)&gt;2,"",IF($K122=1,IF(COUNTIFS(nrES_PID,$D122,nrES_Code,$F122,nrES_Att,2,nrES_Raw,"&gt;=0")&gt;0,"",$L122),IF($L122&gt;=$J122,MAX($J122,cfgRetakeRecordedCap),IF(COUNTIFS(nrES_PID,$D122,nrES_Code,$F122,nrES_Att,1)=0,$L122,SUMIFS(nrES_Raw,nrES_PID,$D122,nrES_Code,$F122,nrES_Att,1))))))))</f>
        <v/>
      </c>
      <c r="N122" s="17">
        <f>IF($C122="","",IF($L122="","",IF(NOT(ISNUMBER($L122)),"(not a score)",IF($L122&gt;=$J122,"Yes","No"))))</f>
        <v/>
      </c>
      <c r="O122" s="17">
        <f>IF($C122="","",IF($M122="","",IF(NOT(ISNUMBER($M122)),"(not a score)",IF($M122&gt;=$J122,"Yes","No"))))</f>
        <v/>
      </c>
      <c r="P122" s="17">
        <f>IF($C122="","",IF($K122="","",IF(N($K122)&gt;2,"No",IF(COUNTIFS(nrES_PID,$D122,nrES_Code,$F122,nrES_Att,"&gt;"&amp;$K122,nrES_Att,"&lt;=2",nrES_Raw,"&gt;=0")=0,"Yes","No"))))</f>
        <v/>
      </c>
      <c r="Q122" s="17">
        <f>IF($C122="","",IF($L122="","",IF(AND($K122=1,ISNUMBER($L122),$L122&lt;$J122,COUNTIFS(nrES_PID,$D122,nrES_Code,$F122,nrES_Att,2,nrES_Raw,"&gt;=0")=0),"Yes","No")))</f>
        <v/>
      </c>
      <c r="R122" s="17">
        <f>IF($C122="","",IF($L122="","",IF(AND(N($K122)&gt;=2,ISNUMBER($L122),$L122&lt;$J122),"Yes","No")))</f>
        <v/>
      </c>
      <c r="S122" s="18" t="n"/>
      <c r="T122" s="19">
        <f>IF(OR($C122="",$L122="",$K122&lt;&gt;1,NOT(ISNUMBER($L122)),$L122&gt;=$J122),"",IF($S122="","(enter date)",_xlfn.LET(_xlpm.dn,_xlfn.XLOOKUP($S122,nrCDdate,nrCDnum,"",1),IF(_xlpm.dn="","(after last class day)",_xlfn.LET(_xlpm.dd,_xlfn.XLOOKUP(_xlpm.dn+cfgRetestClassDays,nrCDnum,nrCDdate,""),_xlpm.ok,_xlfn.XLOOKUP(_xlpm.dn+cfgRetestClassDays,nrCDnum,nrCDinsession,"No"),IF(OR(_xlpm.dd="",_xlpm.ok&lt;&gt;"Yes"),"(after last class day)",_xlpm.dd))))))</f>
        <v/>
      </c>
      <c r="U122" s="17">
        <f>IF($C122="","",IF(AND($Y122="Excused",$L122="",N($K122)&lt;=1),"EXCUSED - 1st attempt pending",IF(OR($L122="",$K122&lt;&gt;1,NOT(ISNUMBER($L122)),$L122&gt;=$J122),"",IF(COUNTIFS(nrES_PID,$D122,nrES_Code,$F122,nrES_Att,2,nrES_Raw,"&gt;=0")&gt;0,IF(IFERROR(_xlfn.MINIFS(nrES_Date,nrES_PID,$D122,nrES_Code,$F122,nrES_Att,2,nrES_Raw,"&gt;=0",nrES_Date,"&gt;0"),0)=0,"RETEST UNDATED",IF(NOT(ISNUMBER($T122)),"RETEST DATE UNCHECKED",IF(_xlfn.MINIFS(nrES_Date,nrES_PID,$D122,nrES_Code,$F122,nrES_Att,2,nrES_Raw,"&gt;=0",nrES_Date,"&gt;0")&gt;$T122,"LATE RETEST "&amp;TEXT(_xlfn.MINIFS(nrES_Date,nrES_PID,$D122,nrES_Code,$F122,nrES_Att,2,nrES_Raw,"&gt;=0",nrES_Date,"&gt;0"),"mm/dd")&amp;" (due "&amp;TEXT($T122,"mm/dd")&amp;")","Retested"))),IF(NOT(ISNUMBER($T122)),"CHECK DATE",IF(TODAY()&gt;$T122,"OVERDUE","Due "&amp;TEXT($T122,"mm/dd")))))))</f>
        <v/>
      </c>
      <c r="V122" s="16" t="n"/>
      <c r="W122" s="16" t="n"/>
      <c r="X122" s="17">
        <f>IF($C122="","",IF(AND($L122&lt;&gt;"",NOT(ISNUMBER($L122))),"RAW SCORE NOT A NUMBER",IF(AND(ISNUMBER($L122),OR($L122&lt;0,$L122&gt;100)),"RAW SCORE OUT OF RANGE",IF(AND($Y122="Unexcused",OR($L122="",NOT(ISNUMBER($L122)),$L122&lt;&gt;0)),"UNEXCUSED ABSENCE MUST RECORD 0",IF(COUNTIF(nrES_RecID,$B122)&gt;1,"DUPLICATE RECORD",IF(N($K122)&gt;2,"ATTEMPT 3+ NOT ALLOWED - policy 300.5 permits one retest per exam; this row records nothing",IF(AND($K122=2,COUNTIFS(nrES_PID,$D122,nrES_Code,$F122,nrES_Att,1)=0),"ATTEMPT 2 WITHOUT ATTEMPT 1",IF(AND($K122=2,$L122=""),"RETEST ROW HAS NO SCORE",IF(AND($H122="Final",$L122&lt;&gt;"",IFERROR(INDEX(nrCKfinalExamElig,MATCH($D122,rngCadetPIDs,0)),"")="No"),"FINAL EXAM AFTER FAILED FINAL PT (500.1.H)",IF(AND($K122=2,ISNUMBER($L122),COUNTIFS(nrES_PID,$D122,nrES_Code,$F122,nrES_Att,1)&gt;0,SUMIFS(nrES_Raw,nrES_PID,$D122,nrES_Code,$F122,nrES_Att,1)&gt;=$J122),"RETEST AFTER A PASSING FIRST ATTEMPT","OK"))))))))))</f>
        <v/>
      </c>
      <c r="Y122" s="16" t="n"/>
    </row>
    <row r="123">
      <c r="B123" s="17">
        <f>IF($C123="","",$D123&amp;"-"&amp;$F123&amp;"-"&amp;$K123)</f>
        <v/>
      </c>
      <c r="C123" s="16" t="n"/>
      <c r="D123" s="17">
        <f>IF($C123="","",IFERROR(INDEX(rngCadetPIDs,MATCH($C123,rngCadetNames,0)),"?"))</f>
        <v/>
      </c>
      <c r="E123" s="17">
        <f>IF($D123="","",IFERROR(INDEX(nrCadetAgency,MATCH($D123,rngCadetPIDs,0)),""))</f>
        <v/>
      </c>
      <c r="F123" s="16" t="n"/>
      <c r="G123" s="17">
        <f>IF($F123="","",IFERROR(INDEX(rngEPname,MATCH($F123,rngEPcode,0)),"?"))</f>
        <v/>
      </c>
      <c r="H123" s="17">
        <f>IF($F123="","",IFERROR(INDEX(rngEPtype,MATCH($F123,rngEPcode,0)),"?"))</f>
        <v/>
      </c>
      <c r="I123" s="17">
        <f>IF($F123="","",IFERROR(INDEX(rngEPseq,MATCH($F123,rngEPcode,0)),""))</f>
        <v/>
      </c>
      <c r="J123" s="17">
        <f>IF($F123="","",IFERROR(INDEX(rngEPpass,MATCH($F123,rngEPcode,0)),cfgPassingScore))</f>
        <v/>
      </c>
      <c r="K123" s="16" t="n"/>
      <c r="L123" s="16" t="n"/>
      <c r="M123" s="17">
        <f>IF($C123="","",IF($L123="","",IF(NOT(ISNUMBER($L123)),$L123,IF(N($K123)&gt;2,"",IF($K123=1,IF(COUNTIFS(nrES_PID,$D123,nrES_Code,$F123,nrES_Att,2,nrES_Raw,"&gt;=0")&gt;0,"",$L123),IF($L123&gt;=$J123,MAX($J123,cfgRetakeRecordedCap),IF(COUNTIFS(nrES_PID,$D123,nrES_Code,$F123,nrES_Att,1)=0,$L123,SUMIFS(nrES_Raw,nrES_PID,$D123,nrES_Code,$F123,nrES_Att,1))))))))</f>
        <v/>
      </c>
      <c r="N123" s="17">
        <f>IF($C123="","",IF($L123="","",IF(NOT(ISNUMBER($L123)),"(not a score)",IF($L123&gt;=$J123,"Yes","No"))))</f>
        <v/>
      </c>
      <c r="O123" s="17">
        <f>IF($C123="","",IF($M123="","",IF(NOT(ISNUMBER($M123)),"(not a score)",IF($M123&gt;=$J123,"Yes","No"))))</f>
        <v/>
      </c>
      <c r="P123" s="17">
        <f>IF($C123="","",IF($K123="","",IF(N($K123)&gt;2,"No",IF(COUNTIFS(nrES_PID,$D123,nrES_Code,$F123,nrES_Att,"&gt;"&amp;$K123,nrES_Att,"&lt;=2",nrES_Raw,"&gt;=0")=0,"Yes","No"))))</f>
        <v/>
      </c>
      <c r="Q123" s="17">
        <f>IF($C123="","",IF($L123="","",IF(AND($K123=1,ISNUMBER($L123),$L123&lt;$J123,COUNTIFS(nrES_PID,$D123,nrES_Code,$F123,nrES_Att,2,nrES_Raw,"&gt;=0")=0),"Yes","No")))</f>
        <v/>
      </c>
      <c r="R123" s="17">
        <f>IF($C123="","",IF($L123="","",IF(AND(N($K123)&gt;=2,ISNUMBER($L123),$L123&lt;$J123),"Yes","No")))</f>
        <v/>
      </c>
      <c r="S123" s="18" t="n"/>
      <c r="T123" s="19">
        <f>IF(OR($C123="",$L123="",$K123&lt;&gt;1,NOT(ISNUMBER($L123)),$L123&gt;=$J123),"",IF($S123="","(enter date)",_xlfn.LET(_xlpm.dn,_xlfn.XLOOKUP($S123,nrCDdate,nrCDnum,"",1),IF(_xlpm.dn="","(after last class day)",_xlfn.LET(_xlpm.dd,_xlfn.XLOOKUP(_xlpm.dn+cfgRetestClassDays,nrCDnum,nrCDdate,""),_xlpm.ok,_xlfn.XLOOKUP(_xlpm.dn+cfgRetestClassDays,nrCDnum,nrCDinsession,"No"),IF(OR(_xlpm.dd="",_xlpm.ok&lt;&gt;"Yes"),"(after last class day)",_xlpm.dd))))))</f>
        <v/>
      </c>
      <c r="U123" s="17">
        <f>IF($C123="","",IF(AND($Y123="Excused",$L123="",N($K123)&lt;=1),"EXCUSED - 1st attempt pending",IF(OR($L123="",$K123&lt;&gt;1,NOT(ISNUMBER($L123)),$L123&gt;=$J123),"",IF(COUNTIFS(nrES_PID,$D123,nrES_Code,$F123,nrES_Att,2,nrES_Raw,"&gt;=0")&gt;0,IF(IFERROR(_xlfn.MINIFS(nrES_Date,nrES_PID,$D123,nrES_Code,$F123,nrES_Att,2,nrES_Raw,"&gt;=0",nrES_Date,"&gt;0"),0)=0,"RETEST UNDATED",IF(NOT(ISNUMBER($T123)),"RETEST DATE UNCHECKED",IF(_xlfn.MINIFS(nrES_Date,nrES_PID,$D123,nrES_Code,$F123,nrES_Att,2,nrES_Raw,"&gt;=0",nrES_Date,"&gt;0")&gt;$T123,"LATE RETEST "&amp;TEXT(_xlfn.MINIFS(nrES_Date,nrES_PID,$D123,nrES_Code,$F123,nrES_Att,2,nrES_Raw,"&gt;=0",nrES_Date,"&gt;0"),"mm/dd")&amp;" (due "&amp;TEXT($T123,"mm/dd")&amp;")","Retested"))),IF(NOT(ISNUMBER($T123)),"CHECK DATE",IF(TODAY()&gt;$T123,"OVERDUE","Due "&amp;TEXT($T123,"mm/dd")))))))</f>
        <v/>
      </c>
      <c r="V123" s="16" t="n"/>
      <c r="W123" s="16" t="n"/>
      <c r="X123" s="17">
        <f>IF($C123="","",IF(AND($L123&lt;&gt;"",NOT(ISNUMBER($L123))),"RAW SCORE NOT A NUMBER",IF(AND(ISNUMBER($L123),OR($L123&lt;0,$L123&gt;100)),"RAW SCORE OUT OF RANGE",IF(AND($Y123="Unexcused",OR($L123="",NOT(ISNUMBER($L123)),$L123&lt;&gt;0)),"UNEXCUSED ABSENCE MUST RECORD 0",IF(COUNTIF(nrES_RecID,$B123)&gt;1,"DUPLICATE RECORD",IF(N($K123)&gt;2,"ATTEMPT 3+ NOT ALLOWED - policy 300.5 permits one retest per exam; this row records nothing",IF(AND($K123=2,COUNTIFS(nrES_PID,$D123,nrES_Code,$F123,nrES_Att,1)=0),"ATTEMPT 2 WITHOUT ATTEMPT 1",IF(AND($K123=2,$L123=""),"RETEST ROW HAS NO SCORE",IF(AND($H123="Final",$L123&lt;&gt;"",IFERROR(INDEX(nrCKfinalExamElig,MATCH($D123,rngCadetPIDs,0)),"")="No"),"FINAL EXAM AFTER FAILED FINAL PT (500.1.H)",IF(AND($K123=2,ISNUMBER($L123),COUNTIFS(nrES_PID,$D123,nrES_Code,$F123,nrES_Att,1)&gt;0,SUMIFS(nrES_Raw,nrES_PID,$D123,nrES_Code,$F123,nrES_Att,1)&gt;=$J123),"RETEST AFTER A PASSING FIRST ATTEMPT","OK"))))))))))</f>
        <v/>
      </c>
      <c r="Y123" s="16" t="n"/>
    </row>
    <row r="124">
      <c r="B124" s="17">
        <f>IF($C124="","",$D124&amp;"-"&amp;$F124&amp;"-"&amp;$K124)</f>
        <v/>
      </c>
      <c r="C124" s="16" t="n"/>
      <c r="D124" s="17">
        <f>IF($C124="","",IFERROR(INDEX(rngCadetPIDs,MATCH($C124,rngCadetNames,0)),"?"))</f>
        <v/>
      </c>
      <c r="E124" s="17">
        <f>IF($D124="","",IFERROR(INDEX(nrCadetAgency,MATCH($D124,rngCadetPIDs,0)),""))</f>
        <v/>
      </c>
      <c r="F124" s="16" t="n"/>
      <c r="G124" s="17">
        <f>IF($F124="","",IFERROR(INDEX(rngEPname,MATCH($F124,rngEPcode,0)),"?"))</f>
        <v/>
      </c>
      <c r="H124" s="17">
        <f>IF($F124="","",IFERROR(INDEX(rngEPtype,MATCH($F124,rngEPcode,0)),"?"))</f>
        <v/>
      </c>
      <c r="I124" s="17">
        <f>IF($F124="","",IFERROR(INDEX(rngEPseq,MATCH($F124,rngEPcode,0)),""))</f>
        <v/>
      </c>
      <c r="J124" s="17">
        <f>IF($F124="","",IFERROR(INDEX(rngEPpass,MATCH($F124,rngEPcode,0)),cfgPassingScore))</f>
        <v/>
      </c>
      <c r="K124" s="16" t="n"/>
      <c r="L124" s="16" t="n"/>
      <c r="M124" s="17">
        <f>IF($C124="","",IF($L124="","",IF(NOT(ISNUMBER($L124)),$L124,IF(N($K124)&gt;2,"",IF($K124=1,IF(COUNTIFS(nrES_PID,$D124,nrES_Code,$F124,nrES_Att,2,nrES_Raw,"&gt;=0")&gt;0,"",$L124),IF($L124&gt;=$J124,MAX($J124,cfgRetakeRecordedCap),IF(COUNTIFS(nrES_PID,$D124,nrES_Code,$F124,nrES_Att,1)=0,$L124,SUMIFS(nrES_Raw,nrES_PID,$D124,nrES_Code,$F124,nrES_Att,1))))))))</f>
        <v/>
      </c>
      <c r="N124" s="17">
        <f>IF($C124="","",IF($L124="","",IF(NOT(ISNUMBER($L124)),"(not a score)",IF($L124&gt;=$J124,"Yes","No"))))</f>
        <v/>
      </c>
      <c r="O124" s="17">
        <f>IF($C124="","",IF($M124="","",IF(NOT(ISNUMBER($M124)),"(not a score)",IF($M124&gt;=$J124,"Yes","No"))))</f>
        <v/>
      </c>
      <c r="P124" s="17">
        <f>IF($C124="","",IF($K124="","",IF(N($K124)&gt;2,"No",IF(COUNTIFS(nrES_PID,$D124,nrES_Code,$F124,nrES_Att,"&gt;"&amp;$K124,nrES_Att,"&lt;=2",nrES_Raw,"&gt;=0")=0,"Yes","No"))))</f>
        <v/>
      </c>
      <c r="Q124" s="17">
        <f>IF($C124="","",IF($L124="","",IF(AND($K124=1,ISNUMBER($L124),$L124&lt;$J124,COUNTIFS(nrES_PID,$D124,nrES_Code,$F124,nrES_Att,2,nrES_Raw,"&gt;=0")=0),"Yes","No")))</f>
        <v/>
      </c>
      <c r="R124" s="17">
        <f>IF($C124="","",IF($L124="","",IF(AND(N($K124)&gt;=2,ISNUMBER($L124),$L124&lt;$J124),"Yes","No")))</f>
        <v/>
      </c>
      <c r="S124" s="18" t="n"/>
      <c r="T124" s="19">
        <f>IF(OR($C124="",$L124="",$K124&lt;&gt;1,NOT(ISNUMBER($L124)),$L124&gt;=$J124),"",IF($S124="","(enter date)",_xlfn.LET(_xlpm.dn,_xlfn.XLOOKUP($S124,nrCDdate,nrCDnum,"",1),IF(_xlpm.dn="","(after last class day)",_xlfn.LET(_xlpm.dd,_xlfn.XLOOKUP(_xlpm.dn+cfgRetestClassDays,nrCDnum,nrCDdate,""),_xlpm.ok,_xlfn.XLOOKUP(_xlpm.dn+cfgRetestClassDays,nrCDnum,nrCDinsession,"No"),IF(OR(_xlpm.dd="",_xlpm.ok&lt;&gt;"Yes"),"(after last class day)",_xlpm.dd))))))</f>
        <v/>
      </c>
      <c r="U124" s="17">
        <f>IF($C124="","",IF(AND($Y124="Excused",$L124="",N($K124)&lt;=1),"EXCUSED - 1st attempt pending",IF(OR($L124="",$K124&lt;&gt;1,NOT(ISNUMBER($L124)),$L124&gt;=$J124),"",IF(COUNTIFS(nrES_PID,$D124,nrES_Code,$F124,nrES_Att,2,nrES_Raw,"&gt;=0")&gt;0,IF(IFERROR(_xlfn.MINIFS(nrES_Date,nrES_PID,$D124,nrES_Code,$F124,nrES_Att,2,nrES_Raw,"&gt;=0",nrES_Date,"&gt;0"),0)=0,"RETEST UNDATED",IF(NOT(ISNUMBER($T124)),"RETEST DATE UNCHECKED",IF(_xlfn.MINIFS(nrES_Date,nrES_PID,$D124,nrES_Code,$F124,nrES_Att,2,nrES_Raw,"&gt;=0",nrES_Date,"&gt;0")&gt;$T124,"LATE RETEST "&amp;TEXT(_xlfn.MINIFS(nrES_Date,nrES_PID,$D124,nrES_Code,$F124,nrES_Att,2,nrES_Raw,"&gt;=0",nrES_Date,"&gt;0"),"mm/dd")&amp;" (due "&amp;TEXT($T124,"mm/dd")&amp;")","Retested"))),IF(NOT(ISNUMBER($T124)),"CHECK DATE",IF(TODAY()&gt;$T124,"OVERDUE","Due "&amp;TEXT($T124,"mm/dd")))))))</f>
        <v/>
      </c>
      <c r="V124" s="16" t="n"/>
      <c r="W124" s="16" t="n"/>
      <c r="X124" s="17">
        <f>IF($C124="","",IF(AND($L124&lt;&gt;"",NOT(ISNUMBER($L124))),"RAW SCORE NOT A NUMBER",IF(AND(ISNUMBER($L124),OR($L124&lt;0,$L124&gt;100)),"RAW SCORE OUT OF RANGE",IF(AND($Y124="Unexcused",OR($L124="",NOT(ISNUMBER($L124)),$L124&lt;&gt;0)),"UNEXCUSED ABSENCE MUST RECORD 0",IF(COUNTIF(nrES_RecID,$B124)&gt;1,"DUPLICATE RECORD",IF(N($K124)&gt;2,"ATTEMPT 3+ NOT ALLOWED - policy 300.5 permits one retest per exam; this row records nothing",IF(AND($K124=2,COUNTIFS(nrES_PID,$D124,nrES_Code,$F124,nrES_Att,1)=0),"ATTEMPT 2 WITHOUT ATTEMPT 1",IF(AND($K124=2,$L124=""),"RETEST ROW HAS NO SCORE",IF(AND($H124="Final",$L124&lt;&gt;"",IFERROR(INDEX(nrCKfinalExamElig,MATCH($D124,rngCadetPIDs,0)),"")="No"),"FINAL EXAM AFTER FAILED FINAL PT (500.1.H)",IF(AND($K124=2,ISNUMBER($L124),COUNTIFS(nrES_PID,$D124,nrES_Code,$F124,nrES_Att,1)&gt;0,SUMIFS(nrES_Raw,nrES_PID,$D124,nrES_Code,$F124,nrES_Att,1)&gt;=$J124),"RETEST AFTER A PASSING FIRST ATTEMPT","OK"))))))))))</f>
        <v/>
      </c>
      <c r="Y124" s="16" t="n"/>
    </row>
    <row r="125">
      <c r="B125" s="17">
        <f>IF($C125="","",$D125&amp;"-"&amp;$F125&amp;"-"&amp;$K125)</f>
        <v/>
      </c>
      <c r="C125" s="16" t="n"/>
      <c r="D125" s="17">
        <f>IF($C125="","",IFERROR(INDEX(rngCadetPIDs,MATCH($C125,rngCadetNames,0)),"?"))</f>
        <v/>
      </c>
      <c r="E125" s="17">
        <f>IF($D125="","",IFERROR(INDEX(nrCadetAgency,MATCH($D125,rngCadetPIDs,0)),""))</f>
        <v/>
      </c>
      <c r="F125" s="16" t="n"/>
      <c r="G125" s="17">
        <f>IF($F125="","",IFERROR(INDEX(rngEPname,MATCH($F125,rngEPcode,0)),"?"))</f>
        <v/>
      </c>
      <c r="H125" s="17">
        <f>IF($F125="","",IFERROR(INDEX(rngEPtype,MATCH($F125,rngEPcode,0)),"?"))</f>
        <v/>
      </c>
      <c r="I125" s="17">
        <f>IF($F125="","",IFERROR(INDEX(rngEPseq,MATCH($F125,rngEPcode,0)),""))</f>
        <v/>
      </c>
      <c r="J125" s="17">
        <f>IF($F125="","",IFERROR(INDEX(rngEPpass,MATCH($F125,rngEPcode,0)),cfgPassingScore))</f>
        <v/>
      </c>
      <c r="K125" s="16" t="n"/>
      <c r="L125" s="16" t="n"/>
      <c r="M125" s="17">
        <f>IF($C125="","",IF($L125="","",IF(NOT(ISNUMBER($L125)),$L125,IF(N($K125)&gt;2,"",IF($K125=1,IF(COUNTIFS(nrES_PID,$D125,nrES_Code,$F125,nrES_Att,2,nrES_Raw,"&gt;=0")&gt;0,"",$L125),IF($L125&gt;=$J125,MAX($J125,cfgRetakeRecordedCap),IF(COUNTIFS(nrES_PID,$D125,nrES_Code,$F125,nrES_Att,1)=0,$L125,SUMIFS(nrES_Raw,nrES_PID,$D125,nrES_Code,$F125,nrES_Att,1))))))))</f>
        <v/>
      </c>
      <c r="N125" s="17">
        <f>IF($C125="","",IF($L125="","",IF(NOT(ISNUMBER($L125)),"(not a score)",IF($L125&gt;=$J125,"Yes","No"))))</f>
        <v/>
      </c>
      <c r="O125" s="17">
        <f>IF($C125="","",IF($M125="","",IF(NOT(ISNUMBER($M125)),"(not a score)",IF($M125&gt;=$J125,"Yes","No"))))</f>
        <v/>
      </c>
      <c r="P125" s="17">
        <f>IF($C125="","",IF($K125="","",IF(N($K125)&gt;2,"No",IF(COUNTIFS(nrES_PID,$D125,nrES_Code,$F125,nrES_Att,"&gt;"&amp;$K125,nrES_Att,"&lt;=2",nrES_Raw,"&gt;=0")=0,"Yes","No"))))</f>
        <v/>
      </c>
      <c r="Q125" s="17">
        <f>IF($C125="","",IF($L125="","",IF(AND($K125=1,ISNUMBER($L125),$L125&lt;$J125,COUNTIFS(nrES_PID,$D125,nrES_Code,$F125,nrES_Att,2,nrES_Raw,"&gt;=0")=0),"Yes","No")))</f>
        <v/>
      </c>
      <c r="R125" s="17">
        <f>IF($C125="","",IF($L125="","",IF(AND(N($K125)&gt;=2,ISNUMBER($L125),$L125&lt;$J125),"Yes","No")))</f>
        <v/>
      </c>
      <c r="S125" s="18" t="n"/>
      <c r="T125" s="19">
        <f>IF(OR($C125="",$L125="",$K125&lt;&gt;1,NOT(ISNUMBER($L125)),$L125&gt;=$J125),"",IF($S125="","(enter date)",_xlfn.LET(_xlpm.dn,_xlfn.XLOOKUP($S125,nrCDdate,nrCDnum,"",1),IF(_xlpm.dn="","(after last class day)",_xlfn.LET(_xlpm.dd,_xlfn.XLOOKUP(_xlpm.dn+cfgRetestClassDays,nrCDnum,nrCDdate,""),_xlpm.ok,_xlfn.XLOOKUP(_xlpm.dn+cfgRetestClassDays,nrCDnum,nrCDinsession,"No"),IF(OR(_xlpm.dd="",_xlpm.ok&lt;&gt;"Yes"),"(after last class day)",_xlpm.dd))))))</f>
        <v/>
      </c>
      <c r="U125" s="17">
        <f>IF($C125="","",IF(AND($Y125="Excused",$L125="",N($K125)&lt;=1),"EXCUSED - 1st attempt pending",IF(OR($L125="",$K125&lt;&gt;1,NOT(ISNUMBER($L125)),$L125&gt;=$J125),"",IF(COUNTIFS(nrES_PID,$D125,nrES_Code,$F125,nrES_Att,2,nrES_Raw,"&gt;=0")&gt;0,IF(IFERROR(_xlfn.MINIFS(nrES_Date,nrES_PID,$D125,nrES_Code,$F125,nrES_Att,2,nrES_Raw,"&gt;=0",nrES_Date,"&gt;0"),0)=0,"RETEST UNDATED",IF(NOT(ISNUMBER($T125)),"RETEST DATE UNCHECKED",IF(_xlfn.MINIFS(nrES_Date,nrES_PID,$D125,nrES_Code,$F125,nrES_Att,2,nrES_Raw,"&gt;=0",nrES_Date,"&gt;0")&gt;$T125,"LATE RETEST "&amp;TEXT(_xlfn.MINIFS(nrES_Date,nrES_PID,$D125,nrES_Code,$F125,nrES_Att,2,nrES_Raw,"&gt;=0",nrES_Date,"&gt;0"),"mm/dd")&amp;" (due "&amp;TEXT($T125,"mm/dd")&amp;")","Retested"))),IF(NOT(ISNUMBER($T125)),"CHECK DATE",IF(TODAY()&gt;$T125,"OVERDUE","Due "&amp;TEXT($T125,"mm/dd")))))))</f>
        <v/>
      </c>
      <c r="V125" s="16" t="n"/>
      <c r="W125" s="16" t="n"/>
      <c r="X125" s="17">
        <f>IF($C125="","",IF(AND($L125&lt;&gt;"",NOT(ISNUMBER($L125))),"RAW SCORE NOT A NUMBER",IF(AND(ISNUMBER($L125),OR($L125&lt;0,$L125&gt;100)),"RAW SCORE OUT OF RANGE",IF(AND($Y125="Unexcused",OR($L125="",NOT(ISNUMBER($L125)),$L125&lt;&gt;0)),"UNEXCUSED ABSENCE MUST RECORD 0",IF(COUNTIF(nrES_RecID,$B125)&gt;1,"DUPLICATE RECORD",IF(N($K125)&gt;2,"ATTEMPT 3+ NOT ALLOWED - policy 300.5 permits one retest per exam; this row records nothing",IF(AND($K125=2,COUNTIFS(nrES_PID,$D125,nrES_Code,$F125,nrES_Att,1)=0),"ATTEMPT 2 WITHOUT ATTEMPT 1",IF(AND($K125=2,$L125=""),"RETEST ROW HAS NO SCORE",IF(AND($H125="Final",$L125&lt;&gt;"",IFERROR(INDEX(nrCKfinalExamElig,MATCH($D125,rngCadetPIDs,0)),"")="No"),"FINAL EXAM AFTER FAILED FINAL PT (500.1.H)",IF(AND($K125=2,ISNUMBER($L125),COUNTIFS(nrES_PID,$D125,nrES_Code,$F125,nrES_Att,1)&gt;0,SUMIFS(nrES_Raw,nrES_PID,$D125,nrES_Code,$F125,nrES_Att,1)&gt;=$J125),"RETEST AFTER A PASSING FIRST ATTEMPT","OK"))))))))))</f>
        <v/>
      </c>
      <c r="Y125" s="16" t="n"/>
    </row>
    <row r="126">
      <c r="B126" s="17">
        <f>IF($C126="","",$D126&amp;"-"&amp;$F126&amp;"-"&amp;$K126)</f>
        <v/>
      </c>
      <c r="C126" s="16" t="n"/>
      <c r="D126" s="17">
        <f>IF($C126="","",IFERROR(INDEX(rngCadetPIDs,MATCH($C126,rngCadetNames,0)),"?"))</f>
        <v/>
      </c>
      <c r="E126" s="17">
        <f>IF($D126="","",IFERROR(INDEX(nrCadetAgency,MATCH($D126,rngCadetPIDs,0)),""))</f>
        <v/>
      </c>
      <c r="F126" s="16" t="n"/>
      <c r="G126" s="17">
        <f>IF($F126="","",IFERROR(INDEX(rngEPname,MATCH($F126,rngEPcode,0)),"?"))</f>
        <v/>
      </c>
      <c r="H126" s="17">
        <f>IF($F126="","",IFERROR(INDEX(rngEPtype,MATCH($F126,rngEPcode,0)),"?"))</f>
        <v/>
      </c>
      <c r="I126" s="17">
        <f>IF($F126="","",IFERROR(INDEX(rngEPseq,MATCH($F126,rngEPcode,0)),""))</f>
        <v/>
      </c>
      <c r="J126" s="17">
        <f>IF($F126="","",IFERROR(INDEX(rngEPpass,MATCH($F126,rngEPcode,0)),cfgPassingScore))</f>
        <v/>
      </c>
      <c r="K126" s="16" t="n"/>
      <c r="L126" s="16" t="n"/>
      <c r="M126" s="17">
        <f>IF($C126="","",IF($L126="","",IF(NOT(ISNUMBER($L126)),$L126,IF(N($K126)&gt;2,"",IF($K126=1,IF(COUNTIFS(nrES_PID,$D126,nrES_Code,$F126,nrES_Att,2,nrES_Raw,"&gt;=0")&gt;0,"",$L126),IF($L126&gt;=$J126,MAX($J126,cfgRetakeRecordedCap),IF(COUNTIFS(nrES_PID,$D126,nrES_Code,$F126,nrES_Att,1)=0,$L126,SUMIFS(nrES_Raw,nrES_PID,$D126,nrES_Code,$F126,nrES_Att,1))))))))</f>
        <v/>
      </c>
      <c r="N126" s="17">
        <f>IF($C126="","",IF($L126="","",IF(NOT(ISNUMBER($L126)),"(not a score)",IF($L126&gt;=$J126,"Yes","No"))))</f>
        <v/>
      </c>
      <c r="O126" s="17">
        <f>IF($C126="","",IF($M126="","",IF(NOT(ISNUMBER($M126)),"(not a score)",IF($M126&gt;=$J126,"Yes","No"))))</f>
        <v/>
      </c>
      <c r="P126" s="17">
        <f>IF($C126="","",IF($K126="","",IF(N($K126)&gt;2,"No",IF(COUNTIFS(nrES_PID,$D126,nrES_Code,$F126,nrES_Att,"&gt;"&amp;$K126,nrES_Att,"&lt;=2",nrES_Raw,"&gt;=0")=0,"Yes","No"))))</f>
        <v/>
      </c>
      <c r="Q126" s="17">
        <f>IF($C126="","",IF($L126="","",IF(AND($K126=1,ISNUMBER($L126),$L126&lt;$J126,COUNTIFS(nrES_PID,$D126,nrES_Code,$F126,nrES_Att,2,nrES_Raw,"&gt;=0")=0),"Yes","No")))</f>
        <v/>
      </c>
      <c r="R126" s="17">
        <f>IF($C126="","",IF($L126="","",IF(AND(N($K126)&gt;=2,ISNUMBER($L126),$L126&lt;$J126),"Yes","No")))</f>
        <v/>
      </c>
      <c r="S126" s="18" t="n"/>
      <c r="T126" s="19">
        <f>IF(OR($C126="",$L126="",$K126&lt;&gt;1,NOT(ISNUMBER($L126)),$L126&gt;=$J126),"",IF($S126="","(enter date)",_xlfn.LET(_xlpm.dn,_xlfn.XLOOKUP($S126,nrCDdate,nrCDnum,"",1),IF(_xlpm.dn="","(after last class day)",_xlfn.LET(_xlpm.dd,_xlfn.XLOOKUP(_xlpm.dn+cfgRetestClassDays,nrCDnum,nrCDdate,""),_xlpm.ok,_xlfn.XLOOKUP(_xlpm.dn+cfgRetestClassDays,nrCDnum,nrCDinsession,"No"),IF(OR(_xlpm.dd="",_xlpm.ok&lt;&gt;"Yes"),"(after last class day)",_xlpm.dd))))))</f>
        <v/>
      </c>
      <c r="U126" s="17">
        <f>IF($C126="","",IF(AND($Y126="Excused",$L126="",N($K126)&lt;=1),"EXCUSED - 1st attempt pending",IF(OR($L126="",$K126&lt;&gt;1,NOT(ISNUMBER($L126)),$L126&gt;=$J126),"",IF(COUNTIFS(nrES_PID,$D126,nrES_Code,$F126,nrES_Att,2,nrES_Raw,"&gt;=0")&gt;0,IF(IFERROR(_xlfn.MINIFS(nrES_Date,nrES_PID,$D126,nrES_Code,$F126,nrES_Att,2,nrES_Raw,"&gt;=0",nrES_Date,"&gt;0"),0)=0,"RETEST UNDATED",IF(NOT(ISNUMBER($T126)),"RETEST DATE UNCHECKED",IF(_xlfn.MINIFS(nrES_Date,nrES_PID,$D126,nrES_Code,$F126,nrES_Att,2,nrES_Raw,"&gt;=0",nrES_Date,"&gt;0")&gt;$T126,"LATE RETEST "&amp;TEXT(_xlfn.MINIFS(nrES_Date,nrES_PID,$D126,nrES_Code,$F126,nrES_Att,2,nrES_Raw,"&gt;=0",nrES_Date,"&gt;0"),"mm/dd")&amp;" (due "&amp;TEXT($T126,"mm/dd")&amp;")","Retested"))),IF(NOT(ISNUMBER($T126)),"CHECK DATE",IF(TODAY()&gt;$T126,"OVERDUE","Due "&amp;TEXT($T126,"mm/dd")))))))</f>
        <v/>
      </c>
      <c r="V126" s="16" t="n"/>
      <c r="W126" s="16" t="n"/>
      <c r="X126" s="17">
        <f>IF($C126="","",IF(AND($L126&lt;&gt;"",NOT(ISNUMBER($L126))),"RAW SCORE NOT A NUMBER",IF(AND(ISNUMBER($L126),OR($L126&lt;0,$L126&gt;100)),"RAW SCORE OUT OF RANGE",IF(AND($Y126="Unexcused",OR($L126="",NOT(ISNUMBER($L126)),$L126&lt;&gt;0)),"UNEXCUSED ABSENCE MUST RECORD 0",IF(COUNTIF(nrES_RecID,$B126)&gt;1,"DUPLICATE RECORD",IF(N($K126)&gt;2,"ATTEMPT 3+ NOT ALLOWED - policy 300.5 permits one retest per exam; this row records nothing",IF(AND($K126=2,COUNTIFS(nrES_PID,$D126,nrES_Code,$F126,nrES_Att,1)=0),"ATTEMPT 2 WITHOUT ATTEMPT 1",IF(AND($K126=2,$L126=""),"RETEST ROW HAS NO SCORE",IF(AND($H126="Final",$L126&lt;&gt;"",IFERROR(INDEX(nrCKfinalExamElig,MATCH($D126,rngCadetPIDs,0)),"")="No"),"FINAL EXAM AFTER FAILED FINAL PT (500.1.H)",IF(AND($K126=2,ISNUMBER($L126),COUNTIFS(nrES_PID,$D126,nrES_Code,$F126,nrES_Att,1)&gt;0,SUMIFS(nrES_Raw,nrES_PID,$D126,nrES_Code,$F126,nrES_Att,1)&gt;=$J126),"RETEST AFTER A PASSING FIRST ATTEMPT","OK"))))))))))</f>
        <v/>
      </c>
      <c r="Y126" s="16" t="n"/>
    </row>
    <row r="127">
      <c r="B127" s="17">
        <f>IF($C127="","",$D127&amp;"-"&amp;$F127&amp;"-"&amp;$K127)</f>
        <v/>
      </c>
      <c r="C127" s="16" t="n"/>
      <c r="D127" s="17">
        <f>IF($C127="","",IFERROR(INDEX(rngCadetPIDs,MATCH($C127,rngCadetNames,0)),"?"))</f>
        <v/>
      </c>
      <c r="E127" s="17">
        <f>IF($D127="","",IFERROR(INDEX(nrCadetAgency,MATCH($D127,rngCadetPIDs,0)),""))</f>
        <v/>
      </c>
      <c r="F127" s="16" t="n"/>
      <c r="G127" s="17">
        <f>IF($F127="","",IFERROR(INDEX(rngEPname,MATCH($F127,rngEPcode,0)),"?"))</f>
        <v/>
      </c>
      <c r="H127" s="17">
        <f>IF($F127="","",IFERROR(INDEX(rngEPtype,MATCH($F127,rngEPcode,0)),"?"))</f>
        <v/>
      </c>
      <c r="I127" s="17">
        <f>IF($F127="","",IFERROR(INDEX(rngEPseq,MATCH($F127,rngEPcode,0)),""))</f>
        <v/>
      </c>
      <c r="J127" s="17">
        <f>IF($F127="","",IFERROR(INDEX(rngEPpass,MATCH($F127,rngEPcode,0)),cfgPassingScore))</f>
        <v/>
      </c>
      <c r="K127" s="16" t="n"/>
      <c r="L127" s="16" t="n"/>
      <c r="M127" s="17">
        <f>IF($C127="","",IF($L127="","",IF(NOT(ISNUMBER($L127)),$L127,IF(N($K127)&gt;2,"",IF($K127=1,IF(COUNTIFS(nrES_PID,$D127,nrES_Code,$F127,nrES_Att,2,nrES_Raw,"&gt;=0")&gt;0,"",$L127),IF($L127&gt;=$J127,MAX($J127,cfgRetakeRecordedCap),IF(COUNTIFS(nrES_PID,$D127,nrES_Code,$F127,nrES_Att,1)=0,$L127,SUMIFS(nrES_Raw,nrES_PID,$D127,nrES_Code,$F127,nrES_Att,1))))))))</f>
        <v/>
      </c>
      <c r="N127" s="17">
        <f>IF($C127="","",IF($L127="","",IF(NOT(ISNUMBER($L127)),"(not a score)",IF($L127&gt;=$J127,"Yes","No"))))</f>
        <v/>
      </c>
      <c r="O127" s="17">
        <f>IF($C127="","",IF($M127="","",IF(NOT(ISNUMBER($M127)),"(not a score)",IF($M127&gt;=$J127,"Yes","No"))))</f>
        <v/>
      </c>
      <c r="P127" s="17">
        <f>IF($C127="","",IF($K127="","",IF(N($K127)&gt;2,"No",IF(COUNTIFS(nrES_PID,$D127,nrES_Code,$F127,nrES_Att,"&gt;"&amp;$K127,nrES_Att,"&lt;=2",nrES_Raw,"&gt;=0")=0,"Yes","No"))))</f>
        <v/>
      </c>
      <c r="Q127" s="17">
        <f>IF($C127="","",IF($L127="","",IF(AND($K127=1,ISNUMBER($L127),$L127&lt;$J127,COUNTIFS(nrES_PID,$D127,nrES_Code,$F127,nrES_Att,2,nrES_Raw,"&gt;=0")=0),"Yes","No")))</f>
        <v/>
      </c>
      <c r="R127" s="17">
        <f>IF($C127="","",IF($L127="","",IF(AND(N($K127)&gt;=2,ISNUMBER($L127),$L127&lt;$J127),"Yes","No")))</f>
        <v/>
      </c>
      <c r="S127" s="18" t="n"/>
      <c r="T127" s="19">
        <f>IF(OR($C127="",$L127="",$K127&lt;&gt;1,NOT(ISNUMBER($L127)),$L127&gt;=$J127),"",IF($S127="","(enter date)",_xlfn.LET(_xlpm.dn,_xlfn.XLOOKUP($S127,nrCDdate,nrCDnum,"",1),IF(_xlpm.dn="","(after last class day)",_xlfn.LET(_xlpm.dd,_xlfn.XLOOKUP(_xlpm.dn+cfgRetestClassDays,nrCDnum,nrCDdate,""),_xlpm.ok,_xlfn.XLOOKUP(_xlpm.dn+cfgRetestClassDays,nrCDnum,nrCDinsession,"No"),IF(OR(_xlpm.dd="",_xlpm.ok&lt;&gt;"Yes"),"(after last class day)",_xlpm.dd))))))</f>
        <v/>
      </c>
      <c r="U127" s="17">
        <f>IF($C127="","",IF(AND($Y127="Excused",$L127="",N($K127)&lt;=1),"EXCUSED - 1st attempt pending",IF(OR($L127="",$K127&lt;&gt;1,NOT(ISNUMBER($L127)),$L127&gt;=$J127),"",IF(COUNTIFS(nrES_PID,$D127,nrES_Code,$F127,nrES_Att,2,nrES_Raw,"&gt;=0")&gt;0,IF(IFERROR(_xlfn.MINIFS(nrES_Date,nrES_PID,$D127,nrES_Code,$F127,nrES_Att,2,nrES_Raw,"&gt;=0",nrES_Date,"&gt;0"),0)=0,"RETEST UNDATED",IF(NOT(ISNUMBER($T127)),"RETEST DATE UNCHECKED",IF(_xlfn.MINIFS(nrES_Date,nrES_PID,$D127,nrES_Code,$F127,nrES_Att,2,nrES_Raw,"&gt;=0",nrES_Date,"&gt;0")&gt;$T127,"LATE RETEST "&amp;TEXT(_xlfn.MINIFS(nrES_Date,nrES_PID,$D127,nrES_Code,$F127,nrES_Att,2,nrES_Raw,"&gt;=0",nrES_Date,"&gt;0"),"mm/dd")&amp;" (due "&amp;TEXT($T127,"mm/dd")&amp;")","Retested"))),IF(NOT(ISNUMBER($T127)),"CHECK DATE",IF(TODAY()&gt;$T127,"OVERDUE","Due "&amp;TEXT($T127,"mm/dd")))))))</f>
        <v/>
      </c>
      <c r="V127" s="16" t="n"/>
      <c r="W127" s="16" t="n"/>
      <c r="X127" s="17">
        <f>IF($C127="","",IF(AND($L127&lt;&gt;"",NOT(ISNUMBER($L127))),"RAW SCORE NOT A NUMBER",IF(AND(ISNUMBER($L127),OR($L127&lt;0,$L127&gt;100)),"RAW SCORE OUT OF RANGE",IF(AND($Y127="Unexcused",OR($L127="",NOT(ISNUMBER($L127)),$L127&lt;&gt;0)),"UNEXCUSED ABSENCE MUST RECORD 0",IF(COUNTIF(nrES_RecID,$B127)&gt;1,"DUPLICATE RECORD",IF(N($K127)&gt;2,"ATTEMPT 3+ NOT ALLOWED - policy 300.5 permits one retest per exam; this row records nothing",IF(AND($K127=2,COUNTIFS(nrES_PID,$D127,nrES_Code,$F127,nrES_Att,1)=0),"ATTEMPT 2 WITHOUT ATTEMPT 1",IF(AND($K127=2,$L127=""),"RETEST ROW HAS NO SCORE",IF(AND($H127="Final",$L127&lt;&gt;"",IFERROR(INDEX(nrCKfinalExamElig,MATCH($D127,rngCadetPIDs,0)),"")="No"),"FINAL EXAM AFTER FAILED FINAL PT (500.1.H)",IF(AND($K127=2,ISNUMBER($L127),COUNTIFS(nrES_PID,$D127,nrES_Code,$F127,nrES_Att,1)&gt;0,SUMIFS(nrES_Raw,nrES_PID,$D127,nrES_Code,$F127,nrES_Att,1)&gt;=$J127),"RETEST AFTER A PASSING FIRST ATTEMPT","OK"))))))))))</f>
        <v/>
      </c>
      <c r="Y127" s="16" t="n"/>
    </row>
    <row r="128">
      <c r="B128" s="17">
        <f>IF($C128="","",$D128&amp;"-"&amp;$F128&amp;"-"&amp;$K128)</f>
        <v/>
      </c>
      <c r="C128" s="16" t="n"/>
      <c r="D128" s="17">
        <f>IF($C128="","",IFERROR(INDEX(rngCadetPIDs,MATCH($C128,rngCadetNames,0)),"?"))</f>
        <v/>
      </c>
      <c r="E128" s="17">
        <f>IF($D128="","",IFERROR(INDEX(nrCadetAgency,MATCH($D128,rngCadetPIDs,0)),""))</f>
        <v/>
      </c>
      <c r="F128" s="16" t="n"/>
      <c r="G128" s="17">
        <f>IF($F128="","",IFERROR(INDEX(rngEPname,MATCH($F128,rngEPcode,0)),"?"))</f>
        <v/>
      </c>
      <c r="H128" s="17">
        <f>IF($F128="","",IFERROR(INDEX(rngEPtype,MATCH($F128,rngEPcode,0)),"?"))</f>
        <v/>
      </c>
      <c r="I128" s="17">
        <f>IF($F128="","",IFERROR(INDEX(rngEPseq,MATCH($F128,rngEPcode,0)),""))</f>
        <v/>
      </c>
      <c r="J128" s="17">
        <f>IF($F128="","",IFERROR(INDEX(rngEPpass,MATCH($F128,rngEPcode,0)),cfgPassingScore))</f>
        <v/>
      </c>
      <c r="K128" s="16" t="n"/>
      <c r="L128" s="16" t="n"/>
      <c r="M128" s="17">
        <f>IF($C128="","",IF($L128="","",IF(NOT(ISNUMBER($L128)),$L128,IF(N($K128)&gt;2,"",IF($K128=1,IF(COUNTIFS(nrES_PID,$D128,nrES_Code,$F128,nrES_Att,2,nrES_Raw,"&gt;=0")&gt;0,"",$L128),IF($L128&gt;=$J128,MAX($J128,cfgRetakeRecordedCap),IF(COUNTIFS(nrES_PID,$D128,nrES_Code,$F128,nrES_Att,1)=0,$L128,SUMIFS(nrES_Raw,nrES_PID,$D128,nrES_Code,$F128,nrES_Att,1))))))))</f>
        <v/>
      </c>
      <c r="N128" s="17">
        <f>IF($C128="","",IF($L128="","",IF(NOT(ISNUMBER($L128)),"(not a score)",IF($L128&gt;=$J128,"Yes","No"))))</f>
        <v/>
      </c>
      <c r="O128" s="17">
        <f>IF($C128="","",IF($M128="","",IF(NOT(ISNUMBER($M128)),"(not a score)",IF($M128&gt;=$J128,"Yes","No"))))</f>
        <v/>
      </c>
      <c r="P128" s="17">
        <f>IF($C128="","",IF($K128="","",IF(N($K128)&gt;2,"No",IF(COUNTIFS(nrES_PID,$D128,nrES_Code,$F128,nrES_Att,"&gt;"&amp;$K128,nrES_Att,"&lt;=2",nrES_Raw,"&gt;=0")=0,"Yes","No"))))</f>
        <v/>
      </c>
      <c r="Q128" s="17">
        <f>IF($C128="","",IF($L128="","",IF(AND($K128=1,ISNUMBER($L128),$L128&lt;$J128,COUNTIFS(nrES_PID,$D128,nrES_Code,$F128,nrES_Att,2,nrES_Raw,"&gt;=0")=0),"Yes","No")))</f>
        <v/>
      </c>
      <c r="R128" s="17">
        <f>IF($C128="","",IF($L128="","",IF(AND(N($K128)&gt;=2,ISNUMBER($L128),$L128&lt;$J128),"Yes","No")))</f>
        <v/>
      </c>
      <c r="S128" s="18" t="n"/>
      <c r="T128" s="19">
        <f>IF(OR($C128="",$L128="",$K128&lt;&gt;1,NOT(ISNUMBER($L128)),$L128&gt;=$J128),"",IF($S128="","(enter date)",_xlfn.LET(_xlpm.dn,_xlfn.XLOOKUP($S128,nrCDdate,nrCDnum,"",1),IF(_xlpm.dn="","(after last class day)",_xlfn.LET(_xlpm.dd,_xlfn.XLOOKUP(_xlpm.dn+cfgRetestClassDays,nrCDnum,nrCDdate,""),_xlpm.ok,_xlfn.XLOOKUP(_xlpm.dn+cfgRetestClassDays,nrCDnum,nrCDinsession,"No"),IF(OR(_xlpm.dd="",_xlpm.ok&lt;&gt;"Yes"),"(after last class day)",_xlpm.dd))))))</f>
        <v/>
      </c>
      <c r="U128" s="17">
        <f>IF($C128="","",IF(AND($Y128="Excused",$L128="",N($K128)&lt;=1),"EXCUSED - 1st attempt pending",IF(OR($L128="",$K128&lt;&gt;1,NOT(ISNUMBER($L128)),$L128&gt;=$J128),"",IF(COUNTIFS(nrES_PID,$D128,nrES_Code,$F128,nrES_Att,2,nrES_Raw,"&gt;=0")&gt;0,IF(IFERROR(_xlfn.MINIFS(nrES_Date,nrES_PID,$D128,nrES_Code,$F128,nrES_Att,2,nrES_Raw,"&gt;=0",nrES_Date,"&gt;0"),0)=0,"RETEST UNDATED",IF(NOT(ISNUMBER($T128)),"RETEST DATE UNCHECKED",IF(_xlfn.MINIFS(nrES_Date,nrES_PID,$D128,nrES_Code,$F128,nrES_Att,2,nrES_Raw,"&gt;=0",nrES_Date,"&gt;0")&gt;$T128,"LATE RETEST "&amp;TEXT(_xlfn.MINIFS(nrES_Date,nrES_PID,$D128,nrES_Code,$F128,nrES_Att,2,nrES_Raw,"&gt;=0",nrES_Date,"&gt;0"),"mm/dd")&amp;" (due "&amp;TEXT($T128,"mm/dd")&amp;")","Retested"))),IF(NOT(ISNUMBER($T128)),"CHECK DATE",IF(TODAY()&gt;$T128,"OVERDUE","Due "&amp;TEXT($T128,"mm/dd")))))))</f>
        <v/>
      </c>
      <c r="V128" s="16" t="n"/>
      <c r="W128" s="16" t="n"/>
      <c r="X128" s="17">
        <f>IF($C128="","",IF(AND($L128&lt;&gt;"",NOT(ISNUMBER($L128))),"RAW SCORE NOT A NUMBER",IF(AND(ISNUMBER($L128),OR($L128&lt;0,$L128&gt;100)),"RAW SCORE OUT OF RANGE",IF(AND($Y128="Unexcused",OR($L128="",NOT(ISNUMBER($L128)),$L128&lt;&gt;0)),"UNEXCUSED ABSENCE MUST RECORD 0",IF(COUNTIF(nrES_RecID,$B128)&gt;1,"DUPLICATE RECORD",IF(N($K128)&gt;2,"ATTEMPT 3+ NOT ALLOWED - policy 300.5 permits one retest per exam; this row records nothing",IF(AND($K128=2,COUNTIFS(nrES_PID,$D128,nrES_Code,$F128,nrES_Att,1)=0),"ATTEMPT 2 WITHOUT ATTEMPT 1",IF(AND($K128=2,$L128=""),"RETEST ROW HAS NO SCORE",IF(AND($H128="Final",$L128&lt;&gt;"",IFERROR(INDEX(nrCKfinalExamElig,MATCH($D128,rngCadetPIDs,0)),"")="No"),"FINAL EXAM AFTER FAILED FINAL PT (500.1.H)",IF(AND($K128=2,ISNUMBER($L128),COUNTIFS(nrES_PID,$D128,nrES_Code,$F128,nrES_Att,1)&gt;0,SUMIFS(nrES_Raw,nrES_PID,$D128,nrES_Code,$F128,nrES_Att,1)&gt;=$J128),"RETEST AFTER A PASSING FIRST ATTEMPT","OK"))))))))))</f>
        <v/>
      </c>
      <c r="Y128" s="16" t="n"/>
    </row>
    <row r="129">
      <c r="B129" s="17">
        <f>IF($C129="","",$D129&amp;"-"&amp;$F129&amp;"-"&amp;$K129)</f>
        <v/>
      </c>
      <c r="C129" s="16" t="n"/>
      <c r="D129" s="17">
        <f>IF($C129="","",IFERROR(INDEX(rngCadetPIDs,MATCH($C129,rngCadetNames,0)),"?"))</f>
        <v/>
      </c>
      <c r="E129" s="17">
        <f>IF($D129="","",IFERROR(INDEX(nrCadetAgency,MATCH($D129,rngCadetPIDs,0)),""))</f>
        <v/>
      </c>
      <c r="F129" s="16" t="n"/>
      <c r="G129" s="17">
        <f>IF($F129="","",IFERROR(INDEX(rngEPname,MATCH($F129,rngEPcode,0)),"?"))</f>
        <v/>
      </c>
      <c r="H129" s="17">
        <f>IF($F129="","",IFERROR(INDEX(rngEPtype,MATCH($F129,rngEPcode,0)),"?"))</f>
        <v/>
      </c>
      <c r="I129" s="17">
        <f>IF($F129="","",IFERROR(INDEX(rngEPseq,MATCH($F129,rngEPcode,0)),""))</f>
        <v/>
      </c>
      <c r="J129" s="17">
        <f>IF($F129="","",IFERROR(INDEX(rngEPpass,MATCH($F129,rngEPcode,0)),cfgPassingScore))</f>
        <v/>
      </c>
      <c r="K129" s="16" t="n"/>
      <c r="L129" s="16" t="n"/>
      <c r="M129" s="17">
        <f>IF($C129="","",IF($L129="","",IF(NOT(ISNUMBER($L129)),$L129,IF(N($K129)&gt;2,"",IF($K129=1,IF(COUNTIFS(nrES_PID,$D129,nrES_Code,$F129,nrES_Att,2,nrES_Raw,"&gt;=0")&gt;0,"",$L129),IF($L129&gt;=$J129,MAX($J129,cfgRetakeRecordedCap),IF(COUNTIFS(nrES_PID,$D129,nrES_Code,$F129,nrES_Att,1)=0,$L129,SUMIFS(nrES_Raw,nrES_PID,$D129,nrES_Code,$F129,nrES_Att,1))))))))</f>
        <v/>
      </c>
      <c r="N129" s="17">
        <f>IF($C129="","",IF($L129="","",IF(NOT(ISNUMBER($L129)),"(not a score)",IF($L129&gt;=$J129,"Yes","No"))))</f>
        <v/>
      </c>
      <c r="O129" s="17">
        <f>IF($C129="","",IF($M129="","",IF(NOT(ISNUMBER($M129)),"(not a score)",IF($M129&gt;=$J129,"Yes","No"))))</f>
        <v/>
      </c>
      <c r="P129" s="17">
        <f>IF($C129="","",IF($K129="","",IF(N($K129)&gt;2,"No",IF(COUNTIFS(nrES_PID,$D129,nrES_Code,$F129,nrES_Att,"&gt;"&amp;$K129,nrES_Att,"&lt;=2",nrES_Raw,"&gt;=0")=0,"Yes","No"))))</f>
        <v/>
      </c>
      <c r="Q129" s="17">
        <f>IF($C129="","",IF($L129="","",IF(AND($K129=1,ISNUMBER($L129),$L129&lt;$J129,COUNTIFS(nrES_PID,$D129,nrES_Code,$F129,nrES_Att,2,nrES_Raw,"&gt;=0")=0),"Yes","No")))</f>
        <v/>
      </c>
      <c r="R129" s="17">
        <f>IF($C129="","",IF($L129="","",IF(AND(N($K129)&gt;=2,ISNUMBER($L129),$L129&lt;$J129),"Yes","No")))</f>
        <v/>
      </c>
      <c r="S129" s="18" t="n"/>
      <c r="T129" s="19">
        <f>IF(OR($C129="",$L129="",$K129&lt;&gt;1,NOT(ISNUMBER($L129)),$L129&gt;=$J129),"",IF($S129="","(enter date)",_xlfn.LET(_xlpm.dn,_xlfn.XLOOKUP($S129,nrCDdate,nrCDnum,"",1),IF(_xlpm.dn="","(after last class day)",_xlfn.LET(_xlpm.dd,_xlfn.XLOOKUP(_xlpm.dn+cfgRetestClassDays,nrCDnum,nrCDdate,""),_xlpm.ok,_xlfn.XLOOKUP(_xlpm.dn+cfgRetestClassDays,nrCDnum,nrCDinsession,"No"),IF(OR(_xlpm.dd="",_xlpm.ok&lt;&gt;"Yes"),"(after last class day)",_xlpm.dd))))))</f>
        <v/>
      </c>
      <c r="U129" s="17">
        <f>IF($C129="","",IF(AND($Y129="Excused",$L129="",N($K129)&lt;=1),"EXCUSED - 1st attempt pending",IF(OR($L129="",$K129&lt;&gt;1,NOT(ISNUMBER($L129)),$L129&gt;=$J129),"",IF(COUNTIFS(nrES_PID,$D129,nrES_Code,$F129,nrES_Att,2,nrES_Raw,"&gt;=0")&gt;0,IF(IFERROR(_xlfn.MINIFS(nrES_Date,nrES_PID,$D129,nrES_Code,$F129,nrES_Att,2,nrES_Raw,"&gt;=0",nrES_Date,"&gt;0"),0)=0,"RETEST UNDATED",IF(NOT(ISNUMBER($T129)),"RETEST DATE UNCHECKED",IF(_xlfn.MINIFS(nrES_Date,nrES_PID,$D129,nrES_Code,$F129,nrES_Att,2,nrES_Raw,"&gt;=0",nrES_Date,"&gt;0")&gt;$T129,"LATE RETEST "&amp;TEXT(_xlfn.MINIFS(nrES_Date,nrES_PID,$D129,nrES_Code,$F129,nrES_Att,2,nrES_Raw,"&gt;=0",nrES_Date,"&gt;0"),"mm/dd")&amp;" (due "&amp;TEXT($T129,"mm/dd")&amp;")","Retested"))),IF(NOT(ISNUMBER($T129)),"CHECK DATE",IF(TODAY()&gt;$T129,"OVERDUE","Due "&amp;TEXT($T129,"mm/dd")))))))</f>
        <v/>
      </c>
      <c r="V129" s="16" t="n"/>
      <c r="W129" s="16" t="n"/>
      <c r="X129" s="17">
        <f>IF($C129="","",IF(AND($L129&lt;&gt;"",NOT(ISNUMBER($L129))),"RAW SCORE NOT A NUMBER",IF(AND(ISNUMBER($L129),OR($L129&lt;0,$L129&gt;100)),"RAW SCORE OUT OF RANGE",IF(AND($Y129="Unexcused",OR($L129="",NOT(ISNUMBER($L129)),$L129&lt;&gt;0)),"UNEXCUSED ABSENCE MUST RECORD 0",IF(COUNTIF(nrES_RecID,$B129)&gt;1,"DUPLICATE RECORD",IF(N($K129)&gt;2,"ATTEMPT 3+ NOT ALLOWED - policy 300.5 permits one retest per exam; this row records nothing",IF(AND($K129=2,COUNTIFS(nrES_PID,$D129,nrES_Code,$F129,nrES_Att,1)=0),"ATTEMPT 2 WITHOUT ATTEMPT 1",IF(AND($K129=2,$L129=""),"RETEST ROW HAS NO SCORE",IF(AND($H129="Final",$L129&lt;&gt;"",IFERROR(INDEX(nrCKfinalExamElig,MATCH($D129,rngCadetPIDs,0)),"")="No"),"FINAL EXAM AFTER FAILED FINAL PT (500.1.H)",IF(AND($K129=2,ISNUMBER($L129),COUNTIFS(nrES_PID,$D129,nrES_Code,$F129,nrES_Att,1)&gt;0,SUMIFS(nrES_Raw,nrES_PID,$D129,nrES_Code,$F129,nrES_Att,1)&gt;=$J129),"RETEST AFTER A PASSING FIRST ATTEMPT","OK"))))))))))</f>
        <v/>
      </c>
      <c r="Y129" s="16" t="n"/>
    </row>
    <row r="130">
      <c r="B130" s="17">
        <f>IF($C130="","",$D130&amp;"-"&amp;$F130&amp;"-"&amp;$K130)</f>
        <v/>
      </c>
      <c r="C130" s="16" t="n"/>
      <c r="D130" s="17">
        <f>IF($C130="","",IFERROR(INDEX(rngCadetPIDs,MATCH($C130,rngCadetNames,0)),"?"))</f>
        <v/>
      </c>
      <c r="E130" s="17">
        <f>IF($D130="","",IFERROR(INDEX(nrCadetAgency,MATCH($D130,rngCadetPIDs,0)),""))</f>
        <v/>
      </c>
      <c r="F130" s="16" t="n"/>
      <c r="G130" s="17">
        <f>IF($F130="","",IFERROR(INDEX(rngEPname,MATCH($F130,rngEPcode,0)),"?"))</f>
        <v/>
      </c>
      <c r="H130" s="17">
        <f>IF($F130="","",IFERROR(INDEX(rngEPtype,MATCH($F130,rngEPcode,0)),"?"))</f>
        <v/>
      </c>
      <c r="I130" s="17">
        <f>IF($F130="","",IFERROR(INDEX(rngEPseq,MATCH($F130,rngEPcode,0)),""))</f>
        <v/>
      </c>
      <c r="J130" s="17">
        <f>IF($F130="","",IFERROR(INDEX(rngEPpass,MATCH($F130,rngEPcode,0)),cfgPassingScore))</f>
        <v/>
      </c>
      <c r="K130" s="16" t="n"/>
      <c r="L130" s="16" t="n"/>
      <c r="M130" s="17">
        <f>IF($C130="","",IF($L130="","",IF(NOT(ISNUMBER($L130)),$L130,IF(N($K130)&gt;2,"",IF($K130=1,IF(COUNTIFS(nrES_PID,$D130,nrES_Code,$F130,nrES_Att,2,nrES_Raw,"&gt;=0")&gt;0,"",$L130),IF($L130&gt;=$J130,MAX($J130,cfgRetakeRecordedCap),IF(COUNTIFS(nrES_PID,$D130,nrES_Code,$F130,nrES_Att,1)=0,$L130,SUMIFS(nrES_Raw,nrES_PID,$D130,nrES_Code,$F130,nrES_Att,1))))))))</f>
        <v/>
      </c>
      <c r="N130" s="17">
        <f>IF($C130="","",IF($L130="","",IF(NOT(ISNUMBER($L130)),"(not a score)",IF($L130&gt;=$J130,"Yes","No"))))</f>
        <v/>
      </c>
      <c r="O130" s="17">
        <f>IF($C130="","",IF($M130="","",IF(NOT(ISNUMBER($M130)),"(not a score)",IF($M130&gt;=$J130,"Yes","No"))))</f>
        <v/>
      </c>
      <c r="P130" s="17">
        <f>IF($C130="","",IF($K130="","",IF(N($K130)&gt;2,"No",IF(COUNTIFS(nrES_PID,$D130,nrES_Code,$F130,nrES_Att,"&gt;"&amp;$K130,nrES_Att,"&lt;=2",nrES_Raw,"&gt;=0")=0,"Yes","No"))))</f>
        <v/>
      </c>
      <c r="Q130" s="17">
        <f>IF($C130="","",IF($L130="","",IF(AND($K130=1,ISNUMBER($L130),$L130&lt;$J130,COUNTIFS(nrES_PID,$D130,nrES_Code,$F130,nrES_Att,2,nrES_Raw,"&gt;=0")=0),"Yes","No")))</f>
        <v/>
      </c>
      <c r="R130" s="17">
        <f>IF($C130="","",IF($L130="","",IF(AND(N($K130)&gt;=2,ISNUMBER($L130),$L130&lt;$J130),"Yes","No")))</f>
        <v/>
      </c>
      <c r="S130" s="18" t="n"/>
      <c r="T130" s="19">
        <f>IF(OR($C130="",$L130="",$K130&lt;&gt;1,NOT(ISNUMBER($L130)),$L130&gt;=$J130),"",IF($S130="","(enter date)",_xlfn.LET(_xlpm.dn,_xlfn.XLOOKUP($S130,nrCDdate,nrCDnum,"",1),IF(_xlpm.dn="","(after last class day)",_xlfn.LET(_xlpm.dd,_xlfn.XLOOKUP(_xlpm.dn+cfgRetestClassDays,nrCDnum,nrCDdate,""),_xlpm.ok,_xlfn.XLOOKUP(_xlpm.dn+cfgRetestClassDays,nrCDnum,nrCDinsession,"No"),IF(OR(_xlpm.dd="",_xlpm.ok&lt;&gt;"Yes"),"(after last class day)",_xlpm.dd))))))</f>
        <v/>
      </c>
      <c r="U130" s="17">
        <f>IF($C130="","",IF(AND($Y130="Excused",$L130="",N($K130)&lt;=1),"EXCUSED - 1st attempt pending",IF(OR($L130="",$K130&lt;&gt;1,NOT(ISNUMBER($L130)),$L130&gt;=$J130),"",IF(COUNTIFS(nrES_PID,$D130,nrES_Code,$F130,nrES_Att,2,nrES_Raw,"&gt;=0")&gt;0,IF(IFERROR(_xlfn.MINIFS(nrES_Date,nrES_PID,$D130,nrES_Code,$F130,nrES_Att,2,nrES_Raw,"&gt;=0",nrES_Date,"&gt;0"),0)=0,"RETEST UNDATED",IF(NOT(ISNUMBER($T130)),"RETEST DATE UNCHECKED",IF(_xlfn.MINIFS(nrES_Date,nrES_PID,$D130,nrES_Code,$F130,nrES_Att,2,nrES_Raw,"&gt;=0",nrES_Date,"&gt;0")&gt;$T130,"LATE RETEST "&amp;TEXT(_xlfn.MINIFS(nrES_Date,nrES_PID,$D130,nrES_Code,$F130,nrES_Att,2,nrES_Raw,"&gt;=0",nrES_Date,"&gt;0"),"mm/dd")&amp;" (due "&amp;TEXT($T130,"mm/dd")&amp;")","Retested"))),IF(NOT(ISNUMBER($T130)),"CHECK DATE",IF(TODAY()&gt;$T130,"OVERDUE","Due "&amp;TEXT($T130,"mm/dd")))))))</f>
        <v/>
      </c>
      <c r="V130" s="16" t="n"/>
      <c r="W130" s="16" t="n"/>
      <c r="X130" s="17">
        <f>IF($C130="","",IF(AND($L130&lt;&gt;"",NOT(ISNUMBER($L130))),"RAW SCORE NOT A NUMBER",IF(AND(ISNUMBER($L130),OR($L130&lt;0,$L130&gt;100)),"RAW SCORE OUT OF RANGE",IF(AND($Y130="Unexcused",OR($L130="",NOT(ISNUMBER($L130)),$L130&lt;&gt;0)),"UNEXCUSED ABSENCE MUST RECORD 0",IF(COUNTIF(nrES_RecID,$B130)&gt;1,"DUPLICATE RECORD",IF(N($K130)&gt;2,"ATTEMPT 3+ NOT ALLOWED - policy 300.5 permits one retest per exam; this row records nothing",IF(AND($K130=2,COUNTIFS(nrES_PID,$D130,nrES_Code,$F130,nrES_Att,1)=0),"ATTEMPT 2 WITHOUT ATTEMPT 1",IF(AND($K130=2,$L130=""),"RETEST ROW HAS NO SCORE",IF(AND($H130="Final",$L130&lt;&gt;"",IFERROR(INDEX(nrCKfinalExamElig,MATCH($D130,rngCadetPIDs,0)),"")="No"),"FINAL EXAM AFTER FAILED FINAL PT (500.1.H)",IF(AND($K130=2,ISNUMBER($L130),COUNTIFS(nrES_PID,$D130,nrES_Code,$F130,nrES_Att,1)&gt;0,SUMIFS(nrES_Raw,nrES_PID,$D130,nrES_Code,$F130,nrES_Att,1)&gt;=$J130),"RETEST AFTER A PASSING FIRST ATTEMPT","OK"))))))))))</f>
        <v/>
      </c>
      <c r="Y130" s="16" t="n"/>
    </row>
    <row r="131">
      <c r="B131" s="17">
        <f>IF($C131="","",$D131&amp;"-"&amp;$F131&amp;"-"&amp;$K131)</f>
        <v/>
      </c>
      <c r="C131" s="16" t="n"/>
      <c r="D131" s="17">
        <f>IF($C131="","",IFERROR(INDEX(rngCadetPIDs,MATCH($C131,rngCadetNames,0)),"?"))</f>
        <v/>
      </c>
      <c r="E131" s="17">
        <f>IF($D131="","",IFERROR(INDEX(nrCadetAgency,MATCH($D131,rngCadetPIDs,0)),""))</f>
        <v/>
      </c>
      <c r="F131" s="16" t="n"/>
      <c r="G131" s="17">
        <f>IF($F131="","",IFERROR(INDEX(rngEPname,MATCH($F131,rngEPcode,0)),"?"))</f>
        <v/>
      </c>
      <c r="H131" s="17">
        <f>IF($F131="","",IFERROR(INDEX(rngEPtype,MATCH($F131,rngEPcode,0)),"?"))</f>
        <v/>
      </c>
      <c r="I131" s="17">
        <f>IF($F131="","",IFERROR(INDEX(rngEPseq,MATCH($F131,rngEPcode,0)),""))</f>
        <v/>
      </c>
      <c r="J131" s="17">
        <f>IF($F131="","",IFERROR(INDEX(rngEPpass,MATCH($F131,rngEPcode,0)),cfgPassingScore))</f>
        <v/>
      </c>
      <c r="K131" s="16" t="n"/>
      <c r="L131" s="16" t="n"/>
      <c r="M131" s="17">
        <f>IF($C131="","",IF($L131="","",IF(NOT(ISNUMBER($L131)),$L131,IF(N($K131)&gt;2,"",IF($K131=1,IF(COUNTIFS(nrES_PID,$D131,nrES_Code,$F131,nrES_Att,2,nrES_Raw,"&gt;=0")&gt;0,"",$L131),IF($L131&gt;=$J131,MAX($J131,cfgRetakeRecordedCap),IF(COUNTIFS(nrES_PID,$D131,nrES_Code,$F131,nrES_Att,1)=0,$L131,SUMIFS(nrES_Raw,nrES_PID,$D131,nrES_Code,$F131,nrES_Att,1))))))))</f>
        <v/>
      </c>
      <c r="N131" s="17">
        <f>IF($C131="","",IF($L131="","",IF(NOT(ISNUMBER($L131)),"(not a score)",IF($L131&gt;=$J131,"Yes","No"))))</f>
        <v/>
      </c>
      <c r="O131" s="17">
        <f>IF($C131="","",IF($M131="","",IF(NOT(ISNUMBER($M131)),"(not a score)",IF($M131&gt;=$J131,"Yes","No"))))</f>
        <v/>
      </c>
      <c r="P131" s="17">
        <f>IF($C131="","",IF($K131="","",IF(N($K131)&gt;2,"No",IF(COUNTIFS(nrES_PID,$D131,nrES_Code,$F131,nrES_Att,"&gt;"&amp;$K131,nrES_Att,"&lt;=2",nrES_Raw,"&gt;=0")=0,"Yes","No"))))</f>
        <v/>
      </c>
      <c r="Q131" s="17">
        <f>IF($C131="","",IF($L131="","",IF(AND($K131=1,ISNUMBER($L131),$L131&lt;$J131,COUNTIFS(nrES_PID,$D131,nrES_Code,$F131,nrES_Att,2,nrES_Raw,"&gt;=0")=0),"Yes","No")))</f>
        <v/>
      </c>
      <c r="R131" s="17">
        <f>IF($C131="","",IF($L131="","",IF(AND(N($K131)&gt;=2,ISNUMBER($L131),$L131&lt;$J131),"Yes","No")))</f>
        <v/>
      </c>
      <c r="S131" s="18" t="n"/>
      <c r="T131" s="19">
        <f>IF(OR($C131="",$L131="",$K131&lt;&gt;1,NOT(ISNUMBER($L131)),$L131&gt;=$J131),"",IF($S131="","(enter date)",_xlfn.LET(_xlpm.dn,_xlfn.XLOOKUP($S131,nrCDdate,nrCDnum,"",1),IF(_xlpm.dn="","(after last class day)",_xlfn.LET(_xlpm.dd,_xlfn.XLOOKUP(_xlpm.dn+cfgRetestClassDays,nrCDnum,nrCDdate,""),_xlpm.ok,_xlfn.XLOOKUP(_xlpm.dn+cfgRetestClassDays,nrCDnum,nrCDinsession,"No"),IF(OR(_xlpm.dd="",_xlpm.ok&lt;&gt;"Yes"),"(after last class day)",_xlpm.dd))))))</f>
        <v/>
      </c>
      <c r="U131" s="17">
        <f>IF($C131="","",IF(AND($Y131="Excused",$L131="",N($K131)&lt;=1),"EXCUSED - 1st attempt pending",IF(OR($L131="",$K131&lt;&gt;1,NOT(ISNUMBER($L131)),$L131&gt;=$J131),"",IF(COUNTIFS(nrES_PID,$D131,nrES_Code,$F131,nrES_Att,2,nrES_Raw,"&gt;=0")&gt;0,IF(IFERROR(_xlfn.MINIFS(nrES_Date,nrES_PID,$D131,nrES_Code,$F131,nrES_Att,2,nrES_Raw,"&gt;=0",nrES_Date,"&gt;0"),0)=0,"RETEST UNDATED",IF(NOT(ISNUMBER($T131)),"RETEST DATE UNCHECKED",IF(_xlfn.MINIFS(nrES_Date,nrES_PID,$D131,nrES_Code,$F131,nrES_Att,2,nrES_Raw,"&gt;=0",nrES_Date,"&gt;0")&gt;$T131,"LATE RETEST "&amp;TEXT(_xlfn.MINIFS(nrES_Date,nrES_PID,$D131,nrES_Code,$F131,nrES_Att,2,nrES_Raw,"&gt;=0",nrES_Date,"&gt;0"),"mm/dd")&amp;" (due "&amp;TEXT($T131,"mm/dd")&amp;")","Retested"))),IF(NOT(ISNUMBER($T131)),"CHECK DATE",IF(TODAY()&gt;$T131,"OVERDUE","Due "&amp;TEXT($T131,"mm/dd")))))))</f>
        <v/>
      </c>
      <c r="V131" s="16" t="n"/>
      <c r="W131" s="16" t="n"/>
      <c r="X131" s="17">
        <f>IF($C131="","",IF(AND($L131&lt;&gt;"",NOT(ISNUMBER($L131))),"RAW SCORE NOT A NUMBER",IF(AND(ISNUMBER($L131),OR($L131&lt;0,$L131&gt;100)),"RAW SCORE OUT OF RANGE",IF(AND($Y131="Unexcused",OR($L131="",NOT(ISNUMBER($L131)),$L131&lt;&gt;0)),"UNEXCUSED ABSENCE MUST RECORD 0",IF(COUNTIF(nrES_RecID,$B131)&gt;1,"DUPLICATE RECORD",IF(N($K131)&gt;2,"ATTEMPT 3+ NOT ALLOWED - policy 300.5 permits one retest per exam; this row records nothing",IF(AND($K131=2,COUNTIFS(nrES_PID,$D131,nrES_Code,$F131,nrES_Att,1)=0),"ATTEMPT 2 WITHOUT ATTEMPT 1",IF(AND($K131=2,$L131=""),"RETEST ROW HAS NO SCORE",IF(AND($H131="Final",$L131&lt;&gt;"",IFERROR(INDEX(nrCKfinalExamElig,MATCH($D131,rngCadetPIDs,0)),"")="No"),"FINAL EXAM AFTER FAILED FINAL PT (500.1.H)",IF(AND($K131=2,ISNUMBER($L131),COUNTIFS(nrES_PID,$D131,nrES_Code,$F131,nrES_Att,1)&gt;0,SUMIFS(nrES_Raw,nrES_PID,$D131,nrES_Code,$F131,nrES_Att,1)&gt;=$J131),"RETEST AFTER A PASSING FIRST ATTEMPT","OK"))))))))))</f>
        <v/>
      </c>
      <c r="Y131" s="16" t="n"/>
    </row>
    <row r="132">
      <c r="B132" s="17">
        <f>IF($C132="","",$D132&amp;"-"&amp;$F132&amp;"-"&amp;$K132)</f>
        <v/>
      </c>
      <c r="C132" s="16" t="n"/>
      <c r="D132" s="17">
        <f>IF($C132="","",IFERROR(INDEX(rngCadetPIDs,MATCH($C132,rngCadetNames,0)),"?"))</f>
        <v/>
      </c>
      <c r="E132" s="17">
        <f>IF($D132="","",IFERROR(INDEX(nrCadetAgency,MATCH($D132,rngCadetPIDs,0)),""))</f>
        <v/>
      </c>
      <c r="F132" s="16" t="n"/>
      <c r="G132" s="17">
        <f>IF($F132="","",IFERROR(INDEX(rngEPname,MATCH($F132,rngEPcode,0)),"?"))</f>
        <v/>
      </c>
      <c r="H132" s="17">
        <f>IF($F132="","",IFERROR(INDEX(rngEPtype,MATCH($F132,rngEPcode,0)),"?"))</f>
        <v/>
      </c>
      <c r="I132" s="17">
        <f>IF($F132="","",IFERROR(INDEX(rngEPseq,MATCH($F132,rngEPcode,0)),""))</f>
        <v/>
      </c>
      <c r="J132" s="17">
        <f>IF($F132="","",IFERROR(INDEX(rngEPpass,MATCH($F132,rngEPcode,0)),cfgPassingScore))</f>
        <v/>
      </c>
      <c r="K132" s="16" t="n"/>
      <c r="L132" s="16" t="n"/>
      <c r="M132" s="17">
        <f>IF($C132="","",IF($L132="","",IF(NOT(ISNUMBER($L132)),$L132,IF(N($K132)&gt;2,"",IF($K132=1,IF(COUNTIFS(nrES_PID,$D132,nrES_Code,$F132,nrES_Att,2,nrES_Raw,"&gt;=0")&gt;0,"",$L132),IF($L132&gt;=$J132,MAX($J132,cfgRetakeRecordedCap),IF(COUNTIFS(nrES_PID,$D132,nrES_Code,$F132,nrES_Att,1)=0,$L132,SUMIFS(nrES_Raw,nrES_PID,$D132,nrES_Code,$F132,nrES_Att,1))))))))</f>
        <v/>
      </c>
      <c r="N132" s="17">
        <f>IF($C132="","",IF($L132="","",IF(NOT(ISNUMBER($L132)),"(not a score)",IF($L132&gt;=$J132,"Yes","No"))))</f>
        <v/>
      </c>
      <c r="O132" s="17">
        <f>IF($C132="","",IF($M132="","",IF(NOT(ISNUMBER($M132)),"(not a score)",IF($M132&gt;=$J132,"Yes","No"))))</f>
        <v/>
      </c>
      <c r="P132" s="17">
        <f>IF($C132="","",IF($K132="","",IF(N($K132)&gt;2,"No",IF(COUNTIFS(nrES_PID,$D132,nrES_Code,$F132,nrES_Att,"&gt;"&amp;$K132,nrES_Att,"&lt;=2",nrES_Raw,"&gt;=0")=0,"Yes","No"))))</f>
        <v/>
      </c>
      <c r="Q132" s="17">
        <f>IF($C132="","",IF($L132="","",IF(AND($K132=1,ISNUMBER($L132),$L132&lt;$J132,COUNTIFS(nrES_PID,$D132,nrES_Code,$F132,nrES_Att,2,nrES_Raw,"&gt;=0")=0),"Yes","No")))</f>
        <v/>
      </c>
      <c r="R132" s="17">
        <f>IF($C132="","",IF($L132="","",IF(AND(N($K132)&gt;=2,ISNUMBER($L132),$L132&lt;$J132),"Yes","No")))</f>
        <v/>
      </c>
      <c r="S132" s="18" t="n"/>
      <c r="T132" s="19">
        <f>IF(OR($C132="",$L132="",$K132&lt;&gt;1,NOT(ISNUMBER($L132)),$L132&gt;=$J132),"",IF($S132="","(enter date)",_xlfn.LET(_xlpm.dn,_xlfn.XLOOKUP($S132,nrCDdate,nrCDnum,"",1),IF(_xlpm.dn="","(after last class day)",_xlfn.LET(_xlpm.dd,_xlfn.XLOOKUP(_xlpm.dn+cfgRetestClassDays,nrCDnum,nrCDdate,""),_xlpm.ok,_xlfn.XLOOKUP(_xlpm.dn+cfgRetestClassDays,nrCDnum,nrCDinsession,"No"),IF(OR(_xlpm.dd="",_xlpm.ok&lt;&gt;"Yes"),"(after last class day)",_xlpm.dd))))))</f>
        <v/>
      </c>
      <c r="U132" s="17">
        <f>IF($C132="","",IF(AND($Y132="Excused",$L132="",N($K132)&lt;=1),"EXCUSED - 1st attempt pending",IF(OR($L132="",$K132&lt;&gt;1,NOT(ISNUMBER($L132)),$L132&gt;=$J132),"",IF(COUNTIFS(nrES_PID,$D132,nrES_Code,$F132,nrES_Att,2,nrES_Raw,"&gt;=0")&gt;0,IF(IFERROR(_xlfn.MINIFS(nrES_Date,nrES_PID,$D132,nrES_Code,$F132,nrES_Att,2,nrES_Raw,"&gt;=0",nrES_Date,"&gt;0"),0)=0,"RETEST UNDATED",IF(NOT(ISNUMBER($T132)),"RETEST DATE UNCHECKED",IF(_xlfn.MINIFS(nrES_Date,nrES_PID,$D132,nrES_Code,$F132,nrES_Att,2,nrES_Raw,"&gt;=0",nrES_Date,"&gt;0")&gt;$T132,"LATE RETEST "&amp;TEXT(_xlfn.MINIFS(nrES_Date,nrES_PID,$D132,nrES_Code,$F132,nrES_Att,2,nrES_Raw,"&gt;=0",nrES_Date,"&gt;0"),"mm/dd")&amp;" (due "&amp;TEXT($T132,"mm/dd")&amp;")","Retested"))),IF(NOT(ISNUMBER($T132)),"CHECK DATE",IF(TODAY()&gt;$T132,"OVERDUE","Due "&amp;TEXT($T132,"mm/dd")))))))</f>
        <v/>
      </c>
      <c r="V132" s="16" t="n"/>
      <c r="W132" s="16" t="n"/>
      <c r="X132" s="17">
        <f>IF($C132="","",IF(AND($L132&lt;&gt;"",NOT(ISNUMBER($L132))),"RAW SCORE NOT A NUMBER",IF(AND(ISNUMBER($L132),OR($L132&lt;0,$L132&gt;100)),"RAW SCORE OUT OF RANGE",IF(AND($Y132="Unexcused",OR($L132="",NOT(ISNUMBER($L132)),$L132&lt;&gt;0)),"UNEXCUSED ABSENCE MUST RECORD 0",IF(COUNTIF(nrES_RecID,$B132)&gt;1,"DUPLICATE RECORD",IF(N($K132)&gt;2,"ATTEMPT 3+ NOT ALLOWED - policy 300.5 permits one retest per exam; this row records nothing",IF(AND($K132=2,COUNTIFS(nrES_PID,$D132,nrES_Code,$F132,nrES_Att,1)=0),"ATTEMPT 2 WITHOUT ATTEMPT 1",IF(AND($K132=2,$L132=""),"RETEST ROW HAS NO SCORE",IF(AND($H132="Final",$L132&lt;&gt;"",IFERROR(INDEX(nrCKfinalExamElig,MATCH($D132,rngCadetPIDs,0)),"")="No"),"FINAL EXAM AFTER FAILED FINAL PT (500.1.H)",IF(AND($K132=2,ISNUMBER($L132),COUNTIFS(nrES_PID,$D132,nrES_Code,$F132,nrES_Att,1)&gt;0,SUMIFS(nrES_Raw,nrES_PID,$D132,nrES_Code,$F132,nrES_Att,1)&gt;=$J132),"RETEST AFTER A PASSING FIRST ATTEMPT","OK"))))))))))</f>
        <v/>
      </c>
      <c r="Y132" s="16" t="n"/>
    </row>
    <row r="133">
      <c r="B133" s="17">
        <f>IF($C133="","",$D133&amp;"-"&amp;$F133&amp;"-"&amp;$K133)</f>
        <v/>
      </c>
      <c r="C133" s="16" t="n"/>
      <c r="D133" s="17">
        <f>IF($C133="","",IFERROR(INDEX(rngCadetPIDs,MATCH($C133,rngCadetNames,0)),"?"))</f>
        <v/>
      </c>
      <c r="E133" s="17">
        <f>IF($D133="","",IFERROR(INDEX(nrCadetAgency,MATCH($D133,rngCadetPIDs,0)),""))</f>
        <v/>
      </c>
      <c r="F133" s="16" t="n"/>
      <c r="G133" s="17">
        <f>IF($F133="","",IFERROR(INDEX(rngEPname,MATCH($F133,rngEPcode,0)),"?"))</f>
        <v/>
      </c>
      <c r="H133" s="17">
        <f>IF($F133="","",IFERROR(INDEX(rngEPtype,MATCH($F133,rngEPcode,0)),"?"))</f>
        <v/>
      </c>
      <c r="I133" s="17">
        <f>IF($F133="","",IFERROR(INDEX(rngEPseq,MATCH($F133,rngEPcode,0)),""))</f>
        <v/>
      </c>
      <c r="J133" s="17">
        <f>IF($F133="","",IFERROR(INDEX(rngEPpass,MATCH($F133,rngEPcode,0)),cfgPassingScore))</f>
        <v/>
      </c>
      <c r="K133" s="16" t="n"/>
      <c r="L133" s="16" t="n"/>
      <c r="M133" s="17">
        <f>IF($C133="","",IF($L133="","",IF(NOT(ISNUMBER($L133)),$L133,IF(N($K133)&gt;2,"",IF($K133=1,IF(COUNTIFS(nrES_PID,$D133,nrES_Code,$F133,nrES_Att,2,nrES_Raw,"&gt;=0")&gt;0,"",$L133),IF($L133&gt;=$J133,MAX($J133,cfgRetakeRecordedCap),IF(COUNTIFS(nrES_PID,$D133,nrES_Code,$F133,nrES_Att,1)=0,$L133,SUMIFS(nrES_Raw,nrES_PID,$D133,nrES_Code,$F133,nrES_Att,1))))))))</f>
        <v/>
      </c>
      <c r="N133" s="17">
        <f>IF($C133="","",IF($L133="","",IF(NOT(ISNUMBER($L133)),"(not a score)",IF($L133&gt;=$J133,"Yes","No"))))</f>
        <v/>
      </c>
      <c r="O133" s="17">
        <f>IF($C133="","",IF($M133="","",IF(NOT(ISNUMBER($M133)),"(not a score)",IF($M133&gt;=$J133,"Yes","No"))))</f>
        <v/>
      </c>
      <c r="P133" s="17">
        <f>IF($C133="","",IF($K133="","",IF(N($K133)&gt;2,"No",IF(COUNTIFS(nrES_PID,$D133,nrES_Code,$F133,nrES_Att,"&gt;"&amp;$K133,nrES_Att,"&lt;=2",nrES_Raw,"&gt;=0")=0,"Yes","No"))))</f>
        <v/>
      </c>
      <c r="Q133" s="17">
        <f>IF($C133="","",IF($L133="","",IF(AND($K133=1,ISNUMBER($L133),$L133&lt;$J133,COUNTIFS(nrES_PID,$D133,nrES_Code,$F133,nrES_Att,2,nrES_Raw,"&gt;=0")=0),"Yes","No")))</f>
        <v/>
      </c>
      <c r="R133" s="17">
        <f>IF($C133="","",IF($L133="","",IF(AND(N($K133)&gt;=2,ISNUMBER($L133),$L133&lt;$J133),"Yes","No")))</f>
        <v/>
      </c>
      <c r="S133" s="18" t="n"/>
      <c r="T133" s="19">
        <f>IF(OR($C133="",$L133="",$K133&lt;&gt;1,NOT(ISNUMBER($L133)),$L133&gt;=$J133),"",IF($S133="","(enter date)",_xlfn.LET(_xlpm.dn,_xlfn.XLOOKUP($S133,nrCDdate,nrCDnum,"",1),IF(_xlpm.dn="","(after last class day)",_xlfn.LET(_xlpm.dd,_xlfn.XLOOKUP(_xlpm.dn+cfgRetestClassDays,nrCDnum,nrCDdate,""),_xlpm.ok,_xlfn.XLOOKUP(_xlpm.dn+cfgRetestClassDays,nrCDnum,nrCDinsession,"No"),IF(OR(_xlpm.dd="",_xlpm.ok&lt;&gt;"Yes"),"(after last class day)",_xlpm.dd))))))</f>
        <v/>
      </c>
      <c r="U133" s="17">
        <f>IF($C133="","",IF(AND($Y133="Excused",$L133="",N($K133)&lt;=1),"EXCUSED - 1st attempt pending",IF(OR($L133="",$K133&lt;&gt;1,NOT(ISNUMBER($L133)),$L133&gt;=$J133),"",IF(COUNTIFS(nrES_PID,$D133,nrES_Code,$F133,nrES_Att,2,nrES_Raw,"&gt;=0")&gt;0,IF(IFERROR(_xlfn.MINIFS(nrES_Date,nrES_PID,$D133,nrES_Code,$F133,nrES_Att,2,nrES_Raw,"&gt;=0",nrES_Date,"&gt;0"),0)=0,"RETEST UNDATED",IF(NOT(ISNUMBER($T133)),"RETEST DATE UNCHECKED",IF(_xlfn.MINIFS(nrES_Date,nrES_PID,$D133,nrES_Code,$F133,nrES_Att,2,nrES_Raw,"&gt;=0",nrES_Date,"&gt;0")&gt;$T133,"LATE RETEST "&amp;TEXT(_xlfn.MINIFS(nrES_Date,nrES_PID,$D133,nrES_Code,$F133,nrES_Att,2,nrES_Raw,"&gt;=0",nrES_Date,"&gt;0"),"mm/dd")&amp;" (due "&amp;TEXT($T133,"mm/dd")&amp;")","Retested"))),IF(NOT(ISNUMBER($T133)),"CHECK DATE",IF(TODAY()&gt;$T133,"OVERDUE","Due "&amp;TEXT($T133,"mm/dd")))))))</f>
        <v/>
      </c>
      <c r="V133" s="16" t="n"/>
      <c r="W133" s="16" t="n"/>
      <c r="X133" s="17">
        <f>IF($C133="","",IF(AND($L133&lt;&gt;"",NOT(ISNUMBER($L133))),"RAW SCORE NOT A NUMBER",IF(AND(ISNUMBER($L133),OR($L133&lt;0,$L133&gt;100)),"RAW SCORE OUT OF RANGE",IF(AND($Y133="Unexcused",OR($L133="",NOT(ISNUMBER($L133)),$L133&lt;&gt;0)),"UNEXCUSED ABSENCE MUST RECORD 0",IF(COUNTIF(nrES_RecID,$B133)&gt;1,"DUPLICATE RECORD",IF(N($K133)&gt;2,"ATTEMPT 3+ NOT ALLOWED - policy 300.5 permits one retest per exam; this row records nothing",IF(AND($K133=2,COUNTIFS(nrES_PID,$D133,nrES_Code,$F133,nrES_Att,1)=0),"ATTEMPT 2 WITHOUT ATTEMPT 1",IF(AND($K133=2,$L133=""),"RETEST ROW HAS NO SCORE",IF(AND($H133="Final",$L133&lt;&gt;"",IFERROR(INDEX(nrCKfinalExamElig,MATCH($D133,rngCadetPIDs,0)),"")="No"),"FINAL EXAM AFTER FAILED FINAL PT (500.1.H)",IF(AND($K133=2,ISNUMBER($L133),COUNTIFS(nrES_PID,$D133,nrES_Code,$F133,nrES_Att,1)&gt;0,SUMIFS(nrES_Raw,nrES_PID,$D133,nrES_Code,$F133,nrES_Att,1)&gt;=$J133),"RETEST AFTER A PASSING FIRST ATTEMPT","OK"))))))))))</f>
        <v/>
      </c>
      <c r="Y133" s="16" t="n"/>
    </row>
    <row r="134">
      <c r="B134" s="17">
        <f>IF($C134="","",$D134&amp;"-"&amp;$F134&amp;"-"&amp;$K134)</f>
        <v/>
      </c>
      <c r="C134" s="16" t="n"/>
      <c r="D134" s="17">
        <f>IF($C134="","",IFERROR(INDEX(rngCadetPIDs,MATCH($C134,rngCadetNames,0)),"?"))</f>
        <v/>
      </c>
      <c r="E134" s="17">
        <f>IF($D134="","",IFERROR(INDEX(nrCadetAgency,MATCH($D134,rngCadetPIDs,0)),""))</f>
        <v/>
      </c>
      <c r="F134" s="16" t="n"/>
      <c r="G134" s="17">
        <f>IF($F134="","",IFERROR(INDEX(rngEPname,MATCH($F134,rngEPcode,0)),"?"))</f>
        <v/>
      </c>
      <c r="H134" s="17">
        <f>IF($F134="","",IFERROR(INDEX(rngEPtype,MATCH($F134,rngEPcode,0)),"?"))</f>
        <v/>
      </c>
      <c r="I134" s="17">
        <f>IF($F134="","",IFERROR(INDEX(rngEPseq,MATCH($F134,rngEPcode,0)),""))</f>
        <v/>
      </c>
      <c r="J134" s="17">
        <f>IF($F134="","",IFERROR(INDEX(rngEPpass,MATCH($F134,rngEPcode,0)),cfgPassingScore))</f>
        <v/>
      </c>
      <c r="K134" s="16" t="n"/>
      <c r="L134" s="16" t="n"/>
      <c r="M134" s="17">
        <f>IF($C134="","",IF($L134="","",IF(NOT(ISNUMBER($L134)),$L134,IF(N($K134)&gt;2,"",IF($K134=1,IF(COUNTIFS(nrES_PID,$D134,nrES_Code,$F134,nrES_Att,2,nrES_Raw,"&gt;=0")&gt;0,"",$L134),IF($L134&gt;=$J134,MAX($J134,cfgRetakeRecordedCap),IF(COUNTIFS(nrES_PID,$D134,nrES_Code,$F134,nrES_Att,1)=0,$L134,SUMIFS(nrES_Raw,nrES_PID,$D134,nrES_Code,$F134,nrES_Att,1))))))))</f>
        <v/>
      </c>
      <c r="N134" s="17">
        <f>IF($C134="","",IF($L134="","",IF(NOT(ISNUMBER($L134)),"(not a score)",IF($L134&gt;=$J134,"Yes","No"))))</f>
        <v/>
      </c>
      <c r="O134" s="17">
        <f>IF($C134="","",IF($M134="","",IF(NOT(ISNUMBER($M134)),"(not a score)",IF($M134&gt;=$J134,"Yes","No"))))</f>
        <v/>
      </c>
      <c r="P134" s="17">
        <f>IF($C134="","",IF($K134="","",IF(N($K134)&gt;2,"No",IF(COUNTIFS(nrES_PID,$D134,nrES_Code,$F134,nrES_Att,"&gt;"&amp;$K134,nrES_Att,"&lt;=2",nrES_Raw,"&gt;=0")=0,"Yes","No"))))</f>
        <v/>
      </c>
      <c r="Q134" s="17">
        <f>IF($C134="","",IF($L134="","",IF(AND($K134=1,ISNUMBER($L134),$L134&lt;$J134,COUNTIFS(nrES_PID,$D134,nrES_Code,$F134,nrES_Att,2,nrES_Raw,"&gt;=0")=0),"Yes","No")))</f>
        <v/>
      </c>
      <c r="R134" s="17">
        <f>IF($C134="","",IF($L134="","",IF(AND(N($K134)&gt;=2,ISNUMBER($L134),$L134&lt;$J134),"Yes","No")))</f>
        <v/>
      </c>
      <c r="S134" s="18" t="n"/>
      <c r="T134" s="19">
        <f>IF(OR($C134="",$L134="",$K134&lt;&gt;1,NOT(ISNUMBER($L134)),$L134&gt;=$J134),"",IF($S134="","(enter date)",_xlfn.LET(_xlpm.dn,_xlfn.XLOOKUP($S134,nrCDdate,nrCDnum,"",1),IF(_xlpm.dn="","(after last class day)",_xlfn.LET(_xlpm.dd,_xlfn.XLOOKUP(_xlpm.dn+cfgRetestClassDays,nrCDnum,nrCDdate,""),_xlpm.ok,_xlfn.XLOOKUP(_xlpm.dn+cfgRetestClassDays,nrCDnum,nrCDinsession,"No"),IF(OR(_xlpm.dd="",_xlpm.ok&lt;&gt;"Yes"),"(after last class day)",_xlpm.dd))))))</f>
        <v/>
      </c>
      <c r="U134" s="17">
        <f>IF($C134="","",IF(AND($Y134="Excused",$L134="",N($K134)&lt;=1),"EXCUSED - 1st attempt pending",IF(OR($L134="",$K134&lt;&gt;1,NOT(ISNUMBER($L134)),$L134&gt;=$J134),"",IF(COUNTIFS(nrES_PID,$D134,nrES_Code,$F134,nrES_Att,2,nrES_Raw,"&gt;=0")&gt;0,IF(IFERROR(_xlfn.MINIFS(nrES_Date,nrES_PID,$D134,nrES_Code,$F134,nrES_Att,2,nrES_Raw,"&gt;=0",nrES_Date,"&gt;0"),0)=0,"RETEST UNDATED",IF(NOT(ISNUMBER($T134)),"RETEST DATE UNCHECKED",IF(_xlfn.MINIFS(nrES_Date,nrES_PID,$D134,nrES_Code,$F134,nrES_Att,2,nrES_Raw,"&gt;=0",nrES_Date,"&gt;0")&gt;$T134,"LATE RETEST "&amp;TEXT(_xlfn.MINIFS(nrES_Date,nrES_PID,$D134,nrES_Code,$F134,nrES_Att,2,nrES_Raw,"&gt;=0",nrES_Date,"&gt;0"),"mm/dd")&amp;" (due "&amp;TEXT($T134,"mm/dd")&amp;")","Retested"))),IF(NOT(ISNUMBER($T134)),"CHECK DATE",IF(TODAY()&gt;$T134,"OVERDUE","Due "&amp;TEXT($T134,"mm/dd")))))))</f>
        <v/>
      </c>
      <c r="V134" s="16" t="n"/>
      <c r="W134" s="16" t="n"/>
      <c r="X134" s="17">
        <f>IF($C134="","",IF(AND($L134&lt;&gt;"",NOT(ISNUMBER($L134))),"RAW SCORE NOT A NUMBER",IF(AND(ISNUMBER($L134),OR($L134&lt;0,$L134&gt;100)),"RAW SCORE OUT OF RANGE",IF(AND($Y134="Unexcused",OR($L134="",NOT(ISNUMBER($L134)),$L134&lt;&gt;0)),"UNEXCUSED ABSENCE MUST RECORD 0",IF(COUNTIF(nrES_RecID,$B134)&gt;1,"DUPLICATE RECORD",IF(N($K134)&gt;2,"ATTEMPT 3+ NOT ALLOWED - policy 300.5 permits one retest per exam; this row records nothing",IF(AND($K134=2,COUNTIFS(nrES_PID,$D134,nrES_Code,$F134,nrES_Att,1)=0),"ATTEMPT 2 WITHOUT ATTEMPT 1",IF(AND($K134=2,$L134=""),"RETEST ROW HAS NO SCORE",IF(AND($H134="Final",$L134&lt;&gt;"",IFERROR(INDEX(nrCKfinalExamElig,MATCH($D134,rngCadetPIDs,0)),"")="No"),"FINAL EXAM AFTER FAILED FINAL PT (500.1.H)",IF(AND($K134=2,ISNUMBER($L134),COUNTIFS(nrES_PID,$D134,nrES_Code,$F134,nrES_Att,1)&gt;0,SUMIFS(nrES_Raw,nrES_PID,$D134,nrES_Code,$F134,nrES_Att,1)&gt;=$J134),"RETEST AFTER A PASSING FIRST ATTEMPT","OK"))))))))))</f>
        <v/>
      </c>
      <c r="Y134" s="16" t="n"/>
    </row>
    <row r="135">
      <c r="B135" s="17">
        <f>IF($C135="","",$D135&amp;"-"&amp;$F135&amp;"-"&amp;$K135)</f>
        <v/>
      </c>
      <c r="C135" s="16" t="n"/>
      <c r="D135" s="17">
        <f>IF($C135="","",IFERROR(INDEX(rngCadetPIDs,MATCH($C135,rngCadetNames,0)),"?"))</f>
        <v/>
      </c>
      <c r="E135" s="17">
        <f>IF($D135="","",IFERROR(INDEX(nrCadetAgency,MATCH($D135,rngCadetPIDs,0)),""))</f>
        <v/>
      </c>
      <c r="F135" s="16" t="n"/>
      <c r="G135" s="17">
        <f>IF($F135="","",IFERROR(INDEX(rngEPname,MATCH($F135,rngEPcode,0)),"?"))</f>
        <v/>
      </c>
      <c r="H135" s="17">
        <f>IF($F135="","",IFERROR(INDEX(rngEPtype,MATCH($F135,rngEPcode,0)),"?"))</f>
        <v/>
      </c>
      <c r="I135" s="17">
        <f>IF($F135="","",IFERROR(INDEX(rngEPseq,MATCH($F135,rngEPcode,0)),""))</f>
        <v/>
      </c>
      <c r="J135" s="17">
        <f>IF($F135="","",IFERROR(INDEX(rngEPpass,MATCH($F135,rngEPcode,0)),cfgPassingScore))</f>
        <v/>
      </c>
      <c r="K135" s="16" t="n"/>
      <c r="L135" s="16" t="n"/>
      <c r="M135" s="17">
        <f>IF($C135="","",IF($L135="","",IF(NOT(ISNUMBER($L135)),$L135,IF(N($K135)&gt;2,"",IF($K135=1,IF(COUNTIFS(nrES_PID,$D135,nrES_Code,$F135,nrES_Att,2,nrES_Raw,"&gt;=0")&gt;0,"",$L135),IF($L135&gt;=$J135,MAX($J135,cfgRetakeRecordedCap),IF(COUNTIFS(nrES_PID,$D135,nrES_Code,$F135,nrES_Att,1)=0,$L135,SUMIFS(nrES_Raw,nrES_PID,$D135,nrES_Code,$F135,nrES_Att,1))))))))</f>
        <v/>
      </c>
      <c r="N135" s="17">
        <f>IF($C135="","",IF($L135="","",IF(NOT(ISNUMBER($L135)),"(not a score)",IF($L135&gt;=$J135,"Yes","No"))))</f>
        <v/>
      </c>
      <c r="O135" s="17">
        <f>IF($C135="","",IF($M135="","",IF(NOT(ISNUMBER($M135)),"(not a score)",IF($M135&gt;=$J135,"Yes","No"))))</f>
        <v/>
      </c>
      <c r="P135" s="17">
        <f>IF($C135="","",IF($K135="","",IF(N($K135)&gt;2,"No",IF(COUNTIFS(nrES_PID,$D135,nrES_Code,$F135,nrES_Att,"&gt;"&amp;$K135,nrES_Att,"&lt;=2",nrES_Raw,"&gt;=0")=0,"Yes","No"))))</f>
        <v/>
      </c>
      <c r="Q135" s="17">
        <f>IF($C135="","",IF($L135="","",IF(AND($K135=1,ISNUMBER($L135),$L135&lt;$J135,COUNTIFS(nrES_PID,$D135,nrES_Code,$F135,nrES_Att,2,nrES_Raw,"&gt;=0")=0),"Yes","No")))</f>
        <v/>
      </c>
      <c r="R135" s="17">
        <f>IF($C135="","",IF($L135="","",IF(AND(N($K135)&gt;=2,ISNUMBER($L135),$L135&lt;$J135),"Yes","No")))</f>
        <v/>
      </c>
      <c r="S135" s="18" t="n"/>
      <c r="T135" s="19">
        <f>IF(OR($C135="",$L135="",$K135&lt;&gt;1,NOT(ISNUMBER($L135)),$L135&gt;=$J135),"",IF($S135="","(enter date)",_xlfn.LET(_xlpm.dn,_xlfn.XLOOKUP($S135,nrCDdate,nrCDnum,"",1),IF(_xlpm.dn="","(after last class day)",_xlfn.LET(_xlpm.dd,_xlfn.XLOOKUP(_xlpm.dn+cfgRetestClassDays,nrCDnum,nrCDdate,""),_xlpm.ok,_xlfn.XLOOKUP(_xlpm.dn+cfgRetestClassDays,nrCDnum,nrCDinsession,"No"),IF(OR(_xlpm.dd="",_xlpm.ok&lt;&gt;"Yes"),"(after last class day)",_xlpm.dd))))))</f>
        <v/>
      </c>
      <c r="U135" s="17">
        <f>IF($C135="","",IF(AND($Y135="Excused",$L135="",N($K135)&lt;=1),"EXCUSED - 1st attempt pending",IF(OR($L135="",$K135&lt;&gt;1,NOT(ISNUMBER($L135)),$L135&gt;=$J135),"",IF(COUNTIFS(nrES_PID,$D135,nrES_Code,$F135,nrES_Att,2,nrES_Raw,"&gt;=0")&gt;0,IF(IFERROR(_xlfn.MINIFS(nrES_Date,nrES_PID,$D135,nrES_Code,$F135,nrES_Att,2,nrES_Raw,"&gt;=0",nrES_Date,"&gt;0"),0)=0,"RETEST UNDATED",IF(NOT(ISNUMBER($T135)),"RETEST DATE UNCHECKED",IF(_xlfn.MINIFS(nrES_Date,nrES_PID,$D135,nrES_Code,$F135,nrES_Att,2,nrES_Raw,"&gt;=0",nrES_Date,"&gt;0")&gt;$T135,"LATE RETEST "&amp;TEXT(_xlfn.MINIFS(nrES_Date,nrES_PID,$D135,nrES_Code,$F135,nrES_Att,2,nrES_Raw,"&gt;=0",nrES_Date,"&gt;0"),"mm/dd")&amp;" (due "&amp;TEXT($T135,"mm/dd")&amp;")","Retested"))),IF(NOT(ISNUMBER($T135)),"CHECK DATE",IF(TODAY()&gt;$T135,"OVERDUE","Due "&amp;TEXT($T135,"mm/dd")))))))</f>
        <v/>
      </c>
      <c r="V135" s="16" t="n"/>
      <c r="W135" s="16" t="n"/>
      <c r="X135" s="17">
        <f>IF($C135="","",IF(AND($L135&lt;&gt;"",NOT(ISNUMBER($L135))),"RAW SCORE NOT A NUMBER",IF(AND(ISNUMBER($L135),OR($L135&lt;0,$L135&gt;100)),"RAW SCORE OUT OF RANGE",IF(AND($Y135="Unexcused",OR($L135="",NOT(ISNUMBER($L135)),$L135&lt;&gt;0)),"UNEXCUSED ABSENCE MUST RECORD 0",IF(COUNTIF(nrES_RecID,$B135)&gt;1,"DUPLICATE RECORD",IF(N($K135)&gt;2,"ATTEMPT 3+ NOT ALLOWED - policy 300.5 permits one retest per exam; this row records nothing",IF(AND($K135=2,COUNTIFS(nrES_PID,$D135,nrES_Code,$F135,nrES_Att,1)=0),"ATTEMPT 2 WITHOUT ATTEMPT 1",IF(AND($K135=2,$L135=""),"RETEST ROW HAS NO SCORE",IF(AND($H135="Final",$L135&lt;&gt;"",IFERROR(INDEX(nrCKfinalExamElig,MATCH($D135,rngCadetPIDs,0)),"")="No"),"FINAL EXAM AFTER FAILED FINAL PT (500.1.H)",IF(AND($K135=2,ISNUMBER($L135),COUNTIFS(nrES_PID,$D135,nrES_Code,$F135,nrES_Att,1)&gt;0,SUMIFS(nrES_Raw,nrES_PID,$D135,nrES_Code,$F135,nrES_Att,1)&gt;=$J135),"RETEST AFTER A PASSING FIRST ATTEMPT","OK"))))))))))</f>
        <v/>
      </c>
      <c r="Y135" s="16" t="n"/>
    </row>
    <row r="136">
      <c r="B136" s="17">
        <f>IF($C136="","",$D136&amp;"-"&amp;$F136&amp;"-"&amp;$K136)</f>
        <v/>
      </c>
      <c r="C136" s="16" t="n"/>
      <c r="D136" s="17">
        <f>IF($C136="","",IFERROR(INDEX(rngCadetPIDs,MATCH($C136,rngCadetNames,0)),"?"))</f>
        <v/>
      </c>
      <c r="E136" s="17">
        <f>IF($D136="","",IFERROR(INDEX(nrCadetAgency,MATCH($D136,rngCadetPIDs,0)),""))</f>
        <v/>
      </c>
      <c r="F136" s="16" t="n"/>
      <c r="G136" s="17">
        <f>IF($F136="","",IFERROR(INDEX(rngEPname,MATCH($F136,rngEPcode,0)),"?"))</f>
        <v/>
      </c>
      <c r="H136" s="17">
        <f>IF($F136="","",IFERROR(INDEX(rngEPtype,MATCH($F136,rngEPcode,0)),"?"))</f>
        <v/>
      </c>
      <c r="I136" s="17">
        <f>IF($F136="","",IFERROR(INDEX(rngEPseq,MATCH($F136,rngEPcode,0)),""))</f>
        <v/>
      </c>
      <c r="J136" s="17">
        <f>IF($F136="","",IFERROR(INDEX(rngEPpass,MATCH($F136,rngEPcode,0)),cfgPassingScore))</f>
        <v/>
      </c>
      <c r="K136" s="16" t="n"/>
      <c r="L136" s="16" t="n"/>
      <c r="M136" s="17">
        <f>IF($C136="","",IF($L136="","",IF(NOT(ISNUMBER($L136)),$L136,IF(N($K136)&gt;2,"",IF($K136=1,IF(COUNTIFS(nrES_PID,$D136,nrES_Code,$F136,nrES_Att,2,nrES_Raw,"&gt;=0")&gt;0,"",$L136),IF($L136&gt;=$J136,MAX($J136,cfgRetakeRecordedCap),IF(COUNTIFS(nrES_PID,$D136,nrES_Code,$F136,nrES_Att,1)=0,$L136,SUMIFS(nrES_Raw,nrES_PID,$D136,nrES_Code,$F136,nrES_Att,1))))))))</f>
        <v/>
      </c>
      <c r="N136" s="17">
        <f>IF($C136="","",IF($L136="","",IF(NOT(ISNUMBER($L136)),"(not a score)",IF($L136&gt;=$J136,"Yes","No"))))</f>
        <v/>
      </c>
      <c r="O136" s="17">
        <f>IF($C136="","",IF($M136="","",IF(NOT(ISNUMBER($M136)),"(not a score)",IF($M136&gt;=$J136,"Yes","No"))))</f>
        <v/>
      </c>
      <c r="P136" s="17">
        <f>IF($C136="","",IF($K136="","",IF(N($K136)&gt;2,"No",IF(COUNTIFS(nrES_PID,$D136,nrES_Code,$F136,nrES_Att,"&gt;"&amp;$K136,nrES_Att,"&lt;=2",nrES_Raw,"&gt;=0")=0,"Yes","No"))))</f>
        <v/>
      </c>
      <c r="Q136" s="17">
        <f>IF($C136="","",IF($L136="","",IF(AND($K136=1,ISNUMBER($L136),$L136&lt;$J136,COUNTIFS(nrES_PID,$D136,nrES_Code,$F136,nrES_Att,2,nrES_Raw,"&gt;=0")=0),"Yes","No")))</f>
        <v/>
      </c>
      <c r="R136" s="17">
        <f>IF($C136="","",IF($L136="","",IF(AND(N($K136)&gt;=2,ISNUMBER($L136),$L136&lt;$J136),"Yes","No")))</f>
        <v/>
      </c>
      <c r="S136" s="18" t="n"/>
      <c r="T136" s="19">
        <f>IF(OR($C136="",$L136="",$K136&lt;&gt;1,NOT(ISNUMBER($L136)),$L136&gt;=$J136),"",IF($S136="","(enter date)",_xlfn.LET(_xlpm.dn,_xlfn.XLOOKUP($S136,nrCDdate,nrCDnum,"",1),IF(_xlpm.dn="","(after last class day)",_xlfn.LET(_xlpm.dd,_xlfn.XLOOKUP(_xlpm.dn+cfgRetestClassDays,nrCDnum,nrCDdate,""),_xlpm.ok,_xlfn.XLOOKUP(_xlpm.dn+cfgRetestClassDays,nrCDnum,nrCDinsession,"No"),IF(OR(_xlpm.dd="",_xlpm.ok&lt;&gt;"Yes"),"(after last class day)",_xlpm.dd))))))</f>
        <v/>
      </c>
      <c r="U136" s="17">
        <f>IF($C136="","",IF(AND($Y136="Excused",$L136="",N($K136)&lt;=1),"EXCUSED - 1st attempt pending",IF(OR($L136="",$K136&lt;&gt;1,NOT(ISNUMBER($L136)),$L136&gt;=$J136),"",IF(COUNTIFS(nrES_PID,$D136,nrES_Code,$F136,nrES_Att,2,nrES_Raw,"&gt;=0")&gt;0,IF(IFERROR(_xlfn.MINIFS(nrES_Date,nrES_PID,$D136,nrES_Code,$F136,nrES_Att,2,nrES_Raw,"&gt;=0",nrES_Date,"&gt;0"),0)=0,"RETEST UNDATED",IF(NOT(ISNUMBER($T136)),"RETEST DATE UNCHECKED",IF(_xlfn.MINIFS(nrES_Date,nrES_PID,$D136,nrES_Code,$F136,nrES_Att,2,nrES_Raw,"&gt;=0",nrES_Date,"&gt;0")&gt;$T136,"LATE RETEST "&amp;TEXT(_xlfn.MINIFS(nrES_Date,nrES_PID,$D136,nrES_Code,$F136,nrES_Att,2,nrES_Raw,"&gt;=0",nrES_Date,"&gt;0"),"mm/dd")&amp;" (due "&amp;TEXT($T136,"mm/dd")&amp;")","Retested"))),IF(NOT(ISNUMBER($T136)),"CHECK DATE",IF(TODAY()&gt;$T136,"OVERDUE","Due "&amp;TEXT($T136,"mm/dd")))))))</f>
        <v/>
      </c>
      <c r="V136" s="16" t="n"/>
      <c r="W136" s="16" t="n"/>
      <c r="X136" s="17">
        <f>IF($C136="","",IF(AND($L136&lt;&gt;"",NOT(ISNUMBER($L136))),"RAW SCORE NOT A NUMBER",IF(AND(ISNUMBER($L136),OR($L136&lt;0,$L136&gt;100)),"RAW SCORE OUT OF RANGE",IF(AND($Y136="Unexcused",OR($L136="",NOT(ISNUMBER($L136)),$L136&lt;&gt;0)),"UNEXCUSED ABSENCE MUST RECORD 0",IF(COUNTIF(nrES_RecID,$B136)&gt;1,"DUPLICATE RECORD",IF(N($K136)&gt;2,"ATTEMPT 3+ NOT ALLOWED - policy 300.5 permits one retest per exam; this row records nothing",IF(AND($K136=2,COUNTIFS(nrES_PID,$D136,nrES_Code,$F136,nrES_Att,1)=0),"ATTEMPT 2 WITHOUT ATTEMPT 1",IF(AND($K136=2,$L136=""),"RETEST ROW HAS NO SCORE",IF(AND($H136="Final",$L136&lt;&gt;"",IFERROR(INDEX(nrCKfinalExamElig,MATCH($D136,rngCadetPIDs,0)),"")="No"),"FINAL EXAM AFTER FAILED FINAL PT (500.1.H)",IF(AND($K136=2,ISNUMBER($L136),COUNTIFS(nrES_PID,$D136,nrES_Code,$F136,nrES_Att,1)&gt;0,SUMIFS(nrES_Raw,nrES_PID,$D136,nrES_Code,$F136,nrES_Att,1)&gt;=$J136),"RETEST AFTER A PASSING FIRST ATTEMPT","OK"))))))))))</f>
        <v/>
      </c>
      <c r="Y136" s="16" t="n"/>
    </row>
    <row r="137">
      <c r="B137" s="17">
        <f>IF($C137="","",$D137&amp;"-"&amp;$F137&amp;"-"&amp;$K137)</f>
        <v/>
      </c>
      <c r="C137" s="16" t="n"/>
      <c r="D137" s="17">
        <f>IF($C137="","",IFERROR(INDEX(rngCadetPIDs,MATCH($C137,rngCadetNames,0)),"?"))</f>
        <v/>
      </c>
      <c r="E137" s="17">
        <f>IF($D137="","",IFERROR(INDEX(nrCadetAgency,MATCH($D137,rngCadetPIDs,0)),""))</f>
        <v/>
      </c>
      <c r="F137" s="16" t="n"/>
      <c r="G137" s="17">
        <f>IF($F137="","",IFERROR(INDEX(rngEPname,MATCH($F137,rngEPcode,0)),"?"))</f>
        <v/>
      </c>
      <c r="H137" s="17">
        <f>IF($F137="","",IFERROR(INDEX(rngEPtype,MATCH($F137,rngEPcode,0)),"?"))</f>
        <v/>
      </c>
      <c r="I137" s="17">
        <f>IF($F137="","",IFERROR(INDEX(rngEPseq,MATCH($F137,rngEPcode,0)),""))</f>
        <v/>
      </c>
      <c r="J137" s="17">
        <f>IF($F137="","",IFERROR(INDEX(rngEPpass,MATCH($F137,rngEPcode,0)),cfgPassingScore))</f>
        <v/>
      </c>
      <c r="K137" s="16" t="n"/>
      <c r="L137" s="16" t="n"/>
      <c r="M137" s="17">
        <f>IF($C137="","",IF($L137="","",IF(NOT(ISNUMBER($L137)),$L137,IF(N($K137)&gt;2,"",IF($K137=1,IF(COUNTIFS(nrES_PID,$D137,nrES_Code,$F137,nrES_Att,2,nrES_Raw,"&gt;=0")&gt;0,"",$L137),IF($L137&gt;=$J137,MAX($J137,cfgRetakeRecordedCap),IF(COUNTIFS(nrES_PID,$D137,nrES_Code,$F137,nrES_Att,1)=0,$L137,SUMIFS(nrES_Raw,nrES_PID,$D137,nrES_Code,$F137,nrES_Att,1))))))))</f>
        <v/>
      </c>
      <c r="N137" s="17">
        <f>IF($C137="","",IF($L137="","",IF(NOT(ISNUMBER($L137)),"(not a score)",IF($L137&gt;=$J137,"Yes","No"))))</f>
        <v/>
      </c>
      <c r="O137" s="17">
        <f>IF($C137="","",IF($M137="","",IF(NOT(ISNUMBER($M137)),"(not a score)",IF($M137&gt;=$J137,"Yes","No"))))</f>
        <v/>
      </c>
      <c r="P137" s="17">
        <f>IF($C137="","",IF($K137="","",IF(N($K137)&gt;2,"No",IF(COUNTIFS(nrES_PID,$D137,nrES_Code,$F137,nrES_Att,"&gt;"&amp;$K137,nrES_Att,"&lt;=2",nrES_Raw,"&gt;=0")=0,"Yes","No"))))</f>
        <v/>
      </c>
      <c r="Q137" s="17">
        <f>IF($C137="","",IF($L137="","",IF(AND($K137=1,ISNUMBER($L137),$L137&lt;$J137,COUNTIFS(nrES_PID,$D137,nrES_Code,$F137,nrES_Att,2,nrES_Raw,"&gt;=0")=0),"Yes","No")))</f>
        <v/>
      </c>
      <c r="R137" s="17">
        <f>IF($C137="","",IF($L137="","",IF(AND(N($K137)&gt;=2,ISNUMBER($L137),$L137&lt;$J137),"Yes","No")))</f>
        <v/>
      </c>
      <c r="S137" s="18" t="n"/>
      <c r="T137" s="19">
        <f>IF(OR($C137="",$L137="",$K137&lt;&gt;1,NOT(ISNUMBER($L137)),$L137&gt;=$J137),"",IF($S137="","(enter date)",_xlfn.LET(_xlpm.dn,_xlfn.XLOOKUP($S137,nrCDdate,nrCDnum,"",1),IF(_xlpm.dn="","(after last class day)",_xlfn.LET(_xlpm.dd,_xlfn.XLOOKUP(_xlpm.dn+cfgRetestClassDays,nrCDnum,nrCDdate,""),_xlpm.ok,_xlfn.XLOOKUP(_xlpm.dn+cfgRetestClassDays,nrCDnum,nrCDinsession,"No"),IF(OR(_xlpm.dd="",_xlpm.ok&lt;&gt;"Yes"),"(after last class day)",_xlpm.dd))))))</f>
        <v/>
      </c>
      <c r="U137" s="17">
        <f>IF($C137="","",IF(AND($Y137="Excused",$L137="",N($K137)&lt;=1),"EXCUSED - 1st attempt pending",IF(OR($L137="",$K137&lt;&gt;1,NOT(ISNUMBER($L137)),$L137&gt;=$J137),"",IF(COUNTIFS(nrES_PID,$D137,nrES_Code,$F137,nrES_Att,2,nrES_Raw,"&gt;=0")&gt;0,IF(IFERROR(_xlfn.MINIFS(nrES_Date,nrES_PID,$D137,nrES_Code,$F137,nrES_Att,2,nrES_Raw,"&gt;=0",nrES_Date,"&gt;0"),0)=0,"RETEST UNDATED",IF(NOT(ISNUMBER($T137)),"RETEST DATE UNCHECKED",IF(_xlfn.MINIFS(nrES_Date,nrES_PID,$D137,nrES_Code,$F137,nrES_Att,2,nrES_Raw,"&gt;=0",nrES_Date,"&gt;0")&gt;$T137,"LATE RETEST "&amp;TEXT(_xlfn.MINIFS(nrES_Date,nrES_PID,$D137,nrES_Code,$F137,nrES_Att,2,nrES_Raw,"&gt;=0",nrES_Date,"&gt;0"),"mm/dd")&amp;" (due "&amp;TEXT($T137,"mm/dd")&amp;")","Retested"))),IF(NOT(ISNUMBER($T137)),"CHECK DATE",IF(TODAY()&gt;$T137,"OVERDUE","Due "&amp;TEXT($T137,"mm/dd")))))))</f>
        <v/>
      </c>
      <c r="V137" s="16" t="n"/>
      <c r="W137" s="16" t="n"/>
      <c r="X137" s="17">
        <f>IF($C137="","",IF(AND($L137&lt;&gt;"",NOT(ISNUMBER($L137))),"RAW SCORE NOT A NUMBER",IF(AND(ISNUMBER($L137),OR($L137&lt;0,$L137&gt;100)),"RAW SCORE OUT OF RANGE",IF(AND($Y137="Unexcused",OR($L137="",NOT(ISNUMBER($L137)),$L137&lt;&gt;0)),"UNEXCUSED ABSENCE MUST RECORD 0",IF(COUNTIF(nrES_RecID,$B137)&gt;1,"DUPLICATE RECORD",IF(N($K137)&gt;2,"ATTEMPT 3+ NOT ALLOWED - policy 300.5 permits one retest per exam; this row records nothing",IF(AND($K137=2,COUNTIFS(nrES_PID,$D137,nrES_Code,$F137,nrES_Att,1)=0),"ATTEMPT 2 WITHOUT ATTEMPT 1",IF(AND($K137=2,$L137=""),"RETEST ROW HAS NO SCORE",IF(AND($H137="Final",$L137&lt;&gt;"",IFERROR(INDEX(nrCKfinalExamElig,MATCH($D137,rngCadetPIDs,0)),"")="No"),"FINAL EXAM AFTER FAILED FINAL PT (500.1.H)",IF(AND($K137=2,ISNUMBER($L137),COUNTIFS(nrES_PID,$D137,nrES_Code,$F137,nrES_Att,1)&gt;0,SUMIFS(nrES_Raw,nrES_PID,$D137,nrES_Code,$F137,nrES_Att,1)&gt;=$J137),"RETEST AFTER A PASSING FIRST ATTEMPT","OK"))))))))))</f>
        <v/>
      </c>
      <c r="Y137" s="16" t="n"/>
    </row>
    <row r="138">
      <c r="B138" s="17">
        <f>IF($C138="","",$D138&amp;"-"&amp;$F138&amp;"-"&amp;$K138)</f>
        <v/>
      </c>
      <c r="C138" s="16" t="n"/>
      <c r="D138" s="17">
        <f>IF($C138="","",IFERROR(INDEX(rngCadetPIDs,MATCH($C138,rngCadetNames,0)),"?"))</f>
        <v/>
      </c>
      <c r="E138" s="17">
        <f>IF($D138="","",IFERROR(INDEX(nrCadetAgency,MATCH($D138,rngCadetPIDs,0)),""))</f>
        <v/>
      </c>
      <c r="F138" s="16" t="n"/>
      <c r="G138" s="17">
        <f>IF($F138="","",IFERROR(INDEX(rngEPname,MATCH($F138,rngEPcode,0)),"?"))</f>
        <v/>
      </c>
      <c r="H138" s="17">
        <f>IF($F138="","",IFERROR(INDEX(rngEPtype,MATCH($F138,rngEPcode,0)),"?"))</f>
        <v/>
      </c>
      <c r="I138" s="17">
        <f>IF($F138="","",IFERROR(INDEX(rngEPseq,MATCH($F138,rngEPcode,0)),""))</f>
        <v/>
      </c>
      <c r="J138" s="17">
        <f>IF($F138="","",IFERROR(INDEX(rngEPpass,MATCH($F138,rngEPcode,0)),cfgPassingScore))</f>
        <v/>
      </c>
      <c r="K138" s="16" t="n"/>
      <c r="L138" s="16" t="n"/>
      <c r="M138" s="17">
        <f>IF($C138="","",IF($L138="","",IF(NOT(ISNUMBER($L138)),$L138,IF(N($K138)&gt;2,"",IF($K138=1,IF(COUNTIFS(nrES_PID,$D138,nrES_Code,$F138,nrES_Att,2,nrES_Raw,"&gt;=0")&gt;0,"",$L138),IF($L138&gt;=$J138,MAX($J138,cfgRetakeRecordedCap),IF(COUNTIFS(nrES_PID,$D138,nrES_Code,$F138,nrES_Att,1)=0,$L138,SUMIFS(nrES_Raw,nrES_PID,$D138,nrES_Code,$F138,nrES_Att,1))))))))</f>
        <v/>
      </c>
      <c r="N138" s="17">
        <f>IF($C138="","",IF($L138="","",IF(NOT(ISNUMBER($L138)),"(not a score)",IF($L138&gt;=$J138,"Yes","No"))))</f>
        <v/>
      </c>
      <c r="O138" s="17">
        <f>IF($C138="","",IF($M138="","",IF(NOT(ISNUMBER($M138)),"(not a score)",IF($M138&gt;=$J138,"Yes","No"))))</f>
        <v/>
      </c>
      <c r="P138" s="17">
        <f>IF($C138="","",IF($K138="","",IF(N($K138)&gt;2,"No",IF(COUNTIFS(nrES_PID,$D138,nrES_Code,$F138,nrES_Att,"&gt;"&amp;$K138,nrES_Att,"&lt;=2",nrES_Raw,"&gt;=0")=0,"Yes","No"))))</f>
        <v/>
      </c>
      <c r="Q138" s="17">
        <f>IF($C138="","",IF($L138="","",IF(AND($K138=1,ISNUMBER($L138),$L138&lt;$J138,COUNTIFS(nrES_PID,$D138,nrES_Code,$F138,nrES_Att,2,nrES_Raw,"&gt;=0")=0),"Yes","No")))</f>
        <v/>
      </c>
      <c r="R138" s="17">
        <f>IF($C138="","",IF($L138="","",IF(AND(N($K138)&gt;=2,ISNUMBER($L138),$L138&lt;$J138),"Yes","No")))</f>
        <v/>
      </c>
      <c r="S138" s="18" t="n"/>
      <c r="T138" s="19">
        <f>IF(OR($C138="",$L138="",$K138&lt;&gt;1,NOT(ISNUMBER($L138)),$L138&gt;=$J138),"",IF($S138="","(enter date)",_xlfn.LET(_xlpm.dn,_xlfn.XLOOKUP($S138,nrCDdate,nrCDnum,"",1),IF(_xlpm.dn="","(after last class day)",_xlfn.LET(_xlpm.dd,_xlfn.XLOOKUP(_xlpm.dn+cfgRetestClassDays,nrCDnum,nrCDdate,""),_xlpm.ok,_xlfn.XLOOKUP(_xlpm.dn+cfgRetestClassDays,nrCDnum,nrCDinsession,"No"),IF(OR(_xlpm.dd="",_xlpm.ok&lt;&gt;"Yes"),"(after last class day)",_xlpm.dd))))))</f>
        <v/>
      </c>
      <c r="U138" s="17">
        <f>IF($C138="","",IF(AND($Y138="Excused",$L138="",N($K138)&lt;=1),"EXCUSED - 1st attempt pending",IF(OR($L138="",$K138&lt;&gt;1,NOT(ISNUMBER($L138)),$L138&gt;=$J138),"",IF(COUNTIFS(nrES_PID,$D138,nrES_Code,$F138,nrES_Att,2,nrES_Raw,"&gt;=0")&gt;0,IF(IFERROR(_xlfn.MINIFS(nrES_Date,nrES_PID,$D138,nrES_Code,$F138,nrES_Att,2,nrES_Raw,"&gt;=0",nrES_Date,"&gt;0"),0)=0,"RETEST UNDATED",IF(NOT(ISNUMBER($T138)),"RETEST DATE UNCHECKED",IF(_xlfn.MINIFS(nrES_Date,nrES_PID,$D138,nrES_Code,$F138,nrES_Att,2,nrES_Raw,"&gt;=0",nrES_Date,"&gt;0")&gt;$T138,"LATE RETEST "&amp;TEXT(_xlfn.MINIFS(nrES_Date,nrES_PID,$D138,nrES_Code,$F138,nrES_Att,2,nrES_Raw,"&gt;=0",nrES_Date,"&gt;0"),"mm/dd")&amp;" (due "&amp;TEXT($T138,"mm/dd")&amp;")","Retested"))),IF(NOT(ISNUMBER($T138)),"CHECK DATE",IF(TODAY()&gt;$T138,"OVERDUE","Due "&amp;TEXT($T138,"mm/dd")))))))</f>
        <v/>
      </c>
      <c r="V138" s="16" t="n"/>
      <c r="W138" s="16" t="n"/>
      <c r="X138" s="17">
        <f>IF($C138="","",IF(AND($L138&lt;&gt;"",NOT(ISNUMBER($L138))),"RAW SCORE NOT A NUMBER",IF(AND(ISNUMBER($L138),OR($L138&lt;0,$L138&gt;100)),"RAW SCORE OUT OF RANGE",IF(AND($Y138="Unexcused",OR($L138="",NOT(ISNUMBER($L138)),$L138&lt;&gt;0)),"UNEXCUSED ABSENCE MUST RECORD 0",IF(COUNTIF(nrES_RecID,$B138)&gt;1,"DUPLICATE RECORD",IF(N($K138)&gt;2,"ATTEMPT 3+ NOT ALLOWED - policy 300.5 permits one retest per exam; this row records nothing",IF(AND($K138=2,COUNTIFS(nrES_PID,$D138,nrES_Code,$F138,nrES_Att,1)=0),"ATTEMPT 2 WITHOUT ATTEMPT 1",IF(AND($K138=2,$L138=""),"RETEST ROW HAS NO SCORE",IF(AND($H138="Final",$L138&lt;&gt;"",IFERROR(INDEX(nrCKfinalExamElig,MATCH($D138,rngCadetPIDs,0)),"")="No"),"FINAL EXAM AFTER FAILED FINAL PT (500.1.H)",IF(AND($K138=2,ISNUMBER($L138),COUNTIFS(nrES_PID,$D138,nrES_Code,$F138,nrES_Att,1)&gt;0,SUMIFS(nrES_Raw,nrES_PID,$D138,nrES_Code,$F138,nrES_Att,1)&gt;=$J138),"RETEST AFTER A PASSING FIRST ATTEMPT","OK"))))))))))</f>
        <v/>
      </c>
      <c r="Y138" s="16" t="n"/>
    </row>
    <row r="139">
      <c r="B139" s="17">
        <f>IF($C139="","",$D139&amp;"-"&amp;$F139&amp;"-"&amp;$K139)</f>
        <v/>
      </c>
      <c r="C139" s="16" t="n"/>
      <c r="D139" s="17">
        <f>IF($C139="","",IFERROR(INDEX(rngCadetPIDs,MATCH($C139,rngCadetNames,0)),"?"))</f>
        <v/>
      </c>
      <c r="E139" s="17">
        <f>IF($D139="","",IFERROR(INDEX(nrCadetAgency,MATCH($D139,rngCadetPIDs,0)),""))</f>
        <v/>
      </c>
      <c r="F139" s="16" t="n"/>
      <c r="G139" s="17">
        <f>IF($F139="","",IFERROR(INDEX(rngEPname,MATCH($F139,rngEPcode,0)),"?"))</f>
        <v/>
      </c>
      <c r="H139" s="17">
        <f>IF($F139="","",IFERROR(INDEX(rngEPtype,MATCH($F139,rngEPcode,0)),"?"))</f>
        <v/>
      </c>
      <c r="I139" s="17">
        <f>IF($F139="","",IFERROR(INDEX(rngEPseq,MATCH($F139,rngEPcode,0)),""))</f>
        <v/>
      </c>
      <c r="J139" s="17">
        <f>IF($F139="","",IFERROR(INDEX(rngEPpass,MATCH($F139,rngEPcode,0)),cfgPassingScore))</f>
        <v/>
      </c>
      <c r="K139" s="16" t="n"/>
      <c r="L139" s="16" t="n"/>
      <c r="M139" s="17">
        <f>IF($C139="","",IF($L139="","",IF(NOT(ISNUMBER($L139)),$L139,IF(N($K139)&gt;2,"",IF($K139=1,IF(COUNTIFS(nrES_PID,$D139,nrES_Code,$F139,nrES_Att,2,nrES_Raw,"&gt;=0")&gt;0,"",$L139),IF($L139&gt;=$J139,MAX($J139,cfgRetakeRecordedCap),IF(COUNTIFS(nrES_PID,$D139,nrES_Code,$F139,nrES_Att,1)=0,$L139,SUMIFS(nrES_Raw,nrES_PID,$D139,nrES_Code,$F139,nrES_Att,1))))))))</f>
        <v/>
      </c>
      <c r="N139" s="17">
        <f>IF($C139="","",IF($L139="","",IF(NOT(ISNUMBER($L139)),"(not a score)",IF($L139&gt;=$J139,"Yes","No"))))</f>
        <v/>
      </c>
      <c r="O139" s="17">
        <f>IF($C139="","",IF($M139="","",IF(NOT(ISNUMBER($M139)),"(not a score)",IF($M139&gt;=$J139,"Yes","No"))))</f>
        <v/>
      </c>
      <c r="P139" s="17">
        <f>IF($C139="","",IF($K139="","",IF(N($K139)&gt;2,"No",IF(COUNTIFS(nrES_PID,$D139,nrES_Code,$F139,nrES_Att,"&gt;"&amp;$K139,nrES_Att,"&lt;=2",nrES_Raw,"&gt;=0")=0,"Yes","No"))))</f>
        <v/>
      </c>
      <c r="Q139" s="17">
        <f>IF($C139="","",IF($L139="","",IF(AND($K139=1,ISNUMBER($L139),$L139&lt;$J139,COUNTIFS(nrES_PID,$D139,nrES_Code,$F139,nrES_Att,2,nrES_Raw,"&gt;=0")=0),"Yes","No")))</f>
        <v/>
      </c>
      <c r="R139" s="17">
        <f>IF($C139="","",IF($L139="","",IF(AND(N($K139)&gt;=2,ISNUMBER($L139),$L139&lt;$J139),"Yes","No")))</f>
        <v/>
      </c>
      <c r="S139" s="18" t="n"/>
      <c r="T139" s="19">
        <f>IF(OR($C139="",$L139="",$K139&lt;&gt;1,NOT(ISNUMBER($L139)),$L139&gt;=$J139),"",IF($S139="","(enter date)",_xlfn.LET(_xlpm.dn,_xlfn.XLOOKUP($S139,nrCDdate,nrCDnum,"",1),IF(_xlpm.dn="","(after last class day)",_xlfn.LET(_xlpm.dd,_xlfn.XLOOKUP(_xlpm.dn+cfgRetestClassDays,nrCDnum,nrCDdate,""),_xlpm.ok,_xlfn.XLOOKUP(_xlpm.dn+cfgRetestClassDays,nrCDnum,nrCDinsession,"No"),IF(OR(_xlpm.dd="",_xlpm.ok&lt;&gt;"Yes"),"(after last class day)",_xlpm.dd))))))</f>
        <v/>
      </c>
      <c r="U139" s="17">
        <f>IF($C139="","",IF(AND($Y139="Excused",$L139="",N($K139)&lt;=1),"EXCUSED - 1st attempt pending",IF(OR($L139="",$K139&lt;&gt;1,NOT(ISNUMBER($L139)),$L139&gt;=$J139),"",IF(COUNTIFS(nrES_PID,$D139,nrES_Code,$F139,nrES_Att,2,nrES_Raw,"&gt;=0")&gt;0,IF(IFERROR(_xlfn.MINIFS(nrES_Date,nrES_PID,$D139,nrES_Code,$F139,nrES_Att,2,nrES_Raw,"&gt;=0",nrES_Date,"&gt;0"),0)=0,"RETEST UNDATED",IF(NOT(ISNUMBER($T139)),"RETEST DATE UNCHECKED",IF(_xlfn.MINIFS(nrES_Date,nrES_PID,$D139,nrES_Code,$F139,nrES_Att,2,nrES_Raw,"&gt;=0",nrES_Date,"&gt;0")&gt;$T139,"LATE RETEST "&amp;TEXT(_xlfn.MINIFS(nrES_Date,nrES_PID,$D139,nrES_Code,$F139,nrES_Att,2,nrES_Raw,"&gt;=0",nrES_Date,"&gt;0"),"mm/dd")&amp;" (due "&amp;TEXT($T139,"mm/dd")&amp;")","Retested"))),IF(NOT(ISNUMBER($T139)),"CHECK DATE",IF(TODAY()&gt;$T139,"OVERDUE","Due "&amp;TEXT($T139,"mm/dd")))))))</f>
        <v/>
      </c>
      <c r="V139" s="16" t="n"/>
      <c r="W139" s="16" t="n"/>
      <c r="X139" s="17">
        <f>IF($C139="","",IF(AND($L139&lt;&gt;"",NOT(ISNUMBER($L139))),"RAW SCORE NOT A NUMBER",IF(AND(ISNUMBER($L139),OR($L139&lt;0,$L139&gt;100)),"RAW SCORE OUT OF RANGE",IF(AND($Y139="Unexcused",OR($L139="",NOT(ISNUMBER($L139)),$L139&lt;&gt;0)),"UNEXCUSED ABSENCE MUST RECORD 0",IF(COUNTIF(nrES_RecID,$B139)&gt;1,"DUPLICATE RECORD",IF(N($K139)&gt;2,"ATTEMPT 3+ NOT ALLOWED - policy 300.5 permits one retest per exam; this row records nothing",IF(AND($K139=2,COUNTIFS(nrES_PID,$D139,nrES_Code,$F139,nrES_Att,1)=0),"ATTEMPT 2 WITHOUT ATTEMPT 1",IF(AND($K139=2,$L139=""),"RETEST ROW HAS NO SCORE",IF(AND($H139="Final",$L139&lt;&gt;"",IFERROR(INDEX(nrCKfinalExamElig,MATCH($D139,rngCadetPIDs,0)),"")="No"),"FINAL EXAM AFTER FAILED FINAL PT (500.1.H)",IF(AND($K139=2,ISNUMBER($L139),COUNTIFS(nrES_PID,$D139,nrES_Code,$F139,nrES_Att,1)&gt;0,SUMIFS(nrES_Raw,nrES_PID,$D139,nrES_Code,$F139,nrES_Att,1)&gt;=$J139),"RETEST AFTER A PASSING FIRST ATTEMPT","OK"))))))))))</f>
        <v/>
      </c>
      <c r="Y139" s="16" t="n"/>
    </row>
    <row r="140">
      <c r="B140" s="17">
        <f>IF($C140="","",$D140&amp;"-"&amp;$F140&amp;"-"&amp;$K140)</f>
        <v/>
      </c>
      <c r="C140" s="16" t="n"/>
      <c r="D140" s="17">
        <f>IF($C140="","",IFERROR(INDEX(rngCadetPIDs,MATCH($C140,rngCadetNames,0)),"?"))</f>
        <v/>
      </c>
      <c r="E140" s="17">
        <f>IF($D140="","",IFERROR(INDEX(nrCadetAgency,MATCH($D140,rngCadetPIDs,0)),""))</f>
        <v/>
      </c>
      <c r="F140" s="16" t="n"/>
      <c r="G140" s="17">
        <f>IF($F140="","",IFERROR(INDEX(rngEPname,MATCH($F140,rngEPcode,0)),"?"))</f>
        <v/>
      </c>
      <c r="H140" s="17">
        <f>IF($F140="","",IFERROR(INDEX(rngEPtype,MATCH($F140,rngEPcode,0)),"?"))</f>
        <v/>
      </c>
      <c r="I140" s="17">
        <f>IF($F140="","",IFERROR(INDEX(rngEPseq,MATCH($F140,rngEPcode,0)),""))</f>
        <v/>
      </c>
      <c r="J140" s="17">
        <f>IF($F140="","",IFERROR(INDEX(rngEPpass,MATCH($F140,rngEPcode,0)),cfgPassingScore))</f>
        <v/>
      </c>
      <c r="K140" s="16" t="n"/>
      <c r="L140" s="16" t="n"/>
      <c r="M140" s="17">
        <f>IF($C140="","",IF($L140="","",IF(NOT(ISNUMBER($L140)),$L140,IF(N($K140)&gt;2,"",IF($K140=1,IF(COUNTIFS(nrES_PID,$D140,nrES_Code,$F140,nrES_Att,2,nrES_Raw,"&gt;=0")&gt;0,"",$L140),IF($L140&gt;=$J140,MAX($J140,cfgRetakeRecordedCap),IF(COUNTIFS(nrES_PID,$D140,nrES_Code,$F140,nrES_Att,1)=0,$L140,SUMIFS(nrES_Raw,nrES_PID,$D140,nrES_Code,$F140,nrES_Att,1))))))))</f>
        <v/>
      </c>
      <c r="N140" s="17">
        <f>IF($C140="","",IF($L140="","",IF(NOT(ISNUMBER($L140)),"(not a score)",IF($L140&gt;=$J140,"Yes","No"))))</f>
        <v/>
      </c>
      <c r="O140" s="17">
        <f>IF($C140="","",IF($M140="","",IF(NOT(ISNUMBER($M140)),"(not a score)",IF($M140&gt;=$J140,"Yes","No"))))</f>
        <v/>
      </c>
      <c r="P140" s="17">
        <f>IF($C140="","",IF($K140="","",IF(N($K140)&gt;2,"No",IF(COUNTIFS(nrES_PID,$D140,nrES_Code,$F140,nrES_Att,"&gt;"&amp;$K140,nrES_Att,"&lt;=2",nrES_Raw,"&gt;=0")=0,"Yes","No"))))</f>
        <v/>
      </c>
      <c r="Q140" s="17">
        <f>IF($C140="","",IF($L140="","",IF(AND($K140=1,ISNUMBER($L140),$L140&lt;$J140,COUNTIFS(nrES_PID,$D140,nrES_Code,$F140,nrES_Att,2,nrES_Raw,"&gt;=0")=0),"Yes","No")))</f>
        <v/>
      </c>
      <c r="R140" s="17">
        <f>IF($C140="","",IF($L140="","",IF(AND(N($K140)&gt;=2,ISNUMBER($L140),$L140&lt;$J140),"Yes","No")))</f>
        <v/>
      </c>
      <c r="S140" s="18" t="n"/>
      <c r="T140" s="19">
        <f>IF(OR($C140="",$L140="",$K140&lt;&gt;1,NOT(ISNUMBER($L140)),$L140&gt;=$J140),"",IF($S140="","(enter date)",_xlfn.LET(_xlpm.dn,_xlfn.XLOOKUP($S140,nrCDdate,nrCDnum,"",1),IF(_xlpm.dn="","(after last class day)",_xlfn.LET(_xlpm.dd,_xlfn.XLOOKUP(_xlpm.dn+cfgRetestClassDays,nrCDnum,nrCDdate,""),_xlpm.ok,_xlfn.XLOOKUP(_xlpm.dn+cfgRetestClassDays,nrCDnum,nrCDinsession,"No"),IF(OR(_xlpm.dd="",_xlpm.ok&lt;&gt;"Yes"),"(after last class day)",_xlpm.dd))))))</f>
        <v/>
      </c>
      <c r="U140" s="17">
        <f>IF($C140="","",IF(AND($Y140="Excused",$L140="",N($K140)&lt;=1),"EXCUSED - 1st attempt pending",IF(OR($L140="",$K140&lt;&gt;1,NOT(ISNUMBER($L140)),$L140&gt;=$J140),"",IF(COUNTIFS(nrES_PID,$D140,nrES_Code,$F140,nrES_Att,2,nrES_Raw,"&gt;=0")&gt;0,IF(IFERROR(_xlfn.MINIFS(nrES_Date,nrES_PID,$D140,nrES_Code,$F140,nrES_Att,2,nrES_Raw,"&gt;=0",nrES_Date,"&gt;0"),0)=0,"RETEST UNDATED",IF(NOT(ISNUMBER($T140)),"RETEST DATE UNCHECKED",IF(_xlfn.MINIFS(nrES_Date,nrES_PID,$D140,nrES_Code,$F140,nrES_Att,2,nrES_Raw,"&gt;=0",nrES_Date,"&gt;0")&gt;$T140,"LATE RETEST "&amp;TEXT(_xlfn.MINIFS(nrES_Date,nrES_PID,$D140,nrES_Code,$F140,nrES_Att,2,nrES_Raw,"&gt;=0",nrES_Date,"&gt;0"),"mm/dd")&amp;" (due "&amp;TEXT($T140,"mm/dd")&amp;")","Retested"))),IF(NOT(ISNUMBER($T140)),"CHECK DATE",IF(TODAY()&gt;$T140,"OVERDUE","Due "&amp;TEXT($T140,"mm/dd")))))))</f>
        <v/>
      </c>
      <c r="V140" s="16" t="n"/>
      <c r="W140" s="16" t="n"/>
      <c r="X140" s="17">
        <f>IF($C140="","",IF(AND($L140&lt;&gt;"",NOT(ISNUMBER($L140))),"RAW SCORE NOT A NUMBER",IF(AND(ISNUMBER($L140),OR($L140&lt;0,$L140&gt;100)),"RAW SCORE OUT OF RANGE",IF(AND($Y140="Unexcused",OR($L140="",NOT(ISNUMBER($L140)),$L140&lt;&gt;0)),"UNEXCUSED ABSENCE MUST RECORD 0",IF(COUNTIF(nrES_RecID,$B140)&gt;1,"DUPLICATE RECORD",IF(N($K140)&gt;2,"ATTEMPT 3+ NOT ALLOWED - policy 300.5 permits one retest per exam; this row records nothing",IF(AND($K140=2,COUNTIFS(nrES_PID,$D140,nrES_Code,$F140,nrES_Att,1)=0),"ATTEMPT 2 WITHOUT ATTEMPT 1",IF(AND($K140=2,$L140=""),"RETEST ROW HAS NO SCORE",IF(AND($H140="Final",$L140&lt;&gt;"",IFERROR(INDEX(nrCKfinalExamElig,MATCH($D140,rngCadetPIDs,0)),"")="No"),"FINAL EXAM AFTER FAILED FINAL PT (500.1.H)",IF(AND($K140=2,ISNUMBER($L140),COUNTIFS(nrES_PID,$D140,nrES_Code,$F140,nrES_Att,1)&gt;0,SUMIFS(nrES_Raw,nrES_PID,$D140,nrES_Code,$F140,nrES_Att,1)&gt;=$J140),"RETEST AFTER A PASSING FIRST ATTEMPT","OK"))))))))))</f>
        <v/>
      </c>
      <c r="Y140" s="16" t="n"/>
    </row>
    <row r="141">
      <c r="B141" s="17">
        <f>IF($C141="","",$D141&amp;"-"&amp;$F141&amp;"-"&amp;$K141)</f>
        <v/>
      </c>
      <c r="C141" s="16" t="n"/>
      <c r="D141" s="17">
        <f>IF($C141="","",IFERROR(INDEX(rngCadetPIDs,MATCH($C141,rngCadetNames,0)),"?"))</f>
        <v/>
      </c>
      <c r="E141" s="17">
        <f>IF($D141="","",IFERROR(INDEX(nrCadetAgency,MATCH($D141,rngCadetPIDs,0)),""))</f>
        <v/>
      </c>
      <c r="F141" s="16" t="n"/>
      <c r="G141" s="17">
        <f>IF($F141="","",IFERROR(INDEX(rngEPname,MATCH($F141,rngEPcode,0)),"?"))</f>
        <v/>
      </c>
      <c r="H141" s="17">
        <f>IF($F141="","",IFERROR(INDEX(rngEPtype,MATCH($F141,rngEPcode,0)),"?"))</f>
        <v/>
      </c>
      <c r="I141" s="17">
        <f>IF($F141="","",IFERROR(INDEX(rngEPseq,MATCH($F141,rngEPcode,0)),""))</f>
        <v/>
      </c>
      <c r="J141" s="17">
        <f>IF($F141="","",IFERROR(INDEX(rngEPpass,MATCH($F141,rngEPcode,0)),cfgPassingScore))</f>
        <v/>
      </c>
      <c r="K141" s="16" t="n"/>
      <c r="L141" s="16" t="n"/>
      <c r="M141" s="17">
        <f>IF($C141="","",IF($L141="","",IF(NOT(ISNUMBER($L141)),$L141,IF(N($K141)&gt;2,"",IF($K141=1,IF(COUNTIFS(nrES_PID,$D141,nrES_Code,$F141,nrES_Att,2,nrES_Raw,"&gt;=0")&gt;0,"",$L141),IF($L141&gt;=$J141,MAX($J141,cfgRetakeRecordedCap),IF(COUNTIFS(nrES_PID,$D141,nrES_Code,$F141,nrES_Att,1)=0,$L141,SUMIFS(nrES_Raw,nrES_PID,$D141,nrES_Code,$F141,nrES_Att,1))))))))</f>
        <v/>
      </c>
      <c r="N141" s="17">
        <f>IF($C141="","",IF($L141="","",IF(NOT(ISNUMBER($L141)),"(not a score)",IF($L141&gt;=$J141,"Yes","No"))))</f>
        <v/>
      </c>
      <c r="O141" s="17">
        <f>IF($C141="","",IF($M141="","",IF(NOT(ISNUMBER($M141)),"(not a score)",IF($M141&gt;=$J141,"Yes","No"))))</f>
        <v/>
      </c>
      <c r="P141" s="17">
        <f>IF($C141="","",IF($K141="","",IF(N($K141)&gt;2,"No",IF(COUNTIFS(nrES_PID,$D141,nrES_Code,$F141,nrES_Att,"&gt;"&amp;$K141,nrES_Att,"&lt;=2",nrES_Raw,"&gt;=0")=0,"Yes","No"))))</f>
        <v/>
      </c>
      <c r="Q141" s="17">
        <f>IF($C141="","",IF($L141="","",IF(AND($K141=1,ISNUMBER($L141),$L141&lt;$J141,COUNTIFS(nrES_PID,$D141,nrES_Code,$F141,nrES_Att,2,nrES_Raw,"&gt;=0")=0),"Yes","No")))</f>
        <v/>
      </c>
      <c r="R141" s="17">
        <f>IF($C141="","",IF($L141="","",IF(AND(N($K141)&gt;=2,ISNUMBER($L141),$L141&lt;$J141),"Yes","No")))</f>
        <v/>
      </c>
      <c r="S141" s="18" t="n"/>
      <c r="T141" s="19">
        <f>IF(OR($C141="",$L141="",$K141&lt;&gt;1,NOT(ISNUMBER($L141)),$L141&gt;=$J141),"",IF($S141="","(enter date)",_xlfn.LET(_xlpm.dn,_xlfn.XLOOKUP($S141,nrCDdate,nrCDnum,"",1),IF(_xlpm.dn="","(after last class day)",_xlfn.LET(_xlpm.dd,_xlfn.XLOOKUP(_xlpm.dn+cfgRetestClassDays,nrCDnum,nrCDdate,""),_xlpm.ok,_xlfn.XLOOKUP(_xlpm.dn+cfgRetestClassDays,nrCDnum,nrCDinsession,"No"),IF(OR(_xlpm.dd="",_xlpm.ok&lt;&gt;"Yes"),"(after last class day)",_xlpm.dd))))))</f>
        <v/>
      </c>
      <c r="U141" s="17">
        <f>IF($C141="","",IF(AND($Y141="Excused",$L141="",N($K141)&lt;=1),"EXCUSED - 1st attempt pending",IF(OR($L141="",$K141&lt;&gt;1,NOT(ISNUMBER($L141)),$L141&gt;=$J141),"",IF(COUNTIFS(nrES_PID,$D141,nrES_Code,$F141,nrES_Att,2,nrES_Raw,"&gt;=0")&gt;0,IF(IFERROR(_xlfn.MINIFS(nrES_Date,nrES_PID,$D141,nrES_Code,$F141,nrES_Att,2,nrES_Raw,"&gt;=0",nrES_Date,"&gt;0"),0)=0,"RETEST UNDATED",IF(NOT(ISNUMBER($T141)),"RETEST DATE UNCHECKED",IF(_xlfn.MINIFS(nrES_Date,nrES_PID,$D141,nrES_Code,$F141,nrES_Att,2,nrES_Raw,"&gt;=0",nrES_Date,"&gt;0")&gt;$T141,"LATE RETEST "&amp;TEXT(_xlfn.MINIFS(nrES_Date,nrES_PID,$D141,nrES_Code,$F141,nrES_Att,2,nrES_Raw,"&gt;=0",nrES_Date,"&gt;0"),"mm/dd")&amp;" (due "&amp;TEXT($T141,"mm/dd")&amp;")","Retested"))),IF(NOT(ISNUMBER($T141)),"CHECK DATE",IF(TODAY()&gt;$T141,"OVERDUE","Due "&amp;TEXT($T141,"mm/dd")))))))</f>
        <v/>
      </c>
      <c r="V141" s="16" t="n"/>
      <c r="W141" s="16" t="n"/>
      <c r="X141" s="17">
        <f>IF($C141="","",IF(AND($L141&lt;&gt;"",NOT(ISNUMBER($L141))),"RAW SCORE NOT A NUMBER",IF(AND(ISNUMBER($L141),OR($L141&lt;0,$L141&gt;100)),"RAW SCORE OUT OF RANGE",IF(AND($Y141="Unexcused",OR($L141="",NOT(ISNUMBER($L141)),$L141&lt;&gt;0)),"UNEXCUSED ABSENCE MUST RECORD 0",IF(COUNTIF(nrES_RecID,$B141)&gt;1,"DUPLICATE RECORD",IF(N($K141)&gt;2,"ATTEMPT 3+ NOT ALLOWED - policy 300.5 permits one retest per exam; this row records nothing",IF(AND($K141=2,COUNTIFS(nrES_PID,$D141,nrES_Code,$F141,nrES_Att,1)=0),"ATTEMPT 2 WITHOUT ATTEMPT 1",IF(AND($K141=2,$L141=""),"RETEST ROW HAS NO SCORE",IF(AND($H141="Final",$L141&lt;&gt;"",IFERROR(INDEX(nrCKfinalExamElig,MATCH($D141,rngCadetPIDs,0)),"")="No"),"FINAL EXAM AFTER FAILED FINAL PT (500.1.H)",IF(AND($K141=2,ISNUMBER($L141),COUNTIFS(nrES_PID,$D141,nrES_Code,$F141,nrES_Att,1)&gt;0,SUMIFS(nrES_Raw,nrES_PID,$D141,nrES_Code,$F141,nrES_Att,1)&gt;=$J141),"RETEST AFTER A PASSING FIRST ATTEMPT","OK"))))))))))</f>
        <v/>
      </c>
      <c r="Y141" s="16" t="n"/>
    </row>
    <row r="142">
      <c r="B142" s="17">
        <f>IF($C142="","",$D142&amp;"-"&amp;$F142&amp;"-"&amp;$K142)</f>
        <v/>
      </c>
      <c r="C142" s="16" t="n"/>
      <c r="D142" s="17">
        <f>IF($C142="","",IFERROR(INDEX(rngCadetPIDs,MATCH($C142,rngCadetNames,0)),"?"))</f>
        <v/>
      </c>
      <c r="E142" s="17">
        <f>IF($D142="","",IFERROR(INDEX(nrCadetAgency,MATCH($D142,rngCadetPIDs,0)),""))</f>
        <v/>
      </c>
      <c r="F142" s="16" t="n"/>
      <c r="G142" s="17">
        <f>IF($F142="","",IFERROR(INDEX(rngEPname,MATCH($F142,rngEPcode,0)),"?"))</f>
        <v/>
      </c>
      <c r="H142" s="17">
        <f>IF($F142="","",IFERROR(INDEX(rngEPtype,MATCH($F142,rngEPcode,0)),"?"))</f>
        <v/>
      </c>
      <c r="I142" s="17">
        <f>IF($F142="","",IFERROR(INDEX(rngEPseq,MATCH($F142,rngEPcode,0)),""))</f>
        <v/>
      </c>
      <c r="J142" s="17">
        <f>IF($F142="","",IFERROR(INDEX(rngEPpass,MATCH($F142,rngEPcode,0)),cfgPassingScore))</f>
        <v/>
      </c>
      <c r="K142" s="16" t="n"/>
      <c r="L142" s="16" t="n"/>
      <c r="M142" s="17">
        <f>IF($C142="","",IF($L142="","",IF(NOT(ISNUMBER($L142)),$L142,IF(N($K142)&gt;2,"",IF($K142=1,IF(COUNTIFS(nrES_PID,$D142,nrES_Code,$F142,nrES_Att,2,nrES_Raw,"&gt;=0")&gt;0,"",$L142),IF($L142&gt;=$J142,MAX($J142,cfgRetakeRecordedCap),IF(COUNTIFS(nrES_PID,$D142,nrES_Code,$F142,nrES_Att,1)=0,$L142,SUMIFS(nrES_Raw,nrES_PID,$D142,nrES_Code,$F142,nrES_Att,1))))))))</f>
        <v/>
      </c>
      <c r="N142" s="17">
        <f>IF($C142="","",IF($L142="","",IF(NOT(ISNUMBER($L142)),"(not a score)",IF($L142&gt;=$J142,"Yes","No"))))</f>
        <v/>
      </c>
      <c r="O142" s="17">
        <f>IF($C142="","",IF($M142="","",IF(NOT(ISNUMBER($M142)),"(not a score)",IF($M142&gt;=$J142,"Yes","No"))))</f>
        <v/>
      </c>
      <c r="P142" s="17">
        <f>IF($C142="","",IF($K142="","",IF(N($K142)&gt;2,"No",IF(COUNTIFS(nrES_PID,$D142,nrES_Code,$F142,nrES_Att,"&gt;"&amp;$K142,nrES_Att,"&lt;=2",nrES_Raw,"&gt;=0")=0,"Yes","No"))))</f>
        <v/>
      </c>
      <c r="Q142" s="17">
        <f>IF($C142="","",IF($L142="","",IF(AND($K142=1,ISNUMBER($L142),$L142&lt;$J142,COUNTIFS(nrES_PID,$D142,nrES_Code,$F142,nrES_Att,2,nrES_Raw,"&gt;=0")=0),"Yes","No")))</f>
        <v/>
      </c>
      <c r="R142" s="17">
        <f>IF($C142="","",IF($L142="","",IF(AND(N($K142)&gt;=2,ISNUMBER($L142),$L142&lt;$J142),"Yes","No")))</f>
        <v/>
      </c>
      <c r="S142" s="18" t="n"/>
      <c r="T142" s="19">
        <f>IF(OR($C142="",$L142="",$K142&lt;&gt;1,NOT(ISNUMBER($L142)),$L142&gt;=$J142),"",IF($S142="","(enter date)",_xlfn.LET(_xlpm.dn,_xlfn.XLOOKUP($S142,nrCDdate,nrCDnum,"",1),IF(_xlpm.dn="","(after last class day)",_xlfn.LET(_xlpm.dd,_xlfn.XLOOKUP(_xlpm.dn+cfgRetestClassDays,nrCDnum,nrCDdate,""),_xlpm.ok,_xlfn.XLOOKUP(_xlpm.dn+cfgRetestClassDays,nrCDnum,nrCDinsession,"No"),IF(OR(_xlpm.dd="",_xlpm.ok&lt;&gt;"Yes"),"(after last class day)",_xlpm.dd))))))</f>
        <v/>
      </c>
      <c r="U142" s="17">
        <f>IF($C142="","",IF(AND($Y142="Excused",$L142="",N($K142)&lt;=1),"EXCUSED - 1st attempt pending",IF(OR($L142="",$K142&lt;&gt;1,NOT(ISNUMBER($L142)),$L142&gt;=$J142),"",IF(COUNTIFS(nrES_PID,$D142,nrES_Code,$F142,nrES_Att,2,nrES_Raw,"&gt;=0")&gt;0,IF(IFERROR(_xlfn.MINIFS(nrES_Date,nrES_PID,$D142,nrES_Code,$F142,nrES_Att,2,nrES_Raw,"&gt;=0",nrES_Date,"&gt;0"),0)=0,"RETEST UNDATED",IF(NOT(ISNUMBER($T142)),"RETEST DATE UNCHECKED",IF(_xlfn.MINIFS(nrES_Date,nrES_PID,$D142,nrES_Code,$F142,nrES_Att,2,nrES_Raw,"&gt;=0",nrES_Date,"&gt;0")&gt;$T142,"LATE RETEST "&amp;TEXT(_xlfn.MINIFS(nrES_Date,nrES_PID,$D142,nrES_Code,$F142,nrES_Att,2,nrES_Raw,"&gt;=0",nrES_Date,"&gt;0"),"mm/dd")&amp;" (due "&amp;TEXT($T142,"mm/dd")&amp;")","Retested"))),IF(NOT(ISNUMBER($T142)),"CHECK DATE",IF(TODAY()&gt;$T142,"OVERDUE","Due "&amp;TEXT($T142,"mm/dd")))))))</f>
        <v/>
      </c>
      <c r="V142" s="16" t="n"/>
      <c r="W142" s="16" t="n"/>
      <c r="X142" s="17">
        <f>IF($C142="","",IF(AND($L142&lt;&gt;"",NOT(ISNUMBER($L142))),"RAW SCORE NOT A NUMBER",IF(AND(ISNUMBER($L142),OR($L142&lt;0,$L142&gt;100)),"RAW SCORE OUT OF RANGE",IF(AND($Y142="Unexcused",OR($L142="",NOT(ISNUMBER($L142)),$L142&lt;&gt;0)),"UNEXCUSED ABSENCE MUST RECORD 0",IF(COUNTIF(nrES_RecID,$B142)&gt;1,"DUPLICATE RECORD",IF(N($K142)&gt;2,"ATTEMPT 3+ NOT ALLOWED - policy 300.5 permits one retest per exam; this row records nothing",IF(AND($K142=2,COUNTIFS(nrES_PID,$D142,nrES_Code,$F142,nrES_Att,1)=0),"ATTEMPT 2 WITHOUT ATTEMPT 1",IF(AND($K142=2,$L142=""),"RETEST ROW HAS NO SCORE",IF(AND($H142="Final",$L142&lt;&gt;"",IFERROR(INDEX(nrCKfinalExamElig,MATCH($D142,rngCadetPIDs,0)),"")="No"),"FINAL EXAM AFTER FAILED FINAL PT (500.1.H)",IF(AND($K142=2,ISNUMBER($L142),COUNTIFS(nrES_PID,$D142,nrES_Code,$F142,nrES_Att,1)&gt;0,SUMIFS(nrES_Raw,nrES_PID,$D142,nrES_Code,$F142,nrES_Att,1)&gt;=$J142),"RETEST AFTER A PASSING FIRST ATTEMPT","OK"))))))))))</f>
        <v/>
      </c>
      <c r="Y142" s="16" t="n"/>
    </row>
    <row r="143">
      <c r="B143" s="17">
        <f>IF($C143="","",$D143&amp;"-"&amp;$F143&amp;"-"&amp;$K143)</f>
        <v/>
      </c>
      <c r="C143" s="16" t="n"/>
      <c r="D143" s="17">
        <f>IF($C143="","",IFERROR(INDEX(rngCadetPIDs,MATCH($C143,rngCadetNames,0)),"?"))</f>
        <v/>
      </c>
      <c r="E143" s="17">
        <f>IF($D143="","",IFERROR(INDEX(nrCadetAgency,MATCH($D143,rngCadetPIDs,0)),""))</f>
        <v/>
      </c>
      <c r="F143" s="16" t="n"/>
      <c r="G143" s="17">
        <f>IF($F143="","",IFERROR(INDEX(rngEPname,MATCH($F143,rngEPcode,0)),"?"))</f>
        <v/>
      </c>
      <c r="H143" s="17">
        <f>IF($F143="","",IFERROR(INDEX(rngEPtype,MATCH($F143,rngEPcode,0)),"?"))</f>
        <v/>
      </c>
      <c r="I143" s="17">
        <f>IF($F143="","",IFERROR(INDEX(rngEPseq,MATCH($F143,rngEPcode,0)),""))</f>
        <v/>
      </c>
      <c r="J143" s="17">
        <f>IF($F143="","",IFERROR(INDEX(rngEPpass,MATCH($F143,rngEPcode,0)),cfgPassingScore))</f>
        <v/>
      </c>
      <c r="K143" s="16" t="n"/>
      <c r="L143" s="16" t="n"/>
      <c r="M143" s="17">
        <f>IF($C143="","",IF($L143="","",IF(NOT(ISNUMBER($L143)),$L143,IF(N($K143)&gt;2,"",IF($K143=1,IF(COUNTIFS(nrES_PID,$D143,nrES_Code,$F143,nrES_Att,2,nrES_Raw,"&gt;=0")&gt;0,"",$L143),IF($L143&gt;=$J143,MAX($J143,cfgRetakeRecordedCap),IF(COUNTIFS(nrES_PID,$D143,nrES_Code,$F143,nrES_Att,1)=0,$L143,SUMIFS(nrES_Raw,nrES_PID,$D143,nrES_Code,$F143,nrES_Att,1))))))))</f>
        <v/>
      </c>
      <c r="N143" s="17">
        <f>IF($C143="","",IF($L143="","",IF(NOT(ISNUMBER($L143)),"(not a score)",IF($L143&gt;=$J143,"Yes","No"))))</f>
        <v/>
      </c>
      <c r="O143" s="17">
        <f>IF($C143="","",IF($M143="","",IF(NOT(ISNUMBER($M143)),"(not a score)",IF($M143&gt;=$J143,"Yes","No"))))</f>
        <v/>
      </c>
      <c r="P143" s="17">
        <f>IF($C143="","",IF($K143="","",IF(N($K143)&gt;2,"No",IF(COUNTIFS(nrES_PID,$D143,nrES_Code,$F143,nrES_Att,"&gt;"&amp;$K143,nrES_Att,"&lt;=2",nrES_Raw,"&gt;=0")=0,"Yes","No"))))</f>
        <v/>
      </c>
      <c r="Q143" s="17">
        <f>IF($C143="","",IF($L143="","",IF(AND($K143=1,ISNUMBER($L143),$L143&lt;$J143,COUNTIFS(nrES_PID,$D143,nrES_Code,$F143,nrES_Att,2,nrES_Raw,"&gt;=0")=0),"Yes","No")))</f>
        <v/>
      </c>
      <c r="R143" s="17">
        <f>IF($C143="","",IF($L143="","",IF(AND(N($K143)&gt;=2,ISNUMBER($L143),$L143&lt;$J143),"Yes","No")))</f>
        <v/>
      </c>
      <c r="S143" s="18" t="n"/>
      <c r="T143" s="19">
        <f>IF(OR($C143="",$L143="",$K143&lt;&gt;1,NOT(ISNUMBER($L143)),$L143&gt;=$J143),"",IF($S143="","(enter date)",_xlfn.LET(_xlpm.dn,_xlfn.XLOOKUP($S143,nrCDdate,nrCDnum,"",1),IF(_xlpm.dn="","(after last class day)",_xlfn.LET(_xlpm.dd,_xlfn.XLOOKUP(_xlpm.dn+cfgRetestClassDays,nrCDnum,nrCDdate,""),_xlpm.ok,_xlfn.XLOOKUP(_xlpm.dn+cfgRetestClassDays,nrCDnum,nrCDinsession,"No"),IF(OR(_xlpm.dd="",_xlpm.ok&lt;&gt;"Yes"),"(after last class day)",_xlpm.dd))))))</f>
        <v/>
      </c>
      <c r="U143" s="17">
        <f>IF($C143="","",IF(AND($Y143="Excused",$L143="",N($K143)&lt;=1),"EXCUSED - 1st attempt pending",IF(OR($L143="",$K143&lt;&gt;1,NOT(ISNUMBER($L143)),$L143&gt;=$J143),"",IF(COUNTIFS(nrES_PID,$D143,nrES_Code,$F143,nrES_Att,2,nrES_Raw,"&gt;=0")&gt;0,IF(IFERROR(_xlfn.MINIFS(nrES_Date,nrES_PID,$D143,nrES_Code,$F143,nrES_Att,2,nrES_Raw,"&gt;=0",nrES_Date,"&gt;0"),0)=0,"RETEST UNDATED",IF(NOT(ISNUMBER($T143)),"RETEST DATE UNCHECKED",IF(_xlfn.MINIFS(nrES_Date,nrES_PID,$D143,nrES_Code,$F143,nrES_Att,2,nrES_Raw,"&gt;=0",nrES_Date,"&gt;0")&gt;$T143,"LATE RETEST "&amp;TEXT(_xlfn.MINIFS(nrES_Date,nrES_PID,$D143,nrES_Code,$F143,nrES_Att,2,nrES_Raw,"&gt;=0",nrES_Date,"&gt;0"),"mm/dd")&amp;" (due "&amp;TEXT($T143,"mm/dd")&amp;")","Retested"))),IF(NOT(ISNUMBER($T143)),"CHECK DATE",IF(TODAY()&gt;$T143,"OVERDUE","Due "&amp;TEXT($T143,"mm/dd")))))))</f>
        <v/>
      </c>
      <c r="V143" s="16" t="n"/>
      <c r="W143" s="16" t="n"/>
      <c r="X143" s="17">
        <f>IF($C143="","",IF(AND($L143&lt;&gt;"",NOT(ISNUMBER($L143))),"RAW SCORE NOT A NUMBER",IF(AND(ISNUMBER($L143),OR($L143&lt;0,$L143&gt;100)),"RAW SCORE OUT OF RANGE",IF(AND($Y143="Unexcused",OR($L143="",NOT(ISNUMBER($L143)),$L143&lt;&gt;0)),"UNEXCUSED ABSENCE MUST RECORD 0",IF(COUNTIF(nrES_RecID,$B143)&gt;1,"DUPLICATE RECORD",IF(N($K143)&gt;2,"ATTEMPT 3+ NOT ALLOWED - policy 300.5 permits one retest per exam; this row records nothing",IF(AND($K143=2,COUNTIFS(nrES_PID,$D143,nrES_Code,$F143,nrES_Att,1)=0),"ATTEMPT 2 WITHOUT ATTEMPT 1",IF(AND($K143=2,$L143=""),"RETEST ROW HAS NO SCORE",IF(AND($H143="Final",$L143&lt;&gt;"",IFERROR(INDEX(nrCKfinalExamElig,MATCH($D143,rngCadetPIDs,0)),"")="No"),"FINAL EXAM AFTER FAILED FINAL PT (500.1.H)",IF(AND($K143=2,ISNUMBER($L143),COUNTIFS(nrES_PID,$D143,nrES_Code,$F143,nrES_Att,1)&gt;0,SUMIFS(nrES_Raw,nrES_PID,$D143,nrES_Code,$F143,nrES_Att,1)&gt;=$J143),"RETEST AFTER A PASSING FIRST ATTEMPT","OK"))))))))))</f>
        <v/>
      </c>
      <c r="Y143" s="16" t="n"/>
    </row>
    <row r="144">
      <c r="B144" s="17">
        <f>IF($C144="","",$D144&amp;"-"&amp;$F144&amp;"-"&amp;$K144)</f>
        <v/>
      </c>
      <c r="C144" s="16" t="n"/>
      <c r="D144" s="17">
        <f>IF($C144="","",IFERROR(INDEX(rngCadetPIDs,MATCH($C144,rngCadetNames,0)),"?"))</f>
        <v/>
      </c>
      <c r="E144" s="17">
        <f>IF($D144="","",IFERROR(INDEX(nrCadetAgency,MATCH($D144,rngCadetPIDs,0)),""))</f>
        <v/>
      </c>
      <c r="F144" s="16" t="n"/>
      <c r="G144" s="17">
        <f>IF($F144="","",IFERROR(INDEX(rngEPname,MATCH($F144,rngEPcode,0)),"?"))</f>
        <v/>
      </c>
      <c r="H144" s="17">
        <f>IF($F144="","",IFERROR(INDEX(rngEPtype,MATCH($F144,rngEPcode,0)),"?"))</f>
        <v/>
      </c>
      <c r="I144" s="17">
        <f>IF($F144="","",IFERROR(INDEX(rngEPseq,MATCH($F144,rngEPcode,0)),""))</f>
        <v/>
      </c>
      <c r="J144" s="17">
        <f>IF($F144="","",IFERROR(INDEX(rngEPpass,MATCH($F144,rngEPcode,0)),cfgPassingScore))</f>
        <v/>
      </c>
      <c r="K144" s="16" t="n"/>
      <c r="L144" s="16" t="n"/>
      <c r="M144" s="17">
        <f>IF($C144="","",IF($L144="","",IF(NOT(ISNUMBER($L144)),$L144,IF(N($K144)&gt;2,"",IF($K144=1,IF(COUNTIFS(nrES_PID,$D144,nrES_Code,$F144,nrES_Att,2,nrES_Raw,"&gt;=0")&gt;0,"",$L144),IF($L144&gt;=$J144,MAX($J144,cfgRetakeRecordedCap),IF(COUNTIFS(nrES_PID,$D144,nrES_Code,$F144,nrES_Att,1)=0,$L144,SUMIFS(nrES_Raw,nrES_PID,$D144,nrES_Code,$F144,nrES_Att,1))))))))</f>
        <v/>
      </c>
      <c r="N144" s="17">
        <f>IF($C144="","",IF($L144="","",IF(NOT(ISNUMBER($L144)),"(not a score)",IF($L144&gt;=$J144,"Yes","No"))))</f>
        <v/>
      </c>
      <c r="O144" s="17">
        <f>IF($C144="","",IF($M144="","",IF(NOT(ISNUMBER($M144)),"(not a score)",IF($M144&gt;=$J144,"Yes","No"))))</f>
        <v/>
      </c>
      <c r="P144" s="17">
        <f>IF($C144="","",IF($K144="","",IF(N($K144)&gt;2,"No",IF(COUNTIFS(nrES_PID,$D144,nrES_Code,$F144,nrES_Att,"&gt;"&amp;$K144,nrES_Att,"&lt;=2",nrES_Raw,"&gt;=0")=0,"Yes","No"))))</f>
        <v/>
      </c>
      <c r="Q144" s="17">
        <f>IF($C144="","",IF($L144="","",IF(AND($K144=1,ISNUMBER($L144),$L144&lt;$J144,COUNTIFS(nrES_PID,$D144,nrES_Code,$F144,nrES_Att,2,nrES_Raw,"&gt;=0")=0),"Yes","No")))</f>
        <v/>
      </c>
      <c r="R144" s="17">
        <f>IF($C144="","",IF($L144="","",IF(AND(N($K144)&gt;=2,ISNUMBER($L144),$L144&lt;$J144),"Yes","No")))</f>
        <v/>
      </c>
      <c r="S144" s="18" t="n"/>
      <c r="T144" s="19">
        <f>IF(OR($C144="",$L144="",$K144&lt;&gt;1,NOT(ISNUMBER($L144)),$L144&gt;=$J144),"",IF($S144="","(enter date)",_xlfn.LET(_xlpm.dn,_xlfn.XLOOKUP($S144,nrCDdate,nrCDnum,"",1),IF(_xlpm.dn="","(after last class day)",_xlfn.LET(_xlpm.dd,_xlfn.XLOOKUP(_xlpm.dn+cfgRetestClassDays,nrCDnum,nrCDdate,""),_xlpm.ok,_xlfn.XLOOKUP(_xlpm.dn+cfgRetestClassDays,nrCDnum,nrCDinsession,"No"),IF(OR(_xlpm.dd="",_xlpm.ok&lt;&gt;"Yes"),"(after last class day)",_xlpm.dd))))))</f>
        <v/>
      </c>
      <c r="U144" s="17">
        <f>IF($C144="","",IF(AND($Y144="Excused",$L144="",N($K144)&lt;=1),"EXCUSED - 1st attempt pending",IF(OR($L144="",$K144&lt;&gt;1,NOT(ISNUMBER($L144)),$L144&gt;=$J144),"",IF(COUNTIFS(nrES_PID,$D144,nrES_Code,$F144,nrES_Att,2,nrES_Raw,"&gt;=0")&gt;0,IF(IFERROR(_xlfn.MINIFS(nrES_Date,nrES_PID,$D144,nrES_Code,$F144,nrES_Att,2,nrES_Raw,"&gt;=0",nrES_Date,"&gt;0"),0)=0,"RETEST UNDATED",IF(NOT(ISNUMBER($T144)),"RETEST DATE UNCHECKED",IF(_xlfn.MINIFS(nrES_Date,nrES_PID,$D144,nrES_Code,$F144,nrES_Att,2,nrES_Raw,"&gt;=0",nrES_Date,"&gt;0")&gt;$T144,"LATE RETEST "&amp;TEXT(_xlfn.MINIFS(nrES_Date,nrES_PID,$D144,nrES_Code,$F144,nrES_Att,2,nrES_Raw,"&gt;=0",nrES_Date,"&gt;0"),"mm/dd")&amp;" (due "&amp;TEXT($T144,"mm/dd")&amp;")","Retested"))),IF(NOT(ISNUMBER($T144)),"CHECK DATE",IF(TODAY()&gt;$T144,"OVERDUE","Due "&amp;TEXT($T144,"mm/dd")))))))</f>
        <v/>
      </c>
      <c r="V144" s="16" t="n"/>
      <c r="W144" s="16" t="n"/>
      <c r="X144" s="17">
        <f>IF($C144="","",IF(AND($L144&lt;&gt;"",NOT(ISNUMBER($L144))),"RAW SCORE NOT A NUMBER",IF(AND(ISNUMBER($L144),OR($L144&lt;0,$L144&gt;100)),"RAW SCORE OUT OF RANGE",IF(AND($Y144="Unexcused",OR($L144="",NOT(ISNUMBER($L144)),$L144&lt;&gt;0)),"UNEXCUSED ABSENCE MUST RECORD 0",IF(COUNTIF(nrES_RecID,$B144)&gt;1,"DUPLICATE RECORD",IF(N($K144)&gt;2,"ATTEMPT 3+ NOT ALLOWED - policy 300.5 permits one retest per exam; this row records nothing",IF(AND($K144=2,COUNTIFS(nrES_PID,$D144,nrES_Code,$F144,nrES_Att,1)=0),"ATTEMPT 2 WITHOUT ATTEMPT 1",IF(AND($K144=2,$L144=""),"RETEST ROW HAS NO SCORE",IF(AND($H144="Final",$L144&lt;&gt;"",IFERROR(INDEX(nrCKfinalExamElig,MATCH($D144,rngCadetPIDs,0)),"")="No"),"FINAL EXAM AFTER FAILED FINAL PT (500.1.H)",IF(AND($K144=2,ISNUMBER($L144),COUNTIFS(nrES_PID,$D144,nrES_Code,$F144,nrES_Att,1)&gt;0,SUMIFS(nrES_Raw,nrES_PID,$D144,nrES_Code,$F144,nrES_Att,1)&gt;=$J144),"RETEST AFTER A PASSING FIRST ATTEMPT","OK"))))))))))</f>
        <v/>
      </c>
      <c r="Y144" s="16" t="n"/>
    </row>
    <row r="145">
      <c r="B145" s="17">
        <f>IF($C145="","",$D145&amp;"-"&amp;$F145&amp;"-"&amp;$K145)</f>
        <v/>
      </c>
      <c r="C145" s="16" t="n"/>
      <c r="D145" s="17">
        <f>IF($C145="","",IFERROR(INDEX(rngCadetPIDs,MATCH($C145,rngCadetNames,0)),"?"))</f>
        <v/>
      </c>
      <c r="E145" s="17">
        <f>IF($D145="","",IFERROR(INDEX(nrCadetAgency,MATCH($D145,rngCadetPIDs,0)),""))</f>
        <v/>
      </c>
      <c r="F145" s="16" t="n"/>
      <c r="G145" s="17">
        <f>IF($F145="","",IFERROR(INDEX(rngEPname,MATCH($F145,rngEPcode,0)),"?"))</f>
        <v/>
      </c>
      <c r="H145" s="17">
        <f>IF($F145="","",IFERROR(INDEX(rngEPtype,MATCH($F145,rngEPcode,0)),"?"))</f>
        <v/>
      </c>
      <c r="I145" s="17">
        <f>IF($F145="","",IFERROR(INDEX(rngEPseq,MATCH($F145,rngEPcode,0)),""))</f>
        <v/>
      </c>
      <c r="J145" s="17">
        <f>IF($F145="","",IFERROR(INDEX(rngEPpass,MATCH($F145,rngEPcode,0)),cfgPassingScore))</f>
        <v/>
      </c>
      <c r="K145" s="16" t="n"/>
      <c r="L145" s="16" t="n"/>
      <c r="M145" s="17">
        <f>IF($C145="","",IF($L145="","",IF(NOT(ISNUMBER($L145)),$L145,IF(N($K145)&gt;2,"",IF($K145=1,IF(COUNTIFS(nrES_PID,$D145,nrES_Code,$F145,nrES_Att,2,nrES_Raw,"&gt;=0")&gt;0,"",$L145),IF($L145&gt;=$J145,MAX($J145,cfgRetakeRecordedCap),IF(COUNTIFS(nrES_PID,$D145,nrES_Code,$F145,nrES_Att,1)=0,$L145,SUMIFS(nrES_Raw,nrES_PID,$D145,nrES_Code,$F145,nrES_Att,1))))))))</f>
        <v/>
      </c>
      <c r="N145" s="17">
        <f>IF($C145="","",IF($L145="","",IF(NOT(ISNUMBER($L145)),"(not a score)",IF($L145&gt;=$J145,"Yes","No"))))</f>
        <v/>
      </c>
      <c r="O145" s="17">
        <f>IF($C145="","",IF($M145="","",IF(NOT(ISNUMBER($M145)),"(not a score)",IF($M145&gt;=$J145,"Yes","No"))))</f>
        <v/>
      </c>
      <c r="P145" s="17">
        <f>IF($C145="","",IF($K145="","",IF(N($K145)&gt;2,"No",IF(COUNTIFS(nrES_PID,$D145,nrES_Code,$F145,nrES_Att,"&gt;"&amp;$K145,nrES_Att,"&lt;=2",nrES_Raw,"&gt;=0")=0,"Yes","No"))))</f>
        <v/>
      </c>
      <c r="Q145" s="17">
        <f>IF($C145="","",IF($L145="","",IF(AND($K145=1,ISNUMBER($L145),$L145&lt;$J145,COUNTIFS(nrES_PID,$D145,nrES_Code,$F145,nrES_Att,2,nrES_Raw,"&gt;=0")=0),"Yes","No")))</f>
        <v/>
      </c>
      <c r="R145" s="17">
        <f>IF($C145="","",IF($L145="","",IF(AND(N($K145)&gt;=2,ISNUMBER($L145),$L145&lt;$J145),"Yes","No")))</f>
        <v/>
      </c>
      <c r="S145" s="18" t="n"/>
      <c r="T145" s="19">
        <f>IF(OR($C145="",$L145="",$K145&lt;&gt;1,NOT(ISNUMBER($L145)),$L145&gt;=$J145),"",IF($S145="","(enter date)",_xlfn.LET(_xlpm.dn,_xlfn.XLOOKUP($S145,nrCDdate,nrCDnum,"",1),IF(_xlpm.dn="","(after last class day)",_xlfn.LET(_xlpm.dd,_xlfn.XLOOKUP(_xlpm.dn+cfgRetestClassDays,nrCDnum,nrCDdate,""),_xlpm.ok,_xlfn.XLOOKUP(_xlpm.dn+cfgRetestClassDays,nrCDnum,nrCDinsession,"No"),IF(OR(_xlpm.dd="",_xlpm.ok&lt;&gt;"Yes"),"(after last class day)",_xlpm.dd))))))</f>
        <v/>
      </c>
      <c r="U145" s="17">
        <f>IF($C145="","",IF(AND($Y145="Excused",$L145="",N($K145)&lt;=1),"EXCUSED - 1st attempt pending",IF(OR($L145="",$K145&lt;&gt;1,NOT(ISNUMBER($L145)),$L145&gt;=$J145),"",IF(COUNTIFS(nrES_PID,$D145,nrES_Code,$F145,nrES_Att,2,nrES_Raw,"&gt;=0")&gt;0,IF(IFERROR(_xlfn.MINIFS(nrES_Date,nrES_PID,$D145,nrES_Code,$F145,nrES_Att,2,nrES_Raw,"&gt;=0",nrES_Date,"&gt;0"),0)=0,"RETEST UNDATED",IF(NOT(ISNUMBER($T145)),"RETEST DATE UNCHECKED",IF(_xlfn.MINIFS(nrES_Date,nrES_PID,$D145,nrES_Code,$F145,nrES_Att,2,nrES_Raw,"&gt;=0",nrES_Date,"&gt;0")&gt;$T145,"LATE RETEST "&amp;TEXT(_xlfn.MINIFS(nrES_Date,nrES_PID,$D145,nrES_Code,$F145,nrES_Att,2,nrES_Raw,"&gt;=0",nrES_Date,"&gt;0"),"mm/dd")&amp;" (due "&amp;TEXT($T145,"mm/dd")&amp;")","Retested"))),IF(NOT(ISNUMBER($T145)),"CHECK DATE",IF(TODAY()&gt;$T145,"OVERDUE","Due "&amp;TEXT($T145,"mm/dd")))))))</f>
        <v/>
      </c>
      <c r="V145" s="16" t="n"/>
      <c r="W145" s="16" t="n"/>
      <c r="X145" s="17">
        <f>IF($C145="","",IF(AND($L145&lt;&gt;"",NOT(ISNUMBER($L145))),"RAW SCORE NOT A NUMBER",IF(AND(ISNUMBER($L145),OR($L145&lt;0,$L145&gt;100)),"RAW SCORE OUT OF RANGE",IF(AND($Y145="Unexcused",OR($L145="",NOT(ISNUMBER($L145)),$L145&lt;&gt;0)),"UNEXCUSED ABSENCE MUST RECORD 0",IF(COUNTIF(nrES_RecID,$B145)&gt;1,"DUPLICATE RECORD",IF(N($K145)&gt;2,"ATTEMPT 3+ NOT ALLOWED - policy 300.5 permits one retest per exam; this row records nothing",IF(AND($K145=2,COUNTIFS(nrES_PID,$D145,nrES_Code,$F145,nrES_Att,1)=0),"ATTEMPT 2 WITHOUT ATTEMPT 1",IF(AND($K145=2,$L145=""),"RETEST ROW HAS NO SCORE",IF(AND($H145="Final",$L145&lt;&gt;"",IFERROR(INDEX(nrCKfinalExamElig,MATCH($D145,rngCadetPIDs,0)),"")="No"),"FINAL EXAM AFTER FAILED FINAL PT (500.1.H)",IF(AND($K145=2,ISNUMBER($L145),COUNTIFS(nrES_PID,$D145,nrES_Code,$F145,nrES_Att,1)&gt;0,SUMIFS(nrES_Raw,nrES_PID,$D145,nrES_Code,$F145,nrES_Att,1)&gt;=$J145),"RETEST AFTER A PASSING FIRST ATTEMPT","OK"))))))))))</f>
        <v/>
      </c>
      <c r="Y145" s="16" t="n"/>
    </row>
    <row r="146">
      <c r="B146" s="17">
        <f>IF($C146="","",$D146&amp;"-"&amp;$F146&amp;"-"&amp;$K146)</f>
        <v/>
      </c>
      <c r="C146" s="16" t="n"/>
      <c r="D146" s="17">
        <f>IF($C146="","",IFERROR(INDEX(rngCadetPIDs,MATCH($C146,rngCadetNames,0)),"?"))</f>
        <v/>
      </c>
      <c r="E146" s="17">
        <f>IF($D146="","",IFERROR(INDEX(nrCadetAgency,MATCH($D146,rngCadetPIDs,0)),""))</f>
        <v/>
      </c>
      <c r="F146" s="16" t="n"/>
      <c r="G146" s="17">
        <f>IF($F146="","",IFERROR(INDEX(rngEPname,MATCH($F146,rngEPcode,0)),"?"))</f>
        <v/>
      </c>
      <c r="H146" s="17">
        <f>IF($F146="","",IFERROR(INDEX(rngEPtype,MATCH($F146,rngEPcode,0)),"?"))</f>
        <v/>
      </c>
      <c r="I146" s="17">
        <f>IF($F146="","",IFERROR(INDEX(rngEPseq,MATCH($F146,rngEPcode,0)),""))</f>
        <v/>
      </c>
      <c r="J146" s="17">
        <f>IF($F146="","",IFERROR(INDEX(rngEPpass,MATCH($F146,rngEPcode,0)),cfgPassingScore))</f>
        <v/>
      </c>
      <c r="K146" s="16" t="n"/>
      <c r="L146" s="16" t="n"/>
      <c r="M146" s="17">
        <f>IF($C146="","",IF($L146="","",IF(NOT(ISNUMBER($L146)),$L146,IF(N($K146)&gt;2,"",IF($K146=1,IF(COUNTIFS(nrES_PID,$D146,nrES_Code,$F146,nrES_Att,2,nrES_Raw,"&gt;=0")&gt;0,"",$L146),IF($L146&gt;=$J146,MAX($J146,cfgRetakeRecordedCap),IF(COUNTIFS(nrES_PID,$D146,nrES_Code,$F146,nrES_Att,1)=0,$L146,SUMIFS(nrES_Raw,nrES_PID,$D146,nrES_Code,$F146,nrES_Att,1))))))))</f>
        <v/>
      </c>
      <c r="N146" s="17">
        <f>IF($C146="","",IF($L146="","",IF(NOT(ISNUMBER($L146)),"(not a score)",IF($L146&gt;=$J146,"Yes","No"))))</f>
        <v/>
      </c>
      <c r="O146" s="17">
        <f>IF($C146="","",IF($M146="","",IF(NOT(ISNUMBER($M146)),"(not a score)",IF($M146&gt;=$J146,"Yes","No"))))</f>
        <v/>
      </c>
      <c r="P146" s="17">
        <f>IF($C146="","",IF($K146="","",IF(N($K146)&gt;2,"No",IF(COUNTIFS(nrES_PID,$D146,nrES_Code,$F146,nrES_Att,"&gt;"&amp;$K146,nrES_Att,"&lt;=2",nrES_Raw,"&gt;=0")=0,"Yes","No"))))</f>
        <v/>
      </c>
      <c r="Q146" s="17">
        <f>IF($C146="","",IF($L146="","",IF(AND($K146=1,ISNUMBER($L146),$L146&lt;$J146,COUNTIFS(nrES_PID,$D146,nrES_Code,$F146,nrES_Att,2,nrES_Raw,"&gt;=0")=0),"Yes","No")))</f>
        <v/>
      </c>
      <c r="R146" s="17">
        <f>IF($C146="","",IF($L146="","",IF(AND(N($K146)&gt;=2,ISNUMBER($L146),$L146&lt;$J146),"Yes","No")))</f>
        <v/>
      </c>
      <c r="S146" s="18" t="n"/>
      <c r="T146" s="19">
        <f>IF(OR($C146="",$L146="",$K146&lt;&gt;1,NOT(ISNUMBER($L146)),$L146&gt;=$J146),"",IF($S146="","(enter date)",_xlfn.LET(_xlpm.dn,_xlfn.XLOOKUP($S146,nrCDdate,nrCDnum,"",1),IF(_xlpm.dn="","(after last class day)",_xlfn.LET(_xlpm.dd,_xlfn.XLOOKUP(_xlpm.dn+cfgRetestClassDays,nrCDnum,nrCDdate,""),_xlpm.ok,_xlfn.XLOOKUP(_xlpm.dn+cfgRetestClassDays,nrCDnum,nrCDinsession,"No"),IF(OR(_xlpm.dd="",_xlpm.ok&lt;&gt;"Yes"),"(after last class day)",_xlpm.dd))))))</f>
        <v/>
      </c>
      <c r="U146" s="17">
        <f>IF($C146="","",IF(AND($Y146="Excused",$L146="",N($K146)&lt;=1),"EXCUSED - 1st attempt pending",IF(OR($L146="",$K146&lt;&gt;1,NOT(ISNUMBER($L146)),$L146&gt;=$J146),"",IF(COUNTIFS(nrES_PID,$D146,nrES_Code,$F146,nrES_Att,2,nrES_Raw,"&gt;=0")&gt;0,IF(IFERROR(_xlfn.MINIFS(nrES_Date,nrES_PID,$D146,nrES_Code,$F146,nrES_Att,2,nrES_Raw,"&gt;=0",nrES_Date,"&gt;0"),0)=0,"RETEST UNDATED",IF(NOT(ISNUMBER($T146)),"RETEST DATE UNCHECKED",IF(_xlfn.MINIFS(nrES_Date,nrES_PID,$D146,nrES_Code,$F146,nrES_Att,2,nrES_Raw,"&gt;=0",nrES_Date,"&gt;0")&gt;$T146,"LATE RETEST "&amp;TEXT(_xlfn.MINIFS(nrES_Date,nrES_PID,$D146,nrES_Code,$F146,nrES_Att,2,nrES_Raw,"&gt;=0",nrES_Date,"&gt;0"),"mm/dd")&amp;" (due "&amp;TEXT($T146,"mm/dd")&amp;")","Retested"))),IF(NOT(ISNUMBER($T146)),"CHECK DATE",IF(TODAY()&gt;$T146,"OVERDUE","Due "&amp;TEXT($T146,"mm/dd")))))))</f>
        <v/>
      </c>
      <c r="V146" s="16" t="n"/>
      <c r="W146" s="16" t="n"/>
      <c r="X146" s="17">
        <f>IF($C146="","",IF(AND($L146&lt;&gt;"",NOT(ISNUMBER($L146))),"RAW SCORE NOT A NUMBER",IF(AND(ISNUMBER($L146),OR($L146&lt;0,$L146&gt;100)),"RAW SCORE OUT OF RANGE",IF(AND($Y146="Unexcused",OR($L146="",NOT(ISNUMBER($L146)),$L146&lt;&gt;0)),"UNEXCUSED ABSENCE MUST RECORD 0",IF(COUNTIF(nrES_RecID,$B146)&gt;1,"DUPLICATE RECORD",IF(N($K146)&gt;2,"ATTEMPT 3+ NOT ALLOWED - policy 300.5 permits one retest per exam; this row records nothing",IF(AND($K146=2,COUNTIFS(nrES_PID,$D146,nrES_Code,$F146,nrES_Att,1)=0),"ATTEMPT 2 WITHOUT ATTEMPT 1",IF(AND($K146=2,$L146=""),"RETEST ROW HAS NO SCORE",IF(AND($H146="Final",$L146&lt;&gt;"",IFERROR(INDEX(nrCKfinalExamElig,MATCH($D146,rngCadetPIDs,0)),"")="No"),"FINAL EXAM AFTER FAILED FINAL PT (500.1.H)",IF(AND($K146=2,ISNUMBER($L146),COUNTIFS(nrES_PID,$D146,nrES_Code,$F146,nrES_Att,1)&gt;0,SUMIFS(nrES_Raw,nrES_PID,$D146,nrES_Code,$F146,nrES_Att,1)&gt;=$J146),"RETEST AFTER A PASSING FIRST ATTEMPT","OK"))))))))))</f>
        <v/>
      </c>
      <c r="Y146" s="16" t="n"/>
    </row>
    <row r="147">
      <c r="B147" s="17">
        <f>IF($C147="","",$D147&amp;"-"&amp;$F147&amp;"-"&amp;$K147)</f>
        <v/>
      </c>
      <c r="C147" s="16" t="n"/>
      <c r="D147" s="17">
        <f>IF($C147="","",IFERROR(INDEX(rngCadetPIDs,MATCH($C147,rngCadetNames,0)),"?"))</f>
        <v/>
      </c>
      <c r="E147" s="17">
        <f>IF($D147="","",IFERROR(INDEX(nrCadetAgency,MATCH($D147,rngCadetPIDs,0)),""))</f>
        <v/>
      </c>
      <c r="F147" s="16" t="n"/>
      <c r="G147" s="17">
        <f>IF($F147="","",IFERROR(INDEX(rngEPname,MATCH($F147,rngEPcode,0)),"?"))</f>
        <v/>
      </c>
      <c r="H147" s="17">
        <f>IF($F147="","",IFERROR(INDEX(rngEPtype,MATCH($F147,rngEPcode,0)),"?"))</f>
        <v/>
      </c>
      <c r="I147" s="17">
        <f>IF($F147="","",IFERROR(INDEX(rngEPseq,MATCH($F147,rngEPcode,0)),""))</f>
        <v/>
      </c>
      <c r="J147" s="17">
        <f>IF($F147="","",IFERROR(INDEX(rngEPpass,MATCH($F147,rngEPcode,0)),cfgPassingScore))</f>
        <v/>
      </c>
      <c r="K147" s="16" t="n"/>
      <c r="L147" s="16" t="n"/>
      <c r="M147" s="17">
        <f>IF($C147="","",IF($L147="","",IF(NOT(ISNUMBER($L147)),$L147,IF(N($K147)&gt;2,"",IF($K147=1,IF(COUNTIFS(nrES_PID,$D147,nrES_Code,$F147,nrES_Att,2,nrES_Raw,"&gt;=0")&gt;0,"",$L147),IF($L147&gt;=$J147,MAX($J147,cfgRetakeRecordedCap),IF(COUNTIFS(nrES_PID,$D147,nrES_Code,$F147,nrES_Att,1)=0,$L147,SUMIFS(nrES_Raw,nrES_PID,$D147,nrES_Code,$F147,nrES_Att,1))))))))</f>
        <v/>
      </c>
      <c r="N147" s="17">
        <f>IF($C147="","",IF($L147="","",IF(NOT(ISNUMBER($L147)),"(not a score)",IF($L147&gt;=$J147,"Yes","No"))))</f>
        <v/>
      </c>
      <c r="O147" s="17">
        <f>IF($C147="","",IF($M147="","",IF(NOT(ISNUMBER($M147)),"(not a score)",IF($M147&gt;=$J147,"Yes","No"))))</f>
        <v/>
      </c>
      <c r="P147" s="17">
        <f>IF($C147="","",IF($K147="","",IF(N($K147)&gt;2,"No",IF(COUNTIFS(nrES_PID,$D147,nrES_Code,$F147,nrES_Att,"&gt;"&amp;$K147,nrES_Att,"&lt;=2",nrES_Raw,"&gt;=0")=0,"Yes","No"))))</f>
        <v/>
      </c>
      <c r="Q147" s="17">
        <f>IF($C147="","",IF($L147="","",IF(AND($K147=1,ISNUMBER($L147),$L147&lt;$J147,COUNTIFS(nrES_PID,$D147,nrES_Code,$F147,nrES_Att,2,nrES_Raw,"&gt;=0")=0),"Yes","No")))</f>
        <v/>
      </c>
      <c r="R147" s="17">
        <f>IF($C147="","",IF($L147="","",IF(AND(N($K147)&gt;=2,ISNUMBER($L147),$L147&lt;$J147),"Yes","No")))</f>
        <v/>
      </c>
      <c r="S147" s="18" t="n"/>
      <c r="T147" s="19">
        <f>IF(OR($C147="",$L147="",$K147&lt;&gt;1,NOT(ISNUMBER($L147)),$L147&gt;=$J147),"",IF($S147="","(enter date)",_xlfn.LET(_xlpm.dn,_xlfn.XLOOKUP($S147,nrCDdate,nrCDnum,"",1),IF(_xlpm.dn="","(after last class day)",_xlfn.LET(_xlpm.dd,_xlfn.XLOOKUP(_xlpm.dn+cfgRetestClassDays,nrCDnum,nrCDdate,""),_xlpm.ok,_xlfn.XLOOKUP(_xlpm.dn+cfgRetestClassDays,nrCDnum,nrCDinsession,"No"),IF(OR(_xlpm.dd="",_xlpm.ok&lt;&gt;"Yes"),"(after last class day)",_xlpm.dd))))))</f>
        <v/>
      </c>
      <c r="U147" s="17">
        <f>IF($C147="","",IF(AND($Y147="Excused",$L147="",N($K147)&lt;=1),"EXCUSED - 1st attempt pending",IF(OR($L147="",$K147&lt;&gt;1,NOT(ISNUMBER($L147)),$L147&gt;=$J147),"",IF(COUNTIFS(nrES_PID,$D147,nrES_Code,$F147,nrES_Att,2,nrES_Raw,"&gt;=0")&gt;0,IF(IFERROR(_xlfn.MINIFS(nrES_Date,nrES_PID,$D147,nrES_Code,$F147,nrES_Att,2,nrES_Raw,"&gt;=0",nrES_Date,"&gt;0"),0)=0,"RETEST UNDATED",IF(NOT(ISNUMBER($T147)),"RETEST DATE UNCHECKED",IF(_xlfn.MINIFS(nrES_Date,nrES_PID,$D147,nrES_Code,$F147,nrES_Att,2,nrES_Raw,"&gt;=0",nrES_Date,"&gt;0")&gt;$T147,"LATE RETEST "&amp;TEXT(_xlfn.MINIFS(nrES_Date,nrES_PID,$D147,nrES_Code,$F147,nrES_Att,2,nrES_Raw,"&gt;=0",nrES_Date,"&gt;0"),"mm/dd")&amp;" (due "&amp;TEXT($T147,"mm/dd")&amp;")","Retested"))),IF(NOT(ISNUMBER($T147)),"CHECK DATE",IF(TODAY()&gt;$T147,"OVERDUE","Due "&amp;TEXT($T147,"mm/dd")))))))</f>
        <v/>
      </c>
      <c r="V147" s="16" t="n"/>
      <c r="W147" s="16" t="n"/>
      <c r="X147" s="17">
        <f>IF($C147="","",IF(AND($L147&lt;&gt;"",NOT(ISNUMBER($L147))),"RAW SCORE NOT A NUMBER",IF(AND(ISNUMBER($L147),OR($L147&lt;0,$L147&gt;100)),"RAW SCORE OUT OF RANGE",IF(AND($Y147="Unexcused",OR($L147="",NOT(ISNUMBER($L147)),$L147&lt;&gt;0)),"UNEXCUSED ABSENCE MUST RECORD 0",IF(COUNTIF(nrES_RecID,$B147)&gt;1,"DUPLICATE RECORD",IF(N($K147)&gt;2,"ATTEMPT 3+ NOT ALLOWED - policy 300.5 permits one retest per exam; this row records nothing",IF(AND($K147=2,COUNTIFS(nrES_PID,$D147,nrES_Code,$F147,nrES_Att,1)=0),"ATTEMPT 2 WITHOUT ATTEMPT 1",IF(AND($K147=2,$L147=""),"RETEST ROW HAS NO SCORE",IF(AND($H147="Final",$L147&lt;&gt;"",IFERROR(INDEX(nrCKfinalExamElig,MATCH($D147,rngCadetPIDs,0)),"")="No"),"FINAL EXAM AFTER FAILED FINAL PT (500.1.H)",IF(AND($K147=2,ISNUMBER($L147),COUNTIFS(nrES_PID,$D147,nrES_Code,$F147,nrES_Att,1)&gt;0,SUMIFS(nrES_Raw,nrES_PID,$D147,nrES_Code,$F147,nrES_Att,1)&gt;=$J147),"RETEST AFTER A PASSING FIRST ATTEMPT","OK"))))))))))</f>
        <v/>
      </c>
      <c r="Y147" s="16" t="n"/>
    </row>
    <row r="148">
      <c r="B148" s="17">
        <f>IF($C148="","",$D148&amp;"-"&amp;$F148&amp;"-"&amp;$K148)</f>
        <v/>
      </c>
      <c r="C148" s="16" t="n"/>
      <c r="D148" s="17">
        <f>IF($C148="","",IFERROR(INDEX(rngCadetPIDs,MATCH($C148,rngCadetNames,0)),"?"))</f>
        <v/>
      </c>
      <c r="E148" s="17">
        <f>IF($D148="","",IFERROR(INDEX(nrCadetAgency,MATCH($D148,rngCadetPIDs,0)),""))</f>
        <v/>
      </c>
      <c r="F148" s="16" t="n"/>
      <c r="G148" s="17">
        <f>IF($F148="","",IFERROR(INDEX(rngEPname,MATCH($F148,rngEPcode,0)),"?"))</f>
        <v/>
      </c>
      <c r="H148" s="17">
        <f>IF($F148="","",IFERROR(INDEX(rngEPtype,MATCH($F148,rngEPcode,0)),"?"))</f>
        <v/>
      </c>
      <c r="I148" s="17">
        <f>IF($F148="","",IFERROR(INDEX(rngEPseq,MATCH($F148,rngEPcode,0)),""))</f>
        <v/>
      </c>
      <c r="J148" s="17">
        <f>IF($F148="","",IFERROR(INDEX(rngEPpass,MATCH($F148,rngEPcode,0)),cfgPassingScore))</f>
        <v/>
      </c>
      <c r="K148" s="16" t="n"/>
      <c r="L148" s="16" t="n"/>
      <c r="M148" s="17">
        <f>IF($C148="","",IF($L148="","",IF(NOT(ISNUMBER($L148)),$L148,IF(N($K148)&gt;2,"",IF($K148=1,IF(COUNTIFS(nrES_PID,$D148,nrES_Code,$F148,nrES_Att,2,nrES_Raw,"&gt;=0")&gt;0,"",$L148),IF($L148&gt;=$J148,MAX($J148,cfgRetakeRecordedCap),IF(COUNTIFS(nrES_PID,$D148,nrES_Code,$F148,nrES_Att,1)=0,$L148,SUMIFS(nrES_Raw,nrES_PID,$D148,nrES_Code,$F148,nrES_Att,1))))))))</f>
        <v/>
      </c>
      <c r="N148" s="17">
        <f>IF($C148="","",IF($L148="","",IF(NOT(ISNUMBER($L148)),"(not a score)",IF($L148&gt;=$J148,"Yes","No"))))</f>
        <v/>
      </c>
      <c r="O148" s="17">
        <f>IF($C148="","",IF($M148="","",IF(NOT(ISNUMBER($M148)),"(not a score)",IF($M148&gt;=$J148,"Yes","No"))))</f>
        <v/>
      </c>
      <c r="P148" s="17">
        <f>IF($C148="","",IF($K148="","",IF(N($K148)&gt;2,"No",IF(COUNTIFS(nrES_PID,$D148,nrES_Code,$F148,nrES_Att,"&gt;"&amp;$K148,nrES_Att,"&lt;=2",nrES_Raw,"&gt;=0")=0,"Yes","No"))))</f>
        <v/>
      </c>
      <c r="Q148" s="17">
        <f>IF($C148="","",IF($L148="","",IF(AND($K148=1,ISNUMBER($L148),$L148&lt;$J148,COUNTIFS(nrES_PID,$D148,nrES_Code,$F148,nrES_Att,2,nrES_Raw,"&gt;=0")=0),"Yes","No")))</f>
        <v/>
      </c>
      <c r="R148" s="17">
        <f>IF($C148="","",IF($L148="","",IF(AND(N($K148)&gt;=2,ISNUMBER($L148),$L148&lt;$J148),"Yes","No")))</f>
        <v/>
      </c>
      <c r="S148" s="18" t="n"/>
      <c r="T148" s="19">
        <f>IF(OR($C148="",$L148="",$K148&lt;&gt;1,NOT(ISNUMBER($L148)),$L148&gt;=$J148),"",IF($S148="","(enter date)",_xlfn.LET(_xlpm.dn,_xlfn.XLOOKUP($S148,nrCDdate,nrCDnum,"",1),IF(_xlpm.dn="","(after last class day)",_xlfn.LET(_xlpm.dd,_xlfn.XLOOKUP(_xlpm.dn+cfgRetestClassDays,nrCDnum,nrCDdate,""),_xlpm.ok,_xlfn.XLOOKUP(_xlpm.dn+cfgRetestClassDays,nrCDnum,nrCDinsession,"No"),IF(OR(_xlpm.dd="",_xlpm.ok&lt;&gt;"Yes"),"(after last class day)",_xlpm.dd))))))</f>
        <v/>
      </c>
      <c r="U148" s="17">
        <f>IF($C148="","",IF(AND($Y148="Excused",$L148="",N($K148)&lt;=1),"EXCUSED - 1st attempt pending",IF(OR($L148="",$K148&lt;&gt;1,NOT(ISNUMBER($L148)),$L148&gt;=$J148),"",IF(COUNTIFS(nrES_PID,$D148,nrES_Code,$F148,nrES_Att,2,nrES_Raw,"&gt;=0")&gt;0,IF(IFERROR(_xlfn.MINIFS(nrES_Date,nrES_PID,$D148,nrES_Code,$F148,nrES_Att,2,nrES_Raw,"&gt;=0",nrES_Date,"&gt;0"),0)=0,"RETEST UNDATED",IF(NOT(ISNUMBER($T148)),"RETEST DATE UNCHECKED",IF(_xlfn.MINIFS(nrES_Date,nrES_PID,$D148,nrES_Code,$F148,nrES_Att,2,nrES_Raw,"&gt;=0",nrES_Date,"&gt;0")&gt;$T148,"LATE RETEST "&amp;TEXT(_xlfn.MINIFS(nrES_Date,nrES_PID,$D148,nrES_Code,$F148,nrES_Att,2,nrES_Raw,"&gt;=0",nrES_Date,"&gt;0"),"mm/dd")&amp;" (due "&amp;TEXT($T148,"mm/dd")&amp;")","Retested"))),IF(NOT(ISNUMBER($T148)),"CHECK DATE",IF(TODAY()&gt;$T148,"OVERDUE","Due "&amp;TEXT($T148,"mm/dd")))))))</f>
        <v/>
      </c>
      <c r="V148" s="16" t="n"/>
      <c r="W148" s="16" t="n"/>
      <c r="X148" s="17">
        <f>IF($C148="","",IF(AND($L148&lt;&gt;"",NOT(ISNUMBER($L148))),"RAW SCORE NOT A NUMBER",IF(AND(ISNUMBER($L148),OR($L148&lt;0,$L148&gt;100)),"RAW SCORE OUT OF RANGE",IF(AND($Y148="Unexcused",OR($L148="",NOT(ISNUMBER($L148)),$L148&lt;&gt;0)),"UNEXCUSED ABSENCE MUST RECORD 0",IF(COUNTIF(nrES_RecID,$B148)&gt;1,"DUPLICATE RECORD",IF(N($K148)&gt;2,"ATTEMPT 3+ NOT ALLOWED - policy 300.5 permits one retest per exam; this row records nothing",IF(AND($K148=2,COUNTIFS(nrES_PID,$D148,nrES_Code,$F148,nrES_Att,1)=0),"ATTEMPT 2 WITHOUT ATTEMPT 1",IF(AND($K148=2,$L148=""),"RETEST ROW HAS NO SCORE",IF(AND($H148="Final",$L148&lt;&gt;"",IFERROR(INDEX(nrCKfinalExamElig,MATCH($D148,rngCadetPIDs,0)),"")="No"),"FINAL EXAM AFTER FAILED FINAL PT (500.1.H)",IF(AND($K148=2,ISNUMBER($L148),COUNTIFS(nrES_PID,$D148,nrES_Code,$F148,nrES_Att,1)&gt;0,SUMIFS(nrES_Raw,nrES_PID,$D148,nrES_Code,$F148,nrES_Att,1)&gt;=$J148),"RETEST AFTER A PASSING FIRST ATTEMPT","OK"))))))))))</f>
        <v/>
      </c>
      <c r="Y148" s="16" t="n"/>
    </row>
    <row r="149">
      <c r="B149" s="17">
        <f>IF($C149="","",$D149&amp;"-"&amp;$F149&amp;"-"&amp;$K149)</f>
        <v/>
      </c>
      <c r="C149" s="16" t="n"/>
      <c r="D149" s="17">
        <f>IF($C149="","",IFERROR(INDEX(rngCadetPIDs,MATCH($C149,rngCadetNames,0)),"?"))</f>
        <v/>
      </c>
      <c r="E149" s="17">
        <f>IF($D149="","",IFERROR(INDEX(nrCadetAgency,MATCH($D149,rngCadetPIDs,0)),""))</f>
        <v/>
      </c>
      <c r="F149" s="16" t="n"/>
      <c r="G149" s="17">
        <f>IF($F149="","",IFERROR(INDEX(rngEPname,MATCH($F149,rngEPcode,0)),"?"))</f>
        <v/>
      </c>
      <c r="H149" s="17">
        <f>IF($F149="","",IFERROR(INDEX(rngEPtype,MATCH($F149,rngEPcode,0)),"?"))</f>
        <v/>
      </c>
      <c r="I149" s="17">
        <f>IF($F149="","",IFERROR(INDEX(rngEPseq,MATCH($F149,rngEPcode,0)),""))</f>
        <v/>
      </c>
      <c r="J149" s="17">
        <f>IF($F149="","",IFERROR(INDEX(rngEPpass,MATCH($F149,rngEPcode,0)),cfgPassingScore))</f>
        <v/>
      </c>
      <c r="K149" s="16" t="n"/>
      <c r="L149" s="16" t="n"/>
      <c r="M149" s="17">
        <f>IF($C149="","",IF($L149="","",IF(NOT(ISNUMBER($L149)),$L149,IF(N($K149)&gt;2,"",IF($K149=1,IF(COUNTIFS(nrES_PID,$D149,nrES_Code,$F149,nrES_Att,2,nrES_Raw,"&gt;=0")&gt;0,"",$L149),IF($L149&gt;=$J149,MAX($J149,cfgRetakeRecordedCap),IF(COUNTIFS(nrES_PID,$D149,nrES_Code,$F149,nrES_Att,1)=0,$L149,SUMIFS(nrES_Raw,nrES_PID,$D149,nrES_Code,$F149,nrES_Att,1))))))))</f>
        <v/>
      </c>
      <c r="N149" s="17">
        <f>IF($C149="","",IF($L149="","",IF(NOT(ISNUMBER($L149)),"(not a score)",IF($L149&gt;=$J149,"Yes","No"))))</f>
        <v/>
      </c>
      <c r="O149" s="17">
        <f>IF($C149="","",IF($M149="","",IF(NOT(ISNUMBER($M149)),"(not a score)",IF($M149&gt;=$J149,"Yes","No"))))</f>
        <v/>
      </c>
      <c r="P149" s="17">
        <f>IF($C149="","",IF($K149="","",IF(N($K149)&gt;2,"No",IF(COUNTIFS(nrES_PID,$D149,nrES_Code,$F149,nrES_Att,"&gt;"&amp;$K149,nrES_Att,"&lt;=2",nrES_Raw,"&gt;=0")=0,"Yes","No"))))</f>
        <v/>
      </c>
      <c r="Q149" s="17">
        <f>IF($C149="","",IF($L149="","",IF(AND($K149=1,ISNUMBER($L149),$L149&lt;$J149,COUNTIFS(nrES_PID,$D149,nrES_Code,$F149,nrES_Att,2,nrES_Raw,"&gt;=0")=0),"Yes","No")))</f>
        <v/>
      </c>
      <c r="R149" s="17">
        <f>IF($C149="","",IF($L149="","",IF(AND(N($K149)&gt;=2,ISNUMBER($L149),$L149&lt;$J149),"Yes","No")))</f>
        <v/>
      </c>
      <c r="S149" s="18" t="n"/>
      <c r="T149" s="19">
        <f>IF(OR($C149="",$L149="",$K149&lt;&gt;1,NOT(ISNUMBER($L149)),$L149&gt;=$J149),"",IF($S149="","(enter date)",_xlfn.LET(_xlpm.dn,_xlfn.XLOOKUP($S149,nrCDdate,nrCDnum,"",1),IF(_xlpm.dn="","(after last class day)",_xlfn.LET(_xlpm.dd,_xlfn.XLOOKUP(_xlpm.dn+cfgRetestClassDays,nrCDnum,nrCDdate,""),_xlpm.ok,_xlfn.XLOOKUP(_xlpm.dn+cfgRetestClassDays,nrCDnum,nrCDinsession,"No"),IF(OR(_xlpm.dd="",_xlpm.ok&lt;&gt;"Yes"),"(after last class day)",_xlpm.dd))))))</f>
        <v/>
      </c>
      <c r="U149" s="17">
        <f>IF($C149="","",IF(AND($Y149="Excused",$L149="",N($K149)&lt;=1),"EXCUSED - 1st attempt pending",IF(OR($L149="",$K149&lt;&gt;1,NOT(ISNUMBER($L149)),$L149&gt;=$J149),"",IF(COUNTIFS(nrES_PID,$D149,nrES_Code,$F149,nrES_Att,2,nrES_Raw,"&gt;=0")&gt;0,IF(IFERROR(_xlfn.MINIFS(nrES_Date,nrES_PID,$D149,nrES_Code,$F149,nrES_Att,2,nrES_Raw,"&gt;=0",nrES_Date,"&gt;0"),0)=0,"RETEST UNDATED",IF(NOT(ISNUMBER($T149)),"RETEST DATE UNCHECKED",IF(_xlfn.MINIFS(nrES_Date,nrES_PID,$D149,nrES_Code,$F149,nrES_Att,2,nrES_Raw,"&gt;=0",nrES_Date,"&gt;0")&gt;$T149,"LATE RETEST "&amp;TEXT(_xlfn.MINIFS(nrES_Date,nrES_PID,$D149,nrES_Code,$F149,nrES_Att,2,nrES_Raw,"&gt;=0",nrES_Date,"&gt;0"),"mm/dd")&amp;" (due "&amp;TEXT($T149,"mm/dd")&amp;")","Retested"))),IF(NOT(ISNUMBER($T149)),"CHECK DATE",IF(TODAY()&gt;$T149,"OVERDUE","Due "&amp;TEXT($T149,"mm/dd")))))))</f>
        <v/>
      </c>
      <c r="V149" s="16" t="n"/>
      <c r="W149" s="16" t="n"/>
      <c r="X149" s="17">
        <f>IF($C149="","",IF(AND($L149&lt;&gt;"",NOT(ISNUMBER($L149))),"RAW SCORE NOT A NUMBER",IF(AND(ISNUMBER($L149),OR($L149&lt;0,$L149&gt;100)),"RAW SCORE OUT OF RANGE",IF(AND($Y149="Unexcused",OR($L149="",NOT(ISNUMBER($L149)),$L149&lt;&gt;0)),"UNEXCUSED ABSENCE MUST RECORD 0",IF(COUNTIF(nrES_RecID,$B149)&gt;1,"DUPLICATE RECORD",IF(N($K149)&gt;2,"ATTEMPT 3+ NOT ALLOWED - policy 300.5 permits one retest per exam; this row records nothing",IF(AND($K149=2,COUNTIFS(nrES_PID,$D149,nrES_Code,$F149,nrES_Att,1)=0),"ATTEMPT 2 WITHOUT ATTEMPT 1",IF(AND($K149=2,$L149=""),"RETEST ROW HAS NO SCORE",IF(AND($H149="Final",$L149&lt;&gt;"",IFERROR(INDEX(nrCKfinalExamElig,MATCH($D149,rngCadetPIDs,0)),"")="No"),"FINAL EXAM AFTER FAILED FINAL PT (500.1.H)",IF(AND($K149=2,ISNUMBER($L149),COUNTIFS(nrES_PID,$D149,nrES_Code,$F149,nrES_Att,1)&gt;0,SUMIFS(nrES_Raw,nrES_PID,$D149,nrES_Code,$F149,nrES_Att,1)&gt;=$J149),"RETEST AFTER A PASSING FIRST ATTEMPT","OK"))))))))))</f>
        <v/>
      </c>
      <c r="Y149" s="16" t="n"/>
    </row>
    <row r="150">
      <c r="B150" s="17">
        <f>IF($C150="","",$D150&amp;"-"&amp;$F150&amp;"-"&amp;$K150)</f>
        <v/>
      </c>
      <c r="C150" s="16" t="n"/>
      <c r="D150" s="17">
        <f>IF($C150="","",IFERROR(INDEX(rngCadetPIDs,MATCH($C150,rngCadetNames,0)),"?"))</f>
        <v/>
      </c>
      <c r="E150" s="17">
        <f>IF($D150="","",IFERROR(INDEX(nrCadetAgency,MATCH($D150,rngCadetPIDs,0)),""))</f>
        <v/>
      </c>
      <c r="F150" s="16" t="n"/>
      <c r="G150" s="17">
        <f>IF($F150="","",IFERROR(INDEX(rngEPname,MATCH($F150,rngEPcode,0)),"?"))</f>
        <v/>
      </c>
      <c r="H150" s="17">
        <f>IF($F150="","",IFERROR(INDEX(rngEPtype,MATCH($F150,rngEPcode,0)),"?"))</f>
        <v/>
      </c>
      <c r="I150" s="17">
        <f>IF($F150="","",IFERROR(INDEX(rngEPseq,MATCH($F150,rngEPcode,0)),""))</f>
        <v/>
      </c>
      <c r="J150" s="17">
        <f>IF($F150="","",IFERROR(INDEX(rngEPpass,MATCH($F150,rngEPcode,0)),cfgPassingScore))</f>
        <v/>
      </c>
      <c r="K150" s="16" t="n"/>
      <c r="L150" s="16" t="n"/>
      <c r="M150" s="17">
        <f>IF($C150="","",IF($L150="","",IF(NOT(ISNUMBER($L150)),$L150,IF(N($K150)&gt;2,"",IF($K150=1,IF(COUNTIFS(nrES_PID,$D150,nrES_Code,$F150,nrES_Att,2,nrES_Raw,"&gt;=0")&gt;0,"",$L150),IF($L150&gt;=$J150,MAX($J150,cfgRetakeRecordedCap),IF(COUNTIFS(nrES_PID,$D150,nrES_Code,$F150,nrES_Att,1)=0,$L150,SUMIFS(nrES_Raw,nrES_PID,$D150,nrES_Code,$F150,nrES_Att,1))))))))</f>
        <v/>
      </c>
      <c r="N150" s="17">
        <f>IF($C150="","",IF($L150="","",IF(NOT(ISNUMBER($L150)),"(not a score)",IF($L150&gt;=$J150,"Yes","No"))))</f>
        <v/>
      </c>
      <c r="O150" s="17">
        <f>IF($C150="","",IF($M150="","",IF(NOT(ISNUMBER($M150)),"(not a score)",IF($M150&gt;=$J150,"Yes","No"))))</f>
        <v/>
      </c>
      <c r="P150" s="17">
        <f>IF($C150="","",IF($K150="","",IF(N($K150)&gt;2,"No",IF(COUNTIFS(nrES_PID,$D150,nrES_Code,$F150,nrES_Att,"&gt;"&amp;$K150,nrES_Att,"&lt;=2",nrES_Raw,"&gt;=0")=0,"Yes","No"))))</f>
        <v/>
      </c>
      <c r="Q150" s="17">
        <f>IF($C150="","",IF($L150="","",IF(AND($K150=1,ISNUMBER($L150),$L150&lt;$J150,COUNTIFS(nrES_PID,$D150,nrES_Code,$F150,nrES_Att,2,nrES_Raw,"&gt;=0")=0),"Yes","No")))</f>
        <v/>
      </c>
      <c r="R150" s="17">
        <f>IF($C150="","",IF($L150="","",IF(AND(N($K150)&gt;=2,ISNUMBER($L150),$L150&lt;$J150),"Yes","No")))</f>
        <v/>
      </c>
      <c r="S150" s="18" t="n"/>
      <c r="T150" s="19">
        <f>IF(OR($C150="",$L150="",$K150&lt;&gt;1,NOT(ISNUMBER($L150)),$L150&gt;=$J150),"",IF($S150="","(enter date)",_xlfn.LET(_xlpm.dn,_xlfn.XLOOKUP($S150,nrCDdate,nrCDnum,"",1),IF(_xlpm.dn="","(after last class day)",_xlfn.LET(_xlpm.dd,_xlfn.XLOOKUP(_xlpm.dn+cfgRetestClassDays,nrCDnum,nrCDdate,""),_xlpm.ok,_xlfn.XLOOKUP(_xlpm.dn+cfgRetestClassDays,nrCDnum,nrCDinsession,"No"),IF(OR(_xlpm.dd="",_xlpm.ok&lt;&gt;"Yes"),"(after last class day)",_xlpm.dd))))))</f>
        <v/>
      </c>
      <c r="U150" s="17">
        <f>IF($C150="","",IF(AND($Y150="Excused",$L150="",N($K150)&lt;=1),"EXCUSED - 1st attempt pending",IF(OR($L150="",$K150&lt;&gt;1,NOT(ISNUMBER($L150)),$L150&gt;=$J150),"",IF(COUNTIFS(nrES_PID,$D150,nrES_Code,$F150,nrES_Att,2,nrES_Raw,"&gt;=0")&gt;0,IF(IFERROR(_xlfn.MINIFS(nrES_Date,nrES_PID,$D150,nrES_Code,$F150,nrES_Att,2,nrES_Raw,"&gt;=0",nrES_Date,"&gt;0"),0)=0,"RETEST UNDATED",IF(NOT(ISNUMBER($T150)),"RETEST DATE UNCHECKED",IF(_xlfn.MINIFS(nrES_Date,nrES_PID,$D150,nrES_Code,$F150,nrES_Att,2,nrES_Raw,"&gt;=0",nrES_Date,"&gt;0")&gt;$T150,"LATE RETEST "&amp;TEXT(_xlfn.MINIFS(nrES_Date,nrES_PID,$D150,nrES_Code,$F150,nrES_Att,2,nrES_Raw,"&gt;=0",nrES_Date,"&gt;0"),"mm/dd")&amp;" (due "&amp;TEXT($T150,"mm/dd")&amp;")","Retested"))),IF(NOT(ISNUMBER($T150)),"CHECK DATE",IF(TODAY()&gt;$T150,"OVERDUE","Due "&amp;TEXT($T150,"mm/dd")))))))</f>
        <v/>
      </c>
      <c r="V150" s="16" t="n"/>
      <c r="W150" s="16" t="n"/>
      <c r="X150" s="17">
        <f>IF($C150="","",IF(AND($L150&lt;&gt;"",NOT(ISNUMBER($L150))),"RAW SCORE NOT A NUMBER",IF(AND(ISNUMBER($L150),OR($L150&lt;0,$L150&gt;100)),"RAW SCORE OUT OF RANGE",IF(AND($Y150="Unexcused",OR($L150="",NOT(ISNUMBER($L150)),$L150&lt;&gt;0)),"UNEXCUSED ABSENCE MUST RECORD 0",IF(COUNTIF(nrES_RecID,$B150)&gt;1,"DUPLICATE RECORD",IF(N($K150)&gt;2,"ATTEMPT 3+ NOT ALLOWED - policy 300.5 permits one retest per exam; this row records nothing",IF(AND($K150=2,COUNTIFS(nrES_PID,$D150,nrES_Code,$F150,nrES_Att,1)=0),"ATTEMPT 2 WITHOUT ATTEMPT 1",IF(AND($K150=2,$L150=""),"RETEST ROW HAS NO SCORE",IF(AND($H150="Final",$L150&lt;&gt;"",IFERROR(INDEX(nrCKfinalExamElig,MATCH($D150,rngCadetPIDs,0)),"")="No"),"FINAL EXAM AFTER FAILED FINAL PT (500.1.H)",IF(AND($K150=2,ISNUMBER($L150),COUNTIFS(nrES_PID,$D150,nrES_Code,$F150,nrES_Att,1)&gt;0,SUMIFS(nrES_Raw,nrES_PID,$D150,nrES_Code,$F150,nrES_Att,1)&gt;=$J150),"RETEST AFTER A PASSING FIRST ATTEMPT","OK"))))))))))</f>
        <v/>
      </c>
      <c r="Y150" s="16" t="n"/>
    </row>
    <row r="151">
      <c r="B151" s="17">
        <f>IF($C151="","",$D151&amp;"-"&amp;$F151&amp;"-"&amp;$K151)</f>
        <v/>
      </c>
      <c r="C151" s="16" t="n"/>
      <c r="D151" s="17">
        <f>IF($C151="","",IFERROR(INDEX(rngCadetPIDs,MATCH($C151,rngCadetNames,0)),"?"))</f>
        <v/>
      </c>
      <c r="E151" s="17">
        <f>IF($D151="","",IFERROR(INDEX(nrCadetAgency,MATCH($D151,rngCadetPIDs,0)),""))</f>
        <v/>
      </c>
      <c r="F151" s="16" t="n"/>
      <c r="G151" s="17">
        <f>IF($F151="","",IFERROR(INDEX(rngEPname,MATCH($F151,rngEPcode,0)),"?"))</f>
        <v/>
      </c>
      <c r="H151" s="17">
        <f>IF($F151="","",IFERROR(INDEX(rngEPtype,MATCH($F151,rngEPcode,0)),"?"))</f>
        <v/>
      </c>
      <c r="I151" s="17">
        <f>IF($F151="","",IFERROR(INDEX(rngEPseq,MATCH($F151,rngEPcode,0)),""))</f>
        <v/>
      </c>
      <c r="J151" s="17">
        <f>IF($F151="","",IFERROR(INDEX(rngEPpass,MATCH($F151,rngEPcode,0)),cfgPassingScore))</f>
        <v/>
      </c>
      <c r="K151" s="16" t="n"/>
      <c r="L151" s="16" t="n"/>
      <c r="M151" s="17">
        <f>IF($C151="","",IF($L151="","",IF(NOT(ISNUMBER($L151)),$L151,IF(N($K151)&gt;2,"",IF($K151=1,IF(COUNTIFS(nrES_PID,$D151,nrES_Code,$F151,nrES_Att,2,nrES_Raw,"&gt;=0")&gt;0,"",$L151),IF($L151&gt;=$J151,MAX($J151,cfgRetakeRecordedCap),IF(COUNTIFS(nrES_PID,$D151,nrES_Code,$F151,nrES_Att,1)=0,$L151,SUMIFS(nrES_Raw,nrES_PID,$D151,nrES_Code,$F151,nrES_Att,1))))))))</f>
        <v/>
      </c>
      <c r="N151" s="17">
        <f>IF($C151="","",IF($L151="","",IF(NOT(ISNUMBER($L151)),"(not a score)",IF($L151&gt;=$J151,"Yes","No"))))</f>
        <v/>
      </c>
      <c r="O151" s="17">
        <f>IF($C151="","",IF($M151="","",IF(NOT(ISNUMBER($M151)),"(not a score)",IF($M151&gt;=$J151,"Yes","No"))))</f>
        <v/>
      </c>
      <c r="P151" s="17">
        <f>IF($C151="","",IF($K151="","",IF(N($K151)&gt;2,"No",IF(COUNTIFS(nrES_PID,$D151,nrES_Code,$F151,nrES_Att,"&gt;"&amp;$K151,nrES_Att,"&lt;=2",nrES_Raw,"&gt;=0")=0,"Yes","No"))))</f>
        <v/>
      </c>
      <c r="Q151" s="17">
        <f>IF($C151="","",IF($L151="","",IF(AND($K151=1,ISNUMBER($L151),$L151&lt;$J151,COUNTIFS(nrES_PID,$D151,nrES_Code,$F151,nrES_Att,2,nrES_Raw,"&gt;=0")=0),"Yes","No")))</f>
        <v/>
      </c>
      <c r="R151" s="17">
        <f>IF($C151="","",IF($L151="","",IF(AND(N($K151)&gt;=2,ISNUMBER($L151),$L151&lt;$J151),"Yes","No")))</f>
        <v/>
      </c>
      <c r="S151" s="18" t="n"/>
      <c r="T151" s="19">
        <f>IF(OR($C151="",$L151="",$K151&lt;&gt;1,NOT(ISNUMBER($L151)),$L151&gt;=$J151),"",IF($S151="","(enter date)",_xlfn.LET(_xlpm.dn,_xlfn.XLOOKUP($S151,nrCDdate,nrCDnum,"",1),IF(_xlpm.dn="","(after last class day)",_xlfn.LET(_xlpm.dd,_xlfn.XLOOKUP(_xlpm.dn+cfgRetestClassDays,nrCDnum,nrCDdate,""),_xlpm.ok,_xlfn.XLOOKUP(_xlpm.dn+cfgRetestClassDays,nrCDnum,nrCDinsession,"No"),IF(OR(_xlpm.dd="",_xlpm.ok&lt;&gt;"Yes"),"(after last class day)",_xlpm.dd))))))</f>
        <v/>
      </c>
      <c r="U151" s="17">
        <f>IF($C151="","",IF(AND($Y151="Excused",$L151="",N($K151)&lt;=1),"EXCUSED - 1st attempt pending",IF(OR($L151="",$K151&lt;&gt;1,NOT(ISNUMBER($L151)),$L151&gt;=$J151),"",IF(COUNTIFS(nrES_PID,$D151,nrES_Code,$F151,nrES_Att,2,nrES_Raw,"&gt;=0")&gt;0,IF(IFERROR(_xlfn.MINIFS(nrES_Date,nrES_PID,$D151,nrES_Code,$F151,nrES_Att,2,nrES_Raw,"&gt;=0",nrES_Date,"&gt;0"),0)=0,"RETEST UNDATED",IF(NOT(ISNUMBER($T151)),"RETEST DATE UNCHECKED",IF(_xlfn.MINIFS(nrES_Date,nrES_PID,$D151,nrES_Code,$F151,nrES_Att,2,nrES_Raw,"&gt;=0",nrES_Date,"&gt;0")&gt;$T151,"LATE RETEST "&amp;TEXT(_xlfn.MINIFS(nrES_Date,nrES_PID,$D151,nrES_Code,$F151,nrES_Att,2,nrES_Raw,"&gt;=0",nrES_Date,"&gt;0"),"mm/dd")&amp;" (due "&amp;TEXT($T151,"mm/dd")&amp;")","Retested"))),IF(NOT(ISNUMBER($T151)),"CHECK DATE",IF(TODAY()&gt;$T151,"OVERDUE","Due "&amp;TEXT($T151,"mm/dd")))))))</f>
        <v/>
      </c>
      <c r="V151" s="16" t="n"/>
      <c r="W151" s="16" t="n"/>
      <c r="X151" s="17">
        <f>IF($C151="","",IF(AND($L151&lt;&gt;"",NOT(ISNUMBER($L151))),"RAW SCORE NOT A NUMBER",IF(AND(ISNUMBER($L151),OR($L151&lt;0,$L151&gt;100)),"RAW SCORE OUT OF RANGE",IF(AND($Y151="Unexcused",OR($L151="",NOT(ISNUMBER($L151)),$L151&lt;&gt;0)),"UNEXCUSED ABSENCE MUST RECORD 0",IF(COUNTIF(nrES_RecID,$B151)&gt;1,"DUPLICATE RECORD",IF(N($K151)&gt;2,"ATTEMPT 3+ NOT ALLOWED - policy 300.5 permits one retest per exam; this row records nothing",IF(AND($K151=2,COUNTIFS(nrES_PID,$D151,nrES_Code,$F151,nrES_Att,1)=0),"ATTEMPT 2 WITHOUT ATTEMPT 1",IF(AND($K151=2,$L151=""),"RETEST ROW HAS NO SCORE",IF(AND($H151="Final",$L151&lt;&gt;"",IFERROR(INDEX(nrCKfinalExamElig,MATCH($D151,rngCadetPIDs,0)),"")="No"),"FINAL EXAM AFTER FAILED FINAL PT (500.1.H)",IF(AND($K151=2,ISNUMBER($L151),COUNTIFS(nrES_PID,$D151,nrES_Code,$F151,nrES_Att,1)&gt;0,SUMIFS(nrES_Raw,nrES_PID,$D151,nrES_Code,$F151,nrES_Att,1)&gt;=$J151),"RETEST AFTER A PASSING FIRST ATTEMPT","OK"))))))))))</f>
        <v/>
      </c>
      <c r="Y151" s="16" t="n"/>
    </row>
    <row r="152">
      <c r="B152" s="17">
        <f>IF($C152="","",$D152&amp;"-"&amp;$F152&amp;"-"&amp;$K152)</f>
        <v/>
      </c>
      <c r="C152" s="16" t="n"/>
      <c r="D152" s="17">
        <f>IF($C152="","",IFERROR(INDEX(rngCadetPIDs,MATCH($C152,rngCadetNames,0)),"?"))</f>
        <v/>
      </c>
      <c r="E152" s="17">
        <f>IF($D152="","",IFERROR(INDEX(nrCadetAgency,MATCH($D152,rngCadetPIDs,0)),""))</f>
        <v/>
      </c>
      <c r="F152" s="16" t="n"/>
      <c r="G152" s="17">
        <f>IF($F152="","",IFERROR(INDEX(rngEPname,MATCH($F152,rngEPcode,0)),"?"))</f>
        <v/>
      </c>
      <c r="H152" s="17">
        <f>IF($F152="","",IFERROR(INDEX(rngEPtype,MATCH($F152,rngEPcode,0)),"?"))</f>
        <v/>
      </c>
      <c r="I152" s="17">
        <f>IF($F152="","",IFERROR(INDEX(rngEPseq,MATCH($F152,rngEPcode,0)),""))</f>
        <v/>
      </c>
      <c r="J152" s="17">
        <f>IF($F152="","",IFERROR(INDEX(rngEPpass,MATCH($F152,rngEPcode,0)),cfgPassingScore))</f>
        <v/>
      </c>
      <c r="K152" s="16" t="n"/>
      <c r="L152" s="16" t="n"/>
      <c r="M152" s="17">
        <f>IF($C152="","",IF($L152="","",IF(NOT(ISNUMBER($L152)),$L152,IF(N($K152)&gt;2,"",IF($K152=1,IF(COUNTIFS(nrES_PID,$D152,nrES_Code,$F152,nrES_Att,2,nrES_Raw,"&gt;=0")&gt;0,"",$L152),IF($L152&gt;=$J152,MAX($J152,cfgRetakeRecordedCap),IF(COUNTIFS(nrES_PID,$D152,nrES_Code,$F152,nrES_Att,1)=0,$L152,SUMIFS(nrES_Raw,nrES_PID,$D152,nrES_Code,$F152,nrES_Att,1))))))))</f>
        <v/>
      </c>
      <c r="N152" s="17">
        <f>IF($C152="","",IF($L152="","",IF(NOT(ISNUMBER($L152)),"(not a score)",IF($L152&gt;=$J152,"Yes","No"))))</f>
        <v/>
      </c>
      <c r="O152" s="17">
        <f>IF($C152="","",IF($M152="","",IF(NOT(ISNUMBER($M152)),"(not a score)",IF($M152&gt;=$J152,"Yes","No"))))</f>
        <v/>
      </c>
      <c r="P152" s="17">
        <f>IF($C152="","",IF($K152="","",IF(N($K152)&gt;2,"No",IF(COUNTIFS(nrES_PID,$D152,nrES_Code,$F152,nrES_Att,"&gt;"&amp;$K152,nrES_Att,"&lt;=2",nrES_Raw,"&gt;=0")=0,"Yes","No"))))</f>
        <v/>
      </c>
      <c r="Q152" s="17">
        <f>IF($C152="","",IF($L152="","",IF(AND($K152=1,ISNUMBER($L152),$L152&lt;$J152,COUNTIFS(nrES_PID,$D152,nrES_Code,$F152,nrES_Att,2,nrES_Raw,"&gt;=0")=0),"Yes","No")))</f>
        <v/>
      </c>
      <c r="R152" s="17">
        <f>IF($C152="","",IF($L152="","",IF(AND(N($K152)&gt;=2,ISNUMBER($L152),$L152&lt;$J152),"Yes","No")))</f>
        <v/>
      </c>
      <c r="S152" s="18" t="n"/>
      <c r="T152" s="19">
        <f>IF(OR($C152="",$L152="",$K152&lt;&gt;1,NOT(ISNUMBER($L152)),$L152&gt;=$J152),"",IF($S152="","(enter date)",_xlfn.LET(_xlpm.dn,_xlfn.XLOOKUP($S152,nrCDdate,nrCDnum,"",1),IF(_xlpm.dn="","(after last class day)",_xlfn.LET(_xlpm.dd,_xlfn.XLOOKUP(_xlpm.dn+cfgRetestClassDays,nrCDnum,nrCDdate,""),_xlpm.ok,_xlfn.XLOOKUP(_xlpm.dn+cfgRetestClassDays,nrCDnum,nrCDinsession,"No"),IF(OR(_xlpm.dd="",_xlpm.ok&lt;&gt;"Yes"),"(after last class day)",_xlpm.dd))))))</f>
        <v/>
      </c>
      <c r="U152" s="17">
        <f>IF($C152="","",IF(AND($Y152="Excused",$L152="",N($K152)&lt;=1),"EXCUSED - 1st attempt pending",IF(OR($L152="",$K152&lt;&gt;1,NOT(ISNUMBER($L152)),$L152&gt;=$J152),"",IF(COUNTIFS(nrES_PID,$D152,nrES_Code,$F152,nrES_Att,2,nrES_Raw,"&gt;=0")&gt;0,IF(IFERROR(_xlfn.MINIFS(nrES_Date,nrES_PID,$D152,nrES_Code,$F152,nrES_Att,2,nrES_Raw,"&gt;=0",nrES_Date,"&gt;0"),0)=0,"RETEST UNDATED",IF(NOT(ISNUMBER($T152)),"RETEST DATE UNCHECKED",IF(_xlfn.MINIFS(nrES_Date,nrES_PID,$D152,nrES_Code,$F152,nrES_Att,2,nrES_Raw,"&gt;=0",nrES_Date,"&gt;0")&gt;$T152,"LATE RETEST "&amp;TEXT(_xlfn.MINIFS(nrES_Date,nrES_PID,$D152,nrES_Code,$F152,nrES_Att,2,nrES_Raw,"&gt;=0",nrES_Date,"&gt;0"),"mm/dd")&amp;" (due "&amp;TEXT($T152,"mm/dd")&amp;")","Retested"))),IF(NOT(ISNUMBER($T152)),"CHECK DATE",IF(TODAY()&gt;$T152,"OVERDUE","Due "&amp;TEXT($T152,"mm/dd")))))))</f>
        <v/>
      </c>
      <c r="V152" s="16" t="n"/>
      <c r="W152" s="16" t="n"/>
      <c r="X152" s="17">
        <f>IF($C152="","",IF(AND($L152&lt;&gt;"",NOT(ISNUMBER($L152))),"RAW SCORE NOT A NUMBER",IF(AND(ISNUMBER($L152),OR($L152&lt;0,$L152&gt;100)),"RAW SCORE OUT OF RANGE",IF(AND($Y152="Unexcused",OR($L152="",NOT(ISNUMBER($L152)),$L152&lt;&gt;0)),"UNEXCUSED ABSENCE MUST RECORD 0",IF(COUNTIF(nrES_RecID,$B152)&gt;1,"DUPLICATE RECORD",IF(N($K152)&gt;2,"ATTEMPT 3+ NOT ALLOWED - policy 300.5 permits one retest per exam; this row records nothing",IF(AND($K152=2,COUNTIFS(nrES_PID,$D152,nrES_Code,$F152,nrES_Att,1)=0),"ATTEMPT 2 WITHOUT ATTEMPT 1",IF(AND($K152=2,$L152=""),"RETEST ROW HAS NO SCORE",IF(AND($H152="Final",$L152&lt;&gt;"",IFERROR(INDEX(nrCKfinalExamElig,MATCH($D152,rngCadetPIDs,0)),"")="No"),"FINAL EXAM AFTER FAILED FINAL PT (500.1.H)",IF(AND($K152=2,ISNUMBER($L152),COUNTIFS(nrES_PID,$D152,nrES_Code,$F152,nrES_Att,1)&gt;0,SUMIFS(nrES_Raw,nrES_PID,$D152,nrES_Code,$F152,nrES_Att,1)&gt;=$J152),"RETEST AFTER A PASSING FIRST ATTEMPT","OK"))))))))))</f>
        <v/>
      </c>
      <c r="Y152" s="16" t="n"/>
    </row>
    <row r="153">
      <c r="B153" s="17">
        <f>IF($C153="","",$D153&amp;"-"&amp;$F153&amp;"-"&amp;$K153)</f>
        <v/>
      </c>
      <c r="C153" s="16" t="n"/>
      <c r="D153" s="17">
        <f>IF($C153="","",IFERROR(INDEX(rngCadetPIDs,MATCH($C153,rngCadetNames,0)),"?"))</f>
        <v/>
      </c>
      <c r="E153" s="17">
        <f>IF($D153="","",IFERROR(INDEX(nrCadetAgency,MATCH($D153,rngCadetPIDs,0)),""))</f>
        <v/>
      </c>
      <c r="F153" s="16" t="n"/>
      <c r="G153" s="17">
        <f>IF($F153="","",IFERROR(INDEX(rngEPname,MATCH($F153,rngEPcode,0)),"?"))</f>
        <v/>
      </c>
      <c r="H153" s="17">
        <f>IF($F153="","",IFERROR(INDEX(rngEPtype,MATCH($F153,rngEPcode,0)),"?"))</f>
        <v/>
      </c>
      <c r="I153" s="17">
        <f>IF($F153="","",IFERROR(INDEX(rngEPseq,MATCH($F153,rngEPcode,0)),""))</f>
        <v/>
      </c>
      <c r="J153" s="17">
        <f>IF($F153="","",IFERROR(INDEX(rngEPpass,MATCH($F153,rngEPcode,0)),cfgPassingScore))</f>
        <v/>
      </c>
      <c r="K153" s="16" t="n"/>
      <c r="L153" s="16" t="n"/>
      <c r="M153" s="17">
        <f>IF($C153="","",IF($L153="","",IF(NOT(ISNUMBER($L153)),$L153,IF(N($K153)&gt;2,"",IF($K153=1,IF(COUNTIFS(nrES_PID,$D153,nrES_Code,$F153,nrES_Att,2,nrES_Raw,"&gt;=0")&gt;0,"",$L153),IF($L153&gt;=$J153,MAX($J153,cfgRetakeRecordedCap),IF(COUNTIFS(nrES_PID,$D153,nrES_Code,$F153,nrES_Att,1)=0,$L153,SUMIFS(nrES_Raw,nrES_PID,$D153,nrES_Code,$F153,nrES_Att,1))))))))</f>
        <v/>
      </c>
      <c r="N153" s="17">
        <f>IF($C153="","",IF($L153="","",IF(NOT(ISNUMBER($L153)),"(not a score)",IF($L153&gt;=$J153,"Yes","No"))))</f>
        <v/>
      </c>
      <c r="O153" s="17">
        <f>IF($C153="","",IF($M153="","",IF(NOT(ISNUMBER($M153)),"(not a score)",IF($M153&gt;=$J153,"Yes","No"))))</f>
        <v/>
      </c>
      <c r="P153" s="17">
        <f>IF($C153="","",IF($K153="","",IF(N($K153)&gt;2,"No",IF(COUNTIFS(nrES_PID,$D153,nrES_Code,$F153,nrES_Att,"&gt;"&amp;$K153,nrES_Att,"&lt;=2",nrES_Raw,"&gt;=0")=0,"Yes","No"))))</f>
        <v/>
      </c>
      <c r="Q153" s="17">
        <f>IF($C153="","",IF($L153="","",IF(AND($K153=1,ISNUMBER($L153),$L153&lt;$J153,COUNTIFS(nrES_PID,$D153,nrES_Code,$F153,nrES_Att,2,nrES_Raw,"&gt;=0")=0),"Yes","No")))</f>
        <v/>
      </c>
      <c r="R153" s="17">
        <f>IF($C153="","",IF($L153="","",IF(AND(N($K153)&gt;=2,ISNUMBER($L153),$L153&lt;$J153),"Yes","No")))</f>
        <v/>
      </c>
      <c r="S153" s="18" t="n"/>
      <c r="T153" s="19">
        <f>IF(OR($C153="",$L153="",$K153&lt;&gt;1,NOT(ISNUMBER($L153)),$L153&gt;=$J153),"",IF($S153="","(enter date)",_xlfn.LET(_xlpm.dn,_xlfn.XLOOKUP($S153,nrCDdate,nrCDnum,"",1),IF(_xlpm.dn="","(after last class day)",_xlfn.LET(_xlpm.dd,_xlfn.XLOOKUP(_xlpm.dn+cfgRetestClassDays,nrCDnum,nrCDdate,""),_xlpm.ok,_xlfn.XLOOKUP(_xlpm.dn+cfgRetestClassDays,nrCDnum,nrCDinsession,"No"),IF(OR(_xlpm.dd="",_xlpm.ok&lt;&gt;"Yes"),"(after last class day)",_xlpm.dd))))))</f>
        <v/>
      </c>
      <c r="U153" s="17">
        <f>IF($C153="","",IF(AND($Y153="Excused",$L153="",N($K153)&lt;=1),"EXCUSED - 1st attempt pending",IF(OR($L153="",$K153&lt;&gt;1,NOT(ISNUMBER($L153)),$L153&gt;=$J153),"",IF(COUNTIFS(nrES_PID,$D153,nrES_Code,$F153,nrES_Att,2,nrES_Raw,"&gt;=0")&gt;0,IF(IFERROR(_xlfn.MINIFS(nrES_Date,nrES_PID,$D153,nrES_Code,$F153,nrES_Att,2,nrES_Raw,"&gt;=0",nrES_Date,"&gt;0"),0)=0,"RETEST UNDATED",IF(NOT(ISNUMBER($T153)),"RETEST DATE UNCHECKED",IF(_xlfn.MINIFS(nrES_Date,nrES_PID,$D153,nrES_Code,$F153,nrES_Att,2,nrES_Raw,"&gt;=0",nrES_Date,"&gt;0")&gt;$T153,"LATE RETEST "&amp;TEXT(_xlfn.MINIFS(nrES_Date,nrES_PID,$D153,nrES_Code,$F153,nrES_Att,2,nrES_Raw,"&gt;=0",nrES_Date,"&gt;0"),"mm/dd")&amp;" (due "&amp;TEXT($T153,"mm/dd")&amp;")","Retested"))),IF(NOT(ISNUMBER($T153)),"CHECK DATE",IF(TODAY()&gt;$T153,"OVERDUE","Due "&amp;TEXT($T153,"mm/dd")))))))</f>
        <v/>
      </c>
      <c r="V153" s="16" t="n"/>
      <c r="W153" s="16" t="n"/>
      <c r="X153" s="17">
        <f>IF($C153="","",IF(AND($L153&lt;&gt;"",NOT(ISNUMBER($L153))),"RAW SCORE NOT A NUMBER",IF(AND(ISNUMBER($L153),OR($L153&lt;0,$L153&gt;100)),"RAW SCORE OUT OF RANGE",IF(AND($Y153="Unexcused",OR($L153="",NOT(ISNUMBER($L153)),$L153&lt;&gt;0)),"UNEXCUSED ABSENCE MUST RECORD 0",IF(COUNTIF(nrES_RecID,$B153)&gt;1,"DUPLICATE RECORD",IF(N($K153)&gt;2,"ATTEMPT 3+ NOT ALLOWED - policy 300.5 permits one retest per exam; this row records nothing",IF(AND($K153=2,COUNTIFS(nrES_PID,$D153,nrES_Code,$F153,nrES_Att,1)=0),"ATTEMPT 2 WITHOUT ATTEMPT 1",IF(AND($K153=2,$L153=""),"RETEST ROW HAS NO SCORE",IF(AND($H153="Final",$L153&lt;&gt;"",IFERROR(INDEX(nrCKfinalExamElig,MATCH($D153,rngCadetPIDs,0)),"")="No"),"FINAL EXAM AFTER FAILED FINAL PT (500.1.H)",IF(AND($K153=2,ISNUMBER($L153),COUNTIFS(nrES_PID,$D153,nrES_Code,$F153,nrES_Att,1)&gt;0,SUMIFS(nrES_Raw,nrES_PID,$D153,nrES_Code,$F153,nrES_Att,1)&gt;=$J153),"RETEST AFTER A PASSING FIRST ATTEMPT","OK"))))))))))</f>
        <v/>
      </c>
      <c r="Y153" s="16" t="n"/>
    </row>
    <row r="154">
      <c r="B154" s="17">
        <f>IF($C154="","",$D154&amp;"-"&amp;$F154&amp;"-"&amp;$K154)</f>
        <v/>
      </c>
      <c r="C154" s="16" t="n"/>
      <c r="D154" s="17">
        <f>IF($C154="","",IFERROR(INDEX(rngCadetPIDs,MATCH($C154,rngCadetNames,0)),"?"))</f>
        <v/>
      </c>
      <c r="E154" s="17">
        <f>IF($D154="","",IFERROR(INDEX(nrCadetAgency,MATCH($D154,rngCadetPIDs,0)),""))</f>
        <v/>
      </c>
      <c r="F154" s="16" t="n"/>
      <c r="G154" s="17">
        <f>IF($F154="","",IFERROR(INDEX(rngEPname,MATCH($F154,rngEPcode,0)),"?"))</f>
        <v/>
      </c>
      <c r="H154" s="17">
        <f>IF($F154="","",IFERROR(INDEX(rngEPtype,MATCH($F154,rngEPcode,0)),"?"))</f>
        <v/>
      </c>
      <c r="I154" s="17">
        <f>IF($F154="","",IFERROR(INDEX(rngEPseq,MATCH($F154,rngEPcode,0)),""))</f>
        <v/>
      </c>
      <c r="J154" s="17">
        <f>IF($F154="","",IFERROR(INDEX(rngEPpass,MATCH($F154,rngEPcode,0)),cfgPassingScore))</f>
        <v/>
      </c>
      <c r="K154" s="16" t="n"/>
      <c r="L154" s="16" t="n"/>
      <c r="M154" s="17">
        <f>IF($C154="","",IF($L154="","",IF(NOT(ISNUMBER($L154)),$L154,IF(N($K154)&gt;2,"",IF($K154=1,IF(COUNTIFS(nrES_PID,$D154,nrES_Code,$F154,nrES_Att,2,nrES_Raw,"&gt;=0")&gt;0,"",$L154),IF($L154&gt;=$J154,MAX($J154,cfgRetakeRecordedCap),IF(COUNTIFS(nrES_PID,$D154,nrES_Code,$F154,nrES_Att,1)=0,$L154,SUMIFS(nrES_Raw,nrES_PID,$D154,nrES_Code,$F154,nrES_Att,1))))))))</f>
        <v/>
      </c>
      <c r="N154" s="17">
        <f>IF($C154="","",IF($L154="","",IF(NOT(ISNUMBER($L154)),"(not a score)",IF($L154&gt;=$J154,"Yes","No"))))</f>
        <v/>
      </c>
      <c r="O154" s="17">
        <f>IF($C154="","",IF($M154="","",IF(NOT(ISNUMBER($M154)),"(not a score)",IF($M154&gt;=$J154,"Yes","No"))))</f>
        <v/>
      </c>
      <c r="P154" s="17">
        <f>IF($C154="","",IF($K154="","",IF(N($K154)&gt;2,"No",IF(COUNTIFS(nrES_PID,$D154,nrES_Code,$F154,nrES_Att,"&gt;"&amp;$K154,nrES_Att,"&lt;=2",nrES_Raw,"&gt;=0")=0,"Yes","No"))))</f>
        <v/>
      </c>
      <c r="Q154" s="17">
        <f>IF($C154="","",IF($L154="","",IF(AND($K154=1,ISNUMBER($L154),$L154&lt;$J154,COUNTIFS(nrES_PID,$D154,nrES_Code,$F154,nrES_Att,2,nrES_Raw,"&gt;=0")=0),"Yes","No")))</f>
        <v/>
      </c>
      <c r="R154" s="17">
        <f>IF($C154="","",IF($L154="","",IF(AND(N($K154)&gt;=2,ISNUMBER($L154),$L154&lt;$J154),"Yes","No")))</f>
        <v/>
      </c>
      <c r="S154" s="18" t="n"/>
      <c r="T154" s="19">
        <f>IF(OR($C154="",$L154="",$K154&lt;&gt;1,NOT(ISNUMBER($L154)),$L154&gt;=$J154),"",IF($S154="","(enter date)",_xlfn.LET(_xlpm.dn,_xlfn.XLOOKUP($S154,nrCDdate,nrCDnum,"",1),IF(_xlpm.dn="","(after last class day)",_xlfn.LET(_xlpm.dd,_xlfn.XLOOKUP(_xlpm.dn+cfgRetestClassDays,nrCDnum,nrCDdate,""),_xlpm.ok,_xlfn.XLOOKUP(_xlpm.dn+cfgRetestClassDays,nrCDnum,nrCDinsession,"No"),IF(OR(_xlpm.dd="",_xlpm.ok&lt;&gt;"Yes"),"(after last class day)",_xlpm.dd))))))</f>
        <v/>
      </c>
      <c r="U154" s="17">
        <f>IF($C154="","",IF(AND($Y154="Excused",$L154="",N($K154)&lt;=1),"EXCUSED - 1st attempt pending",IF(OR($L154="",$K154&lt;&gt;1,NOT(ISNUMBER($L154)),$L154&gt;=$J154),"",IF(COUNTIFS(nrES_PID,$D154,nrES_Code,$F154,nrES_Att,2,nrES_Raw,"&gt;=0")&gt;0,IF(IFERROR(_xlfn.MINIFS(nrES_Date,nrES_PID,$D154,nrES_Code,$F154,nrES_Att,2,nrES_Raw,"&gt;=0",nrES_Date,"&gt;0"),0)=0,"RETEST UNDATED",IF(NOT(ISNUMBER($T154)),"RETEST DATE UNCHECKED",IF(_xlfn.MINIFS(nrES_Date,nrES_PID,$D154,nrES_Code,$F154,nrES_Att,2,nrES_Raw,"&gt;=0",nrES_Date,"&gt;0")&gt;$T154,"LATE RETEST "&amp;TEXT(_xlfn.MINIFS(nrES_Date,nrES_PID,$D154,nrES_Code,$F154,nrES_Att,2,nrES_Raw,"&gt;=0",nrES_Date,"&gt;0"),"mm/dd")&amp;" (due "&amp;TEXT($T154,"mm/dd")&amp;")","Retested"))),IF(NOT(ISNUMBER($T154)),"CHECK DATE",IF(TODAY()&gt;$T154,"OVERDUE","Due "&amp;TEXT($T154,"mm/dd")))))))</f>
        <v/>
      </c>
      <c r="V154" s="16" t="n"/>
      <c r="W154" s="16" t="n"/>
      <c r="X154" s="17">
        <f>IF($C154="","",IF(AND($L154&lt;&gt;"",NOT(ISNUMBER($L154))),"RAW SCORE NOT A NUMBER",IF(AND(ISNUMBER($L154),OR($L154&lt;0,$L154&gt;100)),"RAW SCORE OUT OF RANGE",IF(AND($Y154="Unexcused",OR($L154="",NOT(ISNUMBER($L154)),$L154&lt;&gt;0)),"UNEXCUSED ABSENCE MUST RECORD 0",IF(COUNTIF(nrES_RecID,$B154)&gt;1,"DUPLICATE RECORD",IF(N($K154)&gt;2,"ATTEMPT 3+ NOT ALLOWED - policy 300.5 permits one retest per exam; this row records nothing",IF(AND($K154=2,COUNTIFS(nrES_PID,$D154,nrES_Code,$F154,nrES_Att,1)=0),"ATTEMPT 2 WITHOUT ATTEMPT 1",IF(AND($K154=2,$L154=""),"RETEST ROW HAS NO SCORE",IF(AND($H154="Final",$L154&lt;&gt;"",IFERROR(INDEX(nrCKfinalExamElig,MATCH($D154,rngCadetPIDs,0)),"")="No"),"FINAL EXAM AFTER FAILED FINAL PT (500.1.H)",IF(AND($K154=2,ISNUMBER($L154),COUNTIFS(nrES_PID,$D154,nrES_Code,$F154,nrES_Att,1)&gt;0,SUMIFS(nrES_Raw,nrES_PID,$D154,nrES_Code,$F154,nrES_Att,1)&gt;=$J154),"RETEST AFTER A PASSING FIRST ATTEMPT","OK"))))))))))</f>
        <v/>
      </c>
      <c r="Y154" s="16" t="n"/>
    </row>
    <row r="155">
      <c r="B155" s="17">
        <f>IF($C155="","",$D155&amp;"-"&amp;$F155&amp;"-"&amp;$K155)</f>
        <v/>
      </c>
      <c r="C155" s="16" t="n"/>
      <c r="D155" s="17">
        <f>IF($C155="","",IFERROR(INDEX(rngCadetPIDs,MATCH($C155,rngCadetNames,0)),"?"))</f>
        <v/>
      </c>
      <c r="E155" s="17">
        <f>IF($D155="","",IFERROR(INDEX(nrCadetAgency,MATCH($D155,rngCadetPIDs,0)),""))</f>
        <v/>
      </c>
      <c r="F155" s="16" t="n"/>
      <c r="G155" s="17">
        <f>IF($F155="","",IFERROR(INDEX(rngEPname,MATCH($F155,rngEPcode,0)),"?"))</f>
        <v/>
      </c>
      <c r="H155" s="17">
        <f>IF($F155="","",IFERROR(INDEX(rngEPtype,MATCH($F155,rngEPcode,0)),"?"))</f>
        <v/>
      </c>
      <c r="I155" s="17">
        <f>IF($F155="","",IFERROR(INDEX(rngEPseq,MATCH($F155,rngEPcode,0)),""))</f>
        <v/>
      </c>
      <c r="J155" s="17">
        <f>IF($F155="","",IFERROR(INDEX(rngEPpass,MATCH($F155,rngEPcode,0)),cfgPassingScore))</f>
        <v/>
      </c>
      <c r="K155" s="16" t="n"/>
      <c r="L155" s="16" t="n"/>
      <c r="M155" s="17">
        <f>IF($C155="","",IF($L155="","",IF(NOT(ISNUMBER($L155)),$L155,IF(N($K155)&gt;2,"",IF($K155=1,IF(COUNTIFS(nrES_PID,$D155,nrES_Code,$F155,nrES_Att,2,nrES_Raw,"&gt;=0")&gt;0,"",$L155),IF($L155&gt;=$J155,MAX($J155,cfgRetakeRecordedCap),IF(COUNTIFS(nrES_PID,$D155,nrES_Code,$F155,nrES_Att,1)=0,$L155,SUMIFS(nrES_Raw,nrES_PID,$D155,nrES_Code,$F155,nrES_Att,1))))))))</f>
        <v/>
      </c>
      <c r="N155" s="17">
        <f>IF($C155="","",IF($L155="","",IF(NOT(ISNUMBER($L155)),"(not a score)",IF($L155&gt;=$J155,"Yes","No"))))</f>
        <v/>
      </c>
      <c r="O155" s="17">
        <f>IF($C155="","",IF($M155="","",IF(NOT(ISNUMBER($M155)),"(not a score)",IF($M155&gt;=$J155,"Yes","No"))))</f>
        <v/>
      </c>
      <c r="P155" s="17">
        <f>IF($C155="","",IF($K155="","",IF(N($K155)&gt;2,"No",IF(COUNTIFS(nrES_PID,$D155,nrES_Code,$F155,nrES_Att,"&gt;"&amp;$K155,nrES_Att,"&lt;=2",nrES_Raw,"&gt;=0")=0,"Yes","No"))))</f>
        <v/>
      </c>
      <c r="Q155" s="17">
        <f>IF($C155="","",IF($L155="","",IF(AND($K155=1,ISNUMBER($L155),$L155&lt;$J155,COUNTIFS(nrES_PID,$D155,nrES_Code,$F155,nrES_Att,2,nrES_Raw,"&gt;=0")=0),"Yes","No")))</f>
        <v/>
      </c>
      <c r="R155" s="17">
        <f>IF($C155="","",IF($L155="","",IF(AND(N($K155)&gt;=2,ISNUMBER($L155),$L155&lt;$J155),"Yes","No")))</f>
        <v/>
      </c>
      <c r="S155" s="18" t="n"/>
      <c r="T155" s="19">
        <f>IF(OR($C155="",$L155="",$K155&lt;&gt;1,NOT(ISNUMBER($L155)),$L155&gt;=$J155),"",IF($S155="","(enter date)",_xlfn.LET(_xlpm.dn,_xlfn.XLOOKUP($S155,nrCDdate,nrCDnum,"",1),IF(_xlpm.dn="","(after last class day)",_xlfn.LET(_xlpm.dd,_xlfn.XLOOKUP(_xlpm.dn+cfgRetestClassDays,nrCDnum,nrCDdate,""),_xlpm.ok,_xlfn.XLOOKUP(_xlpm.dn+cfgRetestClassDays,nrCDnum,nrCDinsession,"No"),IF(OR(_xlpm.dd="",_xlpm.ok&lt;&gt;"Yes"),"(after last class day)",_xlpm.dd))))))</f>
        <v/>
      </c>
      <c r="U155" s="17">
        <f>IF($C155="","",IF(AND($Y155="Excused",$L155="",N($K155)&lt;=1),"EXCUSED - 1st attempt pending",IF(OR($L155="",$K155&lt;&gt;1,NOT(ISNUMBER($L155)),$L155&gt;=$J155),"",IF(COUNTIFS(nrES_PID,$D155,nrES_Code,$F155,nrES_Att,2,nrES_Raw,"&gt;=0")&gt;0,IF(IFERROR(_xlfn.MINIFS(nrES_Date,nrES_PID,$D155,nrES_Code,$F155,nrES_Att,2,nrES_Raw,"&gt;=0",nrES_Date,"&gt;0"),0)=0,"RETEST UNDATED",IF(NOT(ISNUMBER($T155)),"RETEST DATE UNCHECKED",IF(_xlfn.MINIFS(nrES_Date,nrES_PID,$D155,nrES_Code,$F155,nrES_Att,2,nrES_Raw,"&gt;=0",nrES_Date,"&gt;0")&gt;$T155,"LATE RETEST "&amp;TEXT(_xlfn.MINIFS(nrES_Date,nrES_PID,$D155,nrES_Code,$F155,nrES_Att,2,nrES_Raw,"&gt;=0",nrES_Date,"&gt;0"),"mm/dd")&amp;" (due "&amp;TEXT($T155,"mm/dd")&amp;")","Retested"))),IF(NOT(ISNUMBER($T155)),"CHECK DATE",IF(TODAY()&gt;$T155,"OVERDUE","Due "&amp;TEXT($T155,"mm/dd")))))))</f>
        <v/>
      </c>
      <c r="V155" s="16" t="n"/>
      <c r="W155" s="16" t="n"/>
      <c r="X155" s="17">
        <f>IF($C155="","",IF(AND($L155&lt;&gt;"",NOT(ISNUMBER($L155))),"RAW SCORE NOT A NUMBER",IF(AND(ISNUMBER($L155),OR($L155&lt;0,$L155&gt;100)),"RAW SCORE OUT OF RANGE",IF(AND($Y155="Unexcused",OR($L155="",NOT(ISNUMBER($L155)),$L155&lt;&gt;0)),"UNEXCUSED ABSENCE MUST RECORD 0",IF(COUNTIF(nrES_RecID,$B155)&gt;1,"DUPLICATE RECORD",IF(N($K155)&gt;2,"ATTEMPT 3+ NOT ALLOWED - policy 300.5 permits one retest per exam; this row records nothing",IF(AND($K155=2,COUNTIFS(nrES_PID,$D155,nrES_Code,$F155,nrES_Att,1)=0),"ATTEMPT 2 WITHOUT ATTEMPT 1",IF(AND($K155=2,$L155=""),"RETEST ROW HAS NO SCORE",IF(AND($H155="Final",$L155&lt;&gt;"",IFERROR(INDEX(nrCKfinalExamElig,MATCH($D155,rngCadetPIDs,0)),"")="No"),"FINAL EXAM AFTER FAILED FINAL PT (500.1.H)",IF(AND($K155=2,ISNUMBER($L155),COUNTIFS(nrES_PID,$D155,nrES_Code,$F155,nrES_Att,1)&gt;0,SUMIFS(nrES_Raw,nrES_PID,$D155,nrES_Code,$F155,nrES_Att,1)&gt;=$J155),"RETEST AFTER A PASSING FIRST ATTEMPT","OK"))))))))))</f>
        <v/>
      </c>
      <c r="Y155" s="16" t="n"/>
    </row>
    <row r="156">
      <c r="B156" s="17">
        <f>IF($C156="","",$D156&amp;"-"&amp;$F156&amp;"-"&amp;$K156)</f>
        <v/>
      </c>
      <c r="C156" s="16" t="n"/>
      <c r="D156" s="17">
        <f>IF($C156="","",IFERROR(INDEX(rngCadetPIDs,MATCH($C156,rngCadetNames,0)),"?"))</f>
        <v/>
      </c>
      <c r="E156" s="17">
        <f>IF($D156="","",IFERROR(INDEX(nrCadetAgency,MATCH($D156,rngCadetPIDs,0)),""))</f>
        <v/>
      </c>
      <c r="F156" s="16" t="n"/>
      <c r="G156" s="17">
        <f>IF($F156="","",IFERROR(INDEX(rngEPname,MATCH($F156,rngEPcode,0)),"?"))</f>
        <v/>
      </c>
      <c r="H156" s="17">
        <f>IF($F156="","",IFERROR(INDEX(rngEPtype,MATCH($F156,rngEPcode,0)),"?"))</f>
        <v/>
      </c>
      <c r="I156" s="17">
        <f>IF($F156="","",IFERROR(INDEX(rngEPseq,MATCH($F156,rngEPcode,0)),""))</f>
        <v/>
      </c>
      <c r="J156" s="17">
        <f>IF($F156="","",IFERROR(INDEX(rngEPpass,MATCH($F156,rngEPcode,0)),cfgPassingScore))</f>
        <v/>
      </c>
      <c r="K156" s="16" t="n"/>
      <c r="L156" s="16" t="n"/>
      <c r="M156" s="17">
        <f>IF($C156="","",IF($L156="","",IF(NOT(ISNUMBER($L156)),$L156,IF(N($K156)&gt;2,"",IF($K156=1,IF(COUNTIFS(nrES_PID,$D156,nrES_Code,$F156,nrES_Att,2,nrES_Raw,"&gt;=0")&gt;0,"",$L156),IF($L156&gt;=$J156,MAX($J156,cfgRetakeRecordedCap),IF(COUNTIFS(nrES_PID,$D156,nrES_Code,$F156,nrES_Att,1)=0,$L156,SUMIFS(nrES_Raw,nrES_PID,$D156,nrES_Code,$F156,nrES_Att,1))))))))</f>
        <v/>
      </c>
      <c r="N156" s="17">
        <f>IF($C156="","",IF($L156="","",IF(NOT(ISNUMBER($L156)),"(not a score)",IF($L156&gt;=$J156,"Yes","No"))))</f>
        <v/>
      </c>
      <c r="O156" s="17">
        <f>IF($C156="","",IF($M156="","",IF(NOT(ISNUMBER($M156)),"(not a score)",IF($M156&gt;=$J156,"Yes","No"))))</f>
        <v/>
      </c>
      <c r="P156" s="17">
        <f>IF($C156="","",IF($K156="","",IF(N($K156)&gt;2,"No",IF(COUNTIFS(nrES_PID,$D156,nrES_Code,$F156,nrES_Att,"&gt;"&amp;$K156,nrES_Att,"&lt;=2",nrES_Raw,"&gt;=0")=0,"Yes","No"))))</f>
        <v/>
      </c>
      <c r="Q156" s="17">
        <f>IF($C156="","",IF($L156="","",IF(AND($K156=1,ISNUMBER($L156),$L156&lt;$J156,COUNTIFS(nrES_PID,$D156,nrES_Code,$F156,nrES_Att,2,nrES_Raw,"&gt;=0")=0),"Yes","No")))</f>
        <v/>
      </c>
      <c r="R156" s="17">
        <f>IF($C156="","",IF($L156="","",IF(AND(N($K156)&gt;=2,ISNUMBER($L156),$L156&lt;$J156),"Yes","No")))</f>
        <v/>
      </c>
      <c r="S156" s="18" t="n"/>
      <c r="T156" s="19">
        <f>IF(OR($C156="",$L156="",$K156&lt;&gt;1,NOT(ISNUMBER($L156)),$L156&gt;=$J156),"",IF($S156="","(enter date)",_xlfn.LET(_xlpm.dn,_xlfn.XLOOKUP($S156,nrCDdate,nrCDnum,"",1),IF(_xlpm.dn="","(after last class day)",_xlfn.LET(_xlpm.dd,_xlfn.XLOOKUP(_xlpm.dn+cfgRetestClassDays,nrCDnum,nrCDdate,""),_xlpm.ok,_xlfn.XLOOKUP(_xlpm.dn+cfgRetestClassDays,nrCDnum,nrCDinsession,"No"),IF(OR(_xlpm.dd="",_xlpm.ok&lt;&gt;"Yes"),"(after last class day)",_xlpm.dd))))))</f>
        <v/>
      </c>
      <c r="U156" s="17">
        <f>IF($C156="","",IF(AND($Y156="Excused",$L156="",N($K156)&lt;=1),"EXCUSED - 1st attempt pending",IF(OR($L156="",$K156&lt;&gt;1,NOT(ISNUMBER($L156)),$L156&gt;=$J156),"",IF(COUNTIFS(nrES_PID,$D156,nrES_Code,$F156,nrES_Att,2,nrES_Raw,"&gt;=0")&gt;0,IF(IFERROR(_xlfn.MINIFS(nrES_Date,nrES_PID,$D156,nrES_Code,$F156,nrES_Att,2,nrES_Raw,"&gt;=0",nrES_Date,"&gt;0"),0)=0,"RETEST UNDATED",IF(NOT(ISNUMBER($T156)),"RETEST DATE UNCHECKED",IF(_xlfn.MINIFS(nrES_Date,nrES_PID,$D156,nrES_Code,$F156,nrES_Att,2,nrES_Raw,"&gt;=0",nrES_Date,"&gt;0")&gt;$T156,"LATE RETEST "&amp;TEXT(_xlfn.MINIFS(nrES_Date,nrES_PID,$D156,nrES_Code,$F156,nrES_Att,2,nrES_Raw,"&gt;=0",nrES_Date,"&gt;0"),"mm/dd")&amp;" (due "&amp;TEXT($T156,"mm/dd")&amp;")","Retested"))),IF(NOT(ISNUMBER($T156)),"CHECK DATE",IF(TODAY()&gt;$T156,"OVERDUE","Due "&amp;TEXT($T156,"mm/dd")))))))</f>
        <v/>
      </c>
      <c r="V156" s="16" t="n"/>
      <c r="W156" s="16" t="n"/>
      <c r="X156" s="17">
        <f>IF($C156="","",IF(AND($L156&lt;&gt;"",NOT(ISNUMBER($L156))),"RAW SCORE NOT A NUMBER",IF(AND(ISNUMBER($L156),OR($L156&lt;0,$L156&gt;100)),"RAW SCORE OUT OF RANGE",IF(AND($Y156="Unexcused",OR($L156="",NOT(ISNUMBER($L156)),$L156&lt;&gt;0)),"UNEXCUSED ABSENCE MUST RECORD 0",IF(COUNTIF(nrES_RecID,$B156)&gt;1,"DUPLICATE RECORD",IF(N($K156)&gt;2,"ATTEMPT 3+ NOT ALLOWED - policy 300.5 permits one retest per exam; this row records nothing",IF(AND($K156=2,COUNTIFS(nrES_PID,$D156,nrES_Code,$F156,nrES_Att,1)=0),"ATTEMPT 2 WITHOUT ATTEMPT 1",IF(AND($K156=2,$L156=""),"RETEST ROW HAS NO SCORE",IF(AND($H156="Final",$L156&lt;&gt;"",IFERROR(INDEX(nrCKfinalExamElig,MATCH($D156,rngCadetPIDs,0)),"")="No"),"FINAL EXAM AFTER FAILED FINAL PT (500.1.H)",IF(AND($K156=2,ISNUMBER($L156),COUNTIFS(nrES_PID,$D156,nrES_Code,$F156,nrES_Att,1)&gt;0,SUMIFS(nrES_Raw,nrES_PID,$D156,nrES_Code,$F156,nrES_Att,1)&gt;=$J156),"RETEST AFTER A PASSING FIRST ATTEMPT","OK"))))))))))</f>
        <v/>
      </c>
      <c r="Y156" s="16" t="n"/>
    </row>
    <row r="157">
      <c r="B157" s="17">
        <f>IF($C157="","",$D157&amp;"-"&amp;$F157&amp;"-"&amp;$K157)</f>
        <v/>
      </c>
      <c r="C157" s="16" t="n"/>
      <c r="D157" s="17">
        <f>IF($C157="","",IFERROR(INDEX(rngCadetPIDs,MATCH($C157,rngCadetNames,0)),"?"))</f>
        <v/>
      </c>
      <c r="E157" s="17">
        <f>IF($D157="","",IFERROR(INDEX(nrCadetAgency,MATCH($D157,rngCadetPIDs,0)),""))</f>
        <v/>
      </c>
      <c r="F157" s="16" t="n"/>
      <c r="G157" s="17">
        <f>IF($F157="","",IFERROR(INDEX(rngEPname,MATCH($F157,rngEPcode,0)),"?"))</f>
        <v/>
      </c>
      <c r="H157" s="17">
        <f>IF($F157="","",IFERROR(INDEX(rngEPtype,MATCH($F157,rngEPcode,0)),"?"))</f>
        <v/>
      </c>
      <c r="I157" s="17">
        <f>IF($F157="","",IFERROR(INDEX(rngEPseq,MATCH($F157,rngEPcode,0)),""))</f>
        <v/>
      </c>
      <c r="J157" s="17">
        <f>IF($F157="","",IFERROR(INDEX(rngEPpass,MATCH($F157,rngEPcode,0)),cfgPassingScore))</f>
        <v/>
      </c>
      <c r="K157" s="16" t="n"/>
      <c r="L157" s="16" t="n"/>
      <c r="M157" s="17">
        <f>IF($C157="","",IF($L157="","",IF(NOT(ISNUMBER($L157)),$L157,IF(N($K157)&gt;2,"",IF($K157=1,IF(COUNTIFS(nrES_PID,$D157,nrES_Code,$F157,nrES_Att,2,nrES_Raw,"&gt;=0")&gt;0,"",$L157),IF($L157&gt;=$J157,MAX($J157,cfgRetakeRecordedCap),IF(COUNTIFS(nrES_PID,$D157,nrES_Code,$F157,nrES_Att,1)=0,$L157,SUMIFS(nrES_Raw,nrES_PID,$D157,nrES_Code,$F157,nrES_Att,1))))))))</f>
        <v/>
      </c>
      <c r="N157" s="17">
        <f>IF($C157="","",IF($L157="","",IF(NOT(ISNUMBER($L157)),"(not a score)",IF($L157&gt;=$J157,"Yes","No"))))</f>
        <v/>
      </c>
      <c r="O157" s="17">
        <f>IF($C157="","",IF($M157="","",IF(NOT(ISNUMBER($M157)),"(not a score)",IF($M157&gt;=$J157,"Yes","No"))))</f>
        <v/>
      </c>
      <c r="P157" s="17">
        <f>IF($C157="","",IF($K157="","",IF(N($K157)&gt;2,"No",IF(COUNTIFS(nrES_PID,$D157,nrES_Code,$F157,nrES_Att,"&gt;"&amp;$K157,nrES_Att,"&lt;=2",nrES_Raw,"&gt;=0")=0,"Yes","No"))))</f>
        <v/>
      </c>
      <c r="Q157" s="17">
        <f>IF($C157="","",IF($L157="","",IF(AND($K157=1,ISNUMBER($L157),$L157&lt;$J157,COUNTIFS(nrES_PID,$D157,nrES_Code,$F157,nrES_Att,2,nrES_Raw,"&gt;=0")=0),"Yes","No")))</f>
        <v/>
      </c>
      <c r="R157" s="17">
        <f>IF($C157="","",IF($L157="","",IF(AND(N($K157)&gt;=2,ISNUMBER($L157),$L157&lt;$J157),"Yes","No")))</f>
        <v/>
      </c>
      <c r="S157" s="18" t="n"/>
      <c r="T157" s="19">
        <f>IF(OR($C157="",$L157="",$K157&lt;&gt;1,NOT(ISNUMBER($L157)),$L157&gt;=$J157),"",IF($S157="","(enter date)",_xlfn.LET(_xlpm.dn,_xlfn.XLOOKUP($S157,nrCDdate,nrCDnum,"",1),IF(_xlpm.dn="","(after last class day)",_xlfn.LET(_xlpm.dd,_xlfn.XLOOKUP(_xlpm.dn+cfgRetestClassDays,nrCDnum,nrCDdate,""),_xlpm.ok,_xlfn.XLOOKUP(_xlpm.dn+cfgRetestClassDays,nrCDnum,nrCDinsession,"No"),IF(OR(_xlpm.dd="",_xlpm.ok&lt;&gt;"Yes"),"(after last class day)",_xlpm.dd))))))</f>
        <v/>
      </c>
      <c r="U157" s="17">
        <f>IF($C157="","",IF(AND($Y157="Excused",$L157="",N($K157)&lt;=1),"EXCUSED - 1st attempt pending",IF(OR($L157="",$K157&lt;&gt;1,NOT(ISNUMBER($L157)),$L157&gt;=$J157),"",IF(COUNTIFS(nrES_PID,$D157,nrES_Code,$F157,nrES_Att,2,nrES_Raw,"&gt;=0")&gt;0,IF(IFERROR(_xlfn.MINIFS(nrES_Date,nrES_PID,$D157,nrES_Code,$F157,nrES_Att,2,nrES_Raw,"&gt;=0",nrES_Date,"&gt;0"),0)=0,"RETEST UNDATED",IF(NOT(ISNUMBER($T157)),"RETEST DATE UNCHECKED",IF(_xlfn.MINIFS(nrES_Date,nrES_PID,$D157,nrES_Code,$F157,nrES_Att,2,nrES_Raw,"&gt;=0",nrES_Date,"&gt;0")&gt;$T157,"LATE RETEST "&amp;TEXT(_xlfn.MINIFS(nrES_Date,nrES_PID,$D157,nrES_Code,$F157,nrES_Att,2,nrES_Raw,"&gt;=0",nrES_Date,"&gt;0"),"mm/dd")&amp;" (due "&amp;TEXT($T157,"mm/dd")&amp;")","Retested"))),IF(NOT(ISNUMBER($T157)),"CHECK DATE",IF(TODAY()&gt;$T157,"OVERDUE","Due "&amp;TEXT($T157,"mm/dd")))))))</f>
        <v/>
      </c>
      <c r="V157" s="16" t="n"/>
      <c r="W157" s="16" t="n"/>
      <c r="X157" s="17">
        <f>IF($C157="","",IF(AND($L157&lt;&gt;"",NOT(ISNUMBER($L157))),"RAW SCORE NOT A NUMBER",IF(AND(ISNUMBER($L157),OR($L157&lt;0,$L157&gt;100)),"RAW SCORE OUT OF RANGE",IF(AND($Y157="Unexcused",OR($L157="",NOT(ISNUMBER($L157)),$L157&lt;&gt;0)),"UNEXCUSED ABSENCE MUST RECORD 0",IF(COUNTIF(nrES_RecID,$B157)&gt;1,"DUPLICATE RECORD",IF(N($K157)&gt;2,"ATTEMPT 3+ NOT ALLOWED - policy 300.5 permits one retest per exam; this row records nothing",IF(AND($K157=2,COUNTIFS(nrES_PID,$D157,nrES_Code,$F157,nrES_Att,1)=0),"ATTEMPT 2 WITHOUT ATTEMPT 1",IF(AND($K157=2,$L157=""),"RETEST ROW HAS NO SCORE",IF(AND($H157="Final",$L157&lt;&gt;"",IFERROR(INDEX(nrCKfinalExamElig,MATCH($D157,rngCadetPIDs,0)),"")="No"),"FINAL EXAM AFTER FAILED FINAL PT (500.1.H)",IF(AND($K157=2,ISNUMBER($L157),COUNTIFS(nrES_PID,$D157,nrES_Code,$F157,nrES_Att,1)&gt;0,SUMIFS(nrES_Raw,nrES_PID,$D157,nrES_Code,$F157,nrES_Att,1)&gt;=$J157),"RETEST AFTER A PASSING FIRST ATTEMPT","OK"))))))))))</f>
        <v/>
      </c>
      <c r="Y157" s="16" t="n"/>
    </row>
    <row r="158">
      <c r="B158" s="17">
        <f>IF($C158="","",$D158&amp;"-"&amp;$F158&amp;"-"&amp;$K158)</f>
        <v/>
      </c>
      <c r="C158" s="16" t="n"/>
      <c r="D158" s="17">
        <f>IF($C158="","",IFERROR(INDEX(rngCadetPIDs,MATCH($C158,rngCadetNames,0)),"?"))</f>
        <v/>
      </c>
      <c r="E158" s="17">
        <f>IF($D158="","",IFERROR(INDEX(nrCadetAgency,MATCH($D158,rngCadetPIDs,0)),""))</f>
        <v/>
      </c>
      <c r="F158" s="16" t="n"/>
      <c r="G158" s="17">
        <f>IF($F158="","",IFERROR(INDEX(rngEPname,MATCH($F158,rngEPcode,0)),"?"))</f>
        <v/>
      </c>
      <c r="H158" s="17">
        <f>IF($F158="","",IFERROR(INDEX(rngEPtype,MATCH($F158,rngEPcode,0)),"?"))</f>
        <v/>
      </c>
      <c r="I158" s="17">
        <f>IF($F158="","",IFERROR(INDEX(rngEPseq,MATCH($F158,rngEPcode,0)),""))</f>
        <v/>
      </c>
      <c r="J158" s="17">
        <f>IF($F158="","",IFERROR(INDEX(rngEPpass,MATCH($F158,rngEPcode,0)),cfgPassingScore))</f>
        <v/>
      </c>
      <c r="K158" s="16" t="n"/>
      <c r="L158" s="16" t="n"/>
      <c r="M158" s="17">
        <f>IF($C158="","",IF($L158="","",IF(NOT(ISNUMBER($L158)),$L158,IF(N($K158)&gt;2,"",IF($K158=1,IF(COUNTIFS(nrES_PID,$D158,nrES_Code,$F158,nrES_Att,2,nrES_Raw,"&gt;=0")&gt;0,"",$L158),IF($L158&gt;=$J158,MAX($J158,cfgRetakeRecordedCap),IF(COUNTIFS(nrES_PID,$D158,nrES_Code,$F158,nrES_Att,1)=0,$L158,SUMIFS(nrES_Raw,nrES_PID,$D158,nrES_Code,$F158,nrES_Att,1))))))))</f>
        <v/>
      </c>
      <c r="N158" s="17">
        <f>IF($C158="","",IF($L158="","",IF(NOT(ISNUMBER($L158)),"(not a score)",IF($L158&gt;=$J158,"Yes","No"))))</f>
        <v/>
      </c>
      <c r="O158" s="17">
        <f>IF($C158="","",IF($M158="","",IF(NOT(ISNUMBER($M158)),"(not a score)",IF($M158&gt;=$J158,"Yes","No"))))</f>
        <v/>
      </c>
      <c r="P158" s="17">
        <f>IF($C158="","",IF($K158="","",IF(N($K158)&gt;2,"No",IF(COUNTIFS(nrES_PID,$D158,nrES_Code,$F158,nrES_Att,"&gt;"&amp;$K158,nrES_Att,"&lt;=2",nrES_Raw,"&gt;=0")=0,"Yes","No"))))</f>
        <v/>
      </c>
      <c r="Q158" s="17">
        <f>IF($C158="","",IF($L158="","",IF(AND($K158=1,ISNUMBER($L158),$L158&lt;$J158,COUNTIFS(nrES_PID,$D158,nrES_Code,$F158,nrES_Att,2,nrES_Raw,"&gt;=0")=0),"Yes","No")))</f>
        <v/>
      </c>
      <c r="R158" s="17">
        <f>IF($C158="","",IF($L158="","",IF(AND(N($K158)&gt;=2,ISNUMBER($L158),$L158&lt;$J158),"Yes","No")))</f>
        <v/>
      </c>
      <c r="S158" s="18" t="n"/>
      <c r="T158" s="19">
        <f>IF(OR($C158="",$L158="",$K158&lt;&gt;1,NOT(ISNUMBER($L158)),$L158&gt;=$J158),"",IF($S158="","(enter date)",_xlfn.LET(_xlpm.dn,_xlfn.XLOOKUP($S158,nrCDdate,nrCDnum,"",1),IF(_xlpm.dn="","(after last class day)",_xlfn.LET(_xlpm.dd,_xlfn.XLOOKUP(_xlpm.dn+cfgRetestClassDays,nrCDnum,nrCDdate,""),_xlpm.ok,_xlfn.XLOOKUP(_xlpm.dn+cfgRetestClassDays,nrCDnum,nrCDinsession,"No"),IF(OR(_xlpm.dd="",_xlpm.ok&lt;&gt;"Yes"),"(after last class day)",_xlpm.dd))))))</f>
        <v/>
      </c>
      <c r="U158" s="17">
        <f>IF($C158="","",IF(AND($Y158="Excused",$L158="",N($K158)&lt;=1),"EXCUSED - 1st attempt pending",IF(OR($L158="",$K158&lt;&gt;1,NOT(ISNUMBER($L158)),$L158&gt;=$J158),"",IF(COUNTIFS(nrES_PID,$D158,nrES_Code,$F158,nrES_Att,2,nrES_Raw,"&gt;=0")&gt;0,IF(IFERROR(_xlfn.MINIFS(nrES_Date,nrES_PID,$D158,nrES_Code,$F158,nrES_Att,2,nrES_Raw,"&gt;=0",nrES_Date,"&gt;0"),0)=0,"RETEST UNDATED",IF(NOT(ISNUMBER($T158)),"RETEST DATE UNCHECKED",IF(_xlfn.MINIFS(nrES_Date,nrES_PID,$D158,nrES_Code,$F158,nrES_Att,2,nrES_Raw,"&gt;=0",nrES_Date,"&gt;0")&gt;$T158,"LATE RETEST "&amp;TEXT(_xlfn.MINIFS(nrES_Date,nrES_PID,$D158,nrES_Code,$F158,nrES_Att,2,nrES_Raw,"&gt;=0",nrES_Date,"&gt;0"),"mm/dd")&amp;" (due "&amp;TEXT($T158,"mm/dd")&amp;")","Retested"))),IF(NOT(ISNUMBER($T158)),"CHECK DATE",IF(TODAY()&gt;$T158,"OVERDUE","Due "&amp;TEXT($T158,"mm/dd")))))))</f>
        <v/>
      </c>
      <c r="V158" s="16" t="n"/>
      <c r="W158" s="16" t="n"/>
      <c r="X158" s="17">
        <f>IF($C158="","",IF(AND($L158&lt;&gt;"",NOT(ISNUMBER($L158))),"RAW SCORE NOT A NUMBER",IF(AND(ISNUMBER($L158),OR($L158&lt;0,$L158&gt;100)),"RAW SCORE OUT OF RANGE",IF(AND($Y158="Unexcused",OR($L158="",NOT(ISNUMBER($L158)),$L158&lt;&gt;0)),"UNEXCUSED ABSENCE MUST RECORD 0",IF(COUNTIF(nrES_RecID,$B158)&gt;1,"DUPLICATE RECORD",IF(N($K158)&gt;2,"ATTEMPT 3+ NOT ALLOWED - policy 300.5 permits one retest per exam; this row records nothing",IF(AND($K158=2,COUNTIFS(nrES_PID,$D158,nrES_Code,$F158,nrES_Att,1)=0),"ATTEMPT 2 WITHOUT ATTEMPT 1",IF(AND($K158=2,$L158=""),"RETEST ROW HAS NO SCORE",IF(AND($H158="Final",$L158&lt;&gt;"",IFERROR(INDEX(nrCKfinalExamElig,MATCH($D158,rngCadetPIDs,0)),"")="No"),"FINAL EXAM AFTER FAILED FINAL PT (500.1.H)",IF(AND($K158=2,ISNUMBER($L158),COUNTIFS(nrES_PID,$D158,nrES_Code,$F158,nrES_Att,1)&gt;0,SUMIFS(nrES_Raw,nrES_PID,$D158,nrES_Code,$F158,nrES_Att,1)&gt;=$J158),"RETEST AFTER A PASSING FIRST ATTEMPT","OK"))))))))))</f>
        <v/>
      </c>
      <c r="Y158" s="16" t="n"/>
    </row>
    <row r="159">
      <c r="B159" s="17">
        <f>IF($C159="","",$D159&amp;"-"&amp;$F159&amp;"-"&amp;$K159)</f>
        <v/>
      </c>
      <c r="C159" s="16" t="n"/>
      <c r="D159" s="17">
        <f>IF($C159="","",IFERROR(INDEX(rngCadetPIDs,MATCH($C159,rngCadetNames,0)),"?"))</f>
        <v/>
      </c>
      <c r="E159" s="17">
        <f>IF($D159="","",IFERROR(INDEX(nrCadetAgency,MATCH($D159,rngCadetPIDs,0)),""))</f>
        <v/>
      </c>
      <c r="F159" s="16" t="n"/>
      <c r="G159" s="17">
        <f>IF($F159="","",IFERROR(INDEX(rngEPname,MATCH($F159,rngEPcode,0)),"?"))</f>
        <v/>
      </c>
      <c r="H159" s="17">
        <f>IF($F159="","",IFERROR(INDEX(rngEPtype,MATCH($F159,rngEPcode,0)),"?"))</f>
        <v/>
      </c>
      <c r="I159" s="17">
        <f>IF($F159="","",IFERROR(INDEX(rngEPseq,MATCH($F159,rngEPcode,0)),""))</f>
        <v/>
      </c>
      <c r="J159" s="17">
        <f>IF($F159="","",IFERROR(INDEX(rngEPpass,MATCH($F159,rngEPcode,0)),cfgPassingScore))</f>
        <v/>
      </c>
      <c r="K159" s="16" t="n"/>
      <c r="L159" s="16" t="n"/>
      <c r="M159" s="17">
        <f>IF($C159="","",IF($L159="","",IF(NOT(ISNUMBER($L159)),$L159,IF(N($K159)&gt;2,"",IF($K159=1,IF(COUNTIFS(nrES_PID,$D159,nrES_Code,$F159,nrES_Att,2,nrES_Raw,"&gt;=0")&gt;0,"",$L159),IF($L159&gt;=$J159,MAX($J159,cfgRetakeRecordedCap),IF(COUNTIFS(nrES_PID,$D159,nrES_Code,$F159,nrES_Att,1)=0,$L159,SUMIFS(nrES_Raw,nrES_PID,$D159,nrES_Code,$F159,nrES_Att,1))))))))</f>
        <v/>
      </c>
      <c r="N159" s="17">
        <f>IF($C159="","",IF($L159="","",IF(NOT(ISNUMBER($L159)),"(not a score)",IF($L159&gt;=$J159,"Yes","No"))))</f>
        <v/>
      </c>
      <c r="O159" s="17">
        <f>IF($C159="","",IF($M159="","",IF(NOT(ISNUMBER($M159)),"(not a score)",IF($M159&gt;=$J159,"Yes","No"))))</f>
        <v/>
      </c>
      <c r="P159" s="17">
        <f>IF($C159="","",IF($K159="","",IF(N($K159)&gt;2,"No",IF(COUNTIFS(nrES_PID,$D159,nrES_Code,$F159,nrES_Att,"&gt;"&amp;$K159,nrES_Att,"&lt;=2",nrES_Raw,"&gt;=0")=0,"Yes","No"))))</f>
        <v/>
      </c>
      <c r="Q159" s="17">
        <f>IF($C159="","",IF($L159="","",IF(AND($K159=1,ISNUMBER($L159),$L159&lt;$J159,COUNTIFS(nrES_PID,$D159,nrES_Code,$F159,nrES_Att,2,nrES_Raw,"&gt;=0")=0),"Yes","No")))</f>
        <v/>
      </c>
      <c r="R159" s="17">
        <f>IF($C159="","",IF($L159="","",IF(AND(N($K159)&gt;=2,ISNUMBER($L159),$L159&lt;$J159),"Yes","No")))</f>
        <v/>
      </c>
      <c r="S159" s="18" t="n"/>
      <c r="T159" s="19">
        <f>IF(OR($C159="",$L159="",$K159&lt;&gt;1,NOT(ISNUMBER($L159)),$L159&gt;=$J159),"",IF($S159="","(enter date)",_xlfn.LET(_xlpm.dn,_xlfn.XLOOKUP($S159,nrCDdate,nrCDnum,"",1),IF(_xlpm.dn="","(after last class day)",_xlfn.LET(_xlpm.dd,_xlfn.XLOOKUP(_xlpm.dn+cfgRetestClassDays,nrCDnum,nrCDdate,""),_xlpm.ok,_xlfn.XLOOKUP(_xlpm.dn+cfgRetestClassDays,nrCDnum,nrCDinsession,"No"),IF(OR(_xlpm.dd="",_xlpm.ok&lt;&gt;"Yes"),"(after last class day)",_xlpm.dd))))))</f>
        <v/>
      </c>
      <c r="U159" s="17">
        <f>IF($C159="","",IF(AND($Y159="Excused",$L159="",N($K159)&lt;=1),"EXCUSED - 1st attempt pending",IF(OR($L159="",$K159&lt;&gt;1,NOT(ISNUMBER($L159)),$L159&gt;=$J159),"",IF(COUNTIFS(nrES_PID,$D159,nrES_Code,$F159,nrES_Att,2,nrES_Raw,"&gt;=0")&gt;0,IF(IFERROR(_xlfn.MINIFS(nrES_Date,nrES_PID,$D159,nrES_Code,$F159,nrES_Att,2,nrES_Raw,"&gt;=0",nrES_Date,"&gt;0"),0)=0,"RETEST UNDATED",IF(NOT(ISNUMBER($T159)),"RETEST DATE UNCHECKED",IF(_xlfn.MINIFS(nrES_Date,nrES_PID,$D159,nrES_Code,$F159,nrES_Att,2,nrES_Raw,"&gt;=0",nrES_Date,"&gt;0")&gt;$T159,"LATE RETEST "&amp;TEXT(_xlfn.MINIFS(nrES_Date,nrES_PID,$D159,nrES_Code,$F159,nrES_Att,2,nrES_Raw,"&gt;=0",nrES_Date,"&gt;0"),"mm/dd")&amp;" (due "&amp;TEXT($T159,"mm/dd")&amp;")","Retested"))),IF(NOT(ISNUMBER($T159)),"CHECK DATE",IF(TODAY()&gt;$T159,"OVERDUE","Due "&amp;TEXT($T159,"mm/dd")))))))</f>
        <v/>
      </c>
      <c r="V159" s="16" t="n"/>
      <c r="W159" s="16" t="n"/>
      <c r="X159" s="17">
        <f>IF($C159="","",IF(AND($L159&lt;&gt;"",NOT(ISNUMBER($L159))),"RAW SCORE NOT A NUMBER",IF(AND(ISNUMBER($L159),OR($L159&lt;0,$L159&gt;100)),"RAW SCORE OUT OF RANGE",IF(AND($Y159="Unexcused",OR($L159="",NOT(ISNUMBER($L159)),$L159&lt;&gt;0)),"UNEXCUSED ABSENCE MUST RECORD 0",IF(COUNTIF(nrES_RecID,$B159)&gt;1,"DUPLICATE RECORD",IF(N($K159)&gt;2,"ATTEMPT 3+ NOT ALLOWED - policy 300.5 permits one retest per exam; this row records nothing",IF(AND($K159=2,COUNTIFS(nrES_PID,$D159,nrES_Code,$F159,nrES_Att,1)=0),"ATTEMPT 2 WITHOUT ATTEMPT 1",IF(AND($K159=2,$L159=""),"RETEST ROW HAS NO SCORE",IF(AND($H159="Final",$L159&lt;&gt;"",IFERROR(INDEX(nrCKfinalExamElig,MATCH($D159,rngCadetPIDs,0)),"")="No"),"FINAL EXAM AFTER FAILED FINAL PT (500.1.H)",IF(AND($K159=2,ISNUMBER($L159),COUNTIFS(nrES_PID,$D159,nrES_Code,$F159,nrES_Att,1)&gt;0,SUMIFS(nrES_Raw,nrES_PID,$D159,nrES_Code,$F159,nrES_Att,1)&gt;=$J159),"RETEST AFTER A PASSING FIRST ATTEMPT","OK"))))))))))</f>
        <v/>
      </c>
      <c r="Y159" s="16" t="n"/>
    </row>
    <row r="160">
      <c r="B160" s="17">
        <f>IF($C160="","",$D160&amp;"-"&amp;$F160&amp;"-"&amp;$K160)</f>
        <v/>
      </c>
      <c r="C160" s="16" t="n"/>
      <c r="D160" s="17">
        <f>IF($C160="","",IFERROR(INDEX(rngCadetPIDs,MATCH($C160,rngCadetNames,0)),"?"))</f>
        <v/>
      </c>
      <c r="E160" s="17">
        <f>IF($D160="","",IFERROR(INDEX(nrCadetAgency,MATCH($D160,rngCadetPIDs,0)),""))</f>
        <v/>
      </c>
      <c r="F160" s="16" t="n"/>
      <c r="G160" s="17">
        <f>IF($F160="","",IFERROR(INDEX(rngEPname,MATCH($F160,rngEPcode,0)),"?"))</f>
        <v/>
      </c>
      <c r="H160" s="17">
        <f>IF($F160="","",IFERROR(INDEX(rngEPtype,MATCH($F160,rngEPcode,0)),"?"))</f>
        <v/>
      </c>
      <c r="I160" s="17">
        <f>IF($F160="","",IFERROR(INDEX(rngEPseq,MATCH($F160,rngEPcode,0)),""))</f>
        <v/>
      </c>
      <c r="J160" s="17">
        <f>IF($F160="","",IFERROR(INDEX(rngEPpass,MATCH($F160,rngEPcode,0)),cfgPassingScore))</f>
        <v/>
      </c>
      <c r="K160" s="16" t="n"/>
      <c r="L160" s="16" t="n"/>
      <c r="M160" s="17">
        <f>IF($C160="","",IF($L160="","",IF(NOT(ISNUMBER($L160)),$L160,IF(N($K160)&gt;2,"",IF($K160=1,IF(COUNTIFS(nrES_PID,$D160,nrES_Code,$F160,nrES_Att,2,nrES_Raw,"&gt;=0")&gt;0,"",$L160),IF($L160&gt;=$J160,MAX($J160,cfgRetakeRecordedCap),IF(COUNTIFS(nrES_PID,$D160,nrES_Code,$F160,nrES_Att,1)=0,$L160,SUMIFS(nrES_Raw,nrES_PID,$D160,nrES_Code,$F160,nrES_Att,1))))))))</f>
        <v/>
      </c>
      <c r="N160" s="17">
        <f>IF($C160="","",IF($L160="","",IF(NOT(ISNUMBER($L160)),"(not a score)",IF($L160&gt;=$J160,"Yes","No"))))</f>
        <v/>
      </c>
      <c r="O160" s="17">
        <f>IF($C160="","",IF($M160="","",IF(NOT(ISNUMBER($M160)),"(not a score)",IF($M160&gt;=$J160,"Yes","No"))))</f>
        <v/>
      </c>
      <c r="P160" s="17">
        <f>IF($C160="","",IF($K160="","",IF(N($K160)&gt;2,"No",IF(COUNTIFS(nrES_PID,$D160,nrES_Code,$F160,nrES_Att,"&gt;"&amp;$K160,nrES_Att,"&lt;=2",nrES_Raw,"&gt;=0")=0,"Yes","No"))))</f>
        <v/>
      </c>
      <c r="Q160" s="17">
        <f>IF($C160="","",IF($L160="","",IF(AND($K160=1,ISNUMBER($L160),$L160&lt;$J160,COUNTIFS(nrES_PID,$D160,nrES_Code,$F160,nrES_Att,2,nrES_Raw,"&gt;=0")=0),"Yes","No")))</f>
        <v/>
      </c>
      <c r="R160" s="17">
        <f>IF($C160="","",IF($L160="","",IF(AND(N($K160)&gt;=2,ISNUMBER($L160),$L160&lt;$J160),"Yes","No")))</f>
        <v/>
      </c>
      <c r="S160" s="18" t="n"/>
      <c r="T160" s="19">
        <f>IF(OR($C160="",$L160="",$K160&lt;&gt;1,NOT(ISNUMBER($L160)),$L160&gt;=$J160),"",IF($S160="","(enter date)",_xlfn.LET(_xlpm.dn,_xlfn.XLOOKUP($S160,nrCDdate,nrCDnum,"",1),IF(_xlpm.dn="","(after last class day)",_xlfn.LET(_xlpm.dd,_xlfn.XLOOKUP(_xlpm.dn+cfgRetestClassDays,nrCDnum,nrCDdate,""),_xlpm.ok,_xlfn.XLOOKUP(_xlpm.dn+cfgRetestClassDays,nrCDnum,nrCDinsession,"No"),IF(OR(_xlpm.dd="",_xlpm.ok&lt;&gt;"Yes"),"(after last class day)",_xlpm.dd))))))</f>
        <v/>
      </c>
      <c r="U160" s="17">
        <f>IF($C160="","",IF(AND($Y160="Excused",$L160="",N($K160)&lt;=1),"EXCUSED - 1st attempt pending",IF(OR($L160="",$K160&lt;&gt;1,NOT(ISNUMBER($L160)),$L160&gt;=$J160),"",IF(COUNTIFS(nrES_PID,$D160,nrES_Code,$F160,nrES_Att,2,nrES_Raw,"&gt;=0")&gt;0,IF(IFERROR(_xlfn.MINIFS(nrES_Date,nrES_PID,$D160,nrES_Code,$F160,nrES_Att,2,nrES_Raw,"&gt;=0",nrES_Date,"&gt;0"),0)=0,"RETEST UNDATED",IF(NOT(ISNUMBER($T160)),"RETEST DATE UNCHECKED",IF(_xlfn.MINIFS(nrES_Date,nrES_PID,$D160,nrES_Code,$F160,nrES_Att,2,nrES_Raw,"&gt;=0",nrES_Date,"&gt;0")&gt;$T160,"LATE RETEST "&amp;TEXT(_xlfn.MINIFS(nrES_Date,nrES_PID,$D160,nrES_Code,$F160,nrES_Att,2,nrES_Raw,"&gt;=0",nrES_Date,"&gt;0"),"mm/dd")&amp;" (due "&amp;TEXT($T160,"mm/dd")&amp;")","Retested"))),IF(NOT(ISNUMBER($T160)),"CHECK DATE",IF(TODAY()&gt;$T160,"OVERDUE","Due "&amp;TEXT($T160,"mm/dd")))))))</f>
        <v/>
      </c>
      <c r="V160" s="16" t="n"/>
      <c r="W160" s="16" t="n"/>
      <c r="X160" s="17">
        <f>IF($C160="","",IF(AND($L160&lt;&gt;"",NOT(ISNUMBER($L160))),"RAW SCORE NOT A NUMBER",IF(AND(ISNUMBER($L160),OR($L160&lt;0,$L160&gt;100)),"RAW SCORE OUT OF RANGE",IF(AND($Y160="Unexcused",OR($L160="",NOT(ISNUMBER($L160)),$L160&lt;&gt;0)),"UNEXCUSED ABSENCE MUST RECORD 0",IF(COUNTIF(nrES_RecID,$B160)&gt;1,"DUPLICATE RECORD",IF(N($K160)&gt;2,"ATTEMPT 3+ NOT ALLOWED - policy 300.5 permits one retest per exam; this row records nothing",IF(AND($K160=2,COUNTIFS(nrES_PID,$D160,nrES_Code,$F160,nrES_Att,1)=0),"ATTEMPT 2 WITHOUT ATTEMPT 1",IF(AND($K160=2,$L160=""),"RETEST ROW HAS NO SCORE",IF(AND($H160="Final",$L160&lt;&gt;"",IFERROR(INDEX(nrCKfinalExamElig,MATCH($D160,rngCadetPIDs,0)),"")="No"),"FINAL EXAM AFTER FAILED FINAL PT (500.1.H)",IF(AND($K160=2,ISNUMBER($L160),COUNTIFS(nrES_PID,$D160,nrES_Code,$F160,nrES_Att,1)&gt;0,SUMIFS(nrES_Raw,nrES_PID,$D160,nrES_Code,$F160,nrES_Att,1)&gt;=$J160),"RETEST AFTER A PASSING FIRST ATTEMPT","OK"))))))))))</f>
        <v/>
      </c>
      <c r="Y160" s="16" t="n"/>
    </row>
    <row r="161">
      <c r="B161" s="17">
        <f>IF($C161="","",$D161&amp;"-"&amp;$F161&amp;"-"&amp;$K161)</f>
        <v/>
      </c>
      <c r="C161" s="16" t="n"/>
      <c r="D161" s="17">
        <f>IF($C161="","",IFERROR(INDEX(rngCadetPIDs,MATCH($C161,rngCadetNames,0)),"?"))</f>
        <v/>
      </c>
      <c r="E161" s="17">
        <f>IF($D161="","",IFERROR(INDEX(nrCadetAgency,MATCH($D161,rngCadetPIDs,0)),""))</f>
        <v/>
      </c>
      <c r="F161" s="16" t="n"/>
      <c r="G161" s="17">
        <f>IF($F161="","",IFERROR(INDEX(rngEPname,MATCH($F161,rngEPcode,0)),"?"))</f>
        <v/>
      </c>
      <c r="H161" s="17">
        <f>IF($F161="","",IFERROR(INDEX(rngEPtype,MATCH($F161,rngEPcode,0)),"?"))</f>
        <v/>
      </c>
      <c r="I161" s="17">
        <f>IF($F161="","",IFERROR(INDEX(rngEPseq,MATCH($F161,rngEPcode,0)),""))</f>
        <v/>
      </c>
      <c r="J161" s="17">
        <f>IF($F161="","",IFERROR(INDEX(rngEPpass,MATCH($F161,rngEPcode,0)),cfgPassingScore))</f>
        <v/>
      </c>
      <c r="K161" s="16" t="n"/>
      <c r="L161" s="16" t="n"/>
      <c r="M161" s="17">
        <f>IF($C161="","",IF($L161="","",IF(NOT(ISNUMBER($L161)),$L161,IF(N($K161)&gt;2,"",IF($K161=1,IF(COUNTIFS(nrES_PID,$D161,nrES_Code,$F161,nrES_Att,2,nrES_Raw,"&gt;=0")&gt;0,"",$L161),IF($L161&gt;=$J161,MAX($J161,cfgRetakeRecordedCap),IF(COUNTIFS(nrES_PID,$D161,nrES_Code,$F161,nrES_Att,1)=0,$L161,SUMIFS(nrES_Raw,nrES_PID,$D161,nrES_Code,$F161,nrES_Att,1))))))))</f>
        <v/>
      </c>
      <c r="N161" s="17">
        <f>IF($C161="","",IF($L161="","",IF(NOT(ISNUMBER($L161)),"(not a score)",IF($L161&gt;=$J161,"Yes","No"))))</f>
        <v/>
      </c>
      <c r="O161" s="17">
        <f>IF($C161="","",IF($M161="","",IF(NOT(ISNUMBER($M161)),"(not a score)",IF($M161&gt;=$J161,"Yes","No"))))</f>
        <v/>
      </c>
      <c r="P161" s="17">
        <f>IF($C161="","",IF($K161="","",IF(N($K161)&gt;2,"No",IF(COUNTIFS(nrES_PID,$D161,nrES_Code,$F161,nrES_Att,"&gt;"&amp;$K161,nrES_Att,"&lt;=2",nrES_Raw,"&gt;=0")=0,"Yes","No"))))</f>
        <v/>
      </c>
      <c r="Q161" s="17">
        <f>IF($C161="","",IF($L161="","",IF(AND($K161=1,ISNUMBER($L161),$L161&lt;$J161,COUNTIFS(nrES_PID,$D161,nrES_Code,$F161,nrES_Att,2,nrES_Raw,"&gt;=0")=0),"Yes","No")))</f>
        <v/>
      </c>
      <c r="R161" s="17">
        <f>IF($C161="","",IF($L161="","",IF(AND(N($K161)&gt;=2,ISNUMBER($L161),$L161&lt;$J161),"Yes","No")))</f>
        <v/>
      </c>
      <c r="S161" s="18" t="n"/>
      <c r="T161" s="19">
        <f>IF(OR($C161="",$L161="",$K161&lt;&gt;1,NOT(ISNUMBER($L161)),$L161&gt;=$J161),"",IF($S161="","(enter date)",_xlfn.LET(_xlpm.dn,_xlfn.XLOOKUP($S161,nrCDdate,nrCDnum,"",1),IF(_xlpm.dn="","(after last class day)",_xlfn.LET(_xlpm.dd,_xlfn.XLOOKUP(_xlpm.dn+cfgRetestClassDays,nrCDnum,nrCDdate,""),_xlpm.ok,_xlfn.XLOOKUP(_xlpm.dn+cfgRetestClassDays,nrCDnum,nrCDinsession,"No"),IF(OR(_xlpm.dd="",_xlpm.ok&lt;&gt;"Yes"),"(after last class day)",_xlpm.dd))))))</f>
        <v/>
      </c>
      <c r="U161" s="17">
        <f>IF($C161="","",IF(AND($Y161="Excused",$L161="",N($K161)&lt;=1),"EXCUSED - 1st attempt pending",IF(OR($L161="",$K161&lt;&gt;1,NOT(ISNUMBER($L161)),$L161&gt;=$J161),"",IF(COUNTIFS(nrES_PID,$D161,nrES_Code,$F161,nrES_Att,2,nrES_Raw,"&gt;=0")&gt;0,IF(IFERROR(_xlfn.MINIFS(nrES_Date,nrES_PID,$D161,nrES_Code,$F161,nrES_Att,2,nrES_Raw,"&gt;=0",nrES_Date,"&gt;0"),0)=0,"RETEST UNDATED",IF(NOT(ISNUMBER($T161)),"RETEST DATE UNCHECKED",IF(_xlfn.MINIFS(nrES_Date,nrES_PID,$D161,nrES_Code,$F161,nrES_Att,2,nrES_Raw,"&gt;=0",nrES_Date,"&gt;0")&gt;$T161,"LATE RETEST "&amp;TEXT(_xlfn.MINIFS(nrES_Date,nrES_PID,$D161,nrES_Code,$F161,nrES_Att,2,nrES_Raw,"&gt;=0",nrES_Date,"&gt;0"),"mm/dd")&amp;" (due "&amp;TEXT($T161,"mm/dd")&amp;")","Retested"))),IF(NOT(ISNUMBER($T161)),"CHECK DATE",IF(TODAY()&gt;$T161,"OVERDUE","Due "&amp;TEXT($T161,"mm/dd")))))))</f>
        <v/>
      </c>
      <c r="V161" s="16" t="n"/>
      <c r="W161" s="16" t="n"/>
      <c r="X161" s="17">
        <f>IF($C161="","",IF(AND($L161&lt;&gt;"",NOT(ISNUMBER($L161))),"RAW SCORE NOT A NUMBER",IF(AND(ISNUMBER($L161),OR($L161&lt;0,$L161&gt;100)),"RAW SCORE OUT OF RANGE",IF(AND($Y161="Unexcused",OR($L161="",NOT(ISNUMBER($L161)),$L161&lt;&gt;0)),"UNEXCUSED ABSENCE MUST RECORD 0",IF(COUNTIF(nrES_RecID,$B161)&gt;1,"DUPLICATE RECORD",IF(N($K161)&gt;2,"ATTEMPT 3+ NOT ALLOWED - policy 300.5 permits one retest per exam; this row records nothing",IF(AND($K161=2,COUNTIFS(nrES_PID,$D161,nrES_Code,$F161,nrES_Att,1)=0),"ATTEMPT 2 WITHOUT ATTEMPT 1",IF(AND($K161=2,$L161=""),"RETEST ROW HAS NO SCORE",IF(AND($H161="Final",$L161&lt;&gt;"",IFERROR(INDEX(nrCKfinalExamElig,MATCH($D161,rngCadetPIDs,0)),"")="No"),"FINAL EXAM AFTER FAILED FINAL PT (500.1.H)",IF(AND($K161=2,ISNUMBER($L161),COUNTIFS(nrES_PID,$D161,nrES_Code,$F161,nrES_Att,1)&gt;0,SUMIFS(nrES_Raw,nrES_PID,$D161,nrES_Code,$F161,nrES_Att,1)&gt;=$J161),"RETEST AFTER A PASSING FIRST ATTEMPT","OK"))))))))))</f>
        <v/>
      </c>
      <c r="Y161" s="16" t="n"/>
    </row>
    <row r="162">
      <c r="B162" s="17">
        <f>IF($C162="","",$D162&amp;"-"&amp;$F162&amp;"-"&amp;$K162)</f>
        <v/>
      </c>
      <c r="C162" s="16" t="n"/>
      <c r="D162" s="17">
        <f>IF($C162="","",IFERROR(INDEX(rngCadetPIDs,MATCH($C162,rngCadetNames,0)),"?"))</f>
        <v/>
      </c>
      <c r="E162" s="17">
        <f>IF($D162="","",IFERROR(INDEX(nrCadetAgency,MATCH($D162,rngCadetPIDs,0)),""))</f>
        <v/>
      </c>
      <c r="F162" s="16" t="n"/>
      <c r="G162" s="17">
        <f>IF($F162="","",IFERROR(INDEX(rngEPname,MATCH($F162,rngEPcode,0)),"?"))</f>
        <v/>
      </c>
      <c r="H162" s="17">
        <f>IF($F162="","",IFERROR(INDEX(rngEPtype,MATCH($F162,rngEPcode,0)),"?"))</f>
        <v/>
      </c>
      <c r="I162" s="17">
        <f>IF($F162="","",IFERROR(INDEX(rngEPseq,MATCH($F162,rngEPcode,0)),""))</f>
        <v/>
      </c>
      <c r="J162" s="17">
        <f>IF($F162="","",IFERROR(INDEX(rngEPpass,MATCH($F162,rngEPcode,0)),cfgPassingScore))</f>
        <v/>
      </c>
      <c r="K162" s="16" t="n"/>
      <c r="L162" s="16" t="n"/>
      <c r="M162" s="17">
        <f>IF($C162="","",IF($L162="","",IF(NOT(ISNUMBER($L162)),$L162,IF(N($K162)&gt;2,"",IF($K162=1,IF(COUNTIFS(nrES_PID,$D162,nrES_Code,$F162,nrES_Att,2,nrES_Raw,"&gt;=0")&gt;0,"",$L162),IF($L162&gt;=$J162,MAX($J162,cfgRetakeRecordedCap),IF(COUNTIFS(nrES_PID,$D162,nrES_Code,$F162,nrES_Att,1)=0,$L162,SUMIFS(nrES_Raw,nrES_PID,$D162,nrES_Code,$F162,nrES_Att,1))))))))</f>
        <v/>
      </c>
      <c r="N162" s="17">
        <f>IF($C162="","",IF($L162="","",IF(NOT(ISNUMBER($L162)),"(not a score)",IF($L162&gt;=$J162,"Yes","No"))))</f>
        <v/>
      </c>
      <c r="O162" s="17">
        <f>IF($C162="","",IF($M162="","",IF(NOT(ISNUMBER($M162)),"(not a score)",IF($M162&gt;=$J162,"Yes","No"))))</f>
        <v/>
      </c>
      <c r="P162" s="17">
        <f>IF($C162="","",IF($K162="","",IF(N($K162)&gt;2,"No",IF(COUNTIFS(nrES_PID,$D162,nrES_Code,$F162,nrES_Att,"&gt;"&amp;$K162,nrES_Att,"&lt;=2",nrES_Raw,"&gt;=0")=0,"Yes","No"))))</f>
        <v/>
      </c>
      <c r="Q162" s="17">
        <f>IF($C162="","",IF($L162="","",IF(AND($K162=1,ISNUMBER($L162),$L162&lt;$J162,COUNTIFS(nrES_PID,$D162,nrES_Code,$F162,nrES_Att,2,nrES_Raw,"&gt;=0")=0),"Yes","No")))</f>
        <v/>
      </c>
      <c r="R162" s="17">
        <f>IF($C162="","",IF($L162="","",IF(AND(N($K162)&gt;=2,ISNUMBER($L162),$L162&lt;$J162),"Yes","No")))</f>
        <v/>
      </c>
      <c r="S162" s="18" t="n"/>
      <c r="T162" s="19">
        <f>IF(OR($C162="",$L162="",$K162&lt;&gt;1,NOT(ISNUMBER($L162)),$L162&gt;=$J162),"",IF($S162="","(enter date)",_xlfn.LET(_xlpm.dn,_xlfn.XLOOKUP($S162,nrCDdate,nrCDnum,"",1),IF(_xlpm.dn="","(after last class day)",_xlfn.LET(_xlpm.dd,_xlfn.XLOOKUP(_xlpm.dn+cfgRetestClassDays,nrCDnum,nrCDdate,""),_xlpm.ok,_xlfn.XLOOKUP(_xlpm.dn+cfgRetestClassDays,nrCDnum,nrCDinsession,"No"),IF(OR(_xlpm.dd="",_xlpm.ok&lt;&gt;"Yes"),"(after last class day)",_xlpm.dd))))))</f>
        <v/>
      </c>
      <c r="U162" s="17">
        <f>IF($C162="","",IF(AND($Y162="Excused",$L162="",N($K162)&lt;=1),"EXCUSED - 1st attempt pending",IF(OR($L162="",$K162&lt;&gt;1,NOT(ISNUMBER($L162)),$L162&gt;=$J162),"",IF(COUNTIFS(nrES_PID,$D162,nrES_Code,$F162,nrES_Att,2,nrES_Raw,"&gt;=0")&gt;0,IF(IFERROR(_xlfn.MINIFS(nrES_Date,nrES_PID,$D162,nrES_Code,$F162,nrES_Att,2,nrES_Raw,"&gt;=0",nrES_Date,"&gt;0"),0)=0,"RETEST UNDATED",IF(NOT(ISNUMBER($T162)),"RETEST DATE UNCHECKED",IF(_xlfn.MINIFS(nrES_Date,nrES_PID,$D162,nrES_Code,$F162,nrES_Att,2,nrES_Raw,"&gt;=0",nrES_Date,"&gt;0")&gt;$T162,"LATE RETEST "&amp;TEXT(_xlfn.MINIFS(nrES_Date,nrES_PID,$D162,nrES_Code,$F162,nrES_Att,2,nrES_Raw,"&gt;=0",nrES_Date,"&gt;0"),"mm/dd")&amp;" (due "&amp;TEXT($T162,"mm/dd")&amp;")","Retested"))),IF(NOT(ISNUMBER($T162)),"CHECK DATE",IF(TODAY()&gt;$T162,"OVERDUE","Due "&amp;TEXT($T162,"mm/dd")))))))</f>
        <v/>
      </c>
      <c r="V162" s="16" t="n"/>
      <c r="W162" s="16" t="n"/>
      <c r="X162" s="17">
        <f>IF($C162="","",IF(AND($L162&lt;&gt;"",NOT(ISNUMBER($L162))),"RAW SCORE NOT A NUMBER",IF(AND(ISNUMBER($L162),OR($L162&lt;0,$L162&gt;100)),"RAW SCORE OUT OF RANGE",IF(AND($Y162="Unexcused",OR($L162="",NOT(ISNUMBER($L162)),$L162&lt;&gt;0)),"UNEXCUSED ABSENCE MUST RECORD 0",IF(COUNTIF(nrES_RecID,$B162)&gt;1,"DUPLICATE RECORD",IF(N($K162)&gt;2,"ATTEMPT 3+ NOT ALLOWED - policy 300.5 permits one retest per exam; this row records nothing",IF(AND($K162=2,COUNTIFS(nrES_PID,$D162,nrES_Code,$F162,nrES_Att,1)=0),"ATTEMPT 2 WITHOUT ATTEMPT 1",IF(AND($K162=2,$L162=""),"RETEST ROW HAS NO SCORE",IF(AND($H162="Final",$L162&lt;&gt;"",IFERROR(INDEX(nrCKfinalExamElig,MATCH($D162,rngCadetPIDs,0)),"")="No"),"FINAL EXAM AFTER FAILED FINAL PT (500.1.H)",IF(AND($K162=2,ISNUMBER($L162),COUNTIFS(nrES_PID,$D162,nrES_Code,$F162,nrES_Att,1)&gt;0,SUMIFS(nrES_Raw,nrES_PID,$D162,nrES_Code,$F162,nrES_Att,1)&gt;=$J162),"RETEST AFTER A PASSING FIRST ATTEMPT","OK"))))))))))</f>
        <v/>
      </c>
      <c r="Y162" s="16" t="n"/>
    </row>
    <row r="163">
      <c r="B163" s="17">
        <f>IF($C163="","",$D163&amp;"-"&amp;$F163&amp;"-"&amp;$K163)</f>
        <v/>
      </c>
      <c r="C163" s="16" t="n"/>
      <c r="D163" s="17">
        <f>IF($C163="","",IFERROR(INDEX(rngCadetPIDs,MATCH($C163,rngCadetNames,0)),"?"))</f>
        <v/>
      </c>
      <c r="E163" s="17">
        <f>IF($D163="","",IFERROR(INDEX(nrCadetAgency,MATCH($D163,rngCadetPIDs,0)),""))</f>
        <v/>
      </c>
      <c r="F163" s="16" t="n"/>
      <c r="G163" s="17">
        <f>IF($F163="","",IFERROR(INDEX(rngEPname,MATCH($F163,rngEPcode,0)),"?"))</f>
        <v/>
      </c>
      <c r="H163" s="17">
        <f>IF($F163="","",IFERROR(INDEX(rngEPtype,MATCH($F163,rngEPcode,0)),"?"))</f>
        <v/>
      </c>
      <c r="I163" s="17">
        <f>IF($F163="","",IFERROR(INDEX(rngEPseq,MATCH($F163,rngEPcode,0)),""))</f>
        <v/>
      </c>
      <c r="J163" s="17">
        <f>IF($F163="","",IFERROR(INDEX(rngEPpass,MATCH($F163,rngEPcode,0)),cfgPassingScore))</f>
        <v/>
      </c>
      <c r="K163" s="16" t="n"/>
      <c r="L163" s="16" t="n"/>
      <c r="M163" s="17">
        <f>IF($C163="","",IF($L163="","",IF(NOT(ISNUMBER($L163)),$L163,IF(N($K163)&gt;2,"",IF($K163=1,IF(COUNTIFS(nrES_PID,$D163,nrES_Code,$F163,nrES_Att,2,nrES_Raw,"&gt;=0")&gt;0,"",$L163),IF($L163&gt;=$J163,MAX($J163,cfgRetakeRecordedCap),IF(COUNTIFS(nrES_PID,$D163,nrES_Code,$F163,nrES_Att,1)=0,$L163,SUMIFS(nrES_Raw,nrES_PID,$D163,nrES_Code,$F163,nrES_Att,1))))))))</f>
        <v/>
      </c>
      <c r="N163" s="17">
        <f>IF($C163="","",IF($L163="","",IF(NOT(ISNUMBER($L163)),"(not a score)",IF($L163&gt;=$J163,"Yes","No"))))</f>
        <v/>
      </c>
      <c r="O163" s="17">
        <f>IF($C163="","",IF($M163="","",IF(NOT(ISNUMBER($M163)),"(not a score)",IF($M163&gt;=$J163,"Yes","No"))))</f>
        <v/>
      </c>
      <c r="P163" s="17">
        <f>IF($C163="","",IF($K163="","",IF(N($K163)&gt;2,"No",IF(COUNTIFS(nrES_PID,$D163,nrES_Code,$F163,nrES_Att,"&gt;"&amp;$K163,nrES_Att,"&lt;=2",nrES_Raw,"&gt;=0")=0,"Yes","No"))))</f>
        <v/>
      </c>
      <c r="Q163" s="17">
        <f>IF($C163="","",IF($L163="","",IF(AND($K163=1,ISNUMBER($L163),$L163&lt;$J163,COUNTIFS(nrES_PID,$D163,nrES_Code,$F163,nrES_Att,2,nrES_Raw,"&gt;=0")=0),"Yes","No")))</f>
        <v/>
      </c>
      <c r="R163" s="17">
        <f>IF($C163="","",IF($L163="","",IF(AND(N($K163)&gt;=2,ISNUMBER($L163),$L163&lt;$J163),"Yes","No")))</f>
        <v/>
      </c>
      <c r="S163" s="18" t="n"/>
      <c r="T163" s="19">
        <f>IF(OR($C163="",$L163="",$K163&lt;&gt;1,NOT(ISNUMBER($L163)),$L163&gt;=$J163),"",IF($S163="","(enter date)",_xlfn.LET(_xlpm.dn,_xlfn.XLOOKUP($S163,nrCDdate,nrCDnum,"",1),IF(_xlpm.dn="","(after last class day)",_xlfn.LET(_xlpm.dd,_xlfn.XLOOKUP(_xlpm.dn+cfgRetestClassDays,nrCDnum,nrCDdate,""),_xlpm.ok,_xlfn.XLOOKUP(_xlpm.dn+cfgRetestClassDays,nrCDnum,nrCDinsession,"No"),IF(OR(_xlpm.dd="",_xlpm.ok&lt;&gt;"Yes"),"(after last class day)",_xlpm.dd))))))</f>
        <v/>
      </c>
      <c r="U163" s="17">
        <f>IF($C163="","",IF(AND($Y163="Excused",$L163="",N($K163)&lt;=1),"EXCUSED - 1st attempt pending",IF(OR($L163="",$K163&lt;&gt;1,NOT(ISNUMBER($L163)),$L163&gt;=$J163),"",IF(COUNTIFS(nrES_PID,$D163,nrES_Code,$F163,nrES_Att,2,nrES_Raw,"&gt;=0")&gt;0,IF(IFERROR(_xlfn.MINIFS(nrES_Date,nrES_PID,$D163,nrES_Code,$F163,nrES_Att,2,nrES_Raw,"&gt;=0",nrES_Date,"&gt;0"),0)=0,"RETEST UNDATED",IF(NOT(ISNUMBER($T163)),"RETEST DATE UNCHECKED",IF(_xlfn.MINIFS(nrES_Date,nrES_PID,$D163,nrES_Code,$F163,nrES_Att,2,nrES_Raw,"&gt;=0",nrES_Date,"&gt;0")&gt;$T163,"LATE RETEST "&amp;TEXT(_xlfn.MINIFS(nrES_Date,nrES_PID,$D163,nrES_Code,$F163,nrES_Att,2,nrES_Raw,"&gt;=0",nrES_Date,"&gt;0"),"mm/dd")&amp;" (due "&amp;TEXT($T163,"mm/dd")&amp;")","Retested"))),IF(NOT(ISNUMBER($T163)),"CHECK DATE",IF(TODAY()&gt;$T163,"OVERDUE","Due "&amp;TEXT($T163,"mm/dd")))))))</f>
        <v/>
      </c>
      <c r="V163" s="16" t="n"/>
      <c r="W163" s="16" t="n"/>
      <c r="X163" s="17">
        <f>IF($C163="","",IF(AND($L163&lt;&gt;"",NOT(ISNUMBER($L163))),"RAW SCORE NOT A NUMBER",IF(AND(ISNUMBER($L163),OR($L163&lt;0,$L163&gt;100)),"RAW SCORE OUT OF RANGE",IF(AND($Y163="Unexcused",OR($L163="",NOT(ISNUMBER($L163)),$L163&lt;&gt;0)),"UNEXCUSED ABSENCE MUST RECORD 0",IF(COUNTIF(nrES_RecID,$B163)&gt;1,"DUPLICATE RECORD",IF(N($K163)&gt;2,"ATTEMPT 3+ NOT ALLOWED - policy 300.5 permits one retest per exam; this row records nothing",IF(AND($K163=2,COUNTIFS(nrES_PID,$D163,nrES_Code,$F163,nrES_Att,1)=0),"ATTEMPT 2 WITHOUT ATTEMPT 1",IF(AND($K163=2,$L163=""),"RETEST ROW HAS NO SCORE",IF(AND($H163="Final",$L163&lt;&gt;"",IFERROR(INDEX(nrCKfinalExamElig,MATCH($D163,rngCadetPIDs,0)),"")="No"),"FINAL EXAM AFTER FAILED FINAL PT (500.1.H)",IF(AND($K163=2,ISNUMBER($L163),COUNTIFS(nrES_PID,$D163,nrES_Code,$F163,nrES_Att,1)&gt;0,SUMIFS(nrES_Raw,nrES_PID,$D163,nrES_Code,$F163,nrES_Att,1)&gt;=$J163),"RETEST AFTER A PASSING FIRST ATTEMPT","OK"))))))))))</f>
        <v/>
      </c>
      <c r="Y163" s="16" t="n"/>
    </row>
    <row r="164">
      <c r="B164" s="17">
        <f>IF($C164="","",$D164&amp;"-"&amp;$F164&amp;"-"&amp;$K164)</f>
        <v/>
      </c>
      <c r="C164" s="16" t="n"/>
      <c r="D164" s="17">
        <f>IF($C164="","",IFERROR(INDEX(rngCadetPIDs,MATCH($C164,rngCadetNames,0)),"?"))</f>
        <v/>
      </c>
      <c r="E164" s="17">
        <f>IF($D164="","",IFERROR(INDEX(nrCadetAgency,MATCH($D164,rngCadetPIDs,0)),""))</f>
        <v/>
      </c>
      <c r="F164" s="16" t="n"/>
      <c r="G164" s="17">
        <f>IF($F164="","",IFERROR(INDEX(rngEPname,MATCH($F164,rngEPcode,0)),"?"))</f>
        <v/>
      </c>
      <c r="H164" s="17">
        <f>IF($F164="","",IFERROR(INDEX(rngEPtype,MATCH($F164,rngEPcode,0)),"?"))</f>
        <v/>
      </c>
      <c r="I164" s="17">
        <f>IF($F164="","",IFERROR(INDEX(rngEPseq,MATCH($F164,rngEPcode,0)),""))</f>
        <v/>
      </c>
      <c r="J164" s="17">
        <f>IF($F164="","",IFERROR(INDEX(rngEPpass,MATCH($F164,rngEPcode,0)),cfgPassingScore))</f>
        <v/>
      </c>
      <c r="K164" s="16" t="n"/>
      <c r="L164" s="16" t="n"/>
      <c r="M164" s="17">
        <f>IF($C164="","",IF($L164="","",IF(NOT(ISNUMBER($L164)),$L164,IF(N($K164)&gt;2,"",IF($K164=1,IF(COUNTIFS(nrES_PID,$D164,nrES_Code,$F164,nrES_Att,2,nrES_Raw,"&gt;=0")&gt;0,"",$L164),IF($L164&gt;=$J164,MAX($J164,cfgRetakeRecordedCap),IF(COUNTIFS(nrES_PID,$D164,nrES_Code,$F164,nrES_Att,1)=0,$L164,SUMIFS(nrES_Raw,nrES_PID,$D164,nrES_Code,$F164,nrES_Att,1))))))))</f>
        <v/>
      </c>
      <c r="N164" s="17">
        <f>IF($C164="","",IF($L164="","",IF(NOT(ISNUMBER($L164)),"(not a score)",IF($L164&gt;=$J164,"Yes","No"))))</f>
        <v/>
      </c>
      <c r="O164" s="17">
        <f>IF($C164="","",IF($M164="","",IF(NOT(ISNUMBER($M164)),"(not a score)",IF($M164&gt;=$J164,"Yes","No"))))</f>
        <v/>
      </c>
      <c r="P164" s="17">
        <f>IF($C164="","",IF($K164="","",IF(N($K164)&gt;2,"No",IF(COUNTIFS(nrES_PID,$D164,nrES_Code,$F164,nrES_Att,"&gt;"&amp;$K164,nrES_Att,"&lt;=2",nrES_Raw,"&gt;=0")=0,"Yes","No"))))</f>
        <v/>
      </c>
      <c r="Q164" s="17">
        <f>IF($C164="","",IF($L164="","",IF(AND($K164=1,ISNUMBER($L164),$L164&lt;$J164,COUNTIFS(nrES_PID,$D164,nrES_Code,$F164,nrES_Att,2,nrES_Raw,"&gt;=0")=0),"Yes","No")))</f>
        <v/>
      </c>
      <c r="R164" s="17">
        <f>IF($C164="","",IF($L164="","",IF(AND(N($K164)&gt;=2,ISNUMBER($L164),$L164&lt;$J164),"Yes","No")))</f>
        <v/>
      </c>
      <c r="S164" s="18" t="n"/>
      <c r="T164" s="19">
        <f>IF(OR($C164="",$L164="",$K164&lt;&gt;1,NOT(ISNUMBER($L164)),$L164&gt;=$J164),"",IF($S164="","(enter date)",_xlfn.LET(_xlpm.dn,_xlfn.XLOOKUP($S164,nrCDdate,nrCDnum,"",1),IF(_xlpm.dn="","(after last class day)",_xlfn.LET(_xlpm.dd,_xlfn.XLOOKUP(_xlpm.dn+cfgRetestClassDays,nrCDnum,nrCDdate,""),_xlpm.ok,_xlfn.XLOOKUP(_xlpm.dn+cfgRetestClassDays,nrCDnum,nrCDinsession,"No"),IF(OR(_xlpm.dd="",_xlpm.ok&lt;&gt;"Yes"),"(after last class day)",_xlpm.dd))))))</f>
        <v/>
      </c>
      <c r="U164" s="17">
        <f>IF($C164="","",IF(AND($Y164="Excused",$L164="",N($K164)&lt;=1),"EXCUSED - 1st attempt pending",IF(OR($L164="",$K164&lt;&gt;1,NOT(ISNUMBER($L164)),$L164&gt;=$J164),"",IF(COUNTIFS(nrES_PID,$D164,nrES_Code,$F164,nrES_Att,2,nrES_Raw,"&gt;=0")&gt;0,IF(IFERROR(_xlfn.MINIFS(nrES_Date,nrES_PID,$D164,nrES_Code,$F164,nrES_Att,2,nrES_Raw,"&gt;=0",nrES_Date,"&gt;0"),0)=0,"RETEST UNDATED",IF(NOT(ISNUMBER($T164)),"RETEST DATE UNCHECKED",IF(_xlfn.MINIFS(nrES_Date,nrES_PID,$D164,nrES_Code,$F164,nrES_Att,2,nrES_Raw,"&gt;=0",nrES_Date,"&gt;0")&gt;$T164,"LATE RETEST "&amp;TEXT(_xlfn.MINIFS(nrES_Date,nrES_PID,$D164,nrES_Code,$F164,nrES_Att,2,nrES_Raw,"&gt;=0",nrES_Date,"&gt;0"),"mm/dd")&amp;" (due "&amp;TEXT($T164,"mm/dd")&amp;")","Retested"))),IF(NOT(ISNUMBER($T164)),"CHECK DATE",IF(TODAY()&gt;$T164,"OVERDUE","Due "&amp;TEXT($T164,"mm/dd")))))))</f>
        <v/>
      </c>
      <c r="V164" s="16" t="n"/>
      <c r="W164" s="16" t="n"/>
      <c r="X164" s="17">
        <f>IF($C164="","",IF(AND($L164&lt;&gt;"",NOT(ISNUMBER($L164))),"RAW SCORE NOT A NUMBER",IF(AND(ISNUMBER($L164),OR($L164&lt;0,$L164&gt;100)),"RAW SCORE OUT OF RANGE",IF(AND($Y164="Unexcused",OR($L164="",NOT(ISNUMBER($L164)),$L164&lt;&gt;0)),"UNEXCUSED ABSENCE MUST RECORD 0",IF(COUNTIF(nrES_RecID,$B164)&gt;1,"DUPLICATE RECORD",IF(N($K164)&gt;2,"ATTEMPT 3+ NOT ALLOWED - policy 300.5 permits one retest per exam; this row records nothing",IF(AND($K164=2,COUNTIFS(nrES_PID,$D164,nrES_Code,$F164,nrES_Att,1)=0),"ATTEMPT 2 WITHOUT ATTEMPT 1",IF(AND($K164=2,$L164=""),"RETEST ROW HAS NO SCORE",IF(AND($H164="Final",$L164&lt;&gt;"",IFERROR(INDEX(nrCKfinalExamElig,MATCH($D164,rngCadetPIDs,0)),"")="No"),"FINAL EXAM AFTER FAILED FINAL PT (500.1.H)",IF(AND($K164=2,ISNUMBER($L164),COUNTIFS(nrES_PID,$D164,nrES_Code,$F164,nrES_Att,1)&gt;0,SUMIFS(nrES_Raw,nrES_PID,$D164,nrES_Code,$F164,nrES_Att,1)&gt;=$J164),"RETEST AFTER A PASSING FIRST ATTEMPT","OK"))))))))))</f>
        <v/>
      </c>
      <c r="Y164" s="16" t="n"/>
    </row>
    <row r="165">
      <c r="B165" s="17">
        <f>IF($C165="","",$D165&amp;"-"&amp;$F165&amp;"-"&amp;$K165)</f>
        <v/>
      </c>
      <c r="C165" s="16" t="n"/>
      <c r="D165" s="17">
        <f>IF($C165="","",IFERROR(INDEX(rngCadetPIDs,MATCH($C165,rngCadetNames,0)),"?"))</f>
        <v/>
      </c>
      <c r="E165" s="17">
        <f>IF($D165="","",IFERROR(INDEX(nrCadetAgency,MATCH($D165,rngCadetPIDs,0)),""))</f>
        <v/>
      </c>
      <c r="F165" s="16" t="n"/>
      <c r="G165" s="17">
        <f>IF($F165="","",IFERROR(INDEX(rngEPname,MATCH($F165,rngEPcode,0)),"?"))</f>
        <v/>
      </c>
      <c r="H165" s="17">
        <f>IF($F165="","",IFERROR(INDEX(rngEPtype,MATCH($F165,rngEPcode,0)),"?"))</f>
        <v/>
      </c>
      <c r="I165" s="17">
        <f>IF($F165="","",IFERROR(INDEX(rngEPseq,MATCH($F165,rngEPcode,0)),""))</f>
        <v/>
      </c>
      <c r="J165" s="17">
        <f>IF($F165="","",IFERROR(INDEX(rngEPpass,MATCH($F165,rngEPcode,0)),cfgPassingScore))</f>
        <v/>
      </c>
      <c r="K165" s="16" t="n"/>
      <c r="L165" s="16" t="n"/>
      <c r="M165" s="17">
        <f>IF($C165="","",IF($L165="","",IF(NOT(ISNUMBER($L165)),$L165,IF(N($K165)&gt;2,"",IF($K165=1,IF(COUNTIFS(nrES_PID,$D165,nrES_Code,$F165,nrES_Att,2,nrES_Raw,"&gt;=0")&gt;0,"",$L165),IF($L165&gt;=$J165,MAX($J165,cfgRetakeRecordedCap),IF(COUNTIFS(nrES_PID,$D165,nrES_Code,$F165,nrES_Att,1)=0,$L165,SUMIFS(nrES_Raw,nrES_PID,$D165,nrES_Code,$F165,nrES_Att,1))))))))</f>
        <v/>
      </c>
      <c r="N165" s="17">
        <f>IF($C165="","",IF($L165="","",IF(NOT(ISNUMBER($L165)),"(not a score)",IF($L165&gt;=$J165,"Yes","No"))))</f>
        <v/>
      </c>
      <c r="O165" s="17">
        <f>IF($C165="","",IF($M165="","",IF(NOT(ISNUMBER($M165)),"(not a score)",IF($M165&gt;=$J165,"Yes","No"))))</f>
        <v/>
      </c>
      <c r="P165" s="17">
        <f>IF($C165="","",IF($K165="","",IF(N($K165)&gt;2,"No",IF(COUNTIFS(nrES_PID,$D165,nrES_Code,$F165,nrES_Att,"&gt;"&amp;$K165,nrES_Att,"&lt;=2",nrES_Raw,"&gt;=0")=0,"Yes","No"))))</f>
        <v/>
      </c>
      <c r="Q165" s="17">
        <f>IF($C165="","",IF($L165="","",IF(AND($K165=1,ISNUMBER($L165),$L165&lt;$J165,COUNTIFS(nrES_PID,$D165,nrES_Code,$F165,nrES_Att,2,nrES_Raw,"&gt;=0")=0),"Yes","No")))</f>
        <v/>
      </c>
      <c r="R165" s="17">
        <f>IF($C165="","",IF($L165="","",IF(AND(N($K165)&gt;=2,ISNUMBER($L165),$L165&lt;$J165),"Yes","No")))</f>
        <v/>
      </c>
      <c r="S165" s="18" t="n"/>
      <c r="T165" s="19">
        <f>IF(OR($C165="",$L165="",$K165&lt;&gt;1,NOT(ISNUMBER($L165)),$L165&gt;=$J165),"",IF($S165="","(enter date)",_xlfn.LET(_xlpm.dn,_xlfn.XLOOKUP($S165,nrCDdate,nrCDnum,"",1),IF(_xlpm.dn="","(after last class day)",_xlfn.LET(_xlpm.dd,_xlfn.XLOOKUP(_xlpm.dn+cfgRetestClassDays,nrCDnum,nrCDdate,""),_xlpm.ok,_xlfn.XLOOKUP(_xlpm.dn+cfgRetestClassDays,nrCDnum,nrCDinsession,"No"),IF(OR(_xlpm.dd="",_xlpm.ok&lt;&gt;"Yes"),"(after last class day)",_xlpm.dd))))))</f>
        <v/>
      </c>
      <c r="U165" s="17">
        <f>IF($C165="","",IF(AND($Y165="Excused",$L165="",N($K165)&lt;=1),"EXCUSED - 1st attempt pending",IF(OR($L165="",$K165&lt;&gt;1,NOT(ISNUMBER($L165)),$L165&gt;=$J165),"",IF(COUNTIFS(nrES_PID,$D165,nrES_Code,$F165,nrES_Att,2,nrES_Raw,"&gt;=0")&gt;0,IF(IFERROR(_xlfn.MINIFS(nrES_Date,nrES_PID,$D165,nrES_Code,$F165,nrES_Att,2,nrES_Raw,"&gt;=0",nrES_Date,"&gt;0"),0)=0,"RETEST UNDATED",IF(NOT(ISNUMBER($T165)),"RETEST DATE UNCHECKED",IF(_xlfn.MINIFS(nrES_Date,nrES_PID,$D165,nrES_Code,$F165,nrES_Att,2,nrES_Raw,"&gt;=0",nrES_Date,"&gt;0")&gt;$T165,"LATE RETEST "&amp;TEXT(_xlfn.MINIFS(nrES_Date,nrES_PID,$D165,nrES_Code,$F165,nrES_Att,2,nrES_Raw,"&gt;=0",nrES_Date,"&gt;0"),"mm/dd")&amp;" (due "&amp;TEXT($T165,"mm/dd")&amp;")","Retested"))),IF(NOT(ISNUMBER($T165)),"CHECK DATE",IF(TODAY()&gt;$T165,"OVERDUE","Due "&amp;TEXT($T165,"mm/dd")))))))</f>
        <v/>
      </c>
      <c r="V165" s="16" t="n"/>
      <c r="W165" s="16" t="n"/>
      <c r="X165" s="17">
        <f>IF($C165="","",IF(AND($L165&lt;&gt;"",NOT(ISNUMBER($L165))),"RAW SCORE NOT A NUMBER",IF(AND(ISNUMBER($L165),OR($L165&lt;0,$L165&gt;100)),"RAW SCORE OUT OF RANGE",IF(AND($Y165="Unexcused",OR($L165="",NOT(ISNUMBER($L165)),$L165&lt;&gt;0)),"UNEXCUSED ABSENCE MUST RECORD 0",IF(COUNTIF(nrES_RecID,$B165)&gt;1,"DUPLICATE RECORD",IF(N($K165)&gt;2,"ATTEMPT 3+ NOT ALLOWED - policy 300.5 permits one retest per exam; this row records nothing",IF(AND($K165=2,COUNTIFS(nrES_PID,$D165,nrES_Code,$F165,nrES_Att,1)=0),"ATTEMPT 2 WITHOUT ATTEMPT 1",IF(AND($K165=2,$L165=""),"RETEST ROW HAS NO SCORE",IF(AND($H165="Final",$L165&lt;&gt;"",IFERROR(INDEX(nrCKfinalExamElig,MATCH($D165,rngCadetPIDs,0)),"")="No"),"FINAL EXAM AFTER FAILED FINAL PT (500.1.H)",IF(AND($K165=2,ISNUMBER($L165),COUNTIFS(nrES_PID,$D165,nrES_Code,$F165,nrES_Att,1)&gt;0,SUMIFS(nrES_Raw,nrES_PID,$D165,nrES_Code,$F165,nrES_Att,1)&gt;=$J165),"RETEST AFTER A PASSING FIRST ATTEMPT","OK"))))))))))</f>
        <v/>
      </c>
      <c r="Y165" s="16" t="n"/>
    </row>
    <row r="166">
      <c r="B166" s="17">
        <f>IF($C166="","",$D166&amp;"-"&amp;$F166&amp;"-"&amp;$K166)</f>
        <v/>
      </c>
      <c r="C166" s="16" t="n"/>
      <c r="D166" s="17">
        <f>IF($C166="","",IFERROR(INDEX(rngCadetPIDs,MATCH($C166,rngCadetNames,0)),"?"))</f>
        <v/>
      </c>
      <c r="E166" s="17">
        <f>IF($D166="","",IFERROR(INDEX(nrCadetAgency,MATCH($D166,rngCadetPIDs,0)),""))</f>
        <v/>
      </c>
      <c r="F166" s="16" t="n"/>
      <c r="G166" s="17">
        <f>IF($F166="","",IFERROR(INDEX(rngEPname,MATCH($F166,rngEPcode,0)),"?"))</f>
        <v/>
      </c>
      <c r="H166" s="17">
        <f>IF($F166="","",IFERROR(INDEX(rngEPtype,MATCH($F166,rngEPcode,0)),"?"))</f>
        <v/>
      </c>
      <c r="I166" s="17">
        <f>IF($F166="","",IFERROR(INDEX(rngEPseq,MATCH($F166,rngEPcode,0)),""))</f>
        <v/>
      </c>
      <c r="J166" s="17">
        <f>IF($F166="","",IFERROR(INDEX(rngEPpass,MATCH($F166,rngEPcode,0)),cfgPassingScore))</f>
        <v/>
      </c>
      <c r="K166" s="16" t="n"/>
      <c r="L166" s="16" t="n"/>
      <c r="M166" s="17">
        <f>IF($C166="","",IF($L166="","",IF(NOT(ISNUMBER($L166)),$L166,IF(N($K166)&gt;2,"",IF($K166=1,IF(COUNTIFS(nrES_PID,$D166,nrES_Code,$F166,nrES_Att,2,nrES_Raw,"&gt;=0")&gt;0,"",$L166),IF($L166&gt;=$J166,MAX($J166,cfgRetakeRecordedCap),IF(COUNTIFS(nrES_PID,$D166,nrES_Code,$F166,nrES_Att,1)=0,$L166,SUMIFS(nrES_Raw,nrES_PID,$D166,nrES_Code,$F166,nrES_Att,1))))))))</f>
        <v/>
      </c>
      <c r="N166" s="17">
        <f>IF($C166="","",IF($L166="","",IF(NOT(ISNUMBER($L166)),"(not a score)",IF($L166&gt;=$J166,"Yes","No"))))</f>
        <v/>
      </c>
      <c r="O166" s="17">
        <f>IF($C166="","",IF($M166="","",IF(NOT(ISNUMBER($M166)),"(not a score)",IF($M166&gt;=$J166,"Yes","No"))))</f>
        <v/>
      </c>
      <c r="P166" s="17">
        <f>IF($C166="","",IF($K166="","",IF(N($K166)&gt;2,"No",IF(COUNTIFS(nrES_PID,$D166,nrES_Code,$F166,nrES_Att,"&gt;"&amp;$K166,nrES_Att,"&lt;=2",nrES_Raw,"&gt;=0")=0,"Yes","No"))))</f>
        <v/>
      </c>
      <c r="Q166" s="17">
        <f>IF($C166="","",IF($L166="","",IF(AND($K166=1,ISNUMBER($L166),$L166&lt;$J166,COUNTIFS(nrES_PID,$D166,nrES_Code,$F166,nrES_Att,2,nrES_Raw,"&gt;=0")=0),"Yes","No")))</f>
        <v/>
      </c>
      <c r="R166" s="17">
        <f>IF($C166="","",IF($L166="","",IF(AND(N($K166)&gt;=2,ISNUMBER($L166),$L166&lt;$J166),"Yes","No")))</f>
        <v/>
      </c>
      <c r="S166" s="18" t="n"/>
      <c r="T166" s="19">
        <f>IF(OR($C166="",$L166="",$K166&lt;&gt;1,NOT(ISNUMBER($L166)),$L166&gt;=$J166),"",IF($S166="","(enter date)",_xlfn.LET(_xlpm.dn,_xlfn.XLOOKUP($S166,nrCDdate,nrCDnum,"",1),IF(_xlpm.dn="","(after last class day)",_xlfn.LET(_xlpm.dd,_xlfn.XLOOKUP(_xlpm.dn+cfgRetestClassDays,nrCDnum,nrCDdate,""),_xlpm.ok,_xlfn.XLOOKUP(_xlpm.dn+cfgRetestClassDays,nrCDnum,nrCDinsession,"No"),IF(OR(_xlpm.dd="",_xlpm.ok&lt;&gt;"Yes"),"(after last class day)",_xlpm.dd))))))</f>
        <v/>
      </c>
      <c r="U166" s="17">
        <f>IF($C166="","",IF(AND($Y166="Excused",$L166="",N($K166)&lt;=1),"EXCUSED - 1st attempt pending",IF(OR($L166="",$K166&lt;&gt;1,NOT(ISNUMBER($L166)),$L166&gt;=$J166),"",IF(COUNTIFS(nrES_PID,$D166,nrES_Code,$F166,nrES_Att,2,nrES_Raw,"&gt;=0")&gt;0,IF(IFERROR(_xlfn.MINIFS(nrES_Date,nrES_PID,$D166,nrES_Code,$F166,nrES_Att,2,nrES_Raw,"&gt;=0",nrES_Date,"&gt;0"),0)=0,"RETEST UNDATED",IF(NOT(ISNUMBER($T166)),"RETEST DATE UNCHECKED",IF(_xlfn.MINIFS(nrES_Date,nrES_PID,$D166,nrES_Code,$F166,nrES_Att,2,nrES_Raw,"&gt;=0",nrES_Date,"&gt;0")&gt;$T166,"LATE RETEST "&amp;TEXT(_xlfn.MINIFS(nrES_Date,nrES_PID,$D166,nrES_Code,$F166,nrES_Att,2,nrES_Raw,"&gt;=0",nrES_Date,"&gt;0"),"mm/dd")&amp;" (due "&amp;TEXT($T166,"mm/dd")&amp;")","Retested"))),IF(NOT(ISNUMBER($T166)),"CHECK DATE",IF(TODAY()&gt;$T166,"OVERDUE","Due "&amp;TEXT($T166,"mm/dd")))))))</f>
        <v/>
      </c>
      <c r="V166" s="16" t="n"/>
      <c r="W166" s="16" t="n"/>
      <c r="X166" s="17">
        <f>IF($C166="","",IF(AND($L166&lt;&gt;"",NOT(ISNUMBER($L166))),"RAW SCORE NOT A NUMBER",IF(AND(ISNUMBER($L166),OR($L166&lt;0,$L166&gt;100)),"RAW SCORE OUT OF RANGE",IF(AND($Y166="Unexcused",OR($L166="",NOT(ISNUMBER($L166)),$L166&lt;&gt;0)),"UNEXCUSED ABSENCE MUST RECORD 0",IF(COUNTIF(nrES_RecID,$B166)&gt;1,"DUPLICATE RECORD",IF(N($K166)&gt;2,"ATTEMPT 3+ NOT ALLOWED - policy 300.5 permits one retest per exam; this row records nothing",IF(AND($K166=2,COUNTIFS(nrES_PID,$D166,nrES_Code,$F166,nrES_Att,1)=0),"ATTEMPT 2 WITHOUT ATTEMPT 1",IF(AND($K166=2,$L166=""),"RETEST ROW HAS NO SCORE",IF(AND($H166="Final",$L166&lt;&gt;"",IFERROR(INDEX(nrCKfinalExamElig,MATCH($D166,rngCadetPIDs,0)),"")="No"),"FINAL EXAM AFTER FAILED FINAL PT (500.1.H)",IF(AND($K166=2,ISNUMBER($L166),COUNTIFS(nrES_PID,$D166,nrES_Code,$F166,nrES_Att,1)&gt;0,SUMIFS(nrES_Raw,nrES_PID,$D166,nrES_Code,$F166,nrES_Att,1)&gt;=$J166),"RETEST AFTER A PASSING FIRST ATTEMPT","OK"))))))))))</f>
        <v/>
      </c>
      <c r="Y166" s="16" t="n"/>
    </row>
    <row r="167">
      <c r="B167" s="17">
        <f>IF($C167="","",$D167&amp;"-"&amp;$F167&amp;"-"&amp;$K167)</f>
        <v/>
      </c>
      <c r="C167" s="16" t="n"/>
      <c r="D167" s="17">
        <f>IF($C167="","",IFERROR(INDEX(rngCadetPIDs,MATCH($C167,rngCadetNames,0)),"?"))</f>
        <v/>
      </c>
      <c r="E167" s="17">
        <f>IF($D167="","",IFERROR(INDEX(nrCadetAgency,MATCH($D167,rngCadetPIDs,0)),""))</f>
        <v/>
      </c>
      <c r="F167" s="16" t="n"/>
      <c r="G167" s="17">
        <f>IF($F167="","",IFERROR(INDEX(rngEPname,MATCH($F167,rngEPcode,0)),"?"))</f>
        <v/>
      </c>
      <c r="H167" s="17">
        <f>IF($F167="","",IFERROR(INDEX(rngEPtype,MATCH($F167,rngEPcode,0)),"?"))</f>
        <v/>
      </c>
      <c r="I167" s="17">
        <f>IF($F167="","",IFERROR(INDEX(rngEPseq,MATCH($F167,rngEPcode,0)),""))</f>
        <v/>
      </c>
      <c r="J167" s="17">
        <f>IF($F167="","",IFERROR(INDEX(rngEPpass,MATCH($F167,rngEPcode,0)),cfgPassingScore))</f>
        <v/>
      </c>
      <c r="K167" s="16" t="n"/>
      <c r="L167" s="16" t="n"/>
      <c r="M167" s="17">
        <f>IF($C167="","",IF($L167="","",IF(NOT(ISNUMBER($L167)),$L167,IF(N($K167)&gt;2,"",IF($K167=1,IF(COUNTIFS(nrES_PID,$D167,nrES_Code,$F167,nrES_Att,2,nrES_Raw,"&gt;=0")&gt;0,"",$L167),IF($L167&gt;=$J167,MAX($J167,cfgRetakeRecordedCap),IF(COUNTIFS(nrES_PID,$D167,nrES_Code,$F167,nrES_Att,1)=0,$L167,SUMIFS(nrES_Raw,nrES_PID,$D167,nrES_Code,$F167,nrES_Att,1))))))))</f>
        <v/>
      </c>
      <c r="N167" s="17">
        <f>IF($C167="","",IF($L167="","",IF(NOT(ISNUMBER($L167)),"(not a score)",IF($L167&gt;=$J167,"Yes","No"))))</f>
        <v/>
      </c>
      <c r="O167" s="17">
        <f>IF($C167="","",IF($M167="","",IF(NOT(ISNUMBER($M167)),"(not a score)",IF($M167&gt;=$J167,"Yes","No"))))</f>
        <v/>
      </c>
      <c r="P167" s="17">
        <f>IF($C167="","",IF($K167="","",IF(N($K167)&gt;2,"No",IF(COUNTIFS(nrES_PID,$D167,nrES_Code,$F167,nrES_Att,"&gt;"&amp;$K167,nrES_Att,"&lt;=2",nrES_Raw,"&gt;=0")=0,"Yes","No"))))</f>
        <v/>
      </c>
      <c r="Q167" s="17">
        <f>IF($C167="","",IF($L167="","",IF(AND($K167=1,ISNUMBER($L167),$L167&lt;$J167,COUNTIFS(nrES_PID,$D167,nrES_Code,$F167,nrES_Att,2,nrES_Raw,"&gt;=0")=0),"Yes","No")))</f>
        <v/>
      </c>
      <c r="R167" s="17">
        <f>IF($C167="","",IF($L167="","",IF(AND(N($K167)&gt;=2,ISNUMBER($L167),$L167&lt;$J167),"Yes","No")))</f>
        <v/>
      </c>
      <c r="S167" s="18" t="n"/>
      <c r="T167" s="19">
        <f>IF(OR($C167="",$L167="",$K167&lt;&gt;1,NOT(ISNUMBER($L167)),$L167&gt;=$J167),"",IF($S167="","(enter date)",_xlfn.LET(_xlpm.dn,_xlfn.XLOOKUP($S167,nrCDdate,nrCDnum,"",1),IF(_xlpm.dn="","(after last class day)",_xlfn.LET(_xlpm.dd,_xlfn.XLOOKUP(_xlpm.dn+cfgRetestClassDays,nrCDnum,nrCDdate,""),_xlpm.ok,_xlfn.XLOOKUP(_xlpm.dn+cfgRetestClassDays,nrCDnum,nrCDinsession,"No"),IF(OR(_xlpm.dd="",_xlpm.ok&lt;&gt;"Yes"),"(after last class day)",_xlpm.dd))))))</f>
        <v/>
      </c>
      <c r="U167" s="17">
        <f>IF($C167="","",IF(AND($Y167="Excused",$L167="",N($K167)&lt;=1),"EXCUSED - 1st attempt pending",IF(OR($L167="",$K167&lt;&gt;1,NOT(ISNUMBER($L167)),$L167&gt;=$J167),"",IF(COUNTIFS(nrES_PID,$D167,nrES_Code,$F167,nrES_Att,2,nrES_Raw,"&gt;=0")&gt;0,IF(IFERROR(_xlfn.MINIFS(nrES_Date,nrES_PID,$D167,nrES_Code,$F167,nrES_Att,2,nrES_Raw,"&gt;=0",nrES_Date,"&gt;0"),0)=0,"RETEST UNDATED",IF(NOT(ISNUMBER($T167)),"RETEST DATE UNCHECKED",IF(_xlfn.MINIFS(nrES_Date,nrES_PID,$D167,nrES_Code,$F167,nrES_Att,2,nrES_Raw,"&gt;=0",nrES_Date,"&gt;0")&gt;$T167,"LATE RETEST "&amp;TEXT(_xlfn.MINIFS(nrES_Date,nrES_PID,$D167,nrES_Code,$F167,nrES_Att,2,nrES_Raw,"&gt;=0",nrES_Date,"&gt;0"),"mm/dd")&amp;" (due "&amp;TEXT($T167,"mm/dd")&amp;")","Retested"))),IF(NOT(ISNUMBER($T167)),"CHECK DATE",IF(TODAY()&gt;$T167,"OVERDUE","Due "&amp;TEXT($T167,"mm/dd")))))))</f>
        <v/>
      </c>
      <c r="V167" s="16" t="n"/>
      <c r="W167" s="16" t="n"/>
      <c r="X167" s="17">
        <f>IF($C167="","",IF(AND($L167&lt;&gt;"",NOT(ISNUMBER($L167))),"RAW SCORE NOT A NUMBER",IF(AND(ISNUMBER($L167),OR($L167&lt;0,$L167&gt;100)),"RAW SCORE OUT OF RANGE",IF(AND($Y167="Unexcused",OR($L167="",NOT(ISNUMBER($L167)),$L167&lt;&gt;0)),"UNEXCUSED ABSENCE MUST RECORD 0",IF(COUNTIF(nrES_RecID,$B167)&gt;1,"DUPLICATE RECORD",IF(N($K167)&gt;2,"ATTEMPT 3+ NOT ALLOWED - policy 300.5 permits one retest per exam; this row records nothing",IF(AND($K167=2,COUNTIFS(nrES_PID,$D167,nrES_Code,$F167,nrES_Att,1)=0),"ATTEMPT 2 WITHOUT ATTEMPT 1",IF(AND($K167=2,$L167=""),"RETEST ROW HAS NO SCORE",IF(AND($H167="Final",$L167&lt;&gt;"",IFERROR(INDEX(nrCKfinalExamElig,MATCH($D167,rngCadetPIDs,0)),"")="No"),"FINAL EXAM AFTER FAILED FINAL PT (500.1.H)",IF(AND($K167=2,ISNUMBER($L167),COUNTIFS(nrES_PID,$D167,nrES_Code,$F167,nrES_Att,1)&gt;0,SUMIFS(nrES_Raw,nrES_PID,$D167,nrES_Code,$F167,nrES_Att,1)&gt;=$J167),"RETEST AFTER A PASSING FIRST ATTEMPT","OK"))))))))))</f>
        <v/>
      </c>
      <c r="Y167" s="16" t="n"/>
    </row>
    <row r="168">
      <c r="B168" s="17">
        <f>IF($C168="","",$D168&amp;"-"&amp;$F168&amp;"-"&amp;$K168)</f>
        <v/>
      </c>
      <c r="C168" s="16" t="n"/>
      <c r="D168" s="17">
        <f>IF($C168="","",IFERROR(INDEX(rngCadetPIDs,MATCH($C168,rngCadetNames,0)),"?"))</f>
        <v/>
      </c>
      <c r="E168" s="17">
        <f>IF($D168="","",IFERROR(INDEX(nrCadetAgency,MATCH($D168,rngCadetPIDs,0)),""))</f>
        <v/>
      </c>
      <c r="F168" s="16" t="n"/>
      <c r="G168" s="17">
        <f>IF($F168="","",IFERROR(INDEX(rngEPname,MATCH($F168,rngEPcode,0)),"?"))</f>
        <v/>
      </c>
      <c r="H168" s="17">
        <f>IF($F168="","",IFERROR(INDEX(rngEPtype,MATCH($F168,rngEPcode,0)),"?"))</f>
        <v/>
      </c>
      <c r="I168" s="17">
        <f>IF($F168="","",IFERROR(INDEX(rngEPseq,MATCH($F168,rngEPcode,0)),""))</f>
        <v/>
      </c>
      <c r="J168" s="17">
        <f>IF($F168="","",IFERROR(INDEX(rngEPpass,MATCH($F168,rngEPcode,0)),cfgPassingScore))</f>
        <v/>
      </c>
      <c r="K168" s="16" t="n"/>
      <c r="L168" s="16" t="n"/>
      <c r="M168" s="17">
        <f>IF($C168="","",IF($L168="","",IF(NOT(ISNUMBER($L168)),$L168,IF(N($K168)&gt;2,"",IF($K168=1,IF(COUNTIFS(nrES_PID,$D168,nrES_Code,$F168,nrES_Att,2,nrES_Raw,"&gt;=0")&gt;0,"",$L168),IF($L168&gt;=$J168,MAX($J168,cfgRetakeRecordedCap),IF(COUNTIFS(nrES_PID,$D168,nrES_Code,$F168,nrES_Att,1)=0,$L168,SUMIFS(nrES_Raw,nrES_PID,$D168,nrES_Code,$F168,nrES_Att,1))))))))</f>
        <v/>
      </c>
      <c r="N168" s="17">
        <f>IF($C168="","",IF($L168="","",IF(NOT(ISNUMBER($L168)),"(not a score)",IF($L168&gt;=$J168,"Yes","No"))))</f>
        <v/>
      </c>
      <c r="O168" s="17">
        <f>IF($C168="","",IF($M168="","",IF(NOT(ISNUMBER($M168)),"(not a score)",IF($M168&gt;=$J168,"Yes","No"))))</f>
        <v/>
      </c>
      <c r="P168" s="17">
        <f>IF($C168="","",IF($K168="","",IF(N($K168)&gt;2,"No",IF(COUNTIFS(nrES_PID,$D168,nrES_Code,$F168,nrES_Att,"&gt;"&amp;$K168,nrES_Att,"&lt;=2",nrES_Raw,"&gt;=0")=0,"Yes","No"))))</f>
        <v/>
      </c>
      <c r="Q168" s="17">
        <f>IF($C168="","",IF($L168="","",IF(AND($K168=1,ISNUMBER($L168),$L168&lt;$J168,COUNTIFS(nrES_PID,$D168,nrES_Code,$F168,nrES_Att,2,nrES_Raw,"&gt;=0")=0),"Yes","No")))</f>
        <v/>
      </c>
      <c r="R168" s="17">
        <f>IF($C168="","",IF($L168="","",IF(AND(N($K168)&gt;=2,ISNUMBER($L168),$L168&lt;$J168),"Yes","No")))</f>
        <v/>
      </c>
      <c r="S168" s="18" t="n"/>
      <c r="T168" s="19">
        <f>IF(OR($C168="",$L168="",$K168&lt;&gt;1,NOT(ISNUMBER($L168)),$L168&gt;=$J168),"",IF($S168="","(enter date)",_xlfn.LET(_xlpm.dn,_xlfn.XLOOKUP($S168,nrCDdate,nrCDnum,"",1),IF(_xlpm.dn="","(after last class day)",_xlfn.LET(_xlpm.dd,_xlfn.XLOOKUP(_xlpm.dn+cfgRetestClassDays,nrCDnum,nrCDdate,""),_xlpm.ok,_xlfn.XLOOKUP(_xlpm.dn+cfgRetestClassDays,nrCDnum,nrCDinsession,"No"),IF(OR(_xlpm.dd="",_xlpm.ok&lt;&gt;"Yes"),"(after last class day)",_xlpm.dd))))))</f>
        <v/>
      </c>
      <c r="U168" s="17">
        <f>IF($C168="","",IF(AND($Y168="Excused",$L168="",N($K168)&lt;=1),"EXCUSED - 1st attempt pending",IF(OR($L168="",$K168&lt;&gt;1,NOT(ISNUMBER($L168)),$L168&gt;=$J168),"",IF(COUNTIFS(nrES_PID,$D168,nrES_Code,$F168,nrES_Att,2,nrES_Raw,"&gt;=0")&gt;0,IF(IFERROR(_xlfn.MINIFS(nrES_Date,nrES_PID,$D168,nrES_Code,$F168,nrES_Att,2,nrES_Raw,"&gt;=0",nrES_Date,"&gt;0"),0)=0,"RETEST UNDATED",IF(NOT(ISNUMBER($T168)),"RETEST DATE UNCHECKED",IF(_xlfn.MINIFS(nrES_Date,nrES_PID,$D168,nrES_Code,$F168,nrES_Att,2,nrES_Raw,"&gt;=0",nrES_Date,"&gt;0")&gt;$T168,"LATE RETEST "&amp;TEXT(_xlfn.MINIFS(nrES_Date,nrES_PID,$D168,nrES_Code,$F168,nrES_Att,2,nrES_Raw,"&gt;=0",nrES_Date,"&gt;0"),"mm/dd")&amp;" (due "&amp;TEXT($T168,"mm/dd")&amp;")","Retested"))),IF(NOT(ISNUMBER($T168)),"CHECK DATE",IF(TODAY()&gt;$T168,"OVERDUE","Due "&amp;TEXT($T168,"mm/dd")))))))</f>
        <v/>
      </c>
      <c r="V168" s="16" t="n"/>
      <c r="W168" s="16" t="n"/>
      <c r="X168" s="17">
        <f>IF($C168="","",IF(AND($L168&lt;&gt;"",NOT(ISNUMBER($L168))),"RAW SCORE NOT A NUMBER",IF(AND(ISNUMBER($L168),OR($L168&lt;0,$L168&gt;100)),"RAW SCORE OUT OF RANGE",IF(AND($Y168="Unexcused",OR($L168="",NOT(ISNUMBER($L168)),$L168&lt;&gt;0)),"UNEXCUSED ABSENCE MUST RECORD 0",IF(COUNTIF(nrES_RecID,$B168)&gt;1,"DUPLICATE RECORD",IF(N($K168)&gt;2,"ATTEMPT 3+ NOT ALLOWED - policy 300.5 permits one retest per exam; this row records nothing",IF(AND($K168=2,COUNTIFS(nrES_PID,$D168,nrES_Code,$F168,nrES_Att,1)=0),"ATTEMPT 2 WITHOUT ATTEMPT 1",IF(AND($K168=2,$L168=""),"RETEST ROW HAS NO SCORE",IF(AND($H168="Final",$L168&lt;&gt;"",IFERROR(INDEX(nrCKfinalExamElig,MATCH($D168,rngCadetPIDs,0)),"")="No"),"FINAL EXAM AFTER FAILED FINAL PT (500.1.H)",IF(AND($K168=2,ISNUMBER($L168),COUNTIFS(nrES_PID,$D168,nrES_Code,$F168,nrES_Att,1)&gt;0,SUMIFS(nrES_Raw,nrES_PID,$D168,nrES_Code,$F168,nrES_Att,1)&gt;=$J168),"RETEST AFTER A PASSING FIRST ATTEMPT","OK"))))))))))</f>
        <v/>
      </c>
      <c r="Y168" s="16" t="n"/>
    </row>
    <row r="169">
      <c r="B169" s="17">
        <f>IF($C169="","",$D169&amp;"-"&amp;$F169&amp;"-"&amp;$K169)</f>
        <v/>
      </c>
      <c r="C169" s="16" t="n"/>
      <c r="D169" s="17">
        <f>IF($C169="","",IFERROR(INDEX(rngCadetPIDs,MATCH($C169,rngCadetNames,0)),"?"))</f>
        <v/>
      </c>
      <c r="E169" s="17">
        <f>IF($D169="","",IFERROR(INDEX(nrCadetAgency,MATCH($D169,rngCadetPIDs,0)),""))</f>
        <v/>
      </c>
      <c r="F169" s="16" t="n"/>
      <c r="G169" s="17">
        <f>IF($F169="","",IFERROR(INDEX(rngEPname,MATCH($F169,rngEPcode,0)),"?"))</f>
        <v/>
      </c>
      <c r="H169" s="17">
        <f>IF($F169="","",IFERROR(INDEX(rngEPtype,MATCH($F169,rngEPcode,0)),"?"))</f>
        <v/>
      </c>
      <c r="I169" s="17">
        <f>IF($F169="","",IFERROR(INDEX(rngEPseq,MATCH($F169,rngEPcode,0)),""))</f>
        <v/>
      </c>
      <c r="J169" s="17">
        <f>IF($F169="","",IFERROR(INDEX(rngEPpass,MATCH($F169,rngEPcode,0)),cfgPassingScore))</f>
        <v/>
      </c>
      <c r="K169" s="16" t="n"/>
      <c r="L169" s="16" t="n"/>
      <c r="M169" s="17">
        <f>IF($C169="","",IF($L169="","",IF(NOT(ISNUMBER($L169)),$L169,IF(N($K169)&gt;2,"",IF($K169=1,IF(COUNTIFS(nrES_PID,$D169,nrES_Code,$F169,nrES_Att,2,nrES_Raw,"&gt;=0")&gt;0,"",$L169),IF($L169&gt;=$J169,MAX($J169,cfgRetakeRecordedCap),IF(COUNTIFS(nrES_PID,$D169,nrES_Code,$F169,nrES_Att,1)=0,$L169,SUMIFS(nrES_Raw,nrES_PID,$D169,nrES_Code,$F169,nrES_Att,1))))))))</f>
        <v/>
      </c>
      <c r="N169" s="17">
        <f>IF($C169="","",IF($L169="","",IF(NOT(ISNUMBER($L169)),"(not a score)",IF($L169&gt;=$J169,"Yes","No"))))</f>
        <v/>
      </c>
      <c r="O169" s="17">
        <f>IF($C169="","",IF($M169="","",IF(NOT(ISNUMBER($M169)),"(not a score)",IF($M169&gt;=$J169,"Yes","No"))))</f>
        <v/>
      </c>
      <c r="P169" s="17">
        <f>IF($C169="","",IF($K169="","",IF(N($K169)&gt;2,"No",IF(COUNTIFS(nrES_PID,$D169,nrES_Code,$F169,nrES_Att,"&gt;"&amp;$K169,nrES_Att,"&lt;=2",nrES_Raw,"&gt;=0")=0,"Yes","No"))))</f>
        <v/>
      </c>
      <c r="Q169" s="17">
        <f>IF($C169="","",IF($L169="","",IF(AND($K169=1,ISNUMBER($L169),$L169&lt;$J169,COUNTIFS(nrES_PID,$D169,nrES_Code,$F169,nrES_Att,2,nrES_Raw,"&gt;=0")=0),"Yes","No")))</f>
        <v/>
      </c>
      <c r="R169" s="17">
        <f>IF($C169="","",IF($L169="","",IF(AND(N($K169)&gt;=2,ISNUMBER($L169),$L169&lt;$J169),"Yes","No")))</f>
        <v/>
      </c>
      <c r="S169" s="18" t="n"/>
      <c r="T169" s="19">
        <f>IF(OR($C169="",$L169="",$K169&lt;&gt;1,NOT(ISNUMBER($L169)),$L169&gt;=$J169),"",IF($S169="","(enter date)",_xlfn.LET(_xlpm.dn,_xlfn.XLOOKUP($S169,nrCDdate,nrCDnum,"",1),IF(_xlpm.dn="","(after last class day)",_xlfn.LET(_xlpm.dd,_xlfn.XLOOKUP(_xlpm.dn+cfgRetestClassDays,nrCDnum,nrCDdate,""),_xlpm.ok,_xlfn.XLOOKUP(_xlpm.dn+cfgRetestClassDays,nrCDnum,nrCDinsession,"No"),IF(OR(_xlpm.dd="",_xlpm.ok&lt;&gt;"Yes"),"(after last class day)",_xlpm.dd))))))</f>
        <v/>
      </c>
      <c r="U169" s="17">
        <f>IF($C169="","",IF(AND($Y169="Excused",$L169="",N($K169)&lt;=1),"EXCUSED - 1st attempt pending",IF(OR($L169="",$K169&lt;&gt;1,NOT(ISNUMBER($L169)),$L169&gt;=$J169),"",IF(COUNTIFS(nrES_PID,$D169,nrES_Code,$F169,nrES_Att,2,nrES_Raw,"&gt;=0")&gt;0,IF(IFERROR(_xlfn.MINIFS(nrES_Date,nrES_PID,$D169,nrES_Code,$F169,nrES_Att,2,nrES_Raw,"&gt;=0",nrES_Date,"&gt;0"),0)=0,"RETEST UNDATED",IF(NOT(ISNUMBER($T169)),"RETEST DATE UNCHECKED",IF(_xlfn.MINIFS(nrES_Date,nrES_PID,$D169,nrES_Code,$F169,nrES_Att,2,nrES_Raw,"&gt;=0",nrES_Date,"&gt;0")&gt;$T169,"LATE RETEST "&amp;TEXT(_xlfn.MINIFS(nrES_Date,nrES_PID,$D169,nrES_Code,$F169,nrES_Att,2,nrES_Raw,"&gt;=0",nrES_Date,"&gt;0"),"mm/dd")&amp;" (due "&amp;TEXT($T169,"mm/dd")&amp;")","Retested"))),IF(NOT(ISNUMBER($T169)),"CHECK DATE",IF(TODAY()&gt;$T169,"OVERDUE","Due "&amp;TEXT($T169,"mm/dd")))))))</f>
        <v/>
      </c>
      <c r="V169" s="16" t="n"/>
      <c r="W169" s="16" t="n"/>
      <c r="X169" s="17">
        <f>IF($C169="","",IF(AND($L169&lt;&gt;"",NOT(ISNUMBER($L169))),"RAW SCORE NOT A NUMBER",IF(AND(ISNUMBER($L169),OR($L169&lt;0,$L169&gt;100)),"RAW SCORE OUT OF RANGE",IF(AND($Y169="Unexcused",OR($L169="",NOT(ISNUMBER($L169)),$L169&lt;&gt;0)),"UNEXCUSED ABSENCE MUST RECORD 0",IF(COUNTIF(nrES_RecID,$B169)&gt;1,"DUPLICATE RECORD",IF(N($K169)&gt;2,"ATTEMPT 3+ NOT ALLOWED - policy 300.5 permits one retest per exam; this row records nothing",IF(AND($K169=2,COUNTIFS(nrES_PID,$D169,nrES_Code,$F169,nrES_Att,1)=0),"ATTEMPT 2 WITHOUT ATTEMPT 1",IF(AND($K169=2,$L169=""),"RETEST ROW HAS NO SCORE",IF(AND($H169="Final",$L169&lt;&gt;"",IFERROR(INDEX(nrCKfinalExamElig,MATCH($D169,rngCadetPIDs,0)),"")="No"),"FINAL EXAM AFTER FAILED FINAL PT (500.1.H)",IF(AND($K169=2,ISNUMBER($L169),COUNTIFS(nrES_PID,$D169,nrES_Code,$F169,nrES_Att,1)&gt;0,SUMIFS(nrES_Raw,nrES_PID,$D169,nrES_Code,$F169,nrES_Att,1)&gt;=$J169),"RETEST AFTER A PASSING FIRST ATTEMPT","OK"))))))))))</f>
        <v/>
      </c>
      <c r="Y169" s="16" t="n"/>
    </row>
    <row r="170">
      <c r="B170" s="17">
        <f>IF($C170="","",$D170&amp;"-"&amp;$F170&amp;"-"&amp;$K170)</f>
        <v/>
      </c>
      <c r="C170" s="16" t="n"/>
      <c r="D170" s="17">
        <f>IF($C170="","",IFERROR(INDEX(rngCadetPIDs,MATCH($C170,rngCadetNames,0)),"?"))</f>
        <v/>
      </c>
      <c r="E170" s="17">
        <f>IF($D170="","",IFERROR(INDEX(nrCadetAgency,MATCH($D170,rngCadetPIDs,0)),""))</f>
        <v/>
      </c>
      <c r="F170" s="16" t="n"/>
      <c r="G170" s="17">
        <f>IF($F170="","",IFERROR(INDEX(rngEPname,MATCH($F170,rngEPcode,0)),"?"))</f>
        <v/>
      </c>
      <c r="H170" s="17">
        <f>IF($F170="","",IFERROR(INDEX(rngEPtype,MATCH($F170,rngEPcode,0)),"?"))</f>
        <v/>
      </c>
      <c r="I170" s="17">
        <f>IF($F170="","",IFERROR(INDEX(rngEPseq,MATCH($F170,rngEPcode,0)),""))</f>
        <v/>
      </c>
      <c r="J170" s="17">
        <f>IF($F170="","",IFERROR(INDEX(rngEPpass,MATCH($F170,rngEPcode,0)),cfgPassingScore))</f>
        <v/>
      </c>
      <c r="K170" s="16" t="n"/>
      <c r="L170" s="16" t="n"/>
      <c r="M170" s="17">
        <f>IF($C170="","",IF($L170="","",IF(NOT(ISNUMBER($L170)),$L170,IF(N($K170)&gt;2,"",IF($K170=1,IF(COUNTIFS(nrES_PID,$D170,nrES_Code,$F170,nrES_Att,2,nrES_Raw,"&gt;=0")&gt;0,"",$L170),IF($L170&gt;=$J170,MAX($J170,cfgRetakeRecordedCap),IF(COUNTIFS(nrES_PID,$D170,nrES_Code,$F170,nrES_Att,1)=0,$L170,SUMIFS(nrES_Raw,nrES_PID,$D170,nrES_Code,$F170,nrES_Att,1))))))))</f>
        <v/>
      </c>
      <c r="N170" s="17">
        <f>IF($C170="","",IF($L170="","",IF(NOT(ISNUMBER($L170)),"(not a score)",IF($L170&gt;=$J170,"Yes","No"))))</f>
        <v/>
      </c>
      <c r="O170" s="17">
        <f>IF($C170="","",IF($M170="","",IF(NOT(ISNUMBER($M170)),"(not a score)",IF($M170&gt;=$J170,"Yes","No"))))</f>
        <v/>
      </c>
      <c r="P170" s="17">
        <f>IF($C170="","",IF($K170="","",IF(N($K170)&gt;2,"No",IF(COUNTIFS(nrES_PID,$D170,nrES_Code,$F170,nrES_Att,"&gt;"&amp;$K170,nrES_Att,"&lt;=2",nrES_Raw,"&gt;=0")=0,"Yes","No"))))</f>
        <v/>
      </c>
      <c r="Q170" s="17">
        <f>IF($C170="","",IF($L170="","",IF(AND($K170=1,ISNUMBER($L170),$L170&lt;$J170,COUNTIFS(nrES_PID,$D170,nrES_Code,$F170,nrES_Att,2,nrES_Raw,"&gt;=0")=0),"Yes","No")))</f>
        <v/>
      </c>
      <c r="R170" s="17">
        <f>IF($C170="","",IF($L170="","",IF(AND(N($K170)&gt;=2,ISNUMBER($L170),$L170&lt;$J170),"Yes","No")))</f>
        <v/>
      </c>
      <c r="S170" s="18" t="n"/>
      <c r="T170" s="19">
        <f>IF(OR($C170="",$L170="",$K170&lt;&gt;1,NOT(ISNUMBER($L170)),$L170&gt;=$J170),"",IF($S170="","(enter date)",_xlfn.LET(_xlpm.dn,_xlfn.XLOOKUP($S170,nrCDdate,nrCDnum,"",1),IF(_xlpm.dn="","(after last class day)",_xlfn.LET(_xlpm.dd,_xlfn.XLOOKUP(_xlpm.dn+cfgRetestClassDays,nrCDnum,nrCDdate,""),_xlpm.ok,_xlfn.XLOOKUP(_xlpm.dn+cfgRetestClassDays,nrCDnum,nrCDinsession,"No"),IF(OR(_xlpm.dd="",_xlpm.ok&lt;&gt;"Yes"),"(after last class day)",_xlpm.dd))))))</f>
        <v/>
      </c>
      <c r="U170" s="17">
        <f>IF($C170="","",IF(AND($Y170="Excused",$L170="",N($K170)&lt;=1),"EXCUSED - 1st attempt pending",IF(OR($L170="",$K170&lt;&gt;1,NOT(ISNUMBER($L170)),$L170&gt;=$J170),"",IF(COUNTIFS(nrES_PID,$D170,nrES_Code,$F170,nrES_Att,2,nrES_Raw,"&gt;=0")&gt;0,IF(IFERROR(_xlfn.MINIFS(nrES_Date,nrES_PID,$D170,nrES_Code,$F170,nrES_Att,2,nrES_Raw,"&gt;=0",nrES_Date,"&gt;0"),0)=0,"RETEST UNDATED",IF(NOT(ISNUMBER($T170)),"RETEST DATE UNCHECKED",IF(_xlfn.MINIFS(nrES_Date,nrES_PID,$D170,nrES_Code,$F170,nrES_Att,2,nrES_Raw,"&gt;=0",nrES_Date,"&gt;0")&gt;$T170,"LATE RETEST "&amp;TEXT(_xlfn.MINIFS(nrES_Date,nrES_PID,$D170,nrES_Code,$F170,nrES_Att,2,nrES_Raw,"&gt;=0",nrES_Date,"&gt;0"),"mm/dd")&amp;" (due "&amp;TEXT($T170,"mm/dd")&amp;")","Retested"))),IF(NOT(ISNUMBER($T170)),"CHECK DATE",IF(TODAY()&gt;$T170,"OVERDUE","Due "&amp;TEXT($T170,"mm/dd")))))))</f>
        <v/>
      </c>
      <c r="V170" s="16" t="n"/>
      <c r="W170" s="16" t="n"/>
      <c r="X170" s="17">
        <f>IF($C170="","",IF(AND($L170&lt;&gt;"",NOT(ISNUMBER($L170))),"RAW SCORE NOT A NUMBER",IF(AND(ISNUMBER($L170),OR($L170&lt;0,$L170&gt;100)),"RAW SCORE OUT OF RANGE",IF(AND($Y170="Unexcused",OR($L170="",NOT(ISNUMBER($L170)),$L170&lt;&gt;0)),"UNEXCUSED ABSENCE MUST RECORD 0",IF(COUNTIF(nrES_RecID,$B170)&gt;1,"DUPLICATE RECORD",IF(N($K170)&gt;2,"ATTEMPT 3+ NOT ALLOWED - policy 300.5 permits one retest per exam; this row records nothing",IF(AND($K170=2,COUNTIFS(nrES_PID,$D170,nrES_Code,$F170,nrES_Att,1)=0),"ATTEMPT 2 WITHOUT ATTEMPT 1",IF(AND($K170=2,$L170=""),"RETEST ROW HAS NO SCORE",IF(AND($H170="Final",$L170&lt;&gt;"",IFERROR(INDEX(nrCKfinalExamElig,MATCH($D170,rngCadetPIDs,0)),"")="No"),"FINAL EXAM AFTER FAILED FINAL PT (500.1.H)",IF(AND($K170=2,ISNUMBER($L170),COUNTIFS(nrES_PID,$D170,nrES_Code,$F170,nrES_Att,1)&gt;0,SUMIFS(nrES_Raw,nrES_PID,$D170,nrES_Code,$F170,nrES_Att,1)&gt;=$J170),"RETEST AFTER A PASSING FIRST ATTEMPT","OK"))))))))))</f>
        <v/>
      </c>
      <c r="Y170" s="16" t="n"/>
    </row>
    <row r="171">
      <c r="B171" s="17">
        <f>IF($C171="","",$D171&amp;"-"&amp;$F171&amp;"-"&amp;$K171)</f>
        <v/>
      </c>
      <c r="C171" s="16" t="n"/>
      <c r="D171" s="17">
        <f>IF($C171="","",IFERROR(INDEX(rngCadetPIDs,MATCH($C171,rngCadetNames,0)),"?"))</f>
        <v/>
      </c>
      <c r="E171" s="17">
        <f>IF($D171="","",IFERROR(INDEX(nrCadetAgency,MATCH($D171,rngCadetPIDs,0)),""))</f>
        <v/>
      </c>
      <c r="F171" s="16" t="n"/>
      <c r="G171" s="17">
        <f>IF($F171="","",IFERROR(INDEX(rngEPname,MATCH($F171,rngEPcode,0)),"?"))</f>
        <v/>
      </c>
      <c r="H171" s="17">
        <f>IF($F171="","",IFERROR(INDEX(rngEPtype,MATCH($F171,rngEPcode,0)),"?"))</f>
        <v/>
      </c>
      <c r="I171" s="17">
        <f>IF($F171="","",IFERROR(INDEX(rngEPseq,MATCH($F171,rngEPcode,0)),""))</f>
        <v/>
      </c>
      <c r="J171" s="17">
        <f>IF($F171="","",IFERROR(INDEX(rngEPpass,MATCH($F171,rngEPcode,0)),cfgPassingScore))</f>
        <v/>
      </c>
      <c r="K171" s="16" t="n"/>
      <c r="L171" s="16" t="n"/>
      <c r="M171" s="17">
        <f>IF($C171="","",IF($L171="","",IF(NOT(ISNUMBER($L171)),$L171,IF(N($K171)&gt;2,"",IF($K171=1,IF(COUNTIFS(nrES_PID,$D171,nrES_Code,$F171,nrES_Att,2,nrES_Raw,"&gt;=0")&gt;0,"",$L171),IF($L171&gt;=$J171,MAX($J171,cfgRetakeRecordedCap),IF(COUNTIFS(nrES_PID,$D171,nrES_Code,$F171,nrES_Att,1)=0,$L171,SUMIFS(nrES_Raw,nrES_PID,$D171,nrES_Code,$F171,nrES_Att,1))))))))</f>
        <v/>
      </c>
      <c r="N171" s="17">
        <f>IF($C171="","",IF($L171="","",IF(NOT(ISNUMBER($L171)),"(not a score)",IF($L171&gt;=$J171,"Yes","No"))))</f>
        <v/>
      </c>
      <c r="O171" s="17">
        <f>IF($C171="","",IF($M171="","",IF(NOT(ISNUMBER($M171)),"(not a score)",IF($M171&gt;=$J171,"Yes","No"))))</f>
        <v/>
      </c>
      <c r="P171" s="17">
        <f>IF($C171="","",IF($K171="","",IF(N($K171)&gt;2,"No",IF(COUNTIFS(nrES_PID,$D171,nrES_Code,$F171,nrES_Att,"&gt;"&amp;$K171,nrES_Att,"&lt;=2",nrES_Raw,"&gt;=0")=0,"Yes","No"))))</f>
        <v/>
      </c>
      <c r="Q171" s="17">
        <f>IF($C171="","",IF($L171="","",IF(AND($K171=1,ISNUMBER($L171),$L171&lt;$J171,COUNTIFS(nrES_PID,$D171,nrES_Code,$F171,nrES_Att,2,nrES_Raw,"&gt;=0")=0),"Yes","No")))</f>
        <v/>
      </c>
      <c r="R171" s="17">
        <f>IF($C171="","",IF($L171="","",IF(AND(N($K171)&gt;=2,ISNUMBER($L171),$L171&lt;$J171),"Yes","No")))</f>
        <v/>
      </c>
      <c r="S171" s="18" t="n"/>
      <c r="T171" s="19">
        <f>IF(OR($C171="",$L171="",$K171&lt;&gt;1,NOT(ISNUMBER($L171)),$L171&gt;=$J171),"",IF($S171="","(enter date)",_xlfn.LET(_xlpm.dn,_xlfn.XLOOKUP($S171,nrCDdate,nrCDnum,"",1),IF(_xlpm.dn="","(after last class day)",_xlfn.LET(_xlpm.dd,_xlfn.XLOOKUP(_xlpm.dn+cfgRetestClassDays,nrCDnum,nrCDdate,""),_xlpm.ok,_xlfn.XLOOKUP(_xlpm.dn+cfgRetestClassDays,nrCDnum,nrCDinsession,"No"),IF(OR(_xlpm.dd="",_xlpm.ok&lt;&gt;"Yes"),"(after last class day)",_xlpm.dd))))))</f>
        <v/>
      </c>
      <c r="U171" s="17">
        <f>IF($C171="","",IF(AND($Y171="Excused",$L171="",N($K171)&lt;=1),"EXCUSED - 1st attempt pending",IF(OR($L171="",$K171&lt;&gt;1,NOT(ISNUMBER($L171)),$L171&gt;=$J171),"",IF(COUNTIFS(nrES_PID,$D171,nrES_Code,$F171,nrES_Att,2,nrES_Raw,"&gt;=0")&gt;0,IF(IFERROR(_xlfn.MINIFS(nrES_Date,nrES_PID,$D171,nrES_Code,$F171,nrES_Att,2,nrES_Raw,"&gt;=0",nrES_Date,"&gt;0"),0)=0,"RETEST UNDATED",IF(NOT(ISNUMBER($T171)),"RETEST DATE UNCHECKED",IF(_xlfn.MINIFS(nrES_Date,nrES_PID,$D171,nrES_Code,$F171,nrES_Att,2,nrES_Raw,"&gt;=0",nrES_Date,"&gt;0")&gt;$T171,"LATE RETEST "&amp;TEXT(_xlfn.MINIFS(nrES_Date,nrES_PID,$D171,nrES_Code,$F171,nrES_Att,2,nrES_Raw,"&gt;=0",nrES_Date,"&gt;0"),"mm/dd")&amp;" (due "&amp;TEXT($T171,"mm/dd")&amp;")","Retested"))),IF(NOT(ISNUMBER($T171)),"CHECK DATE",IF(TODAY()&gt;$T171,"OVERDUE","Due "&amp;TEXT($T171,"mm/dd")))))))</f>
        <v/>
      </c>
      <c r="V171" s="16" t="n"/>
      <c r="W171" s="16" t="n"/>
      <c r="X171" s="17">
        <f>IF($C171="","",IF(AND($L171&lt;&gt;"",NOT(ISNUMBER($L171))),"RAW SCORE NOT A NUMBER",IF(AND(ISNUMBER($L171),OR($L171&lt;0,$L171&gt;100)),"RAW SCORE OUT OF RANGE",IF(AND($Y171="Unexcused",OR($L171="",NOT(ISNUMBER($L171)),$L171&lt;&gt;0)),"UNEXCUSED ABSENCE MUST RECORD 0",IF(COUNTIF(nrES_RecID,$B171)&gt;1,"DUPLICATE RECORD",IF(N($K171)&gt;2,"ATTEMPT 3+ NOT ALLOWED - policy 300.5 permits one retest per exam; this row records nothing",IF(AND($K171=2,COUNTIFS(nrES_PID,$D171,nrES_Code,$F171,nrES_Att,1)=0),"ATTEMPT 2 WITHOUT ATTEMPT 1",IF(AND($K171=2,$L171=""),"RETEST ROW HAS NO SCORE",IF(AND($H171="Final",$L171&lt;&gt;"",IFERROR(INDEX(nrCKfinalExamElig,MATCH($D171,rngCadetPIDs,0)),"")="No"),"FINAL EXAM AFTER FAILED FINAL PT (500.1.H)",IF(AND($K171=2,ISNUMBER($L171),COUNTIFS(nrES_PID,$D171,nrES_Code,$F171,nrES_Att,1)&gt;0,SUMIFS(nrES_Raw,nrES_PID,$D171,nrES_Code,$F171,nrES_Att,1)&gt;=$J171),"RETEST AFTER A PASSING FIRST ATTEMPT","OK"))))))))))</f>
        <v/>
      </c>
      <c r="Y171" s="16" t="n"/>
    </row>
    <row r="172">
      <c r="B172" s="17">
        <f>IF($C172="","",$D172&amp;"-"&amp;$F172&amp;"-"&amp;$K172)</f>
        <v/>
      </c>
      <c r="C172" s="16" t="n"/>
      <c r="D172" s="17">
        <f>IF($C172="","",IFERROR(INDEX(rngCadetPIDs,MATCH($C172,rngCadetNames,0)),"?"))</f>
        <v/>
      </c>
      <c r="E172" s="17">
        <f>IF($D172="","",IFERROR(INDEX(nrCadetAgency,MATCH($D172,rngCadetPIDs,0)),""))</f>
        <v/>
      </c>
      <c r="F172" s="16" t="n"/>
      <c r="G172" s="17">
        <f>IF($F172="","",IFERROR(INDEX(rngEPname,MATCH($F172,rngEPcode,0)),"?"))</f>
        <v/>
      </c>
      <c r="H172" s="17">
        <f>IF($F172="","",IFERROR(INDEX(rngEPtype,MATCH($F172,rngEPcode,0)),"?"))</f>
        <v/>
      </c>
      <c r="I172" s="17">
        <f>IF($F172="","",IFERROR(INDEX(rngEPseq,MATCH($F172,rngEPcode,0)),""))</f>
        <v/>
      </c>
      <c r="J172" s="17">
        <f>IF($F172="","",IFERROR(INDEX(rngEPpass,MATCH($F172,rngEPcode,0)),cfgPassingScore))</f>
        <v/>
      </c>
      <c r="K172" s="16" t="n"/>
      <c r="L172" s="16" t="n"/>
      <c r="M172" s="17">
        <f>IF($C172="","",IF($L172="","",IF(NOT(ISNUMBER($L172)),$L172,IF(N($K172)&gt;2,"",IF($K172=1,IF(COUNTIFS(nrES_PID,$D172,nrES_Code,$F172,nrES_Att,2,nrES_Raw,"&gt;=0")&gt;0,"",$L172),IF($L172&gt;=$J172,MAX($J172,cfgRetakeRecordedCap),IF(COUNTIFS(nrES_PID,$D172,nrES_Code,$F172,nrES_Att,1)=0,$L172,SUMIFS(nrES_Raw,nrES_PID,$D172,nrES_Code,$F172,nrES_Att,1))))))))</f>
        <v/>
      </c>
      <c r="N172" s="17">
        <f>IF($C172="","",IF($L172="","",IF(NOT(ISNUMBER($L172)),"(not a score)",IF($L172&gt;=$J172,"Yes","No"))))</f>
        <v/>
      </c>
      <c r="O172" s="17">
        <f>IF($C172="","",IF($M172="","",IF(NOT(ISNUMBER($M172)),"(not a score)",IF($M172&gt;=$J172,"Yes","No"))))</f>
        <v/>
      </c>
      <c r="P172" s="17">
        <f>IF($C172="","",IF($K172="","",IF(N($K172)&gt;2,"No",IF(COUNTIFS(nrES_PID,$D172,nrES_Code,$F172,nrES_Att,"&gt;"&amp;$K172,nrES_Att,"&lt;=2",nrES_Raw,"&gt;=0")=0,"Yes","No"))))</f>
        <v/>
      </c>
      <c r="Q172" s="17">
        <f>IF($C172="","",IF($L172="","",IF(AND($K172=1,ISNUMBER($L172),$L172&lt;$J172,COUNTIFS(nrES_PID,$D172,nrES_Code,$F172,nrES_Att,2,nrES_Raw,"&gt;=0")=0),"Yes","No")))</f>
        <v/>
      </c>
      <c r="R172" s="17">
        <f>IF($C172="","",IF($L172="","",IF(AND(N($K172)&gt;=2,ISNUMBER($L172),$L172&lt;$J172),"Yes","No")))</f>
        <v/>
      </c>
      <c r="S172" s="18" t="n"/>
      <c r="T172" s="19">
        <f>IF(OR($C172="",$L172="",$K172&lt;&gt;1,NOT(ISNUMBER($L172)),$L172&gt;=$J172),"",IF($S172="","(enter date)",_xlfn.LET(_xlpm.dn,_xlfn.XLOOKUP($S172,nrCDdate,nrCDnum,"",1),IF(_xlpm.dn="","(after last class day)",_xlfn.LET(_xlpm.dd,_xlfn.XLOOKUP(_xlpm.dn+cfgRetestClassDays,nrCDnum,nrCDdate,""),_xlpm.ok,_xlfn.XLOOKUP(_xlpm.dn+cfgRetestClassDays,nrCDnum,nrCDinsession,"No"),IF(OR(_xlpm.dd="",_xlpm.ok&lt;&gt;"Yes"),"(after last class day)",_xlpm.dd))))))</f>
        <v/>
      </c>
      <c r="U172" s="17">
        <f>IF($C172="","",IF(AND($Y172="Excused",$L172="",N($K172)&lt;=1),"EXCUSED - 1st attempt pending",IF(OR($L172="",$K172&lt;&gt;1,NOT(ISNUMBER($L172)),$L172&gt;=$J172),"",IF(COUNTIFS(nrES_PID,$D172,nrES_Code,$F172,nrES_Att,2,nrES_Raw,"&gt;=0")&gt;0,IF(IFERROR(_xlfn.MINIFS(nrES_Date,nrES_PID,$D172,nrES_Code,$F172,nrES_Att,2,nrES_Raw,"&gt;=0",nrES_Date,"&gt;0"),0)=0,"RETEST UNDATED",IF(NOT(ISNUMBER($T172)),"RETEST DATE UNCHECKED",IF(_xlfn.MINIFS(nrES_Date,nrES_PID,$D172,nrES_Code,$F172,nrES_Att,2,nrES_Raw,"&gt;=0",nrES_Date,"&gt;0")&gt;$T172,"LATE RETEST "&amp;TEXT(_xlfn.MINIFS(nrES_Date,nrES_PID,$D172,nrES_Code,$F172,nrES_Att,2,nrES_Raw,"&gt;=0",nrES_Date,"&gt;0"),"mm/dd")&amp;" (due "&amp;TEXT($T172,"mm/dd")&amp;")","Retested"))),IF(NOT(ISNUMBER($T172)),"CHECK DATE",IF(TODAY()&gt;$T172,"OVERDUE","Due "&amp;TEXT($T172,"mm/dd")))))))</f>
        <v/>
      </c>
      <c r="V172" s="16" t="n"/>
      <c r="W172" s="16" t="n"/>
      <c r="X172" s="17">
        <f>IF($C172="","",IF(AND($L172&lt;&gt;"",NOT(ISNUMBER($L172))),"RAW SCORE NOT A NUMBER",IF(AND(ISNUMBER($L172),OR($L172&lt;0,$L172&gt;100)),"RAW SCORE OUT OF RANGE",IF(AND($Y172="Unexcused",OR($L172="",NOT(ISNUMBER($L172)),$L172&lt;&gt;0)),"UNEXCUSED ABSENCE MUST RECORD 0",IF(COUNTIF(nrES_RecID,$B172)&gt;1,"DUPLICATE RECORD",IF(N($K172)&gt;2,"ATTEMPT 3+ NOT ALLOWED - policy 300.5 permits one retest per exam; this row records nothing",IF(AND($K172=2,COUNTIFS(nrES_PID,$D172,nrES_Code,$F172,nrES_Att,1)=0),"ATTEMPT 2 WITHOUT ATTEMPT 1",IF(AND($K172=2,$L172=""),"RETEST ROW HAS NO SCORE",IF(AND($H172="Final",$L172&lt;&gt;"",IFERROR(INDEX(nrCKfinalExamElig,MATCH($D172,rngCadetPIDs,0)),"")="No"),"FINAL EXAM AFTER FAILED FINAL PT (500.1.H)",IF(AND($K172=2,ISNUMBER($L172),COUNTIFS(nrES_PID,$D172,nrES_Code,$F172,nrES_Att,1)&gt;0,SUMIFS(nrES_Raw,nrES_PID,$D172,nrES_Code,$F172,nrES_Att,1)&gt;=$J172),"RETEST AFTER A PASSING FIRST ATTEMPT","OK"))))))))))</f>
        <v/>
      </c>
      <c r="Y172" s="16" t="n"/>
    </row>
    <row r="173">
      <c r="B173" s="17">
        <f>IF($C173="","",$D173&amp;"-"&amp;$F173&amp;"-"&amp;$K173)</f>
        <v/>
      </c>
      <c r="C173" s="16" t="n"/>
      <c r="D173" s="17">
        <f>IF($C173="","",IFERROR(INDEX(rngCadetPIDs,MATCH($C173,rngCadetNames,0)),"?"))</f>
        <v/>
      </c>
      <c r="E173" s="17">
        <f>IF($D173="","",IFERROR(INDEX(nrCadetAgency,MATCH($D173,rngCadetPIDs,0)),""))</f>
        <v/>
      </c>
      <c r="F173" s="16" t="n"/>
      <c r="G173" s="17">
        <f>IF($F173="","",IFERROR(INDEX(rngEPname,MATCH($F173,rngEPcode,0)),"?"))</f>
        <v/>
      </c>
      <c r="H173" s="17">
        <f>IF($F173="","",IFERROR(INDEX(rngEPtype,MATCH($F173,rngEPcode,0)),"?"))</f>
        <v/>
      </c>
      <c r="I173" s="17">
        <f>IF($F173="","",IFERROR(INDEX(rngEPseq,MATCH($F173,rngEPcode,0)),""))</f>
        <v/>
      </c>
      <c r="J173" s="17">
        <f>IF($F173="","",IFERROR(INDEX(rngEPpass,MATCH($F173,rngEPcode,0)),cfgPassingScore))</f>
        <v/>
      </c>
      <c r="K173" s="16" t="n"/>
      <c r="L173" s="16" t="n"/>
      <c r="M173" s="17">
        <f>IF($C173="","",IF($L173="","",IF(NOT(ISNUMBER($L173)),$L173,IF(N($K173)&gt;2,"",IF($K173=1,IF(COUNTIFS(nrES_PID,$D173,nrES_Code,$F173,nrES_Att,2,nrES_Raw,"&gt;=0")&gt;0,"",$L173),IF($L173&gt;=$J173,MAX($J173,cfgRetakeRecordedCap),IF(COUNTIFS(nrES_PID,$D173,nrES_Code,$F173,nrES_Att,1)=0,$L173,SUMIFS(nrES_Raw,nrES_PID,$D173,nrES_Code,$F173,nrES_Att,1))))))))</f>
        <v/>
      </c>
      <c r="N173" s="17">
        <f>IF($C173="","",IF($L173="","",IF(NOT(ISNUMBER($L173)),"(not a score)",IF($L173&gt;=$J173,"Yes","No"))))</f>
        <v/>
      </c>
      <c r="O173" s="17">
        <f>IF($C173="","",IF($M173="","",IF(NOT(ISNUMBER($M173)),"(not a score)",IF($M173&gt;=$J173,"Yes","No"))))</f>
        <v/>
      </c>
      <c r="P173" s="17">
        <f>IF($C173="","",IF($K173="","",IF(N($K173)&gt;2,"No",IF(COUNTIFS(nrES_PID,$D173,nrES_Code,$F173,nrES_Att,"&gt;"&amp;$K173,nrES_Att,"&lt;=2",nrES_Raw,"&gt;=0")=0,"Yes","No"))))</f>
        <v/>
      </c>
      <c r="Q173" s="17">
        <f>IF($C173="","",IF($L173="","",IF(AND($K173=1,ISNUMBER($L173),$L173&lt;$J173,COUNTIFS(nrES_PID,$D173,nrES_Code,$F173,nrES_Att,2,nrES_Raw,"&gt;=0")=0),"Yes","No")))</f>
        <v/>
      </c>
      <c r="R173" s="17">
        <f>IF($C173="","",IF($L173="","",IF(AND(N($K173)&gt;=2,ISNUMBER($L173),$L173&lt;$J173),"Yes","No")))</f>
        <v/>
      </c>
      <c r="S173" s="18" t="n"/>
      <c r="T173" s="19">
        <f>IF(OR($C173="",$L173="",$K173&lt;&gt;1,NOT(ISNUMBER($L173)),$L173&gt;=$J173),"",IF($S173="","(enter date)",_xlfn.LET(_xlpm.dn,_xlfn.XLOOKUP($S173,nrCDdate,nrCDnum,"",1),IF(_xlpm.dn="","(after last class day)",_xlfn.LET(_xlpm.dd,_xlfn.XLOOKUP(_xlpm.dn+cfgRetestClassDays,nrCDnum,nrCDdate,""),_xlpm.ok,_xlfn.XLOOKUP(_xlpm.dn+cfgRetestClassDays,nrCDnum,nrCDinsession,"No"),IF(OR(_xlpm.dd="",_xlpm.ok&lt;&gt;"Yes"),"(after last class day)",_xlpm.dd))))))</f>
        <v/>
      </c>
      <c r="U173" s="17">
        <f>IF($C173="","",IF(AND($Y173="Excused",$L173="",N($K173)&lt;=1),"EXCUSED - 1st attempt pending",IF(OR($L173="",$K173&lt;&gt;1,NOT(ISNUMBER($L173)),$L173&gt;=$J173),"",IF(COUNTIFS(nrES_PID,$D173,nrES_Code,$F173,nrES_Att,2,nrES_Raw,"&gt;=0")&gt;0,IF(IFERROR(_xlfn.MINIFS(nrES_Date,nrES_PID,$D173,nrES_Code,$F173,nrES_Att,2,nrES_Raw,"&gt;=0",nrES_Date,"&gt;0"),0)=0,"RETEST UNDATED",IF(NOT(ISNUMBER($T173)),"RETEST DATE UNCHECKED",IF(_xlfn.MINIFS(nrES_Date,nrES_PID,$D173,nrES_Code,$F173,nrES_Att,2,nrES_Raw,"&gt;=0",nrES_Date,"&gt;0")&gt;$T173,"LATE RETEST "&amp;TEXT(_xlfn.MINIFS(nrES_Date,nrES_PID,$D173,nrES_Code,$F173,nrES_Att,2,nrES_Raw,"&gt;=0",nrES_Date,"&gt;0"),"mm/dd")&amp;" (due "&amp;TEXT($T173,"mm/dd")&amp;")","Retested"))),IF(NOT(ISNUMBER($T173)),"CHECK DATE",IF(TODAY()&gt;$T173,"OVERDUE","Due "&amp;TEXT($T173,"mm/dd")))))))</f>
        <v/>
      </c>
      <c r="V173" s="16" t="n"/>
      <c r="W173" s="16" t="n"/>
      <c r="X173" s="17">
        <f>IF($C173="","",IF(AND($L173&lt;&gt;"",NOT(ISNUMBER($L173))),"RAW SCORE NOT A NUMBER",IF(AND(ISNUMBER($L173),OR($L173&lt;0,$L173&gt;100)),"RAW SCORE OUT OF RANGE",IF(AND($Y173="Unexcused",OR($L173="",NOT(ISNUMBER($L173)),$L173&lt;&gt;0)),"UNEXCUSED ABSENCE MUST RECORD 0",IF(COUNTIF(nrES_RecID,$B173)&gt;1,"DUPLICATE RECORD",IF(N($K173)&gt;2,"ATTEMPT 3+ NOT ALLOWED - policy 300.5 permits one retest per exam; this row records nothing",IF(AND($K173=2,COUNTIFS(nrES_PID,$D173,nrES_Code,$F173,nrES_Att,1)=0),"ATTEMPT 2 WITHOUT ATTEMPT 1",IF(AND($K173=2,$L173=""),"RETEST ROW HAS NO SCORE",IF(AND($H173="Final",$L173&lt;&gt;"",IFERROR(INDEX(nrCKfinalExamElig,MATCH($D173,rngCadetPIDs,0)),"")="No"),"FINAL EXAM AFTER FAILED FINAL PT (500.1.H)",IF(AND($K173=2,ISNUMBER($L173),COUNTIFS(nrES_PID,$D173,nrES_Code,$F173,nrES_Att,1)&gt;0,SUMIFS(nrES_Raw,nrES_PID,$D173,nrES_Code,$F173,nrES_Att,1)&gt;=$J173),"RETEST AFTER A PASSING FIRST ATTEMPT","OK"))))))))))</f>
        <v/>
      </c>
      <c r="Y173" s="16" t="n"/>
    </row>
    <row r="174">
      <c r="B174" s="17">
        <f>IF($C174="","",$D174&amp;"-"&amp;$F174&amp;"-"&amp;$K174)</f>
        <v/>
      </c>
      <c r="C174" s="16" t="n"/>
      <c r="D174" s="17">
        <f>IF($C174="","",IFERROR(INDEX(rngCadetPIDs,MATCH($C174,rngCadetNames,0)),"?"))</f>
        <v/>
      </c>
      <c r="E174" s="17">
        <f>IF($D174="","",IFERROR(INDEX(nrCadetAgency,MATCH($D174,rngCadetPIDs,0)),""))</f>
        <v/>
      </c>
      <c r="F174" s="16" t="n"/>
      <c r="G174" s="17">
        <f>IF($F174="","",IFERROR(INDEX(rngEPname,MATCH($F174,rngEPcode,0)),"?"))</f>
        <v/>
      </c>
      <c r="H174" s="17">
        <f>IF($F174="","",IFERROR(INDEX(rngEPtype,MATCH($F174,rngEPcode,0)),"?"))</f>
        <v/>
      </c>
      <c r="I174" s="17">
        <f>IF($F174="","",IFERROR(INDEX(rngEPseq,MATCH($F174,rngEPcode,0)),""))</f>
        <v/>
      </c>
      <c r="J174" s="17">
        <f>IF($F174="","",IFERROR(INDEX(rngEPpass,MATCH($F174,rngEPcode,0)),cfgPassingScore))</f>
        <v/>
      </c>
      <c r="K174" s="16" t="n"/>
      <c r="L174" s="16" t="n"/>
      <c r="M174" s="17">
        <f>IF($C174="","",IF($L174="","",IF(NOT(ISNUMBER($L174)),$L174,IF(N($K174)&gt;2,"",IF($K174=1,IF(COUNTIFS(nrES_PID,$D174,nrES_Code,$F174,nrES_Att,2,nrES_Raw,"&gt;=0")&gt;0,"",$L174),IF($L174&gt;=$J174,MAX($J174,cfgRetakeRecordedCap),IF(COUNTIFS(nrES_PID,$D174,nrES_Code,$F174,nrES_Att,1)=0,$L174,SUMIFS(nrES_Raw,nrES_PID,$D174,nrES_Code,$F174,nrES_Att,1))))))))</f>
        <v/>
      </c>
      <c r="N174" s="17">
        <f>IF($C174="","",IF($L174="","",IF(NOT(ISNUMBER($L174)),"(not a score)",IF($L174&gt;=$J174,"Yes","No"))))</f>
        <v/>
      </c>
      <c r="O174" s="17">
        <f>IF($C174="","",IF($M174="","",IF(NOT(ISNUMBER($M174)),"(not a score)",IF($M174&gt;=$J174,"Yes","No"))))</f>
        <v/>
      </c>
      <c r="P174" s="17">
        <f>IF($C174="","",IF($K174="","",IF(N($K174)&gt;2,"No",IF(COUNTIFS(nrES_PID,$D174,nrES_Code,$F174,nrES_Att,"&gt;"&amp;$K174,nrES_Att,"&lt;=2",nrES_Raw,"&gt;=0")=0,"Yes","No"))))</f>
        <v/>
      </c>
      <c r="Q174" s="17">
        <f>IF($C174="","",IF($L174="","",IF(AND($K174=1,ISNUMBER($L174),$L174&lt;$J174,COUNTIFS(nrES_PID,$D174,nrES_Code,$F174,nrES_Att,2,nrES_Raw,"&gt;=0")=0),"Yes","No")))</f>
        <v/>
      </c>
      <c r="R174" s="17">
        <f>IF($C174="","",IF($L174="","",IF(AND(N($K174)&gt;=2,ISNUMBER($L174),$L174&lt;$J174),"Yes","No")))</f>
        <v/>
      </c>
      <c r="S174" s="18" t="n"/>
      <c r="T174" s="19">
        <f>IF(OR($C174="",$L174="",$K174&lt;&gt;1,NOT(ISNUMBER($L174)),$L174&gt;=$J174),"",IF($S174="","(enter date)",_xlfn.LET(_xlpm.dn,_xlfn.XLOOKUP($S174,nrCDdate,nrCDnum,"",1),IF(_xlpm.dn="","(after last class day)",_xlfn.LET(_xlpm.dd,_xlfn.XLOOKUP(_xlpm.dn+cfgRetestClassDays,nrCDnum,nrCDdate,""),_xlpm.ok,_xlfn.XLOOKUP(_xlpm.dn+cfgRetestClassDays,nrCDnum,nrCDinsession,"No"),IF(OR(_xlpm.dd="",_xlpm.ok&lt;&gt;"Yes"),"(after last class day)",_xlpm.dd))))))</f>
        <v/>
      </c>
      <c r="U174" s="17">
        <f>IF($C174="","",IF(AND($Y174="Excused",$L174="",N($K174)&lt;=1),"EXCUSED - 1st attempt pending",IF(OR($L174="",$K174&lt;&gt;1,NOT(ISNUMBER($L174)),$L174&gt;=$J174),"",IF(COUNTIFS(nrES_PID,$D174,nrES_Code,$F174,nrES_Att,2,nrES_Raw,"&gt;=0")&gt;0,IF(IFERROR(_xlfn.MINIFS(nrES_Date,nrES_PID,$D174,nrES_Code,$F174,nrES_Att,2,nrES_Raw,"&gt;=0",nrES_Date,"&gt;0"),0)=0,"RETEST UNDATED",IF(NOT(ISNUMBER($T174)),"RETEST DATE UNCHECKED",IF(_xlfn.MINIFS(nrES_Date,nrES_PID,$D174,nrES_Code,$F174,nrES_Att,2,nrES_Raw,"&gt;=0",nrES_Date,"&gt;0")&gt;$T174,"LATE RETEST "&amp;TEXT(_xlfn.MINIFS(nrES_Date,nrES_PID,$D174,nrES_Code,$F174,nrES_Att,2,nrES_Raw,"&gt;=0",nrES_Date,"&gt;0"),"mm/dd")&amp;" (due "&amp;TEXT($T174,"mm/dd")&amp;")","Retested"))),IF(NOT(ISNUMBER($T174)),"CHECK DATE",IF(TODAY()&gt;$T174,"OVERDUE","Due "&amp;TEXT($T174,"mm/dd")))))))</f>
        <v/>
      </c>
      <c r="V174" s="16" t="n"/>
      <c r="W174" s="16" t="n"/>
      <c r="X174" s="17">
        <f>IF($C174="","",IF(AND($L174&lt;&gt;"",NOT(ISNUMBER($L174))),"RAW SCORE NOT A NUMBER",IF(AND(ISNUMBER($L174),OR($L174&lt;0,$L174&gt;100)),"RAW SCORE OUT OF RANGE",IF(AND($Y174="Unexcused",OR($L174="",NOT(ISNUMBER($L174)),$L174&lt;&gt;0)),"UNEXCUSED ABSENCE MUST RECORD 0",IF(COUNTIF(nrES_RecID,$B174)&gt;1,"DUPLICATE RECORD",IF(N($K174)&gt;2,"ATTEMPT 3+ NOT ALLOWED - policy 300.5 permits one retest per exam; this row records nothing",IF(AND($K174=2,COUNTIFS(nrES_PID,$D174,nrES_Code,$F174,nrES_Att,1)=0),"ATTEMPT 2 WITHOUT ATTEMPT 1",IF(AND($K174=2,$L174=""),"RETEST ROW HAS NO SCORE",IF(AND($H174="Final",$L174&lt;&gt;"",IFERROR(INDEX(nrCKfinalExamElig,MATCH($D174,rngCadetPIDs,0)),"")="No"),"FINAL EXAM AFTER FAILED FINAL PT (500.1.H)",IF(AND($K174=2,ISNUMBER($L174),COUNTIFS(nrES_PID,$D174,nrES_Code,$F174,nrES_Att,1)&gt;0,SUMIFS(nrES_Raw,nrES_PID,$D174,nrES_Code,$F174,nrES_Att,1)&gt;=$J174),"RETEST AFTER A PASSING FIRST ATTEMPT","OK"))))))))))</f>
        <v/>
      </c>
      <c r="Y174" s="16" t="n"/>
    </row>
    <row r="175">
      <c r="B175" s="17">
        <f>IF($C175="","",$D175&amp;"-"&amp;$F175&amp;"-"&amp;$K175)</f>
        <v/>
      </c>
      <c r="C175" s="16" t="n"/>
      <c r="D175" s="17">
        <f>IF($C175="","",IFERROR(INDEX(rngCadetPIDs,MATCH($C175,rngCadetNames,0)),"?"))</f>
        <v/>
      </c>
      <c r="E175" s="17">
        <f>IF($D175="","",IFERROR(INDEX(nrCadetAgency,MATCH($D175,rngCadetPIDs,0)),""))</f>
        <v/>
      </c>
      <c r="F175" s="16" t="n"/>
      <c r="G175" s="17">
        <f>IF($F175="","",IFERROR(INDEX(rngEPname,MATCH($F175,rngEPcode,0)),"?"))</f>
        <v/>
      </c>
      <c r="H175" s="17">
        <f>IF($F175="","",IFERROR(INDEX(rngEPtype,MATCH($F175,rngEPcode,0)),"?"))</f>
        <v/>
      </c>
      <c r="I175" s="17">
        <f>IF($F175="","",IFERROR(INDEX(rngEPseq,MATCH($F175,rngEPcode,0)),""))</f>
        <v/>
      </c>
      <c r="J175" s="17">
        <f>IF($F175="","",IFERROR(INDEX(rngEPpass,MATCH($F175,rngEPcode,0)),cfgPassingScore))</f>
        <v/>
      </c>
      <c r="K175" s="16" t="n"/>
      <c r="L175" s="16" t="n"/>
      <c r="M175" s="17">
        <f>IF($C175="","",IF($L175="","",IF(NOT(ISNUMBER($L175)),$L175,IF(N($K175)&gt;2,"",IF($K175=1,IF(COUNTIFS(nrES_PID,$D175,nrES_Code,$F175,nrES_Att,2,nrES_Raw,"&gt;=0")&gt;0,"",$L175),IF($L175&gt;=$J175,MAX($J175,cfgRetakeRecordedCap),IF(COUNTIFS(nrES_PID,$D175,nrES_Code,$F175,nrES_Att,1)=0,$L175,SUMIFS(nrES_Raw,nrES_PID,$D175,nrES_Code,$F175,nrES_Att,1))))))))</f>
        <v/>
      </c>
      <c r="N175" s="17">
        <f>IF($C175="","",IF($L175="","",IF(NOT(ISNUMBER($L175)),"(not a score)",IF($L175&gt;=$J175,"Yes","No"))))</f>
        <v/>
      </c>
      <c r="O175" s="17">
        <f>IF($C175="","",IF($M175="","",IF(NOT(ISNUMBER($M175)),"(not a score)",IF($M175&gt;=$J175,"Yes","No"))))</f>
        <v/>
      </c>
      <c r="P175" s="17">
        <f>IF($C175="","",IF($K175="","",IF(N($K175)&gt;2,"No",IF(COUNTIFS(nrES_PID,$D175,nrES_Code,$F175,nrES_Att,"&gt;"&amp;$K175,nrES_Att,"&lt;=2",nrES_Raw,"&gt;=0")=0,"Yes","No"))))</f>
        <v/>
      </c>
      <c r="Q175" s="17">
        <f>IF($C175="","",IF($L175="","",IF(AND($K175=1,ISNUMBER($L175),$L175&lt;$J175,COUNTIFS(nrES_PID,$D175,nrES_Code,$F175,nrES_Att,2,nrES_Raw,"&gt;=0")=0),"Yes","No")))</f>
        <v/>
      </c>
      <c r="R175" s="17">
        <f>IF($C175="","",IF($L175="","",IF(AND(N($K175)&gt;=2,ISNUMBER($L175),$L175&lt;$J175),"Yes","No")))</f>
        <v/>
      </c>
      <c r="S175" s="18" t="n"/>
      <c r="T175" s="19">
        <f>IF(OR($C175="",$L175="",$K175&lt;&gt;1,NOT(ISNUMBER($L175)),$L175&gt;=$J175),"",IF($S175="","(enter date)",_xlfn.LET(_xlpm.dn,_xlfn.XLOOKUP($S175,nrCDdate,nrCDnum,"",1),IF(_xlpm.dn="","(after last class day)",_xlfn.LET(_xlpm.dd,_xlfn.XLOOKUP(_xlpm.dn+cfgRetestClassDays,nrCDnum,nrCDdate,""),_xlpm.ok,_xlfn.XLOOKUP(_xlpm.dn+cfgRetestClassDays,nrCDnum,nrCDinsession,"No"),IF(OR(_xlpm.dd="",_xlpm.ok&lt;&gt;"Yes"),"(after last class day)",_xlpm.dd))))))</f>
        <v/>
      </c>
      <c r="U175" s="17">
        <f>IF($C175="","",IF(AND($Y175="Excused",$L175="",N($K175)&lt;=1),"EXCUSED - 1st attempt pending",IF(OR($L175="",$K175&lt;&gt;1,NOT(ISNUMBER($L175)),$L175&gt;=$J175),"",IF(COUNTIFS(nrES_PID,$D175,nrES_Code,$F175,nrES_Att,2,nrES_Raw,"&gt;=0")&gt;0,IF(IFERROR(_xlfn.MINIFS(nrES_Date,nrES_PID,$D175,nrES_Code,$F175,nrES_Att,2,nrES_Raw,"&gt;=0",nrES_Date,"&gt;0"),0)=0,"RETEST UNDATED",IF(NOT(ISNUMBER($T175)),"RETEST DATE UNCHECKED",IF(_xlfn.MINIFS(nrES_Date,nrES_PID,$D175,nrES_Code,$F175,nrES_Att,2,nrES_Raw,"&gt;=0",nrES_Date,"&gt;0")&gt;$T175,"LATE RETEST "&amp;TEXT(_xlfn.MINIFS(nrES_Date,nrES_PID,$D175,nrES_Code,$F175,nrES_Att,2,nrES_Raw,"&gt;=0",nrES_Date,"&gt;0"),"mm/dd")&amp;" (due "&amp;TEXT($T175,"mm/dd")&amp;")","Retested"))),IF(NOT(ISNUMBER($T175)),"CHECK DATE",IF(TODAY()&gt;$T175,"OVERDUE","Due "&amp;TEXT($T175,"mm/dd")))))))</f>
        <v/>
      </c>
      <c r="V175" s="16" t="n"/>
      <c r="W175" s="16" t="n"/>
      <c r="X175" s="17">
        <f>IF($C175="","",IF(AND($L175&lt;&gt;"",NOT(ISNUMBER($L175))),"RAW SCORE NOT A NUMBER",IF(AND(ISNUMBER($L175),OR($L175&lt;0,$L175&gt;100)),"RAW SCORE OUT OF RANGE",IF(AND($Y175="Unexcused",OR($L175="",NOT(ISNUMBER($L175)),$L175&lt;&gt;0)),"UNEXCUSED ABSENCE MUST RECORD 0",IF(COUNTIF(nrES_RecID,$B175)&gt;1,"DUPLICATE RECORD",IF(N($K175)&gt;2,"ATTEMPT 3+ NOT ALLOWED - policy 300.5 permits one retest per exam; this row records nothing",IF(AND($K175=2,COUNTIFS(nrES_PID,$D175,nrES_Code,$F175,nrES_Att,1)=0),"ATTEMPT 2 WITHOUT ATTEMPT 1",IF(AND($K175=2,$L175=""),"RETEST ROW HAS NO SCORE",IF(AND($H175="Final",$L175&lt;&gt;"",IFERROR(INDEX(nrCKfinalExamElig,MATCH($D175,rngCadetPIDs,0)),"")="No"),"FINAL EXAM AFTER FAILED FINAL PT (500.1.H)",IF(AND($K175=2,ISNUMBER($L175),COUNTIFS(nrES_PID,$D175,nrES_Code,$F175,nrES_Att,1)&gt;0,SUMIFS(nrES_Raw,nrES_PID,$D175,nrES_Code,$F175,nrES_Att,1)&gt;=$J175),"RETEST AFTER A PASSING FIRST ATTEMPT","OK"))))))))))</f>
        <v/>
      </c>
      <c r="Y175" s="16" t="n"/>
    </row>
    <row r="176">
      <c r="B176" s="17">
        <f>IF($C176="","",$D176&amp;"-"&amp;$F176&amp;"-"&amp;$K176)</f>
        <v/>
      </c>
      <c r="C176" s="16" t="n"/>
      <c r="D176" s="17">
        <f>IF($C176="","",IFERROR(INDEX(rngCadetPIDs,MATCH($C176,rngCadetNames,0)),"?"))</f>
        <v/>
      </c>
      <c r="E176" s="17">
        <f>IF($D176="","",IFERROR(INDEX(nrCadetAgency,MATCH($D176,rngCadetPIDs,0)),""))</f>
        <v/>
      </c>
      <c r="F176" s="16" t="n"/>
      <c r="G176" s="17">
        <f>IF($F176="","",IFERROR(INDEX(rngEPname,MATCH($F176,rngEPcode,0)),"?"))</f>
        <v/>
      </c>
      <c r="H176" s="17">
        <f>IF($F176="","",IFERROR(INDEX(rngEPtype,MATCH($F176,rngEPcode,0)),"?"))</f>
        <v/>
      </c>
      <c r="I176" s="17">
        <f>IF($F176="","",IFERROR(INDEX(rngEPseq,MATCH($F176,rngEPcode,0)),""))</f>
        <v/>
      </c>
      <c r="J176" s="17">
        <f>IF($F176="","",IFERROR(INDEX(rngEPpass,MATCH($F176,rngEPcode,0)),cfgPassingScore))</f>
        <v/>
      </c>
      <c r="K176" s="16" t="n"/>
      <c r="L176" s="16" t="n"/>
      <c r="M176" s="17">
        <f>IF($C176="","",IF($L176="","",IF(NOT(ISNUMBER($L176)),$L176,IF(N($K176)&gt;2,"",IF($K176=1,IF(COUNTIFS(nrES_PID,$D176,nrES_Code,$F176,nrES_Att,2,nrES_Raw,"&gt;=0")&gt;0,"",$L176),IF($L176&gt;=$J176,MAX($J176,cfgRetakeRecordedCap),IF(COUNTIFS(nrES_PID,$D176,nrES_Code,$F176,nrES_Att,1)=0,$L176,SUMIFS(nrES_Raw,nrES_PID,$D176,nrES_Code,$F176,nrES_Att,1))))))))</f>
        <v/>
      </c>
      <c r="N176" s="17">
        <f>IF($C176="","",IF($L176="","",IF(NOT(ISNUMBER($L176)),"(not a score)",IF($L176&gt;=$J176,"Yes","No"))))</f>
        <v/>
      </c>
      <c r="O176" s="17">
        <f>IF($C176="","",IF($M176="","",IF(NOT(ISNUMBER($M176)),"(not a score)",IF($M176&gt;=$J176,"Yes","No"))))</f>
        <v/>
      </c>
      <c r="P176" s="17">
        <f>IF($C176="","",IF($K176="","",IF(N($K176)&gt;2,"No",IF(COUNTIFS(nrES_PID,$D176,nrES_Code,$F176,nrES_Att,"&gt;"&amp;$K176,nrES_Att,"&lt;=2",nrES_Raw,"&gt;=0")=0,"Yes","No"))))</f>
        <v/>
      </c>
      <c r="Q176" s="17">
        <f>IF($C176="","",IF($L176="","",IF(AND($K176=1,ISNUMBER($L176),$L176&lt;$J176,COUNTIFS(nrES_PID,$D176,nrES_Code,$F176,nrES_Att,2,nrES_Raw,"&gt;=0")=0),"Yes","No")))</f>
        <v/>
      </c>
      <c r="R176" s="17">
        <f>IF($C176="","",IF($L176="","",IF(AND(N($K176)&gt;=2,ISNUMBER($L176),$L176&lt;$J176),"Yes","No")))</f>
        <v/>
      </c>
      <c r="S176" s="18" t="n"/>
      <c r="T176" s="19">
        <f>IF(OR($C176="",$L176="",$K176&lt;&gt;1,NOT(ISNUMBER($L176)),$L176&gt;=$J176),"",IF($S176="","(enter date)",_xlfn.LET(_xlpm.dn,_xlfn.XLOOKUP($S176,nrCDdate,nrCDnum,"",1),IF(_xlpm.dn="","(after last class day)",_xlfn.LET(_xlpm.dd,_xlfn.XLOOKUP(_xlpm.dn+cfgRetestClassDays,nrCDnum,nrCDdate,""),_xlpm.ok,_xlfn.XLOOKUP(_xlpm.dn+cfgRetestClassDays,nrCDnum,nrCDinsession,"No"),IF(OR(_xlpm.dd="",_xlpm.ok&lt;&gt;"Yes"),"(after last class day)",_xlpm.dd))))))</f>
        <v/>
      </c>
      <c r="U176" s="17">
        <f>IF($C176="","",IF(AND($Y176="Excused",$L176="",N($K176)&lt;=1),"EXCUSED - 1st attempt pending",IF(OR($L176="",$K176&lt;&gt;1,NOT(ISNUMBER($L176)),$L176&gt;=$J176),"",IF(COUNTIFS(nrES_PID,$D176,nrES_Code,$F176,nrES_Att,2,nrES_Raw,"&gt;=0")&gt;0,IF(IFERROR(_xlfn.MINIFS(nrES_Date,nrES_PID,$D176,nrES_Code,$F176,nrES_Att,2,nrES_Raw,"&gt;=0",nrES_Date,"&gt;0"),0)=0,"RETEST UNDATED",IF(NOT(ISNUMBER($T176)),"RETEST DATE UNCHECKED",IF(_xlfn.MINIFS(nrES_Date,nrES_PID,$D176,nrES_Code,$F176,nrES_Att,2,nrES_Raw,"&gt;=0",nrES_Date,"&gt;0")&gt;$T176,"LATE RETEST "&amp;TEXT(_xlfn.MINIFS(nrES_Date,nrES_PID,$D176,nrES_Code,$F176,nrES_Att,2,nrES_Raw,"&gt;=0",nrES_Date,"&gt;0"),"mm/dd")&amp;" (due "&amp;TEXT($T176,"mm/dd")&amp;")","Retested"))),IF(NOT(ISNUMBER($T176)),"CHECK DATE",IF(TODAY()&gt;$T176,"OVERDUE","Due "&amp;TEXT($T176,"mm/dd")))))))</f>
        <v/>
      </c>
      <c r="V176" s="16" t="n"/>
      <c r="W176" s="16" t="n"/>
      <c r="X176" s="17">
        <f>IF($C176="","",IF(AND($L176&lt;&gt;"",NOT(ISNUMBER($L176))),"RAW SCORE NOT A NUMBER",IF(AND(ISNUMBER($L176),OR($L176&lt;0,$L176&gt;100)),"RAW SCORE OUT OF RANGE",IF(AND($Y176="Unexcused",OR($L176="",NOT(ISNUMBER($L176)),$L176&lt;&gt;0)),"UNEXCUSED ABSENCE MUST RECORD 0",IF(COUNTIF(nrES_RecID,$B176)&gt;1,"DUPLICATE RECORD",IF(N($K176)&gt;2,"ATTEMPT 3+ NOT ALLOWED - policy 300.5 permits one retest per exam; this row records nothing",IF(AND($K176=2,COUNTIFS(nrES_PID,$D176,nrES_Code,$F176,nrES_Att,1)=0),"ATTEMPT 2 WITHOUT ATTEMPT 1",IF(AND($K176=2,$L176=""),"RETEST ROW HAS NO SCORE",IF(AND($H176="Final",$L176&lt;&gt;"",IFERROR(INDEX(nrCKfinalExamElig,MATCH($D176,rngCadetPIDs,0)),"")="No"),"FINAL EXAM AFTER FAILED FINAL PT (500.1.H)",IF(AND($K176=2,ISNUMBER($L176),COUNTIFS(nrES_PID,$D176,nrES_Code,$F176,nrES_Att,1)&gt;0,SUMIFS(nrES_Raw,nrES_PID,$D176,nrES_Code,$F176,nrES_Att,1)&gt;=$J176),"RETEST AFTER A PASSING FIRST ATTEMPT","OK"))))))))))</f>
        <v/>
      </c>
      <c r="Y176" s="16" t="n"/>
    </row>
    <row r="177">
      <c r="B177" s="17">
        <f>IF($C177="","",$D177&amp;"-"&amp;$F177&amp;"-"&amp;$K177)</f>
        <v/>
      </c>
      <c r="C177" s="16" t="n"/>
      <c r="D177" s="17">
        <f>IF($C177="","",IFERROR(INDEX(rngCadetPIDs,MATCH($C177,rngCadetNames,0)),"?"))</f>
        <v/>
      </c>
      <c r="E177" s="17">
        <f>IF($D177="","",IFERROR(INDEX(nrCadetAgency,MATCH($D177,rngCadetPIDs,0)),""))</f>
        <v/>
      </c>
      <c r="F177" s="16" t="n"/>
      <c r="G177" s="17">
        <f>IF($F177="","",IFERROR(INDEX(rngEPname,MATCH($F177,rngEPcode,0)),"?"))</f>
        <v/>
      </c>
      <c r="H177" s="17">
        <f>IF($F177="","",IFERROR(INDEX(rngEPtype,MATCH($F177,rngEPcode,0)),"?"))</f>
        <v/>
      </c>
      <c r="I177" s="17">
        <f>IF($F177="","",IFERROR(INDEX(rngEPseq,MATCH($F177,rngEPcode,0)),""))</f>
        <v/>
      </c>
      <c r="J177" s="17">
        <f>IF($F177="","",IFERROR(INDEX(rngEPpass,MATCH($F177,rngEPcode,0)),cfgPassingScore))</f>
        <v/>
      </c>
      <c r="K177" s="16" t="n"/>
      <c r="L177" s="16" t="n"/>
      <c r="M177" s="17">
        <f>IF($C177="","",IF($L177="","",IF(NOT(ISNUMBER($L177)),$L177,IF(N($K177)&gt;2,"",IF($K177=1,IF(COUNTIFS(nrES_PID,$D177,nrES_Code,$F177,nrES_Att,2,nrES_Raw,"&gt;=0")&gt;0,"",$L177),IF($L177&gt;=$J177,MAX($J177,cfgRetakeRecordedCap),IF(COUNTIFS(nrES_PID,$D177,nrES_Code,$F177,nrES_Att,1)=0,$L177,SUMIFS(nrES_Raw,nrES_PID,$D177,nrES_Code,$F177,nrES_Att,1))))))))</f>
        <v/>
      </c>
      <c r="N177" s="17">
        <f>IF($C177="","",IF($L177="","",IF(NOT(ISNUMBER($L177)),"(not a score)",IF($L177&gt;=$J177,"Yes","No"))))</f>
        <v/>
      </c>
      <c r="O177" s="17">
        <f>IF($C177="","",IF($M177="","",IF(NOT(ISNUMBER($M177)),"(not a score)",IF($M177&gt;=$J177,"Yes","No"))))</f>
        <v/>
      </c>
      <c r="P177" s="17">
        <f>IF($C177="","",IF($K177="","",IF(N($K177)&gt;2,"No",IF(COUNTIFS(nrES_PID,$D177,nrES_Code,$F177,nrES_Att,"&gt;"&amp;$K177,nrES_Att,"&lt;=2",nrES_Raw,"&gt;=0")=0,"Yes","No"))))</f>
        <v/>
      </c>
      <c r="Q177" s="17">
        <f>IF($C177="","",IF($L177="","",IF(AND($K177=1,ISNUMBER($L177),$L177&lt;$J177,COUNTIFS(nrES_PID,$D177,nrES_Code,$F177,nrES_Att,2,nrES_Raw,"&gt;=0")=0),"Yes","No")))</f>
        <v/>
      </c>
      <c r="R177" s="17">
        <f>IF($C177="","",IF($L177="","",IF(AND(N($K177)&gt;=2,ISNUMBER($L177),$L177&lt;$J177),"Yes","No")))</f>
        <v/>
      </c>
      <c r="S177" s="18" t="n"/>
      <c r="T177" s="19">
        <f>IF(OR($C177="",$L177="",$K177&lt;&gt;1,NOT(ISNUMBER($L177)),$L177&gt;=$J177),"",IF($S177="","(enter date)",_xlfn.LET(_xlpm.dn,_xlfn.XLOOKUP($S177,nrCDdate,nrCDnum,"",1),IF(_xlpm.dn="","(after last class day)",_xlfn.LET(_xlpm.dd,_xlfn.XLOOKUP(_xlpm.dn+cfgRetestClassDays,nrCDnum,nrCDdate,""),_xlpm.ok,_xlfn.XLOOKUP(_xlpm.dn+cfgRetestClassDays,nrCDnum,nrCDinsession,"No"),IF(OR(_xlpm.dd="",_xlpm.ok&lt;&gt;"Yes"),"(after last class day)",_xlpm.dd))))))</f>
        <v/>
      </c>
      <c r="U177" s="17">
        <f>IF($C177="","",IF(AND($Y177="Excused",$L177="",N($K177)&lt;=1),"EXCUSED - 1st attempt pending",IF(OR($L177="",$K177&lt;&gt;1,NOT(ISNUMBER($L177)),$L177&gt;=$J177),"",IF(COUNTIFS(nrES_PID,$D177,nrES_Code,$F177,nrES_Att,2,nrES_Raw,"&gt;=0")&gt;0,IF(IFERROR(_xlfn.MINIFS(nrES_Date,nrES_PID,$D177,nrES_Code,$F177,nrES_Att,2,nrES_Raw,"&gt;=0",nrES_Date,"&gt;0"),0)=0,"RETEST UNDATED",IF(NOT(ISNUMBER($T177)),"RETEST DATE UNCHECKED",IF(_xlfn.MINIFS(nrES_Date,nrES_PID,$D177,nrES_Code,$F177,nrES_Att,2,nrES_Raw,"&gt;=0",nrES_Date,"&gt;0")&gt;$T177,"LATE RETEST "&amp;TEXT(_xlfn.MINIFS(nrES_Date,nrES_PID,$D177,nrES_Code,$F177,nrES_Att,2,nrES_Raw,"&gt;=0",nrES_Date,"&gt;0"),"mm/dd")&amp;" (due "&amp;TEXT($T177,"mm/dd")&amp;")","Retested"))),IF(NOT(ISNUMBER($T177)),"CHECK DATE",IF(TODAY()&gt;$T177,"OVERDUE","Due "&amp;TEXT($T177,"mm/dd")))))))</f>
        <v/>
      </c>
      <c r="V177" s="16" t="n"/>
      <c r="W177" s="16" t="n"/>
      <c r="X177" s="17">
        <f>IF($C177="","",IF(AND($L177&lt;&gt;"",NOT(ISNUMBER($L177))),"RAW SCORE NOT A NUMBER",IF(AND(ISNUMBER($L177),OR($L177&lt;0,$L177&gt;100)),"RAW SCORE OUT OF RANGE",IF(AND($Y177="Unexcused",OR($L177="",NOT(ISNUMBER($L177)),$L177&lt;&gt;0)),"UNEXCUSED ABSENCE MUST RECORD 0",IF(COUNTIF(nrES_RecID,$B177)&gt;1,"DUPLICATE RECORD",IF(N($K177)&gt;2,"ATTEMPT 3+ NOT ALLOWED - policy 300.5 permits one retest per exam; this row records nothing",IF(AND($K177=2,COUNTIFS(nrES_PID,$D177,nrES_Code,$F177,nrES_Att,1)=0),"ATTEMPT 2 WITHOUT ATTEMPT 1",IF(AND($K177=2,$L177=""),"RETEST ROW HAS NO SCORE",IF(AND($H177="Final",$L177&lt;&gt;"",IFERROR(INDEX(nrCKfinalExamElig,MATCH($D177,rngCadetPIDs,0)),"")="No"),"FINAL EXAM AFTER FAILED FINAL PT (500.1.H)",IF(AND($K177=2,ISNUMBER($L177),COUNTIFS(nrES_PID,$D177,nrES_Code,$F177,nrES_Att,1)&gt;0,SUMIFS(nrES_Raw,nrES_PID,$D177,nrES_Code,$F177,nrES_Att,1)&gt;=$J177),"RETEST AFTER A PASSING FIRST ATTEMPT","OK"))))))))))</f>
        <v/>
      </c>
      <c r="Y177" s="16" t="n"/>
    </row>
    <row r="178">
      <c r="B178" s="17">
        <f>IF($C178="","",$D178&amp;"-"&amp;$F178&amp;"-"&amp;$K178)</f>
        <v/>
      </c>
      <c r="C178" s="16" t="n"/>
      <c r="D178" s="17">
        <f>IF($C178="","",IFERROR(INDEX(rngCadetPIDs,MATCH($C178,rngCadetNames,0)),"?"))</f>
        <v/>
      </c>
      <c r="E178" s="17">
        <f>IF($D178="","",IFERROR(INDEX(nrCadetAgency,MATCH($D178,rngCadetPIDs,0)),""))</f>
        <v/>
      </c>
      <c r="F178" s="16" t="n"/>
      <c r="G178" s="17">
        <f>IF($F178="","",IFERROR(INDEX(rngEPname,MATCH($F178,rngEPcode,0)),"?"))</f>
        <v/>
      </c>
      <c r="H178" s="17">
        <f>IF($F178="","",IFERROR(INDEX(rngEPtype,MATCH($F178,rngEPcode,0)),"?"))</f>
        <v/>
      </c>
      <c r="I178" s="17">
        <f>IF($F178="","",IFERROR(INDEX(rngEPseq,MATCH($F178,rngEPcode,0)),""))</f>
        <v/>
      </c>
      <c r="J178" s="17">
        <f>IF($F178="","",IFERROR(INDEX(rngEPpass,MATCH($F178,rngEPcode,0)),cfgPassingScore))</f>
        <v/>
      </c>
      <c r="K178" s="16" t="n"/>
      <c r="L178" s="16" t="n"/>
      <c r="M178" s="17">
        <f>IF($C178="","",IF($L178="","",IF(NOT(ISNUMBER($L178)),$L178,IF(N($K178)&gt;2,"",IF($K178=1,IF(COUNTIFS(nrES_PID,$D178,nrES_Code,$F178,nrES_Att,2,nrES_Raw,"&gt;=0")&gt;0,"",$L178),IF($L178&gt;=$J178,MAX($J178,cfgRetakeRecordedCap),IF(COUNTIFS(nrES_PID,$D178,nrES_Code,$F178,nrES_Att,1)=0,$L178,SUMIFS(nrES_Raw,nrES_PID,$D178,nrES_Code,$F178,nrES_Att,1))))))))</f>
        <v/>
      </c>
      <c r="N178" s="17">
        <f>IF($C178="","",IF($L178="","",IF(NOT(ISNUMBER($L178)),"(not a score)",IF($L178&gt;=$J178,"Yes","No"))))</f>
        <v/>
      </c>
      <c r="O178" s="17">
        <f>IF($C178="","",IF($M178="","",IF(NOT(ISNUMBER($M178)),"(not a score)",IF($M178&gt;=$J178,"Yes","No"))))</f>
        <v/>
      </c>
      <c r="P178" s="17">
        <f>IF($C178="","",IF($K178="","",IF(N($K178)&gt;2,"No",IF(COUNTIFS(nrES_PID,$D178,nrES_Code,$F178,nrES_Att,"&gt;"&amp;$K178,nrES_Att,"&lt;=2",nrES_Raw,"&gt;=0")=0,"Yes","No"))))</f>
        <v/>
      </c>
      <c r="Q178" s="17">
        <f>IF($C178="","",IF($L178="","",IF(AND($K178=1,ISNUMBER($L178),$L178&lt;$J178,COUNTIFS(nrES_PID,$D178,nrES_Code,$F178,nrES_Att,2,nrES_Raw,"&gt;=0")=0),"Yes","No")))</f>
        <v/>
      </c>
      <c r="R178" s="17">
        <f>IF($C178="","",IF($L178="","",IF(AND(N($K178)&gt;=2,ISNUMBER($L178),$L178&lt;$J178),"Yes","No")))</f>
        <v/>
      </c>
      <c r="S178" s="18" t="n"/>
      <c r="T178" s="19">
        <f>IF(OR($C178="",$L178="",$K178&lt;&gt;1,NOT(ISNUMBER($L178)),$L178&gt;=$J178),"",IF($S178="","(enter date)",_xlfn.LET(_xlpm.dn,_xlfn.XLOOKUP($S178,nrCDdate,nrCDnum,"",1),IF(_xlpm.dn="","(after last class day)",_xlfn.LET(_xlpm.dd,_xlfn.XLOOKUP(_xlpm.dn+cfgRetestClassDays,nrCDnum,nrCDdate,""),_xlpm.ok,_xlfn.XLOOKUP(_xlpm.dn+cfgRetestClassDays,nrCDnum,nrCDinsession,"No"),IF(OR(_xlpm.dd="",_xlpm.ok&lt;&gt;"Yes"),"(after last class day)",_xlpm.dd))))))</f>
        <v/>
      </c>
      <c r="U178" s="17">
        <f>IF($C178="","",IF(AND($Y178="Excused",$L178="",N($K178)&lt;=1),"EXCUSED - 1st attempt pending",IF(OR($L178="",$K178&lt;&gt;1,NOT(ISNUMBER($L178)),$L178&gt;=$J178),"",IF(COUNTIFS(nrES_PID,$D178,nrES_Code,$F178,nrES_Att,2,nrES_Raw,"&gt;=0")&gt;0,IF(IFERROR(_xlfn.MINIFS(nrES_Date,nrES_PID,$D178,nrES_Code,$F178,nrES_Att,2,nrES_Raw,"&gt;=0",nrES_Date,"&gt;0"),0)=0,"RETEST UNDATED",IF(NOT(ISNUMBER($T178)),"RETEST DATE UNCHECKED",IF(_xlfn.MINIFS(nrES_Date,nrES_PID,$D178,nrES_Code,$F178,nrES_Att,2,nrES_Raw,"&gt;=0",nrES_Date,"&gt;0")&gt;$T178,"LATE RETEST "&amp;TEXT(_xlfn.MINIFS(nrES_Date,nrES_PID,$D178,nrES_Code,$F178,nrES_Att,2,nrES_Raw,"&gt;=0",nrES_Date,"&gt;0"),"mm/dd")&amp;" (due "&amp;TEXT($T178,"mm/dd")&amp;")","Retested"))),IF(NOT(ISNUMBER($T178)),"CHECK DATE",IF(TODAY()&gt;$T178,"OVERDUE","Due "&amp;TEXT($T178,"mm/dd")))))))</f>
        <v/>
      </c>
      <c r="V178" s="16" t="n"/>
      <c r="W178" s="16" t="n"/>
      <c r="X178" s="17">
        <f>IF($C178="","",IF(AND($L178&lt;&gt;"",NOT(ISNUMBER($L178))),"RAW SCORE NOT A NUMBER",IF(AND(ISNUMBER($L178),OR($L178&lt;0,$L178&gt;100)),"RAW SCORE OUT OF RANGE",IF(AND($Y178="Unexcused",OR($L178="",NOT(ISNUMBER($L178)),$L178&lt;&gt;0)),"UNEXCUSED ABSENCE MUST RECORD 0",IF(COUNTIF(nrES_RecID,$B178)&gt;1,"DUPLICATE RECORD",IF(N($K178)&gt;2,"ATTEMPT 3+ NOT ALLOWED - policy 300.5 permits one retest per exam; this row records nothing",IF(AND($K178=2,COUNTIFS(nrES_PID,$D178,nrES_Code,$F178,nrES_Att,1)=0),"ATTEMPT 2 WITHOUT ATTEMPT 1",IF(AND($K178=2,$L178=""),"RETEST ROW HAS NO SCORE",IF(AND($H178="Final",$L178&lt;&gt;"",IFERROR(INDEX(nrCKfinalExamElig,MATCH($D178,rngCadetPIDs,0)),"")="No"),"FINAL EXAM AFTER FAILED FINAL PT (500.1.H)",IF(AND($K178=2,ISNUMBER($L178),COUNTIFS(nrES_PID,$D178,nrES_Code,$F178,nrES_Att,1)&gt;0,SUMIFS(nrES_Raw,nrES_PID,$D178,nrES_Code,$F178,nrES_Att,1)&gt;=$J178),"RETEST AFTER A PASSING FIRST ATTEMPT","OK"))))))))))</f>
        <v/>
      </c>
      <c r="Y178" s="16" t="n"/>
    </row>
    <row r="179">
      <c r="B179" s="17">
        <f>IF($C179="","",$D179&amp;"-"&amp;$F179&amp;"-"&amp;$K179)</f>
        <v/>
      </c>
      <c r="C179" s="16" t="n"/>
      <c r="D179" s="17">
        <f>IF($C179="","",IFERROR(INDEX(rngCadetPIDs,MATCH($C179,rngCadetNames,0)),"?"))</f>
        <v/>
      </c>
      <c r="E179" s="17">
        <f>IF($D179="","",IFERROR(INDEX(nrCadetAgency,MATCH($D179,rngCadetPIDs,0)),""))</f>
        <v/>
      </c>
      <c r="F179" s="16" t="n"/>
      <c r="G179" s="17">
        <f>IF($F179="","",IFERROR(INDEX(rngEPname,MATCH($F179,rngEPcode,0)),"?"))</f>
        <v/>
      </c>
      <c r="H179" s="17">
        <f>IF($F179="","",IFERROR(INDEX(rngEPtype,MATCH($F179,rngEPcode,0)),"?"))</f>
        <v/>
      </c>
      <c r="I179" s="17">
        <f>IF($F179="","",IFERROR(INDEX(rngEPseq,MATCH($F179,rngEPcode,0)),""))</f>
        <v/>
      </c>
      <c r="J179" s="17">
        <f>IF($F179="","",IFERROR(INDEX(rngEPpass,MATCH($F179,rngEPcode,0)),cfgPassingScore))</f>
        <v/>
      </c>
      <c r="K179" s="16" t="n"/>
      <c r="L179" s="16" t="n"/>
      <c r="M179" s="17">
        <f>IF($C179="","",IF($L179="","",IF(NOT(ISNUMBER($L179)),$L179,IF(N($K179)&gt;2,"",IF($K179=1,IF(COUNTIFS(nrES_PID,$D179,nrES_Code,$F179,nrES_Att,2,nrES_Raw,"&gt;=0")&gt;0,"",$L179),IF($L179&gt;=$J179,MAX($J179,cfgRetakeRecordedCap),IF(COUNTIFS(nrES_PID,$D179,nrES_Code,$F179,nrES_Att,1)=0,$L179,SUMIFS(nrES_Raw,nrES_PID,$D179,nrES_Code,$F179,nrES_Att,1))))))))</f>
        <v/>
      </c>
      <c r="N179" s="17">
        <f>IF($C179="","",IF($L179="","",IF(NOT(ISNUMBER($L179)),"(not a score)",IF($L179&gt;=$J179,"Yes","No"))))</f>
        <v/>
      </c>
      <c r="O179" s="17">
        <f>IF($C179="","",IF($M179="","",IF(NOT(ISNUMBER($M179)),"(not a score)",IF($M179&gt;=$J179,"Yes","No"))))</f>
        <v/>
      </c>
      <c r="P179" s="17">
        <f>IF($C179="","",IF($K179="","",IF(N($K179)&gt;2,"No",IF(COUNTIFS(nrES_PID,$D179,nrES_Code,$F179,nrES_Att,"&gt;"&amp;$K179,nrES_Att,"&lt;=2",nrES_Raw,"&gt;=0")=0,"Yes","No"))))</f>
        <v/>
      </c>
      <c r="Q179" s="17">
        <f>IF($C179="","",IF($L179="","",IF(AND($K179=1,ISNUMBER($L179),$L179&lt;$J179,COUNTIFS(nrES_PID,$D179,nrES_Code,$F179,nrES_Att,2,nrES_Raw,"&gt;=0")=0),"Yes","No")))</f>
        <v/>
      </c>
      <c r="R179" s="17">
        <f>IF($C179="","",IF($L179="","",IF(AND(N($K179)&gt;=2,ISNUMBER($L179),$L179&lt;$J179),"Yes","No")))</f>
        <v/>
      </c>
      <c r="S179" s="18" t="n"/>
      <c r="T179" s="19">
        <f>IF(OR($C179="",$L179="",$K179&lt;&gt;1,NOT(ISNUMBER($L179)),$L179&gt;=$J179),"",IF($S179="","(enter date)",_xlfn.LET(_xlpm.dn,_xlfn.XLOOKUP($S179,nrCDdate,nrCDnum,"",1),IF(_xlpm.dn="","(after last class day)",_xlfn.LET(_xlpm.dd,_xlfn.XLOOKUP(_xlpm.dn+cfgRetestClassDays,nrCDnum,nrCDdate,""),_xlpm.ok,_xlfn.XLOOKUP(_xlpm.dn+cfgRetestClassDays,nrCDnum,nrCDinsession,"No"),IF(OR(_xlpm.dd="",_xlpm.ok&lt;&gt;"Yes"),"(after last class day)",_xlpm.dd))))))</f>
        <v/>
      </c>
      <c r="U179" s="17">
        <f>IF($C179="","",IF(AND($Y179="Excused",$L179="",N($K179)&lt;=1),"EXCUSED - 1st attempt pending",IF(OR($L179="",$K179&lt;&gt;1,NOT(ISNUMBER($L179)),$L179&gt;=$J179),"",IF(COUNTIFS(nrES_PID,$D179,nrES_Code,$F179,nrES_Att,2,nrES_Raw,"&gt;=0")&gt;0,IF(IFERROR(_xlfn.MINIFS(nrES_Date,nrES_PID,$D179,nrES_Code,$F179,nrES_Att,2,nrES_Raw,"&gt;=0",nrES_Date,"&gt;0"),0)=0,"RETEST UNDATED",IF(NOT(ISNUMBER($T179)),"RETEST DATE UNCHECKED",IF(_xlfn.MINIFS(nrES_Date,nrES_PID,$D179,nrES_Code,$F179,nrES_Att,2,nrES_Raw,"&gt;=0",nrES_Date,"&gt;0")&gt;$T179,"LATE RETEST "&amp;TEXT(_xlfn.MINIFS(nrES_Date,nrES_PID,$D179,nrES_Code,$F179,nrES_Att,2,nrES_Raw,"&gt;=0",nrES_Date,"&gt;0"),"mm/dd")&amp;" (due "&amp;TEXT($T179,"mm/dd")&amp;")","Retested"))),IF(NOT(ISNUMBER($T179)),"CHECK DATE",IF(TODAY()&gt;$T179,"OVERDUE","Due "&amp;TEXT($T179,"mm/dd")))))))</f>
        <v/>
      </c>
      <c r="V179" s="16" t="n"/>
      <c r="W179" s="16" t="n"/>
      <c r="X179" s="17">
        <f>IF($C179="","",IF(AND($L179&lt;&gt;"",NOT(ISNUMBER($L179))),"RAW SCORE NOT A NUMBER",IF(AND(ISNUMBER($L179),OR($L179&lt;0,$L179&gt;100)),"RAW SCORE OUT OF RANGE",IF(AND($Y179="Unexcused",OR($L179="",NOT(ISNUMBER($L179)),$L179&lt;&gt;0)),"UNEXCUSED ABSENCE MUST RECORD 0",IF(COUNTIF(nrES_RecID,$B179)&gt;1,"DUPLICATE RECORD",IF(N($K179)&gt;2,"ATTEMPT 3+ NOT ALLOWED - policy 300.5 permits one retest per exam; this row records nothing",IF(AND($K179=2,COUNTIFS(nrES_PID,$D179,nrES_Code,$F179,nrES_Att,1)=0),"ATTEMPT 2 WITHOUT ATTEMPT 1",IF(AND($K179=2,$L179=""),"RETEST ROW HAS NO SCORE",IF(AND($H179="Final",$L179&lt;&gt;"",IFERROR(INDEX(nrCKfinalExamElig,MATCH($D179,rngCadetPIDs,0)),"")="No"),"FINAL EXAM AFTER FAILED FINAL PT (500.1.H)",IF(AND($K179=2,ISNUMBER($L179),COUNTIFS(nrES_PID,$D179,nrES_Code,$F179,nrES_Att,1)&gt;0,SUMIFS(nrES_Raw,nrES_PID,$D179,nrES_Code,$F179,nrES_Att,1)&gt;=$J179),"RETEST AFTER A PASSING FIRST ATTEMPT","OK"))))))))))</f>
        <v/>
      </c>
      <c r="Y179" s="16" t="n"/>
    </row>
    <row r="180">
      <c r="B180" s="17">
        <f>IF($C180="","",$D180&amp;"-"&amp;$F180&amp;"-"&amp;$K180)</f>
        <v/>
      </c>
      <c r="C180" s="16" t="n"/>
      <c r="D180" s="17">
        <f>IF($C180="","",IFERROR(INDEX(rngCadetPIDs,MATCH($C180,rngCadetNames,0)),"?"))</f>
        <v/>
      </c>
      <c r="E180" s="17">
        <f>IF($D180="","",IFERROR(INDEX(nrCadetAgency,MATCH($D180,rngCadetPIDs,0)),""))</f>
        <v/>
      </c>
      <c r="F180" s="16" t="n"/>
      <c r="G180" s="17">
        <f>IF($F180="","",IFERROR(INDEX(rngEPname,MATCH($F180,rngEPcode,0)),"?"))</f>
        <v/>
      </c>
      <c r="H180" s="17">
        <f>IF($F180="","",IFERROR(INDEX(rngEPtype,MATCH($F180,rngEPcode,0)),"?"))</f>
        <v/>
      </c>
      <c r="I180" s="17">
        <f>IF($F180="","",IFERROR(INDEX(rngEPseq,MATCH($F180,rngEPcode,0)),""))</f>
        <v/>
      </c>
      <c r="J180" s="17">
        <f>IF($F180="","",IFERROR(INDEX(rngEPpass,MATCH($F180,rngEPcode,0)),cfgPassingScore))</f>
        <v/>
      </c>
      <c r="K180" s="16" t="n"/>
      <c r="L180" s="16" t="n"/>
      <c r="M180" s="17">
        <f>IF($C180="","",IF($L180="","",IF(NOT(ISNUMBER($L180)),$L180,IF(N($K180)&gt;2,"",IF($K180=1,IF(COUNTIFS(nrES_PID,$D180,nrES_Code,$F180,nrES_Att,2,nrES_Raw,"&gt;=0")&gt;0,"",$L180),IF($L180&gt;=$J180,MAX($J180,cfgRetakeRecordedCap),IF(COUNTIFS(nrES_PID,$D180,nrES_Code,$F180,nrES_Att,1)=0,$L180,SUMIFS(nrES_Raw,nrES_PID,$D180,nrES_Code,$F180,nrES_Att,1))))))))</f>
        <v/>
      </c>
      <c r="N180" s="17">
        <f>IF($C180="","",IF($L180="","",IF(NOT(ISNUMBER($L180)),"(not a score)",IF($L180&gt;=$J180,"Yes","No"))))</f>
        <v/>
      </c>
      <c r="O180" s="17">
        <f>IF($C180="","",IF($M180="","",IF(NOT(ISNUMBER($M180)),"(not a score)",IF($M180&gt;=$J180,"Yes","No"))))</f>
        <v/>
      </c>
      <c r="P180" s="17">
        <f>IF($C180="","",IF($K180="","",IF(N($K180)&gt;2,"No",IF(COUNTIFS(nrES_PID,$D180,nrES_Code,$F180,nrES_Att,"&gt;"&amp;$K180,nrES_Att,"&lt;=2",nrES_Raw,"&gt;=0")=0,"Yes","No"))))</f>
        <v/>
      </c>
      <c r="Q180" s="17">
        <f>IF($C180="","",IF($L180="","",IF(AND($K180=1,ISNUMBER($L180),$L180&lt;$J180,COUNTIFS(nrES_PID,$D180,nrES_Code,$F180,nrES_Att,2,nrES_Raw,"&gt;=0")=0),"Yes","No")))</f>
        <v/>
      </c>
      <c r="R180" s="17">
        <f>IF($C180="","",IF($L180="","",IF(AND(N($K180)&gt;=2,ISNUMBER($L180),$L180&lt;$J180),"Yes","No")))</f>
        <v/>
      </c>
      <c r="S180" s="18" t="n"/>
      <c r="T180" s="19">
        <f>IF(OR($C180="",$L180="",$K180&lt;&gt;1,NOT(ISNUMBER($L180)),$L180&gt;=$J180),"",IF($S180="","(enter date)",_xlfn.LET(_xlpm.dn,_xlfn.XLOOKUP($S180,nrCDdate,nrCDnum,"",1),IF(_xlpm.dn="","(after last class day)",_xlfn.LET(_xlpm.dd,_xlfn.XLOOKUP(_xlpm.dn+cfgRetestClassDays,nrCDnum,nrCDdate,""),_xlpm.ok,_xlfn.XLOOKUP(_xlpm.dn+cfgRetestClassDays,nrCDnum,nrCDinsession,"No"),IF(OR(_xlpm.dd="",_xlpm.ok&lt;&gt;"Yes"),"(after last class day)",_xlpm.dd))))))</f>
        <v/>
      </c>
      <c r="U180" s="17">
        <f>IF($C180="","",IF(AND($Y180="Excused",$L180="",N($K180)&lt;=1),"EXCUSED - 1st attempt pending",IF(OR($L180="",$K180&lt;&gt;1,NOT(ISNUMBER($L180)),$L180&gt;=$J180),"",IF(COUNTIFS(nrES_PID,$D180,nrES_Code,$F180,nrES_Att,2,nrES_Raw,"&gt;=0")&gt;0,IF(IFERROR(_xlfn.MINIFS(nrES_Date,nrES_PID,$D180,nrES_Code,$F180,nrES_Att,2,nrES_Raw,"&gt;=0",nrES_Date,"&gt;0"),0)=0,"RETEST UNDATED",IF(NOT(ISNUMBER($T180)),"RETEST DATE UNCHECKED",IF(_xlfn.MINIFS(nrES_Date,nrES_PID,$D180,nrES_Code,$F180,nrES_Att,2,nrES_Raw,"&gt;=0",nrES_Date,"&gt;0")&gt;$T180,"LATE RETEST "&amp;TEXT(_xlfn.MINIFS(nrES_Date,nrES_PID,$D180,nrES_Code,$F180,nrES_Att,2,nrES_Raw,"&gt;=0",nrES_Date,"&gt;0"),"mm/dd")&amp;" (due "&amp;TEXT($T180,"mm/dd")&amp;")","Retested"))),IF(NOT(ISNUMBER($T180)),"CHECK DATE",IF(TODAY()&gt;$T180,"OVERDUE","Due "&amp;TEXT($T180,"mm/dd")))))))</f>
        <v/>
      </c>
      <c r="V180" s="16" t="n"/>
      <c r="W180" s="16" t="n"/>
      <c r="X180" s="17">
        <f>IF($C180="","",IF(AND($L180&lt;&gt;"",NOT(ISNUMBER($L180))),"RAW SCORE NOT A NUMBER",IF(AND(ISNUMBER($L180),OR($L180&lt;0,$L180&gt;100)),"RAW SCORE OUT OF RANGE",IF(AND($Y180="Unexcused",OR($L180="",NOT(ISNUMBER($L180)),$L180&lt;&gt;0)),"UNEXCUSED ABSENCE MUST RECORD 0",IF(COUNTIF(nrES_RecID,$B180)&gt;1,"DUPLICATE RECORD",IF(N($K180)&gt;2,"ATTEMPT 3+ NOT ALLOWED - policy 300.5 permits one retest per exam; this row records nothing",IF(AND($K180=2,COUNTIFS(nrES_PID,$D180,nrES_Code,$F180,nrES_Att,1)=0),"ATTEMPT 2 WITHOUT ATTEMPT 1",IF(AND($K180=2,$L180=""),"RETEST ROW HAS NO SCORE",IF(AND($H180="Final",$L180&lt;&gt;"",IFERROR(INDEX(nrCKfinalExamElig,MATCH($D180,rngCadetPIDs,0)),"")="No"),"FINAL EXAM AFTER FAILED FINAL PT (500.1.H)",IF(AND($K180=2,ISNUMBER($L180),COUNTIFS(nrES_PID,$D180,nrES_Code,$F180,nrES_Att,1)&gt;0,SUMIFS(nrES_Raw,nrES_PID,$D180,nrES_Code,$F180,nrES_Att,1)&gt;=$J180),"RETEST AFTER A PASSING FIRST ATTEMPT","OK"))))))))))</f>
        <v/>
      </c>
      <c r="Y180" s="16" t="n"/>
    </row>
    <row r="181">
      <c r="B181" s="17">
        <f>IF($C181="","",$D181&amp;"-"&amp;$F181&amp;"-"&amp;$K181)</f>
        <v/>
      </c>
      <c r="C181" s="16" t="n"/>
      <c r="D181" s="17">
        <f>IF($C181="","",IFERROR(INDEX(rngCadetPIDs,MATCH($C181,rngCadetNames,0)),"?"))</f>
        <v/>
      </c>
      <c r="E181" s="17">
        <f>IF($D181="","",IFERROR(INDEX(nrCadetAgency,MATCH($D181,rngCadetPIDs,0)),""))</f>
        <v/>
      </c>
      <c r="F181" s="16" t="n"/>
      <c r="G181" s="17">
        <f>IF($F181="","",IFERROR(INDEX(rngEPname,MATCH($F181,rngEPcode,0)),"?"))</f>
        <v/>
      </c>
      <c r="H181" s="17">
        <f>IF($F181="","",IFERROR(INDEX(rngEPtype,MATCH($F181,rngEPcode,0)),"?"))</f>
        <v/>
      </c>
      <c r="I181" s="17">
        <f>IF($F181="","",IFERROR(INDEX(rngEPseq,MATCH($F181,rngEPcode,0)),""))</f>
        <v/>
      </c>
      <c r="J181" s="17">
        <f>IF($F181="","",IFERROR(INDEX(rngEPpass,MATCH($F181,rngEPcode,0)),cfgPassingScore))</f>
        <v/>
      </c>
      <c r="K181" s="16" t="n"/>
      <c r="L181" s="16" t="n"/>
      <c r="M181" s="17">
        <f>IF($C181="","",IF($L181="","",IF(NOT(ISNUMBER($L181)),$L181,IF(N($K181)&gt;2,"",IF($K181=1,IF(COUNTIFS(nrES_PID,$D181,nrES_Code,$F181,nrES_Att,2,nrES_Raw,"&gt;=0")&gt;0,"",$L181),IF($L181&gt;=$J181,MAX($J181,cfgRetakeRecordedCap),IF(COUNTIFS(nrES_PID,$D181,nrES_Code,$F181,nrES_Att,1)=0,$L181,SUMIFS(nrES_Raw,nrES_PID,$D181,nrES_Code,$F181,nrES_Att,1))))))))</f>
        <v/>
      </c>
      <c r="N181" s="17">
        <f>IF($C181="","",IF($L181="","",IF(NOT(ISNUMBER($L181)),"(not a score)",IF($L181&gt;=$J181,"Yes","No"))))</f>
        <v/>
      </c>
      <c r="O181" s="17">
        <f>IF($C181="","",IF($M181="","",IF(NOT(ISNUMBER($M181)),"(not a score)",IF($M181&gt;=$J181,"Yes","No"))))</f>
        <v/>
      </c>
      <c r="P181" s="17">
        <f>IF($C181="","",IF($K181="","",IF(N($K181)&gt;2,"No",IF(COUNTIFS(nrES_PID,$D181,nrES_Code,$F181,nrES_Att,"&gt;"&amp;$K181,nrES_Att,"&lt;=2",nrES_Raw,"&gt;=0")=0,"Yes","No"))))</f>
        <v/>
      </c>
      <c r="Q181" s="17">
        <f>IF($C181="","",IF($L181="","",IF(AND($K181=1,ISNUMBER($L181),$L181&lt;$J181,COUNTIFS(nrES_PID,$D181,nrES_Code,$F181,nrES_Att,2,nrES_Raw,"&gt;=0")=0),"Yes","No")))</f>
        <v/>
      </c>
      <c r="R181" s="17">
        <f>IF($C181="","",IF($L181="","",IF(AND(N($K181)&gt;=2,ISNUMBER($L181),$L181&lt;$J181),"Yes","No")))</f>
        <v/>
      </c>
      <c r="S181" s="18" t="n"/>
      <c r="T181" s="19">
        <f>IF(OR($C181="",$L181="",$K181&lt;&gt;1,NOT(ISNUMBER($L181)),$L181&gt;=$J181),"",IF($S181="","(enter date)",_xlfn.LET(_xlpm.dn,_xlfn.XLOOKUP($S181,nrCDdate,nrCDnum,"",1),IF(_xlpm.dn="","(after last class day)",_xlfn.LET(_xlpm.dd,_xlfn.XLOOKUP(_xlpm.dn+cfgRetestClassDays,nrCDnum,nrCDdate,""),_xlpm.ok,_xlfn.XLOOKUP(_xlpm.dn+cfgRetestClassDays,nrCDnum,nrCDinsession,"No"),IF(OR(_xlpm.dd="",_xlpm.ok&lt;&gt;"Yes"),"(after last class day)",_xlpm.dd))))))</f>
        <v/>
      </c>
      <c r="U181" s="17">
        <f>IF($C181="","",IF(AND($Y181="Excused",$L181="",N($K181)&lt;=1),"EXCUSED - 1st attempt pending",IF(OR($L181="",$K181&lt;&gt;1,NOT(ISNUMBER($L181)),$L181&gt;=$J181),"",IF(COUNTIFS(nrES_PID,$D181,nrES_Code,$F181,nrES_Att,2,nrES_Raw,"&gt;=0")&gt;0,IF(IFERROR(_xlfn.MINIFS(nrES_Date,nrES_PID,$D181,nrES_Code,$F181,nrES_Att,2,nrES_Raw,"&gt;=0",nrES_Date,"&gt;0"),0)=0,"RETEST UNDATED",IF(NOT(ISNUMBER($T181)),"RETEST DATE UNCHECKED",IF(_xlfn.MINIFS(nrES_Date,nrES_PID,$D181,nrES_Code,$F181,nrES_Att,2,nrES_Raw,"&gt;=0",nrES_Date,"&gt;0")&gt;$T181,"LATE RETEST "&amp;TEXT(_xlfn.MINIFS(nrES_Date,nrES_PID,$D181,nrES_Code,$F181,nrES_Att,2,nrES_Raw,"&gt;=0",nrES_Date,"&gt;0"),"mm/dd")&amp;" (due "&amp;TEXT($T181,"mm/dd")&amp;")","Retested"))),IF(NOT(ISNUMBER($T181)),"CHECK DATE",IF(TODAY()&gt;$T181,"OVERDUE","Due "&amp;TEXT($T181,"mm/dd")))))))</f>
        <v/>
      </c>
      <c r="V181" s="16" t="n"/>
      <c r="W181" s="16" t="n"/>
      <c r="X181" s="17">
        <f>IF($C181="","",IF(AND($L181&lt;&gt;"",NOT(ISNUMBER($L181))),"RAW SCORE NOT A NUMBER",IF(AND(ISNUMBER($L181),OR($L181&lt;0,$L181&gt;100)),"RAW SCORE OUT OF RANGE",IF(AND($Y181="Unexcused",OR($L181="",NOT(ISNUMBER($L181)),$L181&lt;&gt;0)),"UNEXCUSED ABSENCE MUST RECORD 0",IF(COUNTIF(nrES_RecID,$B181)&gt;1,"DUPLICATE RECORD",IF(N($K181)&gt;2,"ATTEMPT 3+ NOT ALLOWED - policy 300.5 permits one retest per exam; this row records nothing",IF(AND($K181=2,COUNTIFS(nrES_PID,$D181,nrES_Code,$F181,nrES_Att,1)=0),"ATTEMPT 2 WITHOUT ATTEMPT 1",IF(AND($K181=2,$L181=""),"RETEST ROW HAS NO SCORE",IF(AND($H181="Final",$L181&lt;&gt;"",IFERROR(INDEX(nrCKfinalExamElig,MATCH($D181,rngCadetPIDs,0)),"")="No"),"FINAL EXAM AFTER FAILED FINAL PT (500.1.H)",IF(AND($K181=2,ISNUMBER($L181),COUNTIFS(nrES_PID,$D181,nrES_Code,$F181,nrES_Att,1)&gt;0,SUMIFS(nrES_Raw,nrES_PID,$D181,nrES_Code,$F181,nrES_Att,1)&gt;=$J181),"RETEST AFTER A PASSING FIRST ATTEMPT","OK"))))))))))</f>
        <v/>
      </c>
      <c r="Y181" s="16" t="n"/>
    </row>
    <row r="182">
      <c r="B182" s="17">
        <f>IF($C182="","",$D182&amp;"-"&amp;$F182&amp;"-"&amp;$K182)</f>
        <v/>
      </c>
      <c r="C182" s="16" t="n"/>
      <c r="D182" s="17">
        <f>IF($C182="","",IFERROR(INDEX(rngCadetPIDs,MATCH($C182,rngCadetNames,0)),"?"))</f>
        <v/>
      </c>
      <c r="E182" s="17">
        <f>IF($D182="","",IFERROR(INDEX(nrCadetAgency,MATCH($D182,rngCadetPIDs,0)),""))</f>
        <v/>
      </c>
      <c r="F182" s="16" t="n"/>
      <c r="G182" s="17">
        <f>IF($F182="","",IFERROR(INDEX(rngEPname,MATCH($F182,rngEPcode,0)),"?"))</f>
        <v/>
      </c>
      <c r="H182" s="17">
        <f>IF($F182="","",IFERROR(INDEX(rngEPtype,MATCH($F182,rngEPcode,0)),"?"))</f>
        <v/>
      </c>
      <c r="I182" s="17">
        <f>IF($F182="","",IFERROR(INDEX(rngEPseq,MATCH($F182,rngEPcode,0)),""))</f>
        <v/>
      </c>
      <c r="J182" s="17">
        <f>IF($F182="","",IFERROR(INDEX(rngEPpass,MATCH($F182,rngEPcode,0)),cfgPassingScore))</f>
        <v/>
      </c>
      <c r="K182" s="16" t="n"/>
      <c r="L182" s="16" t="n"/>
      <c r="M182" s="17">
        <f>IF($C182="","",IF($L182="","",IF(NOT(ISNUMBER($L182)),$L182,IF(N($K182)&gt;2,"",IF($K182=1,IF(COUNTIFS(nrES_PID,$D182,nrES_Code,$F182,nrES_Att,2,nrES_Raw,"&gt;=0")&gt;0,"",$L182),IF($L182&gt;=$J182,MAX($J182,cfgRetakeRecordedCap),IF(COUNTIFS(nrES_PID,$D182,nrES_Code,$F182,nrES_Att,1)=0,$L182,SUMIFS(nrES_Raw,nrES_PID,$D182,nrES_Code,$F182,nrES_Att,1))))))))</f>
        <v/>
      </c>
      <c r="N182" s="17">
        <f>IF($C182="","",IF($L182="","",IF(NOT(ISNUMBER($L182)),"(not a score)",IF($L182&gt;=$J182,"Yes","No"))))</f>
        <v/>
      </c>
      <c r="O182" s="17">
        <f>IF($C182="","",IF($M182="","",IF(NOT(ISNUMBER($M182)),"(not a score)",IF($M182&gt;=$J182,"Yes","No"))))</f>
        <v/>
      </c>
      <c r="P182" s="17">
        <f>IF($C182="","",IF($K182="","",IF(N($K182)&gt;2,"No",IF(COUNTIFS(nrES_PID,$D182,nrES_Code,$F182,nrES_Att,"&gt;"&amp;$K182,nrES_Att,"&lt;=2",nrES_Raw,"&gt;=0")=0,"Yes","No"))))</f>
        <v/>
      </c>
      <c r="Q182" s="17">
        <f>IF($C182="","",IF($L182="","",IF(AND($K182=1,ISNUMBER($L182),$L182&lt;$J182,COUNTIFS(nrES_PID,$D182,nrES_Code,$F182,nrES_Att,2,nrES_Raw,"&gt;=0")=0),"Yes","No")))</f>
        <v/>
      </c>
      <c r="R182" s="17">
        <f>IF($C182="","",IF($L182="","",IF(AND(N($K182)&gt;=2,ISNUMBER($L182),$L182&lt;$J182),"Yes","No")))</f>
        <v/>
      </c>
      <c r="S182" s="18" t="n"/>
      <c r="T182" s="19">
        <f>IF(OR($C182="",$L182="",$K182&lt;&gt;1,NOT(ISNUMBER($L182)),$L182&gt;=$J182),"",IF($S182="","(enter date)",_xlfn.LET(_xlpm.dn,_xlfn.XLOOKUP($S182,nrCDdate,nrCDnum,"",1),IF(_xlpm.dn="","(after last class day)",_xlfn.LET(_xlpm.dd,_xlfn.XLOOKUP(_xlpm.dn+cfgRetestClassDays,nrCDnum,nrCDdate,""),_xlpm.ok,_xlfn.XLOOKUP(_xlpm.dn+cfgRetestClassDays,nrCDnum,nrCDinsession,"No"),IF(OR(_xlpm.dd="",_xlpm.ok&lt;&gt;"Yes"),"(after last class day)",_xlpm.dd))))))</f>
        <v/>
      </c>
      <c r="U182" s="17">
        <f>IF($C182="","",IF(AND($Y182="Excused",$L182="",N($K182)&lt;=1),"EXCUSED - 1st attempt pending",IF(OR($L182="",$K182&lt;&gt;1,NOT(ISNUMBER($L182)),$L182&gt;=$J182),"",IF(COUNTIFS(nrES_PID,$D182,nrES_Code,$F182,nrES_Att,2,nrES_Raw,"&gt;=0")&gt;0,IF(IFERROR(_xlfn.MINIFS(nrES_Date,nrES_PID,$D182,nrES_Code,$F182,nrES_Att,2,nrES_Raw,"&gt;=0",nrES_Date,"&gt;0"),0)=0,"RETEST UNDATED",IF(NOT(ISNUMBER($T182)),"RETEST DATE UNCHECKED",IF(_xlfn.MINIFS(nrES_Date,nrES_PID,$D182,nrES_Code,$F182,nrES_Att,2,nrES_Raw,"&gt;=0",nrES_Date,"&gt;0")&gt;$T182,"LATE RETEST "&amp;TEXT(_xlfn.MINIFS(nrES_Date,nrES_PID,$D182,nrES_Code,$F182,nrES_Att,2,nrES_Raw,"&gt;=0",nrES_Date,"&gt;0"),"mm/dd")&amp;" (due "&amp;TEXT($T182,"mm/dd")&amp;")","Retested"))),IF(NOT(ISNUMBER($T182)),"CHECK DATE",IF(TODAY()&gt;$T182,"OVERDUE","Due "&amp;TEXT($T182,"mm/dd")))))))</f>
        <v/>
      </c>
      <c r="V182" s="16" t="n"/>
      <c r="W182" s="16" t="n"/>
      <c r="X182" s="17">
        <f>IF($C182="","",IF(AND($L182&lt;&gt;"",NOT(ISNUMBER($L182))),"RAW SCORE NOT A NUMBER",IF(AND(ISNUMBER($L182),OR($L182&lt;0,$L182&gt;100)),"RAW SCORE OUT OF RANGE",IF(AND($Y182="Unexcused",OR($L182="",NOT(ISNUMBER($L182)),$L182&lt;&gt;0)),"UNEXCUSED ABSENCE MUST RECORD 0",IF(COUNTIF(nrES_RecID,$B182)&gt;1,"DUPLICATE RECORD",IF(N($K182)&gt;2,"ATTEMPT 3+ NOT ALLOWED - policy 300.5 permits one retest per exam; this row records nothing",IF(AND($K182=2,COUNTIFS(nrES_PID,$D182,nrES_Code,$F182,nrES_Att,1)=0),"ATTEMPT 2 WITHOUT ATTEMPT 1",IF(AND($K182=2,$L182=""),"RETEST ROW HAS NO SCORE",IF(AND($H182="Final",$L182&lt;&gt;"",IFERROR(INDEX(nrCKfinalExamElig,MATCH($D182,rngCadetPIDs,0)),"")="No"),"FINAL EXAM AFTER FAILED FINAL PT (500.1.H)",IF(AND($K182=2,ISNUMBER($L182),COUNTIFS(nrES_PID,$D182,nrES_Code,$F182,nrES_Att,1)&gt;0,SUMIFS(nrES_Raw,nrES_PID,$D182,nrES_Code,$F182,nrES_Att,1)&gt;=$J182),"RETEST AFTER A PASSING FIRST ATTEMPT","OK"))))))))))</f>
        <v/>
      </c>
      <c r="Y182" s="16" t="n"/>
    </row>
    <row r="183">
      <c r="B183" s="17">
        <f>IF($C183="","",$D183&amp;"-"&amp;$F183&amp;"-"&amp;$K183)</f>
        <v/>
      </c>
      <c r="C183" s="16" t="n"/>
      <c r="D183" s="17">
        <f>IF($C183="","",IFERROR(INDEX(rngCadetPIDs,MATCH($C183,rngCadetNames,0)),"?"))</f>
        <v/>
      </c>
      <c r="E183" s="17">
        <f>IF($D183="","",IFERROR(INDEX(nrCadetAgency,MATCH($D183,rngCadetPIDs,0)),""))</f>
        <v/>
      </c>
      <c r="F183" s="16" t="n"/>
      <c r="G183" s="17">
        <f>IF($F183="","",IFERROR(INDEX(rngEPname,MATCH($F183,rngEPcode,0)),"?"))</f>
        <v/>
      </c>
      <c r="H183" s="17">
        <f>IF($F183="","",IFERROR(INDEX(rngEPtype,MATCH($F183,rngEPcode,0)),"?"))</f>
        <v/>
      </c>
      <c r="I183" s="17">
        <f>IF($F183="","",IFERROR(INDEX(rngEPseq,MATCH($F183,rngEPcode,0)),""))</f>
        <v/>
      </c>
      <c r="J183" s="17">
        <f>IF($F183="","",IFERROR(INDEX(rngEPpass,MATCH($F183,rngEPcode,0)),cfgPassingScore))</f>
        <v/>
      </c>
      <c r="K183" s="16" t="n"/>
      <c r="L183" s="16" t="n"/>
      <c r="M183" s="17">
        <f>IF($C183="","",IF($L183="","",IF(NOT(ISNUMBER($L183)),$L183,IF(N($K183)&gt;2,"",IF($K183=1,IF(COUNTIFS(nrES_PID,$D183,nrES_Code,$F183,nrES_Att,2,nrES_Raw,"&gt;=0")&gt;0,"",$L183),IF($L183&gt;=$J183,MAX($J183,cfgRetakeRecordedCap),IF(COUNTIFS(nrES_PID,$D183,nrES_Code,$F183,nrES_Att,1)=0,$L183,SUMIFS(nrES_Raw,nrES_PID,$D183,nrES_Code,$F183,nrES_Att,1))))))))</f>
        <v/>
      </c>
      <c r="N183" s="17">
        <f>IF($C183="","",IF($L183="","",IF(NOT(ISNUMBER($L183)),"(not a score)",IF($L183&gt;=$J183,"Yes","No"))))</f>
        <v/>
      </c>
      <c r="O183" s="17">
        <f>IF($C183="","",IF($M183="","",IF(NOT(ISNUMBER($M183)),"(not a score)",IF($M183&gt;=$J183,"Yes","No"))))</f>
        <v/>
      </c>
      <c r="P183" s="17">
        <f>IF($C183="","",IF($K183="","",IF(N($K183)&gt;2,"No",IF(COUNTIFS(nrES_PID,$D183,nrES_Code,$F183,nrES_Att,"&gt;"&amp;$K183,nrES_Att,"&lt;=2",nrES_Raw,"&gt;=0")=0,"Yes","No"))))</f>
        <v/>
      </c>
      <c r="Q183" s="17">
        <f>IF($C183="","",IF($L183="","",IF(AND($K183=1,ISNUMBER($L183),$L183&lt;$J183,COUNTIFS(nrES_PID,$D183,nrES_Code,$F183,nrES_Att,2,nrES_Raw,"&gt;=0")=0),"Yes","No")))</f>
        <v/>
      </c>
      <c r="R183" s="17">
        <f>IF($C183="","",IF($L183="","",IF(AND(N($K183)&gt;=2,ISNUMBER($L183),$L183&lt;$J183),"Yes","No")))</f>
        <v/>
      </c>
      <c r="S183" s="18" t="n"/>
      <c r="T183" s="19">
        <f>IF(OR($C183="",$L183="",$K183&lt;&gt;1,NOT(ISNUMBER($L183)),$L183&gt;=$J183),"",IF($S183="","(enter date)",_xlfn.LET(_xlpm.dn,_xlfn.XLOOKUP($S183,nrCDdate,nrCDnum,"",1),IF(_xlpm.dn="","(after last class day)",_xlfn.LET(_xlpm.dd,_xlfn.XLOOKUP(_xlpm.dn+cfgRetestClassDays,nrCDnum,nrCDdate,""),_xlpm.ok,_xlfn.XLOOKUP(_xlpm.dn+cfgRetestClassDays,nrCDnum,nrCDinsession,"No"),IF(OR(_xlpm.dd="",_xlpm.ok&lt;&gt;"Yes"),"(after last class day)",_xlpm.dd))))))</f>
        <v/>
      </c>
      <c r="U183" s="17">
        <f>IF($C183="","",IF(AND($Y183="Excused",$L183="",N($K183)&lt;=1),"EXCUSED - 1st attempt pending",IF(OR($L183="",$K183&lt;&gt;1,NOT(ISNUMBER($L183)),$L183&gt;=$J183),"",IF(COUNTIFS(nrES_PID,$D183,nrES_Code,$F183,nrES_Att,2,nrES_Raw,"&gt;=0")&gt;0,IF(IFERROR(_xlfn.MINIFS(nrES_Date,nrES_PID,$D183,nrES_Code,$F183,nrES_Att,2,nrES_Raw,"&gt;=0",nrES_Date,"&gt;0"),0)=0,"RETEST UNDATED",IF(NOT(ISNUMBER($T183)),"RETEST DATE UNCHECKED",IF(_xlfn.MINIFS(nrES_Date,nrES_PID,$D183,nrES_Code,$F183,nrES_Att,2,nrES_Raw,"&gt;=0",nrES_Date,"&gt;0")&gt;$T183,"LATE RETEST "&amp;TEXT(_xlfn.MINIFS(nrES_Date,nrES_PID,$D183,nrES_Code,$F183,nrES_Att,2,nrES_Raw,"&gt;=0",nrES_Date,"&gt;0"),"mm/dd")&amp;" (due "&amp;TEXT($T183,"mm/dd")&amp;")","Retested"))),IF(NOT(ISNUMBER($T183)),"CHECK DATE",IF(TODAY()&gt;$T183,"OVERDUE","Due "&amp;TEXT($T183,"mm/dd")))))))</f>
        <v/>
      </c>
      <c r="V183" s="16" t="n"/>
      <c r="W183" s="16" t="n"/>
      <c r="X183" s="17">
        <f>IF($C183="","",IF(AND($L183&lt;&gt;"",NOT(ISNUMBER($L183))),"RAW SCORE NOT A NUMBER",IF(AND(ISNUMBER($L183),OR($L183&lt;0,$L183&gt;100)),"RAW SCORE OUT OF RANGE",IF(AND($Y183="Unexcused",OR($L183="",NOT(ISNUMBER($L183)),$L183&lt;&gt;0)),"UNEXCUSED ABSENCE MUST RECORD 0",IF(COUNTIF(nrES_RecID,$B183)&gt;1,"DUPLICATE RECORD",IF(N($K183)&gt;2,"ATTEMPT 3+ NOT ALLOWED - policy 300.5 permits one retest per exam; this row records nothing",IF(AND($K183=2,COUNTIFS(nrES_PID,$D183,nrES_Code,$F183,nrES_Att,1)=0),"ATTEMPT 2 WITHOUT ATTEMPT 1",IF(AND($K183=2,$L183=""),"RETEST ROW HAS NO SCORE",IF(AND($H183="Final",$L183&lt;&gt;"",IFERROR(INDEX(nrCKfinalExamElig,MATCH($D183,rngCadetPIDs,0)),"")="No"),"FINAL EXAM AFTER FAILED FINAL PT (500.1.H)",IF(AND($K183=2,ISNUMBER($L183),COUNTIFS(nrES_PID,$D183,nrES_Code,$F183,nrES_Att,1)&gt;0,SUMIFS(nrES_Raw,nrES_PID,$D183,nrES_Code,$F183,nrES_Att,1)&gt;=$J183),"RETEST AFTER A PASSING FIRST ATTEMPT","OK"))))))))))</f>
        <v/>
      </c>
      <c r="Y183" s="16" t="n"/>
    </row>
    <row r="184">
      <c r="B184" s="17">
        <f>IF($C184="","",$D184&amp;"-"&amp;$F184&amp;"-"&amp;$K184)</f>
        <v/>
      </c>
      <c r="C184" s="16" t="n"/>
      <c r="D184" s="17">
        <f>IF($C184="","",IFERROR(INDEX(rngCadetPIDs,MATCH($C184,rngCadetNames,0)),"?"))</f>
        <v/>
      </c>
      <c r="E184" s="17">
        <f>IF($D184="","",IFERROR(INDEX(nrCadetAgency,MATCH($D184,rngCadetPIDs,0)),""))</f>
        <v/>
      </c>
      <c r="F184" s="16" t="n"/>
      <c r="G184" s="17">
        <f>IF($F184="","",IFERROR(INDEX(rngEPname,MATCH($F184,rngEPcode,0)),"?"))</f>
        <v/>
      </c>
      <c r="H184" s="17">
        <f>IF($F184="","",IFERROR(INDEX(rngEPtype,MATCH($F184,rngEPcode,0)),"?"))</f>
        <v/>
      </c>
      <c r="I184" s="17">
        <f>IF($F184="","",IFERROR(INDEX(rngEPseq,MATCH($F184,rngEPcode,0)),""))</f>
        <v/>
      </c>
      <c r="J184" s="17">
        <f>IF($F184="","",IFERROR(INDEX(rngEPpass,MATCH($F184,rngEPcode,0)),cfgPassingScore))</f>
        <v/>
      </c>
      <c r="K184" s="16" t="n"/>
      <c r="L184" s="16" t="n"/>
      <c r="M184" s="17">
        <f>IF($C184="","",IF($L184="","",IF(NOT(ISNUMBER($L184)),$L184,IF(N($K184)&gt;2,"",IF($K184=1,IF(COUNTIFS(nrES_PID,$D184,nrES_Code,$F184,nrES_Att,2,nrES_Raw,"&gt;=0")&gt;0,"",$L184),IF($L184&gt;=$J184,MAX($J184,cfgRetakeRecordedCap),IF(COUNTIFS(nrES_PID,$D184,nrES_Code,$F184,nrES_Att,1)=0,$L184,SUMIFS(nrES_Raw,nrES_PID,$D184,nrES_Code,$F184,nrES_Att,1))))))))</f>
        <v/>
      </c>
      <c r="N184" s="17">
        <f>IF($C184="","",IF($L184="","",IF(NOT(ISNUMBER($L184)),"(not a score)",IF($L184&gt;=$J184,"Yes","No"))))</f>
        <v/>
      </c>
      <c r="O184" s="17">
        <f>IF($C184="","",IF($M184="","",IF(NOT(ISNUMBER($M184)),"(not a score)",IF($M184&gt;=$J184,"Yes","No"))))</f>
        <v/>
      </c>
      <c r="P184" s="17">
        <f>IF($C184="","",IF($K184="","",IF(N($K184)&gt;2,"No",IF(COUNTIFS(nrES_PID,$D184,nrES_Code,$F184,nrES_Att,"&gt;"&amp;$K184,nrES_Att,"&lt;=2",nrES_Raw,"&gt;=0")=0,"Yes","No"))))</f>
        <v/>
      </c>
      <c r="Q184" s="17">
        <f>IF($C184="","",IF($L184="","",IF(AND($K184=1,ISNUMBER($L184),$L184&lt;$J184,COUNTIFS(nrES_PID,$D184,nrES_Code,$F184,nrES_Att,2,nrES_Raw,"&gt;=0")=0),"Yes","No")))</f>
        <v/>
      </c>
      <c r="R184" s="17">
        <f>IF($C184="","",IF($L184="","",IF(AND(N($K184)&gt;=2,ISNUMBER($L184),$L184&lt;$J184),"Yes","No")))</f>
        <v/>
      </c>
      <c r="S184" s="18" t="n"/>
      <c r="T184" s="19">
        <f>IF(OR($C184="",$L184="",$K184&lt;&gt;1,NOT(ISNUMBER($L184)),$L184&gt;=$J184),"",IF($S184="","(enter date)",_xlfn.LET(_xlpm.dn,_xlfn.XLOOKUP($S184,nrCDdate,nrCDnum,"",1),IF(_xlpm.dn="","(after last class day)",_xlfn.LET(_xlpm.dd,_xlfn.XLOOKUP(_xlpm.dn+cfgRetestClassDays,nrCDnum,nrCDdate,""),_xlpm.ok,_xlfn.XLOOKUP(_xlpm.dn+cfgRetestClassDays,nrCDnum,nrCDinsession,"No"),IF(OR(_xlpm.dd="",_xlpm.ok&lt;&gt;"Yes"),"(after last class day)",_xlpm.dd))))))</f>
        <v/>
      </c>
      <c r="U184" s="17">
        <f>IF($C184="","",IF(AND($Y184="Excused",$L184="",N($K184)&lt;=1),"EXCUSED - 1st attempt pending",IF(OR($L184="",$K184&lt;&gt;1,NOT(ISNUMBER($L184)),$L184&gt;=$J184),"",IF(COUNTIFS(nrES_PID,$D184,nrES_Code,$F184,nrES_Att,2,nrES_Raw,"&gt;=0")&gt;0,IF(IFERROR(_xlfn.MINIFS(nrES_Date,nrES_PID,$D184,nrES_Code,$F184,nrES_Att,2,nrES_Raw,"&gt;=0",nrES_Date,"&gt;0"),0)=0,"RETEST UNDATED",IF(NOT(ISNUMBER($T184)),"RETEST DATE UNCHECKED",IF(_xlfn.MINIFS(nrES_Date,nrES_PID,$D184,nrES_Code,$F184,nrES_Att,2,nrES_Raw,"&gt;=0",nrES_Date,"&gt;0")&gt;$T184,"LATE RETEST "&amp;TEXT(_xlfn.MINIFS(nrES_Date,nrES_PID,$D184,nrES_Code,$F184,nrES_Att,2,nrES_Raw,"&gt;=0",nrES_Date,"&gt;0"),"mm/dd")&amp;" (due "&amp;TEXT($T184,"mm/dd")&amp;")","Retested"))),IF(NOT(ISNUMBER($T184)),"CHECK DATE",IF(TODAY()&gt;$T184,"OVERDUE","Due "&amp;TEXT($T184,"mm/dd")))))))</f>
        <v/>
      </c>
      <c r="V184" s="16" t="n"/>
      <c r="W184" s="16" t="n"/>
      <c r="X184" s="17">
        <f>IF($C184="","",IF(AND($L184&lt;&gt;"",NOT(ISNUMBER($L184))),"RAW SCORE NOT A NUMBER",IF(AND(ISNUMBER($L184),OR($L184&lt;0,$L184&gt;100)),"RAW SCORE OUT OF RANGE",IF(AND($Y184="Unexcused",OR($L184="",NOT(ISNUMBER($L184)),$L184&lt;&gt;0)),"UNEXCUSED ABSENCE MUST RECORD 0",IF(COUNTIF(nrES_RecID,$B184)&gt;1,"DUPLICATE RECORD",IF(N($K184)&gt;2,"ATTEMPT 3+ NOT ALLOWED - policy 300.5 permits one retest per exam; this row records nothing",IF(AND($K184=2,COUNTIFS(nrES_PID,$D184,nrES_Code,$F184,nrES_Att,1)=0),"ATTEMPT 2 WITHOUT ATTEMPT 1",IF(AND($K184=2,$L184=""),"RETEST ROW HAS NO SCORE",IF(AND($H184="Final",$L184&lt;&gt;"",IFERROR(INDEX(nrCKfinalExamElig,MATCH($D184,rngCadetPIDs,0)),"")="No"),"FINAL EXAM AFTER FAILED FINAL PT (500.1.H)",IF(AND($K184=2,ISNUMBER($L184),COUNTIFS(nrES_PID,$D184,nrES_Code,$F184,nrES_Att,1)&gt;0,SUMIFS(nrES_Raw,nrES_PID,$D184,nrES_Code,$F184,nrES_Att,1)&gt;=$J184),"RETEST AFTER A PASSING FIRST ATTEMPT","OK"))))))))))</f>
        <v/>
      </c>
      <c r="Y184" s="16" t="n"/>
    </row>
    <row r="185">
      <c r="B185" s="17">
        <f>IF($C185="","",$D185&amp;"-"&amp;$F185&amp;"-"&amp;$K185)</f>
        <v/>
      </c>
      <c r="C185" s="16" t="n"/>
      <c r="D185" s="17">
        <f>IF($C185="","",IFERROR(INDEX(rngCadetPIDs,MATCH($C185,rngCadetNames,0)),"?"))</f>
        <v/>
      </c>
      <c r="E185" s="17">
        <f>IF($D185="","",IFERROR(INDEX(nrCadetAgency,MATCH($D185,rngCadetPIDs,0)),""))</f>
        <v/>
      </c>
      <c r="F185" s="16" t="n"/>
      <c r="G185" s="17">
        <f>IF($F185="","",IFERROR(INDEX(rngEPname,MATCH($F185,rngEPcode,0)),"?"))</f>
        <v/>
      </c>
      <c r="H185" s="17">
        <f>IF($F185="","",IFERROR(INDEX(rngEPtype,MATCH($F185,rngEPcode,0)),"?"))</f>
        <v/>
      </c>
      <c r="I185" s="17">
        <f>IF($F185="","",IFERROR(INDEX(rngEPseq,MATCH($F185,rngEPcode,0)),""))</f>
        <v/>
      </c>
      <c r="J185" s="17">
        <f>IF($F185="","",IFERROR(INDEX(rngEPpass,MATCH($F185,rngEPcode,0)),cfgPassingScore))</f>
        <v/>
      </c>
      <c r="K185" s="16" t="n"/>
      <c r="L185" s="16" t="n"/>
      <c r="M185" s="17">
        <f>IF($C185="","",IF($L185="","",IF(NOT(ISNUMBER($L185)),$L185,IF(N($K185)&gt;2,"",IF($K185=1,IF(COUNTIFS(nrES_PID,$D185,nrES_Code,$F185,nrES_Att,2,nrES_Raw,"&gt;=0")&gt;0,"",$L185),IF($L185&gt;=$J185,MAX($J185,cfgRetakeRecordedCap),IF(COUNTIFS(nrES_PID,$D185,nrES_Code,$F185,nrES_Att,1)=0,$L185,SUMIFS(nrES_Raw,nrES_PID,$D185,nrES_Code,$F185,nrES_Att,1))))))))</f>
        <v/>
      </c>
      <c r="N185" s="17">
        <f>IF($C185="","",IF($L185="","",IF(NOT(ISNUMBER($L185)),"(not a score)",IF($L185&gt;=$J185,"Yes","No"))))</f>
        <v/>
      </c>
      <c r="O185" s="17">
        <f>IF($C185="","",IF($M185="","",IF(NOT(ISNUMBER($M185)),"(not a score)",IF($M185&gt;=$J185,"Yes","No"))))</f>
        <v/>
      </c>
      <c r="P185" s="17">
        <f>IF($C185="","",IF($K185="","",IF(N($K185)&gt;2,"No",IF(COUNTIFS(nrES_PID,$D185,nrES_Code,$F185,nrES_Att,"&gt;"&amp;$K185,nrES_Att,"&lt;=2",nrES_Raw,"&gt;=0")=0,"Yes","No"))))</f>
        <v/>
      </c>
      <c r="Q185" s="17">
        <f>IF($C185="","",IF($L185="","",IF(AND($K185=1,ISNUMBER($L185),$L185&lt;$J185,COUNTIFS(nrES_PID,$D185,nrES_Code,$F185,nrES_Att,2,nrES_Raw,"&gt;=0")=0),"Yes","No")))</f>
        <v/>
      </c>
      <c r="R185" s="17">
        <f>IF($C185="","",IF($L185="","",IF(AND(N($K185)&gt;=2,ISNUMBER($L185),$L185&lt;$J185),"Yes","No")))</f>
        <v/>
      </c>
      <c r="S185" s="18" t="n"/>
      <c r="T185" s="19">
        <f>IF(OR($C185="",$L185="",$K185&lt;&gt;1,NOT(ISNUMBER($L185)),$L185&gt;=$J185),"",IF($S185="","(enter date)",_xlfn.LET(_xlpm.dn,_xlfn.XLOOKUP($S185,nrCDdate,nrCDnum,"",1),IF(_xlpm.dn="","(after last class day)",_xlfn.LET(_xlpm.dd,_xlfn.XLOOKUP(_xlpm.dn+cfgRetestClassDays,nrCDnum,nrCDdate,""),_xlpm.ok,_xlfn.XLOOKUP(_xlpm.dn+cfgRetestClassDays,nrCDnum,nrCDinsession,"No"),IF(OR(_xlpm.dd="",_xlpm.ok&lt;&gt;"Yes"),"(after last class day)",_xlpm.dd))))))</f>
        <v/>
      </c>
      <c r="U185" s="17">
        <f>IF($C185="","",IF(AND($Y185="Excused",$L185="",N($K185)&lt;=1),"EXCUSED - 1st attempt pending",IF(OR($L185="",$K185&lt;&gt;1,NOT(ISNUMBER($L185)),$L185&gt;=$J185),"",IF(COUNTIFS(nrES_PID,$D185,nrES_Code,$F185,nrES_Att,2,nrES_Raw,"&gt;=0")&gt;0,IF(IFERROR(_xlfn.MINIFS(nrES_Date,nrES_PID,$D185,nrES_Code,$F185,nrES_Att,2,nrES_Raw,"&gt;=0",nrES_Date,"&gt;0"),0)=0,"RETEST UNDATED",IF(NOT(ISNUMBER($T185)),"RETEST DATE UNCHECKED",IF(_xlfn.MINIFS(nrES_Date,nrES_PID,$D185,nrES_Code,$F185,nrES_Att,2,nrES_Raw,"&gt;=0",nrES_Date,"&gt;0")&gt;$T185,"LATE RETEST "&amp;TEXT(_xlfn.MINIFS(nrES_Date,nrES_PID,$D185,nrES_Code,$F185,nrES_Att,2,nrES_Raw,"&gt;=0",nrES_Date,"&gt;0"),"mm/dd")&amp;" (due "&amp;TEXT($T185,"mm/dd")&amp;")","Retested"))),IF(NOT(ISNUMBER($T185)),"CHECK DATE",IF(TODAY()&gt;$T185,"OVERDUE","Due "&amp;TEXT($T185,"mm/dd")))))))</f>
        <v/>
      </c>
      <c r="V185" s="16" t="n"/>
      <c r="W185" s="16" t="n"/>
      <c r="X185" s="17">
        <f>IF($C185="","",IF(AND($L185&lt;&gt;"",NOT(ISNUMBER($L185))),"RAW SCORE NOT A NUMBER",IF(AND(ISNUMBER($L185),OR($L185&lt;0,$L185&gt;100)),"RAW SCORE OUT OF RANGE",IF(AND($Y185="Unexcused",OR($L185="",NOT(ISNUMBER($L185)),$L185&lt;&gt;0)),"UNEXCUSED ABSENCE MUST RECORD 0",IF(COUNTIF(nrES_RecID,$B185)&gt;1,"DUPLICATE RECORD",IF(N($K185)&gt;2,"ATTEMPT 3+ NOT ALLOWED - policy 300.5 permits one retest per exam; this row records nothing",IF(AND($K185=2,COUNTIFS(nrES_PID,$D185,nrES_Code,$F185,nrES_Att,1)=0),"ATTEMPT 2 WITHOUT ATTEMPT 1",IF(AND($K185=2,$L185=""),"RETEST ROW HAS NO SCORE",IF(AND($H185="Final",$L185&lt;&gt;"",IFERROR(INDEX(nrCKfinalExamElig,MATCH($D185,rngCadetPIDs,0)),"")="No"),"FINAL EXAM AFTER FAILED FINAL PT (500.1.H)",IF(AND($K185=2,ISNUMBER($L185),COUNTIFS(nrES_PID,$D185,nrES_Code,$F185,nrES_Att,1)&gt;0,SUMIFS(nrES_Raw,nrES_PID,$D185,nrES_Code,$F185,nrES_Att,1)&gt;=$J185),"RETEST AFTER A PASSING FIRST ATTEMPT","OK"))))))))))</f>
        <v/>
      </c>
      <c r="Y185" s="16" t="n"/>
    </row>
    <row r="186">
      <c r="B186" s="17">
        <f>IF($C186="","",$D186&amp;"-"&amp;$F186&amp;"-"&amp;$K186)</f>
        <v/>
      </c>
      <c r="C186" s="16" t="n"/>
      <c r="D186" s="17">
        <f>IF($C186="","",IFERROR(INDEX(rngCadetPIDs,MATCH($C186,rngCadetNames,0)),"?"))</f>
        <v/>
      </c>
      <c r="E186" s="17">
        <f>IF($D186="","",IFERROR(INDEX(nrCadetAgency,MATCH($D186,rngCadetPIDs,0)),""))</f>
        <v/>
      </c>
      <c r="F186" s="16" t="n"/>
      <c r="G186" s="17">
        <f>IF($F186="","",IFERROR(INDEX(rngEPname,MATCH($F186,rngEPcode,0)),"?"))</f>
        <v/>
      </c>
      <c r="H186" s="17">
        <f>IF($F186="","",IFERROR(INDEX(rngEPtype,MATCH($F186,rngEPcode,0)),"?"))</f>
        <v/>
      </c>
      <c r="I186" s="17">
        <f>IF($F186="","",IFERROR(INDEX(rngEPseq,MATCH($F186,rngEPcode,0)),""))</f>
        <v/>
      </c>
      <c r="J186" s="17">
        <f>IF($F186="","",IFERROR(INDEX(rngEPpass,MATCH($F186,rngEPcode,0)),cfgPassingScore))</f>
        <v/>
      </c>
      <c r="K186" s="16" t="n"/>
      <c r="L186" s="16" t="n"/>
      <c r="M186" s="17">
        <f>IF($C186="","",IF($L186="","",IF(NOT(ISNUMBER($L186)),$L186,IF(N($K186)&gt;2,"",IF($K186=1,IF(COUNTIFS(nrES_PID,$D186,nrES_Code,$F186,nrES_Att,2,nrES_Raw,"&gt;=0")&gt;0,"",$L186),IF($L186&gt;=$J186,MAX($J186,cfgRetakeRecordedCap),IF(COUNTIFS(nrES_PID,$D186,nrES_Code,$F186,nrES_Att,1)=0,$L186,SUMIFS(nrES_Raw,nrES_PID,$D186,nrES_Code,$F186,nrES_Att,1))))))))</f>
        <v/>
      </c>
      <c r="N186" s="17">
        <f>IF($C186="","",IF($L186="","",IF(NOT(ISNUMBER($L186)),"(not a score)",IF($L186&gt;=$J186,"Yes","No"))))</f>
        <v/>
      </c>
      <c r="O186" s="17">
        <f>IF($C186="","",IF($M186="","",IF(NOT(ISNUMBER($M186)),"(not a score)",IF($M186&gt;=$J186,"Yes","No"))))</f>
        <v/>
      </c>
      <c r="P186" s="17">
        <f>IF($C186="","",IF($K186="","",IF(N($K186)&gt;2,"No",IF(COUNTIFS(nrES_PID,$D186,nrES_Code,$F186,nrES_Att,"&gt;"&amp;$K186,nrES_Att,"&lt;=2",nrES_Raw,"&gt;=0")=0,"Yes","No"))))</f>
        <v/>
      </c>
      <c r="Q186" s="17">
        <f>IF($C186="","",IF($L186="","",IF(AND($K186=1,ISNUMBER($L186),$L186&lt;$J186,COUNTIFS(nrES_PID,$D186,nrES_Code,$F186,nrES_Att,2,nrES_Raw,"&gt;=0")=0),"Yes","No")))</f>
        <v/>
      </c>
      <c r="R186" s="17">
        <f>IF($C186="","",IF($L186="","",IF(AND(N($K186)&gt;=2,ISNUMBER($L186),$L186&lt;$J186),"Yes","No")))</f>
        <v/>
      </c>
      <c r="S186" s="18" t="n"/>
      <c r="T186" s="19">
        <f>IF(OR($C186="",$L186="",$K186&lt;&gt;1,NOT(ISNUMBER($L186)),$L186&gt;=$J186),"",IF($S186="","(enter date)",_xlfn.LET(_xlpm.dn,_xlfn.XLOOKUP($S186,nrCDdate,nrCDnum,"",1),IF(_xlpm.dn="","(after last class day)",_xlfn.LET(_xlpm.dd,_xlfn.XLOOKUP(_xlpm.dn+cfgRetestClassDays,nrCDnum,nrCDdate,""),_xlpm.ok,_xlfn.XLOOKUP(_xlpm.dn+cfgRetestClassDays,nrCDnum,nrCDinsession,"No"),IF(OR(_xlpm.dd="",_xlpm.ok&lt;&gt;"Yes"),"(after last class day)",_xlpm.dd))))))</f>
        <v/>
      </c>
      <c r="U186" s="17">
        <f>IF($C186="","",IF(AND($Y186="Excused",$L186="",N($K186)&lt;=1),"EXCUSED - 1st attempt pending",IF(OR($L186="",$K186&lt;&gt;1,NOT(ISNUMBER($L186)),$L186&gt;=$J186),"",IF(COUNTIFS(nrES_PID,$D186,nrES_Code,$F186,nrES_Att,2,nrES_Raw,"&gt;=0")&gt;0,IF(IFERROR(_xlfn.MINIFS(nrES_Date,nrES_PID,$D186,nrES_Code,$F186,nrES_Att,2,nrES_Raw,"&gt;=0",nrES_Date,"&gt;0"),0)=0,"RETEST UNDATED",IF(NOT(ISNUMBER($T186)),"RETEST DATE UNCHECKED",IF(_xlfn.MINIFS(nrES_Date,nrES_PID,$D186,nrES_Code,$F186,nrES_Att,2,nrES_Raw,"&gt;=0",nrES_Date,"&gt;0")&gt;$T186,"LATE RETEST "&amp;TEXT(_xlfn.MINIFS(nrES_Date,nrES_PID,$D186,nrES_Code,$F186,nrES_Att,2,nrES_Raw,"&gt;=0",nrES_Date,"&gt;0"),"mm/dd")&amp;" (due "&amp;TEXT($T186,"mm/dd")&amp;")","Retested"))),IF(NOT(ISNUMBER($T186)),"CHECK DATE",IF(TODAY()&gt;$T186,"OVERDUE","Due "&amp;TEXT($T186,"mm/dd")))))))</f>
        <v/>
      </c>
      <c r="V186" s="16" t="n"/>
      <c r="W186" s="16" t="n"/>
      <c r="X186" s="17">
        <f>IF($C186="","",IF(AND($L186&lt;&gt;"",NOT(ISNUMBER($L186))),"RAW SCORE NOT A NUMBER",IF(AND(ISNUMBER($L186),OR($L186&lt;0,$L186&gt;100)),"RAW SCORE OUT OF RANGE",IF(AND($Y186="Unexcused",OR($L186="",NOT(ISNUMBER($L186)),$L186&lt;&gt;0)),"UNEXCUSED ABSENCE MUST RECORD 0",IF(COUNTIF(nrES_RecID,$B186)&gt;1,"DUPLICATE RECORD",IF(N($K186)&gt;2,"ATTEMPT 3+ NOT ALLOWED - policy 300.5 permits one retest per exam; this row records nothing",IF(AND($K186=2,COUNTIFS(nrES_PID,$D186,nrES_Code,$F186,nrES_Att,1)=0),"ATTEMPT 2 WITHOUT ATTEMPT 1",IF(AND($K186=2,$L186=""),"RETEST ROW HAS NO SCORE",IF(AND($H186="Final",$L186&lt;&gt;"",IFERROR(INDEX(nrCKfinalExamElig,MATCH($D186,rngCadetPIDs,0)),"")="No"),"FINAL EXAM AFTER FAILED FINAL PT (500.1.H)",IF(AND($K186=2,ISNUMBER($L186),COUNTIFS(nrES_PID,$D186,nrES_Code,$F186,nrES_Att,1)&gt;0,SUMIFS(nrES_Raw,nrES_PID,$D186,nrES_Code,$F186,nrES_Att,1)&gt;=$J186),"RETEST AFTER A PASSING FIRST ATTEMPT","OK"))))))))))</f>
        <v/>
      </c>
      <c r="Y186" s="16" t="n"/>
    </row>
    <row r="187">
      <c r="B187" s="17">
        <f>IF($C187="","",$D187&amp;"-"&amp;$F187&amp;"-"&amp;$K187)</f>
        <v/>
      </c>
      <c r="C187" s="16" t="n"/>
      <c r="D187" s="17">
        <f>IF($C187="","",IFERROR(INDEX(rngCadetPIDs,MATCH($C187,rngCadetNames,0)),"?"))</f>
        <v/>
      </c>
      <c r="E187" s="17">
        <f>IF($D187="","",IFERROR(INDEX(nrCadetAgency,MATCH($D187,rngCadetPIDs,0)),""))</f>
        <v/>
      </c>
      <c r="F187" s="16" t="n"/>
      <c r="G187" s="17">
        <f>IF($F187="","",IFERROR(INDEX(rngEPname,MATCH($F187,rngEPcode,0)),"?"))</f>
        <v/>
      </c>
      <c r="H187" s="17">
        <f>IF($F187="","",IFERROR(INDEX(rngEPtype,MATCH($F187,rngEPcode,0)),"?"))</f>
        <v/>
      </c>
      <c r="I187" s="17">
        <f>IF($F187="","",IFERROR(INDEX(rngEPseq,MATCH($F187,rngEPcode,0)),""))</f>
        <v/>
      </c>
      <c r="J187" s="17">
        <f>IF($F187="","",IFERROR(INDEX(rngEPpass,MATCH($F187,rngEPcode,0)),cfgPassingScore))</f>
        <v/>
      </c>
      <c r="K187" s="16" t="n"/>
      <c r="L187" s="16" t="n"/>
      <c r="M187" s="17">
        <f>IF($C187="","",IF($L187="","",IF(NOT(ISNUMBER($L187)),$L187,IF(N($K187)&gt;2,"",IF($K187=1,IF(COUNTIFS(nrES_PID,$D187,nrES_Code,$F187,nrES_Att,2,nrES_Raw,"&gt;=0")&gt;0,"",$L187),IF($L187&gt;=$J187,MAX($J187,cfgRetakeRecordedCap),IF(COUNTIFS(nrES_PID,$D187,nrES_Code,$F187,nrES_Att,1)=0,$L187,SUMIFS(nrES_Raw,nrES_PID,$D187,nrES_Code,$F187,nrES_Att,1))))))))</f>
        <v/>
      </c>
      <c r="N187" s="17">
        <f>IF($C187="","",IF($L187="","",IF(NOT(ISNUMBER($L187)),"(not a score)",IF($L187&gt;=$J187,"Yes","No"))))</f>
        <v/>
      </c>
      <c r="O187" s="17">
        <f>IF($C187="","",IF($M187="","",IF(NOT(ISNUMBER($M187)),"(not a score)",IF($M187&gt;=$J187,"Yes","No"))))</f>
        <v/>
      </c>
      <c r="P187" s="17">
        <f>IF($C187="","",IF($K187="","",IF(N($K187)&gt;2,"No",IF(COUNTIFS(nrES_PID,$D187,nrES_Code,$F187,nrES_Att,"&gt;"&amp;$K187,nrES_Att,"&lt;=2",nrES_Raw,"&gt;=0")=0,"Yes","No"))))</f>
        <v/>
      </c>
      <c r="Q187" s="17">
        <f>IF($C187="","",IF($L187="","",IF(AND($K187=1,ISNUMBER($L187),$L187&lt;$J187,COUNTIFS(nrES_PID,$D187,nrES_Code,$F187,nrES_Att,2,nrES_Raw,"&gt;=0")=0),"Yes","No")))</f>
        <v/>
      </c>
      <c r="R187" s="17">
        <f>IF($C187="","",IF($L187="","",IF(AND(N($K187)&gt;=2,ISNUMBER($L187),$L187&lt;$J187),"Yes","No")))</f>
        <v/>
      </c>
      <c r="S187" s="18" t="n"/>
      <c r="T187" s="19">
        <f>IF(OR($C187="",$L187="",$K187&lt;&gt;1,NOT(ISNUMBER($L187)),$L187&gt;=$J187),"",IF($S187="","(enter date)",_xlfn.LET(_xlpm.dn,_xlfn.XLOOKUP($S187,nrCDdate,nrCDnum,"",1),IF(_xlpm.dn="","(after last class day)",_xlfn.LET(_xlpm.dd,_xlfn.XLOOKUP(_xlpm.dn+cfgRetestClassDays,nrCDnum,nrCDdate,""),_xlpm.ok,_xlfn.XLOOKUP(_xlpm.dn+cfgRetestClassDays,nrCDnum,nrCDinsession,"No"),IF(OR(_xlpm.dd="",_xlpm.ok&lt;&gt;"Yes"),"(after last class day)",_xlpm.dd))))))</f>
        <v/>
      </c>
      <c r="U187" s="17">
        <f>IF($C187="","",IF(AND($Y187="Excused",$L187="",N($K187)&lt;=1),"EXCUSED - 1st attempt pending",IF(OR($L187="",$K187&lt;&gt;1,NOT(ISNUMBER($L187)),$L187&gt;=$J187),"",IF(COUNTIFS(nrES_PID,$D187,nrES_Code,$F187,nrES_Att,2,nrES_Raw,"&gt;=0")&gt;0,IF(IFERROR(_xlfn.MINIFS(nrES_Date,nrES_PID,$D187,nrES_Code,$F187,nrES_Att,2,nrES_Raw,"&gt;=0",nrES_Date,"&gt;0"),0)=0,"RETEST UNDATED",IF(NOT(ISNUMBER($T187)),"RETEST DATE UNCHECKED",IF(_xlfn.MINIFS(nrES_Date,nrES_PID,$D187,nrES_Code,$F187,nrES_Att,2,nrES_Raw,"&gt;=0",nrES_Date,"&gt;0")&gt;$T187,"LATE RETEST "&amp;TEXT(_xlfn.MINIFS(nrES_Date,nrES_PID,$D187,nrES_Code,$F187,nrES_Att,2,nrES_Raw,"&gt;=0",nrES_Date,"&gt;0"),"mm/dd")&amp;" (due "&amp;TEXT($T187,"mm/dd")&amp;")","Retested"))),IF(NOT(ISNUMBER($T187)),"CHECK DATE",IF(TODAY()&gt;$T187,"OVERDUE","Due "&amp;TEXT($T187,"mm/dd")))))))</f>
        <v/>
      </c>
      <c r="V187" s="16" t="n"/>
      <c r="W187" s="16" t="n"/>
      <c r="X187" s="17">
        <f>IF($C187="","",IF(AND($L187&lt;&gt;"",NOT(ISNUMBER($L187))),"RAW SCORE NOT A NUMBER",IF(AND(ISNUMBER($L187),OR($L187&lt;0,$L187&gt;100)),"RAW SCORE OUT OF RANGE",IF(AND($Y187="Unexcused",OR($L187="",NOT(ISNUMBER($L187)),$L187&lt;&gt;0)),"UNEXCUSED ABSENCE MUST RECORD 0",IF(COUNTIF(nrES_RecID,$B187)&gt;1,"DUPLICATE RECORD",IF(N($K187)&gt;2,"ATTEMPT 3+ NOT ALLOWED - policy 300.5 permits one retest per exam; this row records nothing",IF(AND($K187=2,COUNTIFS(nrES_PID,$D187,nrES_Code,$F187,nrES_Att,1)=0),"ATTEMPT 2 WITHOUT ATTEMPT 1",IF(AND($K187=2,$L187=""),"RETEST ROW HAS NO SCORE",IF(AND($H187="Final",$L187&lt;&gt;"",IFERROR(INDEX(nrCKfinalExamElig,MATCH($D187,rngCadetPIDs,0)),"")="No"),"FINAL EXAM AFTER FAILED FINAL PT (500.1.H)",IF(AND($K187=2,ISNUMBER($L187),COUNTIFS(nrES_PID,$D187,nrES_Code,$F187,nrES_Att,1)&gt;0,SUMIFS(nrES_Raw,nrES_PID,$D187,nrES_Code,$F187,nrES_Att,1)&gt;=$J187),"RETEST AFTER A PASSING FIRST ATTEMPT","OK"))))))))))</f>
        <v/>
      </c>
      <c r="Y187" s="16" t="n"/>
    </row>
    <row r="188">
      <c r="B188" s="17">
        <f>IF($C188="","",$D188&amp;"-"&amp;$F188&amp;"-"&amp;$K188)</f>
        <v/>
      </c>
      <c r="C188" s="16" t="n"/>
      <c r="D188" s="17">
        <f>IF($C188="","",IFERROR(INDEX(rngCadetPIDs,MATCH($C188,rngCadetNames,0)),"?"))</f>
        <v/>
      </c>
      <c r="E188" s="17">
        <f>IF($D188="","",IFERROR(INDEX(nrCadetAgency,MATCH($D188,rngCadetPIDs,0)),""))</f>
        <v/>
      </c>
      <c r="F188" s="16" t="n"/>
      <c r="G188" s="17">
        <f>IF($F188="","",IFERROR(INDEX(rngEPname,MATCH($F188,rngEPcode,0)),"?"))</f>
        <v/>
      </c>
      <c r="H188" s="17">
        <f>IF($F188="","",IFERROR(INDEX(rngEPtype,MATCH($F188,rngEPcode,0)),"?"))</f>
        <v/>
      </c>
      <c r="I188" s="17">
        <f>IF($F188="","",IFERROR(INDEX(rngEPseq,MATCH($F188,rngEPcode,0)),""))</f>
        <v/>
      </c>
      <c r="J188" s="17">
        <f>IF($F188="","",IFERROR(INDEX(rngEPpass,MATCH($F188,rngEPcode,0)),cfgPassingScore))</f>
        <v/>
      </c>
      <c r="K188" s="16" t="n"/>
      <c r="L188" s="16" t="n"/>
      <c r="M188" s="17">
        <f>IF($C188="","",IF($L188="","",IF(NOT(ISNUMBER($L188)),$L188,IF(N($K188)&gt;2,"",IF($K188=1,IF(COUNTIFS(nrES_PID,$D188,nrES_Code,$F188,nrES_Att,2,nrES_Raw,"&gt;=0")&gt;0,"",$L188),IF($L188&gt;=$J188,MAX($J188,cfgRetakeRecordedCap),IF(COUNTIFS(nrES_PID,$D188,nrES_Code,$F188,nrES_Att,1)=0,$L188,SUMIFS(nrES_Raw,nrES_PID,$D188,nrES_Code,$F188,nrES_Att,1))))))))</f>
        <v/>
      </c>
      <c r="N188" s="17">
        <f>IF($C188="","",IF($L188="","",IF(NOT(ISNUMBER($L188)),"(not a score)",IF($L188&gt;=$J188,"Yes","No"))))</f>
        <v/>
      </c>
      <c r="O188" s="17">
        <f>IF($C188="","",IF($M188="","",IF(NOT(ISNUMBER($M188)),"(not a score)",IF($M188&gt;=$J188,"Yes","No"))))</f>
        <v/>
      </c>
      <c r="P188" s="17">
        <f>IF($C188="","",IF($K188="","",IF(N($K188)&gt;2,"No",IF(COUNTIFS(nrES_PID,$D188,nrES_Code,$F188,nrES_Att,"&gt;"&amp;$K188,nrES_Att,"&lt;=2",nrES_Raw,"&gt;=0")=0,"Yes","No"))))</f>
        <v/>
      </c>
      <c r="Q188" s="17">
        <f>IF($C188="","",IF($L188="","",IF(AND($K188=1,ISNUMBER($L188),$L188&lt;$J188,COUNTIFS(nrES_PID,$D188,nrES_Code,$F188,nrES_Att,2,nrES_Raw,"&gt;=0")=0),"Yes","No")))</f>
        <v/>
      </c>
      <c r="R188" s="17">
        <f>IF($C188="","",IF($L188="","",IF(AND(N($K188)&gt;=2,ISNUMBER($L188),$L188&lt;$J188),"Yes","No")))</f>
        <v/>
      </c>
      <c r="S188" s="18" t="n"/>
      <c r="T188" s="19">
        <f>IF(OR($C188="",$L188="",$K188&lt;&gt;1,NOT(ISNUMBER($L188)),$L188&gt;=$J188),"",IF($S188="","(enter date)",_xlfn.LET(_xlpm.dn,_xlfn.XLOOKUP($S188,nrCDdate,nrCDnum,"",1),IF(_xlpm.dn="","(after last class day)",_xlfn.LET(_xlpm.dd,_xlfn.XLOOKUP(_xlpm.dn+cfgRetestClassDays,nrCDnum,nrCDdate,""),_xlpm.ok,_xlfn.XLOOKUP(_xlpm.dn+cfgRetestClassDays,nrCDnum,nrCDinsession,"No"),IF(OR(_xlpm.dd="",_xlpm.ok&lt;&gt;"Yes"),"(after last class day)",_xlpm.dd))))))</f>
        <v/>
      </c>
      <c r="U188" s="17">
        <f>IF($C188="","",IF(AND($Y188="Excused",$L188="",N($K188)&lt;=1),"EXCUSED - 1st attempt pending",IF(OR($L188="",$K188&lt;&gt;1,NOT(ISNUMBER($L188)),$L188&gt;=$J188),"",IF(COUNTIFS(nrES_PID,$D188,nrES_Code,$F188,nrES_Att,2,nrES_Raw,"&gt;=0")&gt;0,IF(IFERROR(_xlfn.MINIFS(nrES_Date,nrES_PID,$D188,nrES_Code,$F188,nrES_Att,2,nrES_Raw,"&gt;=0",nrES_Date,"&gt;0"),0)=0,"RETEST UNDATED",IF(NOT(ISNUMBER($T188)),"RETEST DATE UNCHECKED",IF(_xlfn.MINIFS(nrES_Date,nrES_PID,$D188,nrES_Code,$F188,nrES_Att,2,nrES_Raw,"&gt;=0",nrES_Date,"&gt;0")&gt;$T188,"LATE RETEST "&amp;TEXT(_xlfn.MINIFS(nrES_Date,nrES_PID,$D188,nrES_Code,$F188,nrES_Att,2,nrES_Raw,"&gt;=0",nrES_Date,"&gt;0"),"mm/dd")&amp;" (due "&amp;TEXT($T188,"mm/dd")&amp;")","Retested"))),IF(NOT(ISNUMBER($T188)),"CHECK DATE",IF(TODAY()&gt;$T188,"OVERDUE","Due "&amp;TEXT($T188,"mm/dd")))))))</f>
        <v/>
      </c>
      <c r="V188" s="16" t="n"/>
      <c r="W188" s="16" t="n"/>
      <c r="X188" s="17">
        <f>IF($C188="","",IF(AND($L188&lt;&gt;"",NOT(ISNUMBER($L188))),"RAW SCORE NOT A NUMBER",IF(AND(ISNUMBER($L188),OR($L188&lt;0,$L188&gt;100)),"RAW SCORE OUT OF RANGE",IF(AND($Y188="Unexcused",OR($L188="",NOT(ISNUMBER($L188)),$L188&lt;&gt;0)),"UNEXCUSED ABSENCE MUST RECORD 0",IF(COUNTIF(nrES_RecID,$B188)&gt;1,"DUPLICATE RECORD",IF(N($K188)&gt;2,"ATTEMPT 3+ NOT ALLOWED - policy 300.5 permits one retest per exam; this row records nothing",IF(AND($K188=2,COUNTIFS(nrES_PID,$D188,nrES_Code,$F188,nrES_Att,1)=0),"ATTEMPT 2 WITHOUT ATTEMPT 1",IF(AND($K188=2,$L188=""),"RETEST ROW HAS NO SCORE",IF(AND($H188="Final",$L188&lt;&gt;"",IFERROR(INDEX(nrCKfinalExamElig,MATCH($D188,rngCadetPIDs,0)),"")="No"),"FINAL EXAM AFTER FAILED FINAL PT (500.1.H)",IF(AND($K188=2,ISNUMBER($L188),COUNTIFS(nrES_PID,$D188,nrES_Code,$F188,nrES_Att,1)&gt;0,SUMIFS(nrES_Raw,nrES_PID,$D188,nrES_Code,$F188,nrES_Att,1)&gt;=$J188),"RETEST AFTER A PASSING FIRST ATTEMPT","OK"))))))))))</f>
        <v/>
      </c>
      <c r="Y188" s="16" t="n"/>
    </row>
    <row r="189">
      <c r="B189" s="17">
        <f>IF($C189="","",$D189&amp;"-"&amp;$F189&amp;"-"&amp;$K189)</f>
        <v/>
      </c>
      <c r="C189" s="16" t="n"/>
      <c r="D189" s="17">
        <f>IF($C189="","",IFERROR(INDEX(rngCadetPIDs,MATCH($C189,rngCadetNames,0)),"?"))</f>
        <v/>
      </c>
      <c r="E189" s="17">
        <f>IF($D189="","",IFERROR(INDEX(nrCadetAgency,MATCH($D189,rngCadetPIDs,0)),""))</f>
        <v/>
      </c>
      <c r="F189" s="16" t="n"/>
      <c r="G189" s="17">
        <f>IF($F189="","",IFERROR(INDEX(rngEPname,MATCH($F189,rngEPcode,0)),"?"))</f>
        <v/>
      </c>
      <c r="H189" s="17">
        <f>IF($F189="","",IFERROR(INDEX(rngEPtype,MATCH($F189,rngEPcode,0)),"?"))</f>
        <v/>
      </c>
      <c r="I189" s="17">
        <f>IF($F189="","",IFERROR(INDEX(rngEPseq,MATCH($F189,rngEPcode,0)),""))</f>
        <v/>
      </c>
      <c r="J189" s="17">
        <f>IF($F189="","",IFERROR(INDEX(rngEPpass,MATCH($F189,rngEPcode,0)),cfgPassingScore))</f>
        <v/>
      </c>
      <c r="K189" s="16" t="n"/>
      <c r="L189" s="16" t="n"/>
      <c r="M189" s="17">
        <f>IF($C189="","",IF($L189="","",IF(NOT(ISNUMBER($L189)),$L189,IF(N($K189)&gt;2,"",IF($K189=1,IF(COUNTIFS(nrES_PID,$D189,nrES_Code,$F189,nrES_Att,2,nrES_Raw,"&gt;=0")&gt;0,"",$L189),IF($L189&gt;=$J189,MAX($J189,cfgRetakeRecordedCap),IF(COUNTIFS(nrES_PID,$D189,nrES_Code,$F189,nrES_Att,1)=0,$L189,SUMIFS(nrES_Raw,nrES_PID,$D189,nrES_Code,$F189,nrES_Att,1))))))))</f>
        <v/>
      </c>
      <c r="N189" s="17">
        <f>IF($C189="","",IF($L189="","",IF(NOT(ISNUMBER($L189)),"(not a score)",IF($L189&gt;=$J189,"Yes","No"))))</f>
        <v/>
      </c>
      <c r="O189" s="17">
        <f>IF($C189="","",IF($M189="","",IF(NOT(ISNUMBER($M189)),"(not a score)",IF($M189&gt;=$J189,"Yes","No"))))</f>
        <v/>
      </c>
      <c r="P189" s="17">
        <f>IF($C189="","",IF($K189="","",IF(N($K189)&gt;2,"No",IF(COUNTIFS(nrES_PID,$D189,nrES_Code,$F189,nrES_Att,"&gt;"&amp;$K189,nrES_Att,"&lt;=2",nrES_Raw,"&gt;=0")=0,"Yes","No"))))</f>
        <v/>
      </c>
      <c r="Q189" s="17">
        <f>IF($C189="","",IF($L189="","",IF(AND($K189=1,ISNUMBER($L189),$L189&lt;$J189,COUNTIFS(nrES_PID,$D189,nrES_Code,$F189,nrES_Att,2,nrES_Raw,"&gt;=0")=0),"Yes","No")))</f>
        <v/>
      </c>
      <c r="R189" s="17">
        <f>IF($C189="","",IF($L189="","",IF(AND(N($K189)&gt;=2,ISNUMBER($L189),$L189&lt;$J189),"Yes","No")))</f>
        <v/>
      </c>
      <c r="S189" s="18" t="n"/>
      <c r="T189" s="19">
        <f>IF(OR($C189="",$L189="",$K189&lt;&gt;1,NOT(ISNUMBER($L189)),$L189&gt;=$J189),"",IF($S189="","(enter date)",_xlfn.LET(_xlpm.dn,_xlfn.XLOOKUP($S189,nrCDdate,nrCDnum,"",1),IF(_xlpm.dn="","(after last class day)",_xlfn.LET(_xlpm.dd,_xlfn.XLOOKUP(_xlpm.dn+cfgRetestClassDays,nrCDnum,nrCDdate,""),_xlpm.ok,_xlfn.XLOOKUP(_xlpm.dn+cfgRetestClassDays,nrCDnum,nrCDinsession,"No"),IF(OR(_xlpm.dd="",_xlpm.ok&lt;&gt;"Yes"),"(after last class day)",_xlpm.dd))))))</f>
        <v/>
      </c>
      <c r="U189" s="17">
        <f>IF($C189="","",IF(AND($Y189="Excused",$L189="",N($K189)&lt;=1),"EXCUSED - 1st attempt pending",IF(OR($L189="",$K189&lt;&gt;1,NOT(ISNUMBER($L189)),$L189&gt;=$J189),"",IF(COUNTIFS(nrES_PID,$D189,nrES_Code,$F189,nrES_Att,2,nrES_Raw,"&gt;=0")&gt;0,IF(IFERROR(_xlfn.MINIFS(nrES_Date,nrES_PID,$D189,nrES_Code,$F189,nrES_Att,2,nrES_Raw,"&gt;=0",nrES_Date,"&gt;0"),0)=0,"RETEST UNDATED",IF(NOT(ISNUMBER($T189)),"RETEST DATE UNCHECKED",IF(_xlfn.MINIFS(nrES_Date,nrES_PID,$D189,nrES_Code,$F189,nrES_Att,2,nrES_Raw,"&gt;=0",nrES_Date,"&gt;0")&gt;$T189,"LATE RETEST "&amp;TEXT(_xlfn.MINIFS(nrES_Date,nrES_PID,$D189,nrES_Code,$F189,nrES_Att,2,nrES_Raw,"&gt;=0",nrES_Date,"&gt;0"),"mm/dd")&amp;" (due "&amp;TEXT($T189,"mm/dd")&amp;")","Retested"))),IF(NOT(ISNUMBER($T189)),"CHECK DATE",IF(TODAY()&gt;$T189,"OVERDUE","Due "&amp;TEXT($T189,"mm/dd")))))))</f>
        <v/>
      </c>
      <c r="V189" s="16" t="n"/>
      <c r="W189" s="16" t="n"/>
      <c r="X189" s="17">
        <f>IF($C189="","",IF(AND($L189&lt;&gt;"",NOT(ISNUMBER($L189))),"RAW SCORE NOT A NUMBER",IF(AND(ISNUMBER($L189),OR($L189&lt;0,$L189&gt;100)),"RAW SCORE OUT OF RANGE",IF(AND($Y189="Unexcused",OR($L189="",NOT(ISNUMBER($L189)),$L189&lt;&gt;0)),"UNEXCUSED ABSENCE MUST RECORD 0",IF(COUNTIF(nrES_RecID,$B189)&gt;1,"DUPLICATE RECORD",IF(N($K189)&gt;2,"ATTEMPT 3+ NOT ALLOWED - policy 300.5 permits one retest per exam; this row records nothing",IF(AND($K189=2,COUNTIFS(nrES_PID,$D189,nrES_Code,$F189,nrES_Att,1)=0),"ATTEMPT 2 WITHOUT ATTEMPT 1",IF(AND($K189=2,$L189=""),"RETEST ROW HAS NO SCORE",IF(AND($H189="Final",$L189&lt;&gt;"",IFERROR(INDEX(nrCKfinalExamElig,MATCH($D189,rngCadetPIDs,0)),"")="No"),"FINAL EXAM AFTER FAILED FINAL PT (500.1.H)",IF(AND($K189=2,ISNUMBER($L189),COUNTIFS(nrES_PID,$D189,nrES_Code,$F189,nrES_Att,1)&gt;0,SUMIFS(nrES_Raw,nrES_PID,$D189,nrES_Code,$F189,nrES_Att,1)&gt;=$J189),"RETEST AFTER A PASSING FIRST ATTEMPT","OK"))))))))))</f>
        <v/>
      </c>
      <c r="Y189" s="16" t="n"/>
    </row>
    <row r="190">
      <c r="B190" s="17">
        <f>IF($C190="","",$D190&amp;"-"&amp;$F190&amp;"-"&amp;$K190)</f>
        <v/>
      </c>
      <c r="C190" s="16" t="n"/>
      <c r="D190" s="17">
        <f>IF($C190="","",IFERROR(INDEX(rngCadetPIDs,MATCH($C190,rngCadetNames,0)),"?"))</f>
        <v/>
      </c>
      <c r="E190" s="17">
        <f>IF($D190="","",IFERROR(INDEX(nrCadetAgency,MATCH($D190,rngCadetPIDs,0)),""))</f>
        <v/>
      </c>
      <c r="F190" s="16" t="n"/>
      <c r="G190" s="17">
        <f>IF($F190="","",IFERROR(INDEX(rngEPname,MATCH($F190,rngEPcode,0)),"?"))</f>
        <v/>
      </c>
      <c r="H190" s="17">
        <f>IF($F190="","",IFERROR(INDEX(rngEPtype,MATCH($F190,rngEPcode,0)),"?"))</f>
        <v/>
      </c>
      <c r="I190" s="17">
        <f>IF($F190="","",IFERROR(INDEX(rngEPseq,MATCH($F190,rngEPcode,0)),""))</f>
        <v/>
      </c>
      <c r="J190" s="17">
        <f>IF($F190="","",IFERROR(INDEX(rngEPpass,MATCH($F190,rngEPcode,0)),cfgPassingScore))</f>
        <v/>
      </c>
      <c r="K190" s="16" t="n"/>
      <c r="L190" s="16" t="n"/>
      <c r="M190" s="17">
        <f>IF($C190="","",IF($L190="","",IF(NOT(ISNUMBER($L190)),$L190,IF(N($K190)&gt;2,"",IF($K190=1,IF(COUNTIFS(nrES_PID,$D190,nrES_Code,$F190,nrES_Att,2,nrES_Raw,"&gt;=0")&gt;0,"",$L190),IF($L190&gt;=$J190,MAX($J190,cfgRetakeRecordedCap),IF(COUNTIFS(nrES_PID,$D190,nrES_Code,$F190,nrES_Att,1)=0,$L190,SUMIFS(nrES_Raw,nrES_PID,$D190,nrES_Code,$F190,nrES_Att,1))))))))</f>
        <v/>
      </c>
      <c r="N190" s="17">
        <f>IF($C190="","",IF($L190="","",IF(NOT(ISNUMBER($L190)),"(not a score)",IF($L190&gt;=$J190,"Yes","No"))))</f>
        <v/>
      </c>
      <c r="O190" s="17">
        <f>IF($C190="","",IF($M190="","",IF(NOT(ISNUMBER($M190)),"(not a score)",IF($M190&gt;=$J190,"Yes","No"))))</f>
        <v/>
      </c>
      <c r="P190" s="17">
        <f>IF($C190="","",IF($K190="","",IF(N($K190)&gt;2,"No",IF(COUNTIFS(nrES_PID,$D190,nrES_Code,$F190,nrES_Att,"&gt;"&amp;$K190,nrES_Att,"&lt;=2",nrES_Raw,"&gt;=0")=0,"Yes","No"))))</f>
        <v/>
      </c>
      <c r="Q190" s="17">
        <f>IF($C190="","",IF($L190="","",IF(AND($K190=1,ISNUMBER($L190),$L190&lt;$J190,COUNTIFS(nrES_PID,$D190,nrES_Code,$F190,nrES_Att,2,nrES_Raw,"&gt;=0")=0),"Yes","No")))</f>
        <v/>
      </c>
      <c r="R190" s="17">
        <f>IF($C190="","",IF($L190="","",IF(AND(N($K190)&gt;=2,ISNUMBER($L190),$L190&lt;$J190),"Yes","No")))</f>
        <v/>
      </c>
      <c r="S190" s="18" t="n"/>
      <c r="T190" s="19">
        <f>IF(OR($C190="",$L190="",$K190&lt;&gt;1,NOT(ISNUMBER($L190)),$L190&gt;=$J190),"",IF($S190="","(enter date)",_xlfn.LET(_xlpm.dn,_xlfn.XLOOKUP($S190,nrCDdate,nrCDnum,"",1),IF(_xlpm.dn="","(after last class day)",_xlfn.LET(_xlpm.dd,_xlfn.XLOOKUP(_xlpm.dn+cfgRetestClassDays,nrCDnum,nrCDdate,""),_xlpm.ok,_xlfn.XLOOKUP(_xlpm.dn+cfgRetestClassDays,nrCDnum,nrCDinsession,"No"),IF(OR(_xlpm.dd="",_xlpm.ok&lt;&gt;"Yes"),"(after last class day)",_xlpm.dd))))))</f>
        <v/>
      </c>
      <c r="U190" s="17">
        <f>IF($C190="","",IF(AND($Y190="Excused",$L190="",N($K190)&lt;=1),"EXCUSED - 1st attempt pending",IF(OR($L190="",$K190&lt;&gt;1,NOT(ISNUMBER($L190)),$L190&gt;=$J190),"",IF(COUNTIFS(nrES_PID,$D190,nrES_Code,$F190,nrES_Att,2,nrES_Raw,"&gt;=0")&gt;0,IF(IFERROR(_xlfn.MINIFS(nrES_Date,nrES_PID,$D190,nrES_Code,$F190,nrES_Att,2,nrES_Raw,"&gt;=0",nrES_Date,"&gt;0"),0)=0,"RETEST UNDATED",IF(NOT(ISNUMBER($T190)),"RETEST DATE UNCHECKED",IF(_xlfn.MINIFS(nrES_Date,nrES_PID,$D190,nrES_Code,$F190,nrES_Att,2,nrES_Raw,"&gt;=0",nrES_Date,"&gt;0")&gt;$T190,"LATE RETEST "&amp;TEXT(_xlfn.MINIFS(nrES_Date,nrES_PID,$D190,nrES_Code,$F190,nrES_Att,2,nrES_Raw,"&gt;=0",nrES_Date,"&gt;0"),"mm/dd")&amp;" (due "&amp;TEXT($T190,"mm/dd")&amp;")","Retested"))),IF(NOT(ISNUMBER($T190)),"CHECK DATE",IF(TODAY()&gt;$T190,"OVERDUE","Due "&amp;TEXT($T190,"mm/dd")))))))</f>
        <v/>
      </c>
      <c r="V190" s="16" t="n"/>
      <c r="W190" s="16" t="n"/>
      <c r="X190" s="17">
        <f>IF($C190="","",IF(AND($L190&lt;&gt;"",NOT(ISNUMBER($L190))),"RAW SCORE NOT A NUMBER",IF(AND(ISNUMBER($L190),OR($L190&lt;0,$L190&gt;100)),"RAW SCORE OUT OF RANGE",IF(AND($Y190="Unexcused",OR($L190="",NOT(ISNUMBER($L190)),$L190&lt;&gt;0)),"UNEXCUSED ABSENCE MUST RECORD 0",IF(COUNTIF(nrES_RecID,$B190)&gt;1,"DUPLICATE RECORD",IF(N($K190)&gt;2,"ATTEMPT 3+ NOT ALLOWED - policy 300.5 permits one retest per exam; this row records nothing",IF(AND($K190=2,COUNTIFS(nrES_PID,$D190,nrES_Code,$F190,nrES_Att,1)=0),"ATTEMPT 2 WITHOUT ATTEMPT 1",IF(AND($K190=2,$L190=""),"RETEST ROW HAS NO SCORE",IF(AND($H190="Final",$L190&lt;&gt;"",IFERROR(INDEX(nrCKfinalExamElig,MATCH($D190,rngCadetPIDs,0)),"")="No"),"FINAL EXAM AFTER FAILED FINAL PT (500.1.H)",IF(AND($K190=2,ISNUMBER($L190),COUNTIFS(nrES_PID,$D190,nrES_Code,$F190,nrES_Att,1)&gt;0,SUMIFS(nrES_Raw,nrES_PID,$D190,nrES_Code,$F190,nrES_Att,1)&gt;=$J190),"RETEST AFTER A PASSING FIRST ATTEMPT","OK"))))))))))</f>
        <v/>
      </c>
      <c r="Y190" s="16" t="n"/>
    </row>
    <row r="191">
      <c r="B191" s="17">
        <f>IF($C191="","",$D191&amp;"-"&amp;$F191&amp;"-"&amp;$K191)</f>
        <v/>
      </c>
      <c r="C191" s="16" t="n"/>
      <c r="D191" s="17">
        <f>IF($C191="","",IFERROR(INDEX(rngCadetPIDs,MATCH($C191,rngCadetNames,0)),"?"))</f>
        <v/>
      </c>
      <c r="E191" s="17">
        <f>IF($D191="","",IFERROR(INDEX(nrCadetAgency,MATCH($D191,rngCadetPIDs,0)),""))</f>
        <v/>
      </c>
      <c r="F191" s="16" t="n"/>
      <c r="G191" s="17">
        <f>IF($F191="","",IFERROR(INDEX(rngEPname,MATCH($F191,rngEPcode,0)),"?"))</f>
        <v/>
      </c>
      <c r="H191" s="17">
        <f>IF($F191="","",IFERROR(INDEX(rngEPtype,MATCH($F191,rngEPcode,0)),"?"))</f>
        <v/>
      </c>
      <c r="I191" s="17">
        <f>IF($F191="","",IFERROR(INDEX(rngEPseq,MATCH($F191,rngEPcode,0)),""))</f>
        <v/>
      </c>
      <c r="J191" s="17">
        <f>IF($F191="","",IFERROR(INDEX(rngEPpass,MATCH($F191,rngEPcode,0)),cfgPassingScore))</f>
        <v/>
      </c>
      <c r="K191" s="16" t="n"/>
      <c r="L191" s="16" t="n"/>
      <c r="M191" s="17">
        <f>IF($C191="","",IF($L191="","",IF(NOT(ISNUMBER($L191)),$L191,IF(N($K191)&gt;2,"",IF($K191=1,IF(COUNTIFS(nrES_PID,$D191,nrES_Code,$F191,nrES_Att,2,nrES_Raw,"&gt;=0")&gt;0,"",$L191),IF($L191&gt;=$J191,MAX($J191,cfgRetakeRecordedCap),IF(COUNTIFS(nrES_PID,$D191,nrES_Code,$F191,nrES_Att,1)=0,$L191,SUMIFS(nrES_Raw,nrES_PID,$D191,nrES_Code,$F191,nrES_Att,1))))))))</f>
        <v/>
      </c>
      <c r="N191" s="17">
        <f>IF($C191="","",IF($L191="","",IF(NOT(ISNUMBER($L191)),"(not a score)",IF($L191&gt;=$J191,"Yes","No"))))</f>
        <v/>
      </c>
      <c r="O191" s="17">
        <f>IF($C191="","",IF($M191="","",IF(NOT(ISNUMBER($M191)),"(not a score)",IF($M191&gt;=$J191,"Yes","No"))))</f>
        <v/>
      </c>
      <c r="P191" s="17">
        <f>IF($C191="","",IF($K191="","",IF(N($K191)&gt;2,"No",IF(COUNTIFS(nrES_PID,$D191,nrES_Code,$F191,nrES_Att,"&gt;"&amp;$K191,nrES_Att,"&lt;=2",nrES_Raw,"&gt;=0")=0,"Yes","No"))))</f>
        <v/>
      </c>
      <c r="Q191" s="17">
        <f>IF($C191="","",IF($L191="","",IF(AND($K191=1,ISNUMBER($L191),$L191&lt;$J191,COUNTIFS(nrES_PID,$D191,nrES_Code,$F191,nrES_Att,2,nrES_Raw,"&gt;=0")=0),"Yes","No")))</f>
        <v/>
      </c>
      <c r="R191" s="17">
        <f>IF($C191="","",IF($L191="","",IF(AND(N($K191)&gt;=2,ISNUMBER($L191),$L191&lt;$J191),"Yes","No")))</f>
        <v/>
      </c>
      <c r="S191" s="18" t="n"/>
      <c r="T191" s="19">
        <f>IF(OR($C191="",$L191="",$K191&lt;&gt;1,NOT(ISNUMBER($L191)),$L191&gt;=$J191),"",IF($S191="","(enter date)",_xlfn.LET(_xlpm.dn,_xlfn.XLOOKUP($S191,nrCDdate,nrCDnum,"",1),IF(_xlpm.dn="","(after last class day)",_xlfn.LET(_xlpm.dd,_xlfn.XLOOKUP(_xlpm.dn+cfgRetestClassDays,nrCDnum,nrCDdate,""),_xlpm.ok,_xlfn.XLOOKUP(_xlpm.dn+cfgRetestClassDays,nrCDnum,nrCDinsession,"No"),IF(OR(_xlpm.dd="",_xlpm.ok&lt;&gt;"Yes"),"(after last class day)",_xlpm.dd))))))</f>
        <v/>
      </c>
      <c r="U191" s="17">
        <f>IF($C191="","",IF(AND($Y191="Excused",$L191="",N($K191)&lt;=1),"EXCUSED - 1st attempt pending",IF(OR($L191="",$K191&lt;&gt;1,NOT(ISNUMBER($L191)),$L191&gt;=$J191),"",IF(COUNTIFS(nrES_PID,$D191,nrES_Code,$F191,nrES_Att,2,nrES_Raw,"&gt;=0")&gt;0,IF(IFERROR(_xlfn.MINIFS(nrES_Date,nrES_PID,$D191,nrES_Code,$F191,nrES_Att,2,nrES_Raw,"&gt;=0",nrES_Date,"&gt;0"),0)=0,"RETEST UNDATED",IF(NOT(ISNUMBER($T191)),"RETEST DATE UNCHECKED",IF(_xlfn.MINIFS(nrES_Date,nrES_PID,$D191,nrES_Code,$F191,nrES_Att,2,nrES_Raw,"&gt;=0",nrES_Date,"&gt;0")&gt;$T191,"LATE RETEST "&amp;TEXT(_xlfn.MINIFS(nrES_Date,nrES_PID,$D191,nrES_Code,$F191,nrES_Att,2,nrES_Raw,"&gt;=0",nrES_Date,"&gt;0"),"mm/dd")&amp;" (due "&amp;TEXT($T191,"mm/dd")&amp;")","Retested"))),IF(NOT(ISNUMBER($T191)),"CHECK DATE",IF(TODAY()&gt;$T191,"OVERDUE","Due "&amp;TEXT($T191,"mm/dd")))))))</f>
        <v/>
      </c>
      <c r="V191" s="16" t="n"/>
      <c r="W191" s="16" t="n"/>
      <c r="X191" s="17">
        <f>IF($C191="","",IF(AND($L191&lt;&gt;"",NOT(ISNUMBER($L191))),"RAW SCORE NOT A NUMBER",IF(AND(ISNUMBER($L191),OR($L191&lt;0,$L191&gt;100)),"RAW SCORE OUT OF RANGE",IF(AND($Y191="Unexcused",OR($L191="",NOT(ISNUMBER($L191)),$L191&lt;&gt;0)),"UNEXCUSED ABSENCE MUST RECORD 0",IF(COUNTIF(nrES_RecID,$B191)&gt;1,"DUPLICATE RECORD",IF(N($K191)&gt;2,"ATTEMPT 3+ NOT ALLOWED - policy 300.5 permits one retest per exam; this row records nothing",IF(AND($K191=2,COUNTIFS(nrES_PID,$D191,nrES_Code,$F191,nrES_Att,1)=0),"ATTEMPT 2 WITHOUT ATTEMPT 1",IF(AND($K191=2,$L191=""),"RETEST ROW HAS NO SCORE",IF(AND($H191="Final",$L191&lt;&gt;"",IFERROR(INDEX(nrCKfinalExamElig,MATCH($D191,rngCadetPIDs,0)),"")="No"),"FINAL EXAM AFTER FAILED FINAL PT (500.1.H)",IF(AND($K191=2,ISNUMBER($L191),COUNTIFS(nrES_PID,$D191,nrES_Code,$F191,nrES_Att,1)&gt;0,SUMIFS(nrES_Raw,nrES_PID,$D191,nrES_Code,$F191,nrES_Att,1)&gt;=$J191),"RETEST AFTER A PASSING FIRST ATTEMPT","OK"))))))))))</f>
        <v/>
      </c>
      <c r="Y191" s="16" t="n"/>
    </row>
    <row r="192">
      <c r="B192" s="17">
        <f>IF($C192="","",$D192&amp;"-"&amp;$F192&amp;"-"&amp;$K192)</f>
        <v/>
      </c>
      <c r="C192" s="16" t="n"/>
      <c r="D192" s="17">
        <f>IF($C192="","",IFERROR(INDEX(rngCadetPIDs,MATCH($C192,rngCadetNames,0)),"?"))</f>
        <v/>
      </c>
      <c r="E192" s="17">
        <f>IF($D192="","",IFERROR(INDEX(nrCadetAgency,MATCH($D192,rngCadetPIDs,0)),""))</f>
        <v/>
      </c>
      <c r="F192" s="16" t="n"/>
      <c r="G192" s="17">
        <f>IF($F192="","",IFERROR(INDEX(rngEPname,MATCH($F192,rngEPcode,0)),"?"))</f>
        <v/>
      </c>
      <c r="H192" s="17">
        <f>IF($F192="","",IFERROR(INDEX(rngEPtype,MATCH($F192,rngEPcode,0)),"?"))</f>
        <v/>
      </c>
      <c r="I192" s="17">
        <f>IF($F192="","",IFERROR(INDEX(rngEPseq,MATCH($F192,rngEPcode,0)),""))</f>
        <v/>
      </c>
      <c r="J192" s="17">
        <f>IF($F192="","",IFERROR(INDEX(rngEPpass,MATCH($F192,rngEPcode,0)),cfgPassingScore))</f>
        <v/>
      </c>
      <c r="K192" s="16" t="n"/>
      <c r="L192" s="16" t="n"/>
      <c r="M192" s="17">
        <f>IF($C192="","",IF($L192="","",IF(NOT(ISNUMBER($L192)),$L192,IF(N($K192)&gt;2,"",IF($K192=1,IF(COUNTIFS(nrES_PID,$D192,nrES_Code,$F192,nrES_Att,2,nrES_Raw,"&gt;=0")&gt;0,"",$L192),IF($L192&gt;=$J192,MAX($J192,cfgRetakeRecordedCap),IF(COUNTIFS(nrES_PID,$D192,nrES_Code,$F192,nrES_Att,1)=0,$L192,SUMIFS(nrES_Raw,nrES_PID,$D192,nrES_Code,$F192,nrES_Att,1))))))))</f>
        <v/>
      </c>
      <c r="N192" s="17">
        <f>IF($C192="","",IF($L192="","",IF(NOT(ISNUMBER($L192)),"(not a score)",IF($L192&gt;=$J192,"Yes","No"))))</f>
        <v/>
      </c>
      <c r="O192" s="17">
        <f>IF($C192="","",IF($M192="","",IF(NOT(ISNUMBER($M192)),"(not a score)",IF($M192&gt;=$J192,"Yes","No"))))</f>
        <v/>
      </c>
      <c r="P192" s="17">
        <f>IF($C192="","",IF($K192="","",IF(N($K192)&gt;2,"No",IF(COUNTIFS(nrES_PID,$D192,nrES_Code,$F192,nrES_Att,"&gt;"&amp;$K192,nrES_Att,"&lt;=2",nrES_Raw,"&gt;=0")=0,"Yes","No"))))</f>
        <v/>
      </c>
      <c r="Q192" s="17">
        <f>IF($C192="","",IF($L192="","",IF(AND($K192=1,ISNUMBER($L192),$L192&lt;$J192,COUNTIFS(nrES_PID,$D192,nrES_Code,$F192,nrES_Att,2,nrES_Raw,"&gt;=0")=0),"Yes","No")))</f>
        <v/>
      </c>
      <c r="R192" s="17">
        <f>IF($C192="","",IF($L192="","",IF(AND(N($K192)&gt;=2,ISNUMBER($L192),$L192&lt;$J192),"Yes","No")))</f>
        <v/>
      </c>
      <c r="S192" s="18" t="n"/>
      <c r="T192" s="19">
        <f>IF(OR($C192="",$L192="",$K192&lt;&gt;1,NOT(ISNUMBER($L192)),$L192&gt;=$J192),"",IF($S192="","(enter date)",_xlfn.LET(_xlpm.dn,_xlfn.XLOOKUP($S192,nrCDdate,nrCDnum,"",1),IF(_xlpm.dn="","(after last class day)",_xlfn.LET(_xlpm.dd,_xlfn.XLOOKUP(_xlpm.dn+cfgRetestClassDays,nrCDnum,nrCDdate,""),_xlpm.ok,_xlfn.XLOOKUP(_xlpm.dn+cfgRetestClassDays,nrCDnum,nrCDinsession,"No"),IF(OR(_xlpm.dd="",_xlpm.ok&lt;&gt;"Yes"),"(after last class day)",_xlpm.dd))))))</f>
        <v/>
      </c>
      <c r="U192" s="17">
        <f>IF($C192="","",IF(AND($Y192="Excused",$L192="",N($K192)&lt;=1),"EXCUSED - 1st attempt pending",IF(OR($L192="",$K192&lt;&gt;1,NOT(ISNUMBER($L192)),$L192&gt;=$J192),"",IF(COUNTIFS(nrES_PID,$D192,nrES_Code,$F192,nrES_Att,2,nrES_Raw,"&gt;=0")&gt;0,IF(IFERROR(_xlfn.MINIFS(nrES_Date,nrES_PID,$D192,nrES_Code,$F192,nrES_Att,2,nrES_Raw,"&gt;=0",nrES_Date,"&gt;0"),0)=0,"RETEST UNDATED",IF(NOT(ISNUMBER($T192)),"RETEST DATE UNCHECKED",IF(_xlfn.MINIFS(nrES_Date,nrES_PID,$D192,nrES_Code,$F192,nrES_Att,2,nrES_Raw,"&gt;=0",nrES_Date,"&gt;0")&gt;$T192,"LATE RETEST "&amp;TEXT(_xlfn.MINIFS(nrES_Date,nrES_PID,$D192,nrES_Code,$F192,nrES_Att,2,nrES_Raw,"&gt;=0",nrES_Date,"&gt;0"),"mm/dd")&amp;" (due "&amp;TEXT($T192,"mm/dd")&amp;")","Retested"))),IF(NOT(ISNUMBER($T192)),"CHECK DATE",IF(TODAY()&gt;$T192,"OVERDUE","Due "&amp;TEXT($T192,"mm/dd")))))))</f>
        <v/>
      </c>
      <c r="V192" s="16" t="n"/>
      <c r="W192" s="16" t="n"/>
      <c r="X192" s="17">
        <f>IF($C192="","",IF(AND($L192&lt;&gt;"",NOT(ISNUMBER($L192))),"RAW SCORE NOT A NUMBER",IF(AND(ISNUMBER($L192),OR($L192&lt;0,$L192&gt;100)),"RAW SCORE OUT OF RANGE",IF(AND($Y192="Unexcused",OR($L192="",NOT(ISNUMBER($L192)),$L192&lt;&gt;0)),"UNEXCUSED ABSENCE MUST RECORD 0",IF(COUNTIF(nrES_RecID,$B192)&gt;1,"DUPLICATE RECORD",IF(N($K192)&gt;2,"ATTEMPT 3+ NOT ALLOWED - policy 300.5 permits one retest per exam; this row records nothing",IF(AND($K192=2,COUNTIFS(nrES_PID,$D192,nrES_Code,$F192,nrES_Att,1)=0),"ATTEMPT 2 WITHOUT ATTEMPT 1",IF(AND($K192=2,$L192=""),"RETEST ROW HAS NO SCORE",IF(AND($H192="Final",$L192&lt;&gt;"",IFERROR(INDEX(nrCKfinalExamElig,MATCH($D192,rngCadetPIDs,0)),"")="No"),"FINAL EXAM AFTER FAILED FINAL PT (500.1.H)",IF(AND($K192=2,ISNUMBER($L192),COUNTIFS(nrES_PID,$D192,nrES_Code,$F192,nrES_Att,1)&gt;0,SUMIFS(nrES_Raw,nrES_PID,$D192,nrES_Code,$F192,nrES_Att,1)&gt;=$J192),"RETEST AFTER A PASSING FIRST ATTEMPT","OK"))))))))))</f>
        <v/>
      </c>
      <c r="Y192" s="16" t="n"/>
    </row>
    <row r="193">
      <c r="B193" s="17">
        <f>IF($C193="","",$D193&amp;"-"&amp;$F193&amp;"-"&amp;$K193)</f>
        <v/>
      </c>
      <c r="C193" s="16" t="n"/>
      <c r="D193" s="17">
        <f>IF($C193="","",IFERROR(INDEX(rngCadetPIDs,MATCH($C193,rngCadetNames,0)),"?"))</f>
        <v/>
      </c>
      <c r="E193" s="17">
        <f>IF($D193="","",IFERROR(INDEX(nrCadetAgency,MATCH($D193,rngCadetPIDs,0)),""))</f>
        <v/>
      </c>
      <c r="F193" s="16" t="n"/>
      <c r="G193" s="17">
        <f>IF($F193="","",IFERROR(INDEX(rngEPname,MATCH($F193,rngEPcode,0)),"?"))</f>
        <v/>
      </c>
      <c r="H193" s="17">
        <f>IF($F193="","",IFERROR(INDEX(rngEPtype,MATCH($F193,rngEPcode,0)),"?"))</f>
        <v/>
      </c>
      <c r="I193" s="17">
        <f>IF($F193="","",IFERROR(INDEX(rngEPseq,MATCH($F193,rngEPcode,0)),""))</f>
        <v/>
      </c>
      <c r="J193" s="17">
        <f>IF($F193="","",IFERROR(INDEX(rngEPpass,MATCH($F193,rngEPcode,0)),cfgPassingScore))</f>
        <v/>
      </c>
      <c r="K193" s="16" t="n"/>
      <c r="L193" s="16" t="n"/>
      <c r="M193" s="17">
        <f>IF($C193="","",IF($L193="","",IF(NOT(ISNUMBER($L193)),$L193,IF(N($K193)&gt;2,"",IF($K193=1,IF(COUNTIFS(nrES_PID,$D193,nrES_Code,$F193,nrES_Att,2,nrES_Raw,"&gt;=0")&gt;0,"",$L193),IF($L193&gt;=$J193,MAX($J193,cfgRetakeRecordedCap),IF(COUNTIFS(nrES_PID,$D193,nrES_Code,$F193,nrES_Att,1)=0,$L193,SUMIFS(nrES_Raw,nrES_PID,$D193,nrES_Code,$F193,nrES_Att,1))))))))</f>
        <v/>
      </c>
      <c r="N193" s="17">
        <f>IF($C193="","",IF($L193="","",IF(NOT(ISNUMBER($L193)),"(not a score)",IF($L193&gt;=$J193,"Yes","No"))))</f>
        <v/>
      </c>
      <c r="O193" s="17">
        <f>IF($C193="","",IF($M193="","",IF(NOT(ISNUMBER($M193)),"(not a score)",IF($M193&gt;=$J193,"Yes","No"))))</f>
        <v/>
      </c>
      <c r="P193" s="17">
        <f>IF($C193="","",IF($K193="","",IF(N($K193)&gt;2,"No",IF(COUNTIFS(nrES_PID,$D193,nrES_Code,$F193,nrES_Att,"&gt;"&amp;$K193,nrES_Att,"&lt;=2",nrES_Raw,"&gt;=0")=0,"Yes","No"))))</f>
        <v/>
      </c>
      <c r="Q193" s="17">
        <f>IF($C193="","",IF($L193="","",IF(AND($K193=1,ISNUMBER($L193),$L193&lt;$J193,COUNTIFS(nrES_PID,$D193,nrES_Code,$F193,nrES_Att,2,nrES_Raw,"&gt;=0")=0),"Yes","No")))</f>
        <v/>
      </c>
      <c r="R193" s="17">
        <f>IF($C193="","",IF($L193="","",IF(AND(N($K193)&gt;=2,ISNUMBER($L193),$L193&lt;$J193),"Yes","No")))</f>
        <v/>
      </c>
      <c r="S193" s="18" t="n"/>
      <c r="T193" s="19">
        <f>IF(OR($C193="",$L193="",$K193&lt;&gt;1,NOT(ISNUMBER($L193)),$L193&gt;=$J193),"",IF($S193="","(enter date)",_xlfn.LET(_xlpm.dn,_xlfn.XLOOKUP($S193,nrCDdate,nrCDnum,"",1),IF(_xlpm.dn="","(after last class day)",_xlfn.LET(_xlpm.dd,_xlfn.XLOOKUP(_xlpm.dn+cfgRetestClassDays,nrCDnum,nrCDdate,""),_xlpm.ok,_xlfn.XLOOKUP(_xlpm.dn+cfgRetestClassDays,nrCDnum,nrCDinsession,"No"),IF(OR(_xlpm.dd="",_xlpm.ok&lt;&gt;"Yes"),"(after last class day)",_xlpm.dd))))))</f>
        <v/>
      </c>
      <c r="U193" s="17">
        <f>IF($C193="","",IF(AND($Y193="Excused",$L193="",N($K193)&lt;=1),"EXCUSED - 1st attempt pending",IF(OR($L193="",$K193&lt;&gt;1,NOT(ISNUMBER($L193)),$L193&gt;=$J193),"",IF(COUNTIFS(nrES_PID,$D193,nrES_Code,$F193,nrES_Att,2,nrES_Raw,"&gt;=0")&gt;0,IF(IFERROR(_xlfn.MINIFS(nrES_Date,nrES_PID,$D193,nrES_Code,$F193,nrES_Att,2,nrES_Raw,"&gt;=0",nrES_Date,"&gt;0"),0)=0,"RETEST UNDATED",IF(NOT(ISNUMBER($T193)),"RETEST DATE UNCHECKED",IF(_xlfn.MINIFS(nrES_Date,nrES_PID,$D193,nrES_Code,$F193,nrES_Att,2,nrES_Raw,"&gt;=0",nrES_Date,"&gt;0")&gt;$T193,"LATE RETEST "&amp;TEXT(_xlfn.MINIFS(nrES_Date,nrES_PID,$D193,nrES_Code,$F193,nrES_Att,2,nrES_Raw,"&gt;=0",nrES_Date,"&gt;0"),"mm/dd")&amp;" (due "&amp;TEXT($T193,"mm/dd")&amp;")","Retested"))),IF(NOT(ISNUMBER($T193)),"CHECK DATE",IF(TODAY()&gt;$T193,"OVERDUE","Due "&amp;TEXT($T193,"mm/dd")))))))</f>
        <v/>
      </c>
      <c r="V193" s="16" t="n"/>
      <c r="W193" s="16" t="n"/>
      <c r="X193" s="17">
        <f>IF($C193="","",IF(AND($L193&lt;&gt;"",NOT(ISNUMBER($L193))),"RAW SCORE NOT A NUMBER",IF(AND(ISNUMBER($L193),OR($L193&lt;0,$L193&gt;100)),"RAW SCORE OUT OF RANGE",IF(AND($Y193="Unexcused",OR($L193="",NOT(ISNUMBER($L193)),$L193&lt;&gt;0)),"UNEXCUSED ABSENCE MUST RECORD 0",IF(COUNTIF(nrES_RecID,$B193)&gt;1,"DUPLICATE RECORD",IF(N($K193)&gt;2,"ATTEMPT 3+ NOT ALLOWED - policy 300.5 permits one retest per exam; this row records nothing",IF(AND($K193=2,COUNTIFS(nrES_PID,$D193,nrES_Code,$F193,nrES_Att,1)=0),"ATTEMPT 2 WITHOUT ATTEMPT 1",IF(AND($K193=2,$L193=""),"RETEST ROW HAS NO SCORE",IF(AND($H193="Final",$L193&lt;&gt;"",IFERROR(INDEX(nrCKfinalExamElig,MATCH($D193,rngCadetPIDs,0)),"")="No"),"FINAL EXAM AFTER FAILED FINAL PT (500.1.H)",IF(AND($K193=2,ISNUMBER($L193),COUNTIFS(nrES_PID,$D193,nrES_Code,$F193,nrES_Att,1)&gt;0,SUMIFS(nrES_Raw,nrES_PID,$D193,nrES_Code,$F193,nrES_Att,1)&gt;=$J193),"RETEST AFTER A PASSING FIRST ATTEMPT","OK"))))))))))</f>
        <v/>
      </c>
      <c r="Y193" s="16" t="n"/>
    </row>
    <row r="194">
      <c r="B194" s="17">
        <f>IF($C194="","",$D194&amp;"-"&amp;$F194&amp;"-"&amp;$K194)</f>
        <v/>
      </c>
      <c r="C194" s="16" t="n"/>
      <c r="D194" s="17">
        <f>IF($C194="","",IFERROR(INDEX(rngCadetPIDs,MATCH($C194,rngCadetNames,0)),"?"))</f>
        <v/>
      </c>
      <c r="E194" s="17">
        <f>IF($D194="","",IFERROR(INDEX(nrCadetAgency,MATCH($D194,rngCadetPIDs,0)),""))</f>
        <v/>
      </c>
      <c r="F194" s="16" t="n"/>
      <c r="G194" s="17">
        <f>IF($F194="","",IFERROR(INDEX(rngEPname,MATCH($F194,rngEPcode,0)),"?"))</f>
        <v/>
      </c>
      <c r="H194" s="17">
        <f>IF($F194="","",IFERROR(INDEX(rngEPtype,MATCH($F194,rngEPcode,0)),"?"))</f>
        <v/>
      </c>
      <c r="I194" s="17">
        <f>IF($F194="","",IFERROR(INDEX(rngEPseq,MATCH($F194,rngEPcode,0)),""))</f>
        <v/>
      </c>
      <c r="J194" s="17">
        <f>IF($F194="","",IFERROR(INDEX(rngEPpass,MATCH($F194,rngEPcode,0)),cfgPassingScore))</f>
        <v/>
      </c>
      <c r="K194" s="16" t="n"/>
      <c r="L194" s="16" t="n"/>
      <c r="M194" s="17">
        <f>IF($C194="","",IF($L194="","",IF(NOT(ISNUMBER($L194)),$L194,IF(N($K194)&gt;2,"",IF($K194=1,IF(COUNTIFS(nrES_PID,$D194,nrES_Code,$F194,nrES_Att,2,nrES_Raw,"&gt;=0")&gt;0,"",$L194),IF($L194&gt;=$J194,MAX($J194,cfgRetakeRecordedCap),IF(COUNTIFS(nrES_PID,$D194,nrES_Code,$F194,nrES_Att,1)=0,$L194,SUMIFS(nrES_Raw,nrES_PID,$D194,nrES_Code,$F194,nrES_Att,1))))))))</f>
        <v/>
      </c>
      <c r="N194" s="17">
        <f>IF($C194="","",IF($L194="","",IF(NOT(ISNUMBER($L194)),"(not a score)",IF($L194&gt;=$J194,"Yes","No"))))</f>
        <v/>
      </c>
      <c r="O194" s="17">
        <f>IF($C194="","",IF($M194="","",IF(NOT(ISNUMBER($M194)),"(not a score)",IF($M194&gt;=$J194,"Yes","No"))))</f>
        <v/>
      </c>
      <c r="P194" s="17">
        <f>IF($C194="","",IF($K194="","",IF(N($K194)&gt;2,"No",IF(COUNTIFS(nrES_PID,$D194,nrES_Code,$F194,nrES_Att,"&gt;"&amp;$K194,nrES_Att,"&lt;=2",nrES_Raw,"&gt;=0")=0,"Yes","No"))))</f>
        <v/>
      </c>
      <c r="Q194" s="17">
        <f>IF($C194="","",IF($L194="","",IF(AND($K194=1,ISNUMBER($L194),$L194&lt;$J194,COUNTIFS(nrES_PID,$D194,nrES_Code,$F194,nrES_Att,2,nrES_Raw,"&gt;=0")=0),"Yes","No")))</f>
        <v/>
      </c>
      <c r="R194" s="17">
        <f>IF($C194="","",IF($L194="","",IF(AND(N($K194)&gt;=2,ISNUMBER($L194),$L194&lt;$J194),"Yes","No")))</f>
        <v/>
      </c>
      <c r="S194" s="18" t="n"/>
      <c r="T194" s="19">
        <f>IF(OR($C194="",$L194="",$K194&lt;&gt;1,NOT(ISNUMBER($L194)),$L194&gt;=$J194),"",IF($S194="","(enter date)",_xlfn.LET(_xlpm.dn,_xlfn.XLOOKUP($S194,nrCDdate,nrCDnum,"",1),IF(_xlpm.dn="","(after last class day)",_xlfn.LET(_xlpm.dd,_xlfn.XLOOKUP(_xlpm.dn+cfgRetestClassDays,nrCDnum,nrCDdate,""),_xlpm.ok,_xlfn.XLOOKUP(_xlpm.dn+cfgRetestClassDays,nrCDnum,nrCDinsession,"No"),IF(OR(_xlpm.dd="",_xlpm.ok&lt;&gt;"Yes"),"(after last class day)",_xlpm.dd))))))</f>
        <v/>
      </c>
      <c r="U194" s="17">
        <f>IF($C194="","",IF(AND($Y194="Excused",$L194="",N($K194)&lt;=1),"EXCUSED - 1st attempt pending",IF(OR($L194="",$K194&lt;&gt;1,NOT(ISNUMBER($L194)),$L194&gt;=$J194),"",IF(COUNTIFS(nrES_PID,$D194,nrES_Code,$F194,nrES_Att,2,nrES_Raw,"&gt;=0")&gt;0,IF(IFERROR(_xlfn.MINIFS(nrES_Date,nrES_PID,$D194,nrES_Code,$F194,nrES_Att,2,nrES_Raw,"&gt;=0",nrES_Date,"&gt;0"),0)=0,"RETEST UNDATED",IF(NOT(ISNUMBER($T194)),"RETEST DATE UNCHECKED",IF(_xlfn.MINIFS(nrES_Date,nrES_PID,$D194,nrES_Code,$F194,nrES_Att,2,nrES_Raw,"&gt;=0",nrES_Date,"&gt;0")&gt;$T194,"LATE RETEST "&amp;TEXT(_xlfn.MINIFS(nrES_Date,nrES_PID,$D194,nrES_Code,$F194,nrES_Att,2,nrES_Raw,"&gt;=0",nrES_Date,"&gt;0"),"mm/dd")&amp;" (due "&amp;TEXT($T194,"mm/dd")&amp;")","Retested"))),IF(NOT(ISNUMBER($T194)),"CHECK DATE",IF(TODAY()&gt;$T194,"OVERDUE","Due "&amp;TEXT($T194,"mm/dd")))))))</f>
        <v/>
      </c>
      <c r="V194" s="16" t="n"/>
      <c r="W194" s="16" t="n"/>
      <c r="X194" s="17">
        <f>IF($C194="","",IF(AND($L194&lt;&gt;"",NOT(ISNUMBER($L194))),"RAW SCORE NOT A NUMBER",IF(AND(ISNUMBER($L194),OR($L194&lt;0,$L194&gt;100)),"RAW SCORE OUT OF RANGE",IF(AND($Y194="Unexcused",OR($L194="",NOT(ISNUMBER($L194)),$L194&lt;&gt;0)),"UNEXCUSED ABSENCE MUST RECORD 0",IF(COUNTIF(nrES_RecID,$B194)&gt;1,"DUPLICATE RECORD",IF(N($K194)&gt;2,"ATTEMPT 3+ NOT ALLOWED - policy 300.5 permits one retest per exam; this row records nothing",IF(AND($K194=2,COUNTIFS(nrES_PID,$D194,nrES_Code,$F194,nrES_Att,1)=0),"ATTEMPT 2 WITHOUT ATTEMPT 1",IF(AND($K194=2,$L194=""),"RETEST ROW HAS NO SCORE",IF(AND($H194="Final",$L194&lt;&gt;"",IFERROR(INDEX(nrCKfinalExamElig,MATCH($D194,rngCadetPIDs,0)),"")="No"),"FINAL EXAM AFTER FAILED FINAL PT (500.1.H)",IF(AND($K194=2,ISNUMBER($L194),COUNTIFS(nrES_PID,$D194,nrES_Code,$F194,nrES_Att,1)&gt;0,SUMIFS(nrES_Raw,nrES_PID,$D194,nrES_Code,$F194,nrES_Att,1)&gt;=$J194),"RETEST AFTER A PASSING FIRST ATTEMPT","OK"))))))))))</f>
        <v/>
      </c>
      <c r="Y194" s="16" t="n"/>
    </row>
    <row r="195">
      <c r="B195" s="17">
        <f>IF($C195="","",$D195&amp;"-"&amp;$F195&amp;"-"&amp;$K195)</f>
        <v/>
      </c>
      <c r="C195" s="16" t="n"/>
      <c r="D195" s="17">
        <f>IF($C195="","",IFERROR(INDEX(rngCadetPIDs,MATCH($C195,rngCadetNames,0)),"?"))</f>
        <v/>
      </c>
      <c r="E195" s="17">
        <f>IF($D195="","",IFERROR(INDEX(nrCadetAgency,MATCH($D195,rngCadetPIDs,0)),""))</f>
        <v/>
      </c>
      <c r="F195" s="16" t="n"/>
      <c r="G195" s="17">
        <f>IF($F195="","",IFERROR(INDEX(rngEPname,MATCH($F195,rngEPcode,0)),"?"))</f>
        <v/>
      </c>
      <c r="H195" s="17">
        <f>IF($F195="","",IFERROR(INDEX(rngEPtype,MATCH($F195,rngEPcode,0)),"?"))</f>
        <v/>
      </c>
      <c r="I195" s="17">
        <f>IF($F195="","",IFERROR(INDEX(rngEPseq,MATCH($F195,rngEPcode,0)),""))</f>
        <v/>
      </c>
      <c r="J195" s="17">
        <f>IF($F195="","",IFERROR(INDEX(rngEPpass,MATCH($F195,rngEPcode,0)),cfgPassingScore))</f>
        <v/>
      </c>
      <c r="K195" s="16" t="n"/>
      <c r="L195" s="16" t="n"/>
      <c r="M195" s="17">
        <f>IF($C195="","",IF($L195="","",IF(NOT(ISNUMBER($L195)),$L195,IF(N($K195)&gt;2,"",IF($K195=1,IF(COUNTIFS(nrES_PID,$D195,nrES_Code,$F195,nrES_Att,2,nrES_Raw,"&gt;=0")&gt;0,"",$L195),IF($L195&gt;=$J195,MAX($J195,cfgRetakeRecordedCap),IF(COUNTIFS(nrES_PID,$D195,nrES_Code,$F195,nrES_Att,1)=0,$L195,SUMIFS(nrES_Raw,nrES_PID,$D195,nrES_Code,$F195,nrES_Att,1))))))))</f>
        <v/>
      </c>
      <c r="N195" s="17">
        <f>IF($C195="","",IF($L195="","",IF(NOT(ISNUMBER($L195)),"(not a score)",IF($L195&gt;=$J195,"Yes","No"))))</f>
        <v/>
      </c>
      <c r="O195" s="17">
        <f>IF($C195="","",IF($M195="","",IF(NOT(ISNUMBER($M195)),"(not a score)",IF($M195&gt;=$J195,"Yes","No"))))</f>
        <v/>
      </c>
      <c r="P195" s="17">
        <f>IF($C195="","",IF($K195="","",IF(N($K195)&gt;2,"No",IF(COUNTIFS(nrES_PID,$D195,nrES_Code,$F195,nrES_Att,"&gt;"&amp;$K195,nrES_Att,"&lt;=2",nrES_Raw,"&gt;=0")=0,"Yes","No"))))</f>
        <v/>
      </c>
      <c r="Q195" s="17">
        <f>IF($C195="","",IF($L195="","",IF(AND($K195=1,ISNUMBER($L195),$L195&lt;$J195,COUNTIFS(nrES_PID,$D195,nrES_Code,$F195,nrES_Att,2,nrES_Raw,"&gt;=0")=0),"Yes","No")))</f>
        <v/>
      </c>
      <c r="R195" s="17">
        <f>IF($C195="","",IF($L195="","",IF(AND(N($K195)&gt;=2,ISNUMBER($L195),$L195&lt;$J195),"Yes","No")))</f>
        <v/>
      </c>
      <c r="S195" s="18" t="n"/>
      <c r="T195" s="19">
        <f>IF(OR($C195="",$L195="",$K195&lt;&gt;1,NOT(ISNUMBER($L195)),$L195&gt;=$J195),"",IF($S195="","(enter date)",_xlfn.LET(_xlpm.dn,_xlfn.XLOOKUP($S195,nrCDdate,nrCDnum,"",1),IF(_xlpm.dn="","(after last class day)",_xlfn.LET(_xlpm.dd,_xlfn.XLOOKUP(_xlpm.dn+cfgRetestClassDays,nrCDnum,nrCDdate,""),_xlpm.ok,_xlfn.XLOOKUP(_xlpm.dn+cfgRetestClassDays,nrCDnum,nrCDinsession,"No"),IF(OR(_xlpm.dd="",_xlpm.ok&lt;&gt;"Yes"),"(after last class day)",_xlpm.dd))))))</f>
        <v/>
      </c>
      <c r="U195" s="17">
        <f>IF($C195="","",IF(AND($Y195="Excused",$L195="",N($K195)&lt;=1),"EXCUSED - 1st attempt pending",IF(OR($L195="",$K195&lt;&gt;1,NOT(ISNUMBER($L195)),$L195&gt;=$J195),"",IF(COUNTIFS(nrES_PID,$D195,nrES_Code,$F195,nrES_Att,2,nrES_Raw,"&gt;=0")&gt;0,IF(IFERROR(_xlfn.MINIFS(nrES_Date,nrES_PID,$D195,nrES_Code,$F195,nrES_Att,2,nrES_Raw,"&gt;=0",nrES_Date,"&gt;0"),0)=0,"RETEST UNDATED",IF(NOT(ISNUMBER($T195)),"RETEST DATE UNCHECKED",IF(_xlfn.MINIFS(nrES_Date,nrES_PID,$D195,nrES_Code,$F195,nrES_Att,2,nrES_Raw,"&gt;=0",nrES_Date,"&gt;0")&gt;$T195,"LATE RETEST "&amp;TEXT(_xlfn.MINIFS(nrES_Date,nrES_PID,$D195,nrES_Code,$F195,nrES_Att,2,nrES_Raw,"&gt;=0",nrES_Date,"&gt;0"),"mm/dd")&amp;" (due "&amp;TEXT($T195,"mm/dd")&amp;")","Retested"))),IF(NOT(ISNUMBER($T195)),"CHECK DATE",IF(TODAY()&gt;$T195,"OVERDUE","Due "&amp;TEXT($T195,"mm/dd")))))))</f>
        <v/>
      </c>
      <c r="V195" s="16" t="n"/>
      <c r="W195" s="16" t="n"/>
      <c r="X195" s="17">
        <f>IF($C195="","",IF(AND($L195&lt;&gt;"",NOT(ISNUMBER($L195))),"RAW SCORE NOT A NUMBER",IF(AND(ISNUMBER($L195),OR($L195&lt;0,$L195&gt;100)),"RAW SCORE OUT OF RANGE",IF(AND($Y195="Unexcused",OR($L195="",NOT(ISNUMBER($L195)),$L195&lt;&gt;0)),"UNEXCUSED ABSENCE MUST RECORD 0",IF(COUNTIF(nrES_RecID,$B195)&gt;1,"DUPLICATE RECORD",IF(N($K195)&gt;2,"ATTEMPT 3+ NOT ALLOWED - policy 300.5 permits one retest per exam; this row records nothing",IF(AND($K195=2,COUNTIFS(nrES_PID,$D195,nrES_Code,$F195,nrES_Att,1)=0),"ATTEMPT 2 WITHOUT ATTEMPT 1",IF(AND($K195=2,$L195=""),"RETEST ROW HAS NO SCORE",IF(AND($H195="Final",$L195&lt;&gt;"",IFERROR(INDEX(nrCKfinalExamElig,MATCH($D195,rngCadetPIDs,0)),"")="No"),"FINAL EXAM AFTER FAILED FINAL PT (500.1.H)",IF(AND($K195=2,ISNUMBER($L195),COUNTIFS(nrES_PID,$D195,nrES_Code,$F195,nrES_Att,1)&gt;0,SUMIFS(nrES_Raw,nrES_PID,$D195,nrES_Code,$F195,nrES_Att,1)&gt;=$J195),"RETEST AFTER A PASSING FIRST ATTEMPT","OK"))))))))))</f>
        <v/>
      </c>
      <c r="Y195" s="16" t="n"/>
    </row>
    <row r="196">
      <c r="B196" s="17">
        <f>IF($C196="","",$D196&amp;"-"&amp;$F196&amp;"-"&amp;$K196)</f>
        <v/>
      </c>
      <c r="C196" s="16" t="n"/>
      <c r="D196" s="17">
        <f>IF($C196="","",IFERROR(INDEX(rngCadetPIDs,MATCH($C196,rngCadetNames,0)),"?"))</f>
        <v/>
      </c>
      <c r="E196" s="17">
        <f>IF($D196="","",IFERROR(INDEX(nrCadetAgency,MATCH($D196,rngCadetPIDs,0)),""))</f>
        <v/>
      </c>
      <c r="F196" s="16" t="n"/>
      <c r="G196" s="17">
        <f>IF($F196="","",IFERROR(INDEX(rngEPname,MATCH($F196,rngEPcode,0)),"?"))</f>
        <v/>
      </c>
      <c r="H196" s="17">
        <f>IF($F196="","",IFERROR(INDEX(rngEPtype,MATCH($F196,rngEPcode,0)),"?"))</f>
        <v/>
      </c>
      <c r="I196" s="17">
        <f>IF($F196="","",IFERROR(INDEX(rngEPseq,MATCH($F196,rngEPcode,0)),""))</f>
        <v/>
      </c>
      <c r="J196" s="17">
        <f>IF($F196="","",IFERROR(INDEX(rngEPpass,MATCH($F196,rngEPcode,0)),cfgPassingScore))</f>
        <v/>
      </c>
      <c r="K196" s="16" t="n"/>
      <c r="L196" s="16" t="n"/>
      <c r="M196" s="17">
        <f>IF($C196="","",IF($L196="","",IF(NOT(ISNUMBER($L196)),$L196,IF(N($K196)&gt;2,"",IF($K196=1,IF(COUNTIFS(nrES_PID,$D196,nrES_Code,$F196,nrES_Att,2,nrES_Raw,"&gt;=0")&gt;0,"",$L196),IF($L196&gt;=$J196,MAX($J196,cfgRetakeRecordedCap),IF(COUNTIFS(nrES_PID,$D196,nrES_Code,$F196,nrES_Att,1)=0,$L196,SUMIFS(nrES_Raw,nrES_PID,$D196,nrES_Code,$F196,nrES_Att,1))))))))</f>
        <v/>
      </c>
      <c r="N196" s="17">
        <f>IF($C196="","",IF($L196="","",IF(NOT(ISNUMBER($L196)),"(not a score)",IF($L196&gt;=$J196,"Yes","No"))))</f>
        <v/>
      </c>
      <c r="O196" s="17">
        <f>IF($C196="","",IF($M196="","",IF(NOT(ISNUMBER($M196)),"(not a score)",IF($M196&gt;=$J196,"Yes","No"))))</f>
        <v/>
      </c>
      <c r="P196" s="17">
        <f>IF($C196="","",IF($K196="","",IF(N($K196)&gt;2,"No",IF(COUNTIFS(nrES_PID,$D196,nrES_Code,$F196,nrES_Att,"&gt;"&amp;$K196,nrES_Att,"&lt;=2",nrES_Raw,"&gt;=0")=0,"Yes","No"))))</f>
        <v/>
      </c>
      <c r="Q196" s="17">
        <f>IF($C196="","",IF($L196="","",IF(AND($K196=1,ISNUMBER($L196),$L196&lt;$J196,COUNTIFS(nrES_PID,$D196,nrES_Code,$F196,nrES_Att,2,nrES_Raw,"&gt;=0")=0),"Yes","No")))</f>
        <v/>
      </c>
      <c r="R196" s="17">
        <f>IF($C196="","",IF($L196="","",IF(AND(N($K196)&gt;=2,ISNUMBER($L196),$L196&lt;$J196),"Yes","No")))</f>
        <v/>
      </c>
      <c r="S196" s="18" t="n"/>
      <c r="T196" s="19">
        <f>IF(OR($C196="",$L196="",$K196&lt;&gt;1,NOT(ISNUMBER($L196)),$L196&gt;=$J196),"",IF($S196="","(enter date)",_xlfn.LET(_xlpm.dn,_xlfn.XLOOKUP($S196,nrCDdate,nrCDnum,"",1),IF(_xlpm.dn="","(after last class day)",_xlfn.LET(_xlpm.dd,_xlfn.XLOOKUP(_xlpm.dn+cfgRetestClassDays,nrCDnum,nrCDdate,""),_xlpm.ok,_xlfn.XLOOKUP(_xlpm.dn+cfgRetestClassDays,nrCDnum,nrCDinsession,"No"),IF(OR(_xlpm.dd="",_xlpm.ok&lt;&gt;"Yes"),"(after last class day)",_xlpm.dd))))))</f>
        <v/>
      </c>
      <c r="U196" s="17">
        <f>IF($C196="","",IF(AND($Y196="Excused",$L196="",N($K196)&lt;=1),"EXCUSED - 1st attempt pending",IF(OR($L196="",$K196&lt;&gt;1,NOT(ISNUMBER($L196)),$L196&gt;=$J196),"",IF(COUNTIFS(nrES_PID,$D196,nrES_Code,$F196,nrES_Att,2,nrES_Raw,"&gt;=0")&gt;0,IF(IFERROR(_xlfn.MINIFS(nrES_Date,nrES_PID,$D196,nrES_Code,$F196,nrES_Att,2,nrES_Raw,"&gt;=0",nrES_Date,"&gt;0"),0)=0,"RETEST UNDATED",IF(NOT(ISNUMBER($T196)),"RETEST DATE UNCHECKED",IF(_xlfn.MINIFS(nrES_Date,nrES_PID,$D196,nrES_Code,$F196,nrES_Att,2,nrES_Raw,"&gt;=0",nrES_Date,"&gt;0")&gt;$T196,"LATE RETEST "&amp;TEXT(_xlfn.MINIFS(nrES_Date,nrES_PID,$D196,nrES_Code,$F196,nrES_Att,2,nrES_Raw,"&gt;=0",nrES_Date,"&gt;0"),"mm/dd")&amp;" (due "&amp;TEXT($T196,"mm/dd")&amp;")","Retested"))),IF(NOT(ISNUMBER($T196)),"CHECK DATE",IF(TODAY()&gt;$T196,"OVERDUE","Due "&amp;TEXT($T196,"mm/dd")))))))</f>
        <v/>
      </c>
      <c r="V196" s="16" t="n"/>
      <c r="W196" s="16" t="n"/>
      <c r="X196" s="17">
        <f>IF($C196="","",IF(AND($L196&lt;&gt;"",NOT(ISNUMBER($L196))),"RAW SCORE NOT A NUMBER",IF(AND(ISNUMBER($L196),OR($L196&lt;0,$L196&gt;100)),"RAW SCORE OUT OF RANGE",IF(AND($Y196="Unexcused",OR($L196="",NOT(ISNUMBER($L196)),$L196&lt;&gt;0)),"UNEXCUSED ABSENCE MUST RECORD 0",IF(COUNTIF(nrES_RecID,$B196)&gt;1,"DUPLICATE RECORD",IF(N($K196)&gt;2,"ATTEMPT 3+ NOT ALLOWED - policy 300.5 permits one retest per exam; this row records nothing",IF(AND($K196=2,COUNTIFS(nrES_PID,$D196,nrES_Code,$F196,nrES_Att,1)=0),"ATTEMPT 2 WITHOUT ATTEMPT 1",IF(AND($K196=2,$L196=""),"RETEST ROW HAS NO SCORE",IF(AND($H196="Final",$L196&lt;&gt;"",IFERROR(INDEX(nrCKfinalExamElig,MATCH($D196,rngCadetPIDs,0)),"")="No"),"FINAL EXAM AFTER FAILED FINAL PT (500.1.H)",IF(AND($K196=2,ISNUMBER($L196),COUNTIFS(nrES_PID,$D196,nrES_Code,$F196,nrES_Att,1)&gt;0,SUMIFS(nrES_Raw,nrES_PID,$D196,nrES_Code,$F196,nrES_Att,1)&gt;=$J196),"RETEST AFTER A PASSING FIRST ATTEMPT","OK"))))))))))</f>
        <v/>
      </c>
      <c r="Y196" s="16" t="n"/>
    </row>
    <row r="197">
      <c r="B197" s="17">
        <f>IF($C197="","",$D197&amp;"-"&amp;$F197&amp;"-"&amp;$K197)</f>
        <v/>
      </c>
      <c r="C197" s="16" t="n"/>
      <c r="D197" s="17">
        <f>IF($C197="","",IFERROR(INDEX(rngCadetPIDs,MATCH($C197,rngCadetNames,0)),"?"))</f>
        <v/>
      </c>
      <c r="E197" s="17">
        <f>IF($D197="","",IFERROR(INDEX(nrCadetAgency,MATCH($D197,rngCadetPIDs,0)),""))</f>
        <v/>
      </c>
      <c r="F197" s="16" t="n"/>
      <c r="G197" s="17">
        <f>IF($F197="","",IFERROR(INDEX(rngEPname,MATCH($F197,rngEPcode,0)),"?"))</f>
        <v/>
      </c>
      <c r="H197" s="17">
        <f>IF($F197="","",IFERROR(INDEX(rngEPtype,MATCH($F197,rngEPcode,0)),"?"))</f>
        <v/>
      </c>
      <c r="I197" s="17">
        <f>IF($F197="","",IFERROR(INDEX(rngEPseq,MATCH($F197,rngEPcode,0)),""))</f>
        <v/>
      </c>
      <c r="J197" s="17">
        <f>IF($F197="","",IFERROR(INDEX(rngEPpass,MATCH($F197,rngEPcode,0)),cfgPassingScore))</f>
        <v/>
      </c>
      <c r="K197" s="16" t="n"/>
      <c r="L197" s="16" t="n"/>
      <c r="M197" s="17">
        <f>IF($C197="","",IF($L197="","",IF(NOT(ISNUMBER($L197)),$L197,IF(N($K197)&gt;2,"",IF($K197=1,IF(COUNTIFS(nrES_PID,$D197,nrES_Code,$F197,nrES_Att,2,nrES_Raw,"&gt;=0")&gt;0,"",$L197),IF($L197&gt;=$J197,MAX($J197,cfgRetakeRecordedCap),IF(COUNTIFS(nrES_PID,$D197,nrES_Code,$F197,nrES_Att,1)=0,$L197,SUMIFS(nrES_Raw,nrES_PID,$D197,nrES_Code,$F197,nrES_Att,1))))))))</f>
        <v/>
      </c>
      <c r="N197" s="17">
        <f>IF($C197="","",IF($L197="","",IF(NOT(ISNUMBER($L197)),"(not a score)",IF($L197&gt;=$J197,"Yes","No"))))</f>
        <v/>
      </c>
      <c r="O197" s="17">
        <f>IF($C197="","",IF($M197="","",IF(NOT(ISNUMBER($M197)),"(not a score)",IF($M197&gt;=$J197,"Yes","No"))))</f>
        <v/>
      </c>
      <c r="P197" s="17">
        <f>IF($C197="","",IF($K197="","",IF(N($K197)&gt;2,"No",IF(COUNTIFS(nrES_PID,$D197,nrES_Code,$F197,nrES_Att,"&gt;"&amp;$K197,nrES_Att,"&lt;=2",nrES_Raw,"&gt;=0")=0,"Yes","No"))))</f>
        <v/>
      </c>
      <c r="Q197" s="17">
        <f>IF($C197="","",IF($L197="","",IF(AND($K197=1,ISNUMBER($L197),$L197&lt;$J197,COUNTIFS(nrES_PID,$D197,nrES_Code,$F197,nrES_Att,2,nrES_Raw,"&gt;=0")=0),"Yes","No")))</f>
        <v/>
      </c>
      <c r="R197" s="17">
        <f>IF($C197="","",IF($L197="","",IF(AND(N($K197)&gt;=2,ISNUMBER($L197),$L197&lt;$J197),"Yes","No")))</f>
        <v/>
      </c>
      <c r="S197" s="18" t="n"/>
      <c r="T197" s="19">
        <f>IF(OR($C197="",$L197="",$K197&lt;&gt;1,NOT(ISNUMBER($L197)),$L197&gt;=$J197),"",IF($S197="","(enter date)",_xlfn.LET(_xlpm.dn,_xlfn.XLOOKUP($S197,nrCDdate,nrCDnum,"",1),IF(_xlpm.dn="","(after last class day)",_xlfn.LET(_xlpm.dd,_xlfn.XLOOKUP(_xlpm.dn+cfgRetestClassDays,nrCDnum,nrCDdate,""),_xlpm.ok,_xlfn.XLOOKUP(_xlpm.dn+cfgRetestClassDays,nrCDnum,nrCDinsession,"No"),IF(OR(_xlpm.dd="",_xlpm.ok&lt;&gt;"Yes"),"(after last class day)",_xlpm.dd))))))</f>
        <v/>
      </c>
      <c r="U197" s="17">
        <f>IF($C197="","",IF(AND($Y197="Excused",$L197="",N($K197)&lt;=1),"EXCUSED - 1st attempt pending",IF(OR($L197="",$K197&lt;&gt;1,NOT(ISNUMBER($L197)),$L197&gt;=$J197),"",IF(COUNTIFS(nrES_PID,$D197,nrES_Code,$F197,nrES_Att,2,nrES_Raw,"&gt;=0")&gt;0,IF(IFERROR(_xlfn.MINIFS(nrES_Date,nrES_PID,$D197,nrES_Code,$F197,nrES_Att,2,nrES_Raw,"&gt;=0",nrES_Date,"&gt;0"),0)=0,"RETEST UNDATED",IF(NOT(ISNUMBER($T197)),"RETEST DATE UNCHECKED",IF(_xlfn.MINIFS(nrES_Date,nrES_PID,$D197,nrES_Code,$F197,nrES_Att,2,nrES_Raw,"&gt;=0",nrES_Date,"&gt;0")&gt;$T197,"LATE RETEST "&amp;TEXT(_xlfn.MINIFS(nrES_Date,nrES_PID,$D197,nrES_Code,$F197,nrES_Att,2,nrES_Raw,"&gt;=0",nrES_Date,"&gt;0"),"mm/dd")&amp;" (due "&amp;TEXT($T197,"mm/dd")&amp;")","Retested"))),IF(NOT(ISNUMBER($T197)),"CHECK DATE",IF(TODAY()&gt;$T197,"OVERDUE","Due "&amp;TEXT($T197,"mm/dd")))))))</f>
        <v/>
      </c>
      <c r="V197" s="16" t="n"/>
      <c r="W197" s="16" t="n"/>
      <c r="X197" s="17">
        <f>IF($C197="","",IF(AND($L197&lt;&gt;"",NOT(ISNUMBER($L197))),"RAW SCORE NOT A NUMBER",IF(AND(ISNUMBER($L197),OR($L197&lt;0,$L197&gt;100)),"RAW SCORE OUT OF RANGE",IF(AND($Y197="Unexcused",OR($L197="",NOT(ISNUMBER($L197)),$L197&lt;&gt;0)),"UNEXCUSED ABSENCE MUST RECORD 0",IF(COUNTIF(nrES_RecID,$B197)&gt;1,"DUPLICATE RECORD",IF(N($K197)&gt;2,"ATTEMPT 3+ NOT ALLOWED - policy 300.5 permits one retest per exam; this row records nothing",IF(AND($K197=2,COUNTIFS(nrES_PID,$D197,nrES_Code,$F197,nrES_Att,1)=0),"ATTEMPT 2 WITHOUT ATTEMPT 1",IF(AND($K197=2,$L197=""),"RETEST ROW HAS NO SCORE",IF(AND($H197="Final",$L197&lt;&gt;"",IFERROR(INDEX(nrCKfinalExamElig,MATCH($D197,rngCadetPIDs,0)),"")="No"),"FINAL EXAM AFTER FAILED FINAL PT (500.1.H)",IF(AND($K197=2,ISNUMBER($L197),COUNTIFS(nrES_PID,$D197,nrES_Code,$F197,nrES_Att,1)&gt;0,SUMIFS(nrES_Raw,nrES_PID,$D197,nrES_Code,$F197,nrES_Att,1)&gt;=$J197),"RETEST AFTER A PASSING FIRST ATTEMPT","OK"))))))))))</f>
        <v/>
      </c>
      <c r="Y197" s="16" t="n"/>
    </row>
    <row r="198">
      <c r="B198" s="17">
        <f>IF($C198="","",$D198&amp;"-"&amp;$F198&amp;"-"&amp;$K198)</f>
        <v/>
      </c>
      <c r="C198" s="16" t="n"/>
      <c r="D198" s="17">
        <f>IF($C198="","",IFERROR(INDEX(rngCadetPIDs,MATCH($C198,rngCadetNames,0)),"?"))</f>
        <v/>
      </c>
      <c r="E198" s="17">
        <f>IF($D198="","",IFERROR(INDEX(nrCadetAgency,MATCH($D198,rngCadetPIDs,0)),""))</f>
        <v/>
      </c>
      <c r="F198" s="16" t="n"/>
      <c r="G198" s="17">
        <f>IF($F198="","",IFERROR(INDEX(rngEPname,MATCH($F198,rngEPcode,0)),"?"))</f>
        <v/>
      </c>
      <c r="H198" s="17">
        <f>IF($F198="","",IFERROR(INDEX(rngEPtype,MATCH($F198,rngEPcode,0)),"?"))</f>
        <v/>
      </c>
      <c r="I198" s="17">
        <f>IF($F198="","",IFERROR(INDEX(rngEPseq,MATCH($F198,rngEPcode,0)),""))</f>
        <v/>
      </c>
      <c r="J198" s="17">
        <f>IF($F198="","",IFERROR(INDEX(rngEPpass,MATCH($F198,rngEPcode,0)),cfgPassingScore))</f>
        <v/>
      </c>
      <c r="K198" s="16" t="n"/>
      <c r="L198" s="16" t="n"/>
      <c r="M198" s="17">
        <f>IF($C198="","",IF($L198="","",IF(NOT(ISNUMBER($L198)),$L198,IF(N($K198)&gt;2,"",IF($K198=1,IF(COUNTIFS(nrES_PID,$D198,nrES_Code,$F198,nrES_Att,2,nrES_Raw,"&gt;=0")&gt;0,"",$L198),IF($L198&gt;=$J198,MAX($J198,cfgRetakeRecordedCap),IF(COUNTIFS(nrES_PID,$D198,nrES_Code,$F198,nrES_Att,1)=0,$L198,SUMIFS(nrES_Raw,nrES_PID,$D198,nrES_Code,$F198,nrES_Att,1))))))))</f>
        <v/>
      </c>
      <c r="N198" s="17">
        <f>IF($C198="","",IF($L198="","",IF(NOT(ISNUMBER($L198)),"(not a score)",IF($L198&gt;=$J198,"Yes","No"))))</f>
        <v/>
      </c>
      <c r="O198" s="17">
        <f>IF($C198="","",IF($M198="","",IF(NOT(ISNUMBER($M198)),"(not a score)",IF($M198&gt;=$J198,"Yes","No"))))</f>
        <v/>
      </c>
      <c r="P198" s="17">
        <f>IF($C198="","",IF($K198="","",IF(N($K198)&gt;2,"No",IF(COUNTIFS(nrES_PID,$D198,nrES_Code,$F198,nrES_Att,"&gt;"&amp;$K198,nrES_Att,"&lt;=2",nrES_Raw,"&gt;=0")=0,"Yes","No"))))</f>
        <v/>
      </c>
      <c r="Q198" s="17">
        <f>IF($C198="","",IF($L198="","",IF(AND($K198=1,ISNUMBER($L198),$L198&lt;$J198,COUNTIFS(nrES_PID,$D198,nrES_Code,$F198,nrES_Att,2,nrES_Raw,"&gt;=0")=0),"Yes","No")))</f>
        <v/>
      </c>
      <c r="R198" s="17">
        <f>IF($C198="","",IF($L198="","",IF(AND(N($K198)&gt;=2,ISNUMBER($L198),$L198&lt;$J198),"Yes","No")))</f>
        <v/>
      </c>
      <c r="S198" s="18" t="n"/>
      <c r="T198" s="19">
        <f>IF(OR($C198="",$L198="",$K198&lt;&gt;1,NOT(ISNUMBER($L198)),$L198&gt;=$J198),"",IF($S198="","(enter date)",_xlfn.LET(_xlpm.dn,_xlfn.XLOOKUP($S198,nrCDdate,nrCDnum,"",1),IF(_xlpm.dn="","(after last class day)",_xlfn.LET(_xlpm.dd,_xlfn.XLOOKUP(_xlpm.dn+cfgRetestClassDays,nrCDnum,nrCDdate,""),_xlpm.ok,_xlfn.XLOOKUP(_xlpm.dn+cfgRetestClassDays,nrCDnum,nrCDinsession,"No"),IF(OR(_xlpm.dd="",_xlpm.ok&lt;&gt;"Yes"),"(after last class day)",_xlpm.dd))))))</f>
        <v/>
      </c>
      <c r="U198" s="17">
        <f>IF($C198="","",IF(AND($Y198="Excused",$L198="",N($K198)&lt;=1),"EXCUSED - 1st attempt pending",IF(OR($L198="",$K198&lt;&gt;1,NOT(ISNUMBER($L198)),$L198&gt;=$J198),"",IF(COUNTIFS(nrES_PID,$D198,nrES_Code,$F198,nrES_Att,2,nrES_Raw,"&gt;=0")&gt;0,IF(IFERROR(_xlfn.MINIFS(nrES_Date,nrES_PID,$D198,nrES_Code,$F198,nrES_Att,2,nrES_Raw,"&gt;=0",nrES_Date,"&gt;0"),0)=0,"RETEST UNDATED",IF(NOT(ISNUMBER($T198)),"RETEST DATE UNCHECKED",IF(_xlfn.MINIFS(nrES_Date,nrES_PID,$D198,nrES_Code,$F198,nrES_Att,2,nrES_Raw,"&gt;=0",nrES_Date,"&gt;0")&gt;$T198,"LATE RETEST "&amp;TEXT(_xlfn.MINIFS(nrES_Date,nrES_PID,$D198,nrES_Code,$F198,nrES_Att,2,nrES_Raw,"&gt;=0",nrES_Date,"&gt;0"),"mm/dd")&amp;" (due "&amp;TEXT($T198,"mm/dd")&amp;")","Retested"))),IF(NOT(ISNUMBER($T198)),"CHECK DATE",IF(TODAY()&gt;$T198,"OVERDUE","Due "&amp;TEXT($T198,"mm/dd")))))))</f>
        <v/>
      </c>
      <c r="V198" s="16" t="n"/>
      <c r="W198" s="16" t="n"/>
      <c r="X198" s="17">
        <f>IF($C198="","",IF(AND($L198&lt;&gt;"",NOT(ISNUMBER($L198))),"RAW SCORE NOT A NUMBER",IF(AND(ISNUMBER($L198),OR($L198&lt;0,$L198&gt;100)),"RAW SCORE OUT OF RANGE",IF(AND($Y198="Unexcused",OR($L198="",NOT(ISNUMBER($L198)),$L198&lt;&gt;0)),"UNEXCUSED ABSENCE MUST RECORD 0",IF(COUNTIF(nrES_RecID,$B198)&gt;1,"DUPLICATE RECORD",IF(N($K198)&gt;2,"ATTEMPT 3+ NOT ALLOWED - policy 300.5 permits one retest per exam; this row records nothing",IF(AND($K198=2,COUNTIFS(nrES_PID,$D198,nrES_Code,$F198,nrES_Att,1)=0),"ATTEMPT 2 WITHOUT ATTEMPT 1",IF(AND($K198=2,$L198=""),"RETEST ROW HAS NO SCORE",IF(AND($H198="Final",$L198&lt;&gt;"",IFERROR(INDEX(nrCKfinalExamElig,MATCH($D198,rngCadetPIDs,0)),"")="No"),"FINAL EXAM AFTER FAILED FINAL PT (500.1.H)",IF(AND($K198=2,ISNUMBER($L198),COUNTIFS(nrES_PID,$D198,nrES_Code,$F198,nrES_Att,1)&gt;0,SUMIFS(nrES_Raw,nrES_PID,$D198,nrES_Code,$F198,nrES_Att,1)&gt;=$J198),"RETEST AFTER A PASSING FIRST ATTEMPT","OK"))))))))))</f>
        <v/>
      </c>
      <c r="Y198" s="16" t="n"/>
    </row>
    <row r="199">
      <c r="B199" s="17">
        <f>IF($C199="","",$D199&amp;"-"&amp;$F199&amp;"-"&amp;$K199)</f>
        <v/>
      </c>
      <c r="C199" s="16" t="n"/>
      <c r="D199" s="17">
        <f>IF($C199="","",IFERROR(INDEX(rngCadetPIDs,MATCH($C199,rngCadetNames,0)),"?"))</f>
        <v/>
      </c>
      <c r="E199" s="17">
        <f>IF($D199="","",IFERROR(INDEX(nrCadetAgency,MATCH($D199,rngCadetPIDs,0)),""))</f>
        <v/>
      </c>
      <c r="F199" s="16" t="n"/>
      <c r="G199" s="17">
        <f>IF($F199="","",IFERROR(INDEX(rngEPname,MATCH($F199,rngEPcode,0)),"?"))</f>
        <v/>
      </c>
      <c r="H199" s="17">
        <f>IF($F199="","",IFERROR(INDEX(rngEPtype,MATCH($F199,rngEPcode,0)),"?"))</f>
        <v/>
      </c>
      <c r="I199" s="17">
        <f>IF($F199="","",IFERROR(INDEX(rngEPseq,MATCH($F199,rngEPcode,0)),""))</f>
        <v/>
      </c>
      <c r="J199" s="17">
        <f>IF($F199="","",IFERROR(INDEX(rngEPpass,MATCH($F199,rngEPcode,0)),cfgPassingScore))</f>
        <v/>
      </c>
      <c r="K199" s="16" t="n"/>
      <c r="L199" s="16" t="n"/>
      <c r="M199" s="17">
        <f>IF($C199="","",IF($L199="","",IF(NOT(ISNUMBER($L199)),$L199,IF(N($K199)&gt;2,"",IF($K199=1,IF(COUNTIFS(nrES_PID,$D199,nrES_Code,$F199,nrES_Att,2,nrES_Raw,"&gt;=0")&gt;0,"",$L199),IF($L199&gt;=$J199,MAX($J199,cfgRetakeRecordedCap),IF(COUNTIFS(nrES_PID,$D199,nrES_Code,$F199,nrES_Att,1)=0,$L199,SUMIFS(nrES_Raw,nrES_PID,$D199,nrES_Code,$F199,nrES_Att,1))))))))</f>
        <v/>
      </c>
      <c r="N199" s="17">
        <f>IF($C199="","",IF($L199="","",IF(NOT(ISNUMBER($L199)),"(not a score)",IF($L199&gt;=$J199,"Yes","No"))))</f>
        <v/>
      </c>
      <c r="O199" s="17">
        <f>IF($C199="","",IF($M199="","",IF(NOT(ISNUMBER($M199)),"(not a score)",IF($M199&gt;=$J199,"Yes","No"))))</f>
        <v/>
      </c>
      <c r="P199" s="17">
        <f>IF($C199="","",IF($K199="","",IF(N($K199)&gt;2,"No",IF(COUNTIFS(nrES_PID,$D199,nrES_Code,$F199,nrES_Att,"&gt;"&amp;$K199,nrES_Att,"&lt;=2",nrES_Raw,"&gt;=0")=0,"Yes","No"))))</f>
        <v/>
      </c>
      <c r="Q199" s="17">
        <f>IF($C199="","",IF($L199="","",IF(AND($K199=1,ISNUMBER($L199),$L199&lt;$J199,COUNTIFS(nrES_PID,$D199,nrES_Code,$F199,nrES_Att,2,nrES_Raw,"&gt;=0")=0),"Yes","No")))</f>
        <v/>
      </c>
      <c r="R199" s="17">
        <f>IF($C199="","",IF($L199="","",IF(AND(N($K199)&gt;=2,ISNUMBER($L199),$L199&lt;$J199),"Yes","No")))</f>
        <v/>
      </c>
      <c r="S199" s="18" t="n"/>
      <c r="T199" s="19">
        <f>IF(OR($C199="",$L199="",$K199&lt;&gt;1,NOT(ISNUMBER($L199)),$L199&gt;=$J199),"",IF($S199="","(enter date)",_xlfn.LET(_xlpm.dn,_xlfn.XLOOKUP($S199,nrCDdate,nrCDnum,"",1),IF(_xlpm.dn="","(after last class day)",_xlfn.LET(_xlpm.dd,_xlfn.XLOOKUP(_xlpm.dn+cfgRetestClassDays,nrCDnum,nrCDdate,""),_xlpm.ok,_xlfn.XLOOKUP(_xlpm.dn+cfgRetestClassDays,nrCDnum,nrCDinsession,"No"),IF(OR(_xlpm.dd="",_xlpm.ok&lt;&gt;"Yes"),"(after last class day)",_xlpm.dd))))))</f>
        <v/>
      </c>
      <c r="U199" s="17">
        <f>IF($C199="","",IF(AND($Y199="Excused",$L199="",N($K199)&lt;=1),"EXCUSED - 1st attempt pending",IF(OR($L199="",$K199&lt;&gt;1,NOT(ISNUMBER($L199)),$L199&gt;=$J199),"",IF(COUNTIFS(nrES_PID,$D199,nrES_Code,$F199,nrES_Att,2,nrES_Raw,"&gt;=0")&gt;0,IF(IFERROR(_xlfn.MINIFS(nrES_Date,nrES_PID,$D199,nrES_Code,$F199,nrES_Att,2,nrES_Raw,"&gt;=0",nrES_Date,"&gt;0"),0)=0,"RETEST UNDATED",IF(NOT(ISNUMBER($T199)),"RETEST DATE UNCHECKED",IF(_xlfn.MINIFS(nrES_Date,nrES_PID,$D199,nrES_Code,$F199,nrES_Att,2,nrES_Raw,"&gt;=0",nrES_Date,"&gt;0")&gt;$T199,"LATE RETEST "&amp;TEXT(_xlfn.MINIFS(nrES_Date,nrES_PID,$D199,nrES_Code,$F199,nrES_Att,2,nrES_Raw,"&gt;=0",nrES_Date,"&gt;0"),"mm/dd")&amp;" (due "&amp;TEXT($T199,"mm/dd")&amp;")","Retested"))),IF(NOT(ISNUMBER($T199)),"CHECK DATE",IF(TODAY()&gt;$T199,"OVERDUE","Due "&amp;TEXT($T199,"mm/dd")))))))</f>
        <v/>
      </c>
      <c r="V199" s="16" t="n"/>
      <c r="W199" s="16" t="n"/>
      <c r="X199" s="17">
        <f>IF($C199="","",IF(AND($L199&lt;&gt;"",NOT(ISNUMBER($L199))),"RAW SCORE NOT A NUMBER",IF(AND(ISNUMBER($L199),OR($L199&lt;0,$L199&gt;100)),"RAW SCORE OUT OF RANGE",IF(AND($Y199="Unexcused",OR($L199="",NOT(ISNUMBER($L199)),$L199&lt;&gt;0)),"UNEXCUSED ABSENCE MUST RECORD 0",IF(COUNTIF(nrES_RecID,$B199)&gt;1,"DUPLICATE RECORD",IF(N($K199)&gt;2,"ATTEMPT 3+ NOT ALLOWED - policy 300.5 permits one retest per exam; this row records nothing",IF(AND($K199=2,COUNTIFS(nrES_PID,$D199,nrES_Code,$F199,nrES_Att,1)=0),"ATTEMPT 2 WITHOUT ATTEMPT 1",IF(AND($K199=2,$L199=""),"RETEST ROW HAS NO SCORE",IF(AND($H199="Final",$L199&lt;&gt;"",IFERROR(INDEX(nrCKfinalExamElig,MATCH($D199,rngCadetPIDs,0)),"")="No"),"FINAL EXAM AFTER FAILED FINAL PT (500.1.H)",IF(AND($K199=2,ISNUMBER($L199),COUNTIFS(nrES_PID,$D199,nrES_Code,$F199,nrES_Att,1)&gt;0,SUMIFS(nrES_Raw,nrES_PID,$D199,nrES_Code,$F199,nrES_Att,1)&gt;=$J199),"RETEST AFTER A PASSING FIRST ATTEMPT","OK"))))))))))</f>
        <v/>
      </c>
      <c r="Y199" s="16" t="n"/>
    </row>
    <row r="200">
      <c r="B200" s="17">
        <f>IF($C200="","",$D200&amp;"-"&amp;$F200&amp;"-"&amp;$K200)</f>
        <v/>
      </c>
      <c r="C200" s="16" t="n"/>
      <c r="D200" s="17">
        <f>IF($C200="","",IFERROR(INDEX(rngCadetPIDs,MATCH($C200,rngCadetNames,0)),"?"))</f>
        <v/>
      </c>
      <c r="E200" s="17">
        <f>IF($D200="","",IFERROR(INDEX(nrCadetAgency,MATCH($D200,rngCadetPIDs,0)),""))</f>
        <v/>
      </c>
      <c r="F200" s="16" t="n"/>
      <c r="G200" s="17">
        <f>IF($F200="","",IFERROR(INDEX(rngEPname,MATCH($F200,rngEPcode,0)),"?"))</f>
        <v/>
      </c>
      <c r="H200" s="17">
        <f>IF($F200="","",IFERROR(INDEX(rngEPtype,MATCH($F200,rngEPcode,0)),"?"))</f>
        <v/>
      </c>
      <c r="I200" s="17">
        <f>IF($F200="","",IFERROR(INDEX(rngEPseq,MATCH($F200,rngEPcode,0)),""))</f>
        <v/>
      </c>
      <c r="J200" s="17">
        <f>IF($F200="","",IFERROR(INDEX(rngEPpass,MATCH($F200,rngEPcode,0)),cfgPassingScore))</f>
        <v/>
      </c>
      <c r="K200" s="16" t="n"/>
      <c r="L200" s="16" t="n"/>
      <c r="M200" s="17">
        <f>IF($C200="","",IF($L200="","",IF(NOT(ISNUMBER($L200)),$L200,IF(N($K200)&gt;2,"",IF($K200=1,IF(COUNTIFS(nrES_PID,$D200,nrES_Code,$F200,nrES_Att,2,nrES_Raw,"&gt;=0")&gt;0,"",$L200),IF($L200&gt;=$J200,MAX($J200,cfgRetakeRecordedCap),IF(COUNTIFS(nrES_PID,$D200,nrES_Code,$F200,nrES_Att,1)=0,$L200,SUMIFS(nrES_Raw,nrES_PID,$D200,nrES_Code,$F200,nrES_Att,1))))))))</f>
        <v/>
      </c>
      <c r="N200" s="17">
        <f>IF($C200="","",IF($L200="","",IF(NOT(ISNUMBER($L200)),"(not a score)",IF($L200&gt;=$J200,"Yes","No"))))</f>
        <v/>
      </c>
      <c r="O200" s="17">
        <f>IF($C200="","",IF($M200="","",IF(NOT(ISNUMBER($M200)),"(not a score)",IF($M200&gt;=$J200,"Yes","No"))))</f>
        <v/>
      </c>
      <c r="P200" s="17">
        <f>IF($C200="","",IF($K200="","",IF(N($K200)&gt;2,"No",IF(COUNTIFS(nrES_PID,$D200,nrES_Code,$F200,nrES_Att,"&gt;"&amp;$K200,nrES_Att,"&lt;=2",nrES_Raw,"&gt;=0")=0,"Yes","No"))))</f>
        <v/>
      </c>
      <c r="Q200" s="17">
        <f>IF($C200="","",IF($L200="","",IF(AND($K200=1,ISNUMBER($L200),$L200&lt;$J200,COUNTIFS(nrES_PID,$D200,nrES_Code,$F200,nrES_Att,2,nrES_Raw,"&gt;=0")=0),"Yes","No")))</f>
        <v/>
      </c>
      <c r="R200" s="17">
        <f>IF($C200="","",IF($L200="","",IF(AND(N($K200)&gt;=2,ISNUMBER($L200),$L200&lt;$J200),"Yes","No")))</f>
        <v/>
      </c>
      <c r="S200" s="18" t="n"/>
      <c r="T200" s="19">
        <f>IF(OR($C200="",$L200="",$K200&lt;&gt;1,NOT(ISNUMBER($L200)),$L200&gt;=$J200),"",IF($S200="","(enter date)",_xlfn.LET(_xlpm.dn,_xlfn.XLOOKUP($S200,nrCDdate,nrCDnum,"",1),IF(_xlpm.dn="","(after last class day)",_xlfn.LET(_xlpm.dd,_xlfn.XLOOKUP(_xlpm.dn+cfgRetestClassDays,nrCDnum,nrCDdate,""),_xlpm.ok,_xlfn.XLOOKUP(_xlpm.dn+cfgRetestClassDays,nrCDnum,nrCDinsession,"No"),IF(OR(_xlpm.dd="",_xlpm.ok&lt;&gt;"Yes"),"(after last class day)",_xlpm.dd))))))</f>
        <v/>
      </c>
      <c r="U200" s="17">
        <f>IF($C200="","",IF(AND($Y200="Excused",$L200="",N($K200)&lt;=1),"EXCUSED - 1st attempt pending",IF(OR($L200="",$K200&lt;&gt;1,NOT(ISNUMBER($L200)),$L200&gt;=$J200),"",IF(COUNTIFS(nrES_PID,$D200,nrES_Code,$F200,nrES_Att,2,nrES_Raw,"&gt;=0")&gt;0,IF(IFERROR(_xlfn.MINIFS(nrES_Date,nrES_PID,$D200,nrES_Code,$F200,nrES_Att,2,nrES_Raw,"&gt;=0",nrES_Date,"&gt;0"),0)=0,"RETEST UNDATED",IF(NOT(ISNUMBER($T200)),"RETEST DATE UNCHECKED",IF(_xlfn.MINIFS(nrES_Date,nrES_PID,$D200,nrES_Code,$F200,nrES_Att,2,nrES_Raw,"&gt;=0",nrES_Date,"&gt;0")&gt;$T200,"LATE RETEST "&amp;TEXT(_xlfn.MINIFS(nrES_Date,nrES_PID,$D200,nrES_Code,$F200,nrES_Att,2,nrES_Raw,"&gt;=0",nrES_Date,"&gt;0"),"mm/dd")&amp;" (due "&amp;TEXT($T200,"mm/dd")&amp;")","Retested"))),IF(NOT(ISNUMBER($T200)),"CHECK DATE",IF(TODAY()&gt;$T200,"OVERDUE","Due "&amp;TEXT($T200,"mm/dd")))))))</f>
        <v/>
      </c>
      <c r="V200" s="16" t="n"/>
      <c r="W200" s="16" t="n"/>
      <c r="X200" s="17">
        <f>IF($C200="","",IF(AND($L200&lt;&gt;"",NOT(ISNUMBER($L200))),"RAW SCORE NOT A NUMBER",IF(AND(ISNUMBER($L200),OR($L200&lt;0,$L200&gt;100)),"RAW SCORE OUT OF RANGE",IF(AND($Y200="Unexcused",OR($L200="",NOT(ISNUMBER($L200)),$L200&lt;&gt;0)),"UNEXCUSED ABSENCE MUST RECORD 0",IF(COUNTIF(nrES_RecID,$B200)&gt;1,"DUPLICATE RECORD",IF(N($K200)&gt;2,"ATTEMPT 3+ NOT ALLOWED - policy 300.5 permits one retest per exam; this row records nothing",IF(AND($K200=2,COUNTIFS(nrES_PID,$D200,nrES_Code,$F200,nrES_Att,1)=0),"ATTEMPT 2 WITHOUT ATTEMPT 1",IF(AND($K200=2,$L200=""),"RETEST ROW HAS NO SCORE",IF(AND($H200="Final",$L200&lt;&gt;"",IFERROR(INDEX(nrCKfinalExamElig,MATCH($D200,rngCadetPIDs,0)),"")="No"),"FINAL EXAM AFTER FAILED FINAL PT (500.1.H)",IF(AND($K200=2,ISNUMBER($L200),COUNTIFS(nrES_PID,$D200,nrES_Code,$F200,nrES_Att,1)&gt;0,SUMIFS(nrES_Raw,nrES_PID,$D200,nrES_Code,$F200,nrES_Att,1)&gt;=$J200),"RETEST AFTER A PASSING FIRST ATTEMPT","OK"))))))))))</f>
        <v/>
      </c>
      <c r="Y200" s="16" t="n"/>
    </row>
    <row r="201">
      <c r="B201" s="17">
        <f>IF($C201="","",$D201&amp;"-"&amp;$F201&amp;"-"&amp;$K201)</f>
        <v/>
      </c>
      <c r="C201" s="16" t="n"/>
      <c r="D201" s="17">
        <f>IF($C201="","",IFERROR(INDEX(rngCadetPIDs,MATCH($C201,rngCadetNames,0)),"?"))</f>
        <v/>
      </c>
      <c r="E201" s="17">
        <f>IF($D201="","",IFERROR(INDEX(nrCadetAgency,MATCH($D201,rngCadetPIDs,0)),""))</f>
        <v/>
      </c>
      <c r="F201" s="16" t="n"/>
      <c r="G201" s="17">
        <f>IF($F201="","",IFERROR(INDEX(rngEPname,MATCH($F201,rngEPcode,0)),"?"))</f>
        <v/>
      </c>
      <c r="H201" s="17">
        <f>IF($F201="","",IFERROR(INDEX(rngEPtype,MATCH($F201,rngEPcode,0)),"?"))</f>
        <v/>
      </c>
      <c r="I201" s="17">
        <f>IF($F201="","",IFERROR(INDEX(rngEPseq,MATCH($F201,rngEPcode,0)),""))</f>
        <v/>
      </c>
      <c r="J201" s="17">
        <f>IF($F201="","",IFERROR(INDEX(rngEPpass,MATCH($F201,rngEPcode,0)),cfgPassingScore))</f>
        <v/>
      </c>
      <c r="K201" s="16" t="n"/>
      <c r="L201" s="16" t="n"/>
      <c r="M201" s="17">
        <f>IF($C201="","",IF($L201="","",IF(NOT(ISNUMBER($L201)),$L201,IF(N($K201)&gt;2,"",IF($K201=1,IF(COUNTIFS(nrES_PID,$D201,nrES_Code,$F201,nrES_Att,2,nrES_Raw,"&gt;=0")&gt;0,"",$L201),IF($L201&gt;=$J201,MAX($J201,cfgRetakeRecordedCap),IF(COUNTIFS(nrES_PID,$D201,nrES_Code,$F201,nrES_Att,1)=0,$L201,SUMIFS(nrES_Raw,nrES_PID,$D201,nrES_Code,$F201,nrES_Att,1))))))))</f>
        <v/>
      </c>
      <c r="N201" s="17">
        <f>IF($C201="","",IF($L201="","",IF(NOT(ISNUMBER($L201)),"(not a score)",IF($L201&gt;=$J201,"Yes","No"))))</f>
        <v/>
      </c>
      <c r="O201" s="17">
        <f>IF($C201="","",IF($M201="","",IF(NOT(ISNUMBER($M201)),"(not a score)",IF($M201&gt;=$J201,"Yes","No"))))</f>
        <v/>
      </c>
      <c r="P201" s="17">
        <f>IF($C201="","",IF($K201="","",IF(N($K201)&gt;2,"No",IF(COUNTIFS(nrES_PID,$D201,nrES_Code,$F201,nrES_Att,"&gt;"&amp;$K201,nrES_Att,"&lt;=2",nrES_Raw,"&gt;=0")=0,"Yes","No"))))</f>
        <v/>
      </c>
      <c r="Q201" s="17">
        <f>IF($C201="","",IF($L201="","",IF(AND($K201=1,ISNUMBER($L201),$L201&lt;$J201,COUNTIFS(nrES_PID,$D201,nrES_Code,$F201,nrES_Att,2,nrES_Raw,"&gt;=0")=0),"Yes","No")))</f>
        <v/>
      </c>
      <c r="R201" s="17">
        <f>IF($C201="","",IF($L201="","",IF(AND(N($K201)&gt;=2,ISNUMBER($L201),$L201&lt;$J201),"Yes","No")))</f>
        <v/>
      </c>
      <c r="S201" s="18" t="n"/>
      <c r="T201" s="19">
        <f>IF(OR($C201="",$L201="",$K201&lt;&gt;1,NOT(ISNUMBER($L201)),$L201&gt;=$J201),"",IF($S201="","(enter date)",_xlfn.LET(_xlpm.dn,_xlfn.XLOOKUP($S201,nrCDdate,nrCDnum,"",1),IF(_xlpm.dn="","(after last class day)",_xlfn.LET(_xlpm.dd,_xlfn.XLOOKUP(_xlpm.dn+cfgRetestClassDays,nrCDnum,nrCDdate,""),_xlpm.ok,_xlfn.XLOOKUP(_xlpm.dn+cfgRetestClassDays,nrCDnum,nrCDinsession,"No"),IF(OR(_xlpm.dd="",_xlpm.ok&lt;&gt;"Yes"),"(after last class day)",_xlpm.dd))))))</f>
        <v/>
      </c>
      <c r="U201" s="17">
        <f>IF($C201="","",IF(AND($Y201="Excused",$L201="",N($K201)&lt;=1),"EXCUSED - 1st attempt pending",IF(OR($L201="",$K201&lt;&gt;1,NOT(ISNUMBER($L201)),$L201&gt;=$J201),"",IF(COUNTIFS(nrES_PID,$D201,nrES_Code,$F201,nrES_Att,2,nrES_Raw,"&gt;=0")&gt;0,IF(IFERROR(_xlfn.MINIFS(nrES_Date,nrES_PID,$D201,nrES_Code,$F201,nrES_Att,2,nrES_Raw,"&gt;=0",nrES_Date,"&gt;0"),0)=0,"RETEST UNDATED",IF(NOT(ISNUMBER($T201)),"RETEST DATE UNCHECKED",IF(_xlfn.MINIFS(nrES_Date,nrES_PID,$D201,nrES_Code,$F201,nrES_Att,2,nrES_Raw,"&gt;=0",nrES_Date,"&gt;0")&gt;$T201,"LATE RETEST "&amp;TEXT(_xlfn.MINIFS(nrES_Date,nrES_PID,$D201,nrES_Code,$F201,nrES_Att,2,nrES_Raw,"&gt;=0",nrES_Date,"&gt;0"),"mm/dd")&amp;" (due "&amp;TEXT($T201,"mm/dd")&amp;")","Retested"))),IF(NOT(ISNUMBER($T201)),"CHECK DATE",IF(TODAY()&gt;$T201,"OVERDUE","Due "&amp;TEXT($T201,"mm/dd")))))))</f>
        <v/>
      </c>
      <c r="V201" s="16" t="n"/>
      <c r="W201" s="16" t="n"/>
      <c r="X201" s="17">
        <f>IF($C201="","",IF(AND($L201&lt;&gt;"",NOT(ISNUMBER($L201))),"RAW SCORE NOT A NUMBER",IF(AND(ISNUMBER($L201),OR($L201&lt;0,$L201&gt;100)),"RAW SCORE OUT OF RANGE",IF(AND($Y201="Unexcused",OR($L201="",NOT(ISNUMBER($L201)),$L201&lt;&gt;0)),"UNEXCUSED ABSENCE MUST RECORD 0",IF(COUNTIF(nrES_RecID,$B201)&gt;1,"DUPLICATE RECORD",IF(N($K201)&gt;2,"ATTEMPT 3+ NOT ALLOWED - policy 300.5 permits one retest per exam; this row records nothing",IF(AND($K201=2,COUNTIFS(nrES_PID,$D201,nrES_Code,$F201,nrES_Att,1)=0),"ATTEMPT 2 WITHOUT ATTEMPT 1",IF(AND($K201=2,$L201=""),"RETEST ROW HAS NO SCORE",IF(AND($H201="Final",$L201&lt;&gt;"",IFERROR(INDEX(nrCKfinalExamElig,MATCH($D201,rngCadetPIDs,0)),"")="No"),"FINAL EXAM AFTER FAILED FINAL PT (500.1.H)",IF(AND($K201=2,ISNUMBER($L201),COUNTIFS(nrES_PID,$D201,nrES_Code,$F201,nrES_Att,1)&gt;0,SUMIFS(nrES_Raw,nrES_PID,$D201,nrES_Code,$F201,nrES_Att,1)&gt;=$J201),"RETEST AFTER A PASSING FIRST ATTEMPT","OK"))))))))))</f>
        <v/>
      </c>
      <c r="Y201" s="16" t="n"/>
    </row>
    <row r="202">
      <c r="B202" s="17">
        <f>IF($C202="","",$D202&amp;"-"&amp;$F202&amp;"-"&amp;$K202)</f>
        <v/>
      </c>
      <c r="C202" s="16" t="n"/>
      <c r="D202" s="17">
        <f>IF($C202="","",IFERROR(INDEX(rngCadetPIDs,MATCH($C202,rngCadetNames,0)),"?"))</f>
        <v/>
      </c>
      <c r="E202" s="17">
        <f>IF($D202="","",IFERROR(INDEX(nrCadetAgency,MATCH($D202,rngCadetPIDs,0)),""))</f>
        <v/>
      </c>
      <c r="F202" s="16" t="n"/>
      <c r="G202" s="17">
        <f>IF($F202="","",IFERROR(INDEX(rngEPname,MATCH($F202,rngEPcode,0)),"?"))</f>
        <v/>
      </c>
      <c r="H202" s="17">
        <f>IF($F202="","",IFERROR(INDEX(rngEPtype,MATCH($F202,rngEPcode,0)),"?"))</f>
        <v/>
      </c>
      <c r="I202" s="17">
        <f>IF($F202="","",IFERROR(INDEX(rngEPseq,MATCH($F202,rngEPcode,0)),""))</f>
        <v/>
      </c>
      <c r="J202" s="17">
        <f>IF($F202="","",IFERROR(INDEX(rngEPpass,MATCH($F202,rngEPcode,0)),cfgPassingScore))</f>
        <v/>
      </c>
      <c r="K202" s="16" t="n"/>
      <c r="L202" s="16" t="n"/>
      <c r="M202" s="17">
        <f>IF($C202="","",IF($L202="","",IF(NOT(ISNUMBER($L202)),$L202,IF(N($K202)&gt;2,"",IF($K202=1,IF(COUNTIFS(nrES_PID,$D202,nrES_Code,$F202,nrES_Att,2,nrES_Raw,"&gt;=0")&gt;0,"",$L202),IF($L202&gt;=$J202,MAX($J202,cfgRetakeRecordedCap),IF(COUNTIFS(nrES_PID,$D202,nrES_Code,$F202,nrES_Att,1)=0,$L202,SUMIFS(nrES_Raw,nrES_PID,$D202,nrES_Code,$F202,nrES_Att,1))))))))</f>
        <v/>
      </c>
      <c r="N202" s="17">
        <f>IF($C202="","",IF($L202="","",IF(NOT(ISNUMBER($L202)),"(not a score)",IF($L202&gt;=$J202,"Yes","No"))))</f>
        <v/>
      </c>
      <c r="O202" s="17">
        <f>IF($C202="","",IF($M202="","",IF(NOT(ISNUMBER($M202)),"(not a score)",IF($M202&gt;=$J202,"Yes","No"))))</f>
        <v/>
      </c>
      <c r="P202" s="17">
        <f>IF($C202="","",IF($K202="","",IF(N($K202)&gt;2,"No",IF(COUNTIFS(nrES_PID,$D202,nrES_Code,$F202,nrES_Att,"&gt;"&amp;$K202,nrES_Att,"&lt;=2",nrES_Raw,"&gt;=0")=0,"Yes","No"))))</f>
        <v/>
      </c>
      <c r="Q202" s="17">
        <f>IF($C202="","",IF($L202="","",IF(AND($K202=1,ISNUMBER($L202),$L202&lt;$J202,COUNTIFS(nrES_PID,$D202,nrES_Code,$F202,nrES_Att,2,nrES_Raw,"&gt;=0")=0),"Yes","No")))</f>
        <v/>
      </c>
      <c r="R202" s="17">
        <f>IF($C202="","",IF($L202="","",IF(AND(N($K202)&gt;=2,ISNUMBER($L202),$L202&lt;$J202),"Yes","No")))</f>
        <v/>
      </c>
      <c r="S202" s="18" t="n"/>
      <c r="T202" s="19">
        <f>IF(OR($C202="",$L202="",$K202&lt;&gt;1,NOT(ISNUMBER($L202)),$L202&gt;=$J202),"",IF($S202="","(enter date)",_xlfn.LET(_xlpm.dn,_xlfn.XLOOKUP($S202,nrCDdate,nrCDnum,"",1),IF(_xlpm.dn="","(after last class day)",_xlfn.LET(_xlpm.dd,_xlfn.XLOOKUP(_xlpm.dn+cfgRetestClassDays,nrCDnum,nrCDdate,""),_xlpm.ok,_xlfn.XLOOKUP(_xlpm.dn+cfgRetestClassDays,nrCDnum,nrCDinsession,"No"),IF(OR(_xlpm.dd="",_xlpm.ok&lt;&gt;"Yes"),"(after last class day)",_xlpm.dd))))))</f>
        <v/>
      </c>
      <c r="U202" s="17">
        <f>IF($C202="","",IF(AND($Y202="Excused",$L202="",N($K202)&lt;=1),"EXCUSED - 1st attempt pending",IF(OR($L202="",$K202&lt;&gt;1,NOT(ISNUMBER($L202)),$L202&gt;=$J202),"",IF(COUNTIFS(nrES_PID,$D202,nrES_Code,$F202,nrES_Att,2,nrES_Raw,"&gt;=0")&gt;0,IF(IFERROR(_xlfn.MINIFS(nrES_Date,nrES_PID,$D202,nrES_Code,$F202,nrES_Att,2,nrES_Raw,"&gt;=0",nrES_Date,"&gt;0"),0)=0,"RETEST UNDATED",IF(NOT(ISNUMBER($T202)),"RETEST DATE UNCHECKED",IF(_xlfn.MINIFS(nrES_Date,nrES_PID,$D202,nrES_Code,$F202,nrES_Att,2,nrES_Raw,"&gt;=0",nrES_Date,"&gt;0")&gt;$T202,"LATE RETEST "&amp;TEXT(_xlfn.MINIFS(nrES_Date,nrES_PID,$D202,nrES_Code,$F202,nrES_Att,2,nrES_Raw,"&gt;=0",nrES_Date,"&gt;0"),"mm/dd")&amp;" (due "&amp;TEXT($T202,"mm/dd")&amp;")","Retested"))),IF(NOT(ISNUMBER($T202)),"CHECK DATE",IF(TODAY()&gt;$T202,"OVERDUE","Due "&amp;TEXT($T202,"mm/dd")))))))</f>
        <v/>
      </c>
      <c r="V202" s="16" t="n"/>
      <c r="W202" s="16" t="n"/>
      <c r="X202" s="17">
        <f>IF($C202="","",IF(AND($L202&lt;&gt;"",NOT(ISNUMBER($L202))),"RAW SCORE NOT A NUMBER",IF(AND(ISNUMBER($L202),OR($L202&lt;0,$L202&gt;100)),"RAW SCORE OUT OF RANGE",IF(AND($Y202="Unexcused",OR($L202="",NOT(ISNUMBER($L202)),$L202&lt;&gt;0)),"UNEXCUSED ABSENCE MUST RECORD 0",IF(COUNTIF(nrES_RecID,$B202)&gt;1,"DUPLICATE RECORD",IF(N($K202)&gt;2,"ATTEMPT 3+ NOT ALLOWED - policy 300.5 permits one retest per exam; this row records nothing",IF(AND($K202=2,COUNTIFS(nrES_PID,$D202,nrES_Code,$F202,nrES_Att,1)=0),"ATTEMPT 2 WITHOUT ATTEMPT 1",IF(AND($K202=2,$L202=""),"RETEST ROW HAS NO SCORE",IF(AND($H202="Final",$L202&lt;&gt;"",IFERROR(INDEX(nrCKfinalExamElig,MATCH($D202,rngCadetPIDs,0)),"")="No"),"FINAL EXAM AFTER FAILED FINAL PT (500.1.H)",IF(AND($K202=2,ISNUMBER($L202),COUNTIFS(nrES_PID,$D202,nrES_Code,$F202,nrES_Att,1)&gt;0,SUMIFS(nrES_Raw,nrES_PID,$D202,nrES_Code,$F202,nrES_Att,1)&gt;=$J202),"RETEST AFTER A PASSING FIRST ATTEMPT","OK"))))))))))</f>
        <v/>
      </c>
      <c r="Y202" s="16" t="n"/>
    </row>
    <row r="203">
      <c r="B203" s="17">
        <f>IF($C203="","",$D203&amp;"-"&amp;$F203&amp;"-"&amp;$K203)</f>
        <v/>
      </c>
      <c r="C203" s="16" t="n"/>
      <c r="D203" s="17">
        <f>IF($C203="","",IFERROR(INDEX(rngCadetPIDs,MATCH($C203,rngCadetNames,0)),"?"))</f>
        <v/>
      </c>
      <c r="E203" s="17">
        <f>IF($D203="","",IFERROR(INDEX(nrCadetAgency,MATCH($D203,rngCadetPIDs,0)),""))</f>
        <v/>
      </c>
      <c r="F203" s="16" t="n"/>
      <c r="G203" s="17">
        <f>IF($F203="","",IFERROR(INDEX(rngEPname,MATCH($F203,rngEPcode,0)),"?"))</f>
        <v/>
      </c>
      <c r="H203" s="17">
        <f>IF($F203="","",IFERROR(INDEX(rngEPtype,MATCH($F203,rngEPcode,0)),"?"))</f>
        <v/>
      </c>
      <c r="I203" s="17">
        <f>IF($F203="","",IFERROR(INDEX(rngEPseq,MATCH($F203,rngEPcode,0)),""))</f>
        <v/>
      </c>
      <c r="J203" s="17">
        <f>IF($F203="","",IFERROR(INDEX(rngEPpass,MATCH($F203,rngEPcode,0)),cfgPassingScore))</f>
        <v/>
      </c>
      <c r="K203" s="16" t="n"/>
      <c r="L203" s="16" t="n"/>
      <c r="M203" s="17">
        <f>IF($C203="","",IF($L203="","",IF(NOT(ISNUMBER($L203)),$L203,IF(N($K203)&gt;2,"",IF($K203=1,IF(COUNTIFS(nrES_PID,$D203,nrES_Code,$F203,nrES_Att,2,nrES_Raw,"&gt;=0")&gt;0,"",$L203),IF($L203&gt;=$J203,MAX($J203,cfgRetakeRecordedCap),IF(COUNTIFS(nrES_PID,$D203,nrES_Code,$F203,nrES_Att,1)=0,$L203,SUMIFS(nrES_Raw,nrES_PID,$D203,nrES_Code,$F203,nrES_Att,1))))))))</f>
        <v/>
      </c>
      <c r="N203" s="17">
        <f>IF($C203="","",IF($L203="","",IF(NOT(ISNUMBER($L203)),"(not a score)",IF($L203&gt;=$J203,"Yes","No"))))</f>
        <v/>
      </c>
      <c r="O203" s="17">
        <f>IF($C203="","",IF($M203="","",IF(NOT(ISNUMBER($M203)),"(not a score)",IF($M203&gt;=$J203,"Yes","No"))))</f>
        <v/>
      </c>
      <c r="P203" s="17">
        <f>IF($C203="","",IF($K203="","",IF(N($K203)&gt;2,"No",IF(COUNTIFS(nrES_PID,$D203,nrES_Code,$F203,nrES_Att,"&gt;"&amp;$K203,nrES_Att,"&lt;=2",nrES_Raw,"&gt;=0")=0,"Yes","No"))))</f>
        <v/>
      </c>
      <c r="Q203" s="17">
        <f>IF($C203="","",IF($L203="","",IF(AND($K203=1,ISNUMBER($L203),$L203&lt;$J203,COUNTIFS(nrES_PID,$D203,nrES_Code,$F203,nrES_Att,2,nrES_Raw,"&gt;=0")=0),"Yes","No")))</f>
        <v/>
      </c>
      <c r="R203" s="17">
        <f>IF($C203="","",IF($L203="","",IF(AND(N($K203)&gt;=2,ISNUMBER($L203),$L203&lt;$J203),"Yes","No")))</f>
        <v/>
      </c>
      <c r="S203" s="18" t="n"/>
      <c r="T203" s="19">
        <f>IF(OR($C203="",$L203="",$K203&lt;&gt;1,NOT(ISNUMBER($L203)),$L203&gt;=$J203),"",IF($S203="","(enter date)",_xlfn.LET(_xlpm.dn,_xlfn.XLOOKUP($S203,nrCDdate,nrCDnum,"",1),IF(_xlpm.dn="","(after last class day)",_xlfn.LET(_xlpm.dd,_xlfn.XLOOKUP(_xlpm.dn+cfgRetestClassDays,nrCDnum,nrCDdate,""),_xlpm.ok,_xlfn.XLOOKUP(_xlpm.dn+cfgRetestClassDays,nrCDnum,nrCDinsession,"No"),IF(OR(_xlpm.dd="",_xlpm.ok&lt;&gt;"Yes"),"(after last class day)",_xlpm.dd))))))</f>
        <v/>
      </c>
      <c r="U203" s="17">
        <f>IF($C203="","",IF(AND($Y203="Excused",$L203="",N($K203)&lt;=1),"EXCUSED - 1st attempt pending",IF(OR($L203="",$K203&lt;&gt;1,NOT(ISNUMBER($L203)),$L203&gt;=$J203),"",IF(COUNTIFS(nrES_PID,$D203,nrES_Code,$F203,nrES_Att,2,nrES_Raw,"&gt;=0")&gt;0,IF(IFERROR(_xlfn.MINIFS(nrES_Date,nrES_PID,$D203,nrES_Code,$F203,nrES_Att,2,nrES_Raw,"&gt;=0",nrES_Date,"&gt;0"),0)=0,"RETEST UNDATED",IF(NOT(ISNUMBER($T203)),"RETEST DATE UNCHECKED",IF(_xlfn.MINIFS(nrES_Date,nrES_PID,$D203,nrES_Code,$F203,nrES_Att,2,nrES_Raw,"&gt;=0",nrES_Date,"&gt;0")&gt;$T203,"LATE RETEST "&amp;TEXT(_xlfn.MINIFS(nrES_Date,nrES_PID,$D203,nrES_Code,$F203,nrES_Att,2,nrES_Raw,"&gt;=0",nrES_Date,"&gt;0"),"mm/dd")&amp;" (due "&amp;TEXT($T203,"mm/dd")&amp;")","Retested"))),IF(NOT(ISNUMBER($T203)),"CHECK DATE",IF(TODAY()&gt;$T203,"OVERDUE","Due "&amp;TEXT($T203,"mm/dd")))))))</f>
        <v/>
      </c>
      <c r="V203" s="16" t="n"/>
      <c r="W203" s="16" t="n"/>
      <c r="X203" s="17">
        <f>IF($C203="","",IF(AND($L203&lt;&gt;"",NOT(ISNUMBER($L203))),"RAW SCORE NOT A NUMBER",IF(AND(ISNUMBER($L203),OR($L203&lt;0,$L203&gt;100)),"RAW SCORE OUT OF RANGE",IF(AND($Y203="Unexcused",OR($L203="",NOT(ISNUMBER($L203)),$L203&lt;&gt;0)),"UNEXCUSED ABSENCE MUST RECORD 0",IF(COUNTIF(nrES_RecID,$B203)&gt;1,"DUPLICATE RECORD",IF(N($K203)&gt;2,"ATTEMPT 3+ NOT ALLOWED - policy 300.5 permits one retest per exam; this row records nothing",IF(AND($K203=2,COUNTIFS(nrES_PID,$D203,nrES_Code,$F203,nrES_Att,1)=0),"ATTEMPT 2 WITHOUT ATTEMPT 1",IF(AND($K203=2,$L203=""),"RETEST ROW HAS NO SCORE",IF(AND($H203="Final",$L203&lt;&gt;"",IFERROR(INDEX(nrCKfinalExamElig,MATCH($D203,rngCadetPIDs,0)),"")="No"),"FINAL EXAM AFTER FAILED FINAL PT (500.1.H)",IF(AND($K203=2,ISNUMBER($L203),COUNTIFS(nrES_PID,$D203,nrES_Code,$F203,nrES_Att,1)&gt;0,SUMIFS(nrES_Raw,nrES_PID,$D203,nrES_Code,$F203,nrES_Att,1)&gt;=$J203),"RETEST AFTER A PASSING FIRST ATTEMPT","OK"))))))))))</f>
        <v/>
      </c>
      <c r="Y203" s="16" t="n"/>
    </row>
    <row r="204">
      <c r="B204" s="17">
        <f>IF($C204="","",$D204&amp;"-"&amp;$F204&amp;"-"&amp;$K204)</f>
        <v/>
      </c>
      <c r="C204" s="16" t="n"/>
      <c r="D204" s="17">
        <f>IF($C204="","",IFERROR(INDEX(rngCadetPIDs,MATCH($C204,rngCadetNames,0)),"?"))</f>
        <v/>
      </c>
      <c r="E204" s="17">
        <f>IF($D204="","",IFERROR(INDEX(nrCadetAgency,MATCH($D204,rngCadetPIDs,0)),""))</f>
        <v/>
      </c>
      <c r="F204" s="16" t="n"/>
      <c r="G204" s="17">
        <f>IF($F204="","",IFERROR(INDEX(rngEPname,MATCH($F204,rngEPcode,0)),"?"))</f>
        <v/>
      </c>
      <c r="H204" s="17">
        <f>IF($F204="","",IFERROR(INDEX(rngEPtype,MATCH($F204,rngEPcode,0)),"?"))</f>
        <v/>
      </c>
      <c r="I204" s="17">
        <f>IF($F204="","",IFERROR(INDEX(rngEPseq,MATCH($F204,rngEPcode,0)),""))</f>
        <v/>
      </c>
      <c r="J204" s="17">
        <f>IF($F204="","",IFERROR(INDEX(rngEPpass,MATCH($F204,rngEPcode,0)),cfgPassingScore))</f>
        <v/>
      </c>
      <c r="K204" s="16" t="n"/>
      <c r="L204" s="16" t="n"/>
      <c r="M204" s="17">
        <f>IF($C204="","",IF($L204="","",IF(NOT(ISNUMBER($L204)),$L204,IF(N($K204)&gt;2,"",IF($K204=1,IF(COUNTIFS(nrES_PID,$D204,nrES_Code,$F204,nrES_Att,2,nrES_Raw,"&gt;=0")&gt;0,"",$L204),IF($L204&gt;=$J204,MAX($J204,cfgRetakeRecordedCap),IF(COUNTIFS(nrES_PID,$D204,nrES_Code,$F204,nrES_Att,1)=0,$L204,SUMIFS(nrES_Raw,nrES_PID,$D204,nrES_Code,$F204,nrES_Att,1))))))))</f>
        <v/>
      </c>
      <c r="N204" s="17">
        <f>IF($C204="","",IF($L204="","",IF(NOT(ISNUMBER($L204)),"(not a score)",IF($L204&gt;=$J204,"Yes","No"))))</f>
        <v/>
      </c>
      <c r="O204" s="17">
        <f>IF($C204="","",IF($M204="","",IF(NOT(ISNUMBER($M204)),"(not a score)",IF($M204&gt;=$J204,"Yes","No"))))</f>
        <v/>
      </c>
      <c r="P204" s="17">
        <f>IF($C204="","",IF($K204="","",IF(N($K204)&gt;2,"No",IF(COUNTIFS(nrES_PID,$D204,nrES_Code,$F204,nrES_Att,"&gt;"&amp;$K204,nrES_Att,"&lt;=2",nrES_Raw,"&gt;=0")=0,"Yes","No"))))</f>
        <v/>
      </c>
      <c r="Q204" s="17">
        <f>IF($C204="","",IF($L204="","",IF(AND($K204=1,ISNUMBER($L204),$L204&lt;$J204,COUNTIFS(nrES_PID,$D204,nrES_Code,$F204,nrES_Att,2,nrES_Raw,"&gt;=0")=0),"Yes","No")))</f>
        <v/>
      </c>
      <c r="R204" s="17">
        <f>IF($C204="","",IF($L204="","",IF(AND(N($K204)&gt;=2,ISNUMBER($L204),$L204&lt;$J204),"Yes","No")))</f>
        <v/>
      </c>
      <c r="S204" s="18" t="n"/>
      <c r="T204" s="19">
        <f>IF(OR($C204="",$L204="",$K204&lt;&gt;1,NOT(ISNUMBER($L204)),$L204&gt;=$J204),"",IF($S204="","(enter date)",_xlfn.LET(_xlpm.dn,_xlfn.XLOOKUP($S204,nrCDdate,nrCDnum,"",1),IF(_xlpm.dn="","(after last class day)",_xlfn.LET(_xlpm.dd,_xlfn.XLOOKUP(_xlpm.dn+cfgRetestClassDays,nrCDnum,nrCDdate,""),_xlpm.ok,_xlfn.XLOOKUP(_xlpm.dn+cfgRetestClassDays,nrCDnum,nrCDinsession,"No"),IF(OR(_xlpm.dd="",_xlpm.ok&lt;&gt;"Yes"),"(after last class day)",_xlpm.dd))))))</f>
        <v/>
      </c>
      <c r="U204" s="17">
        <f>IF($C204="","",IF(AND($Y204="Excused",$L204="",N($K204)&lt;=1),"EXCUSED - 1st attempt pending",IF(OR($L204="",$K204&lt;&gt;1,NOT(ISNUMBER($L204)),$L204&gt;=$J204),"",IF(COUNTIFS(nrES_PID,$D204,nrES_Code,$F204,nrES_Att,2,nrES_Raw,"&gt;=0")&gt;0,IF(IFERROR(_xlfn.MINIFS(nrES_Date,nrES_PID,$D204,nrES_Code,$F204,nrES_Att,2,nrES_Raw,"&gt;=0",nrES_Date,"&gt;0"),0)=0,"RETEST UNDATED",IF(NOT(ISNUMBER($T204)),"RETEST DATE UNCHECKED",IF(_xlfn.MINIFS(nrES_Date,nrES_PID,$D204,nrES_Code,$F204,nrES_Att,2,nrES_Raw,"&gt;=0",nrES_Date,"&gt;0")&gt;$T204,"LATE RETEST "&amp;TEXT(_xlfn.MINIFS(nrES_Date,nrES_PID,$D204,nrES_Code,$F204,nrES_Att,2,nrES_Raw,"&gt;=0",nrES_Date,"&gt;0"),"mm/dd")&amp;" (due "&amp;TEXT($T204,"mm/dd")&amp;")","Retested"))),IF(NOT(ISNUMBER($T204)),"CHECK DATE",IF(TODAY()&gt;$T204,"OVERDUE","Due "&amp;TEXT($T204,"mm/dd")))))))</f>
        <v/>
      </c>
      <c r="V204" s="16" t="n"/>
      <c r="W204" s="16" t="n"/>
      <c r="X204" s="17">
        <f>IF($C204="","",IF(AND($L204&lt;&gt;"",NOT(ISNUMBER($L204))),"RAW SCORE NOT A NUMBER",IF(AND(ISNUMBER($L204),OR($L204&lt;0,$L204&gt;100)),"RAW SCORE OUT OF RANGE",IF(AND($Y204="Unexcused",OR($L204="",NOT(ISNUMBER($L204)),$L204&lt;&gt;0)),"UNEXCUSED ABSENCE MUST RECORD 0",IF(COUNTIF(nrES_RecID,$B204)&gt;1,"DUPLICATE RECORD",IF(N($K204)&gt;2,"ATTEMPT 3+ NOT ALLOWED - policy 300.5 permits one retest per exam; this row records nothing",IF(AND($K204=2,COUNTIFS(nrES_PID,$D204,nrES_Code,$F204,nrES_Att,1)=0),"ATTEMPT 2 WITHOUT ATTEMPT 1",IF(AND($K204=2,$L204=""),"RETEST ROW HAS NO SCORE",IF(AND($H204="Final",$L204&lt;&gt;"",IFERROR(INDEX(nrCKfinalExamElig,MATCH($D204,rngCadetPIDs,0)),"")="No"),"FINAL EXAM AFTER FAILED FINAL PT (500.1.H)",IF(AND($K204=2,ISNUMBER($L204),COUNTIFS(nrES_PID,$D204,nrES_Code,$F204,nrES_Att,1)&gt;0,SUMIFS(nrES_Raw,nrES_PID,$D204,nrES_Code,$F204,nrES_Att,1)&gt;=$J204),"RETEST AFTER A PASSING FIRST ATTEMPT","OK"))))))))))</f>
        <v/>
      </c>
      <c r="Y204" s="16" t="n"/>
    </row>
    <row r="205">
      <c r="B205" s="17">
        <f>IF($C205="","",$D205&amp;"-"&amp;$F205&amp;"-"&amp;$K205)</f>
        <v/>
      </c>
      <c r="C205" s="16" t="n"/>
      <c r="D205" s="17">
        <f>IF($C205="","",IFERROR(INDEX(rngCadetPIDs,MATCH($C205,rngCadetNames,0)),"?"))</f>
        <v/>
      </c>
      <c r="E205" s="17">
        <f>IF($D205="","",IFERROR(INDEX(nrCadetAgency,MATCH($D205,rngCadetPIDs,0)),""))</f>
        <v/>
      </c>
      <c r="F205" s="16" t="n"/>
      <c r="G205" s="17">
        <f>IF($F205="","",IFERROR(INDEX(rngEPname,MATCH($F205,rngEPcode,0)),"?"))</f>
        <v/>
      </c>
      <c r="H205" s="17">
        <f>IF($F205="","",IFERROR(INDEX(rngEPtype,MATCH($F205,rngEPcode,0)),"?"))</f>
        <v/>
      </c>
      <c r="I205" s="17">
        <f>IF($F205="","",IFERROR(INDEX(rngEPseq,MATCH($F205,rngEPcode,0)),""))</f>
        <v/>
      </c>
      <c r="J205" s="17">
        <f>IF($F205="","",IFERROR(INDEX(rngEPpass,MATCH($F205,rngEPcode,0)),cfgPassingScore))</f>
        <v/>
      </c>
      <c r="K205" s="16" t="n"/>
      <c r="L205" s="16" t="n"/>
      <c r="M205" s="17">
        <f>IF($C205="","",IF($L205="","",IF(NOT(ISNUMBER($L205)),$L205,IF(N($K205)&gt;2,"",IF($K205=1,IF(COUNTIFS(nrES_PID,$D205,nrES_Code,$F205,nrES_Att,2,nrES_Raw,"&gt;=0")&gt;0,"",$L205),IF($L205&gt;=$J205,MAX($J205,cfgRetakeRecordedCap),IF(COUNTIFS(nrES_PID,$D205,nrES_Code,$F205,nrES_Att,1)=0,$L205,SUMIFS(nrES_Raw,nrES_PID,$D205,nrES_Code,$F205,nrES_Att,1))))))))</f>
        <v/>
      </c>
      <c r="N205" s="17">
        <f>IF($C205="","",IF($L205="","",IF(NOT(ISNUMBER($L205)),"(not a score)",IF($L205&gt;=$J205,"Yes","No"))))</f>
        <v/>
      </c>
      <c r="O205" s="17">
        <f>IF($C205="","",IF($M205="","",IF(NOT(ISNUMBER($M205)),"(not a score)",IF($M205&gt;=$J205,"Yes","No"))))</f>
        <v/>
      </c>
      <c r="P205" s="17">
        <f>IF($C205="","",IF($K205="","",IF(N($K205)&gt;2,"No",IF(COUNTIFS(nrES_PID,$D205,nrES_Code,$F205,nrES_Att,"&gt;"&amp;$K205,nrES_Att,"&lt;=2",nrES_Raw,"&gt;=0")=0,"Yes","No"))))</f>
        <v/>
      </c>
      <c r="Q205" s="17">
        <f>IF($C205="","",IF($L205="","",IF(AND($K205=1,ISNUMBER($L205),$L205&lt;$J205,COUNTIFS(nrES_PID,$D205,nrES_Code,$F205,nrES_Att,2,nrES_Raw,"&gt;=0")=0),"Yes","No")))</f>
        <v/>
      </c>
      <c r="R205" s="17">
        <f>IF($C205="","",IF($L205="","",IF(AND(N($K205)&gt;=2,ISNUMBER($L205),$L205&lt;$J205),"Yes","No")))</f>
        <v/>
      </c>
      <c r="S205" s="18" t="n"/>
      <c r="T205" s="19">
        <f>IF(OR($C205="",$L205="",$K205&lt;&gt;1,NOT(ISNUMBER($L205)),$L205&gt;=$J205),"",IF($S205="","(enter date)",_xlfn.LET(_xlpm.dn,_xlfn.XLOOKUP($S205,nrCDdate,nrCDnum,"",1),IF(_xlpm.dn="","(after last class day)",_xlfn.LET(_xlpm.dd,_xlfn.XLOOKUP(_xlpm.dn+cfgRetestClassDays,nrCDnum,nrCDdate,""),_xlpm.ok,_xlfn.XLOOKUP(_xlpm.dn+cfgRetestClassDays,nrCDnum,nrCDinsession,"No"),IF(OR(_xlpm.dd="",_xlpm.ok&lt;&gt;"Yes"),"(after last class day)",_xlpm.dd))))))</f>
        <v/>
      </c>
      <c r="U205" s="17">
        <f>IF($C205="","",IF(AND($Y205="Excused",$L205="",N($K205)&lt;=1),"EXCUSED - 1st attempt pending",IF(OR($L205="",$K205&lt;&gt;1,NOT(ISNUMBER($L205)),$L205&gt;=$J205),"",IF(COUNTIFS(nrES_PID,$D205,nrES_Code,$F205,nrES_Att,2,nrES_Raw,"&gt;=0")&gt;0,IF(IFERROR(_xlfn.MINIFS(nrES_Date,nrES_PID,$D205,nrES_Code,$F205,nrES_Att,2,nrES_Raw,"&gt;=0",nrES_Date,"&gt;0"),0)=0,"RETEST UNDATED",IF(NOT(ISNUMBER($T205)),"RETEST DATE UNCHECKED",IF(_xlfn.MINIFS(nrES_Date,nrES_PID,$D205,nrES_Code,$F205,nrES_Att,2,nrES_Raw,"&gt;=0",nrES_Date,"&gt;0")&gt;$T205,"LATE RETEST "&amp;TEXT(_xlfn.MINIFS(nrES_Date,nrES_PID,$D205,nrES_Code,$F205,nrES_Att,2,nrES_Raw,"&gt;=0",nrES_Date,"&gt;0"),"mm/dd")&amp;" (due "&amp;TEXT($T205,"mm/dd")&amp;")","Retested"))),IF(NOT(ISNUMBER($T205)),"CHECK DATE",IF(TODAY()&gt;$T205,"OVERDUE","Due "&amp;TEXT($T205,"mm/dd")))))))</f>
        <v/>
      </c>
      <c r="V205" s="16" t="n"/>
      <c r="W205" s="16" t="n"/>
      <c r="X205" s="17">
        <f>IF($C205="","",IF(AND($L205&lt;&gt;"",NOT(ISNUMBER($L205))),"RAW SCORE NOT A NUMBER",IF(AND(ISNUMBER($L205),OR($L205&lt;0,$L205&gt;100)),"RAW SCORE OUT OF RANGE",IF(AND($Y205="Unexcused",OR($L205="",NOT(ISNUMBER($L205)),$L205&lt;&gt;0)),"UNEXCUSED ABSENCE MUST RECORD 0",IF(COUNTIF(nrES_RecID,$B205)&gt;1,"DUPLICATE RECORD",IF(N($K205)&gt;2,"ATTEMPT 3+ NOT ALLOWED - policy 300.5 permits one retest per exam; this row records nothing",IF(AND($K205=2,COUNTIFS(nrES_PID,$D205,nrES_Code,$F205,nrES_Att,1)=0),"ATTEMPT 2 WITHOUT ATTEMPT 1",IF(AND($K205=2,$L205=""),"RETEST ROW HAS NO SCORE",IF(AND($H205="Final",$L205&lt;&gt;"",IFERROR(INDEX(nrCKfinalExamElig,MATCH($D205,rngCadetPIDs,0)),"")="No"),"FINAL EXAM AFTER FAILED FINAL PT (500.1.H)",IF(AND($K205=2,ISNUMBER($L205),COUNTIFS(nrES_PID,$D205,nrES_Code,$F205,nrES_Att,1)&gt;0,SUMIFS(nrES_Raw,nrES_PID,$D205,nrES_Code,$F205,nrES_Att,1)&gt;=$J205),"RETEST AFTER A PASSING FIRST ATTEMPT","OK"))))))))))</f>
        <v/>
      </c>
      <c r="Y205" s="16" t="n"/>
    </row>
    <row r="206">
      <c r="B206" s="17">
        <f>IF($C206="","",$D206&amp;"-"&amp;$F206&amp;"-"&amp;$K206)</f>
        <v/>
      </c>
      <c r="C206" s="16" t="n"/>
      <c r="D206" s="17">
        <f>IF($C206="","",IFERROR(INDEX(rngCadetPIDs,MATCH($C206,rngCadetNames,0)),"?"))</f>
        <v/>
      </c>
      <c r="E206" s="17">
        <f>IF($D206="","",IFERROR(INDEX(nrCadetAgency,MATCH($D206,rngCadetPIDs,0)),""))</f>
        <v/>
      </c>
      <c r="F206" s="16" t="n"/>
      <c r="G206" s="17">
        <f>IF($F206="","",IFERROR(INDEX(rngEPname,MATCH($F206,rngEPcode,0)),"?"))</f>
        <v/>
      </c>
      <c r="H206" s="17">
        <f>IF($F206="","",IFERROR(INDEX(rngEPtype,MATCH($F206,rngEPcode,0)),"?"))</f>
        <v/>
      </c>
      <c r="I206" s="17">
        <f>IF($F206="","",IFERROR(INDEX(rngEPseq,MATCH($F206,rngEPcode,0)),""))</f>
        <v/>
      </c>
      <c r="J206" s="17">
        <f>IF($F206="","",IFERROR(INDEX(rngEPpass,MATCH($F206,rngEPcode,0)),cfgPassingScore))</f>
        <v/>
      </c>
      <c r="K206" s="16" t="n"/>
      <c r="L206" s="16" t="n"/>
      <c r="M206" s="17">
        <f>IF($C206="","",IF($L206="","",IF(NOT(ISNUMBER($L206)),$L206,IF(N($K206)&gt;2,"",IF($K206=1,IF(COUNTIFS(nrES_PID,$D206,nrES_Code,$F206,nrES_Att,2,nrES_Raw,"&gt;=0")&gt;0,"",$L206),IF($L206&gt;=$J206,MAX($J206,cfgRetakeRecordedCap),IF(COUNTIFS(nrES_PID,$D206,nrES_Code,$F206,nrES_Att,1)=0,$L206,SUMIFS(nrES_Raw,nrES_PID,$D206,nrES_Code,$F206,nrES_Att,1))))))))</f>
        <v/>
      </c>
      <c r="N206" s="17">
        <f>IF($C206="","",IF($L206="","",IF(NOT(ISNUMBER($L206)),"(not a score)",IF($L206&gt;=$J206,"Yes","No"))))</f>
        <v/>
      </c>
      <c r="O206" s="17">
        <f>IF($C206="","",IF($M206="","",IF(NOT(ISNUMBER($M206)),"(not a score)",IF($M206&gt;=$J206,"Yes","No"))))</f>
        <v/>
      </c>
      <c r="P206" s="17">
        <f>IF($C206="","",IF($K206="","",IF(N($K206)&gt;2,"No",IF(COUNTIFS(nrES_PID,$D206,nrES_Code,$F206,nrES_Att,"&gt;"&amp;$K206,nrES_Att,"&lt;=2",nrES_Raw,"&gt;=0")=0,"Yes","No"))))</f>
        <v/>
      </c>
      <c r="Q206" s="17">
        <f>IF($C206="","",IF($L206="","",IF(AND($K206=1,ISNUMBER($L206),$L206&lt;$J206,COUNTIFS(nrES_PID,$D206,nrES_Code,$F206,nrES_Att,2,nrES_Raw,"&gt;=0")=0),"Yes","No")))</f>
        <v/>
      </c>
      <c r="R206" s="17">
        <f>IF($C206="","",IF($L206="","",IF(AND(N($K206)&gt;=2,ISNUMBER($L206),$L206&lt;$J206),"Yes","No")))</f>
        <v/>
      </c>
      <c r="S206" s="18" t="n"/>
      <c r="T206" s="19">
        <f>IF(OR($C206="",$L206="",$K206&lt;&gt;1,NOT(ISNUMBER($L206)),$L206&gt;=$J206),"",IF($S206="","(enter date)",_xlfn.LET(_xlpm.dn,_xlfn.XLOOKUP($S206,nrCDdate,nrCDnum,"",1),IF(_xlpm.dn="","(after last class day)",_xlfn.LET(_xlpm.dd,_xlfn.XLOOKUP(_xlpm.dn+cfgRetestClassDays,nrCDnum,nrCDdate,""),_xlpm.ok,_xlfn.XLOOKUP(_xlpm.dn+cfgRetestClassDays,nrCDnum,nrCDinsession,"No"),IF(OR(_xlpm.dd="",_xlpm.ok&lt;&gt;"Yes"),"(after last class day)",_xlpm.dd))))))</f>
        <v/>
      </c>
      <c r="U206" s="17">
        <f>IF($C206="","",IF(AND($Y206="Excused",$L206="",N($K206)&lt;=1),"EXCUSED - 1st attempt pending",IF(OR($L206="",$K206&lt;&gt;1,NOT(ISNUMBER($L206)),$L206&gt;=$J206),"",IF(COUNTIFS(nrES_PID,$D206,nrES_Code,$F206,nrES_Att,2,nrES_Raw,"&gt;=0")&gt;0,IF(IFERROR(_xlfn.MINIFS(nrES_Date,nrES_PID,$D206,nrES_Code,$F206,nrES_Att,2,nrES_Raw,"&gt;=0",nrES_Date,"&gt;0"),0)=0,"RETEST UNDATED",IF(NOT(ISNUMBER($T206)),"RETEST DATE UNCHECKED",IF(_xlfn.MINIFS(nrES_Date,nrES_PID,$D206,nrES_Code,$F206,nrES_Att,2,nrES_Raw,"&gt;=0",nrES_Date,"&gt;0")&gt;$T206,"LATE RETEST "&amp;TEXT(_xlfn.MINIFS(nrES_Date,nrES_PID,$D206,nrES_Code,$F206,nrES_Att,2,nrES_Raw,"&gt;=0",nrES_Date,"&gt;0"),"mm/dd")&amp;" (due "&amp;TEXT($T206,"mm/dd")&amp;")","Retested"))),IF(NOT(ISNUMBER($T206)),"CHECK DATE",IF(TODAY()&gt;$T206,"OVERDUE","Due "&amp;TEXT($T206,"mm/dd")))))))</f>
        <v/>
      </c>
      <c r="V206" s="16" t="n"/>
      <c r="W206" s="16" t="n"/>
      <c r="X206" s="17">
        <f>IF($C206="","",IF(AND($L206&lt;&gt;"",NOT(ISNUMBER($L206))),"RAW SCORE NOT A NUMBER",IF(AND(ISNUMBER($L206),OR($L206&lt;0,$L206&gt;100)),"RAW SCORE OUT OF RANGE",IF(AND($Y206="Unexcused",OR($L206="",NOT(ISNUMBER($L206)),$L206&lt;&gt;0)),"UNEXCUSED ABSENCE MUST RECORD 0",IF(COUNTIF(nrES_RecID,$B206)&gt;1,"DUPLICATE RECORD",IF(N($K206)&gt;2,"ATTEMPT 3+ NOT ALLOWED - policy 300.5 permits one retest per exam; this row records nothing",IF(AND($K206=2,COUNTIFS(nrES_PID,$D206,nrES_Code,$F206,nrES_Att,1)=0),"ATTEMPT 2 WITHOUT ATTEMPT 1",IF(AND($K206=2,$L206=""),"RETEST ROW HAS NO SCORE",IF(AND($H206="Final",$L206&lt;&gt;"",IFERROR(INDEX(nrCKfinalExamElig,MATCH($D206,rngCadetPIDs,0)),"")="No"),"FINAL EXAM AFTER FAILED FINAL PT (500.1.H)",IF(AND($K206=2,ISNUMBER($L206),COUNTIFS(nrES_PID,$D206,nrES_Code,$F206,nrES_Att,1)&gt;0,SUMIFS(nrES_Raw,nrES_PID,$D206,nrES_Code,$F206,nrES_Att,1)&gt;=$J206),"RETEST AFTER A PASSING FIRST ATTEMPT","OK"))))))))))</f>
        <v/>
      </c>
      <c r="Y206" s="16" t="n"/>
    </row>
    <row r="207">
      <c r="B207" s="17">
        <f>IF($C207="","",$D207&amp;"-"&amp;$F207&amp;"-"&amp;$K207)</f>
        <v/>
      </c>
      <c r="C207" s="16" t="n"/>
      <c r="D207" s="17">
        <f>IF($C207="","",IFERROR(INDEX(rngCadetPIDs,MATCH($C207,rngCadetNames,0)),"?"))</f>
        <v/>
      </c>
      <c r="E207" s="17">
        <f>IF($D207="","",IFERROR(INDEX(nrCadetAgency,MATCH($D207,rngCadetPIDs,0)),""))</f>
        <v/>
      </c>
      <c r="F207" s="16" t="n"/>
      <c r="G207" s="17">
        <f>IF($F207="","",IFERROR(INDEX(rngEPname,MATCH($F207,rngEPcode,0)),"?"))</f>
        <v/>
      </c>
      <c r="H207" s="17">
        <f>IF($F207="","",IFERROR(INDEX(rngEPtype,MATCH($F207,rngEPcode,0)),"?"))</f>
        <v/>
      </c>
      <c r="I207" s="17">
        <f>IF($F207="","",IFERROR(INDEX(rngEPseq,MATCH($F207,rngEPcode,0)),""))</f>
        <v/>
      </c>
      <c r="J207" s="17">
        <f>IF($F207="","",IFERROR(INDEX(rngEPpass,MATCH($F207,rngEPcode,0)),cfgPassingScore))</f>
        <v/>
      </c>
      <c r="K207" s="16" t="n"/>
      <c r="L207" s="16" t="n"/>
      <c r="M207" s="17">
        <f>IF($C207="","",IF($L207="","",IF(NOT(ISNUMBER($L207)),$L207,IF(N($K207)&gt;2,"",IF($K207=1,IF(COUNTIFS(nrES_PID,$D207,nrES_Code,$F207,nrES_Att,2,nrES_Raw,"&gt;=0")&gt;0,"",$L207),IF($L207&gt;=$J207,MAX($J207,cfgRetakeRecordedCap),IF(COUNTIFS(nrES_PID,$D207,nrES_Code,$F207,nrES_Att,1)=0,$L207,SUMIFS(nrES_Raw,nrES_PID,$D207,nrES_Code,$F207,nrES_Att,1))))))))</f>
        <v/>
      </c>
      <c r="N207" s="17">
        <f>IF($C207="","",IF($L207="","",IF(NOT(ISNUMBER($L207)),"(not a score)",IF($L207&gt;=$J207,"Yes","No"))))</f>
        <v/>
      </c>
      <c r="O207" s="17">
        <f>IF($C207="","",IF($M207="","",IF(NOT(ISNUMBER($M207)),"(not a score)",IF($M207&gt;=$J207,"Yes","No"))))</f>
        <v/>
      </c>
      <c r="P207" s="17">
        <f>IF($C207="","",IF($K207="","",IF(N($K207)&gt;2,"No",IF(COUNTIFS(nrES_PID,$D207,nrES_Code,$F207,nrES_Att,"&gt;"&amp;$K207,nrES_Att,"&lt;=2",nrES_Raw,"&gt;=0")=0,"Yes","No"))))</f>
        <v/>
      </c>
      <c r="Q207" s="17">
        <f>IF($C207="","",IF($L207="","",IF(AND($K207=1,ISNUMBER($L207),$L207&lt;$J207,COUNTIFS(nrES_PID,$D207,nrES_Code,$F207,nrES_Att,2,nrES_Raw,"&gt;=0")=0),"Yes","No")))</f>
        <v/>
      </c>
      <c r="R207" s="17">
        <f>IF($C207="","",IF($L207="","",IF(AND(N($K207)&gt;=2,ISNUMBER($L207),$L207&lt;$J207),"Yes","No")))</f>
        <v/>
      </c>
      <c r="S207" s="18" t="n"/>
      <c r="T207" s="19">
        <f>IF(OR($C207="",$L207="",$K207&lt;&gt;1,NOT(ISNUMBER($L207)),$L207&gt;=$J207),"",IF($S207="","(enter date)",_xlfn.LET(_xlpm.dn,_xlfn.XLOOKUP($S207,nrCDdate,nrCDnum,"",1),IF(_xlpm.dn="","(after last class day)",_xlfn.LET(_xlpm.dd,_xlfn.XLOOKUP(_xlpm.dn+cfgRetestClassDays,nrCDnum,nrCDdate,""),_xlpm.ok,_xlfn.XLOOKUP(_xlpm.dn+cfgRetestClassDays,nrCDnum,nrCDinsession,"No"),IF(OR(_xlpm.dd="",_xlpm.ok&lt;&gt;"Yes"),"(after last class day)",_xlpm.dd))))))</f>
        <v/>
      </c>
      <c r="U207" s="17">
        <f>IF($C207="","",IF(AND($Y207="Excused",$L207="",N($K207)&lt;=1),"EXCUSED - 1st attempt pending",IF(OR($L207="",$K207&lt;&gt;1,NOT(ISNUMBER($L207)),$L207&gt;=$J207),"",IF(COUNTIFS(nrES_PID,$D207,nrES_Code,$F207,nrES_Att,2,nrES_Raw,"&gt;=0")&gt;0,IF(IFERROR(_xlfn.MINIFS(nrES_Date,nrES_PID,$D207,nrES_Code,$F207,nrES_Att,2,nrES_Raw,"&gt;=0",nrES_Date,"&gt;0"),0)=0,"RETEST UNDATED",IF(NOT(ISNUMBER($T207)),"RETEST DATE UNCHECKED",IF(_xlfn.MINIFS(nrES_Date,nrES_PID,$D207,nrES_Code,$F207,nrES_Att,2,nrES_Raw,"&gt;=0",nrES_Date,"&gt;0")&gt;$T207,"LATE RETEST "&amp;TEXT(_xlfn.MINIFS(nrES_Date,nrES_PID,$D207,nrES_Code,$F207,nrES_Att,2,nrES_Raw,"&gt;=0",nrES_Date,"&gt;0"),"mm/dd")&amp;" (due "&amp;TEXT($T207,"mm/dd")&amp;")","Retested"))),IF(NOT(ISNUMBER($T207)),"CHECK DATE",IF(TODAY()&gt;$T207,"OVERDUE","Due "&amp;TEXT($T207,"mm/dd")))))))</f>
        <v/>
      </c>
      <c r="V207" s="16" t="n"/>
      <c r="W207" s="16" t="n"/>
      <c r="X207" s="17">
        <f>IF($C207="","",IF(AND($L207&lt;&gt;"",NOT(ISNUMBER($L207))),"RAW SCORE NOT A NUMBER",IF(AND(ISNUMBER($L207),OR($L207&lt;0,$L207&gt;100)),"RAW SCORE OUT OF RANGE",IF(AND($Y207="Unexcused",OR($L207="",NOT(ISNUMBER($L207)),$L207&lt;&gt;0)),"UNEXCUSED ABSENCE MUST RECORD 0",IF(COUNTIF(nrES_RecID,$B207)&gt;1,"DUPLICATE RECORD",IF(N($K207)&gt;2,"ATTEMPT 3+ NOT ALLOWED - policy 300.5 permits one retest per exam; this row records nothing",IF(AND($K207=2,COUNTIFS(nrES_PID,$D207,nrES_Code,$F207,nrES_Att,1)=0),"ATTEMPT 2 WITHOUT ATTEMPT 1",IF(AND($K207=2,$L207=""),"RETEST ROW HAS NO SCORE",IF(AND($H207="Final",$L207&lt;&gt;"",IFERROR(INDEX(nrCKfinalExamElig,MATCH($D207,rngCadetPIDs,0)),"")="No"),"FINAL EXAM AFTER FAILED FINAL PT (500.1.H)",IF(AND($K207=2,ISNUMBER($L207),COUNTIFS(nrES_PID,$D207,nrES_Code,$F207,nrES_Att,1)&gt;0,SUMIFS(nrES_Raw,nrES_PID,$D207,nrES_Code,$F207,nrES_Att,1)&gt;=$J207),"RETEST AFTER A PASSING FIRST ATTEMPT","OK"))))))))))</f>
        <v/>
      </c>
      <c r="Y207" s="16" t="n"/>
    </row>
    <row r="208">
      <c r="B208" s="17">
        <f>IF($C208="","",$D208&amp;"-"&amp;$F208&amp;"-"&amp;$K208)</f>
        <v/>
      </c>
      <c r="C208" s="16" t="n"/>
      <c r="D208" s="17">
        <f>IF($C208="","",IFERROR(INDEX(rngCadetPIDs,MATCH($C208,rngCadetNames,0)),"?"))</f>
        <v/>
      </c>
      <c r="E208" s="17">
        <f>IF($D208="","",IFERROR(INDEX(nrCadetAgency,MATCH($D208,rngCadetPIDs,0)),""))</f>
        <v/>
      </c>
      <c r="F208" s="16" t="n"/>
      <c r="G208" s="17">
        <f>IF($F208="","",IFERROR(INDEX(rngEPname,MATCH($F208,rngEPcode,0)),"?"))</f>
        <v/>
      </c>
      <c r="H208" s="17">
        <f>IF($F208="","",IFERROR(INDEX(rngEPtype,MATCH($F208,rngEPcode,0)),"?"))</f>
        <v/>
      </c>
      <c r="I208" s="17">
        <f>IF($F208="","",IFERROR(INDEX(rngEPseq,MATCH($F208,rngEPcode,0)),""))</f>
        <v/>
      </c>
      <c r="J208" s="17">
        <f>IF($F208="","",IFERROR(INDEX(rngEPpass,MATCH($F208,rngEPcode,0)),cfgPassingScore))</f>
        <v/>
      </c>
      <c r="K208" s="16" t="n"/>
      <c r="L208" s="16" t="n"/>
      <c r="M208" s="17">
        <f>IF($C208="","",IF($L208="","",IF(NOT(ISNUMBER($L208)),$L208,IF(N($K208)&gt;2,"",IF($K208=1,IF(COUNTIFS(nrES_PID,$D208,nrES_Code,$F208,nrES_Att,2,nrES_Raw,"&gt;=0")&gt;0,"",$L208),IF($L208&gt;=$J208,MAX($J208,cfgRetakeRecordedCap),IF(COUNTIFS(nrES_PID,$D208,nrES_Code,$F208,nrES_Att,1)=0,$L208,SUMIFS(nrES_Raw,nrES_PID,$D208,nrES_Code,$F208,nrES_Att,1))))))))</f>
        <v/>
      </c>
      <c r="N208" s="17">
        <f>IF($C208="","",IF($L208="","",IF(NOT(ISNUMBER($L208)),"(not a score)",IF($L208&gt;=$J208,"Yes","No"))))</f>
        <v/>
      </c>
      <c r="O208" s="17">
        <f>IF($C208="","",IF($M208="","",IF(NOT(ISNUMBER($M208)),"(not a score)",IF($M208&gt;=$J208,"Yes","No"))))</f>
        <v/>
      </c>
      <c r="P208" s="17">
        <f>IF($C208="","",IF($K208="","",IF(N($K208)&gt;2,"No",IF(COUNTIFS(nrES_PID,$D208,nrES_Code,$F208,nrES_Att,"&gt;"&amp;$K208,nrES_Att,"&lt;=2",nrES_Raw,"&gt;=0")=0,"Yes","No"))))</f>
        <v/>
      </c>
      <c r="Q208" s="17">
        <f>IF($C208="","",IF($L208="","",IF(AND($K208=1,ISNUMBER($L208),$L208&lt;$J208,COUNTIFS(nrES_PID,$D208,nrES_Code,$F208,nrES_Att,2,nrES_Raw,"&gt;=0")=0),"Yes","No")))</f>
        <v/>
      </c>
      <c r="R208" s="17">
        <f>IF($C208="","",IF($L208="","",IF(AND(N($K208)&gt;=2,ISNUMBER($L208),$L208&lt;$J208),"Yes","No")))</f>
        <v/>
      </c>
      <c r="S208" s="18" t="n"/>
      <c r="T208" s="19">
        <f>IF(OR($C208="",$L208="",$K208&lt;&gt;1,NOT(ISNUMBER($L208)),$L208&gt;=$J208),"",IF($S208="","(enter date)",_xlfn.LET(_xlpm.dn,_xlfn.XLOOKUP($S208,nrCDdate,nrCDnum,"",1),IF(_xlpm.dn="","(after last class day)",_xlfn.LET(_xlpm.dd,_xlfn.XLOOKUP(_xlpm.dn+cfgRetestClassDays,nrCDnum,nrCDdate,""),_xlpm.ok,_xlfn.XLOOKUP(_xlpm.dn+cfgRetestClassDays,nrCDnum,nrCDinsession,"No"),IF(OR(_xlpm.dd="",_xlpm.ok&lt;&gt;"Yes"),"(after last class day)",_xlpm.dd))))))</f>
        <v/>
      </c>
      <c r="U208" s="17">
        <f>IF($C208="","",IF(AND($Y208="Excused",$L208="",N($K208)&lt;=1),"EXCUSED - 1st attempt pending",IF(OR($L208="",$K208&lt;&gt;1,NOT(ISNUMBER($L208)),$L208&gt;=$J208),"",IF(COUNTIFS(nrES_PID,$D208,nrES_Code,$F208,nrES_Att,2,nrES_Raw,"&gt;=0")&gt;0,IF(IFERROR(_xlfn.MINIFS(nrES_Date,nrES_PID,$D208,nrES_Code,$F208,nrES_Att,2,nrES_Raw,"&gt;=0",nrES_Date,"&gt;0"),0)=0,"RETEST UNDATED",IF(NOT(ISNUMBER($T208)),"RETEST DATE UNCHECKED",IF(_xlfn.MINIFS(nrES_Date,nrES_PID,$D208,nrES_Code,$F208,nrES_Att,2,nrES_Raw,"&gt;=0",nrES_Date,"&gt;0")&gt;$T208,"LATE RETEST "&amp;TEXT(_xlfn.MINIFS(nrES_Date,nrES_PID,$D208,nrES_Code,$F208,nrES_Att,2,nrES_Raw,"&gt;=0",nrES_Date,"&gt;0"),"mm/dd")&amp;" (due "&amp;TEXT($T208,"mm/dd")&amp;")","Retested"))),IF(NOT(ISNUMBER($T208)),"CHECK DATE",IF(TODAY()&gt;$T208,"OVERDUE","Due "&amp;TEXT($T208,"mm/dd")))))))</f>
        <v/>
      </c>
      <c r="V208" s="16" t="n"/>
      <c r="W208" s="16" t="n"/>
      <c r="X208" s="17">
        <f>IF($C208="","",IF(AND($L208&lt;&gt;"",NOT(ISNUMBER($L208))),"RAW SCORE NOT A NUMBER",IF(AND(ISNUMBER($L208),OR($L208&lt;0,$L208&gt;100)),"RAW SCORE OUT OF RANGE",IF(AND($Y208="Unexcused",OR($L208="",NOT(ISNUMBER($L208)),$L208&lt;&gt;0)),"UNEXCUSED ABSENCE MUST RECORD 0",IF(COUNTIF(nrES_RecID,$B208)&gt;1,"DUPLICATE RECORD",IF(N($K208)&gt;2,"ATTEMPT 3+ NOT ALLOWED - policy 300.5 permits one retest per exam; this row records nothing",IF(AND($K208=2,COUNTIFS(nrES_PID,$D208,nrES_Code,$F208,nrES_Att,1)=0),"ATTEMPT 2 WITHOUT ATTEMPT 1",IF(AND($K208=2,$L208=""),"RETEST ROW HAS NO SCORE",IF(AND($H208="Final",$L208&lt;&gt;"",IFERROR(INDEX(nrCKfinalExamElig,MATCH($D208,rngCadetPIDs,0)),"")="No"),"FINAL EXAM AFTER FAILED FINAL PT (500.1.H)",IF(AND($K208=2,ISNUMBER($L208),COUNTIFS(nrES_PID,$D208,nrES_Code,$F208,nrES_Att,1)&gt;0,SUMIFS(nrES_Raw,nrES_PID,$D208,nrES_Code,$F208,nrES_Att,1)&gt;=$J208),"RETEST AFTER A PASSING FIRST ATTEMPT","OK"))))))))))</f>
        <v/>
      </c>
      <c r="Y208" s="16" t="n"/>
    </row>
    <row r="209">
      <c r="B209" s="17">
        <f>IF($C209="","",$D209&amp;"-"&amp;$F209&amp;"-"&amp;$K209)</f>
        <v/>
      </c>
      <c r="C209" s="16" t="n"/>
      <c r="D209" s="17">
        <f>IF($C209="","",IFERROR(INDEX(rngCadetPIDs,MATCH($C209,rngCadetNames,0)),"?"))</f>
        <v/>
      </c>
      <c r="E209" s="17">
        <f>IF($D209="","",IFERROR(INDEX(nrCadetAgency,MATCH($D209,rngCadetPIDs,0)),""))</f>
        <v/>
      </c>
      <c r="F209" s="16" t="n"/>
      <c r="G209" s="17">
        <f>IF($F209="","",IFERROR(INDEX(rngEPname,MATCH($F209,rngEPcode,0)),"?"))</f>
        <v/>
      </c>
      <c r="H209" s="17">
        <f>IF($F209="","",IFERROR(INDEX(rngEPtype,MATCH($F209,rngEPcode,0)),"?"))</f>
        <v/>
      </c>
      <c r="I209" s="17">
        <f>IF($F209="","",IFERROR(INDEX(rngEPseq,MATCH($F209,rngEPcode,0)),""))</f>
        <v/>
      </c>
      <c r="J209" s="17">
        <f>IF($F209="","",IFERROR(INDEX(rngEPpass,MATCH($F209,rngEPcode,0)),cfgPassingScore))</f>
        <v/>
      </c>
      <c r="K209" s="16" t="n"/>
      <c r="L209" s="16" t="n"/>
      <c r="M209" s="17">
        <f>IF($C209="","",IF($L209="","",IF(NOT(ISNUMBER($L209)),$L209,IF(N($K209)&gt;2,"",IF($K209=1,IF(COUNTIFS(nrES_PID,$D209,nrES_Code,$F209,nrES_Att,2,nrES_Raw,"&gt;=0")&gt;0,"",$L209),IF($L209&gt;=$J209,MAX($J209,cfgRetakeRecordedCap),IF(COUNTIFS(nrES_PID,$D209,nrES_Code,$F209,nrES_Att,1)=0,$L209,SUMIFS(nrES_Raw,nrES_PID,$D209,nrES_Code,$F209,nrES_Att,1))))))))</f>
        <v/>
      </c>
      <c r="N209" s="17">
        <f>IF($C209="","",IF($L209="","",IF(NOT(ISNUMBER($L209)),"(not a score)",IF($L209&gt;=$J209,"Yes","No"))))</f>
        <v/>
      </c>
      <c r="O209" s="17">
        <f>IF($C209="","",IF($M209="","",IF(NOT(ISNUMBER($M209)),"(not a score)",IF($M209&gt;=$J209,"Yes","No"))))</f>
        <v/>
      </c>
      <c r="P209" s="17">
        <f>IF($C209="","",IF($K209="","",IF(N($K209)&gt;2,"No",IF(COUNTIFS(nrES_PID,$D209,nrES_Code,$F209,nrES_Att,"&gt;"&amp;$K209,nrES_Att,"&lt;=2",nrES_Raw,"&gt;=0")=0,"Yes","No"))))</f>
        <v/>
      </c>
      <c r="Q209" s="17">
        <f>IF($C209="","",IF($L209="","",IF(AND($K209=1,ISNUMBER($L209),$L209&lt;$J209,COUNTIFS(nrES_PID,$D209,nrES_Code,$F209,nrES_Att,2,nrES_Raw,"&gt;=0")=0),"Yes","No")))</f>
        <v/>
      </c>
      <c r="R209" s="17">
        <f>IF($C209="","",IF($L209="","",IF(AND(N($K209)&gt;=2,ISNUMBER($L209),$L209&lt;$J209),"Yes","No")))</f>
        <v/>
      </c>
      <c r="S209" s="18" t="n"/>
      <c r="T209" s="19">
        <f>IF(OR($C209="",$L209="",$K209&lt;&gt;1,NOT(ISNUMBER($L209)),$L209&gt;=$J209),"",IF($S209="","(enter date)",_xlfn.LET(_xlpm.dn,_xlfn.XLOOKUP($S209,nrCDdate,nrCDnum,"",1),IF(_xlpm.dn="","(after last class day)",_xlfn.LET(_xlpm.dd,_xlfn.XLOOKUP(_xlpm.dn+cfgRetestClassDays,nrCDnum,nrCDdate,""),_xlpm.ok,_xlfn.XLOOKUP(_xlpm.dn+cfgRetestClassDays,nrCDnum,nrCDinsession,"No"),IF(OR(_xlpm.dd="",_xlpm.ok&lt;&gt;"Yes"),"(after last class day)",_xlpm.dd))))))</f>
        <v/>
      </c>
      <c r="U209" s="17">
        <f>IF($C209="","",IF(AND($Y209="Excused",$L209="",N($K209)&lt;=1),"EXCUSED - 1st attempt pending",IF(OR($L209="",$K209&lt;&gt;1,NOT(ISNUMBER($L209)),$L209&gt;=$J209),"",IF(COUNTIFS(nrES_PID,$D209,nrES_Code,$F209,nrES_Att,2,nrES_Raw,"&gt;=0")&gt;0,IF(IFERROR(_xlfn.MINIFS(nrES_Date,nrES_PID,$D209,nrES_Code,$F209,nrES_Att,2,nrES_Raw,"&gt;=0",nrES_Date,"&gt;0"),0)=0,"RETEST UNDATED",IF(NOT(ISNUMBER($T209)),"RETEST DATE UNCHECKED",IF(_xlfn.MINIFS(nrES_Date,nrES_PID,$D209,nrES_Code,$F209,nrES_Att,2,nrES_Raw,"&gt;=0",nrES_Date,"&gt;0")&gt;$T209,"LATE RETEST "&amp;TEXT(_xlfn.MINIFS(nrES_Date,nrES_PID,$D209,nrES_Code,$F209,nrES_Att,2,nrES_Raw,"&gt;=0",nrES_Date,"&gt;0"),"mm/dd")&amp;" (due "&amp;TEXT($T209,"mm/dd")&amp;")","Retested"))),IF(NOT(ISNUMBER($T209)),"CHECK DATE",IF(TODAY()&gt;$T209,"OVERDUE","Due "&amp;TEXT($T209,"mm/dd")))))))</f>
        <v/>
      </c>
      <c r="V209" s="16" t="n"/>
      <c r="W209" s="16" t="n"/>
      <c r="X209" s="17">
        <f>IF($C209="","",IF(AND($L209&lt;&gt;"",NOT(ISNUMBER($L209))),"RAW SCORE NOT A NUMBER",IF(AND(ISNUMBER($L209),OR($L209&lt;0,$L209&gt;100)),"RAW SCORE OUT OF RANGE",IF(AND($Y209="Unexcused",OR($L209="",NOT(ISNUMBER($L209)),$L209&lt;&gt;0)),"UNEXCUSED ABSENCE MUST RECORD 0",IF(COUNTIF(nrES_RecID,$B209)&gt;1,"DUPLICATE RECORD",IF(N($K209)&gt;2,"ATTEMPT 3+ NOT ALLOWED - policy 300.5 permits one retest per exam; this row records nothing",IF(AND($K209=2,COUNTIFS(nrES_PID,$D209,nrES_Code,$F209,nrES_Att,1)=0),"ATTEMPT 2 WITHOUT ATTEMPT 1",IF(AND($K209=2,$L209=""),"RETEST ROW HAS NO SCORE",IF(AND($H209="Final",$L209&lt;&gt;"",IFERROR(INDEX(nrCKfinalExamElig,MATCH($D209,rngCadetPIDs,0)),"")="No"),"FINAL EXAM AFTER FAILED FINAL PT (500.1.H)",IF(AND($K209=2,ISNUMBER($L209),COUNTIFS(nrES_PID,$D209,nrES_Code,$F209,nrES_Att,1)&gt;0,SUMIFS(nrES_Raw,nrES_PID,$D209,nrES_Code,$F209,nrES_Att,1)&gt;=$J209),"RETEST AFTER A PASSING FIRST ATTEMPT","OK"))))))))))</f>
        <v/>
      </c>
      <c r="Y209" s="16" t="n"/>
    </row>
    <row r="210">
      <c r="B210" s="17">
        <f>IF($C210="","",$D210&amp;"-"&amp;$F210&amp;"-"&amp;$K210)</f>
        <v/>
      </c>
      <c r="C210" s="16" t="n"/>
      <c r="D210" s="17">
        <f>IF($C210="","",IFERROR(INDEX(rngCadetPIDs,MATCH($C210,rngCadetNames,0)),"?"))</f>
        <v/>
      </c>
      <c r="E210" s="17">
        <f>IF($D210="","",IFERROR(INDEX(nrCadetAgency,MATCH($D210,rngCadetPIDs,0)),""))</f>
        <v/>
      </c>
      <c r="F210" s="16" t="n"/>
      <c r="G210" s="17">
        <f>IF($F210="","",IFERROR(INDEX(rngEPname,MATCH($F210,rngEPcode,0)),"?"))</f>
        <v/>
      </c>
      <c r="H210" s="17">
        <f>IF($F210="","",IFERROR(INDEX(rngEPtype,MATCH($F210,rngEPcode,0)),"?"))</f>
        <v/>
      </c>
      <c r="I210" s="17">
        <f>IF($F210="","",IFERROR(INDEX(rngEPseq,MATCH($F210,rngEPcode,0)),""))</f>
        <v/>
      </c>
      <c r="J210" s="17">
        <f>IF($F210="","",IFERROR(INDEX(rngEPpass,MATCH($F210,rngEPcode,0)),cfgPassingScore))</f>
        <v/>
      </c>
      <c r="K210" s="16" t="n"/>
      <c r="L210" s="16" t="n"/>
      <c r="M210" s="17">
        <f>IF($C210="","",IF($L210="","",IF(NOT(ISNUMBER($L210)),$L210,IF(N($K210)&gt;2,"",IF($K210=1,IF(COUNTIFS(nrES_PID,$D210,nrES_Code,$F210,nrES_Att,2,nrES_Raw,"&gt;=0")&gt;0,"",$L210),IF($L210&gt;=$J210,MAX($J210,cfgRetakeRecordedCap),IF(COUNTIFS(nrES_PID,$D210,nrES_Code,$F210,nrES_Att,1)=0,$L210,SUMIFS(nrES_Raw,nrES_PID,$D210,nrES_Code,$F210,nrES_Att,1))))))))</f>
        <v/>
      </c>
      <c r="N210" s="17">
        <f>IF($C210="","",IF($L210="","",IF(NOT(ISNUMBER($L210)),"(not a score)",IF($L210&gt;=$J210,"Yes","No"))))</f>
        <v/>
      </c>
      <c r="O210" s="17">
        <f>IF($C210="","",IF($M210="","",IF(NOT(ISNUMBER($M210)),"(not a score)",IF($M210&gt;=$J210,"Yes","No"))))</f>
        <v/>
      </c>
      <c r="P210" s="17">
        <f>IF($C210="","",IF($K210="","",IF(N($K210)&gt;2,"No",IF(COUNTIFS(nrES_PID,$D210,nrES_Code,$F210,nrES_Att,"&gt;"&amp;$K210,nrES_Att,"&lt;=2",nrES_Raw,"&gt;=0")=0,"Yes","No"))))</f>
        <v/>
      </c>
      <c r="Q210" s="17">
        <f>IF($C210="","",IF($L210="","",IF(AND($K210=1,ISNUMBER($L210),$L210&lt;$J210,COUNTIFS(nrES_PID,$D210,nrES_Code,$F210,nrES_Att,2,nrES_Raw,"&gt;=0")=0),"Yes","No")))</f>
        <v/>
      </c>
      <c r="R210" s="17">
        <f>IF($C210="","",IF($L210="","",IF(AND(N($K210)&gt;=2,ISNUMBER($L210),$L210&lt;$J210),"Yes","No")))</f>
        <v/>
      </c>
      <c r="S210" s="18" t="n"/>
      <c r="T210" s="19">
        <f>IF(OR($C210="",$L210="",$K210&lt;&gt;1,NOT(ISNUMBER($L210)),$L210&gt;=$J210),"",IF($S210="","(enter date)",_xlfn.LET(_xlpm.dn,_xlfn.XLOOKUP($S210,nrCDdate,nrCDnum,"",1),IF(_xlpm.dn="","(after last class day)",_xlfn.LET(_xlpm.dd,_xlfn.XLOOKUP(_xlpm.dn+cfgRetestClassDays,nrCDnum,nrCDdate,""),_xlpm.ok,_xlfn.XLOOKUP(_xlpm.dn+cfgRetestClassDays,nrCDnum,nrCDinsession,"No"),IF(OR(_xlpm.dd="",_xlpm.ok&lt;&gt;"Yes"),"(after last class day)",_xlpm.dd))))))</f>
        <v/>
      </c>
      <c r="U210" s="17">
        <f>IF($C210="","",IF(AND($Y210="Excused",$L210="",N($K210)&lt;=1),"EXCUSED - 1st attempt pending",IF(OR($L210="",$K210&lt;&gt;1,NOT(ISNUMBER($L210)),$L210&gt;=$J210),"",IF(COUNTIFS(nrES_PID,$D210,nrES_Code,$F210,nrES_Att,2,nrES_Raw,"&gt;=0")&gt;0,IF(IFERROR(_xlfn.MINIFS(nrES_Date,nrES_PID,$D210,nrES_Code,$F210,nrES_Att,2,nrES_Raw,"&gt;=0",nrES_Date,"&gt;0"),0)=0,"RETEST UNDATED",IF(NOT(ISNUMBER($T210)),"RETEST DATE UNCHECKED",IF(_xlfn.MINIFS(nrES_Date,nrES_PID,$D210,nrES_Code,$F210,nrES_Att,2,nrES_Raw,"&gt;=0",nrES_Date,"&gt;0")&gt;$T210,"LATE RETEST "&amp;TEXT(_xlfn.MINIFS(nrES_Date,nrES_PID,$D210,nrES_Code,$F210,nrES_Att,2,nrES_Raw,"&gt;=0",nrES_Date,"&gt;0"),"mm/dd")&amp;" (due "&amp;TEXT($T210,"mm/dd")&amp;")","Retested"))),IF(NOT(ISNUMBER($T210)),"CHECK DATE",IF(TODAY()&gt;$T210,"OVERDUE","Due "&amp;TEXT($T210,"mm/dd")))))))</f>
        <v/>
      </c>
      <c r="V210" s="16" t="n"/>
      <c r="W210" s="16" t="n"/>
      <c r="X210" s="17">
        <f>IF($C210="","",IF(AND($L210&lt;&gt;"",NOT(ISNUMBER($L210))),"RAW SCORE NOT A NUMBER",IF(AND(ISNUMBER($L210),OR($L210&lt;0,$L210&gt;100)),"RAW SCORE OUT OF RANGE",IF(AND($Y210="Unexcused",OR($L210="",NOT(ISNUMBER($L210)),$L210&lt;&gt;0)),"UNEXCUSED ABSENCE MUST RECORD 0",IF(COUNTIF(nrES_RecID,$B210)&gt;1,"DUPLICATE RECORD",IF(N($K210)&gt;2,"ATTEMPT 3+ NOT ALLOWED - policy 300.5 permits one retest per exam; this row records nothing",IF(AND($K210=2,COUNTIFS(nrES_PID,$D210,nrES_Code,$F210,nrES_Att,1)=0),"ATTEMPT 2 WITHOUT ATTEMPT 1",IF(AND($K210=2,$L210=""),"RETEST ROW HAS NO SCORE",IF(AND($H210="Final",$L210&lt;&gt;"",IFERROR(INDEX(nrCKfinalExamElig,MATCH($D210,rngCadetPIDs,0)),"")="No"),"FINAL EXAM AFTER FAILED FINAL PT (500.1.H)",IF(AND($K210=2,ISNUMBER($L210),COUNTIFS(nrES_PID,$D210,nrES_Code,$F210,nrES_Att,1)&gt;0,SUMIFS(nrES_Raw,nrES_PID,$D210,nrES_Code,$F210,nrES_Att,1)&gt;=$J210),"RETEST AFTER A PASSING FIRST ATTEMPT","OK"))))))))))</f>
        <v/>
      </c>
      <c r="Y210" s="16" t="n"/>
    </row>
    <row r="211">
      <c r="B211" s="17">
        <f>IF($C211="","",$D211&amp;"-"&amp;$F211&amp;"-"&amp;$K211)</f>
        <v/>
      </c>
      <c r="C211" s="16" t="n"/>
      <c r="D211" s="17">
        <f>IF($C211="","",IFERROR(INDEX(rngCadetPIDs,MATCH($C211,rngCadetNames,0)),"?"))</f>
        <v/>
      </c>
      <c r="E211" s="17">
        <f>IF($D211="","",IFERROR(INDEX(nrCadetAgency,MATCH($D211,rngCadetPIDs,0)),""))</f>
        <v/>
      </c>
      <c r="F211" s="16" t="n"/>
      <c r="G211" s="17">
        <f>IF($F211="","",IFERROR(INDEX(rngEPname,MATCH($F211,rngEPcode,0)),"?"))</f>
        <v/>
      </c>
      <c r="H211" s="17">
        <f>IF($F211="","",IFERROR(INDEX(rngEPtype,MATCH($F211,rngEPcode,0)),"?"))</f>
        <v/>
      </c>
      <c r="I211" s="17">
        <f>IF($F211="","",IFERROR(INDEX(rngEPseq,MATCH($F211,rngEPcode,0)),""))</f>
        <v/>
      </c>
      <c r="J211" s="17">
        <f>IF($F211="","",IFERROR(INDEX(rngEPpass,MATCH($F211,rngEPcode,0)),cfgPassingScore))</f>
        <v/>
      </c>
      <c r="K211" s="16" t="n"/>
      <c r="L211" s="16" t="n"/>
      <c r="M211" s="17">
        <f>IF($C211="","",IF($L211="","",IF(NOT(ISNUMBER($L211)),$L211,IF(N($K211)&gt;2,"",IF($K211=1,IF(COUNTIFS(nrES_PID,$D211,nrES_Code,$F211,nrES_Att,2,nrES_Raw,"&gt;=0")&gt;0,"",$L211),IF($L211&gt;=$J211,MAX($J211,cfgRetakeRecordedCap),IF(COUNTIFS(nrES_PID,$D211,nrES_Code,$F211,nrES_Att,1)=0,$L211,SUMIFS(nrES_Raw,nrES_PID,$D211,nrES_Code,$F211,nrES_Att,1))))))))</f>
        <v/>
      </c>
      <c r="N211" s="17">
        <f>IF($C211="","",IF($L211="","",IF(NOT(ISNUMBER($L211)),"(not a score)",IF($L211&gt;=$J211,"Yes","No"))))</f>
        <v/>
      </c>
      <c r="O211" s="17">
        <f>IF($C211="","",IF($M211="","",IF(NOT(ISNUMBER($M211)),"(not a score)",IF($M211&gt;=$J211,"Yes","No"))))</f>
        <v/>
      </c>
      <c r="P211" s="17">
        <f>IF($C211="","",IF($K211="","",IF(N($K211)&gt;2,"No",IF(COUNTIFS(nrES_PID,$D211,nrES_Code,$F211,nrES_Att,"&gt;"&amp;$K211,nrES_Att,"&lt;=2",nrES_Raw,"&gt;=0")=0,"Yes","No"))))</f>
        <v/>
      </c>
      <c r="Q211" s="17">
        <f>IF($C211="","",IF($L211="","",IF(AND($K211=1,ISNUMBER($L211),$L211&lt;$J211,COUNTIFS(nrES_PID,$D211,nrES_Code,$F211,nrES_Att,2,nrES_Raw,"&gt;=0")=0),"Yes","No")))</f>
        <v/>
      </c>
      <c r="R211" s="17">
        <f>IF($C211="","",IF($L211="","",IF(AND(N($K211)&gt;=2,ISNUMBER($L211),$L211&lt;$J211),"Yes","No")))</f>
        <v/>
      </c>
      <c r="S211" s="18" t="n"/>
      <c r="T211" s="19">
        <f>IF(OR($C211="",$L211="",$K211&lt;&gt;1,NOT(ISNUMBER($L211)),$L211&gt;=$J211),"",IF($S211="","(enter date)",_xlfn.LET(_xlpm.dn,_xlfn.XLOOKUP($S211,nrCDdate,nrCDnum,"",1),IF(_xlpm.dn="","(after last class day)",_xlfn.LET(_xlpm.dd,_xlfn.XLOOKUP(_xlpm.dn+cfgRetestClassDays,nrCDnum,nrCDdate,""),_xlpm.ok,_xlfn.XLOOKUP(_xlpm.dn+cfgRetestClassDays,nrCDnum,nrCDinsession,"No"),IF(OR(_xlpm.dd="",_xlpm.ok&lt;&gt;"Yes"),"(after last class day)",_xlpm.dd))))))</f>
        <v/>
      </c>
      <c r="U211" s="17">
        <f>IF($C211="","",IF(AND($Y211="Excused",$L211="",N($K211)&lt;=1),"EXCUSED - 1st attempt pending",IF(OR($L211="",$K211&lt;&gt;1,NOT(ISNUMBER($L211)),$L211&gt;=$J211),"",IF(COUNTIFS(nrES_PID,$D211,nrES_Code,$F211,nrES_Att,2,nrES_Raw,"&gt;=0")&gt;0,IF(IFERROR(_xlfn.MINIFS(nrES_Date,nrES_PID,$D211,nrES_Code,$F211,nrES_Att,2,nrES_Raw,"&gt;=0",nrES_Date,"&gt;0"),0)=0,"RETEST UNDATED",IF(NOT(ISNUMBER($T211)),"RETEST DATE UNCHECKED",IF(_xlfn.MINIFS(nrES_Date,nrES_PID,$D211,nrES_Code,$F211,nrES_Att,2,nrES_Raw,"&gt;=0",nrES_Date,"&gt;0")&gt;$T211,"LATE RETEST "&amp;TEXT(_xlfn.MINIFS(nrES_Date,nrES_PID,$D211,nrES_Code,$F211,nrES_Att,2,nrES_Raw,"&gt;=0",nrES_Date,"&gt;0"),"mm/dd")&amp;" (due "&amp;TEXT($T211,"mm/dd")&amp;")","Retested"))),IF(NOT(ISNUMBER($T211)),"CHECK DATE",IF(TODAY()&gt;$T211,"OVERDUE","Due "&amp;TEXT($T211,"mm/dd")))))))</f>
        <v/>
      </c>
      <c r="V211" s="16" t="n"/>
      <c r="W211" s="16" t="n"/>
      <c r="X211" s="17">
        <f>IF($C211="","",IF(AND($L211&lt;&gt;"",NOT(ISNUMBER($L211))),"RAW SCORE NOT A NUMBER",IF(AND(ISNUMBER($L211),OR($L211&lt;0,$L211&gt;100)),"RAW SCORE OUT OF RANGE",IF(AND($Y211="Unexcused",OR($L211="",NOT(ISNUMBER($L211)),$L211&lt;&gt;0)),"UNEXCUSED ABSENCE MUST RECORD 0",IF(COUNTIF(nrES_RecID,$B211)&gt;1,"DUPLICATE RECORD",IF(N($K211)&gt;2,"ATTEMPT 3+ NOT ALLOWED - policy 300.5 permits one retest per exam; this row records nothing",IF(AND($K211=2,COUNTIFS(nrES_PID,$D211,nrES_Code,$F211,nrES_Att,1)=0),"ATTEMPT 2 WITHOUT ATTEMPT 1",IF(AND($K211=2,$L211=""),"RETEST ROW HAS NO SCORE",IF(AND($H211="Final",$L211&lt;&gt;"",IFERROR(INDEX(nrCKfinalExamElig,MATCH($D211,rngCadetPIDs,0)),"")="No"),"FINAL EXAM AFTER FAILED FINAL PT (500.1.H)",IF(AND($K211=2,ISNUMBER($L211),COUNTIFS(nrES_PID,$D211,nrES_Code,$F211,nrES_Att,1)&gt;0,SUMIFS(nrES_Raw,nrES_PID,$D211,nrES_Code,$F211,nrES_Att,1)&gt;=$J211),"RETEST AFTER A PASSING FIRST ATTEMPT","OK"))))))))))</f>
        <v/>
      </c>
      <c r="Y211" s="16" t="n"/>
    </row>
    <row r="212">
      <c r="B212" s="17">
        <f>IF($C212="","",$D212&amp;"-"&amp;$F212&amp;"-"&amp;$K212)</f>
        <v/>
      </c>
      <c r="C212" s="16" t="n"/>
      <c r="D212" s="17">
        <f>IF($C212="","",IFERROR(INDEX(rngCadetPIDs,MATCH($C212,rngCadetNames,0)),"?"))</f>
        <v/>
      </c>
      <c r="E212" s="17">
        <f>IF($D212="","",IFERROR(INDEX(nrCadetAgency,MATCH($D212,rngCadetPIDs,0)),""))</f>
        <v/>
      </c>
      <c r="F212" s="16" t="n"/>
      <c r="G212" s="17">
        <f>IF($F212="","",IFERROR(INDEX(rngEPname,MATCH($F212,rngEPcode,0)),"?"))</f>
        <v/>
      </c>
      <c r="H212" s="17">
        <f>IF($F212="","",IFERROR(INDEX(rngEPtype,MATCH($F212,rngEPcode,0)),"?"))</f>
        <v/>
      </c>
      <c r="I212" s="17">
        <f>IF($F212="","",IFERROR(INDEX(rngEPseq,MATCH($F212,rngEPcode,0)),""))</f>
        <v/>
      </c>
      <c r="J212" s="17">
        <f>IF($F212="","",IFERROR(INDEX(rngEPpass,MATCH($F212,rngEPcode,0)),cfgPassingScore))</f>
        <v/>
      </c>
      <c r="K212" s="16" t="n"/>
      <c r="L212" s="16" t="n"/>
      <c r="M212" s="17">
        <f>IF($C212="","",IF($L212="","",IF(NOT(ISNUMBER($L212)),$L212,IF(N($K212)&gt;2,"",IF($K212=1,IF(COUNTIFS(nrES_PID,$D212,nrES_Code,$F212,nrES_Att,2,nrES_Raw,"&gt;=0")&gt;0,"",$L212),IF($L212&gt;=$J212,MAX($J212,cfgRetakeRecordedCap),IF(COUNTIFS(nrES_PID,$D212,nrES_Code,$F212,nrES_Att,1)=0,$L212,SUMIFS(nrES_Raw,nrES_PID,$D212,nrES_Code,$F212,nrES_Att,1))))))))</f>
        <v/>
      </c>
      <c r="N212" s="17">
        <f>IF($C212="","",IF($L212="","",IF(NOT(ISNUMBER($L212)),"(not a score)",IF($L212&gt;=$J212,"Yes","No"))))</f>
        <v/>
      </c>
      <c r="O212" s="17">
        <f>IF($C212="","",IF($M212="","",IF(NOT(ISNUMBER($M212)),"(not a score)",IF($M212&gt;=$J212,"Yes","No"))))</f>
        <v/>
      </c>
      <c r="P212" s="17">
        <f>IF($C212="","",IF($K212="","",IF(N($K212)&gt;2,"No",IF(COUNTIFS(nrES_PID,$D212,nrES_Code,$F212,nrES_Att,"&gt;"&amp;$K212,nrES_Att,"&lt;=2",nrES_Raw,"&gt;=0")=0,"Yes","No"))))</f>
        <v/>
      </c>
      <c r="Q212" s="17">
        <f>IF($C212="","",IF($L212="","",IF(AND($K212=1,ISNUMBER($L212),$L212&lt;$J212,COUNTIFS(nrES_PID,$D212,nrES_Code,$F212,nrES_Att,2,nrES_Raw,"&gt;=0")=0),"Yes","No")))</f>
        <v/>
      </c>
      <c r="R212" s="17">
        <f>IF($C212="","",IF($L212="","",IF(AND(N($K212)&gt;=2,ISNUMBER($L212),$L212&lt;$J212),"Yes","No")))</f>
        <v/>
      </c>
      <c r="S212" s="18" t="n"/>
      <c r="T212" s="19">
        <f>IF(OR($C212="",$L212="",$K212&lt;&gt;1,NOT(ISNUMBER($L212)),$L212&gt;=$J212),"",IF($S212="","(enter date)",_xlfn.LET(_xlpm.dn,_xlfn.XLOOKUP($S212,nrCDdate,nrCDnum,"",1),IF(_xlpm.dn="","(after last class day)",_xlfn.LET(_xlpm.dd,_xlfn.XLOOKUP(_xlpm.dn+cfgRetestClassDays,nrCDnum,nrCDdate,""),_xlpm.ok,_xlfn.XLOOKUP(_xlpm.dn+cfgRetestClassDays,nrCDnum,nrCDinsession,"No"),IF(OR(_xlpm.dd="",_xlpm.ok&lt;&gt;"Yes"),"(after last class day)",_xlpm.dd))))))</f>
        <v/>
      </c>
      <c r="U212" s="17">
        <f>IF($C212="","",IF(AND($Y212="Excused",$L212="",N($K212)&lt;=1),"EXCUSED - 1st attempt pending",IF(OR($L212="",$K212&lt;&gt;1,NOT(ISNUMBER($L212)),$L212&gt;=$J212),"",IF(COUNTIFS(nrES_PID,$D212,nrES_Code,$F212,nrES_Att,2,nrES_Raw,"&gt;=0")&gt;0,IF(IFERROR(_xlfn.MINIFS(nrES_Date,nrES_PID,$D212,nrES_Code,$F212,nrES_Att,2,nrES_Raw,"&gt;=0",nrES_Date,"&gt;0"),0)=0,"RETEST UNDATED",IF(NOT(ISNUMBER($T212)),"RETEST DATE UNCHECKED",IF(_xlfn.MINIFS(nrES_Date,nrES_PID,$D212,nrES_Code,$F212,nrES_Att,2,nrES_Raw,"&gt;=0",nrES_Date,"&gt;0")&gt;$T212,"LATE RETEST "&amp;TEXT(_xlfn.MINIFS(nrES_Date,nrES_PID,$D212,nrES_Code,$F212,nrES_Att,2,nrES_Raw,"&gt;=0",nrES_Date,"&gt;0"),"mm/dd")&amp;" (due "&amp;TEXT($T212,"mm/dd")&amp;")","Retested"))),IF(NOT(ISNUMBER($T212)),"CHECK DATE",IF(TODAY()&gt;$T212,"OVERDUE","Due "&amp;TEXT($T212,"mm/dd")))))))</f>
        <v/>
      </c>
      <c r="V212" s="16" t="n"/>
      <c r="W212" s="16" t="n"/>
      <c r="X212" s="17">
        <f>IF($C212="","",IF(AND($L212&lt;&gt;"",NOT(ISNUMBER($L212))),"RAW SCORE NOT A NUMBER",IF(AND(ISNUMBER($L212),OR($L212&lt;0,$L212&gt;100)),"RAW SCORE OUT OF RANGE",IF(AND($Y212="Unexcused",OR($L212="",NOT(ISNUMBER($L212)),$L212&lt;&gt;0)),"UNEXCUSED ABSENCE MUST RECORD 0",IF(COUNTIF(nrES_RecID,$B212)&gt;1,"DUPLICATE RECORD",IF(N($K212)&gt;2,"ATTEMPT 3+ NOT ALLOWED - policy 300.5 permits one retest per exam; this row records nothing",IF(AND($K212=2,COUNTIFS(nrES_PID,$D212,nrES_Code,$F212,nrES_Att,1)=0),"ATTEMPT 2 WITHOUT ATTEMPT 1",IF(AND($K212=2,$L212=""),"RETEST ROW HAS NO SCORE",IF(AND($H212="Final",$L212&lt;&gt;"",IFERROR(INDEX(nrCKfinalExamElig,MATCH($D212,rngCadetPIDs,0)),"")="No"),"FINAL EXAM AFTER FAILED FINAL PT (500.1.H)",IF(AND($K212=2,ISNUMBER($L212),COUNTIFS(nrES_PID,$D212,nrES_Code,$F212,nrES_Att,1)&gt;0,SUMIFS(nrES_Raw,nrES_PID,$D212,nrES_Code,$F212,nrES_Att,1)&gt;=$J212),"RETEST AFTER A PASSING FIRST ATTEMPT","OK"))))))))))</f>
        <v/>
      </c>
      <c r="Y212" s="16" t="n"/>
    </row>
    <row r="213">
      <c r="B213" s="17">
        <f>IF($C213="","",$D213&amp;"-"&amp;$F213&amp;"-"&amp;$K213)</f>
        <v/>
      </c>
      <c r="C213" s="16" t="n"/>
      <c r="D213" s="17">
        <f>IF($C213="","",IFERROR(INDEX(rngCadetPIDs,MATCH($C213,rngCadetNames,0)),"?"))</f>
        <v/>
      </c>
      <c r="E213" s="17">
        <f>IF($D213="","",IFERROR(INDEX(nrCadetAgency,MATCH($D213,rngCadetPIDs,0)),""))</f>
        <v/>
      </c>
      <c r="F213" s="16" t="n"/>
      <c r="G213" s="17">
        <f>IF($F213="","",IFERROR(INDEX(rngEPname,MATCH($F213,rngEPcode,0)),"?"))</f>
        <v/>
      </c>
      <c r="H213" s="17">
        <f>IF($F213="","",IFERROR(INDEX(rngEPtype,MATCH($F213,rngEPcode,0)),"?"))</f>
        <v/>
      </c>
      <c r="I213" s="17">
        <f>IF($F213="","",IFERROR(INDEX(rngEPseq,MATCH($F213,rngEPcode,0)),""))</f>
        <v/>
      </c>
      <c r="J213" s="17">
        <f>IF($F213="","",IFERROR(INDEX(rngEPpass,MATCH($F213,rngEPcode,0)),cfgPassingScore))</f>
        <v/>
      </c>
      <c r="K213" s="16" t="n"/>
      <c r="L213" s="16" t="n"/>
      <c r="M213" s="17">
        <f>IF($C213="","",IF($L213="","",IF(NOT(ISNUMBER($L213)),$L213,IF(N($K213)&gt;2,"",IF($K213=1,IF(COUNTIFS(nrES_PID,$D213,nrES_Code,$F213,nrES_Att,2,nrES_Raw,"&gt;=0")&gt;0,"",$L213),IF($L213&gt;=$J213,MAX($J213,cfgRetakeRecordedCap),IF(COUNTIFS(nrES_PID,$D213,nrES_Code,$F213,nrES_Att,1)=0,$L213,SUMIFS(nrES_Raw,nrES_PID,$D213,nrES_Code,$F213,nrES_Att,1))))))))</f>
        <v/>
      </c>
      <c r="N213" s="17">
        <f>IF($C213="","",IF($L213="","",IF(NOT(ISNUMBER($L213)),"(not a score)",IF($L213&gt;=$J213,"Yes","No"))))</f>
        <v/>
      </c>
      <c r="O213" s="17">
        <f>IF($C213="","",IF($M213="","",IF(NOT(ISNUMBER($M213)),"(not a score)",IF($M213&gt;=$J213,"Yes","No"))))</f>
        <v/>
      </c>
      <c r="P213" s="17">
        <f>IF($C213="","",IF($K213="","",IF(N($K213)&gt;2,"No",IF(COUNTIFS(nrES_PID,$D213,nrES_Code,$F213,nrES_Att,"&gt;"&amp;$K213,nrES_Att,"&lt;=2",nrES_Raw,"&gt;=0")=0,"Yes","No"))))</f>
        <v/>
      </c>
      <c r="Q213" s="17">
        <f>IF($C213="","",IF($L213="","",IF(AND($K213=1,ISNUMBER($L213),$L213&lt;$J213,COUNTIFS(nrES_PID,$D213,nrES_Code,$F213,nrES_Att,2,nrES_Raw,"&gt;=0")=0),"Yes","No")))</f>
        <v/>
      </c>
      <c r="R213" s="17">
        <f>IF($C213="","",IF($L213="","",IF(AND(N($K213)&gt;=2,ISNUMBER($L213),$L213&lt;$J213),"Yes","No")))</f>
        <v/>
      </c>
      <c r="S213" s="18" t="n"/>
      <c r="T213" s="19">
        <f>IF(OR($C213="",$L213="",$K213&lt;&gt;1,NOT(ISNUMBER($L213)),$L213&gt;=$J213),"",IF($S213="","(enter date)",_xlfn.LET(_xlpm.dn,_xlfn.XLOOKUP($S213,nrCDdate,nrCDnum,"",1),IF(_xlpm.dn="","(after last class day)",_xlfn.LET(_xlpm.dd,_xlfn.XLOOKUP(_xlpm.dn+cfgRetestClassDays,nrCDnum,nrCDdate,""),_xlpm.ok,_xlfn.XLOOKUP(_xlpm.dn+cfgRetestClassDays,nrCDnum,nrCDinsession,"No"),IF(OR(_xlpm.dd="",_xlpm.ok&lt;&gt;"Yes"),"(after last class day)",_xlpm.dd))))))</f>
        <v/>
      </c>
      <c r="U213" s="17">
        <f>IF($C213="","",IF(AND($Y213="Excused",$L213="",N($K213)&lt;=1),"EXCUSED - 1st attempt pending",IF(OR($L213="",$K213&lt;&gt;1,NOT(ISNUMBER($L213)),$L213&gt;=$J213),"",IF(COUNTIFS(nrES_PID,$D213,nrES_Code,$F213,nrES_Att,2,nrES_Raw,"&gt;=0")&gt;0,IF(IFERROR(_xlfn.MINIFS(nrES_Date,nrES_PID,$D213,nrES_Code,$F213,nrES_Att,2,nrES_Raw,"&gt;=0",nrES_Date,"&gt;0"),0)=0,"RETEST UNDATED",IF(NOT(ISNUMBER($T213)),"RETEST DATE UNCHECKED",IF(_xlfn.MINIFS(nrES_Date,nrES_PID,$D213,nrES_Code,$F213,nrES_Att,2,nrES_Raw,"&gt;=0",nrES_Date,"&gt;0")&gt;$T213,"LATE RETEST "&amp;TEXT(_xlfn.MINIFS(nrES_Date,nrES_PID,$D213,nrES_Code,$F213,nrES_Att,2,nrES_Raw,"&gt;=0",nrES_Date,"&gt;0"),"mm/dd")&amp;" (due "&amp;TEXT($T213,"mm/dd")&amp;")","Retested"))),IF(NOT(ISNUMBER($T213)),"CHECK DATE",IF(TODAY()&gt;$T213,"OVERDUE","Due "&amp;TEXT($T213,"mm/dd")))))))</f>
        <v/>
      </c>
      <c r="V213" s="16" t="n"/>
      <c r="W213" s="16" t="n"/>
      <c r="X213" s="17">
        <f>IF($C213="","",IF(AND($L213&lt;&gt;"",NOT(ISNUMBER($L213))),"RAW SCORE NOT A NUMBER",IF(AND(ISNUMBER($L213),OR($L213&lt;0,$L213&gt;100)),"RAW SCORE OUT OF RANGE",IF(AND($Y213="Unexcused",OR($L213="",NOT(ISNUMBER($L213)),$L213&lt;&gt;0)),"UNEXCUSED ABSENCE MUST RECORD 0",IF(COUNTIF(nrES_RecID,$B213)&gt;1,"DUPLICATE RECORD",IF(N($K213)&gt;2,"ATTEMPT 3+ NOT ALLOWED - policy 300.5 permits one retest per exam; this row records nothing",IF(AND($K213=2,COUNTIFS(nrES_PID,$D213,nrES_Code,$F213,nrES_Att,1)=0),"ATTEMPT 2 WITHOUT ATTEMPT 1",IF(AND($K213=2,$L213=""),"RETEST ROW HAS NO SCORE",IF(AND($H213="Final",$L213&lt;&gt;"",IFERROR(INDEX(nrCKfinalExamElig,MATCH($D213,rngCadetPIDs,0)),"")="No"),"FINAL EXAM AFTER FAILED FINAL PT (500.1.H)",IF(AND($K213=2,ISNUMBER($L213),COUNTIFS(nrES_PID,$D213,nrES_Code,$F213,nrES_Att,1)&gt;0,SUMIFS(nrES_Raw,nrES_PID,$D213,nrES_Code,$F213,nrES_Att,1)&gt;=$J213),"RETEST AFTER A PASSING FIRST ATTEMPT","OK"))))))))))</f>
        <v/>
      </c>
      <c r="Y213" s="16" t="n"/>
    </row>
    <row r="214">
      <c r="B214" s="17">
        <f>IF($C214="","",$D214&amp;"-"&amp;$F214&amp;"-"&amp;$K214)</f>
        <v/>
      </c>
      <c r="C214" s="16" t="n"/>
      <c r="D214" s="17">
        <f>IF($C214="","",IFERROR(INDEX(rngCadetPIDs,MATCH($C214,rngCadetNames,0)),"?"))</f>
        <v/>
      </c>
      <c r="E214" s="17">
        <f>IF($D214="","",IFERROR(INDEX(nrCadetAgency,MATCH($D214,rngCadetPIDs,0)),""))</f>
        <v/>
      </c>
      <c r="F214" s="16" t="n"/>
      <c r="G214" s="17">
        <f>IF($F214="","",IFERROR(INDEX(rngEPname,MATCH($F214,rngEPcode,0)),"?"))</f>
        <v/>
      </c>
      <c r="H214" s="17">
        <f>IF($F214="","",IFERROR(INDEX(rngEPtype,MATCH($F214,rngEPcode,0)),"?"))</f>
        <v/>
      </c>
      <c r="I214" s="17">
        <f>IF($F214="","",IFERROR(INDEX(rngEPseq,MATCH($F214,rngEPcode,0)),""))</f>
        <v/>
      </c>
      <c r="J214" s="17">
        <f>IF($F214="","",IFERROR(INDEX(rngEPpass,MATCH($F214,rngEPcode,0)),cfgPassingScore))</f>
        <v/>
      </c>
      <c r="K214" s="16" t="n"/>
      <c r="L214" s="16" t="n"/>
      <c r="M214" s="17">
        <f>IF($C214="","",IF($L214="","",IF(NOT(ISNUMBER($L214)),$L214,IF(N($K214)&gt;2,"",IF($K214=1,IF(COUNTIFS(nrES_PID,$D214,nrES_Code,$F214,nrES_Att,2,nrES_Raw,"&gt;=0")&gt;0,"",$L214),IF($L214&gt;=$J214,MAX($J214,cfgRetakeRecordedCap),IF(COUNTIFS(nrES_PID,$D214,nrES_Code,$F214,nrES_Att,1)=0,$L214,SUMIFS(nrES_Raw,nrES_PID,$D214,nrES_Code,$F214,nrES_Att,1))))))))</f>
        <v/>
      </c>
      <c r="N214" s="17">
        <f>IF($C214="","",IF($L214="","",IF(NOT(ISNUMBER($L214)),"(not a score)",IF($L214&gt;=$J214,"Yes","No"))))</f>
        <v/>
      </c>
      <c r="O214" s="17">
        <f>IF($C214="","",IF($M214="","",IF(NOT(ISNUMBER($M214)),"(not a score)",IF($M214&gt;=$J214,"Yes","No"))))</f>
        <v/>
      </c>
      <c r="P214" s="17">
        <f>IF($C214="","",IF($K214="","",IF(N($K214)&gt;2,"No",IF(COUNTIFS(nrES_PID,$D214,nrES_Code,$F214,nrES_Att,"&gt;"&amp;$K214,nrES_Att,"&lt;=2",nrES_Raw,"&gt;=0")=0,"Yes","No"))))</f>
        <v/>
      </c>
      <c r="Q214" s="17">
        <f>IF($C214="","",IF($L214="","",IF(AND($K214=1,ISNUMBER($L214),$L214&lt;$J214,COUNTIFS(nrES_PID,$D214,nrES_Code,$F214,nrES_Att,2,nrES_Raw,"&gt;=0")=0),"Yes","No")))</f>
        <v/>
      </c>
      <c r="R214" s="17">
        <f>IF($C214="","",IF($L214="","",IF(AND(N($K214)&gt;=2,ISNUMBER($L214),$L214&lt;$J214),"Yes","No")))</f>
        <v/>
      </c>
      <c r="S214" s="18" t="n"/>
      <c r="T214" s="19">
        <f>IF(OR($C214="",$L214="",$K214&lt;&gt;1,NOT(ISNUMBER($L214)),$L214&gt;=$J214),"",IF($S214="","(enter date)",_xlfn.LET(_xlpm.dn,_xlfn.XLOOKUP($S214,nrCDdate,nrCDnum,"",1),IF(_xlpm.dn="","(after last class day)",_xlfn.LET(_xlpm.dd,_xlfn.XLOOKUP(_xlpm.dn+cfgRetestClassDays,nrCDnum,nrCDdate,""),_xlpm.ok,_xlfn.XLOOKUP(_xlpm.dn+cfgRetestClassDays,nrCDnum,nrCDinsession,"No"),IF(OR(_xlpm.dd="",_xlpm.ok&lt;&gt;"Yes"),"(after last class day)",_xlpm.dd))))))</f>
        <v/>
      </c>
      <c r="U214" s="17">
        <f>IF($C214="","",IF(AND($Y214="Excused",$L214="",N($K214)&lt;=1),"EXCUSED - 1st attempt pending",IF(OR($L214="",$K214&lt;&gt;1,NOT(ISNUMBER($L214)),$L214&gt;=$J214),"",IF(COUNTIFS(nrES_PID,$D214,nrES_Code,$F214,nrES_Att,2,nrES_Raw,"&gt;=0")&gt;0,IF(IFERROR(_xlfn.MINIFS(nrES_Date,nrES_PID,$D214,nrES_Code,$F214,nrES_Att,2,nrES_Raw,"&gt;=0",nrES_Date,"&gt;0"),0)=0,"RETEST UNDATED",IF(NOT(ISNUMBER($T214)),"RETEST DATE UNCHECKED",IF(_xlfn.MINIFS(nrES_Date,nrES_PID,$D214,nrES_Code,$F214,nrES_Att,2,nrES_Raw,"&gt;=0",nrES_Date,"&gt;0")&gt;$T214,"LATE RETEST "&amp;TEXT(_xlfn.MINIFS(nrES_Date,nrES_PID,$D214,nrES_Code,$F214,nrES_Att,2,nrES_Raw,"&gt;=0",nrES_Date,"&gt;0"),"mm/dd")&amp;" (due "&amp;TEXT($T214,"mm/dd")&amp;")","Retested"))),IF(NOT(ISNUMBER($T214)),"CHECK DATE",IF(TODAY()&gt;$T214,"OVERDUE","Due "&amp;TEXT($T214,"mm/dd")))))))</f>
        <v/>
      </c>
      <c r="V214" s="16" t="n"/>
      <c r="W214" s="16" t="n"/>
      <c r="X214" s="17">
        <f>IF($C214="","",IF(AND($L214&lt;&gt;"",NOT(ISNUMBER($L214))),"RAW SCORE NOT A NUMBER",IF(AND(ISNUMBER($L214),OR($L214&lt;0,$L214&gt;100)),"RAW SCORE OUT OF RANGE",IF(AND($Y214="Unexcused",OR($L214="",NOT(ISNUMBER($L214)),$L214&lt;&gt;0)),"UNEXCUSED ABSENCE MUST RECORD 0",IF(COUNTIF(nrES_RecID,$B214)&gt;1,"DUPLICATE RECORD",IF(N($K214)&gt;2,"ATTEMPT 3+ NOT ALLOWED - policy 300.5 permits one retest per exam; this row records nothing",IF(AND($K214=2,COUNTIFS(nrES_PID,$D214,nrES_Code,$F214,nrES_Att,1)=0),"ATTEMPT 2 WITHOUT ATTEMPT 1",IF(AND($K214=2,$L214=""),"RETEST ROW HAS NO SCORE",IF(AND($H214="Final",$L214&lt;&gt;"",IFERROR(INDEX(nrCKfinalExamElig,MATCH($D214,rngCadetPIDs,0)),"")="No"),"FINAL EXAM AFTER FAILED FINAL PT (500.1.H)",IF(AND($K214=2,ISNUMBER($L214),COUNTIFS(nrES_PID,$D214,nrES_Code,$F214,nrES_Att,1)&gt;0,SUMIFS(nrES_Raw,nrES_PID,$D214,nrES_Code,$F214,nrES_Att,1)&gt;=$J214),"RETEST AFTER A PASSING FIRST ATTEMPT","OK"))))))))))</f>
        <v/>
      </c>
      <c r="Y214" s="16" t="n"/>
    </row>
    <row r="215">
      <c r="B215" s="17">
        <f>IF($C215="","",$D215&amp;"-"&amp;$F215&amp;"-"&amp;$K215)</f>
        <v/>
      </c>
      <c r="C215" s="16" t="n"/>
      <c r="D215" s="17">
        <f>IF($C215="","",IFERROR(INDEX(rngCadetPIDs,MATCH($C215,rngCadetNames,0)),"?"))</f>
        <v/>
      </c>
      <c r="E215" s="17">
        <f>IF($D215="","",IFERROR(INDEX(nrCadetAgency,MATCH($D215,rngCadetPIDs,0)),""))</f>
        <v/>
      </c>
      <c r="F215" s="16" t="n"/>
      <c r="G215" s="17">
        <f>IF($F215="","",IFERROR(INDEX(rngEPname,MATCH($F215,rngEPcode,0)),"?"))</f>
        <v/>
      </c>
      <c r="H215" s="17">
        <f>IF($F215="","",IFERROR(INDEX(rngEPtype,MATCH($F215,rngEPcode,0)),"?"))</f>
        <v/>
      </c>
      <c r="I215" s="17">
        <f>IF($F215="","",IFERROR(INDEX(rngEPseq,MATCH($F215,rngEPcode,0)),""))</f>
        <v/>
      </c>
      <c r="J215" s="17">
        <f>IF($F215="","",IFERROR(INDEX(rngEPpass,MATCH($F215,rngEPcode,0)),cfgPassingScore))</f>
        <v/>
      </c>
      <c r="K215" s="16" t="n"/>
      <c r="L215" s="16" t="n"/>
      <c r="M215" s="17">
        <f>IF($C215="","",IF($L215="","",IF(NOT(ISNUMBER($L215)),$L215,IF(N($K215)&gt;2,"",IF($K215=1,IF(COUNTIFS(nrES_PID,$D215,nrES_Code,$F215,nrES_Att,2,nrES_Raw,"&gt;=0")&gt;0,"",$L215),IF($L215&gt;=$J215,MAX($J215,cfgRetakeRecordedCap),IF(COUNTIFS(nrES_PID,$D215,nrES_Code,$F215,nrES_Att,1)=0,$L215,SUMIFS(nrES_Raw,nrES_PID,$D215,nrES_Code,$F215,nrES_Att,1))))))))</f>
        <v/>
      </c>
      <c r="N215" s="17">
        <f>IF($C215="","",IF($L215="","",IF(NOT(ISNUMBER($L215)),"(not a score)",IF($L215&gt;=$J215,"Yes","No"))))</f>
        <v/>
      </c>
      <c r="O215" s="17">
        <f>IF($C215="","",IF($M215="","",IF(NOT(ISNUMBER($M215)),"(not a score)",IF($M215&gt;=$J215,"Yes","No"))))</f>
        <v/>
      </c>
      <c r="P215" s="17">
        <f>IF($C215="","",IF($K215="","",IF(N($K215)&gt;2,"No",IF(COUNTIFS(nrES_PID,$D215,nrES_Code,$F215,nrES_Att,"&gt;"&amp;$K215,nrES_Att,"&lt;=2",nrES_Raw,"&gt;=0")=0,"Yes","No"))))</f>
        <v/>
      </c>
      <c r="Q215" s="17">
        <f>IF($C215="","",IF($L215="","",IF(AND($K215=1,ISNUMBER($L215),$L215&lt;$J215,COUNTIFS(nrES_PID,$D215,nrES_Code,$F215,nrES_Att,2,nrES_Raw,"&gt;=0")=0),"Yes","No")))</f>
        <v/>
      </c>
      <c r="R215" s="17">
        <f>IF($C215="","",IF($L215="","",IF(AND(N($K215)&gt;=2,ISNUMBER($L215),$L215&lt;$J215),"Yes","No")))</f>
        <v/>
      </c>
      <c r="S215" s="18" t="n"/>
      <c r="T215" s="19">
        <f>IF(OR($C215="",$L215="",$K215&lt;&gt;1,NOT(ISNUMBER($L215)),$L215&gt;=$J215),"",IF($S215="","(enter date)",_xlfn.LET(_xlpm.dn,_xlfn.XLOOKUP($S215,nrCDdate,nrCDnum,"",1),IF(_xlpm.dn="","(after last class day)",_xlfn.LET(_xlpm.dd,_xlfn.XLOOKUP(_xlpm.dn+cfgRetestClassDays,nrCDnum,nrCDdate,""),_xlpm.ok,_xlfn.XLOOKUP(_xlpm.dn+cfgRetestClassDays,nrCDnum,nrCDinsession,"No"),IF(OR(_xlpm.dd="",_xlpm.ok&lt;&gt;"Yes"),"(after last class day)",_xlpm.dd))))))</f>
        <v/>
      </c>
      <c r="U215" s="17">
        <f>IF($C215="","",IF(AND($Y215="Excused",$L215="",N($K215)&lt;=1),"EXCUSED - 1st attempt pending",IF(OR($L215="",$K215&lt;&gt;1,NOT(ISNUMBER($L215)),$L215&gt;=$J215),"",IF(COUNTIFS(nrES_PID,$D215,nrES_Code,$F215,nrES_Att,2,nrES_Raw,"&gt;=0")&gt;0,IF(IFERROR(_xlfn.MINIFS(nrES_Date,nrES_PID,$D215,nrES_Code,$F215,nrES_Att,2,nrES_Raw,"&gt;=0",nrES_Date,"&gt;0"),0)=0,"RETEST UNDATED",IF(NOT(ISNUMBER($T215)),"RETEST DATE UNCHECKED",IF(_xlfn.MINIFS(nrES_Date,nrES_PID,$D215,nrES_Code,$F215,nrES_Att,2,nrES_Raw,"&gt;=0",nrES_Date,"&gt;0")&gt;$T215,"LATE RETEST "&amp;TEXT(_xlfn.MINIFS(nrES_Date,nrES_PID,$D215,nrES_Code,$F215,nrES_Att,2,nrES_Raw,"&gt;=0",nrES_Date,"&gt;0"),"mm/dd")&amp;" (due "&amp;TEXT($T215,"mm/dd")&amp;")","Retested"))),IF(NOT(ISNUMBER($T215)),"CHECK DATE",IF(TODAY()&gt;$T215,"OVERDUE","Due "&amp;TEXT($T215,"mm/dd")))))))</f>
        <v/>
      </c>
      <c r="V215" s="16" t="n"/>
      <c r="W215" s="16" t="n"/>
      <c r="X215" s="17">
        <f>IF($C215="","",IF(AND($L215&lt;&gt;"",NOT(ISNUMBER($L215))),"RAW SCORE NOT A NUMBER",IF(AND(ISNUMBER($L215),OR($L215&lt;0,$L215&gt;100)),"RAW SCORE OUT OF RANGE",IF(AND($Y215="Unexcused",OR($L215="",NOT(ISNUMBER($L215)),$L215&lt;&gt;0)),"UNEXCUSED ABSENCE MUST RECORD 0",IF(COUNTIF(nrES_RecID,$B215)&gt;1,"DUPLICATE RECORD",IF(N($K215)&gt;2,"ATTEMPT 3+ NOT ALLOWED - policy 300.5 permits one retest per exam; this row records nothing",IF(AND($K215=2,COUNTIFS(nrES_PID,$D215,nrES_Code,$F215,nrES_Att,1)=0),"ATTEMPT 2 WITHOUT ATTEMPT 1",IF(AND($K215=2,$L215=""),"RETEST ROW HAS NO SCORE",IF(AND($H215="Final",$L215&lt;&gt;"",IFERROR(INDEX(nrCKfinalExamElig,MATCH($D215,rngCadetPIDs,0)),"")="No"),"FINAL EXAM AFTER FAILED FINAL PT (500.1.H)",IF(AND($K215=2,ISNUMBER($L215),COUNTIFS(nrES_PID,$D215,nrES_Code,$F215,nrES_Att,1)&gt;0,SUMIFS(nrES_Raw,nrES_PID,$D215,nrES_Code,$F215,nrES_Att,1)&gt;=$J215),"RETEST AFTER A PASSING FIRST ATTEMPT","OK"))))))))))</f>
        <v/>
      </c>
      <c r="Y215" s="16" t="n"/>
    </row>
    <row r="216">
      <c r="B216" s="17">
        <f>IF($C216="","",$D216&amp;"-"&amp;$F216&amp;"-"&amp;$K216)</f>
        <v/>
      </c>
      <c r="C216" s="16" t="n"/>
      <c r="D216" s="17">
        <f>IF($C216="","",IFERROR(INDEX(rngCadetPIDs,MATCH($C216,rngCadetNames,0)),"?"))</f>
        <v/>
      </c>
      <c r="E216" s="17">
        <f>IF($D216="","",IFERROR(INDEX(nrCadetAgency,MATCH($D216,rngCadetPIDs,0)),""))</f>
        <v/>
      </c>
      <c r="F216" s="16" t="n"/>
      <c r="G216" s="17">
        <f>IF($F216="","",IFERROR(INDEX(rngEPname,MATCH($F216,rngEPcode,0)),"?"))</f>
        <v/>
      </c>
      <c r="H216" s="17">
        <f>IF($F216="","",IFERROR(INDEX(rngEPtype,MATCH($F216,rngEPcode,0)),"?"))</f>
        <v/>
      </c>
      <c r="I216" s="17">
        <f>IF($F216="","",IFERROR(INDEX(rngEPseq,MATCH($F216,rngEPcode,0)),""))</f>
        <v/>
      </c>
      <c r="J216" s="17">
        <f>IF($F216="","",IFERROR(INDEX(rngEPpass,MATCH($F216,rngEPcode,0)),cfgPassingScore))</f>
        <v/>
      </c>
      <c r="K216" s="16" t="n"/>
      <c r="L216" s="16" t="n"/>
      <c r="M216" s="17">
        <f>IF($C216="","",IF($L216="","",IF(NOT(ISNUMBER($L216)),$L216,IF(N($K216)&gt;2,"",IF($K216=1,IF(COUNTIFS(nrES_PID,$D216,nrES_Code,$F216,nrES_Att,2,nrES_Raw,"&gt;=0")&gt;0,"",$L216),IF($L216&gt;=$J216,MAX($J216,cfgRetakeRecordedCap),IF(COUNTIFS(nrES_PID,$D216,nrES_Code,$F216,nrES_Att,1)=0,$L216,SUMIFS(nrES_Raw,nrES_PID,$D216,nrES_Code,$F216,nrES_Att,1))))))))</f>
        <v/>
      </c>
      <c r="N216" s="17">
        <f>IF($C216="","",IF($L216="","",IF(NOT(ISNUMBER($L216)),"(not a score)",IF($L216&gt;=$J216,"Yes","No"))))</f>
        <v/>
      </c>
      <c r="O216" s="17">
        <f>IF($C216="","",IF($M216="","",IF(NOT(ISNUMBER($M216)),"(not a score)",IF($M216&gt;=$J216,"Yes","No"))))</f>
        <v/>
      </c>
      <c r="P216" s="17">
        <f>IF($C216="","",IF($K216="","",IF(N($K216)&gt;2,"No",IF(COUNTIFS(nrES_PID,$D216,nrES_Code,$F216,nrES_Att,"&gt;"&amp;$K216,nrES_Att,"&lt;=2",nrES_Raw,"&gt;=0")=0,"Yes","No"))))</f>
        <v/>
      </c>
      <c r="Q216" s="17">
        <f>IF($C216="","",IF($L216="","",IF(AND($K216=1,ISNUMBER($L216),$L216&lt;$J216,COUNTIFS(nrES_PID,$D216,nrES_Code,$F216,nrES_Att,2,nrES_Raw,"&gt;=0")=0),"Yes","No")))</f>
        <v/>
      </c>
      <c r="R216" s="17">
        <f>IF($C216="","",IF($L216="","",IF(AND(N($K216)&gt;=2,ISNUMBER($L216),$L216&lt;$J216),"Yes","No")))</f>
        <v/>
      </c>
      <c r="S216" s="18" t="n"/>
      <c r="T216" s="19">
        <f>IF(OR($C216="",$L216="",$K216&lt;&gt;1,NOT(ISNUMBER($L216)),$L216&gt;=$J216),"",IF($S216="","(enter date)",_xlfn.LET(_xlpm.dn,_xlfn.XLOOKUP($S216,nrCDdate,nrCDnum,"",1),IF(_xlpm.dn="","(after last class day)",_xlfn.LET(_xlpm.dd,_xlfn.XLOOKUP(_xlpm.dn+cfgRetestClassDays,nrCDnum,nrCDdate,""),_xlpm.ok,_xlfn.XLOOKUP(_xlpm.dn+cfgRetestClassDays,nrCDnum,nrCDinsession,"No"),IF(OR(_xlpm.dd="",_xlpm.ok&lt;&gt;"Yes"),"(after last class day)",_xlpm.dd))))))</f>
        <v/>
      </c>
      <c r="U216" s="17">
        <f>IF($C216="","",IF(AND($Y216="Excused",$L216="",N($K216)&lt;=1),"EXCUSED - 1st attempt pending",IF(OR($L216="",$K216&lt;&gt;1,NOT(ISNUMBER($L216)),$L216&gt;=$J216),"",IF(COUNTIFS(nrES_PID,$D216,nrES_Code,$F216,nrES_Att,2,nrES_Raw,"&gt;=0")&gt;0,IF(IFERROR(_xlfn.MINIFS(nrES_Date,nrES_PID,$D216,nrES_Code,$F216,nrES_Att,2,nrES_Raw,"&gt;=0",nrES_Date,"&gt;0"),0)=0,"RETEST UNDATED",IF(NOT(ISNUMBER($T216)),"RETEST DATE UNCHECKED",IF(_xlfn.MINIFS(nrES_Date,nrES_PID,$D216,nrES_Code,$F216,nrES_Att,2,nrES_Raw,"&gt;=0",nrES_Date,"&gt;0")&gt;$T216,"LATE RETEST "&amp;TEXT(_xlfn.MINIFS(nrES_Date,nrES_PID,$D216,nrES_Code,$F216,nrES_Att,2,nrES_Raw,"&gt;=0",nrES_Date,"&gt;0"),"mm/dd")&amp;" (due "&amp;TEXT($T216,"mm/dd")&amp;")","Retested"))),IF(NOT(ISNUMBER($T216)),"CHECK DATE",IF(TODAY()&gt;$T216,"OVERDUE","Due "&amp;TEXT($T216,"mm/dd")))))))</f>
        <v/>
      </c>
      <c r="V216" s="16" t="n"/>
      <c r="W216" s="16" t="n"/>
      <c r="X216" s="17">
        <f>IF($C216="","",IF(AND($L216&lt;&gt;"",NOT(ISNUMBER($L216))),"RAW SCORE NOT A NUMBER",IF(AND(ISNUMBER($L216),OR($L216&lt;0,$L216&gt;100)),"RAW SCORE OUT OF RANGE",IF(AND($Y216="Unexcused",OR($L216="",NOT(ISNUMBER($L216)),$L216&lt;&gt;0)),"UNEXCUSED ABSENCE MUST RECORD 0",IF(COUNTIF(nrES_RecID,$B216)&gt;1,"DUPLICATE RECORD",IF(N($K216)&gt;2,"ATTEMPT 3+ NOT ALLOWED - policy 300.5 permits one retest per exam; this row records nothing",IF(AND($K216=2,COUNTIFS(nrES_PID,$D216,nrES_Code,$F216,nrES_Att,1)=0),"ATTEMPT 2 WITHOUT ATTEMPT 1",IF(AND($K216=2,$L216=""),"RETEST ROW HAS NO SCORE",IF(AND($H216="Final",$L216&lt;&gt;"",IFERROR(INDEX(nrCKfinalExamElig,MATCH($D216,rngCadetPIDs,0)),"")="No"),"FINAL EXAM AFTER FAILED FINAL PT (500.1.H)",IF(AND($K216=2,ISNUMBER($L216),COUNTIFS(nrES_PID,$D216,nrES_Code,$F216,nrES_Att,1)&gt;0,SUMIFS(nrES_Raw,nrES_PID,$D216,nrES_Code,$F216,nrES_Att,1)&gt;=$J216),"RETEST AFTER A PASSING FIRST ATTEMPT","OK"))))))))))</f>
        <v/>
      </c>
      <c r="Y216" s="16" t="n"/>
    </row>
    <row r="217">
      <c r="B217" s="17">
        <f>IF($C217="","",$D217&amp;"-"&amp;$F217&amp;"-"&amp;$K217)</f>
        <v/>
      </c>
      <c r="C217" s="16" t="n"/>
      <c r="D217" s="17">
        <f>IF($C217="","",IFERROR(INDEX(rngCadetPIDs,MATCH($C217,rngCadetNames,0)),"?"))</f>
        <v/>
      </c>
      <c r="E217" s="17">
        <f>IF($D217="","",IFERROR(INDEX(nrCadetAgency,MATCH($D217,rngCadetPIDs,0)),""))</f>
        <v/>
      </c>
      <c r="F217" s="16" t="n"/>
      <c r="G217" s="17">
        <f>IF($F217="","",IFERROR(INDEX(rngEPname,MATCH($F217,rngEPcode,0)),"?"))</f>
        <v/>
      </c>
      <c r="H217" s="17">
        <f>IF($F217="","",IFERROR(INDEX(rngEPtype,MATCH($F217,rngEPcode,0)),"?"))</f>
        <v/>
      </c>
      <c r="I217" s="17">
        <f>IF($F217="","",IFERROR(INDEX(rngEPseq,MATCH($F217,rngEPcode,0)),""))</f>
        <v/>
      </c>
      <c r="J217" s="17">
        <f>IF($F217="","",IFERROR(INDEX(rngEPpass,MATCH($F217,rngEPcode,0)),cfgPassingScore))</f>
        <v/>
      </c>
      <c r="K217" s="16" t="n"/>
      <c r="L217" s="16" t="n"/>
      <c r="M217" s="17">
        <f>IF($C217="","",IF($L217="","",IF(NOT(ISNUMBER($L217)),$L217,IF(N($K217)&gt;2,"",IF($K217=1,IF(COUNTIFS(nrES_PID,$D217,nrES_Code,$F217,nrES_Att,2,nrES_Raw,"&gt;=0")&gt;0,"",$L217),IF($L217&gt;=$J217,MAX($J217,cfgRetakeRecordedCap),IF(COUNTIFS(nrES_PID,$D217,nrES_Code,$F217,nrES_Att,1)=0,$L217,SUMIFS(nrES_Raw,nrES_PID,$D217,nrES_Code,$F217,nrES_Att,1))))))))</f>
        <v/>
      </c>
      <c r="N217" s="17">
        <f>IF($C217="","",IF($L217="","",IF(NOT(ISNUMBER($L217)),"(not a score)",IF($L217&gt;=$J217,"Yes","No"))))</f>
        <v/>
      </c>
      <c r="O217" s="17">
        <f>IF($C217="","",IF($M217="","",IF(NOT(ISNUMBER($M217)),"(not a score)",IF($M217&gt;=$J217,"Yes","No"))))</f>
        <v/>
      </c>
      <c r="P217" s="17">
        <f>IF($C217="","",IF($K217="","",IF(N($K217)&gt;2,"No",IF(COUNTIFS(nrES_PID,$D217,nrES_Code,$F217,nrES_Att,"&gt;"&amp;$K217,nrES_Att,"&lt;=2",nrES_Raw,"&gt;=0")=0,"Yes","No"))))</f>
        <v/>
      </c>
      <c r="Q217" s="17">
        <f>IF($C217="","",IF($L217="","",IF(AND($K217=1,ISNUMBER($L217),$L217&lt;$J217,COUNTIFS(nrES_PID,$D217,nrES_Code,$F217,nrES_Att,2,nrES_Raw,"&gt;=0")=0),"Yes","No")))</f>
        <v/>
      </c>
      <c r="R217" s="17">
        <f>IF($C217="","",IF($L217="","",IF(AND(N($K217)&gt;=2,ISNUMBER($L217),$L217&lt;$J217),"Yes","No")))</f>
        <v/>
      </c>
      <c r="S217" s="18" t="n"/>
      <c r="T217" s="19">
        <f>IF(OR($C217="",$L217="",$K217&lt;&gt;1,NOT(ISNUMBER($L217)),$L217&gt;=$J217),"",IF($S217="","(enter date)",_xlfn.LET(_xlpm.dn,_xlfn.XLOOKUP($S217,nrCDdate,nrCDnum,"",1),IF(_xlpm.dn="","(after last class day)",_xlfn.LET(_xlpm.dd,_xlfn.XLOOKUP(_xlpm.dn+cfgRetestClassDays,nrCDnum,nrCDdate,""),_xlpm.ok,_xlfn.XLOOKUP(_xlpm.dn+cfgRetestClassDays,nrCDnum,nrCDinsession,"No"),IF(OR(_xlpm.dd="",_xlpm.ok&lt;&gt;"Yes"),"(after last class day)",_xlpm.dd))))))</f>
        <v/>
      </c>
      <c r="U217" s="17">
        <f>IF($C217="","",IF(AND($Y217="Excused",$L217="",N($K217)&lt;=1),"EXCUSED - 1st attempt pending",IF(OR($L217="",$K217&lt;&gt;1,NOT(ISNUMBER($L217)),$L217&gt;=$J217),"",IF(COUNTIFS(nrES_PID,$D217,nrES_Code,$F217,nrES_Att,2,nrES_Raw,"&gt;=0")&gt;0,IF(IFERROR(_xlfn.MINIFS(nrES_Date,nrES_PID,$D217,nrES_Code,$F217,nrES_Att,2,nrES_Raw,"&gt;=0",nrES_Date,"&gt;0"),0)=0,"RETEST UNDATED",IF(NOT(ISNUMBER($T217)),"RETEST DATE UNCHECKED",IF(_xlfn.MINIFS(nrES_Date,nrES_PID,$D217,nrES_Code,$F217,nrES_Att,2,nrES_Raw,"&gt;=0",nrES_Date,"&gt;0")&gt;$T217,"LATE RETEST "&amp;TEXT(_xlfn.MINIFS(nrES_Date,nrES_PID,$D217,nrES_Code,$F217,nrES_Att,2,nrES_Raw,"&gt;=0",nrES_Date,"&gt;0"),"mm/dd")&amp;" (due "&amp;TEXT($T217,"mm/dd")&amp;")","Retested"))),IF(NOT(ISNUMBER($T217)),"CHECK DATE",IF(TODAY()&gt;$T217,"OVERDUE","Due "&amp;TEXT($T217,"mm/dd")))))))</f>
        <v/>
      </c>
      <c r="V217" s="16" t="n"/>
      <c r="W217" s="16" t="n"/>
      <c r="X217" s="17">
        <f>IF($C217="","",IF(AND($L217&lt;&gt;"",NOT(ISNUMBER($L217))),"RAW SCORE NOT A NUMBER",IF(AND(ISNUMBER($L217),OR($L217&lt;0,$L217&gt;100)),"RAW SCORE OUT OF RANGE",IF(AND($Y217="Unexcused",OR($L217="",NOT(ISNUMBER($L217)),$L217&lt;&gt;0)),"UNEXCUSED ABSENCE MUST RECORD 0",IF(COUNTIF(nrES_RecID,$B217)&gt;1,"DUPLICATE RECORD",IF(N($K217)&gt;2,"ATTEMPT 3+ NOT ALLOWED - policy 300.5 permits one retest per exam; this row records nothing",IF(AND($K217=2,COUNTIFS(nrES_PID,$D217,nrES_Code,$F217,nrES_Att,1)=0),"ATTEMPT 2 WITHOUT ATTEMPT 1",IF(AND($K217=2,$L217=""),"RETEST ROW HAS NO SCORE",IF(AND($H217="Final",$L217&lt;&gt;"",IFERROR(INDEX(nrCKfinalExamElig,MATCH($D217,rngCadetPIDs,0)),"")="No"),"FINAL EXAM AFTER FAILED FINAL PT (500.1.H)",IF(AND($K217=2,ISNUMBER($L217),COUNTIFS(nrES_PID,$D217,nrES_Code,$F217,nrES_Att,1)&gt;0,SUMIFS(nrES_Raw,nrES_PID,$D217,nrES_Code,$F217,nrES_Att,1)&gt;=$J217),"RETEST AFTER A PASSING FIRST ATTEMPT","OK"))))))))))</f>
        <v/>
      </c>
      <c r="Y217" s="16" t="n"/>
    </row>
    <row r="218">
      <c r="B218" s="17">
        <f>IF($C218="","",$D218&amp;"-"&amp;$F218&amp;"-"&amp;$K218)</f>
        <v/>
      </c>
      <c r="C218" s="16" t="n"/>
      <c r="D218" s="17">
        <f>IF($C218="","",IFERROR(INDEX(rngCadetPIDs,MATCH($C218,rngCadetNames,0)),"?"))</f>
        <v/>
      </c>
      <c r="E218" s="17">
        <f>IF($D218="","",IFERROR(INDEX(nrCadetAgency,MATCH($D218,rngCadetPIDs,0)),""))</f>
        <v/>
      </c>
      <c r="F218" s="16" t="n"/>
      <c r="G218" s="17">
        <f>IF($F218="","",IFERROR(INDEX(rngEPname,MATCH($F218,rngEPcode,0)),"?"))</f>
        <v/>
      </c>
      <c r="H218" s="17">
        <f>IF($F218="","",IFERROR(INDEX(rngEPtype,MATCH($F218,rngEPcode,0)),"?"))</f>
        <v/>
      </c>
      <c r="I218" s="17">
        <f>IF($F218="","",IFERROR(INDEX(rngEPseq,MATCH($F218,rngEPcode,0)),""))</f>
        <v/>
      </c>
      <c r="J218" s="17">
        <f>IF($F218="","",IFERROR(INDEX(rngEPpass,MATCH($F218,rngEPcode,0)),cfgPassingScore))</f>
        <v/>
      </c>
      <c r="K218" s="16" t="n"/>
      <c r="L218" s="16" t="n"/>
      <c r="M218" s="17">
        <f>IF($C218="","",IF($L218="","",IF(NOT(ISNUMBER($L218)),$L218,IF(N($K218)&gt;2,"",IF($K218=1,IF(COUNTIFS(nrES_PID,$D218,nrES_Code,$F218,nrES_Att,2,nrES_Raw,"&gt;=0")&gt;0,"",$L218),IF($L218&gt;=$J218,MAX($J218,cfgRetakeRecordedCap),IF(COUNTIFS(nrES_PID,$D218,nrES_Code,$F218,nrES_Att,1)=0,$L218,SUMIFS(nrES_Raw,nrES_PID,$D218,nrES_Code,$F218,nrES_Att,1))))))))</f>
        <v/>
      </c>
      <c r="N218" s="17">
        <f>IF($C218="","",IF($L218="","",IF(NOT(ISNUMBER($L218)),"(not a score)",IF($L218&gt;=$J218,"Yes","No"))))</f>
        <v/>
      </c>
      <c r="O218" s="17">
        <f>IF($C218="","",IF($M218="","",IF(NOT(ISNUMBER($M218)),"(not a score)",IF($M218&gt;=$J218,"Yes","No"))))</f>
        <v/>
      </c>
      <c r="P218" s="17">
        <f>IF($C218="","",IF($K218="","",IF(N($K218)&gt;2,"No",IF(COUNTIFS(nrES_PID,$D218,nrES_Code,$F218,nrES_Att,"&gt;"&amp;$K218,nrES_Att,"&lt;=2",nrES_Raw,"&gt;=0")=0,"Yes","No"))))</f>
        <v/>
      </c>
      <c r="Q218" s="17">
        <f>IF($C218="","",IF($L218="","",IF(AND($K218=1,ISNUMBER($L218),$L218&lt;$J218,COUNTIFS(nrES_PID,$D218,nrES_Code,$F218,nrES_Att,2,nrES_Raw,"&gt;=0")=0),"Yes","No")))</f>
        <v/>
      </c>
      <c r="R218" s="17">
        <f>IF($C218="","",IF($L218="","",IF(AND(N($K218)&gt;=2,ISNUMBER($L218),$L218&lt;$J218),"Yes","No")))</f>
        <v/>
      </c>
      <c r="S218" s="18" t="n"/>
      <c r="T218" s="19">
        <f>IF(OR($C218="",$L218="",$K218&lt;&gt;1,NOT(ISNUMBER($L218)),$L218&gt;=$J218),"",IF($S218="","(enter date)",_xlfn.LET(_xlpm.dn,_xlfn.XLOOKUP($S218,nrCDdate,nrCDnum,"",1),IF(_xlpm.dn="","(after last class day)",_xlfn.LET(_xlpm.dd,_xlfn.XLOOKUP(_xlpm.dn+cfgRetestClassDays,nrCDnum,nrCDdate,""),_xlpm.ok,_xlfn.XLOOKUP(_xlpm.dn+cfgRetestClassDays,nrCDnum,nrCDinsession,"No"),IF(OR(_xlpm.dd="",_xlpm.ok&lt;&gt;"Yes"),"(after last class day)",_xlpm.dd))))))</f>
        <v/>
      </c>
      <c r="U218" s="17">
        <f>IF($C218="","",IF(AND($Y218="Excused",$L218="",N($K218)&lt;=1),"EXCUSED - 1st attempt pending",IF(OR($L218="",$K218&lt;&gt;1,NOT(ISNUMBER($L218)),$L218&gt;=$J218),"",IF(COUNTIFS(nrES_PID,$D218,nrES_Code,$F218,nrES_Att,2,nrES_Raw,"&gt;=0")&gt;0,IF(IFERROR(_xlfn.MINIFS(nrES_Date,nrES_PID,$D218,nrES_Code,$F218,nrES_Att,2,nrES_Raw,"&gt;=0",nrES_Date,"&gt;0"),0)=0,"RETEST UNDATED",IF(NOT(ISNUMBER($T218)),"RETEST DATE UNCHECKED",IF(_xlfn.MINIFS(nrES_Date,nrES_PID,$D218,nrES_Code,$F218,nrES_Att,2,nrES_Raw,"&gt;=0",nrES_Date,"&gt;0")&gt;$T218,"LATE RETEST "&amp;TEXT(_xlfn.MINIFS(nrES_Date,nrES_PID,$D218,nrES_Code,$F218,nrES_Att,2,nrES_Raw,"&gt;=0",nrES_Date,"&gt;0"),"mm/dd")&amp;" (due "&amp;TEXT($T218,"mm/dd")&amp;")","Retested"))),IF(NOT(ISNUMBER($T218)),"CHECK DATE",IF(TODAY()&gt;$T218,"OVERDUE","Due "&amp;TEXT($T218,"mm/dd")))))))</f>
        <v/>
      </c>
      <c r="V218" s="16" t="n"/>
      <c r="W218" s="16" t="n"/>
      <c r="X218" s="17">
        <f>IF($C218="","",IF(AND($L218&lt;&gt;"",NOT(ISNUMBER($L218))),"RAW SCORE NOT A NUMBER",IF(AND(ISNUMBER($L218),OR($L218&lt;0,$L218&gt;100)),"RAW SCORE OUT OF RANGE",IF(AND($Y218="Unexcused",OR($L218="",NOT(ISNUMBER($L218)),$L218&lt;&gt;0)),"UNEXCUSED ABSENCE MUST RECORD 0",IF(COUNTIF(nrES_RecID,$B218)&gt;1,"DUPLICATE RECORD",IF(N($K218)&gt;2,"ATTEMPT 3+ NOT ALLOWED - policy 300.5 permits one retest per exam; this row records nothing",IF(AND($K218=2,COUNTIFS(nrES_PID,$D218,nrES_Code,$F218,nrES_Att,1)=0),"ATTEMPT 2 WITHOUT ATTEMPT 1",IF(AND($K218=2,$L218=""),"RETEST ROW HAS NO SCORE",IF(AND($H218="Final",$L218&lt;&gt;"",IFERROR(INDEX(nrCKfinalExamElig,MATCH($D218,rngCadetPIDs,0)),"")="No"),"FINAL EXAM AFTER FAILED FINAL PT (500.1.H)",IF(AND($K218=2,ISNUMBER($L218),COUNTIFS(nrES_PID,$D218,nrES_Code,$F218,nrES_Att,1)&gt;0,SUMIFS(nrES_Raw,nrES_PID,$D218,nrES_Code,$F218,nrES_Att,1)&gt;=$J218),"RETEST AFTER A PASSING FIRST ATTEMPT","OK"))))))))))</f>
        <v/>
      </c>
      <c r="Y218" s="16" t="n"/>
    </row>
    <row r="219">
      <c r="B219" s="17">
        <f>IF($C219="","",$D219&amp;"-"&amp;$F219&amp;"-"&amp;$K219)</f>
        <v/>
      </c>
      <c r="C219" s="16" t="n"/>
      <c r="D219" s="17">
        <f>IF($C219="","",IFERROR(INDEX(rngCadetPIDs,MATCH($C219,rngCadetNames,0)),"?"))</f>
        <v/>
      </c>
      <c r="E219" s="17">
        <f>IF($D219="","",IFERROR(INDEX(nrCadetAgency,MATCH($D219,rngCadetPIDs,0)),""))</f>
        <v/>
      </c>
      <c r="F219" s="16" t="n"/>
      <c r="G219" s="17">
        <f>IF($F219="","",IFERROR(INDEX(rngEPname,MATCH($F219,rngEPcode,0)),"?"))</f>
        <v/>
      </c>
      <c r="H219" s="17">
        <f>IF($F219="","",IFERROR(INDEX(rngEPtype,MATCH($F219,rngEPcode,0)),"?"))</f>
        <v/>
      </c>
      <c r="I219" s="17">
        <f>IF($F219="","",IFERROR(INDEX(rngEPseq,MATCH($F219,rngEPcode,0)),""))</f>
        <v/>
      </c>
      <c r="J219" s="17">
        <f>IF($F219="","",IFERROR(INDEX(rngEPpass,MATCH($F219,rngEPcode,0)),cfgPassingScore))</f>
        <v/>
      </c>
      <c r="K219" s="16" t="n"/>
      <c r="L219" s="16" t="n"/>
      <c r="M219" s="17">
        <f>IF($C219="","",IF($L219="","",IF(NOT(ISNUMBER($L219)),$L219,IF(N($K219)&gt;2,"",IF($K219=1,IF(COUNTIFS(nrES_PID,$D219,nrES_Code,$F219,nrES_Att,2,nrES_Raw,"&gt;=0")&gt;0,"",$L219),IF($L219&gt;=$J219,MAX($J219,cfgRetakeRecordedCap),IF(COUNTIFS(nrES_PID,$D219,nrES_Code,$F219,nrES_Att,1)=0,$L219,SUMIFS(nrES_Raw,nrES_PID,$D219,nrES_Code,$F219,nrES_Att,1))))))))</f>
        <v/>
      </c>
      <c r="N219" s="17">
        <f>IF($C219="","",IF($L219="","",IF(NOT(ISNUMBER($L219)),"(not a score)",IF($L219&gt;=$J219,"Yes","No"))))</f>
        <v/>
      </c>
      <c r="O219" s="17">
        <f>IF($C219="","",IF($M219="","",IF(NOT(ISNUMBER($M219)),"(not a score)",IF($M219&gt;=$J219,"Yes","No"))))</f>
        <v/>
      </c>
      <c r="P219" s="17">
        <f>IF($C219="","",IF($K219="","",IF(N($K219)&gt;2,"No",IF(COUNTIFS(nrES_PID,$D219,nrES_Code,$F219,nrES_Att,"&gt;"&amp;$K219,nrES_Att,"&lt;=2",nrES_Raw,"&gt;=0")=0,"Yes","No"))))</f>
        <v/>
      </c>
      <c r="Q219" s="17">
        <f>IF($C219="","",IF($L219="","",IF(AND($K219=1,ISNUMBER($L219),$L219&lt;$J219,COUNTIFS(nrES_PID,$D219,nrES_Code,$F219,nrES_Att,2,nrES_Raw,"&gt;=0")=0),"Yes","No")))</f>
        <v/>
      </c>
      <c r="R219" s="17">
        <f>IF($C219="","",IF($L219="","",IF(AND(N($K219)&gt;=2,ISNUMBER($L219),$L219&lt;$J219),"Yes","No")))</f>
        <v/>
      </c>
      <c r="S219" s="18" t="n"/>
      <c r="T219" s="19">
        <f>IF(OR($C219="",$L219="",$K219&lt;&gt;1,NOT(ISNUMBER($L219)),$L219&gt;=$J219),"",IF($S219="","(enter date)",_xlfn.LET(_xlpm.dn,_xlfn.XLOOKUP($S219,nrCDdate,nrCDnum,"",1),IF(_xlpm.dn="","(after last class day)",_xlfn.LET(_xlpm.dd,_xlfn.XLOOKUP(_xlpm.dn+cfgRetestClassDays,nrCDnum,nrCDdate,""),_xlpm.ok,_xlfn.XLOOKUP(_xlpm.dn+cfgRetestClassDays,nrCDnum,nrCDinsession,"No"),IF(OR(_xlpm.dd="",_xlpm.ok&lt;&gt;"Yes"),"(after last class day)",_xlpm.dd))))))</f>
        <v/>
      </c>
      <c r="U219" s="17">
        <f>IF($C219="","",IF(AND($Y219="Excused",$L219="",N($K219)&lt;=1),"EXCUSED - 1st attempt pending",IF(OR($L219="",$K219&lt;&gt;1,NOT(ISNUMBER($L219)),$L219&gt;=$J219),"",IF(COUNTIFS(nrES_PID,$D219,nrES_Code,$F219,nrES_Att,2,nrES_Raw,"&gt;=0")&gt;0,IF(IFERROR(_xlfn.MINIFS(nrES_Date,nrES_PID,$D219,nrES_Code,$F219,nrES_Att,2,nrES_Raw,"&gt;=0",nrES_Date,"&gt;0"),0)=0,"RETEST UNDATED",IF(NOT(ISNUMBER($T219)),"RETEST DATE UNCHECKED",IF(_xlfn.MINIFS(nrES_Date,nrES_PID,$D219,nrES_Code,$F219,nrES_Att,2,nrES_Raw,"&gt;=0",nrES_Date,"&gt;0")&gt;$T219,"LATE RETEST "&amp;TEXT(_xlfn.MINIFS(nrES_Date,nrES_PID,$D219,nrES_Code,$F219,nrES_Att,2,nrES_Raw,"&gt;=0",nrES_Date,"&gt;0"),"mm/dd")&amp;" (due "&amp;TEXT($T219,"mm/dd")&amp;")","Retested"))),IF(NOT(ISNUMBER($T219)),"CHECK DATE",IF(TODAY()&gt;$T219,"OVERDUE","Due "&amp;TEXT($T219,"mm/dd")))))))</f>
        <v/>
      </c>
      <c r="V219" s="16" t="n"/>
      <c r="W219" s="16" t="n"/>
      <c r="X219" s="17">
        <f>IF($C219="","",IF(AND($L219&lt;&gt;"",NOT(ISNUMBER($L219))),"RAW SCORE NOT A NUMBER",IF(AND(ISNUMBER($L219),OR($L219&lt;0,$L219&gt;100)),"RAW SCORE OUT OF RANGE",IF(AND($Y219="Unexcused",OR($L219="",NOT(ISNUMBER($L219)),$L219&lt;&gt;0)),"UNEXCUSED ABSENCE MUST RECORD 0",IF(COUNTIF(nrES_RecID,$B219)&gt;1,"DUPLICATE RECORD",IF(N($K219)&gt;2,"ATTEMPT 3+ NOT ALLOWED - policy 300.5 permits one retest per exam; this row records nothing",IF(AND($K219=2,COUNTIFS(nrES_PID,$D219,nrES_Code,$F219,nrES_Att,1)=0),"ATTEMPT 2 WITHOUT ATTEMPT 1",IF(AND($K219=2,$L219=""),"RETEST ROW HAS NO SCORE",IF(AND($H219="Final",$L219&lt;&gt;"",IFERROR(INDEX(nrCKfinalExamElig,MATCH($D219,rngCadetPIDs,0)),"")="No"),"FINAL EXAM AFTER FAILED FINAL PT (500.1.H)",IF(AND($K219=2,ISNUMBER($L219),COUNTIFS(nrES_PID,$D219,nrES_Code,$F219,nrES_Att,1)&gt;0,SUMIFS(nrES_Raw,nrES_PID,$D219,nrES_Code,$F219,nrES_Att,1)&gt;=$J219),"RETEST AFTER A PASSING FIRST ATTEMPT","OK"))))))))))</f>
        <v/>
      </c>
      <c r="Y219" s="16" t="n"/>
    </row>
    <row r="220">
      <c r="B220" s="17">
        <f>IF($C220="","",$D220&amp;"-"&amp;$F220&amp;"-"&amp;$K220)</f>
        <v/>
      </c>
      <c r="C220" s="16" t="n"/>
      <c r="D220" s="17">
        <f>IF($C220="","",IFERROR(INDEX(rngCadetPIDs,MATCH($C220,rngCadetNames,0)),"?"))</f>
        <v/>
      </c>
      <c r="E220" s="17">
        <f>IF($D220="","",IFERROR(INDEX(nrCadetAgency,MATCH($D220,rngCadetPIDs,0)),""))</f>
        <v/>
      </c>
      <c r="F220" s="16" t="n"/>
      <c r="G220" s="17">
        <f>IF($F220="","",IFERROR(INDEX(rngEPname,MATCH($F220,rngEPcode,0)),"?"))</f>
        <v/>
      </c>
      <c r="H220" s="17">
        <f>IF($F220="","",IFERROR(INDEX(rngEPtype,MATCH($F220,rngEPcode,0)),"?"))</f>
        <v/>
      </c>
      <c r="I220" s="17">
        <f>IF($F220="","",IFERROR(INDEX(rngEPseq,MATCH($F220,rngEPcode,0)),""))</f>
        <v/>
      </c>
      <c r="J220" s="17">
        <f>IF($F220="","",IFERROR(INDEX(rngEPpass,MATCH($F220,rngEPcode,0)),cfgPassingScore))</f>
        <v/>
      </c>
      <c r="K220" s="16" t="n"/>
      <c r="L220" s="16" t="n"/>
      <c r="M220" s="17">
        <f>IF($C220="","",IF($L220="","",IF(NOT(ISNUMBER($L220)),$L220,IF(N($K220)&gt;2,"",IF($K220=1,IF(COUNTIFS(nrES_PID,$D220,nrES_Code,$F220,nrES_Att,2,nrES_Raw,"&gt;=0")&gt;0,"",$L220),IF($L220&gt;=$J220,MAX($J220,cfgRetakeRecordedCap),IF(COUNTIFS(nrES_PID,$D220,nrES_Code,$F220,nrES_Att,1)=0,$L220,SUMIFS(nrES_Raw,nrES_PID,$D220,nrES_Code,$F220,nrES_Att,1))))))))</f>
        <v/>
      </c>
      <c r="N220" s="17">
        <f>IF($C220="","",IF($L220="","",IF(NOT(ISNUMBER($L220)),"(not a score)",IF($L220&gt;=$J220,"Yes","No"))))</f>
        <v/>
      </c>
      <c r="O220" s="17">
        <f>IF($C220="","",IF($M220="","",IF(NOT(ISNUMBER($M220)),"(not a score)",IF($M220&gt;=$J220,"Yes","No"))))</f>
        <v/>
      </c>
      <c r="P220" s="17">
        <f>IF($C220="","",IF($K220="","",IF(N($K220)&gt;2,"No",IF(COUNTIFS(nrES_PID,$D220,nrES_Code,$F220,nrES_Att,"&gt;"&amp;$K220,nrES_Att,"&lt;=2",nrES_Raw,"&gt;=0")=0,"Yes","No"))))</f>
        <v/>
      </c>
      <c r="Q220" s="17">
        <f>IF($C220="","",IF($L220="","",IF(AND($K220=1,ISNUMBER($L220),$L220&lt;$J220,COUNTIFS(nrES_PID,$D220,nrES_Code,$F220,nrES_Att,2,nrES_Raw,"&gt;=0")=0),"Yes","No")))</f>
        <v/>
      </c>
      <c r="R220" s="17">
        <f>IF($C220="","",IF($L220="","",IF(AND(N($K220)&gt;=2,ISNUMBER($L220),$L220&lt;$J220),"Yes","No")))</f>
        <v/>
      </c>
      <c r="S220" s="18" t="n"/>
      <c r="T220" s="19">
        <f>IF(OR($C220="",$L220="",$K220&lt;&gt;1,NOT(ISNUMBER($L220)),$L220&gt;=$J220),"",IF($S220="","(enter date)",_xlfn.LET(_xlpm.dn,_xlfn.XLOOKUP($S220,nrCDdate,nrCDnum,"",1),IF(_xlpm.dn="","(after last class day)",_xlfn.LET(_xlpm.dd,_xlfn.XLOOKUP(_xlpm.dn+cfgRetestClassDays,nrCDnum,nrCDdate,""),_xlpm.ok,_xlfn.XLOOKUP(_xlpm.dn+cfgRetestClassDays,nrCDnum,nrCDinsession,"No"),IF(OR(_xlpm.dd="",_xlpm.ok&lt;&gt;"Yes"),"(after last class day)",_xlpm.dd))))))</f>
        <v/>
      </c>
      <c r="U220" s="17">
        <f>IF($C220="","",IF(AND($Y220="Excused",$L220="",N($K220)&lt;=1),"EXCUSED - 1st attempt pending",IF(OR($L220="",$K220&lt;&gt;1,NOT(ISNUMBER($L220)),$L220&gt;=$J220),"",IF(COUNTIFS(nrES_PID,$D220,nrES_Code,$F220,nrES_Att,2,nrES_Raw,"&gt;=0")&gt;0,IF(IFERROR(_xlfn.MINIFS(nrES_Date,nrES_PID,$D220,nrES_Code,$F220,nrES_Att,2,nrES_Raw,"&gt;=0",nrES_Date,"&gt;0"),0)=0,"RETEST UNDATED",IF(NOT(ISNUMBER($T220)),"RETEST DATE UNCHECKED",IF(_xlfn.MINIFS(nrES_Date,nrES_PID,$D220,nrES_Code,$F220,nrES_Att,2,nrES_Raw,"&gt;=0",nrES_Date,"&gt;0")&gt;$T220,"LATE RETEST "&amp;TEXT(_xlfn.MINIFS(nrES_Date,nrES_PID,$D220,nrES_Code,$F220,nrES_Att,2,nrES_Raw,"&gt;=0",nrES_Date,"&gt;0"),"mm/dd")&amp;" (due "&amp;TEXT($T220,"mm/dd")&amp;")","Retested"))),IF(NOT(ISNUMBER($T220)),"CHECK DATE",IF(TODAY()&gt;$T220,"OVERDUE","Due "&amp;TEXT($T220,"mm/dd")))))))</f>
        <v/>
      </c>
      <c r="V220" s="16" t="n"/>
      <c r="W220" s="16" t="n"/>
      <c r="X220" s="17">
        <f>IF($C220="","",IF(AND($L220&lt;&gt;"",NOT(ISNUMBER($L220))),"RAW SCORE NOT A NUMBER",IF(AND(ISNUMBER($L220),OR($L220&lt;0,$L220&gt;100)),"RAW SCORE OUT OF RANGE",IF(AND($Y220="Unexcused",OR($L220="",NOT(ISNUMBER($L220)),$L220&lt;&gt;0)),"UNEXCUSED ABSENCE MUST RECORD 0",IF(COUNTIF(nrES_RecID,$B220)&gt;1,"DUPLICATE RECORD",IF(N($K220)&gt;2,"ATTEMPT 3+ NOT ALLOWED - policy 300.5 permits one retest per exam; this row records nothing",IF(AND($K220=2,COUNTIFS(nrES_PID,$D220,nrES_Code,$F220,nrES_Att,1)=0),"ATTEMPT 2 WITHOUT ATTEMPT 1",IF(AND($K220=2,$L220=""),"RETEST ROW HAS NO SCORE",IF(AND($H220="Final",$L220&lt;&gt;"",IFERROR(INDEX(nrCKfinalExamElig,MATCH($D220,rngCadetPIDs,0)),"")="No"),"FINAL EXAM AFTER FAILED FINAL PT (500.1.H)",IF(AND($K220=2,ISNUMBER($L220),COUNTIFS(nrES_PID,$D220,nrES_Code,$F220,nrES_Att,1)&gt;0,SUMIFS(nrES_Raw,nrES_PID,$D220,nrES_Code,$F220,nrES_Att,1)&gt;=$J220),"RETEST AFTER A PASSING FIRST ATTEMPT","OK"))))))))))</f>
        <v/>
      </c>
      <c r="Y220" s="16" t="n"/>
    </row>
    <row r="221">
      <c r="B221" s="17">
        <f>IF($C221="","",$D221&amp;"-"&amp;$F221&amp;"-"&amp;$K221)</f>
        <v/>
      </c>
      <c r="C221" s="16" t="n"/>
      <c r="D221" s="17">
        <f>IF($C221="","",IFERROR(INDEX(rngCadetPIDs,MATCH($C221,rngCadetNames,0)),"?"))</f>
        <v/>
      </c>
      <c r="E221" s="17">
        <f>IF($D221="","",IFERROR(INDEX(nrCadetAgency,MATCH($D221,rngCadetPIDs,0)),""))</f>
        <v/>
      </c>
      <c r="F221" s="16" t="n"/>
      <c r="G221" s="17">
        <f>IF($F221="","",IFERROR(INDEX(rngEPname,MATCH($F221,rngEPcode,0)),"?"))</f>
        <v/>
      </c>
      <c r="H221" s="17">
        <f>IF($F221="","",IFERROR(INDEX(rngEPtype,MATCH($F221,rngEPcode,0)),"?"))</f>
        <v/>
      </c>
      <c r="I221" s="17">
        <f>IF($F221="","",IFERROR(INDEX(rngEPseq,MATCH($F221,rngEPcode,0)),""))</f>
        <v/>
      </c>
      <c r="J221" s="17">
        <f>IF($F221="","",IFERROR(INDEX(rngEPpass,MATCH($F221,rngEPcode,0)),cfgPassingScore))</f>
        <v/>
      </c>
      <c r="K221" s="16" t="n"/>
      <c r="L221" s="16" t="n"/>
      <c r="M221" s="17">
        <f>IF($C221="","",IF($L221="","",IF(NOT(ISNUMBER($L221)),$L221,IF(N($K221)&gt;2,"",IF($K221=1,IF(COUNTIFS(nrES_PID,$D221,nrES_Code,$F221,nrES_Att,2,nrES_Raw,"&gt;=0")&gt;0,"",$L221),IF($L221&gt;=$J221,MAX($J221,cfgRetakeRecordedCap),IF(COUNTIFS(nrES_PID,$D221,nrES_Code,$F221,nrES_Att,1)=0,$L221,SUMIFS(nrES_Raw,nrES_PID,$D221,nrES_Code,$F221,nrES_Att,1))))))))</f>
        <v/>
      </c>
      <c r="N221" s="17">
        <f>IF($C221="","",IF($L221="","",IF(NOT(ISNUMBER($L221)),"(not a score)",IF($L221&gt;=$J221,"Yes","No"))))</f>
        <v/>
      </c>
      <c r="O221" s="17">
        <f>IF($C221="","",IF($M221="","",IF(NOT(ISNUMBER($M221)),"(not a score)",IF($M221&gt;=$J221,"Yes","No"))))</f>
        <v/>
      </c>
      <c r="P221" s="17">
        <f>IF($C221="","",IF($K221="","",IF(N($K221)&gt;2,"No",IF(COUNTIFS(nrES_PID,$D221,nrES_Code,$F221,nrES_Att,"&gt;"&amp;$K221,nrES_Att,"&lt;=2",nrES_Raw,"&gt;=0")=0,"Yes","No"))))</f>
        <v/>
      </c>
      <c r="Q221" s="17">
        <f>IF($C221="","",IF($L221="","",IF(AND($K221=1,ISNUMBER($L221),$L221&lt;$J221,COUNTIFS(nrES_PID,$D221,nrES_Code,$F221,nrES_Att,2,nrES_Raw,"&gt;=0")=0),"Yes","No")))</f>
        <v/>
      </c>
      <c r="R221" s="17">
        <f>IF($C221="","",IF($L221="","",IF(AND(N($K221)&gt;=2,ISNUMBER($L221),$L221&lt;$J221),"Yes","No")))</f>
        <v/>
      </c>
      <c r="S221" s="18" t="n"/>
      <c r="T221" s="19">
        <f>IF(OR($C221="",$L221="",$K221&lt;&gt;1,NOT(ISNUMBER($L221)),$L221&gt;=$J221),"",IF($S221="","(enter date)",_xlfn.LET(_xlpm.dn,_xlfn.XLOOKUP($S221,nrCDdate,nrCDnum,"",1),IF(_xlpm.dn="","(after last class day)",_xlfn.LET(_xlpm.dd,_xlfn.XLOOKUP(_xlpm.dn+cfgRetestClassDays,nrCDnum,nrCDdate,""),_xlpm.ok,_xlfn.XLOOKUP(_xlpm.dn+cfgRetestClassDays,nrCDnum,nrCDinsession,"No"),IF(OR(_xlpm.dd="",_xlpm.ok&lt;&gt;"Yes"),"(after last class day)",_xlpm.dd))))))</f>
        <v/>
      </c>
      <c r="U221" s="17">
        <f>IF($C221="","",IF(AND($Y221="Excused",$L221="",N($K221)&lt;=1),"EXCUSED - 1st attempt pending",IF(OR($L221="",$K221&lt;&gt;1,NOT(ISNUMBER($L221)),$L221&gt;=$J221),"",IF(COUNTIFS(nrES_PID,$D221,nrES_Code,$F221,nrES_Att,2,nrES_Raw,"&gt;=0")&gt;0,IF(IFERROR(_xlfn.MINIFS(nrES_Date,nrES_PID,$D221,nrES_Code,$F221,nrES_Att,2,nrES_Raw,"&gt;=0",nrES_Date,"&gt;0"),0)=0,"RETEST UNDATED",IF(NOT(ISNUMBER($T221)),"RETEST DATE UNCHECKED",IF(_xlfn.MINIFS(nrES_Date,nrES_PID,$D221,nrES_Code,$F221,nrES_Att,2,nrES_Raw,"&gt;=0",nrES_Date,"&gt;0")&gt;$T221,"LATE RETEST "&amp;TEXT(_xlfn.MINIFS(nrES_Date,nrES_PID,$D221,nrES_Code,$F221,nrES_Att,2,nrES_Raw,"&gt;=0",nrES_Date,"&gt;0"),"mm/dd")&amp;" (due "&amp;TEXT($T221,"mm/dd")&amp;")","Retested"))),IF(NOT(ISNUMBER($T221)),"CHECK DATE",IF(TODAY()&gt;$T221,"OVERDUE","Due "&amp;TEXT($T221,"mm/dd")))))))</f>
        <v/>
      </c>
      <c r="V221" s="16" t="n"/>
      <c r="W221" s="16" t="n"/>
      <c r="X221" s="17">
        <f>IF($C221="","",IF(AND($L221&lt;&gt;"",NOT(ISNUMBER($L221))),"RAW SCORE NOT A NUMBER",IF(AND(ISNUMBER($L221),OR($L221&lt;0,$L221&gt;100)),"RAW SCORE OUT OF RANGE",IF(AND($Y221="Unexcused",OR($L221="",NOT(ISNUMBER($L221)),$L221&lt;&gt;0)),"UNEXCUSED ABSENCE MUST RECORD 0",IF(COUNTIF(nrES_RecID,$B221)&gt;1,"DUPLICATE RECORD",IF(N($K221)&gt;2,"ATTEMPT 3+ NOT ALLOWED - policy 300.5 permits one retest per exam; this row records nothing",IF(AND($K221=2,COUNTIFS(nrES_PID,$D221,nrES_Code,$F221,nrES_Att,1)=0),"ATTEMPT 2 WITHOUT ATTEMPT 1",IF(AND($K221=2,$L221=""),"RETEST ROW HAS NO SCORE",IF(AND($H221="Final",$L221&lt;&gt;"",IFERROR(INDEX(nrCKfinalExamElig,MATCH($D221,rngCadetPIDs,0)),"")="No"),"FINAL EXAM AFTER FAILED FINAL PT (500.1.H)",IF(AND($K221=2,ISNUMBER($L221),COUNTIFS(nrES_PID,$D221,nrES_Code,$F221,nrES_Att,1)&gt;0,SUMIFS(nrES_Raw,nrES_PID,$D221,nrES_Code,$F221,nrES_Att,1)&gt;=$J221),"RETEST AFTER A PASSING FIRST ATTEMPT","OK"))))))))))</f>
        <v/>
      </c>
      <c r="Y221" s="16" t="n"/>
    </row>
    <row r="222">
      <c r="B222" s="17">
        <f>IF($C222="","",$D222&amp;"-"&amp;$F222&amp;"-"&amp;$K222)</f>
        <v/>
      </c>
      <c r="C222" s="16" t="n"/>
      <c r="D222" s="17">
        <f>IF($C222="","",IFERROR(INDEX(rngCadetPIDs,MATCH($C222,rngCadetNames,0)),"?"))</f>
        <v/>
      </c>
      <c r="E222" s="17">
        <f>IF($D222="","",IFERROR(INDEX(nrCadetAgency,MATCH($D222,rngCadetPIDs,0)),""))</f>
        <v/>
      </c>
      <c r="F222" s="16" t="n"/>
      <c r="G222" s="17">
        <f>IF($F222="","",IFERROR(INDEX(rngEPname,MATCH($F222,rngEPcode,0)),"?"))</f>
        <v/>
      </c>
      <c r="H222" s="17">
        <f>IF($F222="","",IFERROR(INDEX(rngEPtype,MATCH($F222,rngEPcode,0)),"?"))</f>
        <v/>
      </c>
      <c r="I222" s="17">
        <f>IF($F222="","",IFERROR(INDEX(rngEPseq,MATCH($F222,rngEPcode,0)),""))</f>
        <v/>
      </c>
      <c r="J222" s="17">
        <f>IF($F222="","",IFERROR(INDEX(rngEPpass,MATCH($F222,rngEPcode,0)),cfgPassingScore))</f>
        <v/>
      </c>
      <c r="K222" s="16" t="n"/>
      <c r="L222" s="16" t="n"/>
      <c r="M222" s="17">
        <f>IF($C222="","",IF($L222="","",IF(NOT(ISNUMBER($L222)),$L222,IF(N($K222)&gt;2,"",IF($K222=1,IF(COUNTIFS(nrES_PID,$D222,nrES_Code,$F222,nrES_Att,2,nrES_Raw,"&gt;=0")&gt;0,"",$L222),IF($L222&gt;=$J222,MAX($J222,cfgRetakeRecordedCap),IF(COUNTIFS(nrES_PID,$D222,nrES_Code,$F222,nrES_Att,1)=0,$L222,SUMIFS(nrES_Raw,nrES_PID,$D222,nrES_Code,$F222,nrES_Att,1))))))))</f>
        <v/>
      </c>
      <c r="N222" s="17">
        <f>IF($C222="","",IF($L222="","",IF(NOT(ISNUMBER($L222)),"(not a score)",IF($L222&gt;=$J222,"Yes","No"))))</f>
        <v/>
      </c>
      <c r="O222" s="17">
        <f>IF($C222="","",IF($M222="","",IF(NOT(ISNUMBER($M222)),"(not a score)",IF($M222&gt;=$J222,"Yes","No"))))</f>
        <v/>
      </c>
      <c r="P222" s="17">
        <f>IF($C222="","",IF($K222="","",IF(N($K222)&gt;2,"No",IF(COUNTIFS(nrES_PID,$D222,nrES_Code,$F222,nrES_Att,"&gt;"&amp;$K222,nrES_Att,"&lt;=2",nrES_Raw,"&gt;=0")=0,"Yes","No"))))</f>
        <v/>
      </c>
      <c r="Q222" s="17">
        <f>IF($C222="","",IF($L222="","",IF(AND($K222=1,ISNUMBER($L222),$L222&lt;$J222,COUNTIFS(nrES_PID,$D222,nrES_Code,$F222,nrES_Att,2,nrES_Raw,"&gt;=0")=0),"Yes","No")))</f>
        <v/>
      </c>
      <c r="R222" s="17">
        <f>IF($C222="","",IF($L222="","",IF(AND(N($K222)&gt;=2,ISNUMBER($L222),$L222&lt;$J222),"Yes","No")))</f>
        <v/>
      </c>
      <c r="S222" s="18" t="n"/>
      <c r="T222" s="19">
        <f>IF(OR($C222="",$L222="",$K222&lt;&gt;1,NOT(ISNUMBER($L222)),$L222&gt;=$J222),"",IF($S222="","(enter date)",_xlfn.LET(_xlpm.dn,_xlfn.XLOOKUP($S222,nrCDdate,nrCDnum,"",1),IF(_xlpm.dn="","(after last class day)",_xlfn.LET(_xlpm.dd,_xlfn.XLOOKUP(_xlpm.dn+cfgRetestClassDays,nrCDnum,nrCDdate,""),_xlpm.ok,_xlfn.XLOOKUP(_xlpm.dn+cfgRetestClassDays,nrCDnum,nrCDinsession,"No"),IF(OR(_xlpm.dd="",_xlpm.ok&lt;&gt;"Yes"),"(after last class day)",_xlpm.dd))))))</f>
        <v/>
      </c>
      <c r="U222" s="17">
        <f>IF($C222="","",IF(AND($Y222="Excused",$L222="",N($K222)&lt;=1),"EXCUSED - 1st attempt pending",IF(OR($L222="",$K222&lt;&gt;1,NOT(ISNUMBER($L222)),$L222&gt;=$J222),"",IF(COUNTIFS(nrES_PID,$D222,nrES_Code,$F222,nrES_Att,2,nrES_Raw,"&gt;=0")&gt;0,IF(IFERROR(_xlfn.MINIFS(nrES_Date,nrES_PID,$D222,nrES_Code,$F222,nrES_Att,2,nrES_Raw,"&gt;=0",nrES_Date,"&gt;0"),0)=0,"RETEST UNDATED",IF(NOT(ISNUMBER($T222)),"RETEST DATE UNCHECKED",IF(_xlfn.MINIFS(nrES_Date,nrES_PID,$D222,nrES_Code,$F222,nrES_Att,2,nrES_Raw,"&gt;=0",nrES_Date,"&gt;0")&gt;$T222,"LATE RETEST "&amp;TEXT(_xlfn.MINIFS(nrES_Date,nrES_PID,$D222,nrES_Code,$F222,nrES_Att,2,nrES_Raw,"&gt;=0",nrES_Date,"&gt;0"),"mm/dd")&amp;" (due "&amp;TEXT($T222,"mm/dd")&amp;")","Retested"))),IF(NOT(ISNUMBER($T222)),"CHECK DATE",IF(TODAY()&gt;$T222,"OVERDUE","Due "&amp;TEXT($T222,"mm/dd")))))))</f>
        <v/>
      </c>
      <c r="V222" s="16" t="n"/>
      <c r="W222" s="16" t="n"/>
      <c r="X222" s="17">
        <f>IF($C222="","",IF(AND($L222&lt;&gt;"",NOT(ISNUMBER($L222))),"RAW SCORE NOT A NUMBER",IF(AND(ISNUMBER($L222),OR($L222&lt;0,$L222&gt;100)),"RAW SCORE OUT OF RANGE",IF(AND($Y222="Unexcused",OR($L222="",NOT(ISNUMBER($L222)),$L222&lt;&gt;0)),"UNEXCUSED ABSENCE MUST RECORD 0",IF(COUNTIF(nrES_RecID,$B222)&gt;1,"DUPLICATE RECORD",IF(N($K222)&gt;2,"ATTEMPT 3+ NOT ALLOWED - policy 300.5 permits one retest per exam; this row records nothing",IF(AND($K222=2,COUNTIFS(nrES_PID,$D222,nrES_Code,$F222,nrES_Att,1)=0),"ATTEMPT 2 WITHOUT ATTEMPT 1",IF(AND($K222=2,$L222=""),"RETEST ROW HAS NO SCORE",IF(AND($H222="Final",$L222&lt;&gt;"",IFERROR(INDEX(nrCKfinalExamElig,MATCH($D222,rngCadetPIDs,0)),"")="No"),"FINAL EXAM AFTER FAILED FINAL PT (500.1.H)",IF(AND($K222=2,ISNUMBER($L222),COUNTIFS(nrES_PID,$D222,nrES_Code,$F222,nrES_Att,1)&gt;0,SUMIFS(nrES_Raw,nrES_PID,$D222,nrES_Code,$F222,nrES_Att,1)&gt;=$J222),"RETEST AFTER A PASSING FIRST ATTEMPT","OK"))))))))))</f>
        <v/>
      </c>
      <c r="Y222" s="16" t="n"/>
    </row>
    <row r="223">
      <c r="B223" s="17">
        <f>IF($C223="","",$D223&amp;"-"&amp;$F223&amp;"-"&amp;$K223)</f>
        <v/>
      </c>
      <c r="C223" s="16" t="n"/>
      <c r="D223" s="17">
        <f>IF($C223="","",IFERROR(INDEX(rngCadetPIDs,MATCH($C223,rngCadetNames,0)),"?"))</f>
        <v/>
      </c>
      <c r="E223" s="17">
        <f>IF($D223="","",IFERROR(INDEX(nrCadetAgency,MATCH($D223,rngCadetPIDs,0)),""))</f>
        <v/>
      </c>
      <c r="F223" s="16" t="n"/>
      <c r="G223" s="17">
        <f>IF($F223="","",IFERROR(INDEX(rngEPname,MATCH($F223,rngEPcode,0)),"?"))</f>
        <v/>
      </c>
      <c r="H223" s="17">
        <f>IF($F223="","",IFERROR(INDEX(rngEPtype,MATCH($F223,rngEPcode,0)),"?"))</f>
        <v/>
      </c>
      <c r="I223" s="17">
        <f>IF($F223="","",IFERROR(INDEX(rngEPseq,MATCH($F223,rngEPcode,0)),""))</f>
        <v/>
      </c>
      <c r="J223" s="17">
        <f>IF($F223="","",IFERROR(INDEX(rngEPpass,MATCH($F223,rngEPcode,0)),cfgPassingScore))</f>
        <v/>
      </c>
      <c r="K223" s="16" t="n"/>
      <c r="L223" s="16" t="n"/>
      <c r="M223" s="17">
        <f>IF($C223="","",IF($L223="","",IF(NOT(ISNUMBER($L223)),$L223,IF(N($K223)&gt;2,"",IF($K223=1,IF(COUNTIFS(nrES_PID,$D223,nrES_Code,$F223,nrES_Att,2,nrES_Raw,"&gt;=0")&gt;0,"",$L223),IF($L223&gt;=$J223,MAX($J223,cfgRetakeRecordedCap),IF(COUNTIFS(nrES_PID,$D223,nrES_Code,$F223,nrES_Att,1)=0,$L223,SUMIFS(nrES_Raw,nrES_PID,$D223,nrES_Code,$F223,nrES_Att,1))))))))</f>
        <v/>
      </c>
      <c r="N223" s="17">
        <f>IF($C223="","",IF($L223="","",IF(NOT(ISNUMBER($L223)),"(not a score)",IF($L223&gt;=$J223,"Yes","No"))))</f>
        <v/>
      </c>
      <c r="O223" s="17">
        <f>IF($C223="","",IF($M223="","",IF(NOT(ISNUMBER($M223)),"(not a score)",IF($M223&gt;=$J223,"Yes","No"))))</f>
        <v/>
      </c>
      <c r="P223" s="17">
        <f>IF($C223="","",IF($K223="","",IF(N($K223)&gt;2,"No",IF(COUNTIFS(nrES_PID,$D223,nrES_Code,$F223,nrES_Att,"&gt;"&amp;$K223,nrES_Att,"&lt;=2",nrES_Raw,"&gt;=0")=0,"Yes","No"))))</f>
        <v/>
      </c>
      <c r="Q223" s="17">
        <f>IF($C223="","",IF($L223="","",IF(AND($K223=1,ISNUMBER($L223),$L223&lt;$J223,COUNTIFS(nrES_PID,$D223,nrES_Code,$F223,nrES_Att,2,nrES_Raw,"&gt;=0")=0),"Yes","No")))</f>
        <v/>
      </c>
      <c r="R223" s="17">
        <f>IF($C223="","",IF($L223="","",IF(AND(N($K223)&gt;=2,ISNUMBER($L223),$L223&lt;$J223),"Yes","No")))</f>
        <v/>
      </c>
      <c r="S223" s="18" t="n"/>
      <c r="T223" s="19">
        <f>IF(OR($C223="",$L223="",$K223&lt;&gt;1,NOT(ISNUMBER($L223)),$L223&gt;=$J223),"",IF($S223="","(enter date)",_xlfn.LET(_xlpm.dn,_xlfn.XLOOKUP($S223,nrCDdate,nrCDnum,"",1),IF(_xlpm.dn="","(after last class day)",_xlfn.LET(_xlpm.dd,_xlfn.XLOOKUP(_xlpm.dn+cfgRetestClassDays,nrCDnum,nrCDdate,""),_xlpm.ok,_xlfn.XLOOKUP(_xlpm.dn+cfgRetestClassDays,nrCDnum,nrCDinsession,"No"),IF(OR(_xlpm.dd="",_xlpm.ok&lt;&gt;"Yes"),"(after last class day)",_xlpm.dd))))))</f>
        <v/>
      </c>
      <c r="U223" s="17">
        <f>IF($C223="","",IF(AND($Y223="Excused",$L223="",N($K223)&lt;=1),"EXCUSED - 1st attempt pending",IF(OR($L223="",$K223&lt;&gt;1,NOT(ISNUMBER($L223)),$L223&gt;=$J223),"",IF(COUNTIFS(nrES_PID,$D223,nrES_Code,$F223,nrES_Att,2,nrES_Raw,"&gt;=0")&gt;0,IF(IFERROR(_xlfn.MINIFS(nrES_Date,nrES_PID,$D223,nrES_Code,$F223,nrES_Att,2,nrES_Raw,"&gt;=0",nrES_Date,"&gt;0"),0)=0,"RETEST UNDATED",IF(NOT(ISNUMBER($T223)),"RETEST DATE UNCHECKED",IF(_xlfn.MINIFS(nrES_Date,nrES_PID,$D223,nrES_Code,$F223,nrES_Att,2,nrES_Raw,"&gt;=0",nrES_Date,"&gt;0")&gt;$T223,"LATE RETEST "&amp;TEXT(_xlfn.MINIFS(nrES_Date,nrES_PID,$D223,nrES_Code,$F223,nrES_Att,2,nrES_Raw,"&gt;=0",nrES_Date,"&gt;0"),"mm/dd")&amp;" (due "&amp;TEXT($T223,"mm/dd")&amp;")","Retested"))),IF(NOT(ISNUMBER($T223)),"CHECK DATE",IF(TODAY()&gt;$T223,"OVERDUE","Due "&amp;TEXT($T223,"mm/dd")))))))</f>
        <v/>
      </c>
      <c r="V223" s="16" t="n"/>
      <c r="W223" s="16" t="n"/>
      <c r="X223" s="17">
        <f>IF($C223="","",IF(AND($L223&lt;&gt;"",NOT(ISNUMBER($L223))),"RAW SCORE NOT A NUMBER",IF(AND(ISNUMBER($L223),OR($L223&lt;0,$L223&gt;100)),"RAW SCORE OUT OF RANGE",IF(AND($Y223="Unexcused",OR($L223="",NOT(ISNUMBER($L223)),$L223&lt;&gt;0)),"UNEXCUSED ABSENCE MUST RECORD 0",IF(COUNTIF(nrES_RecID,$B223)&gt;1,"DUPLICATE RECORD",IF(N($K223)&gt;2,"ATTEMPT 3+ NOT ALLOWED - policy 300.5 permits one retest per exam; this row records nothing",IF(AND($K223=2,COUNTIFS(nrES_PID,$D223,nrES_Code,$F223,nrES_Att,1)=0),"ATTEMPT 2 WITHOUT ATTEMPT 1",IF(AND($K223=2,$L223=""),"RETEST ROW HAS NO SCORE",IF(AND($H223="Final",$L223&lt;&gt;"",IFERROR(INDEX(nrCKfinalExamElig,MATCH($D223,rngCadetPIDs,0)),"")="No"),"FINAL EXAM AFTER FAILED FINAL PT (500.1.H)",IF(AND($K223=2,ISNUMBER($L223),COUNTIFS(nrES_PID,$D223,nrES_Code,$F223,nrES_Att,1)&gt;0,SUMIFS(nrES_Raw,nrES_PID,$D223,nrES_Code,$F223,nrES_Att,1)&gt;=$J223),"RETEST AFTER A PASSING FIRST ATTEMPT","OK"))))))))))</f>
        <v/>
      </c>
      <c r="Y223" s="16" t="n"/>
    </row>
    <row r="224">
      <c r="B224" s="17">
        <f>IF($C224="","",$D224&amp;"-"&amp;$F224&amp;"-"&amp;$K224)</f>
        <v/>
      </c>
      <c r="C224" s="16" t="n"/>
      <c r="D224" s="17">
        <f>IF($C224="","",IFERROR(INDEX(rngCadetPIDs,MATCH($C224,rngCadetNames,0)),"?"))</f>
        <v/>
      </c>
      <c r="E224" s="17">
        <f>IF($D224="","",IFERROR(INDEX(nrCadetAgency,MATCH($D224,rngCadetPIDs,0)),""))</f>
        <v/>
      </c>
      <c r="F224" s="16" t="n"/>
      <c r="G224" s="17">
        <f>IF($F224="","",IFERROR(INDEX(rngEPname,MATCH($F224,rngEPcode,0)),"?"))</f>
        <v/>
      </c>
      <c r="H224" s="17">
        <f>IF($F224="","",IFERROR(INDEX(rngEPtype,MATCH($F224,rngEPcode,0)),"?"))</f>
        <v/>
      </c>
      <c r="I224" s="17">
        <f>IF($F224="","",IFERROR(INDEX(rngEPseq,MATCH($F224,rngEPcode,0)),""))</f>
        <v/>
      </c>
      <c r="J224" s="17">
        <f>IF($F224="","",IFERROR(INDEX(rngEPpass,MATCH($F224,rngEPcode,0)),cfgPassingScore))</f>
        <v/>
      </c>
      <c r="K224" s="16" t="n"/>
      <c r="L224" s="16" t="n"/>
      <c r="M224" s="17">
        <f>IF($C224="","",IF($L224="","",IF(NOT(ISNUMBER($L224)),$L224,IF(N($K224)&gt;2,"",IF($K224=1,IF(COUNTIFS(nrES_PID,$D224,nrES_Code,$F224,nrES_Att,2,nrES_Raw,"&gt;=0")&gt;0,"",$L224),IF($L224&gt;=$J224,MAX($J224,cfgRetakeRecordedCap),IF(COUNTIFS(nrES_PID,$D224,nrES_Code,$F224,nrES_Att,1)=0,$L224,SUMIFS(nrES_Raw,nrES_PID,$D224,nrES_Code,$F224,nrES_Att,1))))))))</f>
        <v/>
      </c>
      <c r="N224" s="17">
        <f>IF($C224="","",IF($L224="","",IF(NOT(ISNUMBER($L224)),"(not a score)",IF($L224&gt;=$J224,"Yes","No"))))</f>
        <v/>
      </c>
      <c r="O224" s="17">
        <f>IF($C224="","",IF($M224="","",IF(NOT(ISNUMBER($M224)),"(not a score)",IF($M224&gt;=$J224,"Yes","No"))))</f>
        <v/>
      </c>
      <c r="P224" s="17">
        <f>IF($C224="","",IF($K224="","",IF(N($K224)&gt;2,"No",IF(COUNTIFS(nrES_PID,$D224,nrES_Code,$F224,nrES_Att,"&gt;"&amp;$K224,nrES_Att,"&lt;=2",nrES_Raw,"&gt;=0")=0,"Yes","No"))))</f>
        <v/>
      </c>
      <c r="Q224" s="17">
        <f>IF($C224="","",IF($L224="","",IF(AND($K224=1,ISNUMBER($L224),$L224&lt;$J224,COUNTIFS(nrES_PID,$D224,nrES_Code,$F224,nrES_Att,2,nrES_Raw,"&gt;=0")=0),"Yes","No")))</f>
        <v/>
      </c>
      <c r="R224" s="17">
        <f>IF($C224="","",IF($L224="","",IF(AND(N($K224)&gt;=2,ISNUMBER($L224),$L224&lt;$J224),"Yes","No")))</f>
        <v/>
      </c>
      <c r="S224" s="18" t="n"/>
      <c r="T224" s="19">
        <f>IF(OR($C224="",$L224="",$K224&lt;&gt;1,NOT(ISNUMBER($L224)),$L224&gt;=$J224),"",IF($S224="","(enter date)",_xlfn.LET(_xlpm.dn,_xlfn.XLOOKUP($S224,nrCDdate,nrCDnum,"",1),IF(_xlpm.dn="","(after last class day)",_xlfn.LET(_xlpm.dd,_xlfn.XLOOKUP(_xlpm.dn+cfgRetestClassDays,nrCDnum,nrCDdate,""),_xlpm.ok,_xlfn.XLOOKUP(_xlpm.dn+cfgRetestClassDays,nrCDnum,nrCDinsession,"No"),IF(OR(_xlpm.dd="",_xlpm.ok&lt;&gt;"Yes"),"(after last class day)",_xlpm.dd))))))</f>
        <v/>
      </c>
      <c r="U224" s="17">
        <f>IF($C224="","",IF(AND($Y224="Excused",$L224="",N($K224)&lt;=1),"EXCUSED - 1st attempt pending",IF(OR($L224="",$K224&lt;&gt;1,NOT(ISNUMBER($L224)),$L224&gt;=$J224),"",IF(COUNTIFS(nrES_PID,$D224,nrES_Code,$F224,nrES_Att,2,nrES_Raw,"&gt;=0")&gt;0,IF(IFERROR(_xlfn.MINIFS(nrES_Date,nrES_PID,$D224,nrES_Code,$F224,nrES_Att,2,nrES_Raw,"&gt;=0",nrES_Date,"&gt;0"),0)=0,"RETEST UNDATED",IF(NOT(ISNUMBER($T224)),"RETEST DATE UNCHECKED",IF(_xlfn.MINIFS(nrES_Date,nrES_PID,$D224,nrES_Code,$F224,nrES_Att,2,nrES_Raw,"&gt;=0",nrES_Date,"&gt;0")&gt;$T224,"LATE RETEST "&amp;TEXT(_xlfn.MINIFS(nrES_Date,nrES_PID,$D224,nrES_Code,$F224,nrES_Att,2,nrES_Raw,"&gt;=0",nrES_Date,"&gt;0"),"mm/dd")&amp;" (due "&amp;TEXT($T224,"mm/dd")&amp;")","Retested"))),IF(NOT(ISNUMBER($T224)),"CHECK DATE",IF(TODAY()&gt;$T224,"OVERDUE","Due "&amp;TEXT($T224,"mm/dd")))))))</f>
        <v/>
      </c>
      <c r="V224" s="16" t="n"/>
      <c r="W224" s="16" t="n"/>
      <c r="X224" s="17">
        <f>IF($C224="","",IF(AND($L224&lt;&gt;"",NOT(ISNUMBER($L224))),"RAW SCORE NOT A NUMBER",IF(AND(ISNUMBER($L224),OR($L224&lt;0,$L224&gt;100)),"RAW SCORE OUT OF RANGE",IF(AND($Y224="Unexcused",OR($L224="",NOT(ISNUMBER($L224)),$L224&lt;&gt;0)),"UNEXCUSED ABSENCE MUST RECORD 0",IF(COUNTIF(nrES_RecID,$B224)&gt;1,"DUPLICATE RECORD",IF(N($K224)&gt;2,"ATTEMPT 3+ NOT ALLOWED - policy 300.5 permits one retest per exam; this row records nothing",IF(AND($K224=2,COUNTIFS(nrES_PID,$D224,nrES_Code,$F224,nrES_Att,1)=0),"ATTEMPT 2 WITHOUT ATTEMPT 1",IF(AND($K224=2,$L224=""),"RETEST ROW HAS NO SCORE",IF(AND($H224="Final",$L224&lt;&gt;"",IFERROR(INDEX(nrCKfinalExamElig,MATCH($D224,rngCadetPIDs,0)),"")="No"),"FINAL EXAM AFTER FAILED FINAL PT (500.1.H)",IF(AND($K224=2,ISNUMBER($L224),COUNTIFS(nrES_PID,$D224,nrES_Code,$F224,nrES_Att,1)&gt;0,SUMIFS(nrES_Raw,nrES_PID,$D224,nrES_Code,$F224,nrES_Att,1)&gt;=$J224),"RETEST AFTER A PASSING FIRST ATTEMPT","OK"))))))))))</f>
        <v/>
      </c>
      <c r="Y224" s="16" t="n"/>
    </row>
    <row r="225">
      <c r="B225" s="17">
        <f>IF($C225="","",$D225&amp;"-"&amp;$F225&amp;"-"&amp;$K225)</f>
        <v/>
      </c>
      <c r="C225" s="16" t="n"/>
      <c r="D225" s="17">
        <f>IF($C225="","",IFERROR(INDEX(rngCadetPIDs,MATCH($C225,rngCadetNames,0)),"?"))</f>
        <v/>
      </c>
      <c r="E225" s="17">
        <f>IF($D225="","",IFERROR(INDEX(nrCadetAgency,MATCH($D225,rngCadetPIDs,0)),""))</f>
        <v/>
      </c>
      <c r="F225" s="16" t="n"/>
      <c r="G225" s="17">
        <f>IF($F225="","",IFERROR(INDEX(rngEPname,MATCH($F225,rngEPcode,0)),"?"))</f>
        <v/>
      </c>
      <c r="H225" s="17">
        <f>IF($F225="","",IFERROR(INDEX(rngEPtype,MATCH($F225,rngEPcode,0)),"?"))</f>
        <v/>
      </c>
      <c r="I225" s="17">
        <f>IF($F225="","",IFERROR(INDEX(rngEPseq,MATCH($F225,rngEPcode,0)),""))</f>
        <v/>
      </c>
      <c r="J225" s="17">
        <f>IF($F225="","",IFERROR(INDEX(rngEPpass,MATCH($F225,rngEPcode,0)),cfgPassingScore))</f>
        <v/>
      </c>
      <c r="K225" s="16" t="n"/>
      <c r="L225" s="16" t="n"/>
      <c r="M225" s="17">
        <f>IF($C225="","",IF($L225="","",IF(NOT(ISNUMBER($L225)),$L225,IF(N($K225)&gt;2,"",IF($K225=1,IF(COUNTIFS(nrES_PID,$D225,nrES_Code,$F225,nrES_Att,2,nrES_Raw,"&gt;=0")&gt;0,"",$L225),IF($L225&gt;=$J225,MAX($J225,cfgRetakeRecordedCap),IF(COUNTIFS(nrES_PID,$D225,nrES_Code,$F225,nrES_Att,1)=0,$L225,SUMIFS(nrES_Raw,nrES_PID,$D225,nrES_Code,$F225,nrES_Att,1))))))))</f>
        <v/>
      </c>
      <c r="N225" s="17">
        <f>IF($C225="","",IF($L225="","",IF(NOT(ISNUMBER($L225)),"(not a score)",IF($L225&gt;=$J225,"Yes","No"))))</f>
        <v/>
      </c>
      <c r="O225" s="17">
        <f>IF($C225="","",IF($M225="","",IF(NOT(ISNUMBER($M225)),"(not a score)",IF($M225&gt;=$J225,"Yes","No"))))</f>
        <v/>
      </c>
      <c r="P225" s="17">
        <f>IF($C225="","",IF($K225="","",IF(N($K225)&gt;2,"No",IF(COUNTIFS(nrES_PID,$D225,nrES_Code,$F225,nrES_Att,"&gt;"&amp;$K225,nrES_Att,"&lt;=2",nrES_Raw,"&gt;=0")=0,"Yes","No"))))</f>
        <v/>
      </c>
      <c r="Q225" s="17">
        <f>IF($C225="","",IF($L225="","",IF(AND($K225=1,ISNUMBER($L225),$L225&lt;$J225,COUNTIFS(nrES_PID,$D225,nrES_Code,$F225,nrES_Att,2,nrES_Raw,"&gt;=0")=0),"Yes","No")))</f>
        <v/>
      </c>
      <c r="R225" s="17">
        <f>IF($C225="","",IF($L225="","",IF(AND(N($K225)&gt;=2,ISNUMBER($L225),$L225&lt;$J225),"Yes","No")))</f>
        <v/>
      </c>
      <c r="S225" s="18" t="n"/>
      <c r="T225" s="19">
        <f>IF(OR($C225="",$L225="",$K225&lt;&gt;1,NOT(ISNUMBER($L225)),$L225&gt;=$J225),"",IF($S225="","(enter date)",_xlfn.LET(_xlpm.dn,_xlfn.XLOOKUP($S225,nrCDdate,nrCDnum,"",1),IF(_xlpm.dn="","(after last class day)",_xlfn.LET(_xlpm.dd,_xlfn.XLOOKUP(_xlpm.dn+cfgRetestClassDays,nrCDnum,nrCDdate,""),_xlpm.ok,_xlfn.XLOOKUP(_xlpm.dn+cfgRetestClassDays,nrCDnum,nrCDinsession,"No"),IF(OR(_xlpm.dd="",_xlpm.ok&lt;&gt;"Yes"),"(after last class day)",_xlpm.dd))))))</f>
        <v/>
      </c>
      <c r="U225" s="17">
        <f>IF($C225="","",IF(AND($Y225="Excused",$L225="",N($K225)&lt;=1),"EXCUSED - 1st attempt pending",IF(OR($L225="",$K225&lt;&gt;1,NOT(ISNUMBER($L225)),$L225&gt;=$J225),"",IF(COUNTIFS(nrES_PID,$D225,nrES_Code,$F225,nrES_Att,2,nrES_Raw,"&gt;=0")&gt;0,IF(IFERROR(_xlfn.MINIFS(nrES_Date,nrES_PID,$D225,nrES_Code,$F225,nrES_Att,2,nrES_Raw,"&gt;=0",nrES_Date,"&gt;0"),0)=0,"RETEST UNDATED",IF(NOT(ISNUMBER($T225)),"RETEST DATE UNCHECKED",IF(_xlfn.MINIFS(nrES_Date,nrES_PID,$D225,nrES_Code,$F225,nrES_Att,2,nrES_Raw,"&gt;=0",nrES_Date,"&gt;0")&gt;$T225,"LATE RETEST "&amp;TEXT(_xlfn.MINIFS(nrES_Date,nrES_PID,$D225,nrES_Code,$F225,nrES_Att,2,nrES_Raw,"&gt;=0",nrES_Date,"&gt;0"),"mm/dd")&amp;" (due "&amp;TEXT($T225,"mm/dd")&amp;")","Retested"))),IF(NOT(ISNUMBER($T225)),"CHECK DATE",IF(TODAY()&gt;$T225,"OVERDUE","Due "&amp;TEXT($T225,"mm/dd")))))))</f>
        <v/>
      </c>
      <c r="V225" s="16" t="n"/>
      <c r="W225" s="16" t="n"/>
      <c r="X225" s="17">
        <f>IF($C225="","",IF(AND($L225&lt;&gt;"",NOT(ISNUMBER($L225))),"RAW SCORE NOT A NUMBER",IF(AND(ISNUMBER($L225),OR($L225&lt;0,$L225&gt;100)),"RAW SCORE OUT OF RANGE",IF(AND($Y225="Unexcused",OR($L225="",NOT(ISNUMBER($L225)),$L225&lt;&gt;0)),"UNEXCUSED ABSENCE MUST RECORD 0",IF(COUNTIF(nrES_RecID,$B225)&gt;1,"DUPLICATE RECORD",IF(N($K225)&gt;2,"ATTEMPT 3+ NOT ALLOWED - policy 300.5 permits one retest per exam; this row records nothing",IF(AND($K225=2,COUNTIFS(nrES_PID,$D225,nrES_Code,$F225,nrES_Att,1)=0),"ATTEMPT 2 WITHOUT ATTEMPT 1",IF(AND($K225=2,$L225=""),"RETEST ROW HAS NO SCORE",IF(AND($H225="Final",$L225&lt;&gt;"",IFERROR(INDEX(nrCKfinalExamElig,MATCH($D225,rngCadetPIDs,0)),"")="No"),"FINAL EXAM AFTER FAILED FINAL PT (500.1.H)",IF(AND($K225=2,ISNUMBER($L225),COUNTIFS(nrES_PID,$D225,nrES_Code,$F225,nrES_Att,1)&gt;0,SUMIFS(nrES_Raw,nrES_PID,$D225,nrES_Code,$F225,nrES_Att,1)&gt;=$J225),"RETEST AFTER A PASSING FIRST ATTEMPT","OK"))))))))))</f>
        <v/>
      </c>
      <c r="Y225" s="16" t="n"/>
    </row>
    <row r="226">
      <c r="B226" s="17">
        <f>IF($C226="","",$D226&amp;"-"&amp;$F226&amp;"-"&amp;$K226)</f>
        <v/>
      </c>
      <c r="C226" s="16" t="n"/>
      <c r="D226" s="17">
        <f>IF($C226="","",IFERROR(INDEX(rngCadetPIDs,MATCH($C226,rngCadetNames,0)),"?"))</f>
        <v/>
      </c>
      <c r="E226" s="17">
        <f>IF($D226="","",IFERROR(INDEX(nrCadetAgency,MATCH($D226,rngCadetPIDs,0)),""))</f>
        <v/>
      </c>
      <c r="F226" s="16" t="n"/>
      <c r="G226" s="17">
        <f>IF($F226="","",IFERROR(INDEX(rngEPname,MATCH($F226,rngEPcode,0)),"?"))</f>
        <v/>
      </c>
      <c r="H226" s="17">
        <f>IF($F226="","",IFERROR(INDEX(rngEPtype,MATCH($F226,rngEPcode,0)),"?"))</f>
        <v/>
      </c>
      <c r="I226" s="17">
        <f>IF($F226="","",IFERROR(INDEX(rngEPseq,MATCH($F226,rngEPcode,0)),""))</f>
        <v/>
      </c>
      <c r="J226" s="17">
        <f>IF($F226="","",IFERROR(INDEX(rngEPpass,MATCH($F226,rngEPcode,0)),cfgPassingScore))</f>
        <v/>
      </c>
      <c r="K226" s="16" t="n"/>
      <c r="L226" s="16" t="n"/>
      <c r="M226" s="17">
        <f>IF($C226="","",IF($L226="","",IF(NOT(ISNUMBER($L226)),$L226,IF(N($K226)&gt;2,"",IF($K226=1,IF(COUNTIFS(nrES_PID,$D226,nrES_Code,$F226,nrES_Att,2,nrES_Raw,"&gt;=0")&gt;0,"",$L226),IF($L226&gt;=$J226,MAX($J226,cfgRetakeRecordedCap),IF(COUNTIFS(nrES_PID,$D226,nrES_Code,$F226,nrES_Att,1)=0,$L226,SUMIFS(nrES_Raw,nrES_PID,$D226,nrES_Code,$F226,nrES_Att,1))))))))</f>
        <v/>
      </c>
      <c r="N226" s="17">
        <f>IF($C226="","",IF($L226="","",IF(NOT(ISNUMBER($L226)),"(not a score)",IF($L226&gt;=$J226,"Yes","No"))))</f>
        <v/>
      </c>
      <c r="O226" s="17">
        <f>IF($C226="","",IF($M226="","",IF(NOT(ISNUMBER($M226)),"(not a score)",IF($M226&gt;=$J226,"Yes","No"))))</f>
        <v/>
      </c>
      <c r="P226" s="17">
        <f>IF($C226="","",IF($K226="","",IF(N($K226)&gt;2,"No",IF(COUNTIFS(nrES_PID,$D226,nrES_Code,$F226,nrES_Att,"&gt;"&amp;$K226,nrES_Att,"&lt;=2",nrES_Raw,"&gt;=0")=0,"Yes","No"))))</f>
        <v/>
      </c>
      <c r="Q226" s="17">
        <f>IF($C226="","",IF($L226="","",IF(AND($K226=1,ISNUMBER($L226),$L226&lt;$J226,COUNTIFS(nrES_PID,$D226,nrES_Code,$F226,nrES_Att,2,nrES_Raw,"&gt;=0")=0),"Yes","No")))</f>
        <v/>
      </c>
      <c r="R226" s="17">
        <f>IF($C226="","",IF($L226="","",IF(AND(N($K226)&gt;=2,ISNUMBER($L226),$L226&lt;$J226),"Yes","No")))</f>
        <v/>
      </c>
      <c r="S226" s="18" t="n"/>
      <c r="T226" s="19">
        <f>IF(OR($C226="",$L226="",$K226&lt;&gt;1,NOT(ISNUMBER($L226)),$L226&gt;=$J226),"",IF($S226="","(enter date)",_xlfn.LET(_xlpm.dn,_xlfn.XLOOKUP($S226,nrCDdate,nrCDnum,"",1),IF(_xlpm.dn="","(after last class day)",_xlfn.LET(_xlpm.dd,_xlfn.XLOOKUP(_xlpm.dn+cfgRetestClassDays,nrCDnum,nrCDdate,""),_xlpm.ok,_xlfn.XLOOKUP(_xlpm.dn+cfgRetestClassDays,nrCDnum,nrCDinsession,"No"),IF(OR(_xlpm.dd="",_xlpm.ok&lt;&gt;"Yes"),"(after last class day)",_xlpm.dd))))))</f>
        <v/>
      </c>
      <c r="U226" s="17">
        <f>IF($C226="","",IF(AND($Y226="Excused",$L226="",N($K226)&lt;=1),"EXCUSED - 1st attempt pending",IF(OR($L226="",$K226&lt;&gt;1,NOT(ISNUMBER($L226)),$L226&gt;=$J226),"",IF(COUNTIFS(nrES_PID,$D226,nrES_Code,$F226,nrES_Att,2,nrES_Raw,"&gt;=0")&gt;0,IF(IFERROR(_xlfn.MINIFS(nrES_Date,nrES_PID,$D226,nrES_Code,$F226,nrES_Att,2,nrES_Raw,"&gt;=0",nrES_Date,"&gt;0"),0)=0,"RETEST UNDATED",IF(NOT(ISNUMBER($T226)),"RETEST DATE UNCHECKED",IF(_xlfn.MINIFS(nrES_Date,nrES_PID,$D226,nrES_Code,$F226,nrES_Att,2,nrES_Raw,"&gt;=0",nrES_Date,"&gt;0")&gt;$T226,"LATE RETEST "&amp;TEXT(_xlfn.MINIFS(nrES_Date,nrES_PID,$D226,nrES_Code,$F226,nrES_Att,2,nrES_Raw,"&gt;=0",nrES_Date,"&gt;0"),"mm/dd")&amp;" (due "&amp;TEXT($T226,"mm/dd")&amp;")","Retested"))),IF(NOT(ISNUMBER($T226)),"CHECK DATE",IF(TODAY()&gt;$T226,"OVERDUE","Due "&amp;TEXT($T226,"mm/dd")))))))</f>
        <v/>
      </c>
      <c r="V226" s="16" t="n"/>
      <c r="W226" s="16" t="n"/>
      <c r="X226" s="17">
        <f>IF($C226="","",IF(AND($L226&lt;&gt;"",NOT(ISNUMBER($L226))),"RAW SCORE NOT A NUMBER",IF(AND(ISNUMBER($L226),OR($L226&lt;0,$L226&gt;100)),"RAW SCORE OUT OF RANGE",IF(AND($Y226="Unexcused",OR($L226="",NOT(ISNUMBER($L226)),$L226&lt;&gt;0)),"UNEXCUSED ABSENCE MUST RECORD 0",IF(COUNTIF(nrES_RecID,$B226)&gt;1,"DUPLICATE RECORD",IF(N($K226)&gt;2,"ATTEMPT 3+ NOT ALLOWED - policy 300.5 permits one retest per exam; this row records nothing",IF(AND($K226=2,COUNTIFS(nrES_PID,$D226,nrES_Code,$F226,nrES_Att,1)=0),"ATTEMPT 2 WITHOUT ATTEMPT 1",IF(AND($K226=2,$L226=""),"RETEST ROW HAS NO SCORE",IF(AND($H226="Final",$L226&lt;&gt;"",IFERROR(INDEX(nrCKfinalExamElig,MATCH($D226,rngCadetPIDs,0)),"")="No"),"FINAL EXAM AFTER FAILED FINAL PT (500.1.H)",IF(AND($K226=2,ISNUMBER($L226),COUNTIFS(nrES_PID,$D226,nrES_Code,$F226,nrES_Att,1)&gt;0,SUMIFS(nrES_Raw,nrES_PID,$D226,nrES_Code,$F226,nrES_Att,1)&gt;=$J226),"RETEST AFTER A PASSING FIRST ATTEMPT","OK"))))))))))</f>
        <v/>
      </c>
      <c r="Y226" s="16" t="n"/>
    </row>
    <row r="227">
      <c r="B227" s="17">
        <f>IF($C227="","",$D227&amp;"-"&amp;$F227&amp;"-"&amp;$K227)</f>
        <v/>
      </c>
      <c r="C227" s="16" t="n"/>
      <c r="D227" s="17">
        <f>IF($C227="","",IFERROR(INDEX(rngCadetPIDs,MATCH($C227,rngCadetNames,0)),"?"))</f>
        <v/>
      </c>
      <c r="E227" s="17">
        <f>IF($D227="","",IFERROR(INDEX(nrCadetAgency,MATCH($D227,rngCadetPIDs,0)),""))</f>
        <v/>
      </c>
      <c r="F227" s="16" t="n"/>
      <c r="G227" s="17">
        <f>IF($F227="","",IFERROR(INDEX(rngEPname,MATCH($F227,rngEPcode,0)),"?"))</f>
        <v/>
      </c>
      <c r="H227" s="17">
        <f>IF($F227="","",IFERROR(INDEX(rngEPtype,MATCH($F227,rngEPcode,0)),"?"))</f>
        <v/>
      </c>
      <c r="I227" s="17">
        <f>IF($F227="","",IFERROR(INDEX(rngEPseq,MATCH($F227,rngEPcode,0)),""))</f>
        <v/>
      </c>
      <c r="J227" s="17">
        <f>IF($F227="","",IFERROR(INDEX(rngEPpass,MATCH($F227,rngEPcode,0)),cfgPassingScore))</f>
        <v/>
      </c>
      <c r="K227" s="16" t="n"/>
      <c r="L227" s="16" t="n"/>
      <c r="M227" s="17">
        <f>IF($C227="","",IF($L227="","",IF(NOT(ISNUMBER($L227)),$L227,IF(N($K227)&gt;2,"",IF($K227=1,IF(COUNTIFS(nrES_PID,$D227,nrES_Code,$F227,nrES_Att,2,nrES_Raw,"&gt;=0")&gt;0,"",$L227),IF($L227&gt;=$J227,MAX($J227,cfgRetakeRecordedCap),IF(COUNTIFS(nrES_PID,$D227,nrES_Code,$F227,nrES_Att,1)=0,$L227,SUMIFS(nrES_Raw,nrES_PID,$D227,nrES_Code,$F227,nrES_Att,1))))))))</f>
        <v/>
      </c>
      <c r="N227" s="17">
        <f>IF($C227="","",IF($L227="","",IF(NOT(ISNUMBER($L227)),"(not a score)",IF($L227&gt;=$J227,"Yes","No"))))</f>
        <v/>
      </c>
      <c r="O227" s="17">
        <f>IF($C227="","",IF($M227="","",IF(NOT(ISNUMBER($M227)),"(not a score)",IF($M227&gt;=$J227,"Yes","No"))))</f>
        <v/>
      </c>
      <c r="P227" s="17">
        <f>IF($C227="","",IF($K227="","",IF(N($K227)&gt;2,"No",IF(COUNTIFS(nrES_PID,$D227,nrES_Code,$F227,nrES_Att,"&gt;"&amp;$K227,nrES_Att,"&lt;=2",nrES_Raw,"&gt;=0")=0,"Yes","No"))))</f>
        <v/>
      </c>
      <c r="Q227" s="17">
        <f>IF($C227="","",IF($L227="","",IF(AND($K227=1,ISNUMBER($L227),$L227&lt;$J227,COUNTIFS(nrES_PID,$D227,nrES_Code,$F227,nrES_Att,2,nrES_Raw,"&gt;=0")=0),"Yes","No")))</f>
        <v/>
      </c>
      <c r="R227" s="17">
        <f>IF($C227="","",IF($L227="","",IF(AND(N($K227)&gt;=2,ISNUMBER($L227),$L227&lt;$J227),"Yes","No")))</f>
        <v/>
      </c>
      <c r="S227" s="18" t="n"/>
      <c r="T227" s="19">
        <f>IF(OR($C227="",$L227="",$K227&lt;&gt;1,NOT(ISNUMBER($L227)),$L227&gt;=$J227),"",IF($S227="","(enter date)",_xlfn.LET(_xlpm.dn,_xlfn.XLOOKUP($S227,nrCDdate,nrCDnum,"",1),IF(_xlpm.dn="","(after last class day)",_xlfn.LET(_xlpm.dd,_xlfn.XLOOKUP(_xlpm.dn+cfgRetestClassDays,nrCDnum,nrCDdate,""),_xlpm.ok,_xlfn.XLOOKUP(_xlpm.dn+cfgRetestClassDays,nrCDnum,nrCDinsession,"No"),IF(OR(_xlpm.dd="",_xlpm.ok&lt;&gt;"Yes"),"(after last class day)",_xlpm.dd))))))</f>
        <v/>
      </c>
      <c r="U227" s="17">
        <f>IF($C227="","",IF(AND($Y227="Excused",$L227="",N($K227)&lt;=1),"EXCUSED - 1st attempt pending",IF(OR($L227="",$K227&lt;&gt;1,NOT(ISNUMBER($L227)),$L227&gt;=$J227),"",IF(COUNTIFS(nrES_PID,$D227,nrES_Code,$F227,nrES_Att,2,nrES_Raw,"&gt;=0")&gt;0,IF(IFERROR(_xlfn.MINIFS(nrES_Date,nrES_PID,$D227,nrES_Code,$F227,nrES_Att,2,nrES_Raw,"&gt;=0",nrES_Date,"&gt;0"),0)=0,"RETEST UNDATED",IF(NOT(ISNUMBER($T227)),"RETEST DATE UNCHECKED",IF(_xlfn.MINIFS(nrES_Date,nrES_PID,$D227,nrES_Code,$F227,nrES_Att,2,nrES_Raw,"&gt;=0",nrES_Date,"&gt;0")&gt;$T227,"LATE RETEST "&amp;TEXT(_xlfn.MINIFS(nrES_Date,nrES_PID,$D227,nrES_Code,$F227,nrES_Att,2,nrES_Raw,"&gt;=0",nrES_Date,"&gt;0"),"mm/dd")&amp;" (due "&amp;TEXT($T227,"mm/dd")&amp;")","Retested"))),IF(NOT(ISNUMBER($T227)),"CHECK DATE",IF(TODAY()&gt;$T227,"OVERDUE","Due "&amp;TEXT($T227,"mm/dd")))))))</f>
        <v/>
      </c>
      <c r="V227" s="16" t="n"/>
      <c r="W227" s="16" t="n"/>
      <c r="X227" s="17">
        <f>IF($C227="","",IF(AND($L227&lt;&gt;"",NOT(ISNUMBER($L227))),"RAW SCORE NOT A NUMBER",IF(AND(ISNUMBER($L227),OR($L227&lt;0,$L227&gt;100)),"RAW SCORE OUT OF RANGE",IF(AND($Y227="Unexcused",OR($L227="",NOT(ISNUMBER($L227)),$L227&lt;&gt;0)),"UNEXCUSED ABSENCE MUST RECORD 0",IF(COUNTIF(nrES_RecID,$B227)&gt;1,"DUPLICATE RECORD",IF(N($K227)&gt;2,"ATTEMPT 3+ NOT ALLOWED - policy 300.5 permits one retest per exam; this row records nothing",IF(AND($K227=2,COUNTIFS(nrES_PID,$D227,nrES_Code,$F227,nrES_Att,1)=0),"ATTEMPT 2 WITHOUT ATTEMPT 1",IF(AND($K227=2,$L227=""),"RETEST ROW HAS NO SCORE",IF(AND($H227="Final",$L227&lt;&gt;"",IFERROR(INDEX(nrCKfinalExamElig,MATCH($D227,rngCadetPIDs,0)),"")="No"),"FINAL EXAM AFTER FAILED FINAL PT (500.1.H)",IF(AND($K227=2,ISNUMBER($L227),COUNTIFS(nrES_PID,$D227,nrES_Code,$F227,nrES_Att,1)&gt;0,SUMIFS(nrES_Raw,nrES_PID,$D227,nrES_Code,$F227,nrES_Att,1)&gt;=$J227),"RETEST AFTER A PASSING FIRST ATTEMPT","OK"))))))))))</f>
        <v/>
      </c>
      <c r="Y227" s="16" t="n"/>
    </row>
    <row r="228">
      <c r="B228" s="17">
        <f>IF($C228="","",$D228&amp;"-"&amp;$F228&amp;"-"&amp;$K228)</f>
        <v/>
      </c>
      <c r="C228" s="16" t="n"/>
      <c r="D228" s="17">
        <f>IF($C228="","",IFERROR(INDEX(rngCadetPIDs,MATCH($C228,rngCadetNames,0)),"?"))</f>
        <v/>
      </c>
      <c r="E228" s="17">
        <f>IF($D228="","",IFERROR(INDEX(nrCadetAgency,MATCH($D228,rngCadetPIDs,0)),""))</f>
        <v/>
      </c>
      <c r="F228" s="16" t="n"/>
      <c r="G228" s="17">
        <f>IF($F228="","",IFERROR(INDEX(rngEPname,MATCH($F228,rngEPcode,0)),"?"))</f>
        <v/>
      </c>
      <c r="H228" s="17">
        <f>IF($F228="","",IFERROR(INDEX(rngEPtype,MATCH($F228,rngEPcode,0)),"?"))</f>
        <v/>
      </c>
      <c r="I228" s="17">
        <f>IF($F228="","",IFERROR(INDEX(rngEPseq,MATCH($F228,rngEPcode,0)),""))</f>
        <v/>
      </c>
      <c r="J228" s="17">
        <f>IF($F228="","",IFERROR(INDEX(rngEPpass,MATCH($F228,rngEPcode,0)),cfgPassingScore))</f>
        <v/>
      </c>
      <c r="K228" s="16" t="n"/>
      <c r="L228" s="16" t="n"/>
      <c r="M228" s="17">
        <f>IF($C228="","",IF($L228="","",IF(NOT(ISNUMBER($L228)),$L228,IF(N($K228)&gt;2,"",IF($K228=1,IF(COUNTIFS(nrES_PID,$D228,nrES_Code,$F228,nrES_Att,2,nrES_Raw,"&gt;=0")&gt;0,"",$L228),IF($L228&gt;=$J228,MAX($J228,cfgRetakeRecordedCap),IF(COUNTIFS(nrES_PID,$D228,nrES_Code,$F228,nrES_Att,1)=0,$L228,SUMIFS(nrES_Raw,nrES_PID,$D228,nrES_Code,$F228,nrES_Att,1))))))))</f>
        <v/>
      </c>
      <c r="N228" s="17">
        <f>IF($C228="","",IF($L228="","",IF(NOT(ISNUMBER($L228)),"(not a score)",IF($L228&gt;=$J228,"Yes","No"))))</f>
        <v/>
      </c>
      <c r="O228" s="17">
        <f>IF($C228="","",IF($M228="","",IF(NOT(ISNUMBER($M228)),"(not a score)",IF($M228&gt;=$J228,"Yes","No"))))</f>
        <v/>
      </c>
      <c r="P228" s="17">
        <f>IF($C228="","",IF($K228="","",IF(N($K228)&gt;2,"No",IF(COUNTIFS(nrES_PID,$D228,nrES_Code,$F228,nrES_Att,"&gt;"&amp;$K228,nrES_Att,"&lt;=2",nrES_Raw,"&gt;=0")=0,"Yes","No"))))</f>
        <v/>
      </c>
      <c r="Q228" s="17">
        <f>IF($C228="","",IF($L228="","",IF(AND($K228=1,ISNUMBER($L228),$L228&lt;$J228,COUNTIFS(nrES_PID,$D228,nrES_Code,$F228,nrES_Att,2,nrES_Raw,"&gt;=0")=0),"Yes","No")))</f>
        <v/>
      </c>
      <c r="R228" s="17">
        <f>IF($C228="","",IF($L228="","",IF(AND(N($K228)&gt;=2,ISNUMBER($L228),$L228&lt;$J228),"Yes","No")))</f>
        <v/>
      </c>
      <c r="S228" s="18" t="n"/>
      <c r="T228" s="19">
        <f>IF(OR($C228="",$L228="",$K228&lt;&gt;1,NOT(ISNUMBER($L228)),$L228&gt;=$J228),"",IF($S228="","(enter date)",_xlfn.LET(_xlpm.dn,_xlfn.XLOOKUP($S228,nrCDdate,nrCDnum,"",1),IF(_xlpm.dn="","(after last class day)",_xlfn.LET(_xlpm.dd,_xlfn.XLOOKUP(_xlpm.dn+cfgRetestClassDays,nrCDnum,nrCDdate,""),_xlpm.ok,_xlfn.XLOOKUP(_xlpm.dn+cfgRetestClassDays,nrCDnum,nrCDinsession,"No"),IF(OR(_xlpm.dd="",_xlpm.ok&lt;&gt;"Yes"),"(after last class day)",_xlpm.dd))))))</f>
        <v/>
      </c>
      <c r="U228" s="17">
        <f>IF($C228="","",IF(AND($Y228="Excused",$L228="",N($K228)&lt;=1),"EXCUSED - 1st attempt pending",IF(OR($L228="",$K228&lt;&gt;1,NOT(ISNUMBER($L228)),$L228&gt;=$J228),"",IF(COUNTIFS(nrES_PID,$D228,nrES_Code,$F228,nrES_Att,2,nrES_Raw,"&gt;=0")&gt;0,IF(IFERROR(_xlfn.MINIFS(nrES_Date,nrES_PID,$D228,nrES_Code,$F228,nrES_Att,2,nrES_Raw,"&gt;=0",nrES_Date,"&gt;0"),0)=0,"RETEST UNDATED",IF(NOT(ISNUMBER($T228)),"RETEST DATE UNCHECKED",IF(_xlfn.MINIFS(nrES_Date,nrES_PID,$D228,nrES_Code,$F228,nrES_Att,2,nrES_Raw,"&gt;=0",nrES_Date,"&gt;0")&gt;$T228,"LATE RETEST "&amp;TEXT(_xlfn.MINIFS(nrES_Date,nrES_PID,$D228,nrES_Code,$F228,nrES_Att,2,nrES_Raw,"&gt;=0",nrES_Date,"&gt;0"),"mm/dd")&amp;" (due "&amp;TEXT($T228,"mm/dd")&amp;")","Retested"))),IF(NOT(ISNUMBER($T228)),"CHECK DATE",IF(TODAY()&gt;$T228,"OVERDUE","Due "&amp;TEXT($T228,"mm/dd")))))))</f>
        <v/>
      </c>
      <c r="V228" s="16" t="n"/>
      <c r="W228" s="16" t="n"/>
      <c r="X228" s="17">
        <f>IF($C228="","",IF(AND($L228&lt;&gt;"",NOT(ISNUMBER($L228))),"RAW SCORE NOT A NUMBER",IF(AND(ISNUMBER($L228),OR($L228&lt;0,$L228&gt;100)),"RAW SCORE OUT OF RANGE",IF(AND($Y228="Unexcused",OR($L228="",NOT(ISNUMBER($L228)),$L228&lt;&gt;0)),"UNEXCUSED ABSENCE MUST RECORD 0",IF(COUNTIF(nrES_RecID,$B228)&gt;1,"DUPLICATE RECORD",IF(N($K228)&gt;2,"ATTEMPT 3+ NOT ALLOWED - policy 300.5 permits one retest per exam; this row records nothing",IF(AND($K228=2,COUNTIFS(nrES_PID,$D228,nrES_Code,$F228,nrES_Att,1)=0),"ATTEMPT 2 WITHOUT ATTEMPT 1",IF(AND($K228=2,$L228=""),"RETEST ROW HAS NO SCORE",IF(AND($H228="Final",$L228&lt;&gt;"",IFERROR(INDEX(nrCKfinalExamElig,MATCH($D228,rngCadetPIDs,0)),"")="No"),"FINAL EXAM AFTER FAILED FINAL PT (500.1.H)",IF(AND($K228=2,ISNUMBER($L228),COUNTIFS(nrES_PID,$D228,nrES_Code,$F228,nrES_Att,1)&gt;0,SUMIFS(nrES_Raw,nrES_PID,$D228,nrES_Code,$F228,nrES_Att,1)&gt;=$J228),"RETEST AFTER A PASSING FIRST ATTEMPT","OK"))))))))))</f>
        <v/>
      </c>
      <c r="Y228" s="16" t="n"/>
    </row>
    <row r="229">
      <c r="B229" s="17">
        <f>IF($C229="","",$D229&amp;"-"&amp;$F229&amp;"-"&amp;$K229)</f>
        <v/>
      </c>
      <c r="C229" s="16" t="n"/>
      <c r="D229" s="17">
        <f>IF($C229="","",IFERROR(INDEX(rngCadetPIDs,MATCH($C229,rngCadetNames,0)),"?"))</f>
        <v/>
      </c>
      <c r="E229" s="17">
        <f>IF($D229="","",IFERROR(INDEX(nrCadetAgency,MATCH($D229,rngCadetPIDs,0)),""))</f>
        <v/>
      </c>
      <c r="F229" s="16" t="n"/>
      <c r="G229" s="17">
        <f>IF($F229="","",IFERROR(INDEX(rngEPname,MATCH($F229,rngEPcode,0)),"?"))</f>
        <v/>
      </c>
      <c r="H229" s="17">
        <f>IF($F229="","",IFERROR(INDEX(rngEPtype,MATCH($F229,rngEPcode,0)),"?"))</f>
        <v/>
      </c>
      <c r="I229" s="17">
        <f>IF($F229="","",IFERROR(INDEX(rngEPseq,MATCH($F229,rngEPcode,0)),""))</f>
        <v/>
      </c>
      <c r="J229" s="17">
        <f>IF($F229="","",IFERROR(INDEX(rngEPpass,MATCH($F229,rngEPcode,0)),cfgPassingScore))</f>
        <v/>
      </c>
      <c r="K229" s="16" t="n"/>
      <c r="L229" s="16" t="n"/>
      <c r="M229" s="17">
        <f>IF($C229="","",IF($L229="","",IF(NOT(ISNUMBER($L229)),$L229,IF(N($K229)&gt;2,"",IF($K229=1,IF(COUNTIFS(nrES_PID,$D229,nrES_Code,$F229,nrES_Att,2,nrES_Raw,"&gt;=0")&gt;0,"",$L229),IF($L229&gt;=$J229,MAX($J229,cfgRetakeRecordedCap),IF(COUNTIFS(nrES_PID,$D229,nrES_Code,$F229,nrES_Att,1)=0,$L229,SUMIFS(nrES_Raw,nrES_PID,$D229,nrES_Code,$F229,nrES_Att,1))))))))</f>
        <v/>
      </c>
      <c r="N229" s="17">
        <f>IF($C229="","",IF($L229="","",IF(NOT(ISNUMBER($L229)),"(not a score)",IF($L229&gt;=$J229,"Yes","No"))))</f>
        <v/>
      </c>
      <c r="O229" s="17">
        <f>IF($C229="","",IF($M229="","",IF(NOT(ISNUMBER($M229)),"(not a score)",IF($M229&gt;=$J229,"Yes","No"))))</f>
        <v/>
      </c>
      <c r="P229" s="17">
        <f>IF($C229="","",IF($K229="","",IF(N($K229)&gt;2,"No",IF(COUNTIFS(nrES_PID,$D229,nrES_Code,$F229,nrES_Att,"&gt;"&amp;$K229,nrES_Att,"&lt;=2",nrES_Raw,"&gt;=0")=0,"Yes","No"))))</f>
        <v/>
      </c>
      <c r="Q229" s="17">
        <f>IF($C229="","",IF($L229="","",IF(AND($K229=1,ISNUMBER($L229),$L229&lt;$J229,COUNTIFS(nrES_PID,$D229,nrES_Code,$F229,nrES_Att,2,nrES_Raw,"&gt;=0")=0),"Yes","No")))</f>
        <v/>
      </c>
      <c r="R229" s="17">
        <f>IF($C229="","",IF($L229="","",IF(AND(N($K229)&gt;=2,ISNUMBER($L229),$L229&lt;$J229),"Yes","No")))</f>
        <v/>
      </c>
      <c r="S229" s="18" t="n"/>
      <c r="T229" s="19">
        <f>IF(OR($C229="",$L229="",$K229&lt;&gt;1,NOT(ISNUMBER($L229)),$L229&gt;=$J229),"",IF($S229="","(enter date)",_xlfn.LET(_xlpm.dn,_xlfn.XLOOKUP($S229,nrCDdate,nrCDnum,"",1),IF(_xlpm.dn="","(after last class day)",_xlfn.LET(_xlpm.dd,_xlfn.XLOOKUP(_xlpm.dn+cfgRetestClassDays,nrCDnum,nrCDdate,""),_xlpm.ok,_xlfn.XLOOKUP(_xlpm.dn+cfgRetestClassDays,nrCDnum,nrCDinsession,"No"),IF(OR(_xlpm.dd="",_xlpm.ok&lt;&gt;"Yes"),"(after last class day)",_xlpm.dd))))))</f>
        <v/>
      </c>
      <c r="U229" s="17">
        <f>IF($C229="","",IF(AND($Y229="Excused",$L229="",N($K229)&lt;=1),"EXCUSED - 1st attempt pending",IF(OR($L229="",$K229&lt;&gt;1,NOT(ISNUMBER($L229)),$L229&gt;=$J229),"",IF(COUNTIFS(nrES_PID,$D229,nrES_Code,$F229,nrES_Att,2,nrES_Raw,"&gt;=0")&gt;0,IF(IFERROR(_xlfn.MINIFS(nrES_Date,nrES_PID,$D229,nrES_Code,$F229,nrES_Att,2,nrES_Raw,"&gt;=0",nrES_Date,"&gt;0"),0)=0,"RETEST UNDATED",IF(NOT(ISNUMBER($T229)),"RETEST DATE UNCHECKED",IF(_xlfn.MINIFS(nrES_Date,nrES_PID,$D229,nrES_Code,$F229,nrES_Att,2,nrES_Raw,"&gt;=0",nrES_Date,"&gt;0")&gt;$T229,"LATE RETEST "&amp;TEXT(_xlfn.MINIFS(nrES_Date,nrES_PID,$D229,nrES_Code,$F229,nrES_Att,2,nrES_Raw,"&gt;=0",nrES_Date,"&gt;0"),"mm/dd")&amp;" (due "&amp;TEXT($T229,"mm/dd")&amp;")","Retested"))),IF(NOT(ISNUMBER($T229)),"CHECK DATE",IF(TODAY()&gt;$T229,"OVERDUE","Due "&amp;TEXT($T229,"mm/dd")))))))</f>
        <v/>
      </c>
      <c r="V229" s="16" t="n"/>
      <c r="W229" s="16" t="n"/>
      <c r="X229" s="17">
        <f>IF($C229="","",IF(AND($L229&lt;&gt;"",NOT(ISNUMBER($L229))),"RAW SCORE NOT A NUMBER",IF(AND(ISNUMBER($L229),OR($L229&lt;0,$L229&gt;100)),"RAW SCORE OUT OF RANGE",IF(AND($Y229="Unexcused",OR($L229="",NOT(ISNUMBER($L229)),$L229&lt;&gt;0)),"UNEXCUSED ABSENCE MUST RECORD 0",IF(COUNTIF(nrES_RecID,$B229)&gt;1,"DUPLICATE RECORD",IF(N($K229)&gt;2,"ATTEMPT 3+ NOT ALLOWED - policy 300.5 permits one retest per exam; this row records nothing",IF(AND($K229=2,COUNTIFS(nrES_PID,$D229,nrES_Code,$F229,nrES_Att,1)=0),"ATTEMPT 2 WITHOUT ATTEMPT 1",IF(AND($K229=2,$L229=""),"RETEST ROW HAS NO SCORE",IF(AND($H229="Final",$L229&lt;&gt;"",IFERROR(INDEX(nrCKfinalExamElig,MATCH($D229,rngCadetPIDs,0)),"")="No"),"FINAL EXAM AFTER FAILED FINAL PT (500.1.H)",IF(AND($K229=2,ISNUMBER($L229),COUNTIFS(nrES_PID,$D229,nrES_Code,$F229,nrES_Att,1)&gt;0,SUMIFS(nrES_Raw,nrES_PID,$D229,nrES_Code,$F229,nrES_Att,1)&gt;=$J229),"RETEST AFTER A PASSING FIRST ATTEMPT","OK"))))))))))</f>
        <v/>
      </c>
      <c r="Y229" s="16" t="n"/>
    </row>
    <row r="230">
      <c r="B230" s="17">
        <f>IF($C230="","",$D230&amp;"-"&amp;$F230&amp;"-"&amp;$K230)</f>
        <v/>
      </c>
      <c r="C230" s="16" t="n"/>
      <c r="D230" s="17">
        <f>IF($C230="","",IFERROR(INDEX(rngCadetPIDs,MATCH($C230,rngCadetNames,0)),"?"))</f>
        <v/>
      </c>
      <c r="E230" s="17">
        <f>IF($D230="","",IFERROR(INDEX(nrCadetAgency,MATCH($D230,rngCadetPIDs,0)),""))</f>
        <v/>
      </c>
      <c r="F230" s="16" t="n"/>
      <c r="G230" s="17">
        <f>IF($F230="","",IFERROR(INDEX(rngEPname,MATCH($F230,rngEPcode,0)),"?"))</f>
        <v/>
      </c>
      <c r="H230" s="17">
        <f>IF($F230="","",IFERROR(INDEX(rngEPtype,MATCH($F230,rngEPcode,0)),"?"))</f>
        <v/>
      </c>
      <c r="I230" s="17">
        <f>IF($F230="","",IFERROR(INDEX(rngEPseq,MATCH($F230,rngEPcode,0)),""))</f>
        <v/>
      </c>
      <c r="J230" s="17">
        <f>IF($F230="","",IFERROR(INDEX(rngEPpass,MATCH($F230,rngEPcode,0)),cfgPassingScore))</f>
        <v/>
      </c>
      <c r="K230" s="16" t="n"/>
      <c r="L230" s="16" t="n"/>
      <c r="M230" s="17">
        <f>IF($C230="","",IF($L230="","",IF(NOT(ISNUMBER($L230)),$L230,IF(N($K230)&gt;2,"",IF($K230=1,IF(COUNTIFS(nrES_PID,$D230,nrES_Code,$F230,nrES_Att,2,nrES_Raw,"&gt;=0")&gt;0,"",$L230),IF($L230&gt;=$J230,MAX($J230,cfgRetakeRecordedCap),IF(COUNTIFS(nrES_PID,$D230,nrES_Code,$F230,nrES_Att,1)=0,$L230,SUMIFS(nrES_Raw,nrES_PID,$D230,nrES_Code,$F230,nrES_Att,1))))))))</f>
        <v/>
      </c>
      <c r="N230" s="17">
        <f>IF($C230="","",IF($L230="","",IF(NOT(ISNUMBER($L230)),"(not a score)",IF($L230&gt;=$J230,"Yes","No"))))</f>
        <v/>
      </c>
      <c r="O230" s="17">
        <f>IF($C230="","",IF($M230="","",IF(NOT(ISNUMBER($M230)),"(not a score)",IF($M230&gt;=$J230,"Yes","No"))))</f>
        <v/>
      </c>
      <c r="P230" s="17">
        <f>IF($C230="","",IF($K230="","",IF(N($K230)&gt;2,"No",IF(COUNTIFS(nrES_PID,$D230,nrES_Code,$F230,nrES_Att,"&gt;"&amp;$K230,nrES_Att,"&lt;=2",nrES_Raw,"&gt;=0")=0,"Yes","No"))))</f>
        <v/>
      </c>
      <c r="Q230" s="17">
        <f>IF($C230="","",IF($L230="","",IF(AND($K230=1,ISNUMBER($L230),$L230&lt;$J230,COUNTIFS(nrES_PID,$D230,nrES_Code,$F230,nrES_Att,2,nrES_Raw,"&gt;=0")=0),"Yes","No")))</f>
        <v/>
      </c>
      <c r="R230" s="17">
        <f>IF($C230="","",IF($L230="","",IF(AND(N($K230)&gt;=2,ISNUMBER($L230),$L230&lt;$J230),"Yes","No")))</f>
        <v/>
      </c>
      <c r="S230" s="18" t="n"/>
      <c r="T230" s="19">
        <f>IF(OR($C230="",$L230="",$K230&lt;&gt;1,NOT(ISNUMBER($L230)),$L230&gt;=$J230),"",IF($S230="","(enter date)",_xlfn.LET(_xlpm.dn,_xlfn.XLOOKUP($S230,nrCDdate,nrCDnum,"",1),IF(_xlpm.dn="","(after last class day)",_xlfn.LET(_xlpm.dd,_xlfn.XLOOKUP(_xlpm.dn+cfgRetestClassDays,nrCDnum,nrCDdate,""),_xlpm.ok,_xlfn.XLOOKUP(_xlpm.dn+cfgRetestClassDays,nrCDnum,nrCDinsession,"No"),IF(OR(_xlpm.dd="",_xlpm.ok&lt;&gt;"Yes"),"(after last class day)",_xlpm.dd))))))</f>
        <v/>
      </c>
      <c r="U230" s="17">
        <f>IF($C230="","",IF(AND($Y230="Excused",$L230="",N($K230)&lt;=1),"EXCUSED - 1st attempt pending",IF(OR($L230="",$K230&lt;&gt;1,NOT(ISNUMBER($L230)),$L230&gt;=$J230),"",IF(COUNTIFS(nrES_PID,$D230,nrES_Code,$F230,nrES_Att,2,nrES_Raw,"&gt;=0")&gt;0,IF(IFERROR(_xlfn.MINIFS(nrES_Date,nrES_PID,$D230,nrES_Code,$F230,nrES_Att,2,nrES_Raw,"&gt;=0",nrES_Date,"&gt;0"),0)=0,"RETEST UNDATED",IF(NOT(ISNUMBER($T230)),"RETEST DATE UNCHECKED",IF(_xlfn.MINIFS(nrES_Date,nrES_PID,$D230,nrES_Code,$F230,nrES_Att,2,nrES_Raw,"&gt;=0",nrES_Date,"&gt;0")&gt;$T230,"LATE RETEST "&amp;TEXT(_xlfn.MINIFS(nrES_Date,nrES_PID,$D230,nrES_Code,$F230,nrES_Att,2,nrES_Raw,"&gt;=0",nrES_Date,"&gt;0"),"mm/dd")&amp;" (due "&amp;TEXT($T230,"mm/dd")&amp;")","Retested"))),IF(NOT(ISNUMBER($T230)),"CHECK DATE",IF(TODAY()&gt;$T230,"OVERDUE","Due "&amp;TEXT($T230,"mm/dd")))))))</f>
        <v/>
      </c>
      <c r="V230" s="16" t="n"/>
      <c r="W230" s="16" t="n"/>
      <c r="X230" s="17">
        <f>IF($C230="","",IF(AND($L230&lt;&gt;"",NOT(ISNUMBER($L230))),"RAW SCORE NOT A NUMBER",IF(AND(ISNUMBER($L230),OR($L230&lt;0,$L230&gt;100)),"RAW SCORE OUT OF RANGE",IF(AND($Y230="Unexcused",OR($L230="",NOT(ISNUMBER($L230)),$L230&lt;&gt;0)),"UNEXCUSED ABSENCE MUST RECORD 0",IF(COUNTIF(nrES_RecID,$B230)&gt;1,"DUPLICATE RECORD",IF(N($K230)&gt;2,"ATTEMPT 3+ NOT ALLOWED - policy 300.5 permits one retest per exam; this row records nothing",IF(AND($K230=2,COUNTIFS(nrES_PID,$D230,nrES_Code,$F230,nrES_Att,1)=0),"ATTEMPT 2 WITHOUT ATTEMPT 1",IF(AND($K230=2,$L230=""),"RETEST ROW HAS NO SCORE",IF(AND($H230="Final",$L230&lt;&gt;"",IFERROR(INDEX(nrCKfinalExamElig,MATCH($D230,rngCadetPIDs,0)),"")="No"),"FINAL EXAM AFTER FAILED FINAL PT (500.1.H)",IF(AND($K230=2,ISNUMBER($L230),COUNTIFS(nrES_PID,$D230,nrES_Code,$F230,nrES_Att,1)&gt;0,SUMIFS(nrES_Raw,nrES_PID,$D230,nrES_Code,$F230,nrES_Att,1)&gt;=$J230),"RETEST AFTER A PASSING FIRST ATTEMPT","OK"))))))))))</f>
        <v/>
      </c>
      <c r="Y230" s="16" t="n"/>
    </row>
    <row r="231">
      <c r="B231" s="17">
        <f>IF($C231="","",$D231&amp;"-"&amp;$F231&amp;"-"&amp;$K231)</f>
        <v/>
      </c>
      <c r="C231" s="16" t="n"/>
      <c r="D231" s="17">
        <f>IF($C231="","",IFERROR(INDEX(rngCadetPIDs,MATCH($C231,rngCadetNames,0)),"?"))</f>
        <v/>
      </c>
      <c r="E231" s="17">
        <f>IF($D231="","",IFERROR(INDEX(nrCadetAgency,MATCH($D231,rngCadetPIDs,0)),""))</f>
        <v/>
      </c>
      <c r="F231" s="16" t="n"/>
      <c r="G231" s="17">
        <f>IF($F231="","",IFERROR(INDEX(rngEPname,MATCH($F231,rngEPcode,0)),"?"))</f>
        <v/>
      </c>
      <c r="H231" s="17">
        <f>IF($F231="","",IFERROR(INDEX(rngEPtype,MATCH($F231,rngEPcode,0)),"?"))</f>
        <v/>
      </c>
      <c r="I231" s="17">
        <f>IF($F231="","",IFERROR(INDEX(rngEPseq,MATCH($F231,rngEPcode,0)),""))</f>
        <v/>
      </c>
      <c r="J231" s="17">
        <f>IF($F231="","",IFERROR(INDEX(rngEPpass,MATCH($F231,rngEPcode,0)),cfgPassingScore))</f>
        <v/>
      </c>
      <c r="K231" s="16" t="n"/>
      <c r="L231" s="16" t="n"/>
      <c r="M231" s="17">
        <f>IF($C231="","",IF($L231="","",IF(NOT(ISNUMBER($L231)),$L231,IF(N($K231)&gt;2,"",IF($K231=1,IF(COUNTIFS(nrES_PID,$D231,nrES_Code,$F231,nrES_Att,2,nrES_Raw,"&gt;=0")&gt;0,"",$L231),IF($L231&gt;=$J231,MAX($J231,cfgRetakeRecordedCap),IF(COUNTIFS(nrES_PID,$D231,nrES_Code,$F231,nrES_Att,1)=0,$L231,SUMIFS(nrES_Raw,nrES_PID,$D231,nrES_Code,$F231,nrES_Att,1))))))))</f>
        <v/>
      </c>
      <c r="N231" s="17">
        <f>IF($C231="","",IF($L231="","",IF(NOT(ISNUMBER($L231)),"(not a score)",IF($L231&gt;=$J231,"Yes","No"))))</f>
        <v/>
      </c>
      <c r="O231" s="17">
        <f>IF($C231="","",IF($M231="","",IF(NOT(ISNUMBER($M231)),"(not a score)",IF($M231&gt;=$J231,"Yes","No"))))</f>
        <v/>
      </c>
      <c r="P231" s="17">
        <f>IF($C231="","",IF($K231="","",IF(N($K231)&gt;2,"No",IF(COUNTIFS(nrES_PID,$D231,nrES_Code,$F231,nrES_Att,"&gt;"&amp;$K231,nrES_Att,"&lt;=2",nrES_Raw,"&gt;=0")=0,"Yes","No"))))</f>
        <v/>
      </c>
      <c r="Q231" s="17">
        <f>IF($C231="","",IF($L231="","",IF(AND($K231=1,ISNUMBER($L231),$L231&lt;$J231,COUNTIFS(nrES_PID,$D231,nrES_Code,$F231,nrES_Att,2,nrES_Raw,"&gt;=0")=0),"Yes","No")))</f>
        <v/>
      </c>
      <c r="R231" s="17">
        <f>IF($C231="","",IF($L231="","",IF(AND(N($K231)&gt;=2,ISNUMBER($L231),$L231&lt;$J231),"Yes","No")))</f>
        <v/>
      </c>
      <c r="S231" s="18" t="n"/>
      <c r="T231" s="19">
        <f>IF(OR($C231="",$L231="",$K231&lt;&gt;1,NOT(ISNUMBER($L231)),$L231&gt;=$J231),"",IF($S231="","(enter date)",_xlfn.LET(_xlpm.dn,_xlfn.XLOOKUP($S231,nrCDdate,nrCDnum,"",1),IF(_xlpm.dn="","(after last class day)",_xlfn.LET(_xlpm.dd,_xlfn.XLOOKUP(_xlpm.dn+cfgRetestClassDays,nrCDnum,nrCDdate,""),_xlpm.ok,_xlfn.XLOOKUP(_xlpm.dn+cfgRetestClassDays,nrCDnum,nrCDinsession,"No"),IF(OR(_xlpm.dd="",_xlpm.ok&lt;&gt;"Yes"),"(after last class day)",_xlpm.dd))))))</f>
        <v/>
      </c>
      <c r="U231" s="17">
        <f>IF($C231="","",IF(AND($Y231="Excused",$L231="",N($K231)&lt;=1),"EXCUSED - 1st attempt pending",IF(OR($L231="",$K231&lt;&gt;1,NOT(ISNUMBER($L231)),$L231&gt;=$J231),"",IF(COUNTIFS(nrES_PID,$D231,nrES_Code,$F231,nrES_Att,2,nrES_Raw,"&gt;=0")&gt;0,IF(IFERROR(_xlfn.MINIFS(nrES_Date,nrES_PID,$D231,nrES_Code,$F231,nrES_Att,2,nrES_Raw,"&gt;=0",nrES_Date,"&gt;0"),0)=0,"RETEST UNDATED",IF(NOT(ISNUMBER($T231)),"RETEST DATE UNCHECKED",IF(_xlfn.MINIFS(nrES_Date,nrES_PID,$D231,nrES_Code,$F231,nrES_Att,2,nrES_Raw,"&gt;=0",nrES_Date,"&gt;0")&gt;$T231,"LATE RETEST "&amp;TEXT(_xlfn.MINIFS(nrES_Date,nrES_PID,$D231,nrES_Code,$F231,nrES_Att,2,nrES_Raw,"&gt;=0",nrES_Date,"&gt;0"),"mm/dd")&amp;" (due "&amp;TEXT($T231,"mm/dd")&amp;")","Retested"))),IF(NOT(ISNUMBER($T231)),"CHECK DATE",IF(TODAY()&gt;$T231,"OVERDUE","Due "&amp;TEXT($T231,"mm/dd")))))))</f>
        <v/>
      </c>
      <c r="V231" s="16" t="n"/>
      <c r="W231" s="16" t="n"/>
      <c r="X231" s="17">
        <f>IF($C231="","",IF(AND($L231&lt;&gt;"",NOT(ISNUMBER($L231))),"RAW SCORE NOT A NUMBER",IF(AND(ISNUMBER($L231),OR($L231&lt;0,$L231&gt;100)),"RAW SCORE OUT OF RANGE",IF(AND($Y231="Unexcused",OR($L231="",NOT(ISNUMBER($L231)),$L231&lt;&gt;0)),"UNEXCUSED ABSENCE MUST RECORD 0",IF(COUNTIF(nrES_RecID,$B231)&gt;1,"DUPLICATE RECORD",IF(N($K231)&gt;2,"ATTEMPT 3+ NOT ALLOWED - policy 300.5 permits one retest per exam; this row records nothing",IF(AND($K231=2,COUNTIFS(nrES_PID,$D231,nrES_Code,$F231,nrES_Att,1)=0),"ATTEMPT 2 WITHOUT ATTEMPT 1",IF(AND($K231=2,$L231=""),"RETEST ROW HAS NO SCORE",IF(AND($H231="Final",$L231&lt;&gt;"",IFERROR(INDEX(nrCKfinalExamElig,MATCH($D231,rngCadetPIDs,0)),"")="No"),"FINAL EXAM AFTER FAILED FINAL PT (500.1.H)",IF(AND($K231=2,ISNUMBER($L231),COUNTIFS(nrES_PID,$D231,nrES_Code,$F231,nrES_Att,1)&gt;0,SUMIFS(nrES_Raw,nrES_PID,$D231,nrES_Code,$F231,nrES_Att,1)&gt;=$J231),"RETEST AFTER A PASSING FIRST ATTEMPT","OK"))))))))))</f>
        <v/>
      </c>
      <c r="Y231" s="16" t="n"/>
    </row>
    <row r="232">
      <c r="B232" s="17">
        <f>IF($C232="","",$D232&amp;"-"&amp;$F232&amp;"-"&amp;$K232)</f>
        <v/>
      </c>
      <c r="C232" s="16" t="n"/>
      <c r="D232" s="17">
        <f>IF($C232="","",IFERROR(INDEX(rngCadetPIDs,MATCH($C232,rngCadetNames,0)),"?"))</f>
        <v/>
      </c>
      <c r="E232" s="17">
        <f>IF($D232="","",IFERROR(INDEX(nrCadetAgency,MATCH($D232,rngCadetPIDs,0)),""))</f>
        <v/>
      </c>
      <c r="F232" s="16" t="n"/>
      <c r="G232" s="17">
        <f>IF($F232="","",IFERROR(INDEX(rngEPname,MATCH($F232,rngEPcode,0)),"?"))</f>
        <v/>
      </c>
      <c r="H232" s="17">
        <f>IF($F232="","",IFERROR(INDEX(rngEPtype,MATCH($F232,rngEPcode,0)),"?"))</f>
        <v/>
      </c>
      <c r="I232" s="17">
        <f>IF($F232="","",IFERROR(INDEX(rngEPseq,MATCH($F232,rngEPcode,0)),""))</f>
        <v/>
      </c>
      <c r="J232" s="17">
        <f>IF($F232="","",IFERROR(INDEX(rngEPpass,MATCH($F232,rngEPcode,0)),cfgPassingScore))</f>
        <v/>
      </c>
      <c r="K232" s="16" t="n"/>
      <c r="L232" s="16" t="n"/>
      <c r="M232" s="17">
        <f>IF($C232="","",IF($L232="","",IF(NOT(ISNUMBER($L232)),$L232,IF(N($K232)&gt;2,"",IF($K232=1,IF(COUNTIFS(nrES_PID,$D232,nrES_Code,$F232,nrES_Att,2,nrES_Raw,"&gt;=0")&gt;0,"",$L232),IF($L232&gt;=$J232,MAX($J232,cfgRetakeRecordedCap),IF(COUNTIFS(nrES_PID,$D232,nrES_Code,$F232,nrES_Att,1)=0,$L232,SUMIFS(nrES_Raw,nrES_PID,$D232,nrES_Code,$F232,nrES_Att,1))))))))</f>
        <v/>
      </c>
      <c r="N232" s="17">
        <f>IF($C232="","",IF($L232="","",IF(NOT(ISNUMBER($L232)),"(not a score)",IF($L232&gt;=$J232,"Yes","No"))))</f>
        <v/>
      </c>
      <c r="O232" s="17">
        <f>IF($C232="","",IF($M232="","",IF(NOT(ISNUMBER($M232)),"(not a score)",IF($M232&gt;=$J232,"Yes","No"))))</f>
        <v/>
      </c>
      <c r="P232" s="17">
        <f>IF($C232="","",IF($K232="","",IF(N($K232)&gt;2,"No",IF(COUNTIFS(nrES_PID,$D232,nrES_Code,$F232,nrES_Att,"&gt;"&amp;$K232,nrES_Att,"&lt;=2",nrES_Raw,"&gt;=0")=0,"Yes","No"))))</f>
        <v/>
      </c>
      <c r="Q232" s="17">
        <f>IF($C232="","",IF($L232="","",IF(AND($K232=1,ISNUMBER($L232),$L232&lt;$J232,COUNTIFS(nrES_PID,$D232,nrES_Code,$F232,nrES_Att,2,nrES_Raw,"&gt;=0")=0),"Yes","No")))</f>
        <v/>
      </c>
      <c r="R232" s="17">
        <f>IF($C232="","",IF($L232="","",IF(AND(N($K232)&gt;=2,ISNUMBER($L232),$L232&lt;$J232),"Yes","No")))</f>
        <v/>
      </c>
      <c r="S232" s="18" t="n"/>
      <c r="T232" s="19">
        <f>IF(OR($C232="",$L232="",$K232&lt;&gt;1,NOT(ISNUMBER($L232)),$L232&gt;=$J232),"",IF($S232="","(enter date)",_xlfn.LET(_xlpm.dn,_xlfn.XLOOKUP($S232,nrCDdate,nrCDnum,"",1),IF(_xlpm.dn="","(after last class day)",_xlfn.LET(_xlpm.dd,_xlfn.XLOOKUP(_xlpm.dn+cfgRetestClassDays,nrCDnum,nrCDdate,""),_xlpm.ok,_xlfn.XLOOKUP(_xlpm.dn+cfgRetestClassDays,nrCDnum,nrCDinsession,"No"),IF(OR(_xlpm.dd="",_xlpm.ok&lt;&gt;"Yes"),"(after last class day)",_xlpm.dd))))))</f>
        <v/>
      </c>
      <c r="U232" s="17">
        <f>IF($C232="","",IF(AND($Y232="Excused",$L232="",N($K232)&lt;=1),"EXCUSED - 1st attempt pending",IF(OR($L232="",$K232&lt;&gt;1,NOT(ISNUMBER($L232)),$L232&gt;=$J232),"",IF(COUNTIFS(nrES_PID,$D232,nrES_Code,$F232,nrES_Att,2,nrES_Raw,"&gt;=0")&gt;0,IF(IFERROR(_xlfn.MINIFS(nrES_Date,nrES_PID,$D232,nrES_Code,$F232,nrES_Att,2,nrES_Raw,"&gt;=0",nrES_Date,"&gt;0"),0)=0,"RETEST UNDATED",IF(NOT(ISNUMBER($T232)),"RETEST DATE UNCHECKED",IF(_xlfn.MINIFS(nrES_Date,nrES_PID,$D232,nrES_Code,$F232,nrES_Att,2,nrES_Raw,"&gt;=0",nrES_Date,"&gt;0")&gt;$T232,"LATE RETEST "&amp;TEXT(_xlfn.MINIFS(nrES_Date,nrES_PID,$D232,nrES_Code,$F232,nrES_Att,2,nrES_Raw,"&gt;=0",nrES_Date,"&gt;0"),"mm/dd")&amp;" (due "&amp;TEXT($T232,"mm/dd")&amp;")","Retested"))),IF(NOT(ISNUMBER($T232)),"CHECK DATE",IF(TODAY()&gt;$T232,"OVERDUE","Due "&amp;TEXT($T232,"mm/dd")))))))</f>
        <v/>
      </c>
      <c r="V232" s="16" t="n"/>
      <c r="W232" s="16" t="n"/>
      <c r="X232" s="17">
        <f>IF($C232="","",IF(AND($L232&lt;&gt;"",NOT(ISNUMBER($L232))),"RAW SCORE NOT A NUMBER",IF(AND(ISNUMBER($L232),OR($L232&lt;0,$L232&gt;100)),"RAW SCORE OUT OF RANGE",IF(AND($Y232="Unexcused",OR($L232="",NOT(ISNUMBER($L232)),$L232&lt;&gt;0)),"UNEXCUSED ABSENCE MUST RECORD 0",IF(COUNTIF(nrES_RecID,$B232)&gt;1,"DUPLICATE RECORD",IF(N($K232)&gt;2,"ATTEMPT 3+ NOT ALLOWED - policy 300.5 permits one retest per exam; this row records nothing",IF(AND($K232=2,COUNTIFS(nrES_PID,$D232,nrES_Code,$F232,nrES_Att,1)=0),"ATTEMPT 2 WITHOUT ATTEMPT 1",IF(AND($K232=2,$L232=""),"RETEST ROW HAS NO SCORE",IF(AND($H232="Final",$L232&lt;&gt;"",IFERROR(INDEX(nrCKfinalExamElig,MATCH($D232,rngCadetPIDs,0)),"")="No"),"FINAL EXAM AFTER FAILED FINAL PT (500.1.H)",IF(AND($K232=2,ISNUMBER($L232),COUNTIFS(nrES_PID,$D232,nrES_Code,$F232,nrES_Att,1)&gt;0,SUMIFS(nrES_Raw,nrES_PID,$D232,nrES_Code,$F232,nrES_Att,1)&gt;=$J232),"RETEST AFTER A PASSING FIRST ATTEMPT","OK"))))))))))</f>
        <v/>
      </c>
      <c r="Y232" s="16" t="n"/>
    </row>
    <row r="233">
      <c r="B233" s="17">
        <f>IF($C233="","",$D233&amp;"-"&amp;$F233&amp;"-"&amp;$K233)</f>
        <v/>
      </c>
      <c r="C233" s="16" t="n"/>
      <c r="D233" s="17">
        <f>IF($C233="","",IFERROR(INDEX(rngCadetPIDs,MATCH($C233,rngCadetNames,0)),"?"))</f>
        <v/>
      </c>
      <c r="E233" s="17">
        <f>IF($D233="","",IFERROR(INDEX(nrCadetAgency,MATCH($D233,rngCadetPIDs,0)),""))</f>
        <v/>
      </c>
      <c r="F233" s="16" t="n"/>
      <c r="G233" s="17">
        <f>IF($F233="","",IFERROR(INDEX(rngEPname,MATCH($F233,rngEPcode,0)),"?"))</f>
        <v/>
      </c>
      <c r="H233" s="17">
        <f>IF($F233="","",IFERROR(INDEX(rngEPtype,MATCH($F233,rngEPcode,0)),"?"))</f>
        <v/>
      </c>
      <c r="I233" s="17">
        <f>IF($F233="","",IFERROR(INDEX(rngEPseq,MATCH($F233,rngEPcode,0)),""))</f>
        <v/>
      </c>
      <c r="J233" s="17">
        <f>IF($F233="","",IFERROR(INDEX(rngEPpass,MATCH($F233,rngEPcode,0)),cfgPassingScore))</f>
        <v/>
      </c>
      <c r="K233" s="16" t="n"/>
      <c r="L233" s="16" t="n"/>
      <c r="M233" s="17">
        <f>IF($C233="","",IF($L233="","",IF(NOT(ISNUMBER($L233)),$L233,IF(N($K233)&gt;2,"",IF($K233=1,IF(COUNTIFS(nrES_PID,$D233,nrES_Code,$F233,nrES_Att,2,nrES_Raw,"&gt;=0")&gt;0,"",$L233),IF($L233&gt;=$J233,MAX($J233,cfgRetakeRecordedCap),IF(COUNTIFS(nrES_PID,$D233,nrES_Code,$F233,nrES_Att,1)=0,$L233,SUMIFS(nrES_Raw,nrES_PID,$D233,nrES_Code,$F233,nrES_Att,1))))))))</f>
        <v/>
      </c>
      <c r="N233" s="17">
        <f>IF($C233="","",IF($L233="","",IF(NOT(ISNUMBER($L233)),"(not a score)",IF($L233&gt;=$J233,"Yes","No"))))</f>
        <v/>
      </c>
      <c r="O233" s="17">
        <f>IF($C233="","",IF($M233="","",IF(NOT(ISNUMBER($M233)),"(not a score)",IF($M233&gt;=$J233,"Yes","No"))))</f>
        <v/>
      </c>
      <c r="P233" s="17">
        <f>IF($C233="","",IF($K233="","",IF(N($K233)&gt;2,"No",IF(COUNTIFS(nrES_PID,$D233,nrES_Code,$F233,nrES_Att,"&gt;"&amp;$K233,nrES_Att,"&lt;=2",nrES_Raw,"&gt;=0")=0,"Yes","No"))))</f>
        <v/>
      </c>
      <c r="Q233" s="17">
        <f>IF($C233="","",IF($L233="","",IF(AND($K233=1,ISNUMBER($L233),$L233&lt;$J233,COUNTIFS(nrES_PID,$D233,nrES_Code,$F233,nrES_Att,2,nrES_Raw,"&gt;=0")=0),"Yes","No")))</f>
        <v/>
      </c>
      <c r="R233" s="17">
        <f>IF($C233="","",IF($L233="","",IF(AND(N($K233)&gt;=2,ISNUMBER($L233),$L233&lt;$J233),"Yes","No")))</f>
        <v/>
      </c>
      <c r="S233" s="18" t="n"/>
      <c r="T233" s="19">
        <f>IF(OR($C233="",$L233="",$K233&lt;&gt;1,NOT(ISNUMBER($L233)),$L233&gt;=$J233),"",IF($S233="","(enter date)",_xlfn.LET(_xlpm.dn,_xlfn.XLOOKUP($S233,nrCDdate,nrCDnum,"",1),IF(_xlpm.dn="","(after last class day)",_xlfn.LET(_xlpm.dd,_xlfn.XLOOKUP(_xlpm.dn+cfgRetestClassDays,nrCDnum,nrCDdate,""),_xlpm.ok,_xlfn.XLOOKUP(_xlpm.dn+cfgRetestClassDays,nrCDnum,nrCDinsession,"No"),IF(OR(_xlpm.dd="",_xlpm.ok&lt;&gt;"Yes"),"(after last class day)",_xlpm.dd))))))</f>
        <v/>
      </c>
      <c r="U233" s="17">
        <f>IF($C233="","",IF(AND($Y233="Excused",$L233="",N($K233)&lt;=1),"EXCUSED - 1st attempt pending",IF(OR($L233="",$K233&lt;&gt;1,NOT(ISNUMBER($L233)),$L233&gt;=$J233),"",IF(COUNTIFS(nrES_PID,$D233,nrES_Code,$F233,nrES_Att,2,nrES_Raw,"&gt;=0")&gt;0,IF(IFERROR(_xlfn.MINIFS(nrES_Date,nrES_PID,$D233,nrES_Code,$F233,nrES_Att,2,nrES_Raw,"&gt;=0",nrES_Date,"&gt;0"),0)=0,"RETEST UNDATED",IF(NOT(ISNUMBER($T233)),"RETEST DATE UNCHECKED",IF(_xlfn.MINIFS(nrES_Date,nrES_PID,$D233,nrES_Code,$F233,nrES_Att,2,nrES_Raw,"&gt;=0",nrES_Date,"&gt;0")&gt;$T233,"LATE RETEST "&amp;TEXT(_xlfn.MINIFS(nrES_Date,nrES_PID,$D233,nrES_Code,$F233,nrES_Att,2,nrES_Raw,"&gt;=0",nrES_Date,"&gt;0"),"mm/dd")&amp;" (due "&amp;TEXT($T233,"mm/dd")&amp;")","Retested"))),IF(NOT(ISNUMBER($T233)),"CHECK DATE",IF(TODAY()&gt;$T233,"OVERDUE","Due "&amp;TEXT($T233,"mm/dd")))))))</f>
        <v/>
      </c>
      <c r="V233" s="16" t="n"/>
      <c r="W233" s="16" t="n"/>
      <c r="X233" s="17">
        <f>IF($C233="","",IF(AND($L233&lt;&gt;"",NOT(ISNUMBER($L233))),"RAW SCORE NOT A NUMBER",IF(AND(ISNUMBER($L233),OR($L233&lt;0,$L233&gt;100)),"RAW SCORE OUT OF RANGE",IF(AND($Y233="Unexcused",OR($L233="",NOT(ISNUMBER($L233)),$L233&lt;&gt;0)),"UNEXCUSED ABSENCE MUST RECORD 0",IF(COUNTIF(nrES_RecID,$B233)&gt;1,"DUPLICATE RECORD",IF(N($K233)&gt;2,"ATTEMPT 3+ NOT ALLOWED - policy 300.5 permits one retest per exam; this row records nothing",IF(AND($K233=2,COUNTIFS(nrES_PID,$D233,nrES_Code,$F233,nrES_Att,1)=0),"ATTEMPT 2 WITHOUT ATTEMPT 1",IF(AND($K233=2,$L233=""),"RETEST ROW HAS NO SCORE",IF(AND($H233="Final",$L233&lt;&gt;"",IFERROR(INDEX(nrCKfinalExamElig,MATCH($D233,rngCadetPIDs,0)),"")="No"),"FINAL EXAM AFTER FAILED FINAL PT (500.1.H)",IF(AND($K233=2,ISNUMBER($L233),COUNTIFS(nrES_PID,$D233,nrES_Code,$F233,nrES_Att,1)&gt;0,SUMIFS(nrES_Raw,nrES_PID,$D233,nrES_Code,$F233,nrES_Att,1)&gt;=$J233),"RETEST AFTER A PASSING FIRST ATTEMPT","OK"))))))))))</f>
        <v/>
      </c>
      <c r="Y233" s="16" t="n"/>
    </row>
    <row r="234">
      <c r="B234" s="17">
        <f>IF($C234="","",$D234&amp;"-"&amp;$F234&amp;"-"&amp;$K234)</f>
        <v/>
      </c>
      <c r="C234" s="16" t="n"/>
      <c r="D234" s="17">
        <f>IF($C234="","",IFERROR(INDEX(rngCadetPIDs,MATCH($C234,rngCadetNames,0)),"?"))</f>
        <v/>
      </c>
      <c r="E234" s="17">
        <f>IF($D234="","",IFERROR(INDEX(nrCadetAgency,MATCH($D234,rngCadetPIDs,0)),""))</f>
        <v/>
      </c>
      <c r="F234" s="16" t="n"/>
      <c r="G234" s="17">
        <f>IF($F234="","",IFERROR(INDEX(rngEPname,MATCH($F234,rngEPcode,0)),"?"))</f>
        <v/>
      </c>
      <c r="H234" s="17">
        <f>IF($F234="","",IFERROR(INDEX(rngEPtype,MATCH($F234,rngEPcode,0)),"?"))</f>
        <v/>
      </c>
      <c r="I234" s="17">
        <f>IF($F234="","",IFERROR(INDEX(rngEPseq,MATCH($F234,rngEPcode,0)),""))</f>
        <v/>
      </c>
      <c r="J234" s="17">
        <f>IF($F234="","",IFERROR(INDEX(rngEPpass,MATCH($F234,rngEPcode,0)),cfgPassingScore))</f>
        <v/>
      </c>
      <c r="K234" s="16" t="n"/>
      <c r="L234" s="16" t="n"/>
      <c r="M234" s="17">
        <f>IF($C234="","",IF($L234="","",IF(NOT(ISNUMBER($L234)),$L234,IF(N($K234)&gt;2,"",IF($K234=1,IF(COUNTIFS(nrES_PID,$D234,nrES_Code,$F234,nrES_Att,2,nrES_Raw,"&gt;=0")&gt;0,"",$L234),IF($L234&gt;=$J234,MAX($J234,cfgRetakeRecordedCap),IF(COUNTIFS(nrES_PID,$D234,nrES_Code,$F234,nrES_Att,1)=0,$L234,SUMIFS(nrES_Raw,nrES_PID,$D234,nrES_Code,$F234,nrES_Att,1))))))))</f>
        <v/>
      </c>
      <c r="N234" s="17">
        <f>IF($C234="","",IF($L234="","",IF(NOT(ISNUMBER($L234)),"(not a score)",IF($L234&gt;=$J234,"Yes","No"))))</f>
        <v/>
      </c>
      <c r="O234" s="17">
        <f>IF($C234="","",IF($M234="","",IF(NOT(ISNUMBER($M234)),"(not a score)",IF($M234&gt;=$J234,"Yes","No"))))</f>
        <v/>
      </c>
      <c r="P234" s="17">
        <f>IF($C234="","",IF($K234="","",IF(N($K234)&gt;2,"No",IF(COUNTIFS(nrES_PID,$D234,nrES_Code,$F234,nrES_Att,"&gt;"&amp;$K234,nrES_Att,"&lt;=2",nrES_Raw,"&gt;=0")=0,"Yes","No"))))</f>
        <v/>
      </c>
      <c r="Q234" s="17">
        <f>IF($C234="","",IF($L234="","",IF(AND($K234=1,ISNUMBER($L234),$L234&lt;$J234,COUNTIFS(nrES_PID,$D234,nrES_Code,$F234,nrES_Att,2,nrES_Raw,"&gt;=0")=0),"Yes","No")))</f>
        <v/>
      </c>
      <c r="R234" s="17">
        <f>IF($C234="","",IF($L234="","",IF(AND(N($K234)&gt;=2,ISNUMBER($L234),$L234&lt;$J234),"Yes","No")))</f>
        <v/>
      </c>
      <c r="S234" s="18" t="n"/>
      <c r="T234" s="19">
        <f>IF(OR($C234="",$L234="",$K234&lt;&gt;1,NOT(ISNUMBER($L234)),$L234&gt;=$J234),"",IF($S234="","(enter date)",_xlfn.LET(_xlpm.dn,_xlfn.XLOOKUP($S234,nrCDdate,nrCDnum,"",1),IF(_xlpm.dn="","(after last class day)",_xlfn.LET(_xlpm.dd,_xlfn.XLOOKUP(_xlpm.dn+cfgRetestClassDays,nrCDnum,nrCDdate,""),_xlpm.ok,_xlfn.XLOOKUP(_xlpm.dn+cfgRetestClassDays,nrCDnum,nrCDinsession,"No"),IF(OR(_xlpm.dd="",_xlpm.ok&lt;&gt;"Yes"),"(after last class day)",_xlpm.dd))))))</f>
        <v/>
      </c>
      <c r="U234" s="17">
        <f>IF($C234="","",IF(AND($Y234="Excused",$L234="",N($K234)&lt;=1),"EXCUSED - 1st attempt pending",IF(OR($L234="",$K234&lt;&gt;1,NOT(ISNUMBER($L234)),$L234&gt;=$J234),"",IF(COUNTIFS(nrES_PID,$D234,nrES_Code,$F234,nrES_Att,2,nrES_Raw,"&gt;=0")&gt;0,IF(IFERROR(_xlfn.MINIFS(nrES_Date,nrES_PID,$D234,nrES_Code,$F234,nrES_Att,2,nrES_Raw,"&gt;=0",nrES_Date,"&gt;0"),0)=0,"RETEST UNDATED",IF(NOT(ISNUMBER($T234)),"RETEST DATE UNCHECKED",IF(_xlfn.MINIFS(nrES_Date,nrES_PID,$D234,nrES_Code,$F234,nrES_Att,2,nrES_Raw,"&gt;=0",nrES_Date,"&gt;0")&gt;$T234,"LATE RETEST "&amp;TEXT(_xlfn.MINIFS(nrES_Date,nrES_PID,$D234,nrES_Code,$F234,nrES_Att,2,nrES_Raw,"&gt;=0",nrES_Date,"&gt;0"),"mm/dd")&amp;" (due "&amp;TEXT($T234,"mm/dd")&amp;")","Retested"))),IF(NOT(ISNUMBER($T234)),"CHECK DATE",IF(TODAY()&gt;$T234,"OVERDUE","Due "&amp;TEXT($T234,"mm/dd")))))))</f>
        <v/>
      </c>
      <c r="V234" s="16" t="n"/>
      <c r="W234" s="16" t="n"/>
      <c r="X234" s="17">
        <f>IF($C234="","",IF(AND($L234&lt;&gt;"",NOT(ISNUMBER($L234))),"RAW SCORE NOT A NUMBER",IF(AND(ISNUMBER($L234),OR($L234&lt;0,$L234&gt;100)),"RAW SCORE OUT OF RANGE",IF(AND($Y234="Unexcused",OR($L234="",NOT(ISNUMBER($L234)),$L234&lt;&gt;0)),"UNEXCUSED ABSENCE MUST RECORD 0",IF(COUNTIF(nrES_RecID,$B234)&gt;1,"DUPLICATE RECORD",IF(N($K234)&gt;2,"ATTEMPT 3+ NOT ALLOWED - policy 300.5 permits one retest per exam; this row records nothing",IF(AND($K234=2,COUNTIFS(nrES_PID,$D234,nrES_Code,$F234,nrES_Att,1)=0),"ATTEMPT 2 WITHOUT ATTEMPT 1",IF(AND($K234=2,$L234=""),"RETEST ROW HAS NO SCORE",IF(AND($H234="Final",$L234&lt;&gt;"",IFERROR(INDEX(nrCKfinalExamElig,MATCH($D234,rngCadetPIDs,0)),"")="No"),"FINAL EXAM AFTER FAILED FINAL PT (500.1.H)",IF(AND($K234=2,ISNUMBER($L234),COUNTIFS(nrES_PID,$D234,nrES_Code,$F234,nrES_Att,1)&gt;0,SUMIFS(nrES_Raw,nrES_PID,$D234,nrES_Code,$F234,nrES_Att,1)&gt;=$J234),"RETEST AFTER A PASSING FIRST ATTEMPT","OK"))))))))))</f>
        <v/>
      </c>
      <c r="Y234" s="16" t="n"/>
    </row>
    <row r="235">
      <c r="B235" s="17">
        <f>IF($C235="","",$D235&amp;"-"&amp;$F235&amp;"-"&amp;$K235)</f>
        <v/>
      </c>
      <c r="C235" s="16" t="n"/>
      <c r="D235" s="17">
        <f>IF($C235="","",IFERROR(INDEX(rngCadetPIDs,MATCH($C235,rngCadetNames,0)),"?"))</f>
        <v/>
      </c>
      <c r="E235" s="17">
        <f>IF($D235="","",IFERROR(INDEX(nrCadetAgency,MATCH($D235,rngCadetPIDs,0)),""))</f>
        <v/>
      </c>
      <c r="F235" s="16" t="n"/>
      <c r="G235" s="17">
        <f>IF($F235="","",IFERROR(INDEX(rngEPname,MATCH($F235,rngEPcode,0)),"?"))</f>
        <v/>
      </c>
      <c r="H235" s="17">
        <f>IF($F235="","",IFERROR(INDEX(rngEPtype,MATCH($F235,rngEPcode,0)),"?"))</f>
        <v/>
      </c>
      <c r="I235" s="17">
        <f>IF($F235="","",IFERROR(INDEX(rngEPseq,MATCH($F235,rngEPcode,0)),""))</f>
        <v/>
      </c>
      <c r="J235" s="17">
        <f>IF($F235="","",IFERROR(INDEX(rngEPpass,MATCH($F235,rngEPcode,0)),cfgPassingScore))</f>
        <v/>
      </c>
      <c r="K235" s="16" t="n"/>
      <c r="L235" s="16" t="n"/>
      <c r="M235" s="17">
        <f>IF($C235="","",IF($L235="","",IF(NOT(ISNUMBER($L235)),$L235,IF(N($K235)&gt;2,"",IF($K235=1,IF(COUNTIFS(nrES_PID,$D235,nrES_Code,$F235,nrES_Att,2,nrES_Raw,"&gt;=0")&gt;0,"",$L235),IF($L235&gt;=$J235,MAX($J235,cfgRetakeRecordedCap),IF(COUNTIFS(nrES_PID,$D235,nrES_Code,$F235,nrES_Att,1)=0,$L235,SUMIFS(nrES_Raw,nrES_PID,$D235,nrES_Code,$F235,nrES_Att,1))))))))</f>
        <v/>
      </c>
      <c r="N235" s="17">
        <f>IF($C235="","",IF($L235="","",IF(NOT(ISNUMBER($L235)),"(not a score)",IF($L235&gt;=$J235,"Yes","No"))))</f>
        <v/>
      </c>
      <c r="O235" s="17">
        <f>IF($C235="","",IF($M235="","",IF(NOT(ISNUMBER($M235)),"(not a score)",IF($M235&gt;=$J235,"Yes","No"))))</f>
        <v/>
      </c>
      <c r="P235" s="17">
        <f>IF($C235="","",IF($K235="","",IF(N($K235)&gt;2,"No",IF(COUNTIFS(nrES_PID,$D235,nrES_Code,$F235,nrES_Att,"&gt;"&amp;$K235,nrES_Att,"&lt;=2",nrES_Raw,"&gt;=0")=0,"Yes","No"))))</f>
        <v/>
      </c>
      <c r="Q235" s="17">
        <f>IF($C235="","",IF($L235="","",IF(AND($K235=1,ISNUMBER($L235),$L235&lt;$J235,COUNTIFS(nrES_PID,$D235,nrES_Code,$F235,nrES_Att,2,nrES_Raw,"&gt;=0")=0),"Yes","No")))</f>
        <v/>
      </c>
      <c r="R235" s="17">
        <f>IF($C235="","",IF($L235="","",IF(AND(N($K235)&gt;=2,ISNUMBER($L235),$L235&lt;$J235),"Yes","No")))</f>
        <v/>
      </c>
      <c r="S235" s="18" t="n"/>
      <c r="T235" s="19">
        <f>IF(OR($C235="",$L235="",$K235&lt;&gt;1,NOT(ISNUMBER($L235)),$L235&gt;=$J235),"",IF($S235="","(enter date)",_xlfn.LET(_xlpm.dn,_xlfn.XLOOKUP($S235,nrCDdate,nrCDnum,"",1),IF(_xlpm.dn="","(after last class day)",_xlfn.LET(_xlpm.dd,_xlfn.XLOOKUP(_xlpm.dn+cfgRetestClassDays,nrCDnum,nrCDdate,""),_xlpm.ok,_xlfn.XLOOKUP(_xlpm.dn+cfgRetestClassDays,nrCDnum,nrCDinsession,"No"),IF(OR(_xlpm.dd="",_xlpm.ok&lt;&gt;"Yes"),"(after last class day)",_xlpm.dd))))))</f>
        <v/>
      </c>
      <c r="U235" s="17">
        <f>IF($C235="","",IF(AND($Y235="Excused",$L235="",N($K235)&lt;=1),"EXCUSED - 1st attempt pending",IF(OR($L235="",$K235&lt;&gt;1,NOT(ISNUMBER($L235)),$L235&gt;=$J235),"",IF(COUNTIFS(nrES_PID,$D235,nrES_Code,$F235,nrES_Att,2,nrES_Raw,"&gt;=0")&gt;0,IF(IFERROR(_xlfn.MINIFS(nrES_Date,nrES_PID,$D235,nrES_Code,$F235,nrES_Att,2,nrES_Raw,"&gt;=0",nrES_Date,"&gt;0"),0)=0,"RETEST UNDATED",IF(NOT(ISNUMBER($T235)),"RETEST DATE UNCHECKED",IF(_xlfn.MINIFS(nrES_Date,nrES_PID,$D235,nrES_Code,$F235,nrES_Att,2,nrES_Raw,"&gt;=0",nrES_Date,"&gt;0")&gt;$T235,"LATE RETEST "&amp;TEXT(_xlfn.MINIFS(nrES_Date,nrES_PID,$D235,nrES_Code,$F235,nrES_Att,2,nrES_Raw,"&gt;=0",nrES_Date,"&gt;0"),"mm/dd")&amp;" (due "&amp;TEXT($T235,"mm/dd")&amp;")","Retested"))),IF(NOT(ISNUMBER($T235)),"CHECK DATE",IF(TODAY()&gt;$T235,"OVERDUE","Due "&amp;TEXT($T235,"mm/dd")))))))</f>
        <v/>
      </c>
      <c r="V235" s="16" t="n"/>
      <c r="W235" s="16" t="n"/>
      <c r="X235" s="17">
        <f>IF($C235="","",IF(AND($L235&lt;&gt;"",NOT(ISNUMBER($L235))),"RAW SCORE NOT A NUMBER",IF(AND(ISNUMBER($L235),OR($L235&lt;0,$L235&gt;100)),"RAW SCORE OUT OF RANGE",IF(AND($Y235="Unexcused",OR($L235="",NOT(ISNUMBER($L235)),$L235&lt;&gt;0)),"UNEXCUSED ABSENCE MUST RECORD 0",IF(COUNTIF(nrES_RecID,$B235)&gt;1,"DUPLICATE RECORD",IF(N($K235)&gt;2,"ATTEMPT 3+ NOT ALLOWED - policy 300.5 permits one retest per exam; this row records nothing",IF(AND($K235=2,COUNTIFS(nrES_PID,$D235,nrES_Code,$F235,nrES_Att,1)=0),"ATTEMPT 2 WITHOUT ATTEMPT 1",IF(AND($K235=2,$L235=""),"RETEST ROW HAS NO SCORE",IF(AND($H235="Final",$L235&lt;&gt;"",IFERROR(INDEX(nrCKfinalExamElig,MATCH($D235,rngCadetPIDs,0)),"")="No"),"FINAL EXAM AFTER FAILED FINAL PT (500.1.H)",IF(AND($K235=2,ISNUMBER($L235),COUNTIFS(nrES_PID,$D235,nrES_Code,$F235,nrES_Att,1)&gt;0,SUMIFS(nrES_Raw,nrES_PID,$D235,nrES_Code,$F235,nrES_Att,1)&gt;=$J235),"RETEST AFTER A PASSING FIRST ATTEMPT","OK"))))))))))</f>
        <v/>
      </c>
      <c r="Y235" s="16" t="n"/>
    </row>
    <row r="236">
      <c r="B236" s="17">
        <f>IF($C236="","",$D236&amp;"-"&amp;$F236&amp;"-"&amp;$K236)</f>
        <v/>
      </c>
      <c r="C236" s="16" t="n"/>
      <c r="D236" s="17">
        <f>IF($C236="","",IFERROR(INDEX(rngCadetPIDs,MATCH($C236,rngCadetNames,0)),"?"))</f>
        <v/>
      </c>
      <c r="E236" s="17">
        <f>IF($D236="","",IFERROR(INDEX(nrCadetAgency,MATCH($D236,rngCadetPIDs,0)),""))</f>
        <v/>
      </c>
      <c r="F236" s="16" t="n"/>
      <c r="G236" s="17">
        <f>IF($F236="","",IFERROR(INDEX(rngEPname,MATCH($F236,rngEPcode,0)),"?"))</f>
        <v/>
      </c>
      <c r="H236" s="17">
        <f>IF($F236="","",IFERROR(INDEX(rngEPtype,MATCH($F236,rngEPcode,0)),"?"))</f>
        <v/>
      </c>
      <c r="I236" s="17">
        <f>IF($F236="","",IFERROR(INDEX(rngEPseq,MATCH($F236,rngEPcode,0)),""))</f>
        <v/>
      </c>
      <c r="J236" s="17">
        <f>IF($F236="","",IFERROR(INDEX(rngEPpass,MATCH($F236,rngEPcode,0)),cfgPassingScore))</f>
        <v/>
      </c>
      <c r="K236" s="16" t="n"/>
      <c r="L236" s="16" t="n"/>
      <c r="M236" s="17">
        <f>IF($C236="","",IF($L236="","",IF(NOT(ISNUMBER($L236)),$L236,IF(N($K236)&gt;2,"",IF($K236=1,IF(COUNTIFS(nrES_PID,$D236,nrES_Code,$F236,nrES_Att,2,nrES_Raw,"&gt;=0")&gt;0,"",$L236),IF($L236&gt;=$J236,MAX($J236,cfgRetakeRecordedCap),IF(COUNTIFS(nrES_PID,$D236,nrES_Code,$F236,nrES_Att,1)=0,$L236,SUMIFS(nrES_Raw,nrES_PID,$D236,nrES_Code,$F236,nrES_Att,1))))))))</f>
        <v/>
      </c>
      <c r="N236" s="17">
        <f>IF($C236="","",IF($L236="","",IF(NOT(ISNUMBER($L236)),"(not a score)",IF($L236&gt;=$J236,"Yes","No"))))</f>
        <v/>
      </c>
      <c r="O236" s="17">
        <f>IF($C236="","",IF($M236="","",IF(NOT(ISNUMBER($M236)),"(not a score)",IF($M236&gt;=$J236,"Yes","No"))))</f>
        <v/>
      </c>
      <c r="P236" s="17">
        <f>IF($C236="","",IF($K236="","",IF(N($K236)&gt;2,"No",IF(COUNTIFS(nrES_PID,$D236,nrES_Code,$F236,nrES_Att,"&gt;"&amp;$K236,nrES_Att,"&lt;=2",nrES_Raw,"&gt;=0")=0,"Yes","No"))))</f>
        <v/>
      </c>
      <c r="Q236" s="17">
        <f>IF($C236="","",IF($L236="","",IF(AND($K236=1,ISNUMBER($L236),$L236&lt;$J236,COUNTIFS(nrES_PID,$D236,nrES_Code,$F236,nrES_Att,2,nrES_Raw,"&gt;=0")=0),"Yes","No")))</f>
        <v/>
      </c>
      <c r="R236" s="17">
        <f>IF($C236="","",IF($L236="","",IF(AND(N($K236)&gt;=2,ISNUMBER($L236),$L236&lt;$J236),"Yes","No")))</f>
        <v/>
      </c>
      <c r="S236" s="18" t="n"/>
      <c r="T236" s="19">
        <f>IF(OR($C236="",$L236="",$K236&lt;&gt;1,NOT(ISNUMBER($L236)),$L236&gt;=$J236),"",IF($S236="","(enter date)",_xlfn.LET(_xlpm.dn,_xlfn.XLOOKUP($S236,nrCDdate,nrCDnum,"",1),IF(_xlpm.dn="","(after last class day)",_xlfn.LET(_xlpm.dd,_xlfn.XLOOKUP(_xlpm.dn+cfgRetestClassDays,nrCDnum,nrCDdate,""),_xlpm.ok,_xlfn.XLOOKUP(_xlpm.dn+cfgRetestClassDays,nrCDnum,nrCDinsession,"No"),IF(OR(_xlpm.dd="",_xlpm.ok&lt;&gt;"Yes"),"(after last class day)",_xlpm.dd))))))</f>
        <v/>
      </c>
      <c r="U236" s="17">
        <f>IF($C236="","",IF(AND($Y236="Excused",$L236="",N($K236)&lt;=1),"EXCUSED - 1st attempt pending",IF(OR($L236="",$K236&lt;&gt;1,NOT(ISNUMBER($L236)),$L236&gt;=$J236),"",IF(COUNTIFS(nrES_PID,$D236,nrES_Code,$F236,nrES_Att,2,nrES_Raw,"&gt;=0")&gt;0,IF(IFERROR(_xlfn.MINIFS(nrES_Date,nrES_PID,$D236,nrES_Code,$F236,nrES_Att,2,nrES_Raw,"&gt;=0",nrES_Date,"&gt;0"),0)=0,"RETEST UNDATED",IF(NOT(ISNUMBER($T236)),"RETEST DATE UNCHECKED",IF(_xlfn.MINIFS(nrES_Date,nrES_PID,$D236,nrES_Code,$F236,nrES_Att,2,nrES_Raw,"&gt;=0",nrES_Date,"&gt;0")&gt;$T236,"LATE RETEST "&amp;TEXT(_xlfn.MINIFS(nrES_Date,nrES_PID,$D236,nrES_Code,$F236,nrES_Att,2,nrES_Raw,"&gt;=0",nrES_Date,"&gt;0"),"mm/dd")&amp;" (due "&amp;TEXT($T236,"mm/dd")&amp;")","Retested"))),IF(NOT(ISNUMBER($T236)),"CHECK DATE",IF(TODAY()&gt;$T236,"OVERDUE","Due "&amp;TEXT($T236,"mm/dd")))))))</f>
        <v/>
      </c>
      <c r="V236" s="16" t="n"/>
      <c r="W236" s="16" t="n"/>
      <c r="X236" s="17">
        <f>IF($C236="","",IF(AND($L236&lt;&gt;"",NOT(ISNUMBER($L236))),"RAW SCORE NOT A NUMBER",IF(AND(ISNUMBER($L236),OR($L236&lt;0,$L236&gt;100)),"RAW SCORE OUT OF RANGE",IF(AND($Y236="Unexcused",OR($L236="",NOT(ISNUMBER($L236)),$L236&lt;&gt;0)),"UNEXCUSED ABSENCE MUST RECORD 0",IF(COUNTIF(nrES_RecID,$B236)&gt;1,"DUPLICATE RECORD",IF(N($K236)&gt;2,"ATTEMPT 3+ NOT ALLOWED - policy 300.5 permits one retest per exam; this row records nothing",IF(AND($K236=2,COUNTIFS(nrES_PID,$D236,nrES_Code,$F236,nrES_Att,1)=0),"ATTEMPT 2 WITHOUT ATTEMPT 1",IF(AND($K236=2,$L236=""),"RETEST ROW HAS NO SCORE",IF(AND($H236="Final",$L236&lt;&gt;"",IFERROR(INDEX(nrCKfinalExamElig,MATCH($D236,rngCadetPIDs,0)),"")="No"),"FINAL EXAM AFTER FAILED FINAL PT (500.1.H)",IF(AND($K236=2,ISNUMBER($L236),COUNTIFS(nrES_PID,$D236,nrES_Code,$F236,nrES_Att,1)&gt;0,SUMIFS(nrES_Raw,nrES_PID,$D236,nrES_Code,$F236,nrES_Att,1)&gt;=$J236),"RETEST AFTER A PASSING FIRST ATTEMPT","OK"))))))))))</f>
        <v/>
      </c>
      <c r="Y236" s="16" t="n"/>
    </row>
    <row r="237">
      <c r="B237" s="17">
        <f>IF($C237="","",$D237&amp;"-"&amp;$F237&amp;"-"&amp;$K237)</f>
        <v/>
      </c>
      <c r="C237" s="16" t="n"/>
      <c r="D237" s="17">
        <f>IF($C237="","",IFERROR(INDEX(rngCadetPIDs,MATCH($C237,rngCadetNames,0)),"?"))</f>
        <v/>
      </c>
      <c r="E237" s="17">
        <f>IF($D237="","",IFERROR(INDEX(nrCadetAgency,MATCH($D237,rngCadetPIDs,0)),""))</f>
        <v/>
      </c>
      <c r="F237" s="16" t="n"/>
      <c r="G237" s="17">
        <f>IF($F237="","",IFERROR(INDEX(rngEPname,MATCH($F237,rngEPcode,0)),"?"))</f>
        <v/>
      </c>
      <c r="H237" s="17">
        <f>IF($F237="","",IFERROR(INDEX(rngEPtype,MATCH($F237,rngEPcode,0)),"?"))</f>
        <v/>
      </c>
      <c r="I237" s="17">
        <f>IF($F237="","",IFERROR(INDEX(rngEPseq,MATCH($F237,rngEPcode,0)),""))</f>
        <v/>
      </c>
      <c r="J237" s="17">
        <f>IF($F237="","",IFERROR(INDEX(rngEPpass,MATCH($F237,rngEPcode,0)),cfgPassingScore))</f>
        <v/>
      </c>
      <c r="K237" s="16" t="n"/>
      <c r="L237" s="16" t="n"/>
      <c r="M237" s="17">
        <f>IF($C237="","",IF($L237="","",IF(NOT(ISNUMBER($L237)),$L237,IF(N($K237)&gt;2,"",IF($K237=1,IF(COUNTIFS(nrES_PID,$D237,nrES_Code,$F237,nrES_Att,2,nrES_Raw,"&gt;=0")&gt;0,"",$L237),IF($L237&gt;=$J237,MAX($J237,cfgRetakeRecordedCap),IF(COUNTIFS(nrES_PID,$D237,nrES_Code,$F237,nrES_Att,1)=0,$L237,SUMIFS(nrES_Raw,nrES_PID,$D237,nrES_Code,$F237,nrES_Att,1))))))))</f>
        <v/>
      </c>
      <c r="N237" s="17">
        <f>IF($C237="","",IF($L237="","",IF(NOT(ISNUMBER($L237)),"(not a score)",IF($L237&gt;=$J237,"Yes","No"))))</f>
        <v/>
      </c>
      <c r="O237" s="17">
        <f>IF($C237="","",IF($M237="","",IF(NOT(ISNUMBER($M237)),"(not a score)",IF($M237&gt;=$J237,"Yes","No"))))</f>
        <v/>
      </c>
      <c r="P237" s="17">
        <f>IF($C237="","",IF($K237="","",IF(N($K237)&gt;2,"No",IF(COUNTIFS(nrES_PID,$D237,nrES_Code,$F237,nrES_Att,"&gt;"&amp;$K237,nrES_Att,"&lt;=2",nrES_Raw,"&gt;=0")=0,"Yes","No"))))</f>
        <v/>
      </c>
      <c r="Q237" s="17">
        <f>IF($C237="","",IF($L237="","",IF(AND($K237=1,ISNUMBER($L237),$L237&lt;$J237,COUNTIFS(nrES_PID,$D237,nrES_Code,$F237,nrES_Att,2,nrES_Raw,"&gt;=0")=0),"Yes","No")))</f>
        <v/>
      </c>
      <c r="R237" s="17">
        <f>IF($C237="","",IF($L237="","",IF(AND(N($K237)&gt;=2,ISNUMBER($L237),$L237&lt;$J237),"Yes","No")))</f>
        <v/>
      </c>
      <c r="S237" s="18" t="n"/>
      <c r="T237" s="19">
        <f>IF(OR($C237="",$L237="",$K237&lt;&gt;1,NOT(ISNUMBER($L237)),$L237&gt;=$J237),"",IF($S237="","(enter date)",_xlfn.LET(_xlpm.dn,_xlfn.XLOOKUP($S237,nrCDdate,nrCDnum,"",1),IF(_xlpm.dn="","(after last class day)",_xlfn.LET(_xlpm.dd,_xlfn.XLOOKUP(_xlpm.dn+cfgRetestClassDays,nrCDnum,nrCDdate,""),_xlpm.ok,_xlfn.XLOOKUP(_xlpm.dn+cfgRetestClassDays,nrCDnum,nrCDinsession,"No"),IF(OR(_xlpm.dd="",_xlpm.ok&lt;&gt;"Yes"),"(after last class day)",_xlpm.dd))))))</f>
        <v/>
      </c>
      <c r="U237" s="17">
        <f>IF($C237="","",IF(AND($Y237="Excused",$L237="",N($K237)&lt;=1),"EXCUSED - 1st attempt pending",IF(OR($L237="",$K237&lt;&gt;1,NOT(ISNUMBER($L237)),$L237&gt;=$J237),"",IF(COUNTIFS(nrES_PID,$D237,nrES_Code,$F237,nrES_Att,2,nrES_Raw,"&gt;=0")&gt;0,IF(IFERROR(_xlfn.MINIFS(nrES_Date,nrES_PID,$D237,nrES_Code,$F237,nrES_Att,2,nrES_Raw,"&gt;=0",nrES_Date,"&gt;0"),0)=0,"RETEST UNDATED",IF(NOT(ISNUMBER($T237)),"RETEST DATE UNCHECKED",IF(_xlfn.MINIFS(nrES_Date,nrES_PID,$D237,nrES_Code,$F237,nrES_Att,2,nrES_Raw,"&gt;=0",nrES_Date,"&gt;0")&gt;$T237,"LATE RETEST "&amp;TEXT(_xlfn.MINIFS(nrES_Date,nrES_PID,$D237,nrES_Code,$F237,nrES_Att,2,nrES_Raw,"&gt;=0",nrES_Date,"&gt;0"),"mm/dd")&amp;" (due "&amp;TEXT($T237,"mm/dd")&amp;")","Retested"))),IF(NOT(ISNUMBER($T237)),"CHECK DATE",IF(TODAY()&gt;$T237,"OVERDUE","Due "&amp;TEXT($T237,"mm/dd")))))))</f>
        <v/>
      </c>
      <c r="V237" s="16" t="n"/>
      <c r="W237" s="16" t="n"/>
      <c r="X237" s="17">
        <f>IF($C237="","",IF(AND($L237&lt;&gt;"",NOT(ISNUMBER($L237))),"RAW SCORE NOT A NUMBER",IF(AND(ISNUMBER($L237),OR($L237&lt;0,$L237&gt;100)),"RAW SCORE OUT OF RANGE",IF(AND($Y237="Unexcused",OR($L237="",NOT(ISNUMBER($L237)),$L237&lt;&gt;0)),"UNEXCUSED ABSENCE MUST RECORD 0",IF(COUNTIF(nrES_RecID,$B237)&gt;1,"DUPLICATE RECORD",IF(N($K237)&gt;2,"ATTEMPT 3+ NOT ALLOWED - policy 300.5 permits one retest per exam; this row records nothing",IF(AND($K237=2,COUNTIFS(nrES_PID,$D237,nrES_Code,$F237,nrES_Att,1)=0),"ATTEMPT 2 WITHOUT ATTEMPT 1",IF(AND($K237=2,$L237=""),"RETEST ROW HAS NO SCORE",IF(AND($H237="Final",$L237&lt;&gt;"",IFERROR(INDEX(nrCKfinalExamElig,MATCH($D237,rngCadetPIDs,0)),"")="No"),"FINAL EXAM AFTER FAILED FINAL PT (500.1.H)",IF(AND($K237=2,ISNUMBER($L237),COUNTIFS(nrES_PID,$D237,nrES_Code,$F237,nrES_Att,1)&gt;0,SUMIFS(nrES_Raw,nrES_PID,$D237,nrES_Code,$F237,nrES_Att,1)&gt;=$J237),"RETEST AFTER A PASSING FIRST ATTEMPT","OK"))))))))))</f>
        <v/>
      </c>
      <c r="Y237" s="16" t="n"/>
    </row>
    <row r="238">
      <c r="B238" s="17">
        <f>IF($C238="","",$D238&amp;"-"&amp;$F238&amp;"-"&amp;$K238)</f>
        <v/>
      </c>
      <c r="C238" s="16" t="n"/>
      <c r="D238" s="17">
        <f>IF($C238="","",IFERROR(INDEX(rngCadetPIDs,MATCH($C238,rngCadetNames,0)),"?"))</f>
        <v/>
      </c>
      <c r="E238" s="17">
        <f>IF($D238="","",IFERROR(INDEX(nrCadetAgency,MATCH($D238,rngCadetPIDs,0)),""))</f>
        <v/>
      </c>
      <c r="F238" s="16" t="n"/>
      <c r="G238" s="17">
        <f>IF($F238="","",IFERROR(INDEX(rngEPname,MATCH($F238,rngEPcode,0)),"?"))</f>
        <v/>
      </c>
      <c r="H238" s="17">
        <f>IF($F238="","",IFERROR(INDEX(rngEPtype,MATCH($F238,rngEPcode,0)),"?"))</f>
        <v/>
      </c>
      <c r="I238" s="17">
        <f>IF($F238="","",IFERROR(INDEX(rngEPseq,MATCH($F238,rngEPcode,0)),""))</f>
        <v/>
      </c>
      <c r="J238" s="17">
        <f>IF($F238="","",IFERROR(INDEX(rngEPpass,MATCH($F238,rngEPcode,0)),cfgPassingScore))</f>
        <v/>
      </c>
      <c r="K238" s="16" t="n"/>
      <c r="L238" s="16" t="n"/>
      <c r="M238" s="17">
        <f>IF($C238="","",IF($L238="","",IF(NOT(ISNUMBER($L238)),$L238,IF(N($K238)&gt;2,"",IF($K238=1,IF(COUNTIFS(nrES_PID,$D238,nrES_Code,$F238,nrES_Att,2,nrES_Raw,"&gt;=0")&gt;0,"",$L238),IF($L238&gt;=$J238,MAX($J238,cfgRetakeRecordedCap),IF(COUNTIFS(nrES_PID,$D238,nrES_Code,$F238,nrES_Att,1)=0,$L238,SUMIFS(nrES_Raw,nrES_PID,$D238,nrES_Code,$F238,nrES_Att,1))))))))</f>
        <v/>
      </c>
      <c r="N238" s="17">
        <f>IF($C238="","",IF($L238="","",IF(NOT(ISNUMBER($L238)),"(not a score)",IF($L238&gt;=$J238,"Yes","No"))))</f>
        <v/>
      </c>
      <c r="O238" s="17">
        <f>IF($C238="","",IF($M238="","",IF(NOT(ISNUMBER($M238)),"(not a score)",IF($M238&gt;=$J238,"Yes","No"))))</f>
        <v/>
      </c>
      <c r="P238" s="17">
        <f>IF($C238="","",IF($K238="","",IF(N($K238)&gt;2,"No",IF(COUNTIFS(nrES_PID,$D238,nrES_Code,$F238,nrES_Att,"&gt;"&amp;$K238,nrES_Att,"&lt;=2",nrES_Raw,"&gt;=0")=0,"Yes","No"))))</f>
        <v/>
      </c>
      <c r="Q238" s="17">
        <f>IF($C238="","",IF($L238="","",IF(AND($K238=1,ISNUMBER($L238),$L238&lt;$J238,COUNTIFS(nrES_PID,$D238,nrES_Code,$F238,nrES_Att,2,nrES_Raw,"&gt;=0")=0),"Yes","No")))</f>
        <v/>
      </c>
      <c r="R238" s="17">
        <f>IF($C238="","",IF($L238="","",IF(AND(N($K238)&gt;=2,ISNUMBER($L238),$L238&lt;$J238),"Yes","No")))</f>
        <v/>
      </c>
      <c r="S238" s="18" t="n"/>
      <c r="T238" s="19">
        <f>IF(OR($C238="",$L238="",$K238&lt;&gt;1,NOT(ISNUMBER($L238)),$L238&gt;=$J238),"",IF($S238="","(enter date)",_xlfn.LET(_xlpm.dn,_xlfn.XLOOKUP($S238,nrCDdate,nrCDnum,"",1),IF(_xlpm.dn="","(after last class day)",_xlfn.LET(_xlpm.dd,_xlfn.XLOOKUP(_xlpm.dn+cfgRetestClassDays,nrCDnum,nrCDdate,""),_xlpm.ok,_xlfn.XLOOKUP(_xlpm.dn+cfgRetestClassDays,nrCDnum,nrCDinsession,"No"),IF(OR(_xlpm.dd="",_xlpm.ok&lt;&gt;"Yes"),"(after last class day)",_xlpm.dd))))))</f>
        <v/>
      </c>
      <c r="U238" s="17">
        <f>IF($C238="","",IF(AND($Y238="Excused",$L238="",N($K238)&lt;=1),"EXCUSED - 1st attempt pending",IF(OR($L238="",$K238&lt;&gt;1,NOT(ISNUMBER($L238)),$L238&gt;=$J238),"",IF(COUNTIFS(nrES_PID,$D238,nrES_Code,$F238,nrES_Att,2,nrES_Raw,"&gt;=0")&gt;0,IF(IFERROR(_xlfn.MINIFS(nrES_Date,nrES_PID,$D238,nrES_Code,$F238,nrES_Att,2,nrES_Raw,"&gt;=0",nrES_Date,"&gt;0"),0)=0,"RETEST UNDATED",IF(NOT(ISNUMBER($T238)),"RETEST DATE UNCHECKED",IF(_xlfn.MINIFS(nrES_Date,nrES_PID,$D238,nrES_Code,$F238,nrES_Att,2,nrES_Raw,"&gt;=0",nrES_Date,"&gt;0")&gt;$T238,"LATE RETEST "&amp;TEXT(_xlfn.MINIFS(nrES_Date,nrES_PID,$D238,nrES_Code,$F238,nrES_Att,2,nrES_Raw,"&gt;=0",nrES_Date,"&gt;0"),"mm/dd")&amp;" (due "&amp;TEXT($T238,"mm/dd")&amp;")","Retested"))),IF(NOT(ISNUMBER($T238)),"CHECK DATE",IF(TODAY()&gt;$T238,"OVERDUE","Due "&amp;TEXT($T238,"mm/dd")))))))</f>
        <v/>
      </c>
      <c r="V238" s="16" t="n"/>
      <c r="W238" s="16" t="n"/>
      <c r="X238" s="17">
        <f>IF($C238="","",IF(AND($L238&lt;&gt;"",NOT(ISNUMBER($L238))),"RAW SCORE NOT A NUMBER",IF(AND(ISNUMBER($L238),OR($L238&lt;0,$L238&gt;100)),"RAW SCORE OUT OF RANGE",IF(AND($Y238="Unexcused",OR($L238="",NOT(ISNUMBER($L238)),$L238&lt;&gt;0)),"UNEXCUSED ABSENCE MUST RECORD 0",IF(COUNTIF(nrES_RecID,$B238)&gt;1,"DUPLICATE RECORD",IF(N($K238)&gt;2,"ATTEMPT 3+ NOT ALLOWED - policy 300.5 permits one retest per exam; this row records nothing",IF(AND($K238=2,COUNTIFS(nrES_PID,$D238,nrES_Code,$F238,nrES_Att,1)=0),"ATTEMPT 2 WITHOUT ATTEMPT 1",IF(AND($K238=2,$L238=""),"RETEST ROW HAS NO SCORE",IF(AND($H238="Final",$L238&lt;&gt;"",IFERROR(INDEX(nrCKfinalExamElig,MATCH($D238,rngCadetPIDs,0)),"")="No"),"FINAL EXAM AFTER FAILED FINAL PT (500.1.H)",IF(AND($K238=2,ISNUMBER($L238),COUNTIFS(nrES_PID,$D238,nrES_Code,$F238,nrES_Att,1)&gt;0,SUMIFS(nrES_Raw,nrES_PID,$D238,nrES_Code,$F238,nrES_Att,1)&gt;=$J238),"RETEST AFTER A PASSING FIRST ATTEMPT","OK"))))))))))</f>
        <v/>
      </c>
      <c r="Y238" s="16" t="n"/>
    </row>
    <row r="239">
      <c r="B239" s="17">
        <f>IF($C239="","",$D239&amp;"-"&amp;$F239&amp;"-"&amp;$K239)</f>
        <v/>
      </c>
      <c r="C239" s="16" t="n"/>
      <c r="D239" s="17">
        <f>IF($C239="","",IFERROR(INDEX(rngCadetPIDs,MATCH($C239,rngCadetNames,0)),"?"))</f>
        <v/>
      </c>
      <c r="E239" s="17">
        <f>IF($D239="","",IFERROR(INDEX(nrCadetAgency,MATCH($D239,rngCadetPIDs,0)),""))</f>
        <v/>
      </c>
      <c r="F239" s="16" t="n"/>
      <c r="G239" s="17">
        <f>IF($F239="","",IFERROR(INDEX(rngEPname,MATCH($F239,rngEPcode,0)),"?"))</f>
        <v/>
      </c>
      <c r="H239" s="17">
        <f>IF($F239="","",IFERROR(INDEX(rngEPtype,MATCH($F239,rngEPcode,0)),"?"))</f>
        <v/>
      </c>
      <c r="I239" s="17">
        <f>IF($F239="","",IFERROR(INDEX(rngEPseq,MATCH($F239,rngEPcode,0)),""))</f>
        <v/>
      </c>
      <c r="J239" s="17">
        <f>IF($F239="","",IFERROR(INDEX(rngEPpass,MATCH($F239,rngEPcode,0)),cfgPassingScore))</f>
        <v/>
      </c>
      <c r="K239" s="16" t="n"/>
      <c r="L239" s="16" t="n"/>
      <c r="M239" s="17">
        <f>IF($C239="","",IF($L239="","",IF(NOT(ISNUMBER($L239)),$L239,IF(N($K239)&gt;2,"",IF($K239=1,IF(COUNTIFS(nrES_PID,$D239,nrES_Code,$F239,nrES_Att,2,nrES_Raw,"&gt;=0")&gt;0,"",$L239),IF($L239&gt;=$J239,MAX($J239,cfgRetakeRecordedCap),IF(COUNTIFS(nrES_PID,$D239,nrES_Code,$F239,nrES_Att,1)=0,$L239,SUMIFS(nrES_Raw,nrES_PID,$D239,nrES_Code,$F239,nrES_Att,1))))))))</f>
        <v/>
      </c>
      <c r="N239" s="17">
        <f>IF($C239="","",IF($L239="","",IF(NOT(ISNUMBER($L239)),"(not a score)",IF($L239&gt;=$J239,"Yes","No"))))</f>
        <v/>
      </c>
      <c r="O239" s="17">
        <f>IF($C239="","",IF($M239="","",IF(NOT(ISNUMBER($M239)),"(not a score)",IF($M239&gt;=$J239,"Yes","No"))))</f>
        <v/>
      </c>
      <c r="P239" s="17">
        <f>IF($C239="","",IF($K239="","",IF(N($K239)&gt;2,"No",IF(COUNTIFS(nrES_PID,$D239,nrES_Code,$F239,nrES_Att,"&gt;"&amp;$K239,nrES_Att,"&lt;=2",nrES_Raw,"&gt;=0")=0,"Yes","No"))))</f>
        <v/>
      </c>
      <c r="Q239" s="17">
        <f>IF($C239="","",IF($L239="","",IF(AND($K239=1,ISNUMBER($L239),$L239&lt;$J239,COUNTIFS(nrES_PID,$D239,nrES_Code,$F239,nrES_Att,2,nrES_Raw,"&gt;=0")=0),"Yes","No")))</f>
        <v/>
      </c>
      <c r="R239" s="17">
        <f>IF($C239="","",IF($L239="","",IF(AND(N($K239)&gt;=2,ISNUMBER($L239),$L239&lt;$J239),"Yes","No")))</f>
        <v/>
      </c>
      <c r="S239" s="18" t="n"/>
      <c r="T239" s="19">
        <f>IF(OR($C239="",$L239="",$K239&lt;&gt;1,NOT(ISNUMBER($L239)),$L239&gt;=$J239),"",IF($S239="","(enter date)",_xlfn.LET(_xlpm.dn,_xlfn.XLOOKUP($S239,nrCDdate,nrCDnum,"",1),IF(_xlpm.dn="","(after last class day)",_xlfn.LET(_xlpm.dd,_xlfn.XLOOKUP(_xlpm.dn+cfgRetestClassDays,nrCDnum,nrCDdate,""),_xlpm.ok,_xlfn.XLOOKUP(_xlpm.dn+cfgRetestClassDays,nrCDnum,nrCDinsession,"No"),IF(OR(_xlpm.dd="",_xlpm.ok&lt;&gt;"Yes"),"(after last class day)",_xlpm.dd))))))</f>
        <v/>
      </c>
      <c r="U239" s="17">
        <f>IF($C239="","",IF(AND($Y239="Excused",$L239="",N($K239)&lt;=1),"EXCUSED - 1st attempt pending",IF(OR($L239="",$K239&lt;&gt;1,NOT(ISNUMBER($L239)),$L239&gt;=$J239),"",IF(COUNTIFS(nrES_PID,$D239,nrES_Code,$F239,nrES_Att,2,nrES_Raw,"&gt;=0")&gt;0,IF(IFERROR(_xlfn.MINIFS(nrES_Date,nrES_PID,$D239,nrES_Code,$F239,nrES_Att,2,nrES_Raw,"&gt;=0",nrES_Date,"&gt;0"),0)=0,"RETEST UNDATED",IF(NOT(ISNUMBER($T239)),"RETEST DATE UNCHECKED",IF(_xlfn.MINIFS(nrES_Date,nrES_PID,$D239,nrES_Code,$F239,nrES_Att,2,nrES_Raw,"&gt;=0",nrES_Date,"&gt;0")&gt;$T239,"LATE RETEST "&amp;TEXT(_xlfn.MINIFS(nrES_Date,nrES_PID,$D239,nrES_Code,$F239,nrES_Att,2,nrES_Raw,"&gt;=0",nrES_Date,"&gt;0"),"mm/dd")&amp;" (due "&amp;TEXT($T239,"mm/dd")&amp;")","Retested"))),IF(NOT(ISNUMBER($T239)),"CHECK DATE",IF(TODAY()&gt;$T239,"OVERDUE","Due "&amp;TEXT($T239,"mm/dd")))))))</f>
        <v/>
      </c>
      <c r="V239" s="16" t="n"/>
      <c r="W239" s="16" t="n"/>
      <c r="X239" s="17">
        <f>IF($C239="","",IF(AND($L239&lt;&gt;"",NOT(ISNUMBER($L239))),"RAW SCORE NOT A NUMBER",IF(AND(ISNUMBER($L239),OR($L239&lt;0,$L239&gt;100)),"RAW SCORE OUT OF RANGE",IF(AND($Y239="Unexcused",OR($L239="",NOT(ISNUMBER($L239)),$L239&lt;&gt;0)),"UNEXCUSED ABSENCE MUST RECORD 0",IF(COUNTIF(nrES_RecID,$B239)&gt;1,"DUPLICATE RECORD",IF(N($K239)&gt;2,"ATTEMPT 3+ NOT ALLOWED - policy 300.5 permits one retest per exam; this row records nothing",IF(AND($K239=2,COUNTIFS(nrES_PID,$D239,nrES_Code,$F239,nrES_Att,1)=0),"ATTEMPT 2 WITHOUT ATTEMPT 1",IF(AND($K239=2,$L239=""),"RETEST ROW HAS NO SCORE",IF(AND($H239="Final",$L239&lt;&gt;"",IFERROR(INDEX(nrCKfinalExamElig,MATCH($D239,rngCadetPIDs,0)),"")="No"),"FINAL EXAM AFTER FAILED FINAL PT (500.1.H)",IF(AND($K239=2,ISNUMBER($L239),COUNTIFS(nrES_PID,$D239,nrES_Code,$F239,nrES_Att,1)&gt;0,SUMIFS(nrES_Raw,nrES_PID,$D239,nrES_Code,$F239,nrES_Att,1)&gt;=$J239),"RETEST AFTER A PASSING FIRST ATTEMPT","OK"))))))))))</f>
        <v/>
      </c>
      <c r="Y239" s="16" t="n"/>
    </row>
    <row r="240">
      <c r="B240" s="17">
        <f>IF($C240="","",$D240&amp;"-"&amp;$F240&amp;"-"&amp;$K240)</f>
        <v/>
      </c>
      <c r="C240" s="16" t="n"/>
      <c r="D240" s="17">
        <f>IF($C240="","",IFERROR(INDEX(rngCadetPIDs,MATCH($C240,rngCadetNames,0)),"?"))</f>
        <v/>
      </c>
      <c r="E240" s="17">
        <f>IF($D240="","",IFERROR(INDEX(nrCadetAgency,MATCH($D240,rngCadetPIDs,0)),""))</f>
        <v/>
      </c>
      <c r="F240" s="16" t="n"/>
      <c r="G240" s="17">
        <f>IF($F240="","",IFERROR(INDEX(rngEPname,MATCH($F240,rngEPcode,0)),"?"))</f>
        <v/>
      </c>
      <c r="H240" s="17">
        <f>IF($F240="","",IFERROR(INDEX(rngEPtype,MATCH($F240,rngEPcode,0)),"?"))</f>
        <v/>
      </c>
      <c r="I240" s="17">
        <f>IF($F240="","",IFERROR(INDEX(rngEPseq,MATCH($F240,rngEPcode,0)),""))</f>
        <v/>
      </c>
      <c r="J240" s="17">
        <f>IF($F240="","",IFERROR(INDEX(rngEPpass,MATCH($F240,rngEPcode,0)),cfgPassingScore))</f>
        <v/>
      </c>
      <c r="K240" s="16" t="n"/>
      <c r="L240" s="16" t="n"/>
      <c r="M240" s="17">
        <f>IF($C240="","",IF($L240="","",IF(NOT(ISNUMBER($L240)),$L240,IF(N($K240)&gt;2,"",IF($K240=1,IF(COUNTIFS(nrES_PID,$D240,nrES_Code,$F240,nrES_Att,2,nrES_Raw,"&gt;=0")&gt;0,"",$L240),IF($L240&gt;=$J240,MAX($J240,cfgRetakeRecordedCap),IF(COUNTIFS(nrES_PID,$D240,nrES_Code,$F240,nrES_Att,1)=0,$L240,SUMIFS(nrES_Raw,nrES_PID,$D240,nrES_Code,$F240,nrES_Att,1))))))))</f>
        <v/>
      </c>
      <c r="N240" s="17">
        <f>IF($C240="","",IF($L240="","",IF(NOT(ISNUMBER($L240)),"(not a score)",IF($L240&gt;=$J240,"Yes","No"))))</f>
        <v/>
      </c>
      <c r="O240" s="17">
        <f>IF($C240="","",IF($M240="","",IF(NOT(ISNUMBER($M240)),"(not a score)",IF($M240&gt;=$J240,"Yes","No"))))</f>
        <v/>
      </c>
      <c r="P240" s="17">
        <f>IF($C240="","",IF($K240="","",IF(N($K240)&gt;2,"No",IF(COUNTIFS(nrES_PID,$D240,nrES_Code,$F240,nrES_Att,"&gt;"&amp;$K240,nrES_Att,"&lt;=2",nrES_Raw,"&gt;=0")=0,"Yes","No"))))</f>
        <v/>
      </c>
      <c r="Q240" s="17">
        <f>IF($C240="","",IF($L240="","",IF(AND($K240=1,ISNUMBER($L240),$L240&lt;$J240,COUNTIFS(nrES_PID,$D240,nrES_Code,$F240,nrES_Att,2,nrES_Raw,"&gt;=0")=0),"Yes","No")))</f>
        <v/>
      </c>
      <c r="R240" s="17">
        <f>IF($C240="","",IF($L240="","",IF(AND(N($K240)&gt;=2,ISNUMBER($L240),$L240&lt;$J240),"Yes","No")))</f>
        <v/>
      </c>
      <c r="S240" s="18" t="n"/>
      <c r="T240" s="19">
        <f>IF(OR($C240="",$L240="",$K240&lt;&gt;1,NOT(ISNUMBER($L240)),$L240&gt;=$J240),"",IF($S240="","(enter date)",_xlfn.LET(_xlpm.dn,_xlfn.XLOOKUP($S240,nrCDdate,nrCDnum,"",1),IF(_xlpm.dn="","(after last class day)",_xlfn.LET(_xlpm.dd,_xlfn.XLOOKUP(_xlpm.dn+cfgRetestClassDays,nrCDnum,nrCDdate,""),_xlpm.ok,_xlfn.XLOOKUP(_xlpm.dn+cfgRetestClassDays,nrCDnum,nrCDinsession,"No"),IF(OR(_xlpm.dd="",_xlpm.ok&lt;&gt;"Yes"),"(after last class day)",_xlpm.dd))))))</f>
        <v/>
      </c>
      <c r="U240" s="17">
        <f>IF($C240="","",IF(AND($Y240="Excused",$L240="",N($K240)&lt;=1),"EXCUSED - 1st attempt pending",IF(OR($L240="",$K240&lt;&gt;1,NOT(ISNUMBER($L240)),$L240&gt;=$J240),"",IF(COUNTIFS(nrES_PID,$D240,nrES_Code,$F240,nrES_Att,2,nrES_Raw,"&gt;=0")&gt;0,IF(IFERROR(_xlfn.MINIFS(nrES_Date,nrES_PID,$D240,nrES_Code,$F240,nrES_Att,2,nrES_Raw,"&gt;=0",nrES_Date,"&gt;0"),0)=0,"RETEST UNDATED",IF(NOT(ISNUMBER($T240)),"RETEST DATE UNCHECKED",IF(_xlfn.MINIFS(nrES_Date,nrES_PID,$D240,nrES_Code,$F240,nrES_Att,2,nrES_Raw,"&gt;=0",nrES_Date,"&gt;0")&gt;$T240,"LATE RETEST "&amp;TEXT(_xlfn.MINIFS(nrES_Date,nrES_PID,$D240,nrES_Code,$F240,nrES_Att,2,nrES_Raw,"&gt;=0",nrES_Date,"&gt;0"),"mm/dd")&amp;" (due "&amp;TEXT($T240,"mm/dd")&amp;")","Retested"))),IF(NOT(ISNUMBER($T240)),"CHECK DATE",IF(TODAY()&gt;$T240,"OVERDUE","Due "&amp;TEXT($T240,"mm/dd")))))))</f>
        <v/>
      </c>
      <c r="V240" s="16" t="n"/>
      <c r="W240" s="16" t="n"/>
      <c r="X240" s="17">
        <f>IF($C240="","",IF(AND($L240&lt;&gt;"",NOT(ISNUMBER($L240))),"RAW SCORE NOT A NUMBER",IF(AND(ISNUMBER($L240),OR($L240&lt;0,$L240&gt;100)),"RAW SCORE OUT OF RANGE",IF(AND($Y240="Unexcused",OR($L240="",NOT(ISNUMBER($L240)),$L240&lt;&gt;0)),"UNEXCUSED ABSENCE MUST RECORD 0",IF(COUNTIF(nrES_RecID,$B240)&gt;1,"DUPLICATE RECORD",IF(N($K240)&gt;2,"ATTEMPT 3+ NOT ALLOWED - policy 300.5 permits one retest per exam; this row records nothing",IF(AND($K240=2,COUNTIFS(nrES_PID,$D240,nrES_Code,$F240,nrES_Att,1)=0),"ATTEMPT 2 WITHOUT ATTEMPT 1",IF(AND($K240=2,$L240=""),"RETEST ROW HAS NO SCORE",IF(AND($H240="Final",$L240&lt;&gt;"",IFERROR(INDEX(nrCKfinalExamElig,MATCH($D240,rngCadetPIDs,0)),"")="No"),"FINAL EXAM AFTER FAILED FINAL PT (500.1.H)",IF(AND($K240=2,ISNUMBER($L240),COUNTIFS(nrES_PID,$D240,nrES_Code,$F240,nrES_Att,1)&gt;0,SUMIFS(nrES_Raw,nrES_PID,$D240,nrES_Code,$F240,nrES_Att,1)&gt;=$J240),"RETEST AFTER A PASSING FIRST ATTEMPT","OK"))))))))))</f>
        <v/>
      </c>
      <c r="Y240" s="16" t="n"/>
    </row>
    <row r="241">
      <c r="B241" s="17">
        <f>IF($C241="","",$D241&amp;"-"&amp;$F241&amp;"-"&amp;$K241)</f>
        <v/>
      </c>
      <c r="C241" s="16" t="n"/>
      <c r="D241" s="17">
        <f>IF($C241="","",IFERROR(INDEX(rngCadetPIDs,MATCH($C241,rngCadetNames,0)),"?"))</f>
        <v/>
      </c>
      <c r="E241" s="17">
        <f>IF($D241="","",IFERROR(INDEX(nrCadetAgency,MATCH($D241,rngCadetPIDs,0)),""))</f>
        <v/>
      </c>
      <c r="F241" s="16" t="n"/>
      <c r="G241" s="17">
        <f>IF($F241="","",IFERROR(INDEX(rngEPname,MATCH($F241,rngEPcode,0)),"?"))</f>
        <v/>
      </c>
      <c r="H241" s="17">
        <f>IF($F241="","",IFERROR(INDEX(rngEPtype,MATCH($F241,rngEPcode,0)),"?"))</f>
        <v/>
      </c>
      <c r="I241" s="17">
        <f>IF($F241="","",IFERROR(INDEX(rngEPseq,MATCH($F241,rngEPcode,0)),""))</f>
        <v/>
      </c>
      <c r="J241" s="17">
        <f>IF($F241="","",IFERROR(INDEX(rngEPpass,MATCH($F241,rngEPcode,0)),cfgPassingScore))</f>
        <v/>
      </c>
      <c r="K241" s="16" t="n"/>
      <c r="L241" s="16" t="n"/>
      <c r="M241" s="17">
        <f>IF($C241="","",IF($L241="","",IF(NOT(ISNUMBER($L241)),$L241,IF(N($K241)&gt;2,"",IF($K241=1,IF(COUNTIFS(nrES_PID,$D241,nrES_Code,$F241,nrES_Att,2,nrES_Raw,"&gt;=0")&gt;0,"",$L241),IF($L241&gt;=$J241,MAX($J241,cfgRetakeRecordedCap),IF(COUNTIFS(nrES_PID,$D241,nrES_Code,$F241,nrES_Att,1)=0,$L241,SUMIFS(nrES_Raw,nrES_PID,$D241,nrES_Code,$F241,nrES_Att,1))))))))</f>
        <v/>
      </c>
      <c r="N241" s="17">
        <f>IF($C241="","",IF($L241="","",IF(NOT(ISNUMBER($L241)),"(not a score)",IF($L241&gt;=$J241,"Yes","No"))))</f>
        <v/>
      </c>
      <c r="O241" s="17">
        <f>IF($C241="","",IF($M241="","",IF(NOT(ISNUMBER($M241)),"(not a score)",IF($M241&gt;=$J241,"Yes","No"))))</f>
        <v/>
      </c>
      <c r="P241" s="17">
        <f>IF($C241="","",IF($K241="","",IF(N($K241)&gt;2,"No",IF(COUNTIFS(nrES_PID,$D241,nrES_Code,$F241,nrES_Att,"&gt;"&amp;$K241,nrES_Att,"&lt;=2",nrES_Raw,"&gt;=0")=0,"Yes","No"))))</f>
        <v/>
      </c>
      <c r="Q241" s="17">
        <f>IF($C241="","",IF($L241="","",IF(AND($K241=1,ISNUMBER($L241),$L241&lt;$J241,COUNTIFS(nrES_PID,$D241,nrES_Code,$F241,nrES_Att,2,nrES_Raw,"&gt;=0")=0),"Yes","No")))</f>
        <v/>
      </c>
      <c r="R241" s="17">
        <f>IF($C241="","",IF($L241="","",IF(AND(N($K241)&gt;=2,ISNUMBER($L241),$L241&lt;$J241),"Yes","No")))</f>
        <v/>
      </c>
      <c r="S241" s="18" t="n"/>
      <c r="T241" s="19">
        <f>IF(OR($C241="",$L241="",$K241&lt;&gt;1,NOT(ISNUMBER($L241)),$L241&gt;=$J241),"",IF($S241="","(enter date)",_xlfn.LET(_xlpm.dn,_xlfn.XLOOKUP($S241,nrCDdate,nrCDnum,"",1),IF(_xlpm.dn="","(after last class day)",_xlfn.LET(_xlpm.dd,_xlfn.XLOOKUP(_xlpm.dn+cfgRetestClassDays,nrCDnum,nrCDdate,""),_xlpm.ok,_xlfn.XLOOKUP(_xlpm.dn+cfgRetestClassDays,nrCDnum,nrCDinsession,"No"),IF(OR(_xlpm.dd="",_xlpm.ok&lt;&gt;"Yes"),"(after last class day)",_xlpm.dd))))))</f>
        <v/>
      </c>
      <c r="U241" s="17">
        <f>IF($C241="","",IF(AND($Y241="Excused",$L241="",N($K241)&lt;=1),"EXCUSED - 1st attempt pending",IF(OR($L241="",$K241&lt;&gt;1,NOT(ISNUMBER($L241)),$L241&gt;=$J241),"",IF(COUNTIFS(nrES_PID,$D241,nrES_Code,$F241,nrES_Att,2,nrES_Raw,"&gt;=0")&gt;0,IF(IFERROR(_xlfn.MINIFS(nrES_Date,nrES_PID,$D241,nrES_Code,$F241,nrES_Att,2,nrES_Raw,"&gt;=0",nrES_Date,"&gt;0"),0)=0,"RETEST UNDATED",IF(NOT(ISNUMBER($T241)),"RETEST DATE UNCHECKED",IF(_xlfn.MINIFS(nrES_Date,nrES_PID,$D241,nrES_Code,$F241,nrES_Att,2,nrES_Raw,"&gt;=0",nrES_Date,"&gt;0")&gt;$T241,"LATE RETEST "&amp;TEXT(_xlfn.MINIFS(nrES_Date,nrES_PID,$D241,nrES_Code,$F241,nrES_Att,2,nrES_Raw,"&gt;=0",nrES_Date,"&gt;0"),"mm/dd")&amp;" (due "&amp;TEXT($T241,"mm/dd")&amp;")","Retested"))),IF(NOT(ISNUMBER($T241)),"CHECK DATE",IF(TODAY()&gt;$T241,"OVERDUE","Due "&amp;TEXT($T241,"mm/dd")))))))</f>
        <v/>
      </c>
      <c r="V241" s="16" t="n"/>
      <c r="W241" s="16" t="n"/>
      <c r="X241" s="17">
        <f>IF($C241="","",IF(AND($L241&lt;&gt;"",NOT(ISNUMBER($L241))),"RAW SCORE NOT A NUMBER",IF(AND(ISNUMBER($L241),OR($L241&lt;0,$L241&gt;100)),"RAW SCORE OUT OF RANGE",IF(AND($Y241="Unexcused",OR($L241="",NOT(ISNUMBER($L241)),$L241&lt;&gt;0)),"UNEXCUSED ABSENCE MUST RECORD 0",IF(COUNTIF(nrES_RecID,$B241)&gt;1,"DUPLICATE RECORD",IF(N($K241)&gt;2,"ATTEMPT 3+ NOT ALLOWED - policy 300.5 permits one retest per exam; this row records nothing",IF(AND($K241=2,COUNTIFS(nrES_PID,$D241,nrES_Code,$F241,nrES_Att,1)=0),"ATTEMPT 2 WITHOUT ATTEMPT 1",IF(AND($K241=2,$L241=""),"RETEST ROW HAS NO SCORE",IF(AND($H241="Final",$L241&lt;&gt;"",IFERROR(INDEX(nrCKfinalExamElig,MATCH($D241,rngCadetPIDs,0)),"")="No"),"FINAL EXAM AFTER FAILED FINAL PT (500.1.H)",IF(AND($K241=2,ISNUMBER($L241),COUNTIFS(nrES_PID,$D241,nrES_Code,$F241,nrES_Att,1)&gt;0,SUMIFS(nrES_Raw,nrES_PID,$D241,nrES_Code,$F241,nrES_Att,1)&gt;=$J241),"RETEST AFTER A PASSING FIRST ATTEMPT","OK"))))))))))</f>
        <v/>
      </c>
      <c r="Y241" s="16" t="n"/>
    </row>
    <row r="242">
      <c r="B242" s="17">
        <f>IF($C242="","",$D242&amp;"-"&amp;$F242&amp;"-"&amp;$K242)</f>
        <v/>
      </c>
      <c r="C242" s="16" t="n"/>
      <c r="D242" s="17">
        <f>IF($C242="","",IFERROR(INDEX(rngCadetPIDs,MATCH($C242,rngCadetNames,0)),"?"))</f>
        <v/>
      </c>
      <c r="E242" s="17">
        <f>IF($D242="","",IFERROR(INDEX(nrCadetAgency,MATCH($D242,rngCadetPIDs,0)),""))</f>
        <v/>
      </c>
      <c r="F242" s="16" t="n"/>
      <c r="G242" s="17">
        <f>IF($F242="","",IFERROR(INDEX(rngEPname,MATCH($F242,rngEPcode,0)),"?"))</f>
        <v/>
      </c>
      <c r="H242" s="17">
        <f>IF($F242="","",IFERROR(INDEX(rngEPtype,MATCH($F242,rngEPcode,0)),"?"))</f>
        <v/>
      </c>
      <c r="I242" s="17">
        <f>IF($F242="","",IFERROR(INDEX(rngEPseq,MATCH($F242,rngEPcode,0)),""))</f>
        <v/>
      </c>
      <c r="J242" s="17">
        <f>IF($F242="","",IFERROR(INDEX(rngEPpass,MATCH($F242,rngEPcode,0)),cfgPassingScore))</f>
        <v/>
      </c>
      <c r="K242" s="16" t="n"/>
      <c r="L242" s="16" t="n"/>
      <c r="M242" s="17">
        <f>IF($C242="","",IF($L242="","",IF(NOT(ISNUMBER($L242)),$L242,IF(N($K242)&gt;2,"",IF($K242=1,IF(COUNTIFS(nrES_PID,$D242,nrES_Code,$F242,nrES_Att,2,nrES_Raw,"&gt;=0")&gt;0,"",$L242),IF($L242&gt;=$J242,MAX($J242,cfgRetakeRecordedCap),IF(COUNTIFS(nrES_PID,$D242,nrES_Code,$F242,nrES_Att,1)=0,$L242,SUMIFS(nrES_Raw,nrES_PID,$D242,nrES_Code,$F242,nrES_Att,1))))))))</f>
        <v/>
      </c>
      <c r="N242" s="17">
        <f>IF($C242="","",IF($L242="","",IF(NOT(ISNUMBER($L242)),"(not a score)",IF($L242&gt;=$J242,"Yes","No"))))</f>
        <v/>
      </c>
      <c r="O242" s="17">
        <f>IF($C242="","",IF($M242="","",IF(NOT(ISNUMBER($M242)),"(not a score)",IF($M242&gt;=$J242,"Yes","No"))))</f>
        <v/>
      </c>
      <c r="P242" s="17">
        <f>IF($C242="","",IF($K242="","",IF(N($K242)&gt;2,"No",IF(COUNTIFS(nrES_PID,$D242,nrES_Code,$F242,nrES_Att,"&gt;"&amp;$K242,nrES_Att,"&lt;=2",nrES_Raw,"&gt;=0")=0,"Yes","No"))))</f>
        <v/>
      </c>
      <c r="Q242" s="17">
        <f>IF($C242="","",IF($L242="","",IF(AND($K242=1,ISNUMBER($L242),$L242&lt;$J242,COUNTIFS(nrES_PID,$D242,nrES_Code,$F242,nrES_Att,2,nrES_Raw,"&gt;=0")=0),"Yes","No")))</f>
        <v/>
      </c>
      <c r="R242" s="17">
        <f>IF($C242="","",IF($L242="","",IF(AND(N($K242)&gt;=2,ISNUMBER($L242),$L242&lt;$J242),"Yes","No")))</f>
        <v/>
      </c>
      <c r="S242" s="18" t="n"/>
      <c r="T242" s="19">
        <f>IF(OR($C242="",$L242="",$K242&lt;&gt;1,NOT(ISNUMBER($L242)),$L242&gt;=$J242),"",IF($S242="","(enter date)",_xlfn.LET(_xlpm.dn,_xlfn.XLOOKUP($S242,nrCDdate,nrCDnum,"",1),IF(_xlpm.dn="","(after last class day)",_xlfn.LET(_xlpm.dd,_xlfn.XLOOKUP(_xlpm.dn+cfgRetestClassDays,nrCDnum,nrCDdate,""),_xlpm.ok,_xlfn.XLOOKUP(_xlpm.dn+cfgRetestClassDays,nrCDnum,nrCDinsession,"No"),IF(OR(_xlpm.dd="",_xlpm.ok&lt;&gt;"Yes"),"(after last class day)",_xlpm.dd))))))</f>
        <v/>
      </c>
      <c r="U242" s="17">
        <f>IF($C242="","",IF(AND($Y242="Excused",$L242="",N($K242)&lt;=1),"EXCUSED - 1st attempt pending",IF(OR($L242="",$K242&lt;&gt;1,NOT(ISNUMBER($L242)),$L242&gt;=$J242),"",IF(COUNTIFS(nrES_PID,$D242,nrES_Code,$F242,nrES_Att,2,nrES_Raw,"&gt;=0")&gt;0,IF(IFERROR(_xlfn.MINIFS(nrES_Date,nrES_PID,$D242,nrES_Code,$F242,nrES_Att,2,nrES_Raw,"&gt;=0",nrES_Date,"&gt;0"),0)=0,"RETEST UNDATED",IF(NOT(ISNUMBER($T242)),"RETEST DATE UNCHECKED",IF(_xlfn.MINIFS(nrES_Date,nrES_PID,$D242,nrES_Code,$F242,nrES_Att,2,nrES_Raw,"&gt;=0",nrES_Date,"&gt;0")&gt;$T242,"LATE RETEST "&amp;TEXT(_xlfn.MINIFS(nrES_Date,nrES_PID,$D242,nrES_Code,$F242,nrES_Att,2,nrES_Raw,"&gt;=0",nrES_Date,"&gt;0"),"mm/dd")&amp;" (due "&amp;TEXT($T242,"mm/dd")&amp;")","Retested"))),IF(NOT(ISNUMBER($T242)),"CHECK DATE",IF(TODAY()&gt;$T242,"OVERDUE","Due "&amp;TEXT($T242,"mm/dd")))))))</f>
        <v/>
      </c>
      <c r="V242" s="16" t="n"/>
      <c r="W242" s="16" t="n"/>
      <c r="X242" s="17">
        <f>IF($C242="","",IF(AND($L242&lt;&gt;"",NOT(ISNUMBER($L242))),"RAW SCORE NOT A NUMBER",IF(AND(ISNUMBER($L242),OR($L242&lt;0,$L242&gt;100)),"RAW SCORE OUT OF RANGE",IF(AND($Y242="Unexcused",OR($L242="",NOT(ISNUMBER($L242)),$L242&lt;&gt;0)),"UNEXCUSED ABSENCE MUST RECORD 0",IF(COUNTIF(nrES_RecID,$B242)&gt;1,"DUPLICATE RECORD",IF(N($K242)&gt;2,"ATTEMPT 3+ NOT ALLOWED - policy 300.5 permits one retest per exam; this row records nothing",IF(AND($K242=2,COUNTIFS(nrES_PID,$D242,nrES_Code,$F242,nrES_Att,1)=0),"ATTEMPT 2 WITHOUT ATTEMPT 1",IF(AND($K242=2,$L242=""),"RETEST ROW HAS NO SCORE",IF(AND($H242="Final",$L242&lt;&gt;"",IFERROR(INDEX(nrCKfinalExamElig,MATCH($D242,rngCadetPIDs,0)),"")="No"),"FINAL EXAM AFTER FAILED FINAL PT (500.1.H)",IF(AND($K242=2,ISNUMBER($L242),COUNTIFS(nrES_PID,$D242,nrES_Code,$F242,nrES_Att,1)&gt;0,SUMIFS(nrES_Raw,nrES_PID,$D242,nrES_Code,$F242,nrES_Att,1)&gt;=$J242),"RETEST AFTER A PASSING FIRST ATTEMPT","OK"))))))))))</f>
        <v/>
      </c>
      <c r="Y242" s="16" t="n"/>
    </row>
    <row r="243">
      <c r="B243" s="17">
        <f>IF($C243="","",$D243&amp;"-"&amp;$F243&amp;"-"&amp;$K243)</f>
        <v/>
      </c>
      <c r="C243" s="16" t="n"/>
      <c r="D243" s="17">
        <f>IF($C243="","",IFERROR(INDEX(rngCadetPIDs,MATCH($C243,rngCadetNames,0)),"?"))</f>
        <v/>
      </c>
      <c r="E243" s="17">
        <f>IF($D243="","",IFERROR(INDEX(nrCadetAgency,MATCH($D243,rngCadetPIDs,0)),""))</f>
        <v/>
      </c>
      <c r="F243" s="16" t="n"/>
      <c r="G243" s="17">
        <f>IF($F243="","",IFERROR(INDEX(rngEPname,MATCH($F243,rngEPcode,0)),"?"))</f>
        <v/>
      </c>
      <c r="H243" s="17">
        <f>IF($F243="","",IFERROR(INDEX(rngEPtype,MATCH($F243,rngEPcode,0)),"?"))</f>
        <v/>
      </c>
      <c r="I243" s="17">
        <f>IF($F243="","",IFERROR(INDEX(rngEPseq,MATCH($F243,rngEPcode,0)),""))</f>
        <v/>
      </c>
      <c r="J243" s="17">
        <f>IF($F243="","",IFERROR(INDEX(rngEPpass,MATCH($F243,rngEPcode,0)),cfgPassingScore))</f>
        <v/>
      </c>
      <c r="K243" s="16" t="n"/>
      <c r="L243" s="16" t="n"/>
      <c r="M243" s="17">
        <f>IF($C243="","",IF($L243="","",IF(NOT(ISNUMBER($L243)),$L243,IF(N($K243)&gt;2,"",IF($K243=1,IF(COUNTIFS(nrES_PID,$D243,nrES_Code,$F243,nrES_Att,2,nrES_Raw,"&gt;=0")&gt;0,"",$L243),IF($L243&gt;=$J243,MAX($J243,cfgRetakeRecordedCap),IF(COUNTIFS(nrES_PID,$D243,nrES_Code,$F243,nrES_Att,1)=0,$L243,SUMIFS(nrES_Raw,nrES_PID,$D243,nrES_Code,$F243,nrES_Att,1))))))))</f>
        <v/>
      </c>
      <c r="N243" s="17">
        <f>IF($C243="","",IF($L243="","",IF(NOT(ISNUMBER($L243)),"(not a score)",IF($L243&gt;=$J243,"Yes","No"))))</f>
        <v/>
      </c>
      <c r="O243" s="17">
        <f>IF($C243="","",IF($M243="","",IF(NOT(ISNUMBER($M243)),"(not a score)",IF($M243&gt;=$J243,"Yes","No"))))</f>
        <v/>
      </c>
      <c r="P243" s="17">
        <f>IF($C243="","",IF($K243="","",IF(N($K243)&gt;2,"No",IF(COUNTIFS(nrES_PID,$D243,nrES_Code,$F243,nrES_Att,"&gt;"&amp;$K243,nrES_Att,"&lt;=2",nrES_Raw,"&gt;=0")=0,"Yes","No"))))</f>
        <v/>
      </c>
      <c r="Q243" s="17">
        <f>IF($C243="","",IF($L243="","",IF(AND($K243=1,ISNUMBER($L243),$L243&lt;$J243,COUNTIFS(nrES_PID,$D243,nrES_Code,$F243,nrES_Att,2,nrES_Raw,"&gt;=0")=0),"Yes","No")))</f>
        <v/>
      </c>
      <c r="R243" s="17">
        <f>IF($C243="","",IF($L243="","",IF(AND(N($K243)&gt;=2,ISNUMBER($L243),$L243&lt;$J243),"Yes","No")))</f>
        <v/>
      </c>
      <c r="S243" s="18" t="n"/>
      <c r="T243" s="19">
        <f>IF(OR($C243="",$L243="",$K243&lt;&gt;1,NOT(ISNUMBER($L243)),$L243&gt;=$J243),"",IF($S243="","(enter date)",_xlfn.LET(_xlpm.dn,_xlfn.XLOOKUP($S243,nrCDdate,nrCDnum,"",1),IF(_xlpm.dn="","(after last class day)",_xlfn.LET(_xlpm.dd,_xlfn.XLOOKUP(_xlpm.dn+cfgRetestClassDays,nrCDnum,nrCDdate,""),_xlpm.ok,_xlfn.XLOOKUP(_xlpm.dn+cfgRetestClassDays,nrCDnum,nrCDinsession,"No"),IF(OR(_xlpm.dd="",_xlpm.ok&lt;&gt;"Yes"),"(after last class day)",_xlpm.dd))))))</f>
        <v/>
      </c>
      <c r="U243" s="17">
        <f>IF($C243="","",IF(AND($Y243="Excused",$L243="",N($K243)&lt;=1),"EXCUSED - 1st attempt pending",IF(OR($L243="",$K243&lt;&gt;1,NOT(ISNUMBER($L243)),$L243&gt;=$J243),"",IF(COUNTIFS(nrES_PID,$D243,nrES_Code,$F243,nrES_Att,2,nrES_Raw,"&gt;=0")&gt;0,IF(IFERROR(_xlfn.MINIFS(nrES_Date,nrES_PID,$D243,nrES_Code,$F243,nrES_Att,2,nrES_Raw,"&gt;=0",nrES_Date,"&gt;0"),0)=0,"RETEST UNDATED",IF(NOT(ISNUMBER($T243)),"RETEST DATE UNCHECKED",IF(_xlfn.MINIFS(nrES_Date,nrES_PID,$D243,nrES_Code,$F243,nrES_Att,2,nrES_Raw,"&gt;=0",nrES_Date,"&gt;0")&gt;$T243,"LATE RETEST "&amp;TEXT(_xlfn.MINIFS(nrES_Date,nrES_PID,$D243,nrES_Code,$F243,nrES_Att,2,nrES_Raw,"&gt;=0",nrES_Date,"&gt;0"),"mm/dd")&amp;" (due "&amp;TEXT($T243,"mm/dd")&amp;")","Retested"))),IF(NOT(ISNUMBER($T243)),"CHECK DATE",IF(TODAY()&gt;$T243,"OVERDUE","Due "&amp;TEXT($T243,"mm/dd")))))))</f>
        <v/>
      </c>
      <c r="V243" s="16" t="n"/>
      <c r="W243" s="16" t="n"/>
      <c r="X243" s="17">
        <f>IF($C243="","",IF(AND($L243&lt;&gt;"",NOT(ISNUMBER($L243))),"RAW SCORE NOT A NUMBER",IF(AND(ISNUMBER($L243),OR($L243&lt;0,$L243&gt;100)),"RAW SCORE OUT OF RANGE",IF(AND($Y243="Unexcused",OR($L243="",NOT(ISNUMBER($L243)),$L243&lt;&gt;0)),"UNEXCUSED ABSENCE MUST RECORD 0",IF(COUNTIF(nrES_RecID,$B243)&gt;1,"DUPLICATE RECORD",IF(N($K243)&gt;2,"ATTEMPT 3+ NOT ALLOWED - policy 300.5 permits one retest per exam; this row records nothing",IF(AND($K243=2,COUNTIFS(nrES_PID,$D243,nrES_Code,$F243,nrES_Att,1)=0),"ATTEMPT 2 WITHOUT ATTEMPT 1",IF(AND($K243=2,$L243=""),"RETEST ROW HAS NO SCORE",IF(AND($H243="Final",$L243&lt;&gt;"",IFERROR(INDEX(nrCKfinalExamElig,MATCH($D243,rngCadetPIDs,0)),"")="No"),"FINAL EXAM AFTER FAILED FINAL PT (500.1.H)",IF(AND($K243=2,ISNUMBER($L243),COUNTIFS(nrES_PID,$D243,nrES_Code,$F243,nrES_Att,1)&gt;0,SUMIFS(nrES_Raw,nrES_PID,$D243,nrES_Code,$F243,nrES_Att,1)&gt;=$J243),"RETEST AFTER A PASSING FIRST ATTEMPT","OK"))))))))))</f>
        <v/>
      </c>
      <c r="Y243" s="16" t="n"/>
    </row>
    <row r="244">
      <c r="B244" s="17">
        <f>IF($C244="","",$D244&amp;"-"&amp;$F244&amp;"-"&amp;$K244)</f>
        <v/>
      </c>
      <c r="C244" s="16" t="n"/>
      <c r="D244" s="17">
        <f>IF($C244="","",IFERROR(INDEX(rngCadetPIDs,MATCH($C244,rngCadetNames,0)),"?"))</f>
        <v/>
      </c>
      <c r="E244" s="17">
        <f>IF($D244="","",IFERROR(INDEX(nrCadetAgency,MATCH($D244,rngCadetPIDs,0)),""))</f>
        <v/>
      </c>
      <c r="F244" s="16" t="n"/>
      <c r="G244" s="17">
        <f>IF($F244="","",IFERROR(INDEX(rngEPname,MATCH($F244,rngEPcode,0)),"?"))</f>
        <v/>
      </c>
      <c r="H244" s="17">
        <f>IF($F244="","",IFERROR(INDEX(rngEPtype,MATCH($F244,rngEPcode,0)),"?"))</f>
        <v/>
      </c>
      <c r="I244" s="17">
        <f>IF($F244="","",IFERROR(INDEX(rngEPseq,MATCH($F244,rngEPcode,0)),""))</f>
        <v/>
      </c>
      <c r="J244" s="17">
        <f>IF($F244="","",IFERROR(INDEX(rngEPpass,MATCH($F244,rngEPcode,0)),cfgPassingScore))</f>
        <v/>
      </c>
      <c r="K244" s="16" t="n"/>
      <c r="L244" s="16" t="n"/>
      <c r="M244" s="17">
        <f>IF($C244="","",IF($L244="","",IF(NOT(ISNUMBER($L244)),$L244,IF(N($K244)&gt;2,"",IF($K244=1,IF(COUNTIFS(nrES_PID,$D244,nrES_Code,$F244,nrES_Att,2,nrES_Raw,"&gt;=0")&gt;0,"",$L244),IF($L244&gt;=$J244,MAX($J244,cfgRetakeRecordedCap),IF(COUNTIFS(nrES_PID,$D244,nrES_Code,$F244,nrES_Att,1)=0,$L244,SUMIFS(nrES_Raw,nrES_PID,$D244,nrES_Code,$F244,nrES_Att,1))))))))</f>
        <v/>
      </c>
      <c r="N244" s="17">
        <f>IF($C244="","",IF($L244="","",IF(NOT(ISNUMBER($L244)),"(not a score)",IF($L244&gt;=$J244,"Yes","No"))))</f>
        <v/>
      </c>
      <c r="O244" s="17">
        <f>IF($C244="","",IF($M244="","",IF(NOT(ISNUMBER($M244)),"(not a score)",IF($M244&gt;=$J244,"Yes","No"))))</f>
        <v/>
      </c>
      <c r="P244" s="17">
        <f>IF($C244="","",IF($K244="","",IF(N($K244)&gt;2,"No",IF(COUNTIFS(nrES_PID,$D244,nrES_Code,$F244,nrES_Att,"&gt;"&amp;$K244,nrES_Att,"&lt;=2",nrES_Raw,"&gt;=0")=0,"Yes","No"))))</f>
        <v/>
      </c>
      <c r="Q244" s="17">
        <f>IF($C244="","",IF($L244="","",IF(AND($K244=1,ISNUMBER($L244),$L244&lt;$J244,COUNTIFS(nrES_PID,$D244,nrES_Code,$F244,nrES_Att,2,nrES_Raw,"&gt;=0")=0),"Yes","No")))</f>
        <v/>
      </c>
      <c r="R244" s="17">
        <f>IF($C244="","",IF($L244="","",IF(AND(N($K244)&gt;=2,ISNUMBER($L244),$L244&lt;$J244),"Yes","No")))</f>
        <v/>
      </c>
      <c r="S244" s="18" t="n"/>
      <c r="T244" s="19">
        <f>IF(OR($C244="",$L244="",$K244&lt;&gt;1,NOT(ISNUMBER($L244)),$L244&gt;=$J244),"",IF($S244="","(enter date)",_xlfn.LET(_xlpm.dn,_xlfn.XLOOKUP($S244,nrCDdate,nrCDnum,"",1),IF(_xlpm.dn="","(after last class day)",_xlfn.LET(_xlpm.dd,_xlfn.XLOOKUP(_xlpm.dn+cfgRetestClassDays,nrCDnum,nrCDdate,""),_xlpm.ok,_xlfn.XLOOKUP(_xlpm.dn+cfgRetestClassDays,nrCDnum,nrCDinsession,"No"),IF(OR(_xlpm.dd="",_xlpm.ok&lt;&gt;"Yes"),"(after last class day)",_xlpm.dd))))))</f>
        <v/>
      </c>
      <c r="U244" s="17">
        <f>IF($C244="","",IF(AND($Y244="Excused",$L244="",N($K244)&lt;=1),"EXCUSED - 1st attempt pending",IF(OR($L244="",$K244&lt;&gt;1,NOT(ISNUMBER($L244)),$L244&gt;=$J244),"",IF(COUNTIFS(nrES_PID,$D244,nrES_Code,$F244,nrES_Att,2,nrES_Raw,"&gt;=0")&gt;0,IF(IFERROR(_xlfn.MINIFS(nrES_Date,nrES_PID,$D244,nrES_Code,$F244,nrES_Att,2,nrES_Raw,"&gt;=0",nrES_Date,"&gt;0"),0)=0,"RETEST UNDATED",IF(NOT(ISNUMBER($T244)),"RETEST DATE UNCHECKED",IF(_xlfn.MINIFS(nrES_Date,nrES_PID,$D244,nrES_Code,$F244,nrES_Att,2,nrES_Raw,"&gt;=0",nrES_Date,"&gt;0")&gt;$T244,"LATE RETEST "&amp;TEXT(_xlfn.MINIFS(nrES_Date,nrES_PID,$D244,nrES_Code,$F244,nrES_Att,2,nrES_Raw,"&gt;=0",nrES_Date,"&gt;0"),"mm/dd")&amp;" (due "&amp;TEXT($T244,"mm/dd")&amp;")","Retested"))),IF(NOT(ISNUMBER($T244)),"CHECK DATE",IF(TODAY()&gt;$T244,"OVERDUE","Due "&amp;TEXT($T244,"mm/dd")))))))</f>
        <v/>
      </c>
      <c r="V244" s="16" t="n"/>
      <c r="W244" s="16" t="n"/>
      <c r="X244" s="17">
        <f>IF($C244="","",IF(AND($L244&lt;&gt;"",NOT(ISNUMBER($L244))),"RAW SCORE NOT A NUMBER",IF(AND(ISNUMBER($L244),OR($L244&lt;0,$L244&gt;100)),"RAW SCORE OUT OF RANGE",IF(AND($Y244="Unexcused",OR($L244="",NOT(ISNUMBER($L244)),$L244&lt;&gt;0)),"UNEXCUSED ABSENCE MUST RECORD 0",IF(COUNTIF(nrES_RecID,$B244)&gt;1,"DUPLICATE RECORD",IF(N($K244)&gt;2,"ATTEMPT 3+ NOT ALLOWED - policy 300.5 permits one retest per exam; this row records nothing",IF(AND($K244=2,COUNTIFS(nrES_PID,$D244,nrES_Code,$F244,nrES_Att,1)=0),"ATTEMPT 2 WITHOUT ATTEMPT 1",IF(AND($K244=2,$L244=""),"RETEST ROW HAS NO SCORE",IF(AND($H244="Final",$L244&lt;&gt;"",IFERROR(INDEX(nrCKfinalExamElig,MATCH($D244,rngCadetPIDs,0)),"")="No"),"FINAL EXAM AFTER FAILED FINAL PT (500.1.H)",IF(AND($K244=2,ISNUMBER($L244),COUNTIFS(nrES_PID,$D244,nrES_Code,$F244,nrES_Att,1)&gt;0,SUMIFS(nrES_Raw,nrES_PID,$D244,nrES_Code,$F244,nrES_Att,1)&gt;=$J244),"RETEST AFTER A PASSING FIRST ATTEMPT","OK"))))))))))</f>
        <v/>
      </c>
      <c r="Y244" s="16" t="n"/>
    </row>
    <row r="245">
      <c r="B245" s="17">
        <f>IF($C245="","",$D245&amp;"-"&amp;$F245&amp;"-"&amp;$K245)</f>
        <v/>
      </c>
      <c r="C245" s="16" t="n"/>
      <c r="D245" s="17">
        <f>IF($C245="","",IFERROR(INDEX(rngCadetPIDs,MATCH($C245,rngCadetNames,0)),"?"))</f>
        <v/>
      </c>
      <c r="E245" s="17">
        <f>IF($D245="","",IFERROR(INDEX(nrCadetAgency,MATCH($D245,rngCadetPIDs,0)),""))</f>
        <v/>
      </c>
      <c r="F245" s="16" t="n"/>
      <c r="G245" s="17">
        <f>IF($F245="","",IFERROR(INDEX(rngEPname,MATCH($F245,rngEPcode,0)),"?"))</f>
        <v/>
      </c>
      <c r="H245" s="17">
        <f>IF($F245="","",IFERROR(INDEX(rngEPtype,MATCH($F245,rngEPcode,0)),"?"))</f>
        <v/>
      </c>
      <c r="I245" s="17">
        <f>IF($F245="","",IFERROR(INDEX(rngEPseq,MATCH($F245,rngEPcode,0)),""))</f>
        <v/>
      </c>
      <c r="J245" s="17">
        <f>IF($F245="","",IFERROR(INDEX(rngEPpass,MATCH($F245,rngEPcode,0)),cfgPassingScore))</f>
        <v/>
      </c>
      <c r="K245" s="16" t="n"/>
      <c r="L245" s="16" t="n"/>
      <c r="M245" s="17">
        <f>IF($C245="","",IF($L245="","",IF(NOT(ISNUMBER($L245)),$L245,IF(N($K245)&gt;2,"",IF($K245=1,IF(COUNTIFS(nrES_PID,$D245,nrES_Code,$F245,nrES_Att,2,nrES_Raw,"&gt;=0")&gt;0,"",$L245),IF($L245&gt;=$J245,MAX($J245,cfgRetakeRecordedCap),IF(COUNTIFS(nrES_PID,$D245,nrES_Code,$F245,nrES_Att,1)=0,$L245,SUMIFS(nrES_Raw,nrES_PID,$D245,nrES_Code,$F245,nrES_Att,1))))))))</f>
        <v/>
      </c>
      <c r="N245" s="17">
        <f>IF($C245="","",IF($L245="","",IF(NOT(ISNUMBER($L245)),"(not a score)",IF($L245&gt;=$J245,"Yes","No"))))</f>
        <v/>
      </c>
      <c r="O245" s="17">
        <f>IF($C245="","",IF($M245="","",IF(NOT(ISNUMBER($M245)),"(not a score)",IF($M245&gt;=$J245,"Yes","No"))))</f>
        <v/>
      </c>
      <c r="P245" s="17">
        <f>IF($C245="","",IF($K245="","",IF(N($K245)&gt;2,"No",IF(COUNTIFS(nrES_PID,$D245,nrES_Code,$F245,nrES_Att,"&gt;"&amp;$K245,nrES_Att,"&lt;=2",nrES_Raw,"&gt;=0")=0,"Yes","No"))))</f>
        <v/>
      </c>
      <c r="Q245" s="17">
        <f>IF($C245="","",IF($L245="","",IF(AND($K245=1,ISNUMBER($L245),$L245&lt;$J245,COUNTIFS(nrES_PID,$D245,nrES_Code,$F245,nrES_Att,2,nrES_Raw,"&gt;=0")=0),"Yes","No")))</f>
        <v/>
      </c>
      <c r="R245" s="17">
        <f>IF($C245="","",IF($L245="","",IF(AND(N($K245)&gt;=2,ISNUMBER($L245),$L245&lt;$J245),"Yes","No")))</f>
        <v/>
      </c>
      <c r="S245" s="18" t="n"/>
      <c r="T245" s="19">
        <f>IF(OR($C245="",$L245="",$K245&lt;&gt;1,NOT(ISNUMBER($L245)),$L245&gt;=$J245),"",IF($S245="","(enter date)",_xlfn.LET(_xlpm.dn,_xlfn.XLOOKUP($S245,nrCDdate,nrCDnum,"",1),IF(_xlpm.dn="","(after last class day)",_xlfn.LET(_xlpm.dd,_xlfn.XLOOKUP(_xlpm.dn+cfgRetestClassDays,nrCDnum,nrCDdate,""),_xlpm.ok,_xlfn.XLOOKUP(_xlpm.dn+cfgRetestClassDays,nrCDnum,nrCDinsession,"No"),IF(OR(_xlpm.dd="",_xlpm.ok&lt;&gt;"Yes"),"(after last class day)",_xlpm.dd))))))</f>
        <v/>
      </c>
      <c r="U245" s="17">
        <f>IF($C245="","",IF(AND($Y245="Excused",$L245="",N($K245)&lt;=1),"EXCUSED - 1st attempt pending",IF(OR($L245="",$K245&lt;&gt;1,NOT(ISNUMBER($L245)),$L245&gt;=$J245),"",IF(COUNTIFS(nrES_PID,$D245,nrES_Code,$F245,nrES_Att,2,nrES_Raw,"&gt;=0")&gt;0,IF(IFERROR(_xlfn.MINIFS(nrES_Date,nrES_PID,$D245,nrES_Code,$F245,nrES_Att,2,nrES_Raw,"&gt;=0",nrES_Date,"&gt;0"),0)=0,"RETEST UNDATED",IF(NOT(ISNUMBER($T245)),"RETEST DATE UNCHECKED",IF(_xlfn.MINIFS(nrES_Date,nrES_PID,$D245,nrES_Code,$F245,nrES_Att,2,nrES_Raw,"&gt;=0",nrES_Date,"&gt;0")&gt;$T245,"LATE RETEST "&amp;TEXT(_xlfn.MINIFS(nrES_Date,nrES_PID,$D245,nrES_Code,$F245,nrES_Att,2,nrES_Raw,"&gt;=0",nrES_Date,"&gt;0"),"mm/dd")&amp;" (due "&amp;TEXT($T245,"mm/dd")&amp;")","Retested"))),IF(NOT(ISNUMBER($T245)),"CHECK DATE",IF(TODAY()&gt;$T245,"OVERDUE","Due "&amp;TEXT($T245,"mm/dd")))))))</f>
        <v/>
      </c>
      <c r="V245" s="16" t="n"/>
      <c r="W245" s="16" t="n"/>
      <c r="X245" s="17">
        <f>IF($C245="","",IF(AND($L245&lt;&gt;"",NOT(ISNUMBER($L245))),"RAW SCORE NOT A NUMBER",IF(AND(ISNUMBER($L245),OR($L245&lt;0,$L245&gt;100)),"RAW SCORE OUT OF RANGE",IF(AND($Y245="Unexcused",OR($L245="",NOT(ISNUMBER($L245)),$L245&lt;&gt;0)),"UNEXCUSED ABSENCE MUST RECORD 0",IF(COUNTIF(nrES_RecID,$B245)&gt;1,"DUPLICATE RECORD",IF(N($K245)&gt;2,"ATTEMPT 3+ NOT ALLOWED - policy 300.5 permits one retest per exam; this row records nothing",IF(AND($K245=2,COUNTIFS(nrES_PID,$D245,nrES_Code,$F245,nrES_Att,1)=0),"ATTEMPT 2 WITHOUT ATTEMPT 1",IF(AND($K245=2,$L245=""),"RETEST ROW HAS NO SCORE",IF(AND($H245="Final",$L245&lt;&gt;"",IFERROR(INDEX(nrCKfinalExamElig,MATCH($D245,rngCadetPIDs,0)),"")="No"),"FINAL EXAM AFTER FAILED FINAL PT (500.1.H)",IF(AND($K245=2,ISNUMBER($L245),COUNTIFS(nrES_PID,$D245,nrES_Code,$F245,nrES_Att,1)&gt;0,SUMIFS(nrES_Raw,nrES_PID,$D245,nrES_Code,$F245,nrES_Att,1)&gt;=$J245),"RETEST AFTER A PASSING FIRST ATTEMPT","OK"))))))))))</f>
        <v/>
      </c>
      <c r="Y245" s="16" t="n"/>
    </row>
    <row r="246">
      <c r="B246" s="17">
        <f>IF($C246="","",$D246&amp;"-"&amp;$F246&amp;"-"&amp;$K246)</f>
        <v/>
      </c>
      <c r="C246" s="16" t="n"/>
      <c r="D246" s="17">
        <f>IF($C246="","",IFERROR(INDEX(rngCadetPIDs,MATCH($C246,rngCadetNames,0)),"?"))</f>
        <v/>
      </c>
      <c r="E246" s="17">
        <f>IF($D246="","",IFERROR(INDEX(nrCadetAgency,MATCH($D246,rngCadetPIDs,0)),""))</f>
        <v/>
      </c>
      <c r="F246" s="16" t="n"/>
      <c r="G246" s="17">
        <f>IF($F246="","",IFERROR(INDEX(rngEPname,MATCH($F246,rngEPcode,0)),"?"))</f>
        <v/>
      </c>
      <c r="H246" s="17">
        <f>IF($F246="","",IFERROR(INDEX(rngEPtype,MATCH($F246,rngEPcode,0)),"?"))</f>
        <v/>
      </c>
      <c r="I246" s="17">
        <f>IF($F246="","",IFERROR(INDEX(rngEPseq,MATCH($F246,rngEPcode,0)),""))</f>
        <v/>
      </c>
      <c r="J246" s="17">
        <f>IF($F246="","",IFERROR(INDEX(rngEPpass,MATCH($F246,rngEPcode,0)),cfgPassingScore))</f>
        <v/>
      </c>
      <c r="K246" s="16" t="n"/>
      <c r="L246" s="16" t="n"/>
      <c r="M246" s="17">
        <f>IF($C246="","",IF($L246="","",IF(NOT(ISNUMBER($L246)),$L246,IF(N($K246)&gt;2,"",IF($K246=1,IF(COUNTIFS(nrES_PID,$D246,nrES_Code,$F246,nrES_Att,2,nrES_Raw,"&gt;=0")&gt;0,"",$L246),IF($L246&gt;=$J246,MAX($J246,cfgRetakeRecordedCap),IF(COUNTIFS(nrES_PID,$D246,nrES_Code,$F246,nrES_Att,1)=0,$L246,SUMIFS(nrES_Raw,nrES_PID,$D246,nrES_Code,$F246,nrES_Att,1))))))))</f>
        <v/>
      </c>
      <c r="N246" s="17">
        <f>IF($C246="","",IF($L246="","",IF(NOT(ISNUMBER($L246)),"(not a score)",IF($L246&gt;=$J246,"Yes","No"))))</f>
        <v/>
      </c>
      <c r="O246" s="17">
        <f>IF($C246="","",IF($M246="","",IF(NOT(ISNUMBER($M246)),"(not a score)",IF($M246&gt;=$J246,"Yes","No"))))</f>
        <v/>
      </c>
      <c r="P246" s="17">
        <f>IF($C246="","",IF($K246="","",IF(N($K246)&gt;2,"No",IF(COUNTIFS(nrES_PID,$D246,nrES_Code,$F246,nrES_Att,"&gt;"&amp;$K246,nrES_Att,"&lt;=2",nrES_Raw,"&gt;=0")=0,"Yes","No"))))</f>
        <v/>
      </c>
      <c r="Q246" s="17">
        <f>IF($C246="","",IF($L246="","",IF(AND($K246=1,ISNUMBER($L246),$L246&lt;$J246,COUNTIFS(nrES_PID,$D246,nrES_Code,$F246,nrES_Att,2,nrES_Raw,"&gt;=0")=0),"Yes","No")))</f>
        <v/>
      </c>
      <c r="R246" s="17">
        <f>IF($C246="","",IF($L246="","",IF(AND(N($K246)&gt;=2,ISNUMBER($L246),$L246&lt;$J246),"Yes","No")))</f>
        <v/>
      </c>
      <c r="S246" s="18" t="n"/>
      <c r="T246" s="19">
        <f>IF(OR($C246="",$L246="",$K246&lt;&gt;1,NOT(ISNUMBER($L246)),$L246&gt;=$J246),"",IF($S246="","(enter date)",_xlfn.LET(_xlpm.dn,_xlfn.XLOOKUP($S246,nrCDdate,nrCDnum,"",1),IF(_xlpm.dn="","(after last class day)",_xlfn.LET(_xlpm.dd,_xlfn.XLOOKUP(_xlpm.dn+cfgRetestClassDays,nrCDnum,nrCDdate,""),_xlpm.ok,_xlfn.XLOOKUP(_xlpm.dn+cfgRetestClassDays,nrCDnum,nrCDinsession,"No"),IF(OR(_xlpm.dd="",_xlpm.ok&lt;&gt;"Yes"),"(after last class day)",_xlpm.dd))))))</f>
        <v/>
      </c>
      <c r="U246" s="17">
        <f>IF($C246="","",IF(AND($Y246="Excused",$L246="",N($K246)&lt;=1),"EXCUSED - 1st attempt pending",IF(OR($L246="",$K246&lt;&gt;1,NOT(ISNUMBER($L246)),$L246&gt;=$J246),"",IF(COUNTIFS(nrES_PID,$D246,nrES_Code,$F246,nrES_Att,2,nrES_Raw,"&gt;=0")&gt;0,IF(IFERROR(_xlfn.MINIFS(nrES_Date,nrES_PID,$D246,nrES_Code,$F246,nrES_Att,2,nrES_Raw,"&gt;=0",nrES_Date,"&gt;0"),0)=0,"RETEST UNDATED",IF(NOT(ISNUMBER($T246)),"RETEST DATE UNCHECKED",IF(_xlfn.MINIFS(nrES_Date,nrES_PID,$D246,nrES_Code,$F246,nrES_Att,2,nrES_Raw,"&gt;=0",nrES_Date,"&gt;0")&gt;$T246,"LATE RETEST "&amp;TEXT(_xlfn.MINIFS(nrES_Date,nrES_PID,$D246,nrES_Code,$F246,nrES_Att,2,nrES_Raw,"&gt;=0",nrES_Date,"&gt;0"),"mm/dd")&amp;" (due "&amp;TEXT($T246,"mm/dd")&amp;")","Retested"))),IF(NOT(ISNUMBER($T246)),"CHECK DATE",IF(TODAY()&gt;$T246,"OVERDUE","Due "&amp;TEXT($T246,"mm/dd")))))))</f>
        <v/>
      </c>
      <c r="V246" s="16" t="n"/>
      <c r="W246" s="16" t="n"/>
      <c r="X246" s="17">
        <f>IF($C246="","",IF(AND($L246&lt;&gt;"",NOT(ISNUMBER($L246))),"RAW SCORE NOT A NUMBER",IF(AND(ISNUMBER($L246),OR($L246&lt;0,$L246&gt;100)),"RAW SCORE OUT OF RANGE",IF(AND($Y246="Unexcused",OR($L246="",NOT(ISNUMBER($L246)),$L246&lt;&gt;0)),"UNEXCUSED ABSENCE MUST RECORD 0",IF(COUNTIF(nrES_RecID,$B246)&gt;1,"DUPLICATE RECORD",IF(N($K246)&gt;2,"ATTEMPT 3+ NOT ALLOWED - policy 300.5 permits one retest per exam; this row records nothing",IF(AND($K246=2,COUNTIFS(nrES_PID,$D246,nrES_Code,$F246,nrES_Att,1)=0),"ATTEMPT 2 WITHOUT ATTEMPT 1",IF(AND($K246=2,$L246=""),"RETEST ROW HAS NO SCORE",IF(AND($H246="Final",$L246&lt;&gt;"",IFERROR(INDEX(nrCKfinalExamElig,MATCH($D246,rngCadetPIDs,0)),"")="No"),"FINAL EXAM AFTER FAILED FINAL PT (500.1.H)",IF(AND($K246=2,ISNUMBER($L246),COUNTIFS(nrES_PID,$D246,nrES_Code,$F246,nrES_Att,1)&gt;0,SUMIFS(nrES_Raw,nrES_PID,$D246,nrES_Code,$F246,nrES_Att,1)&gt;=$J246),"RETEST AFTER A PASSING FIRST ATTEMPT","OK"))))))))))</f>
        <v/>
      </c>
      <c r="Y246" s="16" t="n"/>
    </row>
    <row r="247">
      <c r="B247" s="17">
        <f>IF($C247="","",$D247&amp;"-"&amp;$F247&amp;"-"&amp;$K247)</f>
        <v/>
      </c>
      <c r="C247" s="16" t="n"/>
      <c r="D247" s="17">
        <f>IF($C247="","",IFERROR(INDEX(rngCadetPIDs,MATCH($C247,rngCadetNames,0)),"?"))</f>
        <v/>
      </c>
      <c r="E247" s="17">
        <f>IF($D247="","",IFERROR(INDEX(nrCadetAgency,MATCH($D247,rngCadetPIDs,0)),""))</f>
        <v/>
      </c>
      <c r="F247" s="16" t="n"/>
      <c r="G247" s="17">
        <f>IF($F247="","",IFERROR(INDEX(rngEPname,MATCH($F247,rngEPcode,0)),"?"))</f>
        <v/>
      </c>
      <c r="H247" s="17">
        <f>IF($F247="","",IFERROR(INDEX(rngEPtype,MATCH($F247,rngEPcode,0)),"?"))</f>
        <v/>
      </c>
      <c r="I247" s="17">
        <f>IF($F247="","",IFERROR(INDEX(rngEPseq,MATCH($F247,rngEPcode,0)),""))</f>
        <v/>
      </c>
      <c r="J247" s="17">
        <f>IF($F247="","",IFERROR(INDEX(rngEPpass,MATCH($F247,rngEPcode,0)),cfgPassingScore))</f>
        <v/>
      </c>
      <c r="K247" s="16" t="n"/>
      <c r="L247" s="16" t="n"/>
      <c r="M247" s="17">
        <f>IF($C247="","",IF($L247="","",IF(NOT(ISNUMBER($L247)),$L247,IF(N($K247)&gt;2,"",IF($K247=1,IF(COUNTIFS(nrES_PID,$D247,nrES_Code,$F247,nrES_Att,2,nrES_Raw,"&gt;=0")&gt;0,"",$L247),IF($L247&gt;=$J247,MAX($J247,cfgRetakeRecordedCap),IF(COUNTIFS(nrES_PID,$D247,nrES_Code,$F247,nrES_Att,1)=0,$L247,SUMIFS(nrES_Raw,nrES_PID,$D247,nrES_Code,$F247,nrES_Att,1))))))))</f>
        <v/>
      </c>
      <c r="N247" s="17">
        <f>IF($C247="","",IF($L247="","",IF(NOT(ISNUMBER($L247)),"(not a score)",IF($L247&gt;=$J247,"Yes","No"))))</f>
        <v/>
      </c>
      <c r="O247" s="17">
        <f>IF($C247="","",IF($M247="","",IF(NOT(ISNUMBER($M247)),"(not a score)",IF($M247&gt;=$J247,"Yes","No"))))</f>
        <v/>
      </c>
      <c r="P247" s="17">
        <f>IF($C247="","",IF($K247="","",IF(N($K247)&gt;2,"No",IF(COUNTIFS(nrES_PID,$D247,nrES_Code,$F247,nrES_Att,"&gt;"&amp;$K247,nrES_Att,"&lt;=2",nrES_Raw,"&gt;=0")=0,"Yes","No"))))</f>
        <v/>
      </c>
      <c r="Q247" s="17">
        <f>IF($C247="","",IF($L247="","",IF(AND($K247=1,ISNUMBER($L247),$L247&lt;$J247,COUNTIFS(nrES_PID,$D247,nrES_Code,$F247,nrES_Att,2,nrES_Raw,"&gt;=0")=0),"Yes","No")))</f>
        <v/>
      </c>
      <c r="R247" s="17">
        <f>IF($C247="","",IF($L247="","",IF(AND(N($K247)&gt;=2,ISNUMBER($L247),$L247&lt;$J247),"Yes","No")))</f>
        <v/>
      </c>
      <c r="S247" s="18" t="n"/>
      <c r="T247" s="19">
        <f>IF(OR($C247="",$L247="",$K247&lt;&gt;1,NOT(ISNUMBER($L247)),$L247&gt;=$J247),"",IF($S247="","(enter date)",_xlfn.LET(_xlpm.dn,_xlfn.XLOOKUP($S247,nrCDdate,nrCDnum,"",1),IF(_xlpm.dn="","(after last class day)",_xlfn.LET(_xlpm.dd,_xlfn.XLOOKUP(_xlpm.dn+cfgRetestClassDays,nrCDnum,nrCDdate,""),_xlpm.ok,_xlfn.XLOOKUP(_xlpm.dn+cfgRetestClassDays,nrCDnum,nrCDinsession,"No"),IF(OR(_xlpm.dd="",_xlpm.ok&lt;&gt;"Yes"),"(after last class day)",_xlpm.dd))))))</f>
        <v/>
      </c>
      <c r="U247" s="17">
        <f>IF($C247="","",IF(AND($Y247="Excused",$L247="",N($K247)&lt;=1),"EXCUSED - 1st attempt pending",IF(OR($L247="",$K247&lt;&gt;1,NOT(ISNUMBER($L247)),$L247&gt;=$J247),"",IF(COUNTIFS(nrES_PID,$D247,nrES_Code,$F247,nrES_Att,2,nrES_Raw,"&gt;=0")&gt;0,IF(IFERROR(_xlfn.MINIFS(nrES_Date,nrES_PID,$D247,nrES_Code,$F247,nrES_Att,2,nrES_Raw,"&gt;=0",nrES_Date,"&gt;0"),0)=0,"RETEST UNDATED",IF(NOT(ISNUMBER($T247)),"RETEST DATE UNCHECKED",IF(_xlfn.MINIFS(nrES_Date,nrES_PID,$D247,nrES_Code,$F247,nrES_Att,2,nrES_Raw,"&gt;=0",nrES_Date,"&gt;0")&gt;$T247,"LATE RETEST "&amp;TEXT(_xlfn.MINIFS(nrES_Date,nrES_PID,$D247,nrES_Code,$F247,nrES_Att,2,nrES_Raw,"&gt;=0",nrES_Date,"&gt;0"),"mm/dd")&amp;" (due "&amp;TEXT($T247,"mm/dd")&amp;")","Retested"))),IF(NOT(ISNUMBER($T247)),"CHECK DATE",IF(TODAY()&gt;$T247,"OVERDUE","Due "&amp;TEXT($T247,"mm/dd")))))))</f>
        <v/>
      </c>
      <c r="V247" s="16" t="n"/>
      <c r="W247" s="16" t="n"/>
      <c r="X247" s="17">
        <f>IF($C247="","",IF(AND($L247&lt;&gt;"",NOT(ISNUMBER($L247))),"RAW SCORE NOT A NUMBER",IF(AND(ISNUMBER($L247),OR($L247&lt;0,$L247&gt;100)),"RAW SCORE OUT OF RANGE",IF(AND($Y247="Unexcused",OR($L247="",NOT(ISNUMBER($L247)),$L247&lt;&gt;0)),"UNEXCUSED ABSENCE MUST RECORD 0",IF(COUNTIF(nrES_RecID,$B247)&gt;1,"DUPLICATE RECORD",IF(N($K247)&gt;2,"ATTEMPT 3+ NOT ALLOWED - policy 300.5 permits one retest per exam; this row records nothing",IF(AND($K247=2,COUNTIFS(nrES_PID,$D247,nrES_Code,$F247,nrES_Att,1)=0),"ATTEMPT 2 WITHOUT ATTEMPT 1",IF(AND($K247=2,$L247=""),"RETEST ROW HAS NO SCORE",IF(AND($H247="Final",$L247&lt;&gt;"",IFERROR(INDEX(nrCKfinalExamElig,MATCH($D247,rngCadetPIDs,0)),"")="No"),"FINAL EXAM AFTER FAILED FINAL PT (500.1.H)",IF(AND($K247=2,ISNUMBER($L247),COUNTIFS(nrES_PID,$D247,nrES_Code,$F247,nrES_Att,1)&gt;0,SUMIFS(nrES_Raw,nrES_PID,$D247,nrES_Code,$F247,nrES_Att,1)&gt;=$J247),"RETEST AFTER A PASSING FIRST ATTEMPT","OK"))))))))))</f>
        <v/>
      </c>
      <c r="Y247" s="16" t="n"/>
    </row>
    <row r="248">
      <c r="B248" s="17">
        <f>IF($C248="","",$D248&amp;"-"&amp;$F248&amp;"-"&amp;$K248)</f>
        <v/>
      </c>
      <c r="C248" s="16" t="n"/>
      <c r="D248" s="17">
        <f>IF($C248="","",IFERROR(INDEX(rngCadetPIDs,MATCH($C248,rngCadetNames,0)),"?"))</f>
        <v/>
      </c>
      <c r="E248" s="17">
        <f>IF($D248="","",IFERROR(INDEX(nrCadetAgency,MATCH($D248,rngCadetPIDs,0)),""))</f>
        <v/>
      </c>
      <c r="F248" s="16" t="n"/>
      <c r="G248" s="17">
        <f>IF($F248="","",IFERROR(INDEX(rngEPname,MATCH($F248,rngEPcode,0)),"?"))</f>
        <v/>
      </c>
      <c r="H248" s="17">
        <f>IF($F248="","",IFERROR(INDEX(rngEPtype,MATCH($F248,rngEPcode,0)),"?"))</f>
        <v/>
      </c>
      <c r="I248" s="17">
        <f>IF($F248="","",IFERROR(INDEX(rngEPseq,MATCH($F248,rngEPcode,0)),""))</f>
        <v/>
      </c>
      <c r="J248" s="17">
        <f>IF($F248="","",IFERROR(INDEX(rngEPpass,MATCH($F248,rngEPcode,0)),cfgPassingScore))</f>
        <v/>
      </c>
      <c r="K248" s="16" t="n"/>
      <c r="L248" s="16" t="n"/>
      <c r="M248" s="17">
        <f>IF($C248="","",IF($L248="","",IF(NOT(ISNUMBER($L248)),$L248,IF(N($K248)&gt;2,"",IF($K248=1,IF(COUNTIFS(nrES_PID,$D248,nrES_Code,$F248,nrES_Att,2,nrES_Raw,"&gt;=0")&gt;0,"",$L248),IF($L248&gt;=$J248,MAX($J248,cfgRetakeRecordedCap),IF(COUNTIFS(nrES_PID,$D248,nrES_Code,$F248,nrES_Att,1)=0,$L248,SUMIFS(nrES_Raw,nrES_PID,$D248,nrES_Code,$F248,nrES_Att,1))))))))</f>
        <v/>
      </c>
      <c r="N248" s="17">
        <f>IF($C248="","",IF($L248="","",IF(NOT(ISNUMBER($L248)),"(not a score)",IF($L248&gt;=$J248,"Yes","No"))))</f>
        <v/>
      </c>
      <c r="O248" s="17">
        <f>IF($C248="","",IF($M248="","",IF(NOT(ISNUMBER($M248)),"(not a score)",IF($M248&gt;=$J248,"Yes","No"))))</f>
        <v/>
      </c>
      <c r="P248" s="17">
        <f>IF($C248="","",IF($K248="","",IF(N($K248)&gt;2,"No",IF(COUNTIFS(nrES_PID,$D248,nrES_Code,$F248,nrES_Att,"&gt;"&amp;$K248,nrES_Att,"&lt;=2",nrES_Raw,"&gt;=0")=0,"Yes","No"))))</f>
        <v/>
      </c>
      <c r="Q248" s="17">
        <f>IF($C248="","",IF($L248="","",IF(AND($K248=1,ISNUMBER($L248),$L248&lt;$J248,COUNTIFS(nrES_PID,$D248,nrES_Code,$F248,nrES_Att,2,nrES_Raw,"&gt;=0")=0),"Yes","No")))</f>
        <v/>
      </c>
      <c r="R248" s="17">
        <f>IF($C248="","",IF($L248="","",IF(AND(N($K248)&gt;=2,ISNUMBER($L248),$L248&lt;$J248),"Yes","No")))</f>
        <v/>
      </c>
      <c r="S248" s="18" t="n"/>
      <c r="T248" s="19">
        <f>IF(OR($C248="",$L248="",$K248&lt;&gt;1,NOT(ISNUMBER($L248)),$L248&gt;=$J248),"",IF($S248="","(enter date)",_xlfn.LET(_xlpm.dn,_xlfn.XLOOKUP($S248,nrCDdate,nrCDnum,"",1),IF(_xlpm.dn="","(after last class day)",_xlfn.LET(_xlpm.dd,_xlfn.XLOOKUP(_xlpm.dn+cfgRetestClassDays,nrCDnum,nrCDdate,""),_xlpm.ok,_xlfn.XLOOKUP(_xlpm.dn+cfgRetestClassDays,nrCDnum,nrCDinsession,"No"),IF(OR(_xlpm.dd="",_xlpm.ok&lt;&gt;"Yes"),"(after last class day)",_xlpm.dd))))))</f>
        <v/>
      </c>
      <c r="U248" s="17">
        <f>IF($C248="","",IF(AND($Y248="Excused",$L248="",N($K248)&lt;=1),"EXCUSED - 1st attempt pending",IF(OR($L248="",$K248&lt;&gt;1,NOT(ISNUMBER($L248)),$L248&gt;=$J248),"",IF(COUNTIFS(nrES_PID,$D248,nrES_Code,$F248,nrES_Att,2,nrES_Raw,"&gt;=0")&gt;0,IF(IFERROR(_xlfn.MINIFS(nrES_Date,nrES_PID,$D248,nrES_Code,$F248,nrES_Att,2,nrES_Raw,"&gt;=0",nrES_Date,"&gt;0"),0)=0,"RETEST UNDATED",IF(NOT(ISNUMBER($T248)),"RETEST DATE UNCHECKED",IF(_xlfn.MINIFS(nrES_Date,nrES_PID,$D248,nrES_Code,$F248,nrES_Att,2,nrES_Raw,"&gt;=0",nrES_Date,"&gt;0")&gt;$T248,"LATE RETEST "&amp;TEXT(_xlfn.MINIFS(nrES_Date,nrES_PID,$D248,nrES_Code,$F248,nrES_Att,2,nrES_Raw,"&gt;=0",nrES_Date,"&gt;0"),"mm/dd")&amp;" (due "&amp;TEXT($T248,"mm/dd")&amp;")","Retested"))),IF(NOT(ISNUMBER($T248)),"CHECK DATE",IF(TODAY()&gt;$T248,"OVERDUE","Due "&amp;TEXT($T248,"mm/dd")))))))</f>
        <v/>
      </c>
      <c r="V248" s="16" t="n"/>
      <c r="W248" s="16" t="n"/>
      <c r="X248" s="17">
        <f>IF($C248="","",IF(AND($L248&lt;&gt;"",NOT(ISNUMBER($L248))),"RAW SCORE NOT A NUMBER",IF(AND(ISNUMBER($L248),OR($L248&lt;0,$L248&gt;100)),"RAW SCORE OUT OF RANGE",IF(AND($Y248="Unexcused",OR($L248="",NOT(ISNUMBER($L248)),$L248&lt;&gt;0)),"UNEXCUSED ABSENCE MUST RECORD 0",IF(COUNTIF(nrES_RecID,$B248)&gt;1,"DUPLICATE RECORD",IF(N($K248)&gt;2,"ATTEMPT 3+ NOT ALLOWED - policy 300.5 permits one retest per exam; this row records nothing",IF(AND($K248=2,COUNTIFS(nrES_PID,$D248,nrES_Code,$F248,nrES_Att,1)=0),"ATTEMPT 2 WITHOUT ATTEMPT 1",IF(AND($K248=2,$L248=""),"RETEST ROW HAS NO SCORE",IF(AND($H248="Final",$L248&lt;&gt;"",IFERROR(INDEX(nrCKfinalExamElig,MATCH($D248,rngCadetPIDs,0)),"")="No"),"FINAL EXAM AFTER FAILED FINAL PT (500.1.H)",IF(AND($K248=2,ISNUMBER($L248),COUNTIFS(nrES_PID,$D248,nrES_Code,$F248,nrES_Att,1)&gt;0,SUMIFS(nrES_Raw,nrES_PID,$D248,nrES_Code,$F248,nrES_Att,1)&gt;=$J248),"RETEST AFTER A PASSING FIRST ATTEMPT","OK"))))))))))</f>
        <v/>
      </c>
      <c r="Y248" s="16" t="n"/>
    </row>
    <row r="249">
      <c r="B249" s="17">
        <f>IF($C249="","",$D249&amp;"-"&amp;$F249&amp;"-"&amp;$K249)</f>
        <v/>
      </c>
      <c r="C249" s="16" t="n"/>
      <c r="D249" s="17">
        <f>IF($C249="","",IFERROR(INDEX(rngCadetPIDs,MATCH($C249,rngCadetNames,0)),"?"))</f>
        <v/>
      </c>
      <c r="E249" s="17">
        <f>IF($D249="","",IFERROR(INDEX(nrCadetAgency,MATCH($D249,rngCadetPIDs,0)),""))</f>
        <v/>
      </c>
      <c r="F249" s="16" t="n"/>
      <c r="G249" s="17">
        <f>IF($F249="","",IFERROR(INDEX(rngEPname,MATCH($F249,rngEPcode,0)),"?"))</f>
        <v/>
      </c>
      <c r="H249" s="17">
        <f>IF($F249="","",IFERROR(INDEX(rngEPtype,MATCH($F249,rngEPcode,0)),"?"))</f>
        <v/>
      </c>
      <c r="I249" s="17">
        <f>IF($F249="","",IFERROR(INDEX(rngEPseq,MATCH($F249,rngEPcode,0)),""))</f>
        <v/>
      </c>
      <c r="J249" s="17">
        <f>IF($F249="","",IFERROR(INDEX(rngEPpass,MATCH($F249,rngEPcode,0)),cfgPassingScore))</f>
        <v/>
      </c>
      <c r="K249" s="16" t="n"/>
      <c r="L249" s="16" t="n"/>
      <c r="M249" s="17">
        <f>IF($C249="","",IF($L249="","",IF(NOT(ISNUMBER($L249)),$L249,IF(N($K249)&gt;2,"",IF($K249=1,IF(COUNTIFS(nrES_PID,$D249,nrES_Code,$F249,nrES_Att,2,nrES_Raw,"&gt;=0")&gt;0,"",$L249),IF($L249&gt;=$J249,MAX($J249,cfgRetakeRecordedCap),IF(COUNTIFS(nrES_PID,$D249,nrES_Code,$F249,nrES_Att,1)=0,$L249,SUMIFS(nrES_Raw,nrES_PID,$D249,nrES_Code,$F249,nrES_Att,1))))))))</f>
        <v/>
      </c>
      <c r="N249" s="17">
        <f>IF($C249="","",IF($L249="","",IF(NOT(ISNUMBER($L249)),"(not a score)",IF($L249&gt;=$J249,"Yes","No"))))</f>
        <v/>
      </c>
      <c r="O249" s="17">
        <f>IF($C249="","",IF($M249="","",IF(NOT(ISNUMBER($M249)),"(not a score)",IF($M249&gt;=$J249,"Yes","No"))))</f>
        <v/>
      </c>
      <c r="P249" s="17">
        <f>IF($C249="","",IF($K249="","",IF(N($K249)&gt;2,"No",IF(COUNTIFS(nrES_PID,$D249,nrES_Code,$F249,nrES_Att,"&gt;"&amp;$K249,nrES_Att,"&lt;=2",nrES_Raw,"&gt;=0")=0,"Yes","No"))))</f>
        <v/>
      </c>
      <c r="Q249" s="17">
        <f>IF($C249="","",IF($L249="","",IF(AND($K249=1,ISNUMBER($L249),$L249&lt;$J249,COUNTIFS(nrES_PID,$D249,nrES_Code,$F249,nrES_Att,2,nrES_Raw,"&gt;=0")=0),"Yes","No")))</f>
        <v/>
      </c>
      <c r="R249" s="17">
        <f>IF($C249="","",IF($L249="","",IF(AND(N($K249)&gt;=2,ISNUMBER($L249),$L249&lt;$J249),"Yes","No")))</f>
        <v/>
      </c>
      <c r="S249" s="18" t="n"/>
      <c r="T249" s="19">
        <f>IF(OR($C249="",$L249="",$K249&lt;&gt;1,NOT(ISNUMBER($L249)),$L249&gt;=$J249),"",IF($S249="","(enter date)",_xlfn.LET(_xlpm.dn,_xlfn.XLOOKUP($S249,nrCDdate,nrCDnum,"",1),IF(_xlpm.dn="","(after last class day)",_xlfn.LET(_xlpm.dd,_xlfn.XLOOKUP(_xlpm.dn+cfgRetestClassDays,nrCDnum,nrCDdate,""),_xlpm.ok,_xlfn.XLOOKUP(_xlpm.dn+cfgRetestClassDays,nrCDnum,nrCDinsession,"No"),IF(OR(_xlpm.dd="",_xlpm.ok&lt;&gt;"Yes"),"(after last class day)",_xlpm.dd))))))</f>
        <v/>
      </c>
      <c r="U249" s="17">
        <f>IF($C249="","",IF(AND($Y249="Excused",$L249="",N($K249)&lt;=1),"EXCUSED - 1st attempt pending",IF(OR($L249="",$K249&lt;&gt;1,NOT(ISNUMBER($L249)),$L249&gt;=$J249),"",IF(COUNTIFS(nrES_PID,$D249,nrES_Code,$F249,nrES_Att,2,nrES_Raw,"&gt;=0")&gt;0,IF(IFERROR(_xlfn.MINIFS(nrES_Date,nrES_PID,$D249,nrES_Code,$F249,nrES_Att,2,nrES_Raw,"&gt;=0",nrES_Date,"&gt;0"),0)=0,"RETEST UNDATED",IF(NOT(ISNUMBER($T249)),"RETEST DATE UNCHECKED",IF(_xlfn.MINIFS(nrES_Date,nrES_PID,$D249,nrES_Code,$F249,nrES_Att,2,nrES_Raw,"&gt;=0",nrES_Date,"&gt;0")&gt;$T249,"LATE RETEST "&amp;TEXT(_xlfn.MINIFS(nrES_Date,nrES_PID,$D249,nrES_Code,$F249,nrES_Att,2,nrES_Raw,"&gt;=0",nrES_Date,"&gt;0"),"mm/dd")&amp;" (due "&amp;TEXT($T249,"mm/dd")&amp;")","Retested"))),IF(NOT(ISNUMBER($T249)),"CHECK DATE",IF(TODAY()&gt;$T249,"OVERDUE","Due "&amp;TEXT($T249,"mm/dd")))))))</f>
        <v/>
      </c>
      <c r="V249" s="16" t="n"/>
      <c r="W249" s="16" t="n"/>
      <c r="X249" s="17">
        <f>IF($C249="","",IF(AND($L249&lt;&gt;"",NOT(ISNUMBER($L249))),"RAW SCORE NOT A NUMBER",IF(AND(ISNUMBER($L249),OR($L249&lt;0,$L249&gt;100)),"RAW SCORE OUT OF RANGE",IF(AND($Y249="Unexcused",OR($L249="",NOT(ISNUMBER($L249)),$L249&lt;&gt;0)),"UNEXCUSED ABSENCE MUST RECORD 0",IF(COUNTIF(nrES_RecID,$B249)&gt;1,"DUPLICATE RECORD",IF(N($K249)&gt;2,"ATTEMPT 3+ NOT ALLOWED - policy 300.5 permits one retest per exam; this row records nothing",IF(AND($K249=2,COUNTIFS(nrES_PID,$D249,nrES_Code,$F249,nrES_Att,1)=0),"ATTEMPT 2 WITHOUT ATTEMPT 1",IF(AND($K249=2,$L249=""),"RETEST ROW HAS NO SCORE",IF(AND($H249="Final",$L249&lt;&gt;"",IFERROR(INDEX(nrCKfinalExamElig,MATCH($D249,rngCadetPIDs,0)),"")="No"),"FINAL EXAM AFTER FAILED FINAL PT (500.1.H)",IF(AND($K249=2,ISNUMBER($L249),COUNTIFS(nrES_PID,$D249,nrES_Code,$F249,nrES_Att,1)&gt;0,SUMIFS(nrES_Raw,nrES_PID,$D249,nrES_Code,$F249,nrES_Att,1)&gt;=$J249),"RETEST AFTER A PASSING FIRST ATTEMPT","OK"))))))))))</f>
        <v/>
      </c>
      <c r="Y249" s="16" t="n"/>
    </row>
    <row r="250">
      <c r="B250" s="17">
        <f>IF($C250="","",$D250&amp;"-"&amp;$F250&amp;"-"&amp;$K250)</f>
        <v/>
      </c>
      <c r="C250" s="16" t="n"/>
      <c r="D250" s="17">
        <f>IF($C250="","",IFERROR(INDEX(rngCadetPIDs,MATCH($C250,rngCadetNames,0)),"?"))</f>
        <v/>
      </c>
      <c r="E250" s="17">
        <f>IF($D250="","",IFERROR(INDEX(nrCadetAgency,MATCH($D250,rngCadetPIDs,0)),""))</f>
        <v/>
      </c>
      <c r="F250" s="16" t="n"/>
      <c r="G250" s="17">
        <f>IF($F250="","",IFERROR(INDEX(rngEPname,MATCH($F250,rngEPcode,0)),"?"))</f>
        <v/>
      </c>
      <c r="H250" s="17">
        <f>IF($F250="","",IFERROR(INDEX(rngEPtype,MATCH($F250,rngEPcode,0)),"?"))</f>
        <v/>
      </c>
      <c r="I250" s="17">
        <f>IF($F250="","",IFERROR(INDEX(rngEPseq,MATCH($F250,rngEPcode,0)),""))</f>
        <v/>
      </c>
      <c r="J250" s="17">
        <f>IF($F250="","",IFERROR(INDEX(rngEPpass,MATCH($F250,rngEPcode,0)),cfgPassingScore))</f>
        <v/>
      </c>
      <c r="K250" s="16" t="n"/>
      <c r="L250" s="16" t="n"/>
      <c r="M250" s="17">
        <f>IF($C250="","",IF($L250="","",IF(NOT(ISNUMBER($L250)),$L250,IF(N($K250)&gt;2,"",IF($K250=1,IF(COUNTIFS(nrES_PID,$D250,nrES_Code,$F250,nrES_Att,2,nrES_Raw,"&gt;=0")&gt;0,"",$L250),IF($L250&gt;=$J250,MAX($J250,cfgRetakeRecordedCap),IF(COUNTIFS(nrES_PID,$D250,nrES_Code,$F250,nrES_Att,1)=0,$L250,SUMIFS(nrES_Raw,nrES_PID,$D250,nrES_Code,$F250,nrES_Att,1))))))))</f>
        <v/>
      </c>
      <c r="N250" s="17">
        <f>IF($C250="","",IF($L250="","",IF(NOT(ISNUMBER($L250)),"(not a score)",IF($L250&gt;=$J250,"Yes","No"))))</f>
        <v/>
      </c>
      <c r="O250" s="17">
        <f>IF($C250="","",IF($M250="","",IF(NOT(ISNUMBER($M250)),"(not a score)",IF($M250&gt;=$J250,"Yes","No"))))</f>
        <v/>
      </c>
      <c r="P250" s="17">
        <f>IF($C250="","",IF($K250="","",IF(N($K250)&gt;2,"No",IF(COUNTIFS(nrES_PID,$D250,nrES_Code,$F250,nrES_Att,"&gt;"&amp;$K250,nrES_Att,"&lt;=2",nrES_Raw,"&gt;=0")=0,"Yes","No"))))</f>
        <v/>
      </c>
      <c r="Q250" s="17">
        <f>IF($C250="","",IF($L250="","",IF(AND($K250=1,ISNUMBER($L250),$L250&lt;$J250,COUNTIFS(nrES_PID,$D250,nrES_Code,$F250,nrES_Att,2,nrES_Raw,"&gt;=0")=0),"Yes","No")))</f>
        <v/>
      </c>
      <c r="R250" s="17">
        <f>IF($C250="","",IF($L250="","",IF(AND(N($K250)&gt;=2,ISNUMBER($L250),$L250&lt;$J250),"Yes","No")))</f>
        <v/>
      </c>
      <c r="S250" s="18" t="n"/>
      <c r="T250" s="19">
        <f>IF(OR($C250="",$L250="",$K250&lt;&gt;1,NOT(ISNUMBER($L250)),$L250&gt;=$J250),"",IF($S250="","(enter date)",_xlfn.LET(_xlpm.dn,_xlfn.XLOOKUP($S250,nrCDdate,nrCDnum,"",1),IF(_xlpm.dn="","(after last class day)",_xlfn.LET(_xlpm.dd,_xlfn.XLOOKUP(_xlpm.dn+cfgRetestClassDays,nrCDnum,nrCDdate,""),_xlpm.ok,_xlfn.XLOOKUP(_xlpm.dn+cfgRetestClassDays,nrCDnum,nrCDinsession,"No"),IF(OR(_xlpm.dd="",_xlpm.ok&lt;&gt;"Yes"),"(after last class day)",_xlpm.dd))))))</f>
        <v/>
      </c>
      <c r="U250" s="17">
        <f>IF($C250="","",IF(AND($Y250="Excused",$L250="",N($K250)&lt;=1),"EXCUSED - 1st attempt pending",IF(OR($L250="",$K250&lt;&gt;1,NOT(ISNUMBER($L250)),$L250&gt;=$J250),"",IF(COUNTIFS(nrES_PID,$D250,nrES_Code,$F250,nrES_Att,2,nrES_Raw,"&gt;=0")&gt;0,IF(IFERROR(_xlfn.MINIFS(nrES_Date,nrES_PID,$D250,nrES_Code,$F250,nrES_Att,2,nrES_Raw,"&gt;=0",nrES_Date,"&gt;0"),0)=0,"RETEST UNDATED",IF(NOT(ISNUMBER($T250)),"RETEST DATE UNCHECKED",IF(_xlfn.MINIFS(nrES_Date,nrES_PID,$D250,nrES_Code,$F250,nrES_Att,2,nrES_Raw,"&gt;=0",nrES_Date,"&gt;0")&gt;$T250,"LATE RETEST "&amp;TEXT(_xlfn.MINIFS(nrES_Date,nrES_PID,$D250,nrES_Code,$F250,nrES_Att,2,nrES_Raw,"&gt;=0",nrES_Date,"&gt;0"),"mm/dd")&amp;" (due "&amp;TEXT($T250,"mm/dd")&amp;")","Retested"))),IF(NOT(ISNUMBER($T250)),"CHECK DATE",IF(TODAY()&gt;$T250,"OVERDUE","Due "&amp;TEXT($T250,"mm/dd")))))))</f>
        <v/>
      </c>
      <c r="V250" s="16" t="n"/>
      <c r="W250" s="16" t="n"/>
      <c r="X250" s="17">
        <f>IF($C250="","",IF(AND($L250&lt;&gt;"",NOT(ISNUMBER($L250))),"RAW SCORE NOT A NUMBER",IF(AND(ISNUMBER($L250),OR($L250&lt;0,$L250&gt;100)),"RAW SCORE OUT OF RANGE",IF(AND($Y250="Unexcused",OR($L250="",NOT(ISNUMBER($L250)),$L250&lt;&gt;0)),"UNEXCUSED ABSENCE MUST RECORD 0",IF(COUNTIF(nrES_RecID,$B250)&gt;1,"DUPLICATE RECORD",IF(N($K250)&gt;2,"ATTEMPT 3+ NOT ALLOWED - policy 300.5 permits one retest per exam; this row records nothing",IF(AND($K250=2,COUNTIFS(nrES_PID,$D250,nrES_Code,$F250,nrES_Att,1)=0),"ATTEMPT 2 WITHOUT ATTEMPT 1",IF(AND($K250=2,$L250=""),"RETEST ROW HAS NO SCORE",IF(AND($H250="Final",$L250&lt;&gt;"",IFERROR(INDEX(nrCKfinalExamElig,MATCH($D250,rngCadetPIDs,0)),"")="No"),"FINAL EXAM AFTER FAILED FINAL PT (500.1.H)",IF(AND($K250=2,ISNUMBER($L250),COUNTIFS(nrES_PID,$D250,nrES_Code,$F250,nrES_Att,1)&gt;0,SUMIFS(nrES_Raw,nrES_PID,$D250,nrES_Code,$F250,nrES_Att,1)&gt;=$J250),"RETEST AFTER A PASSING FIRST ATTEMPT","OK"))))))))))</f>
        <v/>
      </c>
      <c r="Y250" s="16" t="n"/>
    </row>
    <row r="251">
      <c r="B251" s="17">
        <f>IF($C251="","",$D251&amp;"-"&amp;$F251&amp;"-"&amp;$K251)</f>
        <v/>
      </c>
      <c r="C251" s="16" t="n"/>
      <c r="D251" s="17">
        <f>IF($C251="","",IFERROR(INDEX(rngCadetPIDs,MATCH($C251,rngCadetNames,0)),"?"))</f>
        <v/>
      </c>
      <c r="E251" s="17">
        <f>IF($D251="","",IFERROR(INDEX(nrCadetAgency,MATCH($D251,rngCadetPIDs,0)),""))</f>
        <v/>
      </c>
      <c r="F251" s="16" t="n"/>
      <c r="G251" s="17">
        <f>IF($F251="","",IFERROR(INDEX(rngEPname,MATCH($F251,rngEPcode,0)),"?"))</f>
        <v/>
      </c>
      <c r="H251" s="17">
        <f>IF($F251="","",IFERROR(INDEX(rngEPtype,MATCH($F251,rngEPcode,0)),"?"))</f>
        <v/>
      </c>
      <c r="I251" s="17">
        <f>IF($F251="","",IFERROR(INDEX(rngEPseq,MATCH($F251,rngEPcode,0)),""))</f>
        <v/>
      </c>
      <c r="J251" s="17">
        <f>IF($F251="","",IFERROR(INDEX(rngEPpass,MATCH($F251,rngEPcode,0)),cfgPassingScore))</f>
        <v/>
      </c>
      <c r="K251" s="16" t="n"/>
      <c r="L251" s="16" t="n"/>
      <c r="M251" s="17">
        <f>IF($C251="","",IF($L251="","",IF(NOT(ISNUMBER($L251)),$L251,IF(N($K251)&gt;2,"",IF($K251=1,IF(COUNTIFS(nrES_PID,$D251,nrES_Code,$F251,nrES_Att,2,nrES_Raw,"&gt;=0")&gt;0,"",$L251),IF($L251&gt;=$J251,MAX($J251,cfgRetakeRecordedCap),IF(COUNTIFS(nrES_PID,$D251,nrES_Code,$F251,nrES_Att,1)=0,$L251,SUMIFS(nrES_Raw,nrES_PID,$D251,nrES_Code,$F251,nrES_Att,1))))))))</f>
        <v/>
      </c>
      <c r="N251" s="17">
        <f>IF($C251="","",IF($L251="","",IF(NOT(ISNUMBER($L251)),"(not a score)",IF($L251&gt;=$J251,"Yes","No"))))</f>
        <v/>
      </c>
      <c r="O251" s="17">
        <f>IF($C251="","",IF($M251="","",IF(NOT(ISNUMBER($M251)),"(not a score)",IF($M251&gt;=$J251,"Yes","No"))))</f>
        <v/>
      </c>
      <c r="P251" s="17">
        <f>IF($C251="","",IF($K251="","",IF(N($K251)&gt;2,"No",IF(COUNTIFS(nrES_PID,$D251,nrES_Code,$F251,nrES_Att,"&gt;"&amp;$K251,nrES_Att,"&lt;=2",nrES_Raw,"&gt;=0")=0,"Yes","No"))))</f>
        <v/>
      </c>
      <c r="Q251" s="17">
        <f>IF($C251="","",IF($L251="","",IF(AND($K251=1,ISNUMBER($L251),$L251&lt;$J251,COUNTIFS(nrES_PID,$D251,nrES_Code,$F251,nrES_Att,2,nrES_Raw,"&gt;=0")=0),"Yes","No")))</f>
        <v/>
      </c>
      <c r="R251" s="17">
        <f>IF($C251="","",IF($L251="","",IF(AND(N($K251)&gt;=2,ISNUMBER($L251),$L251&lt;$J251),"Yes","No")))</f>
        <v/>
      </c>
      <c r="S251" s="18" t="n"/>
      <c r="T251" s="19">
        <f>IF(OR($C251="",$L251="",$K251&lt;&gt;1,NOT(ISNUMBER($L251)),$L251&gt;=$J251),"",IF($S251="","(enter date)",_xlfn.LET(_xlpm.dn,_xlfn.XLOOKUP($S251,nrCDdate,nrCDnum,"",1),IF(_xlpm.dn="","(after last class day)",_xlfn.LET(_xlpm.dd,_xlfn.XLOOKUP(_xlpm.dn+cfgRetestClassDays,nrCDnum,nrCDdate,""),_xlpm.ok,_xlfn.XLOOKUP(_xlpm.dn+cfgRetestClassDays,nrCDnum,nrCDinsession,"No"),IF(OR(_xlpm.dd="",_xlpm.ok&lt;&gt;"Yes"),"(after last class day)",_xlpm.dd))))))</f>
        <v/>
      </c>
      <c r="U251" s="17">
        <f>IF($C251="","",IF(AND($Y251="Excused",$L251="",N($K251)&lt;=1),"EXCUSED - 1st attempt pending",IF(OR($L251="",$K251&lt;&gt;1,NOT(ISNUMBER($L251)),$L251&gt;=$J251),"",IF(COUNTIFS(nrES_PID,$D251,nrES_Code,$F251,nrES_Att,2,nrES_Raw,"&gt;=0")&gt;0,IF(IFERROR(_xlfn.MINIFS(nrES_Date,nrES_PID,$D251,nrES_Code,$F251,nrES_Att,2,nrES_Raw,"&gt;=0",nrES_Date,"&gt;0"),0)=0,"RETEST UNDATED",IF(NOT(ISNUMBER($T251)),"RETEST DATE UNCHECKED",IF(_xlfn.MINIFS(nrES_Date,nrES_PID,$D251,nrES_Code,$F251,nrES_Att,2,nrES_Raw,"&gt;=0",nrES_Date,"&gt;0")&gt;$T251,"LATE RETEST "&amp;TEXT(_xlfn.MINIFS(nrES_Date,nrES_PID,$D251,nrES_Code,$F251,nrES_Att,2,nrES_Raw,"&gt;=0",nrES_Date,"&gt;0"),"mm/dd")&amp;" (due "&amp;TEXT($T251,"mm/dd")&amp;")","Retested"))),IF(NOT(ISNUMBER($T251)),"CHECK DATE",IF(TODAY()&gt;$T251,"OVERDUE","Due "&amp;TEXT($T251,"mm/dd")))))))</f>
        <v/>
      </c>
      <c r="V251" s="16" t="n"/>
      <c r="W251" s="16" t="n"/>
      <c r="X251" s="17">
        <f>IF($C251="","",IF(AND($L251&lt;&gt;"",NOT(ISNUMBER($L251))),"RAW SCORE NOT A NUMBER",IF(AND(ISNUMBER($L251),OR($L251&lt;0,$L251&gt;100)),"RAW SCORE OUT OF RANGE",IF(AND($Y251="Unexcused",OR($L251="",NOT(ISNUMBER($L251)),$L251&lt;&gt;0)),"UNEXCUSED ABSENCE MUST RECORD 0",IF(COUNTIF(nrES_RecID,$B251)&gt;1,"DUPLICATE RECORD",IF(N($K251)&gt;2,"ATTEMPT 3+ NOT ALLOWED - policy 300.5 permits one retest per exam; this row records nothing",IF(AND($K251=2,COUNTIFS(nrES_PID,$D251,nrES_Code,$F251,nrES_Att,1)=0),"ATTEMPT 2 WITHOUT ATTEMPT 1",IF(AND($K251=2,$L251=""),"RETEST ROW HAS NO SCORE",IF(AND($H251="Final",$L251&lt;&gt;"",IFERROR(INDEX(nrCKfinalExamElig,MATCH($D251,rngCadetPIDs,0)),"")="No"),"FINAL EXAM AFTER FAILED FINAL PT (500.1.H)",IF(AND($K251=2,ISNUMBER($L251),COUNTIFS(nrES_PID,$D251,nrES_Code,$F251,nrES_Att,1)&gt;0,SUMIFS(nrES_Raw,nrES_PID,$D251,nrES_Code,$F251,nrES_Att,1)&gt;=$J251),"RETEST AFTER A PASSING FIRST ATTEMPT","OK"))))))))))</f>
        <v/>
      </c>
      <c r="Y251" s="16" t="n"/>
    </row>
    <row r="252">
      <c r="B252" s="17">
        <f>IF($C252="","",$D252&amp;"-"&amp;$F252&amp;"-"&amp;$K252)</f>
        <v/>
      </c>
      <c r="C252" s="16" t="n"/>
      <c r="D252" s="17">
        <f>IF($C252="","",IFERROR(INDEX(rngCadetPIDs,MATCH($C252,rngCadetNames,0)),"?"))</f>
        <v/>
      </c>
      <c r="E252" s="17">
        <f>IF($D252="","",IFERROR(INDEX(nrCadetAgency,MATCH($D252,rngCadetPIDs,0)),""))</f>
        <v/>
      </c>
      <c r="F252" s="16" t="n"/>
      <c r="G252" s="17">
        <f>IF($F252="","",IFERROR(INDEX(rngEPname,MATCH($F252,rngEPcode,0)),"?"))</f>
        <v/>
      </c>
      <c r="H252" s="17">
        <f>IF($F252="","",IFERROR(INDEX(rngEPtype,MATCH($F252,rngEPcode,0)),"?"))</f>
        <v/>
      </c>
      <c r="I252" s="17">
        <f>IF($F252="","",IFERROR(INDEX(rngEPseq,MATCH($F252,rngEPcode,0)),""))</f>
        <v/>
      </c>
      <c r="J252" s="17">
        <f>IF($F252="","",IFERROR(INDEX(rngEPpass,MATCH($F252,rngEPcode,0)),cfgPassingScore))</f>
        <v/>
      </c>
      <c r="K252" s="16" t="n"/>
      <c r="L252" s="16" t="n"/>
      <c r="M252" s="17">
        <f>IF($C252="","",IF($L252="","",IF(NOT(ISNUMBER($L252)),$L252,IF(N($K252)&gt;2,"",IF($K252=1,IF(COUNTIFS(nrES_PID,$D252,nrES_Code,$F252,nrES_Att,2,nrES_Raw,"&gt;=0")&gt;0,"",$L252),IF($L252&gt;=$J252,MAX($J252,cfgRetakeRecordedCap),IF(COUNTIFS(nrES_PID,$D252,nrES_Code,$F252,nrES_Att,1)=0,$L252,SUMIFS(nrES_Raw,nrES_PID,$D252,nrES_Code,$F252,nrES_Att,1))))))))</f>
        <v/>
      </c>
      <c r="N252" s="17">
        <f>IF($C252="","",IF($L252="","",IF(NOT(ISNUMBER($L252)),"(not a score)",IF($L252&gt;=$J252,"Yes","No"))))</f>
        <v/>
      </c>
      <c r="O252" s="17">
        <f>IF($C252="","",IF($M252="","",IF(NOT(ISNUMBER($M252)),"(not a score)",IF($M252&gt;=$J252,"Yes","No"))))</f>
        <v/>
      </c>
      <c r="P252" s="17">
        <f>IF($C252="","",IF($K252="","",IF(N($K252)&gt;2,"No",IF(COUNTIFS(nrES_PID,$D252,nrES_Code,$F252,nrES_Att,"&gt;"&amp;$K252,nrES_Att,"&lt;=2",nrES_Raw,"&gt;=0")=0,"Yes","No"))))</f>
        <v/>
      </c>
      <c r="Q252" s="17">
        <f>IF($C252="","",IF($L252="","",IF(AND($K252=1,ISNUMBER($L252),$L252&lt;$J252,COUNTIFS(nrES_PID,$D252,nrES_Code,$F252,nrES_Att,2,nrES_Raw,"&gt;=0")=0),"Yes","No")))</f>
        <v/>
      </c>
      <c r="R252" s="17">
        <f>IF($C252="","",IF($L252="","",IF(AND(N($K252)&gt;=2,ISNUMBER($L252),$L252&lt;$J252),"Yes","No")))</f>
        <v/>
      </c>
      <c r="S252" s="18" t="n"/>
      <c r="T252" s="19">
        <f>IF(OR($C252="",$L252="",$K252&lt;&gt;1,NOT(ISNUMBER($L252)),$L252&gt;=$J252),"",IF($S252="","(enter date)",_xlfn.LET(_xlpm.dn,_xlfn.XLOOKUP($S252,nrCDdate,nrCDnum,"",1),IF(_xlpm.dn="","(after last class day)",_xlfn.LET(_xlpm.dd,_xlfn.XLOOKUP(_xlpm.dn+cfgRetestClassDays,nrCDnum,nrCDdate,""),_xlpm.ok,_xlfn.XLOOKUP(_xlpm.dn+cfgRetestClassDays,nrCDnum,nrCDinsession,"No"),IF(OR(_xlpm.dd="",_xlpm.ok&lt;&gt;"Yes"),"(after last class day)",_xlpm.dd))))))</f>
        <v/>
      </c>
      <c r="U252" s="17">
        <f>IF($C252="","",IF(AND($Y252="Excused",$L252="",N($K252)&lt;=1),"EXCUSED - 1st attempt pending",IF(OR($L252="",$K252&lt;&gt;1,NOT(ISNUMBER($L252)),$L252&gt;=$J252),"",IF(COUNTIFS(nrES_PID,$D252,nrES_Code,$F252,nrES_Att,2,nrES_Raw,"&gt;=0")&gt;0,IF(IFERROR(_xlfn.MINIFS(nrES_Date,nrES_PID,$D252,nrES_Code,$F252,nrES_Att,2,nrES_Raw,"&gt;=0",nrES_Date,"&gt;0"),0)=0,"RETEST UNDATED",IF(NOT(ISNUMBER($T252)),"RETEST DATE UNCHECKED",IF(_xlfn.MINIFS(nrES_Date,nrES_PID,$D252,nrES_Code,$F252,nrES_Att,2,nrES_Raw,"&gt;=0",nrES_Date,"&gt;0")&gt;$T252,"LATE RETEST "&amp;TEXT(_xlfn.MINIFS(nrES_Date,nrES_PID,$D252,nrES_Code,$F252,nrES_Att,2,nrES_Raw,"&gt;=0",nrES_Date,"&gt;0"),"mm/dd")&amp;" (due "&amp;TEXT($T252,"mm/dd")&amp;")","Retested"))),IF(NOT(ISNUMBER($T252)),"CHECK DATE",IF(TODAY()&gt;$T252,"OVERDUE","Due "&amp;TEXT($T252,"mm/dd")))))))</f>
        <v/>
      </c>
      <c r="V252" s="16" t="n"/>
      <c r="W252" s="16" t="n"/>
      <c r="X252" s="17">
        <f>IF($C252="","",IF(AND($L252&lt;&gt;"",NOT(ISNUMBER($L252))),"RAW SCORE NOT A NUMBER",IF(AND(ISNUMBER($L252),OR($L252&lt;0,$L252&gt;100)),"RAW SCORE OUT OF RANGE",IF(AND($Y252="Unexcused",OR($L252="",NOT(ISNUMBER($L252)),$L252&lt;&gt;0)),"UNEXCUSED ABSENCE MUST RECORD 0",IF(COUNTIF(nrES_RecID,$B252)&gt;1,"DUPLICATE RECORD",IF(N($K252)&gt;2,"ATTEMPT 3+ NOT ALLOWED - policy 300.5 permits one retest per exam; this row records nothing",IF(AND($K252=2,COUNTIFS(nrES_PID,$D252,nrES_Code,$F252,nrES_Att,1)=0),"ATTEMPT 2 WITHOUT ATTEMPT 1",IF(AND($K252=2,$L252=""),"RETEST ROW HAS NO SCORE",IF(AND($H252="Final",$L252&lt;&gt;"",IFERROR(INDEX(nrCKfinalExamElig,MATCH($D252,rngCadetPIDs,0)),"")="No"),"FINAL EXAM AFTER FAILED FINAL PT (500.1.H)",IF(AND($K252=2,ISNUMBER($L252),COUNTIFS(nrES_PID,$D252,nrES_Code,$F252,nrES_Att,1)&gt;0,SUMIFS(nrES_Raw,nrES_PID,$D252,nrES_Code,$F252,nrES_Att,1)&gt;=$J252),"RETEST AFTER A PASSING FIRST ATTEMPT","OK"))))))))))</f>
        <v/>
      </c>
      <c r="Y252" s="16" t="n"/>
    </row>
    <row r="253">
      <c r="B253" s="17">
        <f>IF($C253="","",$D253&amp;"-"&amp;$F253&amp;"-"&amp;$K253)</f>
        <v/>
      </c>
      <c r="C253" s="16" t="n"/>
      <c r="D253" s="17">
        <f>IF($C253="","",IFERROR(INDEX(rngCadetPIDs,MATCH($C253,rngCadetNames,0)),"?"))</f>
        <v/>
      </c>
      <c r="E253" s="17">
        <f>IF($D253="","",IFERROR(INDEX(nrCadetAgency,MATCH($D253,rngCadetPIDs,0)),""))</f>
        <v/>
      </c>
      <c r="F253" s="16" t="n"/>
      <c r="G253" s="17">
        <f>IF($F253="","",IFERROR(INDEX(rngEPname,MATCH($F253,rngEPcode,0)),"?"))</f>
        <v/>
      </c>
      <c r="H253" s="17">
        <f>IF($F253="","",IFERROR(INDEX(rngEPtype,MATCH($F253,rngEPcode,0)),"?"))</f>
        <v/>
      </c>
      <c r="I253" s="17">
        <f>IF($F253="","",IFERROR(INDEX(rngEPseq,MATCH($F253,rngEPcode,0)),""))</f>
        <v/>
      </c>
      <c r="J253" s="17">
        <f>IF($F253="","",IFERROR(INDEX(rngEPpass,MATCH($F253,rngEPcode,0)),cfgPassingScore))</f>
        <v/>
      </c>
      <c r="K253" s="16" t="n"/>
      <c r="L253" s="16" t="n"/>
      <c r="M253" s="17">
        <f>IF($C253="","",IF($L253="","",IF(NOT(ISNUMBER($L253)),$L253,IF(N($K253)&gt;2,"",IF($K253=1,IF(COUNTIFS(nrES_PID,$D253,nrES_Code,$F253,nrES_Att,2,nrES_Raw,"&gt;=0")&gt;0,"",$L253),IF($L253&gt;=$J253,MAX($J253,cfgRetakeRecordedCap),IF(COUNTIFS(nrES_PID,$D253,nrES_Code,$F253,nrES_Att,1)=0,$L253,SUMIFS(nrES_Raw,nrES_PID,$D253,nrES_Code,$F253,nrES_Att,1))))))))</f>
        <v/>
      </c>
      <c r="N253" s="17">
        <f>IF($C253="","",IF($L253="","",IF(NOT(ISNUMBER($L253)),"(not a score)",IF($L253&gt;=$J253,"Yes","No"))))</f>
        <v/>
      </c>
      <c r="O253" s="17">
        <f>IF($C253="","",IF($M253="","",IF(NOT(ISNUMBER($M253)),"(not a score)",IF($M253&gt;=$J253,"Yes","No"))))</f>
        <v/>
      </c>
      <c r="P253" s="17">
        <f>IF($C253="","",IF($K253="","",IF(N($K253)&gt;2,"No",IF(COUNTIFS(nrES_PID,$D253,nrES_Code,$F253,nrES_Att,"&gt;"&amp;$K253,nrES_Att,"&lt;=2",nrES_Raw,"&gt;=0")=0,"Yes","No"))))</f>
        <v/>
      </c>
      <c r="Q253" s="17">
        <f>IF($C253="","",IF($L253="","",IF(AND($K253=1,ISNUMBER($L253),$L253&lt;$J253,COUNTIFS(nrES_PID,$D253,nrES_Code,$F253,nrES_Att,2,nrES_Raw,"&gt;=0")=0),"Yes","No")))</f>
        <v/>
      </c>
      <c r="R253" s="17">
        <f>IF($C253="","",IF($L253="","",IF(AND(N($K253)&gt;=2,ISNUMBER($L253),$L253&lt;$J253),"Yes","No")))</f>
        <v/>
      </c>
      <c r="S253" s="18" t="n"/>
      <c r="T253" s="19">
        <f>IF(OR($C253="",$L253="",$K253&lt;&gt;1,NOT(ISNUMBER($L253)),$L253&gt;=$J253),"",IF($S253="","(enter date)",_xlfn.LET(_xlpm.dn,_xlfn.XLOOKUP($S253,nrCDdate,nrCDnum,"",1),IF(_xlpm.dn="","(after last class day)",_xlfn.LET(_xlpm.dd,_xlfn.XLOOKUP(_xlpm.dn+cfgRetestClassDays,nrCDnum,nrCDdate,""),_xlpm.ok,_xlfn.XLOOKUP(_xlpm.dn+cfgRetestClassDays,nrCDnum,nrCDinsession,"No"),IF(OR(_xlpm.dd="",_xlpm.ok&lt;&gt;"Yes"),"(after last class day)",_xlpm.dd))))))</f>
        <v/>
      </c>
      <c r="U253" s="17">
        <f>IF($C253="","",IF(AND($Y253="Excused",$L253="",N($K253)&lt;=1),"EXCUSED - 1st attempt pending",IF(OR($L253="",$K253&lt;&gt;1,NOT(ISNUMBER($L253)),$L253&gt;=$J253),"",IF(COUNTIFS(nrES_PID,$D253,nrES_Code,$F253,nrES_Att,2,nrES_Raw,"&gt;=0")&gt;0,IF(IFERROR(_xlfn.MINIFS(nrES_Date,nrES_PID,$D253,nrES_Code,$F253,nrES_Att,2,nrES_Raw,"&gt;=0",nrES_Date,"&gt;0"),0)=0,"RETEST UNDATED",IF(NOT(ISNUMBER($T253)),"RETEST DATE UNCHECKED",IF(_xlfn.MINIFS(nrES_Date,nrES_PID,$D253,nrES_Code,$F253,nrES_Att,2,nrES_Raw,"&gt;=0",nrES_Date,"&gt;0")&gt;$T253,"LATE RETEST "&amp;TEXT(_xlfn.MINIFS(nrES_Date,nrES_PID,$D253,nrES_Code,$F253,nrES_Att,2,nrES_Raw,"&gt;=0",nrES_Date,"&gt;0"),"mm/dd")&amp;" (due "&amp;TEXT($T253,"mm/dd")&amp;")","Retested"))),IF(NOT(ISNUMBER($T253)),"CHECK DATE",IF(TODAY()&gt;$T253,"OVERDUE","Due "&amp;TEXT($T253,"mm/dd")))))))</f>
        <v/>
      </c>
      <c r="V253" s="16" t="n"/>
      <c r="W253" s="16" t="n"/>
      <c r="X253" s="17">
        <f>IF($C253="","",IF(AND($L253&lt;&gt;"",NOT(ISNUMBER($L253))),"RAW SCORE NOT A NUMBER",IF(AND(ISNUMBER($L253),OR($L253&lt;0,$L253&gt;100)),"RAW SCORE OUT OF RANGE",IF(AND($Y253="Unexcused",OR($L253="",NOT(ISNUMBER($L253)),$L253&lt;&gt;0)),"UNEXCUSED ABSENCE MUST RECORD 0",IF(COUNTIF(nrES_RecID,$B253)&gt;1,"DUPLICATE RECORD",IF(N($K253)&gt;2,"ATTEMPT 3+ NOT ALLOWED - policy 300.5 permits one retest per exam; this row records nothing",IF(AND($K253=2,COUNTIFS(nrES_PID,$D253,nrES_Code,$F253,nrES_Att,1)=0),"ATTEMPT 2 WITHOUT ATTEMPT 1",IF(AND($K253=2,$L253=""),"RETEST ROW HAS NO SCORE",IF(AND($H253="Final",$L253&lt;&gt;"",IFERROR(INDEX(nrCKfinalExamElig,MATCH($D253,rngCadetPIDs,0)),"")="No"),"FINAL EXAM AFTER FAILED FINAL PT (500.1.H)",IF(AND($K253=2,ISNUMBER($L253),COUNTIFS(nrES_PID,$D253,nrES_Code,$F253,nrES_Att,1)&gt;0,SUMIFS(nrES_Raw,nrES_PID,$D253,nrES_Code,$F253,nrES_Att,1)&gt;=$J253),"RETEST AFTER A PASSING FIRST ATTEMPT","OK"))))))))))</f>
        <v/>
      </c>
      <c r="Y253" s="16" t="n"/>
    </row>
    <row r="254">
      <c r="B254" s="17">
        <f>IF($C254="","",$D254&amp;"-"&amp;$F254&amp;"-"&amp;$K254)</f>
        <v/>
      </c>
      <c r="C254" s="16" t="n"/>
      <c r="D254" s="17">
        <f>IF($C254="","",IFERROR(INDEX(rngCadetPIDs,MATCH($C254,rngCadetNames,0)),"?"))</f>
        <v/>
      </c>
      <c r="E254" s="17">
        <f>IF($D254="","",IFERROR(INDEX(nrCadetAgency,MATCH($D254,rngCadetPIDs,0)),""))</f>
        <v/>
      </c>
      <c r="F254" s="16" t="n"/>
      <c r="G254" s="17">
        <f>IF($F254="","",IFERROR(INDEX(rngEPname,MATCH($F254,rngEPcode,0)),"?"))</f>
        <v/>
      </c>
      <c r="H254" s="17">
        <f>IF($F254="","",IFERROR(INDEX(rngEPtype,MATCH($F254,rngEPcode,0)),"?"))</f>
        <v/>
      </c>
      <c r="I254" s="17">
        <f>IF($F254="","",IFERROR(INDEX(rngEPseq,MATCH($F254,rngEPcode,0)),""))</f>
        <v/>
      </c>
      <c r="J254" s="17">
        <f>IF($F254="","",IFERROR(INDEX(rngEPpass,MATCH($F254,rngEPcode,0)),cfgPassingScore))</f>
        <v/>
      </c>
      <c r="K254" s="16" t="n"/>
      <c r="L254" s="16" t="n"/>
      <c r="M254" s="17">
        <f>IF($C254="","",IF($L254="","",IF(NOT(ISNUMBER($L254)),$L254,IF(N($K254)&gt;2,"",IF($K254=1,IF(COUNTIFS(nrES_PID,$D254,nrES_Code,$F254,nrES_Att,2,nrES_Raw,"&gt;=0")&gt;0,"",$L254),IF($L254&gt;=$J254,MAX($J254,cfgRetakeRecordedCap),IF(COUNTIFS(nrES_PID,$D254,nrES_Code,$F254,nrES_Att,1)=0,$L254,SUMIFS(nrES_Raw,nrES_PID,$D254,nrES_Code,$F254,nrES_Att,1))))))))</f>
        <v/>
      </c>
      <c r="N254" s="17">
        <f>IF($C254="","",IF($L254="","",IF(NOT(ISNUMBER($L254)),"(not a score)",IF($L254&gt;=$J254,"Yes","No"))))</f>
        <v/>
      </c>
      <c r="O254" s="17">
        <f>IF($C254="","",IF($M254="","",IF(NOT(ISNUMBER($M254)),"(not a score)",IF($M254&gt;=$J254,"Yes","No"))))</f>
        <v/>
      </c>
      <c r="P254" s="17">
        <f>IF($C254="","",IF($K254="","",IF(N($K254)&gt;2,"No",IF(COUNTIFS(nrES_PID,$D254,nrES_Code,$F254,nrES_Att,"&gt;"&amp;$K254,nrES_Att,"&lt;=2",nrES_Raw,"&gt;=0")=0,"Yes","No"))))</f>
        <v/>
      </c>
      <c r="Q254" s="17">
        <f>IF($C254="","",IF($L254="","",IF(AND($K254=1,ISNUMBER($L254),$L254&lt;$J254,COUNTIFS(nrES_PID,$D254,nrES_Code,$F254,nrES_Att,2,nrES_Raw,"&gt;=0")=0),"Yes","No")))</f>
        <v/>
      </c>
      <c r="R254" s="17">
        <f>IF($C254="","",IF($L254="","",IF(AND(N($K254)&gt;=2,ISNUMBER($L254),$L254&lt;$J254),"Yes","No")))</f>
        <v/>
      </c>
      <c r="S254" s="18" t="n"/>
      <c r="T254" s="19">
        <f>IF(OR($C254="",$L254="",$K254&lt;&gt;1,NOT(ISNUMBER($L254)),$L254&gt;=$J254),"",IF($S254="","(enter date)",_xlfn.LET(_xlpm.dn,_xlfn.XLOOKUP($S254,nrCDdate,nrCDnum,"",1),IF(_xlpm.dn="","(after last class day)",_xlfn.LET(_xlpm.dd,_xlfn.XLOOKUP(_xlpm.dn+cfgRetestClassDays,nrCDnum,nrCDdate,""),_xlpm.ok,_xlfn.XLOOKUP(_xlpm.dn+cfgRetestClassDays,nrCDnum,nrCDinsession,"No"),IF(OR(_xlpm.dd="",_xlpm.ok&lt;&gt;"Yes"),"(after last class day)",_xlpm.dd))))))</f>
        <v/>
      </c>
      <c r="U254" s="17">
        <f>IF($C254="","",IF(AND($Y254="Excused",$L254="",N($K254)&lt;=1),"EXCUSED - 1st attempt pending",IF(OR($L254="",$K254&lt;&gt;1,NOT(ISNUMBER($L254)),$L254&gt;=$J254),"",IF(COUNTIFS(nrES_PID,$D254,nrES_Code,$F254,nrES_Att,2,nrES_Raw,"&gt;=0")&gt;0,IF(IFERROR(_xlfn.MINIFS(nrES_Date,nrES_PID,$D254,nrES_Code,$F254,nrES_Att,2,nrES_Raw,"&gt;=0",nrES_Date,"&gt;0"),0)=0,"RETEST UNDATED",IF(NOT(ISNUMBER($T254)),"RETEST DATE UNCHECKED",IF(_xlfn.MINIFS(nrES_Date,nrES_PID,$D254,nrES_Code,$F254,nrES_Att,2,nrES_Raw,"&gt;=0",nrES_Date,"&gt;0")&gt;$T254,"LATE RETEST "&amp;TEXT(_xlfn.MINIFS(nrES_Date,nrES_PID,$D254,nrES_Code,$F254,nrES_Att,2,nrES_Raw,"&gt;=0",nrES_Date,"&gt;0"),"mm/dd")&amp;" (due "&amp;TEXT($T254,"mm/dd")&amp;")","Retested"))),IF(NOT(ISNUMBER($T254)),"CHECK DATE",IF(TODAY()&gt;$T254,"OVERDUE","Due "&amp;TEXT($T254,"mm/dd")))))))</f>
        <v/>
      </c>
      <c r="V254" s="16" t="n"/>
      <c r="W254" s="16" t="n"/>
      <c r="X254" s="17">
        <f>IF($C254="","",IF(AND($L254&lt;&gt;"",NOT(ISNUMBER($L254))),"RAW SCORE NOT A NUMBER",IF(AND(ISNUMBER($L254),OR($L254&lt;0,$L254&gt;100)),"RAW SCORE OUT OF RANGE",IF(AND($Y254="Unexcused",OR($L254="",NOT(ISNUMBER($L254)),$L254&lt;&gt;0)),"UNEXCUSED ABSENCE MUST RECORD 0",IF(COUNTIF(nrES_RecID,$B254)&gt;1,"DUPLICATE RECORD",IF(N($K254)&gt;2,"ATTEMPT 3+ NOT ALLOWED - policy 300.5 permits one retest per exam; this row records nothing",IF(AND($K254=2,COUNTIFS(nrES_PID,$D254,nrES_Code,$F254,nrES_Att,1)=0),"ATTEMPT 2 WITHOUT ATTEMPT 1",IF(AND($K254=2,$L254=""),"RETEST ROW HAS NO SCORE",IF(AND($H254="Final",$L254&lt;&gt;"",IFERROR(INDEX(nrCKfinalExamElig,MATCH($D254,rngCadetPIDs,0)),"")="No"),"FINAL EXAM AFTER FAILED FINAL PT (500.1.H)",IF(AND($K254=2,ISNUMBER($L254),COUNTIFS(nrES_PID,$D254,nrES_Code,$F254,nrES_Att,1)&gt;0,SUMIFS(nrES_Raw,nrES_PID,$D254,nrES_Code,$F254,nrES_Att,1)&gt;=$J254),"RETEST AFTER A PASSING FIRST ATTEMPT","OK"))))))))))</f>
        <v/>
      </c>
      <c r="Y254" s="16" t="n"/>
    </row>
    <row r="255">
      <c r="B255" s="17">
        <f>IF($C255="","",$D255&amp;"-"&amp;$F255&amp;"-"&amp;$K255)</f>
        <v/>
      </c>
      <c r="C255" s="16" t="n"/>
      <c r="D255" s="17">
        <f>IF($C255="","",IFERROR(INDEX(rngCadetPIDs,MATCH($C255,rngCadetNames,0)),"?"))</f>
        <v/>
      </c>
      <c r="E255" s="17">
        <f>IF($D255="","",IFERROR(INDEX(nrCadetAgency,MATCH($D255,rngCadetPIDs,0)),""))</f>
        <v/>
      </c>
      <c r="F255" s="16" t="n"/>
      <c r="G255" s="17">
        <f>IF($F255="","",IFERROR(INDEX(rngEPname,MATCH($F255,rngEPcode,0)),"?"))</f>
        <v/>
      </c>
      <c r="H255" s="17">
        <f>IF($F255="","",IFERROR(INDEX(rngEPtype,MATCH($F255,rngEPcode,0)),"?"))</f>
        <v/>
      </c>
      <c r="I255" s="17">
        <f>IF($F255="","",IFERROR(INDEX(rngEPseq,MATCH($F255,rngEPcode,0)),""))</f>
        <v/>
      </c>
      <c r="J255" s="17">
        <f>IF($F255="","",IFERROR(INDEX(rngEPpass,MATCH($F255,rngEPcode,0)),cfgPassingScore))</f>
        <v/>
      </c>
      <c r="K255" s="16" t="n"/>
      <c r="L255" s="16" t="n"/>
      <c r="M255" s="17">
        <f>IF($C255="","",IF($L255="","",IF(NOT(ISNUMBER($L255)),$L255,IF(N($K255)&gt;2,"",IF($K255=1,IF(COUNTIFS(nrES_PID,$D255,nrES_Code,$F255,nrES_Att,2,nrES_Raw,"&gt;=0")&gt;0,"",$L255),IF($L255&gt;=$J255,MAX($J255,cfgRetakeRecordedCap),IF(COUNTIFS(nrES_PID,$D255,nrES_Code,$F255,nrES_Att,1)=0,$L255,SUMIFS(nrES_Raw,nrES_PID,$D255,nrES_Code,$F255,nrES_Att,1))))))))</f>
        <v/>
      </c>
      <c r="N255" s="17">
        <f>IF($C255="","",IF($L255="","",IF(NOT(ISNUMBER($L255)),"(not a score)",IF($L255&gt;=$J255,"Yes","No"))))</f>
        <v/>
      </c>
      <c r="O255" s="17">
        <f>IF($C255="","",IF($M255="","",IF(NOT(ISNUMBER($M255)),"(not a score)",IF($M255&gt;=$J255,"Yes","No"))))</f>
        <v/>
      </c>
      <c r="P255" s="17">
        <f>IF($C255="","",IF($K255="","",IF(N($K255)&gt;2,"No",IF(COUNTIFS(nrES_PID,$D255,nrES_Code,$F255,nrES_Att,"&gt;"&amp;$K255,nrES_Att,"&lt;=2",nrES_Raw,"&gt;=0")=0,"Yes","No"))))</f>
        <v/>
      </c>
      <c r="Q255" s="17">
        <f>IF($C255="","",IF($L255="","",IF(AND($K255=1,ISNUMBER($L255),$L255&lt;$J255,COUNTIFS(nrES_PID,$D255,nrES_Code,$F255,nrES_Att,2,nrES_Raw,"&gt;=0")=0),"Yes","No")))</f>
        <v/>
      </c>
      <c r="R255" s="17">
        <f>IF($C255="","",IF($L255="","",IF(AND(N($K255)&gt;=2,ISNUMBER($L255),$L255&lt;$J255),"Yes","No")))</f>
        <v/>
      </c>
      <c r="S255" s="18" t="n"/>
      <c r="T255" s="19">
        <f>IF(OR($C255="",$L255="",$K255&lt;&gt;1,NOT(ISNUMBER($L255)),$L255&gt;=$J255),"",IF($S255="","(enter date)",_xlfn.LET(_xlpm.dn,_xlfn.XLOOKUP($S255,nrCDdate,nrCDnum,"",1),IF(_xlpm.dn="","(after last class day)",_xlfn.LET(_xlpm.dd,_xlfn.XLOOKUP(_xlpm.dn+cfgRetestClassDays,nrCDnum,nrCDdate,""),_xlpm.ok,_xlfn.XLOOKUP(_xlpm.dn+cfgRetestClassDays,nrCDnum,nrCDinsession,"No"),IF(OR(_xlpm.dd="",_xlpm.ok&lt;&gt;"Yes"),"(after last class day)",_xlpm.dd))))))</f>
        <v/>
      </c>
      <c r="U255" s="17">
        <f>IF($C255="","",IF(AND($Y255="Excused",$L255="",N($K255)&lt;=1),"EXCUSED - 1st attempt pending",IF(OR($L255="",$K255&lt;&gt;1,NOT(ISNUMBER($L255)),$L255&gt;=$J255),"",IF(COUNTIFS(nrES_PID,$D255,nrES_Code,$F255,nrES_Att,2,nrES_Raw,"&gt;=0")&gt;0,IF(IFERROR(_xlfn.MINIFS(nrES_Date,nrES_PID,$D255,nrES_Code,$F255,nrES_Att,2,nrES_Raw,"&gt;=0",nrES_Date,"&gt;0"),0)=0,"RETEST UNDATED",IF(NOT(ISNUMBER($T255)),"RETEST DATE UNCHECKED",IF(_xlfn.MINIFS(nrES_Date,nrES_PID,$D255,nrES_Code,$F255,nrES_Att,2,nrES_Raw,"&gt;=0",nrES_Date,"&gt;0")&gt;$T255,"LATE RETEST "&amp;TEXT(_xlfn.MINIFS(nrES_Date,nrES_PID,$D255,nrES_Code,$F255,nrES_Att,2,nrES_Raw,"&gt;=0",nrES_Date,"&gt;0"),"mm/dd")&amp;" (due "&amp;TEXT($T255,"mm/dd")&amp;")","Retested"))),IF(NOT(ISNUMBER($T255)),"CHECK DATE",IF(TODAY()&gt;$T255,"OVERDUE","Due "&amp;TEXT($T255,"mm/dd")))))))</f>
        <v/>
      </c>
      <c r="V255" s="16" t="n"/>
      <c r="W255" s="16" t="n"/>
      <c r="X255" s="17">
        <f>IF($C255="","",IF(AND($L255&lt;&gt;"",NOT(ISNUMBER($L255))),"RAW SCORE NOT A NUMBER",IF(AND(ISNUMBER($L255),OR($L255&lt;0,$L255&gt;100)),"RAW SCORE OUT OF RANGE",IF(AND($Y255="Unexcused",OR($L255="",NOT(ISNUMBER($L255)),$L255&lt;&gt;0)),"UNEXCUSED ABSENCE MUST RECORD 0",IF(COUNTIF(nrES_RecID,$B255)&gt;1,"DUPLICATE RECORD",IF(N($K255)&gt;2,"ATTEMPT 3+ NOT ALLOWED - policy 300.5 permits one retest per exam; this row records nothing",IF(AND($K255=2,COUNTIFS(nrES_PID,$D255,nrES_Code,$F255,nrES_Att,1)=0),"ATTEMPT 2 WITHOUT ATTEMPT 1",IF(AND($K255=2,$L255=""),"RETEST ROW HAS NO SCORE",IF(AND($H255="Final",$L255&lt;&gt;"",IFERROR(INDEX(nrCKfinalExamElig,MATCH($D255,rngCadetPIDs,0)),"")="No"),"FINAL EXAM AFTER FAILED FINAL PT (500.1.H)",IF(AND($K255=2,ISNUMBER($L255),COUNTIFS(nrES_PID,$D255,nrES_Code,$F255,nrES_Att,1)&gt;0,SUMIFS(nrES_Raw,nrES_PID,$D255,nrES_Code,$F255,nrES_Att,1)&gt;=$J255),"RETEST AFTER A PASSING FIRST ATTEMPT","OK"))))))))))</f>
        <v/>
      </c>
      <c r="Y255" s="16" t="n"/>
    </row>
    <row r="256">
      <c r="B256" s="17">
        <f>IF($C256="","",$D256&amp;"-"&amp;$F256&amp;"-"&amp;$K256)</f>
        <v/>
      </c>
      <c r="C256" s="16" t="n"/>
      <c r="D256" s="17">
        <f>IF($C256="","",IFERROR(INDEX(rngCadetPIDs,MATCH($C256,rngCadetNames,0)),"?"))</f>
        <v/>
      </c>
      <c r="E256" s="17">
        <f>IF($D256="","",IFERROR(INDEX(nrCadetAgency,MATCH($D256,rngCadetPIDs,0)),""))</f>
        <v/>
      </c>
      <c r="F256" s="16" t="n"/>
      <c r="G256" s="17">
        <f>IF($F256="","",IFERROR(INDEX(rngEPname,MATCH($F256,rngEPcode,0)),"?"))</f>
        <v/>
      </c>
      <c r="H256" s="17">
        <f>IF($F256="","",IFERROR(INDEX(rngEPtype,MATCH($F256,rngEPcode,0)),"?"))</f>
        <v/>
      </c>
      <c r="I256" s="17">
        <f>IF($F256="","",IFERROR(INDEX(rngEPseq,MATCH($F256,rngEPcode,0)),""))</f>
        <v/>
      </c>
      <c r="J256" s="17">
        <f>IF($F256="","",IFERROR(INDEX(rngEPpass,MATCH($F256,rngEPcode,0)),cfgPassingScore))</f>
        <v/>
      </c>
      <c r="K256" s="16" t="n"/>
      <c r="L256" s="16" t="n"/>
      <c r="M256" s="17">
        <f>IF($C256="","",IF($L256="","",IF(NOT(ISNUMBER($L256)),$L256,IF(N($K256)&gt;2,"",IF($K256=1,IF(COUNTIFS(nrES_PID,$D256,nrES_Code,$F256,nrES_Att,2,nrES_Raw,"&gt;=0")&gt;0,"",$L256),IF($L256&gt;=$J256,MAX($J256,cfgRetakeRecordedCap),IF(COUNTIFS(nrES_PID,$D256,nrES_Code,$F256,nrES_Att,1)=0,$L256,SUMIFS(nrES_Raw,nrES_PID,$D256,nrES_Code,$F256,nrES_Att,1))))))))</f>
        <v/>
      </c>
      <c r="N256" s="17">
        <f>IF($C256="","",IF($L256="","",IF(NOT(ISNUMBER($L256)),"(not a score)",IF($L256&gt;=$J256,"Yes","No"))))</f>
        <v/>
      </c>
      <c r="O256" s="17">
        <f>IF($C256="","",IF($M256="","",IF(NOT(ISNUMBER($M256)),"(not a score)",IF($M256&gt;=$J256,"Yes","No"))))</f>
        <v/>
      </c>
      <c r="P256" s="17">
        <f>IF($C256="","",IF($K256="","",IF(N($K256)&gt;2,"No",IF(COUNTIFS(nrES_PID,$D256,nrES_Code,$F256,nrES_Att,"&gt;"&amp;$K256,nrES_Att,"&lt;=2",nrES_Raw,"&gt;=0")=0,"Yes","No"))))</f>
        <v/>
      </c>
      <c r="Q256" s="17">
        <f>IF($C256="","",IF($L256="","",IF(AND($K256=1,ISNUMBER($L256),$L256&lt;$J256,COUNTIFS(nrES_PID,$D256,nrES_Code,$F256,nrES_Att,2,nrES_Raw,"&gt;=0")=0),"Yes","No")))</f>
        <v/>
      </c>
      <c r="R256" s="17">
        <f>IF($C256="","",IF($L256="","",IF(AND(N($K256)&gt;=2,ISNUMBER($L256),$L256&lt;$J256),"Yes","No")))</f>
        <v/>
      </c>
      <c r="S256" s="18" t="n"/>
      <c r="T256" s="19">
        <f>IF(OR($C256="",$L256="",$K256&lt;&gt;1,NOT(ISNUMBER($L256)),$L256&gt;=$J256),"",IF($S256="","(enter date)",_xlfn.LET(_xlpm.dn,_xlfn.XLOOKUP($S256,nrCDdate,nrCDnum,"",1),IF(_xlpm.dn="","(after last class day)",_xlfn.LET(_xlpm.dd,_xlfn.XLOOKUP(_xlpm.dn+cfgRetestClassDays,nrCDnum,nrCDdate,""),_xlpm.ok,_xlfn.XLOOKUP(_xlpm.dn+cfgRetestClassDays,nrCDnum,nrCDinsession,"No"),IF(OR(_xlpm.dd="",_xlpm.ok&lt;&gt;"Yes"),"(after last class day)",_xlpm.dd))))))</f>
        <v/>
      </c>
      <c r="U256" s="17">
        <f>IF($C256="","",IF(AND($Y256="Excused",$L256="",N($K256)&lt;=1),"EXCUSED - 1st attempt pending",IF(OR($L256="",$K256&lt;&gt;1,NOT(ISNUMBER($L256)),$L256&gt;=$J256),"",IF(COUNTIFS(nrES_PID,$D256,nrES_Code,$F256,nrES_Att,2,nrES_Raw,"&gt;=0")&gt;0,IF(IFERROR(_xlfn.MINIFS(nrES_Date,nrES_PID,$D256,nrES_Code,$F256,nrES_Att,2,nrES_Raw,"&gt;=0",nrES_Date,"&gt;0"),0)=0,"RETEST UNDATED",IF(NOT(ISNUMBER($T256)),"RETEST DATE UNCHECKED",IF(_xlfn.MINIFS(nrES_Date,nrES_PID,$D256,nrES_Code,$F256,nrES_Att,2,nrES_Raw,"&gt;=0",nrES_Date,"&gt;0")&gt;$T256,"LATE RETEST "&amp;TEXT(_xlfn.MINIFS(nrES_Date,nrES_PID,$D256,nrES_Code,$F256,nrES_Att,2,nrES_Raw,"&gt;=0",nrES_Date,"&gt;0"),"mm/dd")&amp;" (due "&amp;TEXT($T256,"mm/dd")&amp;")","Retested"))),IF(NOT(ISNUMBER($T256)),"CHECK DATE",IF(TODAY()&gt;$T256,"OVERDUE","Due "&amp;TEXT($T256,"mm/dd")))))))</f>
        <v/>
      </c>
      <c r="V256" s="16" t="n"/>
      <c r="W256" s="16" t="n"/>
      <c r="X256" s="17">
        <f>IF($C256="","",IF(AND($L256&lt;&gt;"",NOT(ISNUMBER($L256))),"RAW SCORE NOT A NUMBER",IF(AND(ISNUMBER($L256),OR($L256&lt;0,$L256&gt;100)),"RAW SCORE OUT OF RANGE",IF(AND($Y256="Unexcused",OR($L256="",NOT(ISNUMBER($L256)),$L256&lt;&gt;0)),"UNEXCUSED ABSENCE MUST RECORD 0",IF(COUNTIF(nrES_RecID,$B256)&gt;1,"DUPLICATE RECORD",IF(N($K256)&gt;2,"ATTEMPT 3+ NOT ALLOWED - policy 300.5 permits one retest per exam; this row records nothing",IF(AND($K256=2,COUNTIFS(nrES_PID,$D256,nrES_Code,$F256,nrES_Att,1)=0),"ATTEMPT 2 WITHOUT ATTEMPT 1",IF(AND($K256=2,$L256=""),"RETEST ROW HAS NO SCORE",IF(AND($H256="Final",$L256&lt;&gt;"",IFERROR(INDEX(nrCKfinalExamElig,MATCH($D256,rngCadetPIDs,0)),"")="No"),"FINAL EXAM AFTER FAILED FINAL PT (500.1.H)",IF(AND($K256=2,ISNUMBER($L256),COUNTIFS(nrES_PID,$D256,nrES_Code,$F256,nrES_Att,1)&gt;0,SUMIFS(nrES_Raw,nrES_PID,$D256,nrES_Code,$F256,nrES_Att,1)&gt;=$J256),"RETEST AFTER A PASSING FIRST ATTEMPT","OK"))))))))))</f>
        <v/>
      </c>
      <c r="Y256" s="16" t="n"/>
    </row>
    <row r="257">
      <c r="B257" s="17">
        <f>IF($C257="","",$D257&amp;"-"&amp;$F257&amp;"-"&amp;$K257)</f>
        <v/>
      </c>
      <c r="C257" s="16" t="n"/>
      <c r="D257" s="17">
        <f>IF($C257="","",IFERROR(INDEX(rngCadetPIDs,MATCH($C257,rngCadetNames,0)),"?"))</f>
        <v/>
      </c>
      <c r="E257" s="17">
        <f>IF($D257="","",IFERROR(INDEX(nrCadetAgency,MATCH($D257,rngCadetPIDs,0)),""))</f>
        <v/>
      </c>
      <c r="F257" s="16" t="n"/>
      <c r="G257" s="17">
        <f>IF($F257="","",IFERROR(INDEX(rngEPname,MATCH($F257,rngEPcode,0)),"?"))</f>
        <v/>
      </c>
      <c r="H257" s="17">
        <f>IF($F257="","",IFERROR(INDEX(rngEPtype,MATCH($F257,rngEPcode,0)),"?"))</f>
        <v/>
      </c>
      <c r="I257" s="17">
        <f>IF($F257="","",IFERROR(INDEX(rngEPseq,MATCH($F257,rngEPcode,0)),""))</f>
        <v/>
      </c>
      <c r="J257" s="17">
        <f>IF($F257="","",IFERROR(INDEX(rngEPpass,MATCH($F257,rngEPcode,0)),cfgPassingScore))</f>
        <v/>
      </c>
      <c r="K257" s="16" t="n"/>
      <c r="L257" s="16" t="n"/>
      <c r="M257" s="17">
        <f>IF($C257="","",IF($L257="","",IF(NOT(ISNUMBER($L257)),$L257,IF(N($K257)&gt;2,"",IF($K257=1,IF(COUNTIFS(nrES_PID,$D257,nrES_Code,$F257,nrES_Att,2,nrES_Raw,"&gt;=0")&gt;0,"",$L257),IF($L257&gt;=$J257,MAX($J257,cfgRetakeRecordedCap),IF(COUNTIFS(nrES_PID,$D257,nrES_Code,$F257,nrES_Att,1)=0,$L257,SUMIFS(nrES_Raw,nrES_PID,$D257,nrES_Code,$F257,nrES_Att,1))))))))</f>
        <v/>
      </c>
      <c r="N257" s="17">
        <f>IF($C257="","",IF($L257="","",IF(NOT(ISNUMBER($L257)),"(not a score)",IF($L257&gt;=$J257,"Yes","No"))))</f>
        <v/>
      </c>
      <c r="O257" s="17">
        <f>IF($C257="","",IF($M257="","",IF(NOT(ISNUMBER($M257)),"(not a score)",IF($M257&gt;=$J257,"Yes","No"))))</f>
        <v/>
      </c>
      <c r="P257" s="17">
        <f>IF($C257="","",IF($K257="","",IF(N($K257)&gt;2,"No",IF(COUNTIFS(nrES_PID,$D257,nrES_Code,$F257,nrES_Att,"&gt;"&amp;$K257,nrES_Att,"&lt;=2",nrES_Raw,"&gt;=0")=0,"Yes","No"))))</f>
        <v/>
      </c>
      <c r="Q257" s="17">
        <f>IF($C257="","",IF($L257="","",IF(AND($K257=1,ISNUMBER($L257),$L257&lt;$J257,COUNTIFS(nrES_PID,$D257,nrES_Code,$F257,nrES_Att,2,nrES_Raw,"&gt;=0")=0),"Yes","No")))</f>
        <v/>
      </c>
      <c r="R257" s="17">
        <f>IF($C257="","",IF($L257="","",IF(AND(N($K257)&gt;=2,ISNUMBER($L257),$L257&lt;$J257),"Yes","No")))</f>
        <v/>
      </c>
      <c r="S257" s="18" t="n"/>
      <c r="T257" s="19">
        <f>IF(OR($C257="",$L257="",$K257&lt;&gt;1,NOT(ISNUMBER($L257)),$L257&gt;=$J257),"",IF($S257="","(enter date)",_xlfn.LET(_xlpm.dn,_xlfn.XLOOKUP($S257,nrCDdate,nrCDnum,"",1),IF(_xlpm.dn="","(after last class day)",_xlfn.LET(_xlpm.dd,_xlfn.XLOOKUP(_xlpm.dn+cfgRetestClassDays,nrCDnum,nrCDdate,""),_xlpm.ok,_xlfn.XLOOKUP(_xlpm.dn+cfgRetestClassDays,nrCDnum,nrCDinsession,"No"),IF(OR(_xlpm.dd="",_xlpm.ok&lt;&gt;"Yes"),"(after last class day)",_xlpm.dd))))))</f>
        <v/>
      </c>
      <c r="U257" s="17">
        <f>IF($C257="","",IF(AND($Y257="Excused",$L257="",N($K257)&lt;=1),"EXCUSED - 1st attempt pending",IF(OR($L257="",$K257&lt;&gt;1,NOT(ISNUMBER($L257)),$L257&gt;=$J257),"",IF(COUNTIFS(nrES_PID,$D257,nrES_Code,$F257,nrES_Att,2,nrES_Raw,"&gt;=0")&gt;0,IF(IFERROR(_xlfn.MINIFS(nrES_Date,nrES_PID,$D257,nrES_Code,$F257,nrES_Att,2,nrES_Raw,"&gt;=0",nrES_Date,"&gt;0"),0)=0,"RETEST UNDATED",IF(NOT(ISNUMBER($T257)),"RETEST DATE UNCHECKED",IF(_xlfn.MINIFS(nrES_Date,nrES_PID,$D257,nrES_Code,$F257,nrES_Att,2,nrES_Raw,"&gt;=0",nrES_Date,"&gt;0")&gt;$T257,"LATE RETEST "&amp;TEXT(_xlfn.MINIFS(nrES_Date,nrES_PID,$D257,nrES_Code,$F257,nrES_Att,2,nrES_Raw,"&gt;=0",nrES_Date,"&gt;0"),"mm/dd")&amp;" (due "&amp;TEXT($T257,"mm/dd")&amp;")","Retested"))),IF(NOT(ISNUMBER($T257)),"CHECK DATE",IF(TODAY()&gt;$T257,"OVERDUE","Due "&amp;TEXT($T257,"mm/dd")))))))</f>
        <v/>
      </c>
      <c r="V257" s="16" t="n"/>
      <c r="W257" s="16" t="n"/>
      <c r="X257" s="17">
        <f>IF($C257="","",IF(AND($L257&lt;&gt;"",NOT(ISNUMBER($L257))),"RAW SCORE NOT A NUMBER",IF(AND(ISNUMBER($L257),OR($L257&lt;0,$L257&gt;100)),"RAW SCORE OUT OF RANGE",IF(AND($Y257="Unexcused",OR($L257="",NOT(ISNUMBER($L257)),$L257&lt;&gt;0)),"UNEXCUSED ABSENCE MUST RECORD 0",IF(COUNTIF(nrES_RecID,$B257)&gt;1,"DUPLICATE RECORD",IF(N($K257)&gt;2,"ATTEMPT 3+ NOT ALLOWED - policy 300.5 permits one retest per exam; this row records nothing",IF(AND($K257=2,COUNTIFS(nrES_PID,$D257,nrES_Code,$F257,nrES_Att,1)=0),"ATTEMPT 2 WITHOUT ATTEMPT 1",IF(AND($K257=2,$L257=""),"RETEST ROW HAS NO SCORE",IF(AND($H257="Final",$L257&lt;&gt;"",IFERROR(INDEX(nrCKfinalExamElig,MATCH($D257,rngCadetPIDs,0)),"")="No"),"FINAL EXAM AFTER FAILED FINAL PT (500.1.H)",IF(AND($K257=2,ISNUMBER($L257),COUNTIFS(nrES_PID,$D257,nrES_Code,$F257,nrES_Att,1)&gt;0,SUMIFS(nrES_Raw,nrES_PID,$D257,nrES_Code,$F257,nrES_Att,1)&gt;=$J257),"RETEST AFTER A PASSING FIRST ATTEMPT","OK"))))))))))</f>
        <v/>
      </c>
      <c r="Y257" s="16" t="n"/>
    </row>
    <row r="258">
      <c r="B258" s="17">
        <f>IF($C258="","",$D258&amp;"-"&amp;$F258&amp;"-"&amp;$K258)</f>
        <v/>
      </c>
      <c r="C258" s="16" t="n"/>
      <c r="D258" s="17">
        <f>IF($C258="","",IFERROR(INDEX(rngCadetPIDs,MATCH($C258,rngCadetNames,0)),"?"))</f>
        <v/>
      </c>
      <c r="E258" s="17">
        <f>IF($D258="","",IFERROR(INDEX(nrCadetAgency,MATCH($D258,rngCadetPIDs,0)),""))</f>
        <v/>
      </c>
      <c r="F258" s="16" t="n"/>
      <c r="G258" s="17">
        <f>IF($F258="","",IFERROR(INDEX(rngEPname,MATCH($F258,rngEPcode,0)),"?"))</f>
        <v/>
      </c>
      <c r="H258" s="17">
        <f>IF($F258="","",IFERROR(INDEX(rngEPtype,MATCH($F258,rngEPcode,0)),"?"))</f>
        <v/>
      </c>
      <c r="I258" s="17">
        <f>IF($F258="","",IFERROR(INDEX(rngEPseq,MATCH($F258,rngEPcode,0)),""))</f>
        <v/>
      </c>
      <c r="J258" s="17">
        <f>IF($F258="","",IFERROR(INDEX(rngEPpass,MATCH($F258,rngEPcode,0)),cfgPassingScore))</f>
        <v/>
      </c>
      <c r="K258" s="16" t="n"/>
      <c r="L258" s="16" t="n"/>
      <c r="M258" s="17">
        <f>IF($C258="","",IF($L258="","",IF(NOT(ISNUMBER($L258)),$L258,IF(N($K258)&gt;2,"",IF($K258=1,IF(COUNTIFS(nrES_PID,$D258,nrES_Code,$F258,nrES_Att,2,nrES_Raw,"&gt;=0")&gt;0,"",$L258),IF($L258&gt;=$J258,MAX($J258,cfgRetakeRecordedCap),IF(COUNTIFS(nrES_PID,$D258,nrES_Code,$F258,nrES_Att,1)=0,$L258,SUMIFS(nrES_Raw,nrES_PID,$D258,nrES_Code,$F258,nrES_Att,1))))))))</f>
        <v/>
      </c>
      <c r="N258" s="17">
        <f>IF($C258="","",IF($L258="","",IF(NOT(ISNUMBER($L258)),"(not a score)",IF($L258&gt;=$J258,"Yes","No"))))</f>
        <v/>
      </c>
      <c r="O258" s="17">
        <f>IF($C258="","",IF($M258="","",IF(NOT(ISNUMBER($M258)),"(not a score)",IF($M258&gt;=$J258,"Yes","No"))))</f>
        <v/>
      </c>
      <c r="P258" s="17">
        <f>IF($C258="","",IF($K258="","",IF(N($K258)&gt;2,"No",IF(COUNTIFS(nrES_PID,$D258,nrES_Code,$F258,nrES_Att,"&gt;"&amp;$K258,nrES_Att,"&lt;=2",nrES_Raw,"&gt;=0")=0,"Yes","No"))))</f>
        <v/>
      </c>
      <c r="Q258" s="17">
        <f>IF($C258="","",IF($L258="","",IF(AND($K258=1,ISNUMBER($L258),$L258&lt;$J258,COUNTIFS(nrES_PID,$D258,nrES_Code,$F258,nrES_Att,2,nrES_Raw,"&gt;=0")=0),"Yes","No")))</f>
        <v/>
      </c>
      <c r="R258" s="17">
        <f>IF($C258="","",IF($L258="","",IF(AND(N($K258)&gt;=2,ISNUMBER($L258),$L258&lt;$J258),"Yes","No")))</f>
        <v/>
      </c>
      <c r="S258" s="18" t="n"/>
      <c r="T258" s="19">
        <f>IF(OR($C258="",$L258="",$K258&lt;&gt;1,NOT(ISNUMBER($L258)),$L258&gt;=$J258),"",IF($S258="","(enter date)",_xlfn.LET(_xlpm.dn,_xlfn.XLOOKUP($S258,nrCDdate,nrCDnum,"",1),IF(_xlpm.dn="","(after last class day)",_xlfn.LET(_xlpm.dd,_xlfn.XLOOKUP(_xlpm.dn+cfgRetestClassDays,nrCDnum,nrCDdate,""),_xlpm.ok,_xlfn.XLOOKUP(_xlpm.dn+cfgRetestClassDays,nrCDnum,nrCDinsession,"No"),IF(OR(_xlpm.dd="",_xlpm.ok&lt;&gt;"Yes"),"(after last class day)",_xlpm.dd))))))</f>
        <v/>
      </c>
      <c r="U258" s="17">
        <f>IF($C258="","",IF(AND($Y258="Excused",$L258="",N($K258)&lt;=1),"EXCUSED - 1st attempt pending",IF(OR($L258="",$K258&lt;&gt;1,NOT(ISNUMBER($L258)),$L258&gt;=$J258),"",IF(COUNTIFS(nrES_PID,$D258,nrES_Code,$F258,nrES_Att,2,nrES_Raw,"&gt;=0")&gt;0,IF(IFERROR(_xlfn.MINIFS(nrES_Date,nrES_PID,$D258,nrES_Code,$F258,nrES_Att,2,nrES_Raw,"&gt;=0",nrES_Date,"&gt;0"),0)=0,"RETEST UNDATED",IF(NOT(ISNUMBER($T258)),"RETEST DATE UNCHECKED",IF(_xlfn.MINIFS(nrES_Date,nrES_PID,$D258,nrES_Code,$F258,nrES_Att,2,nrES_Raw,"&gt;=0",nrES_Date,"&gt;0")&gt;$T258,"LATE RETEST "&amp;TEXT(_xlfn.MINIFS(nrES_Date,nrES_PID,$D258,nrES_Code,$F258,nrES_Att,2,nrES_Raw,"&gt;=0",nrES_Date,"&gt;0"),"mm/dd")&amp;" (due "&amp;TEXT($T258,"mm/dd")&amp;")","Retested"))),IF(NOT(ISNUMBER($T258)),"CHECK DATE",IF(TODAY()&gt;$T258,"OVERDUE","Due "&amp;TEXT($T258,"mm/dd")))))))</f>
        <v/>
      </c>
      <c r="V258" s="16" t="n"/>
      <c r="W258" s="16" t="n"/>
      <c r="X258" s="17">
        <f>IF($C258="","",IF(AND($L258&lt;&gt;"",NOT(ISNUMBER($L258))),"RAW SCORE NOT A NUMBER",IF(AND(ISNUMBER($L258),OR($L258&lt;0,$L258&gt;100)),"RAW SCORE OUT OF RANGE",IF(AND($Y258="Unexcused",OR($L258="",NOT(ISNUMBER($L258)),$L258&lt;&gt;0)),"UNEXCUSED ABSENCE MUST RECORD 0",IF(COUNTIF(nrES_RecID,$B258)&gt;1,"DUPLICATE RECORD",IF(N($K258)&gt;2,"ATTEMPT 3+ NOT ALLOWED - policy 300.5 permits one retest per exam; this row records nothing",IF(AND($K258=2,COUNTIFS(nrES_PID,$D258,nrES_Code,$F258,nrES_Att,1)=0),"ATTEMPT 2 WITHOUT ATTEMPT 1",IF(AND($K258=2,$L258=""),"RETEST ROW HAS NO SCORE",IF(AND($H258="Final",$L258&lt;&gt;"",IFERROR(INDEX(nrCKfinalExamElig,MATCH($D258,rngCadetPIDs,0)),"")="No"),"FINAL EXAM AFTER FAILED FINAL PT (500.1.H)",IF(AND($K258=2,ISNUMBER($L258),COUNTIFS(nrES_PID,$D258,nrES_Code,$F258,nrES_Att,1)&gt;0,SUMIFS(nrES_Raw,nrES_PID,$D258,nrES_Code,$F258,nrES_Att,1)&gt;=$J258),"RETEST AFTER A PASSING FIRST ATTEMPT","OK"))))))))))</f>
        <v/>
      </c>
      <c r="Y258" s="16" t="n"/>
    </row>
    <row r="259">
      <c r="B259" s="17">
        <f>IF($C259="","",$D259&amp;"-"&amp;$F259&amp;"-"&amp;$K259)</f>
        <v/>
      </c>
      <c r="C259" s="16" t="n"/>
      <c r="D259" s="17">
        <f>IF($C259="","",IFERROR(INDEX(rngCadetPIDs,MATCH($C259,rngCadetNames,0)),"?"))</f>
        <v/>
      </c>
      <c r="E259" s="17">
        <f>IF($D259="","",IFERROR(INDEX(nrCadetAgency,MATCH($D259,rngCadetPIDs,0)),""))</f>
        <v/>
      </c>
      <c r="F259" s="16" t="n"/>
      <c r="G259" s="17">
        <f>IF($F259="","",IFERROR(INDEX(rngEPname,MATCH($F259,rngEPcode,0)),"?"))</f>
        <v/>
      </c>
      <c r="H259" s="17">
        <f>IF($F259="","",IFERROR(INDEX(rngEPtype,MATCH($F259,rngEPcode,0)),"?"))</f>
        <v/>
      </c>
      <c r="I259" s="17">
        <f>IF($F259="","",IFERROR(INDEX(rngEPseq,MATCH($F259,rngEPcode,0)),""))</f>
        <v/>
      </c>
      <c r="J259" s="17">
        <f>IF($F259="","",IFERROR(INDEX(rngEPpass,MATCH($F259,rngEPcode,0)),cfgPassingScore))</f>
        <v/>
      </c>
      <c r="K259" s="16" t="n"/>
      <c r="L259" s="16" t="n"/>
      <c r="M259" s="17">
        <f>IF($C259="","",IF($L259="","",IF(NOT(ISNUMBER($L259)),$L259,IF(N($K259)&gt;2,"",IF($K259=1,IF(COUNTIFS(nrES_PID,$D259,nrES_Code,$F259,nrES_Att,2,nrES_Raw,"&gt;=0")&gt;0,"",$L259),IF($L259&gt;=$J259,MAX($J259,cfgRetakeRecordedCap),IF(COUNTIFS(nrES_PID,$D259,nrES_Code,$F259,nrES_Att,1)=0,$L259,SUMIFS(nrES_Raw,nrES_PID,$D259,nrES_Code,$F259,nrES_Att,1))))))))</f>
        <v/>
      </c>
      <c r="N259" s="17">
        <f>IF($C259="","",IF($L259="","",IF(NOT(ISNUMBER($L259)),"(not a score)",IF($L259&gt;=$J259,"Yes","No"))))</f>
        <v/>
      </c>
      <c r="O259" s="17">
        <f>IF($C259="","",IF($M259="","",IF(NOT(ISNUMBER($M259)),"(not a score)",IF($M259&gt;=$J259,"Yes","No"))))</f>
        <v/>
      </c>
      <c r="P259" s="17">
        <f>IF($C259="","",IF($K259="","",IF(N($K259)&gt;2,"No",IF(COUNTIFS(nrES_PID,$D259,nrES_Code,$F259,nrES_Att,"&gt;"&amp;$K259,nrES_Att,"&lt;=2",nrES_Raw,"&gt;=0")=0,"Yes","No"))))</f>
        <v/>
      </c>
      <c r="Q259" s="17">
        <f>IF($C259="","",IF($L259="","",IF(AND($K259=1,ISNUMBER($L259),$L259&lt;$J259,COUNTIFS(nrES_PID,$D259,nrES_Code,$F259,nrES_Att,2,nrES_Raw,"&gt;=0")=0),"Yes","No")))</f>
        <v/>
      </c>
      <c r="R259" s="17">
        <f>IF($C259="","",IF($L259="","",IF(AND(N($K259)&gt;=2,ISNUMBER($L259),$L259&lt;$J259),"Yes","No")))</f>
        <v/>
      </c>
      <c r="S259" s="18" t="n"/>
      <c r="T259" s="19">
        <f>IF(OR($C259="",$L259="",$K259&lt;&gt;1,NOT(ISNUMBER($L259)),$L259&gt;=$J259),"",IF($S259="","(enter date)",_xlfn.LET(_xlpm.dn,_xlfn.XLOOKUP($S259,nrCDdate,nrCDnum,"",1),IF(_xlpm.dn="","(after last class day)",_xlfn.LET(_xlpm.dd,_xlfn.XLOOKUP(_xlpm.dn+cfgRetestClassDays,nrCDnum,nrCDdate,""),_xlpm.ok,_xlfn.XLOOKUP(_xlpm.dn+cfgRetestClassDays,nrCDnum,nrCDinsession,"No"),IF(OR(_xlpm.dd="",_xlpm.ok&lt;&gt;"Yes"),"(after last class day)",_xlpm.dd))))))</f>
        <v/>
      </c>
      <c r="U259" s="17">
        <f>IF($C259="","",IF(AND($Y259="Excused",$L259="",N($K259)&lt;=1),"EXCUSED - 1st attempt pending",IF(OR($L259="",$K259&lt;&gt;1,NOT(ISNUMBER($L259)),$L259&gt;=$J259),"",IF(COUNTIFS(nrES_PID,$D259,nrES_Code,$F259,nrES_Att,2,nrES_Raw,"&gt;=0")&gt;0,IF(IFERROR(_xlfn.MINIFS(nrES_Date,nrES_PID,$D259,nrES_Code,$F259,nrES_Att,2,nrES_Raw,"&gt;=0",nrES_Date,"&gt;0"),0)=0,"RETEST UNDATED",IF(NOT(ISNUMBER($T259)),"RETEST DATE UNCHECKED",IF(_xlfn.MINIFS(nrES_Date,nrES_PID,$D259,nrES_Code,$F259,nrES_Att,2,nrES_Raw,"&gt;=0",nrES_Date,"&gt;0")&gt;$T259,"LATE RETEST "&amp;TEXT(_xlfn.MINIFS(nrES_Date,nrES_PID,$D259,nrES_Code,$F259,nrES_Att,2,nrES_Raw,"&gt;=0",nrES_Date,"&gt;0"),"mm/dd")&amp;" (due "&amp;TEXT($T259,"mm/dd")&amp;")","Retested"))),IF(NOT(ISNUMBER($T259)),"CHECK DATE",IF(TODAY()&gt;$T259,"OVERDUE","Due "&amp;TEXT($T259,"mm/dd")))))))</f>
        <v/>
      </c>
      <c r="V259" s="16" t="n"/>
      <c r="W259" s="16" t="n"/>
      <c r="X259" s="17">
        <f>IF($C259="","",IF(AND($L259&lt;&gt;"",NOT(ISNUMBER($L259))),"RAW SCORE NOT A NUMBER",IF(AND(ISNUMBER($L259),OR($L259&lt;0,$L259&gt;100)),"RAW SCORE OUT OF RANGE",IF(AND($Y259="Unexcused",OR($L259="",NOT(ISNUMBER($L259)),$L259&lt;&gt;0)),"UNEXCUSED ABSENCE MUST RECORD 0",IF(COUNTIF(nrES_RecID,$B259)&gt;1,"DUPLICATE RECORD",IF(N($K259)&gt;2,"ATTEMPT 3+ NOT ALLOWED - policy 300.5 permits one retest per exam; this row records nothing",IF(AND($K259=2,COUNTIFS(nrES_PID,$D259,nrES_Code,$F259,nrES_Att,1)=0),"ATTEMPT 2 WITHOUT ATTEMPT 1",IF(AND($K259=2,$L259=""),"RETEST ROW HAS NO SCORE",IF(AND($H259="Final",$L259&lt;&gt;"",IFERROR(INDEX(nrCKfinalExamElig,MATCH($D259,rngCadetPIDs,0)),"")="No"),"FINAL EXAM AFTER FAILED FINAL PT (500.1.H)",IF(AND($K259=2,ISNUMBER($L259),COUNTIFS(nrES_PID,$D259,nrES_Code,$F259,nrES_Att,1)&gt;0,SUMIFS(nrES_Raw,nrES_PID,$D259,nrES_Code,$F259,nrES_Att,1)&gt;=$J259),"RETEST AFTER A PASSING FIRST ATTEMPT","OK"))))))))))</f>
        <v/>
      </c>
      <c r="Y259" s="16" t="n"/>
    </row>
    <row r="260">
      <c r="B260" s="17">
        <f>IF($C260="","",$D260&amp;"-"&amp;$F260&amp;"-"&amp;$K260)</f>
        <v/>
      </c>
      <c r="C260" s="16" t="n"/>
      <c r="D260" s="17">
        <f>IF($C260="","",IFERROR(INDEX(rngCadetPIDs,MATCH($C260,rngCadetNames,0)),"?"))</f>
        <v/>
      </c>
      <c r="E260" s="17">
        <f>IF($D260="","",IFERROR(INDEX(nrCadetAgency,MATCH($D260,rngCadetPIDs,0)),""))</f>
        <v/>
      </c>
      <c r="F260" s="16" t="n"/>
      <c r="G260" s="17">
        <f>IF($F260="","",IFERROR(INDEX(rngEPname,MATCH($F260,rngEPcode,0)),"?"))</f>
        <v/>
      </c>
      <c r="H260" s="17">
        <f>IF($F260="","",IFERROR(INDEX(rngEPtype,MATCH($F260,rngEPcode,0)),"?"))</f>
        <v/>
      </c>
      <c r="I260" s="17">
        <f>IF($F260="","",IFERROR(INDEX(rngEPseq,MATCH($F260,rngEPcode,0)),""))</f>
        <v/>
      </c>
      <c r="J260" s="17">
        <f>IF($F260="","",IFERROR(INDEX(rngEPpass,MATCH($F260,rngEPcode,0)),cfgPassingScore))</f>
        <v/>
      </c>
      <c r="K260" s="16" t="n"/>
      <c r="L260" s="16" t="n"/>
      <c r="M260" s="17">
        <f>IF($C260="","",IF($L260="","",IF(NOT(ISNUMBER($L260)),$L260,IF(N($K260)&gt;2,"",IF($K260=1,IF(COUNTIFS(nrES_PID,$D260,nrES_Code,$F260,nrES_Att,2,nrES_Raw,"&gt;=0")&gt;0,"",$L260),IF($L260&gt;=$J260,MAX($J260,cfgRetakeRecordedCap),IF(COUNTIFS(nrES_PID,$D260,nrES_Code,$F260,nrES_Att,1)=0,$L260,SUMIFS(nrES_Raw,nrES_PID,$D260,nrES_Code,$F260,nrES_Att,1))))))))</f>
        <v/>
      </c>
      <c r="N260" s="17">
        <f>IF($C260="","",IF($L260="","",IF(NOT(ISNUMBER($L260)),"(not a score)",IF($L260&gt;=$J260,"Yes","No"))))</f>
        <v/>
      </c>
      <c r="O260" s="17">
        <f>IF($C260="","",IF($M260="","",IF(NOT(ISNUMBER($M260)),"(not a score)",IF($M260&gt;=$J260,"Yes","No"))))</f>
        <v/>
      </c>
      <c r="P260" s="17">
        <f>IF($C260="","",IF($K260="","",IF(N($K260)&gt;2,"No",IF(COUNTIFS(nrES_PID,$D260,nrES_Code,$F260,nrES_Att,"&gt;"&amp;$K260,nrES_Att,"&lt;=2",nrES_Raw,"&gt;=0")=0,"Yes","No"))))</f>
        <v/>
      </c>
      <c r="Q260" s="17">
        <f>IF($C260="","",IF($L260="","",IF(AND($K260=1,ISNUMBER($L260),$L260&lt;$J260,COUNTIFS(nrES_PID,$D260,nrES_Code,$F260,nrES_Att,2,nrES_Raw,"&gt;=0")=0),"Yes","No")))</f>
        <v/>
      </c>
      <c r="R260" s="17">
        <f>IF($C260="","",IF($L260="","",IF(AND(N($K260)&gt;=2,ISNUMBER($L260),$L260&lt;$J260),"Yes","No")))</f>
        <v/>
      </c>
      <c r="S260" s="18" t="n"/>
      <c r="T260" s="19">
        <f>IF(OR($C260="",$L260="",$K260&lt;&gt;1,NOT(ISNUMBER($L260)),$L260&gt;=$J260),"",IF($S260="","(enter date)",_xlfn.LET(_xlpm.dn,_xlfn.XLOOKUP($S260,nrCDdate,nrCDnum,"",1),IF(_xlpm.dn="","(after last class day)",_xlfn.LET(_xlpm.dd,_xlfn.XLOOKUP(_xlpm.dn+cfgRetestClassDays,nrCDnum,nrCDdate,""),_xlpm.ok,_xlfn.XLOOKUP(_xlpm.dn+cfgRetestClassDays,nrCDnum,nrCDinsession,"No"),IF(OR(_xlpm.dd="",_xlpm.ok&lt;&gt;"Yes"),"(after last class day)",_xlpm.dd))))))</f>
        <v/>
      </c>
      <c r="U260" s="17">
        <f>IF($C260="","",IF(AND($Y260="Excused",$L260="",N($K260)&lt;=1),"EXCUSED - 1st attempt pending",IF(OR($L260="",$K260&lt;&gt;1,NOT(ISNUMBER($L260)),$L260&gt;=$J260),"",IF(COUNTIFS(nrES_PID,$D260,nrES_Code,$F260,nrES_Att,2,nrES_Raw,"&gt;=0")&gt;0,IF(IFERROR(_xlfn.MINIFS(nrES_Date,nrES_PID,$D260,nrES_Code,$F260,nrES_Att,2,nrES_Raw,"&gt;=0",nrES_Date,"&gt;0"),0)=0,"RETEST UNDATED",IF(NOT(ISNUMBER($T260)),"RETEST DATE UNCHECKED",IF(_xlfn.MINIFS(nrES_Date,nrES_PID,$D260,nrES_Code,$F260,nrES_Att,2,nrES_Raw,"&gt;=0",nrES_Date,"&gt;0")&gt;$T260,"LATE RETEST "&amp;TEXT(_xlfn.MINIFS(nrES_Date,nrES_PID,$D260,nrES_Code,$F260,nrES_Att,2,nrES_Raw,"&gt;=0",nrES_Date,"&gt;0"),"mm/dd")&amp;" (due "&amp;TEXT($T260,"mm/dd")&amp;")","Retested"))),IF(NOT(ISNUMBER($T260)),"CHECK DATE",IF(TODAY()&gt;$T260,"OVERDUE","Due "&amp;TEXT($T260,"mm/dd")))))))</f>
        <v/>
      </c>
      <c r="V260" s="16" t="n"/>
      <c r="W260" s="16" t="n"/>
      <c r="X260" s="17">
        <f>IF($C260="","",IF(AND($L260&lt;&gt;"",NOT(ISNUMBER($L260))),"RAW SCORE NOT A NUMBER",IF(AND(ISNUMBER($L260),OR($L260&lt;0,$L260&gt;100)),"RAW SCORE OUT OF RANGE",IF(AND($Y260="Unexcused",OR($L260="",NOT(ISNUMBER($L260)),$L260&lt;&gt;0)),"UNEXCUSED ABSENCE MUST RECORD 0",IF(COUNTIF(nrES_RecID,$B260)&gt;1,"DUPLICATE RECORD",IF(N($K260)&gt;2,"ATTEMPT 3+ NOT ALLOWED - policy 300.5 permits one retest per exam; this row records nothing",IF(AND($K260=2,COUNTIFS(nrES_PID,$D260,nrES_Code,$F260,nrES_Att,1)=0),"ATTEMPT 2 WITHOUT ATTEMPT 1",IF(AND($K260=2,$L260=""),"RETEST ROW HAS NO SCORE",IF(AND($H260="Final",$L260&lt;&gt;"",IFERROR(INDEX(nrCKfinalExamElig,MATCH($D260,rngCadetPIDs,0)),"")="No"),"FINAL EXAM AFTER FAILED FINAL PT (500.1.H)",IF(AND($K260=2,ISNUMBER($L260),COUNTIFS(nrES_PID,$D260,nrES_Code,$F260,nrES_Att,1)&gt;0,SUMIFS(nrES_Raw,nrES_PID,$D260,nrES_Code,$F260,nrES_Att,1)&gt;=$J260),"RETEST AFTER A PASSING FIRST ATTEMPT","OK"))))))))))</f>
        <v/>
      </c>
      <c r="Y260" s="16" t="n"/>
    </row>
    <row r="261">
      <c r="B261" s="17">
        <f>IF($C261="","",$D261&amp;"-"&amp;$F261&amp;"-"&amp;$K261)</f>
        <v/>
      </c>
      <c r="C261" s="16" t="n"/>
      <c r="D261" s="17">
        <f>IF($C261="","",IFERROR(INDEX(rngCadetPIDs,MATCH($C261,rngCadetNames,0)),"?"))</f>
        <v/>
      </c>
      <c r="E261" s="17">
        <f>IF($D261="","",IFERROR(INDEX(nrCadetAgency,MATCH($D261,rngCadetPIDs,0)),""))</f>
        <v/>
      </c>
      <c r="F261" s="16" t="n"/>
      <c r="G261" s="17">
        <f>IF($F261="","",IFERROR(INDEX(rngEPname,MATCH($F261,rngEPcode,0)),"?"))</f>
        <v/>
      </c>
      <c r="H261" s="17">
        <f>IF($F261="","",IFERROR(INDEX(rngEPtype,MATCH($F261,rngEPcode,0)),"?"))</f>
        <v/>
      </c>
      <c r="I261" s="17">
        <f>IF($F261="","",IFERROR(INDEX(rngEPseq,MATCH($F261,rngEPcode,0)),""))</f>
        <v/>
      </c>
      <c r="J261" s="17">
        <f>IF($F261="","",IFERROR(INDEX(rngEPpass,MATCH($F261,rngEPcode,0)),cfgPassingScore))</f>
        <v/>
      </c>
      <c r="K261" s="16" t="n"/>
      <c r="L261" s="16" t="n"/>
      <c r="M261" s="17">
        <f>IF($C261="","",IF($L261="","",IF(NOT(ISNUMBER($L261)),$L261,IF(N($K261)&gt;2,"",IF($K261=1,IF(COUNTIFS(nrES_PID,$D261,nrES_Code,$F261,nrES_Att,2,nrES_Raw,"&gt;=0")&gt;0,"",$L261),IF($L261&gt;=$J261,MAX($J261,cfgRetakeRecordedCap),IF(COUNTIFS(nrES_PID,$D261,nrES_Code,$F261,nrES_Att,1)=0,$L261,SUMIFS(nrES_Raw,nrES_PID,$D261,nrES_Code,$F261,nrES_Att,1))))))))</f>
        <v/>
      </c>
      <c r="N261" s="17">
        <f>IF($C261="","",IF($L261="","",IF(NOT(ISNUMBER($L261)),"(not a score)",IF($L261&gt;=$J261,"Yes","No"))))</f>
        <v/>
      </c>
      <c r="O261" s="17">
        <f>IF($C261="","",IF($M261="","",IF(NOT(ISNUMBER($M261)),"(not a score)",IF($M261&gt;=$J261,"Yes","No"))))</f>
        <v/>
      </c>
      <c r="P261" s="17">
        <f>IF($C261="","",IF($K261="","",IF(N($K261)&gt;2,"No",IF(COUNTIFS(nrES_PID,$D261,nrES_Code,$F261,nrES_Att,"&gt;"&amp;$K261,nrES_Att,"&lt;=2",nrES_Raw,"&gt;=0")=0,"Yes","No"))))</f>
        <v/>
      </c>
      <c r="Q261" s="17">
        <f>IF($C261="","",IF($L261="","",IF(AND($K261=1,ISNUMBER($L261),$L261&lt;$J261,COUNTIFS(nrES_PID,$D261,nrES_Code,$F261,nrES_Att,2,nrES_Raw,"&gt;=0")=0),"Yes","No")))</f>
        <v/>
      </c>
      <c r="R261" s="17">
        <f>IF($C261="","",IF($L261="","",IF(AND(N($K261)&gt;=2,ISNUMBER($L261),$L261&lt;$J261),"Yes","No")))</f>
        <v/>
      </c>
      <c r="S261" s="18" t="n"/>
      <c r="T261" s="19">
        <f>IF(OR($C261="",$L261="",$K261&lt;&gt;1,NOT(ISNUMBER($L261)),$L261&gt;=$J261),"",IF($S261="","(enter date)",_xlfn.LET(_xlpm.dn,_xlfn.XLOOKUP($S261,nrCDdate,nrCDnum,"",1),IF(_xlpm.dn="","(after last class day)",_xlfn.LET(_xlpm.dd,_xlfn.XLOOKUP(_xlpm.dn+cfgRetestClassDays,nrCDnum,nrCDdate,""),_xlpm.ok,_xlfn.XLOOKUP(_xlpm.dn+cfgRetestClassDays,nrCDnum,nrCDinsession,"No"),IF(OR(_xlpm.dd="",_xlpm.ok&lt;&gt;"Yes"),"(after last class day)",_xlpm.dd))))))</f>
        <v/>
      </c>
      <c r="U261" s="17">
        <f>IF($C261="","",IF(AND($Y261="Excused",$L261="",N($K261)&lt;=1),"EXCUSED - 1st attempt pending",IF(OR($L261="",$K261&lt;&gt;1,NOT(ISNUMBER($L261)),$L261&gt;=$J261),"",IF(COUNTIFS(nrES_PID,$D261,nrES_Code,$F261,nrES_Att,2,nrES_Raw,"&gt;=0")&gt;0,IF(IFERROR(_xlfn.MINIFS(nrES_Date,nrES_PID,$D261,nrES_Code,$F261,nrES_Att,2,nrES_Raw,"&gt;=0",nrES_Date,"&gt;0"),0)=0,"RETEST UNDATED",IF(NOT(ISNUMBER($T261)),"RETEST DATE UNCHECKED",IF(_xlfn.MINIFS(nrES_Date,nrES_PID,$D261,nrES_Code,$F261,nrES_Att,2,nrES_Raw,"&gt;=0",nrES_Date,"&gt;0")&gt;$T261,"LATE RETEST "&amp;TEXT(_xlfn.MINIFS(nrES_Date,nrES_PID,$D261,nrES_Code,$F261,nrES_Att,2,nrES_Raw,"&gt;=0",nrES_Date,"&gt;0"),"mm/dd")&amp;" (due "&amp;TEXT($T261,"mm/dd")&amp;")","Retested"))),IF(NOT(ISNUMBER($T261)),"CHECK DATE",IF(TODAY()&gt;$T261,"OVERDUE","Due "&amp;TEXT($T261,"mm/dd")))))))</f>
        <v/>
      </c>
      <c r="V261" s="16" t="n"/>
      <c r="W261" s="16" t="n"/>
      <c r="X261" s="17">
        <f>IF($C261="","",IF(AND($L261&lt;&gt;"",NOT(ISNUMBER($L261))),"RAW SCORE NOT A NUMBER",IF(AND(ISNUMBER($L261),OR($L261&lt;0,$L261&gt;100)),"RAW SCORE OUT OF RANGE",IF(AND($Y261="Unexcused",OR($L261="",NOT(ISNUMBER($L261)),$L261&lt;&gt;0)),"UNEXCUSED ABSENCE MUST RECORD 0",IF(COUNTIF(nrES_RecID,$B261)&gt;1,"DUPLICATE RECORD",IF(N($K261)&gt;2,"ATTEMPT 3+ NOT ALLOWED - policy 300.5 permits one retest per exam; this row records nothing",IF(AND($K261=2,COUNTIFS(nrES_PID,$D261,nrES_Code,$F261,nrES_Att,1)=0),"ATTEMPT 2 WITHOUT ATTEMPT 1",IF(AND($K261=2,$L261=""),"RETEST ROW HAS NO SCORE",IF(AND($H261="Final",$L261&lt;&gt;"",IFERROR(INDEX(nrCKfinalExamElig,MATCH($D261,rngCadetPIDs,0)),"")="No"),"FINAL EXAM AFTER FAILED FINAL PT (500.1.H)",IF(AND($K261=2,ISNUMBER($L261),COUNTIFS(nrES_PID,$D261,nrES_Code,$F261,nrES_Att,1)&gt;0,SUMIFS(nrES_Raw,nrES_PID,$D261,nrES_Code,$F261,nrES_Att,1)&gt;=$J261),"RETEST AFTER A PASSING FIRST ATTEMPT","OK"))))))))))</f>
        <v/>
      </c>
      <c r="Y261" s="16" t="n"/>
    </row>
    <row r="262">
      <c r="B262" s="17">
        <f>IF($C262="","",$D262&amp;"-"&amp;$F262&amp;"-"&amp;$K262)</f>
        <v/>
      </c>
      <c r="C262" s="16" t="n"/>
      <c r="D262" s="17">
        <f>IF($C262="","",IFERROR(INDEX(rngCadetPIDs,MATCH($C262,rngCadetNames,0)),"?"))</f>
        <v/>
      </c>
      <c r="E262" s="17">
        <f>IF($D262="","",IFERROR(INDEX(nrCadetAgency,MATCH($D262,rngCadetPIDs,0)),""))</f>
        <v/>
      </c>
      <c r="F262" s="16" t="n"/>
      <c r="G262" s="17">
        <f>IF($F262="","",IFERROR(INDEX(rngEPname,MATCH($F262,rngEPcode,0)),"?"))</f>
        <v/>
      </c>
      <c r="H262" s="17">
        <f>IF($F262="","",IFERROR(INDEX(rngEPtype,MATCH($F262,rngEPcode,0)),"?"))</f>
        <v/>
      </c>
      <c r="I262" s="17">
        <f>IF($F262="","",IFERROR(INDEX(rngEPseq,MATCH($F262,rngEPcode,0)),""))</f>
        <v/>
      </c>
      <c r="J262" s="17">
        <f>IF($F262="","",IFERROR(INDEX(rngEPpass,MATCH($F262,rngEPcode,0)),cfgPassingScore))</f>
        <v/>
      </c>
      <c r="K262" s="16" t="n"/>
      <c r="L262" s="16" t="n"/>
      <c r="M262" s="17">
        <f>IF($C262="","",IF($L262="","",IF(NOT(ISNUMBER($L262)),$L262,IF(N($K262)&gt;2,"",IF($K262=1,IF(COUNTIFS(nrES_PID,$D262,nrES_Code,$F262,nrES_Att,2,nrES_Raw,"&gt;=0")&gt;0,"",$L262),IF($L262&gt;=$J262,MAX($J262,cfgRetakeRecordedCap),IF(COUNTIFS(nrES_PID,$D262,nrES_Code,$F262,nrES_Att,1)=0,$L262,SUMIFS(nrES_Raw,nrES_PID,$D262,nrES_Code,$F262,nrES_Att,1))))))))</f>
        <v/>
      </c>
      <c r="N262" s="17">
        <f>IF($C262="","",IF($L262="","",IF(NOT(ISNUMBER($L262)),"(not a score)",IF($L262&gt;=$J262,"Yes","No"))))</f>
        <v/>
      </c>
      <c r="O262" s="17">
        <f>IF($C262="","",IF($M262="","",IF(NOT(ISNUMBER($M262)),"(not a score)",IF($M262&gt;=$J262,"Yes","No"))))</f>
        <v/>
      </c>
      <c r="P262" s="17">
        <f>IF($C262="","",IF($K262="","",IF(N($K262)&gt;2,"No",IF(COUNTIFS(nrES_PID,$D262,nrES_Code,$F262,nrES_Att,"&gt;"&amp;$K262,nrES_Att,"&lt;=2",nrES_Raw,"&gt;=0")=0,"Yes","No"))))</f>
        <v/>
      </c>
      <c r="Q262" s="17">
        <f>IF($C262="","",IF($L262="","",IF(AND($K262=1,ISNUMBER($L262),$L262&lt;$J262,COUNTIFS(nrES_PID,$D262,nrES_Code,$F262,nrES_Att,2,nrES_Raw,"&gt;=0")=0),"Yes","No")))</f>
        <v/>
      </c>
      <c r="R262" s="17">
        <f>IF($C262="","",IF($L262="","",IF(AND(N($K262)&gt;=2,ISNUMBER($L262),$L262&lt;$J262),"Yes","No")))</f>
        <v/>
      </c>
      <c r="S262" s="18" t="n"/>
      <c r="T262" s="19">
        <f>IF(OR($C262="",$L262="",$K262&lt;&gt;1,NOT(ISNUMBER($L262)),$L262&gt;=$J262),"",IF($S262="","(enter date)",_xlfn.LET(_xlpm.dn,_xlfn.XLOOKUP($S262,nrCDdate,nrCDnum,"",1),IF(_xlpm.dn="","(after last class day)",_xlfn.LET(_xlpm.dd,_xlfn.XLOOKUP(_xlpm.dn+cfgRetestClassDays,nrCDnum,nrCDdate,""),_xlpm.ok,_xlfn.XLOOKUP(_xlpm.dn+cfgRetestClassDays,nrCDnum,nrCDinsession,"No"),IF(OR(_xlpm.dd="",_xlpm.ok&lt;&gt;"Yes"),"(after last class day)",_xlpm.dd))))))</f>
        <v/>
      </c>
      <c r="U262" s="17">
        <f>IF($C262="","",IF(AND($Y262="Excused",$L262="",N($K262)&lt;=1),"EXCUSED - 1st attempt pending",IF(OR($L262="",$K262&lt;&gt;1,NOT(ISNUMBER($L262)),$L262&gt;=$J262),"",IF(COUNTIFS(nrES_PID,$D262,nrES_Code,$F262,nrES_Att,2,nrES_Raw,"&gt;=0")&gt;0,IF(IFERROR(_xlfn.MINIFS(nrES_Date,nrES_PID,$D262,nrES_Code,$F262,nrES_Att,2,nrES_Raw,"&gt;=0",nrES_Date,"&gt;0"),0)=0,"RETEST UNDATED",IF(NOT(ISNUMBER($T262)),"RETEST DATE UNCHECKED",IF(_xlfn.MINIFS(nrES_Date,nrES_PID,$D262,nrES_Code,$F262,nrES_Att,2,nrES_Raw,"&gt;=0",nrES_Date,"&gt;0")&gt;$T262,"LATE RETEST "&amp;TEXT(_xlfn.MINIFS(nrES_Date,nrES_PID,$D262,nrES_Code,$F262,nrES_Att,2,nrES_Raw,"&gt;=0",nrES_Date,"&gt;0"),"mm/dd")&amp;" (due "&amp;TEXT($T262,"mm/dd")&amp;")","Retested"))),IF(NOT(ISNUMBER($T262)),"CHECK DATE",IF(TODAY()&gt;$T262,"OVERDUE","Due "&amp;TEXT($T262,"mm/dd")))))))</f>
        <v/>
      </c>
      <c r="V262" s="16" t="n"/>
      <c r="W262" s="16" t="n"/>
      <c r="X262" s="17">
        <f>IF($C262="","",IF(AND($L262&lt;&gt;"",NOT(ISNUMBER($L262))),"RAW SCORE NOT A NUMBER",IF(AND(ISNUMBER($L262),OR($L262&lt;0,$L262&gt;100)),"RAW SCORE OUT OF RANGE",IF(AND($Y262="Unexcused",OR($L262="",NOT(ISNUMBER($L262)),$L262&lt;&gt;0)),"UNEXCUSED ABSENCE MUST RECORD 0",IF(COUNTIF(nrES_RecID,$B262)&gt;1,"DUPLICATE RECORD",IF(N($K262)&gt;2,"ATTEMPT 3+ NOT ALLOWED - policy 300.5 permits one retest per exam; this row records nothing",IF(AND($K262=2,COUNTIFS(nrES_PID,$D262,nrES_Code,$F262,nrES_Att,1)=0),"ATTEMPT 2 WITHOUT ATTEMPT 1",IF(AND($K262=2,$L262=""),"RETEST ROW HAS NO SCORE",IF(AND($H262="Final",$L262&lt;&gt;"",IFERROR(INDEX(nrCKfinalExamElig,MATCH($D262,rngCadetPIDs,0)),"")="No"),"FINAL EXAM AFTER FAILED FINAL PT (500.1.H)",IF(AND($K262=2,ISNUMBER($L262),COUNTIFS(nrES_PID,$D262,nrES_Code,$F262,nrES_Att,1)&gt;0,SUMIFS(nrES_Raw,nrES_PID,$D262,nrES_Code,$F262,nrES_Att,1)&gt;=$J262),"RETEST AFTER A PASSING FIRST ATTEMPT","OK"))))))))))</f>
        <v/>
      </c>
      <c r="Y262" s="16" t="n"/>
    </row>
    <row r="263">
      <c r="B263" s="17">
        <f>IF($C263="","",$D263&amp;"-"&amp;$F263&amp;"-"&amp;$K263)</f>
        <v/>
      </c>
      <c r="C263" s="16" t="n"/>
      <c r="D263" s="17">
        <f>IF($C263="","",IFERROR(INDEX(rngCadetPIDs,MATCH($C263,rngCadetNames,0)),"?"))</f>
        <v/>
      </c>
      <c r="E263" s="17">
        <f>IF($D263="","",IFERROR(INDEX(nrCadetAgency,MATCH($D263,rngCadetPIDs,0)),""))</f>
        <v/>
      </c>
      <c r="F263" s="16" t="n"/>
      <c r="G263" s="17">
        <f>IF($F263="","",IFERROR(INDEX(rngEPname,MATCH($F263,rngEPcode,0)),"?"))</f>
        <v/>
      </c>
      <c r="H263" s="17">
        <f>IF($F263="","",IFERROR(INDEX(rngEPtype,MATCH($F263,rngEPcode,0)),"?"))</f>
        <v/>
      </c>
      <c r="I263" s="17">
        <f>IF($F263="","",IFERROR(INDEX(rngEPseq,MATCH($F263,rngEPcode,0)),""))</f>
        <v/>
      </c>
      <c r="J263" s="17">
        <f>IF($F263="","",IFERROR(INDEX(rngEPpass,MATCH($F263,rngEPcode,0)),cfgPassingScore))</f>
        <v/>
      </c>
      <c r="K263" s="16" t="n"/>
      <c r="L263" s="16" t="n"/>
      <c r="M263" s="17">
        <f>IF($C263="","",IF($L263="","",IF(NOT(ISNUMBER($L263)),$L263,IF(N($K263)&gt;2,"",IF($K263=1,IF(COUNTIFS(nrES_PID,$D263,nrES_Code,$F263,nrES_Att,2,nrES_Raw,"&gt;=0")&gt;0,"",$L263),IF($L263&gt;=$J263,MAX($J263,cfgRetakeRecordedCap),IF(COUNTIFS(nrES_PID,$D263,nrES_Code,$F263,nrES_Att,1)=0,$L263,SUMIFS(nrES_Raw,nrES_PID,$D263,nrES_Code,$F263,nrES_Att,1))))))))</f>
        <v/>
      </c>
      <c r="N263" s="17">
        <f>IF($C263="","",IF($L263="","",IF(NOT(ISNUMBER($L263)),"(not a score)",IF($L263&gt;=$J263,"Yes","No"))))</f>
        <v/>
      </c>
      <c r="O263" s="17">
        <f>IF($C263="","",IF($M263="","",IF(NOT(ISNUMBER($M263)),"(not a score)",IF($M263&gt;=$J263,"Yes","No"))))</f>
        <v/>
      </c>
      <c r="P263" s="17">
        <f>IF($C263="","",IF($K263="","",IF(N($K263)&gt;2,"No",IF(COUNTIFS(nrES_PID,$D263,nrES_Code,$F263,nrES_Att,"&gt;"&amp;$K263,nrES_Att,"&lt;=2",nrES_Raw,"&gt;=0")=0,"Yes","No"))))</f>
        <v/>
      </c>
      <c r="Q263" s="17">
        <f>IF($C263="","",IF($L263="","",IF(AND($K263=1,ISNUMBER($L263),$L263&lt;$J263,COUNTIFS(nrES_PID,$D263,nrES_Code,$F263,nrES_Att,2,nrES_Raw,"&gt;=0")=0),"Yes","No")))</f>
        <v/>
      </c>
      <c r="R263" s="17">
        <f>IF($C263="","",IF($L263="","",IF(AND(N($K263)&gt;=2,ISNUMBER($L263),$L263&lt;$J263),"Yes","No")))</f>
        <v/>
      </c>
      <c r="S263" s="18" t="n"/>
      <c r="T263" s="19">
        <f>IF(OR($C263="",$L263="",$K263&lt;&gt;1,NOT(ISNUMBER($L263)),$L263&gt;=$J263),"",IF($S263="","(enter date)",_xlfn.LET(_xlpm.dn,_xlfn.XLOOKUP($S263,nrCDdate,nrCDnum,"",1),IF(_xlpm.dn="","(after last class day)",_xlfn.LET(_xlpm.dd,_xlfn.XLOOKUP(_xlpm.dn+cfgRetestClassDays,nrCDnum,nrCDdate,""),_xlpm.ok,_xlfn.XLOOKUP(_xlpm.dn+cfgRetestClassDays,nrCDnum,nrCDinsession,"No"),IF(OR(_xlpm.dd="",_xlpm.ok&lt;&gt;"Yes"),"(after last class day)",_xlpm.dd))))))</f>
        <v/>
      </c>
      <c r="U263" s="17">
        <f>IF($C263="","",IF(AND($Y263="Excused",$L263="",N($K263)&lt;=1),"EXCUSED - 1st attempt pending",IF(OR($L263="",$K263&lt;&gt;1,NOT(ISNUMBER($L263)),$L263&gt;=$J263),"",IF(COUNTIFS(nrES_PID,$D263,nrES_Code,$F263,nrES_Att,2,nrES_Raw,"&gt;=0")&gt;0,IF(IFERROR(_xlfn.MINIFS(nrES_Date,nrES_PID,$D263,nrES_Code,$F263,nrES_Att,2,nrES_Raw,"&gt;=0",nrES_Date,"&gt;0"),0)=0,"RETEST UNDATED",IF(NOT(ISNUMBER($T263)),"RETEST DATE UNCHECKED",IF(_xlfn.MINIFS(nrES_Date,nrES_PID,$D263,nrES_Code,$F263,nrES_Att,2,nrES_Raw,"&gt;=0",nrES_Date,"&gt;0")&gt;$T263,"LATE RETEST "&amp;TEXT(_xlfn.MINIFS(nrES_Date,nrES_PID,$D263,nrES_Code,$F263,nrES_Att,2,nrES_Raw,"&gt;=0",nrES_Date,"&gt;0"),"mm/dd")&amp;" (due "&amp;TEXT($T263,"mm/dd")&amp;")","Retested"))),IF(NOT(ISNUMBER($T263)),"CHECK DATE",IF(TODAY()&gt;$T263,"OVERDUE","Due "&amp;TEXT($T263,"mm/dd")))))))</f>
        <v/>
      </c>
      <c r="V263" s="16" t="n"/>
      <c r="W263" s="16" t="n"/>
      <c r="X263" s="17">
        <f>IF($C263="","",IF(AND($L263&lt;&gt;"",NOT(ISNUMBER($L263))),"RAW SCORE NOT A NUMBER",IF(AND(ISNUMBER($L263),OR($L263&lt;0,$L263&gt;100)),"RAW SCORE OUT OF RANGE",IF(AND($Y263="Unexcused",OR($L263="",NOT(ISNUMBER($L263)),$L263&lt;&gt;0)),"UNEXCUSED ABSENCE MUST RECORD 0",IF(COUNTIF(nrES_RecID,$B263)&gt;1,"DUPLICATE RECORD",IF(N($K263)&gt;2,"ATTEMPT 3+ NOT ALLOWED - policy 300.5 permits one retest per exam; this row records nothing",IF(AND($K263=2,COUNTIFS(nrES_PID,$D263,nrES_Code,$F263,nrES_Att,1)=0),"ATTEMPT 2 WITHOUT ATTEMPT 1",IF(AND($K263=2,$L263=""),"RETEST ROW HAS NO SCORE",IF(AND($H263="Final",$L263&lt;&gt;"",IFERROR(INDEX(nrCKfinalExamElig,MATCH($D263,rngCadetPIDs,0)),"")="No"),"FINAL EXAM AFTER FAILED FINAL PT (500.1.H)",IF(AND($K263=2,ISNUMBER($L263),COUNTIFS(nrES_PID,$D263,nrES_Code,$F263,nrES_Att,1)&gt;0,SUMIFS(nrES_Raw,nrES_PID,$D263,nrES_Code,$F263,nrES_Att,1)&gt;=$J263),"RETEST AFTER A PASSING FIRST ATTEMPT","OK"))))))))))</f>
        <v/>
      </c>
      <c r="Y263" s="16" t="n"/>
    </row>
    <row r="264">
      <c r="B264" s="17">
        <f>IF($C264="","",$D264&amp;"-"&amp;$F264&amp;"-"&amp;$K264)</f>
        <v/>
      </c>
      <c r="C264" s="16" t="n"/>
      <c r="D264" s="17">
        <f>IF($C264="","",IFERROR(INDEX(rngCadetPIDs,MATCH($C264,rngCadetNames,0)),"?"))</f>
        <v/>
      </c>
      <c r="E264" s="17">
        <f>IF($D264="","",IFERROR(INDEX(nrCadetAgency,MATCH($D264,rngCadetPIDs,0)),""))</f>
        <v/>
      </c>
      <c r="F264" s="16" t="n"/>
      <c r="G264" s="17">
        <f>IF($F264="","",IFERROR(INDEX(rngEPname,MATCH($F264,rngEPcode,0)),"?"))</f>
        <v/>
      </c>
      <c r="H264" s="17">
        <f>IF($F264="","",IFERROR(INDEX(rngEPtype,MATCH($F264,rngEPcode,0)),"?"))</f>
        <v/>
      </c>
      <c r="I264" s="17">
        <f>IF($F264="","",IFERROR(INDEX(rngEPseq,MATCH($F264,rngEPcode,0)),""))</f>
        <v/>
      </c>
      <c r="J264" s="17">
        <f>IF($F264="","",IFERROR(INDEX(rngEPpass,MATCH($F264,rngEPcode,0)),cfgPassingScore))</f>
        <v/>
      </c>
      <c r="K264" s="16" t="n"/>
      <c r="L264" s="16" t="n"/>
      <c r="M264" s="17">
        <f>IF($C264="","",IF($L264="","",IF(NOT(ISNUMBER($L264)),$L264,IF(N($K264)&gt;2,"",IF($K264=1,IF(COUNTIFS(nrES_PID,$D264,nrES_Code,$F264,nrES_Att,2,nrES_Raw,"&gt;=0")&gt;0,"",$L264),IF($L264&gt;=$J264,MAX($J264,cfgRetakeRecordedCap),IF(COUNTIFS(nrES_PID,$D264,nrES_Code,$F264,nrES_Att,1)=0,$L264,SUMIFS(nrES_Raw,nrES_PID,$D264,nrES_Code,$F264,nrES_Att,1))))))))</f>
        <v/>
      </c>
      <c r="N264" s="17">
        <f>IF($C264="","",IF($L264="","",IF(NOT(ISNUMBER($L264)),"(not a score)",IF($L264&gt;=$J264,"Yes","No"))))</f>
        <v/>
      </c>
      <c r="O264" s="17">
        <f>IF($C264="","",IF($M264="","",IF(NOT(ISNUMBER($M264)),"(not a score)",IF($M264&gt;=$J264,"Yes","No"))))</f>
        <v/>
      </c>
      <c r="P264" s="17">
        <f>IF($C264="","",IF($K264="","",IF(N($K264)&gt;2,"No",IF(COUNTIFS(nrES_PID,$D264,nrES_Code,$F264,nrES_Att,"&gt;"&amp;$K264,nrES_Att,"&lt;=2",nrES_Raw,"&gt;=0")=0,"Yes","No"))))</f>
        <v/>
      </c>
      <c r="Q264" s="17">
        <f>IF($C264="","",IF($L264="","",IF(AND($K264=1,ISNUMBER($L264),$L264&lt;$J264,COUNTIFS(nrES_PID,$D264,nrES_Code,$F264,nrES_Att,2,nrES_Raw,"&gt;=0")=0),"Yes","No")))</f>
        <v/>
      </c>
      <c r="R264" s="17">
        <f>IF($C264="","",IF($L264="","",IF(AND(N($K264)&gt;=2,ISNUMBER($L264),$L264&lt;$J264),"Yes","No")))</f>
        <v/>
      </c>
      <c r="S264" s="18" t="n"/>
      <c r="T264" s="19">
        <f>IF(OR($C264="",$L264="",$K264&lt;&gt;1,NOT(ISNUMBER($L264)),$L264&gt;=$J264),"",IF($S264="","(enter date)",_xlfn.LET(_xlpm.dn,_xlfn.XLOOKUP($S264,nrCDdate,nrCDnum,"",1),IF(_xlpm.dn="","(after last class day)",_xlfn.LET(_xlpm.dd,_xlfn.XLOOKUP(_xlpm.dn+cfgRetestClassDays,nrCDnum,nrCDdate,""),_xlpm.ok,_xlfn.XLOOKUP(_xlpm.dn+cfgRetestClassDays,nrCDnum,nrCDinsession,"No"),IF(OR(_xlpm.dd="",_xlpm.ok&lt;&gt;"Yes"),"(after last class day)",_xlpm.dd))))))</f>
        <v/>
      </c>
      <c r="U264" s="17">
        <f>IF($C264="","",IF(AND($Y264="Excused",$L264="",N($K264)&lt;=1),"EXCUSED - 1st attempt pending",IF(OR($L264="",$K264&lt;&gt;1,NOT(ISNUMBER($L264)),$L264&gt;=$J264),"",IF(COUNTIFS(nrES_PID,$D264,nrES_Code,$F264,nrES_Att,2,nrES_Raw,"&gt;=0")&gt;0,IF(IFERROR(_xlfn.MINIFS(nrES_Date,nrES_PID,$D264,nrES_Code,$F264,nrES_Att,2,nrES_Raw,"&gt;=0",nrES_Date,"&gt;0"),0)=0,"RETEST UNDATED",IF(NOT(ISNUMBER($T264)),"RETEST DATE UNCHECKED",IF(_xlfn.MINIFS(nrES_Date,nrES_PID,$D264,nrES_Code,$F264,nrES_Att,2,nrES_Raw,"&gt;=0",nrES_Date,"&gt;0")&gt;$T264,"LATE RETEST "&amp;TEXT(_xlfn.MINIFS(nrES_Date,nrES_PID,$D264,nrES_Code,$F264,nrES_Att,2,nrES_Raw,"&gt;=0",nrES_Date,"&gt;0"),"mm/dd")&amp;" (due "&amp;TEXT($T264,"mm/dd")&amp;")","Retested"))),IF(NOT(ISNUMBER($T264)),"CHECK DATE",IF(TODAY()&gt;$T264,"OVERDUE","Due "&amp;TEXT($T264,"mm/dd")))))))</f>
        <v/>
      </c>
      <c r="V264" s="16" t="n"/>
      <c r="W264" s="16" t="n"/>
      <c r="X264" s="17">
        <f>IF($C264="","",IF(AND($L264&lt;&gt;"",NOT(ISNUMBER($L264))),"RAW SCORE NOT A NUMBER",IF(AND(ISNUMBER($L264),OR($L264&lt;0,$L264&gt;100)),"RAW SCORE OUT OF RANGE",IF(AND($Y264="Unexcused",OR($L264="",NOT(ISNUMBER($L264)),$L264&lt;&gt;0)),"UNEXCUSED ABSENCE MUST RECORD 0",IF(COUNTIF(nrES_RecID,$B264)&gt;1,"DUPLICATE RECORD",IF(N($K264)&gt;2,"ATTEMPT 3+ NOT ALLOWED - policy 300.5 permits one retest per exam; this row records nothing",IF(AND($K264=2,COUNTIFS(nrES_PID,$D264,nrES_Code,$F264,nrES_Att,1)=0),"ATTEMPT 2 WITHOUT ATTEMPT 1",IF(AND($K264=2,$L264=""),"RETEST ROW HAS NO SCORE",IF(AND($H264="Final",$L264&lt;&gt;"",IFERROR(INDEX(nrCKfinalExamElig,MATCH($D264,rngCadetPIDs,0)),"")="No"),"FINAL EXAM AFTER FAILED FINAL PT (500.1.H)",IF(AND($K264=2,ISNUMBER($L264),COUNTIFS(nrES_PID,$D264,nrES_Code,$F264,nrES_Att,1)&gt;0,SUMIFS(nrES_Raw,nrES_PID,$D264,nrES_Code,$F264,nrES_Att,1)&gt;=$J264),"RETEST AFTER A PASSING FIRST ATTEMPT","OK"))))))))))</f>
        <v/>
      </c>
      <c r="Y264" s="16" t="n"/>
    </row>
    <row r="265">
      <c r="B265" s="17">
        <f>IF($C265="","",$D265&amp;"-"&amp;$F265&amp;"-"&amp;$K265)</f>
        <v/>
      </c>
      <c r="C265" s="16" t="n"/>
      <c r="D265" s="17">
        <f>IF($C265="","",IFERROR(INDEX(rngCadetPIDs,MATCH($C265,rngCadetNames,0)),"?"))</f>
        <v/>
      </c>
      <c r="E265" s="17">
        <f>IF($D265="","",IFERROR(INDEX(nrCadetAgency,MATCH($D265,rngCadetPIDs,0)),""))</f>
        <v/>
      </c>
      <c r="F265" s="16" t="n"/>
      <c r="G265" s="17">
        <f>IF($F265="","",IFERROR(INDEX(rngEPname,MATCH($F265,rngEPcode,0)),"?"))</f>
        <v/>
      </c>
      <c r="H265" s="17">
        <f>IF($F265="","",IFERROR(INDEX(rngEPtype,MATCH($F265,rngEPcode,0)),"?"))</f>
        <v/>
      </c>
      <c r="I265" s="17">
        <f>IF($F265="","",IFERROR(INDEX(rngEPseq,MATCH($F265,rngEPcode,0)),""))</f>
        <v/>
      </c>
      <c r="J265" s="17">
        <f>IF($F265="","",IFERROR(INDEX(rngEPpass,MATCH($F265,rngEPcode,0)),cfgPassingScore))</f>
        <v/>
      </c>
      <c r="K265" s="16" t="n"/>
      <c r="L265" s="16" t="n"/>
      <c r="M265" s="17">
        <f>IF($C265="","",IF($L265="","",IF(NOT(ISNUMBER($L265)),$L265,IF(N($K265)&gt;2,"",IF($K265=1,IF(COUNTIFS(nrES_PID,$D265,nrES_Code,$F265,nrES_Att,2,nrES_Raw,"&gt;=0")&gt;0,"",$L265),IF($L265&gt;=$J265,MAX($J265,cfgRetakeRecordedCap),IF(COUNTIFS(nrES_PID,$D265,nrES_Code,$F265,nrES_Att,1)=0,$L265,SUMIFS(nrES_Raw,nrES_PID,$D265,nrES_Code,$F265,nrES_Att,1))))))))</f>
        <v/>
      </c>
      <c r="N265" s="17">
        <f>IF($C265="","",IF($L265="","",IF(NOT(ISNUMBER($L265)),"(not a score)",IF($L265&gt;=$J265,"Yes","No"))))</f>
        <v/>
      </c>
      <c r="O265" s="17">
        <f>IF($C265="","",IF($M265="","",IF(NOT(ISNUMBER($M265)),"(not a score)",IF($M265&gt;=$J265,"Yes","No"))))</f>
        <v/>
      </c>
      <c r="P265" s="17">
        <f>IF($C265="","",IF($K265="","",IF(N($K265)&gt;2,"No",IF(COUNTIFS(nrES_PID,$D265,nrES_Code,$F265,nrES_Att,"&gt;"&amp;$K265,nrES_Att,"&lt;=2",nrES_Raw,"&gt;=0")=0,"Yes","No"))))</f>
        <v/>
      </c>
      <c r="Q265" s="17">
        <f>IF($C265="","",IF($L265="","",IF(AND($K265=1,ISNUMBER($L265),$L265&lt;$J265,COUNTIFS(nrES_PID,$D265,nrES_Code,$F265,nrES_Att,2,nrES_Raw,"&gt;=0")=0),"Yes","No")))</f>
        <v/>
      </c>
      <c r="R265" s="17">
        <f>IF($C265="","",IF($L265="","",IF(AND(N($K265)&gt;=2,ISNUMBER($L265),$L265&lt;$J265),"Yes","No")))</f>
        <v/>
      </c>
      <c r="S265" s="18" t="n"/>
      <c r="T265" s="19">
        <f>IF(OR($C265="",$L265="",$K265&lt;&gt;1,NOT(ISNUMBER($L265)),$L265&gt;=$J265),"",IF($S265="","(enter date)",_xlfn.LET(_xlpm.dn,_xlfn.XLOOKUP($S265,nrCDdate,nrCDnum,"",1),IF(_xlpm.dn="","(after last class day)",_xlfn.LET(_xlpm.dd,_xlfn.XLOOKUP(_xlpm.dn+cfgRetestClassDays,nrCDnum,nrCDdate,""),_xlpm.ok,_xlfn.XLOOKUP(_xlpm.dn+cfgRetestClassDays,nrCDnum,nrCDinsession,"No"),IF(OR(_xlpm.dd="",_xlpm.ok&lt;&gt;"Yes"),"(after last class day)",_xlpm.dd))))))</f>
        <v/>
      </c>
      <c r="U265" s="17">
        <f>IF($C265="","",IF(AND($Y265="Excused",$L265="",N($K265)&lt;=1),"EXCUSED - 1st attempt pending",IF(OR($L265="",$K265&lt;&gt;1,NOT(ISNUMBER($L265)),$L265&gt;=$J265),"",IF(COUNTIFS(nrES_PID,$D265,nrES_Code,$F265,nrES_Att,2,nrES_Raw,"&gt;=0")&gt;0,IF(IFERROR(_xlfn.MINIFS(nrES_Date,nrES_PID,$D265,nrES_Code,$F265,nrES_Att,2,nrES_Raw,"&gt;=0",nrES_Date,"&gt;0"),0)=0,"RETEST UNDATED",IF(NOT(ISNUMBER($T265)),"RETEST DATE UNCHECKED",IF(_xlfn.MINIFS(nrES_Date,nrES_PID,$D265,nrES_Code,$F265,nrES_Att,2,nrES_Raw,"&gt;=0",nrES_Date,"&gt;0")&gt;$T265,"LATE RETEST "&amp;TEXT(_xlfn.MINIFS(nrES_Date,nrES_PID,$D265,nrES_Code,$F265,nrES_Att,2,nrES_Raw,"&gt;=0",nrES_Date,"&gt;0"),"mm/dd")&amp;" (due "&amp;TEXT($T265,"mm/dd")&amp;")","Retested"))),IF(NOT(ISNUMBER($T265)),"CHECK DATE",IF(TODAY()&gt;$T265,"OVERDUE","Due "&amp;TEXT($T265,"mm/dd")))))))</f>
        <v/>
      </c>
      <c r="V265" s="16" t="n"/>
      <c r="W265" s="16" t="n"/>
      <c r="X265" s="17">
        <f>IF($C265="","",IF(AND($L265&lt;&gt;"",NOT(ISNUMBER($L265))),"RAW SCORE NOT A NUMBER",IF(AND(ISNUMBER($L265),OR($L265&lt;0,$L265&gt;100)),"RAW SCORE OUT OF RANGE",IF(AND($Y265="Unexcused",OR($L265="",NOT(ISNUMBER($L265)),$L265&lt;&gt;0)),"UNEXCUSED ABSENCE MUST RECORD 0",IF(COUNTIF(nrES_RecID,$B265)&gt;1,"DUPLICATE RECORD",IF(N($K265)&gt;2,"ATTEMPT 3+ NOT ALLOWED - policy 300.5 permits one retest per exam; this row records nothing",IF(AND($K265=2,COUNTIFS(nrES_PID,$D265,nrES_Code,$F265,nrES_Att,1)=0),"ATTEMPT 2 WITHOUT ATTEMPT 1",IF(AND($K265=2,$L265=""),"RETEST ROW HAS NO SCORE",IF(AND($H265="Final",$L265&lt;&gt;"",IFERROR(INDEX(nrCKfinalExamElig,MATCH($D265,rngCadetPIDs,0)),"")="No"),"FINAL EXAM AFTER FAILED FINAL PT (500.1.H)",IF(AND($K265=2,ISNUMBER($L265),COUNTIFS(nrES_PID,$D265,nrES_Code,$F265,nrES_Att,1)&gt;0,SUMIFS(nrES_Raw,nrES_PID,$D265,nrES_Code,$F265,nrES_Att,1)&gt;=$J265),"RETEST AFTER A PASSING FIRST ATTEMPT","OK"))))))))))</f>
        <v/>
      </c>
      <c r="Y265" s="16" t="n"/>
    </row>
    <row r="266">
      <c r="B266" s="17">
        <f>IF($C266="","",$D266&amp;"-"&amp;$F266&amp;"-"&amp;$K266)</f>
        <v/>
      </c>
      <c r="C266" s="16" t="n"/>
      <c r="D266" s="17">
        <f>IF($C266="","",IFERROR(INDEX(rngCadetPIDs,MATCH($C266,rngCadetNames,0)),"?"))</f>
        <v/>
      </c>
      <c r="E266" s="17">
        <f>IF($D266="","",IFERROR(INDEX(nrCadetAgency,MATCH($D266,rngCadetPIDs,0)),""))</f>
        <v/>
      </c>
      <c r="F266" s="16" t="n"/>
      <c r="G266" s="17">
        <f>IF($F266="","",IFERROR(INDEX(rngEPname,MATCH($F266,rngEPcode,0)),"?"))</f>
        <v/>
      </c>
      <c r="H266" s="17">
        <f>IF($F266="","",IFERROR(INDEX(rngEPtype,MATCH($F266,rngEPcode,0)),"?"))</f>
        <v/>
      </c>
      <c r="I266" s="17">
        <f>IF($F266="","",IFERROR(INDEX(rngEPseq,MATCH($F266,rngEPcode,0)),""))</f>
        <v/>
      </c>
      <c r="J266" s="17">
        <f>IF($F266="","",IFERROR(INDEX(rngEPpass,MATCH($F266,rngEPcode,0)),cfgPassingScore))</f>
        <v/>
      </c>
      <c r="K266" s="16" t="n"/>
      <c r="L266" s="16" t="n"/>
      <c r="M266" s="17">
        <f>IF($C266="","",IF($L266="","",IF(NOT(ISNUMBER($L266)),$L266,IF(N($K266)&gt;2,"",IF($K266=1,IF(COUNTIFS(nrES_PID,$D266,nrES_Code,$F266,nrES_Att,2,nrES_Raw,"&gt;=0")&gt;0,"",$L266),IF($L266&gt;=$J266,MAX($J266,cfgRetakeRecordedCap),IF(COUNTIFS(nrES_PID,$D266,nrES_Code,$F266,nrES_Att,1)=0,$L266,SUMIFS(nrES_Raw,nrES_PID,$D266,nrES_Code,$F266,nrES_Att,1))))))))</f>
        <v/>
      </c>
      <c r="N266" s="17">
        <f>IF($C266="","",IF($L266="","",IF(NOT(ISNUMBER($L266)),"(not a score)",IF($L266&gt;=$J266,"Yes","No"))))</f>
        <v/>
      </c>
      <c r="O266" s="17">
        <f>IF($C266="","",IF($M266="","",IF(NOT(ISNUMBER($M266)),"(not a score)",IF($M266&gt;=$J266,"Yes","No"))))</f>
        <v/>
      </c>
      <c r="P266" s="17">
        <f>IF($C266="","",IF($K266="","",IF(N($K266)&gt;2,"No",IF(COUNTIFS(nrES_PID,$D266,nrES_Code,$F266,nrES_Att,"&gt;"&amp;$K266,nrES_Att,"&lt;=2",nrES_Raw,"&gt;=0")=0,"Yes","No"))))</f>
        <v/>
      </c>
      <c r="Q266" s="17">
        <f>IF($C266="","",IF($L266="","",IF(AND($K266=1,ISNUMBER($L266),$L266&lt;$J266,COUNTIFS(nrES_PID,$D266,nrES_Code,$F266,nrES_Att,2,nrES_Raw,"&gt;=0")=0),"Yes","No")))</f>
        <v/>
      </c>
      <c r="R266" s="17">
        <f>IF($C266="","",IF($L266="","",IF(AND(N($K266)&gt;=2,ISNUMBER($L266),$L266&lt;$J266),"Yes","No")))</f>
        <v/>
      </c>
      <c r="S266" s="18" t="n"/>
      <c r="T266" s="19">
        <f>IF(OR($C266="",$L266="",$K266&lt;&gt;1,NOT(ISNUMBER($L266)),$L266&gt;=$J266),"",IF($S266="","(enter date)",_xlfn.LET(_xlpm.dn,_xlfn.XLOOKUP($S266,nrCDdate,nrCDnum,"",1),IF(_xlpm.dn="","(after last class day)",_xlfn.LET(_xlpm.dd,_xlfn.XLOOKUP(_xlpm.dn+cfgRetestClassDays,nrCDnum,nrCDdate,""),_xlpm.ok,_xlfn.XLOOKUP(_xlpm.dn+cfgRetestClassDays,nrCDnum,nrCDinsession,"No"),IF(OR(_xlpm.dd="",_xlpm.ok&lt;&gt;"Yes"),"(after last class day)",_xlpm.dd))))))</f>
        <v/>
      </c>
      <c r="U266" s="17">
        <f>IF($C266="","",IF(AND($Y266="Excused",$L266="",N($K266)&lt;=1),"EXCUSED - 1st attempt pending",IF(OR($L266="",$K266&lt;&gt;1,NOT(ISNUMBER($L266)),$L266&gt;=$J266),"",IF(COUNTIFS(nrES_PID,$D266,nrES_Code,$F266,nrES_Att,2,nrES_Raw,"&gt;=0")&gt;0,IF(IFERROR(_xlfn.MINIFS(nrES_Date,nrES_PID,$D266,nrES_Code,$F266,nrES_Att,2,nrES_Raw,"&gt;=0",nrES_Date,"&gt;0"),0)=0,"RETEST UNDATED",IF(NOT(ISNUMBER($T266)),"RETEST DATE UNCHECKED",IF(_xlfn.MINIFS(nrES_Date,nrES_PID,$D266,nrES_Code,$F266,nrES_Att,2,nrES_Raw,"&gt;=0",nrES_Date,"&gt;0")&gt;$T266,"LATE RETEST "&amp;TEXT(_xlfn.MINIFS(nrES_Date,nrES_PID,$D266,nrES_Code,$F266,nrES_Att,2,nrES_Raw,"&gt;=0",nrES_Date,"&gt;0"),"mm/dd")&amp;" (due "&amp;TEXT($T266,"mm/dd")&amp;")","Retested"))),IF(NOT(ISNUMBER($T266)),"CHECK DATE",IF(TODAY()&gt;$T266,"OVERDUE","Due "&amp;TEXT($T266,"mm/dd")))))))</f>
        <v/>
      </c>
      <c r="V266" s="16" t="n"/>
      <c r="W266" s="16" t="n"/>
      <c r="X266" s="17">
        <f>IF($C266="","",IF(AND($L266&lt;&gt;"",NOT(ISNUMBER($L266))),"RAW SCORE NOT A NUMBER",IF(AND(ISNUMBER($L266),OR($L266&lt;0,$L266&gt;100)),"RAW SCORE OUT OF RANGE",IF(AND($Y266="Unexcused",OR($L266="",NOT(ISNUMBER($L266)),$L266&lt;&gt;0)),"UNEXCUSED ABSENCE MUST RECORD 0",IF(COUNTIF(nrES_RecID,$B266)&gt;1,"DUPLICATE RECORD",IF(N($K266)&gt;2,"ATTEMPT 3+ NOT ALLOWED - policy 300.5 permits one retest per exam; this row records nothing",IF(AND($K266=2,COUNTIFS(nrES_PID,$D266,nrES_Code,$F266,nrES_Att,1)=0),"ATTEMPT 2 WITHOUT ATTEMPT 1",IF(AND($K266=2,$L266=""),"RETEST ROW HAS NO SCORE",IF(AND($H266="Final",$L266&lt;&gt;"",IFERROR(INDEX(nrCKfinalExamElig,MATCH($D266,rngCadetPIDs,0)),"")="No"),"FINAL EXAM AFTER FAILED FINAL PT (500.1.H)",IF(AND($K266=2,ISNUMBER($L266),COUNTIFS(nrES_PID,$D266,nrES_Code,$F266,nrES_Att,1)&gt;0,SUMIFS(nrES_Raw,nrES_PID,$D266,nrES_Code,$F266,nrES_Att,1)&gt;=$J266),"RETEST AFTER A PASSING FIRST ATTEMPT","OK"))))))))))</f>
        <v/>
      </c>
      <c r="Y266" s="16" t="n"/>
    </row>
    <row r="267">
      <c r="B267" s="17">
        <f>IF($C267="","",$D267&amp;"-"&amp;$F267&amp;"-"&amp;$K267)</f>
        <v/>
      </c>
      <c r="C267" s="16" t="n"/>
      <c r="D267" s="17">
        <f>IF($C267="","",IFERROR(INDEX(rngCadetPIDs,MATCH($C267,rngCadetNames,0)),"?"))</f>
        <v/>
      </c>
      <c r="E267" s="17">
        <f>IF($D267="","",IFERROR(INDEX(nrCadetAgency,MATCH($D267,rngCadetPIDs,0)),""))</f>
        <v/>
      </c>
      <c r="F267" s="16" t="n"/>
      <c r="G267" s="17">
        <f>IF($F267="","",IFERROR(INDEX(rngEPname,MATCH($F267,rngEPcode,0)),"?"))</f>
        <v/>
      </c>
      <c r="H267" s="17">
        <f>IF($F267="","",IFERROR(INDEX(rngEPtype,MATCH($F267,rngEPcode,0)),"?"))</f>
        <v/>
      </c>
      <c r="I267" s="17">
        <f>IF($F267="","",IFERROR(INDEX(rngEPseq,MATCH($F267,rngEPcode,0)),""))</f>
        <v/>
      </c>
      <c r="J267" s="17">
        <f>IF($F267="","",IFERROR(INDEX(rngEPpass,MATCH($F267,rngEPcode,0)),cfgPassingScore))</f>
        <v/>
      </c>
      <c r="K267" s="16" t="n"/>
      <c r="L267" s="16" t="n"/>
      <c r="M267" s="17">
        <f>IF($C267="","",IF($L267="","",IF(NOT(ISNUMBER($L267)),$L267,IF(N($K267)&gt;2,"",IF($K267=1,IF(COUNTIFS(nrES_PID,$D267,nrES_Code,$F267,nrES_Att,2,nrES_Raw,"&gt;=0")&gt;0,"",$L267),IF($L267&gt;=$J267,MAX($J267,cfgRetakeRecordedCap),IF(COUNTIFS(nrES_PID,$D267,nrES_Code,$F267,nrES_Att,1)=0,$L267,SUMIFS(nrES_Raw,nrES_PID,$D267,nrES_Code,$F267,nrES_Att,1))))))))</f>
        <v/>
      </c>
      <c r="N267" s="17">
        <f>IF($C267="","",IF($L267="","",IF(NOT(ISNUMBER($L267)),"(not a score)",IF($L267&gt;=$J267,"Yes","No"))))</f>
        <v/>
      </c>
      <c r="O267" s="17">
        <f>IF($C267="","",IF($M267="","",IF(NOT(ISNUMBER($M267)),"(not a score)",IF($M267&gt;=$J267,"Yes","No"))))</f>
        <v/>
      </c>
      <c r="P267" s="17">
        <f>IF($C267="","",IF($K267="","",IF(N($K267)&gt;2,"No",IF(COUNTIFS(nrES_PID,$D267,nrES_Code,$F267,nrES_Att,"&gt;"&amp;$K267,nrES_Att,"&lt;=2",nrES_Raw,"&gt;=0")=0,"Yes","No"))))</f>
        <v/>
      </c>
      <c r="Q267" s="17">
        <f>IF($C267="","",IF($L267="","",IF(AND($K267=1,ISNUMBER($L267),$L267&lt;$J267,COUNTIFS(nrES_PID,$D267,nrES_Code,$F267,nrES_Att,2,nrES_Raw,"&gt;=0")=0),"Yes","No")))</f>
        <v/>
      </c>
      <c r="R267" s="17">
        <f>IF($C267="","",IF($L267="","",IF(AND(N($K267)&gt;=2,ISNUMBER($L267),$L267&lt;$J267),"Yes","No")))</f>
        <v/>
      </c>
      <c r="S267" s="18" t="n"/>
      <c r="T267" s="19">
        <f>IF(OR($C267="",$L267="",$K267&lt;&gt;1,NOT(ISNUMBER($L267)),$L267&gt;=$J267),"",IF($S267="","(enter date)",_xlfn.LET(_xlpm.dn,_xlfn.XLOOKUP($S267,nrCDdate,nrCDnum,"",1),IF(_xlpm.dn="","(after last class day)",_xlfn.LET(_xlpm.dd,_xlfn.XLOOKUP(_xlpm.dn+cfgRetestClassDays,nrCDnum,nrCDdate,""),_xlpm.ok,_xlfn.XLOOKUP(_xlpm.dn+cfgRetestClassDays,nrCDnum,nrCDinsession,"No"),IF(OR(_xlpm.dd="",_xlpm.ok&lt;&gt;"Yes"),"(after last class day)",_xlpm.dd))))))</f>
        <v/>
      </c>
      <c r="U267" s="17">
        <f>IF($C267="","",IF(AND($Y267="Excused",$L267="",N($K267)&lt;=1),"EXCUSED - 1st attempt pending",IF(OR($L267="",$K267&lt;&gt;1,NOT(ISNUMBER($L267)),$L267&gt;=$J267),"",IF(COUNTIFS(nrES_PID,$D267,nrES_Code,$F267,nrES_Att,2,nrES_Raw,"&gt;=0")&gt;0,IF(IFERROR(_xlfn.MINIFS(nrES_Date,nrES_PID,$D267,nrES_Code,$F267,nrES_Att,2,nrES_Raw,"&gt;=0",nrES_Date,"&gt;0"),0)=0,"RETEST UNDATED",IF(NOT(ISNUMBER($T267)),"RETEST DATE UNCHECKED",IF(_xlfn.MINIFS(nrES_Date,nrES_PID,$D267,nrES_Code,$F267,nrES_Att,2,nrES_Raw,"&gt;=0",nrES_Date,"&gt;0")&gt;$T267,"LATE RETEST "&amp;TEXT(_xlfn.MINIFS(nrES_Date,nrES_PID,$D267,nrES_Code,$F267,nrES_Att,2,nrES_Raw,"&gt;=0",nrES_Date,"&gt;0"),"mm/dd")&amp;" (due "&amp;TEXT($T267,"mm/dd")&amp;")","Retested"))),IF(NOT(ISNUMBER($T267)),"CHECK DATE",IF(TODAY()&gt;$T267,"OVERDUE","Due "&amp;TEXT($T267,"mm/dd")))))))</f>
        <v/>
      </c>
      <c r="V267" s="16" t="n"/>
      <c r="W267" s="16" t="n"/>
      <c r="X267" s="17">
        <f>IF($C267="","",IF(AND($L267&lt;&gt;"",NOT(ISNUMBER($L267))),"RAW SCORE NOT A NUMBER",IF(AND(ISNUMBER($L267),OR($L267&lt;0,$L267&gt;100)),"RAW SCORE OUT OF RANGE",IF(AND($Y267="Unexcused",OR($L267="",NOT(ISNUMBER($L267)),$L267&lt;&gt;0)),"UNEXCUSED ABSENCE MUST RECORD 0",IF(COUNTIF(nrES_RecID,$B267)&gt;1,"DUPLICATE RECORD",IF(N($K267)&gt;2,"ATTEMPT 3+ NOT ALLOWED - policy 300.5 permits one retest per exam; this row records nothing",IF(AND($K267=2,COUNTIFS(nrES_PID,$D267,nrES_Code,$F267,nrES_Att,1)=0),"ATTEMPT 2 WITHOUT ATTEMPT 1",IF(AND($K267=2,$L267=""),"RETEST ROW HAS NO SCORE",IF(AND($H267="Final",$L267&lt;&gt;"",IFERROR(INDEX(nrCKfinalExamElig,MATCH($D267,rngCadetPIDs,0)),"")="No"),"FINAL EXAM AFTER FAILED FINAL PT (500.1.H)",IF(AND($K267=2,ISNUMBER($L267),COUNTIFS(nrES_PID,$D267,nrES_Code,$F267,nrES_Att,1)&gt;0,SUMIFS(nrES_Raw,nrES_PID,$D267,nrES_Code,$F267,nrES_Att,1)&gt;=$J267),"RETEST AFTER A PASSING FIRST ATTEMPT","OK"))))))))))</f>
        <v/>
      </c>
      <c r="Y267" s="16" t="n"/>
    </row>
    <row r="268">
      <c r="B268" s="17">
        <f>IF($C268="","",$D268&amp;"-"&amp;$F268&amp;"-"&amp;$K268)</f>
        <v/>
      </c>
      <c r="C268" s="16" t="n"/>
      <c r="D268" s="17">
        <f>IF($C268="","",IFERROR(INDEX(rngCadetPIDs,MATCH($C268,rngCadetNames,0)),"?"))</f>
        <v/>
      </c>
      <c r="E268" s="17">
        <f>IF($D268="","",IFERROR(INDEX(nrCadetAgency,MATCH($D268,rngCadetPIDs,0)),""))</f>
        <v/>
      </c>
      <c r="F268" s="16" t="n"/>
      <c r="G268" s="17">
        <f>IF($F268="","",IFERROR(INDEX(rngEPname,MATCH($F268,rngEPcode,0)),"?"))</f>
        <v/>
      </c>
      <c r="H268" s="17">
        <f>IF($F268="","",IFERROR(INDEX(rngEPtype,MATCH($F268,rngEPcode,0)),"?"))</f>
        <v/>
      </c>
      <c r="I268" s="17">
        <f>IF($F268="","",IFERROR(INDEX(rngEPseq,MATCH($F268,rngEPcode,0)),""))</f>
        <v/>
      </c>
      <c r="J268" s="17">
        <f>IF($F268="","",IFERROR(INDEX(rngEPpass,MATCH($F268,rngEPcode,0)),cfgPassingScore))</f>
        <v/>
      </c>
      <c r="K268" s="16" t="n"/>
      <c r="L268" s="16" t="n"/>
      <c r="M268" s="17">
        <f>IF($C268="","",IF($L268="","",IF(NOT(ISNUMBER($L268)),$L268,IF(N($K268)&gt;2,"",IF($K268=1,IF(COUNTIFS(nrES_PID,$D268,nrES_Code,$F268,nrES_Att,2,nrES_Raw,"&gt;=0")&gt;0,"",$L268),IF($L268&gt;=$J268,MAX($J268,cfgRetakeRecordedCap),IF(COUNTIFS(nrES_PID,$D268,nrES_Code,$F268,nrES_Att,1)=0,$L268,SUMIFS(nrES_Raw,nrES_PID,$D268,nrES_Code,$F268,nrES_Att,1))))))))</f>
        <v/>
      </c>
      <c r="N268" s="17">
        <f>IF($C268="","",IF($L268="","",IF(NOT(ISNUMBER($L268)),"(not a score)",IF($L268&gt;=$J268,"Yes","No"))))</f>
        <v/>
      </c>
      <c r="O268" s="17">
        <f>IF($C268="","",IF($M268="","",IF(NOT(ISNUMBER($M268)),"(not a score)",IF($M268&gt;=$J268,"Yes","No"))))</f>
        <v/>
      </c>
      <c r="P268" s="17">
        <f>IF($C268="","",IF($K268="","",IF(N($K268)&gt;2,"No",IF(COUNTIFS(nrES_PID,$D268,nrES_Code,$F268,nrES_Att,"&gt;"&amp;$K268,nrES_Att,"&lt;=2",nrES_Raw,"&gt;=0")=0,"Yes","No"))))</f>
        <v/>
      </c>
      <c r="Q268" s="17">
        <f>IF($C268="","",IF($L268="","",IF(AND($K268=1,ISNUMBER($L268),$L268&lt;$J268,COUNTIFS(nrES_PID,$D268,nrES_Code,$F268,nrES_Att,2,nrES_Raw,"&gt;=0")=0),"Yes","No")))</f>
        <v/>
      </c>
      <c r="R268" s="17">
        <f>IF($C268="","",IF($L268="","",IF(AND(N($K268)&gt;=2,ISNUMBER($L268),$L268&lt;$J268),"Yes","No")))</f>
        <v/>
      </c>
      <c r="S268" s="18" t="n"/>
      <c r="T268" s="19">
        <f>IF(OR($C268="",$L268="",$K268&lt;&gt;1,NOT(ISNUMBER($L268)),$L268&gt;=$J268),"",IF($S268="","(enter date)",_xlfn.LET(_xlpm.dn,_xlfn.XLOOKUP($S268,nrCDdate,nrCDnum,"",1),IF(_xlpm.dn="","(after last class day)",_xlfn.LET(_xlpm.dd,_xlfn.XLOOKUP(_xlpm.dn+cfgRetestClassDays,nrCDnum,nrCDdate,""),_xlpm.ok,_xlfn.XLOOKUP(_xlpm.dn+cfgRetestClassDays,nrCDnum,nrCDinsession,"No"),IF(OR(_xlpm.dd="",_xlpm.ok&lt;&gt;"Yes"),"(after last class day)",_xlpm.dd))))))</f>
        <v/>
      </c>
      <c r="U268" s="17">
        <f>IF($C268="","",IF(AND($Y268="Excused",$L268="",N($K268)&lt;=1),"EXCUSED - 1st attempt pending",IF(OR($L268="",$K268&lt;&gt;1,NOT(ISNUMBER($L268)),$L268&gt;=$J268),"",IF(COUNTIFS(nrES_PID,$D268,nrES_Code,$F268,nrES_Att,2,nrES_Raw,"&gt;=0")&gt;0,IF(IFERROR(_xlfn.MINIFS(nrES_Date,nrES_PID,$D268,nrES_Code,$F268,nrES_Att,2,nrES_Raw,"&gt;=0",nrES_Date,"&gt;0"),0)=0,"RETEST UNDATED",IF(NOT(ISNUMBER($T268)),"RETEST DATE UNCHECKED",IF(_xlfn.MINIFS(nrES_Date,nrES_PID,$D268,nrES_Code,$F268,nrES_Att,2,nrES_Raw,"&gt;=0",nrES_Date,"&gt;0")&gt;$T268,"LATE RETEST "&amp;TEXT(_xlfn.MINIFS(nrES_Date,nrES_PID,$D268,nrES_Code,$F268,nrES_Att,2,nrES_Raw,"&gt;=0",nrES_Date,"&gt;0"),"mm/dd")&amp;" (due "&amp;TEXT($T268,"mm/dd")&amp;")","Retested"))),IF(NOT(ISNUMBER($T268)),"CHECK DATE",IF(TODAY()&gt;$T268,"OVERDUE","Due "&amp;TEXT($T268,"mm/dd")))))))</f>
        <v/>
      </c>
      <c r="V268" s="16" t="n"/>
      <c r="W268" s="16" t="n"/>
      <c r="X268" s="17">
        <f>IF($C268="","",IF(AND($L268&lt;&gt;"",NOT(ISNUMBER($L268))),"RAW SCORE NOT A NUMBER",IF(AND(ISNUMBER($L268),OR($L268&lt;0,$L268&gt;100)),"RAW SCORE OUT OF RANGE",IF(AND($Y268="Unexcused",OR($L268="",NOT(ISNUMBER($L268)),$L268&lt;&gt;0)),"UNEXCUSED ABSENCE MUST RECORD 0",IF(COUNTIF(nrES_RecID,$B268)&gt;1,"DUPLICATE RECORD",IF(N($K268)&gt;2,"ATTEMPT 3+ NOT ALLOWED - policy 300.5 permits one retest per exam; this row records nothing",IF(AND($K268=2,COUNTIFS(nrES_PID,$D268,nrES_Code,$F268,nrES_Att,1)=0),"ATTEMPT 2 WITHOUT ATTEMPT 1",IF(AND($K268=2,$L268=""),"RETEST ROW HAS NO SCORE",IF(AND($H268="Final",$L268&lt;&gt;"",IFERROR(INDEX(nrCKfinalExamElig,MATCH($D268,rngCadetPIDs,0)),"")="No"),"FINAL EXAM AFTER FAILED FINAL PT (500.1.H)",IF(AND($K268=2,ISNUMBER($L268),COUNTIFS(nrES_PID,$D268,nrES_Code,$F268,nrES_Att,1)&gt;0,SUMIFS(nrES_Raw,nrES_PID,$D268,nrES_Code,$F268,nrES_Att,1)&gt;=$J268),"RETEST AFTER A PASSING FIRST ATTEMPT","OK"))))))))))</f>
        <v/>
      </c>
      <c r="Y268" s="16" t="n"/>
    </row>
    <row r="269">
      <c r="B269" s="17">
        <f>IF($C269="","",$D269&amp;"-"&amp;$F269&amp;"-"&amp;$K269)</f>
        <v/>
      </c>
      <c r="C269" s="16" t="n"/>
      <c r="D269" s="17">
        <f>IF($C269="","",IFERROR(INDEX(rngCadetPIDs,MATCH($C269,rngCadetNames,0)),"?"))</f>
        <v/>
      </c>
      <c r="E269" s="17">
        <f>IF($D269="","",IFERROR(INDEX(nrCadetAgency,MATCH($D269,rngCadetPIDs,0)),""))</f>
        <v/>
      </c>
      <c r="F269" s="16" t="n"/>
      <c r="G269" s="17">
        <f>IF($F269="","",IFERROR(INDEX(rngEPname,MATCH($F269,rngEPcode,0)),"?"))</f>
        <v/>
      </c>
      <c r="H269" s="17">
        <f>IF($F269="","",IFERROR(INDEX(rngEPtype,MATCH($F269,rngEPcode,0)),"?"))</f>
        <v/>
      </c>
      <c r="I269" s="17">
        <f>IF($F269="","",IFERROR(INDEX(rngEPseq,MATCH($F269,rngEPcode,0)),""))</f>
        <v/>
      </c>
      <c r="J269" s="17">
        <f>IF($F269="","",IFERROR(INDEX(rngEPpass,MATCH($F269,rngEPcode,0)),cfgPassingScore))</f>
        <v/>
      </c>
      <c r="K269" s="16" t="n"/>
      <c r="L269" s="16" t="n"/>
      <c r="M269" s="17">
        <f>IF($C269="","",IF($L269="","",IF(NOT(ISNUMBER($L269)),$L269,IF(N($K269)&gt;2,"",IF($K269=1,IF(COUNTIFS(nrES_PID,$D269,nrES_Code,$F269,nrES_Att,2,nrES_Raw,"&gt;=0")&gt;0,"",$L269),IF($L269&gt;=$J269,MAX($J269,cfgRetakeRecordedCap),IF(COUNTIFS(nrES_PID,$D269,nrES_Code,$F269,nrES_Att,1)=0,$L269,SUMIFS(nrES_Raw,nrES_PID,$D269,nrES_Code,$F269,nrES_Att,1))))))))</f>
        <v/>
      </c>
      <c r="N269" s="17">
        <f>IF($C269="","",IF($L269="","",IF(NOT(ISNUMBER($L269)),"(not a score)",IF($L269&gt;=$J269,"Yes","No"))))</f>
        <v/>
      </c>
      <c r="O269" s="17">
        <f>IF($C269="","",IF($M269="","",IF(NOT(ISNUMBER($M269)),"(not a score)",IF($M269&gt;=$J269,"Yes","No"))))</f>
        <v/>
      </c>
      <c r="P269" s="17">
        <f>IF($C269="","",IF($K269="","",IF(N($K269)&gt;2,"No",IF(COUNTIFS(nrES_PID,$D269,nrES_Code,$F269,nrES_Att,"&gt;"&amp;$K269,nrES_Att,"&lt;=2",nrES_Raw,"&gt;=0")=0,"Yes","No"))))</f>
        <v/>
      </c>
      <c r="Q269" s="17">
        <f>IF($C269="","",IF($L269="","",IF(AND($K269=1,ISNUMBER($L269),$L269&lt;$J269,COUNTIFS(nrES_PID,$D269,nrES_Code,$F269,nrES_Att,2,nrES_Raw,"&gt;=0")=0),"Yes","No")))</f>
        <v/>
      </c>
      <c r="R269" s="17">
        <f>IF($C269="","",IF($L269="","",IF(AND(N($K269)&gt;=2,ISNUMBER($L269),$L269&lt;$J269),"Yes","No")))</f>
        <v/>
      </c>
      <c r="S269" s="18" t="n"/>
      <c r="T269" s="19">
        <f>IF(OR($C269="",$L269="",$K269&lt;&gt;1,NOT(ISNUMBER($L269)),$L269&gt;=$J269),"",IF($S269="","(enter date)",_xlfn.LET(_xlpm.dn,_xlfn.XLOOKUP($S269,nrCDdate,nrCDnum,"",1),IF(_xlpm.dn="","(after last class day)",_xlfn.LET(_xlpm.dd,_xlfn.XLOOKUP(_xlpm.dn+cfgRetestClassDays,nrCDnum,nrCDdate,""),_xlpm.ok,_xlfn.XLOOKUP(_xlpm.dn+cfgRetestClassDays,nrCDnum,nrCDinsession,"No"),IF(OR(_xlpm.dd="",_xlpm.ok&lt;&gt;"Yes"),"(after last class day)",_xlpm.dd))))))</f>
        <v/>
      </c>
      <c r="U269" s="17">
        <f>IF($C269="","",IF(AND($Y269="Excused",$L269="",N($K269)&lt;=1),"EXCUSED - 1st attempt pending",IF(OR($L269="",$K269&lt;&gt;1,NOT(ISNUMBER($L269)),$L269&gt;=$J269),"",IF(COUNTIFS(nrES_PID,$D269,nrES_Code,$F269,nrES_Att,2,nrES_Raw,"&gt;=0")&gt;0,IF(IFERROR(_xlfn.MINIFS(nrES_Date,nrES_PID,$D269,nrES_Code,$F269,nrES_Att,2,nrES_Raw,"&gt;=0",nrES_Date,"&gt;0"),0)=0,"RETEST UNDATED",IF(NOT(ISNUMBER($T269)),"RETEST DATE UNCHECKED",IF(_xlfn.MINIFS(nrES_Date,nrES_PID,$D269,nrES_Code,$F269,nrES_Att,2,nrES_Raw,"&gt;=0",nrES_Date,"&gt;0")&gt;$T269,"LATE RETEST "&amp;TEXT(_xlfn.MINIFS(nrES_Date,nrES_PID,$D269,nrES_Code,$F269,nrES_Att,2,nrES_Raw,"&gt;=0",nrES_Date,"&gt;0"),"mm/dd")&amp;" (due "&amp;TEXT($T269,"mm/dd")&amp;")","Retested"))),IF(NOT(ISNUMBER($T269)),"CHECK DATE",IF(TODAY()&gt;$T269,"OVERDUE","Due "&amp;TEXT($T269,"mm/dd")))))))</f>
        <v/>
      </c>
      <c r="V269" s="16" t="n"/>
      <c r="W269" s="16" t="n"/>
      <c r="X269" s="17">
        <f>IF($C269="","",IF(AND($L269&lt;&gt;"",NOT(ISNUMBER($L269))),"RAW SCORE NOT A NUMBER",IF(AND(ISNUMBER($L269),OR($L269&lt;0,$L269&gt;100)),"RAW SCORE OUT OF RANGE",IF(AND($Y269="Unexcused",OR($L269="",NOT(ISNUMBER($L269)),$L269&lt;&gt;0)),"UNEXCUSED ABSENCE MUST RECORD 0",IF(COUNTIF(nrES_RecID,$B269)&gt;1,"DUPLICATE RECORD",IF(N($K269)&gt;2,"ATTEMPT 3+ NOT ALLOWED - policy 300.5 permits one retest per exam; this row records nothing",IF(AND($K269=2,COUNTIFS(nrES_PID,$D269,nrES_Code,$F269,nrES_Att,1)=0),"ATTEMPT 2 WITHOUT ATTEMPT 1",IF(AND($K269=2,$L269=""),"RETEST ROW HAS NO SCORE",IF(AND($H269="Final",$L269&lt;&gt;"",IFERROR(INDEX(nrCKfinalExamElig,MATCH($D269,rngCadetPIDs,0)),"")="No"),"FINAL EXAM AFTER FAILED FINAL PT (500.1.H)",IF(AND($K269=2,ISNUMBER($L269),COUNTIFS(nrES_PID,$D269,nrES_Code,$F269,nrES_Att,1)&gt;0,SUMIFS(nrES_Raw,nrES_PID,$D269,nrES_Code,$F269,nrES_Att,1)&gt;=$J269),"RETEST AFTER A PASSING FIRST ATTEMPT","OK"))))))))))</f>
        <v/>
      </c>
      <c r="Y269" s="16" t="n"/>
    </row>
    <row r="270">
      <c r="B270" s="17">
        <f>IF($C270="","",$D270&amp;"-"&amp;$F270&amp;"-"&amp;$K270)</f>
        <v/>
      </c>
      <c r="C270" s="16" t="n"/>
      <c r="D270" s="17">
        <f>IF($C270="","",IFERROR(INDEX(rngCadetPIDs,MATCH($C270,rngCadetNames,0)),"?"))</f>
        <v/>
      </c>
      <c r="E270" s="17">
        <f>IF($D270="","",IFERROR(INDEX(nrCadetAgency,MATCH($D270,rngCadetPIDs,0)),""))</f>
        <v/>
      </c>
      <c r="F270" s="16" t="n"/>
      <c r="G270" s="17">
        <f>IF($F270="","",IFERROR(INDEX(rngEPname,MATCH($F270,rngEPcode,0)),"?"))</f>
        <v/>
      </c>
      <c r="H270" s="17">
        <f>IF($F270="","",IFERROR(INDEX(rngEPtype,MATCH($F270,rngEPcode,0)),"?"))</f>
        <v/>
      </c>
      <c r="I270" s="17">
        <f>IF($F270="","",IFERROR(INDEX(rngEPseq,MATCH($F270,rngEPcode,0)),""))</f>
        <v/>
      </c>
      <c r="J270" s="17">
        <f>IF($F270="","",IFERROR(INDEX(rngEPpass,MATCH($F270,rngEPcode,0)),cfgPassingScore))</f>
        <v/>
      </c>
      <c r="K270" s="16" t="n"/>
      <c r="L270" s="16" t="n"/>
      <c r="M270" s="17">
        <f>IF($C270="","",IF($L270="","",IF(NOT(ISNUMBER($L270)),$L270,IF(N($K270)&gt;2,"",IF($K270=1,IF(COUNTIFS(nrES_PID,$D270,nrES_Code,$F270,nrES_Att,2,nrES_Raw,"&gt;=0")&gt;0,"",$L270),IF($L270&gt;=$J270,MAX($J270,cfgRetakeRecordedCap),IF(COUNTIFS(nrES_PID,$D270,nrES_Code,$F270,nrES_Att,1)=0,$L270,SUMIFS(nrES_Raw,nrES_PID,$D270,nrES_Code,$F270,nrES_Att,1))))))))</f>
        <v/>
      </c>
      <c r="N270" s="17">
        <f>IF($C270="","",IF($L270="","",IF(NOT(ISNUMBER($L270)),"(not a score)",IF($L270&gt;=$J270,"Yes","No"))))</f>
        <v/>
      </c>
      <c r="O270" s="17">
        <f>IF($C270="","",IF($M270="","",IF(NOT(ISNUMBER($M270)),"(not a score)",IF($M270&gt;=$J270,"Yes","No"))))</f>
        <v/>
      </c>
      <c r="P270" s="17">
        <f>IF($C270="","",IF($K270="","",IF(N($K270)&gt;2,"No",IF(COUNTIFS(nrES_PID,$D270,nrES_Code,$F270,nrES_Att,"&gt;"&amp;$K270,nrES_Att,"&lt;=2",nrES_Raw,"&gt;=0")=0,"Yes","No"))))</f>
        <v/>
      </c>
      <c r="Q270" s="17">
        <f>IF($C270="","",IF($L270="","",IF(AND($K270=1,ISNUMBER($L270),$L270&lt;$J270,COUNTIFS(nrES_PID,$D270,nrES_Code,$F270,nrES_Att,2,nrES_Raw,"&gt;=0")=0),"Yes","No")))</f>
        <v/>
      </c>
      <c r="R270" s="17">
        <f>IF($C270="","",IF($L270="","",IF(AND(N($K270)&gt;=2,ISNUMBER($L270),$L270&lt;$J270),"Yes","No")))</f>
        <v/>
      </c>
      <c r="S270" s="18" t="n"/>
      <c r="T270" s="19">
        <f>IF(OR($C270="",$L270="",$K270&lt;&gt;1,NOT(ISNUMBER($L270)),$L270&gt;=$J270),"",IF($S270="","(enter date)",_xlfn.LET(_xlpm.dn,_xlfn.XLOOKUP($S270,nrCDdate,nrCDnum,"",1),IF(_xlpm.dn="","(after last class day)",_xlfn.LET(_xlpm.dd,_xlfn.XLOOKUP(_xlpm.dn+cfgRetestClassDays,nrCDnum,nrCDdate,""),_xlpm.ok,_xlfn.XLOOKUP(_xlpm.dn+cfgRetestClassDays,nrCDnum,nrCDinsession,"No"),IF(OR(_xlpm.dd="",_xlpm.ok&lt;&gt;"Yes"),"(after last class day)",_xlpm.dd))))))</f>
        <v/>
      </c>
      <c r="U270" s="17">
        <f>IF($C270="","",IF(AND($Y270="Excused",$L270="",N($K270)&lt;=1),"EXCUSED - 1st attempt pending",IF(OR($L270="",$K270&lt;&gt;1,NOT(ISNUMBER($L270)),$L270&gt;=$J270),"",IF(COUNTIFS(nrES_PID,$D270,nrES_Code,$F270,nrES_Att,2,nrES_Raw,"&gt;=0")&gt;0,IF(IFERROR(_xlfn.MINIFS(nrES_Date,nrES_PID,$D270,nrES_Code,$F270,nrES_Att,2,nrES_Raw,"&gt;=0",nrES_Date,"&gt;0"),0)=0,"RETEST UNDATED",IF(NOT(ISNUMBER($T270)),"RETEST DATE UNCHECKED",IF(_xlfn.MINIFS(nrES_Date,nrES_PID,$D270,nrES_Code,$F270,nrES_Att,2,nrES_Raw,"&gt;=0",nrES_Date,"&gt;0")&gt;$T270,"LATE RETEST "&amp;TEXT(_xlfn.MINIFS(nrES_Date,nrES_PID,$D270,nrES_Code,$F270,nrES_Att,2,nrES_Raw,"&gt;=0",nrES_Date,"&gt;0"),"mm/dd")&amp;" (due "&amp;TEXT($T270,"mm/dd")&amp;")","Retested"))),IF(NOT(ISNUMBER($T270)),"CHECK DATE",IF(TODAY()&gt;$T270,"OVERDUE","Due "&amp;TEXT($T270,"mm/dd")))))))</f>
        <v/>
      </c>
      <c r="V270" s="16" t="n"/>
      <c r="W270" s="16" t="n"/>
      <c r="X270" s="17">
        <f>IF($C270="","",IF(AND($L270&lt;&gt;"",NOT(ISNUMBER($L270))),"RAW SCORE NOT A NUMBER",IF(AND(ISNUMBER($L270),OR($L270&lt;0,$L270&gt;100)),"RAW SCORE OUT OF RANGE",IF(AND($Y270="Unexcused",OR($L270="",NOT(ISNUMBER($L270)),$L270&lt;&gt;0)),"UNEXCUSED ABSENCE MUST RECORD 0",IF(COUNTIF(nrES_RecID,$B270)&gt;1,"DUPLICATE RECORD",IF(N($K270)&gt;2,"ATTEMPT 3+ NOT ALLOWED - policy 300.5 permits one retest per exam; this row records nothing",IF(AND($K270=2,COUNTIFS(nrES_PID,$D270,nrES_Code,$F270,nrES_Att,1)=0),"ATTEMPT 2 WITHOUT ATTEMPT 1",IF(AND($K270=2,$L270=""),"RETEST ROW HAS NO SCORE",IF(AND($H270="Final",$L270&lt;&gt;"",IFERROR(INDEX(nrCKfinalExamElig,MATCH($D270,rngCadetPIDs,0)),"")="No"),"FINAL EXAM AFTER FAILED FINAL PT (500.1.H)",IF(AND($K270=2,ISNUMBER($L270),COUNTIFS(nrES_PID,$D270,nrES_Code,$F270,nrES_Att,1)&gt;0,SUMIFS(nrES_Raw,nrES_PID,$D270,nrES_Code,$F270,nrES_Att,1)&gt;=$J270),"RETEST AFTER A PASSING FIRST ATTEMPT","OK"))))))))))</f>
        <v/>
      </c>
      <c r="Y270" s="16" t="n"/>
    </row>
    <row r="271">
      <c r="B271" s="17">
        <f>IF($C271="","",$D271&amp;"-"&amp;$F271&amp;"-"&amp;$K271)</f>
        <v/>
      </c>
      <c r="C271" s="16" t="n"/>
      <c r="D271" s="17">
        <f>IF($C271="","",IFERROR(INDEX(rngCadetPIDs,MATCH($C271,rngCadetNames,0)),"?"))</f>
        <v/>
      </c>
      <c r="E271" s="17">
        <f>IF($D271="","",IFERROR(INDEX(nrCadetAgency,MATCH($D271,rngCadetPIDs,0)),""))</f>
        <v/>
      </c>
      <c r="F271" s="16" t="n"/>
      <c r="G271" s="17">
        <f>IF($F271="","",IFERROR(INDEX(rngEPname,MATCH($F271,rngEPcode,0)),"?"))</f>
        <v/>
      </c>
      <c r="H271" s="17">
        <f>IF($F271="","",IFERROR(INDEX(rngEPtype,MATCH($F271,rngEPcode,0)),"?"))</f>
        <v/>
      </c>
      <c r="I271" s="17">
        <f>IF($F271="","",IFERROR(INDEX(rngEPseq,MATCH($F271,rngEPcode,0)),""))</f>
        <v/>
      </c>
      <c r="J271" s="17">
        <f>IF($F271="","",IFERROR(INDEX(rngEPpass,MATCH($F271,rngEPcode,0)),cfgPassingScore))</f>
        <v/>
      </c>
      <c r="K271" s="16" t="n"/>
      <c r="L271" s="16" t="n"/>
      <c r="M271" s="17">
        <f>IF($C271="","",IF($L271="","",IF(NOT(ISNUMBER($L271)),$L271,IF(N($K271)&gt;2,"",IF($K271=1,IF(COUNTIFS(nrES_PID,$D271,nrES_Code,$F271,nrES_Att,2,nrES_Raw,"&gt;=0")&gt;0,"",$L271),IF($L271&gt;=$J271,MAX($J271,cfgRetakeRecordedCap),IF(COUNTIFS(nrES_PID,$D271,nrES_Code,$F271,nrES_Att,1)=0,$L271,SUMIFS(nrES_Raw,nrES_PID,$D271,nrES_Code,$F271,nrES_Att,1))))))))</f>
        <v/>
      </c>
      <c r="N271" s="17">
        <f>IF($C271="","",IF($L271="","",IF(NOT(ISNUMBER($L271)),"(not a score)",IF($L271&gt;=$J271,"Yes","No"))))</f>
        <v/>
      </c>
      <c r="O271" s="17">
        <f>IF($C271="","",IF($M271="","",IF(NOT(ISNUMBER($M271)),"(not a score)",IF($M271&gt;=$J271,"Yes","No"))))</f>
        <v/>
      </c>
      <c r="P271" s="17">
        <f>IF($C271="","",IF($K271="","",IF(N($K271)&gt;2,"No",IF(COUNTIFS(nrES_PID,$D271,nrES_Code,$F271,nrES_Att,"&gt;"&amp;$K271,nrES_Att,"&lt;=2",nrES_Raw,"&gt;=0")=0,"Yes","No"))))</f>
        <v/>
      </c>
      <c r="Q271" s="17">
        <f>IF($C271="","",IF($L271="","",IF(AND($K271=1,ISNUMBER($L271),$L271&lt;$J271,COUNTIFS(nrES_PID,$D271,nrES_Code,$F271,nrES_Att,2,nrES_Raw,"&gt;=0")=0),"Yes","No")))</f>
        <v/>
      </c>
      <c r="R271" s="17">
        <f>IF($C271="","",IF($L271="","",IF(AND(N($K271)&gt;=2,ISNUMBER($L271),$L271&lt;$J271),"Yes","No")))</f>
        <v/>
      </c>
      <c r="S271" s="18" t="n"/>
      <c r="T271" s="19">
        <f>IF(OR($C271="",$L271="",$K271&lt;&gt;1,NOT(ISNUMBER($L271)),$L271&gt;=$J271),"",IF($S271="","(enter date)",_xlfn.LET(_xlpm.dn,_xlfn.XLOOKUP($S271,nrCDdate,nrCDnum,"",1),IF(_xlpm.dn="","(after last class day)",_xlfn.LET(_xlpm.dd,_xlfn.XLOOKUP(_xlpm.dn+cfgRetestClassDays,nrCDnum,nrCDdate,""),_xlpm.ok,_xlfn.XLOOKUP(_xlpm.dn+cfgRetestClassDays,nrCDnum,nrCDinsession,"No"),IF(OR(_xlpm.dd="",_xlpm.ok&lt;&gt;"Yes"),"(after last class day)",_xlpm.dd))))))</f>
        <v/>
      </c>
      <c r="U271" s="17">
        <f>IF($C271="","",IF(AND($Y271="Excused",$L271="",N($K271)&lt;=1),"EXCUSED - 1st attempt pending",IF(OR($L271="",$K271&lt;&gt;1,NOT(ISNUMBER($L271)),$L271&gt;=$J271),"",IF(COUNTIFS(nrES_PID,$D271,nrES_Code,$F271,nrES_Att,2,nrES_Raw,"&gt;=0")&gt;0,IF(IFERROR(_xlfn.MINIFS(nrES_Date,nrES_PID,$D271,nrES_Code,$F271,nrES_Att,2,nrES_Raw,"&gt;=0",nrES_Date,"&gt;0"),0)=0,"RETEST UNDATED",IF(NOT(ISNUMBER($T271)),"RETEST DATE UNCHECKED",IF(_xlfn.MINIFS(nrES_Date,nrES_PID,$D271,nrES_Code,$F271,nrES_Att,2,nrES_Raw,"&gt;=0",nrES_Date,"&gt;0")&gt;$T271,"LATE RETEST "&amp;TEXT(_xlfn.MINIFS(nrES_Date,nrES_PID,$D271,nrES_Code,$F271,nrES_Att,2,nrES_Raw,"&gt;=0",nrES_Date,"&gt;0"),"mm/dd")&amp;" (due "&amp;TEXT($T271,"mm/dd")&amp;")","Retested"))),IF(NOT(ISNUMBER($T271)),"CHECK DATE",IF(TODAY()&gt;$T271,"OVERDUE","Due "&amp;TEXT($T271,"mm/dd")))))))</f>
        <v/>
      </c>
      <c r="V271" s="16" t="n"/>
      <c r="W271" s="16" t="n"/>
      <c r="X271" s="17">
        <f>IF($C271="","",IF(AND($L271&lt;&gt;"",NOT(ISNUMBER($L271))),"RAW SCORE NOT A NUMBER",IF(AND(ISNUMBER($L271),OR($L271&lt;0,$L271&gt;100)),"RAW SCORE OUT OF RANGE",IF(AND($Y271="Unexcused",OR($L271="",NOT(ISNUMBER($L271)),$L271&lt;&gt;0)),"UNEXCUSED ABSENCE MUST RECORD 0",IF(COUNTIF(nrES_RecID,$B271)&gt;1,"DUPLICATE RECORD",IF(N($K271)&gt;2,"ATTEMPT 3+ NOT ALLOWED - policy 300.5 permits one retest per exam; this row records nothing",IF(AND($K271=2,COUNTIFS(nrES_PID,$D271,nrES_Code,$F271,nrES_Att,1)=0),"ATTEMPT 2 WITHOUT ATTEMPT 1",IF(AND($K271=2,$L271=""),"RETEST ROW HAS NO SCORE",IF(AND($H271="Final",$L271&lt;&gt;"",IFERROR(INDEX(nrCKfinalExamElig,MATCH($D271,rngCadetPIDs,0)),"")="No"),"FINAL EXAM AFTER FAILED FINAL PT (500.1.H)",IF(AND($K271=2,ISNUMBER($L271),COUNTIFS(nrES_PID,$D271,nrES_Code,$F271,nrES_Att,1)&gt;0,SUMIFS(nrES_Raw,nrES_PID,$D271,nrES_Code,$F271,nrES_Att,1)&gt;=$J271),"RETEST AFTER A PASSING FIRST ATTEMPT","OK"))))))))))</f>
        <v/>
      </c>
      <c r="Y271" s="16" t="n"/>
    </row>
    <row r="272">
      <c r="B272" s="17">
        <f>IF($C272="","",$D272&amp;"-"&amp;$F272&amp;"-"&amp;$K272)</f>
        <v/>
      </c>
      <c r="C272" s="16" t="n"/>
      <c r="D272" s="17">
        <f>IF($C272="","",IFERROR(INDEX(rngCadetPIDs,MATCH($C272,rngCadetNames,0)),"?"))</f>
        <v/>
      </c>
      <c r="E272" s="17">
        <f>IF($D272="","",IFERROR(INDEX(nrCadetAgency,MATCH($D272,rngCadetPIDs,0)),""))</f>
        <v/>
      </c>
      <c r="F272" s="16" t="n"/>
      <c r="G272" s="17">
        <f>IF($F272="","",IFERROR(INDEX(rngEPname,MATCH($F272,rngEPcode,0)),"?"))</f>
        <v/>
      </c>
      <c r="H272" s="17">
        <f>IF($F272="","",IFERROR(INDEX(rngEPtype,MATCH($F272,rngEPcode,0)),"?"))</f>
        <v/>
      </c>
      <c r="I272" s="17">
        <f>IF($F272="","",IFERROR(INDEX(rngEPseq,MATCH($F272,rngEPcode,0)),""))</f>
        <v/>
      </c>
      <c r="J272" s="17">
        <f>IF($F272="","",IFERROR(INDEX(rngEPpass,MATCH($F272,rngEPcode,0)),cfgPassingScore))</f>
        <v/>
      </c>
      <c r="K272" s="16" t="n"/>
      <c r="L272" s="16" t="n"/>
      <c r="M272" s="17">
        <f>IF($C272="","",IF($L272="","",IF(NOT(ISNUMBER($L272)),$L272,IF(N($K272)&gt;2,"",IF($K272=1,IF(COUNTIFS(nrES_PID,$D272,nrES_Code,$F272,nrES_Att,2,nrES_Raw,"&gt;=0")&gt;0,"",$L272),IF($L272&gt;=$J272,MAX($J272,cfgRetakeRecordedCap),IF(COUNTIFS(nrES_PID,$D272,nrES_Code,$F272,nrES_Att,1)=0,$L272,SUMIFS(nrES_Raw,nrES_PID,$D272,nrES_Code,$F272,nrES_Att,1))))))))</f>
        <v/>
      </c>
      <c r="N272" s="17">
        <f>IF($C272="","",IF($L272="","",IF(NOT(ISNUMBER($L272)),"(not a score)",IF($L272&gt;=$J272,"Yes","No"))))</f>
        <v/>
      </c>
      <c r="O272" s="17">
        <f>IF($C272="","",IF($M272="","",IF(NOT(ISNUMBER($M272)),"(not a score)",IF($M272&gt;=$J272,"Yes","No"))))</f>
        <v/>
      </c>
      <c r="P272" s="17">
        <f>IF($C272="","",IF($K272="","",IF(N($K272)&gt;2,"No",IF(COUNTIFS(nrES_PID,$D272,nrES_Code,$F272,nrES_Att,"&gt;"&amp;$K272,nrES_Att,"&lt;=2",nrES_Raw,"&gt;=0")=0,"Yes","No"))))</f>
        <v/>
      </c>
      <c r="Q272" s="17">
        <f>IF($C272="","",IF($L272="","",IF(AND($K272=1,ISNUMBER($L272),$L272&lt;$J272,COUNTIFS(nrES_PID,$D272,nrES_Code,$F272,nrES_Att,2,nrES_Raw,"&gt;=0")=0),"Yes","No")))</f>
        <v/>
      </c>
      <c r="R272" s="17">
        <f>IF($C272="","",IF($L272="","",IF(AND(N($K272)&gt;=2,ISNUMBER($L272),$L272&lt;$J272),"Yes","No")))</f>
        <v/>
      </c>
      <c r="S272" s="18" t="n"/>
      <c r="T272" s="19">
        <f>IF(OR($C272="",$L272="",$K272&lt;&gt;1,NOT(ISNUMBER($L272)),$L272&gt;=$J272),"",IF($S272="","(enter date)",_xlfn.LET(_xlpm.dn,_xlfn.XLOOKUP($S272,nrCDdate,nrCDnum,"",1),IF(_xlpm.dn="","(after last class day)",_xlfn.LET(_xlpm.dd,_xlfn.XLOOKUP(_xlpm.dn+cfgRetestClassDays,nrCDnum,nrCDdate,""),_xlpm.ok,_xlfn.XLOOKUP(_xlpm.dn+cfgRetestClassDays,nrCDnum,nrCDinsession,"No"),IF(OR(_xlpm.dd="",_xlpm.ok&lt;&gt;"Yes"),"(after last class day)",_xlpm.dd))))))</f>
        <v/>
      </c>
      <c r="U272" s="17">
        <f>IF($C272="","",IF(AND($Y272="Excused",$L272="",N($K272)&lt;=1),"EXCUSED - 1st attempt pending",IF(OR($L272="",$K272&lt;&gt;1,NOT(ISNUMBER($L272)),$L272&gt;=$J272),"",IF(COUNTIFS(nrES_PID,$D272,nrES_Code,$F272,nrES_Att,2,nrES_Raw,"&gt;=0")&gt;0,IF(IFERROR(_xlfn.MINIFS(nrES_Date,nrES_PID,$D272,nrES_Code,$F272,nrES_Att,2,nrES_Raw,"&gt;=0",nrES_Date,"&gt;0"),0)=0,"RETEST UNDATED",IF(NOT(ISNUMBER($T272)),"RETEST DATE UNCHECKED",IF(_xlfn.MINIFS(nrES_Date,nrES_PID,$D272,nrES_Code,$F272,nrES_Att,2,nrES_Raw,"&gt;=0",nrES_Date,"&gt;0")&gt;$T272,"LATE RETEST "&amp;TEXT(_xlfn.MINIFS(nrES_Date,nrES_PID,$D272,nrES_Code,$F272,nrES_Att,2,nrES_Raw,"&gt;=0",nrES_Date,"&gt;0"),"mm/dd")&amp;" (due "&amp;TEXT($T272,"mm/dd")&amp;")","Retested"))),IF(NOT(ISNUMBER($T272)),"CHECK DATE",IF(TODAY()&gt;$T272,"OVERDUE","Due "&amp;TEXT($T272,"mm/dd")))))))</f>
        <v/>
      </c>
      <c r="V272" s="16" t="n"/>
      <c r="W272" s="16" t="n"/>
      <c r="X272" s="17">
        <f>IF($C272="","",IF(AND($L272&lt;&gt;"",NOT(ISNUMBER($L272))),"RAW SCORE NOT A NUMBER",IF(AND(ISNUMBER($L272),OR($L272&lt;0,$L272&gt;100)),"RAW SCORE OUT OF RANGE",IF(AND($Y272="Unexcused",OR($L272="",NOT(ISNUMBER($L272)),$L272&lt;&gt;0)),"UNEXCUSED ABSENCE MUST RECORD 0",IF(COUNTIF(nrES_RecID,$B272)&gt;1,"DUPLICATE RECORD",IF(N($K272)&gt;2,"ATTEMPT 3+ NOT ALLOWED - policy 300.5 permits one retest per exam; this row records nothing",IF(AND($K272=2,COUNTIFS(nrES_PID,$D272,nrES_Code,$F272,nrES_Att,1)=0),"ATTEMPT 2 WITHOUT ATTEMPT 1",IF(AND($K272=2,$L272=""),"RETEST ROW HAS NO SCORE",IF(AND($H272="Final",$L272&lt;&gt;"",IFERROR(INDEX(nrCKfinalExamElig,MATCH($D272,rngCadetPIDs,0)),"")="No"),"FINAL EXAM AFTER FAILED FINAL PT (500.1.H)",IF(AND($K272=2,ISNUMBER($L272),COUNTIFS(nrES_PID,$D272,nrES_Code,$F272,nrES_Att,1)&gt;0,SUMIFS(nrES_Raw,nrES_PID,$D272,nrES_Code,$F272,nrES_Att,1)&gt;=$J272),"RETEST AFTER A PASSING FIRST ATTEMPT","OK"))))))))))</f>
        <v/>
      </c>
      <c r="Y272" s="16" t="n"/>
    </row>
    <row r="273">
      <c r="B273" s="17">
        <f>IF($C273="","",$D273&amp;"-"&amp;$F273&amp;"-"&amp;$K273)</f>
        <v/>
      </c>
      <c r="C273" s="16" t="n"/>
      <c r="D273" s="17">
        <f>IF($C273="","",IFERROR(INDEX(rngCadetPIDs,MATCH($C273,rngCadetNames,0)),"?"))</f>
        <v/>
      </c>
      <c r="E273" s="17">
        <f>IF($D273="","",IFERROR(INDEX(nrCadetAgency,MATCH($D273,rngCadetPIDs,0)),""))</f>
        <v/>
      </c>
      <c r="F273" s="16" t="n"/>
      <c r="G273" s="17">
        <f>IF($F273="","",IFERROR(INDEX(rngEPname,MATCH($F273,rngEPcode,0)),"?"))</f>
        <v/>
      </c>
      <c r="H273" s="17">
        <f>IF($F273="","",IFERROR(INDEX(rngEPtype,MATCH($F273,rngEPcode,0)),"?"))</f>
        <v/>
      </c>
      <c r="I273" s="17">
        <f>IF($F273="","",IFERROR(INDEX(rngEPseq,MATCH($F273,rngEPcode,0)),""))</f>
        <v/>
      </c>
      <c r="J273" s="17">
        <f>IF($F273="","",IFERROR(INDEX(rngEPpass,MATCH($F273,rngEPcode,0)),cfgPassingScore))</f>
        <v/>
      </c>
      <c r="K273" s="16" t="n"/>
      <c r="L273" s="16" t="n"/>
      <c r="M273" s="17">
        <f>IF($C273="","",IF($L273="","",IF(NOT(ISNUMBER($L273)),$L273,IF(N($K273)&gt;2,"",IF($K273=1,IF(COUNTIFS(nrES_PID,$D273,nrES_Code,$F273,nrES_Att,2,nrES_Raw,"&gt;=0")&gt;0,"",$L273),IF($L273&gt;=$J273,MAX($J273,cfgRetakeRecordedCap),IF(COUNTIFS(nrES_PID,$D273,nrES_Code,$F273,nrES_Att,1)=0,$L273,SUMIFS(nrES_Raw,nrES_PID,$D273,nrES_Code,$F273,nrES_Att,1))))))))</f>
        <v/>
      </c>
      <c r="N273" s="17">
        <f>IF($C273="","",IF($L273="","",IF(NOT(ISNUMBER($L273)),"(not a score)",IF($L273&gt;=$J273,"Yes","No"))))</f>
        <v/>
      </c>
      <c r="O273" s="17">
        <f>IF($C273="","",IF($M273="","",IF(NOT(ISNUMBER($M273)),"(not a score)",IF($M273&gt;=$J273,"Yes","No"))))</f>
        <v/>
      </c>
      <c r="P273" s="17">
        <f>IF($C273="","",IF($K273="","",IF(N($K273)&gt;2,"No",IF(COUNTIFS(nrES_PID,$D273,nrES_Code,$F273,nrES_Att,"&gt;"&amp;$K273,nrES_Att,"&lt;=2",nrES_Raw,"&gt;=0")=0,"Yes","No"))))</f>
        <v/>
      </c>
      <c r="Q273" s="17">
        <f>IF($C273="","",IF($L273="","",IF(AND($K273=1,ISNUMBER($L273),$L273&lt;$J273,COUNTIFS(nrES_PID,$D273,nrES_Code,$F273,nrES_Att,2,nrES_Raw,"&gt;=0")=0),"Yes","No")))</f>
        <v/>
      </c>
      <c r="R273" s="17">
        <f>IF($C273="","",IF($L273="","",IF(AND(N($K273)&gt;=2,ISNUMBER($L273),$L273&lt;$J273),"Yes","No")))</f>
        <v/>
      </c>
      <c r="S273" s="18" t="n"/>
      <c r="T273" s="19">
        <f>IF(OR($C273="",$L273="",$K273&lt;&gt;1,NOT(ISNUMBER($L273)),$L273&gt;=$J273),"",IF($S273="","(enter date)",_xlfn.LET(_xlpm.dn,_xlfn.XLOOKUP($S273,nrCDdate,nrCDnum,"",1),IF(_xlpm.dn="","(after last class day)",_xlfn.LET(_xlpm.dd,_xlfn.XLOOKUP(_xlpm.dn+cfgRetestClassDays,nrCDnum,nrCDdate,""),_xlpm.ok,_xlfn.XLOOKUP(_xlpm.dn+cfgRetestClassDays,nrCDnum,nrCDinsession,"No"),IF(OR(_xlpm.dd="",_xlpm.ok&lt;&gt;"Yes"),"(after last class day)",_xlpm.dd))))))</f>
        <v/>
      </c>
      <c r="U273" s="17">
        <f>IF($C273="","",IF(AND($Y273="Excused",$L273="",N($K273)&lt;=1),"EXCUSED - 1st attempt pending",IF(OR($L273="",$K273&lt;&gt;1,NOT(ISNUMBER($L273)),$L273&gt;=$J273),"",IF(COUNTIFS(nrES_PID,$D273,nrES_Code,$F273,nrES_Att,2,nrES_Raw,"&gt;=0")&gt;0,IF(IFERROR(_xlfn.MINIFS(nrES_Date,nrES_PID,$D273,nrES_Code,$F273,nrES_Att,2,nrES_Raw,"&gt;=0",nrES_Date,"&gt;0"),0)=0,"RETEST UNDATED",IF(NOT(ISNUMBER($T273)),"RETEST DATE UNCHECKED",IF(_xlfn.MINIFS(nrES_Date,nrES_PID,$D273,nrES_Code,$F273,nrES_Att,2,nrES_Raw,"&gt;=0",nrES_Date,"&gt;0")&gt;$T273,"LATE RETEST "&amp;TEXT(_xlfn.MINIFS(nrES_Date,nrES_PID,$D273,nrES_Code,$F273,nrES_Att,2,nrES_Raw,"&gt;=0",nrES_Date,"&gt;0"),"mm/dd")&amp;" (due "&amp;TEXT($T273,"mm/dd")&amp;")","Retested"))),IF(NOT(ISNUMBER($T273)),"CHECK DATE",IF(TODAY()&gt;$T273,"OVERDUE","Due "&amp;TEXT($T273,"mm/dd")))))))</f>
        <v/>
      </c>
      <c r="V273" s="16" t="n"/>
      <c r="W273" s="16" t="n"/>
      <c r="X273" s="17">
        <f>IF($C273="","",IF(AND($L273&lt;&gt;"",NOT(ISNUMBER($L273))),"RAW SCORE NOT A NUMBER",IF(AND(ISNUMBER($L273),OR($L273&lt;0,$L273&gt;100)),"RAW SCORE OUT OF RANGE",IF(AND($Y273="Unexcused",OR($L273="",NOT(ISNUMBER($L273)),$L273&lt;&gt;0)),"UNEXCUSED ABSENCE MUST RECORD 0",IF(COUNTIF(nrES_RecID,$B273)&gt;1,"DUPLICATE RECORD",IF(N($K273)&gt;2,"ATTEMPT 3+ NOT ALLOWED - policy 300.5 permits one retest per exam; this row records nothing",IF(AND($K273=2,COUNTIFS(nrES_PID,$D273,nrES_Code,$F273,nrES_Att,1)=0),"ATTEMPT 2 WITHOUT ATTEMPT 1",IF(AND($K273=2,$L273=""),"RETEST ROW HAS NO SCORE",IF(AND($H273="Final",$L273&lt;&gt;"",IFERROR(INDEX(nrCKfinalExamElig,MATCH($D273,rngCadetPIDs,0)),"")="No"),"FINAL EXAM AFTER FAILED FINAL PT (500.1.H)",IF(AND($K273=2,ISNUMBER($L273),COUNTIFS(nrES_PID,$D273,nrES_Code,$F273,nrES_Att,1)&gt;0,SUMIFS(nrES_Raw,nrES_PID,$D273,nrES_Code,$F273,nrES_Att,1)&gt;=$J273),"RETEST AFTER A PASSING FIRST ATTEMPT","OK"))))))))))</f>
        <v/>
      </c>
      <c r="Y273" s="16" t="n"/>
    </row>
    <row r="274">
      <c r="B274" s="17">
        <f>IF($C274="","",$D274&amp;"-"&amp;$F274&amp;"-"&amp;$K274)</f>
        <v/>
      </c>
      <c r="C274" s="16" t="n"/>
      <c r="D274" s="17">
        <f>IF($C274="","",IFERROR(INDEX(rngCadetPIDs,MATCH($C274,rngCadetNames,0)),"?"))</f>
        <v/>
      </c>
      <c r="E274" s="17">
        <f>IF($D274="","",IFERROR(INDEX(nrCadetAgency,MATCH($D274,rngCadetPIDs,0)),""))</f>
        <v/>
      </c>
      <c r="F274" s="16" t="n"/>
      <c r="G274" s="17">
        <f>IF($F274="","",IFERROR(INDEX(rngEPname,MATCH($F274,rngEPcode,0)),"?"))</f>
        <v/>
      </c>
      <c r="H274" s="17">
        <f>IF($F274="","",IFERROR(INDEX(rngEPtype,MATCH($F274,rngEPcode,0)),"?"))</f>
        <v/>
      </c>
      <c r="I274" s="17">
        <f>IF($F274="","",IFERROR(INDEX(rngEPseq,MATCH($F274,rngEPcode,0)),""))</f>
        <v/>
      </c>
      <c r="J274" s="17">
        <f>IF($F274="","",IFERROR(INDEX(rngEPpass,MATCH($F274,rngEPcode,0)),cfgPassingScore))</f>
        <v/>
      </c>
      <c r="K274" s="16" t="n"/>
      <c r="L274" s="16" t="n"/>
      <c r="M274" s="17">
        <f>IF($C274="","",IF($L274="","",IF(NOT(ISNUMBER($L274)),$L274,IF(N($K274)&gt;2,"",IF($K274=1,IF(COUNTIFS(nrES_PID,$D274,nrES_Code,$F274,nrES_Att,2,nrES_Raw,"&gt;=0")&gt;0,"",$L274),IF($L274&gt;=$J274,MAX($J274,cfgRetakeRecordedCap),IF(COUNTIFS(nrES_PID,$D274,nrES_Code,$F274,nrES_Att,1)=0,$L274,SUMIFS(nrES_Raw,nrES_PID,$D274,nrES_Code,$F274,nrES_Att,1))))))))</f>
        <v/>
      </c>
      <c r="N274" s="17">
        <f>IF($C274="","",IF($L274="","",IF(NOT(ISNUMBER($L274)),"(not a score)",IF($L274&gt;=$J274,"Yes","No"))))</f>
        <v/>
      </c>
      <c r="O274" s="17">
        <f>IF($C274="","",IF($M274="","",IF(NOT(ISNUMBER($M274)),"(not a score)",IF($M274&gt;=$J274,"Yes","No"))))</f>
        <v/>
      </c>
      <c r="P274" s="17">
        <f>IF($C274="","",IF($K274="","",IF(N($K274)&gt;2,"No",IF(COUNTIFS(nrES_PID,$D274,nrES_Code,$F274,nrES_Att,"&gt;"&amp;$K274,nrES_Att,"&lt;=2",nrES_Raw,"&gt;=0")=0,"Yes","No"))))</f>
        <v/>
      </c>
      <c r="Q274" s="17">
        <f>IF($C274="","",IF($L274="","",IF(AND($K274=1,ISNUMBER($L274),$L274&lt;$J274,COUNTIFS(nrES_PID,$D274,nrES_Code,$F274,nrES_Att,2,nrES_Raw,"&gt;=0")=0),"Yes","No")))</f>
        <v/>
      </c>
      <c r="R274" s="17">
        <f>IF($C274="","",IF($L274="","",IF(AND(N($K274)&gt;=2,ISNUMBER($L274),$L274&lt;$J274),"Yes","No")))</f>
        <v/>
      </c>
      <c r="S274" s="18" t="n"/>
      <c r="T274" s="19">
        <f>IF(OR($C274="",$L274="",$K274&lt;&gt;1,NOT(ISNUMBER($L274)),$L274&gt;=$J274),"",IF($S274="","(enter date)",_xlfn.LET(_xlpm.dn,_xlfn.XLOOKUP($S274,nrCDdate,nrCDnum,"",1),IF(_xlpm.dn="","(after last class day)",_xlfn.LET(_xlpm.dd,_xlfn.XLOOKUP(_xlpm.dn+cfgRetestClassDays,nrCDnum,nrCDdate,""),_xlpm.ok,_xlfn.XLOOKUP(_xlpm.dn+cfgRetestClassDays,nrCDnum,nrCDinsession,"No"),IF(OR(_xlpm.dd="",_xlpm.ok&lt;&gt;"Yes"),"(after last class day)",_xlpm.dd))))))</f>
        <v/>
      </c>
      <c r="U274" s="17">
        <f>IF($C274="","",IF(AND($Y274="Excused",$L274="",N($K274)&lt;=1),"EXCUSED - 1st attempt pending",IF(OR($L274="",$K274&lt;&gt;1,NOT(ISNUMBER($L274)),$L274&gt;=$J274),"",IF(COUNTIFS(nrES_PID,$D274,nrES_Code,$F274,nrES_Att,2,nrES_Raw,"&gt;=0")&gt;0,IF(IFERROR(_xlfn.MINIFS(nrES_Date,nrES_PID,$D274,nrES_Code,$F274,nrES_Att,2,nrES_Raw,"&gt;=0",nrES_Date,"&gt;0"),0)=0,"RETEST UNDATED",IF(NOT(ISNUMBER($T274)),"RETEST DATE UNCHECKED",IF(_xlfn.MINIFS(nrES_Date,nrES_PID,$D274,nrES_Code,$F274,nrES_Att,2,nrES_Raw,"&gt;=0",nrES_Date,"&gt;0")&gt;$T274,"LATE RETEST "&amp;TEXT(_xlfn.MINIFS(nrES_Date,nrES_PID,$D274,nrES_Code,$F274,nrES_Att,2,nrES_Raw,"&gt;=0",nrES_Date,"&gt;0"),"mm/dd")&amp;" (due "&amp;TEXT($T274,"mm/dd")&amp;")","Retested"))),IF(NOT(ISNUMBER($T274)),"CHECK DATE",IF(TODAY()&gt;$T274,"OVERDUE","Due "&amp;TEXT($T274,"mm/dd")))))))</f>
        <v/>
      </c>
      <c r="V274" s="16" t="n"/>
      <c r="W274" s="16" t="n"/>
      <c r="X274" s="17">
        <f>IF($C274="","",IF(AND($L274&lt;&gt;"",NOT(ISNUMBER($L274))),"RAW SCORE NOT A NUMBER",IF(AND(ISNUMBER($L274),OR($L274&lt;0,$L274&gt;100)),"RAW SCORE OUT OF RANGE",IF(AND($Y274="Unexcused",OR($L274="",NOT(ISNUMBER($L274)),$L274&lt;&gt;0)),"UNEXCUSED ABSENCE MUST RECORD 0",IF(COUNTIF(nrES_RecID,$B274)&gt;1,"DUPLICATE RECORD",IF(N($K274)&gt;2,"ATTEMPT 3+ NOT ALLOWED - policy 300.5 permits one retest per exam; this row records nothing",IF(AND($K274=2,COUNTIFS(nrES_PID,$D274,nrES_Code,$F274,nrES_Att,1)=0),"ATTEMPT 2 WITHOUT ATTEMPT 1",IF(AND($K274=2,$L274=""),"RETEST ROW HAS NO SCORE",IF(AND($H274="Final",$L274&lt;&gt;"",IFERROR(INDEX(nrCKfinalExamElig,MATCH($D274,rngCadetPIDs,0)),"")="No"),"FINAL EXAM AFTER FAILED FINAL PT (500.1.H)",IF(AND($K274=2,ISNUMBER($L274),COUNTIFS(nrES_PID,$D274,nrES_Code,$F274,nrES_Att,1)&gt;0,SUMIFS(nrES_Raw,nrES_PID,$D274,nrES_Code,$F274,nrES_Att,1)&gt;=$J274),"RETEST AFTER A PASSING FIRST ATTEMPT","OK"))))))))))</f>
        <v/>
      </c>
      <c r="Y274" s="16" t="n"/>
    </row>
    <row r="275">
      <c r="B275" s="17">
        <f>IF($C275="","",$D275&amp;"-"&amp;$F275&amp;"-"&amp;$K275)</f>
        <v/>
      </c>
      <c r="C275" s="16" t="n"/>
      <c r="D275" s="17">
        <f>IF($C275="","",IFERROR(INDEX(rngCadetPIDs,MATCH($C275,rngCadetNames,0)),"?"))</f>
        <v/>
      </c>
      <c r="E275" s="17">
        <f>IF($D275="","",IFERROR(INDEX(nrCadetAgency,MATCH($D275,rngCadetPIDs,0)),""))</f>
        <v/>
      </c>
      <c r="F275" s="16" t="n"/>
      <c r="G275" s="17">
        <f>IF($F275="","",IFERROR(INDEX(rngEPname,MATCH($F275,rngEPcode,0)),"?"))</f>
        <v/>
      </c>
      <c r="H275" s="17">
        <f>IF($F275="","",IFERROR(INDEX(rngEPtype,MATCH($F275,rngEPcode,0)),"?"))</f>
        <v/>
      </c>
      <c r="I275" s="17">
        <f>IF($F275="","",IFERROR(INDEX(rngEPseq,MATCH($F275,rngEPcode,0)),""))</f>
        <v/>
      </c>
      <c r="J275" s="17">
        <f>IF($F275="","",IFERROR(INDEX(rngEPpass,MATCH($F275,rngEPcode,0)),cfgPassingScore))</f>
        <v/>
      </c>
      <c r="K275" s="16" t="n"/>
      <c r="L275" s="16" t="n"/>
      <c r="M275" s="17">
        <f>IF($C275="","",IF($L275="","",IF(NOT(ISNUMBER($L275)),$L275,IF(N($K275)&gt;2,"",IF($K275=1,IF(COUNTIFS(nrES_PID,$D275,nrES_Code,$F275,nrES_Att,2,nrES_Raw,"&gt;=0")&gt;0,"",$L275),IF($L275&gt;=$J275,MAX($J275,cfgRetakeRecordedCap),IF(COUNTIFS(nrES_PID,$D275,nrES_Code,$F275,nrES_Att,1)=0,$L275,SUMIFS(nrES_Raw,nrES_PID,$D275,nrES_Code,$F275,nrES_Att,1))))))))</f>
        <v/>
      </c>
      <c r="N275" s="17">
        <f>IF($C275="","",IF($L275="","",IF(NOT(ISNUMBER($L275)),"(not a score)",IF($L275&gt;=$J275,"Yes","No"))))</f>
        <v/>
      </c>
      <c r="O275" s="17">
        <f>IF($C275="","",IF($M275="","",IF(NOT(ISNUMBER($M275)),"(not a score)",IF($M275&gt;=$J275,"Yes","No"))))</f>
        <v/>
      </c>
      <c r="P275" s="17">
        <f>IF($C275="","",IF($K275="","",IF(N($K275)&gt;2,"No",IF(COUNTIFS(nrES_PID,$D275,nrES_Code,$F275,nrES_Att,"&gt;"&amp;$K275,nrES_Att,"&lt;=2",nrES_Raw,"&gt;=0")=0,"Yes","No"))))</f>
        <v/>
      </c>
      <c r="Q275" s="17">
        <f>IF($C275="","",IF($L275="","",IF(AND($K275=1,ISNUMBER($L275),$L275&lt;$J275,COUNTIFS(nrES_PID,$D275,nrES_Code,$F275,nrES_Att,2,nrES_Raw,"&gt;=0")=0),"Yes","No")))</f>
        <v/>
      </c>
      <c r="R275" s="17">
        <f>IF($C275="","",IF($L275="","",IF(AND(N($K275)&gt;=2,ISNUMBER($L275),$L275&lt;$J275),"Yes","No")))</f>
        <v/>
      </c>
      <c r="S275" s="18" t="n"/>
      <c r="T275" s="19">
        <f>IF(OR($C275="",$L275="",$K275&lt;&gt;1,NOT(ISNUMBER($L275)),$L275&gt;=$J275),"",IF($S275="","(enter date)",_xlfn.LET(_xlpm.dn,_xlfn.XLOOKUP($S275,nrCDdate,nrCDnum,"",1),IF(_xlpm.dn="","(after last class day)",_xlfn.LET(_xlpm.dd,_xlfn.XLOOKUP(_xlpm.dn+cfgRetestClassDays,nrCDnum,nrCDdate,""),_xlpm.ok,_xlfn.XLOOKUP(_xlpm.dn+cfgRetestClassDays,nrCDnum,nrCDinsession,"No"),IF(OR(_xlpm.dd="",_xlpm.ok&lt;&gt;"Yes"),"(after last class day)",_xlpm.dd))))))</f>
        <v/>
      </c>
      <c r="U275" s="17">
        <f>IF($C275="","",IF(AND($Y275="Excused",$L275="",N($K275)&lt;=1),"EXCUSED - 1st attempt pending",IF(OR($L275="",$K275&lt;&gt;1,NOT(ISNUMBER($L275)),$L275&gt;=$J275),"",IF(COUNTIFS(nrES_PID,$D275,nrES_Code,$F275,nrES_Att,2,nrES_Raw,"&gt;=0")&gt;0,IF(IFERROR(_xlfn.MINIFS(nrES_Date,nrES_PID,$D275,nrES_Code,$F275,nrES_Att,2,nrES_Raw,"&gt;=0",nrES_Date,"&gt;0"),0)=0,"RETEST UNDATED",IF(NOT(ISNUMBER($T275)),"RETEST DATE UNCHECKED",IF(_xlfn.MINIFS(nrES_Date,nrES_PID,$D275,nrES_Code,$F275,nrES_Att,2,nrES_Raw,"&gt;=0",nrES_Date,"&gt;0")&gt;$T275,"LATE RETEST "&amp;TEXT(_xlfn.MINIFS(nrES_Date,nrES_PID,$D275,nrES_Code,$F275,nrES_Att,2,nrES_Raw,"&gt;=0",nrES_Date,"&gt;0"),"mm/dd")&amp;" (due "&amp;TEXT($T275,"mm/dd")&amp;")","Retested"))),IF(NOT(ISNUMBER($T275)),"CHECK DATE",IF(TODAY()&gt;$T275,"OVERDUE","Due "&amp;TEXT($T275,"mm/dd")))))))</f>
        <v/>
      </c>
      <c r="V275" s="16" t="n"/>
      <c r="W275" s="16" t="n"/>
      <c r="X275" s="17">
        <f>IF($C275="","",IF(AND($L275&lt;&gt;"",NOT(ISNUMBER($L275))),"RAW SCORE NOT A NUMBER",IF(AND(ISNUMBER($L275),OR($L275&lt;0,$L275&gt;100)),"RAW SCORE OUT OF RANGE",IF(AND($Y275="Unexcused",OR($L275="",NOT(ISNUMBER($L275)),$L275&lt;&gt;0)),"UNEXCUSED ABSENCE MUST RECORD 0",IF(COUNTIF(nrES_RecID,$B275)&gt;1,"DUPLICATE RECORD",IF(N($K275)&gt;2,"ATTEMPT 3+ NOT ALLOWED - policy 300.5 permits one retest per exam; this row records nothing",IF(AND($K275=2,COUNTIFS(nrES_PID,$D275,nrES_Code,$F275,nrES_Att,1)=0),"ATTEMPT 2 WITHOUT ATTEMPT 1",IF(AND($K275=2,$L275=""),"RETEST ROW HAS NO SCORE",IF(AND($H275="Final",$L275&lt;&gt;"",IFERROR(INDEX(nrCKfinalExamElig,MATCH($D275,rngCadetPIDs,0)),"")="No"),"FINAL EXAM AFTER FAILED FINAL PT (500.1.H)",IF(AND($K275=2,ISNUMBER($L275),COUNTIFS(nrES_PID,$D275,nrES_Code,$F275,nrES_Att,1)&gt;0,SUMIFS(nrES_Raw,nrES_PID,$D275,nrES_Code,$F275,nrES_Att,1)&gt;=$J275),"RETEST AFTER A PASSING FIRST ATTEMPT","OK"))))))))))</f>
        <v/>
      </c>
      <c r="Y275" s="16" t="n"/>
    </row>
    <row r="276">
      <c r="B276" s="17">
        <f>IF($C276="","",$D276&amp;"-"&amp;$F276&amp;"-"&amp;$K276)</f>
        <v/>
      </c>
      <c r="C276" s="16" t="n"/>
      <c r="D276" s="17">
        <f>IF($C276="","",IFERROR(INDEX(rngCadetPIDs,MATCH($C276,rngCadetNames,0)),"?"))</f>
        <v/>
      </c>
      <c r="E276" s="17">
        <f>IF($D276="","",IFERROR(INDEX(nrCadetAgency,MATCH($D276,rngCadetPIDs,0)),""))</f>
        <v/>
      </c>
      <c r="F276" s="16" t="n"/>
      <c r="G276" s="17">
        <f>IF($F276="","",IFERROR(INDEX(rngEPname,MATCH($F276,rngEPcode,0)),"?"))</f>
        <v/>
      </c>
      <c r="H276" s="17">
        <f>IF($F276="","",IFERROR(INDEX(rngEPtype,MATCH($F276,rngEPcode,0)),"?"))</f>
        <v/>
      </c>
      <c r="I276" s="17">
        <f>IF($F276="","",IFERROR(INDEX(rngEPseq,MATCH($F276,rngEPcode,0)),""))</f>
        <v/>
      </c>
      <c r="J276" s="17">
        <f>IF($F276="","",IFERROR(INDEX(rngEPpass,MATCH($F276,rngEPcode,0)),cfgPassingScore))</f>
        <v/>
      </c>
      <c r="K276" s="16" t="n"/>
      <c r="L276" s="16" t="n"/>
      <c r="M276" s="17">
        <f>IF($C276="","",IF($L276="","",IF(NOT(ISNUMBER($L276)),$L276,IF(N($K276)&gt;2,"",IF($K276=1,IF(COUNTIFS(nrES_PID,$D276,nrES_Code,$F276,nrES_Att,2,nrES_Raw,"&gt;=0")&gt;0,"",$L276),IF($L276&gt;=$J276,MAX($J276,cfgRetakeRecordedCap),IF(COUNTIFS(nrES_PID,$D276,nrES_Code,$F276,nrES_Att,1)=0,$L276,SUMIFS(nrES_Raw,nrES_PID,$D276,nrES_Code,$F276,nrES_Att,1))))))))</f>
        <v/>
      </c>
      <c r="N276" s="17">
        <f>IF($C276="","",IF($L276="","",IF(NOT(ISNUMBER($L276)),"(not a score)",IF($L276&gt;=$J276,"Yes","No"))))</f>
        <v/>
      </c>
      <c r="O276" s="17">
        <f>IF($C276="","",IF($M276="","",IF(NOT(ISNUMBER($M276)),"(not a score)",IF($M276&gt;=$J276,"Yes","No"))))</f>
        <v/>
      </c>
      <c r="P276" s="17">
        <f>IF($C276="","",IF($K276="","",IF(N($K276)&gt;2,"No",IF(COUNTIFS(nrES_PID,$D276,nrES_Code,$F276,nrES_Att,"&gt;"&amp;$K276,nrES_Att,"&lt;=2",nrES_Raw,"&gt;=0")=0,"Yes","No"))))</f>
        <v/>
      </c>
      <c r="Q276" s="17">
        <f>IF($C276="","",IF($L276="","",IF(AND($K276=1,ISNUMBER($L276),$L276&lt;$J276,COUNTIFS(nrES_PID,$D276,nrES_Code,$F276,nrES_Att,2,nrES_Raw,"&gt;=0")=0),"Yes","No")))</f>
        <v/>
      </c>
      <c r="R276" s="17">
        <f>IF($C276="","",IF($L276="","",IF(AND(N($K276)&gt;=2,ISNUMBER($L276),$L276&lt;$J276),"Yes","No")))</f>
        <v/>
      </c>
      <c r="S276" s="18" t="n"/>
      <c r="T276" s="19">
        <f>IF(OR($C276="",$L276="",$K276&lt;&gt;1,NOT(ISNUMBER($L276)),$L276&gt;=$J276),"",IF($S276="","(enter date)",_xlfn.LET(_xlpm.dn,_xlfn.XLOOKUP($S276,nrCDdate,nrCDnum,"",1),IF(_xlpm.dn="","(after last class day)",_xlfn.LET(_xlpm.dd,_xlfn.XLOOKUP(_xlpm.dn+cfgRetestClassDays,nrCDnum,nrCDdate,""),_xlpm.ok,_xlfn.XLOOKUP(_xlpm.dn+cfgRetestClassDays,nrCDnum,nrCDinsession,"No"),IF(OR(_xlpm.dd="",_xlpm.ok&lt;&gt;"Yes"),"(after last class day)",_xlpm.dd))))))</f>
        <v/>
      </c>
      <c r="U276" s="17">
        <f>IF($C276="","",IF(AND($Y276="Excused",$L276="",N($K276)&lt;=1),"EXCUSED - 1st attempt pending",IF(OR($L276="",$K276&lt;&gt;1,NOT(ISNUMBER($L276)),$L276&gt;=$J276),"",IF(COUNTIFS(nrES_PID,$D276,nrES_Code,$F276,nrES_Att,2,nrES_Raw,"&gt;=0")&gt;0,IF(IFERROR(_xlfn.MINIFS(nrES_Date,nrES_PID,$D276,nrES_Code,$F276,nrES_Att,2,nrES_Raw,"&gt;=0",nrES_Date,"&gt;0"),0)=0,"RETEST UNDATED",IF(NOT(ISNUMBER($T276)),"RETEST DATE UNCHECKED",IF(_xlfn.MINIFS(nrES_Date,nrES_PID,$D276,nrES_Code,$F276,nrES_Att,2,nrES_Raw,"&gt;=0",nrES_Date,"&gt;0")&gt;$T276,"LATE RETEST "&amp;TEXT(_xlfn.MINIFS(nrES_Date,nrES_PID,$D276,nrES_Code,$F276,nrES_Att,2,nrES_Raw,"&gt;=0",nrES_Date,"&gt;0"),"mm/dd")&amp;" (due "&amp;TEXT($T276,"mm/dd")&amp;")","Retested"))),IF(NOT(ISNUMBER($T276)),"CHECK DATE",IF(TODAY()&gt;$T276,"OVERDUE","Due "&amp;TEXT($T276,"mm/dd")))))))</f>
        <v/>
      </c>
      <c r="V276" s="16" t="n"/>
      <c r="W276" s="16" t="n"/>
      <c r="X276" s="17">
        <f>IF($C276="","",IF(AND($L276&lt;&gt;"",NOT(ISNUMBER($L276))),"RAW SCORE NOT A NUMBER",IF(AND(ISNUMBER($L276),OR($L276&lt;0,$L276&gt;100)),"RAW SCORE OUT OF RANGE",IF(AND($Y276="Unexcused",OR($L276="",NOT(ISNUMBER($L276)),$L276&lt;&gt;0)),"UNEXCUSED ABSENCE MUST RECORD 0",IF(COUNTIF(nrES_RecID,$B276)&gt;1,"DUPLICATE RECORD",IF(N($K276)&gt;2,"ATTEMPT 3+ NOT ALLOWED - policy 300.5 permits one retest per exam; this row records nothing",IF(AND($K276=2,COUNTIFS(nrES_PID,$D276,nrES_Code,$F276,nrES_Att,1)=0),"ATTEMPT 2 WITHOUT ATTEMPT 1",IF(AND($K276=2,$L276=""),"RETEST ROW HAS NO SCORE",IF(AND($H276="Final",$L276&lt;&gt;"",IFERROR(INDEX(nrCKfinalExamElig,MATCH($D276,rngCadetPIDs,0)),"")="No"),"FINAL EXAM AFTER FAILED FINAL PT (500.1.H)",IF(AND($K276=2,ISNUMBER($L276),COUNTIFS(nrES_PID,$D276,nrES_Code,$F276,nrES_Att,1)&gt;0,SUMIFS(nrES_Raw,nrES_PID,$D276,nrES_Code,$F276,nrES_Att,1)&gt;=$J276),"RETEST AFTER A PASSING FIRST ATTEMPT","OK"))))))))))</f>
        <v/>
      </c>
      <c r="Y276" s="16" t="n"/>
    </row>
    <row r="277">
      <c r="B277" s="17">
        <f>IF($C277="","",$D277&amp;"-"&amp;$F277&amp;"-"&amp;$K277)</f>
        <v/>
      </c>
      <c r="C277" s="16" t="n"/>
      <c r="D277" s="17">
        <f>IF($C277="","",IFERROR(INDEX(rngCadetPIDs,MATCH($C277,rngCadetNames,0)),"?"))</f>
        <v/>
      </c>
      <c r="E277" s="17">
        <f>IF($D277="","",IFERROR(INDEX(nrCadetAgency,MATCH($D277,rngCadetPIDs,0)),""))</f>
        <v/>
      </c>
      <c r="F277" s="16" t="n"/>
      <c r="G277" s="17">
        <f>IF($F277="","",IFERROR(INDEX(rngEPname,MATCH($F277,rngEPcode,0)),"?"))</f>
        <v/>
      </c>
      <c r="H277" s="17">
        <f>IF($F277="","",IFERROR(INDEX(rngEPtype,MATCH($F277,rngEPcode,0)),"?"))</f>
        <v/>
      </c>
      <c r="I277" s="17">
        <f>IF($F277="","",IFERROR(INDEX(rngEPseq,MATCH($F277,rngEPcode,0)),""))</f>
        <v/>
      </c>
      <c r="J277" s="17">
        <f>IF($F277="","",IFERROR(INDEX(rngEPpass,MATCH($F277,rngEPcode,0)),cfgPassingScore))</f>
        <v/>
      </c>
      <c r="K277" s="16" t="n"/>
      <c r="L277" s="16" t="n"/>
      <c r="M277" s="17">
        <f>IF($C277="","",IF($L277="","",IF(NOT(ISNUMBER($L277)),$L277,IF(N($K277)&gt;2,"",IF($K277=1,IF(COUNTIFS(nrES_PID,$D277,nrES_Code,$F277,nrES_Att,2,nrES_Raw,"&gt;=0")&gt;0,"",$L277),IF($L277&gt;=$J277,MAX($J277,cfgRetakeRecordedCap),IF(COUNTIFS(nrES_PID,$D277,nrES_Code,$F277,nrES_Att,1)=0,$L277,SUMIFS(nrES_Raw,nrES_PID,$D277,nrES_Code,$F277,nrES_Att,1))))))))</f>
        <v/>
      </c>
      <c r="N277" s="17">
        <f>IF($C277="","",IF($L277="","",IF(NOT(ISNUMBER($L277)),"(not a score)",IF($L277&gt;=$J277,"Yes","No"))))</f>
        <v/>
      </c>
      <c r="O277" s="17">
        <f>IF($C277="","",IF($M277="","",IF(NOT(ISNUMBER($M277)),"(not a score)",IF($M277&gt;=$J277,"Yes","No"))))</f>
        <v/>
      </c>
      <c r="P277" s="17">
        <f>IF($C277="","",IF($K277="","",IF(N($K277)&gt;2,"No",IF(COUNTIFS(nrES_PID,$D277,nrES_Code,$F277,nrES_Att,"&gt;"&amp;$K277,nrES_Att,"&lt;=2",nrES_Raw,"&gt;=0")=0,"Yes","No"))))</f>
        <v/>
      </c>
      <c r="Q277" s="17">
        <f>IF($C277="","",IF($L277="","",IF(AND($K277=1,ISNUMBER($L277),$L277&lt;$J277,COUNTIFS(nrES_PID,$D277,nrES_Code,$F277,nrES_Att,2,nrES_Raw,"&gt;=0")=0),"Yes","No")))</f>
        <v/>
      </c>
      <c r="R277" s="17">
        <f>IF($C277="","",IF($L277="","",IF(AND(N($K277)&gt;=2,ISNUMBER($L277),$L277&lt;$J277),"Yes","No")))</f>
        <v/>
      </c>
      <c r="S277" s="18" t="n"/>
      <c r="T277" s="19">
        <f>IF(OR($C277="",$L277="",$K277&lt;&gt;1,NOT(ISNUMBER($L277)),$L277&gt;=$J277),"",IF($S277="","(enter date)",_xlfn.LET(_xlpm.dn,_xlfn.XLOOKUP($S277,nrCDdate,nrCDnum,"",1),IF(_xlpm.dn="","(after last class day)",_xlfn.LET(_xlpm.dd,_xlfn.XLOOKUP(_xlpm.dn+cfgRetestClassDays,nrCDnum,nrCDdate,""),_xlpm.ok,_xlfn.XLOOKUP(_xlpm.dn+cfgRetestClassDays,nrCDnum,nrCDinsession,"No"),IF(OR(_xlpm.dd="",_xlpm.ok&lt;&gt;"Yes"),"(after last class day)",_xlpm.dd))))))</f>
        <v/>
      </c>
      <c r="U277" s="17">
        <f>IF($C277="","",IF(AND($Y277="Excused",$L277="",N($K277)&lt;=1),"EXCUSED - 1st attempt pending",IF(OR($L277="",$K277&lt;&gt;1,NOT(ISNUMBER($L277)),$L277&gt;=$J277),"",IF(COUNTIFS(nrES_PID,$D277,nrES_Code,$F277,nrES_Att,2,nrES_Raw,"&gt;=0")&gt;0,IF(IFERROR(_xlfn.MINIFS(nrES_Date,nrES_PID,$D277,nrES_Code,$F277,nrES_Att,2,nrES_Raw,"&gt;=0",nrES_Date,"&gt;0"),0)=0,"RETEST UNDATED",IF(NOT(ISNUMBER($T277)),"RETEST DATE UNCHECKED",IF(_xlfn.MINIFS(nrES_Date,nrES_PID,$D277,nrES_Code,$F277,nrES_Att,2,nrES_Raw,"&gt;=0",nrES_Date,"&gt;0")&gt;$T277,"LATE RETEST "&amp;TEXT(_xlfn.MINIFS(nrES_Date,nrES_PID,$D277,nrES_Code,$F277,nrES_Att,2,nrES_Raw,"&gt;=0",nrES_Date,"&gt;0"),"mm/dd")&amp;" (due "&amp;TEXT($T277,"mm/dd")&amp;")","Retested"))),IF(NOT(ISNUMBER($T277)),"CHECK DATE",IF(TODAY()&gt;$T277,"OVERDUE","Due "&amp;TEXT($T277,"mm/dd")))))))</f>
        <v/>
      </c>
      <c r="V277" s="16" t="n"/>
      <c r="W277" s="16" t="n"/>
      <c r="X277" s="17">
        <f>IF($C277="","",IF(AND($L277&lt;&gt;"",NOT(ISNUMBER($L277))),"RAW SCORE NOT A NUMBER",IF(AND(ISNUMBER($L277),OR($L277&lt;0,$L277&gt;100)),"RAW SCORE OUT OF RANGE",IF(AND($Y277="Unexcused",OR($L277="",NOT(ISNUMBER($L277)),$L277&lt;&gt;0)),"UNEXCUSED ABSENCE MUST RECORD 0",IF(COUNTIF(nrES_RecID,$B277)&gt;1,"DUPLICATE RECORD",IF(N($K277)&gt;2,"ATTEMPT 3+ NOT ALLOWED - policy 300.5 permits one retest per exam; this row records nothing",IF(AND($K277=2,COUNTIFS(nrES_PID,$D277,nrES_Code,$F277,nrES_Att,1)=0),"ATTEMPT 2 WITHOUT ATTEMPT 1",IF(AND($K277=2,$L277=""),"RETEST ROW HAS NO SCORE",IF(AND($H277="Final",$L277&lt;&gt;"",IFERROR(INDEX(nrCKfinalExamElig,MATCH($D277,rngCadetPIDs,0)),"")="No"),"FINAL EXAM AFTER FAILED FINAL PT (500.1.H)",IF(AND($K277=2,ISNUMBER($L277),COUNTIFS(nrES_PID,$D277,nrES_Code,$F277,nrES_Att,1)&gt;0,SUMIFS(nrES_Raw,nrES_PID,$D277,nrES_Code,$F277,nrES_Att,1)&gt;=$J277),"RETEST AFTER A PASSING FIRST ATTEMPT","OK"))))))))))</f>
        <v/>
      </c>
      <c r="Y277" s="16" t="n"/>
    </row>
    <row r="278">
      <c r="B278" s="17">
        <f>IF($C278="","",$D278&amp;"-"&amp;$F278&amp;"-"&amp;$K278)</f>
        <v/>
      </c>
      <c r="C278" s="16" t="n"/>
      <c r="D278" s="17">
        <f>IF($C278="","",IFERROR(INDEX(rngCadetPIDs,MATCH($C278,rngCadetNames,0)),"?"))</f>
        <v/>
      </c>
      <c r="E278" s="17">
        <f>IF($D278="","",IFERROR(INDEX(nrCadetAgency,MATCH($D278,rngCadetPIDs,0)),""))</f>
        <v/>
      </c>
      <c r="F278" s="16" t="n"/>
      <c r="G278" s="17">
        <f>IF($F278="","",IFERROR(INDEX(rngEPname,MATCH($F278,rngEPcode,0)),"?"))</f>
        <v/>
      </c>
      <c r="H278" s="17">
        <f>IF($F278="","",IFERROR(INDEX(rngEPtype,MATCH($F278,rngEPcode,0)),"?"))</f>
        <v/>
      </c>
      <c r="I278" s="17">
        <f>IF($F278="","",IFERROR(INDEX(rngEPseq,MATCH($F278,rngEPcode,0)),""))</f>
        <v/>
      </c>
      <c r="J278" s="17">
        <f>IF($F278="","",IFERROR(INDEX(rngEPpass,MATCH($F278,rngEPcode,0)),cfgPassingScore))</f>
        <v/>
      </c>
      <c r="K278" s="16" t="n"/>
      <c r="L278" s="16" t="n"/>
      <c r="M278" s="17">
        <f>IF($C278="","",IF($L278="","",IF(NOT(ISNUMBER($L278)),$L278,IF(N($K278)&gt;2,"",IF($K278=1,IF(COUNTIFS(nrES_PID,$D278,nrES_Code,$F278,nrES_Att,2,nrES_Raw,"&gt;=0")&gt;0,"",$L278),IF($L278&gt;=$J278,MAX($J278,cfgRetakeRecordedCap),IF(COUNTIFS(nrES_PID,$D278,nrES_Code,$F278,nrES_Att,1)=0,$L278,SUMIFS(nrES_Raw,nrES_PID,$D278,nrES_Code,$F278,nrES_Att,1))))))))</f>
        <v/>
      </c>
      <c r="N278" s="17">
        <f>IF($C278="","",IF($L278="","",IF(NOT(ISNUMBER($L278)),"(not a score)",IF($L278&gt;=$J278,"Yes","No"))))</f>
        <v/>
      </c>
      <c r="O278" s="17">
        <f>IF($C278="","",IF($M278="","",IF(NOT(ISNUMBER($M278)),"(not a score)",IF($M278&gt;=$J278,"Yes","No"))))</f>
        <v/>
      </c>
      <c r="P278" s="17">
        <f>IF($C278="","",IF($K278="","",IF(N($K278)&gt;2,"No",IF(COUNTIFS(nrES_PID,$D278,nrES_Code,$F278,nrES_Att,"&gt;"&amp;$K278,nrES_Att,"&lt;=2",nrES_Raw,"&gt;=0")=0,"Yes","No"))))</f>
        <v/>
      </c>
      <c r="Q278" s="17">
        <f>IF($C278="","",IF($L278="","",IF(AND($K278=1,ISNUMBER($L278),$L278&lt;$J278,COUNTIFS(nrES_PID,$D278,nrES_Code,$F278,nrES_Att,2,nrES_Raw,"&gt;=0")=0),"Yes","No")))</f>
        <v/>
      </c>
      <c r="R278" s="17">
        <f>IF($C278="","",IF($L278="","",IF(AND(N($K278)&gt;=2,ISNUMBER($L278),$L278&lt;$J278),"Yes","No")))</f>
        <v/>
      </c>
      <c r="S278" s="18" t="n"/>
      <c r="T278" s="19">
        <f>IF(OR($C278="",$L278="",$K278&lt;&gt;1,NOT(ISNUMBER($L278)),$L278&gt;=$J278),"",IF($S278="","(enter date)",_xlfn.LET(_xlpm.dn,_xlfn.XLOOKUP($S278,nrCDdate,nrCDnum,"",1),IF(_xlpm.dn="","(after last class day)",_xlfn.LET(_xlpm.dd,_xlfn.XLOOKUP(_xlpm.dn+cfgRetestClassDays,nrCDnum,nrCDdate,""),_xlpm.ok,_xlfn.XLOOKUP(_xlpm.dn+cfgRetestClassDays,nrCDnum,nrCDinsession,"No"),IF(OR(_xlpm.dd="",_xlpm.ok&lt;&gt;"Yes"),"(after last class day)",_xlpm.dd))))))</f>
        <v/>
      </c>
      <c r="U278" s="17">
        <f>IF($C278="","",IF(AND($Y278="Excused",$L278="",N($K278)&lt;=1),"EXCUSED - 1st attempt pending",IF(OR($L278="",$K278&lt;&gt;1,NOT(ISNUMBER($L278)),$L278&gt;=$J278),"",IF(COUNTIFS(nrES_PID,$D278,nrES_Code,$F278,nrES_Att,2,nrES_Raw,"&gt;=0")&gt;0,IF(IFERROR(_xlfn.MINIFS(nrES_Date,nrES_PID,$D278,nrES_Code,$F278,nrES_Att,2,nrES_Raw,"&gt;=0",nrES_Date,"&gt;0"),0)=0,"RETEST UNDATED",IF(NOT(ISNUMBER($T278)),"RETEST DATE UNCHECKED",IF(_xlfn.MINIFS(nrES_Date,nrES_PID,$D278,nrES_Code,$F278,nrES_Att,2,nrES_Raw,"&gt;=0",nrES_Date,"&gt;0")&gt;$T278,"LATE RETEST "&amp;TEXT(_xlfn.MINIFS(nrES_Date,nrES_PID,$D278,nrES_Code,$F278,nrES_Att,2,nrES_Raw,"&gt;=0",nrES_Date,"&gt;0"),"mm/dd")&amp;" (due "&amp;TEXT($T278,"mm/dd")&amp;")","Retested"))),IF(NOT(ISNUMBER($T278)),"CHECK DATE",IF(TODAY()&gt;$T278,"OVERDUE","Due "&amp;TEXT($T278,"mm/dd")))))))</f>
        <v/>
      </c>
      <c r="V278" s="16" t="n"/>
      <c r="W278" s="16" t="n"/>
      <c r="X278" s="17">
        <f>IF($C278="","",IF(AND($L278&lt;&gt;"",NOT(ISNUMBER($L278))),"RAW SCORE NOT A NUMBER",IF(AND(ISNUMBER($L278),OR($L278&lt;0,$L278&gt;100)),"RAW SCORE OUT OF RANGE",IF(AND($Y278="Unexcused",OR($L278="",NOT(ISNUMBER($L278)),$L278&lt;&gt;0)),"UNEXCUSED ABSENCE MUST RECORD 0",IF(COUNTIF(nrES_RecID,$B278)&gt;1,"DUPLICATE RECORD",IF(N($K278)&gt;2,"ATTEMPT 3+ NOT ALLOWED - policy 300.5 permits one retest per exam; this row records nothing",IF(AND($K278=2,COUNTIFS(nrES_PID,$D278,nrES_Code,$F278,nrES_Att,1)=0),"ATTEMPT 2 WITHOUT ATTEMPT 1",IF(AND($K278=2,$L278=""),"RETEST ROW HAS NO SCORE",IF(AND($H278="Final",$L278&lt;&gt;"",IFERROR(INDEX(nrCKfinalExamElig,MATCH($D278,rngCadetPIDs,0)),"")="No"),"FINAL EXAM AFTER FAILED FINAL PT (500.1.H)",IF(AND($K278=2,ISNUMBER($L278),COUNTIFS(nrES_PID,$D278,nrES_Code,$F278,nrES_Att,1)&gt;0,SUMIFS(nrES_Raw,nrES_PID,$D278,nrES_Code,$F278,nrES_Att,1)&gt;=$J278),"RETEST AFTER A PASSING FIRST ATTEMPT","OK"))))))))))</f>
        <v/>
      </c>
      <c r="Y278" s="16" t="n"/>
    </row>
    <row r="279">
      <c r="B279" s="17">
        <f>IF($C279="","",$D279&amp;"-"&amp;$F279&amp;"-"&amp;$K279)</f>
        <v/>
      </c>
      <c r="C279" s="16" t="n"/>
      <c r="D279" s="17">
        <f>IF($C279="","",IFERROR(INDEX(rngCadetPIDs,MATCH($C279,rngCadetNames,0)),"?"))</f>
        <v/>
      </c>
      <c r="E279" s="17">
        <f>IF($D279="","",IFERROR(INDEX(nrCadetAgency,MATCH($D279,rngCadetPIDs,0)),""))</f>
        <v/>
      </c>
      <c r="F279" s="16" t="n"/>
      <c r="G279" s="17">
        <f>IF($F279="","",IFERROR(INDEX(rngEPname,MATCH($F279,rngEPcode,0)),"?"))</f>
        <v/>
      </c>
      <c r="H279" s="17">
        <f>IF($F279="","",IFERROR(INDEX(rngEPtype,MATCH($F279,rngEPcode,0)),"?"))</f>
        <v/>
      </c>
      <c r="I279" s="17">
        <f>IF($F279="","",IFERROR(INDEX(rngEPseq,MATCH($F279,rngEPcode,0)),""))</f>
        <v/>
      </c>
      <c r="J279" s="17">
        <f>IF($F279="","",IFERROR(INDEX(rngEPpass,MATCH($F279,rngEPcode,0)),cfgPassingScore))</f>
        <v/>
      </c>
      <c r="K279" s="16" t="n"/>
      <c r="L279" s="16" t="n"/>
      <c r="M279" s="17">
        <f>IF($C279="","",IF($L279="","",IF(NOT(ISNUMBER($L279)),$L279,IF(N($K279)&gt;2,"",IF($K279=1,IF(COUNTIFS(nrES_PID,$D279,nrES_Code,$F279,nrES_Att,2,nrES_Raw,"&gt;=0")&gt;0,"",$L279),IF($L279&gt;=$J279,MAX($J279,cfgRetakeRecordedCap),IF(COUNTIFS(nrES_PID,$D279,nrES_Code,$F279,nrES_Att,1)=0,$L279,SUMIFS(nrES_Raw,nrES_PID,$D279,nrES_Code,$F279,nrES_Att,1))))))))</f>
        <v/>
      </c>
      <c r="N279" s="17">
        <f>IF($C279="","",IF($L279="","",IF(NOT(ISNUMBER($L279)),"(not a score)",IF($L279&gt;=$J279,"Yes","No"))))</f>
        <v/>
      </c>
      <c r="O279" s="17">
        <f>IF($C279="","",IF($M279="","",IF(NOT(ISNUMBER($M279)),"(not a score)",IF($M279&gt;=$J279,"Yes","No"))))</f>
        <v/>
      </c>
      <c r="P279" s="17">
        <f>IF($C279="","",IF($K279="","",IF(N($K279)&gt;2,"No",IF(COUNTIFS(nrES_PID,$D279,nrES_Code,$F279,nrES_Att,"&gt;"&amp;$K279,nrES_Att,"&lt;=2",nrES_Raw,"&gt;=0")=0,"Yes","No"))))</f>
        <v/>
      </c>
      <c r="Q279" s="17">
        <f>IF($C279="","",IF($L279="","",IF(AND($K279=1,ISNUMBER($L279),$L279&lt;$J279,COUNTIFS(nrES_PID,$D279,nrES_Code,$F279,nrES_Att,2,nrES_Raw,"&gt;=0")=0),"Yes","No")))</f>
        <v/>
      </c>
      <c r="R279" s="17">
        <f>IF($C279="","",IF($L279="","",IF(AND(N($K279)&gt;=2,ISNUMBER($L279),$L279&lt;$J279),"Yes","No")))</f>
        <v/>
      </c>
      <c r="S279" s="18" t="n"/>
      <c r="T279" s="19">
        <f>IF(OR($C279="",$L279="",$K279&lt;&gt;1,NOT(ISNUMBER($L279)),$L279&gt;=$J279),"",IF($S279="","(enter date)",_xlfn.LET(_xlpm.dn,_xlfn.XLOOKUP($S279,nrCDdate,nrCDnum,"",1),IF(_xlpm.dn="","(after last class day)",_xlfn.LET(_xlpm.dd,_xlfn.XLOOKUP(_xlpm.dn+cfgRetestClassDays,nrCDnum,nrCDdate,""),_xlpm.ok,_xlfn.XLOOKUP(_xlpm.dn+cfgRetestClassDays,nrCDnum,nrCDinsession,"No"),IF(OR(_xlpm.dd="",_xlpm.ok&lt;&gt;"Yes"),"(after last class day)",_xlpm.dd))))))</f>
        <v/>
      </c>
      <c r="U279" s="17">
        <f>IF($C279="","",IF(AND($Y279="Excused",$L279="",N($K279)&lt;=1),"EXCUSED - 1st attempt pending",IF(OR($L279="",$K279&lt;&gt;1,NOT(ISNUMBER($L279)),$L279&gt;=$J279),"",IF(COUNTIFS(nrES_PID,$D279,nrES_Code,$F279,nrES_Att,2,nrES_Raw,"&gt;=0")&gt;0,IF(IFERROR(_xlfn.MINIFS(nrES_Date,nrES_PID,$D279,nrES_Code,$F279,nrES_Att,2,nrES_Raw,"&gt;=0",nrES_Date,"&gt;0"),0)=0,"RETEST UNDATED",IF(NOT(ISNUMBER($T279)),"RETEST DATE UNCHECKED",IF(_xlfn.MINIFS(nrES_Date,nrES_PID,$D279,nrES_Code,$F279,nrES_Att,2,nrES_Raw,"&gt;=0",nrES_Date,"&gt;0")&gt;$T279,"LATE RETEST "&amp;TEXT(_xlfn.MINIFS(nrES_Date,nrES_PID,$D279,nrES_Code,$F279,nrES_Att,2,nrES_Raw,"&gt;=0",nrES_Date,"&gt;0"),"mm/dd")&amp;" (due "&amp;TEXT($T279,"mm/dd")&amp;")","Retested"))),IF(NOT(ISNUMBER($T279)),"CHECK DATE",IF(TODAY()&gt;$T279,"OVERDUE","Due "&amp;TEXT($T279,"mm/dd")))))))</f>
        <v/>
      </c>
      <c r="V279" s="16" t="n"/>
      <c r="W279" s="16" t="n"/>
      <c r="X279" s="17">
        <f>IF($C279="","",IF(AND($L279&lt;&gt;"",NOT(ISNUMBER($L279))),"RAW SCORE NOT A NUMBER",IF(AND(ISNUMBER($L279),OR($L279&lt;0,$L279&gt;100)),"RAW SCORE OUT OF RANGE",IF(AND($Y279="Unexcused",OR($L279="",NOT(ISNUMBER($L279)),$L279&lt;&gt;0)),"UNEXCUSED ABSENCE MUST RECORD 0",IF(COUNTIF(nrES_RecID,$B279)&gt;1,"DUPLICATE RECORD",IF(N($K279)&gt;2,"ATTEMPT 3+ NOT ALLOWED - policy 300.5 permits one retest per exam; this row records nothing",IF(AND($K279=2,COUNTIFS(nrES_PID,$D279,nrES_Code,$F279,nrES_Att,1)=0),"ATTEMPT 2 WITHOUT ATTEMPT 1",IF(AND($K279=2,$L279=""),"RETEST ROW HAS NO SCORE",IF(AND($H279="Final",$L279&lt;&gt;"",IFERROR(INDEX(nrCKfinalExamElig,MATCH($D279,rngCadetPIDs,0)),"")="No"),"FINAL EXAM AFTER FAILED FINAL PT (500.1.H)",IF(AND($K279=2,ISNUMBER($L279),COUNTIFS(nrES_PID,$D279,nrES_Code,$F279,nrES_Att,1)&gt;0,SUMIFS(nrES_Raw,nrES_PID,$D279,nrES_Code,$F279,nrES_Att,1)&gt;=$J279),"RETEST AFTER A PASSING FIRST ATTEMPT","OK"))))))))))</f>
        <v/>
      </c>
      <c r="Y279" s="16" t="n"/>
    </row>
    <row r="280">
      <c r="B280" s="17">
        <f>IF($C280="","",$D280&amp;"-"&amp;$F280&amp;"-"&amp;$K280)</f>
        <v/>
      </c>
      <c r="C280" s="16" t="n"/>
      <c r="D280" s="17">
        <f>IF($C280="","",IFERROR(INDEX(rngCadetPIDs,MATCH($C280,rngCadetNames,0)),"?"))</f>
        <v/>
      </c>
      <c r="E280" s="17">
        <f>IF($D280="","",IFERROR(INDEX(nrCadetAgency,MATCH($D280,rngCadetPIDs,0)),""))</f>
        <v/>
      </c>
      <c r="F280" s="16" t="n"/>
      <c r="G280" s="17">
        <f>IF($F280="","",IFERROR(INDEX(rngEPname,MATCH($F280,rngEPcode,0)),"?"))</f>
        <v/>
      </c>
      <c r="H280" s="17">
        <f>IF($F280="","",IFERROR(INDEX(rngEPtype,MATCH($F280,rngEPcode,0)),"?"))</f>
        <v/>
      </c>
      <c r="I280" s="17">
        <f>IF($F280="","",IFERROR(INDEX(rngEPseq,MATCH($F280,rngEPcode,0)),""))</f>
        <v/>
      </c>
      <c r="J280" s="17">
        <f>IF($F280="","",IFERROR(INDEX(rngEPpass,MATCH($F280,rngEPcode,0)),cfgPassingScore))</f>
        <v/>
      </c>
      <c r="K280" s="16" t="n"/>
      <c r="L280" s="16" t="n"/>
      <c r="M280" s="17">
        <f>IF($C280="","",IF($L280="","",IF(NOT(ISNUMBER($L280)),$L280,IF(N($K280)&gt;2,"",IF($K280=1,IF(COUNTIFS(nrES_PID,$D280,nrES_Code,$F280,nrES_Att,2,nrES_Raw,"&gt;=0")&gt;0,"",$L280),IF($L280&gt;=$J280,MAX($J280,cfgRetakeRecordedCap),IF(COUNTIFS(nrES_PID,$D280,nrES_Code,$F280,nrES_Att,1)=0,$L280,SUMIFS(nrES_Raw,nrES_PID,$D280,nrES_Code,$F280,nrES_Att,1))))))))</f>
        <v/>
      </c>
      <c r="N280" s="17">
        <f>IF($C280="","",IF($L280="","",IF(NOT(ISNUMBER($L280)),"(not a score)",IF($L280&gt;=$J280,"Yes","No"))))</f>
        <v/>
      </c>
      <c r="O280" s="17">
        <f>IF($C280="","",IF($M280="","",IF(NOT(ISNUMBER($M280)),"(not a score)",IF($M280&gt;=$J280,"Yes","No"))))</f>
        <v/>
      </c>
      <c r="P280" s="17">
        <f>IF($C280="","",IF($K280="","",IF(N($K280)&gt;2,"No",IF(COUNTIFS(nrES_PID,$D280,nrES_Code,$F280,nrES_Att,"&gt;"&amp;$K280,nrES_Att,"&lt;=2",nrES_Raw,"&gt;=0")=0,"Yes","No"))))</f>
        <v/>
      </c>
      <c r="Q280" s="17">
        <f>IF($C280="","",IF($L280="","",IF(AND($K280=1,ISNUMBER($L280),$L280&lt;$J280,COUNTIFS(nrES_PID,$D280,nrES_Code,$F280,nrES_Att,2,nrES_Raw,"&gt;=0")=0),"Yes","No")))</f>
        <v/>
      </c>
      <c r="R280" s="17">
        <f>IF($C280="","",IF($L280="","",IF(AND(N($K280)&gt;=2,ISNUMBER($L280),$L280&lt;$J280),"Yes","No")))</f>
        <v/>
      </c>
      <c r="S280" s="18" t="n"/>
      <c r="T280" s="19">
        <f>IF(OR($C280="",$L280="",$K280&lt;&gt;1,NOT(ISNUMBER($L280)),$L280&gt;=$J280),"",IF($S280="","(enter date)",_xlfn.LET(_xlpm.dn,_xlfn.XLOOKUP($S280,nrCDdate,nrCDnum,"",1),IF(_xlpm.dn="","(after last class day)",_xlfn.LET(_xlpm.dd,_xlfn.XLOOKUP(_xlpm.dn+cfgRetestClassDays,nrCDnum,nrCDdate,""),_xlpm.ok,_xlfn.XLOOKUP(_xlpm.dn+cfgRetestClassDays,nrCDnum,nrCDinsession,"No"),IF(OR(_xlpm.dd="",_xlpm.ok&lt;&gt;"Yes"),"(after last class day)",_xlpm.dd))))))</f>
        <v/>
      </c>
      <c r="U280" s="17">
        <f>IF($C280="","",IF(AND($Y280="Excused",$L280="",N($K280)&lt;=1),"EXCUSED - 1st attempt pending",IF(OR($L280="",$K280&lt;&gt;1,NOT(ISNUMBER($L280)),$L280&gt;=$J280),"",IF(COUNTIFS(nrES_PID,$D280,nrES_Code,$F280,nrES_Att,2,nrES_Raw,"&gt;=0")&gt;0,IF(IFERROR(_xlfn.MINIFS(nrES_Date,nrES_PID,$D280,nrES_Code,$F280,nrES_Att,2,nrES_Raw,"&gt;=0",nrES_Date,"&gt;0"),0)=0,"RETEST UNDATED",IF(NOT(ISNUMBER($T280)),"RETEST DATE UNCHECKED",IF(_xlfn.MINIFS(nrES_Date,nrES_PID,$D280,nrES_Code,$F280,nrES_Att,2,nrES_Raw,"&gt;=0",nrES_Date,"&gt;0")&gt;$T280,"LATE RETEST "&amp;TEXT(_xlfn.MINIFS(nrES_Date,nrES_PID,$D280,nrES_Code,$F280,nrES_Att,2,nrES_Raw,"&gt;=0",nrES_Date,"&gt;0"),"mm/dd")&amp;" (due "&amp;TEXT($T280,"mm/dd")&amp;")","Retested"))),IF(NOT(ISNUMBER($T280)),"CHECK DATE",IF(TODAY()&gt;$T280,"OVERDUE","Due "&amp;TEXT($T280,"mm/dd")))))))</f>
        <v/>
      </c>
      <c r="V280" s="16" t="n"/>
      <c r="W280" s="16" t="n"/>
      <c r="X280" s="17">
        <f>IF($C280="","",IF(AND($L280&lt;&gt;"",NOT(ISNUMBER($L280))),"RAW SCORE NOT A NUMBER",IF(AND(ISNUMBER($L280),OR($L280&lt;0,$L280&gt;100)),"RAW SCORE OUT OF RANGE",IF(AND($Y280="Unexcused",OR($L280="",NOT(ISNUMBER($L280)),$L280&lt;&gt;0)),"UNEXCUSED ABSENCE MUST RECORD 0",IF(COUNTIF(nrES_RecID,$B280)&gt;1,"DUPLICATE RECORD",IF(N($K280)&gt;2,"ATTEMPT 3+ NOT ALLOWED - policy 300.5 permits one retest per exam; this row records nothing",IF(AND($K280=2,COUNTIFS(nrES_PID,$D280,nrES_Code,$F280,nrES_Att,1)=0),"ATTEMPT 2 WITHOUT ATTEMPT 1",IF(AND($K280=2,$L280=""),"RETEST ROW HAS NO SCORE",IF(AND($H280="Final",$L280&lt;&gt;"",IFERROR(INDEX(nrCKfinalExamElig,MATCH($D280,rngCadetPIDs,0)),"")="No"),"FINAL EXAM AFTER FAILED FINAL PT (500.1.H)",IF(AND($K280=2,ISNUMBER($L280),COUNTIFS(nrES_PID,$D280,nrES_Code,$F280,nrES_Att,1)&gt;0,SUMIFS(nrES_Raw,nrES_PID,$D280,nrES_Code,$F280,nrES_Att,1)&gt;=$J280),"RETEST AFTER A PASSING FIRST ATTEMPT","OK"))))))))))</f>
        <v/>
      </c>
      <c r="Y280" s="16" t="n"/>
    </row>
    <row r="281">
      <c r="B281" s="17">
        <f>IF($C281="","",$D281&amp;"-"&amp;$F281&amp;"-"&amp;$K281)</f>
        <v/>
      </c>
      <c r="C281" s="16" t="n"/>
      <c r="D281" s="17">
        <f>IF($C281="","",IFERROR(INDEX(rngCadetPIDs,MATCH($C281,rngCadetNames,0)),"?"))</f>
        <v/>
      </c>
      <c r="E281" s="17">
        <f>IF($D281="","",IFERROR(INDEX(nrCadetAgency,MATCH($D281,rngCadetPIDs,0)),""))</f>
        <v/>
      </c>
      <c r="F281" s="16" t="n"/>
      <c r="G281" s="17">
        <f>IF($F281="","",IFERROR(INDEX(rngEPname,MATCH($F281,rngEPcode,0)),"?"))</f>
        <v/>
      </c>
      <c r="H281" s="17">
        <f>IF($F281="","",IFERROR(INDEX(rngEPtype,MATCH($F281,rngEPcode,0)),"?"))</f>
        <v/>
      </c>
      <c r="I281" s="17">
        <f>IF($F281="","",IFERROR(INDEX(rngEPseq,MATCH($F281,rngEPcode,0)),""))</f>
        <v/>
      </c>
      <c r="J281" s="17">
        <f>IF($F281="","",IFERROR(INDEX(rngEPpass,MATCH($F281,rngEPcode,0)),cfgPassingScore))</f>
        <v/>
      </c>
      <c r="K281" s="16" t="n"/>
      <c r="L281" s="16" t="n"/>
      <c r="M281" s="17">
        <f>IF($C281="","",IF($L281="","",IF(NOT(ISNUMBER($L281)),$L281,IF(N($K281)&gt;2,"",IF($K281=1,IF(COUNTIFS(nrES_PID,$D281,nrES_Code,$F281,nrES_Att,2,nrES_Raw,"&gt;=0")&gt;0,"",$L281),IF($L281&gt;=$J281,MAX($J281,cfgRetakeRecordedCap),IF(COUNTIFS(nrES_PID,$D281,nrES_Code,$F281,nrES_Att,1)=0,$L281,SUMIFS(nrES_Raw,nrES_PID,$D281,nrES_Code,$F281,nrES_Att,1))))))))</f>
        <v/>
      </c>
      <c r="N281" s="17">
        <f>IF($C281="","",IF($L281="","",IF(NOT(ISNUMBER($L281)),"(not a score)",IF($L281&gt;=$J281,"Yes","No"))))</f>
        <v/>
      </c>
      <c r="O281" s="17">
        <f>IF($C281="","",IF($M281="","",IF(NOT(ISNUMBER($M281)),"(not a score)",IF($M281&gt;=$J281,"Yes","No"))))</f>
        <v/>
      </c>
      <c r="P281" s="17">
        <f>IF($C281="","",IF($K281="","",IF(N($K281)&gt;2,"No",IF(COUNTIFS(nrES_PID,$D281,nrES_Code,$F281,nrES_Att,"&gt;"&amp;$K281,nrES_Att,"&lt;=2",nrES_Raw,"&gt;=0")=0,"Yes","No"))))</f>
        <v/>
      </c>
      <c r="Q281" s="17">
        <f>IF($C281="","",IF($L281="","",IF(AND($K281=1,ISNUMBER($L281),$L281&lt;$J281,COUNTIFS(nrES_PID,$D281,nrES_Code,$F281,nrES_Att,2,nrES_Raw,"&gt;=0")=0),"Yes","No")))</f>
        <v/>
      </c>
      <c r="R281" s="17">
        <f>IF($C281="","",IF($L281="","",IF(AND(N($K281)&gt;=2,ISNUMBER($L281),$L281&lt;$J281),"Yes","No")))</f>
        <v/>
      </c>
      <c r="S281" s="18" t="n"/>
      <c r="T281" s="19">
        <f>IF(OR($C281="",$L281="",$K281&lt;&gt;1,NOT(ISNUMBER($L281)),$L281&gt;=$J281),"",IF($S281="","(enter date)",_xlfn.LET(_xlpm.dn,_xlfn.XLOOKUP($S281,nrCDdate,nrCDnum,"",1),IF(_xlpm.dn="","(after last class day)",_xlfn.LET(_xlpm.dd,_xlfn.XLOOKUP(_xlpm.dn+cfgRetestClassDays,nrCDnum,nrCDdate,""),_xlpm.ok,_xlfn.XLOOKUP(_xlpm.dn+cfgRetestClassDays,nrCDnum,nrCDinsession,"No"),IF(OR(_xlpm.dd="",_xlpm.ok&lt;&gt;"Yes"),"(after last class day)",_xlpm.dd))))))</f>
        <v/>
      </c>
      <c r="U281" s="17">
        <f>IF($C281="","",IF(AND($Y281="Excused",$L281="",N($K281)&lt;=1),"EXCUSED - 1st attempt pending",IF(OR($L281="",$K281&lt;&gt;1,NOT(ISNUMBER($L281)),$L281&gt;=$J281),"",IF(COUNTIFS(nrES_PID,$D281,nrES_Code,$F281,nrES_Att,2,nrES_Raw,"&gt;=0")&gt;0,IF(IFERROR(_xlfn.MINIFS(nrES_Date,nrES_PID,$D281,nrES_Code,$F281,nrES_Att,2,nrES_Raw,"&gt;=0",nrES_Date,"&gt;0"),0)=0,"RETEST UNDATED",IF(NOT(ISNUMBER($T281)),"RETEST DATE UNCHECKED",IF(_xlfn.MINIFS(nrES_Date,nrES_PID,$D281,nrES_Code,$F281,nrES_Att,2,nrES_Raw,"&gt;=0",nrES_Date,"&gt;0")&gt;$T281,"LATE RETEST "&amp;TEXT(_xlfn.MINIFS(nrES_Date,nrES_PID,$D281,nrES_Code,$F281,nrES_Att,2,nrES_Raw,"&gt;=0",nrES_Date,"&gt;0"),"mm/dd")&amp;" (due "&amp;TEXT($T281,"mm/dd")&amp;")","Retested"))),IF(NOT(ISNUMBER($T281)),"CHECK DATE",IF(TODAY()&gt;$T281,"OVERDUE","Due "&amp;TEXT($T281,"mm/dd")))))))</f>
        <v/>
      </c>
      <c r="V281" s="16" t="n"/>
      <c r="W281" s="16" t="n"/>
      <c r="X281" s="17">
        <f>IF($C281="","",IF(AND($L281&lt;&gt;"",NOT(ISNUMBER($L281))),"RAW SCORE NOT A NUMBER",IF(AND(ISNUMBER($L281),OR($L281&lt;0,$L281&gt;100)),"RAW SCORE OUT OF RANGE",IF(AND($Y281="Unexcused",OR($L281="",NOT(ISNUMBER($L281)),$L281&lt;&gt;0)),"UNEXCUSED ABSENCE MUST RECORD 0",IF(COUNTIF(nrES_RecID,$B281)&gt;1,"DUPLICATE RECORD",IF(N($K281)&gt;2,"ATTEMPT 3+ NOT ALLOWED - policy 300.5 permits one retest per exam; this row records nothing",IF(AND($K281=2,COUNTIFS(nrES_PID,$D281,nrES_Code,$F281,nrES_Att,1)=0),"ATTEMPT 2 WITHOUT ATTEMPT 1",IF(AND($K281=2,$L281=""),"RETEST ROW HAS NO SCORE",IF(AND($H281="Final",$L281&lt;&gt;"",IFERROR(INDEX(nrCKfinalExamElig,MATCH($D281,rngCadetPIDs,0)),"")="No"),"FINAL EXAM AFTER FAILED FINAL PT (500.1.H)",IF(AND($K281=2,ISNUMBER($L281),COUNTIFS(nrES_PID,$D281,nrES_Code,$F281,nrES_Att,1)&gt;0,SUMIFS(nrES_Raw,nrES_PID,$D281,nrES_Code,$F281,nrES_Att,1)&gt;=$J281),"RETEST AFTER A PASSING FIRST ATTEMPT","OK"))))))))))</f>
        <v/>
      </c>
      <c r="Y281" s="16" t="n"/>
    </row>
    <row r="282">
      <c r="B282" s="17">
        <f>IF($C282="","",$D282&amp;"-"&amp;$F282&amp;"-"&amp;$K282)</f>
        <v/>
      </c>
      <c r="C282" s="16" t="n"/>
      <c r="D282" s="17">
        <f>IF($C282="","",IFERROR(INDEX(rngCadetPIDs,MATCH($C282,rngCadetNames,0)),"?"))</f>
        <v/>
      </c>
      <c r="E282" s="17">
        <f>IF($D282="","",IFERROR(INDEX(nrCadetAgency,MATCH($D282,rngCadetPIDs,0)),""))</f>
        <v/>
      </c>
      <c r="F282" s="16" t="n"/>
      <c r="G282" s="17">
        <f>IF($F282="","",IFERROR(INDEX(rngEPname,MATCH($F282,rngEPcode,0)),"?"))</f>
        <v/>
      </c>
      <c r="H282" s="17">
        <f>IF($F282="","",IFERROR(INDEX(rngEPtype,MATCH($F282,rngEPcode,0)),"?"))</f>
        <v/>
      </c>
      <c r="I282" s="17">
        <f>IF($F282="","",IFERROR(INDEX(rngEPseq,MATCH($F282,rngEPcode,0)),""))</f>
        <v/>
      </c>
      <c r="J282" s="17">
        <f>IF($F282="","",IFERROR(INDEX(rngEPpass,MATCH($F282,rngEPcode,0)),cfgPassingScore))</f>
        <v/>
      </c>
      <c r="K282" s="16" t="n"/>
      <c r="L282" s="16" t="n"/>
      <c r="M282" s="17">
        <f>IF($C282="","",IF($L282="","",IF(NOT(ISNUMBER($L282)),$L282,IF(N($K282)&gt;2,"",IF($K282=1,IF(COUNTIFS(nrES_PID,$D282,nrES_Code,$F282,nrES_Att,2,nrES_Raw,"&gt;=0")&gt;0,"",$L282),IF($L282&gt;=$J282,MAX($J282,cfgRetakeRecordedCap),IF(COUNTIFS(nrES_PID,$D282,nrES_Code,$F282,nrES_Att,1)=0,$L282,SUMIFS(nrES_Raw,nrES_PID,$D282,nrES_Code,$F282,nrES_Att,1))))))))</f>
        <v/>
      </c>
      <c r="N282" s="17">
        <f>IF($C282="","",IF($L282="","",IF(NOT(ISNUMBER($L282)),"(not a score)",IF($L282&gt;=$J282,"Yes","No"))))</f>
        <v/>
      </c>
      <c r="O282" s="17">
        <f>IF($C282="","",IF($M282="","",IF(NOT(ISNUMBER($M282)),"(not a score)",IF($M282&gt;=$J282,"Yes","No"))))</f>
        <v/>
      </c>
      <c r="P282" s="17">
        <f>IF($C282="","",IF($K282="","",IF(N($K282)&gt;2,"No",IF(COUNTIFS(nrES_PID,$D282,nrES_Code,$F282,nrES_Att,"&gt;"&amp;$K282,nrES_Att,"&lt;=2",nrES_Raw,"&gt;=0")=0,"Yes","No"))))</f>
        <v/>
      </c>
      <c r="Q282" s="17">
        <f>IF($C282="","",IF($L282="","",IF(AND($K282=1,ISNUMBER($L282),$L282&lt;$J282,COUNTIFS(nrES_PID,$D282,nrES_Code,$F282,nrES_Att,2,nrES_Raw,"&gt;=0")=0),"Yes","No")))</f>
        <v/>
      </c>
      <c r="R282" s="17">
        <f>IF($C282="","",IF($L282="","",IF(AND(N($K282)&gt;=2,ISNUMBER($L282),$L282&lt;$J282),"Yes","No")))</f>
        <v/>
      </c>
      <c r="S282" s="18" t="n"/>
      <c r="T282" s="19">
        <f>IF(OR($C282="",$L282="",$K282&lt;&gt;1,NOT(ISNUMBER($L282)),$L282&gt;=$J282),"",IF($S282="","(enter date)",_xlfn.LET(_xlpm.dn,_xlfn.XLOOKUP($S282,nrCDdate,nrCDnum,"",1),IF(_xlpm.dn="","(after last class day)",_xlfn.LET(_xlpm.dd,_xlfn.XLOOKUP(_xlpm.dn+cfgRetestClassDays,nrCDnum,nrCDdate,""),_xlpm.ok,_xlfn.XLOOKUP(_xlpm.dn+cfgRetestClassDays,nrCDnum,nrCDinsession,"No"),IF(OR(_xlpm.dd="",_xlpm.ok&lt;&gt;"Yes"),"(after last class day)",_xlpm.dd))))))</f>
        <v/>
      </c>
      <c r="U282" s="17">
        <f>IF($C282="","",IF(AND($Y282="Excused",$L282="",N($K282)&lt;=1),"EXCUSED - 1st attempt pending",IF(OR($L282="",$K282&lt;&gt;1,NOT(ISNUMBER($L282)),$L282&gt;=$J282),"",IF(COUNTIFS(nrES_PID,$D282,nrES_Code,$F282,nrES_Att,2,nrES_Raw,"&gt;=0")&gt;0,IF(IFERROR(_xlfn.MINIFS(nrES_Date,nrES_PID,$D282,nrES_Code,$F282,nrES_Att,2,nrES_Raw,"&gt;=0",nrES_Date,"&gt;0"),0)=0,"RETEST UNDATED",IF(NOT(ISNUMBER($T282)),"RETEST DATE UNCHECKED",IF(_xlfn.MINIFS(nrES_Date,nrES_PID,$D282,nrES_Code,$F282,nrES_Att,2,nrES_Raw,"&gt;=0",nrES_Date,"&gt;0")&gt;$T282,"LATE RETEST "&amp;TEXT(_xlfn.MINIFS(nrES_Date,nrES_PID,$D282,nrES_Code,$F282,nrES_Att,2,nrES_Raw,"&gt;=0",nrES_Date,"&gt;0"),"mm/dd")&amp;" (due "&amp;TEXT($T282,"mm/dd")&amp;")","Retested"))),IF(NOT(ISNUMBER($T282)),"CHECK DATE",IF(TODAY()&gt;$T282,"OVERDUE","Due "&amp;TEXT($T282,"mm/dd")))))))</f>
        <v/>
      </c>
      <c r="V282" s="16" t="n"/>
      <c r="W282" s="16" t="n"/>
      <c r="X282" s="17">
        <f>IF($C282="","",IF(AND($L282&lt;&gt;"",NOT(ISNUMBER($L282))),"RAW SCORE NOT A NUMBER",IF(AND(ISNUMBER($L282),OR($L282&lt;0,$L282&gt;100)),"RAW SCORE OUT OF RANGE",IF(AND($Y282="Unexcused",OR($L282="",NOT(ISNUMBER($L282)),$L282&lt;&gt;0)),"UNEXCUSED ABSENCE MUST RECORD 0",IF(COUNTIF(nrES_RecID,$B282)&gt;1,"DUPLICATE RECORD",IF(N($K282)&gt;2,"ATTEMPT 3+ NOT ALLOWED - policy 300.5 permits one retest per exam; this row records nothing",IF(AND($K282=2,COUNTIFS(nrES_PID,$D282,nrES_Code,$F282,nrES_Att,1)=0),"ATTEMPT 2 WITHOUT ATTEMPT 1",IF(AND($K282=2,$L282=""),"RETEST ROW HAS NO SCORE",IF(AND($H282="Final",$L282&lt;&gt;"",IFERROR(INDEX(nrCKfinalExamElig,MATCH($D282,rngCadetPIDs,0)),"")="No"),"FINAL EXAM AFTER FAILED FINAL PT (500.1.H)",IF(AND($K282=2,ISNUMBER($L282),COUNTIFS(nrES_PID,$D282,nrES_Code,$F282,nrES_Att,1)&gt;0,SUMIFS(nrES_Raw,nrES_PID,$D282,nrES_Code,$F282,nrES_Att,1)&gt;=$J282),"RETEST AFTER A PASSING FIRST ATTEMPT","OK"))))))))))</f>
        <v/>
      </c>
      <c r="Y282" s="16" t="n"/>
    </row>
    <row r="283">
      <c r="B283" s="17">
        <f>IF($C283="","",$D283&amp;"-"&amp;$F283&amp;"-"&amp;$K283)</f>
        <v/>
      </c>
      <c r="C283" s="16" t="n"/>
      <c r="D283" s="17">
        <f>IF($C283="","",IFERROR(INDEX(rngCadetPIDs,MATCH($C283,rngCadetNames,0)),"?"))</f>
        <v/>
      </c>
      <c r="E283" s="17">
        <f>IF($D283="","",IFERROR(INDEX(nrCadetAgency,MATCH($D283,rngCadetPIDs,0)),""))</f>
        <v/>
      </c>
      <c r="F283" s="16" t="n"/>
      <c r="G283" s="17">
        <f>IF($F283="","",IFERROR(INDEX(rngEPname,MATCH($F283,rngEPcode,0)),"?"))</f>
        <v/>
      </c>
      <c r="H283" s="17">
        <f>IF($F283="","",IFERROR(INDEX(rngEPtype,MATCH($F283,rngEPcode,0)),"?"))</f>
        <v/>
      </c>
      <c r="I283" s="17">
        <f>IF($F283="","",IFERROR(INDEX(rngEPseq,MATCH($F283,rngEPcode,0)),""))</f>
        <v/>
      </c>
      <c r="J283" s="17">
        <f>IF($F283="","",IFERROR(INDEX(rngEPpass,MATCH($F283,rngEPcode,0)),cfgPassingScore))</f>
        <v/>
      </c>
      <c r="K283" s="16" t="n"/>
      <c r="L283" s="16" t="n"/>
      <c r="M283" s="17">
        <f>IF($C283="","",IF($L283="","",IF(NOT(ISNUMBER($L283)),$L283,IF(N($K283)&gt;2,"",IF($K283=1,IF(COUNTIFS(nrES_PID,$D283,nrES_Code,$F283,nrES_Att,2,nrES_Raw,"&gt;=0")&gt;0,"",$L283),IF($L283&gt;=$J283,MAX($J283,cfgRetakeRecordedCap),IF(COUNTIFS(nrES_PID,$D283,nrES_Code,$F283,nrES_Att,1)=0,$L283,SUMIFS(nrES_Raw,nrES_PID,$D283,nrES_Code,$F283,nrES_Att,1))))))))</f>
        <v/>
      </c>
      <c r="N283" s="17">
        <f>IF($C283="","",IF($L283="","",IF(NOT(ISNUMBER($L283)),"(not a score)",IF($L283&gt;=$J283,"Yes","No"))))</f>
        <v/>
      </c>
      <c r="O283" s="17">
        <f>IF($C283="","",IF($M283="","",IF(NOT(ISNUMBER($M283)),"(not a score)",IF($M283&gt;=$J283,"Yes","No"))))</f>
        <v/>
      </c>
      <c r="P283" s="17">
        <f>IF($C283="","",IF($K283="","",IF(N($K283)&gt;2,"No",IF(COUNTIFS(nrES_PID,$D283,nrES_Code,$F283,nrES_Att,"&gt;"&amp;$K283,nrES_Att,"&lt;=2",nrES_Raw,"&gt;=0")=0,"Yes","No"))))</f>
        <v/>
      </c>
      <c r="Q283" s="17">
        <f>IF($C283="","",IF($L283="","",IF(AND($K283=1,ISNUMBER($L283),$L283&lt;$J283,COUNTIFS(nrES_PID,$D283,nrES_Code,$F283,nrES_Att,2,nrES_Raw,"&gt;=0")=0),"Yes","No")))</f>
        <v/>
      </c>
      <c r="R283" s="17">
        <f>IF($C283="","",IF($L283="","",IF(AND(N($K283)&gt;=2,ISNUMBER($L283),$L283&lt;$J283),"Yes","No")))</f>
        <v/>
      </c>
      <c r="S283" s="18" t="n"/>
      <c r="T283" s="19">
        <f>IF(OR($C283="",$L283="",$K283&lt;&gt;1,NOT(ISNUMBER($L283)),$L283&gt;=$J283),"",IF($S283="","(enter date)",_xlfn.LET(_xlpm.dn,_xlfn.XLOOKUP($S283,nrCDdate,nrCDnum,"",1),IF(_xlpm.dn="","(after last class day)",_xlfn.LET(_xlpm.dd,_xlfn.XLOOKUP(_xlpm.dn+cfgRetestClassDays,nrCDnum,nrCDdate,""),_xlpm.ok,_xlfn.XLOOKUP(_xlpm.dn+cfgRetestClassDays,nrCDnum,nrCDinsession,"No"),IF(OR(_xlpm.dd="",_xlpm.ok&lt;&gt;"Yes"),"(after last class day)",_xlpm.dd))))))</f>
        <v/>
      </c>
      <c r="U283" s="17">
        <f>IF($C283="","",IF(AND($Y283="Excused",$L283="",N($K283)&lt;=1),"EXCUSED - 1st attempt pending",IF(OR($L283="",$K283&lt;&gt;1,NOT(ISNUMBER($L283)),$L283&gt;=$J283),"",IF(COUNTIFS(nrES_PID,$D283,nrES_Code,$F283,nrES_Att,2,nrES_Raw,"&gt;=0")&gt;0,IF(IFERROR(_xlfn.MINIFS(nrES_Date,nrES_PID,$D283,nrES_Code,$F283,nrES_Att,2,nrES_Raw,"&gt;=0",nrES_Date,"&gt;0"),0)=0,"RETEST UNDATED",IF(NOT(ISNUMBER($T283)),"RETEST DATE UNCHECKED",IF(_xlfn.MINIFS(nrES_Date,nrES_PID,$D283,nrES_Code,$F283,nrES_Att,2,nrES_Raw,"&gt;=0",nrES_Date,"&gt;0")&gt;$T283,"LATE RETEST "&amp;TEXT(_xlfn.MINIFS(nrES_Date,nrES_PID,$D283,nrES_Code,$F283,nrES_Att,2,nrES_Raw,"&gt;=0",nrES_Date,"&gt;0"),"mm/dd")&amp;" (due "&amp;TEXT($T283,"mm/dd")&amp;")","Retested"))),IF(NOT(ISNUMBER($T283)),"CHECK DATE",IF(TODAY()&gt;$T283,"OVERDUE","Due "&amp;TEXT($T283,"mm/dd")))))))</f>
        <v/>
      </c>
      <c r="V283" s="16" t="n"/>
      <c r="W283" s="16" t="n"/>
      <c r="X283" s="17">
        <f>IF($C283="","",IF(AND($L283&lt;&gt;"",NOT(ISNUMBER($L283))),"RAW SCORE NOT A NUMBER",IF(AND(ISNUMBER($L283),OR($L283&lt;0,$L283&gt;100)),"RAW SCORE OUT OF RANGE",IF(AND($Y283="Unexcused",OR($L283="",NOT(ISNUMBER($L283)),$L283&lt;&gt;0)),"UNEXCUSED ABSENCE MUST RECORD 0",IF(COUNTIF(nrES_RecID,$B283)&gt;1,"DUPLICATE RECORD",IF(N($K283)&gt;2,"ATTEMPT 3+ NOT ALLOWED - policy 300.5 permits one retest per exam; this row records nothing",IF(AND($K283=2,COUNTIFS(nrES_PID,$D283,nrES_Code,$F283,nrES_Att,1)=0),"ATTEMPT 2 WITHOUT ATTEMPT 1",IF(AND($K283=2,$L283=""),"RETEST ROW HAS NO SCORE",IF(AND($H283="Final",$L283&lt;&gt;"",IFERROR(INDEX(nrCKfinalExamElig,MATCH($D283,rngCadetPIDs,0)),"")="No"),"FINAL EXAM AFTER FAILED FINAL PT (500.1.H)",IF(AND($K283=2,ISNUMBER($L283),COUNTIFS(nrES_PID,$D283,nrES_Code,$F283,nrES_Att,1)&gt;0,SUMIFS(nrES_Raw,nrES_PID,$D283,nrES_Code,$F283,nrES_Att,1)&gt;=$J283),"RETEST AFTER A PASSING FIRST ATTEMPT","OK"))))))))))</f>
        <v/>
      </c>
      <c r="Y283" s="16" t="n"/>
    </row>
    <row r="284">
      <c r="B284" s="17">
        <f>IF($C284="","",$D284&amp;"-"&amp;$F284&amp;"-"&amp;$K284)</f>
        <v/>
      </c>
      <c r="C284" s="16" t="n"/>
      <c r="D284" s="17">
        <f>IF($C284="","",IFERROR(INDEX(rngCadetPIDs,MATCH($C284,rngCadetNames,0)),"?"))</f>
        <v/>
      </c>
      <c r="E284" s="17">
        <f>IF($D284="","",IFERROR(INDEX(nrCadetAgency,MATCH($D284,rngCadetPIDs,0)),""))</f>
        <v/>
      </c>
      <c r="F284" s="16" t="n"/>
      <c r="G284" s="17">
        <f>IF($F284="","",IFERROR(INDEX(rngEPname,MATCH($F284,rngEPcode,0)),"?"))</f>
        <v/>
      </c>
      <c r="H284" s="17">
        <f>IF($F284="","",IFERROR(INDEX(rngEPtype,MATCH($F284,rngEPcode,0)),"?"))</f>
        <v/>
      </c>
      <c r="I284" s="17">
        <f>IF($F284="","",IFERROR(INDEX(rngEPseq,MATCH($F284,rngEPcode,0)),""))</f>
        <v/>
      </c>
      <c r="J284" s="17">
        <f>IF($F284="","",IFERROR(INDEX(rngEPpass,MATCH($F284,rngEPcode,0)),cfgPassingScore))</f>
        <v/>
      </c>
      <c r="K284" s="16" t="n"/>
      <c r="L284" s="16" t="n"/>
      <c r="M284" s="17">
        <f>IF($C284="","",IF($L284="","",IF(NOT(ISNUMBER($L284)),$L284,IF(N($K284)&gt;2,"",IF($K284=1,IF(COUNTIFS(nrES_PID,$D284,nrES_Code,$F284,nrES_Att,2,nrES_Raw,"&gt;=0")&gt;0,"",$L284),IF($L284&gt;=$J284,MAX($J284,cfgRetakeRecordedCap),IF(COUNTIFS(nrES_PID,$D284,nrES_Code,$F284,nrES_Att,1)=0,$L284,SUMIFS(nrES_Raw,nrES_PID,$D284,nrES_Code,$F284,nrES_Att,1))))))))</f>
        <v/>
      </c>
      <c r="N284" s="17">
        <f>IF($C284="","",IF($L284="","",IF(NOT(ISNUMBER($L284)),"(not a score)",IF($L284&gt;=$J284,"Yes","No"))))</f>
        <v/>
      </c>
      <c r="O284" s="17">
        <f>IF($C284="","",IF($M284="","",IF(NOT(ISNUMBER($M284)),"(not a score)",IF($M284&gt;=$J284,"Yes","No"))))</f>
        <v/>
      </c>
      <c r="P284" s="17">
        <f>IF($C284="","",IF($K284="","",IF(N($K284)&gt;2,"No",IF(COUNTIFS(nrES_PID,$D284,nrES_Code,$F284,nrES_Att,"&gt;"&amp;$K284,nrES_Att,"&lt;=2",nrES_Raw,"&gt;=0")=0,"Yes","No"))))</f>
        <v/>
      </c>
      <c r="Q284" s="17">
        <f>IF($C284="","",IF($L284="","",IF(AND($K284=1,ISNUMBER($L284),$L284&lt;$J284,COUNTIFS(nrES_PID,$D284,nrES_Code,$F284,nrES_Att,2,nrES_Raw,"&gt;=0")=0),"Yes","No")))</f>
        <v/>
      </c>
      <c r="R284" s="17">
        <f>IF($C284="","",IF($L284="","",IF(AND(N($K284)&gt;=2,ISNUMBER($L284),$L284&lt;$J284),"Yes","No")))</f>
        <v/>
      </c>
      <c r="S284" s="18" t="n"/>
      <c r="T284" s="19">
        <f>IF(OR($C284="",$L284="",$K284&lt;&gt;1,NOT(ISNUMBER($L284)),$L284&gt;=$J284),"",IF($S284="","(enter date)",_xlfn.LET(_xlpm.dn,_xlfn.XLOOKUP($S284,nrCDdate,nrCDnum,"",1),IF(_xlpm.dn="","(after last class day)",_xlfn.LET(_xlpm.dd,_xlfn.XLOOKUP(_xlpm.dn+cfgRetestClassDays,nrCDnum,nrCDdate,""),_xlpm.ok,_xlfn.XLOOKUP(_xlpm.dn+cfgRetestClassDays,nrCDnum,nrCDinsession,"No"),IF(OR(_xlpm.dd="",_xlpm.ok&lt;&gt;"Yes"),"(after last class day)",_xlpm.dd))))))</f>
        <v/>
      </c>
      <c r="U284" s="17">
        <f>IF($C284="","",IF(AND($Y284="Excused",$L284="",N($K284)&lt;=1),"EXCUSED - 1st attempt pending",IF(OR($L284="",$K284&lt;&gt;1,NOT(ISNUMBER($L284)),$L284&gt;=$J284),"",IF(COUNTIFS(nrES_PID,$D284,nrES_Code,$F284,nrES_Att,2,nrES_Raw,"&gt;=0")&gt;0,IF(IFERROR(_xlfn.MINIFS(nrES_Date,nrES_PID,$D284,nrES_Code,$F284,nrES_Att,2,nrES_Raw,"&gt;=0",nrES_Date,"&gt;0"),0)=0,"RETEST UNDATED",IF(NOT(ISNUMBER($T284)),"RETEST DATE UNCHECKED",IF(_xlfn.MINIFS(nrES_Date,nrES_PID,$D284,nrES_Code,$F284,nrES_Att,2,nrES_Raw,"&gt;=0",nrES_Date,"&gt;0")&gt;$T284,"LATE RETEST "&amp;TEXT(_xlfn.MINIFS(nrES_Date,nrES_PID,$D284,nrES_Code,$F284,nrES_Att,2,nrES_Raw,"&gt;=0",nrES_Date,"&gt;0"),"mm/dd")&amp;" (due "&amp;TEXT($T284,"mm/dd")&amp;")","Retested"))),IF(NOT(ISNUMBER($T284)),"CHECK DATE",IF(TODAY()&gt;$T284,"OVERDUE","Due "&amp;TEXT($T284,"mm/dd")))))))</f>
        <v/>
      </c>
      <c r="V284" s="16" t="n"/>
      <c r="W284" s="16" t="n"/>
      <c r="X284" s="17">
        <f>IF($C284="","",IF(AND($L284&lt;&gt;"",NOT(ISNUMBER($L284))),"RAW SCORE NOT A NUMBER",IF(AND(ISNUMBER($L284),OR($L284&lt;0,$L284&gt;100)),"RAW SCORE OUT OF RANGE",IF(AND($Y284="Unexcused",OR($L284="",NOT(ISNUMBER($L284)),$L284&lt;&gt;0)),"UNEXCUSED ABSENCE MUST RECORD 0",IF(COUNTIF(nrES_RecID,$B284)&gt;1,"DUPLICATE RECORD",IF(N($K284)&gt;2,"ATTEMPT 3+ NOT ALLOWED - policy 300.5 permits one retest per exam; this row records nothing",IF(AND($K284=2,COUNTIFS(nrES_PID,$D284,nrES_Code,$F284,nrES_Att,1)=0),"ATTEMPT 2 WITHOUT ATTEMPT 1",IF(AND($K284=2,$L284=""),"RETEST ROW HAS NO SCORE",IF(AND($H284="Final",$L284&lt;&gt;"",IFERROR(INDEX(nrCKfinalExamElig,MATCH($D284,rngCadetPIDs,0)),"")="No"),"FINAL EXAM AFTER FAILED FINAL PT (500.1.H)",IF(AND($K284=2,ISNUMBER($L284),COUNTIFS(nrES_PID,$D284,nrES_Code,$F284,nrES_Att,1)&gt;0,SUMIFS(nrES_Raw,nrES_PID,$D284,nrES_Code,$F284,nrES_Att,1)&gt;=$J284),"RETEST AFTER A PASSING FIRST ATTEMPT","OK"))))))))))</f>
        <v/>
      </c>
      <c r="Y284" s="16" t="n"/>
    </row>
    <row r="285">
      <c r="B285" s="17">
        <f>IF($C285="","",$D285&amp;"-"&amp;$F285&amp;"-"&amp;$K285)</f>
        <v/>
      </c>
      <c r="C285" s="16" t="n"/>
      <c r="D285" s="17">
        <f>IF($C285="","",IFERROR(INDEX(rngCadetPIDs,MATCH($C285,rngCadetNames,0)),"?"))</f>
        <v/>
      </c>
      <c r="E285" s="17">
        <f>IF($D285="","",IFERROR(INDEX(nrCadetAgency,MATCH($D285,rngCadetPIDs,0)),""))</f>
        <v/>
      </c>
      <c r="F285" s="16" t="n"/>
      <c r="G285" s="17">
        <f>IF($F285="","",IFERROR(INDEX(rngEPname,MATCH($F285,rngEPcode,0)),"?"))</f>
        <v/>
      </c>
      <c r="H285" s="17">
        <f>IF($F285="","",IFERROR(INDEX(rngEPtype,MATCH($F285,rngEPcode,0)),"?"))</f>
        <v/>
      </c>
      <c r="I285" s="17">
        <f>IF($F285="","",IFERROR(INDEX(rngEPseq,MATCH($F285,rngEPcode,0)),""))</f>
        <v/>
      </c>
      <c r="J285" s="17">
        <f>IF($F285="","",IFERROR(INDEX(rngEPpass,MATCH($F285,rngEPcode,0)),cfgPassingScore))</f>
        <v/>
      </c>
      <c r="K285" s="16" t="n"/>
      <c r="L285" s="16" t="n"/>
      <c r="M285" s="17">
        <f>IF($C285="","",IF($L285="","",IF(NOT(ISNUMBER($L285)),$L285,IF(N($K285)&gt;2,"",IF($K285=1,IF(COUNTIFS(nrES_PID,$D285,nrES_Code,$F285,nrES_Att,2,nrES_Raw,"&gt;=0")&gt;0,"",$L285),IF($L285&gt;=$J285,MAX($J285,cfgRetakeRecordedCap),IF(COUNTIFS(nrES_PID,$D285,nrES_Code,$F285,nrES_Att,1)=0,$L285,SUMIFS(nrES_Raw,nrES_PID,$D285,nrES_Code,$F285,nrES_Att,1))))))))</f>
        <v/>
      </c>
      <c r="N285" s="17">
        <f>IF($C285="","",IF($L285="","",IF(NOT(ISNUMBER($L285)),"(not a score)",IF($L285&gt;=$J285,"Yes","No"))))</f>
        <v/>
      </c>
      <c r="O285" s="17">
        <f>IF($C285="","",IF($M285="","",IF(NOT(ISNUMBER($M285)),"(not a score)",IF($M285&gt;=$J285,"Yes","No"))))</f>
        <v/>
      </c>
      <c r="P285" s="17">
        <f>IF($C285="","",IF($K285="","",IF(N($K285)&gt;2,"No",IF(COUNTIFS(nrES_PID,$D285,nrES_Code,$F285,nrES_Att,"&gt;"&amp;$K285,nrES_Att,"&lt;=2",nrES_Raw,"&gt;=0")=0,"Yes","No"))))</f>
        <v/>
      </c>
      <c r="Q285" s="17">
        <f>IF($C285="","",IF($L285="","",IF(AND($K285=1,ISNUMBER($L285),$L285&lt;$J285,COUNTIFS(nrES_PID,$D285,nrES_Code,$F285,nrES_Att,2,nrES_Raw,"&gt;=0")=0),"Yes","No")))</f>
        <v/>
      </c>
      <c r="R285" s="17">
        <f>IF($C285="","",IF($L285="","",IF(AND(N($K285)&gt;=2,ISNUMBER($L285),$L285&lt;$J285),"Yes","No")))</f>
        <v/>
      </c>
      <c r="S285" s="18" t="n"/>
      <c r="T285" s="19">
        <f>IF(OR($C285="",$L285="",$K285&lt;&gt;1,NOT(ISNUMBER($L285)),$L285&gt;=$J285),"",IF($S285="","(enter date)",_xlfn.LET(_xlpm.dn,_xlfn.XLOOKUP($S285,nrCDdate,nrCDnum,"",1),IF(_xlpm.dn="","(after last class day)",_xlfn.LET(_xlpm.dd,_xlfn.XLOOKUP(_xlpm.dn+cfgRetestClassDays,nrCDnum,nrCDdate,""),_xlpm.ok,_xlfn.XLOOKUP(_xlpm.dn+cfgRetestClassDays,nrCDnum,nrCDinsession,"No"),IF(OR(_xlpm.dd="",_xlpm.ok&lt;&gt;"Yes"),"(after last class day)",_xlpm.dd))))))</f>
        <v/>
      </c>
      <c r="U285" s="17">
        <f>IF($C285="","",IF(AND($Y285="Excused",$L285="",N($K285)&lt;=1),"EXCUSED - 1st attempt pending",IF(OR($L285="",$K285&lt;&gt;1,NOT(ISNUMBER($L285)),$L285&gt;=$J285),"",IF(COUNTIFS(nrES_PID,$D285,nrES_Code,$F285,nrES_Att,2,nrES_Raw,"&gt;=0")&gt;0,IF(IFERROR(_xlfn.MINIFS(nrES_Date,nrES_PID,$D285,nrES_Code,$F285,nrES_Att,2,nrES_Raw,"&gt;=0",nrES_Date,"&gt;0"),0)=0,"RETEST UNDATED",IF(NOT(ISNUMBER($T285)),"RETEST DATE UNCHECKED",IF(_xlfn.MINIFS(nrES_Date,nrES_PID,$D285,nrES_Code,$F285,nrES_Att,2,nrES_Raw,"&gt;=0",nrES_Date,"&gt;0")&gt;$T285,"LATE RETEST "&amp;TEXT(_xlfn.MINIFS(nrES_Date,nrES_PID,$D285,nrES_Code,$F285,nrES_Att,2,nrES_Raw,"&gt;=0",nrES_Date,"&gt;0"),"mm/dd")&amp;" (due "&amp;TEXT($T285,"mm/dd")&amp;")","Retested"))),IF(NOT(ISNUMBER($T285)),"CHECK DATE",IF(TODAY()&gt;$T285,"OVERDUE","Due "&amp;TEXT($T285,"mm/dd")))))))</f>
        <v/>
      </c>
      <c r="V285" s="16" t="n"/>
      <c r="W285" s="16" t="n"/>
      <c r="X285" s="17">
        <f>IF($C285="","",IF(AND($L285&lt;&gt;"",NOT(ISNUMBER($L285))),"RAW SCORE NOT A NUMBER",IF(AND(ISNUMBER($L285),OR($L285&lt;0,$L285&gt;100)),"RAW SCORE OUT OF RANGE",IF(AND($Y285="Unexcused",OR($L285="",NOT(ISNUMBER($L285)),$L285&lt;&gt;0)),"UNEXCUSED ABSENCE MUST RECORD 0",IF(COUNTIF(nrES_RecID,$B285)&gt;1,"DUPLICATE RECORD",IF(N($K285)&gt;2,"ATTEMPT 3+ NOT ALLOWED - policy 300.5 permits one retest per exam; this row records nothing",IF(AND($K285=2,COUNTIFS(nrES_PID,$D285,nrES_Code,$F285,nrES_Att,1)=0),"ATTEMPT 2 WITHOUT ATTEMPT 1",IF(AND($K285=2,$L285=""),"RETEST ROW HAS NO SCORE",IF(AND($H285="Final",$L285&lt;&gt;"",IFERROR(INDEX(nrCKfinalExamElig,MATCH($D285,rngCadetPIDs,0)),"")="No"),"FINAL EXAM AFTER FAILED FINAL PT (500.1.H)",IF(AND($K285=2,ISNUMBER($L285),COUNTIFS(nrES_PID,$D285,nrES_Code,$F285,nrES_Att,1)&gt;0,SUMIFS(nrES_Raw,nrES_PID,$D285,nrES_Code,$F285,nrES_Att,1)&gt;=$J285),"RETEST AFTER A PASSING FIRST ATTEMPT","OK"))))))))))</f>
        <v/>
      </c>
      <c r="Y285" s="16" t="n"/>
    </row>
    <row r="286">
      <c r="B286" s="17">
        <f>IF($C286="","",$D286&amp;"-"&amp;$F286&amp;"-"&amp;$K286)</f>
        <v/>
      </c>
      <c r="C286" s="16" t="n"/>
      <c r="D286" s="17">
        <f>IF($C286="","",IFERROR(INDEX(rngCadetPIDs,MATCH($C286,rngCadetNames,0)),"?"))</f>
        <v/>
      </c>
      <c r="E286" s="17">
        <f>IF($D286="","",IFERROR(INDEX(nrCadetAgency,MATCH($D286,rngCadetPIDs,0)),""))</f>
        <v/>
      </c>
      <c r="F286" s="16" t="n"/>
      <c r="G286" s="17">
        <f>IF($F286="","",IFERROR(INDEX(rngEPname,MATCH($F286,rngEPcode,0)),"?"))</f>
        <v/>
      </c>
      <c r="H286" s="17">
        <f>IF($F286="","",IFERROR(INDEX(rngEPtype,MATCH($F286,rngEPcode,0)),"?"))</f>
        <v/>
      </c>
      <c r="I286" s="17">
        <f>IF($F286="","",IFERROR(INDEX(rngEPseq,MATCH($F286,rngEPcode,0)),""))</f>
        <v/>
      </c>
      <c r="J286" s="17">
        <f>IF($F286="","",IFERROR(INDEX(rngEPpass,MATCH($F286,rngEPcode,0)),cfgPassingScore))</f>
        <v/>
      </c>
      <c r="K286" s="16" t="n"/>
      <c r="L286" s="16" t="n"/>
      <c r="M286" s="17">
        <f>IF($C286="","",IF($L286="","",IF(NOT(ISNUMBER($L286)),$L286,IF(N($K286)&gt;2,"",IF($K286=1,IF(COUNTIFS(nrES_PID,$D286,nrES_Code,$F286,nrES_Att,2,nrES_Raw,"&gt;=0")&gt;0,"",$L286),IF($L286&gt;=$J286,MAX($J286,cfgRetakeRecordedCap),IF(COUNTIFS(nrES_PID,$D286,nrES_Code,$F286,nrES_Att,1)=0,$L286,SUMIFS(nrES_Raw,nrES_PID,$D286,nrES_Code,$F286,nrES_Att,1))))))))</f>
        <v/>
      </c>
      <c r="N286" s="17">
        <f>IF($C286="","",IF($L286="","",IF(NOT(ISNUMBER($L286)),"(not a score)",IF($L286&gt;=$J286,"Yes","No"))))</f>
        <v/>
      </c>
      <c r="O286" s="17">
        <f>IF($C286="","",IF($M286="","",IF(NOT(ISNUMBER($M286)),"(not a score)",IF($M286&gt;=$J286,"Yes","No"))))</f>
        <v/>
      </c>
      <c r="P286" s="17">
        <f>IF($C286="","",IF($K286="","",IF(N($K286)&gt;2,"No",IF(COUNTIFS(nrES_PID,$D286,nrES_Code,$F286,nrES_Att,"&gt;"&amp;$K286,nrES_Att,"&lt;=2",nrES_Raw,"&gt;=0")=0,"Yes","No"))))</f>
        <v/>
      </c>
      <c r="Q286" s="17">
        <f>IF($C286="","",IF($L286="","",IF(AND($K286=1,ISNUMBER($L286),$L286&lt;$J286,COUNTIFS(nrES_PID,$D286,nrES_Code,$F286,nrES_Att,2,nrES_Raw,"&gt;=0")=0),"Yes","No")))</f>
        <v/>
      </c>
      <c r="R286" s="17">
        <f>IF($C286="","",IF($L286="","",IF(AND(N($K286)&gt;=2,ISNUMBER($L286),$L286&lt;$J286),"Yes","No")))</f>
        <v/>
      </c>
      <c r="S286" s="18" t="n"/>
      <c r="T286" s="19">
        <f>IF(OR($C286="",$L286="",$K286&lt;&gt;1,NOT(ISNUMBER($L286)),$L286&gt;=$J286),"",IF($S286="","(enter date)",_xlfn.LET(_xlpm.dn,_xlfn.XLOOKUP($S286,nrCDdate,nrCDnum,"",1),IF(_xlpm.dn="","(after last class day)",_xlfn.LET(_xlpm.dd,_xlfn.XLOOKUP(_xlpm.dn+cfgRetestClassDays,nrCDnum,nrCDdate,""),_xlpm.ok,_xlfn.XLOOKUP(_xlpm.dn+cfgRetestClassDays,nrCDnum,nrCDinsession,"No"),IF(OR(_xlpm.dd="",_xlpm.ok&lt;&gt;"Yes"),"(after last class day)",_xlpm.dd))))))</f>
        <v/>
      </c>
      <c r="U286" s="17">
        <f>IF($C286="","",IF(AND($Y286="Excused",$L286="",N($K286)&lt;=1),"EXCUSED - 1st attempt pending",IF(OR($L286="",$K286&lt;&gt;1,NOT(ISNUMBER($L286)),$L286&gt;=$J286),"",IF(COUNTIFS(nrES_PID,$D286,nrES_Code,$F286,nrES_Att,2,nrES_Raw,"&gt;=0")&gt;0,IF(IFERROR(_xlfn.MINIFS(nrES_Date,nrES_PID,$D286,nrES_Code,$F286,nrES_Att,2,nrES_Raw,"&gt;=0",nrES_Date,"&gt;0"),0)=0,"RETEST UNDATED",IF(NOT(ISNUMBER($T286)),"RETEST DATE UNCHECKED",IF(_xlfn.MINIFS(nrES_Date,nrES_PID,$D286,nrES_Code,$F286,nrES_Att,2,nrES_Raw,"&gt;=0",nrES_Date,"&gt;0")&gt;$T286,"LATE RETEST "&amp;TEXT(_xlfn.MINIFS(nrES_Date,nrES_PID,$D286,nrES_Code,$F286,nrES_Att,2,nrES_Raw,"&gt;=0",nrES_Date,"&gt;0"),"mm/dd")&amp;" (due "&amp;TEXT($T286,"mm/dd")&amp;")","Retested"))),IF(NOT(ISNUMBER($T286)),"CHECK DATE",IF(TODAY()&gt;$T286,"OVERDUE","Due "&amp;TEXT($T286,"mm/dd")))))))</f>
        <v/>
      </c>
      <c r="V286" s="16" t="n"/>
      <c r="W286" s="16" t="n"/>
      <c r="X286" s="17">
        <f>IF($C286="","",IF(AND($L286&lt;&gt;"",NOT(ISNUMBER($L286))),"RAW SCORE NOT A NUMBER",IF(AND(ISNUMBER($L286),OR($L286&lt;0,$L286&gt;100)),"RAW SCORE OUT OF RANGE",IF(AND($Y286="Unexcused",OR($L286="",NOT(ISNUMBER($L286)),$L286&lt;&gt;0)),"UNEXCUSED ABSENCE MUST RECORD 0",IF(COUNTIF(nrES_RecID,$B286)&gt;1,"DUPLICATE RECORD",IF(N($K286)&gt;2,"ATTEMPT 3+ NOT ALLOWED - policy 300.5 permits one retest per exam; this row records nothing",IF(AND($K286=2,COUNTIFS(nrES_PID,$D286,nrES_Code,$F286,nrES_Att,1)=0),"ATTEMPT 2 WITHOUT ATTEMPT 1",IF(AND($K286=2,$L286=""),"RETEST ROW HAS NO SCORE",IF(AND($H286="Final",$L286&lt;&gt;"",IFERROR(INDEX(nrCKfinalExamElig,MATCH($D286,rngCadetPIDs,0)),"")="No"),"FINAL EXAM AFTER FAILED FINAL PT (500.1.H)",IF(AND($K286=2,ISNUMBER($L286),COUNTIFS(nrES_PID,$D286,nrES_Code,$F286,nrES_Att,1)&gt;0,SUMIFS(nrES_Raw,nrES_PID,$D286,nrES_Code,$F286,nrES_Att,1)&gt;=$J286),"RETEST AFTER A PASSING FIRST ATTEMPT","OK"))))))))))</f>
        <v/>
      </c>
      <c r="Y286" s="16" t="n"/>
    </row>
    <row r="287">
      <c r="B287" s="17">
        <f>IF($C287="","",$D287&amp;"-"&amp;$F287&amp;"-"&amp;$K287)</f>
        <v/>
      </c>
      <c r="C287" s="16" t="n"/>
      <c r="D287" s="17">
        <f>IF($C287="","",IFERROR(INDEX(rngCadetPIDs,MATCH($C287,rngCadetNames,0)),"?"))</f>
        <v/>
      </c>
      <c r="E287" s="17">
        <f>IF($D287="","",IFERROR(INDEX(nrCadetAgency,MATCH($D287,rngCadetPIDs,0)),""))</f>
        <v/>
      </c>
      <c r="F287" s="16" t="n"/>
      <c r="G287" s="17">
        <f>IF($F287="","",IFERROR(INDEX(rngEPname,MATCH($F287,rngEPcode,0)),"?"))</f>
        <v/>
      </c>
      <c r="H287" s="17">
        <f>IF($F287="","",IFERROR(INDEX(rngEPtype,MATCH($F287,rngEPcode,0)),"?"))</f>
        <v/>
      </c>
      <c r="I287" s="17">
        <f>IF($F287="","",IFERROR(INDEX(rngEPseq,MATCH($F287,rngEPcode,0)),""))</f>
        <v/>
      </c>
      <c r="J287" s="17">
        <f>IF($F287="","",IFERROR(INDEX(rngEPpass,MATCH($F287,rngEPcode,0)),cfgPassingScore))</f>
        <v/>
      </c>
      <c r="K287" s="16" t="n"/>
      <c r="L287" s="16" t="n"/>
      <c r="M287" s="17">
        <f>IF($C287="","",IF($L287="","",IF(NOT(ISNUMBER($L287)),$L287,IF(N($K287)&gt;2,"",IF($K287=1,IF(COUNTIFS(nrES_PID,$D287,nrES_Code,$F287,nrES_Att,2,nrES_Raw,"&gt;=0")&gt;0,"",$L287),IF($L287&gt;=$J287,MAX($J287,cfgRetakeRecordedCap),IF(COUNTIFS(nrES_PID,$D287,nrES_Code,$F287,nrES_Att,1)=0,$L287,SUMIFS(nrES_Raw,nrES_PID,$D287,nrES_Code,$F287,nrES_Att,1))))))))</f>
        <v/>
      </c>
      <c r="N287" s="17">
        <f>IF($C287="","",IF($L287="","",IF(NOT(ISNUMBER($L287)),"(not a score)",IF($L287&gt;=$J287,"Yes","No"))))</f>
        <v/>
      </c>
      <c r="O287" s="17">
        <f>IF($C287="","",IF($M287="","",IF(NOT(ISNUMBER($M287)),"(not a score)",IF($M287&gt;=$J287,"Yes","No"))))</f>
        <v/>
      </c>
      <c r="P287" s="17">
        <f>IF($C287="","",IF($K287="","",IF(N($K287)&gt;2,"No",IF(COUNTIFS(nrES_PID,$D287,nrES_Code,$F287,nrES_Att,"&gt;"&amp;$K287,nrES_Att,"&lt;=2",nrES_Raw,"&gt;=0")=0,"Yes","No"))))</f>
        <v/>
      </c>
      <c r="Q287" s="17">
        <f>IF($C287="","",IF($L287="","",IF(AND($K287=1,ISNUMBER($L287),$L287&lt;$J287,COUNTIFS(nrES_PID,$D287,nrES_Code,$F287,nrES_Att,2,nrES_Raw,"&gt;=0")=0),"Yes","No")))</f>
        <v/>
      </c>
      <c r="R287" s="17">
        <f>IF($C287="","",IF($L287="","",IF(AND(N($K287)&gt;=2,ISNUMBER($L287),$L287&lt;$J287),"Yes","No")))</f>
        <v/>
      </c>
      <c r="S287" s="18" t="n"/>
      <c r="T287" s="19">
        <f>IF(OR($C287="",$L287="",$K287&lt;&gt;1,NOT(ISNUMBER($L287)),$L287&gt;=$J287),"",IF($S287="","(enter date)",_xlfn.LET(_xlpm.dn,_xlfn.XLOOKUP($S287,nrCDdate,nrCDnum,"",1),IF(_xlpm.dn="","(after last class day)",_xlfn.LET(_xlpm.dd,_xlfn.XLOOKUP(_xlpm.dn+cfgRetestClassDays,nrCDnum,nrCDdate,""),_xlpm.ok,_xlfn.XLOOKUP(_xlpm.dn+cfgRetestClassDays,nrCDnum,nrCDinsession,"No"),IF(OR(_xlpm.dd="",_xlpm.ok&lt;&gt;"Yes"),"(after last class day)",_xlpm.dd))))))</f>
        <v/>
      </c>
      <c r="U287" s="17">
        <f>IF($C287="","",IF(AND($Y287="Excused",$L287="",N($K287)&lt;=1),"EXCUSED - 1st attempt pending",IF(OR($L287="",$K287&lt;&gt;1,NOT(ISNUMBER($L287)),$L287&gt;=$J287),"",IF(COUNTIFS(nrES_PID,$D287,nrES_Code,$F287,nrES_Att,2,nrES_Raw,"&gt;=0")&gt;0,IF(IFERROR(_xlfn.MINIFS(nrES_Date,nrES_PID,$D287,nrES_Code,$F287,nrES_Att,2,nrES_Raw,"&gt;=0",nrES_Date,"&gt;0"),0)=0,"RETEST UNDATED",IF(NOT(ISNUMBER($T287)),"RETEST DATE UNCHECKED",IF(_xlfn.MINIFS(nrES_Date,nrES_PID,$D287,nrES_Code,$F287,nrES_Att,2,nrES_Raw,"&gt;=0",nrES_Date,"&gt;0")&gt;$T287,"LATE RETEST "&amp;TEXT(_xlfn.MINIFS(nrES_Date,nrES_PID,$D287,nrES_Code,$F287,nrES_Att,2,nrES_Raw,"&gt;=0",nrES_Date,"&gt;0"),"mm/dd")&amp;" (due "&amp;TEXT($T287,"mm/dd")&amp;")","Retested"))),IF(NOT(ISNUMBER($T287)),"CHECK DATE",IF(TODAY()&gt;$T287,"OVERDUE","Due "&amp;TEXT($T287,"mm/dd")))))))</f>
        <v/>
      </c>
      <c r="V287" s="16" t="n"/>
      <c r="W287" s="16" t="n"/>
      <c r="X287" s="17">
        <f>IF($C287="","",IF(AND($L287&lt;&gt;"",NOT(ISNUMBER($L287))),"RAW SCORE NOT A NUMBER",IF(AND(ISNUMBER($L287),OR($L287&lt;0,$L287&gt;100)),"RAW SCORE OUT OF RANGE",IF(AND($Y287="Unexcused",OR($L287="",NOT(ISNUMBER($L287)),$L287&lt;&gt;0)),"UNEXCUSED ABSENCE MUST RECORD 0",IF(COUNTIF(nrES_RecID,$B287)&gt;1,"DUPLICATE RECORD",IF(N($K287)&gt;2,"ATTEMPT 3+ NOT ALLOWED - policy 300.5 permits one retest per exam; this row records nothing",IF(AND($K287=2,COUNTIFS(nrES_PID,$D287,nrES_Code,$F287,nrES_Att,1)=0),"ATTEMPT 2 WITHOUT ATTEMPT 1",IF(AND($K287=2,$L287=""),"RETEST ROW HAS NO SCORE",IF(AND($H287="Final",$L287&lt;&gt;"",IFERROR(INDEX(nrCKfinalExamElig,MATCH($D287,rngCadetPIDs,0)),"")="No"),"FINAL EXAM AFTER FAILED FINAL PT (500.1.H)",IF(AND($K287=2,ISNUMBER($L287),COUNTIFS(nrES_PID,$D287,nrES_Code,$F287,nrES_Att,1)&gt;0,SUMIFS(nrES_Raw,nrES_PID,$D287,nrES_Code,$F287,nrES_Att,1)&gt;=$J287),"RETEST AFTER A PASSING FIRST ATTEMPT","OK"))))))))))</f>
        <v/>
      </c>
      <c r="Y287" s="16" t="n"/>
    </row>
    <row r="288">
      <c r="B288" s="17">
        <f>IF($C288="","",$D288&amp;"-"&amp;$F288&amp;"-"&amp;$K288)</f>
        <v/>
      </c>
      <c r="C288" s="16" t="n"/>
      <c r="D288" s="17">
        <f>IF($C288="","",IFERROR(INDEX(rngCadetPIDs,MATCH($C288,rngCadetNames,0)),"?"))</f>
        <v/>
      </c>
      <c r="E288" s="17">
        <f>IF($D288="","",IFERROR(INDEX(nrCadetAgency,MATCH($D288,rngCadetPIDs,0)),""))</f>
        <v/>
      </c>
      <c r="F288" s="16" t="n"/>
      <c r="G288" s="17">
        <f>IF($F288="","",IFERROR(INDEX(rngEPname,MATCH($F288,rngEPcode,0)),"?"))</f>
        <v/>
      </c>
      <c r="H288" s="17">
        <f>IF($F288="","",IFERROR(INDEX(rngEPtype,MATCH($F288,rngEPcode,0)),"?"))</f>
        <v/>
      </c>
      <c r="I288" s="17">
        <f>IF($F288="","",IFERROR(INDEX(rngEPseq,MATCH($F288,rngEPcode,0)),""))</f>
        <v/>
      </c>
      <c r="J288" s="17">
        <f>IF($F288="","",IFERROR(INDEX(rngEPpass,MATCH($F288,rngEPcode,0)),cfgPassingScore))</f>
        <v/>
      </c>
      <c r="K288" s="16" t="n"/>
      <c r="L288" s="16" t="n"/>
      <c r="M288" s="17">
        <f>IF($C288="","",IF($L288="","",IF(NOT(ISNUMBER($L288)),$L288,IF(N($K288)&gt;2,"",IF($K288=1,IF(COUNTIFS(nrES_PID,$D288,nrES_Code,$F288,nrES_Att,2,nrES_Raw,"&gt;=0")&gt;0,"",$L288),IF($L288&gt;=$J288,MAX($J288,cfgRetakeRecordedCap),IF(COUNTIFS(nrES_PID,$D288,nrES_Code,$F288,nrES_Att,1)=0,$L288,SUMIFS(nrES_Raw,nrES_PID,$D288,nrES_Code,$F288,nrES_Att,1))))))))</f>
        <v/>
      </c>
      <c r="N288" s="17">
        <f>IF($C288="","",IF($L288="","",IF(NOT(ISNUMBER($L288)),"(not a score)",IF($L288&gt;=$J288,"Yes","No"))))</f>
        <v/>
      </c>
      <c r="O288" s="17">
        <f>IF($C288="","",IF($M288="","",IF(NOT(ISNUMBER($M288)),"(not a score)",IF($M288&gt;=$J288,"Yes","No"))))</f>
        <v/>
      </c>
      <c r="P288" s="17">
        <f>IF($C288="","",IF($K288="","",IF(N($K288)&gt;2,"No",IF(COUNTIFS(nrES_PID,$D288,nrES_Code,$F288,nrES_Att,"&gt;"&amp;$K288,nrES_Att,"&lt;=2",nrES_Raw,"&gt;=0")=0,"Yes","No"))))</f>
        <v/>
      </c>
      <c r="Q288" s="17">
        <f>IF($C288="","",IF($L288="","",IF(AND($K288=1,ISNUMBER($L288),$L288&lt;$J288,COUNTIFS(nrES_PID,$D288,nrES_Code,$F288,nrES_Att,2,nrES_Raw,"&gt;=0")=0),"Yes","No")))</f>
        <v/>
      </c>
      <c r="R288" s="17">
        <f>IF($C288="","",IF($L288="","",IF(AND(N($K288)&gt;=2,ISNUMBER($L288),$L288&lt;$J288),"Yes","No")))</f>
        <v/>
      </c>
      <c r="S288" s="18" t="n"/>
      <c r="T288" s="19">
        <f>IF(OR($C288="",$L288="",$K288&lt;&gt;1,NOT(ISNUMBER($L288)),$L288&gt;=$J288),"",IF($S288="","(enter date)",_xlfn.LET(_xlpm.dn,_xlfn.XLOOKUP($S288,nrCDdate,nrCDnum,"",1),IF(_xlpm.dn="","(after last class day)",_xlfn.LET(_xlpm.dd,_xlfn.XLOOKUP(_xlpm.dn+cfgRetestClassDays,nrCDnum,nrCDdate,""),_xlpm.ok,_xlfn.XLOOKUP(_xlpm.dn+cfgRetestClassDays,nrCDnum,nrCDinsession,"No"),IF(OR(_xlpm.dd="",_xlpm.ok&lt;&gt;"Yes"),"(after last class day)",_xlpm.dd))))))</f>
        <v/>
      </c>
      <c r="U288" s="17">
        <f>IF($C288="","",IF(AND($Y288="Excused",$L288="",N($K288)&lt;=1),"EXCUSED - 1st attempt pending",IF(OR($L288="",$K288&lt;&gt;1,NOT(ISNUMBER($L288)),$L288&gt;=$J288),"",IF(COUNTIFS(nrES_PID,$D288,nrES_Code,$F288,nrES_Att,2,nrES_Raw,"&gt;=0")&gt;0,IF(IFERROR(_xlfn.MINIFS(nrES_Date,nrES_PID,$D288,nrES_Code,$F288,nrES_Att,2,nrES_Raw,"&gt;=0",nrES_Date,"&gt;0"),0)=0,"RETEST UNDATED",IF(NOT(ISNUMBER($T288)),"RETEST DATE UNCHECKED",IF(_xlfn.MINIFS(nrES_Date,nrES_PID,$D288,nrES_Code,$F288,nrES_Att,2,nrES_Raw,"&gt;=0",nrES_Date,"&gt;0")&gt;$T288,"LATE RETEST "&amp;TEXT(_xlfn.MINIFS(nrES_Date,nrES_PID,$D288,nrES_Code,$F288,nrES_Att,2,nrES_Raw,"&gt;=0",nrES_Date,"&gt;0"),"mm/dd")&amp;" (due "&amp;TEXT($T288,"mm/dd")&amp;")","Retested"))),IF(NOT(ISNUMBER($T288)),"CHECK DATE",IF(TODAY()&gt;$T288,"OVERDUE","Due "&amp;TEXT($T288,"mm/dd")))))))</f>
        <v/>
      </c>
      <c r="V288" s="16" t="n"/>
      <c r="W288" s="16" t="n"/>
      <c r="X288" s="17">
        <f>IF($C288="","",IF(AND($L288&lt;&gt;"",NOT(ISNUMBER($L288))),"RAW SCORE NOT A NUMBER",IF(AND(ISNUMBER($L288),OR($L288&lt;0,$L288&gt;100)),"RAW SCORE OUT OF RANGE",IF(AND($Y288="Unexcused",OR($L288="",NOT(ISNUMBER($L288)),$L288&lt;&gt;0)),"UNEXCUSED ABSENCE MUST RECORD 0",IF(COUNTIF(nrES_RecID,$B288)&gt;1,"DUPLICATE RECORD",IF(N($K288)&gt;2,"ATTEMPT 3+ NOT ALLOWED - policy 300.5 permits one retest per exam; this row records nothing",IF(AND($K288=2,COUNTIFS(nrES_PID,$D288,nrES_Code,$F288,nrES_Att,1)=0),"ATTEMPT 2 WITHOUT ATTEMPT 1",IF(AND($K288=2,$L288=""),"RETEST ROW HAS NO SCORE",IF(AND($H288="Final",$L288&lt;&gt;"",IFERROR(INDEX(nrCKfinalExamElig,MATCH($D288,rngCadetPIDs,0)),"")="No"),"FINAL EXAM AFTER FAILED FINAL PT (500.1.H)",IF(AND($K288=2,ISNUMBER($L288),COUNTIFS(nrES_PID,$D288,nrES_Code,$F288,nrES_Att,1)&gt;0,SUMIFS(nrES_Raw,nrES_PID,$D288,nrES_Code,$F288,nrES_Att,1)&gt;=$J288),"RETEST AFTER A PASSING FIRST ATTEMPT","OK"))))))))))</f>
        <v/>
      </c>
      <c r="Y288" s="16" t="n"/>
    </row>
    <row r="289">
      <c r="B289" s="17">
        <f>IF($C289="","",$D289&amp;"-"&amp;$F289&amp;"-"&amp;$K289)</f>
        <v/>
      </c>
      <c r="C289" s="16" t="n"/>
      <c r="D289" s="17">
        <f>IF($C289="","",IFERROR(INDEX(rngCadetPIDs,MATCH($C289,rngCadetNames,0)),"?"))</f>
        <v/>
      </c>
      <c r="E289" s="17">
        <f>IF($D289="","",IFERROR(INDEX(nrCadetAgency,MATCH($D289,rngCadetPIDs,0)),""))</f>
        <v/>
      </c>
      <c r="F289" s="16" t="n"/>
      <c r="G289" s="17">
        <f>IF($F289="","",IFERROR(INDEX(rngEPname,MATCH($F289,rngEPcode,0)),"?"))</f>
        <v/>
      </c>
      <c r="H289" s="17">
        <f>IF($F289="","",IFERROR(INDEX(rngEPtype,MATCH($F289,rngEPcode,0)),"?"))</f>
        <v/>
      </c>
      <c r="I289" s="17">
        <f>IF($F289="","",IFERROR(INDEX(rngEPseq,MATCH($F289,rngEPcode,0)),""))</f>
        <v/>
      </c>
      <c r="J289" s="17">
        <f>IF($F289="","",IFERROR(INDEX(rngEPpass,MATCH($F289,rngEPcode,0)),cfgPassingScore))</f>
        <v/>
      </c>
      <c r="K289" s="16" t="n"/>
      <c r="L289" s="16" t="n"/>
      <c r="M289" s="17">
        <f>IF($C289="","",IF($L289="","",IF(NOT(ISNUMBER($L289)),$L289,IF(N($K289)&gt;2,"",IF($K289=1,IF(COUNTIFS(nrES_PID,$D289,nrES_Code,$F289,nrES_Att,2,nrES_Raw,"&gt;=0")&gt;0,"",$L289),IF($L289&gt;=$J289,MAX($J289,cfgRetakeRecordedCap),IF(COUNTIFS(nrES_PID,$D289,nrES_Code,$F289,nrES_Att,1)=0,$L289,SUMIFS(nrES_Raw,nrES_PID,$D289,nrES_Code,$F289,nrES_Att,1))))))))</f>
        <v/>
      </c>
      <c r="N289" s="17">
        <f>IF($C289="","",IF($L289="","",IF(NOT(ISNUMBER($L289)),"(not a score)",IF($L289&gt;=$J289,"Yes","No"))))</f>
        <v/>
      </c>
      <c r="O289" s="17">
        <f>IF($C289="","",IF($M289="","",IF(NOT(ISNUMBER($M289)),"(not a score)",IF($M289&gt;=$J289,"Yes","No"))))</f>
        <v/>
      </c>
      <c r="P289" s="17">
        <f>IF($C289="","",IF($K289="","",IF(N($K289)&gt;2,"No",IF(COUNTIFS(nrES_PID,$D289,nrES_Code,$F289,nrES_Att,"&gt;"&amp;$K289,nrES_Att,"&lt;=2",nrES_Raw,"&gt;=0")=0,"Yes","No"))))</f>
        <v/>
      </c>
      <c r="Q289" s="17">
        <f>IF($C289="","",IF($L289="","",IF(AND($K289=1,ISNUMBER($L289),$L289&lt;$J289,COUNTIFS(nrES_PID,$D289,nrES_Code,$F289,nrES_Att,2,nrES_Raw,"&gt;=0")=0),"Yes","No")))</f>
        <v/>
      </c>
      <c r="R289" s="17">
        <f>IF($C289="","",IF($L289="","",IF(AND(N($K289)&gt;=2,ISNUMBER($L289),$L289&lt;$J289),"Yes","No")))</f>
        <v/>
      </c>
      <c r="S289" s="18" t="n"/>
      <c r="T289" s="19">
        <f>IF(OR($C289="",$L289="",$K289&lt;&gt;1,NOT(ISNUMBER($L289)),$L289&gt;=$J289),"",IF($S289="","(enter date)",_xlfn.LET(_xlpm.dn,_xlfn.XLOOKUP($S289,nrCDdate,nrCDnum,"",1),IF(_xlpm.dn="","(after last class day)",_xlfn.LET(_xlpm.dd,_xlfn.XLOOKUP(_xlpm.dn+cfgRetestClassDays,nrCDnum,nrCDdate,""),_xlpm.ok,_xlfn.XLOOKUP(_xlpm.dn+cfgRetestClassDays,nrCDnum,nrCDinsession,"No"),IF(OR(_xlpm.dd="",_xlpm.ok&lt;&gt;"Yes"),"(after last class day)",_xlpm.dd))))))</f>
        <v/>
      </c>
      <c r="U289" s="17">
        <f>IF($C289="","",IF(AND($Y289="Excused",$L289="",N($K289)&lt;=1),"EXCUSED - 1st attempt pending",IF(OR($L289="",$K289&lt;&gt;1,NOT(ISNUMBER($L289)),$L289&gt;=$J289),"",IF(COUNTIFS(nrES_PID,$D289,nrES_Code,$F289,nrES_Att,2,nrES_Raw,"&gt;=0")&gt;0,IF(IFERROR(_xlfn.MINIFS(nrES_Date,nrES_PID,$D289,nrES_Code,$F289,nrES_Att,2,nrES_Raw,"&gt;=0",nrES_Date,"&gt;0"),0)=0,"RETEST UNDATED",IF(NOT(ISNUMBER($T289)),"RETEST DATE UNCHECKED",IF(_xlfn.MINIFS(nrES_Date,nrES_PID,$D289,nrES_Code,$F289,nrES_Att,2,nrES_Raw,"&gt;=0",nrES_Date,"&gt;0")&gt;$T289,"LATE RETEST "&amp;TEXT(_xlfn.MINIFS(nrES_Date,nrES_PID,$D289,nrES_Code,$F289,nrES_Att,2,nrES_Raw,"&gt;=0",nrES_Date,"&gt;0"),"mm/dd")&amp;" (due "&amp;TEXT($T289,"mm/dd")&amp;")","Retested"))),IF(NOT(ISNUMBER($T289)),"CHECK DATE",IF(TODAY()&gt;$T289,"OVERDUE","Due "&amp;TEXT($T289,"mm/dd")))))))</f>
        <v/>
      </c>
      <c r="V289" s="16" t="n"/>
      <c r="W289" s="16" t="n"/>
      <c r="X289" s="17">
        <f>IF($C289="","",IF(AND($L289&lt;&gt;"",NOT(ISNUMBER($L289))),"RAW SCORE NOT A NUMBER",IF(AND(ISNUMBER($L289),OR($L289&lt;0,$L289&gt;100)),"RAW SCORE OUT OF RANGE",IF(AND($Y289="Unexcused",OR($L289="",NOT(ISNUMBER($L289)),$L289&lt;&gt;0)),"UNEXCUSED ABSENCE MUST RECORD 0",IF(COUNTIF(nrES_RecID,$B289)&gt;1,"DUPLICATE RECORD",IF(N($K289)&gt;2,"ATTEMPT 3+ NOT ALLOWED - policy 300.5 permits one retest per exam; this row records nothing",IF(AND($K289=2,COUNTIFS(nrES_PID,$D289,nrES_Code,$F289,nrES_Att,1)=0),"ATTEMPT 2 WITHOUT ATTEMPT 1",IF(AND($K289=2,$L289=""),"RETEST ROW HAS NO SCORE",IF(AND($H289="Final",$L289&lt;&gt;"",IFERROR(INDEX(nrCKfinalExamElig,MATCH($D289,rngCadetPIDs,0)),"")="No"),"FINAL EXAM AFTER FAILED FINAL PT (500.1.H)",IF(AND($K289=2,ISNUMBER($L289),COUNTIFS(nrES_PID,$D289,nrES_Code,$F289,nrES_Att,1)&gt;0,SUMIFS(nrES_Raw,nrES_PID,$D289,nrES_Code,$F289,nrES_Att,1)&gt;=$J289),"RETEST AFTER A PASSING FIRST ATTEMPT","OK"))))))))))</f>
        <v/>
      </c>
      <c r="Y289" s="16" t="n"/>
    </row>
    <row r="290">
      <c r="B290" s="17">
        <f>IF($C290="","",$D290&amp;"-"&amp;$F290&amp;"-"&amp;$K290)</f>
        <v/>
      </c>
      <c r="C290" s="16" t="n"/>
      <c r="D290" s="17">
        <f>IF($C290="","",IFERROR(INDEX(rngCadetPIDs,MATCH($C290,rngCadetNames,0)),"?"))</f>
        <v/>
      </c>
      <c r="E290" s="17">
        <f>IF($D290="","",IFERROR(INDEX(nrCadetAgency,MATCH($D290,rngCadetPIDs,0)),""))</f>
        <v/>
      </c>
      <c r="F290" s="16" t="n"/>
      <c r="G290" s="17">
        <f>IF($F290="","",IFERROR(INDEX(rngEPname,MATCH($F290,rngEPcode,0)),"?"))</f>
        <v/>
      </c>
      <c r="H290" s="17">
        <f>IF($F290="","",IFERROR(INDEX(rngEPtype,MATCH($F290,rngEPcode,0)),"?"))</f>
        <v/>
      </c>
      <c r="I290" s="17">
        <f>IF($F290="","",IFERROR(INDEX(rngEPseq,MATCH($F290,rngEPcode,0)),""))</f>
        <v/>
      </c>
      <c r="J290" s="17">
        <f>IF($F290="","",IFERROR(INDEX(rngEPpass,MATCH($F290,rngEPcode,0)),cfgPassingScore))</f>
        <v/>
      </c>
      <c r="K290" s="16" t="n"/>
      <c r="L290" s="16" t="n"/>
      <c r="M290" s="17">
        <f>IF($C290="","",IF($L290="","",IF(NOT(ISNUMBER($L290)),$L290,IF(N($K290)&gt;2,"",IF($K290=1,IF(COUNTIFS(nrES_PID,$D290,nrES_Code,$F290,nrES_Att,2,nrES_Raw,"&gt;=0")&gt;0,"",$L290),IF($L290&gt;=$J290,MAX($J290,cfgRetakeRecordedCap),IF(COUNTIFS(nrES_PID,$D290,nrES_Code,$F290,nrES_Att,1)=0,$L290,SUMIFS(nrES_Raw,nrES_PID,$D290,nrES_Code,$F290,nrES_Att,1))))))))</f>
        <v/>
      </c>
      <c r="N290" s="17">
        <f>IF($C290="","",IF($L290="","",IF(NOT(ISNUMBER($L290)),"(not a score)",IF($L290&gt;=$J290,"Yes","No"))))</f>
        <v/>
      </c>
      <c r="O290" s="17">
        <f>IF($C290="","",IF($M290="","",IF(NOT(ISNUMBER($M290)),"(not a score)",IF($M290&gt;=$J290,"Yes","No"))))</f>
        <v/>
      </c>
      <c r="P290" s="17">
        <f>IF($C290="","",IF($K290="","",IF(N($K290)&gt;2,"No",IF(COUNTIFS(nrES_PID,$D290,nrES_Code,$F290,nrES_Att,"&gt;"&amp;$K290,nrES_Att,"&lt;=2",nrES_Raw,"&gt;=0")=0,"Yes","No"))))</f>
        <v/>
      </c>
      <c r="Q290" s="17">
        <f>IF($C290="","",IF($L290="","",IF(AND($K290=1,ISNUMBER($L290),$L290&lt;$J290,COUNTIFS(nrES_PID,$D290,nrES_Code,$F290,nrES_Att,2,nrES_Raw,"&gt;=0")=0),"Yes","No")))</f>
        <v/>
      </c>
      <c r="R290" s="17">
        <f>IF($C290="","",IF($L290="","",IF(AND(N($K290)&gt;=2,ISNUMBER($L290),$L290&lt;$J290),"Yes","No")))</f>
        <v/>
      </c>
      <c r="S290" s="18" t="n"/>
      <c r="T290" s="19">
        <f>IF(OR($C290="",$L290="",$K290&lt;&gt;1,NOT(ISNUMBER($L290)),$L290&gt;=$J290),"",IF($S290="","(enter date)",_xlfn.LET(_xlpm.dn,_xlfn.XLOOKUP($S290,nrCDdate,nrCDnum,"",1),IF(_xlpm.dn="","(after last class day)",_xlfn.LET(_xlpm.dd,_xlfn.XLOOKUP(_xlpm.dn+cfgRetestClassDays,nrCDnum,nrCDdate,""),_xlpm.ok,_xlfn.XLOOKUP(_xlpm.dn+cfgRetestClassDays,nrCDnum,nrCDinsession,"No"),IF(OR(_xlpm.dd="",_xlpm.ok&lt;&gt;"Yes"),"(after last class day)",_xlpm.dd))))))</f>
        <v/>
      </c>
      <c r="U290" s="17">
        <f>IF($C290="","",IF(AND($Y290="Excused",$L290="",N($K290)&lt;=1),"EXCUSED - 1st attempt pending",IF(OR($L290="",$K290&lt;&gt;1,NOT(ISNUMBER($L290)),$L290&gt;=$J290),"",IF(COUNTIFS(nrES_PID,$D290,nrES_Code,$F290,nrES_Att,2,nrES_Raw,"&gt;=0")&gt;0,IF(IFERROR(_xlfn.MINIFS(nrES_Date,nrES_PID,$D290,nrES_Code,$F290,nrES_Att,2,nrES_Raw,"&gt;=0",nrES_Date,"&gt;0"),0)=0,"RETEST UNDATED",IF(NOT(ISNUMBER($T290)),"RETEST DATE UNCHECKED",IF(_xlfn.MINIFS(nrES_Date,nrES_PID,$D290,nrES_Code,$F290,nrES_Att,2,nrES_Raw,"&gt;=0",nrES_Date,"&gt;0")&gt;$T290,"LATE RETEST "&amp;TEXT(_xlfn.MINIFS(nrES_Date,nrES_PID,$D290,nrES_Code,$F290,nrES_Att,2,nrES_Raw,"&gt;=0",nrES_Date,"&gt;0"),"mm/dd")&amp;" (due "&amp;TEXT($T290,"mm/dd")&amp;")","Retested"))),IF(NOT(ISNUMBER($T290)),"CHECK DATE",IF(TODAY()&gt;$T290,"OVERDUE","Due "&amp;TEXT($T290,"mm/dd")))))))</f>
        <v/>
      </c>
      <c r="V290" s="16" t="n"/>
      <c r="W290" s="16" t="n"/>
      <c r="X290" s="17">
        <f>IF($C290="","",IF(AND($L290&lt;&gt;"",NOT(ISNUMBER($L290))),"RAW SCORE NOT A NUMBER",IF(AND(ISNUMBER($L290),OR($L290&lt;0,$L290&gt;100)),"RAW SCORE OUT OF RANGE",IF(AND($Y290="Unexcused",OR($L290="",NOT(ISNUMBER($L290)),$L290&lt;&gt;0)),"UNEXCUSED ABSENCE MUST RECORD 0",IF(COUNTIF(nrES_RecID,$B290)&gt;1,"DUPLICATE RECORD",IF(N($K290)&gt;2,"ATTEMPT 3+ NOT ALLOWED - policy 300.5 permits one retest per exam; this row records nothing",IF(AND($K290=2,COUNTIFS(nrES_PID,$D290,nrES_Code,$F290,nrES_Att,1)=0),"ATTEMPT 2 WITHOUT ATTEMPT 1",IF(AND($K290=2,$L290=""),"RETEST ROW HAS NO SCORE",IF(AND($H290="Final",$L290&lt;&gt;"",IFERROR(INDEX(nrCKfinalExamElig,MATCH($D290,rngCadetPIDs,0)),"")="No"),"FINAL EXAM AFTER FAILED FINAL PT (500.1.H)",IF(AND($K290=2,ISNUMBER($L290),COUNTIFS(nrES_PID,$D290,nrES_Code,$F290,nrES_Att,1)&gt;0,SUMIFS(nrES_Raw,nrES_PID,$D290,nrES_Code,$F290,nrES_Att,1)&gt;=$J290),"RETEST AFTER A PASSING FIRST ATTEMPT","OK"))))))))))</f>
        <v/>
      </c>
      <c r="Y290" s="16" t="n"/>
    </row>
    <row r="291">
      <c r="B291" s="17">
        <f>IF($C291="","",$D291&amp;"-"&amp;$F291&amp;"-"&amp;$K291)</f>
        <v/>
      </c>
      <c r="C291" s="16" t="n"/>
      <c r="D291" s="17">
        <f>IF($C291="","",IFERROR(INDEX(rngCadetPIDs,MATCH($C291,rngCadetNames,0)),"?"))</f>
        <v/>
      </c>
      <c r="E291" s="17">
        <f>IF($D291="","",IFERROR(INDEX(nrCadetAgency,MATCH($D291,rngCadetPIDs,0)),""))</f>
        <v/>
      </c>
      <c r="F291" s="16" t="n"/>
      <c r="G291" s="17">
        <f>IF($F291="","",IFERROR(INDEX(rngEPname,MATCH($F291,rngEPcode,0)),"?"))</f>
        <v/>
      </c>
      <c r="H291" s="17">
        <f>IF($F291="","",IFERROR(INDEX(rngEPtype,MATCH($F291,rngEPcode,0)),"?"))</f>
        <v/>
      </c>
      <c r="I291" s="17">
        <f>IF($F291="","",IFERROR(INDEX(rngEPseq,MATCH($F291,rngEPcode,0)),""))</f>
        <v/>
      </c>
      <c r="J291" s="17">
        <f>IF($F291="","",IFERROR(INDEX(rngEPpass,MATCH($F291,rngEPcode,0)),cfgPassingScore))</f>
        <v/>
      </c>
      <c r="K291" s="16" t="n"/>
      <c r="L291" s="16" t="n"/>
      <c r="M291" s="17">
        <f>IF($C291="","",IF($L291="","",IF(NOT(ISNUMBER($L291)),$L291,IF(N($K291)&gt;2,"",IF($K291=1,IF(COUNTIFS(nrES_PID,$D291,nrES_Code,$F291,nrES_Att,2,nrES_Raw,"&gt;=0")&gt;0,"",$L291),IF($L291&gt;=$J291,MAX($J291,cfgRetakeRecordedCap),IF(COUNTIFS(nrES_PID,$D291,nrES_Code,$F291,nrES_Att,1)=0,$L291,SUMIFS(nrES_Raw,nrES_PID,$D291,nrES_Code,$F291,nrES_Att,1))))))))</f>
        <v/>
      </c>
      <c r="N291" s="17">
        <f>IF($C291="","",IF($L291="","",IF(NOT(ISNUMBER($L291)),"(not a score)",IF($L291&gt;=$J291,"Yes","No"))))</f>
        <v/>
      </c>
      <c r="O291" s="17">
        <f>IF($C291="","",IF($M291="","",IF(NOT(ISNUMBER($M291)),"(not a score)",IF($M291&gt;=$J291,"Yes","No"))))</f>
        <v/>
      </c>
      <c r="P291" s="17">
        <f>IF($C291="","",IF($K291="","",IF(N($K291)&gt;2,"No",IF(COUNTIFS(nrES_PID,$D291,nrES_Code,$F291,nrES_Att,"&gt;"&amp;$K291,nrES_Att,"&lt;=2",nrES_Raw,"&gt;=0")=0,"Yes","No"))))</f>
        <v/>
      </c>
      <c r="Q291" s="17">
        <f>IF($C291="","",IF($L291="","",IF(AND($K291=1,ISNUMBER($L291),$L291&lt;$J291,COUNTIFS(nrES_PID,$D291,nrES_Code,$F291,nrES_Att,2,nrES_Raw,"&gt;=0")=0),"Yes","No")))</f>
        <v/>
      </c>
      <c r="R291" s="17">
        <f>IF($C291="","",IF($L291="","",IF(AND(N($K291)&gt;=2,ISNUMBER($L291),$L291&lt;$J291),"Yes","No")))</f>
        <v/>
      </c>
      <c r="S291" s="18" t="n"/>
      <c r="T291" s="19">
        <f>IF(OR($C291="",$L291="",$K291&lt;&gt;1,NOT(ISNUMBER($L291)),$L291&gt;=$J291),"",IF($S291="","(enter date)",_xlfn.LET(_xlpm.dn,_xlfn.XLOOKUP($S291,nrCDdate,nrCDnum,"",1),IF(_xlpm.dn="","(after last class day)",_xlfn.LET(_xlpm.dd,_xlfn.XLOOKUP(_xlpm.dn+cfgRetestClassDays,nrCDnum,nrCDdate,""),_xlpm.ok,_xlfn.XLOOKUP(_xlpm.dn+cfgRetestClassDays,nrCDnum,nrCDinsession,"No"),IF(OR(_xlpm.dd="",_xlpm.ok&lt;&gt;"Yes"),"(after last class day)",_xlpm.dd))))))</f>
        <v/>
      </c>
      <c r="U291" s="17">
        <f>IF($C291="","",IF(AND($Y291="Excused",$L291="",N($K291)&lt;=1),"EXCUSED - 1st attempt pending",IF(OR($L291="",$K291&lt;&gt;1,NOT(ISNUMBER($L291)),$L291&gt;=$J291),"",IF(COUNTIFS(nrES_PID,$D291,nrES_Code,$F291,nrES_Att,2,nrES_Raw,"&gt;=0")&gt;0,IF(IFERROR(_xlfn.MINIFS(nrES_Date,nrES_PID,$D291,nrES_Code,$F291,nrES_Att,2,nrES_Raw,"&gt;=0",nrES_Date,"&gt;0"),0)=0,"RETEST UNDATED",IF(NOT(ISNUMBER($T291)),"RETEST DATE UNCHECKED",IF(_xlfn.MINIFS(nrES_Date,nrES_PID,$D291,nrES_Code,$F291,nrES_Att,2,nrES_Raw,"&gt;=0",nrES_Date,"&gt;0")&gt;$T291,"LATE RETEST "&amp;TEXT(_xlfn.MINIFS(nrES_Date,nrES_PID,$D291,nrES_Code,$F291,nrES_Att,2,nrES_Raw,"&gt;=0",nrES_Date,"&gt;0"),"mm/dd")&amp;" (due "&amp;TEXT($T291,"mm/dd")&amp;")","Retested"))),IF(NOT(ISNUMBER($T291)),"CHECK DATE",IF(TODAY()&gt;$T291,"OVERDUE","Due "&amp;TEXT($T291,"mm/dd")))))))</f>
        <v/>
      </c>
      <c r="V291" s="16" t="n"/>
      <c r="W291" s="16" t="n"/>
      <c r="X291" s="17">
        <f>IF($C291="","",IF(AND($L291&lt;&gt;"",NOT(ISNUMBER($L291))),"RAW SCORE NOT A NUMBER",IF(AND(ISNUMBER($L291),OR($L291&lt;0,$L291&gt;100)),"RAW SCORE OUT OF RANGE",IF(AND($Y291="Unexcused",OR($L291="",NOT(ISNUMBER($L291)),$L291&lt;&gt;0)),"UNEXCUSED ABSENCE MUST RECORD 0",IF(COUNTIF(nrES_RecID,$B291)&gt;1,"DUPLICATE RECORD",IF(N($K291)&gt;2,"ATTEMPT 3+ NOT ALLOWED - policy 300.5 permits one retest per exam; this row records nothing",IF(AND($K291=2,COUNTIFS(nrES_PID,$D291,nrES_Code,$F291,nrES_Att,1)=0),"ATTEMPT 2 WITHOUT ATTEMPT 1",IF(AND($K291=2,$L291=""),"RETEST ROW HAS NO SCORE",IF(AND($H291="Final",$L291&lt;&gt;"",IFERROR(INDEX(nrCKfinalExamElig,MATCH($D291,rngCadetPIDs,0)),"")="No"),"FINAL EXAM AFTER FAILED FINAL PT (500.1.H)",IF(AND($K291=2,ISNUMBER($L291),COUNTIFS(nrES_PID,$D291,nrES_Code,$F291,nrES_Att,1)&gt;0,SUMIFS(nrES_Raw,nrES_PID,$D291,nrES_Code,$F291,nrES_Att,1)&gt;=$J291),"RETEST AFTER A PASSING FIRST ATTEMPT","OK"))))))))))</f>
        <v/>
      </c>
      <c r="Y291" s="16" t="n"/>
    </row>
    <row r="292">
      <c r="B292" s="17">
        <f>IF($C292="","",$D292&amp;"-"&amp;$F292&amp;"-"&amp;$K292)</f>
        <v/>
      </c>
      <c r="C292" s="16" t="n"/>
      <c r="D292" s="17">
        <f>IF($C292="","",IFERROR(INDEX(rngCadetPIDs,MATCH($C292,rngCadetNames,0)),"?"))</f>
        <v/>
      </c>
      <c r="E292" s="17">
        <f>IF($D292="","",IFERROR(INDEX(nrCadetAgency,MATCH($D292,rngCadetPIDs,0)),""))</f>
        <v/>
      </c>
      <c r="F292" s="16" t="n"/>
      <c r="G292" s="17">
        <f>IF($F292="","",IFERROR(INDEX(rngEPname,MATCH($F292,rngEPcode,0)),"?"))</f>
        <v/>
      </c>
      <c r="H292" s="17">
        <f>IF($F292="","",IFERROR(INDEX(rngEPtype,MATCH($F292,rngEPcode,0)),"?"))</f>
        <v/>
      </c>
      <c r="I292" s="17">
        <f>IF($F292="","",IFERROR(INDEX(rngEPseq,MATCH($F292,rngEPcode,0)),""))</f>
        <v/>
      </c>
      <c r="J292" s="17">
        <f>IF($F292="","",IFERROR(INDEX(rngEPpass,MATCH($F292,rngEPcode,0)),cfgPassingScore))</f>
        <v/>
      </c>
      <c r="K292" s="16" t="n"/>
      <c r="L292" s="16" t="n"/>
      <c r="M292" s="17">
        <f>IF($C292="","",IF($L292="","",IF(NOT(ISNUMBER($L292)),$L292,IF(N($K292)&gt;2,"",IF($K292=1,IF(COUNTIFS(nrES_PID,$D292,nrES_Code,$F292,nrES_Att,2,nrES_Raw,"&gt;=0")&gt;0,"",$L292),IF($L292&gt;=$J292,MAX($J292,cfgRetakeRecordedCap),IF(COUNTIFS(nrES_PID,$D292,nrES_Code,$F292,nrES_Att,1)=0,$L292,SUMIFS(nrES_Raw,nrES_PID,$D292,nrES_Code,$F292,nrES_Att,1))))))))</f>
        <v/>
      </c>
      <c r="N292" s="17">
        <f>IF($C292="","",IF($L292="","",IF(NOT(ISNUMBER($L292)),"(not a score)",IF($L292&gt;=$J292,"Yes","No"))))</f>
        <v/>
      </c>
      <c r="O292" s="17">
        <f>IF($C292="","",IF($M292="","",IF(NOT(ISNUMBER($M292)),"(not a score)",IF($M292&gt;=$J292,"Yes","No"))))</f>
        <v/>
      </c>
      <c r="P292" s="17">
        <f>IF($C292="","",IF($K292="","",IF(N($K292)&gt;2,"No",IF(COUNTIFS(nrES_PID,$D292,nrES_Code,$F292,nrES_Att,"&gt;"&amp;$K292,nrES_Att,"&lt;=2",nrES_Raw,"&gt;=0")=0,"Yes","No"))))</f>
        <v/>
      </c>
      <c r="Q292" s="17">
        <f>IF($C292="","",IF($L292="","",IF(AND($K292=1,ISNUMBER($L292),$L292&lt;$J292,COUNTIFS(nrES_PID,$D292,nrES_Code,$F292,nrES_Att,2,nrES_Raw,"&gt;=0")=0),"Yes","No")))</f>
        <v/>
      </c>
      <c r="R292" s="17">
        <f>IF($C292="","",IF($L292="","",IF(AND(N($K292)&gt;=2,ISNUMBER($L292),$L292&lt;$J292),"Yes","No")))</f>
        <v/>
      </c>
      <c r="S292" s="18" t="n"/>
      <c r="T292" s="19">
        <f>IF(OR($C292="",$L292="",$K292&lt;&gt;1,NOT(ISNUMBER($L292)),$L292&gt;=$J292),"",IF($S292="","(enter date)",_xlfn.LET(_xlpm.dn,_xlfn.XLOOKUP($S292,nrCDdate,nrCDnum,"",1),IF(_xlpm.dn="","(after last class day)",_xlfn.LET(_xlpm.dd,_xlfn.XLOOKUP(_xlpm.dn+cfgRetestClassDays,nrCDnum,nrCDdate,""),_xlpm.ok,_xlfn.XLOOKUP(_xlpm.dn+cfgRetestClassDays,nrCDnum,nrCDinsession,"No"),IF(OR(_xlpm.dd="",_xlpm.ok&lt;&gt;"Yes"),"(after last class day)",_xlpm.dd))))))</f>
        <v/>
      </c>
      <c r="U292" s="17">
        <f>IF($C292="","",IF(AND($Y292="Excused",$L292="",N($K292)&lt;=1),"EXCUSED - 1st attempt pending",IF(OR($L292="",$K292&lt;&gt;1,NOT(ISNUMBER($L292)),$L292&gt;=$J292),"",IF(COUNTIFS(nrES_PID,$D292,nrES_Code,$F292,nrES_Att,2,nrES_Raw,"&gt;=0")&gt;0,IF(IFERROR(_xlfn.MINIFS(nrES_Date,nrES_PID,$D292,nrES_Code,$F292,nrES_Att,2,nrES_Raw,"&gt;=0",nrES_Date,"&gt;0"),0)=0,"RETEST UNDATED",IF(NOT(ISNUMBER($T292)),"RETEST DATE UNCHECKED",IF(_xlfn.MINIFS(nrES_Date,nrES_PID,$D292,nrES_Code,$F292,nrES_Att,2,nrES_Raw,"&gt;=0",nrES_Date,"&gt;0")&gt;$T292,"LATE RETEST "&amp;TEXT(_xlfn.MINIFS(nrES_Date,nrES_PID,$D292,nrES_Code,$F292,nrES_Att,2,nrES_Raw,"&gt;=0",nrES_Date,"&gt;0"),"mm/dd")&amp;" (due "&amp;TEXT($T292,"mm/dd")&amp;")","Retested"))),IF(NOT(ISNUMBER($T292)),"CHECK DATE",IF(TODAY()&gt;$T292,"OVERDUE","Due "&amp;TEXT($T292,"mm/dd")))))))</f>
        <v/>
      </c>
      <c r="V292" s="16" t="n"/>
      <c r="W292" s="16" t="n"/>
      <c r="X292" s="17">
        <f>IF($C292="","",IF(AND($L292&lt;&gt;"",NOT(ISNUMBER($L292))),"RAW SCORE NOT A NUMBER",IF(AND(ISNUMBER($L292),OR($L292&lt;0,$L292&gt;100)),"RAW SCORE OUT OF RANGE",IF(AND($Y292="Unexcused",OR($L292="",NOT(ISNUMBER($L292)),$L292&lt;&gt;0)),"UNEXCUSED ABSENCE MUST RECORD 0",IF(COUNTIF(nrES_RecID,$B292)&gt;1,"DUPLICATE RECORD",IF(N($K292)&gt;2,"ATTEMPT 3+ NOT ALLOWED - policy 300.5 permits one retest per exam; this row records nothing",IF(AND($K292=2,COUNTIFS(nrES_PID,$D292,nrES_Code,$F292,nrES_Att,1)=0),"ATTEMPT 2 WITHOUT ATTEMPT 1",IF(AND($K292=2,$L292=""),"RETEST ROW HAS NO SCORE",IF(AND($H292="Final",$L292&lt;&gt;"",IFERROR(INDEX(nrCKfinalExamElig,MATCH($D292,rngCadetPIDs,0)),"")="No"),"FINAL EXAM AFTER FAILED FINAL PT (500.1.H)",IF(AND($K292=2,ISNUMBER($L292),COUNTIFS(nrES_PID,$D292,nrES_Code,$F292,nrES_Att,1)&gt;0,SUMIFS(nrES_Raw,nrES_PID,$D292,nrES_Code,$F292,nrES_Att,1)&gt;=$J292),"RETEST AFTER A PASSING FIRST ATTEMPT","OK"))))))))))</f>
        <v/>
      </c>
      <c r="Y292" s="16" t="n"/>
    </row>
    <row r="293">
      <c r="B293" s="17">
        <f>IF($C293="","",$D293&amp;"-"&amp;$F293&amp;"-"&amp;$K293)</f>
        <v/>
      </c>
      <c r="C293" s="16" t="n"/>
      <c r="D293" s="17">
        <f>IF($C293="","",IFERROR(INDEX(rngCadetPIDs,MATCH($C293,rngCadetNames,0)),"?"))</f>
        <v/>
      </c>
      <c r="E293" s="17">
        <f>IF($D293="","",IFERROR(INDEX(nrCadetAgency,MATCH($D293,rngCadetPIDs,0)),""))</f>
        <v/>
      </c>
      <c r="F293" s="16" t="n"/>
      <c r="G293" s="17">
        <f>IF($F293="","",IFERROR(INDEX(rngEPname,MATCH($F293,rngEPcode,0)),"?"))</f>
        <v/>
      </c>
      <c r="H293" s="17">
        <f>IF($F293="","",IFERROR(INDEX(rngEPtype,MATCH($F293,rngEPcode,0)),"?"))</f>
        <v/>
      </c>
      <c r="I293" s="17">
        <f>IF($F293="","",IFERROR(INDEX(rngEPseq,MATCH($F293,rngEPcode,0)),""))</f>
        <v/>
      </c>
      <c r="J293" s="17">
        <f>IF($F293="","",IFERROR(INDEX(rngEPpass,MATCH($F293,rngEPcode,0)),cfgPassingScore))</f>
        <v/>
      </c>
      <c r="K293" s="16" t="n"/>
      <c r="L293" s="16" t="n"/>
      <c r="M293" s="17">
        <f>IF($C293="","",IF($L293="","",IF(NOT(ISNUMBER($L293)),$L293,IF(N($K293)&gt;2,"",IF($K293=1,IF(COUNTIFS(nrES_PID,$D293,nrES_Code,$F293,nrES_Att,2,nrES_Raw,"&gt;=0")&gt;0,"",$L293),IF($L293&gt;=$J293,MAX($J293,cfgRetakeRecordedCap),IF(COUNTIFS(nrES_PID,$D293,nrES_Code,$F293,nrES_Att,1)=0,$L293,SUMIFS(nrES_Raw,nrES_PID,$D293,nrES_Code,$F293,nrES_Att,1))))))))</f>
        <v/>
      </c>
      <c r="N293" s="17">
        <f>IF($C293="","",IF($L293="","",IF(NOT(ISNUMBER($L293)),"(not a score)",IF($L293&gt;=$J293,"Yes","No"))))</f>
        <v/>
      </c>
      <c r="O293" s="17">
        <f>IF($C293="","",IF($M293="","",IF(NOT(ISNUMBER($M293)),"(not a score)",IF($M293&gt;=$J293,"Yes","No"))))</f>
        <v/>
      </c>
      <c r="P293" s="17">
        <f>IF($C293="","",IF($K293="","",IF(N($K293)&gt;2,"No",IF(COUNTIFS(nrES_PID,$D293,nrES_Code,$F293,nrES_Att,"&gt;"&amp;$K293,nrES_Att,"&lt;=2",nrES_Raw,"&gt;=0")=0,"Yes","No"))))</f>
        <v/>
      </c>
      <c r="Q293" s="17">
        <f>IF($C293="","",IF($L293="","",IF(AND($K293=1,ISNUMBER($L293),$L293&lt;$J293,COUNTIFS(nrES_PID,$D293,nrES_Code,$F293,nrES_Att,2,nrES_Raw,"&gt;=0")=0),"Yes","No")))</f>
        <v/>
      </c>
      <c r="R293" s="17">
        <f>IF($C293="","",IF($L293="","",IF(AND(N($K293)&gt;=2,ISNUMBER($L293),$L293&lt;$J293),"Yes","No")))</f>
        <v/>
      </c>
      <c r="S293" s="18" t="n"/>
      <c r="T293" s="19">
        <f>IF(OR($C293="",$L293="",$K293&lt;&gt;1,NOT(ISNUMBER($L293)),$L293&gt;=$J293),"",IF($S293="","(enter date)",_xlfn.LET(_xlpm.dn,_xlfn.XLOOKUP($S293,nrCDdate,nrCDnum,"",1),IF(_xlpm.dn="","(after last class day)",_xlfn.LET(_xlpm.dd,_xlfn.XLOOKUP(_xlpm.dn+cfgRetestClassDays,nrCDnum,nrCDdate,""),_xlpm.ok,_xlfn.XLOOKUP(_xlpm.dn+cfgRetestClassDays,nrCDnum,nrCDinsession,"No"),IF(OR(_xlpm.dd="",_xlpm.ok&lt;&gt;"Yes"),"(after last class day)",_xlpm.dd))))))</f>
        <v/>
      </c>
      <c r="U293" s="17">
        <f>IF($C293="","",IF(AND($Y293="Excused",$L293="",N($K293)&lt;=1),"EXCUSED - 1st attempt pending",IF(OR($L293="",$K293&lt;&gt;1,NOT(ISNUMBER($L293)),$L293&gt;=$J293),"",IF(COUNTIFS(nrES_PID,$D293,nrES_Code,$F293,nrES_Att,2,nrES_Raw,"&gt;=0")&gt;0,IF(IFERROR(_xlfn.MINIFS(nrES_Date,nrES_PID,$D293,nrES_Code,$F293,nrES_Att,2,nrES_Raw,"&gt;=0",nrES_Date,"&gt;0"),0)=0,"RETEST UNDATED",IF(NOT(ISNUMBER($T293)),"RETEST DATE UNCHECKED",IF(_xlfn.MINIFS(nrES_Date,nrES_PID,$D293,nrES_Code,$F293,nrES_Att,2,nrES_Raw,"&gt;=0",nrES_Date,"&gt;0")&gt;$T293,"LATE RETEST "&amp;TEXT(_xlfn.MINIFS(nrES_Date,nrES_PID,$D293,nrES_Code,$F293,nrES_Att,2,nrES_Raw,"&gt;=0",nrES_Date,"&gt;0"),"mm/dd")&amp;" (due "&amp;TEXT($T293,"mm/dd")&amp;")","Retested"))),IF(NOT(ISNUMBER($T293)),"CHECK DATE",IF(TODAY()&gt;$T293,"OVERDUE","Due "&amp;TEXT($T293,"mm/dd")))))))</f>
        <v/>
      </c>
      <c r="V293" s="16" t="n"/>
      <c r="W293" s="16" t="n"/>
      <c r="X293" s="17">
        <f>IF($C293="","",IF(AND($L293&lt;&gt;"",NOT(ISNUMBER($L293))),"RAW SCORE NOT A NUMBER",IF(AND(ISNUMBER($L293),OR($L293&lt;0,$L293&gt;100)),"RAW SCORE OUT OF RANGE",IF(AND($Y293="Unexcused",OR($L293="",NOT(ISNUMBER($L293)),$L293&lt;&gt;0)),"UNEXCUSED ABSENCE MUST RECORD 0",IF(COUNTIF(nrES_RecID,$B293)&gt;1,"DUPLICATE RECORD",IF(N($K293)&gt;2,"ATTEMPT 3+ NOT ALLOWED - policy 300.5 permits one retest per exam; this row records nothing",IF(AND($K293=2,COUNTIFS(nrES_PID,$D293,nrES_Code,$F293,nrES_Att,1)=0),"ATTEMPT 2 WITHOUT ATTEMPT 1",IF(AND($K293=2,$L293=""),"RETEST ROW HAS NO SCORE",IF(AND($H293="Final",$L293&lt;&gt;"",IFERROR(INDEX(nrCKfinalExamElig,MATCH($D293,rngCadetPIDs,0)),"")="No"),"FINAL EXAM AFTER FAILED FINAL PT (500.1.H)",IF(AND($K293=2,ISNUMBER($L293),COUNTIFS(nrES_PID,$D293,nrES_Code,$F293,nrES_Att,1)&gt;0,SUMIFS(nrES_Raw,nrES_PID,$D293,nrES_Code,$F293,nrES_Att,1)&gt;=$J293),"RETEST AFTER A PASSING FIRST ATTEMPT","OK"))))))))))</f>
        <v/>
      </c>
      <c r="Y293" s="16" t="n"/>
    </row>
    <row r="294">
      <c r="B294" s="17">
        <f>IF($C294="","",$D294&amp;"-"&amp;$F294&amp;"-"&amp;$K294)</f>
        <v/>
      </c>
      <c r="C294" s="16" t="n"/>
      <c r="D294" s="17">
        <f>IF($C294="","",IFERROR(INDEX(rngCadetPIDs,MATCH($C294,rngCadetNames,0)),"?"))</f>
        <v/>
      </c>
      <c r="E294" s="17">
        <f>IF($D294="","",IFERROR(INDEX(nrCadetAgency,MATCH($D294,rngCadetPIDs,0)),""))</f>
        <v/>
      </c>
      <c r="F294" s="16" t="n"/>
      <c r="G294" s="17">
        <f>IF($F294="","",IFERROR(INDEX(rngEPname,MATCH($F294,rngEPcode,0)),"?"))</f>
        <v/>
      </c>
      <c r="H294" s="17">
        <f>IF($F294="","",IFERROR(INDEX(rngEPtype,MATCH($F294,rngEPcode,0)),"?"))</f>
        <v/>
      </c>
      <c r="I294" s="17">
        <f>IF($F294="","",IFERROR(INDEX(rngEPseq,MATCH($F294,rngEPcode,0)),""))</f>
        <v/>
      </c>
      <c r="J294" s="17">
        <f>IF($F294="","",IFERROR(INDEX(rngEPpass,MATCH($F294,rngEPcode,0)),cfgPassingScore))</f>
        <v/>
      </c>
      <c r="K294" s="16" t="n"/>
      <c r="L294" s="16" t="n"/>
      <c r="M294" s="17">
        <f>IF($C294="","",IF($L294="","",IF(NOT(ISNUMBER($L294)),$L294,IF(N($K294)&gt;2,"",IF($K294=1,IF(COUNTIFS(nrES_PID,$D294,nrES_Code,$F294,nrES_Att,2,nrES_Raw,"&gt;=0")&gt;0,"",$L294),IF($L294&gt;=$J294,MAX($J294,cfgRetakeRecordedCap),IF(COUNTIFS(nrES_PID,$D294,nrES_Code,$F294,nrES_Att,1)=0,$L294,SUMIFS(nrES_Raw,nrES_PID,$D294,nrES_Code,$F294,nrES_Att,1))))))))</f>
        <v/>
      </c>
      <c r="N294" s="17">
        <f>IF($C294="","",IF($L294="","",IF(NOT(ISNUMBER($L294)),"(not a score)",IF($L294&gt;=$J294,"Yes","No"))))</f>
        <v/>
      </c>
      <c r="O294" s="17">
        <f>IF($C294="","",IF($M294="","",IF(NOT(ISNUMBER($M294)),"(not a score)",IF($M294&gt;=$J294,"Yes","No"))))</f>
        <v/>
      </c>
      <c r="P294" s="17">
        <f>IF($C294="","",IF($K294="","",IF(N($K294)&gt;2,"No",IF(COUNTIFS(nrES_PID,$D294,nrES_Code,$F294,nrES_Att,"&gt;"&amp;$K294,nrES_Att,"&lt;=2",nrES_Raw,"&gt;=0")=0,"Yes","No"))))</f>
        <v/>
      </c>
      <c r="Q294" s="17">
        <f>IF($C294="","",IF($L294="","",IF(AND($K294=1,ISNUMBER($L294),$L294&lt;$J294,COUNTIFS(nrES_PID,$D294,nrES_Code,$F294,nrES_Att,2,nrES_Raw,"&gt;=0")=0),"Yes","No")))</f>
        <v/>
      </c>
      <c r="R294" s="17">
        <f>IF($C294="","",IF($L294="","",IF(AND(N($K294)&gt;=2,ISNUMBER($L294),$L294&lt;$J294),"Yes","No")))</f>
        <v/>
      </c>
      <c r="S294" s="18" t="n"/>
      <c r="T294" s="19">
        <f>IF(OR($C294="",$L294="",$K294&lt;&gt;1,NOT(ISNUMBER($L294)),$L294&gt;=$J294),"",IF($S294="","(enter date)",_xlfn.LET(_xlpm.dn,_xlfn.XLOOKUP($S294,nrCDdate,nrCDnum,"",1),IF(_xlpm.dn="","(after last class day)",_xlfn.LET(_xlpm.dd,_xlfn.XLOOKUP(_xlpm.dn+cfgRetestClassDays,nrCDnum,nrCDdate,""),_xlpm.ok,_xlfn.XLOOKUP(_xlpm.dn+cfgRetestClassDays,nrCDnum,nrCDinsession,"No"),IF(OR(_xlpm.dd="",_xlpm.ok&lt;&gt;"Yes"),"(after last class day)",_xlpm.dd))))))</f>
        <v/>
      </c>
      <c r="U294" s="17">
        <f>IF($C294="","",IF(AND($Y294="Excused",$L294="",N($K294)&lt;=1),"EXCUSED - 1st attempt pending",IF(OR($L294="",$K294&lt;&gt;1,NOT(ISNUMBER($L294)),$L294&gt;=$J294),"",IF(COUNTIFS(nrES_PID,$D294,nrES_Code,$F294,nrES_Att,2,nrES_Raw,"&gt;=0")&gt;0,IF(IFERROR(_xlfn.MINIFS(nrES_Date,nrES_PID,$D294,nrES_Code,$F294,nrES_Att,2,nrES_Raw,"&gt;=0",nrES_Date,"&gt;0"),0)=0,"RETEST UNDATED",IF(NOT(ISNUMBER($T294)),"RETEST DATE UNCHECKED",IF(_xlfn.MINIFS(nrES_Date,nrES_PID,$D294,nrES_Code,$F294,nrES_Att,2,nrES_Raw,"&gt;=0",nrES_Date,"&gt;0")&gt;$T294,"LATE RETEST "&amp;TEXT(_xlfn.MINIFS(nrES_Date,nrES_PID,$D294,nrES_Code,$F294,nrES_Att,2,nrES_Raw,"&gt;=0",nrES_Date,"&gt;0"),"mm/dd")&amp;" (due "&amp;TEXT($T294,"mm/dd")&amp;")","Retested"))),IF(NOT(ISNUMBER($T294)),"CHECK DATE",IF(TODAY()&gt;$T294,"OVERDUE","Due "&amp;TEXT($T294,"mm/dd")))))))</f>
        <v/>
      </c>
      <c r="V294" s="16" t="n"/>
      <c r="W294" s="16" t="n"/>
      <c r="X294" s="17">
        <f>IF($C294="","",IF(AND($L294&lt;&gt;"",NOT(ISNUMBER($L294))),"RAW SCORE NOT A NUMBER",IF(AND(ISNUMBER($L294),OR($L294&lt;0,$L294&gt;100)),"RAW SCORE OUT OF RANGE",IF(AND($Y294="Unexcused",OR($L294="",NOT(ISNUMBER($L294)),$L294&lt;&gt;0)),"UNEXCUSED ABSENCE MUST RECORD 0",IF(COUNTIF(nrES_RecID,$B294)&gt;1,"DUPLICATE RECORD",IF(N($K294)&gt;2,"ATTEMPT 3+ NOT ALLOWED - policy 300.5 permits one retest per exam; this row records nothing",IF(AND($K294=2,COUNTIFS(nrES_PID,$D294,nrES_Code,$F294,nrES_Att,1)=0),"ATTEMPT 2 WITHOUT ATTEMPT 1",IF(AND($K294=2,$L294=""),"RETEST ROW HAS NO SCORE",IF(AND($H294="Final",$L294&lt;&gt;"",IFERROR(INDEX(nrCKfinalExamElig,MATCH($D294,rngCadetPIDs,0)),"")="No"),"FINAL EXAM AFTER FAILED FINAL PT (500.1.H)",IF(AND($K294=2,ISNUMBER($L294),COUNTIFS(nrES_PID,$D294,nrES_Code,$F294,nrES_Att,1)&gt;0,SUMIFS(nrES_Raw,nrES_PID,$D294,nrES_Code,$F294,nrES_Att,1)&gt;=$J294),"RETEST AFTER A PASSING FIRST ATTEMPT","OK"))))))))))</f>
        <v/>
      </c>
      <c r="Y294" s="16" t="n"/>
    </row>
    <row r="295">
      <c r="B295" s="17">
        <f>IF($C295="","",$D295&amp;"-"&amp;$F295&amp;"-"&amp;$K295)</f>
        <v/>
      </c>
      <c r="C295" s="16" t="n"/>
      <c r="D295" s="17">
        <f>IF($C295="","",IFERROR(INDEX(rngCadetPIDs,MATCH($C295,rngCadetNames,0)),"?"))</f>
        <v/>
      </c>
      <c r="E295" s="17">
        <f>IF($D295="","",IFERROR(INDEX(nrCadetAgency,MATCH($D295,rngCadetPIDs,0)),""))</f>
        <v/>
      </c>
      <c r="F295" s="16" t="n"/>
      <c r="G295" s="17">
        <f>IF($F295="","",IFERROR(INDEX(rngEPname,MATCH($F295,rngEPcode,0)),"?"))</f>
        <v/>
      </c>
      <c r="H295" s="17">
        <f>IF($F295="","",IFERROR(INDEX(rngEPtype,MATCH($F295,rngEPcode,0)),"?"))</f>
        <v/>
      </c>
      <c r="I295" s="17">
        <f>IF($F295="","",IFERROR(INDEX(rngEPseq,MATCH($F295,rngEPcode,0)),""))</f>
        <v/>
      </c>
      <c r="J295" s="17">
        <f>IF($F295="","",IFERROR(INDEX(rngEPpass,MATCH($F295,rngEPcode,0)),cfgPassingScore))</f>
        <v/>
      </c>
      <c r="K295" s="16" t="n"/>
      <c r="L295" s="16" t="n"/>
      <c r="M295" s="17">
        <f>IF($C295="","",IF($L295="","",IF(NOT(ISNUMBER($L295)),$L295,IF(N($K295)&gt;2,"",IF($K295=1,IF(COUNTIFS(nrES_PID,$D295,nrES_Code,$F295,nrES_Att,2,nrES_Raw,"&gt;=0")&gt;0,"",$L295),IF($L295&gt;=$J295,MAX($J295,cfgRetakeRecordedCap),IF(COUNTIFS(nrES_PID,$D295,nrES_Code,$F295,nrES_Att,1)=0,$L295,SUMIFS(nrES_Raw,nrES_PID,$D295,nrES_Code,$F295,nrES_Att,1))))))))</f>
        <v/>
      </c>
      <c r="N295" s="17">
        <f>IF($C295="","",IF($L295="","",IF(NOT(ISNUMBER($L295)),"(not a score)",IF($L295&gt;=$J295,"Yes","No"))))</f>
        <v/>
      </c>
      <c r="O295" s="17">
        <f>IF($C295="","",IF($M295="","",IF(NOT(ISNUMBER($M295)),"(not a score)",IF($M295&gt;=$J295,"Yes","No"))))</f>
        <v/>
      </c>
      <c r="P295" s="17">
        <f>IF($C295="","",IF($K295="","",IF(N($K295)&gt;2,"No",IF(COUNTIFS(nrES_PID,$D295,nrES_Code,$F295,nrES_Att,"&gt;"&amp;$K295,nrES_Att,"&lt;=2",nrES_Raw,"&gt;=0")=0,"Yes","No"))))</f>
        <v/>
      </c>
      <c r="Q295" s="17">
        <f>IF($C295="","",IF($L295="","",IF(AND($K295=1,ISNUMBER($L295),$L295&lt;$J295,COUNTIFS(nrES_PID,$D295,nrES_Code,$F295,nrES_Att,2,nrES_Raw,"&gt;=0")=0),"Yes","No")))</f>
        <v/>
      </c>
      <c r="R295" s="17">
        <f>IF($C295="","",IF($L295="","",IF(AND(N($K295)&gt;=2,ISNUMBER($L295),$L295&lt;$J295),"Yes","No")))</f>
        <v/>
      </c>
      <c r="S295" s="18" t="n"/>
      <c r="T295" s="19">
        <f>IF(OR($C295="",$L295="",$K295&lt;&gt;1,NOT(ISNUMBER($L295)),$L295&gt;=$J295),"",IF($S295="","(enter date)",_xlfn.LET(_xlpm.dn,_xlfn.XLOOKUP($S295,nrCDdate,nrCDnum,"",1),IF(_xlpm.dn="","(after last class day)",_xlfn.LET(_xlpm.dd,_xlfn.XLOOKUP(_xlpm.dn+cfgRetestClassDays,nrCDnum,nrCDdate,""),_xlpm.ok,_xlfn.XLOOKUP(_xlpm.dn+cfgRetestClassDays,nrCDnum,nrCDinsession,"No"),IF(OR(_xlpm.dd="",_xlpm.ok&lt;&gt;"Yes"),"(after last class day)",_xlpm.dd))))))</f>
        <v/>
      </c>
      <c r="U295" s="17">
        <f>IF($C295="","",IF(AND($Y295="Excused",$L295="",N($K295)&lt;=1),"EXCUSED - 1st attempt pending",IF(OR($L295="",$K295&lt;&gt;1,NOT(ISNUMBER($L295)),$L295&gt;=$J295),"",IF(COUNTIFS(nrES_PID,$D295,nrES_Code,$F295,nrES_Att,2,nrES_Raw,"&gt;=0")&gt;0,IF(IFERROR(_xlfn.MINIFS(nrES_Date,nrES_PID,$D295,nrES_Code,$F295,nrES_Att,2,nrES_Raw,"&gt;=0",nrES_Date,"&gt;0"),0)=0,"RETEST UNDATED",IF(NOT(ISNUMBER($T295)),"RETEST DATE UNCHECKED",IF(_xlfn.MINIFS(nrES_Date,nrES_PID,$D295,nrES_Code,$F295,nrES_Att,2,nrES_Raw,"&gt;=0",nrES_Date,"&gt;0")&gt;$T295,"LATE RETEST "&amp;TEXT(_xlfn.MINIFS(nrES_Date,nrES_PID,$D295,nrES_Code,$F295,nrES_Att,2,nrES_Raw,"&gt;=0",nrES_Date,"&gt;0"),"mm/dd")&amp;" (due "&amp;TEXT($T295,"mm/dd")&amp;")","Retested"))),IF(NOT(ISNUMBER($T295)),"CHECK DATE",IF(TODAY()&gt;$T295,"OVERDUE","Due "&amp;TEXT($T295,"mm/dd")))))))</f>
        <v/>
      </c>
      <c r="V295" s="16" t="n"/>
      <c r="W295" s="16" t="n"/>
      <c r="X295" s="17">
        <f>IF($C295="","",IF(AND($L295&lt;&gt;"",NOT(ISNUMBER($L295))),"RAW SCORE NOT A NUMBER",IF(AND(ISNUMBER($L295),OR($L295&lt;0,$L295&gt;100)),"RAW SCORE OUT OF RANGE",IF(AND($Y295="Unexcused",OR($L295="",NOT(ISNUMBER($L295)),$L295&lt;&gt;0)),"UNEXCUSED ABSENCE MUST RECORD 0",IF(COUNTIF(nrES_RecID,$B295)&gt;1,"DUPLICATE RECORD",IF(N($K295)&gt;2,"ATTEMPT 3+ NOT ALLOWED - policy 300.5 permits one retest per exam; this row records nothing",IF(AND($K295=2,COUNTIFS(nrES_PID,$D295,nrES_Code,$F295,nrES_Att,1)=0),"ATTEMPT 2 WITHOUT ATTEMPT 1",IF(AND($K295=2,$L295=""),"RETEST ROW HAS NO SCORE",IF(AND($H295="Final",$L295&lt;&gt;"",IFERROR(INDEX(nrCKfinalExamElig,MATCH($D295,rngCadetPIDs,0)),"")="No"),"FINAL EXAM AFTER FAILED FINAL PT (500.1.H)",IF(AND($K295=2,ISNUMBER($L295),COUNTIFS(nrES_PID,$D295,nrES_Code,$F295,nrES_Att,1)&gt;0,SUMIFS(nrES_Raw,nrES_PID,$D295,nrES_Code,$F295,nrES_Att,1)&gt;=$J295),"RETEST AFTER A PASSING FIRST ATTEMPT","OK"))))))))))</f>
        <v/>
      </c>
      <c r="Y295" s="16" t="n"/>
    </row>
    <row r="296">
      <c r="B296" s="17">
        <f>IF($C296="","",$D296&amp;"-"&amp;$F296&amp;"-"&amp;$K296)</f>
        <v/>
      </c>
      <c r="C296" s="16" t="n"/>
      <c r="D296" s="17">
        <f>IF($C296="","",IFERROR(INDEX(rngCadetPIDs,MATCH($C296,rngCadetNames,0)),"?"))</f>
        <v/>
      </c>
      <c r="E296" s="17">
        <f>IF($D296="","",IFERROR(INDEX(nrCadetAgency,MATCH($D296,rngCadetPIDs,0)),""))</f>
        <v/>
      </c>
      <c r="F296" s="16" t="n"/>
      <c r="G296" s="17">
        <f>IF($F296="","",IFERROR(INDEX(rngEPname,MATCH($F296,rngEPcode,0)),"?"))</f>
        <v/>
      </c>
      <c r="H296" s="17">
        <f>IF($F296="","",IFERROR(INDEX(rngEPtype,MATCH($F296,rngEPcode,0)),"?"))</f>
        <v/>
      </c>
      <c r="I296" s="17">
        <f>IF($F296="","",IFERROR(INDEX(rngEPseq,MATCH($F296,rngEPcode,0)),""))</f>
        <v/>
      </c>
      <c r="J296" s="17">
        <f>IF($F296="","",IFERROR(INDEX(rngEPpass,MATCH($F296,rngEPcode,0)),cfgPassingScore))</f>
        <v/>
      </c>
      <c r="K296" s="16" t="n"/>
      <c r="L296" s="16" t="n"/>
      <c r="M296" s="17">
        <f>IF($C296="","",IF($L296="","",IF(NOT(ISNUMBER($L296)),$L296,IF(N($K296)&gt;2,"",IF($K296=1,IF(COUNTIFS(nrES_PID,$D296,nrES_Code,$F296,nrES_Att,2,nrES_Raw,"&gt;=0")&gt;0,"",$L296),IF($L296&gt;=$J296,MAX($J296,cfgRetakeRecordedCap),IF(COUNTIFS(nrES_PID,$D296,nrES_Code,$F296,nrES_Att,1)=0,$L296,SUMIFS(nrES_Raw,nrES_PID,$D296,nrES_Code,$F296,nrES_Att,1))))))))</f>
        <v/>
      </c>
      <c r="N296" s="17">
        <f>IF($C296="","",IF($L296="","",IF(NOT(ISNUMBER($L296)),"(not a score)",IF($L296&gt;=$J296,"Yes","No"))))</f>
        <v/>
      </c>
      <c r="O296" s="17">
        <f>IF($C296="","",IF($M296="","",IF(NOT(ISNUMBER($M296)),"(not a score)",IF($M296&gt;=$J296,"Yes","No"))))</f>
        <v/>
      </c>
      <c r="P296" s="17">
        <f>IF($C296="","",IF($K296="","",IF(N($K296)&gt;2,"No",IF(COUNTIFS(nrES_PID,$D296,nrES_Code,$F296,nrES_Att,"&gt;"&amp;$K296,nrES_Att,"&lt;=2",nrES_Raw,"&gt;=0")=0,"Yes","No"))))</f>
        <v/>
      </c>
      <c r="Q296" s="17">
        <f>IF($C296="","",IF($L296="","",IF(AND($K296=1,ISNUMBER($L296),$L296&lt;$J296,COUNTIFS(nrES_PID,$D296,nrES_Code,$F296,nrES_Att,2,nrES_Raw,"&gt;=0")=0),"Yes","No")))</f>
        <v/>
      </c>
      <c r="R296" s="17">
        <f>IF($C296="","",IF($L296="","",IF(AND(N($K296)&gt;=2,ISNUMBER($L296),$L296&lt;$J296),"Yes","No")))</f>
        <v/>
      </c>
      <c r="S296" s="18" t="n"/>
      <c r="T296" s="19">
        <f>IF(OR($C296="",$L296="",$K296&lt;&gt;1,NOT(ISNUMBER($L296)),$L296&gt;=$J296),"",IF($S296="","(enter date)",_xlfn.LET(_xlpm.dn,_xlfn.XLOOKUP($S296,nrCDdate,nrCDnum,"",1),IF(_xlpm.dn="","(after last class day)",_xlfn.LET(_xlpm.dd,_xlfn.XLOOKUP(_xlpm.dn+cfgRetestClassDays,nrCDnum,nrCDdate,""),_xlpm.ok,_xlfn.XLOOKUP(_xlpm.dn+cfgRetestClassDays,nrCDnum,nrCDinsession,"No"),IF(OR(_xlpm.dd="",_xlpm.ok&lt;&gt;"Yes"),"(after last class day)",_xlpm.dd))))))</f>
        <v/>
      </c>
      <c r="U296" s="17">
        <f>IF($C296="","",IF(AND($Y296="Excused",$L296="",N($K296)&lt;=1),"EXCUSED - 1st attempt pending",IF(OR($L296="",$K296&lt;&gt;1,NOT(ISNUMBER($L296)),$L296&gt;=$J296),"",IF(COUNTIFS(nrES_PID,$D296,nrES_Code,$F296,nrES_Att,2,nrES_Raw,"&gt;=0")&gt;0,IF(IFERROR(_xlfn.MINIFS(nrES_Date,nrES_PID,$D296,nrES_Code,$F296,nrES_Att,2,nrES_Raw,"&gt;=0",nrES_Date,"&gt;0"),0)=0,"RETEST UNDATED",IF(NOT(ISNUMBER($T296)),"RETEST DATE UNCHECKED",IF(_xlfn.MINIFS(nrES_Date,nrES_PID,$D296,nrES_Code,$F296,nrES_Att,2,nrES_Raw,"&gt;=0",nrES_Date,"&gt;0")&gt;$T296,"LATE RETEST "&amp;TEXT(_xlfn.MINIFS(nrES_Date,nrES_PID,$D296,nrES_Code,$F296,nrES_Att,2,nrES_Raw,"&gt;=0",nrES_Date,"&gt;0"),"mm/dd")&amp;" (due "&amp;TEXT($T296,"mm/dd")&amp;")","Retested"))),IF(NOT(ISNUMBER($T296)),"CHECK DATE",IF(TODAY()&gt;$T296,"OVERDUE","Due "&amp;TEXT($T296,"mm/dd")))))))</f>
        <v/>
      </c>
      <c r="V296" s="16" t="n"/>
      <c r="W296" s="16" t="n"/>
      <c r="X296" s="17">
        <f>IF($C296="","",IF(AND($L296&lt;&gt;"",NOT(ISNUMBER($L296))),"RAW SCORE NOT A NUMBER",IF(AND(ISNUMBER($L296),OR($L296&lt;0,$L296&gt;100)),"RAW SCORE OUT OF RANGE",IF(AND($Y296="Unexcused",OR($L296="",NOT(ISNUMBER($L296)),$L296&lt;&gt;0)),"UNEXCUSED ABSENCE MUST RECORD 0",IF(COUNTIF(nrES_RecID,$B296)&gt;1,"DUPLICATE RECORD",IF(N($K296)&gt;2,"ATTEMPT 3+ NOT ALLOWED - policy 300.5 permits one retest per exam; this row records nothing",IF(AND($K296=2,COUNTIFS(nrES_PID,$D296,nrES_Code,$F296,nrES_Att,1)=0),"ATTEMPT 2 WITHOUT ATTEMPT 1",IF(AND($K296=2,$L296=""),"RETEST ROW HAS NO SCORE",IF(AND($H296="Final",$L296&lt;&gt;"",IFERROR(INDEX(nrCKfinalExamElig,MATCH($D296,rngCadetPIDs,0)),"")="No"),"FINAL EXAM AFTER FAILED FINAL PT (500.1.H)",IF(AND($K296=2,ISNUMBER($L296),COUNTIFS(nrES_PID,$D296,nrES_Code,$F296,nrES_Att,1)&gt;0,SUMIFS(nrES_Raw,nrES_PID,$D296,nrES_Code,$F296,nrES_Att,1)&gt;=$J296),"RETEST AFTER A PASSING FIRST ATTEMPT","OK"))))))))))</f>
        <v/>
      </c>
      <c r="Y296" s="16" t="n"/>
    </row>
    <row r="297">
      <c r="B297" s="17">
        <f>IF($C297="","",$D297&amp;"-"&amp;$F297&amp;"-"&amp;$K297)</f>
        <v/>
      </c>
      <c r="C297" s="16" t="n"/>
      <c r="D297" s="17">
        <f>IF($C297="","",IFERROR(INDEX(rngCadetPIDs,MATCH($C297,rngCadetNames,0)),"?"))</f>
        <v/>
      </c>
      <c r="E297" s="17">
        <f>IF($D297="","",IFERROR(INDEX(nrCadetAgency,MATCH($D297,rngCadetPIDs,0)),""))</f>
        <v/>
      </c>
      <c r="F297" s="16" t="n"/>
      <c r="G297" s="17">
        <f>IF($F297="","",IFERROR(INDEX(rngEPname,MATCH($F297,rngEPcode,0)),"?"))</f>
        <v/>
      </c>
      <c r="H297" s="17">
        <f>IF($F297="","",IFERROR(INDEX(rngEPtype,MATCH($F297,rngEPcode,0)),"?"))</f>
        <v/>
      </c>
      <c r="I297" s="17">
        <f>IF($F297="","",IFERROR(INDEX(rngEPseq,MATCH($F297,rngEPcode,0)),""))</f>
        <v/>
      </c>
      <c r="J297" s="17">
        <f>IF($F297="","",IFERROR(INDEX(rngEPpass,MATCH($F297,rngEPcode,0)),cfgPassingScore))</f>
        <v/>
      </c>
      <c r="K297" s="16" t="n"/>
      <c r="L297" s="16" t="n"/>
      <c r="M297" s="17">
        <f>IF($C297="","",IF($L297="","",IF(NOT(ISNUMBER($L297)),$L297,IF(N($K297)&gt;2,"",IF($K297=1,IF(COUNTIFS(nrES_PID,$D297,nrES_Code,$F297,nrES_Att,2,nrES_Raw,"&gt;=0")&gt;0,"",$L297),IF($L297&gt;=$J297,MAX($J297,cfgRetakeRecordedCap),IF(COUNTIFS(nrES_PID,$D297,nrES_Code,$F297,nrES_Att,1)=0,$L297,SUMIFS(nrES_Raw,nrES_PID,$D297,nrES_Code,$F297,nrES_Att,1))))))))</f>
        <v/>
      </c>
      <c r="N297" s="17">
        <f>IF($C297="","",IF($L297="","",IF(NOT(ISNUMBER($L297)),"(not a score)",IF($L297&gt;=$J297,"Yes","No"))))</f>
        <v/>
      </c>
      <c r="O297" s="17">
        <f>IF($C297="","",IF($M297="","",IF(NOT(ISNUMBER($M297)),"(not a score)",IF($M297&gt;=$J297,"Yes","No"))))</f>
        <v/>
      </c>
      <c r="P297" s="17">
        <f>IF($C297="","",IF($K297="","",IF(N($K297)&gt;2,"No",IF(COUNTIFS(nrES_PID,$D297,nrES_Code,$F297,nrES_Att,"&gt;"&amp;$K297,nrES_Att,"&lt;=2",nrES_Raw,"&gt;=0")=0,"Yes","No"))))</f>
        <v/>
      </c>
      <c r="Q297" s="17">
        <f>IF($C297="","",IF($L297="","",IF(AND($K297=1,ISNUMBER($L297),$L297&lt;$J297,COUNTIFS(nrES_PID,$D297,nrES_Code,$F297,nrES_Att,2,nrES_Raw,"&gt;=0")=0),"Yes","No")))</f>
        <v/>
      </c>
      <c r="R297" s="17">
        <f>IF($C297="","",IF($L297="","",IF(AND(N($K297)&gt;=2,ISNUMBER($L297),$L297&lt;$J297),"Yes","No")))</f>
        <v/>
      </c>
      <c r="S297" s="18" t="n"/>
      <c r="T297" s="19">
        <f>IF(OR($C297="",$L297="",$K297&lt;&gt;1,NOT(ISNUMBER($L297)),$L297&gt;=$J297),"",IF($S297="","(enter date)",_xlfn.LET(_xlpm.dn,_xlfn.XLOOKUP($S297,nrCDdate,nrCDnum,"",1),IF(_xlpm.dn="","(after last class day)",_xlfn.LET(_xlpm.dd,_xlfn.XLOOKUP(_xlpm.dn+cfgRetestClassDays,nrCDnum,nrCDdate,""),_xlpm.ok,_xlfn.XLOOKUP(_xlpm.dn+cfgRetestClassDays,nrCDnum,nrCDinsession,"No"),IF(OR(_xlpm.dd="",_xlpm.ok&lt;&gt;"Yes"),"(after last class day)",_xlpm.dd))))))</f>
        <v/>
      </c>
      <c r="U297" s="17">
        <f>IF($C297="","",IF(AND($Y297="Excused",$L297="",N($K297)&lt;=1),"EXCUSED - 1st attempt pending",IF(OR($L297="",$K297&lt;&gt;1,NOT(ISNUMBER($L297)),$L297&gt;=$J297),"",IF(COUNTIFS(nrES_PID,$D297,nrES_Code,$F297,nrES_Att,2,nrES_Raw,"&gt;=0")&gt;0,IF(IFERROR(_xlfn.MINIFS(nrES_Date,nrES_PID,$D297,nrES_Code,$F297,nrES_Att,2,nrES_Raw,"&gt;=0",nrES_Date,"&gt;0"),0)=0,"RETEST UNDATED",IF(NOT(ISNUMBER($T297)),"RETEST DATE UNCHECKED",IF(_xlfn.MINIFS(nrES_Date,nrES_PID,$D297,nrES_Code,$F297,nrES_Att,2,nrES_Raw,"&gt;=0",nrES_Date,"&gt;0")&gt;$T297,"LATE RETEST "&amp;TEXT(_xlfn.MINIFS(nrES_Date,nrES_PID,$D297,nrES_Code,$F297,nrES_Att,2,nrES_Raw,"&gt;=0",nrES_Date,"&gt;0"),"mm/dd")&amp;" (due "&amp;TEXT($T297,"mm/dd")&amp;")","Retested"))),IF(NOT(ISNUMBER($T297)),"CHECK DATE",IF(TODAY()&gt;$T297,"OVERDUE","Due "&amp;TEXT($T297,"mm/dd")))))))</f>
        <v/>
      </c>
      <c r="V297" s="16" t="n"/>
      <c r="W297" s="16" t="n"/>
      <c r="X297" s="17">
        <f>IF($C297="","",IF(AND($L297&lt;&gt;"",NOT(ISNUMBER($L297))),"RAW SCORE NOT A NUMBER",IF(AND(ISNUMBER($L297),OR($L297&lt;0,$L297&gt;100)),"RAW SCORE OUT OF RANGE",IF(AND($Y297="Unexcused",OR($L297="",NOT(ISNUMBER($L297)),$L297&lt;&gt;0)),"UNEXCUSED ABSENCE MUST RECORD 0",IF(COUNTIF(nrES_RecID,$B297)&gt;1,"DUPLICATE RECORD",IF(N($K297)&gt;2,"ATTEMPT 3+ NOT ALLOWED - policy 300.5 permits one retest per exam; this row records nothing",IF(AND($K297=2,COUNTIFS(nrES_PID,$D297,nrES_Code,$F297,nrES_Att,1)=0),"ATTEMPT 2 WITHOUT ATTEMPT 1",IF(AND($K297=2,$L297=""),"RETEST ROW HAS NO SCORE",IF(AND($H297="Final",$L297&lt;&gt;"",IFERROR(INDEX(nrCKfinalExamElig,MATCH($D297,rngCadetPIDs,0)),"")="No"),"FINAL EXAM AFTER FAILED FINAL PT (500.1.H)",IF(AND($K297=2,ISNUMBER($L297),COUNTIFS(nrES_PID,$D297,nrES_Code,$F297,nrES_Att,1)&gt;0,SUMIFS(nrES_Raw,nrES_PID,$D297,nrES_Code,$F297,nrES_Att,1)&gt;=$J297),"RETEST AFTER A PASSING FIRST ATTEMPT","OK"))))))))))</f>
        <v/>
      </c>
      <c r="Y297" s="16" t="n"/>
    </row>
    <row r="298">
      <c r="B298" s="17">
        <f>IF($C298="","",$D298&amp;"-"&amp;$F298&amp;"-"&amp;$K298)</f>
        <v/>
      </c>
      <c r="C298" s="16" t="n"/>
      <c r="D298" s="17">
        <f>IF($C298="","",IFERROR(INDEX(rngCadetPIDs,MATCH($C298,rngCadetNames,0)),"?"))</f>
        <v/>
      </c>
      <c r="E298" s="17">
        <f>IF($D298="","",IFERROR(INDEX(nrCadetAgency,MATCH($D298,rngCadetPIDs,0)),""))</f>
        <v/>
      </c>
      <c r="F298" s="16" t="n"/>
      <c r="G298" s="17">
        <f>IF($F298="","",IFERROR(INDEX(rngEPname,MATCH($F298,rngEPcode,0)),"?"))</f>
        <v/>
      </c>
      <c r="H298" s="17">
        <f>IF($F298="","",IFERROR(INDEX(rngEPtype,MATCH($F298,rngEPcode,0)),"?"))</f>
        <v/>
      </c>
      <c r="I298" s="17">
        <f>IF($F298="","",IFERROR(INDEX(rngEPseq,MATCH($F298,rngEPcode,0)),""))</f>
        <v/>
      </c>
      <c r="J298" s="17">
        <f>IF($F298="","",IFERROR(INDEX(rngEPpass,MATCH($F298,rngEPcode,0)),cfgPassingScore))</f>
        <v/>
      </c>
      <c r="K298" s="16" t="n"/>
      <c r="L298" s="16" t="n"/>
      <c r="M298" s="17">
        <f>IF($C298="","",IF($L298="","",IF(NOT(ISNUMBER($L298)),$L298,IF(N($K298)&gt;2,"",IF($K298=1,IF(COUNTIFS(nrES_PID,$D298,nrES_Code,$F298,nrES_Att,2,nrES_Raw,"&gt;=0")&gt;0,"",$L298),IF($L298&gt;=$J298,MAX($J298,cfgRetakeRecordedCap),IF(COUNTIFS(nrES_PID,$D298,nrES_Code,$F298,nrES_Att,1)=0,$L298,SUMIFS(nrES_Raw,nrES_PID,$D298,nrES_Code,$F298,nrES_Att,1))))))))</f>
        <v/>
      </c>
      <c r="N298" s="17">
        <f>IF($C298="","",IF($L298="","",IF(NOT(ISNUMBER($L298)),"(not a score)",IF($L298&gt;=$J298,"Yes","No"))))</f>
        <v/>
      </c>
      <c r="O298" s="17">
        <f>IF($C298="","",IF($M298="","",IF(NOT(ISNUMBER($M298)),"(not a score)",IF($M298&gt;=$J298,"Yes","No"))))</f>
        <v/>
      </c>
      <c r="P298" s="17">
        <f>IF($C298="","",IF($K298="","",IF(N($K298)&gt;2,"No",IF(COUNTIFS(nrES_PID,$D298,nrES_Code,$F298,nrES_Att,"&gt;"&amp;$K298,nrES_Att,"&lt;=2",nrES_Raw,"&gt;=0")=0,"Yes","No"))))</f>
        <v/>
      </c>
      <c r="Q298" s="17">
        <f>IF($C298="","",IF($L298="","",IF(AND($K298=1,ISNUMBER($L298),$L298&lt;$J298,COUNTIFS(nrES_PID,$D298,nrES_Code,$F298,nrES_Att,2,nrES_Raw,"&gt;=0")=0),"Yes","No")))</f>
        <v/>
      </c>
      <c r="R298" s="17">
        <f>IF($C298="","",IF($L298="","",IF(AND(N($K298)&gt;=2,ISNUMBER($L298),$L298&lt;$J298),"Yes","No")))</f>
        <v/>
      </c>
      <c r="S298" s="18" t="n"/>
      <c r="T298" s="19">
        <f>IF(OR($C298="",$L298="",$K298&lt;&gt;1,NOT(ISNUMBER($L298)),$L298&gt;=$J298),"",IF($S298="","(enter date)",_xlfn.LET(_xlpm.dn,_xlfn.XLOOKUP($S298,nrCDdate,nrCDnum,"",1),IF(_xlpm.dn="","(after last class day)",_xlfn.LET(_xlpm.dd,_xlfn.XLOOKUP(_xlpm.dn+cfgRetestClassDays,nrCDnum,nrCDdate,""),_xlpm.ok,_xlfn.XLOOKUP(_xlpm.dn+cfgRetestClassDays,nrCDnum,nrCDinsession,"No"),IF(OR(_xlpm.dd="",_xlpm.ok&lt;&gt;"Yes"),"(after last class day)",_xlpm.dd))))))</f>
        <v/>
      </c>
      <c r="U298" s="17">
        <f>IF($C298="","",IF(AND($Y298="Excused",$L298="",N($K298)&lt;=1),"EXCUSED - 1st attempt pending",IF(OR($L298="",$K298&lt;&gt;1,NOT(ISNUMBER($L298)),$L298&gt;=$J298),"",IF(COUNTIFS(nrES_PID,$D298,nrES_Code,$F298,nrES_Att,2,nrES_Raw,"&gt;=0")&gt;0,IF(IFERROR(_xlfn.MINIFS(nrES_Date,nrES_PID,$D298,nrES_Code,$F298,nrES_Att,2,nrES_Raw,"&gt;=0",nrES_Date,"&gt;0"),0)=0,"RETEST UNDATED",IF(NOT(ISNUMBER($T298)),"RETEST DATE UNCHECKED",IF(_xlfn.MINIFS(nrES_Date,nrES_PID,$D298,nrES_Code,$F298,nrES_Att,2,nrES_Raw,"&gt;=0",nrES_Date,"&gt;0")&gt;$T298,"LATE RETEST "&amp;TEXT(_xlfn.MINIFS(nrES_Date,nrES_PID,$D298,nrES_Code,$F298,nrES_Att,2,nrES_Raw,"&gt;=0",nrES_Date,"&gt;0"),"mm/dd")&amp;" (due "&amp;TEXT($T298,"mm/dd")&amp;")","Retested"))),IF(NOT(ISNUMBER($T298)),"CHECK DATE",IF(TODAY()&gt;$T298,"OVERDUE","Due "&amp;TEXT($T298,"mm/dd")))))))</f>
        <v/>
      </c>
      <c r="V298" s="16" t="n"/>
      <c r="W298" s="16" t="n"/>
      <c r="X298" s="17">
        <f>IF($C298="","",IF(AND($L298&lt;&gt;"",NOT(ISNUMBER($L298))),"RAW SCORE NOT A NUMBER",IF(AND(ISNUMBER($L298),OR($L298&lt;0,$L298&gt;100)),"RAW SCORE OUT OF RANGE",IF(AND($Y298="Unexcused",OR($L298="",NOT(ISNUMBER($L298)),$L298&lt;&gt;0)),"UNEXCUSED ABSENCE MUST RECORD 0",IF(COUNTIF(nrES_RecID,$B298)&gt;1,"DUPLICATE RECORD",IF(N($K298)&gt;2,"ATTEMPT 3+ NOT ALLOWED - policy 300.5 permits one retest per exam; this row records nothing",IF(AND($K298=2,COUNTIFS(nrES_PID,$D298,nrES_Code,$F298,nrES_Att,1)=0),"ATTEMPT 2 WITHOUT ATTEMPT 1",IF(AND($K298=2,$L298=""),"RETEST ROW HAS NO SCORE",IF(AND($H298="Final",$L298&lt;&gt;"",IFERROR(INDEX(nrCKfinalExamElig,MATCH($D298,rngCadetPIDs,0)),"")="No"),"FINAL EXAM AFTER FAILED FINAL PT (500.1.H)",IF(AND($K298=2,ISNUMBER($L298),COUNTIFS(nrES_PID,$D298,nrES_Code,$F298,nrES_Att,1)&gt;0,SUMIFS(nrES_Raw,nrES_PID,$D298,nrES_Code,$F298,nrES_Att,1)&gt;=$J298),"RETEST AFTER A PASSING FIRST ATTEMPT","OK"))))))))))</f>
        <v/>
      </c>
      <c r="Y298" s="16" t="n"/>
    </row>
    <row r="299">
      <c r="B299" s="17">
        <f>IF($C299="","",$D299&amp;"-"&amp;$F299&amp;"-"&amp;$K299)</f>
        <v/>
      </c>
      <c r="C299" s="16" t="n"/>
      <c r="D299" s="17">
        <f>IF($C299="","",IFERROR(INDEX(rngCadetPIDs,MATCH($C299,rngCadetNames,0)),"?"))</f>
        <v/>
      </c>
      <c r="E299" s="17">
        <f>IF($D299="","",IFERROR(INDEX(nrCadetAgency,MATCH($D299,rngCadetPIDs,0)),""))</f>
        <v/>
      </c>
      <c r="F299" s="16" t="n"/>
      <c r="G299" s="17">
        <f>IF($F299="","",IFERROR(INDEX(rngEPname,MATCH($F299,rngEPcode,0)),"?"))</f>
        <v/>
      </c>
      <c r="H299" s="17">
        <f>IF($F299="","",IFERROR(INDEX(rngEPtype,MATCH($F299,rngEPcode,0)),"?"))</f>
        <v/>
      </c>
      <c r="I299" s="17">
        <f>IF($F299="","",IFERROR(INDEX(rngEPseq,MATCH($F299,rngEPcode,0)),""))</f>
        <v/>
      </c>
      <c r="J299" s="17">
        <f>IF($F299="","",IFERROR(INDEX(rngEPpass,MATCH($F299,rngEPcode,0)),cfgPassingScore))</f>
        <v/>
      </c>
      <c r="K299" s="16" t="n"/>
      <c r="L299" s="16" t="n"/>
      <c r="M299" s="17">
        <f>IF($C299="","",IF($L299="","",IF(NOT(ISNUMBER($L299)),$L299,IF(N($K299)&gt;2,"",IF($K299=1,IF(COUNTIFS(nrES_PID,$D299,nrES_Code,$F299,nrES_Att,2,nrES_Raw,"&gt;=0")&gt;0,"",$L299),IF($L299&gt;=$J299,MAX($J299,cfgRetakeRecordedCap),IF(COUNTIFS(nrES_PID,$D299,nrES_Code,$F299,nrES_Att,1)=0,$L299,SUMIFS(nrES_Raw,nrES_PID,$D299,nrES_Code,$F299,nrES_Att,1))))))))</f>
        <v/>
      </c>
      <c r="N299" s="17">
        <f>IF($C299="","",IF($L299="","",IF(NOT(ISNUMBER($L299)),"(not a score)",IF($L299&gt;=$J299,"Yes","No"))))</f>
        <v/>
      </c>
      <c r="O299" s="17">
        <f>IF($C299="","",IF($M299="","",IF(NOT(ISNUMBER($M299)),"(not a score)",IF($M299&gt;=$J299,"Yes","No"))))</f>
        <v/>
      </c>
      <c r="P299" s="17">
        <f>IF($C299="","",IF($K299="","",IF(N($K299)&gt;2,"No",IF(COUNTIFS(nrES_PID,$D299,nrES_Code,$F299,nrES_Att,"&gt;"&amp;$K299,nrES_Att,"&lt;=2",nrES_Raw,"&gt;=0")=0,"Yes","No"))))</f>
        <v/>
      </c>
      <c r="Q299" s="17">
        <f>IF($C299="","",IF($L299="","",IF(AND($K299=1,ISNUMBER($L299),$L299&lt;$J299,COUNTIFS(nrES_PID,$D299,nrES_Code,$F299,nrES_Att,2,nrES_Raw,"&gt;=0")=0),"Yes","No")))</f>
        <v/>
      </c>
      <c r="R299" s="17">
        <f>IF($C299="","",IF($L299="","",IF(AND(N($K299)&gt;=2,ISNUMBER($L299),$L299&lt;$J299),"Yes","No")))</f>
        <v/>
      </c>
      <c r="S299" s="18" t="n"/>
      <c r="T299" s="19">
        <f>IF(OR($C299="",$L299="",$K299&lt;&gt;1,NOT(ISNUMBER($L299)),$L299&gt;=$J299),"",IF($S299="","(enter date)",_xlfn.LET(_xlpm.dn,_xlfn.XLOOKUP($S299,nrCDdate,nrCDnum,"",1),IF(_xlpm.dn="","(after last class day)",_xlfn.LET(_xlpm.dd,_xlfn.XLOOKUP(_xlpm.dn+cfgRetestClassDays,nrCDnum,nrCDdate,""),_xlpm.ok,_xlfn.XLOOKUP(_xlpm.dn+cfgRetestClassDays,nrCDnum,nrCDinsession,"No"),IF(OR(_xlpm.dd="",_xlpm.ok&lt;&gt;"Yes"),"(after last class day)",_xlpm.dd))))))</f>
        <v/>
      </c>
      <c r="U299" s="17">
        <f>IF($C299="","",IF(AND($Y299="Excused",$L299="",N($K299)&lt;=1),"EXCUSED - 1st attempt pending",IF(OR($L299="",$K299&lt;&gt;1,NOT(ISNUMBER($L299)),$L299&gt;=$J299),"",IF(COUNTIFS(nrES_PID,$D299,nrES_Code,$F299,nrES_Att,2,nrES_Raw,"&gt;=0")&gt;0,IF(IFERROR(_xlfn.MINIFS(nrES_Date,nrES_PID,$D299,nrES_Code,$F299,nrES_Att,2,nrES_Raw,"&gt;=0",nrES_Date,"&gt;0"),0)=0,"RETEST UNDATED",IF(NOT(ISNUMBER($T299)),"RETEST DATE UNCHECKED",IF(_xlfn.MINIFS(nrES_Date,nrES_PID,$D299,nrES_Code,$F299,nrES_Att,2,nrES_Raw,"&gt;=0",nrES_Date,"&gt;0")&gt;$T299,"LATE RETEST "&amp;TEXT(_xlfn.MINIFS(nrES_Date,nrES_PID,$D299,nrES_Code,$F299,nrES_Att,2,nrES_Raw,"&gt;=0",nrES_Date,"&gt;0"),"mm/dd")&amp;" (due "&amp;TEXT($T299,"mm/dd")&amp;")","Retested"))),IF(NOT(ISNUMBER($T299)),"CHECK DATE",IF(TODAY()&gt;$T299,"OVERDUE","Due "&amp;TEXT($T299,"mm/dd")))))))</f>
        <v/>
      </c>
      <c r="V299" s="16" t="n"/>
      <c r="W299" s="16" t="n"/>
      <c r="X299" s="17">
        <f>IF($C299="","",IF(AND($L299&lt;&gt;"",NOT(ISNUMBER($L299))),"RAW SCORE NOT A NUMBER",IF(AND(ISNUMBER($L299),OR($L299&lt;0,$L299&gt;100)),"RAW SCORE OUT OF RANGE",IF(AND($Y299="Unexcused",OR($L299="",NOT(ISNUMBER($L299)),$L299&lt;&gt;0)),"UNEXCUSED ABSENCE MUST RECORD 0",IF(COUNTIF(nrES_RecID,$B299)&gt;1,"DUPLICATE RECORD",IF(N($K299)&gt;2,"ATTEMPT 3+ NOT ALLOWED - policy 300.5 permits one retest per exam; this row records nothing",IF(AND($K299=2,COUNTIFS(nrES_PID,$D299,nrES_Code,$F299,nrES_Att,1)=0),"ATTEMPT 2 WITHOUT ATTEMPT 1",IF(AND($K299=2,$L299=""),"RETEST ROW HAS NO SCORE",IF(AND($H299="Final",$L299&lt;&gt;"",IFERROR(INDEX(nrCKfinalExamElig,MATCH($D299,rngCadetPIDs,0)),"")="No"),"FINAL EXAM AFTER FAILED FINAL PT (500.1.H)",IF(AND($K299=2,ISNUMBER($L299),COUNTIFS(nrES_PID,$D299,nrES_Code,$F299,nrES_Att,1)&gt;0,SUMIFS(nrES_Raw,nrES_PID,$D299,nrES_Code,$F299,nrES_Att,1)&gt;=$J299),"RETEST AFTER A PASSING FIRST ATTEMPT","OK"))))))))))</f>
        <v/>
      </c>
      <c r="Y299" s="16" t="n"/>
    </row>
    <row r="300">
      <c r="B300" s="17">
        <f>IF($C300="","",$D300&amp;"-"&amp;$F300&amp;"-"&amp;$K300)</f>
        <v/>
      </c>
      <c r="C300" s="16" t="n"/>
      <c r="D300" s="17">
        <f>IF($C300="","",IFERROR(INDEX(rngCadetPIDs,MATCH($C300,rngCadetNames,0)),"?"))</f>
        <v/>
      </c>
      <c r="E300" s="17">
        <f>IF($D300="","",IFERROR(INDEX(nrCadetAgency,MATCH($D300,rngCadetPIDs,0)),""))</f>
        <v/>
      </c>
      <c r="F300" s="16" t="n"/>
      <c r="G300" s="17">
        <f>IF($F300="","",IFERROR(INDEX(rngEPname,MATCH($F300,rngEPcode,0)),"?"))</f>
        <v/>
      </c>
      <c r="H300" s="17">
        <f>IF($F300="","",IFERROR(INDEX(rngEPtype,MATCH($F300,rngEPcode,0)),"?"))</f>
        <v/>
      </c>
      <c r="I300" s="17">
        <f>IF($F300="","",IFERROR(INDEX(rngEPseq,MATCH($F300,rngEPcode,0)),""))</f>
        <v/>
      </c>
      <c r="J300" s="17">
        <f>IF($F300="","",IFERROR(INDEX(rngEPpass,MATCH($F300,rngEPcode,0)),cfgPassingScore))</f>
        <v/>
      </c>
      <c r="K300" s="16" t="n"/>
      <c r="L300" s="16" t="n"/>
      <c r="M300" s="17">
        <f>IF($C300="","",IF($L300="","",IF(NOT(ISNUMBER($L300)),$L300,IF(N($K300)&gt;2,"",IF($K300=1,IF(COUNTIFS(nrES_PID,$D300,nrES_Code,$F300,nrES_Att,2,nrES_Raw,"&gt;=0")&gt;0,"",$L300),IF($L300&gt;=$J300,MAX($J300,cfgRetakeRecordedCap),IF(COUNTIFS(nrES_PID,$D300,nrES_Code,$F300,nrES_Att,1)=0,$L300,SUMIFS(nrES_Raw,nrES_PID,$D300,nrES_Code,$F300,nrES_Att,1))))))))</f>
        <v/>
      </c>
      <c r="N300" s="17">
        <f>IF($C300="","",IF($L300="","",IF(NOT(ISNUMBER($L300)),"(not a score)",IF($L300&gt;=$J300,"Yes","No"))))</f>
        <v/>
      </c>
      <c r="O300" s="17">
        <f>IF($C300="","",IF($M300="","",IF(NOT(ISNUMBER($M300)),"(not a score)",IF($M300&gt;=$J300,"Yes","No"))))</f>
        <v/>
      </c>
      <c r="P300" s="17">
        <f>IF($C300="","",IF($K300="","",IF(N($K300)&gt;2,"No",IF(COUNTIFS(nrES_PID,$D300,nrES_Code,$F300,nrES_Att,"&gt;"&amp;$K300,nrES_Att,"&lt;=2",nrES_Raw,"&gt;=0")=0,"Yes","No"))))</f>
        <v/>
      </c>
      <c r="Q300" s="17">
        <f>IF($C300="","",IF($L300="","",IF(AND($K300=1,ISNUMBER($L300),$L300&lt;$J300,COUNTIFS(nrES_PID,$D300,nrES_Code,$F300,nrES_Att,2,nrES_Raw,"&gt;=0")=0),"Yes","No")))</f>
        <v/>
      </c>
      <c r="R300" s="17">
        <f>IF($C300="","",IF($L300="","",IF(AND(N($K300)&gt;=2,ISNUMBER($L300),$L300&lt;$J300),"Yes","No")))</f>
        <v/>
      </c>
      <c r="S300" s="18" t="n"/>
      <c r="T300" s="19">
        <f>IF(OR($C300="",$L300="",$K300&lt;&gt;1,NOT(ISNUMBER($L300)),$L300&gt;=$J300),"",IF($S300="","(enter date)",_xlfn.LET(_xlpm.dn,_xlfn.XLOOKUP($S300,nrCDdate,nrCDnum,"",1),IF(_xlpm.dn="","(after last class day)",_xlfn.LET(_xlpm.dd,_xlfn.XLOOKUP(_xlpm.dn+cfgRetestClassDays,nrCDnum,nrCDdate,""),_xlpm.ok,_xlfn.XLOOKUP(_xlpm.dn+cfgRetestClassDays,nrCDnum,nrCDinsession,"No"),IF(OR(_xlpm.dd="",_xlpm.ok&lt;&gt;"Yes"),"(after last class day)",_xlpm.dd))))))</f>
        <v/>
      </c>
      <c r="U300" s="17">
        <f>IF($C300="","",IF(AND($Y300="Excused",$L300="",N($K300)&lt;=1),"EXCUSED - 1st attempt pending",IF(OR($L300="",$K300&lt;&gt;1,NOT(ISNUMBER($L300)),$L300&gt;=$J300),"",IF(COUNTIFS(nrES_PID,$D300,nrES_Code,$F300,nrES_Att,2,nrES_Raw,"&gt;=0")&gt;0,IF(IFERROR(_xlfn.MINIFS(nrES_Date,nrES_PID,$D300,nrES_Code,$F300,nrES_Att,2,nrES_Raw,"&gt;=0",nrES_Date,"&gt;0"),0)=0,"RETEST UNDATED",IF(NOT(ISNUMBER($T300)),"RETEST DATE UNCHECKED",IF(_xlfn.MINIFS(nrES_Date,nrES_PID,$D300,nrES_Code,$F300,nrES_Att,2,nrES_Raw,"&gt;=0",nrES_Date,"&gt;0")&gt;$T300,"LATE RETEST "&amp;TEXT(_xlfn.MINIFS(nrES_Date,nrES_PID,$D300,nrES_Code,$F300,nrES_Att,2,nrES_Raw,"&gt;=0",nrES_Date,"&gt;0"),"mm/dd")&amp;" (due "&amp;TEXT($T300,"mm/dd")&amp;")","Retested"))),IF(NOT(ISNUMBER($T300)),"CHECK DATE",IF(TODAY()&gt;$T300,"OVERDUE","Due "&amp;TEXT($T300,"mm/dd")))))))</f>
        <v/>
      </c>
      <c r="V300" s="16" t="n"/>
      <c r="W300" s="16" t="n"/>
      <c r="X300" s="17">
        <f>IF($C300="","",IF(AND($L300&lt;&gt;"",NOT(ISNUMBER($L300))),"RAW SCORE NOT A NUMBER",IF(AND(ISNUMBER($L300),OR($L300&lt;0,$L300&gt;100)),"RAW SCORE OUT OF RANGE",IF(AND($Y300="Unexcused",OR($L300="",NOT(ISNUMBER($L300)),$L300&lt;&gt;0)),"UNEXCUSED ABSENCE MUST RECORD 0",IF(COUNTIF(nrES_RecID,$B300)&gt;1,"DUPLICATE RECORD",IF(N($K300)&gt;2,"ATTEMPT 3+ NOT ALLOWED - policy 300.5 permits one retest per exam; this row records nothing",IF(AND($K300=2,COUNTIFS(nrES_PID,$D300,nrES_Code,$F300,nrES_Att,1)=0),"ATTEMPT 2 WITHOUT ATTEMPT 1",IF(AND($K300=2,$L300=""),"RETEST ROW HAS NO SCORE",IF(AND($H300="Final",$L300&lt;&gt;"",IFERROR(INDEX(nrCKfinalExamElig,MATCH($D300,rngCadetPIDs,0)),"")="No"),"FINAL EXAM AFTER FAILED FINAL PT (500.1.H)",IF(AND($K300=2,ISNUMBER($L300),COUNTIFS(nrES_PID,$D300,nrES_Code,$F300,nrES_Att,1)&gt;0,SUMIFS(nrES_Raw,nrES_PID,$D300,nrES_Code,$F300,nrES_Att,1)&gt;=$J300),"RETEST AFTER A PASSING FIRST ATTEMPT","OK"))))))))))</f>
        <v/>
      </c>
      <c r="Y300" s="16" t="n"/>
    </row>
    <row r="301">
      <c r="B301" s="17">
        <f>IF($C301="","",$D301&amp;"-"&amp;$F301&amp;"-"&amp;$K301)</f>
        <v/>
      </c>
      <c r="C301" s="16" t="n"/>
      <c r="D301" s="17">
        <f>IF($C301="","",IFERROR(INDEX(rngCadetPIDs,MATCH($C301,rngCadetNames,0)),"?"))</f>
        <v/>
      </c>
      <c r="E301" s="17">
        <f>IF($D301="","",IFERROR(INDEX(nrCadetAgency,MATCH($D301,rngCadetPIDs,0)),""))</f>
        <v/>
      </c>
      <c r="F301" s="16" t="n"/>
      <c r="G301" s="17">
        <f>IF($F301="","",IFERROR(INDEX(rngEPname,MATCH($F301,rngEPcode,0)),"?"))</f>
        <v/>
      </c>
      <c r="H301" s="17">
        <f>IF($F301="","",IFERROR(INDEX(rngEPtype,MATCH($F301,rngEPcode,0)),"?"))</f>
        <v/>
      </c>
      <c r="I301" s="17">
        <f>IF($F301="","",IFERROR(INDEX(rngEPseq,MATCH($F301,rngEPcode,0)),""))</f>
        <v/>
      </c>
      <c r="J301" s="17">
        <f>IF($F301="","",IFERROR(INDEX(rngEPpass,MATCH($F301,rngEPcode,0)),cfgPassingScore))</f>
        <v/>
      </c>
      <c r="K301" s="16" t="n"/>
      <c r="L301" s="16" t="n"/>
      <c r="M301" s="17">
        <f>IF($C301="","",IF($L301="","",IF(NOT(ISNUMBER($L301)),$L301,IF(N($K301)&gt;2,"",IF($K301=1,IF(COUNTIFS(nrES_PID,$D301,nrES_Code,$F301,nrES_Att,2,nrES_Raw,"&gt;=0")&gt;0,"",$L301),IF($L301&gt;=$J301,MAX($J301,cfgRetakeRecordedCap),IF(COUNTIFS(nrES_PID,$D301,nrES_Code,$F301,nrES_Att,1)=0,$L301,SUMIFS(nrES_Raw,nrES_PID,$D301,nrES_Code,$F301,nrES_Att,1))))))))</f>
        <v/>
      </c>
      <c r="N301" s="17">
        <f>IF($C301="","",IF($L301="","",IF(NOT(ISNUMBER($L301)),"(not a score)",IF($L301&gt;=$J301,"Yes","No"))))</f>
        <v/>
      </c>
      <c r="O301" s="17">
        <f>IF($C301="","",IF($M301="","",IF(NOT(ISNUMBER($M301)),"(not a score)",IF($M301&gt;=$J301,"Yes","No"))))</f>
        <v/>
      </c>
      <c r="P301" s="17">
        <f>IF($C301="","",IF($K301="","",IF(N($K301)&gt;2,"No",IF(COUNTIFS(nrES_PID,$D301,nrES_Code,$F301,nrES_Att,"&gt;"&amp;$K301,nrES_Att,"&lt;=2",nrES_Raw,"&gt;=0")=0,"Yes","No"))))</f>
        <v/>
      </c>
      <c r="Q301" s="17">
        <f>IF($C301="","",IF($L301="","",IF(AND($K301=1,ISNUMBER($L301),$L301&lt;$J301,COUNTIFS(nrES_PID,$D301,nrES_Code,$F301,nrES_Att,2,nrES_Raw,"&gt;=0")=0),"Yes","No")))</f>
        <v/>
      </c>
      <c r="R301" s="17">
        <f>IF($C301="","",IF($L301="","",IF(AND(N($K301)&gt;=2,ISNUMBER($L301),$L301&lt;$J301),"Yes","No")))</f>
        <v/>
      </c>
      <c r="S301" s="18" t="n"/>
      <c r="T301" s="19">
        <f>IF(OR($C301="",$L301="",$K301&lt;&gt;1,NOT(ISNUMBER($L301)),$L301&gt;=$J301),"",IF($S301="","(enter date)",_xlfn.LET(_xlpm.dn,_xlfn.XLOOKUP($S301,nrCDdate,nrCDnum,"",1),IF(_xlpm.dn="","(after last class day)",_xlfn.LET(_xlpm.dd,_xlfn.XLOOKUP(_xlpm.dn+cfgRetestClassDays,nrCDnum,nrCDdate,""),_xlpm.ok,_xlfn.XLOOKUP(_xlpm.dn+cfgRetestClassDays,nrCDnum,nrCDinsession,"No"),IF(OR(_xlpm.dd="",_xlpm.ok&lt;&gt;"Yes"),"(after last class day)",_xlpm.dd))))))</f>
        <v/>
      </c>
      <c r="U301" s="17">
        <f>IF($C301="","",IF(AND($Y301="Excused",$L301="",N($K301)&lt;=1),"EXCUSED - 1st attempt pending",IF(OR($L301="",$K301&lt;&gt;1,NOT(ISNUMBER($L301)),$L301&gt;=$J301),"",IF(COUNTIFS(nrES_PID,$D301,nrES_Code,$F301,nrES_Att,2,nrES_Raw,"&gt;=0")&gt;0,IF(IFERROR(_xlfn.MINIFS(nrES_Date,nrES_PID,$D301,nrES_Code,$F301,nrES_Att,2,nrES_Raw,"&gt;=0",nrES_Date,"&gt;0"),0)=0,"RETEST UNDATED",IF(NOT(ISNUMBER($T301)),"RETEST DATE UNCHECKED",IF(_xlfn.MINIFS(nrES_Date,nrES_PID,$D301,nrES_Code,$F301,nrES_Att,2,nrES_Raw,"&gt;=0",nrES_Date,"&gt;0")&gt;$T301,"LATE RETEST "&amp;TEXT(_xlfn.MINIFS(nrES_Date,nrES_PID,$D301,nrES_Code,$F301,nrES_Att,2,nrES_Raw,"&gt;=0",nrES_Date,"&gt;0"),"mm/dd")&amp;" (due "&amp;TEXT($T301,"mm/dd")&amp;")","Retested"))),IF(NOT(ISNUMBER($T301)),"CHECK DATE",IF(TODAY()&gt;$T301,"OVERDUE","Due "&amp;TEXT($T301,"mm/dd")))))))</f>
        <v/>
      </c>
      <c r="V301" s="16" t="n"/>
      <c r="W301" s="16" t="n"/>
      <c r="X301" s="17">
        <f>IF($C301="","",IF(AND($L301&lt;&gt;"",NOT(ISNUMBER($L301))),"RAW SCORE NOT A NUMBER",IF(AND(ISNUMBER($L301),OR($L301&lt;0,$L301&gt;100)),"RAW SCORE OUT OF RANGE",IF(AND($Y301="Unexcused",OR($L301="",NOT(ISNUMBER($L301)),$L301&lt;&gt;0)),"UNEXCUSED ABSENCE MUST RECORD 0",IF(COUNTIF(nrES_RecID,$B301)&gt;1,"DUPLICATE RECORD",IF(N($K301)&gt;2,"ATTEMPT 3+ NOT ALLOWED - policy 300.5 permits one retest per exam; this row records nothing",IF(AND($K301=2,COUNTIFS(nrES_PID,$D301,nrES_Code,$F301,nrES_Att,1)=0),"ATTEMPT 2 WITHOUT ATTEMPT 1",IF(AND($K301=2,$L301=""),"RETEST ROW HAS NO SCORE",IF(AND($H301="Final",$L301&lt;&gt;"",IFERROR(INDEX(nrCKfinalExamElig,MATCH($D301,rngCadetPIDs,0)),"")="No"),"FINAL EXAM AFTER FAILED FINAL PT (500.1.H)",IF(AND($K301=2,ISNUMBER($L301),COUNTIFS(nrES_PID,$D301,nrES_Code,$F301,nrES_Att,1)&gt;0,SUMIFS(nrES_Raw,nrES_PID,$D301,nrES_Code,$F301,nrES_Att,1)&gt;=$J301),"RETEST AFTER A PASSING FIRST ATTEMPT","OK"))))))))))</f>
        <v/>
      </c>
      <c r="Y301" s="16" t="n"/>
    </row>
    <row r="302">
      <c r="B302" s="17">
        <f>IF($C302="","",$D302&amp;"-"&amp;$F302&amp;"-"&amp;$K302)</f>
        <v/>
      </c>
      <c r="C302" s="16" t="n"/>
      <c r="D302" s="17">
        <f>IF($C302="","",IFERROR(INDEX(rngCadetPIDs,MATCH($C302,rngCadetNames,0)),"?"))</f>
        <v/>
      </c>
      <c r="E302" s="17">
        <f>IF($D302="","",IFERROR(INDEX(nrCadetAgency,MATCH($D302,rngCadetPIDs,0)),""))</f>
        <v/>
      </c>
      <c r="F302" s="16" t="n"/>
      <c r="G302" s="17">
        <f>IF($F302="","",IFERROR(INDEX(rngEPname,MATCH($F302,rngEPcode,0)),"?"))</f>
        <v/>
      </c>
      <c r="H302" s="17">
        <f>IF($F302="","",IFERROR(INDEX(rngEPtype,MATCH($F302,rngEPcode,0)),"?"))</f>
        <v/>
      </c>
      <c r="I302" s="17">
        <f>IF($F302="","",IFERROR(INDEX(rngEPseq,MATCH($F302,rngEPcode,0)),""))</f>
        <v/>
      </c>
      <c r="J302" s="17">
        <f>IF($F302="","",IFERROR(INDEX(rngEPpass,MATCH($F302,rngEPcode,0)),cfgPassingScore))</f>
        <v/>
      </c>
      <c r="K302" s="16" t="n"/>
      <c r="L302" s="16" t="n"/>
      <c r="M302" s="17">
        <f>IF($C302="","",IF($L302="","",IF(NOT(ISNUMBER($L302)),$L302,IF(N($K302)&gt;2,"",IF($K302=1,IF(COUNTIFS(nrES_PID,$D302,nrES_Code,$F302,nrES_Att,2,nrES_Raw,"&gt;=0")&gt;0,"",$L302),IF($L302&gt;=$J302,MAX($J302,cfgRetakeRecordedCap),IF(COUNTIFS(nrES_PID,$D302,nrES_Code,$F302,nrES_Att,1)=0,$L302,SUMIFS(nrES_Raw,nrES_PID,$D302,nrES_Code,$F302,nrES_Att,1))))))))</f>
        <v/>
      </c>
      <c r="N302" s="17">
        <f>IF($C302="","",IF($L302="","",IF(NOT(ISNUMBER($L302)),"(not a score)",IF($L302&gt;=$J302,"Yes","No"))))</f>
        <v/>
      </c>
      <c r="O302" s="17">
        <f>IF($C302="","",IF($M302="","",IF(NOT(ISNUMBER($M302)),"(not a score)",IF($M302&gt;=$J302,"Yes","No"))))</f>
        <v/>
      </c>
      <c r="P302" s="17">
        <f>IF($C302="","",IF($K302="","",IF(N($K302)&gt;2,"No",IF(COUNTIFS(nrES_PID,$D302,nrES_Code,$F302,nrES_Att,"&gt;"&amp;$K302,nrES_Att,"&lt;=2",nrES_Raw,"&gt;=0")=0,"Yes","No"))))</f>
        <v/>
      </c>
      <c r="Q302" s="17">
        <f>IF($C302="","",IF($L302="","",IF(AND($K302=1,ISNUMBER($L302),$L302&lt;$J302,COUNTIFS(nrES_PID,$D302,nrES_Code,$F302,nrES_Att,2,nrES_Raw,"&gt;=0")=0),"Yes","No")))</f>
        <v/>
      </c>
      <c r="R302" s="17">
        <f>IF($C302="","",IF($L302="","",IF(AND(N($K302)&gt;=2,ISNUMBER($L302),$L302&lt;$J302),"Yes","No")))</f>
        <v/>
      </c>
      <c r="S302" s="18" t="n"/>
      <c r="T302" s="19">
        <f>IF(OR($C302="",$L302="",$K302&lt;&gt;1,NOT(ISNUMBER($L302)),$L302&gt;=$J302),"",IF($S302="","(enter date)",_xlfn.LET(_xlpm.dn,_xlfn.XLOOKUP($S302,nrCDdate,nrCDnum,"",1),IF(_xlpm.dn="","(after last class day)",_xlfn.LET(_xlpm.dd,_xlfn.XLOOKUP(_xlpm.dn+cfgRetestClassDays,nrCDnum,nrCDdate,""),_xlpm.ok,_xlfn.XLOOKUP(_xlpm.dn+cfgRetestClassDays,nrCDnum,nrCDinsession,"No"),IF(OR(_xlpm.dd="",_xlpm.ok&lt;&gt;"Yes"),"(after last class day)",_xlpm.dd))))))</f>
        <v/>
      </c>
      <c r="U302" s="17">
        <f>IF($C302="","",IF(AND($Y302="Excused",$L302="",N($K302)&lt;=1),"EXCUSED - 1st attempt pending",IF(OR($L302="",$K302&lt;&gt;1,NOT(ISNUMBER($L302)),$L302&gt;=$J302),"",IF(COUNTIFS(nrES_PID,$D302,nrES_Code,$F302,nrES_Att,2,nrES_Raw,"&gt;=0")&gt;0,IF(IFERROR(_xlfn.MINIFS(nrES_Date,nrES_PID,$D302,nrES_Code,$F302,nrES_Att,2,nrES_Raw,"&gt;=0",nrES_Date,"&gt;0"),0)=0,"RETEST UNDATED",IF(NOT(ISNUMBER($T302)),"RETEST DATE UNCHECKED",IF(_xlfn.MINIFS(nrES_Date,nrES_PID,$D302,nrES_Code,$F302,nrES_Att,2,nrES_Raw,"&gt;=0",nrES_Date,"&gt;0")&gt;$T302,"LATE RETEST "&amp;TEXT(_xlfn.MINIFS(nrES_Date,nrES_PID,$D302,nrES_Code,$F302,nrES_Att,2,nrES_Raw,"&gt;=0",nrES_Date,"&gt;0"),"mm/dd")&amp;" (due "&amp;TEXT($T302,"mm/dd")&amp;")","Retested"))),IF(NOT(ISNUMBER($T302)),"CHECK DATE",IF(TODAY()&gt;$T302,"OVERDUE","Due "&amp;TEXT($T302,"mm/dd")))))))</f>
        <v/>
      </c>
      <c r="V302" s="16" t="n"/>
      <c r="W302" s="16" t="n"/>
      <c r="X302" s="17">
        <f>IF($C302="","",IF(AND($L302&lt;&gt;"",NOT(ISNUMBER($L302))),"RAW SCORE NOT A NUMBER",IF(AND(ISNUMBER($L302),OR($L302&lt;0,$L302&gt;100)),"RAW SCORE OUT OF RANGE",IF(AND($Y302="Unexcused",OR($L302="",NOT(ISNUMBER($L302)),$L302&lt;&gt;0)),"UNEXCUSED ABSENCE MUST RECORD 0",IF(COUNTIF(nrES_RecID,$B302)&gt;1,"DUPLICATE RECORD",IF(N($K302)&gt;2,"ATTEMPT 3+ NOT ALLOWED - policy 300.5 permits one retest per exam; this row records nothing",IF(AND($K302=2,COUNTIFS(nrES_PID,$D302,nrES_Code,$F302,nrES_Att,1)=0),"ATTEMPT 2 WITHOUT ATTEMPT 1",IF(AND($K302=2,$L302=""),"RETEST ROW HAS NO SCORE",IF(AND($H302="Final",$L302&lt;&gt;"",IFERROR(INDEX(nrCKfinalExamElig,MATCH($D302,rngCadetPIDs,0)),"")="No"),"FINAL EXAM AFTER FAILED FINAL PT (500.1.H)",IF(AND($K302=2,ISNUMBER($L302),COUNTIFS(nrES_PID,$D302,nrES_Code,$F302,nrES_Att,1)&gt;0,SUMIFS(nrES_Raw,nrES_PID,$D302,nrES_Code,$F302,nrES_Att,1)&gt;=$J302),"RETEST AFTER A PASSING FIRST ATTEMPT","OK"))))))))))</f>
        <v/>
      </c>
      <c r="Y302" s="16" t="n"/>
    </row>
    <row r="303">
      <c r="B303" s="17">
        <f>IF($C303="","",$D303&amp;"-"&amp;$F303&amp;"-"&amp;$K303)</f>
        <v/>
      </c>
      <c r="C303" s="16" t="n"/>
      <c r="D303" s="17">
        <f>IF($C303="","",IFERROR(INDEX(rngCadetPIDs,MATCH($C303,rngCadetNames,0)),"?"))</f>
        <v/>
      </c>
      <c r="E303" s="17">
        <f>IF($D303="","",IFERROR(INDEX(nrCadetAgency,MATCH($D303,rngCadetPIDs,0)),""))</f>
        <v/>
      </c>
      <c r="F303" s="16" t="n"/>
      <c r="G303" s="17">
        <f>IF($F303="","",IFERROR(INDEX(rngEPname,MATCH($F303,rngEPcode,0)),"?"))</f>
        <v/>
      </c>
      <c r="H303" s="17">
        <f>IF($F303="","",IFERROR(INDEX(rngEPtype,MATCH($F303,rngEPcode,0)),"?"))</f>
        <v/>
      </c>
      <c r="I303" s="17">
        <f>IF($F303="","",IFERROR(INDEX(rngEPseq,MATCH($F303,rngEPcode,0)),""))</f>
        <v/>
      </c>
      <c r="J303" s="17">
        <f>IF($F303="","",IFERROR(INDEX(rngEPpass,MATCH($F303,rngEPcode,0)),cfgPassingScore))</f>
        <v/>
      </c>
      <c r="K303" s="16" t="n"/>
      <c r="L303" s="16" t="n"/>
      <c r="M303" s="17">
        <f>IF($C303="","",IF($L303="","",IF(NOT(ISNUMBER($L303)),$L303,IF(N($K303)&gt;2,"",IF($K303=1,IF(COUNTIFS(nrES_PID,$D303,nrES_Code,$F303,nrES_Att,2,nrES_Raw,"&gt;=0")&gt;0,"",$L303),IF($L303&gt;=$J303,MAX($J303,cfgRetakeRecordedCap),IF(COUNTIFS(nrES_PID,$D303,nrES_Code,$F303,nrES_Att,1)=0,$L303,SUMIFS(nrES_Raw,nrES_PID,$D303,nrES_Code,$F303,nrES_Att,1))))))))</f>
        <v/>
      </c>
      <c r="N303" s="17">
        <f>IF($C303="","",IF($L303="","",IF(NOT(ISNUMBER($L303)),"(not a score)",IF($L303&gt;=$J303,"Yes","No"))))</f>
        <v/>
      </c>
      <c r="O303" s="17">
        <f>IF($C303="","",IF($M303="","",IF(NOT(ISNUMBER($M303)),"(not a score)",IF($M303&gt;=$J303,"Yes","No"))))</f>
        <v/>
      </c>
      <c r="P303" s="17">
        <f>IF($C303="","",IF($K303="","",IF(N($K303)&gt;2,"No",IF(COUNTIFS(nrES_PID,$D303,nrES_Code,$F303,nrES_Att,"&gt;"&amp;$K303,nrES_Att,"&lt;=2",nrES_Raw,"&gt;=0")=0,"Yes","No"))))</f>
        <v/>
      </c>
      <c r="Q303" s="17">
        <f>IF($C303="","",IF($L303="","",IF(AND($K303=1,ISNUMBER($L303),$L303&lt;$J303,COUNTIFS(nrES_PID,$D303,nrES_Code,$F303,nrES_Att,2,nrES_Raw,"&gt;=0")=0),"Yes","No")))</f>
        <v/>
      </c>
      <c r="R303" s="17">
        <f>IF($C303="","",IF($L303="","",IF(AND(N($K303)&gt;=2,ISNUMBER($L303),$L303&lt;$J303),"Yes","No")))</f>
        <v/>
      </c>
      <c r="S303" s="18" t="n"/>
      <c r="T303" s="19">
        <f>IF(OR($C303="",$L303="",$K303&lt;&gt;1,NOT(ISNUMBER($L303)),$L303&gt;=$J303),"",IF($S303="","(enter date)",_xlfn.LET(_xlpm.dn,_xlfn.XLOOKUP($S303,nrCDdate,nrCDnum,"",1),IF(_xlpm.dn="","(after last class day)",_xlfn.LET(_xlpm.dd,_xlfn.XLOOKUP(_xlpm.dn+cfgRetestClassDays,nrCDnum,nrCDdate,""),_xlpm.ok,_xlfn.XLOOKUP(_xlpm.dn+cfgRetestClassDays,nrCDnum,nrCDinsession,"No"),IF(OR(_xlpm.dd="",_xlpm.ok&lt;&gt;"Yes"),"(after last class day)",_xlpm.dd))))))</f>
        <v/>
      </c>
      <c r="U303" s="17">
        <f>IF($C303="","",IF(AND($Y303="Excused",$L303="",N($K303)&lt;=1),"EXCUSED - 1st attempt pending",IF(OR($L303="",$K303&lt;&gt;1,NOT(ISNUMBER($L303)),$L303&gt;=$J303),"",IF(COUNTIFS(nrES_PID,$D303,nrES_Code,$F303,nrES_Att,2,nrES_Raw,"&gt;=0")&gt;0,IF(IFERROR(_xlfn.MINIFS(nrES_Date,nrES_PID,$D303,nrES_Code,$F303,nrES_Att,2,nrES_Raw,"&gt;=0",nrES_Date,"&gt;0"),0)=0,"RETEST UNDATED",IF(NOT(ISNUMBER($T303)),"RETEST DATE UNCHECKED",IF(_xlfn.MINIFS(nrES_Date,nrES_PID,$D303,nrES_Code,$F303,nrES_Att,2,nrES_Raw,"&gt;=0",nrES_Date,"&gt;0")&gt;$T303,"LATE RETEST "&amp;TEXT(_xlfn.MINIFS(nrES_Date,nrES_PID,$D303,nrES_Code,$F303,nrES_Att,2,nrES_Raw,"&gt;=0",nrES_Date,"&gt;0"),"mm/dd")&amp;" (due "&amp;TEXT($T303,"mm/dd")&amp;")","Retested"))),IF(NOT(ISNUMBER($T303)),"CHECK DATE",IF(TODAY()&gt;$T303,"OVERDUE","Due "&amp;TEXT($T303,"mm/dd")))))))</f>
        <v/>
      </c>
      <c r="V303" s="16" t="n"/>
      <c r="W303" s="16" t="n"/>
      <c r="X303" s="17">
        <f>IF($C303="","",IF(AND($L303&lt;&gt;"",NOT(ISNUMBER($L303))),"RAW SCORE NOT A NUMBER",IF(AND(ISNUMBER($L303),OR($L303&lt;0,$L303&gt;100)),"RAW SCORE OUT OF RANGE",IF(AND($Y303="Unexcused",OR($L303="",NOT(ISNUMBER($L303)),$L303&lt;&gt;0)),"UNEXCUSED ABSENCE MUST RECORD 0",IF(COUNTIF(nrES_RecID,$B303)&gt;1,"DUPLICATE RECORD",IF(N($K303)&gt;2,"ATTEMPT 3+ NOT ALLOWED - policy 300.5 permits one retest per exam; this row records nothing",IF(AND($K303=2,COUNTIFS(nrES_PID,$D303,nrES_Code,$F303,nrES_Att,1)=0),"ATTEMPT 2 WITHOUT ATTEMPT 1",IF(AND($K303=2,$L303=""),"RETEST ROW HAS NO SCORE",IF(AND($H303="Final",$L303&lt;&gt;"",IFERROR(INDEX(nrCKfinalExamElig,MATCH($D303,rngCadetPIDs,0)),"")="No"),"FINAL EXAM AFTER FAILED FINAL PT (500.1.H)",IF(AND($K303=2,ISNUMBER($L303),COUNTIFS(nrES_PID,$D303,nrES_Code,$F303,nrES_Att,1)&gt;0,SUMIFS(nrES_Raw,nrES_PID,$D303,nrES_Code,$F303,nrES_Att,1)&gt;=$J303),"RETEST AFTER A PASSING FIRST ATTEMPT","OK"))))))))))</f>
        <v/>
      </c>
      <c r="Y303" s="16" t="n"/>
    </row>
    <row r="304">
      <c r="B304" s="17">
        <f>IF($C304="","",$D304&amp;"-"&amp;$F304&amp;"-"&amp;$K304)</f>
        <v/>
      </c>
      <c r="C304" s="16" t="n"/>
      <c r="D304" s="17">
        <f>IF($C304="","",IFERROR(INDEX(rngCadetPIDs,MATCH($C304,rngCadetNames,0)),"?"))</f>
        <v/>
      </c>
      <c r="E304" s="17">
        <f>IF($D304="","",IFERROR(INDEX(nrCadetAgency,MATCH($D304,rngCadetPIDs,0)),""))</f>
        <v/>
      </c>
      <c r="F304" s="16" t="n"/>
      <c r="G304" s="17">
        <f>IF($F304="","",IFERROR(INDEX(rngEPname,MATCH($F304,rngEPcode,0)),"?"))</f>
        <v/>
      </c>
      <c r="H304" s="17">
        <f>IF($F304="","",IFERROR(INDEX(rngEPtype,MATCH($F304,rngEPcode,0)),"?"))</f>
        <v/>
      </c>
      <c r="I304" s="17">
        <f>IF($F304="","",IFERROR(INDEX(rngEPseq,MATCH($F304,rngEPcode,0)),""))</f>
        <v/>
      </c>
      <c r="J304" s="17">
        <f>IF($F304="","",IFERROR(INDEX(rngEPpass,MATCH($F304,rngEPcode,0)),cfgPassingScore))</f>
        <v/>
      </c>
      <c r="K304" s="16" t="n"/>
      <c r="L304" s="16" t="n"/>
      <c r="M304" s="17">
        <f>IF($C304="","",IF($L304="","",IF(NOT(ISNUMBER($L304)),$L304,IF(N($K304)&gt;2,"",IF($K304=1,IF(COUNTIFS(nrES_PID,$D304,nrES_Code,$F304,nrES_Att,2,nrES_Raw,"&gt;=0")&gt;0,"",$L304),IF($L304&gt;=$J304,MAX($J304,cfgRetakeRecordedCap),IF(COUNTIFS(nrES_PID,$D304,nrES_Code,$F304,nrES_Att,1)=0,$L304,SUMIFS(nrES_Raw,nrES_PID,$D304,nrES_Code,$F304,nrES_Att,1))))))))</f>
        <v/>
      </c>
      <c r="N304" s="17">
        <f>IF($C304="","",IF($L304="","",IF(NOT(ISNUMBER($L304)),"(not a score)",IF($L304&gt;=$J304,"Yes","No"))))</f>
        <v/>
      </c>
      <c r="O304" s="17">
        <f>IF($C304="","",IF($M304="","",IF(NOT(ISNUMBER($M304)),"(not a score)",IF($M304&gt;=$J304,"Yes","No"))))</f>
        <v/>
      </c>
      <c r="P304" s="17">
        <f>IF($C304="","",IF($K304="","",IF(N($K304)&gt;2,"No",IF(COUNTIFS(nrES_PID,$D304,nrES_Code,$F304,nrES_Att,"&gt;"&amp;$K304,nrES_Att,"&lt;=2",nrES_Raw,"&gt;=0")=0,"Yes","No"))))</f>
        <v/>
      </c>
      <c r="Q304" s="17">
        <f>IF($C304="","",IF($L304="","",IF(AND($K304=1,ISNUMBER($L304),$L304&lt;$J304,COUNTIFS(nrES_PID,$D304,nrES_Code,$F304,nrES_Att,2,nrES_Raw,"&gt;=0")=0),"Yes","No")))</f>
        <v/>
      </c>
      <c r="R304" s="17">
        <f>IF($C304="","",IF($L304="","",IF(AND(N($K304)&gt;=2,ISNUMBER($L304),$L304&lt;$J304),"Yes","No")))</f>
        <v/>
      </c>
      <c r="S304" s="18" t="n"/>
      <c r="T304" s="19">
        <f>IF(OR($C304="",$L304="",$K304&lt;&gt;1,NOT(ISNUMBER($L304)),$L304&gt;=$J304),"",IF($S304="","(enter date)",_xlfn.LET(_xlpm.dn,_xlfn.XLOOKUP($S304,nrCDdate,nrCDnum,"",1),IF(_xlpm.dn="","(after last class day)",_xlfn.LET(_xlpm.dd,_xlfn.XLOOKUP(_xlpm.dn+cfgRetestClassDays,nrCDnum,nrCDdate,""),_xlpm.ok,_xlfn.XLOOKUP(_xlpm.dn+cfgRetestClassDays,nrCDnum,nrCDinsession,"No"),IF(OR(_xlpm.dd="",_xlpm.ok&lt;&gt;"Yes"),"(after last class day)",_xlpm.dd))))))</f>
        <v/>
      </c>
      <c r="U304" s="17">
        <f>IF($C304="","",IF(AND($Y304="Excused",$L304="",N($K304)&lt;=1),"EXCUSED - 1st attempt pending",IF(OR($L304="",$K304&lt;&gt;1,NOT(ISNUMBER($L304)),$L304&gt;=$J304),"",IF(COUNTIFS(nrES_PID,$D304,nrES_Code,$F304,nrES_Att,2,nrES_Raw,"&gt;=0")&gt;0,IF(IFERROR(_xlfn.MINIFS(nrES_Date,nrES_PID,$D304,nrES_Code,$F304,nrES_Att,2,nrES_Raw,"&gt;=0",nrES_Date,"&gt;0"),0)=0,"RETEST UNDATED",IF(NOT(ISNUMBER($T304)),"RETEST DATE UNCHECKED",IF(_xlfn.MINIFS(nrES_Date,nrES_PID,$D304,nrES_Code,$F304,nrES_Att,2,nrES_Raw,"&gt;=0",nrES_Date,"&gt;0")&gt;$T304,"LATE RETEST "&amp;TEXT(_xlfn.MINIFS(nrES_Date,nrES_PID,$D304,nrES_Code,$F304,nrES_Att,2,nrES_Raw,"&gt;=0",nrES_Date,"&gt;0"),"mm/dd")&amp;" (due "&amp;TEXT($T304,"mm/dd")&amp;")","Retested"))),IF(NOT(ISNUMBER($T304)),"CHECK DATE",IF(TODAY()&gt;$T304,"OVERDUE","Due "&amp;TEXT($T304,"mm/dd")))))))</f>
        <v/>
      </c>
      <c r="V304" s="16" t="n"/>
      <c r="W304" s="16" t="n"/>
      <c r="X304" s="17">
        <f>IF($C304="","",IF(AND($L304&lt;&gt;"",NOT(ISNUMBER($L304))),"RAW SCORE NOT A NUMBER",IF(AND(ISNUMBER($L304),OR($L304&lt;0,$L304&gt;100)),"RAW SCORE OUT OF RANGE",IF(AND($Y304="Unexcused",OR($L304="",NOT(ISNUMBER($L304)),$L304&lt;&gt;0)),"UNEXCUSED ABSENCE MUST RECORD 0",IF(COUNTIF(nrES_RecID,$B304)&gt;1,"DUPLICATE RECORD",IF(N($K304)&gt;2,"ATTEMPT 3+ NOT ALLOWED - policy 300.5 permits one retest per exam; this row records nothing",IF(AND($K304=2,COUNTIFS(nrES_PID,$D304,nrES_Code,$F304,nrES_Att,1)=0),"ATTEMPT 2 WITHOUT ATTEMPT 1",IF(AND($K304=2,$L304=""),"RETEST ROW HAS NO SCORE",IF(AND($H304="Final",$L304&lt;&gt;"",IFERROR(INDEX(nrCKfinalExamElig,MATCH($D304,rngCadetPIDs,0)),"")="No"),"FINAL EXAM AFTER FAILED FINAL PT (500.1.H)",IF(AND($K304=2,ISNUMBER($L304),COUNTIFS(nrES_PID,$D304,nrES_Code,$F304,nrES_Att,1)&gt;0,SUMIFS(nrES_Raw,nrES_PID,$D304,nrES_Code,$F304,nrES_Att,1)&gt;=$J304),"RETEST AFTER A PASSING FIRST ATTEMPT","OK"))))))))))</f>
        <v/>
      </c>
      <c r="Y304" s="16" t="n"/>
    </row>
    <row r="305">
      <c r="B305" s="17">
        <f>IF($C305="","",$D305&amp;"-"&amp;$F305&amp;"-"&amp;$K305)</f>
        <v/>
      </c>
      <c r="C305" s="16" t="n"/>
      <c r="D305" s="17">
        <f>IF($C305="","",IFERROR(INDEX(rngCadetPIDs,MATCH($C305,rngCadetNames,0)),"?"))</f>
        <v/>
      </c>
      <c r="E305" s="17">
        <f>IF($D305="","",IFERROR(INDEX(nrCadetAgency,MATCH($D305,rngCadetPIDs,0)),""))</f>
        <v/>
      </c>
      <c r="F305" s="16" t="n"/>
      <c r="G305" s="17">
        <f>IF($F305="","",IFERROR(INDEX(rngEPname,MATCH($F305,rngEPcode,0)),"?"))</f>
        <v/>
      </c>
      <c r="H305" s="17">
        <f>IF($F305="","",IFERROR(INDEX(rngEPtype,MATCH($F305,rngEPcode,0)),"?"))</f>
        <v/>
      </c>
      <c r="I305" s="17">
        <f>IF($F305="","",IFERROR(INDEX(rngEPseq,MATCH($F305,rngEPcode,0)),""))</f>
        <v/>
      </c>
      <c r="J305" s="17">
        <f>IF($F305="","",IFERROR(INDEX(rngEPpass,MATCH($F305,rngEPcode,0)),cfgPassingScore))</f>
        <v/>
      </c>
      <c r="K305" s="16" t="n"/>
      <c r="L305" s="16" t="n"/>
      <c r="M305" s="17">
        <f>IF($C305="","",IF($L305="","",IF(NOT(ISNUMBER($L305)),$L305,IF(N($K305)&gt;2,"",IF($K305=1,IF(COUNTIFS(nrES_PID,$D305,nrES_Code,$F305,nrES_Att,2,nrES_Raw,"&gt;=0")&gt;0,"",$L305),IF($L305&gt;=$J305,MAX($J305,cfgRetakeRecordedCap),IF(COUNTIFS(nrES_PID,$D305,nrES_Code,$F305,nrES_Att,1)=0,$L305,SUMIFS(nrES_Raw,nrES_PID,$D305,nrES_Code,$F305,nrES_Att,1))))))))</f>
        <v/>
      </c>
      <c r="N305" s="17">
        <f>IF($C305="","",IF($L305="","",IF(NOT(ISNUMBER($L305)),"(not a score)",IF($L305&gt;=$J305,"Yes","No"))))</f>
        <v/>
      </c>
      <c r="O305" s="17">
        <f>IF($C305="","",IF($M305="","",IF(NOT(ISNUMBER($M305)),"(not a score)",IF($M305&gt;=$J305,"Yes","No"))))</f>
        <v/>
      </c>
      <c r="P305" s="17">
        <f>IF($C305="","",IF($K305="","",IF(N($K305)&gt;2,"No",IF(COUNTIFS(nrES_PID,$D305,nrES_Code,$F305,nrES_Att,"&gt;"&amp;$K305,nrES_Att,"&lt;=2",nrES_Raw,"&gt;=0")=0,"Yes","No"))))</f>
        <v/>
      </c>
      <c r="Q305" s="17">
        <f>IF($C305="","",IF($L305="","",IF(AND($K305=1,ISNUMBER($L305),$L305&lt;$J305,COUNTIFS(nrES_PID,$D305,nrES_Code,$F305,nrES_Att,2,nrES_Raw,"&gt;=0")=0),"Yes","No")))</f>
        <v/>
      </c>
      <c r="R305" s="17">
        <f>IF($C305="","",IF($L305="","",IF(AND(N($K305)&gt;=2,ISNUMBER($L305),$L305&lt;$J305),"Yes","No")))</f>
        <v/>
      </c>
      <c r="S305" s="18" t="n"/>
      <c r="T305" s="19">
        <f>IF(OR($C305="",$L305="",$K305&lt;&gt;1,NOT(ISNUMBER($L305)),$L305&gt;=$J305),"",IF($S305="","(enter date)",_xlfn.LET(_xlpm.dn,_xlfn.XLOOKUP($S305,nrCDdate,nrCDnum,"",1),IF(_xlpm.dn="","(after last class day)",_xlfn.LET(_xlpm.dd,_xlfn.XLOOKUP(_xlpm.dn+cfgRetestClassDays,nrCDnum,nrCDdate,""),_xlpm.ok,_xlfn.XLOOKUP(_xlpm.dn+cfgRetestClassDays,nrCDnum,nrCDinsession,"No"),IF(OR(_xlpm.dd="",_xlpm.ok&lt;&gt;"Yes"),"(after last class day)",_xlpm.dd))))))</f>
        <v/>
      </c>
      <c r="U305" s="17">
        <f>IF($C305="","",IF(AND($Y305="Excused",$L305="",N($K305)&lt;=1),"EXCUSED - 1st attempt pending",IF(OR($L305="",$K305&lt;&gt;1,NOT(ISNUMBER($L305)),$L305&gt;=$J305),"",IF(COUNTIFS(nrES_PID,$D305,nrES_Code,$F305,nrES_Att,2,nrES_Raw,"&gt;=0")&gt;0,IF(IFERROR(_xlfn.MINIFS(nrES_Date,nrES_PID,$D305,nrES_Code,$F305,nrES_Att,2,nrES_Raw,"&gt;=0",nrES_Date,"&gt;0"),0)=0,"RETEST UNDATED",IF(NOT(ISNUMBER($T305)),"RETEST DATE UNCHECKED",IF(_xlfn.MINIFS(nrES_Date,nrES_PID,$D305,nrES_Code,$F305,nrES_Att,2,nrES_Raw,"&gt;=0",nrES_Date,"&gt;0")&gt;$T305,"LATE RETEST "&amp;TEXT(_xlfn.MINIFS(nrES_Date,nrES_PID,$D305,nrES_Code,$F305,nrES_Att,2,nrES_Raw,"&gt;=0",nrES_Date,"&gt;0"),"mm/dd")&amp;" (due "&amp;TEXT($T305,"mm/dd")&amp;")","Retested"))),IF(NOT(ISNUMBER($T305)),"CHECK DATE",IF(TODAY()&gt;$T305,"OVERDUE","Due "&amp;TEXT($T305,"mm/dd")))))))</f>
        <v/>
      </c>
      <c r="V305" s="16" t="n"/>
      <c r="W305" s="16" t="n"/>
      <c r="X305" s="17">
        <f>IF($C305="","",IF(AND($L305&lt;&gt;"",NOT(ISNUMBER($L305))),"RAW SCORE NOT A NUMBER",IF(AND(ISNUMBER($L305),OR($L305&lt;0,$L305&gt;100)),"RAW SCORE OUT OF RANGE",IF(AND($Y305="Unexcused",OR($L305="",NOT(ISNUMBER($L305)),$L305&lt;&gt;0)),"UNEXCUSED ABSENCE MUST RECORD 0",IF(COUNTIF(nrES_RecID,$B305)&gt;1,"DUPLICATE RECORD",IF(N($K305)&gt;2,"ATTEMPT 3+ NOT ALLOWED - policy 300.5 permits one retest per exam; this row records nothing",IF(AND($K305=2,COUNTIFS(nrES_PID,$D305,nrES_Code,$F305,nrES_Att,1)=0),"ATTEMPT 2 WITHOUT ATTEMPT 1",IF(AND($K305=2,$L305=""),"RETEST ROW HAS NO SCORE",IF(AND($H305="Final",$L305&lt;&gt;"",IFERROR(INDEX(nrCKfinalExamElig,MATCH($D305,rngCadetPIDs,0)),"")="No"),"FINAL EXAM AFTER FAILED FINAL PT (500.1.H)",IF(AND($K305=2,ISNUMBER($L305),COUNTIFS(nrES_PID,$D305,nrES_Code,$F305,nrES_Att,1)&gt;0,SUMIFS(nrES_Raw,nrES_PID,$D305,nrES_Code,$F305,nrES_Att,1)&gt;=$J305),"RETEST AFTER A PASSING FIRST ATTEMPT","OK"))))))))))</f>
        <v/>
      </c>
      <c r="Y305" s="16" t="n"/>
    </row>
    <row r="306">
      <c r="B306" s="17">
        <f>IF($C306="","",$D306&amp;"-"&amp;$F306&amp;"-"&amp;$K306)</f>
        <v/>
      </c>
      <c r="C306" s="16" t="n"/>
      <c r="D306" s="17">
        <f>IF($C306="","",IFERROR(INDEX(rngCadetPIDs,MATCH($C306,rngCadetNames,0)),"?"))</f>
        <v/>
      </c>
      <c r="E306" s="17">
        <f>IF($D306="","",IFERROR(INDEX(nrCadetAgency,MATCH($D306,rngCadetPIDs,0)),""))</f>
        <v/>
      </c>
      <c r="F306" s="16" t="n"/>
      <c r="G306" s="17">
        <f>IF($F306="","",IFERROR(INDEX(rngEPname,MATCH($F306,rngEPcode,0)),"?"))</f>
        <v/>
      </c>
      <c r="H306" s="17">
        <f>IF($F306="","",IFERROR(INDEX(rngEPtype,MATCH($F306,rngEPcode,0)),"?"))</f>
        <v/>
      </c>
      <c r="I306" s="17">
        <f>IF($F306="","",IFERROR(INDEX(rngEPseq,MATCH($F306,rngEPcode,0)),""))</f>
        <v/>
      </c>
      <c r="J306" s="17">
        <f>IF($F306="","",IFERROR(INDEX(rngEPpass,MATCH($F306,rngEPcode,0)),cfgPassingScore))</f>
        <v/>
      </c>
      <c r="K306" s="16" t="n"/>
      <c r="L306" s="16" t="n"/>
      <c r="M306" s="17">
        <f>IF($C306="","",IF($L306="","",IF(NOT(ISNUMBER($L306)),$L306,IF(N($K306)&gt;2,"",IF($K306=1,IF(COUNTIFS(nrES_PID,$D306,nrES_Code,$F306,nrES_Att,2,nrES_Raw,"&gt;=0")&gt;0,"",$L306),IF($L306&gt;=$J306,MAX($J306,cfgRetakeRecordedCap),IF(COUNTIFS(nrES_PID,$D306,nrES_Code,$F306,nrES_Att,1)=0,$L306,SUMIFS(nrES_Raw,nrES_PID,$D306,nrES_Code,$F306,nrES_Att,1))))))))</f>
        <v/>
      </c>
      <c r="N306" s="17">
        <f>IF($C306="","",IF($L306="","",IF(NOT(ISNUMBER($L306)),"(not a score)",IF($L306&gt;=$J306,"Yes","No"))))</f>
        <v/>
      </c>
      <c r="O306" s="17">
        <f>IF($C306="","",IF($M306="","",IF(NOT(ISNUMBER($M306)),"(not a score)",IF($M306&gt;=$J306,"Yes","No"))))</f>
        <v/>
      </c>
      <c r="P306" s="17">
        <f>IF($C306="","",IF($K306="","",IF(N($K306)&gt;2,"No",IF(COUNTIFS(nrES_PID,$D306,nrES_Code,$F306,nrES_Att,"&gt;"&amp;$K306,nrES_Att,"&lt;=2",nrES_Raw,"&gt;=0")=0,"Yes","No"))))</f>
        <v/>
      </c>
      <c r="Q306" s="17">
        <f>IF($C306="","",IF($L306="","",IF(AND($K306=1,ISNUMBER($L306),$L306&lt;$J306,COUNTIFS(nrES_PID,$D306,nrES_Code,$F306,nrES_Att,2,nrES_Raw,"&gt;=0")=0),"Yes","No")))</f>
        <v/>
      </c>
      <c r="R306" s="17">
        <f>IF($C306="","",IF($L306="","",IF(AND(N($K306)&gt;=2,ISNUMBER($L306),$L306&lt;$J306),"Yes","No")))</f>
        <v/>
      </c>
      <c r="S306" s="18" t="n"/>
      <c r="T306" s="19">
        <f>IF(OR($C306="",$L306="",$K306&lt;&gt;1,NOT(ISNUMBER($L306)),$L306&gt;=$J306),"",IF($S306="","(enter date)",_xlfn.LET(_xlpm.dn,_xlfn.XLOOKUP($S306,nrCDdate,nrCDnum,"",1),IF(_xlpm.dn="","(after last class day)",_xlfn.LET(_xlpm.dd,_xlfn.XLOOKUP(_xlpm.dn+cfgRetestClassDays,nrCDnum,nrCDdate,""),_xlpm.ok,_xlfn.XLOOKUP(_xlpm.dn+cfgRetestClassDays,nrCDnum,nrCDinsession,"No"),IF(OR(_xlpm.dd="",_xlpm.ok&lt;&gt;"Yes"),"(after last class day)",_xlpm.dd))))))</f>
        <v/>
      </c>
      <c r="U306" s="17">
        <f>IF($C306="","",IF(AND($Y306="Excused",$L306="",N($K306)&lt;=1),"EXCUSED - 1st attempt pending",IF(OR($L306="",$K306&lt;&gt;1,NOT(ISNUMBER($L306)),$L306&gt;=$J306),"",IF(COUNTIFS(nrES_PID,$D306,nrES_Code,$F306,nrES_Att,2,nrES_Raw,"&gt;=0")&gt;0,IF(IFERROR(_xlfn.MINIFS(nrES_Date,nrES_PID,$D306,nrES_Code,$F306,nrES_Att,2,nrES_Raw,"&gt;=0",nrES_Date,"&gt;0"),0)=0,"RETEST UNDATED",IF(NOT(ISNUMBER($T306)),"RETEST DATE UNCHECKED",IF(_xlfn.MINIFS(nrES_Date,nrES_PID,$D306,nrES_Code,$F306,nrES_Att,2,nrES_Raw,"&gt;=0",nrES_Date,"&gt;0")&gt;$T306,"LATE RETEST "&amp;TEXT(_xlfn.MINIFS(nrES_Date,nrES_PID,$D306,nrES_Code,$F306,nrES_Att,2,nrES_Raw,"&gt;=0",nrES_Date,"&gt;0"),"mm/dd")&amp;" (due "&amp;TEXT($T306,"mm/dd")&amp;")","Retested"))),IF(NOT(ISNUMBER($T306)),"CHECK DATE",IF(TODAY()&gt;$T306,"OVERDUE","Due "&amp;TEXT($T306,"mm/dd")))))))</f>
        <v/>
      </c>
      <c r="V306" s="16" t="n"/>
      <c r="W306" s="16" t="n"/>
      <c r="X306" s="17">
        <f>IF($C306="","",IF(AND($L306&lt;&gt;"",NOT(ISNUMBER($L306))),"RAW SCORE NOT A NUMBER",IF(AND(ISNUMBER($L306),OR($L306&lt;0,$L306&gt;100)),"RAW SCORE OUT OF RANGE",IF(AND($Y306="Unexcused",OR($L306="",NOT(ISNUMBER($L306)),$L306&lt;&gt;0)),"UNEXCUSED ABSENCE MUST RECORD 0",IF(COUNTIF(nrES_RecID,$B306)&gt;1,"DUPLICATE RECORD",IF(N($K306)&gt;2,"ATTEMPT 3+ NOT ALLOWED - policy 300.5 permits one retest per exam; this row records nothing",IF(AND($K306=2,COUNTIFS(nrES_PID,$D306,nrES_Code,$F306,nrES_Att,1)=0),"ATTEMPT 2 WITHOUT ATTEMPT 1",IF(AND($K306=2,$L306=""),"RETEST ROW HAS NO SCORE",IF(AND($H306="Final",$L306&lt;&gt;"",IFERROR(INDEX(nrCKfinalExamElig,MATCH($D306,rngCadetPIDs,0)),"")="No"),"FINAL EXAM AFTER FAILED FINAL PT (500.1.H)",IF(AND($K306=2,ISNUMBER($L306),COUNTIFS(nrES_PID,$D306,nrES_Code,$F306,nrES_Att,1)&gt;0,SUMIFS(nrES_Raw,nrES_PID,$D306,nrES_Code,$F306,nrES_Att,1)&gt;=$J306),"RETEST AFTER A PASSING FIRST ATTEMPT","OK"))))))))))</f>
        <v/>
      </c>
      <c r="Y306" s="16" t="n"/>
    </row>
    <row r="307">
      <c r="B307" s="17">
        <f>IF($C307="","",$D307&amp;"-"&amp;$F307&amp;"-"&amp;$K307)</f>
        <v/>
      </c>
      <c r="C307" s="16" t="n"/>
      <c r="D307" s="17">
        <f>IF($C307="","",IFERROR(INDEX(rngCadetPIDs,MATCH($C307,rngCadetNames,0)),"?"))</f>
        <v/>
      </c>
      <c r="E307" s="17">
        <f>IF($D307="","",IFERROR(INDEX(nrCadetAgency,MATCH($D307,rngCadetPIDs,0)),""))</f>
        <v/>
      </c>
      <c r="F307" s="16" t="n"/>
      <c r="G307" s="17">
        <f>IF($F307="","",IFERROR(INDEX(rngEPname,MATCH($F307,rngEPcode,0)),"?"))</f>
        <v/>
      </c>
      <c r="H307" s="17">
        <f>IF($F307="","",IFERROR(INDEX(rngEPtype,MATCH($F307,rngEPcode,0)),"?"))</f>
        <v/>
      </c>
      <c r="I307" s="17">
        <f>IF($F307="","",IFERROR(INDEX(rngEPseq,MATCH($F307,rngEPcode,0)),""))</f>
        <v/>
      </c>
      <c r="J307" s="17">
        <f>IF($F307="","",IFERROR(INDEX(rngEPpass,MATCH($F307,rngEPcode,0)),cfgPassingScore))</f>
        <v/>
      </c>
      <c r="K307" s="16" t="n"/>
      <c r="L307" s="16" t="n"/>
      <c r="M307" s="17">
        <f>IF($C307="","",IF($L307="","",IF(NOT(ISNUMBER($L307)),$L307,IF(N($K307)&gt;2,"",IF($K307=1,IF(COUNTIFS(nrES_PID,$D307,nrES_Code,$F307,nrES_Att,2,nrES_Raw,"&gt;=0")&gt;0,"",$L307),IF($L307&gt;=$J307,MAX($J307,cfgRetakeRecordedCap),IF(COUNTIFS(nrES_PID,$D307,nrES_Code,$F307,nrES_Att,1)=0,$L307,SUMIFS(nrES_Raw,nrES_PID,$D307,nrES_Code,$F307,nrES_Att,1))))))))</f>
        <v/>
      </c>
      <c r="N307" s="17">
        <f>IF($C307="","",IF($L307="","",IF(NOT(ISNUMBER($L307)),"(not a score)",IF($L307&gt;=$J307,"Yes","No"))))</f>
        <v/>
      </c>
      <c r="O307" s="17">
        <f>IF($C307="","",IF($M307="","",IF(NOT(ISNUMBER($M307)),"(not a score)",IF($M307&gt;=$J307,"Yes","No"))))</f>
        <v/>
      </c>
      <c r="P307" s="17">
        <f>IF($C307="","",IF($K307="","",IF(N($K307)&gt;2,"No",IF(COUNTIFS(nrES_PID,$D307,nrES_Code,$F307,nrES_Att,"&gt;"&amp;$K307,nrES_Att,"&lt;=2",nrES_Raw,"&gt;=0")=0,"Yes","No"))))</f>
        <v/>
      </c>
      <c r="Q307" s="17">
        <f>IF($C307="","",IF($L307="","",IF(AND($K307=1,ISNUMBER($L307),$L307&lt;$J307,COUNTIFS(nrES_PID,$D307,nrES_Code,$F307,nrES_Att,2,nrES_Raw,"&gt;=0")=0),"Yes","No")))</f>
        <v/>
      </c>
      <c r="R307" s="17">
        <f>IF($C307="","",IF($L307="","",IF(AND(N($K307)&gt;=2,ISNUMBER($L307),$L307&lt;$J307),"Yes","No")))</f>
        <v/>
      </c>
      <c r="S307" s="18" t="n"/>
      <c r="T307" s="19">
        <f>IF(OR($C307="",$L307="",$K307&lt;&gt;1,NOT(ISNUMBER($L307)),$L307&gt;=$J307),"",IF($S307="","(enter date)",_xlfn.LET(_xlpm.dn,_xlfn.XLOOKUP($S307,nrCDdate,nrCDnum,"",1),IF(_xlpm.dn="","(after last class day)",_xlfn.LET(_xlpm.dd,_xlfn.XLOOKUP(_xlpm.dn+cfgRetestClassDays,nrCDnum,nrCDdate,""),_xlpm.ok,_xlfn.XLOOKUP(_xlpm.dn+cfgRetestClassDays,nrCDnum,nrCDinsession,"No"),IF(OR(_xlpm.dd="",_xlpm.ok&lt;&gt;"Yes"),"(after last class day)",_xlpm.dd))))))</f>
        <v/>
      </c>
      <c r="U307" s="17">
        <f>IF($C307="","",IF(AND($Y307="Excused",$L307="",N($K307)&lt;=1),"EXCUSED - 1st attempt pending",IF(OR($L307="",$K307&lt;&gt;1,NOT(ISNUMBER($L307)),$L307&gt;=$J307),"",IF(COUNTIFS(nrES_PID,$D307,nrES_Code,$F307,nrES_Att,2,nrES_Raw,"&gt;=0")&gt;0,IF(IFERROR(_xlfn.MINIFS(nrES_Date,nrES_PID,$D307,nrES_Code,$F307,nrES_Att,2,nrES_Raw,"&gt;=0",nrES_Date,"&gt;0"),0)=0,"RETEST UNDATED",IF(NOT(ISNUMBER($T307)),"RETEST DATE UNCHECKED",IF(_xlfn.MINIFS(nrES_Date,nrES_PID,$D307,nrES_Code,$F307,nrES_Att,2,nrES_Raw,"&gt;=0",nrES_Date,"&gt;0")&gt;$T307,"LATE RETEST "&amp;TEXT(_xlfn.MINIFS(nrES_Date,nrES_PID,$D307,nrES_Code,$F307,nrES_Att,2,nrES_Raw,"&gt;=0",nrES_Date,"&gt;0"),"mm/dd")&amp;" (due "&amp;TEXT($T307,"mm/dd")&amp;")","Retested"))),IF(NOT(ISNUMBER($T307)),"CHECK DATE",IF(TODAY()&gt;$T307,"OVERDUE","Due "&amp;TEXT($T307,"mm/dd")))))))</f>
        <v/>
      </c>
      <c r="V307" s="16" t="n"/>
      <c r="W307" s="16" t="n"/>
      <c r="X307" s="17">
        <f>IF($C307="","",IF(AND($L307&lt;&gt;"",NOT(ISNUMBER($L307))),"RAW SCORE NOT A NUMBER",IF(AND(ISNUMBER($L307),OR($L307&lt;0,$L307&gt;100)),"RAW SCORE OUT OF RANGE",IF(AND($Y307="Unexcused",OR($L307="",NOT(ISNUMBER($L307)),$L307&lt;&gt;0)),"UNEXCUSED ABSENCE MUST RECORD 0",IF(COUNTIF(nrES_RecID,$B307)&gt;1,"DUPLICATE RECORD",IF(N($K307)&gt;2,"ATTEMPT 3+ NOT ALLOWED - policy 300.5 permits one retest per exam; this row records nothing",IF(AND($K307=2,COUNTIFS(nrES_PID,$D307,nrES_Code,$F307,nrES_Att,1)=0),"ATTEMPT 2 WITHOUT ATTEMPT 1",IF(AND($K307=2,$L307=""),"RETEST ROW HAS NO SCORE",IF(AND($H307="Final",$L307&lt;&gt;"",IFERROR(INDEX(nrCKfinalExamElig,MATCH($D307,rngCadetPIDs,0)),"")="No"),"FINAL EXAM AFTER FAILED FINAL PT (500.1.H)",IF(AND($K307=2,ISNUMBER($L307),COUNTIFS(nrES_PID,$D307,nrES_Code,$F307,nrES_Att,1)&gt;0,SUMIFS(nrES_Raw,nrES_PID,$D307,nrES_Code,$F307,nrES_Att,1)&gt;=$J307),"RETEST AFTER A PASSING FIRST ATTEMPT","OK"))))))))))</f>
        <v/>
      </c>
      <c r="Y307" s="16" t="n"/>
    </row>
    <row r="308">
      <c r="B308" s="17">
        <f>IF($C308="","",$D308&amp;"-"&amp;$F308&amp;"-"&amp;$K308)</f>
        <v/>
      </c>
      <c r="C308" s="16" t="n"/>
      <c r="D308" s="17">
        <f>IF($C308="","",IFERROR(INDEX(rngCadetPIDs,MATCH($C308,rngCadetNames,0)),"?"))</f>
        <v/>
      </c>
      <c r="E308" s="17">
        <f>IF($D308="","",IFERROR(INDEX(nrCadetAgency,MATCH($D308,rngCadetPIDs,0)),""))</f>
        <v/>
      </c>
      <c r="F308" s="16" t="n"/>
      <c r="G308" s="17">
        <f>IF($F308="","",IFERROR(INDEX(rngEPname,MATCH($F308,rngEPcode,0)),"?"))</f>
        <v/>
      </c>
      <c r="H308" s="17">
        <f>IF($F308="","",IFERROR(INDEX(rngEPtype,MATCH($F308,rngEPcode,0)),"?"))</f>
        <v/>
      </c>
      <c r="I308" s="17">
        <f>IF($F308="","",IFERROR(INDEX(rngEPseq,MATCH($F308,rngEPcode,0)),""))</f>
        <v/>
      </c>
      <c r="J308" s="17">
        <f>IF($F308="","",IFERROR(INDEX(rngEPpass,MATCH($F308,rngEPcode,0)),cfgPassingScore))</f>
        <v/>
      </c>
      <c r="K308" s="16" t="n"/>
      <c r="L308" s="16" t="n"/>
      <c r="M308" s="17">
        <f>IF($C308="","",IF($L308="","",IF(NOT(ISNUMBER($L308)),$L308,IF(N($K308)&gt;2,"",IF($K308=1,IF(COUNTIFS(nrES_PID,$D308,nrES_Code,$F308,nrES_Att,2,nrES_Raw,"&gt;=0")&gt;0,"",$L308),IF($L308&gt;=$J308,MAX($J308,cfgRetakeRecordedCap),IF(COUNTIFS(nrES_PID,$D308,nrES_Code,$F308,nrES_Att,1)=0,$L308,SUMIFS(nrES_Raw,nrES_PID,$D308,nrES_Code,$F308,nrES_Att,1))))))))</f>
        <v/>
      </c>
      <c r="N308" s="17">
        <f>IF($C308="","",IF($L308="","",IF(NOT(ISNUMBER($L308)),"(not a score)",IF($L308&gt;=$J308,"Yes","No"))))</f>
        <v/>
      </c>
      <c r="O308" s="17">
        <f>IF($C308="","",IF($M308="","",IF(NOT(ISNUMBER($M308)),"(not a score)",IF($M308&gt;=$J308,"Yes","No"))))</f>
        <v/>
      </c>
      <c r="P308" s="17">
        <f>IF($C308="","",IF($K308="","",IF(N($K308)&gt;2,"No",IF(COUNTIFS(nrES_PID,$D308,nrES_Code,$F308,nrES_Att,"&gt;"&amp;$K308,nrES_Att,"&lt;=2",nrES_Raw,"&gt;=0")=0,"Yes","No"))))</f>
        <v/>
      </c>
      <c r="Q308" s="17">
        <f>IF($C308="","",IF($L308="","",IF(AND($K308=1,ISNUMBER($L308),$L308&lt;$J308,COUNTIFS(nrES_PID,$D308,nrES_Code,$F308,nrES_Att,2,nrES_Raw,"&gt;=0")=0),"Yes","No")))</f>
        <v/>
      </c>
      <c r="R308" s="17">
        <f>IF($C308="","",IF($L308="","",IF(AND(N($K308)&gt;=2,ISNUMBER($L308),$L308&lt;$J308),"Yes","No")))</f>
        <v/>
      </c>
      <c r="S308" s="18" t="n"/>
      <c r="T308" s="19">
        <f>IF(OR($C308="",$L308="",$K308&lt;&gt;1,NOT(ISNUMBER($L308)),$L308&gt;=$J308),"",IF($S308="","(enter date)",_xlfn.LET(_xlpm.dn,_xlfn.XLOOKUP($S308,nrCDdate,nrCDnum,"",1),IF(_xlpm.dn="","(after last class day)",_xlfn.LET(_xlpm.dd,_xlfn.XLOOKUP(_xlpm.dn+cfgRetestClassDays,nrCDnum,nrCDdate,""),_xlpm.ok,_xlfn.XLOOKUP(_xlpm.dn+cfgRetestClassDays,nrCDnum,nrCDinsession,"No"),IF(OR(_xlpm.dd="",_xlpm.ok&lt;&gt;"Yes"),"(after last class day)",_xlpm.dd))))))</f>
        <v/>
      </c>
      <c r="U308" s="17">
        <f>IF($C308="","",IF(AND($Y308="Excused",$L308="",N($K308)&lt;=1),"EXCUSED - 1st attempt pending",IF(OR($L308="",$K308&lt;&gt;1,NOT(ISNUMBER($L308)),$L308&gt;=$J308),"",IF(COUNTIFS(nrES_PID,$D308,nrES_Code,$F308,nrES_Att,2,nrES_Raw,"&gt;=0")&gt;0,IF(IFERROR(_xlfn.MINIFS(nrES_Date,nrES_PID,$D308,nrES_Code,$F308,nrES_Att,2,nrES_Raw,"&gt;=0",nrES_Date,"&gt;0"),0)=0,"RETEST UNDATED",IF(NOT(ISNUMBER($T308)),"RETEST DATE UNCHECKED",IF(_xlfn.MINIFS(nrES_Date,nrES_PID,$D308,nrES_Code,$F308,nrES_Att,2,nrES_Raw,"&gt;=0",nrES_Date,"&gt;0")&gt;$T308,"LATE RETEST "&amp;TEXT(_xlfn.MINIFS(nrES_Date,nrES_PID,$D308,nrES_Code,$F308,nrES_Att,2,nrES_Raw,"&gt;=0",nrES_Date,"&gt;0"),"mm/dd")&amp;" (due "&amp;TEXT($T308,"mm/dd")&amp;")","Retested"))),IF(NOT(ISNUMBER($T308)),"CHECK DATE",IF(TODAY()&gt;$T308,"OVERDUE","Due "&amp;TEXT($T308,"mm/dd")))))))</f>
        <v/>
      </c>
      <c r="V308" s="16" t="n"/>
      <c r="W308" s="16" t="n"/>
      <c r="X308" s="17">
        <f>IF($C308="","",IF(AND($L308&lt;&gt;"",NOT(ISNUMBER($L308))),"RAW SCORE NOT A NUMBER",IF(AND(ISNUMBER($L308),OR($L308&lt;0,$L308&gt;100)),"RAW SCORE OUT OF RANGE",IF(AND($Y308="Unexcused",OR($L308="",NOT(ISNUMBER($L308)),$L308&lt;&gt;0)),"UNEXCUSED ABSENCE MUST RECORD 0",IF(COUNTIF(nrES_RecID,$B308)&gt;1,"DUPLICATE RECORD",IF(N($K308)&gt;2,"ATTEMPT 3+ NOT ALLOWED - policy 300.5 permits one retest per exam; this row records nothing",IF(AND($K308=2,COUNTIFS(nrES_PID,$D308,nrES_Code,$F308,nrES_Att,1)=0),"ATTEMPT 2 WITHOUT ATTEMPT 1",IF(AND($K308=2,$L308=""),"RETEST ROW HAS NO SCORE",IF(AND($H308="Final",$L308&lt;&gt;"",IFERROR(INDEX(nrCKfinalExamElig,MATCH($D308,rngCadetPIDs,0)),"")="No"),"FINAL EXAM AFTER FAILED FINAL PT (500.1.H)",IF(AND($K308=2,ISNUMBER($L308),COUNTIFS(nrES_PID,$D308,nrES_Code,$F308,nrES_Att,1)&gt;0,SUMIFS(nrES_Raw,nrES_PID,$D308,nrES_Code,$F308,nrES_Att,1)&gt;=$J308),"RETEST AFTER A PASSING FIRST ATTEMPT","OK"))))))))))</f>
        <v/>
      </c>
      <c r="Y308" s="16" t="n"/>
    </row>
    <row r="309">
      <c r="B309" s="17">
        <f>IF($C309="","",$D309&amp;"-"&amp;$F309&amp;"-"&amp;$K309)</f>
        <v/>
      </c>
      <c r="C309" s="16" t="n"/>
      <c r="D309" s="17">
        <f>IF($C309="","",IFERROR(INDEX(rngCadetPIDs,MATCH($C309,rngCadetNames,0)),"?"))</f>
        <v/>
      </c>
      <c r="E309" s="17">
        <f>IF($D309="","",IFERROR(INDEX(nrCadetAgency,MATCH($D309,rngCadetPIDs,0)),""))</f>
        <v/>
      </c>
      <c r="F309" s="16" t="n"/>
      <c r="G309" s="17">
        <f>IF($F309="","",IFERROR(INDEX(rngEPname,MATCH($F309,rngEPcode,0)),"?"))</f>
        <v/>
      </c>
      <c r="H309" s="17">
        <f>IF($F309="","",IFERROR(INDEX(rngEPtype,MATCH($F309,rngEPcode,0)),"?"))</f>
        <v/>
      </c>
      <c r="I309" s="17">
        <f>IF($F309="","",IFERROR(INDEX(rngEPseq,MATCH($F309,rngEPcode,0)),""))</f>
        <v/>
      </c>
      <c r="J309" s="17">
        <f>IF($F309="","",IFERROR(INDEX(rngEPpass,MATCH($F309,rngEPcode,0)),cfgPassingScore))</f>
        <v/>
      </c>
      <c r="K309" s="16" t="n"/>
      <c r="L309" s="16" t="n"/>
      <c r="M309" s="17">
        <f>IF($C309="","",IF($L309="","",IF(NOT(ISNUMBER($L309)),$L309,IF(N($K309)&gt;2,"",IF($K309=1,IF(COUNTIFS(nrES_PID,$D309,nrES_Code,$F309,nrES_Att,2,nrES_Raw,"&gt;=0")&gt;0,"",$L309),IF($L309&gt;=$J309,MAX($J309,cfgRetakeRecordedCap),IF(COUNTIFS(nrES_PID,$D309,nrES_Code,$F309,nrES_Att,1)=0,$L309,SUMIFS(nrES_Raw,nrES_PID,$D309,nrES_Code,$F309,nrES_Att,1))))))))</f>
        <v/>
      </c>
      <c r="N309" s="17">
        <f>IF($C309="","",IF($L309="","",IF(NOT(ISNUMBER($L309)),"(not a score)",IF($L309&gt;=$J309,"Yes","No"))))</f>
        <v/>
      </c>
      <c r="O309" s="17">
        <f>IF($C309="","",IF($M309="","",IF(NOT(ISNUMBER($M309)),"(not a score)",IF($M309&gt;=$J309,"Yes","No"))))</f>
        <v/>
      </c>
      <c r="P309" s="17">
        <f>IF($C309="","",IF($K309="","",IF(N($K309)&gt;2,"No",IF(COUNTIFS(nrES_PID,$D309,nrES_Code,$F309,nrES_Att,"&gt;"&amp;$K309,nrES_Att,"&lt;=2",nrES_Raw,"&gt;=0")=0,"Yes","No"))))</f>
        <v/>
      </c>
      <c r="Q309" s="17">
        <f>IF($C309="","",IF($L309="","",IF(AND($K309=1,ISNUMBER($L309),$L309&lt;$J309,COUNTIFS(nrES_PID,$D309,nrES_Code,$F309,nrES_Att,2,nrES_Raw,"&gt;=0")=0),"Yes","No")))</f>
        <v/>
      </c>
      <c r="R309" s="17">
        <f>IF($C309="","",IF($L309="","",IF(AND(N($K309)&gt;=2,ISNUMBER($L309),$L309&lt;$J309),"Yes","No")))</f>
        <v/>
      </c>
      <c r="S309" s="18" t="n"/>
      <c r="T309" s="19">
        <f>IF(OR($C309="",$L309="",$K309&lt;&gt;1,NOT(ISNUMBER($L309)),$L309&gt;=$J309),"",IF($S309="","(enter date)",_xlfn.LET(_xlpm.dn,_xlfn.XLOOKUP($S309,nrCDdate,nrCDnum,"",1),IF(_xlpm.dn="","(after last class day)",_xlfn.LET(_xlpm.dd,_xlfn.XLOOKUP(_xlpm.dn+cfgRetestClassDays,nrCDnum,nrCDdate,""),_xlpm.ok,_xlfn.XLOOKUP(_xlpm.dn+cfgRetestClassDays,nrCDnum,nrCDinsession,"No"),IF(OR(_xlpm.dd="",_xlpm.ok&lt;&gt;"Yes"),"(after last class day)",_xlpm.dd))))))</f>
        <v/>
      </c>
      <c r="U309" s="17">
        <f>IF($C309="","",IF(AND($Y309="Excused",$L309="",N($K309)&lt;=1),"EXCUSED - 1st attempt pending",IF(OR($L309="",$K309&lt;&gt;1,NOT(ISNUMBER($L309)),$L309&gt;=$J309),"",IF(COUNTIFS(nrES_PID,$D309,nrES_Code,$F309,nrES_Att,2,nrES_Raw,"&gt;=0")&gt;0,IF(IFERROR(_xlfn.MINIFS(nrES_Date,nrES_PID,$D309,nrES_Code,$F309,nrES_Att,2,nrES_Raw,"&gt;=0",nrES_Date,"&gt;0"),0)=0,"RETEST UNDATED",IF(NOT(ISNUMBER($T309)),"RETEST DATE UNCHECKED",IF(_xlfn.MINIFS(nrES_Date,nrES_PID,$D309,nrES_Code,$F309,nrES_Att,2,nrES_Raw,"&gt;=0",nrES_Date,"&gt;0")&gt;$T309,"LATE RETEST "&amp;TEXT(_xlfn.MINIFS(nrES_Date,nrES_PID,$D309,nrES_Code,$F309,nrES_Att,2,nrES_Raw,"&gt;=0",nrES_Date,"&gt;0"),"mm/dd")&amp;" (due "&amp;TEXT($T309,"mm/dd")&amp;")","Retested"))),IF(NOT(ISNUMBER($T309)),"CHECK DATE",IF(TODAY()&gt;$T309,"OVERDUE","Due "&amp;TEXT($T309,"mm/dd")))))))</f>
        <v/>
      </c>
      <c r="V309" s="16" t="n"/>
      <c r="W309" s="16" t="n"/>
      <c r="X309" s="17">
        <f>IF($C309="","",IF(AND($L309&lt;&gt;"",NOT(ISNUMBER($L309))),"RAW SCORE NOT A NUMBER",IF(AND(ISNUMBER($L309),OR($L309&lt;0,$L309&gt;100)),"RAW SCORE OUT OF RANGE",IF(AND($Y309="Unexcused",OR($L309="",NOT(ISNUMBER($L309)),$L309&lt;&gt;0)),"UNEXCUSED ABSENCE MUST RECORD 0",IF(COUNTIF(nrES_RecID,$B309)&gt;1,"DUPLICATE RECORD",IF(N($K309)&gt;2,"ATTEMPT 3+ NOT ALLOWED - policy 300.5 permits one retest per exam; this row records nothing",IF(AND($K309=2,COUNTIFS(nrES_PID,$D309,nrES_Code,$F309,nrES_Att,1)=0),"ATTEMPT 2 WITHOUT ATTEMPT 1",IF(AND($K309=2,$L309=""),"RETEST ROW HAS NO SCORE",IF(AND($H309="Final",$L309&lt;&gt;"",IFERROR(INDEX(nrCKfinalExamElig,MATCH($D309,rngCadetPIDs,0)),"")="No"),"FINAL EXAM AFTER FAILED FINAL PT (500.1.H)",IF(AND($K309=2,ISNUMBER($L309),COUNTIFS(nrES_PID,$D309,nrES_Code,$F309,nrES_Att,1)&gt;0,SUMIFS(nrES_Raw,nrES_PID,$D309,nrES_Code,$F309,nrES_Att,1)&gt;=$J309),"RETEST AFTER A PASSING FIRST ATTEMPT","OK"))))))))))</f>
        <v/>
      </c>
      <c r="Y309" s="16" t="n"/>
    </row>
    <row r="310">
      <c r="B310" s="17">
        <f>IF($C310="","",$D310&amp;"-"&amp;$F310&amp;"-"&amp;$K310)</f>
        <v/>
      </c>
      <c r="C310" s="16" t="n"/>
      <c r="D310" s="17">
        <f>IF($C310="","",IFERROR(INDEX(rngCadetPIDs,MATCH($C310,rngCadetNames,0)),"?"))</f>
        <v/>
      </c>
      <c r="E310" s="17">
        <f>IF($D310="","",IFERROR(INDEX(nrCadetAgency,MATCH($D310,rngCadetPIDs,0)),""))</f>
        <v/>
      </c>
      <c r="F310" s="16" t="n"/>
      <c r="G310" s="17">
        <f>IF($F310="","",IFERROR(INDEX(rngEPname,MATCH($F310,rngEPcode,0)),"?"))</f>
        <v/>
      </c>
      <c r="H310" s="17">
        <f>IF($F310="","",IFERROR(INDEX(rngEPtype,MATCH($F310,rngEPcode,0)),"?"))</f>
        <v/>
      </c>
      <c r="I310" s="17">
        <f>IF($F310="","",IFERROR(INDEX(rngEPseq,MATCH($F310,rngEPcode,0)),""))</f>
        <v/>
      </c>
      <c r="J310" s="17">
        <f>IF($F310="","",IFERROR(INDEX(rngEPpass,MATCH($F310,rngEPcode,0)),cfgPassingScore))</f>
        <v/>
      </c>
      <c r="K310" s="16" t="n"/>
      <c r="L310" s="16" t="n"/>
      <c r="M310" s="17">
        <f>IF($C310="","",IF($L310="","",IF(NOT(ISNUMBER($L310)),$L310,IF(N($K310)&gt;2,"",IF($K310=1,IF(COUNTIFS(nrES_PID,$D310,nrES_Code,$F310,nrES_Att,2,nrES_Raw,"&gt;=0")&gt;0,"",$L310),IF($L310&gt;=$J310,MAX($J310,cfgRetakeRecordedCap),IF(COUNTIFS(nrES_PID,$D310,nrES_Code,$F310,nrES_Att,1)=0,$L310,SUMIFS(nrES_Raw,nrES_PID,$D310,nrES_Code,$F310,nrES_Att,1))))))))</f>
        <v/>
      </c>
      <c r="N310" s="17">
        <f>IF($C310="","",IF($L310="","",IF(NOT(ISNUMBER($L310)),"(not a score)",IF($L310&gt;=$J310,"Yes","No"))))</f>
        <v/>
      </c>
      <c r="O310" s="17">
        <f>IF($C310="","",IF($M310="","",IF(NOT(ISNUMBER($M310)),"(not a score)",IF($M310&gt;=$J310,"Yes","No"))))</f>
        <v/>
      </c>
      <c r="P310" s="17">
        <f>IF($C310="","",IF($K310="","",IF(N($K310)&gt;2,"No",IF(COUNTIFS(nrES_PID,$D310,nrES_Code,$F310,nrES_Att,"&gt;"&amp;$K310,nrES_Att,"&lt;=2",nrES_Raw,"&gt;=0")=0,"Yes","No"))))</f>
        <v/>
      </c>
      <c r="Q310" s="17">
        <f>IF($C310="","",IF($L310="","",IF(AND($K310=1,ISNUMBER($L310),$L310&lt;$J310,COUNTIFS(nrES_PID,$D310,nrES_Code,$F310,nrES_Att,2,nrES_Raw,"&gt;=0")=0),"Yes","No")))</f>
        <v/>
      </c>
      <c r="R310" s="17">
        <f>IF($C310="","",IF($L310="","",IF(AND(N($K310)&gt;=2,ISNUMBER($L310),$L310&lt;$J310),"Yes","No")))</f>
        <v/>
      </c>
      <c r="S310" s="18" t="n"/>
      <c r="T310" s="19">
        <f>IF(OR($C310="",$L310="",$K310&lt;&gt;1,NOT(ISNUMBER($L310)),$L310&gt;=$J310),"",IF($S310="","(enter date)",_xlfn.LET(_xlpm.dn,_xlfn.XLOOKUP($S310,nrCDdate,nrCDnum,"",1),IF(_xlpm.dn="","(after last class day)",_xlfn.LET(_xlpm.dd,_xlfn.XLOOKUP(_xlpm.dn+cfgRetestClassDays,nrCDnum,nrCDdate,""),_xlpm.ok,_xlfn.XLOOKUP(_xlpm.dn+cfgRetestClassDays,nrCDnum,nrCDinsession,"No"),IF(OR(_xlpm.dd="",_xlpm.ok&lt;&gt;"Yes"),"(after last class day)",_xlpm.dd))))))</f>
        <v/>
      </c>
      <c r="U310" s="17">
        <f>IF($C310="","",IF(AND($Y310="Excused",$L310="",N($K310)&lt;=1),"EXCUSED - 1st attempt pending",IF(OR($L310="",$K310&lt;&gt;1,NOT(ISNUMBER($L310)),$L310&gt;=$J310),"",IF(COUNTIFS(nrES_PID,$D310,nrES_Code,$F310,nrES_Att,2,nrES_Raw,"&gt;=0")&gt;0,IF(IFERROR(_xlfn.MINIFS(nrES_Date,nrES_PID,$D310,nrES_Code,$F310,nrES_Att,2,nrES_Raw,"&gt;=0",nrES_Date,"&gt;0"),0)=0,"RETEST UNDATED",IF(NOT(ISNUMBER($T310)),"RETEST DATE UNCHECKED",IF(_xlfn.MINIFS(nrES_Date,nrES_PID,$D310,nrES_Code,$F310,nrES_Att,2,nrES_Raw,"&gt;=0",nrES_Date,"&gt;0")&gt;$T310,"LATE RETEST "&amp;TEXT(_xlfn.MINIFS(nrES_Date,nrES_PID,$D310,nrES_Code,$F310,nrES_Att,2,nrES_Raw,"&gt;=0",nrES_Date,"&gt;0"),"mm/dd")&amp;" (due "&amp;TEXT($T310,"mm/dd")&amp;")","Retested"))),IF(NOT(ISNUMBER($T310)),"CHECK DATE",IF(TODAY()&gt;$T310,"OVERDUE","Due "&amp;TEXT($T310,"mm/dd")))))))</f>
        <v/>
      </c>
      <c r="V310" s="16" t="n"/>
      <c r="W310" s="16" t="n"/>
      <c r="X310" s="17">
        <f>IF($C310="","",IF(AND($L310&lt;&gt;"",NOT(ISNUMBER($L310))),"RAW SCORE NOT A NUMBER",IF(AND(ISNUMBER($L310),OR($L310&lt;0,$L310&gt;100)),"RAW SCORE OUT OF RANGE",IF(AND($Y310="Unexcused",OR($L310="",NOT(ISNUMBER($L310)),$L310&lt;&gt;0)),"UNEXCUSED ABSENCE MUST RECORD 0",IF(COUNTIF(nrES_RecID,$B310)&gt;1,"DUPLICATE RECORD",IF(N($K310)&gt;2,"ATTEMPT 3+ NOT ALLOWED - policy 300.5 permits one retest per exam; this row records nothing",IF(AND($K310=2,COUNTIFS(nrES_PID,$D310,nrES_Code,$F310,nrES_Att,1)=0),"ATTEMPT 2 WITHOUT ATTEMPT 1",IF(AND($K310=2,$L310=""),"RETEST ROW HAS NO SCORE",IF(AND($H310="Final",$L310&lt;&gt;"",IFERROR(INDEX(nrCKfinalExamElig,MATCH($D310,rngCadetPIDs,0)),"")="No"),"FINAL EXAM AFTER FAILED FINAL PT (500.1.H)",IF(AND($K310=2,ISNUMBER($L310),COUNTIFS(nrES_PID,$D310,nrES_Code,$F310,nrES_Att,1)&gt;0,SUMIFS(nrES_Raw,nrES_PID,$D310,nrES_Code,$F310,nrES_Att,1)&gt;=$J310),"RETEST AFTER A PASSING FIRST ATTEMPT","OK"))))))))))</f>
        <v/>
      </c>
      <c r="Y310" s="16" t="n"/>
    </row>
    <row r="311">
      <c r="B311" s="17">
        <f>IF($C311="","",$D311&amp;"-"&amp;$F311&amp;"-"&amp;$K311)</f>
        <v/>
      </c>
      <c r="C311" s="16" t="n"/>
      <c r="D311" s="17">
        <f>IF($C311="","",IFERROR(INDEX(rngCadetPIDs,MATCH($C311,rngCadetNames,0)),"?"))</f>
        <v/>
      </c>
      <c r="E311" s="17">
        <f>IF($D311="","",IFERROR(INDEX(nrCadetAgency,MATCH($D311,rngCadetPIDs,0)),""))</f>
        <v/>
      </c>
      <c r="F311" s="16" t="n"/>
      <c r="G311" s="17">
        <f>IF($F311="","",IFERROR(INDEX(rngEPname,MATCH($F311,rngEPcode,0)),"?"))</f>
        <v/>
      </c>
      <c r="H311" s="17">
        <f>IF($F311="","",IFERROR(INDEX(rngEPtype,MATCH($F311,rngEPcode,0)),"?"))</f>
        <v/>
      </c>
      <c r="I311" s="17">
        <f>IF($F311="","",IFERROR(INDEX(rngEPseq,MATCH($F311,rngEPcode,0)),""))</f>
        <v/>
      </c>
      <c r="J311" s="17">
        <f>IF($F311="","",IFERROR(INDEX(rngEPpass,MATCH($F311,rngEPcode,0)),cfgPassingScore))</f>
        <v/>
      </c>
      <c r="K311" s="16" t="n"/>
      <c r="L311" s="16" t="n"/>
      <c r="M311" s="17">
        <f>IF($C311="","",IF($L311="","",IF(NOT(ISNUMBER($L311)),$L311,IF(N($K311)&gt;2,"",IF($K311=1,IF(COUNTIFS(nrES_PID,$D311,nrES_Code,$F311,nrES_Att,2,nrES_Raw,"&gt;=0")&gt;0,"",$L311),IF($L311&gt;=$J311,MAX($J311,cfgRetakeRecordedCap),IF(COUNTIFS(nrES_PID,$D311,nrES_Code,$F311,nrES_Att,1)=0,$L311,SUMIFS(nrES_Raw,nrES_PID,$D311,nrES_Code,$F311,nrES_Att,1))))))))</f>
        <v/>
      </c>
      <c r="N311" s="17">
        <f>IF($C311="","",IF($L311="","",IF(NOT(ISNUMBER($L311)),"(not a score)",IF($L311&gt;=$J311,"Yes","No"))))</f>
        <v/>
      </c>
      <c r="O311" s="17">
        <f>IF($C311="","",IF($M311="","",IF(NOT(ISNUMBER($M311)),"(not a score)",IF($M311&gt;=$J311,"Yes","No"))))</f>
        <v/>
      </c>
      <c r="P311" s="17">
        <f>IF($C311="","",IF($K311="","",IF(N($K311)&gt;2,"No",IF(COUNTIFS(nrES_PID,$D311,nrES_Code,$F311,nrES_Att,"&gt;"&amp;$K311,nrES_Att,"&lt;=2",nrES_Raw,"&gt;=0")=0,"Yes","No"))))</f>
        <v/>
      </c>
      <c r="Q311" s="17">
        <f>IF($C311="","",IF($L311="","",IF(AND($K311=1,ISNUMBER($L311),$L311&lt;$J311,COUNTIFS(nrES_PID,$D311,nrES_Code,$F311,nrES_Att,2,nrES_Raw,"&gt;=0")=0),"Yes","No")))</f>
        <v/>
      </c>
      <c r="R311" s="17">
        <f>IF($C311="","",IF($L311="","",IF(AND(N($K311)&gt;=2,ISNUMBER($L311),$L311&lt;$J311),"Yes","No")))</f>
        <v/>
      </c>
      <c r="S311" s="18" t="n"/>
      <c r="T311" s="19">
        <f>IF(OR($C311="",$L311="",$K311&lt;&gt;1,NOT(ISNUMBER($L311)),$L311&gt;=$J311),"",IF($S311="","(enter date)",_xlfn.LET(_xlpm.dn,_xlfn.XLOOKUP($S311,nrCDdate,nrCDnum,"",1),IF(_xlpm.dn="","(after last class day)",_xlfn.LET(_xlpm.dd,_xlfn.XLOOKUP(_xlpm.dn+cfgRetestClassDays,nrCDnum,nrCDdate,""),_xlpm.ok,_xlfn.XLOOKUP(_xlpm.dn+cfgRetestClassDays,nrCDnum,nrCDinsession,"No"),IF(OR(_xlpm.dd="",_xlpm.ok&lt;&gt;"Yes"),"(after last class day)",_xlpm.dd))))))</f>
        <v/>
      </c>
      <c r="U311" s="17">
        <f>IF($C311="","",IF(AND($Y311="Excused",$L311="",N($K311)&lt;=1),"EXCUSED - 1st attempt pending",IF(OR($L311="",$K311&lt;&gt;1,NOT(ISNUMBER($L311)),$L311&gt;=$J311),"",IF(COUNTIFS(nrES_PID,$D311,nrES_Code,$F311,nrES_Att,2,nrES_Raw,"&gt;=0")&gt;0,IF(IFERROR(_xlfn.MINIFS(nrES_Date,nrES_PID,$D311,nrES_Code,$F311,nrES_Att,2,nrES_Raw,"&gt;=0",nrES_Date,"&gt;0"),0)=0,"RETEST UNDATED",IF(NOT(ISNUMBER($T311)),"RETEST DATE UNCHECKED",IF(_xlfn.MINIFS(nrES_Date,nrES_PID,$D311,nrES_Code,$F311,nrES_Att,2,nrES_Raw,"&gt;=0",nrES_Date,"&gt;0")&gt;$T311,"LATE RETEST "&amp;TEXT(_xlfn.MINIFS(nrES_Date,nrES_PID,$D311,nrES_Code,$F311,nrES_Att,2,nrES_Raw,"&gt;=0",nrES_Date,"&gt;0"),"mm/dd")&amp;" (due "&amp;TEXT($T311,"mm/dd")&amp;")","Retested"))),IF(NOT(ISNUMBER($T311)),"CHECK DATE",IF(TODAY()&gt;$T311,"OVERDUE","Due "&amp;TEXT($T311,"mm/dd")))))))</f>
        <v/>
      </c>
      <c r="V311" s="16" t="n"/>
      <c r="W311" s="16" t="n"/>
      <c r="X311" s="17">
        <f>IF($C311="","",IF(AND($L311&lt;&gt;"",NOT(ISNUMBER($L311))),"RAW SCORE NOT A NUMBER",IF(AND(ISNUMBER($L311),OR($L311&lt;0,$L311&gt;100)),"RAW SCORE OUT OF RANGE",IF(AND($Y311="Unexcused",OR($L311="",NOT(ISNUMBER($L311)),$L311&lt;&gt;0)),"UNEXCUSED ABSENCE MUST RECORD 0",IF(COUNTIF(nrES_RecID,$B311)&gt;1,"DUPLICATE RECORD",IF(N($K311)&gt;2,"ATTEMPT 3+ NOT ALLOWED - policy 300.5 permits one retest per exam; this row records nothing",IF(AND($K311=2,COUNTIFS(nrES_PID,$D311,nrES_Code,$F311,nrES_Att,1)=0),"ATTEMPT 2 WITHOUT ATTEMPT 1",IF(AND($K311=2,$L311=""),"RETEST ROW HAS NO SCORE",IF(AND($H311="Final",$L311&lt;&gt;"",IFERROR(INDEX(nrCKfinalExamElig,MATCH($D311,rngCadetPIDs,0)),"")="No"),"FINAL EXAM AFTER FAILED FINAL PT (500.1.H)",IF(AND($K311=2,ISNUMBER($L311),COUNTIFS(nrES_PID,$D311,nrES_Code,$F311,nrES_Att,1)&gt;0,SUMIFS(nrES_Raw,nrES_PID,$D311,nrES_Code,$F311,nrES_Att,1)&gt;=$J311),"RETEST AFTER A PASSING FIRST ATTEMPT","OK"))))))))))</f>
        <v/>
      </c>
      <c r="Y311" s="16" t="n"/>
    </row>
    <row r="312">
      <c r="B312" s="17">
        <f>IF($C312="","",$D312&amp;"-"&amp;$F312&amp;"-"&amp;$K312)</f>
        <v/>
      </c>
      <c r="C312" s="16" t="n"/>
      <c r="D312" s="17">
        <f>IF($C312="","",IFERROR(INDEX(rngCadetPIDs,MATCH($C312,rngCadetNames,0)),"?"))</f>
        <v/>
      </c>
      <c r="E312" s="17">
        <f>IF($D312="","",IFERROR(INDEX(nrCadetAgency,MATCH($D312,rngCadetPIDs,0)),""))</f>
        <v/>
      </c>
      <c r="F312" s="16" t="n"/>
      <c r="G312" s="17">
        <f>IF($F312="","",IFERROR(INDEX(rngEPname,MATCH($F312,rngEPcode,0)),"?"))</f>
        <v/>
      </c>
      <c r="H312" s="17">
        <f>IF($F312="","",IFERROR(INDEX(rngEPtype,MATCH($F312,rngEPcode,0)),"?"))</f>
        <v/>
      </c>
      <c r="I312" s="17">
        <f>IF($F312="","",IFERROR(INDEX(rngEPseq,MATCH($F312,rngEPcode,0)),""))</f>
        <v/>
      </c>
      <c r="J312" s="17">
        <f>IF($F312="","",IFERROR(INDEX(rngEPpass,MATCH($F312,rngEPcode,0)),cfgPassingScore))</f>
        <v/>
      </c>
      <c r="K312" s="16" t="n"/>
      <c r="L312" s="16" t="n"/>
      <c r="M312" s="17">
        <f>IF($C312="","",IF($L312="","",IF(NOT(ISNUMBER($L312)),$L312,IF(N($K312)&gt;2,"",IF($K312=1,IF(COUNTIFS(nrES_PID,$D312,nrES_Code,$F312,nrES_Att,2,nrES_Raw,"&gt;=0")&gt;0,"",$L312),IF($L312&gt;=$J312,MAX($J312,cfgRetakeRecordedCap),IF(COUNTIFS(nrES_PID,$D312,nrES_Code,$F312,nrES_Att,1)=0,$L312,SUMIFS(nrES_Raw,nrES_PID,$D312,nrES_Code,$F312,nrES_Att,1))))))))</f>
        <v/>
      </c>
      <c r="N312" s="17">
        <f>IF($C312="","",IF($L312="","",IF(NOT(ISNUMBER($L312)),"(not a score)",IF($L312&gt;=$J312,"Yes","No"))))</f>
        <v/>
      </c>
      <c r="O312" s="17">
        <f>IF($C312="","",IF($M312="","",IF(NOT(ISNUMBER($M312)),"(not a score)",IF($M312&gt;=$J312,"Yes","No"))))</f>
        <v/>
      </c>
      <c r="P312" s="17">
        <f>IF($C312="","",IF($K312="","",IF(N($K312)&gt;2,"No",IF(COUNTIFS(nrES_PID,$D312,nrES_Code,$F312,nrES_Att,"&gt;"&amp;$K312,nrES_Att,"&lt;=2",nrES_Raw,"&gt;=0")=0,"Yes","No"))))</f>
        <v/>
      </c>
      <c r="Q312" s="17">
        <f>IF($C312="","",IF($L312="","",IF(AND($K312=1,ISNUMBER($L312),$L312&lt;$J312,COUNTIFS(nrES_PID,$D312,nrES_Code,$F312,nrES_Att,2,nrES_Raw,"&gt;=0")=0),"Yes","No")))</f>
        <v/>
      </c>
      <c r="R312" s="17">
        <f>IF($C312="","",IF($L312="","",IF(AND(N($K312)&gt;=2,ISNUMBER($L312),$L312&lt;$J312),"Yes","No")))</f>
        <v/>
      </c>
      <c r="S312" s="18" t="n"/>
      <c r="T312" s="19">
        <f>IF(OR($C312="",$L312="",$K312&lt;&gt;1,NOT(ISNUMBER($L312)),$L312&gt;=$J312),"",IF($S312="","(enter date)",_xlfn.LET(_xlpm.dn,_xlfn.XLOOKUP($S312,nrCDdate,nrCDnum,"",1),IF(_xlpm.dn="","(after last class day)",_xlfn.LET(_xlpm.dd,_xlfn.XLOOKUP(_xlpm.dn+cfgRetestClassDays,nrCDnum,nrCDdate,""),_xlpm.ok,_xlfn.XLOOKUP(_xlpm.dn+cfgRetestClassDays,nrCDnum,nrCDinsession,"No"),IF(OR(_xlpm.dd="",_xlpm.ok&lt;&gt;"Yes"),"(after last class day)",_xlpm.dd))))))</f>
        <v/>
      </c>
      <c r="U312" s="17">
        <f>IF($C312="","",IF(AND($Y312="Excused",$L312="",N($K312)&lt;=1),"EXCUSED - 1st attempt pending",IF(OR($L312="",$K312&lt;&gt;1,NOT(ISNUMBER($L312)),$L312&gt;=$J312),"",IF(COUNTIFS(nrES_PID,$D312,nrES_Code,$F312,nrES_Att,2,nrES_Raw,"&gt;=0")&gt;0,IF(IFERROR(_xlfn.MINIFS(nrES_Date,nrES_PID,$D312,nrES_Code,$F312,nrES_Att,2,nrES_Raw,"&gt;=0",nrES_Date,"&gt;0"),0)=0,"RETEST UNDATED",IF(NOT(ISNUMBER($T312)),"RETEST DATE UNCHECKED",IF(_xlfn.MINIFS(nrES_Date,nrES_PID,$D312,nrES_Code,$F312,nrES_Att,2,nrES_Raw,"&gt;=0",nrES_Date,"&gt;0")&gt;$T312,"LATE RETEST "&amp;TEXT(_xlfn.MINIFS(nrES_Date,nrES_PID,$D312,nrES_Code,$F312,nrES_Att,2,nrES_Raw,"&gt;=0",nrES_Date,"&gt;0"),"mm/dd")&amp;" (due "&amp;TEXT($T312,"mm/dd")&amp;")","Retested"))),IF(NOT(ISNUMBER($T312)),"CHECK DATE",IF(TODAY()&gt;$T312,"OVERDUE","Due "&amp;TEXT($T312,"mm/dd")))))))</f>
        <v/>
      </c>
      <c r="V312" s="16" t="n"/>
      <c r="W312" s="16" t="n"/>
      <c r="X312" s="17">
        <f>IF($C312="","",IF(AND($L312&lt;&gt;"",NOT(ISNUMBER($L312))),"RAW SCORE NOT A NUMBER",IF(AND(ISNUMBER($L312),OR($L312&lt;0,$L312&gt;100)),"RAW SCORE OUT OF RANGE",IF(AND($Y312="Unexcused",OR($L312="",NOT(ISNUMBER($L312)),$L312&lt;&gt;0)),"UNEXCUSED ABSENCE MUST RECORD 0",IF(COUNTIF(nrES_RecID,$B312)&gt;1,"DUPLICATE RECORD",IF(N($K312)&gt;2,"ATTEMPT 3+ NOT ALLOWED - policy 300.5 permits one retest per exam; this row records nothing",IF(AND($K312=2,COUNTIFS(nrES_PID,$D312,nrES_Code,$F312,nrES_Att,1)=0),"ATTEMPT 2 WITHOUT ATTEMPT 1",IF(AND($K312=2,$L312=""),"RETEST ROW HAS NO SCORE",IF(AND($H312="Final",$L312&lt;&gt;"",IFERROR(INDEX(nrCKfinalExamElig,MATCH($D312,rngCadetPIDs,0)),"")="No"),"FINAL EXAM AFTER FAILED FINAL PT (500.1.H)",IF(AND($K312=2,ISNUMBER($L312),COUNTIFS(nrES_PID,$D312,nrES_Code,$F312,nrES_Att,1)&gt;0,SUMIFS(nrES_Raw,nrES_PID,$D312,nrES_Code,$F312,nrES_Att,1)&gt;=$J312),"RETEST AFTER A PASSING FIRST ATTEMPT","OK"))))))))))</f>
        <v/>
      </c>
      <c r="Y312" s="16" t="n"/>
    </row>
    <row r="313">
      <c r="B313" s="17">
        <f>IF($C313="","",$D313&amp;"-"&amp;$F313&amp;"-"&amp;$K313)</f>
        <v/>
      </c>
      <c r="C313" s="16" t="n"/>
      <c r="D313" s="17">
        <f>IF($C313="","",IFERROR(INDEX(rngCadetPIDs,MATCH($C313,rngCadetNames,0)),"?"))</f>
        <v/>
      </c>
      <c r="E313" s="17">
        <f>IF($D313="","",IFERROR(INDEX(nrCadetAgency,MATCH($D313,rngCadetPIDs,0)),""))</f>
        <v/>
      </c>
      <c r="F313" s="16" t="n"/>
      <c r="G313" s="17">
        <f>IF($F313="","",IFERROR(INDEX(rngEPname,MATCH($F313,rngEPcode,0)),"?"))</f>
        <v/>
      </c>
      <c r="H313" s="17">
        <f>IF($F313="","",IFERROR(INDEX(rngEPtype,MATCH($F313,rngEPcode,0)),"?"))</f>
        <v/>
      </c>
      <c r="I313" s="17">
        <f>IF($F313="","",IFERROR(INDEX(rngEPseq,MATCH($F313,rngEPcode,0)),""))</f>
        <v/>
      </c>
      <c r="J313" s="17">
        <f>IF($F313="","",IFERROR(INDEX(rngEPpass,MATCH($F313,rngEPcode,0)),cfgPassingScore))</f>
        <v/>
      </c>
      <c r="K313" s="16" t="n"/>
      <c r="L313" s="16" t="n"/>
      <c r="M313" s="17">
        <f>IF($C313="","",IF($L313="","",IF(NOT(ISNUMBER($L313)),$L313,IF(N($K313)&gt;2,"",IF($K313=1,IF(COUNTIFS(nrES_PID,$D313,nrES_Code,$F313,nrES_Att,2,nrES_Raw,"&gt;=0")&gt;0,"",$L313),IF($L313&gt;=$J313,MAX($J313,cfgRetakeRecordedCap),IF(COUNTIFS(nrES_PID,$D313,nrES_Code,$F313,nrES_Att,1)=0,$L313,SUMIFS(nrES_Raw,nrES_PID,$D313,nrES_Code,$F313,nrES_Att,1))))))))</f>
        <v/>
      </c>
      <c r="N313" s="17">
        <f>IF($C313="","",IF($L313="","",IF(NOT(ISNUMBER($L313)),"(not a score)",IF($L313&gt;=$J313,"Yes","No"))))</f>
        <v/>
      </c>
      <c r="O313" s="17">
        <f>IF($C313="","",IF($M313="","",IF(NOT(ISNUMBER($M313)),"(not a score)",IF($M313&gt;=$J313,"Yes","No"))))</f>
        <v/>
      </c>
      <c r="P313" s="17">
        <f>IF($C313="","",IF($K313="","",IF(N($K313)&gt;2,"No",IF(COUNTIFS(nrES_PID,$D313,nrES_Code,$F313,nrES_Att,"&gt;"&amp;$K313,nrES_Att,"&lt;=2",nrES_Raw,"&gt;=0")=0,"Yes","No"))))</f>
        <v/>
      </c>
      <c r="Q313" s="17">
        <f>IF($C313="","",IF($L313="","",IF(AND($K313=1,ISNUMBER($L313),$L313&lt;$J313,COUNTIFS(nrES_PID,$D313,nrES_Code,$F313,nrES_Att,2,nrES_Raw,"&gt;=0")=0),"Yes","No")))</f>
        <v/>
      </c>
      <c r="R313" s="17">
        <f>IF($C313="","",IF($L313="","",IF(AND(N($K313)&gt;=2,ISNUMBER($L313),$L313&lt;$J313),"Yes","No")))</f>
        <v/>
      </c>
      <c r="S313" s="18" t="n"/>
      <c r="T313" s="19">
        <f>IF(OR($C313="",$L313="",$K313&lt;&gt;1,NOT(ISNUMBER($L313)),$L313&gt;=$J313),"",IF($S313="","(enter date)",_xlfn.LET(_xlpm.dn,_xlfn.XLOOKUP($S313,nrCDdate,nrCDnum,"",1),IF(_xlpm.dn="","(after last class day)",_xlfn.LET(_xlpm.dd,_xlfn.XLOOKUP(_xlpm.dn+cfgRetestClassDays,nrCDnum,nrCDdate,""),_xlpm.ok,_xlfn.XLOOKUP(_xlpm.dn+cfgRetestClassDays,nrCDnum,nrCDinsession,"No"),IF(OR(_xlpm.dd="",_xlpm.ok&lt;&gt;"Yes"),"(after last class day)",_xlpm.dd))))))</f>
        <v/>
      </c>
      <c r="U313" s="17">
        <f>IF($C313="","",IF(AND($Y313="Excused",$L313="",N($K313)&lt;=1),"EXCUSED - 1st attempt pending",IF(OR($L313="",$K313&lt;&gt;1,NOT(ISNUMBER($L313)),$L313&gt;=$J313),"",IF(COUNTIFS(nrES_PID,$D313,nrES_Code,$F313,nrES_Att,2,nrES_Raw,"&gt;=0")&gt;0,IF(IFERROR(_xlfn.MINIFS(nrES_Date,nrES_PID,$D313,nrES_Code,$F313,nrES_Att,2,nrES_Raw,"&gt;=0",nrES_Date,"&gt;0"),0)=0,"RETEST UNDATED",IF(NOT(ISNUMBER($T313)),"RETEST DATE UNCHECKED",IF(_xlfn.MINIFS(nrES_Date,nrES_PID,$D313,nrES_Code,$F313,nrES_Att,2,nrES_Raw,"&gt;=0",nrES_Date,"&gt;0")&gt;$T313,"LATE RETEST "&amp;TEXT(_xlfn.MINIFS(nrES_Date,nrES_PID,$D313,nrES_Code,$F313,nrES_Att,2,nrES_Raw,"&gt;=0",nrES_Date,"&gt;0"),"mm/dd")&amp;" (due "&amp;TEXT($T313,"mm/dd")&amp;")","Retested"))),IF(NOT(ISNUMBER($T313)),"CHECK DATE",IF(TODAY()&gt;$T313,"OVERDUE","Due "&amp;TEXT($T313,"mm/dd")))))))</f>
        <v/>
      </c>
      <c r="V313" s="16" t="n"/>
      <c r="W313" s="16" t="n"/>
      <c r="X313" s="17">
        <f>IF($C313="","",IF(AND($L313&lt;&gt;"",NOT(ISNUMBER($L313))),"RAW SCORE NOT A NUMBER",IF(AND(ISNUMBER($L313),OR($L313&lt;0,$L313&gt;100)),"RAW SCORE OUT OF RANGE",IF(AND($Y313="Unexcused",OR($L313="",NOT(ISNUMBER($L313)),$L313&lt;&gt;0)),"UNEXCUSED ABSENCE MUST RECORD 0",IF(COUNTIF(nrES_RecID,$B313)&gt;1,"DUPLICATE RECORD",IF(N($K313)&gt;2,"ATTEMPT 3+ NOT ALLOWED - policy 300.5 permits one retest per exam; this row records nothing",IF(AND($K313=2,COUNTIFS(nrES_PID,$D313,nrES_Code,$F313,nrES_Att,1)=0),"ATTEMPT 2 WITHOUT ATTEMPT 1",IF(AND($K313=2,$L313=""),"RETEST ROW HAS NO SCORE",IF(AND($H313="Final",$L313&lt;&gt;"",IFERROR(INDEX(nrCKfinalExamElig,MATCH($D313,rngCadetPIDs,0)),"")="No"),"FINAL EXAM AFTER FAILED FINAL PT (500.1.H)",IF(AND($K313=2,ISNUMBER($L313),COUNTIFS(nrES_PID,$D313,nrES_Code,$F313,nrES_Att,1)&gt;0,SUMIFS(nrES_Raw,nrES_PID,$D313,nrES_Code,$F313,nrES_Att,1)&gt;=$J313),"RETEST AFTER A PASSING FIRST ATTEMPT","OK"))))))))))</f>
        <v/>
      </c>
      <c r="Y313" s="16" t="n"/>
    </row>
    <row r="314">
      <c r="B314" s="17">
        <f>IF($C314="","",$D314&amp;"-"&amp;$F314&amp;"-"&amp;$K314)</f>
        <v/>
      </c>
      <c r="C314" s="16" t="n"/>
      <c r="D314" s="17">
        <f>IF($C314="","",IFERROR(INDEX(rngCadetPIDs,MATCH($C314,rngCadetNames,0)),"?"))</f>
        <v/>
      </c>
      <c r="E314" s="17">
        <f>IF($D314="","",IFERROR(INDEX(nrCadetAgency,MATCH($D314,rngCadetPIDs,0)),""))</f>
        <v/>
      </c>
      <c r="F314" s="16" t="n"/>
      <c r="G314" s="17">
        <f>IF($F314="","",IFERROR(INDEX(rngEPname,MATCH($F314,rngEPcode,0)),"?"))</f>
        <v/>
      </c>
      <c r="H314" s="17">
        <f>IF($F314="","",IFERROR(INDEX(rngEPtype,MATCH($F314,rngEPcode,0)),"?"))</f>
        <v/>
      </c>
      <c r="I314" s="17">
        <f>IF($F314="","",IFERROR(INDEX(rngEPseq,MATCH($F314,rngEPcode,0)),""))</f>
        <v/>
      </c>
      <c r="J314" s="17">
        <f>IF($F314="","",IFERROR(INDEX(rngEPpass,MATCH($F314,rngEPcode,0)),cfgPassingScore))</f>
        <v/>
      </c>
      <c r="K314" s="16" t="n"/>
      <c r="L314" s="16" t="n"/>
      <c r="M314" s="17">
        <f>IF($C314="","",IF($L314="","",IF(NOT(ISNUMBER($L314)),$L314,IF(N($K314)&gt;2,"",IF($K314=1,IF(COUNTIFS(nrES_PID,$D314,nrES_Code,$F314,nrES_Att,2,nrES_Raw,"&gt;=0")&gt;0,"",$L314),IF($L314&gt;=$J314,MAX($J314,cfgRetakeRecordedCap),IF(COUNTIFS(nrES_PID,$D314,nrES_Code,$F314,nrES_Att,1)=0,$L314,SUMIFS(nrES_Raw,nrES_PID,$D314,nrES_Code,$F314,nrES_Att,1))))))))</f>
        <v/>
      </c>
      <c r="N314" s="17">
        <f>IF($C314="","",IF($L314="","",IF(NOT(ISNUMBER($L314)),"(not a score)",IF($L314&gt;=$J314,"Yes","No"))))</f>
        <v/>
      </c>
      <c r="O314" s="17">
        <f>IF($C314="","",IF($M314="","",IF(NOT(ISNUMBER($M314)),"(not a score)",IF($M314&gt;=$J314,"Yes","No"))))</f>
        <v/>
      </c>
      <c r="P314" s="17">
        <f>IF($C314="","",IF($K314="","",IF(N($K314)&gt;2,"No",IF(COUNTIFS(nrES_PID,$D314,nrES_Code,$F314,nrES_Att,"&gt;"&amp;$K314,nrES_Att,"&lt;=2",nrES_Raw,"&gt;=0")=0,"Yes","No"))))</f>
        <v/>
      </c>
      <c r="Q314" s="17">
        <f>IF($C314="","",IF($L314="","",IF(AND($K314=1,ISNUMBER($L314),$L314&lt;$J314,COUNTIFS(nrES_PID,$D314,nrES_Code,$F314,nrES_Att,2,nrES_Raw,"&gt;=0")=0),"Yes","No")))</f>
        <v/>
      </c>
      <c r="R314" s="17">
        <f>IF($C314="","",IF($L314="","",IF(AND(N($K314)&gt;=2,ISNUMBER($L314),$L314&lt;$J314),"Yes","No")))</f>
        <v/>
      </c>
      <c r="S314" s="18" t="n"/>
      <c r="T314" s="19">
        <f>IF(OR($C314="",$L314="",$K314&lt;&gt;1,NOT(ISNUMBER($L314)),$L314&gt;=$J314),"",IF($S314="","(enter date)",_xlfn.LET(_xlpm.dn,_xlfn.XLOOKUP($S314,nrCDdate,nrCDnum,"",1),IF(_xlpm.dn="","(after last class day)",_xlfn.LET(_xlpm.dd,_xlfn.XLOOKUP(_xlpm.dn+cfgRetestClassDays,nrCDnum,nrCDdate,""),_xlpm.ok,_xlfn.XLOOKUP(_xlpm.dn+cfgRetestClassDays,nrCDnum,nrCDinsession,"No"),IF(OR(_xlpm.dd="",_xlpm.ok&lt;&gt;"Yes"),"(after last class day)",_xlpm.dd))))))</f>
        <v/>
      </c>
      <c r="U314" s="17">
        <f>IF($C314="","",IF(AND($Y314="Excused",$L314="",N($K314)&lt;=1),"EXCUSED - 1st attempt pending",IF(OR($L314="",$K314&lt;&gt;1,NOT(ISNUMBER($L314)),$L314&gt;=$J314),"",IF(COUNTIFS(nrES_PID,$D314,nrES_Code,$F314,nrES_Att,2,nrES_Raw,"&gt;=0")&gt;0,IF(IFERROR(_xlfn.MINIFS(nrES_Date,nrES_PID,$D314,nrES_Code,$F314,nrES_Att,2,nrES_Raw,"&gt;=0",nrES_Date,"&gt;0"),0)=0,"RETEST UNDATED",IF(NOT(ISNUMBER($T314)),"RETEST DATE UNCHECKED",IF(_xlfn.MINIFS(nrES_Date,nrES_PID,$D314,nrES_Code,$F314,nrES_Att,2,nrES_Raw,"&gt;=0",nrES_Date,"&gt;0")&gt;$T314,"LATE RETEST "&amp;TEXT(_xlfn.MINIFS(nrES_Date,nrES_PID,$D314,nrES_Code,$F314,nrES_Att,2,nrES_Raw,"&gt;=0",nrES_Date,"&gt;0"),"mm/dd")&amp;" (due "&amp;TEXT($T314,"mm/dd")&amp;")","Retested"))),IF(NOT(ISNUMBER($T314)),"CHECK DATE",IF(TODAY()&gt;$T314,"OVERDUE","Due "&amp;TEXT($T314,"mm/dd")))))))</f>
        <v/>
      </c>
      <c r="V314" s="16" t="n"/>
      <c r="W314" s="16" t="n"/>
      <c r="X314" s="17">
        <f>IF($C314="","",IF(AND($L314&lt;&gt;"",NOT(ISNUMBER($L314))),"RAW SCORE NOT A NUMBER",IF(AND(ISNUMBER($L314),OR($L314&lt;0,$L314&gt;100)),"RAW SCORE OUT OF RANGE",IF(AND($Y314="Unexcused",OR($L314="",NOT(ISNUMBER($L314)),$L314&lt;&gt;0)),"UNEXCUSED ABSENCE MUST RECORD 0",IF(COUNTIF(nrES_RecID,$B314)&gt;1,"DUPLICATE RECORD",IF(N($K314)&gt;2,"ATTEMPT 3+ NOT ALLOWED - policy 300.5 permits one retest per exam; this row records nothing",IF(AND($K314=2,COUNTIFS(nrES_PID,$D314,nrES_Code,$F314,nrES_Att,1)=0),"ATTEMPT 2 WITHOUT ATTEMPT 1",IF(AND($K314=2,$L314=""),"RETEST ROW HAS NO SCORE",IF(AND($H314="Final",$L314&lt;&gt;"",IFERROR(INDEX(nrCKfinalExamElig,MATCH($D314,rngCadetPIDs,0)),"")="No"),"FINAL EXAM AFTER FAILED FINAL PT (500.1.H)",IF(AND($K314=2,ISNUMBER($L314),COUNTIFS(nrES_PID,$D314,nrES_Code,$F314,nrES_Att,1)&gt;0,SUMIFS(nrES_Raw,nrES_PID,$D314,nrES_Code,$F314,nrES_Att,1)&gt;=$J314),"RETEST AFTER A PASSING FIRST ATTEMPT","OK"))))))))))</f>
        <v/>
      </c>
      <c r="Y314" s="16" t="n"/>
    </row>
    <row r="315">
      <c r="B315" s="17">
        <f>IF($C315="","",$D315&amp;"-"&amp;$F315&amp;"-"&amp;$K315)</f>
        <v/>
      </c>
      <c r="C315" s="16" t="n"/>
      <c r="D315" s="17">
        <f>IF($C315="","",IFERROR(INDEX(rngCadetPIDs,MATCH($C315,rngCadetNames,0)),"?"))</f>
        <v/>
      </c>
      <c r="E315" s="17">
        <f>IF($D315="","",IFERROR(INDEX(nrCadetAgency,MATCH($D315,rngCadetPIDs,0)),""))</f>
        <v/>
      </c>
      <c r="F315" s="16" t="n"/>
      <c r="G315" s="17">
        <f>IF($F315="","",IFERROR(INDEX(rngEPname,MATCH($F315,rngEPcode,0)),"?"))</f>
        <v/>
      </c>
      <c r="H315" s="17">
        <f>IF($F315="","",IFERROR(INDEX(rngEPtype,MATCH($F315,rngEPcode,0)),"?"))</f>
        <v/>
      </c>
      <c r="I315" s="17">
        <f>IF($F315="","",IFERROR(INDEX(rngEPseq,MATCH($F315,rngEPcode,0)),""))</f>
        <v/>
      </c>
      <c r="J315" s="17">
        <f>IF($F315="","",IFERROR(INDEX(rngEPpass,MATCH($F315,rngEPcode,0)),cfgPassingScore))</f>
        <v/>
      </c>
      <c r="K315" s="16" t="n"/>
      <c r="L315" s="16" t="n"/>
      <c r="M315" s="17">
        <f>IF($C315="","",IF($L315="","",IF(NOT(ISNUMBER($L315)),$L315,IF(N($K315)&gt;2,"",IF($K315=1,IF(COUNTIFS(nrES_PID,$D315,nrES_Code,$F315,nrES_Att,2,nrES_Raw,"&gt;=0")&gt;0,"",$L315),IF($L315&gt;=$J315,MAX($J315,cfgRetakeRecordedCap),IF(COUNTIFS(nrES_PID,$D315,nrES_Code,$F315,nrES_Att,1)=0,$L315,SUMIFS(nrES_Raw,nrES_PID,$D315,nrES_Code,$F315,nrES_Att,1))))))))</f>
        <v/>
      </c>
      <c r="N315" s="17">
        <f>IF($C315="","",IF($L315="","",IF(NOT(ISNUMBER($L315)),"(not a score)",IF($L315&gt;=$J315,"Yes","No"))))</f>
        <v/>
      </c>
      <c r="O315" s="17">
        <f>IF($C315="","",IF($M315="","",IF(NOT(ISNUMBER($M315)),"(not a score)",IF($M315&gt;=$J315,"Yes","No"))))</f>
        <v/>
      </c>
      <c r="P315" s="17">
        <f>IF($C315="","",IF($K315="","",IF(N($K315)&gt;2,"No",IF(COUNTIFS(nrES_PID,$D315,nrES_Code,$F315,nrES_Att,"&gt;"&amp;$K315,nrES_Att,"&lt;=2",nrES_Raw,"&gt;=0")=0,"Yes","No"))))</f>
        <v/>
      </c>
      <c r="Q315" s="17">
        <f>IF($C315="","",IF($L315="","",IF(AND($K315=1,ISNUMBER($L315),$L315&lt;$J315,COUNTIFS(nrES_PID,$D315,nrES_Code,$F315,nrES_Att,2,nrES_Raw,"&gt;=0")=0),"Yes","No")))</f>
        <v/>
      </c>
      <c r="R315" s="17">
        <f>IF($C315="","",IF($L315="","",IF(AND(N($K315)&gt;=2,ISNUMBER($L315),$L315&lt;$J315),"Yes","No")))</f>
        <v/>
      </c>
      <c r="S315" s="18" t="n"/>
      <c r="T315" s="19">
        <f>IF(OR($C315="",$L315="",$K315&lt;&gt;1,NOT(ISNUMBER($L315)),$L315&gt;=$J315),"",IF($S315="","(enter date)",_xlfn.LET(_xlpm.dn,_xlfn.XLOOKUP($S315,nrCDdate,nrCDnum,"",1),IF(_xlpm.dn="","(after last class day)",_xlfn.LET(_xlpm.dd,_xlfn.XLOOKUP(_xlpm.dn+cfgRetestClassDays,nrCDnum,nrCDdate,""),_xlpm.ok,_xlfn.XLOOKUP(_xlpm.dn+cfgRetestClassDays,nrCDnum,nrCDinsession,"No"),IF(OR(_xlpm.dd="",_xlpm.ok&lt;&gt;"Yes"),"(after last class day)",_xlpm.dd))))))</f>
        <v/>
      </c>
      <c r="U315" s="17">
        <f>IF($C315="","",IF(AND($Y315="Excused",$L315="",N($K315)&lt;=1),"EXCUSED - 1st attempt pending",IF(OR($L315="",$K315&lt;&gt;1,NOT(ISNUMBER($L315)),$L315&gt;=$J315),"",IF(COUNTIFS(nrES_PID,$D315,nrES_Code,$F315,nrES_Att,2,nrES_Raw,"&gt;=0")&gt;0,IF(IFERROR(_xlfn.MINIFS(nrES_Date,nrES_PID,$D315,nrES_Code,$F315,nrES_Att,2,nrES_Raw,"&gt;=0",nrES_Date,"&gt;0"),0)=0,"RETEST UNDATED",IF(NOT(ISNUMBER($T315)),"RETEST DATE UNCHECKED",IF(_xlfn.MINIFS(nrES_Date,nrES_PID,$D315,nrES_Code,$F315,nrES_Att,2,nrES_Raw,"&gt;=0",nrES_Date,"&gt;0")&gt;$T315,"LATE RETEST "&amp;TEXT(_xlfn.MINIFS(nrES_Date,nrES_PID,$D315,nrES_Code,$F315,nrES_Att,2,nrES_Raw,"&gt;=0",nrES_Date,"&gt;0"),"mm/dd")&amp;" (due "&amp;TEXT($T315,"mm/dd")&amp;")","Retested"))),IF(NOT(ISNUMBER($T315)),"CHECK DATE",IF(TODAY()&gt;$T315,"OVERDUE","Due "&amp;TEXT($T315,"mm/dd")))))))</f>
        <v/>
      </c>
      <c r="V315" s="16" t="n"/>
      <c r="W315" s="16" t="n"/>
      <c r="X315" s="17">
        <f>IF($C315="","",IF(AND($L315&lt;&gt;"",NOT(ISNUMBER($L315))),"RAW SCORE NOT A NUMBER",IF(AND(ISNUMBER($L315),OR($L315&lt;0,$L315&gt;100)),"RAW SCORE OUT OF RANGE",IF(AND($Y315="Unexcused",OR($L315="",NOT(ISNUMBER($L315)),$L315&lt;&gt;0)),"UNEXCUSED ABSENCE MUST RECORD 0",IF(COUNTIF(nrES_RecID,$B315)&gt;1,"DUPLICATE RECORD",IF(N($K315)&gt;2,"ATTEMPT 3+ NOT ALLOWED - policy 300.5 permits one retest per exam; this row records nothing",IF(AND($K315=2,COUNTIFS(nrES_PID,$D315,nrES_Code,$F315,nrES_Att,1)=0),"ATTEMPT 2 WITHOUT ATTEMPT 1",IF(AND($K315=2,$L315=""),"RETEST ROW HAS NO SCORE",IF(AND($H315="Final",$L315&lt;&gt;"",IFERROR(INDEX(nrCKfinalExamElig,MATCH($D315,rngCadetPIDs,0)),"")="No"),"FINAL EXAM AFTER FAILED FINAL PT (500.1.H)",IF(AND($K315=2,ISNUMBER($L315),COUNTIFS(nrES_PID,$D315,nrES_Code,$F315,nrES_Att,1)&gt;0,SUMIFS(nrES_Raw,nrES_PID,$D315,nrES_Code,$F315,nrES_Att,1)&gt;=$J315),"RETEST AFTER A PASSING FIRST ATTEMPT","OK"))))))))))</f>
        <v/>
      </c>
      <c r="Y315" s="16" t="n"/>
    </row>
    <row r="316">
      <c r="B316" s="17">
        <f>IF($C316="","",$D316&amp;"-"&amp;$F316&amp;"-"&amp;$K316)</f>
        <v/>
      </c>
      <c r="C316" s="16" t="n"/>
      <c r="D316" s="17">
        <f>IF($C316="","",IFERROR(INDEX(rngCadetPIDs,MATCH($C316,rngCadetNames,0)),"?"))</f>
        <v/>
      </c>
      <c r="E316" s="17">
        <f>IF($D316="","",IFERROR(INDEX(nrCadetAgency,MATCH($D316,rngCadetPIDs,0)),""))</f>
        <v/>
      </c>
      <c r="F316" s="16" t="n"/>
      <c r="G316" s="17">
        <f>IF($F316="","",IFERROR(INDEX(rngEPname,MATCH($F316,rngEPcode,0)),"?"))</f>
        <v/>
      </c>
      <c r="H316" s="17">
        <f>IF($F316="","",IFERROR(INDEX(rngEPtype,MATCH($F316,rngEPcode,0)),"?"))</f>
        <v/>
      </c>
      <c r="I316" s="17">
        <f>IF($F316="","",IFERROR(INDEX(rngEPseq,MATCH($F316,rngEPcode,0)),""))</f>
        <v/>
      </c>
      <c r="J316" s="17">
        <f>IF($F316="","",IFERROR(INDEX(rngEPpass,MATCH($F316,rngEPcode,0)),cfgPassingScore))</f>
        <v/>
      </c>
      <c r="K316" s="16" t="n"/>
      <c r="L316" s="16" t="n"/>
      <c r="M316" s="17">
        <f>IF($C316="","",IF($L316="","",IF(NOT(ISNUMBER($L316)),$L316,IF(N($K316)&gt;2,"",IF($K316=1,IF(COUNTIFS(nrES_PID,$D316,nrES_Code,$F316,nrES_Att,2,nrES_Raw,"&gt;=0")&gt;0,"",$L316),IF($L316&gt;=$J316,MAX($J316,cfgRetakeRecordedCap),IF(COUNTIFS(nrES_PID,$D316,nrES_Code,$F316,nrES_Att,1)=0,$L316,SUMIFS(nrES_Raw,nrES_PID,$D316,nrES_Code,$F316,nrES_Att,1))))))))</f>
        <v/>
      </c>
      <c r="N316" s="17">
        <f>IF($C316="","",IF($L316="","",IF(NOT(ISNUMBER($L316)),"(not a score)",IF($L316&gt;=$J316,"Yes","No"))))</f>
        <v/>
      </c>
      <c r="O316" s="17">
        <f>IF($C316="","",IF($M316="","",IF(NOT(ISNUMBER($M316)),"(not a score)",IF($M316&gt;=$J316,"Yes","No"))))</f>
        <v/>
      </c>
      <c r="P316" s="17">
        <f>IF($C316="","",IF($K316="","",IF(N($K316)&gt;2,"No",IF(COUNTIFS(nrES_PID,$D316,nrES_Code,$F316,nrES_Att,"&gt;"&amp;$K316,nrES_Att,"&lt;=2",nrES_Raw,"&gt;=0")=0,"Yes","No"))))</f>
        <v/>
      </c>
      <c r="Q316" s="17">
        <f>IF($C316="","",IF($L316="","",IF(AND($K316=1,ISNUMBER($L316),$L316&lt;$J316,COUNTIFS(nrES_PID,$D316,nrES_Code,$F316,nrES_Att,2,nrES_Raw,"&gt;=0")=0),"Yes","No")))</f>
        <v/>
      </c>
      <c r="R316" s="17">
        <f>IF($C316="","",IF($L316="","",IF(AND(N($K316)&gt;=2,ISNUMBER($L316),$L316&lt;$J316),"Yes","No")))</f>
        <v/>
      </c>
      <c r="S316" s="18" t="n"/>
      <c r="T316" s="19">
        <f>IF(OR($C316="",$L316="",$K316&lt;&gt;1,NOT(ISNUMBER($L316)),$L316&gt;=$J316),"",IF($S316="","(enter date)",_xlfn.LET(_xlpm.dn,_xlfn.XLOOKUP($S316,nrCDdate,nrCDnum,"",1),IF(_xlpm.dn="","(after last class day)",_xlfn.LET(_xlpm.dd,_xlfn.XLOOKUP(_xlpm.dn+cfgRetestClassDays,nrCDnum,nrCDdate,""),_xlpm.ok,_xlfn.XLOOKUP(_xlpm.dn+cfgRetestClassDays,nrCDnum,nrCDinsession,"No"),IF(OR(_xlpm.dd="",_xlpm.ok&lt;&gt;"Yes"),"(after last class day)",_xlpm.dd))))))</f>
        <v/>
      </c>
      <c r="U316" s="17">
        <f>IF($C316="","",IF(AND($Y316="Excused",$L316="",N($K316)&lt;=1),"EXCUSED - 1st attempt pending",IF(OR($L316="",$K316&lt;&gt;1,NOT(ISNUMBER($L316)),$L316&gt;=$J316),"",IF(COUNTIFS(nrES_PID,$D316,nrES_Code,$F316,nrES_Att,2,nrES_Raw,"&gt;=0")&gt;0,IF(IFERROR(_xlfn.MINIFS(nrES_Date,nrES_PID,$D316,nrES_Code,$F316,nrES_Att,2,nrES_Raw,"&gt;=0",nrES_Date,"&gt;0"),0)=0,"RETEST UNDATED",IF(NOT(ISNUMBER($T316)),"RETEST DATE UNCHECKED",IF(_xlfn.MINIFS(nrES_Date,nrES_PID,$D316,nrES_Code,$F316,nrES_Att,2,nrES_Raw,"&gt;=0",nrES_Date,"&gt;0")&gt;$T316,"LATE RETEST "&amp;TEXT(_xlfn.MINIFS(nrES_Date,nrES_PID,$D316,nrES_Code,$F316,nrES_Att,2,nrES_Raw,"&gt;=0",nrES_Date,"&gt;0"),"mm/dd")&amp;" (due "&amp;TEXT($T316,"mm/dd")&amp;")","Retested"))),IF(NOT(ISNUMBER($T316)),"CHECK DATE",IF(TODAY()&gt;$T316,"OVERDUE","Due "&amp;TEXT($T316,"mm/dd")))))))</f>
        <v/>
      </c>
      <c r="V316" s="16" t="n"/>
      <c r="W316" s="16" t="n"/>
      <c r="X316" s="17">
        <f>IF($C316="","",IF(AND($L316&lt;&gt;"",NOT(ISNUMBER($L316))),"RAW SCORE NOT A NUMBER",IF(AND(ISNUMBER($L316),OR($L316&lt;0,$L316&gt;100)),"RAW SCORE OUT OF RANGE",IF(AND($Y316="Unexcused",OR($L316="",NOT(ISNUMBER($L316)),$L316&lt;&gt;0)),"UNEXCUSED ABSENCE MUST RECORD 0",IF(COUNTIF(nrES_RecID,$B316)&gt;1,"DUPLICATE RECORD",IF(N($K316)&gt;2,"ATTEMPT 3+ NOT ALLOWED - policy 300.5 permits one retest per exam; this row records nothing",IF(AND($K316=2,COUNTIFS(nrES_PID,$D316,nrES_Code,$F316,nrES_Att,1)=0),"ATTEMPT 2 WITHOUT ATTEMPT 1",IF(AND($K316=2,$L316=""),"RETEST ROW HAS NO SCORE",IF(AND($H316="Final",$L316&lt;&gt;"",IFERROR(INDEX(nrCKfinalExamElig,MATCH($D316,rngCadetPIDs,0)),"")="No"),"FINAL EXAM AFTER FAILED FINAL PT (500.1.H)",IF(AND($K316=2,ISNUMBER($L316),COUNTIFS(nrES_PID,$D316,nrES_Code,$F316,nrES_Att,1)&gt;0,SUMIFS(nrES_Raw,nrES_PID,$D316,nrES_Code,$F316,nrES_Att,1)&gt;=$J316),"RETEST AFTER A PASSING FIRST ATTEMPT","OK"))))))))))</f>
        <v/>
      </c>
      <c r="Y316" s="16" t="n"/>
    </row>
    <row r="317">
      <c r="B317" s="17">
        <f>IF($C317="","",$D317&amp;"-"&amp;$F317&amp;"-"&amp;$K317)</f>
        <v/>
      </c>
      <c r="C317" s="16" t="n"/>
      <c r="D317" s="17">
        <f>IF($C317="","",IFERROR(INDEX(rngCadetPIDs,MATCH($C317,rngCadetNames,0)),"?"))</f>
        <v/>
      </c>
      <c r="E317" s="17">
        <f>IF($D317="","",IFERROR(INDEX(nrCadetAgency,MATCH($D317,rngCadetPIDs,0)),""))</f>
        <v/>
      </c>
      <c r="F317" s="16" t="n"/>
      <c r="G317" s="17">
        <f>IF($F317="","",IFERROR(INDEX(rngEPname,MATCH($F317,rngEPcode,0)),"?"))</f>
        <v/>
      </c>
      <c r="H317" s="17">
        <f>IF($F317="","",IFERROR(INDEX(rngEPtype,MATCH($F317,rngEPcode,0)),"?"))</f>
        <v/>
      </c>
      <c r="I317" s="17">
        <f>IF($F317="","",IFERROR(INDEX(rngEPseq,MATCH($F317,rngEPcode,0)),""))</f>
        <v/>
      </c>
      <c r="J317" s="17">
        <f>IF($F317="","",IFERROR(INDEX(rngEPpass,MATCH($F317,rngEPcode,0)),cfgPassingScore))</f>
        <v/>
      </c>
      <c r="K317" s="16" t="n"/>
      <c r="L317" s="16" t="n"/>
      <c r="M317" s="17">
        <f>IF($C317="","",IF($L317="","",IF(NOT(ISNUMBER($L317)),$L317,IF(N($K317)&gt;2,"",IF($K317=1,IF(COUNTIFS(nrES_PID,$D317,nrES_Code,$F317,nrES_Att,2,nrES_Raw,"&gt;=0")&gt;0,"",$L317),IF($L317&gt;=$J317,MAX($J317,cfgRetakeRecordedCap),IF(COUNTIFS(nrES_PID,$D317,nrES_Code,$F317,nrES_Att,1)=0,$L317,SUMIFS(nrES_Raw,nrES_PID,$D317,nrES_Code,$F317,nrES_Att,1))))))))</f>
        <v/>
      </c>
      <c r="N317" s="17">
        <f>IF($C317="","",IF($L317="","",IF(NOT(ISNUMBER($L317)),"(not a score)",IF($L317&gt;=$J317,"Yes","No"))))</f>
        <v/>
      </c>
      <c r="O317" s="17">
        <f>IF($C317="","",IF($M317="","",IF(NOT(ISNUMBER($M317)),"(not a score)",IF($M317&gt;=$J317,"Yes","No"))))</f>
        <v/>
      </c>
      <c r="P317" s="17">
        <f>IF($C317="","",IF($K317="","",IF(N($K317)&gt;2,"No",IF(COUNTIFS(nrES_PID,$D317,nrES_Code,$F317,nrES_Att,"&gt;"&amp;$K317,nrES_Att,"&lt;=2",nrES_Raw,"&gt;=0")=0,"Yes","No"))))</f>
        <v/>
      </c>
      <c r="Q317" s="17">
        <f>IF($C317="","",IF($L317="","",IF(AND($K317=1,ISNUMBER($L317),$L317&lt;$J317,COUNTIFS(nrES_PID,$D317,nrES_Code,$F317,nrES_Att,2,nrES_Raw,"&gt;=0")=0),"Yes","No")))</f>
        <v/>
      </c>
      <c r="R317" s="17">
        <f>IF($C317="","",IF($L317="","",IF(AND(N($K317)&gt;=2,ISNUMBER($L317),$L317&lt;$J317),"Yes","No")))</f>
        <v/>
      </c>
      <c r="S317" s="18" t="n"/>
      <c r="T317" s="19">
        <f>IF(OR($C317="",$L317="",$K317&lt;&gt;1,NOT(ISNUMBER($L317)),$L317&gt;=$J317),"",IF($S317="","(enter date)",_xlfn.LET(_xlpm.dn,_xlfn.XLOOKUP($S317,nrCDdate,nrCDnum,"",1),IF(_xlpm.dn="","(after last class day)",_xlfn.LET(_xlpm.dd,_xlfn.XLOOKUP(_xlpm.dn+cfgRetestClassDays,nrCDnum,nrCDdate,""),_xlpm.ok,_xlfn.XLOOKUP(_xlpm.dn+cfgRetestClassDays,nrCDnum,nrCDinsession,"No"),IF(OR(_xlpm.dd="",_xlpm.ok&lt;&gt;"Yes"),"(after last class day)",_xlpm.dd))))))</f>
        <v/>
      </c>
      <c r="U317" s="17">
        <f>IF($C317="","",IF(AND($Y317="Excused",$L317="",N($K317)&lt;=1),"EXCUSED - 1st attempt pending",IF(OR($L317="",$K317&lt;&gt;1,NOT(ISNUMBER($L317)),$L317&gt;=$J317),"",IF(COUNTIFS(nrES_PID,$D317,nrES_Code,$F317,nrES_Att,2,nrES_Raw,"&gt;=0")&gt;0,IF(IFERROR(_xlfn.MINIFS(nrES_Date,nrES_PID,$D317,nrES_Code,$F317,nrES_Att,2,nrES_Raw,"&gt;=0",nrES_Date,"&gt;0"),0)=0,"RETEST UNDATED",IF(NOT(ISNUMBER($T317)),"RETEST DATE UNCHECKED",IF(_xlfn.MINIFS(nrES_Date,nrES_PID,$D317,nrES_Code,$F317,nrES_Att,2,nrES_Raw,"&gt;=0",nrES_Date,"&gt;0")&gt;$T317,"LATE RETEST "&amp;TEXT(_xlfn.MINIFS(nrES_Date,nrES_PID,$D317,nrES_Code,$F317,nrES_Att,2,nrES_Raw,"&gt;=0",nrES_Date,"&gt;0"),"mm/dd")&amp;" (due "&amp;TEXT($T317,"mm/dd")&amp;")","Retested"))),IF(NOT(ISNUMBER($T317)),"CHECK DATE",IF(TODAY()&gt;$T317,"OVERDUE","Due "&amp;TEXT($T317,"mm/dd")))))))</f>
        <v/>
      </c>
      <c r="V317" s="16" t="n"/>
      <c r="W317" s="16" t="n"/>
      <c r="X317" s="17">
        <f>IF($C317="","",IF(AND($L317&lt;&gt;"",NOT(ISNUMBER($L317))),"RAW SCORE NOT A NUMBER",IF(AND(ISNUMBER($L317),OR($L317&lt;0,$L317&gt;100)),"RAW SCORE OUT OF RANGE",IF(AND($Y317="Unexcused",OR($L317="",NOT(ISNUMBER($L317)),$L317&lt;&gt;0)),"UNEXCUSED ABSENCE MUST RECORD 0",IF(COUNTIF(nrES_RecID,$B317)&gt;1,"DUPLICATE RECORD",IF(N($K317)&gt;2,"ATTEMPT 3+ NOT ALLOWED - policy 300.5 permits one retest per exam; this row records nothing",IF(AND($K317=2,COUNTIFS(nrES_PID,$D317,nrES_Code,$F317,nrES_Att,1)=0),"ATTEMPT 2 WITHOUT ATTEMPT 1",IF(AND($K317=2,$L317=""),"RETEST ROW HAS NO SCORE",IF(AND($H317="Final",$L317&lt;&gt;"",IFERROR(INDEX(nrCKfinalExamElig,MATCH($D317,rngCadetPIDs,0)),"")="No"),"FINAL EXAM AFTER FAILED FINAL PT (500.1.H)",IF(AND($K317=2,ISNUMBER($L317),COUNTIFS(nrES_PID,$D317,nrES_Code,$F317,nrES_Att,1)&gt;0,SUMIFS(nrES_Raw,nrES_PID,$D317,nrES_Code,$F317,nrES_Att,1)&gt;=$J317),"RETEST AFTER A PASSING FIRST ATTEMPT","OK"))))))))))</f>
        <v/>
      </c>
      <c r="Y317" s="16" t="n"/>
    </row>
    <row r="318">
      <c r="B318" s="17">
        <f>IF($C318="","",$D318&amp;"-"&amp;$F318&amp;"-"&amp;$K318)</f>
        <v/>
      </c>
      <c r="C318" s="16" t="n"/>
      <c r="D318" s="17">
        <f>IF($C318="","",IFERROR(INDEX(rngCadetPIDs,MATCH($C318,rngCadetNames,0)),"?"))</f>
        <v/>
      </c>
      <c r="E318" s="17">
        <f>IF($D318="","",IFERROR(INDEX(nrCadetAgency,MATCH($D318,rngCadetPIDs,0)),""))</f>
        <v/>
      </c>
      <c r="F318" s="16" t="n"/>
      <c r="G318" s="17">
        <f>IF($F318="","",IFERROR(INDEX(rngEPname,MATCH($F318,rngEPcode,0)),"?"))</f>
        <v/>
      </c>
      <c r="H318" s="17">
        <f>IF($F318="","",IFERROR(INDEX(rngEPtype,MATCH($F318,rngEPcode,0)),"?"))</f>
        <v/>
      </c>
      <c r="I318" s="17">
        <f>IF($F318="","",IFERROR(INDEX(rngEPseq,MATCH($F318,rngEPcode,0)),""))</f>
        <v/>
      </c>
      <c r="J318" s="17">
        <f>IF($F318="","",IFERROR(INDEX(rngEPpass,MATCH($F318,rngEPcode,0)),cfgPassingScore))</f>
        <v/>
      </c>
      <c r="K318" s="16" t="n"/>
      <c r="L318" s="16" t="n"/>
      <c r="M318" s="17">
        <f>IF($C318="","",IF($L318="","",IF(NOT(ISNUMBER($L318)),$L318,IF(N($K318)&gt;2,"",IF($K318=1,IF(COUNTIFS(nrES_PID,$D318,nrES_Code,$F318,nrES_Att,2,nrES_Raw,"&gt;=0")&gt;0,"",$L318),IF($L318&gt;=$J318,MAX($J318,cfgRetakeRecordedCap),IF(COUNTIFS(nrES_PID,$D318,nrES_Code,$F318,nrES_Att,1)=0,$L318,SUMIFS(nrES_Raw,nrES_PID,$D318,nrES_Code,$F318,nrES_Att,1))))))))</f>
        <v/>
      </c>
      <c r="N318" s="17">
        <f>IF($C318="","",IF($L318="","",IF(NOT(ISNUMBER($L318)),"(not a score)",IF($L318&gt;=$J318,"Yes","No"))))</f>
        <v/>
      </c>
      <c r="O318" s="17">
        <f>IF($C318="","",IF($M318="","",IF(NOT(ISNUMBER($M318)),"(not a score)",IF($M318&gt;=$J318,"Yes","No"))))</f>
        <v/>
      </c>
      <c r="P318" s="17">
        <f>IF($C318="","",IF($K318="","",IF(N($K318)&gt;2,"No",IF(COUNTIFS(nrES_PID,$D318,nrES_Code,$F318,nrES_Att,"&gt;"&amp;$K318,nrES_Att,"&lt;=2",nrES_Raw,"&gt;=0")=0,"Yes","No"))))</f>
        <v/>
      </c>
      <c r="Q318" s="17">
        <f>IF($C318="","",IF($L318="","",IF(AND($K318=1,ISNUMBER($L318),$L318&lt;$J318,COUNTIFS(nrES_PID,$D318,nrES_Code,$F318,nrES_Att,2,nrES_Raw,"&gt;=0")=0),"Yes","No")))</f>
        <v/>
      </c>
      <c r="R318" s="17">
        <f>IF($C318="","",IF($L318="","",IF(AND(N($K318)&gt;=2,ISNUMBER($L318),$L318&lt;$J318),"Yes","No")))</f>
        <v/>
      </c>
      <c r="S318" s="18" t="n"/>
      <c r="T318" s="19">
        <f>IF(OR($C318="",$L318="",$K318&lt;&gt;1,NOT(ISNUMBER($L318)),$L318&gt;=$J318),"",IF($S318="","(enter date)",_xlfn.LET(_xlpm.dn,_xlfn.XLOOKUP($S318,nrCDdate,nrCDnum,"",1),IF(_xlpm.dn="","(after last class day)",_xlfn.LET(_xlpm.dd,_xlfn.XLOOKUP(_xlpm.dn+cfgRetestClassDays,nrCDnum,nrCDdate,""),_xlpm.ok,_xlfn.XLOOKUP(_xlpm.dn+cfgRetestClassDays,nrCDnum,nrCDinsession,"No"),IF(OR(_xlpm.dd="",_xlpm.ok&lt;&gt;"Yes"),"(after last class day)",_xlpm.dd))))))</f>
        <v/>
      </c>
      <c r="U318" s="17">
        <f>IF($C318="","",IF(AND($Y318="Excused",$L318="",N($K318)&lt;=1),"EXCUSED - 1st attempt pending",IF(OR($L318="",$K318&lt;&gt;1,NOT(ISNUMBER($L318)),$L318&gt;=$J318),"",IF(COUNTIFS(nrES_PID,$D318,nrES_Code,$F318,nrES_Att,2,nrES_Raw,"&gt;=0")&gt;0,IF(IFERROR(_xlfn.MINIFS(nrES_Date,nrES_PID,$D318,nrES_Code,$F318,nrES_Att,2,nrES_Raw,"&gt;=0",nrES_Date,"&gt;0"),0)=0,"RETEST UNDATED",IF(NOT(ISNUMBER($T318)),"RETEST DATE UNCHECKED",IF(_xlfn.MINIFS(nrES_Date,nrES_PID,$D318,nrES_Code,$F318,nrES_Att,2,nrES_Raw,"&gt;=0",nrES_Date,"&gt;0")&gt;$T318,"LATE RETEST "&amp;TEXT(_xlfn.MINIFS(nrES_Date,nrES_PID,$D318,nrES_Code,$F318,nrES_Att,2,nrES_Raw,"&gt;=0",nrES_Date,"&gt;0"),"mm/dd")&amp;" (due "&amp;TEXT($T318,"mm/dd")&amp;")","Retested"))),IF(NOT(ISNUMBER($T318)),"CHECK DATE",IF(TODAY()&gt;$T318,"OVERDUE","Due "&amp;TEXT($T318,"mm/dd")))))))</f>
        <v/>
      </c>
      <c r="V318" s="16" t="n"/>
      <c r="W318" s="16" t="n"/>
      <c r="X318" s="17">
        <f>IF($C318="","",IF(AND($L318&lt;&gt;"",NOT(ISNUMBER($L318))),"RAW SCORE NOT A NUMBER",IF(AND(ISNUMBER($L318),OR($L318&lt;0,$L318&gt;100)),"RAW SCORE OUT OF RANGE",IF(AND($Y318="Unexcused",OR($L318="",NOT(ISNUMBER($L318)),$L318&lt;&gt;0)),"UNEXCUSED ABSENCE MUST RECORD 0",IF(COUNTIF(nrES_RecID,$B318)&gt;1,"DUPLICATE RECORD",IF(N($K318)&gt;2,"ATTEMPT 3+ NOT ALLOWED - policy 300.5 permits one retest per exam; this row records nothing",IF(AND($K318=2,COUNTIFS(nrES_PID,$D318,nrES_Code,$F318,nrES_Att,1)=0),"ATTEMPT 2 WITHOUT ATTEMPT 1",IF(AND($K318=2,$L318=""),"RETEST ROW HAS NO SCORE",IF(AND($H318="Final",$L318&lt;&gt;"",IFERROR(INDEX(nrCKfinalExamElig,MATCH($D318,rngCadetPIDs,0)),"")="No"),"FINAL EXAM AFTER FAILED FINAL PT (500.1.H)",IF(AND($K318=2,ISNUMBER($L318),COUNTIFS(nrES_PID,$D318,nrES_Code,$F318,nrES_Att,1)&gt;0,SUMIFS(nrES_Raw,nrES_PID,$D318,nrES_Code,$F318,nrES_Att,1)&gt;=$J318),"RETEST AFTER A PASSING FIRST ATTEMPT","OK"))))))))))</f>
        <v/>
      </c>
      <c r="Y318" s="16" t="n"/>
    </row>
    <row r="319">
      <c r="B319" s="17">
        <f>IF($C319="","",$D319&amp;"-"&amp;$F319&amp;"-"&amp;$K319)</f>
        <v/>
      </c>
      <c r="C319" s="16" t="n"/>
      <c r="D319" s="17">
        <f>IF($C319="","",IFERROR(INDEX(rngCadetPIDs,MATCH($C319,rngCadetNames,0)),"?"))</f>
        <v/>
      </c>
      <c r="E319" s="17">
        <f>IF($D319="","",IFERROR(INDEX(nrCadetAgency,MATCH($D319,rngCadetPIDs,0)),""))</f>
        <v/>
      </c>
      <c r="F319" s="16" t="n"/>
      <c r="G319" s="17">
        <f>IF($F319="","",IFERROR(INDEX(rngEPname,MATCH($F319,rngEPcode,0)),"?"))</f>
        <v/>
      </c>
      <c r="H319" s="17">
        <f>IF($F319="","",IFERROR(INDEX(rngEPtype,MATCH($F319,rngEPcode,0)),"?"))</f>
        <v/>
      </c>
      <c r="I319" s="17">
        <f>IF($F319="","",IFERROR(INDEX(rngEPseq,MATCH($F319,rngEPcode,0)),""))</f>
        <v/>
      </c>
      <c r="J319" s="17">
        <f>IF($F319="","",IFERROR(INDEX(rngEPpass,MATCH($F319,rngEPcode,0)),cfgPassingScore))</f>
        <v/>
      </c>
      <c r="K319" s="16" t="n"/>
      <c r="L319" s="16" t="n"/>
      <c r="M319" s="17">
        <f>IF($C319="","",IF($L319="","",IF(NOT(ISNUMBER($L319)),$L319,IF(N($K319)&gt;2,"",IF($K319=1,IF(COUNTIFS(nrES_PID,$D319,nrES_Code,$F319,nrES_Att,2,nrES_Raw,"&gt;=0")&gt;0,"",$L319),IF($L319&gt;=$J319,MAX($J319,cfgRetakeRecordedCap),IF(COUNTIFS(nrES_PID,$D319,nrES_Code,$F319,nrES_Att,1)=0,$L319,SUMIFS(nrES_Raw,nrES_PID,$D319,nrES_Code,$F319,nrES_Att,1))))))))</f>
        <v/>
      </c>
      <c r="N319" s="17">
        <f>IF($C319="","",IF($L319="","",IF(NOT(ISNUMBER($L319)),"(not a score)",IF($L319&gt;=$J319,"Yes","No"))))</f>
        <v/>
      </c>
      <c r="O319" s="17">
        <f>IF($C319="","",IF($M319="","",IF(NOT(ISNUMBER($M319)),"(not a score)",IF($M319&gt;=$J319,"Yes","No"))))</f>
        <v/>
      </c>
      <c r="P319" s="17">
        <f>IF($C319="","",IF($K319="","",IF(N($K319)&gt;2,"No",IF(COUNTIFS(nrES_PID,$D319,nrES_Code,$F319,nrES_Att,"&gt;"&amp;$K319,nrES_Att,"&lt;=2",nrES_Raw,"&gt;=0")=0,"Yes","No"))))</f>
        <v/>
      </c>
      <c r="Q319" s="17">
        <f>IF($C319="","",IF($L319="","",IF(AND($K319=1,ISNUMBER($L319),$L319&lt;$J319,COUNTIFS(nrES_PID,$D319,nrES_Code,$F319,nrES_Att,2,nrES_Raw,"&gt;=0")=0),"Yes","No")))</f>
        <v/>
      </c>
      <c r="R319" s="17">
        <f>IF($C319="","",IF($L319="","",IF(AND(N($K319)&gt;=2,ISNUMBER($L319),$L319&lt;$J319),"Yes","No")))</f>
        <v/>
      </c>
      <c r="S319" s="18" t="n"/>
      <c r="T319" s="19">
        <f>IF(OR($C319="",$L319="",$K319&lt;&gt;1,NOT(ISNUMBER($L319)),$L319&gt;=$J319),"",IF($S319="","(enter date)",_xlfn.LET(_xlpm.dn,_xlfn.XLOOKUP($S319,nrCDdate,nrCDnum,"",1),IF(_xlpm.dn="","(after last class day)",_xlfn.LET(_xlpm.dd,_xlfn.XLOOKUP(_xlpm.dn+cfgRetestClassDays,nrCDnum,nrCDdate,""),_xlpm.ok,_xlfn.XLOOKUP(_xlpm.dn+cfgRetestClassDays,nrCDnum,nrCDinsession,"No"),IF(OR(_xlpm.dd="",_xlpm.ok&lt;&gt;"Yes"),"(after last class day)",_xlpm.dd))))))</f>
        <v/>
      </c>
      <c r="U319" s="17">
        <f>IF($C319="","",IF(AND($Y319="Excused",$L319="",N($K319)&lt;=1),"EXCUSED - 1st attempt pending",IF(OR($L319="",$K319&lt;&gt;1,NOT(ISNUMBER($L319)),$L319&gt;=$J319),"",IF(COUNTIFS(nrES_PID,$D319,nrES_Code,$F319,nrES_Att,2,nrES_Raw,"&gt;=0")&gt;0,IF(IFERROR(_xlfn.MINIFS(nrES_Date,nrES_PID,$D319,nrES_Code,$F319,nrES_Att,2,nrES_Raw,"&gt;=0",nrES_Date,"&gt;0"),0)=0,"RETEST UNDATED",IF(NOT(ISNUMBER($T319)),"RETEST DATE UNCHECKED",IF(_xlfn.MINIFS(nrES_Date,nrES_PID,$D319,nrES_Code,$F319,nrES_Att,2,nrES_Raw,"&gt;=0",nrES_Date,"&gt;0")&gt;$T319,"LATE RETEST "&amp;TEXT(_xlfn.MINIFS(nrES_Date,nrES_PID,$D319,nrES_Code,$F319,nrES_Att,2,nrES_Raw,"&gt;=0",nrES_Date,"&gt;0"),"mm/dd")&amp;" (due "&amp;TEXT($T319,"mm/dd")&amp;")","Retested"))),IF(NOT(ISNUMBER($T319)),"CHECK DATE",IF(TODAY()&gt;$T319,"OVERDUE","Due "&amp;TEXT($T319,"mm/dd")))))))</f>
        <v/>
      </c>
      <c r="V319" s="16" t="n"/>
      <c r="W319" s="16" t="n"/>
      <c r="X319" s="17">
        <f>IF($C319="","",IF(AND($L319&lt;&gt;"",NOT(ISNUMBER($L319))),"RAW SCORE NOT A NUMBER",IF(AND(ISNUMBER($L319),OR($L319&lt;0,$L319&gt;100)),"RAW SCORE OUT OF RANGE",IF(AND($Y319="Unexcused",OR($L319="",NOT(ISNUMBER($L319)),$L319&lt;&gt;0)),"UNEXCUSED ABSENCE MUST RECORD 0",IF(COUNTIF(nrES_RecID,$B319)&gt;1,"DUPLICATE RECORD",IF(N($K319)&gt;2,"ATTEMPT 3+ NOT ALLOWED - policy 300.5 permits one retest per exam; this row records nothing",IF(AND($K319=2,COUNTIFS(nrES_PID,$D319,nrES_Code,$F319,nrES_Att,1)=0),"ATTEMPT 2 WITHOUT ATTEMPT 1",IF(AND($K319=2,$L319=""),"RETEST ROW HAS NO SCORE",IF(AND($H319="Final",$L319&lt;&gt;"",IFERROR(INDEX(nrCKfinalExamElig,MATCH($D319,rngCadetPIDs,0)),"")="No"),"FINAL EXAM AFTER FAILED FINAL PT (500.1.H)",IF(AND($K319=2,ISNUMBER($L319),COUNTIFS(nrES_PID,$D319,nrES_Code,$F319,nrES_Att,1)&gt;0,SUMIFS(nrES_Raw,nrES_PID,$D319,nrES_Code,$F319,nrES_Att,1)&gt;=$J319),"RETEST AFTER A PASSING FIRST ATTEMPT","OK"))))))))))</f>
        <v/>
      </c>
      <c r="Y319" s="16" t="n"/>
    </row>
    <row r="320">
      <c r="B320" s="17">
        <f>IF($C320="","",$D320&amp;"-"&amp;$F320&amp;"-"&amp;$K320)</f>
        <v/>
      </c>
      <c r="C320" s="16" t="n"/>
      <c r="D320" s="17">
        <f>IF($C320="","",IFERROR(INDEX(rngCadetPIDs,MATCH($C320,rngCadetNames,0)),"?"))</f>
        <v/>
      </c>
      <c r="E320" s="17">
        <f>IF($D320="","",IFERROR(INDEX(nrCadetAgency,MATCH($D320,rngCadetPIDs,0)),""))</f>
        <v/>
      </c>
      <c r="F320" s="16" t="n"/>
      <c r="G320" s="17">
        <f>IF($F320="","",IFERROR(INDEX(rngEPname,MATCH($F320,rngEPcode,0)),"?"))</f>
        <v/>
      </c>
      <c r="H320" s="17">
        <f>IF($F320="","",IFERROR(INDEX(rngEPtype,MATCH($F320,rngEPcode,0)),"?"))</f>
        <v/>
      </c>
      <c r="I320" s="17">
        <f>IF($F320="","",IFERROR(INDEX(rngEPseq,MATCH($F320,rngEPcode,0)),""))</f>
        <v/>
      </c>
      <c r="J320" s="17">
        <f>IF($F320="","",IFERROR(INDEX(rngEPpass,MATCH($F320,rngEPcode,0)),cfgPassingScore))</f>
        <v/>
      </c>
      <c r="K320" s="16" t="n"/>
      <c r="L320" s="16" t="n"/>
      <c r="M320" s="17">
        <f>IF($C320="","",IF($L320="","",IF(NOT(ISNUMBER($L320)),$L320,IF(N($K320)&gt;2,"",IF($K320=1,IF(COUNTIFS(nrES_PID,$D320,nrES_Code,$F320,nrES_Att,2,nrES_Raw,"&gt;=0")&gt;0,"",$L320),IF($L320&gt;=$J320,MAX($J320,cfgRetakeRecordedCap),IF(COUNTIFS(nrES_PID,$D320,nrES_Code,$F320,nrES_Att,1)=0,$L320,SUMIFS(nrES_Raw,nrES_PID,$D320,nrES_Code,$F320,nrES_Att,1))))))))</f>
        <v/>
      </c>
      <c r="N320" s="17">
        <f>IF($C320="","",IF($L320="","",IF(NOT(ISNUMBER($L320)),"(not a score)",IF($L320&gt;=$J320,"Yes","No"))))</f>
        <v/>
      </c>
      <c r="O320" s="17">
        <f>IF($C320="","",IF($M320="","",IF(NOT(ISNUMBER($M320)),"(not a score)",IF($M320&gt;=$J320,"Yes","No"))))</f>
        <v/>
      </c>
      <c r="P320" s="17">
        <f>IF($C320="","",IF($K320="","",IF(N($K320)&gt;2,"No",IF(COUNTIFS(nrES_PID,$D320,nrES_Code,$F320,nrES_Att,"&gt;"&amp;$K320,nrES_Att,"&lt;=2",nrES_Raw,"&gt;=0")=0,"Yes","No"))))</f>
        <v/>
      </c>
      <c r="Q320" s="17">
        <f>IF($C320="","",IF($L320="","",IF(AND($K320=1,ISNUMBER($L320),$L320&lt;$J320,COUNTIFS(nrES_PID,$D320,nrES_Code,$F320,nrES_Att,2,nrES_Raw,"&gt;=0")=0),"Yes","No")))</f>
        <v/>
      </c>
      <c r="R320" s="17">
        <f>IF($C320="","",IF($L320="","",IF(AND(N($K320)&gt;=2,ISNUMBER($L320),$L320&lt;$J320),"Yes","No")))</f>
        <v/>
      </c>
      <c r="S320" s="18" t="n"/>
      <c r="T320" s="19">
        <f>IF(OR($C320="",$L320="",$K320&lt;&gt;1,NOT(ISNUMBER($L320)),$L320&gt;=$J320),"",IF($S320="","(enter date)",_xlfn.LET(_xlpm.dn,_xlfn.XLOOKUP($S320,nrCDdate,nrCDnum,"",1),IF(_xlpm.dn="","(after last class day)",_xlfn.LET(_xlpm.dd,_xlfn.XLOOKUP(_xlpm.dn+cfgRetestClassDays,nrCDnum,nrCDdate,""),_xlpm.ok,_xlfn.XLOOKUP(_xlpm.dn+cfgRetestClassDays,nrCDnum,nrCDinsession,"No"),IF(OR(_xlpm.dd="",_xlpm.ok&lt;&gt;"Yes"),"(after last class day)",_xlpm.dd))))))</f>
        <v/>
      </c>
      <c r="U320" s="17">
        <f>IF($C320="","",IF(AND($Y320="Excused",$L320="",N($K320)&lt;=1),"EXCUSED - 1st attempt pending",IF(OR($L320="",$K320&lt;&gt;1,NOT(ISNUMBER($L320)),$L320&gt;=$J320),"",IF(COUNTIFS(nrES_PID,$D320,nrES_Code,$F320,nrES_Att,2,nrES_Raw,"&gt;=0")&gt;0,IF(IFERROR(_xlfn.MINIFS(nrES_Date,nrES_PID,$D320,nrES_Code,$F320,nrES_Att,2,nrES_Raw,"&gt;=0",nrES_Date,"&gt;0"),0)=0,"RETEST UNDATED",IF(NOT(ISNUMBER($T320)),"RETEST DATE UNCHECKED",IF(_xlfn.MINIFS(nrES_Date,nrES_PID,$D320,nrES_Code,$F320,nrES_Att,2,nrES_Raw,"&gt;=0",nrES_Date,"&gt;0")&gt;$T320,"LATE RETEST "&amp;TEXT(_xlfn.MINIFS(nrES_Date,nrES_PID,$D320,nrES_Code,$F320,nrES_Att,2,nrES_Raw,"&gt;=0",nrES_Date,"&gt;0"),"mm/dd")&amp;" (due "&amp;TEXT($T320,"mm/dd")&amp;")","Retested"))),IF(NOT(ISNUMBER($T320)),"CHECK DATE",IF(TODAY()&gt;$T320,"OVERDUE","Due "&amp;TEXT($T320,"mm/dd")))))))</f>
        <v/>
      </c>
      <c r="V320" s="16" t="n"/>
      <c r="W320" s="16" t="n"/>
      <c r="X320" s="17">
        <f>IF($C320="","",IF(AND($L320&lt;&gt;"",NOT(ISNUMBER($L320))),"RAW SCORE NOT A NUMBER",IF(AND(ISNUMBER($L320),OR($L320&lt;0,$L320&gt;100)),"RAW SCORE OUT OF RANGE",IF(AND($Y320="Unexcused",OR($L320="",NOT(ISNUMBER($L320)),$L320&lt;&gt;0)),"UNEXCUSED ABSENCE MUST RECORD 0",IF(COUNTIF(nrES_RecID,$B320)&gt;1,"DUPLICATE RECORD",IF(N($K320)&gt;2,"ATTEMPT 3+ NOT ALLOWED - policy 300.5 permits one retest per exam; this row records nothing",IF(AND($K320=2,COUNTIFS(nrES_PID,$D320,nrES_Code,$F320,nrES_Att,1)=0),"ATTEMPT 2 WITHOUT ATTEMPT 1",IF(AND($K320=2,$L320=""),"RETEST ROW HAS NO SCORE",IF(AND($H320="Final",$L320&lt;&gt;"",IFERROR(INDEX(nrCKfinalExamElig,MATCH($D320,rngCadetPIDs,0)),"")="No"),"FINAL EXAM AFTER FAILED FINAL PT (500.1.H)",IF(AND($K320=2,ISNUMBER($L320),COUNTIFS(nrES_PID,$D320,nrES_Code,$F320,nrES_Att,1)&gt;0,SUMIFS(nrES_Raw,nrES_PID,$D320,nrES_Code,$F320,nrES_Att,1)&gt;=$J320),"RETEST AFTER A PASSING FIRST ATTEMPT","OK"))))))))))</f>
        <v/>
      </c>
      <c r="Y320" s="16" t="n"/>
    </row>
    <row r="321">
      <c r="B321" s="17">
        <f>IF($C321="","",$D321&amp;"-"&amp;$F321&amp;"-"&amp;$K321)</f>
        <v/>
      </c>
      <c r="C321" s="16" t="n"/>
      <c r="D321" s="17">
        <f>IF($C321="","",IFERROR(INDEX(rngCadetPIDs,MATCH($C321,rngCadetNames,0)),"?"))</f>
        <v/>
      </c>
      <c r="E321" s="17">
        <f>IF($D321="","",IFERROR(INDEX(nrCadetAgency,MATCH($D321,rngCadetPIDs,0)),""))</f>
        <v/>
      </c>
      <c r="F321" s="16" t="n"/>
      <c r="G321" s="17">
        <f>IF($F321="","",IFERROR(INDEX(rngEPname,MATCH($F321,rngEPcode,0)),"?"))</f>
        <v/>
      </c>
      <c r="H321" s="17">
        <f>IF($F321="","",IFERROR(INDEX(rngEPtype,MATCH($F321,rngEPcode,0)),"?"))</f>
        <v/>
      </c>
      <c r="I321" s="17">
        <f>IF($F321="","",IFERROR(INDEX(rngEPseq,MATCH($F321,rngEPcode,0)),""))</f>
        <v/>
      </c>
      <c r="J321" s="17">
        <f>IF($F321="","",IFERROR(INDEX(rngEPpass,MATCH($F321,rngEPcode,0)),cfgPassingScore))</f>
        <v/>
      </c>
      <c r="K321" s="16" t="n"/>
      <c r="L321" s="16" t="n"/>
      <c r="M321" s="17">
        <f>IF($C321="","",IF($L321="","",IF(NOT(ISNUMBER($L321)),$L321,IF(N($K321)&gt;2,"",IF($K321=1,IF(COUNTIFS(nrES_PID,$D321,nrES_Code,$F321,nrES_Att,2,nrES_Raw,"&gt;=0")&gt;0,"",$L321),IF($L321&gt;=$J321,MAX($J321,cfgRetakeRecordedCap),IF(COUNTIFS(nrES_PID,$D321,nrES_Code,$F321,nrES_Att,1)=0,$L321,SUMIFS(nrES_Raw,nrES_PID,$D321,nrES_Code,$F321,nrES_Att,1))))))))</f>
        <v/>
      </c>
      <c r="N321" s="17">
        <f>IF($C321="","",IF($L321="","",IF(NOT(ISNUMBER($L321)),"(not a score)",IF($L321&gt;=$J321,"Yes","No"))))</f>
        <v/>
      </c>
      <c r="O321" s="17">
        <f>IF($C321="","",IF($M321="","",IF(NOT(ISNUMBER($M321)),"(not a score)",IF($M321&gt;=$J321,"Yes","No"))))</f>
        <v/>
      </c>
      <c r="P321" s="17">
        <f>IF($C321="","",IF($K321="","",IF(N($K321)&gt;2,"No",IF(COUNTIFS(nrES_PID,$D321,nrES_Code,$F321,nrES_Att,"&gt;"&amp;$K321,nrES_Att,"&lt;=2",nrES_Raw,"&gt;=0")=0,"Yes","No"))))</f>
        <v/>
      </c>
      <c r="Q321" s="17">
        <f>IF($C321="","",IF($L321="","",IF(AND($K321=1,ISNUMBER($L321),$L321&lt;$J321,COUNTIFS(nrES_PID,$D321,nrES_Code,$F321,nrES_Att,2,nrES_Raw,"&gt;=0")=0),"Yes","No")))</f>
        <v/>
      </c>
      <c r="R321" s="17">
        <f>IF($C321="","",IF($L321="","",IF(AND(N($K321)&gt;=2,ISNUMBER($L321),$L321&lt;$J321),"Yes","No")))</f>
        <v/>
      </c>
      <c r="S321" s="18" t="n"/>
      <c r="T321" s="19">
        <f>IF(OR($C321="",$L321="",$K321&lt;&gt;1,NOT(ISNUMBER($L321)),$L321&gt;=$J321),"",IF($S321="","(enter date)",_xlfn.LET(_xlpm.dn,_xlfn.XLOOKUP($S321,nrCDdate,nrCDnum,"",1),IF(_xlpm.dn="","(after last class day)",_xlfn.LET(_xlpm.dd,_xlfn.XLOOKUP(_xlpm.dn+cfgRetestClassDays,nrCDnum,nrCDdate,""),_xlpm.ok,_xlfn.XLOOKUP(_xlpm.dn+cfgRetestClassDays,nrCDnum,nrCDinsession,"No"),IF(OR(_xlpm.dd="",_xlpm.ok&lt;&gt;"Yes"),"(after last class day)",_xlpm.dd))))))</f>
        <v/>
      </c>
      <c r="U321" s="17">
        <f>IF($C321="","",IF(AND($Y321="Excused",$L321="",N($K321)&lt;=1),"EXCUSED - 1st attempt pending",IF(OR($L321="",$K321&lt;&gt;1,NOT(ISNUMBER($L321)),$L321&gt;=$J321),"",IF(COUNTIFS(nrES_PID,$D321,nrES_Code,$F321,nrES_Att,2,nrES_Raw,"&gt;=0")&gt;0,IF(IFERROR(_xlfn.MINIFS(nrES_Date,nrES_PID,$D321,nrES_Code,$F321,nrES_Att,2,nrES_Raw,"&gt;=0",nrES_Date,"&gt;0"),0)=0,"RETEST UNDATED",IF(NOT(ISNUMBER($T321)),"RETEST DATE UNCHECKED",IF(_xlfn.MINIFS(nrES_Date,nrES_PID,$D321,nrES_Code,$F321,nrES_Att,2,nrES_Raw,"&gt;=0",nrES_Date,"&gt;0")&gt;$T321,"LATE RETEST "&amp;TEXT(_xlfn.MINIFS(nrES_Date,nrES_PID,$D321,nrES_Code,$F321,nrES_Att,2,nrES_Raw,"&gt;=0",nrES_Date,"&gt;0"),"mm/dd")&amp;" (due "&amp;TEXT($T321,"mm/dd")&amp;")","Retested"))),IF(NOT(ISNUMBER($T321)),"CHECK DATE",IF(TODAY()&gt;$T321,"OVERDUE","Due "&amp;TEXT($T321,"mm/dd")))))))</f>
        <v/>
      </c>
      <c r="V321" s="16" t="n"/>
      <c r="W321" s="16" t="n"/>
      <c r="X321" s="17">
        <f>IF($C321="","",IF(AND($L321&lt;&gt;"",NOT(ISNUMBER($L321))),"RAW SCORE NOT A NUMBER",IF(AND(ISNUMBER($L321),OR($L321&lt;0,$L321&gt;100)),"RAW SCORE OUT OF RANGE",IF(AND($Y321="Unexcused",OR($L321="",NOT(ISNUMBER($L321)),$L321&lt;&gt;0)),"UNEXCUSED ABSENCE MUST RECORD 0",IF(COUNTIF(nrES_RecID,$B321)&gt;1,"DUPLICATE RECORD",IF(N($K321)&gt;2,"ATTEMPT 3+ NOT ALLOWED - policy 300.5 permits one retest per exam; this row records nothing",IF(AND($K321=2,COUNTIFS(nrES_PID,$D321,nrES_Code,$F321,nrES_Att,1)=0),"ATTEMPT 2 WITHOUT ATTEMPT 1",IF(AND($K321=2,$L321=""),"RETEST ROW HAS NO SCORE",IF(AND($H321="Final",$L321&lt;&gt;"",IFERROR(INDEX(nrCKfinalExamElig,MATCH($D321,rngCadetPIDs,0)),"")="No"),"FINAL EXAM AFTER FAILED FINAL PT (500.1.H)",IF(AND($K321=2,ISNUMBER($L321),COUNTIFS(nrES_PID,$D321,nrES_Code,$F321,nrES_Att,1)&gt;0,SUMIFS(nrES_Raw,nrES_PID,$D321,nrES_Code,$F321,nrES_Att,1)&gt;=$J321),"RETEST AFTER A PASSING FIRST ATTEMPT","OK"))))))))))</f>
        <v/>
      </c>
      <c r="Y321" s="16" t="n"/>
    </row>
    <row r="322">
      <c r="B322" s="17">
        <f>IF($C322="","",$D322&amp;"-"&amp;$F322&amp;"-"&amp;$K322)</f>
        <v/>
      </c>
      <c r="C322" s="16" t="n"/>
      <c r="D322" s="17">
        <f>IF($C322="","",IFERROR(INDEX(rngCadetPIDs,MATCH($C322,rngCadetNames,0)),"?"))</f>
        <v/>
      </c>
      <c r="E322" s="17">
        <f>IF($D322="","",IFERROR(INDEX(nrCadetAgency,MATCH($D322,rngCadetPIDs,0)),""))</f>
        <v/>
      </c>
      <c r="F322" s="16" t="n"/>
      <c r="G322" s="17">
        <f>IF($F322="","",IFERROR(INDEX(rngEPname,MATCH($F322,rngEPcode,0)),"?"))</f>
        <v/>
      </c>
      <c r="H322" s="17">
        <f>IF($F322="","",IFERROR(INDEX(rngEPtype,MATCH($F322,rngEPcode,0)),"?"))</f>
        <v/>
      </c>
      <c r="I322" s="17">
        <f>IF($F322="","",IFERROR(INDEX(rngEPseq,MATCH($F322,rngEPcode,0)),""))</f>
        <v/>
      </c>
      <c r="J322" s="17">
        <f>IF($F322="","",IFERROR(INDEX(rngEPpass,MATCH($F322,rngEPcode,0)),cfgPassingScore))</f>
        <v/>
      </c>
      <c r="K322" s="16" t="n"/>
      <c r="L322" s="16" t="n"/>
      <c r="M322" s="17">
        <f>IF($C322="","",IF($L322="","",IF(NOT(ISNUMBER($L322)),$L322,IF(N($K322)&gt;2,"",IF($K322=1,IF(COUNTIFS(nrES_PID,$D322,nrES_Code,$F322,nrES_Att,2,nrES_Raw,"&gt;=0")&gt;0,"",$L322),IF($L322&gt;=$J322,MAX($J322,cfgRetakeRecordedCap),IF(COUNTIFS(nrES_PID,$D322,nrES_Code,$F322,nrES_Att,1)=0,$L322,SUMIFS(nrES_Raw,nrES_PID,$D322,nrES_Code,$F322,nrES_Att,1))))))))</f>
        <v/>
      </c>
      <c r="N322" s="17">
        <f>IF($C322="","",IF($L322="","",IF(NOT(ISNUMBER($L322)),"(not a score)",IF($L322&gt;=$J322,"Yes","No"))))</f>
        <v/>
      </c>
      <c r="O322" s="17">
        <f>IF($C322="","",IF($M322="","",IF(NOT(ISNUMBER($M322)),"(not a score)",IF($M322&gt;=$J322,"Yes","No"))))</f>
        <v/>
      </c>
      <c r="P322" s="17">
        <f>IF($C322="","",IF($K322="","",IF(N($K322)&gt;2,"No",IF(COUNTIFS(nrES_PID,$D322,nrES_Code,$F322,nrES_Att,"&gt;"&amp;$K322,nrES_Att,"&lt;=2",nrES_Raw,"&gt;=0")=0,"Yes","No"))))</f>
        <v/>
      </c>
      <c r="Q322" s="17">
        <f>IF($C322="","",IF($L322="","",IF(AND($K322=1,ISNUMBER($L322),$L322&lt;$J322,COUNTIFS(nrES_PID,$D322,nrES_Code,$F322,nrES_Att,2,nrES_Raw,"&gt;=0")=0),"Yes","No")))</f>
        <v/>
      </c>
      <c r="R322" s="17">
        <f>IF($C322="","",IF($L322="","",IF(AND(N($K322)&gt;=2,ISNUMBER($L322),$L322&lt;$J322),"Yes","No")))</f>
        <v/>
      </c>
      <c r="S322" s="18" t="n"/>
      <c r="T322" s="19">
        <f>IF(OR($C322="",$L322="",$K322&lt;&gt;1,NOT(ISNUMBER($L322)),$L322&gt;=$J322),"",IF($S322="","(enter date)",_xlfn.LET(_xlpm.dn,_xlfn.XLOOKUP($S322,nrCDdate,nrCDnum,"",1),IF(_xlpm.dn="","(after last class day)",_xlfn.LET(_xlpm.dd,_xlfn.XLOOKUP(_xlpm.dn+cfgRetestClassDays,nrCDnum,nrCDdate,""),_xlpm.ok,_xlfn.XLOOKUP(_xlpm.dn+cfgRetestClassDays,nrCDnum,nrCDinsession,"No"),IF(OR(_xlpm.dd="",_xlpm.ok&lt;&gt;"Yes"),"(after last class day)",_xlpm.dd))))))</f>
        <v/>
      </c>
      <c r="U322" s="17">
        <f>IF($C322="","",IF(AND($Y322="Excused",$L322="",N($K322)&lt;=1),"EXCUSED - 1st attempt pending",IF(OR($L322="",$K322&lt;&gt;1,NOT(ISNUMBER($L322)),$L322&gt;=$J322),"",IF(COUNTIFS(nrES_PID,$D322,nrES_Code,$F322,nrES_Att,2,nrES_Raw,"&gt;=0")&gt;0,IF(IFERROR(_xlfn.MINIFS(nrES_Date,nrES_PID,$D322,nrES_Code,$F322,nrES_Att,2,nrES_Raw,"&gt;=0",nrES_Date,"&gt;0"),0)=0,"RETEST UNDATED",IF(NOT(ISNUMBER($T322)),"RETEST DATE UNCHECKED",IF(_xlfn.MINIFS(nrES_Date,nrES_PID,$D322,nrES_Code,$F322,nrES_Att,2,nrES_Raw,"&gt;=0",nrES_Date,"&gt;0")&gt;$T322,"LATE RETEST "&amp;TEXT(_xlfn.MINIFS(nrES_Date,nrES_PID,$D322,nrES_Code,$F322,nrES_Att,2,nrES_Raw,"&gt;=0",nrES_Date,"&gt;0"),"mm/dd")&amp;" (due "&amp;TEXT($T322,"mm/dd")&amp;")","Retested"))),IF(NOT(ISNUMBER($T322)),"CHECK DATE",IF(TODAY()&gt;$T322,"OVERDUE","Due "&amp;TEXT($T322,"mm/dd")))))))</f>
        <v/>
      </c>
      <c r="V322" s="16" t="n"/>
      <c r="W322" s="16" t="n"/>
      <c r="X322" s="17">
        <f>IF($C322="","",IF(AND($L322&lt;&gt;"",NOT(ISNUMBER($L322))),"RAW SCORE NOT A NUMBER",IF(AND(ISNUMBER($L322),OR($L322&lt;0,$L322&gt;100)),"RAW SCORE OUT OF RANGE",IF(AND($Y322="Unexcused",OR($L322="",NOT(ISNUMBER($L322)),$L322&lt;&gt;0)),"UNEXCUSED ABSENCE MUST RECORD 0",IF(COUNTIF(nrES_RecID,$B322)&gt;1,"DUPLICATE RECORD",IF(N($K322)&gt;2,"ATTEMPT 3+ NOT ALLOWED - policy 300.5 permits one retest per exam; this row records nothing",IF(AND($K322=2,COUNTIFS(nrES_PID,$D322,nrES_Code,$F322,nrES_Att,1)=0),"ATTEMPT 2 WITHOUT ATTEMPT 1",IF(AND($K322=2,$L322=""),"RETEST ROW HAS NO SCORE",IF(AND($H322="Final",$L322&lt;&gt;"",IFERROR(INDEX(nrCKfinalExamElig,MATCH($D322,rngCadetPIDs,0)),"")="No"),"FINAL EXAM AFTER FAILED FINAL PT (500.1.H)",IF(AND($K322=2,ISNUMBER($L322),COUNTIFS(nrES_PID,$D322,nrES_Code,$F322,nrES_Att,1)&gt;0,SUMIFS(nrES_Raw,nrES_PID,$D322,nrES_Code,$F322,nrES_Att,1)&gt;=$J322),"RETEST AFTER A PASSING FIRST ATTEMPT","OK"))))))))))</f>
        <v/>
      </c>
      <c r="Y322" s="16" t="n"/>
    </row>
    <row r="323">
      <c r="B323" s="17">
        <f>IF($C323="","",$D323&amp;"-"&amp;$F323&amp;"-"&amp;$K323)</f>
        <v/>
      </c>
      <c r="C323" s="16" t="n"/>
      <c r="D323" s="17">
        <f>IF($C323="","",IFERROR(INDEX(rngCadetPIDs,MATCH($C323,rngCadetNames,0)),"?"))</f>
        <v/>
      </c>
      <c r="E323" s="17">
        <f>IF($D323="","",IFERROR(INDEX(nrCadetAgency,MATCH($D323,rngCadetPIDs,0)),""))</f>
        <v/>
      </c>
      <c r="F323" s="16" t="n"/>
      <c r="G323" s="17">
        <f>IF($F323="","",IFERROR(INDEX(rngEPname,MATCH($F323,rngEPcode,0)),"?"))</f>
        <v/>
      </c>
      <c r="H323" s="17">
        <f>IF($F323="","",IFERROR(INDEX(rngEPtype,MATCH($F323,rngEPcode,0)),"?"))</f>
        <v/>
      </c>
      <c r="I323" s="17">
        <f>IF($F323="","",IFERROR(INDEX(rngEPseq,MATCH($F323,rngEPcode,0)),""))</f>
        <v/>
      </c>
      <c r="J323" s="17">
        <f>IF($F323="","",IFERROR(INDEX(rngEPpass,MATCH($F323,rngEPcode,0)),cfgPassingScore))</f>
        <v/>
      </c>
      <c r="K323" s="16" t="n"/>
      <c r="L323" s="16" t="n"/>
      <c r="M323" s="17">
        <f>IF($C323="","",IF($L323="","",IF(NOT(ISNUMBER($L323)),$L323,IF(N($K323)&gt;2,"",IF($K323=1,IF(COUNTIFS(nrES_PID,$D323,nrES_Code,$F323,nrES_Att,2,nrES_Raw,"&gt;=0")&gt;0,"",$L323),IF($L323&gt;=$J323,MAX($J323,cfgRetakeRecordedCap),IF(COUNTIFS(nrES_PID,$D323,nrES_Code,$F323,nrES_Att,1)=0,$L323,SUMIFS(nrES_Raw,nrES_PID,$D323,nrES_Code,$F323,nrES_Att,1))))))))</f>
        <v/>
      </c>
      <c r="N323" s="17">
        <f>IF($C323="","",IF($L323="","",IF(NOT(ISNUMBER($L323)),"(not a score)",IF($L323&gt;=$J323,"Yes","No"))))</f>
        <v/>
      </c>
      <c r="O323" s="17">
        <f>IF($C323="","",IF($M323="","",IF(NOT(ISNUMBER($M323)),"(not a score)",IF($M323&gt;=$J323,"Yes","No"))))</f>
        <v/>
      </c>
      <c r="P323" s="17">
        <f>IF($C323="","",IF($K323="","",IF(N($K323)&gt;2,"No",IF(COUNTIFS(nrES_PID,$D323,nrES_Code,$F323,nrES_Att,"&gt;"&amp;$K323,nrES_Att,"&lt;=2",nrES_Raw,"&gt;=0")=0,"Yes","No"))))</f>
        <v/>
      </c>
      <c r="Q323" s="17">
        <f>IF($C323="","",IF($L323="","",IF(AND($K323=1,ISNUMBER($L323),$L323&lt;$J323,COUNTIFS(nrES_PID,$D323,nrES_Code,$F323,nrES_Att,2,nrES_Raw,"&gt;=0")=0),"Yes","No")))</f>
        <v/>
      </c>
      <c r="R323" s="17">
        <f>IF($C323="","",IF($L323="","",IF(AND(N($K323)&gt;=2,ISNUMBER($L323),$L323&lt;$J323),"Yes","No")))</f>
        <v/>
      </c>
      <c r="S323" s="18" t="n"/>
      <c r="T323" s="19">
        <f>IF(OR($C323="",$L323="",$K323&lt;&gt;1,NOT(ISNUMBER($L323)),$L323&gt;=$J323),"",IF($S323="","(enter date)",_xlfn.LET(_xlpm.dn,_xlfn.XLOOKUP($S323,nrCDdate,nrCDnum,"",1),IF(_xlpm.dn="","(after last class day)",_xlfn.LET(_xlpm.dd,_xlfn.XLOOKUP(_xlpm.dn+cfgRetestClassDays,nrCDnum,nrCDdate,""),_xlpm.ok,_xlfn.XLOOKUP(_xlpm.dn+cfgRetestClassDays,nrCDnum,nrCDinsession,"No"),IF(OR(_xlpm.dd="",_xlpm.ok&lt;&gt;"Yes"),"(after last class day)",_xlpm.dd))))))</f>
        <v/>
      </c>
      <c r="U323" s="17">
        <f>IF($C323="","",IF(AND($Y323="Excused",$L323="",N($K323)&lt;=1),"EXCUSED - 1st attempt pending",IF(OR($L323="",$K323&lt;&gt;1,NOT(ISNUMBER($L323)),$L323&gt;=$J323),"",IF(COUNTIFS(nrES_PID,$D323,nrES_Code,$F323,nrES_Att,2,nrES_Raw,"&gt;=0")&gt;0,IF(IFERROR(_xlfn.MINIFS(nrES_Date,nrES_PID,$D323,nrES_Code,$F323,nrES_Att,2,nrES_Raw,"&gt;=0",nrES_Date,"&gt;0"),0)=0,"RETEST UNDATED",IF(NOT(ISNUMBER($T323)),"RETEST DATE UNCHECKED",IF(_xlfn.MINIFS(nrES_Date,nrES_PID,$D323,nrES_Code,$F323,nrES_Att,2,nrES_Raw,"&gt;=0",nrES_Date,"&gt;0")&gt;$T323,"LATE RETEST "&amp;TEXT(_xlfn.MINIFS(nrES_Date,nrES_PID,$D323,nrES_Code,$F323,nrES_Att,2,nrES_Raw,"&gt;=0",nrES_Date,"&gt;0"),"mm/dd")&amp;" (due "&amp;TEXT($T323,"mm/dd")&amp;")","Retested"))),IF(NOT(ISNUMBER($T323)),"CHECK DATE",IF(TODAY()&gt;$T323,"OVERDUE","Due "&amp;TEXT($T323,"mm/dd")))))))</f>
        <v/>
      </c>
      <c r="V323" s="16" t="n"/>
      <c r="W323" s="16" t="n"/>
      <c r="X323" s="17">
        <f>IF($C323="","",IF(AND($L323&lt;&gt;"",NOT(ISNUMBER($L323))),"RAW SCORE NOT A NUMBER",IF(AND(ISNUMBER($L323),OR($L323&lt;0,$L323&gt;100)),"RAW SCORE OUT OF RANGE",IF(AND($Y323="Unexcused",OR($L323="",NOT(ISNUMBER($L323)),$L323&lt;&gt;0)),"UNEXCUSED ABSENCE MUST RECORD 0",IF(COUNTIF(nrES_RecID,$B323)&gt;1,"DUPLICATE RECORD",IF(N($K323)&gt;2,"ATTEMPT 3+ NOT ALLOWED - policy 300.5 permits one retest per exam; this row records nothing",IF(AND($K323=2,COUNTIFS(nrES_PID,$D323,nrES_Code,$F323,nrES_Att,1)=0),"ATTEMPT 2 WITHOUT ATTEMPT 1",IF(AND($K323=2,$L323=""),"RETEST ROW HAS NO SCORE",IF(AND($H323="Final",$L323&lt;&gt;"",IFERROR(INDEX(nrCKfinalExamElig,MATCH($D323,rngCadetPIDs,0)),"")="No"),"FINAL EXAM AFTER FAILED FINAL PT (500.1.H)",IF(AND($K323=2,ISNUMBER($L323),COUNTIFS(nrES_PID,$D323,nrES_Code,$F323,nrES_Att,1)&gt;0,SUMIFS(nrES_Raw,nrES_PID,$D323,nrES_Code,$F323,nrES_Att,1)&gt;=$J323),"RETEST AFTER A PASSING FIRST ATTEMPT","OK"))))))))))</f>
        <v/>
      </c>
      <c r="Y323" s="16" t="n"/>
    </row>
    <row r="324">
      <c r="B324" s="17">
        <f>IF($C324="","",$D324&amp;"-"&amp;$F324&amp;"-"&amp;$K324)</f>
        <v/>
      </c>
      <c r="C324" s="16" t="n"/>
      <c r="D324" s="17">
        <f>IF($C324="","",IFERROR(INDEX(rngCadetPIDs,MATCH($C324,rngCadetNames,0)),"?"))</f>
        <v/>
      </c>
      <c r="E324" s="17">
        <f>IF($D324="","",IFERROR(INDEX(nrCadetAgency,MATCH($D324,rngCadetPIDs,0)),""))</f>
        <v/>
      </c>
      <c r="F324" s="16" t="n"/>
      <c r="G324" s="17">
        <f>IF($F324="","",IFERROR(INDEX(rngEPname,MATCH($F324,rngEPcode,0)),"?"))</f>
        <v/>
      </c>
      <c r="H324" s="17">
        <f>IF($F324="","",IFERROR(INDEX(rngEPtype,MATCH($F324,rngEPcode,0)),"?"))</f>
        <v/>
      </c>
      <c r="I324" s="17">
        <f>IF($F324="","",IFERROR(INDEX(rngEPseq,MATCH($F324,rngEPcode,0)),""))</f>
        <v/>
      </c>
      <c r="J324" s="17">
        <f>IF($F324="","",IFERROR(INDEX(rngEPpass,MATCH($F324,rngEPcode,0)),cfgPassingScore))</f>
        <v/>
      </c>
      <c r="K324" s="16" t="n"/>
      <c r="L324" s="16" t="n"/>
      <c r="M324" s="17">
        <f>IF($C324="","",IF($L324="","",IF(NOT(ISNUMBER($L324)),$L324,IF(N($K324)&gt;2,"",IF($K324=1,IF(COUNTIFS(nrES_PID,$D324,nrES_Code,$F324,nrES_Att,2,nrES_Raw,"&gt;=0")&gt;0,"",$L324),IF($L324&gt;=$J324,MAX($J324,cfgRetakeRecordedCap),IF(COUNTIFS(nrES_PID,$D324,nrES_Code,$F324,nrES_Att,1)=0,$L324,SUMIFS(nrES_Raw,nrES_PID,$D324,nrES_Code,$F324,nrES_Att,1))))))))</f>
        <v/>
      </c>
      <c r="N324" s="17">
        <f>IF($C324="","",IF($L324="","",IF(NOT(ISNUMBER($L324)),"(not a score)",IF($L324&gt;=$J324,"Yes","No"))))</f>
        <v/>
      </c>
      <c r="O324" s="17">
        <f>IF($C324="","",IF($M324="","",IF(NOT(ISNUMBER($M324)),"(not a score)",IF($M324&gt;=$J324,"Yes","No"))))</f>
        <v/>
      </c>
      <c r="P324" s="17">
        <f>IF($C324="","",IF($K324="","",IF(N($K324)&gt;2,"No",IF(COUNTIFS(nrES_PID,$D324,nrES_Code,$F324,nrES_Att,"&gt;"&amp;$K324,nrES_Att,"&lt;=2",nrES_Raw,"&gt;=0")=0,"Yes","No"))))</f>
        <v/>
      </c>
      <c r="Q324" s="17">
        <f>IF($C324="","",IF($L324="","",IF(AND($K324=1,ISNUMBER($L324),$L324&lt;$J324,COUNTIFS(nrES_PID,$D324,nrES_Code,$F324,nrES_Att,2,nrES_Raw,"&gt;=0")=0),"Yes","No")))</f>
        <v/>
      </c>
      <c r="R324" s="17">
        <f>IF($C324="","",IF($L324="","",IF(AND(N($K324)&gt;=2,ISNUMBER($L324),$L324&lt;$J324),"Yes","No")))</f>
        <v/>
      </c>
      <c r="S324" s="18" t="n"/>
      <c r="T324" s="19">
        <f>IF(OR($C324="",$L324="",$K324&lt;&gt;1,NOT(ISNUMBER($L324)),$L324&gt;=$J324),"",IF($S324="","(enter date)",_xlfn.LET(_xlpm.dn,_xlfn.XLOOKUP($S324,nrCDdate,nrCDnum,"",1),IF(_xlpm.dn="","(after last class day)",_xlfn.LET(_xlpm.dd,_xlfn.XLOOKUP(_xlpm.dn+cfgRetestClassDays,nrCDnum,nrCDdate,""),_xlpm.ok,_xlfn.XLOOKUP(_xlpm.dn+cfgRetestClassDays,nrCDnum,nrCDinsession,"No"),IF(OR(_xlpm.dd="",_xlpm.ok&lt;&gt;"Yes"),"(after last class day)",_xlpm.dd))))))</f>
        <v/>
      </c>
      <c r="U324" s="17">
        <f>IF($C324="","",IF(AND($Y324="Excused",$L324="",N($K324)&lt;=1),"EXCUSED - 1st attempt pending",IF(OR($L324="",$K324&lt;&gt;1,NOT(ISNUMBER($L324)),$L324&gt;=$J324),"",IF(COUNTIFS(nrES_PID,$D324,nrES_Code,$F324,nrES_Att,2,nrES_Raw,"&gt;=0")&gt;0,IF(IFERROR(_xlfn.MINIFS(nrES_Date,nrES_PID,$D324,nrES_Code,$F324,nrES_Att,2,nrES_Raw,"&gt;=0",nrES_Date,"&gt;0"),0)=0,"RETEST UNDATED",IF(NOT(ISNUMBER($T324)),"RETEST DATE UNCHECKED",IF(_xlfn.MINIFS(nrES_Date,nrES_PID,$D324,nrES_Code,$F324,nrES_Att,2,nrES_Raw,"&gt;=0",nrES_Date,"&gt;0")&gt;$T324,"LATE RETEST "&amp;TEXT(_xlfn.MINIFS(nrES_Date,nrES_PID,$D324,nrES_Code,$F324,nrES_Att,2,nrES_Raw,"&gt;=0",nrES_Date,"&gt;0"),"mm/dd")&amp;" (due "&amp;TEXT($T324,"mm/dd")&amp;")","Retested"))),IF(NOT(ISNUMBER($T324)),"CHECK DATE",IF(TODAY()&gt;$T324,"OVERDUE","Due "&amp;TEXT($T324,"mm/dd")))))))</f>
        <v/>
      </c>
      <c r="V324" s="16" t="n"/>
      <c r="W324" s="16" t="n"/>
      <c r="X324" s="17">
        <f>IF($C324="","",IF(AND($L324&lt;&gt;"",NOT(ISNUMBER($L324))),"RAW SCORE NOT A NUMBER",IF(AND(ISNUMBER($L324),OR($L324&lt;0,$L324&gt;100)),"RAW SCORE OUT OF RANGE",IF(AND($Y324="Unexcused",OR($L324="",NOT(ISNUMBER($L324)),$L324&lt;&gt;0)),"UNEXCUSED ABSENCE MUST RECORD 0",IF(COUNTIF(nrES_RecID,$B324)&gt;1,"DUPLICATE RECORD",IF(N($K324)&gt;2,"ATTEMPT 3+ NOT ALLOWED - policy 300.5 permits one retest per exam; this row records nothing",IF(AND($K324=2,COUNTIFS(nrES_PID,$D324,nrES_Code,$F324,nrES_Att,1)=0),"ATTEMPT 2 WITHOUT ATTEMPT 1",IF(AND($K324=2,$L324=""),"RETEST ROW HAS NO SCORE",IF(AND($H324="Final",$L324&lt;&gt;"",IFERROR(INDEX(nrCKfinalExamElig,MATCH($D324,rngCadetPIDs,0)),"")="No"),"FINAL EXAM AFTER FAILED FINAL PT (500.1.H)",IF(AND($K324=2,ISNUMBER($L324),COUNTIFS(nrES_PID,$D324,nrES_Code,$F324,nrES_Att,1)&gt;0,SUMIFS(nrES_Raw,nrES_PID,$D324,nrES_Code,$F324,nrES_Att,1)&gt;=$J324),"RETEST AFTER A PASSING FIRST ATTEMPT","OK"))))))))))</f>
        <v/>
      </c>
      <c r="Y324" s="16" t="n"/>
    </row>
    <row r="325">
      <c r="B325" s="17">
        <f>IF($C325="","",$D325&amp;"-"&amp;$F325&amp;"-"&amp;$K325)</f>
        <v/>
      </c>
      <c r="C325" s="16" t="n"/>
      <c r="D325" s="17">
        <f>IF($C325="","",IFERROR(INDEX(rngCadetPIDs,MATCH($C325,rngCadetNames,0)),"?"))</f>
        <v/>
      </c>
      <c r="E325" s="17">
        <f>IF($D325="","",IFERROR(INDEX(nrCadetAgency,MATCH($D325,rngCadetPIDs,0)),""))</f>
        <v/>
      </c>
      <c r="F325" s="16" t="n"/>
      <c r="G325" s="17">
        <f>IF($F325="","",IFERROR(INDEX(rngEPname,MATCH($F325,rngEPcode,0)),"?"))</f>
        <v/>
      </c>
      <c r="H325" s="17">
        <f>IF($F325="","",IFERROR(INDEX(rngEPtype,MATCH($F325,rngEPcode,0)),"?"))</f>
        <v/>
      </c>
      <c r="I325" s="17">
        <f>IF($F325="","",IFERROR(INDEX(rngEPseq,MATCH($F325,rngEPcode,0)),""))</f>
        <v/>
      </c>
      <c r="J325" s="17">
        <f>IF($F325="","",IFERROR(INDEX(rngEPpass,MATCH($F325,rngEPcode,0)),cfgPassingScore))</f>
        <v/>
      </c>
      <c r="K325" s="16" t="n"/>
      <c r="L325" s="16" t="n"/>
      <c r="M325" s="17">
        <f>IF($C325="","",IF($L325="","",IF(NOT(ISNUMBER($L325)),$L325,IF(N($K325)&gt;2,"",IF($K325=1,IF(COUNTIFS(nrES_PID,$D325,nrES_Code,$F325,nrES_Att,2,nrES_Raw,"&gt;=0")&gt;0,"",$L325),IF($L325&gt;=$J325,MAX($J325,cfgRetakeRecordedCap),IF(COUNTIFS(nrES_PID,$D325,nrES_Code,$F325,nrES_Att,1)=0,$L325,SUMIFS(nrES_Raw,nrES_PID,$D325,nrES_Code,$F325,nrES_Att,1))))))))</f>
        <v/>
      </c>
      <c r="N325" s="17">
        <f>IF($C325="","",IF($L325="","",IF(NOT(ISNUMBER($L325)),"(not a score)",IF($L325&gt;=$J325,"Yes","No"))))</f>
        <v/>
      </c>
      <c r="O325" s="17">
        <f>IF($C325="","",IF($M325="","",IF(NOT(ISNUMBER($M325)),"(not a score)",IF($M325&gt;=$J325,"Yes","No"))))</f>
        <v/>
      </c>
      <c r="P325" s="17">
        <f>IF($C325="","",IF($K325="","",IF(N($K325)&gt;2,"No",IF(COUNTIFS(nrES_PID,$D325,nrES_Code,$F325,nrES_Att,"&gt;"&amp;$K325,nrES_Att,"&lt;=2",nrES_Raw,"&gt;=0")=0,"Yes","No"))))</f>
        <v/>
      </c>
      <c r="Q325" s="17">
        <f>IF($C325="","",IF($L325="","",IF(AND($K325=1,ISNUMBER($L325),$L325&lt;$J325,COUNTIFS(nrES_PID,$D325,nrES_Code,$F325,nrES_Att,2,nrES_Raw,"&gt;=0")=0),"Yes","No")))</f>
        <v/>
      </c>
      <c r="R325" s="17">
        <f>IF($C325="","",IF($L325="","",IF(AND(N($K325)&gt;=2,ISNUMBER($L325),$L325&lt;$J325),"Yes","No")))</f>
        <v/>
      </c>
      <c r="S325" s="18" t="n"/>
      <c r="T325" s="19">
        <f>IF(OR($C325="",$L325="",$K325&lt;&gt;1,NOT(ISNUMBER($L325)),$L325&gt;=$J325),"",IF($S325="","(enter date)",_xlfn.LET(_xlpm.dn,_xlfn.XLOOKUP($S325,nrCDdate,nrCDnum,"",1),IF(_xlpm.dn="","(after last class day)",_xlfn.LET(_xlpm.dd,_xlfn.XLOOKUP(_xlpm.dn+cfgRetestClassDays,nrCDnum,nrCDdate,""),_xlpm.ok,_xlfn.XLOOKUP(_xlpm.dn+cfgRetestClassDays,nrCDnum,nrCDinsession,"No"),IF(OR(_xlpm.dd="",_xlpm.ok&lt;&gt;"Yes"),"(after last class day)",_xlpm.dd))))))</f>
        <v/>
      </c>
      <c r="U325" s="17">
        <f>IF($C325="","",IF(AND($Y325="Excused",$L325="",N($K325)&lt;=1),"EXCUSED - 1st attempt pending",IF(OR($L325="",$K325&lt;&gt;1,NOT(ISNUMBER($L325)),$L325&gt;=$J325),"",IF(COUNTIFS(nrES_PID,$D325,nrES_Code,$F325,nrES_Att,2,nrES_Raw,"&gt;=0")&gt;0,IF(IFERROR(_xlfn.MINIFS(nrES_Date,nrES_PID,$D325,nrES_Code,$F325,nrES_Att,2,nrES_Raw,"&gt;=0",nrES_Date,"&gt;0"),0)=0,"RETEST UNDATED",IF(NOT(ISNUMBER($T325)),"RETEST DATE UNCHECKED",IF(_xlfn.MINIFS(nrES_Date,nrES_PID,$D325,nrES_Code,$F325,nrES_Att,2,nrES_Raw,"&gt;=0",nrES_Date,"&gt;0")&gt;$T325,"LATE RETEST "&amp;TEXT(_xlfn.MINIFS(nrES_Date,nrES_PID,$D325,nrES_Code,$F325,nrES_Att,2,nrES_Raw,"&gt;=0",nrES_Date,"&gt;0"),"mm/dd")&amp;" (due "&amp;TEXT($T325,"mm/dd")&amp;")","Retested"))),IF(NOT(ISNUMBER($T325)),"CHECK DATE",IF(TODAY()&gt;$T325,"OVERDUE","Due "&amp;TEXT($T325,"mm/dd")))))))</f>
        <v/>
      </c>
      <c r="V325" s="16" t="n"/>
      <c r="W325" s="16" t="n"/>
      <c r="X325" s="17">
        <f>IF($C325="","",IF(AND($L325&lt;&gt;"",NOT(ISNUMBER($L325))),"RAW SCORE NOT A NUMBER",IF(AND(ISNUMBER($L325),OR($L325&lt;0,$L325&gt;100)),"RAW SCORE OUT OF RANGE",IF(AND($Y325="Unexcused",OR($L325="",NOT(ISNUMBER($L325)),$L325&lt;&gt;0)),"UNEXCUSED ABSENCE MUST RECORD 0",IF(COUNTIF(nrES_RecID,$B325)&gt;1,"DUPLICATE RECORD",IF(N($K325)&gt;2,"ATTEMPT 3+ NOT ALLOWED - policy 300.5 permits one retest per exam; this row records nothing",IF(AND($K325=2,COUNTIFS(nrES_PID,$D325,nrES_Code,$F325,nrES_Att,1)=0),"ATTEMPT 2 WITHOUT ATTEMPT 1",IF(AND($K325=2,$L325=""),"RETEST ROW HAS NO SCORE",IF(AND($H325="Final",$L325&lt;&gt;"",IFERROR(INDEX(nrCKfinalExamElig,MATCH($D325,rngCadetPIDs,0)),"")="No"),"FINAL EXAM AFTER FAILED FINAL PT (500.1.H)",IF(AND($K325=2,ISNUMBER($L325),COUNTIFS(nrES_PID,$D325,nrES_Code,$F325,nrES_Att,1)&gt;0,SUMIFS(nrES_Raw,nrES_PID,$D325,nrES_Code,$F325,nrES_Att,1)&gt;=$J325),"RETEST AFTER A PASSING FIRST ATTEMPT","OK"))))))))))</f>
        <v/>
      </c>
      <c r="Y325" s="16" t="n"/>
    </row>
    <row r="326">
      <c r="B326" s="17">
        <f>IF($C326="","",$D326&amp;"-"&amp;$F326&amp;"-"&amp;$K326)</f>
        <v/>
      </c>
      <c r="C326" s="16" t="n"/>
      <c r="D326" s="17">
        <f>IF($C326="","",IFERROR(INDEX(rngCadetPIDs,MATCH($C326,rngCadetNames,0)),"?"))</f>
        <v/>
      </c>
      <c r="E326" s="17">
        <f>IF($D326="","",IFERROR(INDEX(nrCadetAgency,MATCH($D326,rngCadetPIDs,0)),""))</f>
        <v/>
      </c>
      <c r="F326" s="16" t="n"/>
      <c r="G326" s="17">
        <f>IF($F326="","",IFERROR(INDEX(rngEPname,MATCH($F326,rngEPcode,0)),"?"))</f>
        <v/>
      </c>
      <c r="H326" s="17">
        <f>IF($F326="","",IFERROR(INDEX(rngEPtype,MATCH($F326,rngEPcode,0)),"?"))</f>
        <v/>
      </c>
      <c r="I326" s="17">
        <f>IF($F326="","",IFERROR(INDEX(rngEPseq,MATCH($F326,rngEPcode,0)),""))</f>
        <v/>
      </c>
      <c r="J326" s="17">
        <f>IF($F326="","",IFERROR(INDEX(rngEPpass,MATCH($F326,rngEPcode,0)),cfgPassingScore))</f>
        <v/>
      </c>
      <c r="K326" s="16" t="n"/>
      <c r="L326" s="16" t="n"/>
      <c r="M326" s="17">
        <f>IF($C326="","",IF($L326="","",IF(NOT(ISNUMBER($L326)),$L326,IF(N($K326)&gt;2,"",IF($K326=1,IF(COUNTIFS(nrES_PID,$D326,nrES_Code,$F326,nrES_Att,2,nrES_Raw,"&gt;=0")&gt;0,"",$L326),IF($L326&gt;=$J326,MAX($J326,cfgRetakeRecordedCap),IF(COUNTIFS(nrES_PID,$D326,nrES_Code,$F326,nrES_Att,1)=0,$L326,SUMIFS(nrES_Raw,nrES_PID,$D326,nrES_Code,$F326,nrES_Att,1))))))))</f>
        <v/>
      </c>
      <c r="N326" s="17">
        <f>IF($C326="","",IF($L326="","",IF(NOT(ISNUMBER($L326)),"(not a score)",IF($L326&gt;=$J326,"Yes","No"))))</f>
        <v/>
      </c>
      <c r="O326" s="17">
        <f>IF($C326="","",IF($M326="","",IF(NOT(ISNUMBER($M326)),"(not a score)",IF($M326&gt;=$J326,"Yes","No"))))</f>
        <v/>
      </c>
      <c r="P326" s="17">
        <f>IF($C326="","",IF($K326="","",IF(N($K326)&gt;2,"No",IF(COUNTIFS(nrES_PID,$D326,nrES_Code,$F326,nrES_Att,"&gt;"&amp;$K326,nrES_Att,"&lt;=2",nrES_Raw,"&gt;=0")=0,"Yes","No"))))</f>
        <v/>
      </c>
      <c r="Q326" s="17">
        <f>IF($C326="","",IF($L326="","",IF(AND($K326=1,ISNUMBER($L326),$L326&lt;$J326,COUNTIFS(nrES_PID,$D326,nrES_Code,$F326,nrES_Att,2,nrES_Raw,"&gt;=0")=0),"Yes","No")))</f>
        <v/>
      </c>
      <c r="R326" s="17">
        <f>IF($C326="","",IF($L326="","",IF(AND(N($K326)&gt;=2,ISNUMBER($L326),$L326&lt;$J326),"Yes","No")))</f>
        <v/>
      </c>
      <c r="S326" s="18" t="n"/>
      <c r="T326" s="19">
        <f>IF(OR($C326="",$L326="",$K326&lt;&gt;1,NOT(ISNUMBER($L326)),$L326&gt;=$J326),"",IF($S326="","(enter date)",_xlfn.LET(_xlpm.dn,_xlfn.XLOOKUP($S326,nrCDdate,nrCDnum,"",1),IF(_xlpm.dn="","(after last class day)",_xlfn.LET(_xlpm.dd,_xlfn.XLOOKUP(_xlpm.dn+cfgRetestClassDays,nrCDnum,nrCDdate,""),_xlpm.ok,_xlfn.XLOOKUP(_xlpm.dn+cfgRetestClassDays,nrCDnum,nrCDinsession,"No"),IF(OR(_xlpm.dd="",_xlpm.ok&lt;&gt;"Yes"),"(after last class day)",_xlpm.dd))))))</f>
        <v/>
      </c>
      <c r="U326" s="17">
        <f>IF($C326="","",IF(AND($Y326="Excused",$L326="",N($K326)&lt;=1),"EXCUSED - 1st attempt pending",IF(OR($L326="",$K326&lt;&gt;1,NOT(ISNUMBER($L326)),$L326&gt;=$J326),"",IF(COUNTIFS(nrES_PID,$D326,nrES_Code,$F326,nrES_Att,2,nrES_Raw,"&gt;=0")&gt;0,IF(IFERROR(_xlfn.MINIFS(nrES_Date,nrES_PID,$D326,nrES_Code,$F326,nrES_Att,2,nrES_Raw,"&gt;=0",nrES_Date,"&gt;0"),0)=0,"RETEST UNDATED",IF(NOT(ISNUMBER($T326)),"RETEST DATE UNCHECKED",IF(_xlfn.MINIFS(nrES_Date,nrES_PID,$D326,nrES_Code,$F326,nrES_Att,2,nrES_Raw,"&gt;=0",nrES_Date,"&gt;0")&gt;$T326,"LATE RETEST "&amp;TEXT(_xlfn.MINIFS(nrES_Date,nrES_PID,$D326,nrES_Code,$F326,nrES_Att,2,nrES_Raw,"&gt;=0",nrES_Date,"&gt;0"),"mm/dd")&amp;" (due "&amp;TEXT($T326,"mm/dd")&amp;")","Retested"))),IF(NOT(ISNUMBER($T326)),"CHECK DATE",IF(TODAY()&gt;$T326,"OVERDUE","Due "&amp;TEXT($T326,"mm/dd")))))))</f>
        <v/>
      </c>
      <c r="V326" s="16" t="n"/>
      <c r="W326" s="16" t="n"/>
      <c r="X326" s="17">
        <f>IF($C326="","",IF(AND($L326&lt;&gt;"",NOT(ISNUMBER($L326))),"RAW SCORE NOT A NUMBER",IF(AND(ISNUMBER($L326),OR($L326&lt;0,$L326&gt;100)),"RAW SCORE OUT OF RANGE",IF(AND($Y326="Unexcused",OR($L326="",NOT(ISNUMBER($L326)),$L326&lt;&gt;0)),"UNEXCUSED ABSENCE MUST RECORD 0",IF(COUNTIF(nrES_RecID,$B326)&gt;1,"DUPLICATE RECORD",IF(N($K326)&gt;2,"ATTEMPT 3+ NOT ALLOWED - policy 300.5 permits one retest per exam; this row records nothing",IF(AND($K326=2,COUNTIFS(nrES_PID,$D326,nrES_Code,$F326,nrES_Att,1)=0),"ATTEMPT 2 WITHOUT ATTEMPT 1",IF(AND($K326=2,$L326=""),"RETEST ROW HAS NO SCORE",IF(AND($H326="Final",$L326&lt;&gt;"",IFERROR(INDEX(nrCKfinalExamElig,MATCH($D326,rngCadetPIDs,0)),"")="No"),"FINAL EXAM AFTER FAILED FINAL PT (500.1.H)",IF(AND($K326=2,ISNUMBER($L326),COUNTIFS(nrES_PID,$D326,nrES_Code,$F326,nrES_Att,1)&gt;0,SUMIFS(nrES_Raw,nrES_PID,$D326,nrES_Code,$F326,nrES_Att,1)&gt;=$J326),"RETEST AFTER A PASSING FIRST ATTEMPT","OK"))))))))))</f>
        <v/>
      </c>
      <c r="Y326" s="16" t="n"/>
    </row>
    <row r="327">
      <c r="B327" s="17">
        <f>IF($C327="","",$D327&amp;"-"&amp;$F327&amp;"-"&amp;$K327)</f>
        <v/>
      </c>
      <c r="C327" s="16" t="n"/>
      <c r="D327" s="17">
        <f>IF($C327="","",IFERROR(INDEX(rngCadetPIDs,MATCH($C327,rngCadetNames,0)),"?"))</f>
        <v/>
      </c>
      <c r="E327" s="17">
        <f>IF($D327="","",IFERROR(INDEX(nrCadetAgency,MATCH($D327,rngCadetPIDs,0)),""))</f>
        <v/>
      </c>
      <c r="F327" s="16" t="n"/>
      <c r="G327" s="17">
        <f>IF($F327="","",IFERROR(INDEX(rngEPname,MATCH($F327,rngEPcode,0)),"?"))</f>
        <v/>
      </c>
      <c r="H327" s="17">
        <f>IF($F327="","",IFERROR(INDEX(rngEPtype,MATCH($F327,rngEPcode,0)),"?"))</f>
        <v/>
      </c>
      <c r="I327" s="17">
        <f>IF($F327="","",IFERROR(INDEX(rngEPseq,MATCH($F327,rngEPcode,0)),""))</f>
        <v/>
      </c>
      <c r="J327" s="17">
        <f>IF($F327="","",IFERROR(INDEX(rngEPpass,MATCH($F327,rngEPcode,0)),cfgPassingScore))</f>
        <v/>
      </c>
      <c r="K327" s="16" t="n"/>
      <c r="L327" s="16" t="n"/>
      <c r="M327" s="17">
        <f>IF($C327="","",IF($L327="","",IF(NOT(ISNUMBER($L327)),$L327,IF(N($K327)&gt;2,"",IF($K327=1,IF(COUNTIFS(nrES_PID,$D327,nrES_Code,$F327,nrES_Att,2,nrES_Raw,"&gt;=0")&gt;0,"",$L327),IF($L327&gt;=$J327,MAX($J327,cfgRetakeRecordedCap),IF(COUNTIFS(nrES_PID,$D327,nrES_Code,$F327,nrES_Att,1)=0,$L327,SUMIFS(nrES_Raw,nrES_PID,$D327,nrES_Code,$F327,nrES_Att,1))))))))</f>
        <v/>
      </c>
      <c r="N327" s="17">
        <f>IF($C327="","",IF($L327="","",IF(NOT(ISNUMBER($L327)),"(not a score)",IF($L327&gt;=$J327,"Yes","No"))))</f>
        <v/>
      </c>
      <c r="O327" s="17">
        <f>IF($C327="","",IF($M327="","",IF(NOT(ISNUMBER($M327)),"(not a score)",IF($M327&gt;=$J327,"Yes","No"))))</f>
        <v/>
      </c>
      <c r="P327" s="17">
        <f>IF($C327="","",IF($K327="","",IF(N($K327)&gt;2,"No",IF(COUNTIFS(nrES_PID,$D327,nrES_Code,$F327,nrES_Att,"&gt;"&amp;$K327,nrES_Att,"&lt;=2",nrES_Raw,"&gt;=0")=0,"Yes","No"))))</f>
        <v/>
      </c>
      <c r="Q327" s="17">
        <f>IF($C327="","",IF($L327="","",IF(AND($K327=1,ISNUMBER($L327),$L327&lt;$J327,COUNTIFS(nrES_PID,$D327,nrES_Code,$F327,nrES_Att,2,nrES_Raw,"&gt;=0")=0),"Yes","No")))</f>
        <v/>
      </c>
      <c r="R327" s="17">
        <f>IF($C327="","",IF($L327="","",IF(AND(N($K327)&gt;=2,ISNUMBER($L327),$L327&lt;$J327),"Yes","No")))</f>
        <v/>
      </c>
      <c r="S327" s="18" t="n"/>
      <c r="T327" s="19">
        <f>IF(OR($C327="",$L327="",$K327&lt;&gt;1,NOT(ISNUMBER($L327)),$L327&gt;=$J327),"",IF($S327="","(enter date)",_xlfn.LET(_xlpm.dn,_xlfn.XLOOKUP($S327,nrCDdate,nrCDnum,"",1),IF(_xlpm.dn="","(after last class day)",_xlfn.LET(_xlpm.dd,_xlfn.XLOOKUP(_xlpm.dn+cfgRetestClassDays,nrCDnum,nrCDdate,""),_xlpm.ok,_xlfn.XLOOKUP(_xlpm.dn+cfgRetestClassDays,nrCDnum,nrCDinsession,"No"),IF(OR(_xlpm.dd="",_xlpm.ok&lt;&gt;"Yes"),"(after last class day)",_xlpm.dd))))))</f>
        <v/>
      </c>
      <c r="U327" s="17">
        <f>IF($C327="","",IF(AND($Y327="Excused",$L327="",N($K327)&lt;=1),"EXCUSED - 1st attempt pending",IF(OR($L327="",$K327&lt;&gt;1,NOT(ISNUMBER($L327)),$L327&gt;=$J327),"",IF(COUNTIFS(nrES_PID,$D327,nrES_Code,$F327,nrES_Att,2,nrES_Raw,"&gt;=0")&gt;0,IF(IFERROR(_xlfn.MINIFS(nrES_Date,nrES_PID,$D327,nrES_Code,$F327,nrES_Att,2,nrES_Raw,"&gt;=0",nrES_Date,"&gt;0"),0)=0,"RETEST UNDATED",IF(NOT(ISNUMBER($T327)),"RETEST DATE UNCHECKED",IF(_xlfn.MINIFS(nrES_Date,nrES_PID,$D327,nrES_Code,$F327,nrES_Att,2,nrES_Raw,"&gt;=0",nrES_Date,"&gt;0")&gt;$T327,"LATE RETEST "&amp;TEXT(_xlfn.MINIFS(nrES_Date,nrES_PID,$D327,nrES_Code,$F327,nrES_Att,2,nrES_Raw,"&gt;=0",nrES_Date,"&gt;0"),"mm/dd")&amp;" (due "&amp;TEXT($T327,"mm/dd")&amp;")","Retested"))),IF(NOT(ISNUMBER($T327)),"CHECK DATE",IF(TODAY()&gt;$T327,"OVERDUE","Due "&amp;TEXT($T327,"mm/dd")))))))</f>
        <v/>
      </c>
      <c r="V327" s="16" t="n"/>
      <c r="W327" s="16" t="n"/>
      <c r="X327" s="17">
        <f>IF($C327="","",IF(AND($L327&lt;&gt;"",NOT(ISNUMBER($L327))),"RAW SCORE NOT A NUMBER",IF(AND(ISNUMBER($L327),OR($L327&lt;0,$L327&gt;100)),"RAW SCORE OUT OF RANGE",IF(AND($Y327="Unexcused",OR($L327="",NOT(ISNUMBER($L327)),$L327&lt;&gt;0)),"UNEXCUSED ABSENCE MUST RECORD 0",IF(COUNTIF(nrES_RecID,$B327)&gt;1,"DUPLICATE RECORD",IF(N($K327)&gt;2,"ATTEMPT 3+ NOT ALLOWED - policy 300.5 permits one retest per exam; this row records nothing",IF(AND($K327=2,COUNTIFS(nrES_PID,$D327,nrES_Code,$F327,nrES_Att,1)=0),"ATTEMPT 2 WITHOUT ATTEMPT 1",IF(AND($K327=2,$L327=""),"RETEST ROW HAS NO SCORE",IF(AND($H327="Final",$L327&lt;&gt;"",IFERROR(INDEX(nrCKfinalExamElig,MATCH($D327,rngCadetPIDs,0)),"")="No"),"FINAL EXAM AFTER FAILED FINAL PT (500.1.H)",IF(AND($K327=2,ISNUMBER($L327),COUNTIFS(nrES_PID,$D327,nrES_Code,$F327,nrES_Att,1)&gt;0,SUMIFS(nrES_Raw,nrES_PID,$D327,nrES_Code,$F327,nrES_Att,1)&gt;=$J327),"RETEST AFTER A PASSING FIRST ATTEMPT","OK"))))))))))</f>
        <v/>
      </c>
      <c r="Y327" s="16" t="n"/>
    </row>
    <row r="328">
      <c r="B328" s="17">
        <f>IF($C328="","",$D328&amp;"-"&amp;$F328&amp;"-"&amp;$K328)</f>
        <v/>
      </c>
      <c r="C328" s="16" t="n"/>
      <c r="D328" s="17">
        <f>IF($C328="","",IFERROR(INDEX(rngCadetPIDs,MATCH($C328,rngCadetNames,0)),"?"))</f>
        <v/>
      </c>
      <c r="E328" s="17">
        <f>IF($D328="","",IFERROR(INDEX(nrCadetAgency,MATCH($D328,rngCadetPIDs,0)),""))</f>
        <v/>
      </c>
      <c r="F328" s="16" t="n"/>
      <c r="G328" s="17">
        <f>IF($F328="","",IFERROR(INDEX(rngEPname,MATCH($F328,rngEPcode,0)),"?"))</f>
        <v/>
      </c>
      <c r="H328" s="17">
        <f>IF($F328="","",IFERROR(INDEX(rngEPtype,MATCH($F328,rngEPcode,0)),"?"))</f>
        <v/>
      </c>
      <c r="I328" s="17">
        <f>IF($F328="","",IFERROR(INDEX(rngEPseq,MATCH($F328,rngEPcode,0)),""))</f>
        <v/>
      </c>
      <c r="J328" s="17">
        <f>IF($F328="","",IFERROR(INDEX(rngEPpass,MATCH($F328,rngEPcode,0)),cfgPassingScore))</f>
        <v/>
      </c>
      <c r="K328" s="16" t="n"/>
      <c r="L328" s="16" t="n"/>
      <c r="M328" s="17">
        <f>IF($C328="","",IF($L328="","",IF(NOT(ISNUMBER($L328)),$L328,IF(N($K328)&gt;2,"",IF($K328=1,IF(COUNTIFS(nrES_PID,$D328,nrES_Code,$F328,nrES_Att,2,nrES_Raw,"&gt;=0")&gt;0,"",$L328),IF($L328&gt;=$J328,MAX($J328,cfgRetakeRecordedCap),IF(COUNTIFS(nrES_PID,$D328,nrES_Code,$F328,nrES_Att,1)=0,$L328,SUMIFS(nrES_Raw,nrES_PID,$D328,nrES_Code,$F328,nrES_Att,1))))))))</f>
        <v/>
      </c>
      <c r="N328" s="17">
        <f>IF($C328="","",IF($L328="","",IF(NOT(ISNUMBER($L328)),"(not a score)",IF($L328&gt;=$J328,"Yes","No"))))</f>
        <v/>
      </c>
      <c r="O328" s="17">
        <f>IF($C328="","",IF($M328="","",IF(NOT(ISNUMBER($M328)),"(not a score)",IF($M328&gt;=$J328,"Yes","No"))))</f>
        <v/>
      </c>
      <c r="P328" s="17">
        <f>IF($C328="","",IF($K328="","",IF(N($K328)&gt;2,"No",IF(COUNTIFS(nrES_PID,$D328,nrES_Code,$F328,nrES_Att,"&gt;"&amp;$K328,nrES_Att,"&lt;=2",nrES_Raw,"&gt;=0")=0,"Yes","No"))))</f>
        <v/>
      </c>
      <c r="Q328" s="17">
        <f>IF($C328="","",IF($L328="","",IF(AND($K328=1,ISNUMBER($L328),$L328&lt;$J328,COUNTIFS(nrES_PID,$D328,nrES_Code,$F328,nrES_Att,2,nrES_Raw,"&gt;=0")=0),"Yes","No")))</f>
        <v/>
      </c>
      <c r="R328" s="17">
        <f>IF($C328="","",IF($L328="","",IF(AND(N($K328)&gt;=2,ISNUMBER($L328),$L328&lt;$J328),"Yes","No")))</f>
        <v/>
      </c>
      <c r="S328" s="18" t="n"/>
      <c r="T328" s="19">
        <f>IF(OR($C328="",$L328="",$K328&lt;&gt;1,NOT(ISNUMBER($L328)),$L328&gt;=$J328),"",IF($S328="","(enter date)",_xlfn.LET(_xlpm.dn,_xlfn.XLOOKUP($S328,nrCDdate,nrCDnum,"",1),IF(_xlpm.dn="","(after last class day)",_xlfn.LET(_xlpm.dd,_xlfn.XLOOKUP(_xlpm.dn+cfgRetestClassDays,nrCDnum,nrCDdate,""),_xlpm.ok,_xlfn.XLOOKUP(_xlpm.dn+cfgRetestClassDays,nrCDnum,nrCDinsession,"No"),IF(OR(_xlpm.dd="",_xlpm.ok&lt;&gt;"Yes"),"(after last class day)",_xlpm.dd))))))</f>
        <v/>
      </c>
      <c r="U328" s="17">
        <f>IF($C328="","",IF(AND($Y328="Excused",$L328="",N($K328)&lt;=1),"EXCUSED - 1st attempt pending",IF(OR($L328="",$K328&lt;&gt;1,NOT(ISNUMBER($L328)),$L328&gt;=$J328),"",IF(COUNTIFS(nrES_PID,$D328,nrES_Code,$F328,nrES_Att,2,nrES_Raw,"&gt;=0")&gt;0,IF(IFERROR(_xlfn.MINIFS(nrES_Date,nrES_PID,$D328,nrES_Code,$F328,nrES_Att,2,nrES_Raw,"&gt;=0",nrES_Date,"&gt;0"),0)=0,"RETEST UNDATED",IF(NOT(ISNUMBER($T328)),"RETEST DATE UNCHECKED",IF(_xlfn.MINIFS(nrES_Date,nrES_PID,$D328,nrES_Code,$F328,nrES_Att,2,nrES_Raw,"&gt;=0",nrES_Date,"&gt;0")&gt;$T328,"LATE RETEST "&amp;TEXT(_xlfn.MINIFS(nrES_Date,nrES_PID,$D328,nrES_Code,$F328,nrES_Att,2,nrES_Raw,"&gt;=0",nrES_Date,"&gt;0"),"mm/dd")&amp;" (due "&amp;TEXT($T328,"mm/dd")&amp;")","Retested"))),IF(NOT(ISNUMBER($T328)),"CHECK DATE",IF(TODAY()&gt;$T328,"OVERDUE","Due "&amp;TEXT($T328,"mm/dd")))))))</f>
        <v/>
      </c>
      <c r="V328" s="16" t="n"/>
      <c r="W328" s="16" t="n"/>
      <c r="X328" s="17">
        <f>IF($C328="","",IF(AND($L328&lt;&gt;"",NOT(ISNUMBER($L328))),"RAW SCORE NOT A NUMBER",IF(AND(ISNUMBER($L328),OR($L328&lt;0,$L328&gt;100)),"RAW SCORE OUT OF RANGE",IF(AND($Y328="Unexcused",OR($L328="",NOT(ISNUMBER($L328)),$L328&lt;&gt;0)),"UNEXCUSED ABSENCE MUST RECORD 0",IF(COUNTIF(nrES_RecID,$B328)&gt;1,"DUPLICATE RECORD",IF(N($K328)&gt;2,"ATTEMPT 3+ NOT ALLOWED - policy 300.5 permits one retest per exam; this row records nothing",IF(AND($K328=2,COUNTIFS(nrES_PID,$D328,nrES_Code,$F328,nrES_Att,1)=0),"ATTEMPT 2 WITHOUT ATTEMPT 1",IF(AND($K328=2,$L328=""),"RETEST ROW HAS NO SCORE",IF(AND($H328="Final",$L328&lt;&gt;"",IFERROR(INDEX(nrCKfinalExamElig,MATCH($D328,rngCadetPIDs,0)),"")="No"),"FINAL EXAM AFTER FAILED FINAL PT (500.1.H)",IF(AND($K328=2,ISNUMBER($L328),COUNTIFS(nrES_PID,$D328,nrES_Code,$F328,nrES_Att,1)&gt;0,SUMIFS(nrES_Raw,nrES_PID,$D328,nrES_Code,$F328,nrES_Att,1)&gt;=$J328),"RETEST AFTER A PASSING FIRST ATTEMPT","OK"))))))))))</f>
        <v/>
      </c>
      <c r="Y328" s="16" t="n"/>
    </row>
    <row r="329">
      <c r="B329" s="17">
        <f>IF($C329="","",$D329&amp;"-"&amp;$F329&amp;"-"&amp;$K329)</f>
        <v/>
      </c>
      <c r="C329" s="16" t="n"/>
      <c r="D329" s="17">
        <f>IF($C329="","",IFERROR(INDEX(rngCadetPIDs,MATCH($C329,rngCadetNames,0)),"?"))</f>
        <v/>
      </c>
      <c r="E329" s="17">
        <f>IF($D329="","",IFERROR(INDEX(nrCadetAgency,MATCH($D329,rngCadetPIDs,0)),""))</f>
        <v/>
      </c>
      <c r="F329" s="16" t="n"/>
      <c r="G329" s="17">
        <f>IF($F329="","",IFERROR(INDEX(rngEPname,MATCH($F329,rngEPcode,0)),"?"))</f>
        <v/>
      </c>
      <c r="H329" s="17">
        <f>IF($F329="","",IFERROR(INDEX(rngEPtype,MATCH($F329,rngEPcode,0)),"?"))</f>
        <v/>
      </c>
      <c r="I329" s="17">
        <f>IF($F329="","",IFERROR(INDEX(rngEPseq,MATCH($F329,rngEPcode,0)),""))</f>
        <v/>
      </c>
      <c r="J329" s="17">
        <f>IF($F329="","",IFERROR(INDEX(rngEPpass,MATCH($F329,rngEPcode,0)),cfgPassingScore))</f>
        <v/>
      </c>
      <c r="K329" s="16" t="n"/>
      <c r="L329" s="16" t="n"/>
      <c r="M329" s="17">
        <f>IF($C329="","",IF($L329="","",IF(NOT(ISNUMBER($L329)),$L329,IF(N($K329)&gt;2,"",IF($K329=1,IF(COUNTIFS(nrES_PID,$D329,nrES_Code,$F329,nrES_Att,2,nrES_Raw,"&gt;=0")&gt;0,"",$L329),IF($L329&gt;=$J329,MAX($J329,cfgRetakeRecordedCap),IF(COUNTIFS(nrES_PID,$D329,nrES_Code,$F329,nrES_Att,1)=0,$L329,SUMIFS(nrES_Raw,nrES_PID,$D329,nrES_Code,$F329,nrES_Att,1))))))))</f>
        <v/>
      </c>
      <c r="N329" s="17">
        <f>IF($C329="","",IF($L329="","",IF(NOT(ISNUMBER($L329)),"(not a score)",IF($L329&gt;=$J329,"Yes","No"))))</f>
        <v/>
      </c>
      <c r="O329" s="17">
        <f>IF($C329="","",IF($M329="","",IF(NOT(ISNUMBER($M329)),"(not a score)",IF($M329&gt;=$J329,"Yes","No"))))</f>
        <v/>
      </c>
      <c r="P329" s="17">
        <f>IF($C329="","",IF($K329="","",IF(N($K329)&gt;2,"No",IF(COUNTIFS(nrES_PID,$D329,nrES_Code,$F329,nrES_Att,"&gt;"&amp;$K329,nrES_Att,"&lt;=2",nrES_Raw,"&gt;=0")=0,"Yes","No"))))</f>
        <v/>
      </c>
      <c r="Q329" s="17">
        <f>IF($C329="","",IF($L329="","",IF(AND($K329=1,ISNUMBER($L329),$L329&lt;$J329,COUNTIFS(nrES_PID,$D329,nrES_Code,$F329,nrES_Att,2,nrES_Raw,"&gt;=0")=0),"Yes","No")))</f>
        <v/>
      </c>
      <c r="R329" s="17">
        <f>IF($C329="","",IF($L329="","",IF(AND(N($K329)&gt;=2,ISNUMBER($L329),$L329&lt;$J329),"Yes","No")))</f>
        <v/>
      </c>
      <c r="S329" s="18" t="n"/>
      <c r="T329" s="19">
        <f>IF(OR($C329="",$L329="",$K329&lt;&gt;1,NOT(ISNUMBER($L329)),$L329&gt;=$J329),"",IF($S329="","(enter date)",_xlfn.LET(_xlpm.dn,_xlfn.XLOOKUP($S329,nrCDdate,nrCDnum,"",1),IF(_xlpm.dn="","(after last class day)",_xlfn.LET(_xlpm.dd,_xlfn.XLOOKUP(_xlpm.dn+cfgRetestClassDays,nrCDnum,nrCDdate,""),_xlpm.ok,_xlfn.XLOOKUP(_xlpm.dn+cfgRetestClassDays,nrCDnum,nrCDinsession,"No"),IF(OR(_xlpm.dd="",_xlpm.ok&lt;&gt;"Yes"),"(after last class day)",_xlpm.dd))))))</f>
        <v/>
      </c>
      <c r="U329" s="17">
        <f>IF($C329="","",IF(AND($Y329="Excused",$L329="",N($K329)&lt;=1),"EXCUSED - 1st attempt pending",IF(OR($L329="",$K329&lt;&gt;1,NOT(ISNUMBER($L329)),$L329&gt;=$J329),"",IF(COUNTIFS(nrES_PID,$D329,nrES_Code,$F329,nrES_Att,2,nrES_Raw,"&gt;=0")&gt;0,IF(IFERROR(_xlfn.MINIFS(nrES_Date,nrES_PID,$D329,nrES_Code,$F329,nrES_Att,2,nrES_Raw,"&gt;=0",nrES_Date,"&gt;0"),0)=0,"RETEST UNDATED",IF(NOT(ISNUMBER($T329)),"RETEST DATE UNCHECKED",IF(_xlfn.MINIFS(nrES_Date,nrES_PID,$D329,nrES_Code,$F329,nrES_Att,2,nrES_Raw,"&gt;=0",nrES_Date,"&gt;0")&gt;$T329,"LATE RETEST "&amp;TEXT(_xlfn.MINIFS(nrES_Date,nrES_PID,$D329,nrES_Code,$F329,nrES_Att,2,nrES_Raw,"&gt;=0",nrES_Date,"&gt;0"),"mm/dd")&amp;" (due "&amp;TEXT($T329,"mm/dd")&amp;")","Retested"))),IF(NOT(ISNUMBER($T329)),"CHECK DATE",IF(TODAY()&gt;$T329,"OVERDUE","Due "&amp;TEXT($T329,"mm/dd")))))))</f>
        <v/>
      </c>
      <c r="V329" s="16" t="n"/>
      <c r="W329" s="16" t="n"/>
      <c r="X329" s="17">
        <f>IF($C329="","",IF(AND($L329&lt;&gt;"",NOT(ISNUMBER($L329))),"RAW SCORE NOT A NUMBER",IF(AND(ISNUMBER($L329),OR($L329&lt;0,$L329&gt;100)),"RAW SCORE OUT OF RANGE",IF(AND($Y329="Unexcused",OR($L329="",NOT(ISNUMBER($L329)),$L329&lt;&gt;0)),"UNEXCUSED ABSENCE MUST RECORD 0",IF(COUNTIF(nrES_RecID,$B329)&gt;1,"DUPLICATE RECORD",IF(N($K329)&gt;2,"ATTEMPT 3+ NOT ALLOWED - policy 300.5 permits one retest per exam; this row records nothing",IF(AND($K329=2,COUNTIFS(nrES_PID,$D329,nrES_Code,$F329,nrES_Att,1)=0),"ATTEMPT 2 WITHOUT ATTEMPT 1",IF(AND($K329=2,$L329=""),"RETEST ROW HAS NO SCORE",IF(AND($H329="Final",$L329&lt;&gt;"",IFERROR(INDEX(nrCKfinalExamElig,MATCH($D329,rngCadetPIDs,0)),"")="No"),"FINAL EXAM AFTER FAILED FINAL PT (500.1.H)",IF(AND($K329=2,ISNUMBER($L329),COUNTIFS(nrES_PID,$D329,nrES_Code,$F329,nrES_Att,1)&gt;0,SUMIFS(nrES_Raw,nrES_PID,$D329,nrES_Code,$F329,nrES_Att,1)&gt;=$J329),"RETEST AFTER A PASSING FIRST ATTEMPT","OK"))))))))))</f>
        <v/>
      </c>
      <c r="Y329" s="16" t="n"/>
    </row>
    <row r="330">
      <c r="B330" s="17">
        <f>IF($C330="","",$D330&amp;"-"&amp;$F330&amp;"-"&amp;$K330)</f>
        <v/>
      </c>
      <c r="C330" s="16" t="n"/>
      <c r="D330" s="17">
        <f>IF($C330="","",IFERROR(INDEX(rngCadetPIDs,MATCH($C330,rngCadetNames,0)),"?"))</f>
        <v/>
      </c>
      <c r="E330" s="17">
        <f>IF($D330="","",IFERROR(INDEX(nrCadetAgency,MATCH($D330,rngCadetPIDs,0)),""))</f>
        <v/>
      </c>
      <c r="F330" s="16" t="n"/>
      <c r="G330" s="17">
        <f>IF($F330="","",IFERROR(INDEX(rngEPname,MATCH($F330,rngEPcode,0)),"?"))</f>
        <v/>
      </c>
      <c r="H330" s="17">
        <f>IF($F330="","",IFERROR(INDEX(rngEPtype,MATCH($F330,rngEPcode,0)),"?"))</f>
        <v/>
      </c>
      <c r="I330" s="17">
        <f>IF($F330="","",IFERROR(INDEX(rngEPseq,MATCH($F330,rngEPcode,0)),""))</f>
        <v/>
      </c>
      <c r="J330" s="17">
        <f>IF($F330="","",IFERROR(INDEX(rngEPpass,MATCH($F330,rngEPcode,0)),cfgPassingScore))</f>
        <v/>
      </c>
      <c r="K330" s="16" t="n"/>
      <c r="L330" s="16" t="n"/>
      <c r="M330" s="17">
        <f>IF($C330="","",IF($L330="","",IF(NOT(ISNUMBER($L330)),$L330,IF(N($K330)&gt;2,"",IF($K330=1,IF(COUNTIFS(nrES_PID,$D330,nrES_Code,$F330,nrES_Att,2,nrES_Raw,"&gt;=0")&gt;0,"",$L330),IF($L330&gt;=$J330,MAX($J330,cfgRetakeRecordedCap),IF(COUNTIFS(nrES_PID,$D330,nrES_Code,$F330,nrES_Att,1)=0,$L330,SUMIFS(nrES_Raw,nrES_PID,$D330,nrES_Code,$F330,nrES_Att,1))))))))</f>
        <v/>
      </c>
      <c r="N330" s="17">
        <f>IF($C330="","",IF($L330="","",IF(NOT(ISNUMBER($L330)),"(not a score)",IF($L330&gt;=$J330,"Yes","No"))))</f>
        <v/>
      </c>
      <c r="O330" s="17">
        <f>IF($C330="","",IF($M330="","",IF(NOT(ISNUMBER($M330)),"(not a score)",IF($M330&gt;=$J330,"Yes","No"))))</f>
        <v/>
      </c>
      <c r="P330" s="17">
        <f>IF($C330="","",IF($K330="","",IF(N($K330)&gt;2,"No",IF(COUNTIFS(nrES_PID,$D330,nrES_Code,$F330,nrES_Att,"&gt;"&amp;$K330,nrES_Att,"&lt;=2",nrES_Raw,"&gt;=0")=0,"Yes","No"))))</f>
        <v/>
      </c>
      <c r="Q330" s="17">
        <f>IF($C330="","",IF($L330="","",IF(AND($K330=1,ISNUMBER($L330),$L330&lt;$J330,COUNTIFS(nrES_PID,$D330,nrES_Code,$F330,nrES_Att,2,nrES_Raw,"&gt;=0")=0),"Yes","No")))</f>
        <v/>
      </c>
      <c r="R330" s="17">
        <f>IF($C330="","",IF($L330="","",IF(AND(N($K330)&gt;=2,ISNUMBER($L330),$L330&lt;$J330),"Yes","No")))</f>
        <v/>
      </c>
      <c r="S330" s="18" t="n"/>
      <c r="T330" s="19">
        <f>IF(OR($C330="",$L330="",$K330&lt;&gt;1,NOT(ISNUMBER($L330)),$L330&gt;=$J330),"",IF($S330="","(enter date)",_xlfn.LET(_xlpm.dn,_xlfn.XLOOKUP($S330,nrCDdate,nrCDnum,"",1),IF(_xlpm.dn="","(after last class day)",_xlfn.LET(_xlpm.dd,_xlfn.XLOOKUP(_xlpm.dn+cfgRetestClassDays,nrCDnum,nrCDdate,""),_xlpm.ok,_xlfn.XLOOKUP(_xlpm.dn+cfgRetestClassDays,nrCDnum,nrCDinsession,"No"),IF(OR(_xlpm.dd="",_xlpm.ok&lt;&gt;"Yes"),"(after last class day)",_xlpm.dd))))))</f>
        <v/>
      </c>
      <c r="U330" s="17">
        <f>IF($C330="","",IF(AND($Y330="Excused",$L330="",N($K330)&lt;=1),"EXCUSED - 1st attempt pending",IF(OR($L330="",$K330&lt;&gt;1,NOT(ISNUMBER($L330)),$L330&gt;=$J330),"",IF(COUNTIFS(nrES_PID,$D330,nrES_Code,$F330,nrES_Att,2,nrES_Raw,"&gt;=0")&gt;0,IF(IFERROR(_xlfn.MINIFS(nrES_Date,nrES_PID,$D330,nrES_Code,$F330,nrES_Att,2,nrES_Raw,"&gt;=0",nrES_Date,"&gt;0"),0)=0,"RETEST UNDATED",IF(NOT(ISNUMBER($T330)),"RETEST DATE UNCHECKED",IF(_xlfn.MINIFS(nrES_Date,nrES_PID,$D330,nrES_Code,$F330,nrES_Att,2,nrES_Raw,"&gt;=0",nrES_Date,"&gt;0")&gt;$T330,"LATE RETEST "&amp;TEXT(_xlfn.MINIFS(nrES_Date,nrES_PID,$D330,nrES_Code,$F330,nrES_Att,2,nrES_Raw,"&gt;=0",nrES_Date,"&gt;0"),"mm/dd")&amp;" (due "&amp;TEXT($T330,"mm/dd")&amp;")","Retested"))),IF(NOT(ISNUMBER($T330)),"CHECK DATE",IF(TODAY()&gt;$T330,"OVERDUE","Due "&amp;TEXT($T330,"mm/dd")))))))</f>
        <v/>
      </c>
      <c r="V330" s="16" t="n"/>
      <c r="W330" s="16" t="n"/>
      <c r="X330" s="17">
        <f>IF($C330="","",IF(AND($L330&lt;&gt;"",NOT(ISNUMBER($L330))),"RAW SCORE NOT A NUMBER",IF(AND(ISNUMBER($L330),OR($L330&lt;0,$L330&gt;100)),"RAW SCORE OUT OF RANGE",IF(AND($Y330="Unexcused",OR($L330="",NOT(ISNUMBER($L330)),$L330&lt;&gt;0)),"UNEXCUSED ABSENCE MUST RECORD 0",IF(COUNTIF(nrES_RecID,$B330)&gt;1,"DUPLICATE RECORD",IF(N($K330)&gt;2,"ATTEMPT 3+ NOT ALLOWED - policy 300.5 permits one retest per exam; this row records nothing",IF(AND($K330=2,COUNTIFS(nrES_PID,$D330,nrES_Code,$F330,nrES_Att,1)=0),"ATTEMPT 2 WITHOUT ATTEMPT 1",IF(AND($K330=2,$L330=""),"RETEST ROW HAS NO SCORE",IF(AND($H330="Final",$L330&lt;&gt;"",IFERROR(INDEX(nrCKfinalExamElig,MATCH($D330,rngCadetPIDs,0)),"")="No"),"FINAL EXAM AFTER FAILED FINAL PT (500.1.H)",IF(AND($K330=2,ISNUMBER($L330),COUNTIFS(nrES_PID,$D330,nrES_Code,$F330,nrES_Att,1)&gt;0,SUMIFS(nrES_Raw,nrES_PID,$D330,nrES_Code,$F330,nrES_Att,1)&gt;=$J330),"RETEST AFTER A PASSING FIRST ATTEMPT","OK"))))))))))</f>
        <v/>
      </c>
      <c r="Y330" s="16" t="n"/>
    </row>
    <row r="331">
      <c r="B331" s="17">
        <f>IF($C331="","",$D331&amp;"-"&amp;$F331&amp;"-"&amp;$K331)</f>
        <v/>
      </c>
      <c r="C331" s="16" t="n"/>
      <c r="D331" s="17">
        <f>IF($C331="","",IFERROR(INDEX(rngCadetPIDs,MATCH($C331,rngCadetNames,0)),"?"))</f>
        <v/>
      </c>
      <c r="E331" s="17">
        <f>IF($D331="","",IFERROR(INDEX(nrCadetAgency,MATCH($D331,rngCadetPIDs,0)),""))</f>
        <v/>
      </c>
      <c r="F331" s="16" t="n"/>
      <c r="G331" s="17">
        <f>IF($F331="","",IFERROR(INDEX(rngEPname,MATCH($F331,rngEPcode,0)),"?"))</f>
        <v/>
      </c>
      <c r="H331" s="17">
        <f>IF($F331="","",IFERROR(INDEX(rngEPtype,MATCH($F331,rngEPcode,0)),"?"))</f>
        <v/>
      </c>
      <c r="I331" s="17">
        <f>IF($F331="","",IFERROR(INDEX(rngEPseq,MATCH($F331,rngEPcode,0)),""))</f>
        <v/>
      </c>
      <c r="J331" s="17">
        <f>IF($F331="","",IFERROR(INDEX(rngEPpass,MATCH($F331,rngEPcode,0)),cfgPassingScore))</f>
        <v/>
      </c>
      <c r="K331" s="16" t="n"/>
      <c r="L331" s="16" t="n"/>
      <c r="M331" s="17">
        <f>IF($C331="","",IF($L331="","",IF(NOT(ISNUMBER($L331)),$L331,IF(N($K331)&gt;2,"",IF($K331=1,IF(COUNTIFS(nrES_PID,$D331,nrES_Code,$F331,nrES_Att,2,nrES_Raw,"&gt;=0")&gt;0,"",$L331),IF($L331&gt;=$J331,MAX($J331,cfgRetakeRecordedCap),IF(COUNTIFS(nrES_PID,$D331,nrES_Code,$F331,nrES_Att,1)=0,$L331,SUMIFS(nrES_Raw,nrES_PID,$D331,nrES_Code,$F331,nrES_Att,1))))))))</f>
        <v/>
      </c>
      <c r="N331" s="17">
        <f>IF($C331="","",IF($L331="","",IF(NOT(ISNUMBER($L331)),"(not a score)",IF($L331&gt;=$J331,"Yes","No"))))</f>
        <v/>
      </c>
      <c r="O331" s="17">
        <f>IF($C331="","",IF($M331="","",IF(NOT(ISNUMBER($M331)),"(not a score)",IF($M331&gt;=$J331,"Yes","No"))))</f>
        <v/>
      </c>
      <c r="P331" s="17">
        <f>IF($C331="","",IF($K331="","",IF(N($K331)&gt;2,"No",IF(COUNTIFS(nrES_PID,$D331,nrES_Code,$F331,nrES_Att,"&gt;"&amp;$K331,nrES_Att,"&lt;=2",nrES_Raw,"&gt;=0")=0,"Yes","No"))))</f>
        <v/>
      </c>
      <c r="Q331" s="17">
        <f>IF($C331="","",IF($L331="","",IF(AND($K331=1,ISNUMBER($L331),$L331&lt;$J331,COUNTIFS(nrES_PID,$D331,nrES_Code,$F331,nrES_Att,2,nrES_Raw,"&gt;=0")=0),"Yes","No")))</f>
        <v/>
      </c>
      <c r="R331" s="17">
        <f>IF($C331="","",IF($L331="","",IF(AND(N($K331)&gt;=2,ISNUMBER($L331),$L331&lt;$J331),"Yes","No")))</f>
        <v/>
      </c>
      <c r="S331" s="18" t="n"/>
      <c r="T331" s="19">
        <f>IF(OR($C331="",$L331="",$K331&lt;&gt;1,NOT(ISNUMBER($L331)),$L331&gt;=$J331),"",IF($S331="","(enter date)",_xlfn.LET(_xlpm.dn,_xlfn.XLOOKUP($S331,nrCDdate,nrCDnum,"",1),IF(_xlpm.dn="","(after last class day)",_xlfn.LET(_xlpm.dd,_xlfn.XLOOKUP(_xlpm.dn+cfgRetestClassDays,nrCDnum,nrCDdate,""),_xlpm.ok,_xlfn.XLOOKUP(_xlpm.dn+cfgRetestClassDays,nrCDnum,nrCDinsession,"No"),IF(OR(_xlpm.dd="",_xlpm.ok&lt;&gt;"Yes"),"(after last class day)",_xlpm.dd))))))</f>
        <v/>
      </c>
      <c r="U331" s="17">
        <f>IF($C331="","",IF(AND($Y331="Excused",$L331="",N($K331)&lt;=1),"EXCUSED - 1st attempt pending",IF(OR($L331="",$K331&lt;&gt;1,NOT(ISNUMBER($L331)),$L331&gt;=$J331),"",IF(COUNTIFS(nrES_PID,$D331,nrES_Code,$F331,nrES_Att,2,nrES_Raw,"&gt;=0")&gt;0,IF(IFERROR(_xlfn.MINIFS(nrES_Date,nrES_PID,$D331,nrES_Code,$F331,nrES_Att,2,nrES_Raw,"&gt;=0",nrES_Date,"&gt;0"),0)=0,"RETEST UNDATED",IF(NOT(ISNUMBER($T331)),"RETEST DATE UNCHECKED",IF(_xlfn.MINIFS(nrES_Date,nrES_PID,$D331,nrES_Code,$F331,nrES_Att,2,nrES_Raw,"&gt;=0",nrES_Date,"&gt;0")&gt;$T331,"LATE RETEST "&amp;TEXT(_xlfn.MINIFS(nrES_Date,nrES_PID,$D331,nrES_Code,$F331,nrES_Att,2,nrES_Raw,"&gt;=0",nrES_Date,"&gt;0"),"mm/dd")&amp;" (due "&amp;TEXT($T331,"mm/dd")&amp;")","Retested"))),IF(NOT(ISNUMBER($T331)),"CHECK DATE",IF(TODAY()&gt;$T331,"OVERDUE","Due "&amp;TEXT($T331,"mm/dd")))))))</f>
        <v/>
      </c>
      <c r="V331" s="16" t="n"/>
      <c r="W331" s="16" t="n"/>
      <c r="X331" s="17">
        <f>IF($C331="","",IF(AND($L331&lt;&gt;"",NOT(ISNUMBER($L331))),"RAW SCORE NOT A NUMBER",IF(AND(ISNUMBER($L331),OR($L331&lt;0,$L331&gt;100)),"RAW SCORE OUT OF RANGE",IF(AND($Y331="Unexcused",OR($L331="",NOT(ISNUMBER($L331)),$L331&lt;&gt;0)),"UNEXCUSED ABSENCE MUST RECORD 0",IF(COUNTIF(nrES_RecID,$B331)&gt;1,"DUPLICATE RECORD",IF(N($K331)&gt;2,"ATTEMPT 3+ NOT ALLOWED - policy 300.5 permits one retest per exam; this row records nothing",IF(AND($K331=2,COUNTIFS(nrES_PID,$D331,nrES_Code,$F331,nrES_Att,1)=0),"ATTEMPT 2 WITHOUT ATTEMPT 1",IF(AND($K331=2,$L331=""),"RETEST ROW HAS NO SCORE",IF(AND($H331="Final",$L331&lt;&gt;"",IFERROR(INDEX(nrCKfinalExamElig,MATCH($D331,rngCadetPIDs,0)),"")="No"),"FINAL EXAM AFTER FAILED FINAL PT (500.1.H)",IF(AND($K331=2,ISNUMBER($L331),COUNTIFS(nrES_PID,$D331,nrES_Code,$F331,nrES_Att,1)&gt;0,SUMIFS(nrES_Raw,nrES_PID,$D331,nrES_Code,$F331,nrES_Att,1)&gt;=$J331),"RETEST AFTER A PASSING FIRST ATTEMPT","OK"))))))))))</f>
        <v/>
      </c>
      <c r="Y331" s="16" t="n"/>
    </row>
    <row r="332">
      <c r="B332" s="17">
        <f>IF($C332="","",$D332&amp;"-"&amp;$F332&amp;"-"&amp;$K332)</f>
        <v/>
      </c>
      <c r="C332" s="16" t="n"/>
      <c r="D332" s="17">
        <f>IF($C332="","",IFERROR(INDEX(rngCadetPIDs,MATCH($C332,rngCadetNames,0)),"?"))</f>
        <v/>
      </c>
      <c r="E332" s="17">
        <f>IF($D332="","",IFERROR(INDEX(nrCadetAgency,MATCH($D332,rngCadetPIDs,0)),""))</f>
        <v/>
      </c>
      <c r="F332" s="16" t="n"/>
      <c r="G332" s="17">
        <f>IF($F332="","",IFERROR(INDEX(rngEPname,MATCH($F332,rngEPcode,0)),"?"))</f>
        <v/>
      </c>
      <c r="H332" s="17">
        <f>IF($F332="","",IFERROR(INDEX(rngEPtype,MATCH($F332,rngEPcode,0)),"?"))</f>
        <v/>
      </c>
      <c r="I332" s="17">
        <f>IF($F332="","",IFERROR(INDEX(rngEPseq,MATCH($F332,rngEPcode,0)),""))</f>
        <v/>
      </c>
      <c r="J332" s="17">
        <f>IF($F332="","",IFERROR(INDEX(rngEPpass,MATCH($F332,rngEPcode,0)),cfgPassingScore))</f>
        <v/>
      </c>
      <c r="K332" s="16" t="n"/>
      <c r="L332" s="16" t="n"/>
      <c r="M332" s="17">
        <f>IF($C332="","",IF($L332="","",IF(NOT(ISNUMBER($L332)),$L332,IF(N($K332)&gt;2,"",IF($K332=1,IF(COUNTIFS(nrES_PID,$D332,nrES_Code,$F332,nrES_Att,2,nrES_Raw,"&gt;=0")&gt;0,"",$L332),IF($L332&gt;=$J332,MAX($J332,cfgRetakeRecordedCap),IF(COUNTIFS(nrES_PID,$D332,nrES_Code,$F332,nrES_Att,1)=0,$L332,SUMIFS(nrES_Raw,nrES_PID,$D332,nrES_Code,$F332,nrES_Att,1))))))))</f>
        <v/>
      </c>
      <c r="N332" s="17">
        <f>IF($C332="","",IF($L332="","",IF(NOT(ISNUMBER($L332)),"(not a score)",IF($L332&gt;=$J332,"Yes","No"))))</f>
        <v/>
      </c>
      <c r="O332" s="17">
        <f>IF($C332="","",IF($M332="","",IF(NOT(ISNUMBER($M332)),"(not a score)",IF($M332&gt;=$J332,"Yes","No"))))</f>
        <v/>
      </c>
      <c r="P332" s="17">
        <f>IF($C332="","",IF($K332="","",IF(N($K332)&gt;2,"No",IF(COUNTIFS(nrES_PID,$D332,nrES_Code,$F332,nrES_Att,"&gt;"&amp;$K332,nrES_Att,"&lt;=2",nrES_Raw,"&gt;=0")=0,"Yes","No"))))</f>
        <v/>
      </c>
      <c r="Q332" s="17">
        <f>IF($C332="","",IF($L332="","",IF(AND($K332=1,ISNUMBER($L332),$L332&lt;$J332,COUNTIFS(nrES_PID,$D332,nrES_Code,$F332,nrES_Att,2,nrES_Raw,"&gt;=0")=0),"Yes","No")))</f>
        <v/>
      </c>
      <c r="R332" s="17">
        <f>IF($C332="","",IF($L332="","",IF(AND(N($K332)&gt;=2,ISNUMBER($L332),$L332&lt;$J332),"Yes","No")))</f>
        <v/>
      </c>
      <c r="S332" s="18" t="n"/>
      <c r="T332" s="19">
        <f>IF(OR($C332="",$L332="",$K332&lt;&gt;1,NOT(ISNUMBER($L332)),$L332&gt;=$J332),"",IF($S332="","(enter date)",_xlfn.LET(_xlpm.dn,_xlfn.XLOOKUP($S332,nrCDdate,nrCDnum,"",1),IF(_xlpm.dn="","(after last class day)",_xlfn.LET(_xlpm.dd,_xlfn.XLOOKUP(_xlpm.dn+cfgRetestClassDays,nrCDnum,nrCDdate,""),_xlpm.ok,_xlfn.XLOOKUP(_xlpm.dn+cfgRetestClassDays,nrCDnum,nrCDinsession,"No"),IF(OR(_xlpm.dd="",_xlpm.ok&lt;&gt;"Yes"),"(after last class day)",_xlpm.dd))))))</f>
        <v/>
      </c>
      <c r="U332" s="17">
        <f>IF($C332="","",IF(AND($Y332="Excused",$L332="",N($K332)&lt;=1),"EXCUSED - 1st attempt pending",IF(OR($L332="",$K332&lt;&gt;1,NOT(ISNUMBER($L332)),$L332&gt;=$J332),"",IF(COUNTIFS(nrES_PID,$D332,nrES_Code,$F332,nrES_Att,2,nrES_Raw,"&gt;=0")&gt;0,IF(IFERROR(_xlfn.MINIFS(nrES_Date,nrES_PID,$D332,nrES_Code,$F332,nrES_Att,2,nrES_Raw,"&gt;=0",nrES_Date,"&gt;0"),0)=0,"RETEST UNDATED",IF(NOT(ISNUMBER($T332)),"RETEST DATE UNCHECKED",IF(_xlfn.MINIFS(nrES_Date,nrES_PID,$D332,nrES_Code,$F332,nrES_Att,2,nrES_Raw,"&gt;=0",nrES_Date,"&gt;0")&gt;$T332,"LATE RETEST "&amp;TEXT(_xlfn.MINIFS(nrES_Date,nrES_PID,$D332,nrES_Code,$F332,nrES_Att,2,nrES_Raw,"&gt;=0",nrES_Date,"&gt;0"),"mm/dd")&amp;" (due "&amp;TEXT($T332,"mm/dd")&amp;")","Retested"))),IF(NOT(ISNUMBER($T332)),"CHECK DATE",IF(TODAY()&gt;$T332,"OVERDUE","Due "&amp;TEXT($T332,"mm/dd")))))))</f>
        <v/>
      </c>
      <c r="V332" s="16" t="n"/>
      <c r="W332" s="16" t="n"/>
      <c r="X332" s="17">
        <f>IF($C332="","",IF(AND($L332&lt;&gt;"",NOT(ISNUMBER($L332))),"RAW SCORE NOT A NUMBER",IF(AND(ISNUMBER($L332),OR($L332&lt;0,$L332&gt;100)),"RAW SCORE OUT OF RANGE",IF(AND($Y332="Unexcused",OR($L332="",NOT(ISNUMBER($L332)),$L332&lt;&gt;0)),"UNEXCUSED ABSENCE MUST RECORD 0",IF(COUNTIF(nrES_RecID,$B332)&gt;1,"DUPLICATE RECORD",IF(N($K332)&gt;2,"ATTEMPT 3+ NOT ALLOWED - policy 300.5 permits one retest per exam; this row records nothing",IF(AND($K332=2,COUNTIFS(nrES_PID,$D332,nrES_Code,$F332,nrES_Att,1)=0),"ATTEMPT 2 WITHOUT ATTEMPT 1",IF(AND($K332=2,$L332=""),"RETEST ROW HAS NO SCORE",IF(AND($H332="Final",$L332&lt;&gt;"",IFERROR(INDEX(nrCKfinalExamElig,MATCH($D332,rngCadetPIDs,0)),"")="No"),"FINAL EXAM AFTER FAILED FINAL PT (500.1.H)",IF(AND($K332=2,ISNUMBER($L332),COUNTIFS(nrES_PID,$D332,nrES_Code,$F332,nrES_Att,1)&gt;0,SUMIFS(nrES_Raw,nrES_PID,$D332,nrES_Code,$F332,nrES_Att,1)&gt;=$J332),"RETEST AFTER A PASSING FIRST ATTEMPT","OK"))))))))))</f>
        <v/>
      </c>
      <c r="Y332" s="16" t="n"/>
    </row>
    <row r="333">
      <c r="B333" s="17">
        <f>IF($C333="","",$D333&amp;"-"&amp;$F333&amp;"-"&amp;$K333)</f>
        <v/>
      </c>
      <c r="C333" s="16" t="n"/>
      <c r="D333" s="17">
        <f>IF($C333="","",IFERROR(INDEX(rngCadetPIDs,MATCH($C333,rngCadetNames,0)),"?"))</f>
        <v/>
      </c>
      <c r="E333" s="17">
        <f>IF($D333="","",IFERROR(INDEX(nrCadetAgency,MATCH($D333,rngCadetPIDs,0)),""))</f>
        <v/>
      </c>
      <c r="F333" s="16" t="n"/>
      <c r="G333" s="17">
        <f>IF($F333="","",IFERROR(INDEX(rngEPname,MATCH($F333,rngEPcode,0)),"?"))</f>
        <v/>
      </c>
      <c r="H333" s="17">
        <f>IF($F333="","",IFERROR(INDEX(rngEPtype,MATCH($F333,rngEPcode,0)),"?"))</f>
        <v/>
      </c>
      <c r="I333" s="17">
        <f>IF($F333="","",IFERROR(INDEX(rngEPseq,MATCH($F333,rngEPcode,0)),""))</f>
        <v/>
      </c>
      <c r="J333" s="17">
        <f>IF($F333="","",IFERROR(INDEX(rngEPpass,MATCH($F333,rngEPcode,0)),cfgPassingScore))</f>
        <v/>
      </c>
      <c r="K333" s="16" t="n"/>
      <c r="L333" s="16" t="n"/>
      <c r="M333" s="17">
        <f>IF($C333="","",IF($L333="","",IF(NOT(ISNUMBER($L333)),$L333,IF(N($K333)&gt;2,"",IF($K333=1,IF(COUNTIFS(nrES_PID,$D333,nrES_Code,$F333,nrES_Att,2,nrES_Raw,"&gt;=0")&gt;0,"",$L333),IF($L333&gt;=$J333,MAX($J333,cfgRetakeRecordedCap),IF(COUNTIFS(nrES_PID,$D333,nrES_Code,$F333,nrES_Att,1)=0,$L333,SUMIFS(nrES_Raw,nrES_PID,$D333,nrES_Code,$F333,nrES_Att,1))))))))</f>
        <v/>
      </c>
      <c r="N333" s="17">
        <f>IF($C333="","",IF($L333="","",IF(NOT(ISNUMBER($L333)),"(not a score)",IF($L333&gt;=$J333,"Yes","No"))))</f>
        <v/>
      </c>
      <c r="O333" s="17">
        <f>IF($C333="","",IF($M333="","",IF(NOT(ISNUMBER($M333)),"(not a score)",IF($M333&gt;=$J333,"Yes","No"))))</f>
        <v/>
      </c>
      <c r="P333" s="17">
        <f>IF($C333="","",IF($K333="","",IF(N($K333)&gt;2,"No",IF(COUNTIFS(nrES_PID,$D333,nrES_Code,$F333,nrES_Att,"&gt;"&amp;$K333,nrES_Att,"&lt;=2",nrES_Raw,"&gt;=0")=0,"Yes","No"))))</f>
        <v/>
      </c>
      <c r="Q333" s="17">
        <f>IF($C333="","",IF($L333="","",IF(AND($K333=1,ISNUMBER($L333),$L333&lt;$J333,COUNTIFS(nrES_PID,$D333,nrES_Code,$F333,nrES_Att,2,nrES_Raw,"&gt;=0")=0),"Yes","No")))</f>
        <v/>
      </c>
      <c r="R333" s="17">
        <f>IF($C333="","",IF($L333="","",IF(AND(N($K333)&gt;=2,ISNUMBER($L333),$L333&lt;$J333),"Yes","No")))</f>
        <v/>
      </c>
      <c r="S333" s="18" t="n"/>
      <c r="T333" s="19">
        <f>IF(OR($C333="",$L333="",$K333&lt;&gt;1,NOT(ISNUMBER($L333)),$L333&gt;=$J333),"",IF($S333="","(enter date)",_xlfn.LET(_xlpm.dn,_xlfn.XLOOKUP($S333,nrCDdate,nrCDnum,"",1),IF(_xlpm.dn="","(after last class day)",_xlfn.LET(_xlpm.dd,_xlfn.XLOOKUP(_xlpm.dn+cfgRetestClassDays,nrCDnum,nrCDdate,""),_xlpm.ok,_xlfn.XLOOKUP(_xlpm.dn+cfgRetestClassDays,nrCDnum,nrCDinsession,"No"),IF(OR(_xlpm.dd="",_xlpm.ok&lt;&gt;"Yes"),"(after last class day)",_xlpm.dd))))))</f>
        <v/>
      </c>
      <c r="U333" s="17">
        <f>IF($C333="","",IF(AND($Y333="Excused",$L333="",N($K333)&lt;=1),"EXCUSED - 1st attempt pending",IF(OR($L333="",$K333&lt;&gt;1,NOT(ISNUMBER($L333)),$L333&gt;=$J333),"",IF(COUNTIFS(nrES_PID,$D333,nrES_Code,$F333,nrES_Att,2,nrES_Raw,"&gt;=0")&gt;0,IF(IFERROR(_xlfn.MINIFS(nrES_Date,nrES_PID,$D333,nrES_Code,$F333,nrES_Att,2,nrES_Raw,"&gt;=0",nrES_Date,"&gt;0"),0)=0,"RETEST UNDATED",IF(NOT(ISNUMBER($T333)),"RETEST DATE UNCHECKED",IF(_xlfn.MINIFS(nrES_Date,nrES_PID,$D333,nrES_Code,$F333,nrES_Att,2,nrES_Raw,"&gt;=0",nrES_Date,"&gt;0")&gt;$T333,"LATE RETEST "&amp;TEXT(_xlfn.MINIFS(nrES_Date,nrES_PID,$D333,nrES_Code,$F333,nrES_Att,2,nrES_Raw,"&gt;=0",nrES_Date,"&gt;0"),"mm/dd")&amp;" (due "&amp;TEXT($T333,"mm/dd")&amp;")","Retested"))),IF(NOT(ISNUMBER($T333)),"CHECK DATE",IF(TODAY()&gt;$T333,"OVERDUE","Due "&amp;TEXT($T333,"mm/dd")))))))</f>
        <v/>
      </c>
      <c r="V333" s="16" t="n"/>
      <c r="W333" s="16" t="n"/>
      <c r="X333" s="17">
        <f>IF($C333="","",IF(AND($L333&lt;&gt;"",NOT(ISNUMBER($L333))),"RAW SCORE NOT A NUMBER",IF(AND(ISNUMBER($L333),OR($L333&lt;0,$L333&gt;100)),"RAW SCORE OUT OF RANGE",IF(AND($Y333="Unexcused",OR($L333="",NOT(ISNUMBER($L333)),$L333&lt;&gt;0)),"UNEXCUSED ABSENCE MUST RECORD 0",IF(COUNTIF(nrES_RecID,$B333)&gt;1,"DUPLICATE RECORD",IF(N($K333)&gt;2,"ATTEMPT 3+ NOT ALLOWED - policy 300.5 permits one retest per exam; this row records nothing",IF(AND($K333=2,COUNTIFS(nrES_PID,$D333,nrES_Code,$F333,nrES_Att,1)=0),"ATTEMPT 2 WITHOUT ATTEMPT 1",IF(AND($K333=2,$L333=""),"RETEST ROW HAS NO SCORE",IF(AND($H333="Final",$L333&lt;&gt;"",IFERROR(INDEX(nrCKfinalExamElig,MATCH($D333,rngCadetPIDs,0)),"")="No"),"FINAL EXAM AFTER FAILED FINAL PT (500.1.H)",IF(AND($K333=2,ISNUMBER($L333),COUNTIFS(nrES_PID,$D333,nrES_Code,$F333,nrES_Att,1)&gt;0,SUMIFS(nrES_Raw,nrES_PID,$D333,nrES_Code,$F333,nrES_Att,1)&gt;=$J333),"RETEST AFTER A PASSING FIRST ATTEMPT","OK"))))))))))</f>
        <v/>
      </c>
      <c r="Y333" s="16" t="n"/>
    </row>
    <row r="334">
      <c r="B334" s="17">
        <f>IF($C334="","",$D334&amp;"-"&amp;$F334&amp;"-"&amp;$K334)</f>
        <v/>
      </c>
      <c r="C334" s="16" t="n"/>
      <c r="D334" s="17">
        <f>IF($C334="","",IFERROR(INDEX(rngCadetPIDs,MATCH($C334,rngCadetNames,0)),"?"))</f>
        <v/>
      </c>
      <c r="E334" s="17">
        <f>IF($D334="","",IFERROR(INDEX(nrCadetAgency,MATCH($D334,rngCadetPIDs,0)),""))</f>
        <v/>
      </c>
      <c r="F334" s="16" t="n"/>
      <c r="G334" s="17">
        <f>IF($F334="","",IFERROR(INDEX(rngEPname,MATCH($F334,rngEPcode,0)),"?"))</f>
        <v/>
      </c>
      <c r="H334" s="17">
        <f>IF($F334="","",IFERROR(INDEX(rngEPtype,MATCH($F334,rngEPcode,0)),"?"))</f>
        <v/>
      </c>
      <c r="I334" s="17">
        <f>IF($F334="","",IFERROR(INDEX(rngEPseq,MATCH($F334,rngEPcode,0)),""))</f>
        <v/>
      </c>
      <c r="J334" s="17">
        <f>IF($F334="","",IFERROR(INDEX(rngEPpass,MATCH($F334,rngEPcode,0)),cfgPassingScore))</f>
        <v/>
      </c>
      <c r="K334" s="16" t="n"/>
      <c r="L334" s="16" t="n"/>
      <c r="M334" s="17">
        <f>IF($C334="","",IF($L334="","",IF(NOT(ISNUMBER($L334)),$L334,IF(N($K334)&gt;2,"",IF($K334=1,IF(COUNTIFS(nrES_PID,$D334,nrES_Code,$F334,nrES_Att,2,nrES_Raw,"&gt;=0")&gt;0,"",$L334),IF($L334&gt;=$J334,MAX($J334,cfgRetakeRecordedCap),IF(COUNTIFS(nrES_PID,$D334,nrES_Code,$F334,nrES_Att,1)=0,$L334,SUMIFS(nrES_Raw,nrES_PID,$D334,nrES_Code,$F334,nrES_Att,1))))))))</f>
        <v/>
      </c>
      <c r="N334" s="17">
        <f>IF($C334="","",IF($L334="","",IF(NOT(ISNUMBER($L334)),"(not a score)",IF($L334&gt;=$J334,"Yes","No"))))</f>
        <v/>
      </c>
      <c r="O334" s="17">
        <f>IF($C334="","",IF($M334="","",IF(NOT(ISNUMBER($M334)),"(not a score)",IF($M334&gt;=$J334,"Yes","No"))))</f>
        <v/>
      </c>
      <c r="P334" s="17">
        <f>IF($C334="","",IF($K334="","",IF(N($K334)&gt;2,"No",IF(COUNTIFS(nrES_PID,$D334,nrES_Code,$F334,nrES_Att,"&gt;"&amp;$K334,nrES_Att,"&lt;=2",nrES_Raw,"&gt;=0")=0,"Yes","No"))))</f>
        <v/>
      </c>
      <c r="Q334" s="17">
        <f>IF($C334="","",IF($L334="","",IF(AND($K334=1,ISNUMBER($L334),$L334&lt;$J334,COUNTIFS(nrES_PID,$D334,nrES_Code,$F334,nrES_Att,2,nrES_Raw,"&gt;=0")=0),"Yes","No")))</f>
        <v/>
      </c>
      <c r="R334" s="17">
        <f>IF($C334="","",IF($L334="","",IF(AND(N($K334)&gt;=2,ISNUMBER($L334),$L334&lt;$J334),"Yes","No")))</f>
        <v/>
      </c>
      <c r="S334" s="18" t="n"/>
      <c r="T334" s="19">
        <f>IF(OR($C334="",$L334="",$K334&lt;&gt;1,NOT(ISNUMBER($L334)),$L334&gt;=$J334),"",IF($S334="","(enter date)",_xlfn.LET(_xlpm.dn,_xlfn.XLOOKUP($S334,nrCDdate,nrCDnum,"",1),IF(_xlpm.dn="","(after last class day)",_xlfn.LET(_xlpm.dd,_xlfn.XLOOKUP(_xlpm.dn+cfgRetestClassDays,nrCDnum,nrCDdate,""),_xlpm.ok,_xlfn.XLOOKUP(_xlpm.dn+cfgRetestClassDays,nrCDnum,nrCDinsession,"No"),IF(OR(_xlpm.dd="",_xlpm.ok&lt;&gt;"Yes"),"(after last class day)",_xlpm.dd))))))</f>
        <v/>
      </c>
      <c r="U334" s="17">
        <f>IF($C334="","",IF(AND($Y334="Excused",$L334="",N($K334)&lt;=1),"EXCUSED - 1st attempt pending",IF(OR($L334="",$K334&lt;&gt;1,NOT(ISNUMBER($L334)),$L334&gt;=$J334),"",IF(COUNTIFS(nrES_PID,$D334,nrES_Code,$F334,nrES_Att,2,nrES_Raw,"&gt;=0")&gt;0,IF(IFERROR(_xlfn.MINIFS(nrES_Date,nrES_PID,$D334,nrES_Code,$F334,nrES_Att,2,nrES_Raw,"&gt;=0",nrES_Date,"&gt;0"),0)=0,"RETEST UNDATED",IF(NOT(ISNUMBER($T334)),"RETEST DATE UNCHECKED",IF(_xlfn.MINIFS(nrES_Date,nrES_PID,$D334,nrES_Code,$F334,nrES_Att,2,nrES_Raw,"&gt;=0",nrES_Date,"&gt;0")&gt;$T334,"LATE RETEST "&amp;TEXT(_xlfn.MINIFS(nrES_Date,nrES_PID,$D334,nrES_Code,$F334,nrES_Att,2,nrES_Raw,"&gt;=0",nrES_Date,"&gt;0"),"mm/dd")&amp;" (due "&amp;TEXT($T334,"mm/dd")&amp;")","Retested"))),IF(NOT(ISNUMBER($T334)),"CHECK DATE",IF(TODAY()&gt;$T334,"OVERDUE","Due "&amp;TEXT($T334,"mm/dd")))))))</f>
        <v/>
      </c>
      <c r="V334" s="16" t="n"/>
      <c r="W334" s="16" t="n"/>
      <c r="X334" s="17">
        <f>IF($C334="","",IF(AND($L334&lt;&gt;"",NOT(ISNUMBER($L334))),"RAW SCORE NOT A NUMBER",IF(AND(ISNUMBER($L334),OR($L334&lt;0,$L334&gt;100)),"RAW SCORE OUT OF RANGE",IF(AND($Y334="Unexcused",OR($L334="",NOT(ISNUMBER($L334)),$L334&lt;&gt;0)),"UNEXCUSED ABSENCE MUST RECORD 0",IF(COUNTIF(nrES_RecID,$B334)&gt;1,"DUPLICATE RECORD",IF(N($K334)&gt;2,"ATTEMPT 3+ NOT ALLOWED - policy 300.5 permits one retest per exam; this row records nothing",IF(AND($K334=2,COUNTIFS(nrES_PID,$D334,nrES_Code,$F334,nrES_Att,1)=0),"ATTEMPT 2 WITHOUT ATTEMPT 1",IF(AND($K334=2,$L334=""),"RETEST ROW HAS NO SCORE",IF(AND($H334="Final",$L334&lt;&gt;"",IFERROR(INDEX(nrCKfinalExamElig,MATCH($D334,rngCadetPIDs,0)),"")="No"),"FINAL EXAM AFTER FAILED FINAL PT (500.1.H)",IF(AND($K334=2,ISNUMBER($L334),COUNTIFS(nrES_PID,$D334,nrES_Code,$F334,nrES_Att,1)&gt;0,SUMIFS(nrES_Raw,nrES_PID,$D334,nrES_Code,$F334,nrES_Att,1)&gt;=$J334),"RETEST AFTER A PASSING FIRST ATTEMPT","OK"))))))))))</f>
        <v/>
      </c>
      <c r="Y334" s="16" t="n"/>
    </row>
    <row r="335">
      <c r="B335" s="17">
        <f>IF($C335="","",$D335&amp;"-"&amp;$F335&amp;"-"&amp;$K335)</f>
        <v/>
      </c>
      <c r="C335" s="16" t="n"/>
      <c r="D335" s="17">
        <f>IF($C335="","",IFERROR(INDEX(rngCadetPIDs,MATCH($C335,rngCadetNames,0)),"?"))</f>
        <v/>
      </c>
      <c r="E335" s="17">
        <f>IF($D335="","",IFERROR(INDEX(nrCadetAgency,MATCH($D335,rngCadetPIDs,0)),""))</f>
        <v/>
      </c>
      <c r="F335" s="16" t="n"/>
      <c r="G335" s="17">
        <f>IF($F335="","",IFERROR(INDEX(rngEPname,MATCH($F335,rngEPcode,0)),"?"))</f>
        <v/>
      </c>
      <c r="H335" s="17">
        <f>IF($F335="","",IFERROR(INDEX(rngEPtype,MATCH($F335,rngEPcode,0)),"?"))</f>
        <v/>
      </c>
      <c r="I335" s="17">
        <f>IF($F335="","",IFERROR(INDEX(rngEPseq,MATCH($F335,rngEPcode,0)),""))</f>
        <v/>
      </c>
      <c r="J335" s="17">
        <f>IF($F335="","",IFERROR(INDEX(rngEPpass,MATCH($F335,rngEPcode,0)),cfgPassingScore))</f>
        <v/>
      </c>
      <c r="K335" s="16" t="n"/>
      <c r="L335" s="16" t="n"/>
      <c r="M335" s="17">
        <f>IF($C335="","",IF($L335="","",IF(NOT(ISNUMBER($L335)),$L335,IF(N($K335)&gt;2,"",IF($K335=1,IF(COUNTIFS(nrES_PID,$D335,nrES_Code,$F335,nrES_Att,2,nrES_Raw,"&gt;=0")&gt;0,"",$L335),IF($L335&gt;=$J335,MAX($J335,cfgRetakeRecordedCap),IF(COUNTIFS(nrES_PID,$D335,nrES_Code,$F335,nrES_Att,1)=0,$L335,SUMIFS(nrES_Raw,nrES_PID,$D335,nrES_Code,$F335,nrES_Att,1))))))))</f>
        <v/>
      </c>
      <c r="N335" s="17">
        <f>IF($C335="","",IF($L335="","",IF(NOT(ISNUMBER($L335)),"(not a score)",IF($L335&gt;=$J335,"Yes","No"))))</f>
        <v/>
      </c>
      <c r="O335" s="17">
        <f>IF($C335="","",IF($M335="","",IF(NOT(ISNUMBER($M335)),"(not a score)",IF($M335&gt;=$J335,"Yes","No"))))</f>
        <v/>
      </c>
      <c r="P335" s="17">
        <f>IF($C335="","",IF($K335="","",IF(N($K335)&gt;2,"No",IF(COUNTIFS(nrES_PID,$D335,nrES_Code,$F335,nrES_Att,"&gt;"&amp;$K335,nrES_Att,"&lt;=2",nrES_Raw,"&gt;=0")=0,"Yes","No"))))</f>
        <v/>
      </c>
      <c r="Q335" s="17">
        <f>IF($C335="","",IF($L335="","",IF(AND($K335=1,ISNUMBER($L335),$L335&lt;$J335,COUNTIFS(nrES_PID,$D335,nrES_Code,$F335,nrES_Att,2,nrES_Raw,"&gt;=0")=0),"Yes","No")))</f>
        <v/>
      </c>
      <c r="R335" s="17">
        <f>IF($C335="","",IF($L335="","",IF(AND(N($K335)&gt;=2,ISNUMBER($L335),$L335&lt;$J335),"Yes","No")))</f>
        <v/>
      </c>
      <c r="S335" s="18" t="n"/>
      <c r="T335" s="19">
        <f>IF(OR($C335="",$L335="",$K335&lt;&gt;1,NOT(ISNUMBER($L335)),$L335&gt;=$J335),"",IF($S335="","(enter date)",_xlfn.LET(_xlpm.dn,_xlfn.XLOOKUP($S335,nrCDdate,nrCDnum,"",1),IF(_xlpm.dn="","(after last class day)",_xlfn.LET(_xlpm.dd,_xlfn.XLOOKUP(_xlpm.dn+cfgRetestClassDays,nrCDnum,nrCDdate,""),_xlpm.ok,_xlfn.XLOOKUP(_xlpm.dn+cfgRetestClassDays,nrCDnum,nrCDinsession,"No"),IF(OR(_xlpm.dd="",_xlpm.ok&lt;&gt;"Yes"),"(after last class day)",_xlpm.dd))))))</f>
        <v/>
      </c>
      <c r="U335" s="17">
        <f>IF($C335="","",IF(AND($Y335="Excused",$L335="",N($K335)&lt;=1),"EXCUSED - 1st attempt pending",IF(OR($L335="",$K335&lt;&gt;1,NOT(ISNUMBER($L335)),$L335&gt;=$J335),"",IF(COUNTIFS(nrES_PID,$D335,nrES_Code,$F335,nrES_Att,2,nrES_Raw,"&gt;=0")&gt;0,IF(IFERROR(_xlfn.MINIFS(nrES_Date,nrES_PID,$D335,nrES_Code,$F335,nrES_Att,2,nrES_Raw,"&gt;=0",nrES_Date,"&gt;0"),0)=0,"RETEST UNDATED",IF(NOT(ISNUMBER($T335)),"RETEST DATE UNCHECKED",IF(_xlfn.MINIFS(nrES_Date,nrES_PID,$D335,nrES_Code,$F335,nrES_Att,2,nrES_Raw,"&gt;=0",nrES_Date,"&gt;0")&gt;$T335,"LATE RETEST "&amp;TEXT(_xlfn.MINIFS(nrES_Date,nrES_PID,$D335,nrES_Code,$F335,nrES_Att,2,nrES_Raw,"&gt;=0",nrES_Date,"&gt;0"),"mm/dd")&amp;" (due "&amp;TEXT($T335,"mm/dd")&amp;")","Retested"))),IF(NOT(ISNUMBER($T335)),"CHECK DATE",IF(TODAY()&gt;$T335,"OVERDUE","Due "&amp;TEXT($T335,"mm/dd")))))))</f>
        <v/>
      </c>
      <c r="V335" s="16" t="n"/>
      <c r="W335" s="16" t="n"/>
      <c r="X335" s="17">
        <f>IF($C335="","",IF(AND($L335&lt;&gt;"",NOT(ISNUMBER($L335))),"RAW SCORE NOT A NUMBER",IF(AND(ISNUMBER($L335),OR($L335&lt;0,$L335&gt;100)),"RAW SCORE OUT OF RANGE",IF(AND($Y335="Unexcused",OR($L335="",NOT(ISNUMBER($L335)),$L335&lt;&gt;0)),"UNEXCUSED ABSENCE MUST RECORD 0",IF(COUNTIF(nrES_RecID,$B335)&gt;1,"DUPLICATE RECORD",IF(N($K335)&gt;2,"ATTEMPT 3+ NOT ALLOWED - policy 300.5 permits one retest per exam; this row records nothing",IF(AND($K335=2,COUNTIFS(nrES_PID,$D335,nrES_Code,$F335,nrES_Att,1)=0),"ATTEMPT 2 WITHOUT ATTEMPT 1",IF(AND($K335=2,$L335=""),"RETEST ROW HAS NO SCORE",IF(AND($H335="Final",$L335&lt;&gt;"",IFERROR(INDEX(nrCKfinalExamElig,MATCH($D335,rngCadetPIDs,0)),"")="No"),"FINAL EXAM AFTER FAILED FINAL PT (500.1.H)",IF(AND($K335=2,ISNUMBER($L335),COUNTIFS(nrES_PID,$D335,nrES_Code,$F335,nrES_Att,1)&gt;0,SUMIFS(nrES_Raw,nrES_PID,$D335,nrES_Code,$F335,nrES_Att,1)&gt;=$J335),"RETEST AFTER A PASSING FIRST ATTEMPT","OK"))))))))))</f>
        <v/>
      </c>
      <c r="Y335" s="16" t="n"/>
    </row>
    <row r="336">
      <c r="B336" s="17">
        <f>IF($C336="","",$D336&amp;"-"&amp;$F336&amp;"-"&amp;$K336)</f>
        <v/>
      </c>
      <c r="C336" s="16" t="n"/>
      <c r="D336" s="17">
        <f>IF($C336="","",IFERROR(INDEX(rngCadetPIDs,MATCH($C336,rngCadetNames,0)),"?"))</f>
        <v/>
      </c>
      <c r="E336" s="17">
        <f>IF($D336="","",IFERROR(INDEX(nrCadetAgency,MATCH($D336,rngCadetPIDs,0)),""))</f>
        <v/>
      </c>
      <c r="F336" s="16" t="n"/>
      <c r="G336" s="17">
        <f>IF($F336="","",IFERROR(INDEX(rngEPname,MATCH($F336,rngEPcode,0)),"?"))</f>
        <v/>
      </c>
      <c r="H336" s="17">
        <f>IF($F336="","",IFERROR(INDEX(rngEPtype,MATCH($F336,rngEPcode,0)),"?"))</f>
        <v/>
      </c>
      <c r="I336" s="17">
        <f>IF($F336="","",IFERROR(INDEX(rngEPseq,MATCH($F336,rngEPcode,0)),""))</f>
        <v/>
      </c>
      <c r="J336" s="17">
        <f>IF($F336="","",IFERROR(INDEX(rngEPpass,MATCH($F336,rngEPcode,0)),cfgPassingScore))</f>
        <v/>
      </c>
      <c r="K336" s="16" t="n"/>
      <c r="L336" s="16" t="n"/>
      <c r="M336" s="17">
        <f>IF($C336="","",IF($L336="","",IF(NOT(ISNUMBER($L336)),$L336,IF(N($K336)&gt;2,"",IF($K336=1,IF(COUNTIFS(nrES_PID,$D336,nrES_Code,$F336,nrES_Att,2,nrES_Raw,"&gt;=0")&gt;0,"",$L336),IF($L336&gt;=$J336,MAX($J336,cfgRetakeRecordedCap),IF(COUNTIFS(nrES_PID,$D336,nrES_Code,$F336,nrES_Att,1)=0,$L336,SUMIFS(nrES_Raw,nrES_PID,$D336,nrES_Code,$F336,nrES_Att,1))))))))</f>
        <v/>
      </c>
      <c r="N336" s="17">
        <f>IF($C336="","",IF($L336="","",IF(NOT(ISNUMBER($L336)),"(not a score)",IF($L336&gt;=$J336,"Yes","No"))))</f>
        <v/>
      </c>
      <c r="O336" s="17">
        <f>IF($C336="","",IF($M336="","",IF(NOT(ISNUMBER($M336)),"(not a score)",IF($M336&gt;=$J336,"Yes","No"))))</f>
        <v/>
      </c>
      <c r="P336" s="17">
        <f>IF($C336="","",IF($K336="","",IF(N($K336)&gt;2,"No",IF(COUNTIFS(nrES_PID,$D336,nrES_Code,$F336,nrES_Att,"&gt;"&amp;$K336,nrES_Att,"&lt;=2",nrES_Raw,"&gt;=0")=0,"Yes","No"))))</f>
        <v/>
      </c>
      <c r="Q336" s="17">
        <f>IF($C336="","",IF($L336="","",IF(AND($K336=1,ISNUMBER($L336),$L336&lt;$J336,COUNTIFS(nrES_PID,$D336,nrES_Code,$F336,nrES_Att,2,nrES_Raw,"&gt;=0")=0),"Yes","No")))</f>
        <v/>
      </c>
      <c r="R336" s="17">
        <f>IF($C336="","",IF($L336="","",IF(AND(N($K336)&gt;=2,ISNUMBER($L336),$L336&lt;$J336),"Yes","No")))</f>
        <v/>
      </c>
      <c r="S336" s="18" t="n"/>
      <c r="T336" s="19">
        <f>IF(OR($C336="",$L336="",$K336&lt;&gt;1,NOT(ISNUMBER($L336)),$L336&gt;=$J336),"",IF($S336="","(enter date)",_xlfn.LET(_xlpm.dn,_xlfn.XLOOKUP($S336,nrCDdate,nrCDnum,"",1),IF(_xlpm.dn="","(after last class day)",_xlfn.LET(_xlpm.dd,_xlfn.XLOOKUP(_xlpm.dn+cfgRetestClassDays,nrCDnum,nrCDdate,""),_xlpm.ok,_xlfn.XLOOKUP(_xlpm.dn+cfgRetestClassDays,nrCDnum,nrCDinsession,"No"),IF(OR(_xlpm.dd="",_xlpm.ok&lt;&gt;"Yes"),"(after last class day)",_xlpm.dd))))))</f>
        <v/>
      </c>
      <c r="U336" s="17">
        <f>IF($C336="","",IF(AND($Y336="Excused",$L336="",N($K336)&lt;=1),"EXCUSED - 1st attempt pending",IF(OR($L336="",$K336&lt;&gt;1,NOT(ISNUMBER($L336)),$L336&gt;=$J336),"",IF(COUNTIFS(nrES_PID,$D336,nrES_Code,$F336,nrES_Att,2,nrES_Raw,"&gt;=0")&gt;0,IF(IFERROR(_xlfn.MINIFS(nrES_Date,nrES_PID,$D336,nrES_Code,$F336,nrES_Att,2,nrES_Raw,"&gt;=0",nrES_Date,"&gt;0"),0)=0,"RETEST UNDATED",IF(NOT(ISNUMBER($T336)),"RETEST DATE UNCHECKED",IF(_xlfn.MINIFS(nrES_Date,nrES_PID,$D336,nrES_Code,$F336,nrES_Att,2,nrES_Raw,"&gt;=0",nrES_Date,"&gt;0")&gt;$T336,"LATE RETEST "&amp;TEXT(_xlfn.MINIFS(nrES_Date,nrES_PID,$D336,nrES_Code,$F336,nrES_Att,2,nrES_Raw,"&gt;=0",nrES_Date,"&gt;0"),"mm/dd")&amp;" (due "&amp;TEXT($T336,"mm/dd")&amp;")","Retested"))),IF(NOT(ISNUMBER($T336)),"CHECK DATE",IF(TODAY()&gt;$T336,"OVERDUE","Due "&amp;TEXT($T336,"mm/dd")))))))</f>
        <v/>
      </c>
      <c r="V336" s="16" t="n"/>
      <c r="W336" s="16" t="n"/>
      <c r="X336" s="17">
        <f>IF($C336="","",IF(AND($L336&lt;&gt;"",NOT(ISNUMBER($L336))),"RAW SCORE NOT A NUMBER",IF(AND(ISNUMBER($L336),OR($L336&lt;0,$L336&gt;100)),"RAW SCORE OUT OF RANGE",IF(AND($Y336="Unexcused",OR($L336="",NOT(ISNUMBER($L336)),$L336&lt;&gt;0)),"UNEXCUSED ABSENCE MUST RECORD 0",IF(COUNTIF(nrES_RecID,$B336)&gt;1,"DUPLICATE RECORD",IF(N($K336)&gt;2,"ATTEMPT 3+ NOT ALLOWED - policy 300.5 permits one retest per exam; this row records nothing",IF(AND($K336=2,COUNTIFS(nrES_PID,$D336,nrES_Code,$F336,nrES_Att,1)=0),"ATTEMPT 2 WITHOUT ATTEMPT 1",IF(AND($K336=2,$L336=""),"RETEST ROW HAS NO SCORE",IF(AND($H336="Final",$L336&lt;&gt;"",IFERROR(INDEX(nrCKfinalExamElig,MATCH($D336,rngCadetPIDs,0)),"")="No"),"FINAL EXAM AFTER FAILED FINAL PT (500.1.H)",IF(AND($K336=2,ISNUMBER($L336),COUNTIFS(nrES_PID,$D336,nrES_Code,$F336,nrES_Att,1)&gt;0,SUMIFS(nrES_Raw,nrES_PID,$D336,nrES_Code,$F336,nrES_Att,1)&gt;=$J336),"RETEST AFTER A PASSING FIRST ATTEMPT","OK"))))))))))</f>
        <v/>
      </c>
      <c r="Y336" s="16" t="n"/>
    </row>
    <row r="337">
      <c r="B337" s="17">
        <f>IF($C337="","",$D337&amp;"-"&amp;$F337&amp;"-"&amp;$K337)</f>
        <v/>
      </c>
      <c r="C337" s="16" t="n"/>
      <c r="D337" s="17">
        <f>IF($C337="","",IFERROR(INDEX(rngCadetPIDs,MATCH($C337,rngCadetNames,0)),"?"))</f>
        <v/>
      </c>
      <c r="E337" s="17">
        <f>IF($D337="","",IFERROR(INDEX(nrCadetAgency,MATCH($D337,rngCadetPIDs,0)),""))</f>
        <v/>
      </c>
      <c r="F337" s="16" t="n"/>
      <c r="G337" s="17">
        <f>IF($F337="","",IFERROR(INDEX(rngEPname,MATCH($F337,rngEPcode,0)),"?"))</f>
        <v/>
      </c>
      <c r="H337" s="17">
        <f>IF($F337="","",IFERROR(INDEX(rngEPtype,MATCH($F337,rngEPcode,0)),"?"))</f>
        <v/>
      </c>
      <c r="I337" s="17">
        <f>IF($F337="","",IFERROR(INDEX(rngEPseq,MATCH($F337,rngEPcode,0)),""))</f>
        <v/>
      </c>
      <c r="J337" s="17">
        <f>IF($F337="","",IFERROR(INDEX(rngEPpass,MATCH($F337,rngEPcode,0)),cfgPassingScore))</f>
        <v/>
      </c>
      <c r="K337" s="16" t="n"/>
      <c r="L337" s="16" t="n"/>
      <c r="M337" s="17">
        <f>IF($C337="","",IF($L337="","",IF(NOT(ISNUMBER($L337)),$L337,IF(N($K337)&gt;2,"",IF($K337=1,IF(COUNTIFS(nrES_PID,$D337,nrES_Code,$F337,nrES_Att,2,nrES_Raw,"&gt;=0")&gt;0,"",$L337),IF($L337&gt;=$J337,MAX($J337,cfgRetakeRecordedCap),IF(COUNTIFS(nrES_PID,$D337,nrES_Code,$F337,nrES_Att,1)=0,$L337,SUMIFS(nrES_Raw,nrES_PID,$D337,nrES_Code,$F337,nrES_Att,1))))))))</f>
        <v/>
      </c>
      <c r="N337" s="17">
        <f>IF($C337="","",IF($L337="","",IF(NOT(ISNUMBER($L337)),"(not a score)",IF($L337&gt;=$J337,"Yes","No"))))</f>
        <v/>
      </c>
      <c r="O337" s="17">
        <f>IF($C337="","",IF($M337="","",IF(NOT(ISNUMBER($M337)),"(not a score)",IF($M337&gt;=$J337,"Yes","No"))))</f>
        <v/>
      </c>
      <c r="P337" s="17">
        <f>IF($C337="","",IF($K337="","",IF(N($K337)&gt;2,"No",IF(COUNTIFS(nrES_PID,$D337,nrES_Code,$F337,nrES_Att,"&gt;"&amp;$K337,nrES_Att,"&lt;=2",nrES_Raw,"&gt;=0")=0,"Yes","No"))))</f>
        <v/>
      </c>
      <c r="Q337" s="17">
        <f>IF($C337="","",IF($L337="","",IF(AND($K337=1,ISNUMBER($L337),$L337&lt;$J337,COUNTIFS(nrES_PID,$D337,nrES_Code,$F337,nrES_Att,2,nrES_Raw,"&gt;=0")=0),"Yes","No")))</f>
        <v/>
      </c>
      <c r="R337" s="17">
        <f>IF($C337="","",IF($L337="","",IF(AND(N($K337)&gt;=2,ISNUMBER($L337),$L337&lt;$J337),"Yes","No")))</f>
        <v/>
      </c>
      <c r="S337" s="18" t="n"/>
      <c r="T337" s="19">
        <f>IF(OR($C337="",$L337="",$K337&lt;&gt;1,NOT(ISNUMBER($L337)),$L337&gt;=$J337),"",IF($S337="","(enter date)",_xlfn.LET(_xlpm.dn,_xlfn.XLOOKUP($S337,nrCDdate,nrCDnum,"",1),IF(_xlpm.dn="","(after last class day)",_xlfn.LET(_xlpm.dd,_xlfn.XLOOKUP(_xlpm.dn+cfgRetestClassDays,nrCDnum,nrCDdate,""),_xlpm.ok,_xlfn.XLOOKUP(_xlpm.dn+cfgRetestClassDays,nrCDnum,nrCDinsession,"No"),IF(OR(_xlpm.dd="",_xlpm.ok&lt;&gt;"Yes"),"(after last class day)",_xlpm.dd))))))</f>
        <v/>
      </c>
      <c r="U337" s="17">
        <f>IF($C337="","",IF(AND($Y337="Excused",$L337="",N($K337)&lt;=1),"EXCUSED - 1st attempt pending",IF(OR($L337="",$K337&lt;&gt;1,NOT(ISNUMBER($L337)),$L337&gt;=$J337),"",IF(COUNTIFS(nrES_PID,$D337,nrES_Code,$F337,nrES_Att,2,nrES_Raw,"&gt;=0")&gt;0,IF(IFERROR(_xlfn.MINIFS(nrES_Date,nrES_PID,$D337,nrES_Code,$F337,nrES_Att,2,nrES_Raw,"&gt;=0",nrES_Date,"&gt;0"),0)=0,"RETEST UNDATED",IF(NOT(ISNUMBER($T337)),"RETEST DATE UNCHECKED",IF(_xlfn.MINIFS(nrES_Date,nrES_PID,$D337,nrES_Code,$F337,nrES_Att,2,nrES_Raw,"&gt;=0",nrES_Date,"&gt;0")&gt;$T337,"LATE RETEST "&amp;TEXT(_xlfn.MINIFS(nrES_Date,nrES_PID,$D337,nrES_Code,$F337,nrES_Att,2,nrES_Raw,"&gt;=0",nrES_Date,"&gt;0"),"mm/dd")&amp;" (due "&amp;TEXT($T337,"mm/dd")&amp;")","Retested"))),IF(NOT(ISNUMBER($T337)),"CHECK DATE",IF(TODAY()&gt;$T337,"OVERDUE","Due "&amp;TEXT($T337,"mm/dd")))))))</f>
        <v/>
      </c>
      <c r="V337" s="16" t="n"/>
      <c r="W337" s="16" t="n"/>
      <c r="X337" s="17">
        <f>IF($C337="","",IF(AND($L337&lt;&gt;"",NOT(ISNUMBER($L337))),"RAW SCORE NOT A NUMBER",IF(AND(ISNUMBER($L337),OR($L337&lt;0,$L337&gt;100)),"RAW SCORE OUT OF RANGE",IF(AND($Y337="Unexcused",OR($L337="",NOT(ISNUMBER($L337)),$L337&lt;&gt;0)),"UNEXCUSED ABSENCE MUST RECORD 0",IF(COUNTIF(nrES_RecID,$B337)&gt;1,"DUPLICATE RECORD",IF(N($K337)&gt;2,"ATTEMPT 3+ NOT ALLOWED - policy 300.5 permits one retest per exam; this row records nothing",IF(AND($K337=2,COUNTIFS(nrES_PID,$D337,nrES_Code,$F337,nrES_Att,1)=0),"ATTEMPT 2 WITHOUT ATTEMPT 1",IF(AND($K337=2,$L337=""),"RETEST ROW HAS NO SCORE",IF(AND($H337="Final",$L337&lt;&gt;"",IFERROR(INDEX(nrCKfinalExamElig,MATCH($D337,rngCadetPIDs,0)),"")="No"),"FINAL EXAM AFTER FAILED FINAL PT (500.1.H)",IF(AND($K337=2,ISNUMBER($L337),COUNTIFS(nrES_PID,$D337,nrES_Code,$F337,nrES_Att,1)&gt;0,SUMIFS(nrES_Raw,nrES_PID,$D337,nrES_Code,$F337,nrES_Att,1)&gt;=$J337),"RETEST AFTER A PASSING FIRST ATTEMPT","OK"))))))))))</f>
        <v/>
      </c>
      <c r="Y337" s="16" t="n"/>
    </row>
    <row r="338">
      <c r="B338" s="17">
        <f>IF($C338="","",$D338&amp;"-"&amp;$F338&amp;"-"&amp;$K338)</f>
        <v/>
      </c>
      <c r="C338" s="16" t="n"/>
      <c r="D338" s="17">
        <f>IF($C338="","",IFERROR(INDEX(rngCadetPIDs,MATCH($C338,rngCadetNames,0)),"?"))</f>
        <v/>
      </c>
      <c r="E338" s="17">
        <f>IF($D338="","",IFERROR(INDEX(nrCadetAgency,MATCH($D338,rngCadetPIDs,0)),""))</f>
        <v/>
      </c>
      <c r="F338" s="16" t="n"/>
      <c r="G338" s="17">
        <f>IF($F338="","",IFERROR(INDEX(rngEPname,MATCH($F338,rngEPcode,0)),"?"))</f>
        <v/>
      </c>
      <c r="H338" s="17">
        <f>IF($F338="","",IFERROR(INDEX(rngEPtype,MATCH($F338,rngEPcode,0)),"?"))</f>
        <v/>
      </c>
      <c r="I338" s="17">
        <f>IF($F338="","",IFERROR(INDEX(rngEPseq,MATCH($F338,rngEPcode,0)),""))</f>
        <v/>
      </c>
      <c r="J338" s="17">
        <f>IF($F338="","",IFERROR(INDEX(rngEPpass,MATCH($F338,rngEPcode,0)),cfgPassingScore))</f>
        <v/>
      </c>
      <c r="K338" s="16" t="n"/>
      <c r="L338" s="16" t="n"/>
      <c r="M338" s="17">
        <f>IF($C338="","",IF($L338="","",IF(NOT(ISNUMBER($L338)),$L338,IF(N($K338)&gt;2,"",IF($K338=1,IF(COUNTIFS(nrES_PID,$D338,nrES_Code,$F338,nrES_Att,2,nrES_Raw,"&gt;=0")&gt;0,"",$L338),IF($L338&gt;=$J338,MAX($J338,cfgRetakeRecordedCap),IF(COUNTIFS(nrES_PID,$D338,nrES_Code,$F338,nrES_Att,1)=0,$L338,SUMIFS(nrES_Raw,nrES_PID,$D338,nrES_Code,$F338,nrES_Att,1))))))))</f>
        <v/>
      </c>
      <c r="N338" s="17">
        <f>IF($C338="","",IF($L338="","",IF(NOT(ISNUMBER($L338)),"(not a score)",IF($L338&gt;=$J338,"Yes","No"))))</f>
        <v/>
      </c>
      <c r="O338" s="17">
        <f>IF($C338="","",IF($M338="","",IF(NOT(ISNUMBER($M338)),"(not a score)",IF($M338&gt;=$J338,"Yes","No"))))</f>
        <v/>
      </c>
      <c r="P338" s="17">
        <f>IF($C338="","",IF($K338="","",IF(N($K338)&gt;2,"No",IF(COUNTIFS(nrES_PID,$D338,nrES_Code,$F338,nrES_Att,"&gt;"&amp;$K338,nrES_Att,"&lt;=2",nrES_Raw,"&gt;=0")=0,"Yes","No"))))</f>
        <v/>
      </c>
      <c r="Q338" s="17">
        <f>IF($C338="","",IF($L338="","",IF(AND($K338=1,ISNUMBER($L338),$L338&lt;$J338,COUNTIFS(nrES_PID,$D338,nrES_Code,$F338,nrES_Att,2,nrES_Raw,"&gt;=0")=0),"Yes","No")))</f>
        <v/>
      </c>
      <c r="R338" s="17">
        <f>IF($C338="","",IF($L338="","",IF(AND(N($K338)&gt;=2,ISNUMBER($L338),$L338&lt;$J338),"Yes","No")))</f>
        <v/>
      </c>
      <c r="S338" s="18" t="n"/>
      <c r="T338" s="19">
        <f>IF(OR($C338="",$L338="",$K338&lt;&gt;1,NOT(ISNUMBER($L338)),$L338&gt;=$J338),"",IF($S338="","(enter date)",_xlfn.LET(_xlpm.dn,_xlfn.XLOOKUP($S338,nrCDdate,nrCDnum,"",1),IF(_xlpm.dn="","(after last class day)",_xlfn.LET(_xlpm.dd,_xlfn.XLOOKUP(_xlpm.dn+cfgRetestClassDays,nrCDnum,nrCDdate,""),_xlpm.ok,_xlfn.XLOOKUP(_xlpm.dn+cfgRetestClassDays,nrCDnum,nrCDinsession,"No"),IF(OR(_xlpm.dd="",_xlpm.ok&lt;&gt;"Yes"),"(after last class day)",_xlpm.dd))))))</f>
        <v/>
      </c>
      <c r="U338" s="17">
        <f>IF($C338="","",IF(AND($Y338="Excused",$L338="",N($K338)&lt;=1),"EXCUSED - 1st attempt pending",IF(OR($L338="",$K338&lt;&gt;1,NOT(ISNUMBER($L338)),$L338&gt;=$J338),"",IF(COUNTIFS(nrES_PID,$D338,nrES_Code,$F338,nrES_Att,2,nrES_Raw,"&gt;=0")&gt;0,IF(IFERROR(_xlfn.MINIFS(nrES_Date,nrES_PID,$D338,nrES_Code,$F338,nrES_Att,2,nrES_Raw,"&gt;=0",nrES_Date,"&gt;0"),0)=0,"RETEST UNDATED",IF(NOT(ISNUMBER($T338)),"RETEST DATE UNCHECKED",IF(_xlfn.MINIFS(nrES_Date,nrES_PID,$D338,nrES_Code,$F338,nrES_Att,2,nrES_Raw,"&gt;=0",nrES_Date,"&gt;0")&gt;$T338,"LATE RETEST "&amp;TEXT(_xlfn.MINIFS(nrES_Date,nrES_PID,$D338,nrES_Code,$F338,nrES_Att,2,nrES_Raw,"&gt;=0",nrES_Date,"&gt;0"),"mm/dd")&amp;" (due "&amp;TEXT($T338,"mm/dd")&amp;")","Retested"))),IF(NOT(ISNUMBER($T338)),"CHECK DATE",IF(TODAY()&gt;$T338,"OVERDUE","Due "&amp;TEXT($T338,"mm/dd")))))))</f>
        <v/>
      </c>
      <c r="V338" s="16" t="n"/>
      <c r="W338" s="16" t="n"/>
      <c r="X338" s="17">
        <f>IF($C338="","",IF(AND($L338&lt;&gt;"",NOT(ISNUMBER($L338))),"RAW SCORE NOT A NUMBER",IF(AND(ISNUMBER($L338),OR($L338&lt;0,$L338&gt;100)),"RAW SCORE OUT OF RANGE",IF(AND($Y338="Unexcused",OR($L338="",NOT(ISNUMBER($L338)),$L338&lt;&gt;0)),"UNEXCUSED ABSENCE MUST RECORD 0",IF(COUNTIF(nrES_RecID,$B338)&gt;1,"DUPLICATE RECORD",IF(N($K338)&gt;2,"ATTEMPT 3+ NOT ALLOWED - policy 300.5 permits one retest per exam; this row records nothing",IF(AND($K338=2,COUNTIFS(nrES_PID,$D338,nrES_Code,$F338,nrES_Att,1)=0),"ATTEMPT 2 WITHOUT ATTEMPT 1",IF(AND($K338=2,$L338=""),"RETEST ROW HAS NO SCORE",IF(AND($H338="Final",$L338&lt;&gt;"",IFERROR(INDEX(nrCKfinalExamElig,MATCH($D338,rngCadetPIDs,0)),"")="No"),"FINAL EXAM AFTER FAILED FINAL PT (500.1.H)",IF(AND($K338=2,ISNUMBER($L338),COUNTIFS(nrES_PID,$D338,nrES_Code,$F338,nrES_Att,1)&gt;0,SUMIFS(nrES_Raw,nrES_PID,$D338,nrES_Code,$F338,nrES_Att,1)&gt;=$J338),"RETEST AFTER A PASSING FIRST ATTEMPT","OK"))))))))))</f>
        <v/>
      </c>
      <c r="Y338" s="16" t="n"/>
    </row>
    <row r="339">
      <c r="B339" s="17">
        <f>IF($C339="","",$D339&amp;"-"&amp;$F339&amp;"-"&amp;$K339)</f>
        <v/>
      </c>
      <c r="C339" s="16" t="n"/>
      <c r="D339" s="17">
        <f>IF($C339="","",IFERROR(INDEX(rngCadetPIDs,MATCH($C339,rngCadetNames,0)),"?"))</f>
        <v/>
      </c>
      <c r="E339" s="17">
        <f>IF($D339="","",IFERROR(INDEX(nrCadetAgency,MATCH($D339,rngCadetPIDs,0)),""))</f>
        <v/>
      </c>
      <c r="F339" s="16" t="n"/>
      <c r="G339" s="17">
        <f>IF($F339="","",IFERROR(INDEX(rngEPname,MATCH($F339,rngEPcode,0)),"?"))</f>
        <v/>
      </c>
      <c r="H339" s="17">
        <f>IF($F339="","",IFERROR(INDEX(rngEPtype,MATCH($F339,rngEPcode,0)),"?"))</f>
        <v/>
      </c>
      <c r="I339" s="17">
        <f>IF($F339="","",IFERROR(INDEX(rngEPseq,MATCH($F339,rngEPcode,0)),""))</f>
        <v/>
      </c>
      <c r="J339" s="17">
        <f>IF($F339="","",IFERROR(INDEX(rngEPpass,MATCH($F339,rngEPcode,0)),cfgPassingScore))</f>
        <v/>
      </c>
      <c r="K339" s="16" t="n"/>
      <c r="L339" s="16" t="n"/>
      <c r="M339" s="17">
        <f>IF($C339="","",IF($L339="","",IF(NOT(ISNUMBER($L339)),$L339,IF(N($K339)&gt;2,"",IF($K339=1,IF(COUNTIFS(nrES_PID,$D339,nrES_Code,$F339,nrES_Att,2,nrES_Raw,"&gt;=0")&gt;0,"",$L339),IF($L339&gt;=$J339,MAX($J339,cfgRetakeRecordedCap),IF(COUNTIFS(nrES_PID,$D339,nrES_Code,$F339,nrES_Att,1)=0,$L339,SUMIFS(nrES_Raw,nrES_PID,$D339,nrES_Code,$F339,nrES_Att,1))))))))</f>
        <v/>
      </c>
      <c r="N339" s="17">
        <f>IF($C339="","",IF($L339="","",IF(NOT(ISNUMBER($L339)),"(not a score)",IF($L339&gt;=$J339,"Yes","No"))))</f>
        <v/>
      </c>
      <c r="O339" s="17">
        <f>IF($C339="","",IF($M339="","",IF(NOT(ISNUMBER($M339)),"(not a score)",IF($M339&gt;=$J339,"Yes","No"))))</f>
        <v/>
      </c>
      <c r="P339" s="17">
        <f>IF($C339="","",IF($K339="","",IF(N($K339)&gt;2,"No",IF(COUNTIFS(nrES_PID,$D339,nrES_Code,$F339,nrES_Att,"&gt;"&amp;$K339,nrES_Att,"&lt;=2",nrES_Raw,"&gt;=0")=0,"Yes","No"))))</f>
        <v/>
      </c>
      <c r="Q339" s="17">
        <f>IF($C339="","",IF($L339="","",IF(AND($K339=1,ISNUMBER($L339),$L339&lt;$J339,COUNTIFS(nrES_PID,$D339,nrES_Code,$F339,nrES_Att,2,nrES_Raw,"&gt;=0")=0),"Yes","No")))</f>
        <v/>
      </c>
      <c r="R339" s="17">
        <f>IF($C339="","",IF($L339="","",IF(AND(N($K339)&gt;=2,ISNUMBER($L339),$L339&lt;$J339),"Yes","No")))</f>
        <v/>
      </c>
      <c r="S339" s="18" t="n"/>
      <c r="T339" s="19">
        <f>IF(OR($C339="",$L339="",$K339&lt;&gt;1,NOT(ISNUMBER($L339)),$L339&gt;=$J339),"",IF($S339="","(enter date)",_xlfn.LET(_xlpm.dn,_xlfn.XLOOKUP($S339,nrCDdate,nrCDnum,"",1),IF(_xlpm.dn="","(after last class day)",_xlfn.LET(_xlpm.dd,_xlfn.XLOOKUP(_xlpm.dn+cfgRetestClassDays,nrCDnum,nrCDdate,""),_xlpm.ok,_xlfn.XLOOKUP(_xlpm.dn+cfgRetestClassDays,nrCDnum,nrCDinsession,"No"),IF(OR(_xlpm.dd="",_xlpm.ok&lt;&gt;"Yes"),"(after last class day)",_xlpm.dd))))))</f>
        <v/>
      </c>
      <c r="U339" s="17">
        <f>IF($C339="","",IF(AND($Y339="Excused",$L339="",N($K339)&lt;=1),"EXCUSED - 1st attempt pending",IF(OR($L339="",$K339&lt;&gt;1,NOT(ISNUMBER($L339)),$L339&gt;=$J339),"",IF(COUNTIFS(nrES_PID,$D339,nrES_Code,$F339,nrES_Att,2,nrES_Raw,"&gt;=0")&gt;0,IF(IFERROR(_xlfn.MINIFS(nrES_Date,nrES_PID,$D339,nrES_Code,$F339,nrES_Att,2,nrES_Raw,"&gt;=0",nrES_Date,"&gt;0"),0)=0,"RETEST UNDATED",IF(NOT(ISNUMBER($T339)),"RETEST DATE UNCHECKED",IF(_xlfn.MINIFS(nrES_Date,nrES_PID,$D339,nrES_Code,$F339,nrES_Att,2,nrES_Raw,"&gt;=0",nrES_Date,"&gt;0")&gt;$T339,"LATE RETEST "&amp;TEXT(_xlfn.MINIFS(nrES_Date,nrES_PID,$D339,nrES_Code,$F339,nrES_Att,2,nrES_Raw,"&gt;=0",nrES_Date,"&gt;0"),"mm/dd")&amp;" (due "&amp;TEXT($T339,"mm/dd")&amp;")","Retested"))),IF(NOT(ISNUMBER($T339)),"CHECK DATE",IF(TODAY()&gt;$T339,"OVERDUE","Due "&amp;TEXT($T339,"mm/dd")))))))</f>
        <v/>
      </c>
      <c r="V339" s="16" t="n"/>
      <c r="W339" s="16" t="n"/>
      <c r="X339" s="17">
        <f>IF($C339="","",IF(AND($L339&lt;&gt;"",NOT(ISNUMBER($L339))),"RAW SCORE NOT A NUMBER",IF(AND(ISNUMBER($L339),OR($L339&lt;0,$L339&gt;100)),"RAW SCORE OUT OF RANGE",IF(AND($Y339="Unexcused",OR($L339="",NOT(ISNUMBER($L339)),$L339&lt;&gt;0)),"UNEXCUSED ABSENCE MUST RECORD 0",IF(COUNTIF(nrES_RecID,$B339)&gt;1,"DUPLICATE RECORD",IF(N($K339)&gt;2,"ATTEMPT 3+ NOT ALLOWED - policy 300.5 permits one retest per exam; this row records nothing",IF(AND($K339=2,COUNTIFS(nrES_PID,$D339,nrES_Code,$F339,nrES_Att,1)=0),"ATTEMPT 2 WITHOUT ATTEMPT 1",IF(AND($K339=2,$L339=""),"RETEST ROW HAS NO SCORE",IF(AND($H339="Final",$L339&lt;&gt;"",IFERROR(INDEX(nrCKfinalExamElig,MATCH($D339,rngCadetPIDs,0)),"")="No"),"FINAL EXAM AFTER FAILED FINAL PT (500.1.H)",IF(AND($K339=2,ISNUMBER($L339),COUNTIFS(nrES_PID,$D339,nrES_Code,$F339,nrES_Att,1)&gt;0,SUMIFS(nrES_Raw,nrES_PID,$D339,nrES_Code,$F339,nrES_Att,1)&gt;=$J339),"RETEST AFTER A PASSING FIRST ATTEMPT","OK"))))))))))</f>
        <v/>
      </c>
      <c r="Y339" s="16" t="n"/>
    </row>
    <row r="340">
      <c r="B340" s="17">
        <f>IF($C340="","",$D340&amp;"-"&amp;$F340&amp;"-"&amp;$K340)</f>
        <v/>
      </c>
      <c r="C340" s="16" t="n"/>
      <c r="D340" s="17">
        <f>IF($C340="","",IFERROR(INDEX(rngCadetPIDs,MATCH($C340,rngCadetNames,0)),"?"))</f>
        <v/>
      </c>
      <c r="E340" s="17">
        <f>IF($D340="","",IFERROR(INDEX(nrCadetAgency,MATCH($D340,rngCadetPIDs,0)),""))</f>
        <v/>
      </c>
      <c r="F340" s="16" t="n"/>
      <c r="G340" s="17">
        <f>IF($F340="","",IFERROR(INDEX(rngEPname,MATCH($F340,rngEPcode,0)),"?"))</f>
        <v/>
      </c>
      <c r="H340" s="17">
        <f>IF($F340="","",IFERROR(INDEX(rngEPtype,MATCH($F340,rngEPcode,0)),"?"))</f>
        <v/>
      </c>
      <c r="I340" s="17">
        <f>IF($F340="","",IFERROR(INDEX(rngEPseq,MATCH($F340,rngEPcode,0)),""))</f>
        <v/>
      </c>
      <c r="J340" s="17">
        <f>IF($F340="","",IFERROR(INDEX(rngEPpass,MATCH($F340,rngEPcode,0)),cfgPassingScore))</f>
        <v/>
      </c>
      <c r="K340" s="16" t="n"/>
      <c r="L340" s="16" t="n"/>
      <c r="M340" s="17">
        <f>IF($C340="","",IF($L340="","",IF(NOT(ISNUMBER($L340)),$L340,IF(N($K340)&gt;2,"",IF($K340=1,IF(COUNTIFS(nrES_PID,$D340,nrES_Code,$F340,nrES_Att,2,nrES_Raw,"&gt;=0")&gt;0,"",$L340),IF($L340&gt;=$J340,MAX($J340,cfgRetakeRecordedCap),IF(COUNTIFS(nrES_PID,$D340,nrES_Code,$F340,nrES_Att,1)=0,$L340,SUMIFS(nrES_Raw,nrES_PID,$D340,nrES_Code,$F340,nrES_Att,1))))))))</f>
        <v/>
      </c>
      <c r="N340" s="17">
        <f>IF($C340="","",IF($L340="","",IF(NOT(ISNUMBER($L340)),"(not a score)",IF($L340&gt;=$J340,"Yes","No"))))</f>
        <v/>
      </c>
      <c r="O340" s="17">
        <f>IF($C340="","",IF($M340="","",IF(NOT(ISNUMBER($M340)),"(not a score)",IF($M340&gt;=$J340,"Yes","No"))))</f>
        <v/>
      </c>
      <c r="P340" s="17">
        <f>IF($C340="","",IF($K340="","",IF(N($K340)&gt;2,"No",IF(COUNTIFS(nrES_PID,$D340,nrES_Code,$F340,nrES_Att,"&gt;"&amp;$K340,nrES_Att,"&lt;=2",nrES_Raw,"&gt;=0")=0,"Yes","No"))))</f>
        <v/>
      </c>
      <c r="Q340" s="17">
        <f>IF($C340="","",IF($L340="","",IF(AND($K340=1,ISNUMBER($L340),$L340&lt;$J340,COUNTIFS(nrES_PID,$D340,nrES_Code,$F340,nrES_Att,2,nrES_Raw,"&gt;=0")=0),"Yes","No")))</f>
        <v/>
      </c>
      <c r="R340" s="17">
        <f>IF($C340="","",IF($L340="","",IF(AND(N($K340)&gt;=2,ISNUMBER($L340),$L340&lt;$J340),"Yes","No")))</f>
        <v/>
      </c>
      <c r="S340" s="18" t="n"/>
      <c r="T340" s="19">
        <f>IF(OR($C340="",$L340="",$K340&lt;&gt;1,NOT(ISNUMBER($L340)),$L340&gt;=$J340),"",IF($S340="","(enter date)",_xlfn.LET(_xlpm.dn,_xlfn.XLOOKUP($S340,nrCDdate,nrCDnum,"",1),IF(_xlpm.dn="","(after last class day)",_xlfn.LET(_xlpm.dd,_xlfn.XLOOKUP(_xlpm.dn+cfgRetestClassDays,nrCDnum,nrCDdate,""),_xlpm.ok,_xlfn.XLOOKUP(_xlpm.dn+cfgRetestClassDays,nrCDnum,nrCDinsession,"No"),IF(OR(_xlpm.dd="",_xlpm.ok&lt;&gt;"Yes"),"(after last class day)",_xlpm.dd))))))</f>
        <v/>
      </c>
      <c r="U340" s="17">
        <f>IF($C340="","",IF(AND($Y340="Excused",$L340="",N($K340)&lt;=1),"EXCUSED - 1st attempt pending",IF(OR($L340="",$K340&lt;&gt;1,NOT(ISNUMBER($L340)),$L340&gt;=$J340),"",IF(COUNTIFS(nrES_PID,$D340,nrES_Code,$F340,nrES_Att,2,nrES_Raw,"&gt;=0")&gt;0,IF(IFERROR(_xlfn.MINIFS(nrES_Date,nrES_PID,$D340,nrES_Code,$F340,nrES_Att,2,nrES_Raw,"&gt;=0",nrES_Date,"&gt;0"),0)=0,"RETEST UNDATED",IF(NOT(ISNUMBER($T340)),"RETEST DATE UNCHECKED",IF(_xlfn.MINIFS(nrES_Date,nrES_PID,$D340,nrES_Code,$F340,nrES_Att,2,nrES_Raw,"&gt;=0",nrES_Date,"&gt;0")&gt;$T340,"LATE RETEST "&amp;TEXT(_xlfn.MINIFS(nrES_Date,nrES_PID,$D340,nrES_Code,$F340,nrES_Att,2,nrES_Raw,"&gt;=0",nrES_Date,"&gt;0"),"mm/dd")&amp;" (due "&amp;TEXT($T340,"mm/dd")&amp;")","Retested"))),IF(NOT(ISNUMBER($T340)),"CHECK DATE",IF(TODAY()&gt;$T340,"OVERDUE","Due "&amp;TEXT($T340,"mm/dd")))))))</f>
        <v/>
      </c>
      <c r="V340" s="16" t="n"/>
      <c r="W340" s="16" t="n"/>
      <c r="X340" s="17">
        <f>IF($C340="","",IF(AND($L340&lt;&gt;"",NOT(ISNUMBER($L340))),"RAW SCORE NOT A NUMBER",IF(AND(ISNUMBER($L340),OR($L340&lt;0,$L340&gt;100)),"RAW SCORE OUT OF RANGE",IF(AND($Y340="Unexcused",OR($L340="",NOT(ISNUMBER($L340)),$L340&lt;&gt;0)),"UNEXCUSED ABSENCE MUST RECORD 0",IF(COUNTIF(nrES_RecID,$B340)&gt;1,"DUPLICATE RECORD",IF(N($K340)&gt;2,"ATTEMPT 3+ NOT ALLOWED - policy 300.5 permits one retest per exam; this row records nothing",IF(AND($K340=2,COUNTIFS(nrES_PID,$D340,nrES_Code,$F340,nrES_Att,1)=0),"ATTEMPT 2 WITHOUT ATTEMPT 1",IF(AND($K340=2,$L340=""),"RETEST ROW HAS NO SCORE",IF(AND($H340="Final",$L340&lt;&gt;"",IFERROR(INDEX(nrCKfinalExamElig,MATCH($D340,rngCadetPIDs,0)),"")="No"),"FINAL EXAM AFTER FAILED FINAL PT (500.1.H)",IF(AND($K340=2,ISNUMBER($L340),COUNTIFS(nrES_PID,$D340,nrES_Code,$F340,nrES_Att,1)&gt;0,SUMIFS(nrES_Raw,nrES_PID,$D340,nrES_Code,$F340,nrES_Att,1)&gt;=$J340),"RETEST AFTER A PASSING FIRST ATTEMPT","OK"))))))))))</f>
        <v/>
      </c>
      <c r="Y340" s="16" t="n"/>
    </row>
    <row r="341">
      <c r="B341" s="17">
        <f>IF($C341="","",$D341&amp;"-"&amp;$F341&amp;"-"&amp;$K341)</f>
        <v/>
      </c>
      <c r="C341" s="16" t="n"/>
      <c r="D341" s="17">
        <f>IF($C341="","",IFERROR(INDEX(rngCadetPIDs,MATCH($C341,rngCadetNames,0)),"?"))</f>
        <v/>
      </c>
      <c r="E341" s="17">
        <f>IF($D341="","",IFERROR(INDEX(nrCadetAgency,MATCH($D341,rngCadetPIDs,0)),""))</f>
        <v/>
      </c>
      <c r="F341" s="16" t="n"/>
      <c r="G341" s="17">
        <f>IF($F341="","",IFERROR(INDEX(rngEPname,MATCH($F341,rngEPcode,0)),"?"))</f>
        <v/>
      </c>
      <c r="H341" s="17">
        <f>IF($F341="","",IFERROR(INDEX(rngEPtype,MATCH($F341,rngEPcode,0)),"?"))</f>
        <v/>
      </c>
      <c r="I341" s="17">
        <f>IF($F341="","",IFERROR(INDEX(rngEPseq,MATCH($F341,rngEPcode,0)),""))</f>
        <v/>
      </c>
      <c r="J341" s="17">
        <f>IF($F341="","",IFERROR(INDEX(rngEPpass,MATCH($F341,rngEPcode,0)),cfgPassingScore))</f>
        <v/>
      </c>
      <c r="K341" s="16" t="n"/>
      <c r="L341" s="16" t="n"/>
      <c r="M341" s="17">
        <f>IF($C341="","",IF($L341="","",IF(NOT(ISNUMBER($L341)),$L341,IF(N($K341)&gt;2,"",IF($K341=1,IF(COUNTIFS(nrES_PID,$D341,nrES_Code,$F341,nrES_Att,2,nrES_Raw,"&gt;=0")&gt;0,"",$L341),IF($L341&gt;=$J341,MAX($J341,cfgRetakeRecordedCap),IF(COUNTIFS(nrES_PID,$D341,nrES_Code,$F341,nrES_Att,1)=0,$L341,SUMIFS(nrES_Raw,nrES_PID,$D341,nrES_Code,$F341,nrES_Att,1))))))))</f>
        <v/>
      </c>
      <c r="N341" s="17">
        <f>IF($C341="","",IF($L341="","",IF(NOT(ISNUMBER($L341)),"(not a score)",IF($L341&gt;=$J341,"Yes","No"))))</f>
        <v/>
      </c>
      <c r="O341" s="17">
        <f>IF($C341="","",IF($M341="","",IF(NOT(ISNUMBER($M341)),"(not a score)",IF($M341&gt;=$J341,"Yes","No"))))</f>
        <v/>
      </c>
      <c r="P341" s="17">
        <f>IF($C341="","",IF($K341="","",IF(N($K341)&gt;2,"No",IF(COUNTIFS(nrES_PID,$D341,nrES_Code,$F341,nrES_Att,"&gt;"&amp;$K341,nrES_Att,"&lt;=2",nrES_Raw,"&gt;=0")=0,"Yes","No"))))</f>
        <v/>
      </c>
      <c r="Q341" s="17">
        <f>IF($C341="","",IF($L341="","",IF(AND($K341=1,ISNUMBER($L341),$L341&lt;$J341,COUNTIFS(nrES_PID,$D341,nrES_Code,$F341,nrES_Att,2,nrES_Raw,"&gt;=0")=0),"Yes","No")))</f>
        <v/>
      </c>
      <c r="R341" s="17">
        <f>IF($C341="","",IF($L341="","",IF(AND(N($K341)&gt;=2,ISNUMBER($L341),$L341&lt;$J341),"Yes","No")))</f>
        <v/>
      </c>
      <c r="S341" s="18" t="n"/>
      <c r="T341" s="19">
        <f>IF(OR($C341="",$L341="",$K341&lt;&gt;1,NOT(ISNUMBER($L341)),$L341&gt;=$J341),"",IF($S341="","(enter date)",_xlfn.LET(_xlpm.dn,_xlfn.XLOOKUP($S341,nrCDdate,nrCDnum,"",1),IF(_xlpm.dn="","(after last class day)",_xlfn.LET(_xlpm.dd,_xlfn.XLOOKUP(_xlpm.dn+cfgRetestClassDays,nrCDnum,nrCDdate,""),_xlpm.ok,_xlfn.XLOOKUP(_xlpm.dn+cfgRetestClassDays,nrCDnum,nrCDinsession,"No"),IF(OR(_xlpm.dd="",_xlpm.ok&lt;&gt;"Yes"),"(after last class day)",_xlpm.dd))))))</f>
        <v/>
      </c>
      <c r="U341" s="17">
        <f>IF($C341="","",IF(AND($Y341="Excused",$L341="",N($K341)&lt;=1),"EXCUSED - 1st attempt pending",IF(OR($L341="",$K341&lt;&gt;1,NOT(ISNUMBER($L341)),$L341&gt;=$J341),"",IF(COUNTIFS(nrES_PID,$D341,nrES_Code,$F341,nrES_Att,2,nrES_Raw,"&gt;=0")&gt;0,IF(IFERROR(_xlfn.MINIFS(nrES_Date,nrES_PID,$D341,nrES_Code,$F341,nrES_Att,2,nrES_Raw,"&gt;=0",nrES_Date,"&gt;0"),0)=0,"RETEST UNDATED",IF(NOT(ISNUMBER($T341)),"RETEST DATE UNCHECKED",IF(_xlfn.MINIFS(nrES_Date,nrES_PID,$D341,nrES_Code,$F341,nrES_Att,2,nrES_Raw,"&gt;=0",nrES_Date,"&gt;0")&gt;$T341,"LATE RETEST "&amp;TEXT(_xlfn.MINIFS(nrES_Date,nrES_PID,$D341,nrES_Code,$F341,nrES_Att,2,nrES_Raw,"&gt;=0",nrES_Date,"&gt;0"),"mm/dd")&amp;" (due "&amp;TEXT($T341,"mm/dd")&amp;")","Retested"))),IF(NOT(ISNUMBER($T341)),"CHECK DATE",IF(TODAY()&gt;$T341,"OVERDUE","Due "&amp;TEXT($T341,"mm/dd")))))))</f>
        <v/>
      </c>
      <c r="V341" s="16" t="n"/>
      <c r="W341" s="16" t="n"/>
      <c r="X341" s="17">
        <f>IF($C341="","",IF(AND($L341&lt;&gt;"",NOT(ISNUMBER($L341))),"RAW SCORE NOT A NUMBER",IF(AND(ISNUMBER($L341),OR($L341&lt;0,$L341&gt;100)),"RAW SCORE OUT OF RANGE",IF(AND($Y341="Unexcused",OR($L341="",NOT(ISNUMBER($L341)),$L341&lt;&gt;0)),"UNEXCUSED ABSENCE MUST RECORD 0",IF(COUNTIF(nrES_RecID,$B341)&gt;1,"DUPLICATE RECORD",IF(N($K341)&gt;2,"ATTEMPT 3+ NOT ALLOWED - policy 300.5 permits one retest per exam; this row records nothing",IF(AND($K341=2,COUNTIFS(nrES_PID,$D341,nrES_Code,$F341,nrES_Att,1)=0),"ATTEMPT 2 WITHOUT ATTEMPT 1",IF(AND($K341=2,$L341=""),"RETEST ROW HAS NO SCORE",IF(AND($H341="Final",$L341&lt;&gt;"",IFERROR(INDEX(nrCKfinalExamElig,MATCH($D341,rngCadetPIDs,0)),"")="No"),"FINAL EXAM AFTER FAILED FINAL PT (500.1.H)",IF(AND($K341=2,ISNUMBER($L341),COUNTIFS(nrES_PID,$D341,nrES_Code,$F341,nrES_Att,1)&gt;0,SUMIFS(nrES_Raw,nrES_PID,$D341,nrES_Code,$F341,nrES_Att,1)&gt;=$J341),"RETEST AFTER A PASSING FIRST ATTEMPT","OK"))))))))))</f>
        <v/>
      </c>
      <c r="Y341" s="16" t="n"/>
    </row>
    <row r="342">
      <c r="B342" s="17">
        <f>IF($C342="","",$D342&amp;"-"&amp;$F342&amp;"-"&amp;$K342)</f>
        <v/>
      </c>
      <c r="C342" s="16" t="n"/>
      <c r="D342" s="17">
        <f>IF($C342="","",IFERROR(INDEX(rngCadetPIDs,MATCH($C342,rngCadetNames,0)),"?"))</f>
        <v/>
      </c>
      <c r="E342" s="17">
        <f>IF($D342="","",IFERROR(INDEX(nrCadetAgency,MATCH($D342,rngCadetPIDs,0)),""))</f>
        <v/>
      </c>
      <c r="F342" s="16" t="n"/>
      <c r="G342" s="17">
        <f>IF($F342="","",IFERROR(INDEX(rngEPname,MATCH($F342,rngEPcode,0)),"?"))</f>
        <v/>
      </c>
      <c r="H342" s="17">
        <f>IF($F342="","",IFERROR(INDEX(rngEPtype,MATCH($F342,rngEPcode,0)),"?"))</f>
        <v/>
      </c>
      <c r="I342" s="17">
        <f>IF($F342="","",IFERROR(INDEX(rngEPseq,MATCH($F342,rngEPcode,0)),""))</f>
        <v/>
      </c>
      <c r="J342" s="17">
        <f>IF($F342="","",IFERROR(INDEX(rngEPpass,MATCH($F342,rngEPcode,0)),cfgPassingScore))</f>
        <v/>
      </c>
      <c r="K342" s="16" t="n"/>
      <c r="L342" s="16" t="n"/>
      <c r="M342" s="17">
        <f>IF($C342="","",IF($L342="","",IF(NOT(ISNUMBER($L342)),$L342,IF(N($K342)&gt;2,"",IF($K342=1,IF(COUNTIFS(nrES_PID,$D342,nrES_Code,$F342,nrES_Att,2,nrES_Raw,"&gt;=0")&gt;0,"",$L342),IF($L342&gt;=$J342,MAX($J342,cfgRetakeRecordedCap),IF(COUNTIFS(nrES_PID,$D342,nrES_Code,$F342,nrES_Att,1)=0,$L342,SUMIFS(nrES_Raw,nrES_PID,$D342,nrES_Code,$F342,nrES_Att,1))))))))</f>
        <v/>
      </c>
      <c r="N342" s="17">
        <f>IF($C342="","",IF($L342="","",IF(NOT(ISNUMBER($L342)),"(not a score)",IF($L342&gt;=$J342,"Yes","No"))))</f>
        <v/>
      </c>
      <c r="O342" s="17">
        <f>IF($C342="","",IF($M342="","",IF(NOT(ISNUMBER($M342)),"(not a score)",IF($M342&gt;=$J342,"Yes","No"))))</f>
        <v/>
      </c>
      <c r="P342" s="17">
        <f>IF($C342="","",IF($K342="","",IF(N($K342)&gt;2,"No",IF(COUNTIFS(nrES_PID,$D342,nrES_Code,$F342,nrES_Att,"&gt;"&amp;$K342,nrES_Att,"&lt;=2",nrES_Raw,"&gt;=0")=0,"Yes","No"))))</f>
        <v/>
      </c>
      <c r="Q342" s="17">
        <f>IF($C342="","",IF($L342="","",IF(AND($K342=1,ISNUMBER($L342),$L342&lt;$J342,COUNTIFS(nrES_PID,$D342,nrES_Code,$F342,nrES_Att,2,nrES_Raw,"&gt;=0")=0),"Yes","No")))</f>
        <v/>
      </c>
      <c r="R342" s="17">
        <f>IF($C342="","",IF($L342="","",IF(AND(N($K342)&gt;=2,ISNUMBER($L342),$L342&lt;$J342),"Yes","No")))</f>
        <v/>
      </c>
      <c r="S342" s="18" t="n"/>
      <c r="T342" s="19">
        <f>IF(OR($C342="",$L342="",$K342&lt;&gt;1,NOT(ISNUMBER($L342)),$L342&gt;=$J342),"",IF($S342="","(enter date)",_xlfn.LET(_xlpm.dn,_xlfn.XLOOKUP($S342,nrCDdate,nrCDnum,"",1),IF(_xlpm.dn="","(after last class day)",_xlfn.LET(_xlpm.dd,_xlfn.XLOOKUP(_xlpm.dn+cfgRetestClassDays,nrCDnum,nrCDdate,""),_xlpm.ok,_xlfn.XLOOKUP(_xlpm.dn+cfgRetestClassDays,nrCDnum,nrCDinsession,"No"),IF(OR(_xlpm.dd="",_xlpm.ok&lt;&gt;"Yes"),"(after last class day)",_xlpm.dd))))))</f>
        <v/>
      </c>
      <c r="U342" s="17">
        <f>IF($C342="","",IF(AND($Y342="Excused",$L342="",N($K342)&lt;=1),"EXCUSED - 1st attempt pending",IF(OR($L342="",$K342&lt;&gt;1,NOT(ISNUMBER($L342)),$L342&gt;=$J342),"",IF(COUNTIFS(nrES_PID,$D342,nrES_Code,$F342,nrES_Att,2,nrES_Raw,"&gt;=0")&gt;0,IF(IFERROR(_xlfn.MINIFS(nrES_Date,nrES_PID,$D342,nrES_Code,$F342,nrES_Att,2,nrES_Raw,"&gt;=0",nrES_Date,"&gt;0"),0)=0,"RETEST UNDATED",IF(NOT(ISNUMBER($T342)),"RETEST DATE UNCHECKED",IF(_xlfn.MINIFS(nrES_Date,nrES_PID,$D342,nrES_Code,$F342,nrES_Att,2,nrES_Raw,"&gt;=0",nrES_Date,"&gt;0")&gt;$T342,"LATE RETEST "&amp;TEXT(_xlfn.MINIFS(nrES_Date,nrES_PID,$D342,nrES_Code,$F342,nrES_Att,2,nrES_Raw,"&gt;=0",nrES_Date,"&gt;0"),"mm/dd")&amp;" (due "&amp;TEXT($T342,"mm/dd")&amp;")","Retested"))),IF(NOT(ISNUMBER($T342)),"CHECK DATE",IF(TODAY()&gt;$T342,"OVERDUE","Due "&amp;TEXT($T342,"mm/dd")))))))</f>
        <v/>
      </c>
      <c r="V342" s="16" t="n"/>
      <c r="W342" s="16" t="n"/>
      <c r="X342" s="17">
        <f>IF($C342="","",IF(AND($L342&lt;&gt;"",NOT(ISNUMBER($L342))),"RAW SCORE NOT A NUMBER",IF(AND(ISNUMBER($L342),OR($L342&lt;0,$L342&gt;100)),"RAW SCORE OUT OF RANGE",IF(AND($Y342="Unexcused",OR($L342="",NOT(ISNUMBER($L342)),$L342&lt;&gt;0)),"UNEXCUSED ABSENCE MUST RECORD 0",IF(COUNTIF(nrES_RecID,$B342)&gt;1,"DUPLICATE RECORD",IF(N($K342)&gt;2,"ATTEMPT 3+ NOT ALLOWED - policy 300.5 permits one retest per exam; this row records nothing",IF(AND($K342=2,COUNTIFS(nrES_PID,$D342,nrES_Code,$F342,nrES_Att,1)=0),"ATTEMPT 2 WITHOUT ATTEMPT 1",IF(AND($K342=2,$L342=""),"RETEST ROW HAS NO SCORE",IF(AND($H342="Final",$L342&lt;&gt;"",IFERROR(INDEX(nrCKfinalExamElig,MATCH($D342,rngCadetPIDs,0)),"")="No"),"FINAL EXAM AFTER FAILED FINAL PT (500.1.H)",IF(AND($K342=2,ISNUMBER($L342),COUNTIFS(nrES_PID,$D342,nrES_Code,$F342,nrES_Att,1)&gt;0,SUMIFS(nrES_Raw,nrES_PID,$D342,nrES_Code,$F342,nrES_Att,1)&gt;=$J342),"RETEST AFTER A PASSING FIRST ATTEMPT","OK"))))))))))</f>
        <v/>
      </c>
      <c r="Y342" s="16" t="n"/>
    </row>
    <row r="343">
      <c r="B343" s="17">
        <f>IF($C343="","",$D343&amp;"-"&amp;$F343&amp;"-"&amp;$K343)</f>
        <v/>
      </c>
      <c r="C343" s="16" t="n"/>
      <c r="D343" s="17">
        <f>IF($C343="","",IFERROR(INDEX(rngCadetPIDs,MATCH($C343,rngCadetNames,0)),"?"))</f>
        <v/>
      </c>
      <c r="E343" s="17">
        <f>IF($D343="","",IFERROR(INDEX(nrCadetAgency,MATCH($D343,rngCadetPIDs,0)),""))</f>
        <v/>
      </c>
      <c r="F343" s="16" t="n"/>
      <c r="G343" s="17">
        <f>IF($F343="","",IFERROR(INDEX(rngEPname,MATCH($F343,rngEPcode,0)),"?"))</f>
        <v/>
      </c>
      <c r="H343" s="17">
        <f>IF($F343="","",IFERROR(INDEX(rngEPtype,MATCH($F343,rngEPcode,0)),"?"))</f>
        <v/>
      </c>
      <c r="I343" s="17">
        <f>IF($F343="","",IFERROR(INDEX(rngEPseq,MATCH($F343,rngEPcode,0)),""))</f>
        <v/>
      </c>
      <c r="J343" s="17">
        <f>IF($F343="","",IFERROR(INDEX(rngEPpass,MATCH($F343,rngEPcode,0)),cfgPassingScore))</f>
        <v/>
      </c>
      <c r="K343" s="16" t="n"/>
      <c r="L343" s="16" t="n"/>
      <c r="M343" s="17">
        <f>IF($C343="","",IF($L343="","",IF(NOT(ISNUMBER($L343)),$L343,IF(N($K343)&gt;2,"",IF($K343=1,IF(COUNTIFS(nrES_PID,$D343,nrES_Code,$F343,nrES_Att,2,nrES_Raw,"&gt;=0")&gt;0,"",$L343),IF($L343&gt;=$J343,MAX($J343,cfgRetakeRecordedCap),IF(COUNTIFS(nrES_PID,$D343,nrES_Code,$F343,nrES_Att,1)=0,$L343,SUMIFS(nrES_Raw,nrES_PID,$D343,nrES_Code,$F343,nrES_Att,1))))))))</f>
        <v/>
      </c>
      <c r="N343" s="17">
        <f>IF($C343="","",IF($L343="","",IF(NOT(ISNUMBER($L343)),"(not a score)",IF($L343&gt;=$J343,"Yes","No"))))</f>
        <v/>
      </c>
      <c r="O343" s="17">
        <f>IF($C343="","",IF($M343="","",IF(NOT(ISNUMBER($M343)),"(not a score)",IF($M343&gt;=$J343,"Yes","No"))))</f>
        <v/>
      </c>
      <c r="P343" s="17">
        <f>IF($C343="","",IF($K343="","",IF(N($K343)&gt;2,"No",IF(COUNTIFS(nrES_PID,$D343,nrES_Code,$F343,nrES_Att,"&gt;"&amp;$K343,nrES_Att,"&lt;=2",nrES_Raw,"&gt;=0")=0,"Yes","No"))))</f>
        <v/>
      </c>
      <c r="Q343" s="17">
        <f>IF($C343="","",IF($L343="","",IF(AND($K343=1,ISNUMBER($L343),$L343&lt;$J343,COUNTIFS(nrES_PID,$D343,nrES_Code,$F343,nrES_Att,2,nrES_Raw,"&gt;=0")=0),"Yes","No")))</f>
        <v/>
      </c>
      <c r="R343" s="17">
        <f>IF($C343="","",IF($L343="","",IF(AND(N($K343)&gt;=2,ISNUMBER($L343),$L343&lt;$J343),"Yes","No")))</f>
        <v/>
      </c>
      <c r="S343" s="18" t="n"/>
      <c r="T343" s="19">
        <f>IF(OR($C343="",$L343="",$K343&lt;&gt;1,NOT(ISNUMBER($L343)),$L343&gt;=$J343),"",IF($S343="","(enter date)",_xlfn.LET(_xlpm.dn,_xlfn.XLOOKUP($S343,nrCDdate,nrCDnum,"",1),IF(_xlpm.dn="","(after last class day)",_xlfn.LET(_xlpm.dd,_xlfn.XLOOKUP(_xlpm.dn+cfgRetestClassDays,nrCDnum,nrCDdate,""),_xlpm.ok,_xlfn.XLOOKUP(_xlpm.dn+cfgRetestClassDays,nrCDnum,nrCDinsession,"No"),IF(OR(_xlpm.dd="",_xlpm.ok&lt;&gt;"Yes"),"(after last class day)",_xlpm.dd))))))</f>
        <v/>
      </c>
      <c r="U343" s="17">
        <f>IF($C343="","",IF(AND($Y343="Excused",$L343="",N($K343)&lt;=1),"EXCUSED - 1st attempt pending",IF(OR($L343="",$K343&lt;&gt;1,NOT(ISNUMBER($L343)),$L343&gt;=$J343),"",IF(COUNTIFS(nrES_PID,$D343,nrES_Code,$F343,nrES_Att,2,nrES_Raw,"&gt;=0")&gt;0,IF(IFERROR(_xlfn.MINIFS(nrES_Date,nrES_PID,$D343,nrES_Code,$F343,nrES_Att,2,nrES_Raw,"&gt;=0",nrES_Date,"&gt;0"),0)=0,"RETEST UNDATED",IF(NOT(ISNUMBER($T343)),"RETEST DATE UNCHECKED",IF(_xlfn.MINIFS(nrES_Date,nrES_PID,$D343,nrES_Code,$F343,nrES_Att,2,nrES_Raw,"&gt;=0",nrES_Date,"&gt;0")&gt;$T343,"LATE RETEST "&amp;TEXT(_xlfn.MINIFS(nrES_Date,nrES_PID,$D343,nrES_Code,$F343,nrES_Att,2,nrES_Raw,"&gt;=0",nrES_Date,"&gt;0"),"mm/dd")&amp;" (due "&amp;TEXT($T343,"mm/dd")&amp;")","Retested"))),IF(NOT(ISNUMBER($T343)),"CHECK DATE",IF(TODAY()&gt;$T343,"OVERDUE","Due "&amp;TEXT($T343,"mm/dd")))))))</f>
        <v/>
      </c>
      <c r="V343" s="16" t="n"/>
      <c r="W343" s="16" t="n"/>
      <c r="X343" s="17">
        <f>IF($C343="","",IF(AND($L343&lt;&gt;"",NOT(ISNUMBER($L343))),"RAW SCORE NOT A NUMBER",IF(AND(ISNUMBER($L343),OR($L343&lt;0,$L343&gt;100)),"RAW SCORE OUT OF RANGE",IF(AND($Y343="Unexcused",OR($L343="",NOT(ISNUMBER($L343)),$L343&lt;&gt;0)),"UNEXCUSED ABSENCE MUST RECORD 0",IF(COUNTIF(nrES_RecID,$B343)&gt;1,"DUPLICATE RECORD",IF(N($K343)&gt;2,"ATTEMPT 3+ NOT ALLOWED - policy 300.5 permits one retest per exam; this row records nothing",IF(AND($K343=2,COUNTIFS(nrES_PID,$D343,nrES_Code,$F343,nrES_Att,1)=0),"ATTEMPT 2 WITHOUT ATTEMPT 1",IF(AND($K343=2,$L343=""),"RETEST ROW HAS NO SCORE",IF(AND($H343="Final",$L343&lt;&gt;"",IFERROR(INDEX(nrCKfinalExamElig,MATCH($D343,rngCadetPIDs,0)),"")="No"),"FINAL EXAM AFTER FAILED FINAL PT (500.1.H)",IF(AND($K343=2,ISNUMBER($L343),COUNTIFS(nrES_PID,$D343,nrES_Code,$F343,nrES_Att,1)&gt;0,SUMIFS(nrES_Raw,nrES_PID,$D343,nrES_Code,$F343,nrES_Att,1)&gt;=$J343),"RETEST AFTER A PASSING FIRST ATTEMPT","OK"))))))))))</f>
        <v/>
      </c>
      <c r="Y343" s="16" t="n"/>
    </row>
    <row r="344">
      <c r="B344" s="17">
        <f>IF($C344="","",$D344&amp;"-"&amp;$F344&amp;"-"&amp;$K344)</f>
        <v/>
      </c>
      <c r="C344" s="16" t="n"/>
      <c r="D344" s="17">
        <f>IF($C344="","",IFERROR(INDEX(rngCadetPIDs,MATCH($C344,rngCadetNames,0)),"?"))</f>
        <v/>
      </c>
      <c r="E344" s="17">
        <f>IF($D344="","",IFERROR(INDEX(nrCadetAgency,MATCH($D344,rngCadetPIDs,0)),""))</f>
        <v/>
      </c>
      <c r="F344" s="16" t="n"/>
      <c r="G344" s="17">
        <f>IF($F344="","",IFERROR(INDEX(rngEPname,MATCH($F344,rngEPcode,0)),"?"))</f>
        <v/>
      </c>
      <c r="H344" s="17">
        <f>IF($F344="","",IFERROR(INDEX(rngEPtype,MATCH($F344,rngEPcode,0)),"?"))</f>
        <v/>
      </c>
      <c r="I344" s="17">
        <f>IF($F344="","",IFERROR(INDEX(rngEPseq,MATCH($F344,rngEPcode,0)),""))</f>
        <v/>
      </c>
      <c r="J344" s="17">
        <f>IF($F344="","",IFERROR(INDEX(rngEPpass,MATCH($F344,rngEPcode,0)),cfgPassingScore))</f>
        <v/>
      </c>
      <c r="K344" s="16" t="n"/>
      <c r="L344" s="16" t="n"/>
      <c r="M344" s="17">
        <f>IF($C344="","",IF($L344="","",IF(NOT(ISNUMBER($L344)),$L344,IF(N($K344)&gt;2,"",IF($K344=1,IF(COUNTIFS(nrES_PID,$D344,nrES_Code,$F344,nrES_Att,2,nrES_Raw,"&gt;=0")&gt;0,"",$L344),IF($L344&gt;=$J344,MAX($J344,cfgRetakeRecordedCap),IF(COUNTIFS(nrES_PID,$D344,nrES_Code,$F344,nrES_Att,1)=0,$L344,SUMIFS(nrES_Raw,nrES_PID,$D344,nrES_Code,$F344,nrES_Att,1))))))))</f>
        <v/>
      </c>
      <c r="N344" s="17">
        <f>IF($C344="","",IF($L344="","",IF(NOT(ISNUMBER($L344)),"(not a score)",IF($L344&gt;=$J344,"Yes","No"))))</f>
        <v/>
      </c>
      <c r="O344" s="17">
        <f>IF($C344="","",IF($M344="","",IF(NOT(ISNUMBER($M344)),"(not a score)",IF($M344&gt;=$J344,"Yes","No"))))</f>
        <v/>
      </c>
      <c r="P344" s="17">
        <f>IF($C344="","",IF($K344="","",IF(N($K344)&gt;2,"No",IF(COUNTIFS(nrES_PID,$D344,nrES_Code,$F344,nrES_Att,"&gt;"&amp;$K344,nrES_Att,"&lt;=2",nrES_Raw,"&gt;=0")=0,"Yes","No"))))</f>
        <v/>
      </c>
      <c r="Q344" s="17">
        <f>IF($C344="","",IF($L344="","",IF(AND($K344=1,ISNUMBER($L344),$L344&lt;$J344,COUNTIFS(nrES_PID,$D344,nrES_Code,$F344,nrES_Att,2,nrES_Raw,"&gt;=0")=0),"Yes","No")))</f>
        <v/>
      </c>
      <c r="R344" s="17">
        <f>IF($C344="","",IF($L344="","",IF(AND(N($K344)&gt;=2,ISNUMBER($L344),$L344&lt;$J344),"Yes","No")))</f>
        <v/>
      </c>
      <c r="S344" s="18" t="n"/>
      <c r="T344" s="19">
        <f>IF(OR($C344="",$L344="",$K344&lt;&gt;1,NOT(ISNUMBER($L344)),$L344&gt;=$J344),"",IF($S344="","(enter date)",_xlfn.LET(_xlpm.dn,_xlfn.XLOOKUP($S344,nrCDdate,nrCDnum,"",1),IF(_xlpm.dn="","(after last class day)",_xlfn.LET(_xlpm.dd,_xlfn.XLOOKUP(_xlpm.dn+cfgRetestClassDays,nrCDnum,nrCDdate,""),_xlpm.ok,_xlfn.XLOOKUP(_xlpm.dn+cfgRetestClassDays,nrCDnum,nrCDinsession,"No"),IF(OR(_xlpm.dd="",_xlpm.ok&lt;&gt;"Yes"),"(after last class day)",_xlpm.dd))))))</f>
        <v/>
      </c>
      <c r="U344" s="17">
        <f>IF($C344="","",IF(AND($Y344="Excused",$L344="",N($K344)&lt;=1),"EXCUSED - 1st attempt pending",IF(OR($L344="",$K344&lt;&gt;1,NOT(ISNUMBER($L344)),$L344&gt;=$J344),"",IF(COUNTIFS(nrES_PID,$D344,nrES_Code,$F344,nrES_Att,2,nrES_Raw,"&gt;=0")&gt;0,IF(IFERROR(_xlfn.MINIFS(nrES_Date,nrES_PID,$D344,nrES_Code,$F344,nrES_Att,2,nrES_Raw,"&gt;=0",nrES_Date,"&gt;0"),0)=0,"RETEST UNDATED",IF(NOT(ISNUMBER($T344)),"RETEST DATE UNCHECKED",IF(_xlfn.MINIFS(nrES_Date,nrES_PID,$D344,nrES_Code,$F344,nrES_Att,2,nrES_Raw,"&gt;=0",nrES_Date,"&gt;0")&gt;$T344,"LATE RETEST "&amp;TEXT(_xlfn.MINIFS(nrES_Date,nrES_PID,$D344,nrES_Code,$F344,nrES_Att,2,nrES_Raw,"&gt;=0",nrES_Date,"&gt;0"),"mm/dd")&amp;" (due "&amp;TEXT($T344,"mm/dd")&amp;")","Retested"))),IF(NOT(ISNUMBER($T344)),"CHECK DATE",IF(TODAY()&gt;$T344,"OVERDUE","Due "&amp;TEXT($T344,"mm/dd")))))))</f>
        <v/>
      </c>
      <c r="V344" s="16" t="n"/>
      <c r="W344" s="16" t="n"/>
      <c r="X344" s="17">
        <f>IF($C344="","",IF(AND($L344&lt;&gt;"",NOT(ISNUMBER($L344))),"RAW SCORE NOT A NUMBER",IF(AND(ISNUMBER($L344),OR($L344&lt;0,$L344&gt;100)),"RAW SCORE OUT OF RANGE",IF(AND($Y344="Unexcused",OR($L344="",NOT(ISNUMBER($L344)),$L344&lt;&gt;0)),"UNEXCUSED ABSENCE MUST RECORD 0",IF(COUNTIF(nrES_RecID,$B344)&gt;1,"DUPLICATE RECORD",IF(N($K344)&gt;2,"ATTEMPT 3+ NOT ALLOWED - policy 300.5 permits one retest per exam; this row records nothing",IF(AND($K344=2,COUNTIFS(nrES_PID,$D344,nrES_Code,$F344,nrES_Att,1)=0),"ATTEMPT 2 WITHOUT ATTEMPT 1",IF(AND($K344=2,$L344=""),"RETEST ROW HAS NO SCORE",IF(AND($H344="Final",$L344&lt;&gt;"",IFERROR(INDEX(nrCKfinalExamElig,MATCH($D344,rngCadetPIDs,0)),"")="No"),"FINAL EXAM AFTER FAILED FINAL PT (500.1.H)",IF(AND($K344=2,ISNUMBER($L344),COUNTIFS(nrES_PID,$D344,nrES_Code,$F344,nrES_Att,1)&gt;0,SUMIFS(nrES_Raw,nrES_PID,$D344,nrES_Code,$F344,nrES_Att,1)&gt;=$J344),"RETEST AFTER A PASSING FIRST ATTEMPT","OK"))))))))))</f>
        <v/>
      </c>
      <c r="Y344" s="16" t="n"/>
    </row>
    <row r="345">
      <c r="B345" s="17">
        <f>IF($C345="","",$D345&amp;"-"&amp;$F345&amp;"-"&amp;$K345)</f>
        <v/>
      </c>
      <c r="C345" s="16" t="n"/>
      <c r="D345" s="17">
        <f>IF($C345="","",IFERROR(INDEX(rngCadetPIDs,MATCH($C345,rngCadetNames,0)),"?"))</f>
        <v/>
      </c>
      <c r="E345" s="17">
        <f>IF($D345="","",IFERROR(INDEX(nrCadetAgency,MATCH($D345,rngCadetPIDs,0)),""))</f>
        <v/>
      </c>
      <c r="F345" s="16" t="n"/>
      <c r="G345" s="17">
        <f>IF($F345="","",IFERROR(INDEX(rngEPname,MATCH($F345,rngEPcode,0)),"?"))</f>
        <v/>
      </c>
      <c r="H345" s="17">
        <f>IF($F345="","",IFERROR(INDEX(rngEPtype,MATCH($F345,rngEPcode,0)),"?"))</f>
        <v/>
      </c>
      <c r="I345" s="17">
        <f>IF($F345="","",IFERROR(INDEX(rngEPseq,MATCH($F345,rngEPcode,0)),""))</f>
        <v/>
      </c>
      <c r="J345" s="17">
        <f>IF($F345="","",IFERROR(INDEX(rngEPpass,MATCH($F345,rngEPcode,0)),cfgPassingScore))</f>
        <v/>
      </c>
      <c r="K345" s="16" t="n"/>
      <c r="L345" s="16" t="n"/>
      <c r="M345" s="17">
        <f>IF($C345="","",IF($L345="","",IF(NOT(ISNUMBER($L345)),$L345,IF(N($K345)&gt;2,"",IF($K345=1,IF(COUNTIFS(nrES_PID,$D345,nrES_Code,$F345,nrES_Att,2,nrES_Raw,"&gt;=0")&gt;0,"",$L345),IF($L345&gt;=$J345,MAX($J345,cfgRetakeRecordedCap),IF(COUNTIFS(nrES_PID,$D345,nrES_Code,$F345,nrES_Att,1)=0,$L345,SUMIFS(nrES_Raw,nrES_PID,$D345,nrES_Code,$F345,nrES_Att,1))))))))</f>
        <v/>
      </c>
      <c r="N345" s="17">
        <f>IF($C345="","",IF($L345="","",IF(NOT(ISNUMBER($L345)),"(not a score)",IF($L345&gt;=$J345,"Yes","No"))))</f>
        <v/>
      </c>
      <c r="O345" s="17">
        <f>IF($C345="","",IF($M345="","",IF(NOT(ISNUMBER($M345)),"(not a score)",IF($M345&gt;=$J345,"Yes","No"))))</f>
        <v/>
      </c>
      <c r="P345" s="17">
        <f>IF($C345="","",IF($K345="","",IF(N($K345)&gt;2,"No",IF(COUNTIFS(nrES_PID,$D345,nrES_Code,$F345,nrES_Att,"&gt;"&amp;$K345,nrES_Att,"&lt;=2",nrES_Raw,"&gt;=0")=0,"Yes","No"))))</f>
        <v/>
      </c>
      <c r="Q345" s="17">
        <f>IF($C345="","",IF($L345="","",IF(AND($K345=1,ISNUMBER($L345),$L345&lt;$J345,COUNTIFS(nrES_PID,$D345,nrES_Code,$F345,nrES_Att,2,nrES_Raw,"&gt;=0")=0),"Yes","No")))</f>
        <v/>
      </c>
      <c r="R345" s="17">
        <f>IF($C345="","",IF($L345="","",IF(AND(N($K345)&gt;=2,ISNUMBER($L345),$L345&lt;$J345),"Yes","No")))</f>
        <v/>
      </c>
      <c r="S345" s="18" t="n"/>
      <c r="T345" s="19">
        <f>IF(OR($C345="",$L345="",$K345&lt;&gt;1,NOT(ISNUMBER($L345)),$L345&gt;=$J345),"",IF($S345="","(enter date)",_xlfn.LET(_xlpm.dn,_xlfn.XLOOKUP($S345,nrCDdate,nrCDnum,"",1),IF(_xlpm.dn="","(after last class day)",_xlfn.LET(_xlpm.dd,_xlfn.XLOOKUP(_xlpm.dn+cfgRetestClassDays,nrCDnum,nrCDdate,""),_xlpm.ok,_xlfn.XLOOKUP(_xlpm.dn+cfgRetestClassDays,nrCDnum,nrCDinsession,"No"),IF(OR(_xlpm.dd="",_xlpm.ok&lt;&gt;"Yes"),"(after last class day)",_xlpm.dd))))))</f>
        <v/>
      </c>
      <c r="U345" s="17">
        <f>IF($C345="","",IF(AND($Y345="Excused",$L345="",N($K345)&lt;=1),"EXCUSED - 1st attempt pending",IF(OR($L345="",$K345&lt;&gt;1,NOT(ISNUMBER($L345)),$L345&gt;=$J345),"",IF(COUNTIFS(nrES_PID,$D345,nrES_Code,$F345,nrES_Att,2,nrES_Raw,"&gt;=0")&gt;0,IF(IFERROR(_xlfn.MINIFS(nrES_Date,nrES_PID,$D345,nrES_Code,$F345,nrES_Att,2,nrES_Raw,"&gt;=0",nrES_Date,"&gt;0"),0)=0,"RETEST UNDATED",IF(NOT(ISNUMBER($T345)),"RETEST DATE UNCHECKED",IF(_xlfn.MINIFS(nrES_Date,nrES_PID,$D345,nrES_Code,$F345,nrES_Att,2,nrES_Raw,"&gt;=0",nrES_Date,"&gt;0")&gt;$T345,"LATE RETEST "&amp;TEXT(_xlfn.MINIFS(nrES_Date,nrES_PID,$D345,nrES_Code,$F345,nrES_Att,2,nrES_Raw,"&gt;=0",nrES_Date,"&gt;0"),"mm/dd")&amp;" (due "&amp;TEXT($T345,"mm/dd")&amp;")","Retested"))),IF(NOT(ISNUMBER($T345)),"CHECK DATE",IF(TODAY()&gt;$T345,"OVERDUE","Due "&amp;TEXT($T345,"mm/dd")))))))</f>
        <v/>
      </c>
      <c r="V345" s="16" t="n"/>
      <c r="W345" s="16" t="n"/>
      <c r="X345" s="17">
        <f>IF($C345="","",IF(AND($L345&lt;&gt;"",NOT(ISNUMBER($L345))),"RAW SCORE NOT A NUMBER",IF(AND(ISNUMBER($L345),OR($L345&lt;0,$L345&gt;100)),"RAW SCORE OUT OF RANGE",IF(AND($Y345="Unexcused",OR($L345="",NOT(ISNUMBER($L345)),$L345&lt;&gt;0)),"UNEXCUSED ABSENCE MUST RECORD 0",IF(COUNTIF(nrES_RecID,$B345)&gt;1,"DUPLICATE RECORD",IF(N($K345)&gt;2,"ATTEMPT 3+ NOT ALLOWED - policy 300.5 permits one retest per exam; this row records nothing",IF(AND($K345=2,COUNTIFS(nrES_PID,$D345,nrES_Code,$F345,nrES_Att,1)=0),"ATTEMPT 2 WITHOUT ATTEMPT 1",IF(AND($K345=2,$L345=""),"RETEST ROW HAS NO SCORE",IF(AND($H345="Final",$L345&lt;&gt;"",IFERROR(INDEX(nrCKfinalExamElig,MATCH($D345,rngCadetPIDs,0)),"")="No"),"FINAL EXAM AFTER FAILED FINAL PT (500.1.H)",IF(AND($K345=2,ISNUMBER($L345),COUNTIFS(nrES_PID,$D345,nrES_Code,$F345,nrES_Att,1)&gt;0,SUMIFS(nrES_Raw,nrES_PID,$D345,nrES_Code,$F345,nrES_Att,1)&gt;=$J345),"RETEST AFTER A PASSING FIRST ATTEMPT","OK"))))))))))</f>
        <v/>
      </c>
      <c r="Y345" s="16" t="n"/>
    </row>
    <row r="346">
      <c r="B346" s="17">
        <f>IF($C346="","",$D346&amp;"-"&amp;$F346&amp;"-"&amp;$K346)</f>
        <v/>
      </c>
      <c r="C346" s="16" t="n"/>
      <c r="D346" s="17">
        <f>IF($C346="","",IFERROR(INDEX(rngCadetPIDs,MATCH($C346,rngCadetNames,0)),"?"))</f>
        <v/>
      </c>
      <c r="E346" s="17">
        <f>IF($D346="","",IFERROR(INDEX(nrCadetAgency,MATCH($D346,rngCadetPIDs,0)),""))</f>
        <v/>
      </c>
      <c r="F346" s="16" t="n"/>
      <c r="G346" s="17">
        <f>IF($F346="","",IFERROR(INDEX(rngEPname,MATCH($F346,rngEPcode,0)),"?"))</f>
        <v/>
      </c>
      <c r="H346" s="17">
        <f>IF($F346="","",IFERROR(INDEX(rngEPtype,MATCH($F346,rngEPcode,0)),"?"))</f>
        <v/>
      </c>
      <c r="I346" s="17">
        <f>IF($F346="","",IFERROR(INDEX(rngEPseq,MATCH($F346,rngEPcode,0)),""))</f>
        <v/>
      </c>
      <c r="J346" s="17">
        <f>IF($F346="","",IFERROR(INDEX(rngEPpass,MATCH($F346,rngEPcode,0)),cfgPassingScore))</f>
        <v/>
      </c>
      <c r="K346" s="16" t="n"/>
      <c r="L346" s="16" t="n"/>
      <c r="M346" s="17">
        <f>IF($C346="","",IF($L346="","",IF(NOT(ISNUMBER($L346)),$L346,IF(N($K346)&gt;2,"",IF($K346=1,IF(COUNTIFS(nrES_PID,$D346,nrES_Code,$F346,nrES_Att,2,nrES_Raw,"&gt;=0")&gt;0,"",$L346),IF($L346&gt;=$J346,MAX($J346,cfgRetakeRecordedCap),IF(COUNTIFS(nrES_PID,$D346,nrES_Code,$F346,nrES_Att,1)=0,$L346,SUMIFS(nrES_Raw,nrES_PID,$D346,nrES_Code,$F346,nrES_Att,1))))))))</f>
        <v/>
      </c>
      <c r="N346" s="17">
        <f>IF($C346="","",IF($L346="","",IF(NOT(ISNUMBER($L346)),"(not a score)",IF($L346&gt;=$J346,"Yes","No"))))</f>
        <v/>
      </c>
      <c r="O346" s="17">
        <f>IF($C346="","",IF($M346="","",IF(NOT(ISNUMBER($M346)),"(not a score)",IF($M346&gt;=$J346,"Yes","No"))))</f>
        <v/>
      </c>
      <c r="P346" s="17">
        <f>IF($C346="","",IF($K346="","",IF(N($K346)&gt;2,"No",IF(COUNTIFS(nrES_PID,$D346,nrES_Code,$F346,nrES_Att,"&gt;"&amp;$K346,nrES_Att,"&lt;=2",nrES_Raw,"&gt;=0")=0,"Yes","No"))))</f>
        <v/>
      </c>
      <c r="Q346" s="17">
        <f>IF($C346="","",IF($L346="","",IF(AND($K346=1,ISNUMBER($L346),$L346&lt;$J346,COUNTIFS(nrES_PID,$D346,nrES_Code,$F346,nrES_Att,2,nrES_Raw,"&gt;=0")=0),"Yes","No")))</f>
        <v/>
      </c>
      <c r="R346" s="17">
        <f>IF($C346="","",IF($L346="","",IF(AND(N($K346)&gt;=2,ISNUMBER($L346),$L346&lt;$J346),"Yes","No")))</f>
        <v/>
      </c>
      <c r="S346" s="18" t="n"/>
      <c r="T346" s="19">
        <f>IF(OR($C346="",$L346="",$K346&lt;&gt;1,NOT(ISNUMBER($L346)),$L346&gt;=$J346),"",IF($S346="","(enter date)",_xlfn.LET(_xlpm.dn,_xlfn.XLOOKUP($S346,nrCDdate,nrCDnum,"",1),IF(_xlpm.dn="","(after last class day)",_xlfn.LET(_xlpm.dd,_xlfn.XLOOKUP(_xlpm.dn+cfgRetestClassDays,nrCDnum,nrCDdate,""),_xlpm.ok,_xlfn.XLOOKUP(_xlpm.dn+cfgRetestClassDays,nrCDnum,nrCDinsession,"No"),IF(OR(_xlpm.dd="",_xlpm.ok&lt;&gt;"Yes"),"(after last class day)",_xlpm.dd))))))</f>
        <v/>
      </c>
      <c r="U346" s="17">
        <f>IF($C346="","",IF(AND($Y346="Excused",$L346="",N($K346)&lt;=1),"EXCUSED - 1st attempt pending",IF(OR($L346="",$K346&lt;&gt;1,NOT(ISNUMBER($L346)),$L346&gt;=$J346),"",IF(COUNTIFS(nrES_PID,$D346,nrES_Code,$F346,nrES_Att,2,nrES_Raw,"&gt;=0")&gt;0,IF(IFERROR(_xlfn.MINIFS(nrES_Date,nrES_PID,$D346,nrES_Code,$F346,nrES_Att,2,nrES_Raw,"&gt;=0",nrES_Date,"&gt;0"),0)=0,"RETEST UNDATED",IF(NOT(ISNUMBER($T346)),"RETEST DATE UNCHECKED",IF(_xlfn.MINIFS(nrES_Date,nrES_PID,$D346,nrES_Code,$F346,nrES_Att,2,nrES_Raw,"&gt;=0",nrES_Date,"&gt;0")&gt;$T346,"LATE RETEST "&amp;TEXT(_xlfn.MINIFS(nrES_Date,nrES_PID,$D346,nrES_Code,$F346,nrES_Att,2,nrES_Raw,"&gt;=0",nrES_Date,"&gt;0"),"mm/dd")&amp;" (due "&amp;TEXT($T346,"mm/dd")&amp;")","Retested"))),IF(NOT(ISNUMBER($T346)),"CHECK DATE",IF(TODAY()&gt;$T346,"OVERDUE","Due "&amp;TEXT($T346,"mm/dd")))))))</f>
        <v/>
      </c>
      <c r="V346" s="16" t="n"/>
      <c r="W346" s="16" t="n"/>
      <c r="X346" s="17">
        <f>IF($C346="","",IF(AND($L346&lt;&gt;"",NOT(ISNUMBER($L346))),"RAW SCORE NOT A NUMBER",IF(AND(ISNUMBER($L346),OR($L346&lt;0,$L346&gt;100)),"RAW SCORE OUT OF RANGE",IF(AND($Y346="Unexcused",OR($L346="",NOT(ISNUMBER($L346)),$L346&lt;&gt;0)),"UNEXCUSED ABSENCE MUST RECORD 0",IF(COUNTIF(nrES_RecID,$B346)&gt;1,"DUPLICATE RECORD",IF(N($K346)&gt;2,"ATTEMPT 3+ NOT ALLOWED - policy 300.5 permits one retest per exam; this row records nothing",IF(AND($K346=2,COUNTIFS(nrES_PID,$D346,nrES_Code,$F346,nrES_Att,1)=0),"ATTEMPT 2 WITHOUT ATTEMPT 1",IF(AND($K346=2,$L346=""),"RETEST ROW HAS NO SCORE",IF(AND($H346="Final",$L346&lt;&gt;"",IFERROR(INDEX(nrCKfinalExamElig,MATCH($D346,rngCadetPIDs,0)),"")="No"),"FINAL EXAM AFTER FAILED FINAL PT (500.1.H)",IF(AND($K346=2,ISNUMBER($L346),COUNTIFS(nrES_PID,$D346,nrES_Code,$F346,nrES_Att,1)&gt;0,SUMIFS(nrES_Raw,nrES_PID,$D346,nrES_Code,$F346,nrES_Att,1)&gt;=$J346),"RETEST AFTER A PASSING FIRST ATTEMPT","OK"))))))))))</f>
        <v/>
      </c>
      <c r="Y346" s="16" t="n"/>
    </row>
    <row r="347">
      <c r="B347" s="17">
        <f>IF($C347="","",$D347&amp;"-"&amp;$F347&amp;"-"&amp;$K347)</f>
        <v/>
      </c>
      <c r="C347" s="16" t="n"/>
      <c r="D347" s="17">
        <f>IF($C347="","",IFERROR(INDEX(rngCadetPIDs,MATCH($C347,rngCadetNames,0)),"?"))</f>
        <v/>
      </c>
      <c r="E347" s="17">
        <f>IF($D347="","",IFERROR(INDEX(nrCadetAgency,MATCH($D347,rngCadetPIDs,0)),""))</f>
        <v/>
      </c>
      <c r="F347" s="16" t="n"/>
      <c r="G347" s="17">
        <f>IF($F347="","",IFERROR(INDEX(rngEPname,MATCH($F347,rngEPcode,0)),"?"))</f>
        <v/>
      </c>
      <c r="H347" s="17">
        <f>IF($F347="","",IFERROR(INDEX(rngEPtype,MATCH($F347,rngEPcode,0)),"?"))</f>
        <v/>
      </c>
      <c r="I347" s="17">
        <f>IF($F347="","",IFERROR(INDEX(rngEPseq,MATCH($F347,rngEPcode,0)),""))</f>
        <v/>
      </c>
      <c r="J347" s="17">
        <f>IF($F347="","",IFERROR(INDEX(rngEPpass,MATCH($F347,rngEPcode,0)),cfgPassingScore))</f>
        <v/>
      </c>
      <c r="K347" s="16" t="n"/>
      <c r="L347" s="16" t="n"/>
      <c r="M347" s="17">
        <f>IF($C347="","",IF($L347="","",IF(NOT(ISNUMBER($L347)),$L347,IF(N($K347)&gt;2,"",IF($K347=1,IF(COUNTIFS(nrES_PID,$D347,nrES_Code,$F347,nrES_Att,2,nrES_Raw,"&gt;=0")&gt;0,"",$L347),IF($L347&gt;=$J347,MAX($J347,cfgRetakeRecordedCap),IF(COUNTIFS(nrES_PID,$D347,nrES_Code,$F347,nrES_Att,1)=0,$L347,SUMIFS(nrES_Raw,nrES_PID,$D347,nrES_Code,$F347,nrES_Att,1))))))))</f>
        <v/>
      </c>
      <c r="N347" s="17">
        <f>IF($C347="","",IF($L347="","",IF(NOT(ISNUMBER($L347)),"(not a score)",IF($L347&gt;=$J347,"Yes","No"))))</f>
        <v/>
      </c>
      <c r="O347" s="17">
        <f>IF($C347="","",IF($M347="","",IF(NOT(ISNUMBER($M347)),"(not a score)",IF($M347&gt;=$J347,"Yes","No"))))</f>
        <v/>
      </c>
      <c r="P347" s="17">
        <f>IF($C347="","",IF($K347="","",IF(N($K347)&gt;2,"No",IF(COUNTIFS(nrES_PID,$D347,nrES_Code,$F347,nrES_Att,"&gt;"&amp;$K347,nrES_Att,"&lt;=2",nrES_Raw,"&gt;=0")=0,"Yes","No"))))</f>
        <v/>
      </c>
      <c r="Q347" s="17">
        <f>IF($C347="","",IF($L347="","",IF(AND($K347=1,ISNUMBER($L347),$L347&lt;$J347,COUNTIFS(nrES_PID,$D347,nrES_Code,$F347,nrES_Att,2,nrES_Raw,"&gt;=0")=0),"Yes","No")))</f>
        <v/>
      </c>
      <c r="R347" s="17">
        <f>IF($C347="","",IF($L347="","",IF(AND(N($K347)&gt;=2,ISNUMBER($L347),$L347&lt;$J347),"Yes","No")))</f>
        <v/>
      </c>
      <c r="S347" s="18" t="n"/>
      <c r="T347" s="19">
        <f>IF(OR($C347="",$L347="",$K347&lt;&gt;1,NOT(ISNUMBER($L347)),$L347&gt;=$J347),"",IF($S347="","(enter date)",_xlfn.LET(_xlpm.dn,_xlfn.XLOOKUP($S347,nrCDdate,nrCDnum,"",1),IF(_xlpm.dn="","(after last class day)",_xlfn.LET(_xlpm.dd,_xlfn.XLOOKUP(_xlpm.dn+cfgRetestClassDays,nrCDnum,nrCDdate,""),_xlpm.ok,_xlfn.XLOOKUP(_xlpm.dn+cfgRetestClassDays,nrCDnum,nrCDinsession,"No"),IF(OR(_xlpm.dd="",_xlpm.ok&lt;&gt;"Yes"),"(after last class day)",_xlpm.dd))))))</f>
        <v/>
      </c>
      <c r="U347" s="17">
        <f>IF($C347="","",IF(AND($Y347="Excused",$L347="",N($K347)&lt;=1),"EXCUSED - 1st attempt pending",IF(OR($L347="",$K347&lt;&gt;1,NOT(ISNUMBER($L347)),$L347&gt;=$J347),"",IF(COUNTIFS(nrES_PID,$D347,nrES_Code,$F347,nrES_Att,2,nrES_Raw,"&gt;=0")&gt;0,IF(IFERROR(_xlfn.MINIFS(nrES_Date,nrES_PID,$D347,nrES_Code,$F347,nrES_Att,2,nrES_Raw,"&gt;=0",nrES_Date,"&gt;0"),0)=0,"RETEST UNDATED",IF(NOT(ISNUMBER($T347)),"RETEST DATE UNCHECKED",IF(_xlfn.MINIFS(nrES_Date,nrES_PID,$D347,nrES_Code,$F347,nrES_Att,2,nrES_Raw,"&gt;=0",nrES_Date,"&gt;0")&gt;$T347,"LATE RETEST "&amp;TEXT(_xlfn.MINIFS(nrES_Date,nrES_PID,$D347,nrES_Code,$F347,nrES_Att,2,nrES_Raw,"&gt;=0",nrES_Date,"&gt;0"),"mm/dd")&amp;" (due "&amp;TEXT($T347,"mm/dd")&amp;")","Retested"))),IF(NOT(ISNUMBER($T347)),"CHECK DATE",IF(TODAY()&gt;$T347,"OVERDUE","Due "&amp;TEXT($T347,"mm/dd")))))))</f>
        <v/>
      </c>
      <c r="V347" s="16" t="n"/>
      <c r="W347" s="16" t="n"/>
      <c r="X347" s="17">
        <f>IF($C347="","",IF(AND($L347&lt;&gt;"",NOT(ISNUMBER($L347))),"RAW SCORE NOT A NUMBER",IF(AND(ISNUMBER($L347),OR($L347&lt;0,$L347&gt;100)),"RAW SCORE OUT OF RANGE",IF(AND($Y347="Unexcused",OR($L347="",NOT(ISNUMBER($L347)),$L347&lt;&gt;0)),"UNEXCUSED ABSENCE MUST RECORD 0",IF(COUNTIF(nrES_RecID,$B347)&gt;1,"DUPLICATE RECORD",IF(N($K347)&gt;2,"ATTEMPT 3+ NOT ALLOWED - policy 300.5 permits one retest per exam; this row records nothing",IF(AND($K347=2,COUNTIFS(nrES_PID,$D347,nrES_Code,$F347,nrES_Att,1)=0),"ATTEMPT 2 WITHOUT ATTEMPT 1",IF(AND($K347=2,$L347=""),"RETEST ROW HAS NO SCORE",IF(AND($H347="Final",$L347&lt;&gt;"",IFERROR(INDEX(nrCKfinalExamElig,MATCH($D347,rngCadetPIDs,0)),"")="No"),"FINAL EXAM AFTER FAILED FINAL PT (500.1.H)",IF(AND($K347=2,ISNUMBER($L347),COUNTIFS(nrES_PID,$D347,nrES_Code,$F347,nrES_Att,1)&gt;0,SUMIFS(nrES_Raw,nrES_PID,$D347,nrES_Code,$F347,nrES_Att,1)&gt;=$J347),"RETEST AFTER A PASSING FIRST ATTEMPT","OK"))))))))))</f>
        <v/>
      </c>
      <c r="Y347" s="16" t="n"/>
    </row>
    <row r="348">
      <c r="B348" s="17">
        <f>IF($C348="","",$D348&amp;"-"&amp;$F348&amp;"-"&amp;$K348)</f>
        <v/>
      </c>
      <c r="C348" s="16" t="n"/>
      <c r="D348" s="17">
        <f>IF($C348="","",IFERROR(INDEX(rngCadetPIDs,MATCH($C348,rngCadetNames,0)),"?"))</f>
        <v/>
      </c>
      <c r="E348" s="17">
        <f>IF($D348="","",IFERROR(INDEX(nrCadetAgency,MATCH($D348,rngCadetPIDs,0)),""))</f>
        <v/>
      </c>
      <c r="F348" s="16" t="n"/>
      <c r="G348" s="17">
        <f>IF($F348="","",IFERROR(INDEX(rngEPname,MATCH($F348,rngEPcode,0)),"?"))</f>
        <v/>
      </c>
      <c r="H348" s="17">
        <f>IF($F348="","",IFERROR(INDEX(rngEPtype,MATCH($F348,rngEPcode,0)),"?"))</f>
        <v/>
      </c>
      <c r="I348" s="17">
        <f>IF($F348="","",IFERROR(INDEX(rngEPseq,MATCH($F348,rngEPcode,0)),""))</f>
        <v/>
      </c>
      <c r="J348" s="17">
        <f>IF($F348="","",IFERROR(INDEX(rngEPpass,MATCH($F348,rngEPcode,0)),cfgPassingScore))</f>
        <v/>
      </c>
      <c r="K348" s="16" t="n"/>
      <c r="L348" s="16" t="n"/>
      <c r="M348" s="17">
        <f>IF($C348="","",IF($L348="","",IF(NOT(ISNUMBER($L348)),$L348,IF(N($K348)&gt;2,"",IF($K348=1,IF(COUNTIFS(nrES_PID,$D348,nrES_Code,$F348,nrES_Att,2,nrES_Raw,"&gt;=0")&gt;0,"",$L348),IF($L348&gt;=$J348,MAX($J348,cfgRetakeRecordedCap),IF(COUNTIFS(nrES_PID,$D348,nrES_Code,$F348,nrES_Att,1)=0,$L348,SUMIFS(nrES_Raw,nrES_PID,$D348,nrES_Code,$F348,nrES_Att,1))))))))</f>
        <v/>
      </c>
      <c r="N348" s="17">
        <f>IF($C348="","",IF($L348="","",IF(NOT(ISNUMBER($L348)),"(not a score)",IF($L348&gt;=$J348,"Yes","No"))))</f>
        <v/>
      </c>
      <c r="O348" s="17">
        <f>IF($C348="","",IF($M348="","",IF(NOT(ISNUMBER($M348)),"(not a score)",IF($M348&gt;=$J348,"Yes","No"))))</f>
        <v/>
      </c>
      <c r="P348" s="17">
        <f>IF($C348="","",IF($K348="","",IF(N($K348)&gt;2,"No",IF(COUNTIFS(nrES_PID,$D348,nrES_Code,$F348,nrES_Att,"&gt;"&amp;$K348,nrES_Att,"&lt;=2",nrES_Raw,"&gt;=0")=0,"Yes","No"))))</f>
        <v/>
      </c>
      <c r="Q348" s="17">
        <f>IF($C348="","",IF($L348="","",IF(AND($K348=1,ISNUMBER($L348),$L348&lt;$J348,COUNTIFS(nrES_PID,$D348,nrES_Code,$F348,nrES_Att,2,nrES_Raw,"&gt;=0")=0),"Yes","No")))</f>
        <v/>
      </c>
      <c r="R348" s="17">
        <f>IF($C348="","",IF($L348="","",IF(AND(N($K348)&gt;=2,ISNUMBER($L348),$L348&lt;$J348),"Yes","No")))</f>
        <v/>
      </c>
      <c r="S348" s="18" t="n"/>
      <c r="T348" s="19">
        <f>IF(OR($C348="",$L348="",$K348&lt;&gt;1,NOT(ISNUMBER($L348)),$L348&gt;=$J348),"",IF($S348="","(enter date)",_xlfn.LET(_xlpm.dn,_xlfn.XLOOKUP($S348,nrCDdate,nrCDnum,"",1),IF(_xlpm.dn="","(after last class day)",_xlfn.LET(_xlpm.dd,_xlfn.XLOOKUP(_xlpm.dn+cfgRetestClassDays,nrCDnum,nrCDdate,""),_xlpm.ok,_xlfn.XLOOKUP(_xlpm.dn+cfgRetestClassDays,nrCDnum,nrCDinsession,"No"),IF(OR(_xlpm.dd="",_xlpm.ok&lt;&gt;"Yes"),"(after last class day)",_xlpm.dd))))))</f>
        <v/>
      </c>
      <c r="U348" s="17">
        <f>IF($C348="","",IF(AND($Y348="Excused",$L348="",N($K348)&lt;=1),"EXCUSED - 1st attempt pending",IF(OR($L348="",$K348&lt;&gt;1,NOT(ISNUMBER($L348)),$L348&gt;=$J348),"",IF(COUNTIFS(nrES_PID,$D348,nrES_Code,$F348,nrES_Att,2,nrES_Raw,"&gt;=0")&gt;0,IF(IFERROR(_xlfn.MINIFS(nrES_Date,nrES_PID,$D348,nrES_Code,$F348,nrES_Att,2,nrES_Raw,"&gt;=0",nrES_Date,"&gt;0"),0)=0,"RETEST UNDATED",IF(NOT(ISNUMBER($T348)),"RETEST DATE UNCHECKED",IF(_xlfn.MINIFS(nrES_Date,nrES_PID,$D348,nrES_Code,$F348,nrES_Att,2,nrES_Raw,"&gt;=0",nrES_Date,"&gt;0")&gt;$T348,"LATE RETEST "&amp;TEXT(_xlfn.MINIFS(nrES_Date,nrES_PID,$D348,nrES_Code,$F348,nrES_Att,2,nrES_Raw,"&gt;=0",nrES_Date,"&gt;0"),"mm/dd")&amp;" (due "&amp;TEXT($T348,"mm/dd")&amp;")","Retested"))),IF(NOT(ISNUMBER($T348)),"CHECK DATE",IF(TODAY()&gt;$T348,"OVERDUE","Due "&amp;TEXT($T348,"mm/dd")))))))</f>
        <v/>
      </c>
      <c r="V348" s="16" t="n"/>
      <c r="W348" s="16" t="n"/>
      <c r="X348" s="17">
        <f>IF($C348="","",IF(AND($L348&lt;&gt;"",NOT(ISNUMBER($L348))),"RAW SCORE NOT A NUMBER",IF(AND(ISNUMBER($L348),OR($L348&lt;0,$L348&gt;100)),"RAW SCORE OUT OF RANGE",IF(AND($Y348="Unexcused",OR($L348="",NOT(ISNUMBER($L348)),$L348&lt;&gt;0)),"UNEXCUSED ABSENCE MUST RECORD 0",IF(COUNTIF(nrES_RecID,$B348)&gt;1,"DUPLICATE RECORD",IF(N($K348)&gt;2,"ATTEMPT 3+ NOT ALLOWED - policy 300.5 permits one retest per exam; this row records nothing",IF(AND($K348=2,COUNTIFS(nrES_PID,$D348,nrES_Code,$F348,nrES_Att,1)=0),"ATTEMPT 2 WITHOUT ATTEMPT 1",IF(AND($K348=2,$L348=""),"RETEST ROW HAS NO SCORE",IF(AND($H348="Final",$L348&lt;&gt;"",IFERROR(INDEX(nrCKfinalExamElig,MATCH($D348,rngCadetPIDs,0)),"")="No"),"FINAL EXAM AFTER FAILED FINAL PT (500.1.H)",IF(AND($K348=2,ISNUMBER($L348),COUNTIFS(nrES_PID,$D348,nrES_Code,$F348,nrES_Att,1)&gt;0,SUMIFS(nrES_Raw,nrES_PID,$D348,nrES_Code,$F348,nrES_Att,1)&gt;=$J348),"RETEST AFTER A PASSING FIRST ATTEMPT","OK"))))))))))</f>
        <v/>
      </c>
      <c r="Y348" s="16" t="n"/>
    </row>
    <row r="349">
      <c r="B349" s="17">
        <f>IF($C349="","",$D349&amp;"-"&amp;$F349&amp;"-"&amp;$K349)</f>
        <v/>
      </c>
      <c r="C349" s="16" t="n"/>
      <c r="D349" s="17">
        <f>IF($C349="","",IFERROR(INDEX(rngCadetPIDs,MATCH($C349,rngCadetNames,0)),"?"))</f>
        <v/>
      </c>
      <c r="E349" s="17">
        <f>IF($D349="","",IFERROR(INDEX(nrCadetAgency,MATCH($D349,rngCadetPIDs,0)),""))</f>
        <v/>
      </c>
      <c r="F349" s="16" t="n"/>
      <c r="G349" s="17">
        <f>IF($F349="","",IFERROR(INDEX(rngEPname,MATCH($F349,rngEPcode,0)),"?"))</f>
        <v/>
      </c>
      <c r="H349" s="17">
        <f>IF($F349="","",IFERROR(INDEX(rngEPtype,MATCH($F349,rngEPcode,0)),"?"))</f>
        <v/>
      </c>
      <c r="I349" s="17">
        <f>IF($F349="","",IFERROR(INDEX(rngEPseq,MATCH($F349,rngEPcode,0)),""))</f>
        <v/>
      </c>
      <c r="J349" s="17">
        <f>IF($F349="","",IFERROR(INDEX(rngEPpass,MATCH($F349,rngEPcode,0)),cfgPassingScore))</f>
        <v/>
      </c>
      <c r="K349" s="16" t="n"/>
      <c r="L349" s="16" t="n"/>
      <c r="M349" s="17">
        <f>IF($C349="","",IF($L349="","",IF(NOT(ISNUMBER($L349)),$L349,IF(N($K349)&gt;2,"",IF($K349=1,IF(COUNTIFS(nrES_PID,$D349,nrES_Code,$F349,nrES_Att,2,nrES_Raw,"&gt;=0")&gt;0,"",$L349),IF($L349&gt;=$J349,MAX($J349,cfgRetakeRecordedCap),IF(COUNTIFS(nrES_PID,$D349,nrES_Code,$F349,nrES_Att,1)=0,$L349,SUMIFS(nrES_Raw,nrES_PID,$D349,nrES_Code,$F349,nrES_Att,1))))))))</f>
        <v/>
      </c>
      <c r="N349" s="17">
        <f>IF($C349="","",IF($L349="","",IF(NOT(ISNUMBER($L349)),"(not a score)",IF($L349&gt;=$J349,"Yes","No"))))</f>
        <v/>
      </c>
      <c r="O349" s="17">
        <f>IF($C349="","",IF($M349="","",IF(NOT(ISNUMBER($M349)),"(not a score)",IF($M349&gt;=$J349,"Yes","No"))))</f>
        <v/>
      </c>
      <c r="P349" s="17">
        <f>IF($C349="","",IF($K349="","",IF(N($K349)&gt;2,"No",IF(COUNTIFS(nrES_PID,$D349,nrES_Code,$F349,nrES_Att,"&gt;"&amp;$K349,nrES_Att,"&lt;=2",nrES_Raw,"&gt;=0")=0,"Yes","No"))))</f>
        <v/>
      </c>
      <c r="Q349" s="17">
        <f>IF($C349="","",IF($L349="","",IF(AND($K349=1,ISNUMBER($L349),$L349&lt;$J349,COUNTIFS(nrES_PID,$D349,nrES_Code,$F349,nrES_Att,2,nrES_Raw,"&gt;=0")=0),"Yes","No")))</f>
        <v/>
      </c>
      <c r="R349" s="17">
        <f>IF($C349="","",IF($L349="","",IF(AND(N($K349)&gt;=2,ISNUMBER($L349),$L349&lt;$J349),"Yes","No")))</f>
        <v/>
      </c>
      <c r="S349" s="18" t="n"/>
      <c r="T349" s="19">
        <f>IF(OR($C349="",$L349="",$K349&lt;&gt;1,NOT(ISNUMBER($L349)),$L349&gt;=$J349),"",IF($S349="","(enter date)",_xlfn.LET(_xlpm.dn,_xlfn.XLOOKUP($S349,nrCDdate,nrCDnum,"",1),IF(_xlpm.dn="","(after last class day)",_xlfn.LET(_xlpm.dd,_xlfn.XLOOKUP(_xlpm.dn+cfgRetestClassDays,nrCDnum,nrCDdate,""),_xlpm.ok,_xlfn.XLOOKUP(_xlpm.dn+cfgRetestClassDays,nrCDnum,nrCDinsession,"No"),IF(OR(_xlpm.dd="",_xlpm.ok&lt;&gt;"Yes"),"(after last class day)",_xlpm.dd))))))</f>
        <v/>
      </c>
      <c r="U349" s="17">
        <f>IF($C349="","",IF(AND($Y349="Excused",$L349="",N($K349)&lt;=1),"EXCUSED - 1st attempt pending",IF(OR($L349="",$K349&lt;&gt;1,NOT(ISNUMBER($L349)),$L349&gt;=$J349),"",IF(COUNTIFS(nrES_PID,$D349,nrES_Code,$F349,nrES_Att,2,nrES_Raw,"&gt;=0")&gt;0,IF(IFERROR(_xlfn.MINIFS(nrES_Date,nrES_PID,$D349,nrES_Code,$F349,nrES_Att,2,nrES_Raw,"&gt;=0",nrES_Date,"&gt;0"),0)=0,"RETEST UNDATED",IF(NOT(ISNUMBER($T349)),"RETEST DATE UNCHECKED",IF(_xlfn.MINIFS(nrES_Date,nrES_PID,$D349,nrES_Code,$F349,nrES_Att,2,nrES_Raw,"&gt;=0",nrES_Date,"&gt;0")&gt;$T349,"LATE RETEST "&amp;TEXT(_xlfn.MINIFS(nrES_Date,nrES_PID,$D349,nrES_Code,$F349,nrES_Att,2,nrES_Raw,"&gt;=0",nrES_Date,"&gt;0"),"mm/dd")&amp;" (due "&amp;TEXT($T349,"mm/dd")&amp;")","Retested"))),IF(NOT(ISNUMBER($T349)),"CHECK DATE",IF(TODAY()&gt;$T349,"OVERDUE","Due "&amp;TEXT($T349,"mm/dd")))))))</f>
        <v/>
      </c>
      <c r="V349" s="16" t="n"/>
      <c r="W349" s="16" t="n"/>
      <c r="X349" s="17">
        <f>IF($C349="","",IF(AND($L349&lt;&gt;"",NOT(ISNUMBER($L349))),"RAW SCORE NOT A NUMBER",IF(AND(ISNUMBER($L349),OR($L349&lt;0,$L349&gt;100)),"RAW SCORE OUT OF RANGE",IF(AND($Y349="Unexcused",OR($L349="",NOT(ISNUMBER($L349)),$L349&lt;&gt;0)),"UNEXCUSED ABSENCE MUST RECORD 0",IF(COUNTIF(nrES_RecID,$B349)&gt;1,"DUPLICATE RECORD",IF(N($K349)&gt;2,"ATTEMPT 3+ NOT ALLOWED - policy 300.5 permits one retest per exam; this row records nothing",IF(AND($K349=2,COUNTIFS(nrES_PID,$D349,nrES_Code,$F349,nrES_Att,1)=0),"ATTEMPT 2 WITHOUT ATTEMPT 1",IF(AND($K349=2,$L349=""),"RETEST ROW HAS NO SCORE",IF(AND($H349="Final",$L349&lt;&gt;"",IFERROR(INDEX(nrCKfinalExamElig,MATCH($D349,rngCadetPIDs,0)),"")="No"),"FINAL EXAM AFTER FAILED FINAL PT (500.1.H)",IF(AND($K349=2,ISNUMBER($L349),COUNTIFS(nrES_PID,$D349,nrES_Code,$F349,nrES_Att,1)&gt;0,SUMIFS(nrES_Raw,nrES_PID,$D349,nrES_Code,$F349,nrES_Att,1)&gt;=$J349),"RETEST AFTER A PASSING FIRST ATTEMPT","OK"))))))))))</f>
        <v/>
      </c>
      <c r="Y349" s="16" t="n"/>
    </row>
    <row r="350">
      <c r="B350" s="17">
        <f>IF($C350="","",$D350&amp;"-"&amp;$F350&amp;"-"&amp;$K350)</f>
        <v/>
      </c>
      <c r="C350" s="16" t="n"/>
      <c r="D350" s="17">
        <f>IF($C350="","",IFERROR(INDEX(rngCadetPIDs,MATCH($C350,rngCadetNames,0)),"?"))</f>
        <v/>
      </c>
      <c r="E350" s="17">
        <f>IF($D350="","",IFERROR(INDEX(nrCadetAgency,MATCH($D350,rngCadetPIDs,0)),""))</f>
        <v/>
      </c>
      <c r="F350" s="16" t="n"/>
      <c r="G350" s="17">
        <f>IF($F350="","",IFERROR(INDEX(rngEPname,MATCH($F350,rngEPcode,0)),"?"))</f>
        <v/>
      </c>
      <c r="H350" s="17">
        <f>IF($F350="","",IFERROR(INDEX(rngEPtype,MATCH($F350,rngEPcode,0)),"?"))</f>
        <v/>
      </c>
      <c r="I350" s="17">
        <f>IF($F350="","",IFERROR(INDEX(rngEPseq,MATCH($F350,rngEPcode,0)),""))</f>
        <v/>
      </c>
      <c r="J350" s="17">
        <f>IF($F350="","",IFERROR(INDEX(rngEPpass,MATCH($F350,rngEPcode,0)),cfgPassingScore))</f>
        <v/>
      </c>
      <c r="K350" s="16" t="n"/>
      <c r="L350" s="16" t="n"/>
      <c r="M350" s="17">
        <f>IF($C350="","",IF($L350="","",IF(NOT(ISNUMBER($L350)),$L350,IF(N($K350)&gt;2,"",IF($K350=1,IF(COUNTIFS(nrES_PID,$D350,nrES_Code,$F350,nrES_Att,2,nrES_Raw,"&gt;=0")&gt;0,"",$L350),IF($L350&gt;=$J350,MAX($J350,cfgRetakeRecordedCap),IF(COUNTIFS(nrES_PID,$D350,nrES_Code,$F350,nrES_Att,1)=0,$L350,SUMIFS(nrES_Raw,nrES_PID,$D350,nrES_Code,$F350,nrES_Att,1))))))))</f>
        <v/>
      </c>
      <c r="N350" s="17">
        <f>IF($C350="","",IF($L350="","",IF(NOT(ISNUMBER($L350)),"(not a score)",IF($L350&gt;=$J350,"Yes","No"))))</f>
        <v/>
      </c>
      <c r="O350" s="17">
        <f>IF($C350="","",IF($M350="","",IF(NOT(ISNUMBER($M350)),"(not a score)",IF($M350&gt;=$J350,"Yes","No"))))</f>
        <v/>
      </c>
      <c r="P350" s="17">
        <f>IF($C350="","",IF($K350="","",IF(N($K350)&gt;2,"No",IF(COUNTIFS(nrES_PID,$D350,nrES_Code,$F350,nrES_Att,"&gt;"&amp;$K350,nrES_Att,"&lt;=2",nrES_Raw,"&gt;=0")=0,"Yes","No"))))</f>
        <v/>
      </c>
      <c r="Q350" s="17">
        <f>IF($C350="","",IF($L350="","",IF(AND($K350=1,ISNUMBER($L350),$L350&lt;$J350,COUNTIFS(nrES_PID,$D350,nrES_Code,$F350,nrES_Att,2,nrES_Raw,"&gt;=0")=0),"Yes","No")))</f>
        <v/>
      </c>
      <c r="R350" s="17">
        <f>IF($C350="","",IF($L350="","",IF(AND(N($K350)&gt;=2,ISNUMBER($L350),$L350&lt;$J350),"Yes","No")))</f>
        <v/>
      </c>
      <c r="S350" s="18" t="n"/>
      <c r="T350" s="19">
        <f>IF(OR($C350="",$L350="",$K350&lt;&gt;1,NOT(ISNUMBER($L350)),$L350&gt;=$J350),"",IF($S350="","(enter date)",_xlfn.LET(_xlpm.dn,_xlfn.XLOOKUP($S350,nrCDdate,nrCDnum,"",1),IF(_xlpm.dn="","(after last class day)",_xlfn.LET(_xlpm.dd,_xlfn.XLOOKUP(_xlpm.dn+cfgRetestClassDays,nrCDnum,nrCDdate,""),_xlpm.ok,_xlfn.XLOOKUP(_xlpm.dn+cfgRetestClassDays,nrCDnum,nrCDinsession,"No"),IF(OR(_xlpm.dd="",_xlpm.ok&lt;&gt;"Yes"),"(after last class day)",_xlpm.dd))))))</f>
        <v/>
      </c>
      <c r="U350" s="17">
        <f>IF($C350="","",IF(AND($Y350="Excused",$L350="",N($K350)&lt;=1),"EXCUSED - 1st attempt pending",IF(OR($L350="",$K350&lt;&gt;1,NOT(ISNUMBER($L350)),$L350&gt;=$J350),"",IF(COUNTIFS(nrES_PID,$D350,nrES_Code,$F350,nrES_Att,2,nrES_Raw,"&gt;=0")&gt;0,IF(IFERROR(_xlfn.MINIFS(nrES_Date,nrES_PID,$D350,nrES_Code,$F350,nrES_Att,2,nrES_Raw,"&gt;=0",nrES_Date,"&gt;0"),0)=0,"RETEST UNDATED",IF(NOT(ISNUMBER($T350)),"RETEST DATE UNCHECKED",IF(_xlfn.MINIFS(nrES_Date,nrES_PID,$D350,nrES_Code,$F350,nrES_Att,2,nrES_Raw,"&gt;=0",nrES_Date,"&gt;0")&gt;$T350,"LATE RETEST "&amp;TEXT(_xlfn.MINIFS(nrES_Date,nrES_PID,$D350,nrES_Code,$F350,nrES_Att,2,nrES_Raw,"&gt;=0",nrES_Date,"&gt;0"),"mm/dd")&amp;" (due "&amp;TEXT($T350,"mm/dd")&amp;")","Retested"))),IF(NOT(ISNUMBER($T350)),"CHECK DATE",IF(TODAY()&gt;$T350,"OVERDUE","Due "&amp;TEXT($T350,"mm/dd")))))))</f>
        <v/>
      </c>
      <c r="V350" s="16" t="n"/>
      <c r="W350" s="16" t="n"/>
      <c r="X350" s="17">
        <f>IF($C350="","",IF(AND($L350&lt;&gt;"",NOT(ISNUMBER($L350))),"RAW SCORE NOT A NUMBER",IF(AND(ISNUMBER($L350),OR($L350&lt;0,$L350&gt;100)),"RAW SCORE OUT OF RANGE",IF(AND($Y350="Unexcused",OR($L350="",NOT(ISNUMBER($L350)),$L350&lt;&gt;0)),"UNEXCUSED ABSENCE MUST RECORD 0",IF(COUNTIF(nrES_RecID,$B350)&gt;1,"DUPLICATE RECORD",IF(N($K350)&gt;2,"ATTEMPT 3+ NOT ALLOWED - policy 300.5 permits one retest per exam; this row records nothing",IF(AND($K350=2,COUNTIFS(nrES_PID,$D350,nrES_Code,$F350,nrES_Att,1)=0),"ATTEMPT 2 WITHOUT ATTEMPT 1",IF(AND($K350=2,$L350=""),"RETEST ROW HAS NO SCORE",IF(AND($H350="Final",$L350&lt;&gt;"",IFERROR(INDEX(nrCKfinalExamElig,MATCH($D350,rngCadetPIDs,0)),"")="No"),"FINAL EXAM AFTER FAILED FINAL PT (500.1.H)",IF(AND($K350=2,ISNUMBER($L350),COUNTIFS(nrES_PID,$D350,nrES_Code,$F350,nrES_Att,1)&gt;0,SUMIFS(nrES_Raw,nrES_PID,$D350,nrES_Code,$F350,nrES_Att,1)&gt;=$J350),"RETEST AFTER A PASSING FIRST ATTEMPT","OK"))))))))))</f>
        <v/>
      </c>
      <c r="Y350" s="16" t="n"/>
    </row>
    <row r="351">
      <c r="B351" s="17">
        <f>IF($C351="","",$D351&amp;"-"&amp;$F351&amp;"-"&amp;$K351)</f>
        <v/>
      </c>
      <c r="C351" s="16" t="n"/>
      <c r="D351" s="17">
        <f>IF($C351="","",IFERROR(INDEX(rngCadetPIDs,MATCH($C351,rngCadetNames,0)),"?"))</f>
        <v/>
      </c>
      <c r="E351" s="17">
        <f>IF($D351="","",IFERROR(INDEX(nrCadetAgency,MATCH($D351,rngCadetPIDs,0)),""))</f>
        <v/>
      </c>
      <c r="F351" s="16" t="n"/>
      <c r="G351" s="17">
        <f>IF($F351="","",IFERROR(INDEX(rngEPname,MATCH($F351,rngEPcode,0)),"?"))</f>
        <v/>
      </c>
      <c r="H351" s="17">
        <f>IF($F351="","",IFERROR(INDEX(rngEPtype,MATCH($F351,rngEPcode,0)),"?"))</f>
        <v/>
      </c>
      <c r="I351" s="17">
        <f>IF($F351="","",IFERROR(INDEX(rngEPseq,MATCH($F351,rngEPcode,0)),""))</f>
        <v/>
      </c>
      <c r="J351" s="17">
        <f>IF($F351="","",IFERROR(INDEX(rngEPpass,MATCH($F351,rngEPcode,0)),cfgPassingScore))</f>
        <v/>
      </c>
      <c r="K351" s="16" t="n"/>
      <c r="L351" s="16" t="n"/>
      <c r="M351" s="17">
        <f>IF($C351="","",IF($L351="","",IF(NOT(ISNUMBER($L351)),$L351,IF(N($K351)&gt;2,"",IF($K351=1,IF(COUNTIFS(nrES_PID,$D351,nrES_Code,$F351,nrES_Att,2,nrES_Raw,"&gt;=0")&gt;0,"",$L351),IF($L351&gt;=$J351,MAX($J351,cfgRetakeRecordedCap),IF(COUNTIFS(nrES_PID,$D351,nrES_Code,$F351,nrES_Att,1)=0,$L351,SUMIFS(nrES_Raw,nrES_PID,$D351,nrES_Code,$F351,nrES_Att,1))))))))</f>
        <v/>
      </c>
      <c r="N351" s="17">
        <f>IF($C351="","",IF($L351="","",IF(NOT(ISNUMBER($L351)),"(not a score)",IF($L351&gt;=$J351,"Yes","No"))))</f>
        <v/>
      </c>
      <c r="O351" s="17">
        <f>IF($C351="","",IF($M351="","",IF(NOT(ISNUMBER($M351)),"(not a score)",IF($M351&gt;=$J351,"Yes","No"))))</f>
        <v/>
      </c>
      <c r="P351" s="17">
        <f>IF($C351="","",IF($K351="","",IF(N($K351)&gt;2,"No",IF(COUNTIFS(nrES_PID,$D351,nrES_Code,$F351,nrES_Att,"&gt;"&amp;$K351,nrES_Att,"&lt;=2",nrES_Raw,"&gt;=0")=0,"Yes","No"))))</f>
        <v/>
      </c>
      <c r="Q351" s="17">
        <f>IF($C351="","",IF($L351="","",IF(AND($K351=1,ISNUMBER($L351),$L351&lt;$J351,COUNTIFS(nrES_PID,$D351,nrES_Code,$F351,nrES_Att,2,nrES_Raw,"&gt;=0")=0),"Yes","No")))</f>
        <v/>
      </c>
      <c r="R351" s="17">
        <f>IF($C351="","",IF($L351="","",IF(AND(N($K351)&gt;=2,ISNUMBER($L351),$L351&lt;$J351),"Yes","No")))</f>
        <v/>
      </c>
      <c r="S351" s="18" t="n"/>
      <c r="T351" s="19">
        <f>IF(OR($C351="",$L351="",$K351&lt;&gt;1,NOT(ISNUMBER($L351)),$L351&gt;=$J351),"",IF($S351="","(enter date)",_xlfn.LET(_xlpm.dn,_xlfn.XLOOKUP($S351,nrCDdate,nrCDnum,"",1),IF(_xlpm.dn="","(after last class day)",_xlfn.LET(_xlpm.dd,_xlfn.XLOOKUP(_xlpm.dn+cfgRetestClassDays,nrCDnum,nrCDdate,""),_xlpm.ok,_xlfn.XLOOKUP(_xlpm.dn+cfgRetestClassDays,nrCDnum,nrCDinsession,"No"),IF(OR(_xlpm.dd="",_xlpm.ok&lt;&gt;"Yes"),"(after last class day)",_xlpm.dd))))))</f>
        <v/>
      </c>
      <c r="U351" s="17">
        <f>IF($C351="","",IF(AND($Y351="Excused",$L351="",N($K351)&lt;=1),"EXCUSED - 1st attempt pending",IF(OR($L351="",$K351&lt;&gt;1,NOT(ISNUMBER($L351)),$L351&gt;=$J351),"",IF(COUNTIFS(nrES_PID,$D351,nrES_Code,$F351,nrES_Att,2,nrES_Raw,"&gt;=0")&gt;0,IF(IFERROR(_xlfn.MINIFS(nrES_Date,nrES_PID,$D351,nrES_Code,$F351,nrES_Att,2,nrES_Raw,"&gt;=0",nrES_Date,"&gt;0"),0)=0,"RETEST UNDATED",IF(NOT(ISNUMBER($T351)),"RETEST DATE UNCHECKED",IF(_xlfn.MINIFS(nrES_Date,nrES_PID,$D351,nrES_Code,$F351,nrES_Att,2,nrES_Raw,"&gt;=0",nrES_Date,"&gt;0")&gt;$T351,"LATE RETEST "&amp;TEXT(_xlfn.MINIFS(nrES_Date,nrES_PID,$D351,nrES_Code,$F351,nrES_Att,2,nrES_Raw,"&gt;=0",nrES_Date,"&gt;0"),"mm/dd")&amp;" (due "&amp;TEXT($T351,"mm/dd")&amp;")","Retested"))),IF(NOT(ISNUMBER($T351)),"CHECK DATE",IF(TODAY()&gt;$T351,"OVERDUE","Due "&amp;TEXT($T351,"mm/dd")))))))</f>
        <v/>
      </c>
      <c r="V351" s="16" t="n"/>
      <c r="W351" s="16" t="n"/>
      <c r="X351" s="17">
        <f>IF($C351="","",IF(AND($L351&lt;&gt;"",NOT(ISNUMBER($L351))),"RAW SCORE NOT A NUMBER",IF(AND(ISNUMBER($L351),OR($L351&lt;0,$L351&gt;100)),"RAW SCORE OUT OF RANGE",IF(AND($Y351="Unexcused",OR($L351="",NOT(ISNUMBER($L351)),$L351&lt;&gt;0)),"UNEXCUSED ABSENCE MUST RECORD 0",IF(COUNTIF(nrES_RecID,$B351)&gt;1,"DUPLICATE RECORD",IF(N($K351)&gt;2,"ATTEMPT 3+ NOT ALLOWED - policy 300.5 permits one retest per exam; this row records nothing",IF(AND($K351=2,COUNTIFS(nrES_PID,$D351,nrES_Code,$F351,nrES_Att,1)=0),"ATTEMPT 2 WITHOUT ATTEMPT 1",IF(AND($K351=2,$L351=""),"RETEST ROW HAS NO SCORE",IF(AND($H351="Final",$L351&lt;&gt;"",IFERROR(INDEX(nrCKfinalExamElig,MATCH($D351,rngCadetPIDs,0)),"")="No"),"FINAL EXAM AFTER FAILED FINAL PT (500.1.H)",IF(AND($K351=2,ISNUMBER($L351),COUNTIFS(nrES_PID,$D351,nrES_Code,$F351,nrES_Att,1)&gt;0,SUMIFS(nrES_Raw,nrES_PID,$D351,nrES_Code,$F351,nrES_Att,1)&gt;=$J351),"RETEST AFTER A PASSING FIRST ATTEMPT","OK"))))))))))</f>
        <v/>
      </c>
      <c r="Y351" s="16" t="n"/>
    </row>
    <row r="352">
      <c r="B352" s="17">
        <f>IF($C352="","",$D352&amp;"-"&amp;$F352&amp;"-"&amp;$K352)</f>
        <v/>
      </c>
      <c r="C352" s="16" t="n"/>
      <c r="D352" s="17">
        <f>IF($C352="","",IFERROR(INDEX(rngCadetPIDs,MATCH($C352,rngCadetNames,0)),"?"))</f>
        <v/>
      </c>
      <c r="E352" s="17">
        <f>IF($D352="","",IFERROR(INDEX(nrCadetAgency,MATCH($D352,rngCadetPIDs,0)),""))</f>
        <v/>
      </c>
      <c r="F352" s="16" t="n"/>
      <c r="G352" s="17">
        <f>IF($F352="","",IFERROR(INDEX(rngEPname,MATCH($F352,rngEPcode,0)),"?"))</f>
        <v/>
      </c>
      <c r="H352" s="17">
        <f>IF($F352="","",IFERROR(INDEX(rngEPtype,MATCH($F352,rngEPcode,0)),"?"))</f>
        <v/>
      </c>
      <c r="I352" s="17">
        <f>IF($F352="","",IFERROR(INDEX(rngEPseq,MATCH($F352,rngEPcode,0)),""))</f>
        <v/>
      </c>
      <c r="J352" s="17">
        <f>IF($F352="","",IFERROR(INDEX(rngEPpass,MATCH($F352,rngEPcode,0)),cfgPassingScore))</f>
        <v/>
      </c>
      <c r="K352" s="16" t="n"/>
      <c r="L352" s="16" t="n"/>
      <c r="M352" s="17">
        <f>IF($C352="","",IF($L352="","",IF(NOT(ISNUMBER($L352)),$L352,IF(N($K352)&gt;2,"",IF($K352=1,IF(COUNTIFS(nrES_PID,$D352,nrES_Code,$F352,nrES_Att,2,nrES_Raw,"&gt;=0")&gt;0,"",$L352),IF($L352&gt;=$J352,MAX($J352,cfgRetakeRecordedCap),IF(COUNTIFS(nrES_PID,$D352,nrES_Code,$F352,nrES_Att,1)=0,$L352,SUMIFS(nrES_Raw,nrES_PID,$D352,nrES_Code,$F352,nrES_Att,1))))))))</f>
        <v/>
      </c>
      <c r="N352" s="17">
        <f>IF($C352="","",IF($L352="","",IF(NOT(ISNUMBER($L352)),"(not a score)",IF($L352&gt;=$J352,"Yes","No"))))</f>
        <v/>
      </c>
      <c r="O352" s="17">
        <f>IF($C352="","",IF($M352="","",IF(NOT(ISNUMBER($M352)),"(not a score)",IF($M352&gt;=$J352,"Yes","No"))))</f>
        <v/>
      </c>
      <c r="P352" s="17">
        <f>IF($C352="","",IF($K352="","",IF(N($K352)&gt;2,"No",IF(COUNTIFS(nrES_PID,$D352,nrES_Code,$F352,nrES_Att,"&gt;"&amp;$K352,nrES_Att,"&lt;=2",nrES_Raw,"&gt;=0")=0,"Yes","No"))))</f>
        <v/>
      </c>
      <c r="Q352" s="17">
        <f>IF($C352="","",IF($L352="","",IF(AND($K352=1,ISNUMBER($L352),$L352&lt;$J352,COUNTIFS(nrES_PID,$D352,nrES_Code,$F352,nrES_Att,2,nrES_Raw,"&gt;=0")=0),"Yes","No")))</f>
        <v/>
      </c>
      <c r="R352" s="17">
        <f>IF($C352="","",IF($L352="","",IF(AND(N($K352)&gt;=2,ISNUMBER($L352),$L352&lt;$J352),"Yes","No")))</f>
        <v/>
      </c>
      <c r="S352" s="18" t="n"/>
      <c r="T352" s="19">
        <f>IF(OR($C352="",$L352="",$K352&lt;&gt;1,NOT(ISNUMBER($L352)),$L352&gt;=$J352),"",IF($S352="","(enter date)",_xlfn.LET(_xlpm.dn,_xlfn.XLOOKUP($S352,nrCDdate,nrCDnum,"",1),IF(_xlpm.dn="","(after last class day)",_xlfn.LET(_xlpm.dd,_xlfn.XLOOKUP(_xlpm.dn+cfgRetestClassDays,nrCDnum,nrCDdate,""),_xlpm.ok,_xlfn.XLOOKUP(_xlpm.dn+cfgRetestClassDays,nrCDnum,nrCDinsession,"No"),IF(OR(_xlpm.dd="",_xlpm.ok&lt;&gt;"Yes"),"(after last class day)",_xlpm.dd))))))</f>
        <v/>
      </c>
      <c r="U352" s="17">
        <f>IF($C352="","",IF(AND($Y352="Excused",$L352="",N($K352)&lt;=1),"EXCUSED - 1st attempt pending",IF(OR($L352="",$K352&lt;&gt;1,NOT(ISNUMBER($L352)),$L352&gt;=$J352),"",IF(COUNTIFS(nrES_PID,$D352,nrES_Code,$F352,nrES_Att,2,nrES_Raw,"&gt;=0")&gt;0,IF(IFERROR(_xlfn.MINIFS(nrES_Date,nrES_PID,$D352,nrES_Code,$F352,nrES_Att,2,nrES_Raw,"&gt;=0",nrES_Date,"&gt;0"),0)=0,"RETEST UNDATED",IF(NOT(ISNUMBER($T352)),"RETEST DATE UNCHECKED",IF(_xlfn.MINIFS(nrES_Date,nrES_PID,$D352,nrES_Code,$F352,nrES_Att,2,nrES_Raw,"&gt;=0",nrES_Date,"&gt;0")&gt;$T352,"LATE RETEST "&amp;TEXT(_xlfn.MINIFS(nrES_Date,nrES_PID,$D352,nrES_Code,$F352,nrES_Att,2,nrES_Raw,"&gt;=0",nrES_Date,"&gt;0"),"mm/dd")&amp;" (due "&amp;TEXT($T352,"mm/dd")&amp;")","Retested"))),IF(NOT(ISNUMBER($T352)),"CHECK DATE",IF(TODAY()&gt;$T352,"OVERDUE","Due "&amp;TEXT($T352,"mm/dd")))))))</f>
        <v/>
      </c>
      <c r="V352" s="16" t="n"/>
      <c r="W352" s="16" t="n"/>
      <c r="X352" s="17">
        <f>IF($C352="","",IF(AND($L352&lt;&gt;"",NOT(ISNUMBER($L352))),"RAW SCORE NOT A NUMBER",IF(AND(ISNUMBER($L352),OR($L352&lt;0,$L352&gt;100)),"RAW SCORE OUT OF RANGE",IF(AND($Y352="Unexcused",OR($L352="",NOT(ISNUMBER($L352)),$L352&lt;&gt;0)),"UNEXCUSED ABSENCE MUST RECORD 0",IF(COUNTIF(nrES_RecID,$B352)&gt;1,"DUPLICATE RECORD",IF(N($K352)&gt;2,"ATTEMPT 3+ NOT ALLOWED - policy 300.5 permits one retest per exam; this row records nothing",IF(AND($K352=2,COUNTIFS(nrES_PID,$D352,nrES_Code,$F352,nrES_Att,1)=0),"ATTEMPT 2 WITHOUT ATTEMPT 1",IF(AND($K352=2,$L352=""),"RETEST ROW HAS NO SCORE",IF(AND($H352="Final",$L352&lt;&gt;"",IFERROR(INDEX(nrCKfinalExamElig,MATCH($D352,rngCadetPIDs,0)),"")="No"),"FINAL EXAM AFTER FAILED FINAL PT (500.1.H)",IF(AND($K352=2,ISNUMBER($L352),COUNTIFS(nrES_PID,$D352,nrES_Code,$F352,nrES_Att,1)&gt;0,SUMIFS(nrES_Raw,nrES_PID,$D352,nrES_Code,$F352,nrES_Att,1)&gt;=$J352),"RETEST AFTER A PASSING FIRST ATTEMPT","OK"))))))))))</f>
        <v/>
      </c>
      <c r="Y352" s="16" t="n"/>
    </row>
    <row r="353">
      <c r="B353" s="17">
        <f>IF($C353="","",$D353&amp;"-"&amp;$F353&amp;"-"&amp;$K353)</f>
        <v/>
      </c>
      <c r="C353" s="16" t="n"/>
      <c r="D353" s="17">
        <f>IF($C353="","",IFERROR(INDEX(rngCadetPIDs,MATCH($C353,rngCadetNames,0)),"?"))</f>
        <v/>
      </c>
      <c r="E353" s="17">
        <f>IF($D353="","",IFERROR(INDEX(nrCadetAgency,MATCH($D353,rngCadetPIDs,0)),""))</f>
        <v/>
      </c>
      <c r="F353" s="16" t="n"/>
      <c r="G353" s="17">
        <f>IF($F353="","",IFERROR(INDEX(rngEPname,MATCH($F353,rngEPcode,0)),"?"))</f>
        <v/>
      </c>
      <c r="H353" s="17">
        <f>IF($F353="","",IFERROR(INDEX(rngEPtype,MATCH($F353,rngEPcode,0)),"?"))</f>
        <v/>
      </c>
      <c r="I353" s="17">
        <f>IF($F353="","",IFERROR(INDEX(rngEPseq,MATCH($F353,rngEPcode,0)),""))</f>
        <v/>
      </c>
      <c r="J353" s="17">
        <f>IF($F353="","",IFERROR(INDEX(rngEPpass,MATCH($F353,rngEPcode,0)),cfgPassingScore))</f>
        <v/>
      </c>
      <c r="K353" s="16" t="n"/>
      <c r="L353" s="16" t="n"/>
      <c r="M353" s="17">
        <f>IF($C353="","",IF($L353="","",IF(NOT(ISNUMBER($L353)),$L353,IF(N($K353)&gt;2,"",IF($K353=1,IF(COUNTIFS(nrES_PID,$D353,nrES_Code,$F353,nrES_Att,2,nrES_Raw,"&gt;=0")&gt;0,"",$L353),IF($L353&gt;=$J353,MAX($J353,cfgRetakeRecordedCap),IF(COUNTIFS(nrES_PID,$D353,nrES_Code,$F353,nrES_Att,1)=0,$L353,SUMIFS(nrES_Raw,nrES_PID,$D353,nrES_Code,$F353,nrES_Att,1))))))))</f>
        <v/>
      </c>
      <c r="N353" s="17">
        <f>IF($C353="","",IF($L353="","",IF(NOT(ISNUMBER($L353)),"(not a score)",IF($L353&gt;=$J353,"Yes","No"))))</f>
        <v/>
      </c>
      <c r="O353" s="17">
        <f>IF($C353="","",IF($M353="","",IF(NOT(ISNUMBER($M353)),"(not a score)",IF($M353&gt;=$J353,"Yes","No"))))</f>
        <v/>
      </c>
      <c r="P353" s="17">
        <f>IF($C353="","",IF($K353="","",IF(N($K353)&gt;2,"No",IF(COUNTIFS(nrES_PID,$D353,nrES_Code,$F353,nrES_Att,"&gt;"&amp;$K353,nrES_Att,"&lt;=2",nrES_Raw,"&gt;=0")=0,"Yes","No"))))</f>
        <v/>
      </c>
      <c r="Q353" s="17">
        <f>IF($C353="","",IF($L353="","",IF(AND($K353=1,ISNUMBER($L353),$L353&lt;$J353,COUNTIFS(nrES_PID,$D353,nrES_Code,$F353,nrES_Att,2,nrES_Raw,"&gt;=0")=0),"Yes","No")))</f>
        <v/>
      </c>
      <c r="R353" s="17">
        <f>IF($C353="","",IF($L353="","",IF(AND(N($K353)&gt;=2,ISNUMBER($L353),$L353&lt;$J353),"Yes","No")))</f>
        <v/>
      </c>
      <c r="S353" s="18" t="n"/>
      <c r="T353" s="19">
        <f>IF(OR($C353="",$L353="",$K353&lt;&gt;1,NOT(ISNUMBER($L353)),$L353&gt;=$J353),"",IF($S353="","(enter date)",_xlfn.LET(_xlpm.dn,_xlfn.XLOOKUP($S353,nrCDdate,nrCDnum,"",1),IF(_xlpm.dn="","(after last class day)",_xlfn.LET(_xlpm.dd,_xlfn.XLOOKUP(_xlpm.dn+cfgRetestClassDays,nrCDnum,nrCDdate,""),_xlpm.ok,_xlfn.XLOOKUP(_xlpm.dn+cfgRetestClassDays,nrCDnum,nrCDinsession,"No"),IF(OR(_xlpm.dd="",_xlpm.ok&lt;&gt;"Yes"),"(after last class day)",_xlpm.dd))))))</f>
        <v/>
      </c>
      <c r="U353" s="17">
        <f>IF($C353="","",IF(AND($Y353="Excused",$L353="",N($K353)&lt;=1),"EXCUSED - 1st attempt pending",IF(OR($L353="",$K353&lt;&gt;1,NOT(ISNUMBER($L353)),$L353&gt;=$J353),"",IF(COUNTIFS(nrES_PID,$D353,nrES_Code,$F353,nrES_Att,2,nrES_Raw,"&gt;=0")&gt;0,IF(IFERROR(_xlfn.MINIFS(nrES_Date,nrES_PID,$D353,nrES_Code,$F353,nrES_Att,2,nrES_Raw,"&gt;=0",nrES_Date,"&gt;0"),0)=0,"RETEST UNDATED",IF(NOT(ISNUMBER($T353)),"RETEST DATE UNCHECKED",IF(_xlfn.MINIFS(nrES_Date,nrES_PID,$D353,nrES_Code,$F353,nrES_Att,2,nrES_Raw,"&gt;=0",nrES_Date,"&gt;0")&gt;$T353,"LATE RETEST "&amp;TEXT(_xlfn.MINIFS(nrES_Date,nrES_PID,$D353,nrES_Code,$F353,nrES_Att,2,nrES_Raw,"&gt;=0",nrES_Date,"&gt;0"),"mm/dd")&amp;" (due "&amp;TEXT($T353,"mm/dd")&amp;")","Retested"))),IF(NOT(ISNUMBER($T353)),"CHECK DATE",IF(TODAY()&gt;$T353,"OVERDUE","Due "&amp;TEXT($T353,"mm/dd")))))))</f>
        <v/>
      </c>
      <c r="V353" s="16" t="n"/>
      <c r="W353" s="16" t="n"/>
      <c r="X353" s="17">
        <f>IF($C353="","",IF(AND($L353&lt;&gt;"",NOT(ISNUMBER($L353))),"RAW SCORE NOT A NUMBER",IF(AND(ISNUMBER($L353),OR($L353&lt;0,$L353&gt;100)),"RAW SCORE OUT OF RANGE",IF(AND($Y353="Unexcused",OR($L353="",NOT(ISNUMBER($L353)),$L353&lt;&gt;0)),"UNEXCUSED ABSENCE MUST RECORD 0",IF(COUNTIF(nrES_RecID,$B353)&gt;1,"DUPLICATE RECORD",IF(N($K353)&gt;2,"ATTEMPT 3+ NOT ALLOWED - policy 300.5 permits one retest per exam; this row records nothing",IF(AND($K353=2,COUNTIFS(nrES_PID,$D353,nrES_Code,$F353,nrES_Att,1)=0),"ATTEMPT 2 WITHOUT ATTEMPT 1",IF(AND($K353=2,$L353=""),"RETEST ROW HAS NO SCORE",IF(AND($H353="Final",$L353&lt;&gt;"",IFERROR(INDEX(nrCKfinalExamElig,MATCH($D353,rngCadetPIDs,0)),"")="No"),"FINAL EXAM AFTER FAILED FINAL PT (500.1.H)",IF(AND($K353=2,ISNUMBER($L353),COUNTIFS(nrES_PID,$D353,nrES_Code,$F353,nrES_Att,1)&gt;0,SUMIFS(nrES_Raw,nrES_PID,$D353,nrES_Code,$F353,nrES_Att,1)&gt;=$J353),"RETEST AFTER A PASSING FIRST ATTEMPT","OK"))))))))))</f>
        <v/>
      </c>
      <c r="Y353" s="16" t="n"/>
    </row>
    <row r="354">
      <c r="B354" s="17">
        <f>IF($C354="","",$D354&amp;"-"&amp;$F354&amp;"-"&amp;$K354)</f>
        <v/>
      </c>
      <c r="C354" s="16" t="n"/>
      <c r="D354" s="17">
        <f>IF($C354="","",IFERROR(INDEX(rngCadetPIDs,MATCH($C354,rngCadetNames,0)),"?"))</f>
        <v/>
      </c>
      <c r="E354" s="17">
        <f>IF($D354="","",IFERROR(INDEX(nrCadetAgency,MATCH($D354,rngCadetPIDs,0)),""))</f>
        <v/>
      </c>
      <c r="F354" s="16" t="n"/>
      <c r="G354" s="17">
        <f>IF($F354="","",IFERROR(INDEX(rngEPname,MATCH($F354,rngEPcode,0)),"?"))</f>
        <v/>
      </c>
      <c r="H354" s="17">
        <f>IF($F354="","",IFERROR(INDEX(rngEPtype,MATCH($F354,rngEPcode,0)),"?"))</f>
        <v/>
      </c>
      <c r="I354" s="17">
        <f>IF($F354="","",IFERROR(INDEX(rngEPseq,MATCH($F354,rngEPcode,0)),""))</f>
        <v/>
      </c>
      <c r="J354" s="17">
        <f>IF($F354="","",IFERROR(INDEX(rngEPpass,MATCH($F354,rngEPcode,0)),cfgPassingScore))</f>
        <v/>
      </c>
      <c r="K354" s="16" t="n"/>
      <c r="L354" s="16" t="n"/>
      <c r="M354" s="17">
        <f>IF($C354="","",IF($L354="","",IF(NOT(ISNUMBER($L354)),$L354,IF(N($K354)&gt;2,"",IF($K354=1,IF(COUNTIFS(nrES_PID,$D354,nrES_Code,$F354,nrES_Att,2,nrES_Raw,"&gt;=0")&gt;0,"",$L354),IF($L354&gt;=$J354,MAX($J354,cfgRetakeRecordedCap),IF(COUNTIFS(nrES_PID,$D354,nrES_Code,$F354,nrES_Att,1)=0,$L354,SUMIFS(nrES_Raw,nrES_PID,$D354,nrES_Code,$F354,nrES_Att,1))))))))</f>
        <v/>
      </c>
      <c r="N354" s="17">
        <f>IF($C354="","",IF($L354="","",IF(NOT(ISNUMBER($L354)),"(not a score)",IF($L354&gt;=$J354,"Yes","No"))))</f>
        <v/>
      </c>
      <c r="O354" s="17">
        <f>IF($C354="","",IF($M354="","",IF(NOT(ISNUMBER($M354)),"(not a score)",IF($M354&gt;=$J354,"Yes","No"))))</f>
        <v/>
      </c>
      <c r="P354" s="17">
        <f>IF($C354="","",IF($K354="","",IF(N($K354)&gt;2,"No",IF(COUNTIFS(nrES_PID,$D354,nrES_Code,$F354,nrES_Att,"&gt;"&amp;$K354,nrES_Att,"&lt;=2",nrES_Raw,"&gt;=0")=0,"Yes","No"))))</f>
        <v/>
      </c>
      <c r="Q354" s="17">
        <f>IF($C354="","",IF($L354="","",IF(AND($K354=1,ISNUMBER($L354),$L354&lt;$J354,COUNTIFS(nrES_PID,$D354,nrES_Code,$F354,nrES_Att,2,nrES_Raw,"&gt;=0")=0),"Yes","No")))</f>
        <v/>
      </c>
      <c r="R354" s="17">
        <f>IF($C354="","",IF($L354="","",IF(AND(N($K354)&gt;=2,ISNUMBER($L354),$L354&lt;$J354),"Yes","No")))</f>
        <v/>
      </c>
      <c r="S354" s="18" t="n"/>
      <c r="T354" s="19">
        <f>IF(OR($C354="",$L354="",$K354&lt;&gt;1,NOT(ISNUMBER($L354)),$L354&gt;=$J354),"",IF($S354="","(enter date)",_xlfn.LET(_xlpm.dn,_xlfn.XLOOKUP($S354,nrCDdate,nrCDnum,"",1),IF(_xlpm.dn="","(after last class day)",_xlfn.LET(_xlpm.dd,_xlfn.XLOOKUP(_xlpm.dn+cfgRetestClassDays,nrCDnum,nrCDdate,""),_xlpm.ok,_xlfn.XLOOKUP(_xlpm.dn+cfgRetestClassDays,nrCDnum,nrCDinsession,"No"),IF(OR(_xlpm.dd="",_xlpm.ok&lt;&gt;"Yes"),"(after last class day)",_xlpm.dd))))))</f>
        <v/>
      </c>
      <c r="U354" s="17">
        <f>IF($C354="","",IF(AND($Y354="Excused",$L354="",N($K354)&lt;=1),"EXCUSED - 1st attempt pending",IF(OR($L354="",$K354&lt;&gt;1,NOT(ISNUMBER($L354)),$L354&gt;=$J354),"",IF(COUNTIFS(nrES_PID,$D354,nrES_Code,$F354,nrES_Att,2,nrES_Raw,"&gt;=0")&gt;0,IF(IFERROR(_xlfn.MINIFS(nrES_Date,nrES_PID,$D354,nrES_Code,$F354,nrES_Att,2,nrES_Raw,"&gt;=0",nrES_Date,"&gt;0"),0)=0,"RETEST UNDATED",IF(NOT(ISNUMBER($T354)),"RETEST DATE UNCHECKED",IF(_xlfn.MINIFS(nrES_Date,nrES_PID,$D354,nrES_Code,$F354,nrES_Att,2,nrES_Raw,"&gt;=0",nrES_Date,"&gt;0")&gt;$T354,"LATE RETEST "&amp;TEXT(_xlfn.MINIFS(nrES_Date,nrES_PID,$D354,nrES_Code,$F354,nrES_Att,2,nrES_Raw,"&gt;=0",nrES_Date,"&gt;0"),"mm/dd")&amp;" (due "&amp;TEXT($T354,"mm/dd")&amp;")","Retested"))),IF(NOT(ISNUMBER($T354)),"CHECK DATE",IF(TODAY()&gt;$T354,"OVERDUE","Due "&amp;TEXT($T354,"mm/dd")))))))</f>
        <v/>
      </c>
      <c r="V354" s="16" t="n"/>
      <c r="W354" s="16" t="n"/>
      <c r="X354" s="17">
        <f>IF($C354="","",IF(AND($L354&lt;&gt;"",NOT(ISNUMBER($L354))),"RAW SCORE NOT A NUMBER",IF(AND(ISNUMBER($L354),OR($L354&lt;0,$L354&gt;100)),"RAW SCORE OUT OF RANGE",IF(AND($Y354="Unexcused",OR($L354="",NOT(ISNUMBER($L354)),$L354&lt;&gt;0)),"UNEXCUSED ABSENCE MUST RECORD 0",IF(COUNTIF(nrES_RecID,$B354)&gt;1,"DUPLICATE RECORD",IF(N($K354)&gt;2,"ATTEMPT 3+ NOT ALLOWED - policy 300.5 permits one retest per exam; this row records nothing",IF(AND($K354=2,COUNTIFS(nrES_PID,$D354,nrES_Code,$F354,nrES_Att,1)=0),"ATTEMPT 2 WITHOUT ATTEMPT 1",IF(AND($K354=2,$L354=""),"RETEST ROW HAS NO SCORE",IF(AND($H354="Final",$L354&lt;&gt;"",IFERROR(INDEX(nrCKfinalExamElig,MATCH($D354,rngCadetPIDs,0)),"")="No"),"FINAL EXAM AFTER FAILED FINAL PT (500.1.H)",IF(AND($K354=2,ISNUMBER($L354),COUNTIFS(nrES_PID,$D354,nrES_Code,$F354,nrES_Att,1)&gt;0,SUMIFS(nrES_Raw,nrES_PID,$D354,nrES_Code,$F354,nrES_Att,1)&gt;=$J354),"RETEST AFTER A PASSING FIRST ATTEMPT","OK"))))))))))</f>
        <v/>
      </c>
      <c r="Y354" s="16" t="n"/>
    </row>
    <row r="355">
      <c r="B355" s="17">
        <f>IF($C355="","",$D355&amp;"-"&amp;$F355&amp;"-"&amp;$K355)</f>
        <v/>
      </c>
      <c r="C355" s="16" t="n"/>
      <c r="D355" s="17">
        <f>IF($C355="","",IFERROR(INDEX(rngCadetPIDs,MATCH($C355,rngCadetNames,0)),"?"))</f>
        <v/>
      </c>
      <c r="E355" s="17">
        <f>IF($D355="","",IFERROR(INDEX(nrCadetAgency,MATCH($D355,rngCadetPIDs,0)),""))</f>
        <v/>
      </c>
      <c r="F355" s="16" t="n"/>
      <c r="G355" s="17">
        <f>IF($F355="","",IFERROR(INDEX(rngEPname,MATCH($F355,rngEPcode,0)),"?"))</f>
        <v/>
      </c>
      <c r="H355" s="17">
        <f>IF($F355="","",IFERROR(INDEX(rngEPtype,MATCH($F355,rngEPcode,0)),"?"))</f>
        <v/>
      </c>
      <c r="I355" s="17">
        <f>IF($F355="","",IFERROR(INDEX(rngEPseq,MATCH($F355,rngEPcode,0)),""))</f>
        <v/>
      </c>
      <c r="J355" s="17">
        <f>IF($F355="","",IFERROR(INDEX(rngEPpass,MATCH($F355,rngEPcode,0)),cfgPassingScore))</f>
        <v/>
      </c>
      <c r="K355" s="16" t="n"/>
      <c r="L355" s="16" t="n"/>
      <c r="M355" s="17">
        <f>IF($C355="","",IF($L355="","",IF(NOT(ISNUMBER($L355)),$L355,IF(N($K355)&gt;2,"",IF($K355=1,IF(COUNTIFS(nrES_PID,$D355,nrES_Code,$F355,nrES_Att,2,nrES_Raw,"&gt;=0")&gt;0,"",$L355),IF($L355&gt;=$J355,MAX($J355,cfgRetakeRecordedCap),IF(COUNTIFS(nrES_PID,$D355,nrES_Code,$F355,nrES_Att,1)=0,$L355,SUMIFS(nrES_Raw,nrES_PID,$D355,nrES_Code,$F355,nrES_Att,1))))))))</f>
        <v/>
      </c>
      <c r="N355" s="17">
        <f>IF($C355="","",IF($L355="","",IF(NOT(ISNUMBER($L355)),"(not a score)",IF($L355&gt;=$J355,"Yes","No"))))</f>
        <v/>
      </c>
      <c r="O355" s="17">
        <f>IF($C355="","",IF($M355="","",IF(NOT(ISNUMBER($M355)),"(not a score)",IF($M355&gt;=$J355,"Yes","No"))))</f>
        <v/>
      </c>
      <c r="P355" s="17">
        <f>IF($C355="","",IF($K355="","",IF(N($K355)&gt;2,"No",IF(COUNTIFS(nrES_PID,$D355,nrES_Code,$F355,nrES_Att,"&gt;"&amp;$K355,nrES_Att,"&lt;=2",nrES_Raw,"&gt;=0")=0,"Yes","No"))))</f>
        <v/>
      </c>
      <c r="Q355" s="17">
        <f>IF($C355="","",IF($L355="","",IF(AND($K355=1,ISNUMBER($L355),$L355&lt;$J355,COUNTIFS(nrES_PID,$D355,nrES_Code,$F355,nrES_Att,2,nrES_Raw,"&gt;=0")=0),"Yes","No")))</f>
        <v/>
      </c>
      <c r="R355" s="17">
        <f>IF($C355="","",IF($L355="","",IF(AND(N($K355)&gt;=2,ISNUMBER($L355),$L355&lt;$J355),"Yes","No")))</f>
        <v/>
      </c>
      <c r="S355" s="18" t="n"/>
      <c r="T355" s="19">
        <f>IF(OR($C355="",$L355="",$K355&lt;&gt;1,NOT(ISNUMBER($L355)),$L355&gt;=$J355),"",IF($S355="","(enter date)",_xlfn.LET(_xlpm.dn,_xlfn.XLOOKUP($S355,nrCDdate,nrCDnum,"",1),IF(_xlpm.dn="","(after last class day)",_xlfn.LET(_xlpm.dd,_xlfn.XLOOKUP(_xlpm.dn+cfgRetestClassDays,nrCDnum,nrCDdate,""),_xlpm.ok,_xlfn.XLOOKUP(_xlpm.dn+cfgRetestClassDays,nrCDnum,nrCDinsession,"No"),IF(OR(_xlpm.dd="",_xlpm.ok&lt;&gt;"Yes"),"(after last class day)",_xlpm.dd))))))</f>
        <v/>
      </c>
      <c r="U355" s="17">
        <f>IF($C355="","",IF(AND($Y355="Excused",$L355="",N($K355)&lt;=1),"EXCUSED - 1st attempt pending",IF(OR($L355="",$K355&lt;&gt;1,NOT(ISNUMBER($L355)),$L355&gt;=$J355),"",IF(COUNTIFS(nrES_PID,$D355,nrES_Code,$F355,nrES_Att,2,nrES_Raw,"&gt;=0")&gt;0,IF(IFERROR(_xlfn.MINIFS(nrES_Date,nrES_PID,$D355,nrES_Code,$F355,nrES_Att,2,nrES_Raw,"&gt;=0",nrES_Date,"&gt;0"),0)=0,"RETEST UNDATED",IF(NOT(ISNUMBER($T355)),"RETEST DATE UNCHECKED",IF(_xlfn.MINIFS(nrES_Date,nrES_PID,$D355,nrES_Code,$F355,nrES_Att,2,nrES_Raw,"&gt;=0",nrES_Date,"&gt;0")&gt;$T355,"LATE RETEST "&amp;TEXT(_xlfn.MINIFS(nrES_Date,nrES_PID,$D355,nrES_Code,$F355,nrES_Att,2,nrES_Raw,"&gt;=0",nrES_Date,"&gt;0"),"mm/dd")&amp;" (due "&amp;TEXT($T355,"mm/dd")&amp;")","Retested"))),IF(NOT(ISNUMBER($T355)),"CHECK DATE",IF(TODAY()&gt;$T355,"OVERDUE","Due "&amp;TEXT($T355,"mm/dd")))))))</f>
        <v/>
      </c>
      <c r="V355" s="16" t="n"/>
      <c r="W355" s="16" t="n"/>
      <c r="X355" s="17">
        <f>IF($C355="","",IF(AND($L355&lt;&gt;"",NOT(ISNUMBER($L355))),"RAW SCORE NOT A NUMBER",IF(AND(ISNUMBER($L355),OR($L355&lt;0,$L355&gt;100)),"RAW SCORE OUT OF RANGE",IF(AND($Y355="Unexcused",OR($L355="",NOT(ISNUMBER($L355)),$L355&lt;&gt;0)),"UNEXCUSED ABSENCE MUST RECORD 0",IF(COUNTIF(nrES_RecID,$B355)&gt;1,"DUPLICATE RECORD",IF(N($K355)&gt;2,"ATTEMPT 3+ NOT ALLOWED - policy 300.5 permits one retest per exam; this row records nothing",IF(AND($K355=2,COUNTIFS(nrES_PID,$D355,nrES_Code,$F355,nrES_Att,1)=0),"ATTEMPT 2 WITHOUT ATTEMPT 1",IF(AND($K355=2,$L355=""),"RETEST ROW HAS NO SCORE",IF(AND($H355="Final",$L355&lt;&gt;"",IFERROR(INDEX(nrCKfinalExamElig,MATCH($D355,rngCadetPIDs,0)),"")="No"),"FINAL EXAM AFTER FAILED FINAL PT (500.1.H)",IF(AND($K355=2,ISNUMBER($L355),COUNTIFS(nrES_PID,$D355,nrES_Code,$F355,nrES_Att,1)&gt;0,SUMIFS(nrES_Raw,nrES_PID,$D355,nrES_Code,$F355,nrES_Att,1)&gt;=$J355),"RETEST AFTER A PASSING FIRST ATTEMPT","OK"))))))))))</f>
        <v/>
      </c>
      <c r="Y355" s="16" t="n"/>
    </row>
    <row r="356">
      <c r="B356" s="17">
        <f>IF($C356="","",$D356&amp;"-"&amp;$F356&amp;"-"&amp;$K356)</f>
        <v/>
      </c>
      <c r="C356" s="16" t="n"/>
      <c r="D356" s="17">
        <f>IF($C356="","",IFERROR(INDEX(rngCadetPIDs,MATCH($C356,rngCadetNames,0)),"?"))</f>
        <v/>
      </c>
      <c r="E356" s="17">
        <f>IF($D356="","",IFERROR(INDEX(nrCadetAgency,MATCH($D356,rngCadetPIDs,0)),""))</f>
        <v/>
      </c>
      <c r="F356" s="16" t="n"/>
      <c r="G356" s="17">
        <f>IF($F356="","",IFERROR(INDEX(rngEPname,MATCH($F356,rngEPcode,0)),"?"))</f>
        <v/>
      </c>
      <c r="H356" s="17">
        <f>IF($F356="","",IFERROR(INDEX(rngEPtype,MATCH($F356,rngEPcode,0)),"?"))</f>
        <v/>
      </c>
      <c r="I356" s="17">
        <f>IF($F356="","",IFERROR(INDEX(rngEPseq,MATCH($F356,rngEPcode,0)),""))</f>
        <v/>
      </c>
      <c r="J356" s="17">
        <f>IF($F356="","",IFERROR(INDEX(rngEPpass,MATCH($F356,rngEPcode,0)),cfgPassingScore))</f>
        <v/>
      </c>
      <c r="K356" s="16" t="n"/>
      <c r="L356" s="16" t="n"/>
      <c r="M356" s="17">
        <f>IF($C356="","",IF($L356="","",IF(NOT(ISNUMBER($L356)),$L356,IF(N($K356)&gt;2,"",IF($K356=1,IF(COUNTIFS(nrES_PID,$D356,nrES_Code,$F356,nrES_Att,2,nrES_Raw,"&gt;=0")&gt;0,"",$L356),IF($L356&gt;=$J356,MAX($J356,cfgRetakeRecordedCap),IF(COUNTIFS(nrES_PID,$D356,nrES_Code,$F356,nrES_Att,1)=0,$L356,SUMIFS(nrES_Raw,nrES_PID,$D356,nrES_Code,$F356,nrES_Att,1))))))))</f>
        <v/>
      </c>
      <c r="N356" s="17">
        <f>IF($C356="","",IF($L356="","",IF(NOT(ISNUMBER($L356)),"(not a score)",IF($L356&gt;=$J356,"Yes","No"))))</f>
        <v/>
      </c>
      <c r="O356" s="17">
        <f>IF($C356="","",IF($M356="","",IF(NOT(ISNUMBER($M356)),"(not a score)",IF($M356&gt;=$J356,"Yes","No"))))</f>
        <v/>
      </c>
      <c r="P356" s="17">
        <f>IF($C356="","",IF($K356="","",IF(N($K356)&gt;2,"No",IF(COUNTIFS(nrES_PID,$D356,nrES_Code,$F356,nrES_Att,"&gt;"&amp;$K356,nrES_Att,"&lt;=2",nrES_Raw,"&gt;=0")=0,"Yes","No"))))</f>
        <v/>
      </c>
      <c r="Q356" s="17">
        <f>IF($C356="","",IF($L356="","",IF(AND($K356=1,ISNUMBER($L356),$L356&lt;$J356,COUNTIFS(nrES_PID,$D356,nrES_Code,$F356,nrES_Att,2,nrES_Raw,"&gt;=0")=0),"Yes","No")))</f>
        <v/>
      </c>
      <c r="R356" s="17">
        <f>IF($C356="","",IF($L356="","",IF(AND(N($K356)&gt;=2,ISNUMBER($L356),$L356&lt;$J356),"Yes","No")))</f>
        <v/>
      </c>
      <c r="S356" s="18" t="n"/>
      <c r="T356" s="19">
        <f>IF(OR($C356="",$L356="",$K356&lt;&gt;1,NOT(ISNUMBER($L356)),$L356&gt;=$J356),"",IF($S356="","(enter date)",_xlfn.LET(_xlpm.dn,_xlfn.XLOOKUP($S356,nrCDdate,nrCDnum,"",1),IF(_xlpm.dn="","(after last class day)",_xlfn.LET(_xlpm.dd,_xlfn.XLOOKUP(_xlpm.dn+cfgRetestClassDays,nrCDnum,nrCDdate,""),_xlpm.ok,_xlfn.XLOOKUP(_xlpm.dn+cfgRetestClassDays,nrCDnum,nrCDinsession,"No"),IF(OR(_xlpm.dd="",_xlpm.ok&lt;&gt;"Yes"),"(after last class day)",_xlpm.dd))))))</f>
        <v/>
      </c>
      <c r="U356" s="17">
        <f>IF($C356="","",IF(AND($Y356="Excused",$L356="",N($K356)&lt;=1),"EXCUSED - 1st attempt pending",IF(OR($L356="",$K356&lt;&gt;1,NOT(ISNUMBER($L356)),$L356&gt;=$J356),"",IF(COUNTIFS(nrES_PID,$D356,nrES_Code,$F356,nrES_Att,2,nrES_Raw,"&gt;=0")&gt;0,IF(IFERROR(_xlfn.MINIFS(nrES_Date,nrES_PID,$D356,nrES_Code,$F356,nrES_Att,2,nrES_Raw,"&gt;=0",nrES_Date,"&gt;0"),0)=0,"RETEST UNDATED",IF(NOT(ISNUMBER($T356)),"RETEST DATE UNCHECKED",IF(_xlfn.MINIFS(nrES_Date,nrES_PID,$D356,nrES_Code,$F356,nrES_Att,2,nrES_Raw,"&gt;=0",nrES_Date,"&gt;0")&gt;$T356,"LATE RETEST "&amp;TEXT(_xlfn.MINIFS(nrES_Date,nrES_PID,$D356,nrES_Code,$F356,nrES_Att,2,nrES_Raw,"&gt;=0",nrES_Date,"&gt;0"),"mm/dd")&amp;" (due "&amp;TEXT($T356,"mm/dd")&amp;")","Retested"))),IF(NOT(ISNUMBER($T356)),"CHECK DATE",IF(TODAY()&gt;$T356,"OVERDUE","Due "&amp;TEXT($T356,"mm/dd")))))))</f>
        <v/>
      </c>
      <c r="V356" s="16" t="n"/>
      <c r="W356" s="16" t="n"/>
      <c r="X356" s="17">
        <f>IF($C356="","",IF(AND($L356&lt;&gt;"",NOT(ISNUMBER($L356))),"RAW SCORE NOT A NUMBER",IF(AND(ISNUMBER($L356),OR($L356&lt;0,$L356&gt;100)),"RAW SCORE OUT OF RANGE",IF(AND($Y356="Unexcused",OR($L356="",NOT(ISNUMBER($L356)),$L356&lt;&gt;0)),"UNEXCUSED ABSENCE MUST RECORD 0",IF(COUNTIF(nrES_RecID,$B356)&gt;1,"DUPLICATE RECORD",IF(N($K356)&gt;2,"ATTEMPT 3+ NOT ALLOWED - policy 300.5 permits one retest per exam; this row records nothing",IF(AND($K356=2,COUNTIFS(nrES_PID,$D356,nrES_Code,$F356,nrES_Att,1)=0),"ATTEMPT 2 WITHOUT ATTEMPT 1",IF(AND($K356=2,$L356=""),"RETEST ROW HAS NO SCORE",IF(AND($H356="Final",$L356&lt;&gt;"",IFERROR(INDEX(nrCKfinalExamElig,MATCH($D356,rngCadetPIDs,0)),"")="No"),"FINAL EXAM AFTER FAILED FINAL PT (500.1.H)",IF(AND($K356=2,ISNUMBER($L356),COUNTIFS(nrES_PID,$D356,nrES_Code,$F356,nrES_Att,1)&gt;0,SUMIFS(nrES_Raw,nrES_PID,$D356,nrES_Code,$F356,nrES_Att,1)&gt;=$J356),"RETEST AFTER A PASSING FIRST ATTEMPT","OK"))))))))))</f>
        <v/>
      </c>
      <c r="Y356" s="16" t="n"/>
    </row>
    <row r="357">
      <c r="B357" s="17">
        <f>IF($C357="","",$D357&amp;"-"&amp;$F357&amp;"-"&amp;$K357)</f>
        <v/>
      </c>
      <c r="C357" s="16" t="n"/>
      <c r="D357" s="17">
        <f>IF($C357="","",IFERROR(INDEX(rngCadetPIDs,MATCH($C357,rngCadetNames,0)),"?"))</f>
        <v/>
      </c>
      <c r="E357" s="17">
        <f>IF($D357="","",IFERROR(INDEX(nrCadetAgency,MATCH($D357,rngCadetPIDs,0)),""))</f>
        <v/>
      </c>
      <c r="F357" s="16" t="n"/>
      <c r="G357" s="17">
        <f>IF($F357="","",IFERROR(INDEX(rngEPname,MATCH($F357,rngEPcode,0)),"?"))</f>
        <v/>
      </c>
      <c r="H357" s="17">
        <f>IF($F357="","",IFERROR(INDEX(rngEPtype,MATCH($F357,rngEPcode,0)),"?"))</f>
        <v/>
      </c>
      <c r="I357" s="17">
        <f>IF($F357="","",IFERROR(INDEX(rngEPseq,MATCH($F357,rngEPcode,0)),""))</f>
        <v/>
      </c>
      <c r="J357" s="17">
        <f>IF($F357="","",IFERROR(INDEX(rngEPpass,MATCH($F357,rngEPcode,0)),cfgPassingScore))</f>
        <v/>
      </c>
      <c r="K357" s="16" t="n"/>
      <c r="L357" s="16" t="n"/>
      <c r="M357" s="17">
        <f>IF($C357="","",IF($L357="","",IF(NOT(ISNUMBER($L357)),$L357,IF(N($K357)&gt;2,"",IF($K357=1,IF(COUNTIFS(nrES_PID,$D357,nrES_Code,$F357,nrES_Att,2,nrES_Raw,"&gt;=0")&gt;0,"",$L357),IF($L357&gt;=$J357,MAX($J357,cfgRetakeRecordedCap),IF(COUNTIFS(nrES_PID,$D357,nrES_Code,$F357,nrES_Att,1)=0,$L357,SUMIFS(nrES_Raw,nrES_PID,$D357,nrES_Code,$F357,nrES_Att,1))))))))</f>
        <v/>
      </c>
      <c r="N357" s="17">
        <f>IF($C357="","",IF($L357="","",IF(NOT(ISNUMBER($L357)),"(not a score)",IF($L357&gt;=$J357,"Yes","No"))))</f>
        <v/>
      </c>
      <c r="O357" s="17">
        <f>IF($C357="","",IF($M357="","",IF(NOT(ISNUMBER($M357)),"(not a score)",IF($M357&gt;=$J357,"Yes","No"))))</f>
        <v/>
      </c>
      <c r="P357" s="17">
        <f>IF($C357="","",IF($K357="","",IF(N($K357)&gt;2,"No",IF(COUNTIFS(nrES_PID,$D357,nrES_Code,$F357,nrES_Att,"&gt;"&amp;$K357,nrES_Att,"&lt;=2",nrES_Raw,"&gt;=0")=0,"Yes","No"))))</f>
        <v/>
      </c>
      <c r="Q357" s="17">
        <f>IF($C357="","",IF($L357="","",IF(AND($K357=1,ISNUMBER($L357),$L357&lt;$J357,COUNTIFS(nrES_PID,$D357,nrES_Code,$F357,nrES_Att,2,nrES_Raw,"&gt;=0")=0),"Yes","No")))</f>
        <v/>
      </c>
      <c r="R357" s="17">
        <f>IF($C357="","",IF($L357="","",IF(AND(N($K357)&gt;=2,ISNUMBER($L357),$L357&lt;$J357),"Yes","No")))</f>
        <v/>
      </c>
      <c r="S357" s="18" t="n"/>
      <c r="T357" s="19">
        <f>IF(OR($C357="",$L357="",$K357&lt;&gt;1,NOT(ISNUMBER($L357)),$L357&gt;=$J357),"",IF($S357="","(enter date)",_xlfn.LET(_xlpm.dn,_xlfn.XLOOKUP($S357,nrCDdate,nrCDnum,"",1),IF(_xlpm.dn="","(after last class day)",_xlfn.LET(_xlpm.dd,_xlfn.XLOOKUP(_xlpm.dn+cfgRetestClassDays,nrCDnum,nrCDdate,""),_xlpm.ok,_xlfn.XLOOKUP(_xlpm.dn+cfgRetestClassDays,nrCDnum,nrCDinsession,"No"),IF(OR(_xlpm.dd="",_xlpm.ok&lt;&gt;"Yes"),"(after last class day)",_xlpm.dd))))))</f>
        <v/>
      </c>
      <c r="U357" s="17">
        <f>IF($C357="","",IF(AND($Y357="Excused",$L357="",N($K357)&lt;=1),"EXCUSED - 1st attempt pending",IF(OR($L357="",$K357&lt;&gt;1,NOT(ISNUMBER($L357)),$L357&gt;=$J357),"",IF(COUNTIFS(nrES_PID,$D357,nrES_Code,$F357,nrES_Att,2,nrES_Raw,"&gt;=0")&gt;0,IF(IFERROR(_xlfn.MINIFS(nrES_Date,nrES_PID,$D357,nrES_Code,$F357,nrES_Att,2,nrES_Raw,"&gt;=0",nrES_Date,"&gt;0"),0)=0,"RETEST UNDATED",IF(NOT(ISNUMBER($T357)),"RETEST DATE UNCHECKED",IF(_xlfn.MINIFS(nrES_Date,nrES_PID,$D357,nrES_Code,$F357,nrES_Att,2,nrES_Raw,"&gt;=0",nrES_Date,"&gt;0")&gt;$T357,"LATE RETEST "&amp;TEXT(_xlfn.MINIFS(nrES_Date,nrES_PID,$D357,nrES_Code,$F357,nrES_Att,2,nrES_Raw,"&gt;=0",nrES_Date,"&gt;0"),"mm/dd")&amp;" (due "&amp;TEXT($T357,"mm/dd")&amp;")","Retested"))),IF(NOT(ISNUMBER($T357)),"CHECK DATE",IF(TODAY()&gt;$T357,"OVERDUE","Due "&amp;TEXT($T357,"mm/dd")))))))</f>
        <v/>
      </c>
      <c r="V357" s="16" t="n"/>
      <c r="W357" s="16" t="n"/>
      <c r="X357" s="17">
        <f>IF($C357="","",IF(AND($L357&lt;&gt;"",NOT(ISNUMBER($L357))),"RAW SCORE NOT A NUMBER",IF(AND(ISNUMBER($L357),OR($L357&lt;0,$L357&gt;100)),"RAW SCORE OUT OF RANGE",IF(AND($Y357="Unexcused",OR($L357="",NOT(ISNUMBER($L357)),$L357&lt;&gt;0)),"UNEXCUSED ABSENCE MUST RECORD 0",IF(COUNTIF(nrES_RecID,$B357)&gt;1,"DUPLICATE RECORD",IF(N($K357)&gt;2,"ATTEMPT 3+ NOT ALLOWED - policy 300.5 permits one retest per exam; this row records nothing",IF(AND($K357=2,COUNTIFS(nrES_PID,$D357,nrES_Code,$F357,nrES_Att,1)=0),"ATTEMPT 2 WITHOUT ATTEMPT 1",IF(AND($K357=2,$L357=""),"RETEST ROW HAS NO SCORE",IF(AND($H357="Final",$L357&lt;&gt;"",IFERROR(INDEX(nrCKfinalExamElig,MATCH($D357,rngCadetPIDs,0)),"")="No"),"FINAL EXAM AFTER FAILED FINAL PT (500.1.H)",IF(AND($K357=2,ISNUMBER($L357),COUNTIFS(nrES_PID,$D357,nrES_Code,$F357,nrES_Att,1)&gt;0,SUMIFS(nrES_Raw,nrES_PID,$D357,nrES_Code,$F357,nrES_Att,1)&gt;=$J357),"RETEST AFTER A PASSING FIRST ATTEMPT","OK"))))))))))</f>
        <v/>
      </c>
      <c r="Y357" s="16" t="n"/>
    </row>
    <row r="358">
      <c r="B358" s="17">
        <f>IF($C358="","",$D358&amp;"-"&amp;$F358&amp;"-"&amp;$K358)</f>
        <v/>
      </c>
      <c r="C358" s="16" t="n"/>
      <c r="D358" s="17">
        <f>IF($C358="","",IFERROR(INDEX(rngCadetPIDs,MATCH($C358,rngCadetNames,0)),"?"))</f>
        <v/>
      </c>
      <c r="E358" s="17">
        <f>IF($D358="","",IFERROR(INDEX(nrCadetAgency,MATCH($D358,rngCadetPIDs,0)),""))</f>
        <v/>
      </c>
      <c r="F358" s="16" t="n"/>
      <c r="G358" s="17">
        <f>IF($F358="","",IFERROR(INDEX(rngEPname,MATCH($F358,rngEPcode,0)),"?"))</f>
        <v/>
      </c>
      <c r="H358" s="17">
        <f>IF($F358="","",IFERROR(INDEX(rngEPtype,MATCH($F358,rngEPcode,0)),"?"))</f>
        <v/>
      </c>
      <c r="I358" s="17">
        <f>IF($F358="","",IFERROR(INDEX(rngEPseq,MATCH($F358,rngEPcode,0)),""))</f>
        <v/>
      </c>
      <c r="J358" s="17">
        <f>IF($F358="","",IFERROR(INDEX(rngEPpass,MATCH($F358,rngEPcode,0)),cfgPassingScore))</f>
        <v/>
      </c>
      <c r="K358" s="16" t="n"/>
      <c r="L358" s="16" t="n"/>
      <c r="M358" s="17">
        <f>IF($C358="","",IF($L358="","",IF(NOT(ISNUMBER($L358)),$L358,IF(N($K358)&gt;2,"",IF($K358=1,IF(COUNTIFS(nrES_PID,$D358,nrES_Code,$F358,nrES_Att,2,nrES_Raw,"&gt;=0")&gt;0,"",$L358),IF($L358&gt;=$J358,MAX($J358,cfgRetakeRecordedCap),IF(COUNTIFS(nrES_PID,$D358,nrES_Code,$F358,nrES_Att,1)=0,$L358,SUMIFS(nrES_Raw,nrES_PID,$D358,nrES_Code,$F358,nrES_Att,1))))))))</f>
        <v/>
      </c>
      <c r="N358" s="17">
        <f>IF($C358="","",IF($L358="","",IF(NOT(ISNUMBER($L358)),"(not a score)",IF($L358&gt;=$J358,"Yes","No"))))</f>
        <v/>
      </c>
      <c r="O358" s="17">
        <f>IF($C358="","",IF($M358="","",IF(NOT(ISNUMBER($M358)),"(not a score)",IF($M358&gt;=$J358,"Yes","No"))))</f>
        <v/>
      </c>
      <c r="P358" s="17">
        <f>IF($C358="","",IF($K358="","",IF(N($K358)&gt;2,"No",IF(COUNTIFS(nrES_PID,$D358,nrES_Code,$F358,nrES_Att,"&gt;"&amp;$K358,nrES_Att,"&lt;=2",nrES_Raw,"&gt;=0")=0,"Yes","No"))))</f>
        <v/>
      </c>
      <c r="Q358" s="17">
        <f>IF($C358="","",IF($L358="","",IF(AND($K358=1,ISNUMBER($L358),$L358&lt;$J358,COUNTIFS(nrES_PID,$D358,nrES_Code,$F358,nrES_Att,2,nrES_Raw,"&gt;=0")=0),"Yes","No")))</f>
        <v/>
      </c>
      <c r="R358" s="17">
        <f>IF($C358="","",IF($L358="","",IF(AND(N($K358)&gt;=2,ISNUMBER($L358),$L358&lt;$J358),"Yes","No")))</f>
        <v/>
      </c>
      <c r="S358" s="18" t="n"/>
      <c r="T358" s="19">
        <f>IF(OR($C358="",$L358="",$K358&lt;&gt;1,NOT(ISNUMBER($L358)),$L358&gt;=$J358),"",IF($S358="","(enter date)",_xlfn.LET(_xlpm.dn,_xlfn.XLOOKUP($S358,nrCDdate,nrCDnum,"",1),IF(_xlpm.dn="","(after last class day)",_xlfn.LET(_xlpm.dd,_xlfn.XLOOKUP(_xlpm.dn+cfgRetestClassDays,nrCDnum,nrCDdate,""),_xlpm.ok,_xlfn.XLOOKUP(_xlpm.dn+cfgRetestClassDays,nrCDnum,nrCDinsession,"No"),IF(OR(_xlpm.dd="",_xlpm.ok&lt;&gt;"Yes"),"(after last class day)",_xlpm.dd))))))</f>
        <v/>
      </c>
      <c r="U358" s="17">
        <f>IF($C358="","",IF(AND($Y358="Excused",$L358="",N($K358)&lt;=1),"EXCUSED - 1st attempt pending",IF(OR($L358="",$K358&lt;&gt;1,NOT(ISNUMBER($L358)),$L358&gt;=$J358),"",IF(COUNTIFS(nrES_PID,$D358,nrES_Code,$F358,nrES_Att,2,nrES_Raw,"&gt;=0")&gt;0,IF(IFERROR(_xlfn.MINIFS(nrES_Date,nrES_PID,$D358,nrES_Code,$F358,nrES_Att,2,nrES_Raw,"&gt;=0",nrES_Date,"&gt;0"),0)=0,"RETEST UNDATED",IF(NOT(ISNUMBER($T358)),"RETEST DATE UNCHECKED",IF(_xlfn.MINIFS(nrES_Date,nrES_PID,$D358,nrES_Code,$F358,nrES_Att,2,nrES_Raw,"&gt;=0",nrES_Date,"&gt;0")&gt;$T358,"LATE RETEST "&amp;TEXT(_xlfn.MINIFS(nrES_Date,nrES_PID,$D358,nrES_Code,$F358,nrES_Att,2,nrES_Raw,"&gt;=0",nrES_Date,"&gt;0"),"mm/dd")&amp;" (due "&amp;TEXT($T358,"mm/dd")&amp;")","Retested"))),IF(NOT(ISNUMBER($T358)),"CHECK DATE",IF(TODAY()&gt;$T358,"OVERDUE","Due "&amp;TEXT($T358,"mm/dd")))))))</f>
        <v/>
      </c>
      <c r="V358" s="16" t="n"/>
      <c r="W358" s="16" t="n"/>
      <c r="X358" s="17">
        <f>IF($C358="","",IF(AND($L358&lt;&gt;"",NOT(ISNUMBER($L358))),"RAW SCORE NOT A NUMBER",IF(AND(ISNUMBER($L358),OR($L358&lt;0,$L358&gt;100)),"RAW SCORE OUT OF RANGE",IF(AND($Y358="Unexcused",OR($L358="",NOT(ISNUMBER($L358)),$L358&lt;&gt;0)),"UNEXCUSED ABSENCE MUST RECORD 0",IF(COUNTIF(nrES_RecID,$B358)&gt;1,"DUPLICATE RECORD",IF(N($K358)&gt;2,"ATTEMPT 3+ NOT ALLOWED - policy 300.5 permits one retest per exam; this row records nothing",IF(AND($K358=2,COUNTIFS(nrES_PID,$D358,nrES_Code,$F358,nrES_Att,1)=0),"ATTEMPT 2 WITHOUT ATTEMPT 1",IF(AND($K358=2,$L358=""),"RETEST ROW HAS NO SCORE",IF(AND($H358="Final",$L358&lt;&gt;"",IFERROR(INDEX(nrCKfinalExamElig,MATCH($D358,rngCadetPIDs,0)),"")="No"),"FINAL EXAM AFTER FAILED FINAL PT (500.1.H)",IF(AND($K358=2,ISNUMBER($L358),COUNTIFS(nrES_PID,$D358,nrES_Code,$F358,nrES_Att,1)&gt;0,SUMIFS(nrES_Raw,nrES_PID,$D358,nrES_Code,$F358,nrES_Att,1)&gt;=$J358),"RETEST AFTER A PASSING FIRST ATTEMPT","OK"))))))))))</f>
        <v/>
      </c>
      <c r="Y358" s="16" t="n"/>
    </row>
    <row r="359">
      <c r="B359" s="17">
        <f>IF($C359="","",$D359&amp;"-"&amp;$F359&amp;"-"&amp;$K359)</f>
        <v/>
      </c>
      <c r="C359" s="16" t="n"/>
      <c r="D359" s="17">
        <f>IF($C359="","",IFERROR(INDEX(rngCadetPIDs,MATCH($C359,rngCadetNames,0)),"?"))</f>
        <v/>
      </c>
      <c r="E359" s="17">
        <f>IF($D359="","",IFERROR(INDEX(nrCadetAgency,MATCH($D359,rngCadetPIDs,0)),""))</f>
        <v/>
      </c>
      <c r="F359" s="16" t="n"/>
      <c r="G359" s="17">
        <f>IF($F359="","",IFERROR(INDEX(rngEPname,MATCH($F359,rngEPcode,0)),"?"))</f>
        <v/>
      </c>
      <c r="H359" s="17">
        <f>IF($F359="","",IFERROR(INDEX(rngEPtype,MATCH($F359,rngEPcode,0)),"?"))</f>
        <v/>
      </c>
      <c r="I359" s="17">
        <f>IF($F359="","",IFERROR(INDEX(rngEPseq,MATCH($F359,rngEPcode,0)),""))</f>
        <v/>
      </c>
      <c r="J359" s="17">
        <f>IF($F359="","",IFERROR(INDEX(rngEPpass,MATCH($F359,rngEPcode,0)),cfgPassingScore))</f>
        <v/>
      </c>
      <c r="K359" s="16" t="n"/>
      <c r="L359" s="16" t="n"/>
      <c r="M359" s="17">
        <f>IF($C359="","",IF($L359="","",IF(NOT(ISNUMBER($L359)),$L359,IF(N($K359)&gt;2,"",IF($K359=1,IF(COUNTIFS(nrES_PID,$D359,nrES_Code,$F359,nrES_Att,2,nrES_Raw,"&gt;=0")&gt;0,"",$L359),IF($L359&gt;=$J359,MAX($J359,cfgRetakeRecordedCap),IF(COUNTIFS(nrES_PID,$D359,nrES_Code,$F359,nrES_Att,1)=0,$L359,SUMIFS(nrES_Raw,nrES_PID,$D359,nrES_Code,$F359,nrES_Att,1))))))))</f>
        <v/>
      </c>
      <c r="N359" s="17">
        <f>IF($C359="","",IF($L359="","",IF(NOT(ISNUMBER($L359)),"(not a score)",IF($L359&gt;=$J359,"Yes","No"))))</f>
        <v/>
      </c>
      <c r="O359" s="17">
        <f>IF($C359="","",IF($M359="","",IF(NOT(ISNUMBER($M359)),"(not a score)",IF($M359&gt;=$J359,"Yes","No"))))</f>
        <v/>
      </c>
      <c r="P359" s="17">
        <f>IF($C359="","",IF($K359="","",IF(N($K359)&gt;2,"No",IF(COUNTIFS(nrES_PID,$D359,nrES_Code,$F359,nrES_Att,"&gt;"&amp;$K359,nrES_Att,"&lt;=2",nrES_Raw,"&gt;=0")=0,"Yes","No"))))</f>
        <v/>
      </c>
      <c r="Q359" s="17">
        <f>IF($C359="","",IF($L359="","",IF(AND($K359=1,ISNUMBER($L359),$L359&lt;$J359,COUNTIFS(nrES_PID,$D359,nrES_Code,$F359,nrES_Att,2,nrES_Raw,"&gt;=0")=0),"Yes","No")))</f>
        <v/>
      </c>
      <c r="R359" s="17">
        <f>IF($C359="","",IF($L359="","",IF(AND(N($K359)&gt;=2,ISNUMBER($L359),$L359&lt;$J359),"Yes","No")))</f>
        <v/>
      </c>
      <c r="S359" s="18" t="n"/>
      <c r="T359" s="19">
        <f>IF(OR($C359="",$L359="",$K359&lt;&gt;1,NOT(ISNUMBER($L359)),$L359&gt;=$J359),"",IF($S359="","(enter date)",_xlfn.LET(_xlpm.dn,_xlfn.XLOOKUP($S359,nrCDdate,nrCDnum,"",1),IF(_xlpm.dn="","(after last class day)",_xlfn.LET(_xlpm.dd,_xlfn.XLOOKUP(_xlpm.dn+cfgRetestClassDays,nrCDnum,nrCDdate,""),_xlpm.ok,_xlfn.XLOOKUP(_xlpm.dn+cfgRetestClassDays,nrCDnum,nrCDinsession,"No"),IF(OR(_xlpm.dd="",_xlpm.ok&lt;&gt;"Yes"),"(after last class day)",_xlpm.dd))))))</f>
        <v/>
      </c>
      <c r="U359" s="17">
        <f>IF($C359="","",IF(AND($Y359="Excused",$L359="",N($K359)&lt;=1),"EXCUSED - 1st attempt pending",IF(OR($L359="",$K359&lt;&gt;1,NOT(ISNUMBER($L359)),$L359&gt;=$J359),"",IF(COUNTIFS(nrES_PID,$D359,nrES_Code,$F359,nrES_Att,2,nrES_Raw,"&gt;=0")&gt;0,IF(IFERROR(_xlfn.MINIFS(nrES_Date,nrES_PID,$D359,nrES_Code,$F359,nrES_Att,2,nrES_Raw,"&gt;=0",nrES_Date,"&gt;0"),0)=0,"RETEST UNDATED",IF(NOT(ISNUMBER($T359)),"RETEST DATE UNCHECKED",IF(_xlfn.MINIFS(nrES_Date,nrES_PID,$D359,nrES_Code,$F359,nrES_Att,2,nrES_Raw,"&gt;=0",nrES_Date,"&gt;0")&gt;$T359,"LATE RETEST "&amp;TEXT(_xlfn.MINIFS(nrES_Date,nrES_PID,$D359,nrES_Code,$F359,nrES_Att,2,nrES_Raw,"&gt;=0",nrES_Date,"&gt;0"),"mm/dd")&amp;" (due "&amp;TEXT($T359,"mm/dd")&amp;")","Retested"))),IF(NOT(ISNUMBER($T359)),"CHECK DATE",IF(TODAY()&gt;$T359,"OVERDUE","Due "&amp;TEXT($T359,"mm/dd")))))))</f>
        <v/>
      </c>
      <c r="V359" s="16" t="n"/>
      <c r="W359" s="16" t="n"/>
      <c r="X359" s="17">
        <f>IF($C359="","",IF(AND($L359&lt;&gt;"",NOT(ISNUMBER($L359))),"RAW SCORE NOT A NUMBER",IF(AND(ISNUMBER($L359),OR($L359&lt;0,$L359&gt;100)),"RAW SCORE OUT OF RANGE",IF(AND($Y359="Unexcused",OR($L359="",NOT(ISNUMBER($L359)),$L359&lt;&gt;0)),"UNEXCUSED ABSENCE MUST RECORD 0",IF(COUNTIF(nrES_RecID,$B359)&gt;1,"DUPLICATE RECORD",IF(N($K359)&gt;2,"ATTEMPT 3+ NOT ALLOWED - policy 300.5 permits one retest per exam; this row records nothing",IF(AND($K359=2,COUNTIFS(nrES_PID,$D359,nrES_Code,$F359,nrES_Att,1)=0),"ATTEMPT 2 WITHOUT ATTEMPT 1",IF(AND($K359=2,$L359=""),"RETEST ROW HAS NO SCORE",IF(AND($H359="Final",$L359&lt;&gt;"",IFERROR(INDEX(nrCKfinalExamElig,MATCH($D359,rngCadetPIDs,0)),"")="No"),"FINAL EXAM AFTER FAILED FINAL PT (500.1.H)",IF(AND($K359=2,ISNUMBER($L359),COUNTIFS(nrES_PID,$D359,nrES_Code,$F359,nrES_Att,1)&gt;0,SUMIFS(nrES_Raw,nrES_PID,$D359,nrES_Code,$F359,nrES_Att,1)&gt;=$J359),"RETEST AFTER A PASSING FIRST ATTEMPT","OK"))))))))))</f>
        <v/>
      </c>
      <c r="Y359" s="16" t="n"/>
    </row>
    <row r="360">
      <c r="B360" s="17">
        <f>IF($C360="","",$D360&amp;"-"&amp;$F360&amp;"-"&amp;$K360)</f>
        <v/>
      </c>
      <c r="C360" s="16" t="n"/>
      <c r="D360" s="17">
        <f>IF($C360="","",IFERROR(INDEX(rngCadetPIDs,MATCH($C360,rngCadetNames,0)),"?"))</f>
        <v/>
      </c>
      <c r="E360" s="17">
        <f>IF($D360="","",IFERROR(INDEX(nrCadetAgency,MATCH($D360,rngCadetPIDs,0)),""))</f>
        <v/>
      </c>
      <c r="F360" s="16" t="n"/>
      <c r="G360" s="17">
        <f>IF($F360="","",IFERROR(INDEX(rngEPname,MATCH($F360,rngEPcode,0)),"?"))</f>
        <v/>
      </c>
      <c r="H360" s="17">
        <f>IF($F360="","",IFERROR(INDEX(rngEPtype,MATCH($F360,rngEPcode,0)),"?"))</f>
        <v/>
      </c>
      <c r="I360" s="17">
        <f>IF($F360="","",IFERROR(INDEX(rngEPseq,MATCH($F360,rngEPcode,0)),""))</f>
        <v/>
      </c>
      <c r="J360" s="17">
        <f>IF($F360="","",IFERROR(INDEX(rngEPpass,MATCH($F360,rngEPcode,0)),cfgPassingScore))</f>
        <v/>
      </c>
      <c r="K360" s="16" t="n"/>
      <c r="L360" s="16" t="n"/>
      <c r="M360" s="17">
        <f>IF($C360="","",IF($L360="","",IF(NOT(ISNUMBER($L360)),$L360,IF(N($K360)&gt;2,"",IF($K360=1,IF(COUNTIFS(nrES_PID,$D360,nrES_Code,$F360,nrES_Att,2,nrES_Raw,"&gt;=0")&gt;0,"",$L360),IF($L360&gt;=$J360,MAX($J360,cfgRetakeRecordedCap),IF(COUNTIFS(nrES_PID,$D360,nrES_Code,$F360,nrES_Att,1)=0,$L360,SUMIFS(nrES_Raw,nrES_PID,$D360,nrES_Code,$F360,nrES_Att,1))))))))</f>
        <v/>
      </c>
      <c r="N360" s="17">
        <f>IF($C360="","",IF($L360="","",IF(NOT(ISNUMBER($L360)),"(not a score)",IF($L360&gt;=$J360,"Yes","No"))))</f>
        <v/>
      </c>
      <c r="O360" s="17">
        <f>IF($C360="","",IF($M360="","",IF(NOT(ISNUMBER($M360)),"(not a score)",IF($M360&gt;=$J360,"Yes","No"))))</f>
        <v/>
      </c>
      <c r="P360" s="17">
        <f>IF($C360="","",IF($K360="","",IF(N($K360)&gt;2,"No",IF(COUNTIFS(nrES_PID,$D360,nrES_Code,$F360,nrES_Att,"&gt;"&amp;$K360,nrES_Att,"&lt;=2",nrES_Raw,"&gt;=0")=0,"Yes","No"))))</f>
        <v/>
      </c>
      <c r="Q360" s="17">
        <f>IF($C360="","",IF($L360="","",IF(AND($K360=1,ISNUMBER($L360),$L360&lt;$J360,COUNTIFS(nrES_PID,$D360,nrES_Code,$F360,nrES_Att,2,nrES_Raw,"&gt;=0")=0),"Yes","No")))</f>
        <v/>
      </c>
      <c r="R360" s="17">
        <f>IF($C360="","",IF($L360="","",IF(AND(N($K360)&gt;=2,ISNUMBER($L360),$L360&lt;$J360),"Yes","No")))</f>
        <v/>
      </c>
      <c r="S360" s="18" t="n"/>
      <c r="T360" s="19">
        <f>IF(OR($C360="",$L360="",$K360&lt;&gt;1,NOT(ISNUMBER($L360)),$L360&gt;=$J360),"",IF($S360="","(enter date)",_xlfn.LET(_xlpm.dn,_xlfn.XLOOKUP($S360,nrCDdate,nrCDnum,"",1),IF(_xlpm.dn="","(after last class day)",_xlfn.LET(_xlpm.dd,_xlfn.XLOOKUP(_xlpm.dn+cfgRetestClassDays,nrCDnum,nrCDdate,""),_xlpm.ok,_xlfn.XLOOKUP(_xlpm.dn+cfgRetestClassDays,nrCDnum,nrCDinsession,"No"),IF(OR(_xlpm.dd="",_xlpm.ok&lt;&gt;"Yes"),"(after last class day)",_xlpm.dd))))))</f>
        <v/>
      </c>
      <c r="U360" s="17">
        <f>IF($C360="","",IF(AND($Y360="Excused",$L360="",N($K360)&lt;=1),"EXCUSED - 1st attempt pending",IF(OR($L360="",$K360&lt;&gt;1,NOT(ISNUMBER($L360)),$L360&gt;=$J360),"",IF(COUNTIFS(nrES_PID,$D360,nrES_Code,$F360,nrES_Att,2,nrES_Raw,"&gt;=0")&gt;0,IF(IFERROR(_xlfn.MINIFS(nrES_Date,nrES_PID,$D360,nrES_Code,$F360,nrES_Att,2,nrES_Raw,"&gt;=0",nrES_Date,"&gt;0"),0)=0,"RETEST UNDATED",IF(NOT(ISNUMBER($T360)),"RETEST DATE UNCHECKED",IF(_xlfn.MINIFS(nrES_Date,nrES_PID,$D360,nrES_Code,$F360,nrES_Att,2,nrES_Raw,"&gt;=0",nrES_Date,"&gt;0")&gt;$T360,"LATE RETEST "&amp;TEXT(_xlfn.MINIFS(nrES_Date,nrES_PID,$D360,nrES_Code,$F360,nrES_Att,2,nrES_Raw,"&gt;=0",nrES_Date,"&gt;0"),"mm/dd")&amp;" (due "&amp;TEXT($T360,"mm/dd")&amp;")","Retested"))),IF(NOT(ISNUMBER($T360)),"CHECK DATE",IF(TODAY()&gt;$T360,"OVERDUE","Due "&amp;TEXT($T360,"mm/dd")))))))</f>
        <v/>
      </c>
      <c r="V360" s="16" t="n"/>
      <c r="W360" s="16" t="n"/>
      <c r="X360" s="17">
        <f>IF($C360="","",IF(AND($L360&lt;&gt;"",NOT(ISNUMBER($L360))),"RAW SCORE NOT A NUMBER",IF(AND(ISNUMBER($L360),OR($L360&lt;0,$L360&gt;100)),"RAW SCORE OUT OF RANGE",IF(AND($Y360="Unexcused",OR($L360="",NOT(ISNUMBER($L360)),$L360&lt;&gt;0)),"UNEXCUSED ABSENCE MUST RECORD 0",IF(COUNTIF(nrES_RecID,$B360)&gt;1,"DUPLICATE RECORD",IF(N($K360)&gt;2,"ATTEMPT 3+ NOT ALLOWED - policy 300.5 permits one retest per exam; this row records nothing",IF(AND($K360=2,COUNTIFS(nrES_PID,$D360,nrES_Code,$F360,nrES_Att,1)=0),"ATTEMPT 2 WITHOUT ATTEMPT 1",IF(AND($K360=2,$L360=""),"RETEST ROW HAS NO SCORE",IF(AND($H360="Final",$L360&lt;&gt;"",IFERROR(INDEX(nrCKfinalExamElig,MATCH($D360,rngCadetPIDs,0)),"")="No"),"FINAL EXAM AFTER FAILED FINAL PT (500.1.H)",IF(AND($K360=2,ISNUMBER($L360),COUNTIFS(nrES_PID,$D360,nrES_Code,$F360,nrES_Att,1)&gt;0,SUMIFS(nrES_Raw,nrES_PID,$D360,nrES_Code,$F360,nrES_Att,1)&gt;=$J360),"RETEST AFTER A PASSING FIRST ATTEMPT","OK"))))))))))</f>
        <v/>
      </c>
      <c r="Y360" s="16" t="n"/>
    </row>
    <row r="361">
      <c r="B361" s="17">
        <f>IF($C361="","",$D361&amp;"-"&amp;$F361&amp;"-"&amp;$K361)</f>
        <v/>
      </c>
      <c r="C361" s="16" t="n"/>
      <c r="D361" s="17">
        <f>IF($C361="","",IFERROR(INDEX(rngCadetPIDs,MATCH($C361,rngCadetNames,0)),"?"))</f>
        <v/>
      </c>
      <c r="E361" s="17">
        <f>IF($D361="","",IFERROR(INDEX(nrCadetAgency,MATCH($D361,rngCadetPIDs,0)),""))</f>
        <v/>
      </c>
      <c r="F361" s="16" t="n"/>
      <c r="G361" s="17">
        <f>IF($F361="","",IFERROR(INDEX(rngEPname,MATCH($F361,rngEPcode,0)),"?"))</f>
        <v/>
      </c>
      <c r="H361" s="17">
        <f>IF($F361="","",IFERROR(INDEX(rngEPtype,MATCH($F361,rngEPcode,0)),"?"))</f>
        <v/>
      </c>
      <c r="I361" s="17">
        <f>IF($F361="","",IFERROR(INDEX(rngEPseq,MATCH($F361,rngEPcode,0)),""))</f>
        <v/>
      </c>
      <c r="J361" s="17">
        <f>IF($F361="","",IFERROR(INDEX(rngEPpass,MATCH($F361,rngEPcode,0)),cfgPassingScore))</f>
        <v/>
      </c>
      <c r="K361" s="16" t="n"/>
      <c r="L361" s="16" t="n"/>
      <c r="M361" s="17">
        <f>IF($C361="","",IF($L361="","",IF(NOT(ISNUMBER($L361)),$L361,IF(N($K361)&gt;2,"",IF($K361=1,IF(COUNTIFS(nrES_PID,$D361,nrES_Code,$F361,nrES_Att,2,nrES_Raw,"&gt;=0")&gt;0,"",$L361),IF($L361&gt;=$J361,MAX($J361,cfgRetakeRecordedCap),IF(COUNTIFS(nrES_PID,$D361,nrES_Code,$F361,nrES_Att,1)=0,$L361,SUMIFS(nrES_Raw,nrES_PID,$D361,nrES_Code,$F361,nrES_Att,1))))))))</f>
        <v/>
      </c>
      <c r="N361" s="17">
        <f>IF($C361="","",IF($L361="","",IF(NOT(ISNUMBER($L361)),"(not a score)",IF($L361&gt;=$J361,"Yes","No"))))</f>
        <v/>
      </c>
      <c r="O361" s="17">
        <f>IF($C361="","",IF($M361="","",IF(NOT(ISNUMBER($M361)),"(not a score)",IF($M361&gt;=$J361,"Yes","No"))))</f>
        <v/>
      </c>
      <c r="P361" s="17">
        <f>IF($C361="","",IF($K361="","",IF(N($K361)&gt;2,"No",IF(COUNTIFS(nrES_PID,$D361,nrES_Code,$F361,nrES_Att,"&gt;"&amp;$K361,nrES_Att,"&lt;=2",nrES_Raw,"&gt;=0")=0,"Yes","No"))))</f>
        <v/>
      </c>
      <c r="Q361" s="17">
        <f>IF($C361="","",IF($L361="","",IF(AND($K361=1,ISNUMBER($L361),$L361&lt;$J361,COUNTIFS(nrES_PID,$D361,nrES_Code,$F361,nrES_Att,2,nrES_Raw,"&gt;=0")=0),"Yes","No")))</f>
        <v/>
      </c>
      <c r="R361" s="17">
        <f>IF($C361="","",IF($L361="","",IF(AND(N($K361)&gt;=2,ISNUMBER($L361),$L361&lt;$J361),"Yes","No")))</f>
        <v/>
      </c>
      <c r="S361" s="18" t="n"/>
      <c r="T361" s="19">
        <f>IF(OR($C361="",$L361="",$K361&lt;&gt;1,NOT(ISNUMBER($L361)),$L361&gt;=$J361),"",IF($S361="","(enter date)",_xlfn.LET(_xlpm.dn,_xlfn.XLOOKUP($S361,nrCDdate,nrCDnum,"",1),IF(_xlpm.dn="","(after last class day)",_xlfn.LET(_xlpm.dd,_xlfn.XLOOKUP(_xlpm.dn+cfgRetestClassDays,nrCDnum,nrCDdate,""),_xlpm.ok,_xlfn.XLOOKUP(_xlpm.dn+cfgRetestClassDays,nrCDnum,nrCDinsession,"No"),IF(OR(_xlpm.dd="",_xlpm.ok&lt;&gt;"Yes"),"(after last class day)",_xlpm.dd))))))</f>
        <v/>
      </c>
      <c r="U361" s="17">
        <f>IF($C361="","",IF(AND($Y361="Excused",$L361="",N($K361)&lt;=1),"EXCUSED - 1st attempt pending",IF(OR($L361="",$K361&lt;&gt;1,NOT(ISNUMBER($L361)),$L361&gt;=$J361),"",IF(COUNTIFS(nrES_PID,$D361,nrES_Code,$F361,nrES_Att,2,nrES_Raw,"&gt;=0")&gt;0,IF(IFERROR(_xlfn.MINIFS(nrES_Date,nrES_PID,$D361,nrES_Code,$F361,nrES_Att,2,nrES_Raw,"&gt;=0",nrES_Date,"&gt;0"),0)=0,"RETEST UNDATED",IF(NOT(ISNUMBER($T361)),"RETEST DATE UNCHECKED",IF(_xlfn.MINIFS(nrES_Date,nrES_PID,$D361,nrES_Code,$F361,nrES_Att,2,nrES_Raw,"&gt;=0",nrES_Date,"&gt;0")&gt;$T361,"LATE RETEST "&amp;TEXT(_xlfn.MINIFS(nrES_Date,nrES_PID,$D361,nrES_Code,$F361,nrES_Att,2,nrES_Raw,"&gt;=0",nrES_Date,"&gt;0"),"mm/dd")&amp;" (due "&amp;TEXT($T361,"mm/dd")&amp;")","Retested"))),IF(NOT(ISNUMBER($T361)),"CHECK DATE",IF(TODAY()&gt;$T361,"OVERDUE","Due "&amp;TEXT($T361,"mm/dd")))))))</f>
        <v/>
      </c>
      <c r="V361" s="16" t="n"/>
      <c r="W361" s="16" t="n"/>
      <c r="X361" s="17">
        <f>IF($C361="","",IF(AND($L361&lt;&gt;"",NOT(ISNUMBER($L361))),"RAW SCORE NOT A NUMBER",IF(AND(ISNUMBER($L361),OR($L361&lt;0,$L361&gt;100)),"RAW SCORE OUT OF RANGE",IF(AND($Y361="Unexcused",OR($L361="",NOT(ISNUMBER($L361)),$L361&lt;&gt;0)),"UNEXCUSED ABSENCE MUST RECORD 0",IF(COUNTIF(nrES_RecID,$B361)&gt;1,"DUPLICATE RECORD",IF(N($K361)&gt;2,"ATTEMPT 3+ NOT ALLOWED - policy 300.5 permits one retest per exam; this row records nothing",IF(AND($K361=2,COUNTIFS(nrES_PID,$D361,nrES_Code,$F361,nrES_Att,1)=0),"ATTEMPT 2 WITHOUT ATTEMPT 1",IF(AND($K361=2,$L361=""),"RETEST ROW HAS NO SCORE",IF(AND($H361="Final",$L361&lt;&gt;"",IFERROR(INDEX(nrCKfinalExamElig,MATCH($D361,rngCadetPIDs,0)),"")="No"),"FINAL EXAM AFTER FAILED FINAL PT (500.1.H)",IF(AND($K361=2,ISNUMBER($L361),COUNTIFS(nrES_PID,$D361,nrES_Code,$F361,nrES_Att,1)&gt;0,SUMIFS(nrES_Raw,nrES_PID,$D361,nrES_Code,$F361,nrES_Att,1)&gt;=$J361),"RETEST AFTER A PASSING FIRST ATTEMPT","OK"))))))))))</f>
        <v/>
      </c>
      <c r="Y361" s="16" t="n"/>
    </row>
    <row r="362">
      <c r="B362" s="17">
        <f>IF($C362="","",$D362&amp;"-"&amp;$F362&amp;"-"&amp;$K362)</f>
        <v/>
      </c>
      <c r="C362" s="16" t="n"/>
      <c r="D362" s="17">
        <f>IF($C362="","",IFERROR(INDEX(rngCadetPIDs,MATCH($C362,rngCadetNames,0)),"?"))</f>
        <v/>
      </c>
      <c r="E362" s="17">
        <f>IF($D362="","",IFERROR(INDEX(nrCadetAgency,MATCH($D362,rngCadetPIDs,0)),""))</f>
        <v/>
      </c>
      <c r="F362" s="16" t="n"/>
      <c r="G362" s="17">
        <f>IF($F362="","",IFERROR(INDEX(rngEPname,MATCH($F362,rngEPcode,0)),"?"))</f>
        <v/>
      </c>
      <c r="H362" s="17">
        <f>IF($F362="","",IFERROR(INDEX(rngEPtype,MATCH($F362,rngEPcode,0)),"?"))</f>
        <v/>
      </c>
      <c r="I362" s="17">
        <f>IF($F362="","",IFERROR(INDEX(rngEPseq,MATCH($F362,rngEPcode,0)),""))</f>
        <v/>
      </c>
      <c r="J362" s="17">
        <f>IF($F362="","",IFERROR(INDEX(rngEPpass,MATCH($F362,rngEPcode,0)),cfgPassingScore))</f>
        <v/>
      </c>
      <c r="K362" s="16" t="n"/>
      <c r="L362" s="16" t="n"/>
      <c r="M362" s="17">
        <f>IF($C362="","",IF($L362="","",IF(NOT(ISNUMBER($L362)),$L362,IF(N($K362)&gt;2,"",IF($K362=1,IF(COUNTIFS(nrES_PID,$D362,nrES_Code,$F362,nrES_Att,2,nrES_Raw,"&gt;=0")&gt;0,"",$L362),IF($L362&gt;=$J362,MAX($J362,cfgRetakeRecordedCap),IF(COUNTIFS(nrES_PID,$D362,nrES_Code,$F362,nrES_Att,1)=0,$L362,SUMIFS(nrES_Raw,nrES_PID,$D362,nrES_Code,$F362,nrES_Att,1))))))))</f>
        <v/>
      </c>
      <c r="N362" s="17">
        <f>IF($C362="","",IF($L362="","",IF(NOT(ISNUMBER($L362)),"(not a score)",IF($L362&gt;=$J362,"Yes","No"))))</f>
        <v/>
      </c>
      <c r="O362" s="17">
        <f>IF($C362="","",IF($M362="","",IF(NOT(ISNUMBER($M362)),"(not a score)",IF($M362&gt;=$J362,"Yes","No"))))</f>
        <v/>
      </c>
      <c r="P362" s="17">
        <f>IF($C362="","",IF($K362="","",IF(N($K362)&gt;2,"No",IF(COUNTIFS(nrES_PID,$D362,nrES_Code,$F362,nrES_Att,"&gt;"&amp;$K362,nrES_Att,"&lt;=2",nrES_Raw,"&gt;=0")=0,"Yes","No"))))</f>
        <v/>
      </c>
      <c r="Q362" s="17">
        <f>IF($C362="","",IF($L362="","",IF(AND($K362=1,ISNUMBER($L362),$L362&lt;$J362,COUNTIFS(nrES_PID,$D362,nrES_Code,$F362,nrES_Att,2,nrES_Raw,"&gt;=0")=0),"Yes","No")))</f>
        <v/>
      </c>
      <c r="R362" s="17">
        <f>IF($C362="","",IF($L362="","",IF(AND(N($K362)&gt;=2,ISNUMBER($L362),$L362&lt;$J362),"Yes","No")))</f>
        <v/>
      </c>
      <c r="S362" s="18" t="n"/>
      <c r="T362" s="19">
        <f>IF(OR($C362="",$L362="",$K362&lt;&gt;1,NOT(ISNUMBER($L362)),$L362&gt;=$J362),"",IF($S362="","(enter date)",_xlfn.LET(_xlpm.dn,_xlfn.XLOOKUP($S362,nrCDdate,nrCDnum,"",1),IF(_xlpm.dn="","(after last class day)",_xlfn.LET(_xlpm.dd,_xlfn.XLOOKUP(_xlpm.dn+cfgRetestClassDays,nrCDnum,nrCDdate,""),_xlpm.ok,_xlfn.XLOOKUP(_xlpm.dn+cfgRetestClassDays,nrCDnum,nrCDinsession,"No"),IF(OR(_xlpm.dd="",_xlpm.ok&lt;&gt;"Yes"),"(after last class day)",_xlpm.dd))))))</f>
        <v/>
      </c>
      <c r="U362" s="17">
        <f>IF($C362="","",IF(AND($Y362="Excused",$L362="",N($K362)&lt;=1),"EXCUSED - 1st attempt pending",IF(OR($L362="",$K362&lt;&gt;1,NOT(ISNUMBER($L362)),$L362&gt;=$J362),"",IF(COUNTIFS(nrES_PID,$D362,nrES_Code,$F362,nrES_Att,2,nrES_Raw,"&gt;=0")&gt;0,IF(IFERROR(_xlfn.MINIFS(nrES_Date,nrES_PID,$D362,nrES_Code,$F362,nrES_Att,2,nrES_Raw,"&gt;=0",nrES_Date,"&gt;0"),0)=0,"RETEST UNDATED",IF(NOT(ISNUMBER($T362)),"RETEST DATE UNCHECKED",IF(_xlfn.MINIFS(nrES_Date,nrES_PID,$D362,nrES_Code,$F362,nrES_Att,2,nrES_Raw,"&gt;=0",nrES_Date,"&gt;0")&gt;$T362,"LATE RETEST "&amp;TEXT(_xlfn.MINIFS(nrES_Date,nrES_PID,$D362,nrES_Code,$F362,nrES_Att,2,nrES_Raw,"&gt;=0",nrES_Date,"&gt;0"),"mm/dd")&amp;" (due "&amp;TEXT($T362,"mm/dd")&amp;")","Retested"))),IF(NOT(ISNUMBER($T362)),"CHECK DATE",IF(TODAY()&gt;$T362,"OVERDUE","Due "&amp;TEXT($T362,"mm/dd")))))))</f>
        <v/>
      </c>
      <c r="V362" s="16" t="n"/>
      <c r="W362" s="16" t="n"/>
      <c r="X362" s="17">
        <f>IF($C362="","",IF(AND($L362&lt;&gt;"",NOT(ISNUMBER($L362))),"RAW SCORE NOT A NUMBER",IF(AND(ISNUMBER($L362),OR($L362&lt;0,$L362&gt;100)),"RAW SCORE OUT OF RANGE",IF(AND($Y362="Unexcused",OR($L362="",NOT(ISNUMBER($L362)),$L362&lt;&gt;0)),"UNEXCUSED ABSENCE MUST RECORD 0",IF(COUNTIF(nrES_RecID,$B362)&gt;1,"DUPLICATE RECORD",IF(N($K362)&gt;2,"ATTEMPT 3+ NOT ALLOWED - policy 300.5 permits one retest per exam; this row records nothing",IF(AND($K362=2,COUNTIFS(nrES_PID,$D362,nrES_Code,$F362,nrES_Att,1)=0),"ATTEMPT 2 WITHOUT ATTEMPT 1",IF(AND($K362=2,$L362=""),"RETEST ROW HAS NO SCORE",IF(AND($H362="Final",$L362&lt;&gt;"",IFERROR(INDEX(nrCKfinalExamElig,MATCH($D362,rngCadetPIDs,0)),"")="No"),"FINAL EXAM AFTER FAILED FINAL PT (500.1.H)",IF(AND($K362=2,ISNUMBER($L362),COUNTIFS(nrES_PID,$D362,nrES_Code,$F362,nrES_Att,1)&gt;0,SUMIFS(nrES_Raw,nrES_PID,$D362,nrES_Code,$F362,nrES_Att,1)&gt;=$J362),"RETEST AFTER A PASSING FIRST ATTEMPT","OK"))))))))))</f>
        <v/>
      </c>
      <c r="Y362" s="16" t="n"/>
    </row>
    <row r="363">
      <c r="B363" s="17">
        <f>IF($C363="","",$D363&amp;"-"&amp;$F363&amp;"-"&amp;$K363)</f>
        <v/>
      </c>
      <c r="C363" s="16" t="n"/>
      <c r="D363" s="17">
        <f>IF($C363="","",IFERROR(INDEX(rngCadetPIDs,MATCH($C363,rngCadetNames,0)),"?"))</f>
        <v/>
      </c>
      <c r="E363" s="17">
        <f>IF($D363="","",IFERROR(INDEX(nrCadetAgency,MATCH($D363,rngCadetPIDs,0)),""))</f>
        <v/>
      </c>
      <c r="F363" s="16" t="n"/>
      <c r="G363" s="17">
        <f>IF($F363="","",IFERROR(INDEX(rngEPname,MATCH($F363,rngEPcode,0)),"?"))</f>
        <v/>
      </c>
      <c r="H363" s="17">
        <f>IF($F363="","",IFERROR(INDEX(rngEPtype,MATCH($F363,rngEPcode,0)),"?"))</f>
        <v/>
      </c>
      <c r="I363" s="17">
        <f>IF($F363="","",IFERROR(INDEX(rngEPseq,MATCH($F363,rngEPcode,0)),""))</f>
        <v/>
      </c>
      <c r="J363" s="17">
        <f>IF($F363="","",IFERROR(INDEX(rngEPpass,MATCH($F363,rngEPcode,0)),cfgPassingScore))</f>
        <v/>
      </c>
      <c r="K363" s="16" t="n"/>
      <c r="L363" s="16" t="n"/>
      <c r="M363" s="17">
        <f>IF($C363="","",IF($L363="","",IF(NOT(ISNUMBER($L363)),$L363,IF(N($K363)&gt;2,"",IF($K363=1,IF(COUNTIFS(nrES_PID,$D363,nrES_Code,$F363,nrES_Att,2,nrES_Raw,"&gt;=0")&gt;0,"",$L363),IF($L363&gt;=$J363,MAX($J363,cfgRetakeRecordedCap),IF(COUNTIFS(nrES_PID,$D363,nrES_Code,$F363,nrES_Att,1)=0,$L363,SUMIFS(nrES_Raw,nrES_PID,$D363,nrES_Code,$F363,nrES_Att,1))))))))</f>
        <v/>
      </c>
      <c r="N363" s="17">
        <f>IF($C363="","",IF($L363="","",IF(NOT(ISNUMBER($L363)),"(not a score)",IF($L363&gt;=$J363,"Yes","No"))))</f>
        <v/>
      </c>
      <c r="O363" s="17">
        <f>IF($C363="","",IF($M363="","",IF(NOT(ISNUMBER($M363)),"(not a score)",IF($M363&gt;=$J363,"Yes","No"))))</f>
        <v/>
      </c>
      <c r="P363" s="17">
        <f>IF($C363="","",IF($K363="","",IF(N($K363)&gt;2,"No",IF(COUNTIFS(nrES_PID,$D363,nrES_Code,$F363,nrES_Att,"&gt;"&amp;$K363,nrES_Att,"&lt;=2",nrES_Raw,"&gt;=0")=0,"Yes","No"))))</f>
        <v/>
      </c>
      <c r="Q363" s="17">
        <f>IF($C363="","",IF($L363="","",IF(AND($K363=1,ISNUMBER($L363),$L363&lt;$J363,COUNTIFS(nrES_PID,$D363,nrES_Code,$F363,nrES_Att,2,nrES_Raw,"&gt;=0")=0),"Yes","No")))</f>
        <v/>
      </c>
      <c r="R363" s="17">
        <f>IF($C363="","",IF($L363="","",IF(AND(N($K363)&gt;=2,ISNUMBER($L363),$L363&lt;$J363),"Yes","No")))</f>
        <v/>
      </c>
      <c r="S363" s="18" t="n"/>
      <c r="T363" s="19">
        <f>IF(OR($C363="",$L363="",$K363&lt;&gt;1,NOT(ISNUMBER($L363)),$L363&gt;=$J363),"",IF($S363="","(enter date)",_xlfn.LET(_xlpm.dn,_xlfn.XLOOKUP($S363,nrCDdate,nrCDnum,"",1),IF(_xlpm.dn="","(after last class day)",_xlfn.LET(_xlpm.dd,_xlfn.XLOOKUP(_xlpm.dn+cfgRetestClassDays,nrCDnum,nrCDdate,""),_xlpm.ok,_xlfn.XLOOKUP(_xlpm.dn+cfgRetestClassDays,nrCDnum,nrCDinsession,"No"),IF(OR(_xlpm.dd="",_xlpm.ok&lt;&gt;"Yes"),"(after last class day)",_xlpm.dd))))))</f>
        <v/>
      </c>
      <c r="U363" s="17">
        <f>IF($C363="","",IF(AND($Y363="Excused",$L363="",N($K363)&lt;=1),"EXCUSED - 1st attempt pending",IF(OR($L363="",$K363&lt;&gt;1,NOT(ISNUMBER($L363)),$L363&gt;=$J363),"",IF(COUNTIFS(nrES_PID,$D363,nrES_Code,$F363,nrES_Att,2,nrES_Raw,"&gt;=0")&gt;0,IF(IFERROR(_xlfn.MINIFS(nrES_Date,nrES_PID,$D363,nrES_Code,$F363,nrES_Att,2,nrES_Raw,"&gt;=0",nrES_Date,"&gt;0"),0)=0,"RETEST UNDATED",IF(NOT(ISNUMBER($T363)),"RETEST DATE UNCHECKED",IF(_xlfn.MINIFS(nrES_Date,nrES_PID,$D363,nrES_Code,$F363,nrES_Att,2,nrES_Raw,"&gt;=0",nrES_Date,"&gt;0")&gt;$T363,"LATE RETEST "&amp;TEXT(_xlfn.MINIFS(nrES_Date,nrES_PID,$D363,nrES_Code,$F363,nrES_Att,2,nrES_Raw,"&gt;=0",nrES_Date,"&gt;0"),"mm/dd")&amp;" (due "&amp;TEXT($T363,"mm/dd")&amp;")","Retested"))),IF(NOT(ISNUMBER($T363)),"CHECK DATE",IF(TODAY()&gt;$T363,"OVERDUE","Due "&amp;TEXT($T363,"mm/dd")))))))</f>
        <v/>
      </c>
      <c r="V363" s="16" t="n"/>
      <c r="W363" s="16" t="n"/>
      <c r="X363" s="17">
        <f>IF($C363="","",IF(AND($L363&lt;&gt;"",NOT(ISNUMBER($L363))),"RAW SCORE NOT A NUMBER",IF(AND(ISNUMBER($L363),OR($L363&lt;0,$L363&gt;100)),"RAW SCORE OUT OF RANGE",IF(AND($Y363="Unexcused",OR($L363="",NOT(ISNUMBER($L363)),$L363&lt;&gt;0)),"UNEXCUSED ABSENCE MUST RECORD 0",IF(COUNTIF(nrES_RecID,$B363)&gt;1,"DUPLICATE RECORD",IF(N($K363)&gt;2,"ATTEMPT 3+ NOT ALLOWED - policy 300.5 permits one retest per exam; this row records nothing",IF(AND($K363=2,COUNTIFS(nrES_PID,$D363,nrES_Code,$F363,nrES_Att,1)=0),"ATTEMPT 2 WITHOUT ATTEMPT 1",IF(AND($K363=2,$L363=""),"RETEST ROW HAS NO SCORE",IF(AND($H363="Final",$L363&lt;&gt;"",IFERROR(INDEX(nrCKfinalExamElig,MATCH($D363,rngCadetPIDs,0)),"")="No"),"FINAL EXAM AFTER FAILED FINAL PT (500.1.H)",IF(AND($K363=2,ISNUMBER($L363),COUNTIFS(nrES_PID,$D363,nrES_Code,$F363,nrES_Att,1)&gt;0,SUMIFS(nrES_Raw,nrES_PID,$D363,nrES_Code,$F363,nrES_Att,1)&gt;=$J363),"RETEST AFTER A PASSING FIRST ATTEMPT","OK"))))))))))</f>
        <v/>
      </c>
      <c r="Y363" s="16" t="n"/>
    </row>
    <row r="364">
      <c r="B364" s="17">
        <f>IF($C364="","",$D364&amp;"-"&amp;$F364&amp;"-"&amp;$K364)</f>
        <v/>
      </c>
      <c r="C364" s="16" t="n"/>
      <c r="D364" s="17">
        <f>IF($C364="","",IFERROR(INDEX(rngCadetPIDs,MATCH($C364,rngCadetNames,0)),"?"))</f>
        <v/>
      </c>
      <c r="E364" s="17">
        <f>IF($D364="","",IFERROR(INDEX(nrCadetAgency,MATCH($D364,rngCadetPIDs,0)),""))</f>
        <v/>
      </c>
      <c r="F364" s="16" t="n"/>
      <c r="G364" s="17">
        <f>IF($F364="","",IFERROR(INDEX(rngEPname,MATCH($F364,rngEPcode,0)),"?"))</f>
        <v/>
      </c>
      <c r="H364" s="17">
        <f>IF($F364="","",IFERROR(INDEX(rngEPtype,MATCH($F364,rngEPcode,0)),"?"))</f>
        <v/>
      </c>
      <c r="I364" s="17">
        <f>IF($F364="","",IFERROR(INDEX(rngEPseq,MATCH($F364,rngEPcode,0)),""))</f>
        <v/>
      </c>
      <c r="J364" s="17">
        <f>IF($F364="","",IFERROR(INDEX(rngEPpass,MATCH($F364,rngEPcode,0)),cfgPassingScore))</f>
        <v/>
      </c>
      <c r="K364" s="16" t="n"/>
      <c r="L364" s="16" t="n"/>
      <c r="M364" s="17">
        <f>IF($C364="","",IF($L364="","",IF(NOT(ISNUMBER($L364)),$L364,IF(N($K364)&gt;2,"",IF($K364=1,IF(COUNTIFS(nrES_PID,$D364,nrES_Code,$F364,nrES_Att,2,nrES_Raw,"&gt;=0")&gt;0,"",$L364),IF($L364&gt;=$J364,MAX($J364,cfgRetakeRecordedCap),IF(COUNTIFS(nrES_PID,$D364,nrES_Code,$F364,nrES_Att,1)=0,$L364,SUMIFS(nrES_Raw,nrES_PID,$D364,nrES_Code,$F364,nrES_Att,1))))))))</f>
        <v/>
      </c>
      <c r="N364" s="17">
        <f>IF($C364="","",IF($L364="","",IF(NOT(ISNUMBER($L364)),"(not a score)",IF($L364&gt;=$J364,"Yes","No"))))</f>
        <v/>
      </c>
      <c r="O364" s="17">
        <f>IF($C364="","",IF($M364="","",IF(NOT(ISNUMBER($M364)),"(not a score)",IF($M364&gt;=$J364,"Yes","No"))))</f>
        <v/>
      </c>
      <c r="P364" s="17">
        <f>IF($C364="","",IF($K364="","",IF(N($K364)&gt;2,"No",IF(COUNTIFS(nrES_PID,$D364,nrES_Code,$F364,nrES_Att,"&gt;"&amp;$K364,nrES_Att,"&lt;=2",nrES_Raw,"&gt;=0")=0,"Yes","No"))))</f>
        <v/>
      </c>
      <c r="Q364" s="17">
        <f>IF($C364="","",IF($L364="","",IF(AND($K364=1,ISNUMBER($L364),$L364&lt;$J364,COUNTIFS(nrES_PID,$D364,nrES_Code,$F364,nrES_Att,2,nrES_Raw,"&gt;=0")=0),"Yes","No")))</f>
        <v/>
      </c>
      <c r="R364" s="17">
        <f>IF($C364="","",IF($L364="","",IF(AND(N($K364)&gt;=2,ISNUMBER($L364),$L364&lt;$J364),"Yes","No")))</f>
        <v/>
      </c>
      <c r="S364" s="18" t="n"/>
      <c r="T364" s="19">
        <f>IF(OR($C364="",$L364="",$K364&lt;&gt;1,NOT(ISNUMBER($L364)),$L364&gt;=$J364),"",IF($S364="","(enter date)",_xlfn.LET(_xlpm.dn,_xlfn.XLOOKUP($S364,nrCDdate,nrCDnum,"",1),IF(_xlpm.dn="","(after last class day)",_xlfn.LET(_xlpm.dd,_xlfn.XLOOKUP(_xlpm.dn+cfgRetestClassDays,nrCDnum,nrCDdate,""),_xlpm.ok,_xlfn.XLOOKUP(_xlpm.dn+cfgRetestClassDays,nrCDnum,nrCDinsession,"No"),IF(OR(_xlpm.dd="",_xlpm.ok&lt;&gt;"Yes"),"(after last class day)",_xlpm.dd))))))</f>
        <v/>
      </c>
      <c r="U364" s="17">
        <f>IF($C364="","",IF(AND($Y364="Excused",$L364="",N($K364)&lt;=1),"EXCUSED - 1st attempt pending",IF(OR($L364="",$K364&lt;&gt;1,NOT(ISNUMBER($L364)),$L364&gt;=$J364),"",IF(COUNTIFS(nrES_PID,$D364,nrES_Code,$F364,nrES_Att,2,nrES_Raw,"&gt;=0")&gt;0,IF(IFERROR(_xlfn.MINIFS(nrES_Date,nrES_PID,$D364,nrES_Code,$F364,nrES_Att,2,nrES_Raw,"&gt;=0",nrES_Date,"&gt;0"),0)=0,"RETEST UNDATED",IF(NOT(ISNUMBER($T364)),"RETEST DATE UNCHECKED",IF(_xlfn.MINIFS(nrES_Date,nrES_PID,$D364,nrES_Code,$F364,nrES_Att,2,nrES_Raw,"&gt;=0",nrES_Date,"&gt;0")&gt;$T364,"LATE RETEST "&amp;TEXT(_xlfn.MINIFS(nrES_Date,nrES_PID,$D364,nrES_Code,$F364,nrES_Att,2,nrES_Raw,"&gt;=0",nrES_Date,"&gt;0"),"mm/dd")&amp;" (due "&amp;TEXT($T364,"mm/dd")&amp;")","Retested"))),IF(NOT(ISNUMBER($T364)),"CHECK DATE",IF(TODAY()&gt;$T364,"OVERDUE","Due "&amp;TEXT($T364,"mm/dd")))))))</f>
        <v/>
      </c>
      <c r="V364" s="16" t="n"/>
      <c r="W364" s="16" t="n"/>
      <c r="X364" s="17">
        <f>IF($C364="","",IF(AND($L364&lt;&gt;"",NOT(ISNUMBER($L364))),"RAW SCORE NOT A NUMBER",IF(AND(ISNUMBER($L364),OR($L364&lt;0,$L364&gt;100)),"RAW SCORE OUT OF RANGE",IF(AND($Y364="Unexcused",OR($L364="",NOT(ISNUMBER($L364)),$L364&lt;&gt;0)),"UNEXCUSED ABSENCE MUST RECORD 0",IF(COUNTIF(nrES_RecID,$B364)&gt;1,"DUPLICATE RECORD",IF(N($K364)&gt;2,"ATTEMPT 3+ NOT ALLOWED - policy 300.5 permits one retest per exam; this row records nothing",IF(AND($K364=2,COUNTIFS(nrES_PID,$D364,nrES_Code,$F364,nrES_Att,1)=0),"ATTEMPT 2 WITHOUT ATTEMPT 1",IF(AND($K364=2,$L364=""),"RETEST ROW HAS NO SCORE",IF(AND($H364="Final",$L364&lt;&gt;"",IFERROR(INDEX(nrCKfinalExamElig,MATCH($D364,rngCadetPIDs,0)),"")="No"),"FINAL EXAM AFTER FAILED FINAL PT (500.1.H)",IF(AND($K364=2,ISNUMBER($L364),COUNTIFS(nrES_PID,$D364,nrES_Code,$F364,nrES_Att,1)&gt;0,SUMIFS(nrES_Raw,nrES_PID,$D364,nrES_Code,$F364,nrES_Att,1)&gt;=$J364),"RETEST AFTER A PASSING FIRST ATTEMPT","OK"))))))))))</f>
        <v/>
      </c>
      <c r="Y364" s="16" t="n"/>
    </row>
    <row r="365">
      <c r="B365" s="17">
        <f>IF($C365="","",$D365&amp;"-"&amp;$F365&amp;"-"&amp;$K365)</f>
        <v/>
      </c>
      <c r="C365" s="16" t="n"/>
      <c r="D365" s="17">
        <f>IF($C365="","",IFERROR(INDEX(rngCadetPIDs,MATCH($C365,rngCadetNames,0)),"?"))</f>
        <v/>
      </c>
      <c r="E365" s="17">
        <f>IF($D365="","",IFERROR(INDEX(nrCadetAgency,MATCH($D365,rngCadetPIDs,0)),""))</f>
        <v/>
      </c>
      <c r="F365" s="16" t="n"/>
      <c r="G365" s="17">
        <f>IF($F365="","",IFERROR(INDEX(rngEPname,MATCH($F365,rngEPcode,0)),"?"))</f>
        <v/>
      </c>
      <c r="H365" s="17">
        <f>IF($F365="","",IFERROR(INDEX(rngEPtype,MATCH($F365,rngEPcode,0)),"?"))</f>
        <v/>
      </c>
      <c r="I365" s="17">
        <f>IF($F365="","",IFERROR(INDEX(rngEPseq,MATCH($F365,rngEPcode,0)),""))</f>
        <v/>
      </c>
      <c r="J365" s="17">
        <f>IF($F365="","",IFERROR(INDEX(rngEPpass,MATCH($F365,rngEPcode,0)),cfgPassingScore))</f>
        <v/>
      </c>
      <c r="K365" s="16" t="n"/>
      <c r="L365" s="16" t="n"/>
      <c r="M365" s="17">
        <f>IF($C365="","",IF($L365="","",IF(NOT(ISNUMBER($L365)),$L365,IF(N($K365)&gt;2,"",IF($K365=1,IF(COUNTIFS(nrES_PID,$D365,nrES_Code,$F365,nrES_Att,2,nrES_Raw,"&gt;=0")&gt;0,"",$L365),IF($L365&gt;=$J365,MAX($J365,cfgRetakeRecordedCap),IF(COUNTIFS(nrES_PID,$D365,nrES_Code,$F365,nrES_Att,1)=0,$L365,SUMIFS(nrES_Raw,nrES_PID,$D365,nrES_Code,$F365,nrES_Att,1))))))))</f>
        <v/>
      </c>
      <c r="N365" s="17">
        <f>IF($C365="","",IF($L365="","",IF(NOT(ISNUMBER($L365)),"(not a score)",IF($L365&gt;=$J365,"Yes","No"))))</f>
        <v/>
      </c>
      <c r="O365" s="17">
        <f>IF($C365="","",IF($M365="","",IF(NOT(ISNUMBER($M365)),"(not a score)",IF($M365&gt;=$J365,"Yes","No"))))</f>
        <v/>
      </c>
      <c r="P365" s="17">
        <f>IF($C365="","",IF($K365="","",IF(N($K365)&gt;2,"No",IF(COUNTIFS(nrES_PID,$D365,nrES_Code,$F365,nrES_Att,"&gt;"&amp;$K365,nrES_Att,"&lt;=2",nrES_Raw,"&gt;=0")=0,"Yes","No"))))</f>
        <v/>
      </c>
      <c r="Q365" s="17">
        <f>IF($C365="","",IF($L365="","",IF(AND($K365=1,ISNUMBER($L365),$L365&lt;$J365,COUNTIFS(nrES_PID,$D365,nrES_Code,$F365,nrES_Att,2,nrES_Raw,"&gt;=0")=0),"Yes","No")))</f>
        <v/>
      </c>
      <c r="R365" s="17">
        <f>IF($C365="","",IF($L365="","",IF(AND(N($K365)&gt;=2,ISNUMBER($L365),$L365&lt;$J365),"Yes","No")))</f>
        <v/>
      </c>
      <c r="S365" s="18" t="n"/>
      <c r="T365" s="19">
        <f>IF(OR($C365="",$L365="",$K365&lt;&gt;1,NOT(ISNUMBER($L365)),$L365&gt;=$J365),"",IF($S365="","(enter date)",_xlfn.LET(_xlpm.dn,_xlfn.XLOOKUP($S365,nrCDdate,nrCDnum,"",1),IF(_xlpm.dn="","(after last class day)",_xlfn.LET(_xlpm.dd,_xlfn.XLOOKUP(_xlpm.dn+cfgRetestClassDays,nrCDnum,nrCDdate,""),_xlpm.ok,_xlfn.XLOOKUP(_xlpm.dn+cfgRetestClassDays,nrCDnum,nrCDinsession,"No"),IF(OR(_xlpm.dd="",_xlpm.ok&lt;&gt;"Yes"),"(after last class day)",_xlpm.dd))))))</f>
        <v/>
      </c>
      <c r="U365" s="17">
        <f>IF($C365="","",IF(AND($Y365="Excused",$L365="",N($K365)&lt;=1),"EXCUSED - 1st attempt pending",IF(OR($L365="",$K365&lt;&gt;1,NOT(ISNUMBER($L365)),$L365&gt;=$J365),"",IF(COUNTIFS(nrES_PID,$D365,nrES_Code,$F365,nrES_Att,2,nrES_Raw,"&gt;=0")&gt;0,IF(IFERROR(_xlfn.MINIFS(nrES_Date,nrES_PID,$D365,nrES_Code,$F365,nrES_Att,2,nrES_Raw,"&gt;=0",nrES_Date,"&gt;0"),0)=0,"RETEST UNDATED",IF(NOT(ISNUMBER($T365)),"RETEST DATE UNCHECKED",IF(_xlfn.MINIFS(nrES_Date,nrES_PID,$D365,nrES_Code,$F365,nrES_Att,2,nrES_Raw,"&gt;=0",nrES_Date,"&gt;0")&gt;$T365,"LATE RETEST "&amp;TEXT(_xlfn.MINIFS(nrES_Date,nrES_PID,$D365,nrES_Code,$F365,nrES_Att,2,nrES_Raw,"&gt;=0",nrES_Date,"&gt;0"),"mm/dd")&amp;" (due "&amp;TEXT($T365,"mm/dd")&amp;")","Retested"))),IF(NOT(ISNUMBER($T365)),"CHECK DATE",IF(TODAY()&gt;$T365,"OVERDUE","Due "&amp;TEXT($T365,"mm/dd")))))))</f>
        <v/>
      </c>
      <c r="V365" s="16" t="n"/>
      <c r="W365" s="16" t="n"/>
      <c r="X365" s="17">
        <f>IF($C365="","",IF(AND($L365&lt;&gt;"",NOT(ISNUMBER($L365))),"RAW SCORE NOT A NUMBER",IF(AND(ISNUMBER($L365),OR($L365&lt;0,$L365&gt;100)),"RAW SCORE OUT OF RANGE",IF(AND($Y365="Unexcused",OR($L365="",NOT(ISNUMBER($L365)),$L365&lt;&gt;0)),"UNEXCUSED ABSENCE MUST RECORD 0",IF(COUNTIF(nrES_RecID,$B365)&gt;1,"DUPLICATE RECORD",IF(N($K365)&gt;2,"ATTEMPT 3+ NOT ALLOWED - policy 300.5 permits one retest per exam; this row records nothing",IF(AND($K365=2,COUNTIFS(nrES_PID,$D365,nrES_Code,$F365,nrES_Att,1)=0),"ATTEMPT 2 WITHOUT ATTEMPT 1",IF(AND($K365=2,$L365=""),"RETEST ROW HAS NO SCORE",IF(AND($H365="Final",$L365&lt;&gt;"",IFERROR(INDEX(nrCKfinalExamElig,MATCH($D365,rngCadetPIDs,0)),"")="No"),"FINAL EXAM AFTER FAILED FINAL PT (500.1.H)",IF(AND($K365=2,ISNUMBER($L365),COUNTIFS(nrES_PID,$D365,nrES_Code,$F365,nrES_Att,1)&gt;0,SUMIFS(nrES_Raw,nrES_PID,$D365,nrES_Code,$F365,nrES_Att,1)&gt;=$J365),"RETEST AFTER A PASSING FIRST ATTEMPT","OK"))))))))))</f>
        <v/>
      </c>
      <c r="Y365" s="16" t="n"/>
    </row>
    <row r="366">
      <c r="B366" s="17">
        <f>IF($C366="","",$D366&amp;"-"&amp;$F366&amp;"-"&amp;$K366)</f>
        <v/>
      </c>
      <c r="C366" s="16" t="n"/>
      <c r="D366" s="17">
        <f>IF($C366="","",IFERROR(INDEX(rngCadetPIDs,MATCH($C366,rngCadetNames,0)),"?"))</f>
        <v/>
      </c>
      <c r="E366" s="17">
        <f>IF($D366="","",IFERROR(INDEX(nrCadetAgency,MATCH($D366,rngCadetPIDs,0)),""))</f>
        <v/>
      </c>
      <c r="F366" s="16" t="n"/>
      <c r="G366" s="17">
        <f>IF($F366="","",IFERROR(INDEX(rngEPname,MATCH($F366,rngEPcode,0)),"?"))</f>
        <v/>
      </c>
      <c r="H366" s="17">
        <f>IF($F366="","",IFERROR(INDEX(rngEPtype,MATCH($F366,rngEPcode,0)),"?"))</f>
        <v/>
      </c>
      <c r="I366" s="17">
        <f>IF($F366="","",IFERROR(INDEX(rngEPseq,MATCH($F366,rngEPcode,0)),""))</f>
        <v/>
      </c>
      <c r="J366" s="17">
        <f>IF($F366="","",IFERROR(INDEX(rngEPpass,MATCH($F366,rngEPcode,0)),cfgPassingScore))</f>
        <v/>
      </c>
      <c r="K366" s="16" t="n"/>
      <c r="L366" s="16" t="n"/>
      <c r="M366" s="17">
        <f>IF($C366="","",IF($L366="","",IF(NOT(ISNUMBER($L366)),$L366,IF(N($K366)&gt;2,"",IF($K366=1,IF(COUNTIFS(nrES_PID,$D366,nrES_Code,$F366,nrES_Att,2,nrES_Raw,"&gt;=0")&gt;0,"",$L366),IF($L366&gt;=$J366,MAX($J366,cfgRetakeRecordedCap),IF(COUNTIFS(nrES_PID,$D366,nrES_Code,$F366,nrES_Att,1)=0,$L366,SUMIFS(nrES_Raw,nrES_PID,$D366,nrES_Code,$F366,nrES_Att,1))))))))</f>
        <v/>
      </c>
      <c r="N366" s="17">
        <f>IF($C366="","",IF($L366="","",IF(NOT(ISNUMBER($L366)),"(not a score)",IF($L366&gt;=$J366,"Yes","No"))))</f>
        <v/>
      </c>
      <c r="O366" s="17">
        <f>IF($C366="","",IF($M366="","",IF(NOT(ISNUMBER($M366)),"(not a score)",IF($M366&gt;=$J366,"Yes","No"))))</f>
        <v/>
      </c>
      <c r="P366" s="17">
        <f>IF($C366="","",IF($K366="","",IF(N($K366)&gt;2,"No",IF(COUNTIFS(nrES_PID,$D366,nrES_Code,$F366,nrES_Att,"&gt;"&amp;$K366,nrES_Att,"&lt;=2",nrES_Raw,"&gt;=0")=0,"Yes","No"))))</f>
        <v/>
      </c>
      <c r="Q366" s="17">
        <f>IF($C366="","",IF($L366="","",IF(AND($K366=1,ISNUMBER($L366),$L366&lt;$J366,COUNTIFS(nrES_PID,$D366,nrES_Code,$F366,nrES_Att,2,nrES_Raw,"&gt;=0")=0),"Yes","No")))</f>
        <v/>
      </c>
      <c r="R366" s="17">
        <f>IF($C366="","",IF($L366="","",IF(AND(N($K366)&gt;=2,ISNUMBER($L366),$L366&lt;$J366),"Yes","No")))</f>
        <v/>
      </c>
      <c r="S366" s="18" t="n"/>
      <c r="T366" s="19">
        <f>IF(OR($C366="",$L366="",$K366&lt;&gt;1,NOT(ISNUMBER($L366)),$L366&gt;=$J366),"",IF($S366="","(enter date)",_xlfn.LET(_xlpm.dn,_xlfn.XLOOKUP($S366,nrCDdate,nrCDnum,"",1),IF(_xlpm.dn="","(after last class day)",_xlfn.LET(_xlpm.dd,_xlfn.XLOOKUP(_xlpm.dn+cfgRetestClassDays,nrCDnum,nrCDdate,""),_xlpm.ok,_xlfn.XLOOKUP(_xlpm.dn+cfgRetestClassDays,nrCDnum,nrCDinsession,"No"),IF(OR(_xlpm.dd="",_xlpm.ok&lt;&gt;"Yes"),"(after last class day)",_xlpm.dd))))))</f>
        <v/>
      </c>
      <c r="U366" s="17">
        <f>IF($C366="","",IF(AND($Y366="Excused",$L366="",N($K366)&lt;=1),"EXCUSED - 1st attempt pending",IF(OR($L366="",$K366&lt;&gt;1,NOT(ISNUMBER($L366)),$L366&gt;=$J366),"",IF(COUNTIFS(nrES_PID,$D366,nrES_Code,$F366,nrES_Att,2,nrES_Raw,"&gt;=0")&gt;0,IF(IFERROR(_xlfn.MINIFS(nrES_Date,nrES_PID,$D366,nrES_Code,$F366,nrES_Att,2,nrES_Raw,"&gt;=0",nrES_Date,"&gt;0"),0)=0,"RETEST UNDATED",IF(NOT(ISNUMBER($T366)),"RETEST DATE UNCHECKED",IF(_xlfn.MINIFS(nrES_Date,nrES_PID,$D366,nrES_Code,$F366,nrES_Att,2,nrES_Raw,"&gt;=0",nrES_Date,"&gt;0")&gt;$T366,"LATE RETEST "&amp;TEXT(_xlfn.MINIFS(nrES_Date,nrES_PID,$D366,nrES_Code,$F366,nrES_Att,2,nrES_Raw,"&gt;=0",nrES_Date,"&gt;0"),"mm/dd")&amp;" (due "&amp;TEXT($T366,"mm/dd")&amp;")","Retested"))),IF(NOT(ISNUMBER($T366)),"CHECK DATE",IF(TODAY()&gt;$T366,"OVERDUE","Due "&amp;TEXT($T366,"mm/dd")))))))</f>
        <v/>
      </c>
      <c r="V366" s="16" t="n"/>
      <c r="W366" s="16" t="n"/>
      <c r="X366" s="17">
        <f>IF($C366="","",IF(AND($L366&lt;&gt;"",NOT(ISNUMBER($L366))),"RAW SCORE NOT A NUMBER",IF(AND(ISNUMBER($L366),OR($L366&lt;0,$L366&gt;100)),"RAW SCORE OUT OF RANGE",IF(AND($Y366="Unexcused",OR($L366="",NOT(ISNUMBER($L366)),$L366&lt;&gt;0)),"UNEXCUSED ABSENCE MUST RECORD 0",IF(COUNTIF(nrES_RecID,$B366)&gt;1,"DUPLICATE RECORD",IF(N($K366)&gt;2,"ATTEMPT 3+ NOT ALLOWED - policy 300.5 permits one retest per exam; this row records nothing",IF(AND($K366=2,COUNTIFS(nrES_PID,$D366,nrES_Code,$F366,nrES_Att,1)=0),"ATTEMPT 2 WITHOUT ATTEMPT 1",IF(AND($K366=2,$L366=""),"RETEST ROW HAS NO SCORE",IF(AND($H366="Final",$L366&lt;&gt;"",IFERROR(INDEX(nrCKfinalExamElig,MATCH($D366,rngCadetPIDs,0)),"")="No"),"FINAL EXAM AFTER FAILED FINAL PT (500.1.H)",IF(AND($K366=2,ISNUMBER($L366),COUNTIFS(nrES_PID,$D366,nrES_Code,$F366,nrES_Att,1)&gt;0,SUMIFS(nrES_Raw,nrES_PID,$D366,nrES_Code,$F366,nrES_Att,1)&gt;=$J366),"RETEST AFTER A PASSING FIRST ATTEMPT","OK"))))))))))</f>
        <v/>
      </c>
      <c r="Y366" s="16" t="n"/>
    </row>
    <row r="367">
      <c r="B367" s="17">
        <f>IF($C367="","",$D367&amp;"-"&amp;$F367&amp;"-"&amp;$K367)</f>
        <v/>
      </c>
      <c r="C367" s="16" t="n"/>
      <c r="D367" s="17">
        <f>IF($C367="","",IFERROR(INDEX(rngCadetPIDs,MATCH($C367,rngCadetNames,0)),"?"))</f>
        <v/>
      </c>
      <c r="E367" s="17">
        <f>IF($D367="","",IFERROR(INDEX(nrCadetAgency,MATCH($D367,rngCadetPIDs,0)),""))</f>
        <v/>
      </c>
      <c r="F367" s="16" t="n"/>
      <c r="G367" s="17">
        <f>IF($F367="","",IFERROR(INDEX(rngEPname,MATCH($F367,rngEPcode,0)),"?"))</f>
        <v/>
      </c>
      <c r="H367" s="17">
        <f>IF($F367="","",IFERROR(INDEX(rngEPtype,MATCH($F367,rngEPcode,0)),"?"))</f>
        <v/>
      </c>
      <c r="I367" s="17">
        <f>IF($F367="","",IFERROR(INDEX(rngEPseq,MATCH($F367,rngEPcode,0)),""))</f>
        <v/>
      </c>
      <c r="J367" s="17">
        <f>IF($F367="","",IFERROR(INDEX(rngEPpass,MATCH($F367,rngEPcode,0)),cfgPassingScore))</f>
        <v/>
      </c>
      <c r="K367" s="16" t="n"/>
      <c r="L367" s="16" t="n"/>
      <c r="M367" s="17">
        <f>IF($C367="","",IF($L367="","",IF(NOT(ISNUMBER($L367)),$L367,IF(N($K367)&gt;2,"",IF($K367=1,IF(COUNTIFS(nrES_PID,$D367,nrES_Code,$F367,nrES_Att,2,nrES_Raw,"&gt;=0")&gt;0,"",$L367),IF($L367&gt;=$J367,MAX($J367,cfgRetakeRecordedCap),IF(COUNTIFS(nrES_PID,$D367,nrES_Code,$F367,nrES_Att,1)=0,$L367,SUMIFS(nrES_Raw,nrES_PID,$D367,nrES_Code,$F367,nrES_Att,1))))))))</f>
        <v/>
      </c>
      <c r="N367" s="17">
        <f>IF($C367="","",IF($L367="","",IF(NOT(ISNUMBER($L367)),"(not a score)",IF($L367&gt;=$J367,"Yes","No"))))</f>
        <v/>
      </c>
      <c r="O367" s="17">
        <f>IF($C367="","",IF($M367="","",IF(NOT(ISNUMBER($M367)),"(not a score)",IF($M367&gt;=$J367,"Yes","No"))))</f>
        <v/>
      </c>
      <c r="P367" s="17">
        <f>IF($C367="","",IF($K367="","",IF(N($K367)&gt;2,"No",IF(COUNTIFS(nrES_PID,$D367,nrES_Code,$F367,nrES_Att,"&gt;"&amp;$K367,nrES_Att,"&lt;=2",nrES_Raw,"&gt;=0")=0,"Yes","No"))))</f>
        <v/>
      </c>
      <c r="Q367" s="17">
        <f>IF($C367="","",IF($L367="","",IF(AND($K367=1,ISNUMBER($L367),$L367&lt;$J367,COUNTIFS(nrES_PID,$D367,nrES_Code,$F367,nrES_Att,2,nrES_Raw,"&gt;=0")=0),"Yes","No")))</f>
        <v/>
      </c>
      <c r="R367" s="17">
        <f>IF($C367="","",IF($L367="","",IF(AND(N($K367)&gt;=2,ISNUMBER($L367),$L367&lt;$J367),"Yes","No")))</f>
        <v/>
      </c>
      <c r="S367" s="18" t="n"/>
      <c r="T367" s="19">
        <f>IF(OR($C367="",$L367="",$K367&lt;&gt;1,NOT(ISNUMBER($L367)),$L367&gt;=$J367),"",IF($S367="","(enter date)",_xlfn.LET(_xlpm.dn,_xlfn.XLOOKUP($S367,nrCDdate,nrCDnum,"",1),IF(_xlpm.dn="","(after last class day)",_xlfn.LET(_xlpm.dd,_xlfn.XLOOKUP(_xlpm.dn+cfgRetestClassDays,nrCDnum,nrCDdate,""),_xlpm.ok,_xlfn.XLOOKUP(_xlpm.dn+cfgRetestClassDays,nrCDnum,nrCDinsession,"No"),IF(OR(_xlpm.dd="",_xlpm.ok&lt;&gt;"Yes"),"(after last class day)",_xlpm.dd))))))</f>
        <v/>
      </c>
      <c r="U367" s="17">
        <f>IF($C367="","",IF(AND($Y367="Excused",$L367="",N($K367)&lt;=1),"EXCUSED - 1st attempt pending",IF(OR($L367="",$K367&lt;&gt;1,NOT(ISNUMBER($L367)),$L367&gt;=$J367),"",IF(COUNTIFS(nrES_PID,$D367,nrES_Code,$F367,nrES_Att,2,nrES_Raw,"&gt;=0")&gt;0,IF(IFERROR(_xlfn.MINIFS(nrES_Date,nrES_PID,$D367,nrES_Code,$F367,nrES_Att,2,nrES_Raw,"&gt;=0",nrES_Date,"&gt;0"),0)=0,"RETEST UNDATED",IF(NOT(ISNUMBER($T367)),"RETEST DATE UNCHECKED",IF(_xlfn.MINIFS(nrES_Date,nrES_PID,$D367,nrES_Code,$F367,nrES_Att,2,nrES_Raw,"&gt;=0",nrES_Date,"&gt;0")&gt;$T367,"LATE RETEST "&amp;TEXT(_xlfn.MINIFS(nrES_Date,nrES_PID,$D367,nrES_Code,$F367,nrES_Att,2,nrES_Raw,"&gt;=0",nrES_Date,"&gt;0"),"mm/dd")&amp;" (due "&amp;TEXT($T367,"mm/dd")&amp;")","Retested"))),IF(NOT(ISNUMBER($T367)),"CHECK DATE",IF(TODAY()&gt;$T367,"OVERDUE","Due "&amp;TEXT($T367,"mm/dd")))))))</f>
        <v/>
      </c>
      <c r="V367" s="16" t="n"/>
      <c r="W367" s="16" t="n"/>
      <c r="X367" s="17">
        <f>IF($C367="","",IF(AND($L367&lt;&gt;"",NOT(ISNUMBER($L367))),"RAW SCORE NOT A NUMBER",IF(AND(ISNUMBER($L367),OR($L367&lt;0,$L367&gt;100)),"RAW SCORE OUT OF RANGE",IF(AND($Y367="Unexcused",OR($L367="",NOT(ISNUMBER($L367)),$L367&lt;&gt;0)),"UNEXCUSED ABSENCE MUST RECORD 0",IF(COUNTIF(nrES_RecID,$B367)&gt;1,"DUPLICATE RECORD",IF(N($K367)&gt;2,"ATTEMPT 3+ NOT ALLOWED - policy 300.5 permits one retest per exam; this row records nothing",IF(AND($K367=2,COUNTIFS(nrES_PID,$D367,nrES_Code,$F367,nrES_Att,1)=0),"ATTEMPT 2 WITHOUT ATTEMPT 1",IF(AND($K367=2,$L367=""),"RETEST ROW HAS NO SCORE",IF(AND($H367="Final",$L367&lt;&gt;"",IFERROR(INDEX(nrCKfinalExamElig,MATCH($D367,rngCadetPIDs,0)),"")="No"),"FINAL EXAM AFTER FAILED FINAL PT (500.1.H)",IF(AND($K367=2,ISNUMBER($L367),COUNTIFS(nrES_PID,$D367,nrES_Code,$F367,nrES_Att,1)&gt;0,SUMIFS(nrES_Raw,nrES_PID,$D367,nrES_Code,$F367,nrES_Att,1)&gt;=$J367),"RETEST AFTER A PASSING FIRST ATTEMPT","OK"))))))))))</f>
        <v/>
      </c>
      <c r="Y367" s="16" t="n"/>
    </row>
    <row r="368">
      <c r="B368" s="17">
        <f>IF($C368="","",$D368&amp;"-"&amp;$F368&amp;"-"&amp;$K368)</f>
        <v/>
      </c>
      <c r="C368" s="16" t="n"/>
      <c r="D368" s="17">
        <f>IF($C368="","",IFERROR(INDEX(rngCadetPIDs,MATCH($C368,rngCadetNames,0)),"?"))</f>
        <v/>
      </c>
      <c r="E368" s="17">
        <f>IF($D368="","",IFERROR(INDEX(nrCadetAgency,MATCH($D368,rngCadetPIDs,0)),""))</f>
        <v/>
      </c>
      <c r="F368" s="16" t="n"/>
      <c r="G368" s="17">
        <f>IF($F368="","",IFERROR(INDEX(rngEPname,MATCH($F368,rngEPcode,0)),"?"))</f>
        <v/>
      </c>
      <c r="H368" s="17">
        <f>IF($F368="","",IFERROR(INDEX(rngEPtype,MATCH($F368,rngEPcode,0)),"?"))</f>
        <v/>
      </c>
      <c r="I368" s="17">
        <f>IF($F368="","",IFERROR(INDEX(rngEPseq,MATCH($F368,rngEPcode,0)),""))</f>
        <v/>
      </c>
      <c r="J368" s="17">
        <f>IF($F368="","",IFERROR(INDEX(rngEPpass,MATCH($F368,rngEPcode,0)),cfgPassingScore))</f>
        <v/>
      </c>
      <c r="K368" s="16" t="n"/>
      <c r="L368" s="16" t="n"/>
      <c r="M368" s="17">
        <f>IF($C368="","",IF($L368="","",IF(NOT(ISNUMBER($L368)),$L368,IF(N($K368)&gt;2,"",IF($K368=1,IF(COUNTIFS(nrES_PID,$D368,nrES_Code,$F368,nrES_Att,2,nrES_Raw,"&gt;=0")&gt;0,"",$L368),IF($L368&gt;=$J368,MAX($J368,cfgRetakeRecordedCap),IF(COUNTIFS(nrES_PID,$D368,nrES_Code,$F368,nrES_Att,1)=0,$L368,SUMIFS(nrES_Raw,nrES_PID,$D368,nrES_Code,$F368,nrES_Att,1))))))))</f>
        <v/>
      </c>
      <c r="N368" s="17">
        <f>IF($C368="","",IF($L368="","",IF(NOT(ISNUMBER($L368)),"(not a score)",IF($L368&gt;=$J368,"Yes","No"))))</f>
        <v/>
      </c>
      <c r="O368" s="17">
        <f>IF($C368="","",IF($M368="","",IF(NOT(ISNUMBER($M368)),"(not a score)",IF($M368&gt;=$J368,"Yes","No"))))</f>
        <v/>
      </c>
      <c r="P368" s="17">
        <f>IF($C368="","",IF($K368="","",IF(N($K368)&gt;2,"No",IF(COUNTIFS(nrES_PID,$D368,nrES_Code,$F368,nrES_Att,"&gt;"&amp;$K368,nrES_Att,"&lt;=2",nrES_Raw,"&gt;=0")=0,"Yes","No"))))</f>
        <v/>
      </c>
      <c r="Q368" s="17">
        <f>IF($C368="","",IF($L368="","",IF(AND($K368=1,ISNUMBER($L368),$L368&lt;$J368,COUNTIFS(nrES_PID,$D368,nrES_Code,$F368,nrES_Att,2,nrES_Raw,"&gt;=0")=0),"Yes","No")))</f>
        <v/>
      </c>
      <c r="R368" s="17">
        <f>IF($C368="","",IF($L368="","",IF(AND(N($K368)&gt;=2,ISNUMBER($L368),$L368&lt;$J368),"Yes","No")))</f>
        <v/>
      </c>
      <c r="S368" s="18" t="n"/>
      <c r="T368" s="19">
        <f>IF(OR($C368="",$L368="",$K368&lt;&gt;1,NOT(ISNUMBER($L368)),$L368&gt;=$J368),"",IF($S368="","(enter date)",_xlfn.LET(_xlpm.dn,_xlfn.XLOOKUP($S368,nrCDdate,nrCDnum,"",1),IF(_xlpm.dn="","(after last class day)",_xlfn.LET(_xlpm.dd,_xlfn.XLOOKUP(_xlpm.dn+cfgRetestClassDays,nrCDnum,nrCDdate,""),_xlpm.ok,_xlfn.XLOOKUP(_xlpm.dn+cfgRetestClassDays,nrCDnum,nrCDinsession,"No"),IF(OR(_xlpm.dd="",_xlpm.ok&lt;&gt;"Yes"),"(after last class day)",_xlpm.dd))))))</f>
        <v/>
      </c>
      <c r="U368" s="17">
        <f>IF($C368="","",IF(AND($Y368="Excused",$L368="",N($K368)&lt;=1),"EXCUSED - 1st attempt pending",IF(OR($L368="",$K368&lt;&gt;1,NOT(ISNUMBER($L368)),$L368&gt;=$J368),"",IF(COUNTIFS(nrES_PID,$D368,nrES_Code,$F368,nrES_Att,2,nrES_Raw,"&gt;=0")&gt;0,IF(IFERROR(_xlfn.MINIFS(nrES_Date,nrES_PID,$D368,nrES_Code,$F368,nrES_Att,2,nrES_Raw,"&gt;=0",nrES_Date,"&gt;0"),0)=0,"RETEST UNDATED",IF(NOT(ISNUMBER($T368)),"RETEST DATE UNCHECKED",IF(_xlfn.MINIFS(nrES_Date,nrES_PID,$D368,nrES_Code,$F368,nrES_Att,2,nrES_Raw,"&gt;=0",nrES_Date,"&gt;0")&gt;$T368,"LATE RETEST "&amp;TEXT(_xlfn.MINIFS(nrES_Date,nrES_PID,$D368,nrES_Code,$F368,nrES_Att,2,nrES_Raw,"&gt;=0",nrES_Date,"&gt;0"),"mm/dd")&amp;" (due "&amp;TEXT($T368,"mm/dd")&amp;")","Retested"))),IF(NOT(ISNUMBER($T368)),"CHECK DATE",IF(TODAY()&gt;$T368,"OVERDUE","Due "&amp;TEXT($T368,"mm/dd")))))))</f>
        <v/>
      </c>
      <c r="V368" s="16" t="n"/>
      <c r="W368" s="16" t="n"/>
      <c r="X368" s="17">
        <f>IF($C368="","",IF(AND($L368&lt;&gt;"",NOT(ISNUMBER($L368))),"RAW SCORE NOT A NUMBER",IF(AND(ISNUMBER($L368),OR($L368&lt;0,$L368&gt;100)),"RAW SCORE OUT OF RANGE",IF(AND($Y368="Unexcused",OR($L368="",NOT(ISNUMBER($L368)),$L368&lt;&gt;0)),"UNEXCUSED ABSENCE MUST RECORD 0",IF(COUNTIF(nrES_RecID,$B368)&gt;1,"DUPLICATE RECORD",IF(N($K368)&gt;2,"ATTEMPT 3+ NOT ALLOWED - policy 300.5 permits one retest per exam; this row records nothing",IF(AND($K368=2,COUNTIFS(nrES_PID,$D368,nrES_Code,$F368,nrES_Att,1)=0),"ATTEMPT 2 WITHOUT ATTEMPT 1",IF(AND($K368=2,$L368=""),"RETEST ROW HAS NO SCORE",IF(AND($H368="Final",$L368&lt;&gt;"",IFERROR(INDEX(nrCKfinalExamElig,MATCH($D368,rngCadetPIDs,0)),"")="No"),"FINAL EXAM AFTER FAILED FINAL PT (500.1.H)",IF(AND($K368=2,ISNUMBER($L368),COUNTIFS(nrES_PID,$D368,nrES_Code,$F368,nrES_Att,1)&gt;0,SUMIFS(nrES_Raw,nrES_PID,$D368,nrES_Code,$F368,nrES_Att,1)&gt;=$J368),"RETEST AFTER A PASSING FIRST ATTEMPT","OK"))))))))))</f>
        <v/>
      </c>
      <c r="Y368" s="16" t="n"/>
    </row>
    <row r="369">
      <c r="B369" s="17">
        <f>IF($C369="","",$D369&amp;"-"&amp;$F369&amp;"-"&amp;$K369)</f>
        <v/>
      </c>
      <c r="C369" s="16" t="n"/>
      <c r="D369" s="17">
        <f>IF($C369="","",IFERROR(INDEX(rngCadetPIDs,MATCH($C369,rngCadetNames,0)),"?"))</f>
        <v/>
      </c>
      <c r="E369" s="17">
        <f>IF($D369="","",IFERROR(INDEX(nrCadetAgency,MATCH($D369,rngCadetPIDs,0)),""))</f>
        <v/>
      </c>
      <c r="F369" s="16" t="n"/>
      <c r="G369" s="17">
        <f>IF($F369="","",IFERROR(INDEX(rngEPname,MATCH($F369,rngEPcode,0)),"?"))</f>
        <v/>
      </c>
      <c r="H369" s="17">
        <f>IF($F369="","",IFERROR(INDEX(rngEPtype,MATCH($F369,rngEPcode,0)),"?"))</f>
        <v/>
      </c>
      <c r="I369" s="17">
        <f>IF($F369="","",IFERROR(INDEX(rngEPseq,MATCH($F369,rngEPcode,0)),""))</f>
        <v/>
      </c>
      <c r="J369" s="17">
        <f>IF($F369="","",IFERROR(INDEX(rngEPpass,MATCH($F369,rngEPcode,0)),cfgPassingScore))</f>
        <v/>
      </c>
      <c r="K369" s="16" t="n"/>
      <c r="L369" s="16" t="n"/>
      <c r="M369" s="17">
        <f>IF($C369="","",IF($L369="","",IF(NOT(ISNUMBER($L369)),$L369,IF(N($K369)&gt;2,"",IF($K369=1,IF(COUNTIFS(nrES_PID,$D369,nrES_Code,$F369,nrES_Att,2,nrES_Raw,"&gt;=0")&gt;0,"",$L369),IF($L369&gt;=$J369,MAX($J369,cfgRetakeRecordedCap),IF(COUNTIFS(nrES_PID,$D369,nrES_Code,$F369,nrES_Att,1)=0,$L369,SUMIFS(nrES_Raw,nrES_PID,$D369,nrES_Code,$F369,nrES_Att,1))))))))</f>
        <v/>
      </c>
      <c r="N369" s="17">
        <f>IF($C369="","",IF($L369="","",IF(NOT(ISNUMBER($L369)),"(not a score)",IF($L369&gt;=$J369,"Yes","No"))))</f>
        <v/>
      </c>
      <c r="O369" s="17">
        <f>IF($C369="","",IF($M369="","",IF(NOT(ISNUMBER($M369)),"(not a score)",IF($M369&gt;=$J369,"Yes","No"))))</f>
        <v/>
      </c>
      <c r="P369" s="17">
        <f>IF($C369="","",IF($K369="","",IF(N($K369)&gt;2,"No",IF(COUNTIFS(nrES_PID,$D369,nrES_Code,$F369,nrES_Att,"&gt;"&amp;$K369,nrES_Att,"&lt;=2",nrES_Raw,"&gt;=0")=0,"Yes","No"))))</f>
        <v/>
      </c>
      <c r="Q369" s="17">
        <f>IF($C369="","",IF($L369="","",IF(AND($K369=1,ISNUMBER($L369),$L369&lt;$J369,COUNTIFS(nrES_PID,$D369,nrES_Code,$F369,nrES_Att,2,nrES_Raw,"&gt;=0")=0),"Yes","No")))</f>
        <v/>
      </c>
      <c r="R369" s="17">
        <f>IF($C369="","",IF($L369="","",IF(AND(N($K369)&gt;=2,ISNUMBER($L369),$L369&lt;$J369),"Yes","No")))</f>
        <v/>
      </c>
      <c r="S369" s="18" t="n"/>
      <c r="T369" s="19">
        <f>IF(OR($C369="",$L369="",$K369&lt;&gt;1,NOT(ISNUMBER($L369)),$L369&gt;=$J369),"",IF($S369="","(enter date)",_xlfn.LET(_xlpm.dn,_xlfn.XLOOKUP($S369,nrCDdate,nrCDnum,"",1),IF(_xlpm.dn="","(after last class day)",_xlfn.LET(_xlpm.dd,_xlfn.XLOOKUP(_xlpm.dn+cfgRetestClassDays,nrCDnum,nrCDdate,""),_xlpm.ok,_xlfn.XLOOKUP(_xlpm.dn+cfgRetestClassDays,nrCDnum,nrCDinsession,"No"),IF(OR(_xlpm.dd="",_xlpm.ok&lt;&gt;"Yes"),"(after last class day)",_xlpm.dd))))))</f>
        <v/>
      </c>
      <c r="U369" s="17">
        <f>IF($C369="","",IF(AND($Y369="Excused",$L369="",N($K369)&lt;=1),"EXCUSED - 1st attempt pending",IF(OR($L369="",$K369&lt;&gt;1,NOT(ISNUMBER($L369)),$L369&gt;=$J369),"",IF(COUNTIFS(nrES_PID,$D369,nrES_Code,$F369,nrES_Att,2,nrES_Raw,"&gt;=0")&gt;0,IF(IFERROR(_xlfn.MINIFS(nrES_Date,nrES_PID,$D369,nrES_Code,$F369,nrES_Att,2,nrES_Raw,"&gt;=0",nrES_Date,"&gt;0"),0)=0,"RETEST UNDATED",IF(NOT(ISNUMBER($T369)),"RETEST DATE UNCHECKED",IF(_xlfn.MINIFS(nrES_Date,nrES_PID,$D369,nrES_Code,$F369,nrES_Att,2,nrES_Raw,"&gt;=0",nrES_Date,"&gt;0")&gt;$T369,"LATE RETEST "&amp;TEXT(_xlfn.MINIFS(nrES_Date,nrES_PID,$D369,nrES_Code,$F369,nrES_Att,2,nrES_Raw,"&gt;=0",nrES_Date,"&gt;0"),"mm/dd")&amp;" (due "&amp;TEXT($T369,"mm/dd")&amp;")","Retested"))),IF(NOT(ISNUMBER($T369)),"CHECK DATE",IF(TODAY()&gt;$T369,"OVERDUE","Due "&amp;TEXT($T369,"mm/dd")))))))</f>
        <v/>
      </c>
      <c r="V369" s="16" t="n"/>
      <c r="W369" s="16" t="n"/>
      <c r="X369" s="17">
        <f>IF($C369="","",IF(AND($L369&lt;&gt;"",NOT(ISNUMBER($L369))),"RAW SCORE NOT A NUMBER",IF(AND(ISNUMBER($L369),OR($L369&lt;0,$L369&gt;100)),"RAW SCORE OUT OF RANGE",IF(AND($Y369="Unexcused",OR($L369="",NOT(ISNUMBER($L369)),$L369&lt;&gt;0)),"UNEXCUSED ABSENCE MUST RECORD 0",IF(COUNTIF(nrES_RecID,$B369)&gt;1,"DUPLICATE RECORD",IF(N($K369)&gt;2,"ATTEMPT 3+ NOT ALLOWED - policy 300.5 permits one retest per exam; this row records nothing",IF(AND($K369=2,COUNTIFS(nrES_PID,$D369,nrES_Code,$F369,nrES_Att,1)=0),"ATTEMPT 2 WITHOUT ATTEMPT 1",IF(AND($K369=2,$L369=""),"RETEST ROW HAS NO SCORE",IF(AND($H369="Final",$L369&lt;&gt;"",IFERROR(INDEX(nrCKfinalExamElig,MATCH($D369,rngCadetPIDs,0)),"")="No"),"FINAL EXAM AFTER FAILED FINAL PT (500.1.H)",IF(AND($K369=2,ISNUMBER($L369),COUNTIFS(nrES_PID,$D369,nrES_Code,$F369,nrES_Att,1)&gt;0,SUMIFS(nrES_Raw,nrES_PID,$D369,nrES_Code,$F369,nrES_Att,1)&gt;=$J369),"RETEST AFTER A PASSING FIRST ATTEMPT","OK"))))))))))</f>
        <v/>
      </c>
      <c r="Y369" s="16" t="n"/>
    </row>
    <row r="370">
      <c r="B370" s="17">
        <f>IF($C370="","",$D370&amp;"-"&amp;$F370&amp;"-"&amp;$K370)</f>
        <v/>
      </c>
      <c r="C370" s="16" t="n"/>
      <c r="D370" s="17">
        <f>IF($C370="","",IFERROR(INDEX(rngCadetPIDs,MATCH($C370,rngCadetNames,0)),"?"))</f>
        <v/>
      </c>
      <c r="E370" s="17">
        <f>IF($D370="","",IFERROR(INDEX(nrCadetAgency,MATCH($D370,rngCadetPIDs,0)),""))</f>
        <v/>
      </c>
      <c r="F370" s="16" t="n"/>
      <c r="G370" s="17">
        <f>IF($F370="","",IFERROR(INDEX(rngEPname,MATCH($F370,rngEPcode,0)),"?"))</f>
        <v/>
      </c>
      <c r="H370" s="17">
        <f>IF($F370="","",IFERROR(INDEX(rngEPtype,MATCH($F370,rngEPcode,0)),"?"))</f>
        <v/>
      </c>
      <c r="I370" s="17">
        <f>IF($F370="","",IFERROR(INDEX(rngEPseq,MATCH($F370,rngEPcode,0)),""))</f>
        <v/>
      </c>
      <c r="J370" s="17">
        <f>IF($F370="","",IFERROR(INDEX(rngEPpass,MATCH($F370,rngEPcode,0)),cfgPassingScore))</f>
        <v/>
      </c>
      <c r="K370" s="16" t="n"/>
      <c r="L370" s="16" t="n"/>
      <c r="M370" s="17">
        <f>IF($C370="","",IF($L370="","",IF(NOT(ISNUMBER($L370)),$L370,IF(N($K370)&gt;2,"",IF($K370=1,IF(COUNTIFS(nrES_PID,$D370,nrES_Code,$F370,nrES_Att,2,nrES_Raw,"&gt;=0")&gt;0,"",$L370),IF($L370&gt;=$J370,MAX($J370,cfgRetakeRecordedCap),IF(COUNTIFS(nrES_PID,$D370,nrES_Code,$F370,nrES_Att,1)=0,$L370,SUMIFS(nrES_Raw,nrES_PID,$D370,nrES_Code,$F370,nrES_Att,1))))))))</f>
        <v/>
      </c>
      <c r="N370" s="17">
        <f>IF($C370="","",IF($L370="","",IF(NOT(ISNUMBER($L370)),"(not a score)",IF($L370&gt;=$J370,"Yes","No"))))</f>
        <v/>
      </c>
      <c r="O370" s="17">
        <f>IF($C370="","",IF($M370="","",IF(NOT(ISNUMBER($M370)),"(not a score)",IF($M370&gt;=$J370,"Yes","No"))))</f>
        <v/>
      </c>
      <c r="P370" s="17">
        <f>IF($C370="","",IF($K370="","",IF(N($K370)&gt;2,"No",IF(COUNTIFS(nrES_PID,$D370,nrES_Code,$F370,nrES_Att,"&gt;"&amp;$K370,nrES_Att,"&lt;=2",nrES_Raw,"&gt;=0")=0,"Yes","No"))))</f>
        <v/>
      </c>
      <c r="Q370" s="17">
        <f>IF($C370="","",IF($L370="","",IF(AND($K370=1,ISNUMBER($L370),$L370&lt;$J370,COUNTIFS(nrES_PID,$D370,nrES_Code,$F370,nrES_Att,2,nrES_Raw,"&gt;=0")=0),"Yes","No")))</f>
        <v/>
      </c>
      <c r="R370" s="17">
        <f>IF($C370="","",IF($L370="","",IF(AND(N($K370)&gt;=2,ISNUMBER($L370),$L370&lt;$J370),"Yes","No")))</f>
        <v/>
      </c>
      <c r="S370" s="18" t="n"/>
      <c r="T370" s="19">
        <f>IF(OR($C370="",$L370="",$K370&lt;&gt;1,NOT(ISNUMBER($L370)),$L370&gt;=$J370),"",IF($S370="","(enter date)",_xlfn.LET(_xlpm.dn,_xlfn.XLOOKUP($S370,nrCDdate,nrCDnum,"",1),IF(_xlpm.dn="","(after last class day)",_xlfn.LET(_xlpm.dd,_xlfn.XLOOKUP(_xlpm.dn+cfgRetestClassDays,nrCDnum,nrCDdate,""),_xlpm.ok,_xlfn.XLOOKUP(_xlpm.dn+cfgRetestClassDays,nrCDnum,nrCDinsession,"No"),IF(OR(_xlpm.dd="",_xlpm.ok&lt;&gt;"Yes"),"(after last class day)",_xlpm.dd))))))</f>
        <v/>
      </c>
      <c r="U370" s="17">
        <f>IF($C370="","",IF(AND($Y370="Excused",$L370="",N($K370)&lt;=1),"EXCUSED - 1st attempt pending",IF(OR($L370="",$K370&lt;&gt;1,NOT(ISNUMBER($L370)),$L370&gt;=$J370),"",IF(COUNTIFS(nrES_PID,$D370,nrES_Code,$F370,nrES_Att,2,nrES_Raw,"&gt;=0")&gt;0,IF(IFERROR(_xlfn.MINIFS(nrES_Date,nrES_PID,$D370,nrES_Code,$F370,nrES_Att,2,nrES_Raw,"&gt;=0",nrES_Date,"&gt;0"),0)=0,"RETEST UNDATED",IF(NOT(ISNUMBER($T370)),"RETEST DATE UNCHECKED",IF(_xlfn.MINIFS(nrES_Date,nrES_PID,$D370,nrES_Code,$F370,nrES_Att,2,nrES_Raw,"&gt;=0",nrES_Date,"&gt;0")&gt;$T370,"LATE RETEST "&amp;TEXT(_xlfn.MINIFS(nrES_Date,nrES_PID,$D370,nrES_Code,$F370,nrES_Att,2,nrES_Raw,"&gt;=0",nrES_Date,"&gt;0"),"mm/dd")&amp;" (due "&amp;TEXT($T370,"mm/dd")&amp;")","Retested"))),IF(NOT(ISNUMBER($T370)),"CHECK DATE",IF(TODAY()&gt;$T370,"OVERDUE","Due "&amp;TEXT($T370,"mm/dd")))))))</f>
        <v/>
      </c>
      <c r="V370" s="16" t="n"/>
      <c r="W370" s="16" t="n"/>
      <c r="X370" s="17">
        <f>IF($C370="","",IF(AND($L370&lt;&gt;"",NOT(ISNUMBER($L370))),"RAW SCORE NOT A NUMBER",IF(AND(ISNUMBER($L370),OR($L370&lt;0,$L370&gt;100)),"RAW SCORE OUT OF RANGE",IF(AND($Y370="Unexcused",OR($L370="",NOT(ISNUMBER($L370)),$L370&lt;&gt;0)),"UNEXCUSED ABSENCE MUST RECORD 0",IF(COUNTIF(nrES_RecID,$B370)&gt;1,"DUPLICATE RECORD",IF(N($K370)&gt;2,"ATTEMPT 3+ NOT ALLOWED - policy 300.5 permits one retest per exam; this row records nothing",IF(AND($K370=2,COUNTIFS(nrES_PID,$D370,nrES_Code,$F370,nrES_Att,1)=0),"ATTEMPT 2 WITHOUT ATTEMPT 1",IF(AND($K370=2,$L370=""),"RETEST ROW HAS NO SCORE",IF(AND($H370="Final",$L370&lt;&gt;"",IFERROR(INDEX(nrCKfinalExamElig,MATCH($D370,rngCadetPIDs,0)),"")="No"),"FINAL EXAM AFTER FAILED FINAL PT (500.1.H)",IF(AND($K370=2,ISNUMBER($L370),COUNTIFS(nrES_PID,$D370,nrES_Code,$F370,nrES_Att,1)&gt;0,SUMIFS(nrES_Raw,nrES_PID,$D370,nrES_Code,$F370,nrES_Att,1)&gt;=$J370),"RETEST AFTER A PASSING FIRST ATTEMPT","OK"))))))))))</f>
        <v/>
      </c>
      <c r="Y370" s="16" t="n"/>
    </row>
    <row r="371">
      <c r="B371" s="17">
        <f>IF($C371="","",$D371&amp;"-"&amp;$F371&amp;"-"&amp;$K371)</f>
        <v/>
      </c>
      <c r="C371" s="16" t="n"/>
      <c r="D371" s="17">
        <f>IF($C371="","",IFERROR(INDEX(rngCadetPIDs,MATCH($C371,rngCadetNames,0)),"?"))</f>
        <v/>
      </c>
      <c r="E371" s="17">
        <f>IF($D371="","",IFERROR(INDEX(nrCadetAgency,MATCH($D371,rngCadetPIDs,0)),""))</f>
        <v/>
      </c>
      <c r="F371" s="16" t="n"/>
      <c r="G371" s="17">
        <f>IF($F371="","",IFERROR(INDEX(rngEPname,MATCH($F371,rngEPcode,0)),"?"))</f>
        <v/>
      </c>
      <c r="H371" s="17">
        <f>IF($F371="","",IFERROR(INDEX(rngEPtype,MATCH($F371,rngEPcode,0)),"?"))</f>
        <v/>
      </c>
      <c r="I371" s="17">
        <f>IF($F371="","",IFERROR(INDEX(rngEPseq,MATCH($F371,rngEPcode,0)),""))</f>
        <v/>
      </c>
      <c r="J371" s="17">
        <f>IF($F371="","",IFERROR(INDEX(rngEPpass,MATCH($F371,rngEPcode,0)),cfgPassingScore))</f>
        <v/>
      </c>
      <c r="K371" s="16" t="n"/>
      <c r="L371" s="16" t="n"/>
      <c r="M371" s="17">
        <f>IF($C371="","",IF($L371="","",IF(NOT(ISNUMBER($L371)),$L371,IF(N($K371)&gt;2,"",IF($K371=1,IF(COUNTIFS(nrES_PID,$D371,nrES_Code,$F371,nrES_Att,2,nrES_Raw,"&gt;=0")&gt;0,"",$L371),IF($L371&gt;=$J371,MAX($J371,cfgRetakeRecordedCap),IF(COUNTIFS(nrES_PID,$D371,nrES_Code,$F371,nrES_Att,1)=0,$L371,SUMIFS(nrES_Raw,nrES_PID,$D371,nrES_Code,$F371,nrES_Att,1))))))))</f>
        <v/>
      </c>
      <c r="N371" s="17">
        <f>IF($C371="","",IF($L371="","",IF(NOT(ISNUMBER($L371)),"(not a score)",IF($L371&gt;=$J371,"Yes","No"))))</f>
        <v/>
      </c>
      <c r="O371" s="17">
        <f>IF($C371="","",IF($M371="","",IF(NOT(ISNUMBER($M371)),"(not a score)",IF($M371&gt;=$J371,"Yes","No"))))</f>
        <v/>
      </c>
      <c r="P371" s="17">
        <f>IF($C371="","",IF($K371="","",IF(N($K371)&gt;2,"No",IF(COUNTIFS(nrES_PID,$D371,nrES_Code,$F371,nrES_Att,"&gt;"&amp;$K371,nrES_Att,"&lt;=2",nrES_Raw,"&gt;=0")=0,"Yes","No"))))</f>
        <v/>
      </c>
      <c r="Q371" s="17">
        <f>IF($C371="","",IF($L371="","",IF(AND($K371=1,ISNUMBER($L371),$L371&lt;$J371,COUNTIFS(nrES_PID,$D371,nrES_Code,$F371,nrES_Att,2,nrES_Raw,"&gt;=0")=0),"Yes","No")))</f>
        <v/>
      </c>
      <c r="R371" s="17">
        <f>IF($C371="","",IF($L371="","",IF(AND(N($K371)&gt;=2,ISNUMBER($L371),$L371&lt;$J371),"Yes","No")))</f>
        <v/>
      </c>
      <c r="S371" s="18" t="n"/>
      <c r="T371" s="19">
        <f>IF(OR($C371="",$L371="",$K371&lt;&gt;1,NOT(ISNUMBER($L371)),$L371&gt;=$J371),"",IF($S371="","(enter date)",_xlfn.LET(_xlpm.dn,_xlfn.XLOOKUP($S371,nrCDdate,nrCDnum,"",1),IF(_xlpm.dn="","(after last class day)",_xlfn.LET(_xlpm.dd,_xlfn.XLOOKUP(_xlpm.dn+cfgRetestClassDays,nrCDnum,nrCDdate,""),_xlpm.ok,_xlfn.XLOOKUP(_xlpm.dn+cfgRetestClassDays,nrCDnum,nrCDinsession,"No"),IF(OR(_xlpm.dd="",_xlpm.ok&lt;&gt;"Yes"),"(after last class day)",_xlpm.dd))))))</f>
        <v/>
      </c>
      <c r="U371" s="17">
        <f>IF($C371="","",IF(AND($Y371="Excused",$L371="",N($K371)&lt;=1),"EXCUSED - 1st attempt pending",IF(OR($L371="",$K371&lt;&gt;1,NOT(ISNUMBER($L371)),$L371&gt;=$J371),"",IF(COUNTIFS(nrES_PID,$D371,nrES_Code,$F371,nrES_Att,2,nrES_Raw,"&gt;=0")&gt;0,IF(IFERROR(_xlfn.MINIFS(nrES_Date,nrES_PID,$D371,nrES_Code,$F371,nrES_Att,2,nrES_Raw,"&gt;=0",nrES_Date,"&gt;0"),0)=0,"RETEST UNDATED",IF(NOT(ISNUMBER($T371)),"RETEST DATE UNCHECKED",IF(_xlfn.MINIFS(nrES_Date,nrES_PID,$D371,nrES_Code,$F371,nrES_Att,2,nrES_Raw,"&gt;=0",nrES_Date,"&gt;0")&gt;$T371,"LATE RETEST "&amp;TEXT(_xlfn.MINIFS(nrES_Date,nrES_PID,$D371,nrES_Code,$F371,nrES_Att,2,nrES_Raw,"&gt;=0",nrES_Date,"&gt;0"),"mm/dd")&amp;" (due "&amp;TEXT($T371,"mm/dd")&amp;")","Retested"))),IF(NOT(ISNUMBER($T371)),"CHECK DATE",IF(TODAY()&gt;$T371,"OVERDUE","Due "&amp;TEXT($T371,"mm/dd")))))))</f>
        <v/>
      </c>
      <c r="V371" s="16" t="n"/>
      <c r="W371" s="16" t="n"/>
      <c r="X371" s="17">
        <f>IF($C371="","",IF(AND($L371&lt;&gt;"",NOT(ISNUMBER($L371))),"RAW SCORE NOT A NUMBER",IF(AND(ISNUMBER($L371),OR($L371&lt;0,$L371&gt;100)),"RAW SCORE OUT OF RANGE",IF(AND($Y371="Unexcused",OR($L371="",NOT(ISNUMBER($L371)),$L371&lt;&gt;0)),"UNEXCUSED ABSENCE MUST RECORD 0",IF(COUNTIF(nrES_RecID,$B371)&gt;1,"DUPLICATE RECORD",IF(N($K371)&gt;2,"ATTEMPT 3+ NOT ALLOWED - policy 300.5 permits one retest per exam; this row records nothing",IF(AND($K371=2,COUNTIFS(nrES_PID,$D371,nrES_Code,$F371,nrES_Att,1)=0),"ATTEMPT 2 WITHOUT ATTEMPT 1",IF(AND($K371=2,$L371=""),"RETEST ROW HAS NO SCORE",IF(AND($H371="Final",$L371&lt;&gt;"",IFERROR(INDEX(nrCKfinalExamElig,MATCH($D371,rngCadetPIDs,0)),"")="No"),"FINAL EXAM AFTER FAILED FINAL PT (500.1.H)",IF(AND($K371=2,ISNUMBER($L371),COUNTIFS(nrES_PID,$D371,nrES_Code,$F371,nrES_Att,1)&gt;0,SUMIFS(nrES_Raw,nrES_PID,$D371,nrES_Code,$F371,nrES_Att,1)&gt;=$J371),"RETEST AFTER A PASSING FIRST ATTEMPT","OK"))))))))))</f>
        <v/>
      </c>
      <c r="Y371" s="16" t="n"/>
    </row>
    <row r="372">
      <c r="B372" s="17">
        <f>IF($C372="","",$D372&amp;"-"&amp;$F372&amp;"-"&amp;$K372)</f>
        <v/>
      </c>
      <c r="C372" s="16" t="n"/>
      <c r="D372" s="17">
        <f>IF($C372="","",IFERROR(INDEX(rngCadetPIDs,MATCH($C372,rngCadetNames,0)),"?"))</f>
        <v/>
      </c>
      <c r="E372" s="17">
        <f>IF($D372="","",IFERROR(INDEX(nrCadetAgency,MATCH($D372,rngCadetPIDs,0)),""))</f>
        <v/>
      </c>
      <c r="F372" s="16" t="n"/>
      <c r="G372" s="17">
        <f>IF($F372="","",IFERROR(INDEX(rngEPname,MATCH($F372,rngEPcode,0)),"?"))</f>
        <v/>
      </c>
      <c r="H372" s="17">
        <f>IF($F372="","",IFERROR(INDEX(rngEPtype,MATCH($F372,rngEPcode,0)),"?"))</f>
        <v/>
      </c>
      <c r="I372" s="17">
        <f>IF($F372="","",IFERROR(INDEX(rngEPseq,MATCH($F372,rngEPcode,0)),""))</f>
        <v/>
      </c>
      <c r="J372" s="17">
        <f>IF($F372="","",IFERROR(INDEX(rngEPpass,MATCH($F372,rngEPcode,0)),cfgPassingScore))</f>
        <v/>
      </c>
      <c r="K372" s="16" t="n"/>
      <c r="L372" s="16" t="n"/>
      <c r="M372" s="17">
        <f>IF($C372="","",IF($L372="","",IF(NOT(ISNUMBER($L372)),$L372,IF(N($K372)&gt;2,"",IF($K372=1,IF(COUNTIFS(nrES_PID,$D372,nrES_Code,$F372,nrES_Att,2,nrES_Raw,"&gt;=0")&gt;0,"",$L372),IF($L372&gt;=$J372,MAX($J372,cfgRetakeRecordedCap),IF(COUNTIFS(nrES_PID,$D372,nrES_Code,$F372,nrES_Att,1)=0,$L372,SUMIFS(nrES_Raw,nrES_PID,$D372,nrES_Code,$F372,nrES_Att,1))))))))</f>
        <v/>
      </c>
      <c r="N372" s="17">
        <f>IF($C372="","",IF($L372="","",IF(NOT(ISNUMBER($L372)),"(not a score)",IF($L372&gt;=$J372,"Yes","No"))))</f>
        <v/>
      </c>
      <c r="O372" s="17">
        <f>IF($C372="","",IF($M372="","",IF(NOT(ISNUMBER($M372)),"(not a score)",IF($M372&gt;=$J372,"Yes","No"))))</f>
        <v/>
      </c>
      <c r="P372" s="17">
        <f>IF($C372="","",IF($K372="","",IF(N($K372)&gt;2,"No",IF(COUNTIFS(nrES_PID,$D372,nrES_Code,$F372,nrES_Att,"&gt;"&amp;$K372,nrES_Att,"&lt;=2",nrES_Raw,"&gt;=0")=0,"Yes","No"))))</f>
        <v/>
      </c>
      <c r="Q372" s="17">
        <f>IF($C372="","",IF($L372="","",IF(AND($K372=1,ISNUMBER($L372),$L372&lt;$J372,COUNTIFS(nrES_PID,$D372,nrES_Code,$F372,nrES_Att,2,nrES_Raw,"&gt;=0")=0),"Yes","No")))</f>
        <v/>
      </c>
      <c r="R372" s="17">
        <f>IF($C372="","",IF($L372="","",IF(AND(N($K372)&gt;=2,ISNUMBER($L372),$L372&lt;$J372),"Yes","No")))</f>
        <v/>
      </c>
      <c r="S372" s="18" t="n"/>
      <c r="T372" s="19">
        <f>IF(OR($C372="",$L372="",$K372&lt;&gt;1,NOT(ISNUMBER($L372)),$L372&gt;=$J372),"",IF($S372="","(enter date)",_xlfn.LET(_xlpm.dn,_xlfn.XLOOKUP($S372,nrCDdate,nrCDnum,"",1),IF(_xlpm.dn="","(after last class day)",_xlfn.LET(_xlpm.dd,_xlfn.XLOOKUP(_xlpm.dn+cfgRetestClassDays,nrCDnum,nrCDdate,""),_xlpm.ok,_xlfn.XLOOKUP(_xlpm.dn+cfgRetestClassDays,nrCDnum,nrCDinsession,"No"),IF(OR(_xlpm.dd="",_xlpm.ok&lt;&gt;"Yes"),"(after last class day)",_xlpm.dd))))))</f>
        <v/>
      </c>
      <c r="U372" s="17">
        <f>IF($C372="","",IF(AND($Y372="Excused",$L372="",N($K372)&lt;=1),"EXCUSED - 1st attempt pending",IF(OR($L372="",$K372&lt;&gt;1,NOT(ISNUMBER($L372)),$L372&gt;=$J372),"",IF(COUNTIFS(nrES_PID,$D372,nrES_Code,$F372,nrES_Att,2,nrES_Raw,"&gt;=0")&gt;0,IF(IFERROR(_xlfn.MINIFS(nrES_Date,nrES_PID,$D372,nrES_Code,$F372,nrES_Att,2,nrES_Raw,"&gt;=0",nrES_Date,"&gt;0"),0)=0,"RETEST UNDATED",IF(NOT(ISNUMBER($T372)),"RETEST DATE UNCHECKED",IF(_xlfn.MINIFS(nrES_Date,nrES_PID,$D372,nrES_Code,$F372,nrES_Att,2,nrES_Raw,"&gt;=0",nrES_Date,"&gt;0")&gt;$T372,"LATE RETEST "&amp;TEXT(_xlfn.MINIFS(nrES_Date,nrES_PID,$D372,nrES_Code,$F372,nrES_Att,2,nrES_Raw,"&gt;=0",nrES_Date,"&gt;0"),"mm/dd")&amp;" (due "&amp;TEXT($T372,"mm/dd")&amp;")","Retested"))),IF(NOT(ISNUMBER($T372)),"CHECK DATE",IF(TODAY()&gt;$T372,"OVERDUE","Due "&amp;TEXT($T372,"mm/dd")))))))</f>
        <v/>
      </c>
      <c r="V372" s="16" t="n"/>
      <c r="W372" s="16" t="n"/>
      <c r="X372" s="17">
        <f>IF($C372="","",IF(AND($L372&lt;&gt;"",NOT(ISNUMBER($L372))),"RAW SCORE NOT A NUMBER",IF(AND(ISNUMBER($L372),OR($L372&lt;0,$L372&gt;100)),"RAW SCORE OUT OF RANGE",IF(AND($Y372="Unexcused",OR($L372="",NOT(ISNUMBER($L372)),$L372&lt;&gt;0)),"UNEXCUSED ABSENCE MUST RECORD 0",IF(COUNTIF(nrES_RecID,$B372)&gt;1,"DUPLICATE RECORD",IF(N($K372)&gt;2,"ATTEMPT 3+ NOT ALLOWED - policy 300.5 permits one retest per exam; this row records nothing",IF(AND($K372=2,COUNTIFS(nrES_PID,$D372,nrES_Code,$F372,nrES_Att,1)=0),"ATTEMPT 2 WITHOUT ATTEMPT 1",IF(AND($K372=2,$L372=""),"RETEST ROW HAS NO SCORE",IF(AND($H372="Final",$L372&lt;&gt;"",IFERROR(INDEX(nrCKfinalExamElig,MATCH($D372,rngCadetPIDs,0)),"")="No"),"FINAL EXAM AFTER FAILED FINAL PT (500.1.H)",IF(AND($K372=2,ISNUMBER($L372),COUNTIFS(nrES_PID,$D372,nrES_Code,$F372,nrES_Att,1)&gt;0,SUMIFS(nrES_Raw,nrES_PID,$D372,nrES_Code,$F372,nrES_Att,1)&gt;=$J372),"RETEST AFTER A PASSING FIRST ATTEMPT","OK"))))))))))</f>
        <v/>
      </c>
      <c r="Y372" s="16" t="n"/>
    </row>
    <row r="373">
      <c r="B373" s="17">
        <f>IF($C373="","",$D373&amp;"-"&amp;$F373&amp;"-"&amp;$K373)</f>
        <v/>
      </c>
      <c r="C373" s="16" t="n"/>
      <c r="D373" s="17">
        <f>IF($C373="","",IFERROR(INDEX(rngCadetPIDs,MATCH($C373,rngCadetNames,0)),"?"))</f>
        <v/>
      </c>
      <c r="E373" s="17">
        <f>IF($D373="","",IFERROR(INDEX(nrCadetAgency,MATCH($D373,rngCadetPIDs,0)),""))</f>
        <v/>
      </c>
      <c r="F373" s="16" t="n"/>
      <c r="G373" s="17">
        <f>IF($F373="","",IFERROR(INDEX(rngEPname,MATCH($F373,rngEPcode,0)),"?"))</f>
        <v/>
      </c>
      <c r="H373" s="17">
        <f>IF($F373="","",IFERROR(INDEX(rngEPtype,MATCH($F373,rngEPcode,0)),"?"))</f>
        <v/>
      </c>
      <c r="I373" s="17">
        <f>IF($F373="","",IFERROR(INDEX(rngEPseq,MATCH($F373,rngEPcode,0)),""))</f>
        <v/>
      </c>
      <c r="J373" s="17">
        <f>IF($F373="","",IFERROR(INDEX(rngEPpass,MATCH($F373,rngEPcode,0)),cfgPassingScore))</f>
        <v/>
      </c>
      <c r="K373" s="16" t="n"/>
      <c r="L373" s="16" t="n"/>
      <c r="M373" s="17">
        <f>IF($C373="","",IF($L373="","",IF(NOT(ISNUMBER($L373)),$L373,IF(N($K373)&gt;2,"",IF($K373=1,IF(COUNTIFS(nrES_PID,$D373,nrES_Code,$F373,nrES_Att,2,nrES_Raw,"&gt;=0")&gt;0,"",$L373),IF($L373&gt;=$J373,MAX($J373,cfgRetakeRecordedCap),IF(COUNTIFS(nrES_PID,$D373,nrES_Code,$F373,nrES_Att,1)=0,$L373,SUMIFS(nrES_Raw,nrES_PID,$D373,nrES_Code,$F373,nrES_Att,1))))))))</f>
        <v/>
      </c>
      <c r="N373" s="17">
        <f>IF($C373="","",IF($L373="","",IF(NOT(ISNUMBER($L373)),"(not a score)",IF($L373&gt;=$J373,"Yes","No"))))</f>
        <v/>
      </c>
      <c r="O373" s="17">
        <f>IF($C373="","",IF($M373="","",IF(NOT(ISNUMBER($M373)),"(not a score)",IF($M373&gt;=$J373,"Yes","No"))))</f>
        <v/>
      </c>
      <c r="P373" s="17">
        <f>IF($C373="","",IF($K373="","",IF(N($K373)&gt;2,"No",IF(COUNTIFS(nrES_PID,$D373,nrES_Code,$F373,nrES_Att,"&gt;"&amp;$K373,nrES_Att,"&lt;=2",nrES_Raw,"&gt;=0")=0,"Yes","No"))))</f>
        <v/>
      </c>
      <c r="Q373" s="17">
        <f>IF($C373="","",IF($L373="","",IF(AND($K373=1,ISNUMBER($L373),$L373&lt;$J373,COUNTIFS(nrES_PID,$D373,nrES_Code,$F373,nrES_Att,2,nrES_Raw,"&gt;=0")=0),"Yes","No")))</f>
        <v/>
      </c>
      <c r="R373" s="17">
        <f>IF($C373="","",IF($L373="","",IF(AND(N($K373)&gt;=2,ISNUMBER($L373),$L373&lt;$J373),"Yes","No")))</f>
        <v/>
      </c>
      <c r="S373" s="18" t="n"/>
      <c r="T373" s="19">
        <f>IF(OR($C373="",$L373="",$K373&lt;&gt;1,NOT(ISNUMBER($L373)),$L373&gt;=$J373),"",IF($S373="","(enter date)",_xlfn.LET(_xlpm.dn,_xlfn.XLOOKUP($S373,nrCDdate,nrCDnum,"",1),IF(_xlpm.dn="","(after last class day)",_xlfn.LET(_xlpm.dd,_xlfn.XLOOKUP(_xlpm.dn+cfgRetestClassDays,nrCDnum,nrCDdate,""),_xlpm.ok,_xlfn.XLOOKUP(_xlpm.dn+cfgRetestClassDays,nrCDnum,nrCDinsession,"No"),IF(OR(_xlpm.dd="",_xlpm.ok&lt;&gt;"Yes"),"(after last class day)",_xlpm.dd))))))</f>
        <v/>
      </c>
      <c r="U373" s="17">
        <f>IF($C373="","",IF(AND($Y373="Excused",$L373="",N($K373)&lt;=1),"EXCUSED - 1st attempt pending",IF(OR($L373="",$K373&lt;&gt;1,NOT(ISNUMBER($L373)),$L373&gt;=$J373),"",IF(COUNTIFS(nrES_PID,$D373,nrES_Code,$F373,nrES_Att,2,nrES_Raw,"&gt;=0")&gt;0,IF(IFERROR(_xlfn.MINIFS(nrES_Date,nrES_PID,$D373,nrES_Code,$F373,nrES_Att,2,nrES_Raw,"&gt;=0",nrES_Date,"&gt;0"),0)=0,"RETEST UNDATED",IF(NOT(ISNUMBER($T373)),"RETEST DATE UNCHECKED",IF(_xlfn.MINIFS(nrES_Date,nrES_PID,$D373,nrES_Code,$F373,nrES_Att,2,nrES_Raw,"&gt;=0",nrES_Date,"&gt;0")&gt;$T373,"LATE RETEST "&amp;TEXT(_xlfn.MINIFS(nrES_Date,nrES_PID,$D373,nrES_Code,$F373,nrES_Att,2,nrES_Raw,"&gt;=0",nrES_Date,"&gt;0"),"mm/dd")&amp;" (due "&amp;TEXT($T373,"mm/dd")&amp;")","Retested"))),IF(NOT(ISNUMBER($T373)),"CHECK DATE",IF(TODAY()&gt;$T373,"OVERDUE","Due "&amp;TEXT($T373,"mm/dd")))))))</f>
        <v/>
      </c>
      <c r="V373" s="16" t="n"/>
      <c r="W373" s="16" t="n"/>
      <c r="X373" s="17">
        <f>IF($C373="","",IF(AND($L373&lt;&gt;"",NOT(ISNUMBER($L373))),"RAW SCORE NOT A NUMBER",IF(AND(ISNUMBER($L373),OR($L373&lt;0,$L373&gt;100)),"RAW SCORE OUT OF RANGE",IF(AND($Y373="Unexcused",OR($L373="",NOT(ISNUMBER($L373)),$L373&lt;&gt;0)),"UNEXCUSED ABSENCE MUST RECORD 0",IF(COUNTIF(nrES_RecID,$B373)&gt;1,"DUPLICATE RECORD",IF(N($K373)&gt;2,"ATTEMPT 3+ NOT ALLOWED - policy 300.5 permits one retest per exam; this row records nothing",IF(AND($K373=2,COUNTIFS(nrES_PID,$D373,nrES_Code,$F373,nrES_Att,1)=0),"ATTEMPT 2 WITHOUT ATTEMPT 1",IF(AND($K373=2,$L373=""),"RETEST ROW HAS NO SCORE",IF(AND($H373="Final",$L373&lt;&gt;"",IFERROR(INDEX(nrCKfinalExamElig,MATCH($D373,rngCadetPIDs,0)),"")="No"),"FINAL EXAM AFTER FAILED FINAL PT (500.1.H)",IF(AND($K373=2,ISNUMBER($L373),COUNTIFS(nrES_PID,$D373,nrES_Code,$F373,nrES_Att,1)&gt;0,SUMIFS(nrES_Raw,nrES_PID,$D373,nrES_Code,$F373,nrES_Att,1)&gt;=$J373),"RETEST AFTER A PASSING FIRST ATTEMPT","OK"))))))))))</f>
        <v/>
      </c>
      <c r="Y373" s="16" t="n"/>
    </row>
    <row r="374">
      <c r="B374" s="17">
        <f>IF($C374="","",$D374&amp;"-"&amp;$F374&amp;"-"&amp;$K374)</f>
        <v/>
      </c>
      <c r="C374" s="16" t="n"/>
      <c r="D374" s="17">
        <f>IF($C374="","",IFERROR(INDEX(rngCadetPIDs,MATCH($C374,rngCadetNames,0)),"?"))</f>
        <v/>
      </c>
      <c r="E374" s="17">
        <f>IF($D374="","",IFERROR(INDEX(nrCadetAgency,MATCH($D374,rngCadetPIDs,0)),""))</f>
        <v/>
      </c>
      <c r="F374" s="16" t="n"/>
      <c r="G374" s="17">
        <f>IF($F374="","",IFERROR(INDEX(rngEPname,MATCH($F374,rngEPcode,0)),"?"))</f>
        <v/>
      </c>
      <c r="H374" s="17">
        <f>IF($F374="","",IFERROR(INDEX(rngEPtype,MATCH($F374,rngEPcode,0)),"?"))</f>
        <v/>
      </c>
      <c r="I374" s="17">
        <f>IF($F374="","",IFERROR(INDEX(rngEPseq,MATCH($F374,rngEPcode,0)),""))</f>
        <v/>
      </c>
      <c r="J374" s="17">
        <f>IF($F374="","",IFERROR(INDEX(rngEPpass,MATCH($F374,rngEPcode,0)),cfgPassingScore))</f>
        <v/>
      </c>
      <c r="K374" s="16" t="n"/>
      <c r="L374" s="16" t="n"/>
      <c r="M374" s="17">
        <f>IF($C374="","",IF($L374="","",IF(NOT(ISNUMBER($L374)),$L374,IF(N($K374)&gt;2,"",IF($K374=1,IF(COUNTIFS(nrES_PID,$D374,nrES_Code,$F374,nrES_Att,2,nrES_Raw,"&gt;=0")&gt;0,"",$L374),IF($L374&gt;=$J374,MAX($J374,cfgRetakeRecordedCap),IF(COUNTIFS(nrES_PID,$D374,nrES_Code,$F374,nrES_Att,1)=0,$L374,SUMIFS(nrES_Raw,nrES_PID,$D374,nrES_Code,$F374,nrES_Att,1))))))))</f>
        <v/>
      </c>
      <c r="N374" s="17">
        <f>IF($C374="","",IF($L374="","",IF(NOT(ISNUMBER($L374)),"(not a score)",IF($L374&gt;=$J374,"Yes","No"))))</f>
        <v/>
      </c>
      <c r="O374" s="17">
        <f>IF($C374="","",IF($M374="","",IF(NOT(ISNUMBER($M374)),"(not a score)",IF($M374&gt;=$J374,"Yes","No"))))</f>
        <v/>
      </c>
      <c r="P374" s="17">
        <f>IF($C374="","",IF($K374="","",IF(N($K374)&gt;2,"No",IF(COUNTIFS(nrES_PID,$D374,nrES_Code,$F374,nrES_Att,"&gt;"&amp;$K374,nrES_Att,"&lt;=2",nrES_Raw,"&gt;=0")=0,"Yes","No"))))</f>
        <v/>
      </c>
      <c r="Q374" s="17">
        <f>IF($C374="","",IF($L374="","",IF(AND($K374=1,ISNUMBER($L374),$L374&lt;$J374,COUNTIFS(nrES_PID,$D374,nrES_Code,$F374,nrES_Att,2,nrES_Raw,"&gt;=0")=0),"Yes","No")))</f>
        <v/>
      </c>
      <c r="R374" s="17">
        <f>IF($C374="","",IF($L374="","",IF(AND(N($K374)&gt;=2,ISNUMBER($L374),$L374&lt;$J374),"Yes","No")))</f>
        <v/>
      </c>
      <c r="S374" s="18" t="n"/>
      <c r="T374" s="19">
        <f>IF(OR($C374="",$L374="",$K374&lt;&gt;1,NOT(ISNUMBER($L374)),$L374&gt;=$J374),"",IF($S374="","(enter date)",_xlfn.LET(_xlpm.dn,_xlfn.XLOOKUP($S374,nrCDdate,nrCDnum,"",1),IF(_xlpm.dn="","(after last class day)",_xlfn.LET(_xlpm.dd,_xlfn.XLOOKUP(_xlpm.dn+cfgRetestClassDays,nrCDnum,nrCDdate,""),_xlpm.ok,_xlfn.XLOOKUP(_xlpm.dn+cfgRetestClassDays,nrCDnum,nrCDinsession,"No"),IF(OR(_xlpm.dd="",_xlpm.ok&lt;&gt;"Yes"),"(after last class day)",_xlpm.dd))))))</f>
        <v/>
      </c>
      <c r="U374" s="17">
        <f>IF($C374="","",IF(AND($Y374="Excused",$L374="",N($K374)&lt;=1),"EXCUSED - 1st attempt pending",IF(OR($L374="",$K374&lt;&gt;1,NOT(ISNUMBER($L374)),$L374&gt;=$J374),"",IF(COUNTIFS(nrES_PID,$D374,nrES_Code,$F374,nrES_Att,2,nrES_Raw,"&gt;=0")&gt;0,IF(IFERROR(_xlfn.MINIFS(nrES_Date,nrES_PID,$D374,nrES_Code,$F374,nrES_Att,2,nrES_Raw,"&gt;=0",nrES_Date,"&gt;0"),0)=0,"RETEST UNDATED",IF(NOT(ISNUMBER($T374)),"RETEST DATE UNCHECKED",IF(_xlfn.MINIFS(nrES_Date,nrES_PID,$D374,nrES_Code,$F374,nrES_Att,2,nrES_Raw,"&gt;=0",nrES_Date,"&gt;0")&gt;$T374,"LATE RETEST "&amp;TEXT(_xlfn.MINIFS(nrES_Date,nrES_PID,$D374,nrES_Code,$F374,nrES_Att,2,nrES_Raw,"&gt;=0",nrES_Date,"&gt;0"),"mm/dd")&amp;" (due "&amp;TEXT($T374,"mm/dd")&amp;")","Retested"))),IF(NOT(ISNUMBER($T374)),"CHECK DATE",IF(TODAY()&gt;$T374,"OVERDUE","Due "&amp;TEXT($T374,"mm/dd")))))))</f>
        <v/>
      </c>
      <c r="V374" s="16" t="n"/>
      <c r="W374" s="16" t="n"/>
      <c r="X374" s="17">
        <f>IF($C374="","",IF(AND($L374&lt;&gt;"",NOT(ISNUMBER($L374))),"RAW SCORE NOT A NUMBER",IF(AND(ISNUMBER($L374),OR($L374&lt;0,$L374&gt;100)),"RAW SCORE OUT OF RANGE",IF(AND($Y374="Unexcused",OR($L374="",NOT(ISNUMBER($L374)),$L374&lt;&gt;0)),"UNEXCUSED ABSENCE MUST RECORD 0",IF(COUNTIF(nrES_RecID,$B374)&gt;1,"DUPLICATE RECORD",IF(N($K374)&gt;2,"ATTEMPT 3+ NOT ALLOWED - policy 300.5 permits one retest per exam; this row records nothing",IF(AND($K374=2,COUNTIFS(nrES_PID,$D374,nrES_Code,$F374,nrES_Att,1)=0),"ATTEMPT 2 WITHOUT ATTEMPT 1",IF(AND($K374=2,$L374=""),"RETEST ROW HAS NO SCORE",IF(AND($H374="Final",$L374&lt;&gt;"",IFERROR(INDEX(nrCKfinalExamElig,MATCH($D374,rngCadetPIDs,0)),"")="No"),"FINAL EXAM AFTER FAILED FINAL PT (500.1.H)",IF(AND($K374=2,ISNUMBER($L374),COUNTIFS(nrES_PID,$D374,nrES_Code,$F374,nrES_Att,1)&gt;0,SUMIFS(nrES_Raw,nrES_PID,$D374,nrES_Code,$F374,nrES_Att,1)&gt;=$J374),"RETEST AFTER A PASSING FIRST ATTEMPT","OK"))))))))))</f>
        <v/>
      </c>
      <c r="Y374" s="16" t="n"/>
    </row>
    <row r="375">
      <c r="B375" s="17">
        <f>IF($C375="","",$D375&amp;"-"&amp;$F375&amp;"-"&amp;$K375)</f>
        <v/>
      </c>
      <c r="C375" s="16" t="n"/>
      <c r="D375" s="17">
        <f>IF($C375="","",IFERROR(INDEX(rngCadetPIDs,MATCH($C375,rngCadetNames,0)),"?"))</f>
        <v/>
      </c>
      <c r="E375" s="17">
        <f>IF($D375="","",IFERROR(INDEX(nrCadetAgency,MATCH($D375,rngCadetPIDs,0)),""))</f>
        <v/>
      </c>
      <c r="F375" s="16" t="n"/>
      <c r="G375" s="17">
        <f>IF($F375="","",IFERROR(INDEX(rngEPname,MATCH($F375,rngEPcode,0)),"?"))</f>
        <v/>
      </c>
      <c r="H375" s="17">
        <f>IF($F375="","",IFERROR(INDEX(rngEPtype,MATCH($F375,rngEPcode,0)),"?"))</f>
        <v/>
      </c>
      <c r="I375" s="17">
        <f>IF($F375="","",IFERROR(INDEX(rngEPseq,MATCH($F375,rngEPcode,0)),""))</f>
        <v/>
      </c>
      <c r="J375" s="17">
        <f>IF($F375="","",IFERROR(INDEX(rngEPpass,MATCH($F375,rngEPcode,0)),cfgPassingScore))</f>
        <v/>
      </c>
      <c r="K375" s="16" t="n"/>
      <c r="L375" s="16" t="n"/>
      <c r="M375" s="17">
        <f>IF($C375="","",IF($L375="","",IF(NOT(ISNUMBER($L375)),$L375,IF(N($K375)&gt;2,"",IF($K375=1,IF(COUNTIFS(nrES_PID,$D375,nrES_Code,$F375,nrES_Att,2,nrES_Raw,"&gt;=0")&gt;0,"",$L375),IF($L375&gt;=$J375,MAX($J375,cfgRetakeRecordedCap),IF(COUNTIFS(nrES_PID,$D375,nrES_Code,$F375,nrES_Att,1)=0,$L375,SUMIFS(nrES_Raw,nrES_PID,$D375,nrES_Code,$F375,nrES_Att,1))))))))</f>
        <v/>
      </c>
      <c r="N375" s="17">
        <f>IF($C375="","",IF($L375="","",IF(NOT(ISNUMBER($L375)),"(not a score)",IF($L375&gt;=$J375,"Yes","No"))))</f>
        <v/>
      </c>
      <c r="O375" s="17">
        <f>IF($C375="","",IF($M375="","",IF(NOT(ISNUMBER($M375)),"(not a score)",IF($M375&gt;=$J375,"Yes","No"))))</f>
        <v/>
      </c>
      <c r="P375" s="17">
        <f>IF($C375="","",IF($K375="","",IF(N($K375)&gt;2,"No",IF(COUNTIFS(nrES_PID,$D375,nrES_Code,$F375,nrES_Att,"&gt;"&amp;$K375,nrES_Att,"&lt;=2",nrES_Raw,"&gt;=0")=0,"Yes","No"))))</f>
        <v/>
      </c>
      <c r="Q375" s="17">
        <f>IF($C375="","",IF($L375="","",IF(AND($K375=1,ISNUMBER($L375),$L375&lt;$J375,COUNTIFS(nrES_PID,$D375,nrES_Code,$F375,nrES_Att,2,nrES_Raw,"&gt;=0")=0),"Yes","No")))</f>
        <v/>
      </c>
      <c r="R375" s="17">
        <f>IF($C375="","",IF($L375="","",IF(AND(N($K375)&gt;=2,ISNUMBER($L375),$L375&lt;$J375),"Yes","No")))</f>
        <v/>
      </c>
      <c r="S375" s="18" t="n"/>
      <c r="T375" s="19">
        <f>IF(OR($C375="",$L375="",$K375&lt;&gt;1,NOT(ISNUMBER($L375)),$L375&gt;=$J375),"",IF($S375="","(enter date)",_xlfn.LET(_xlpm.dn,_xlfn.XLOOKUP($S375,nrCDdate,nrCDnum,"",1),IF(_xlpm.dn="","(after last class day)",_xlfn.LET(_xlpm.dd,_xlfn.XLOOKUP(_xlpm.dn+cfgRetestClassDays,nrCDnum,nrCDdate,""),_xlpm.ok,_xlfn.XLOOKUP(_xlpm.dn+cfgRetestClassDays,nrCDnum,nrCDinsession,"No"),IF(OR(_xlpm.dd="",_xlpm.ok&lt;&gt;"Yes"),"(after last class day)",_xlpm.dd))))))</f>
        <v/>
      </c>
      <c r="U375" s="17">
        <f>IF($C375="","",IF(AND($Y375="Excused",$L375="",N($K375)&lt;=1),"EXCUSED - 1st attempt pending",IF(OR($L375="",$K375&lt;&gt;1,NOT(ISNUMBER($L375)),$L375&gt;=$J375),"",IF(COUNTIFS(nrES_PID,$D375,nrES_Code,$F375,nrES_Att,2,nrES_Raw,"&gt;=0")&gt;0,IF(IFERROR(_xlfn.MINIFS(nrES_Date,nrES_PID,$D375,nrES_Code,$F375,nrES_Att,2,nrES_Raw,"&gt;=0",nrES_Date,"&gt;0"),0)=0,"RETEST UNDATED",IF(NOT(ISNUMBER($T375)),"RETEST DATE UNCHECKED",IF(_xlfn.MINIFS(nrES_Date,nrES_PID,$D375,nrES_Code,$F375,nrES_Att,2,nrES_Raw,"&gt;=0",nrES_Date,"&gt;0")&gt;$T375,"LATE RETEST "&amp;TEXT(_xlfn.MINIFS(nrES_Date,nrES_PID,$D375,nrES_Code,$F375,nrES_Att,2,nrES_Raw,"&gt;=0",nrES_Date,"&gt;0"),"mm/dd")&amp;" (due "&amp;TEXT($T375,"mm/dd")&amp;")","Retested"))),IF(NOT(ISNUMBER($T375)),"CHECK DATE",IF(TODAY()&gt;$T375,"OVERDUE","Due "&amp;TEXT($T375,"mm/dd")))))))</f>
        <v/>
      </c>
      <c r="V375" s="16" t="n"/>
      <c r="W375" s="16" t="n"/>
      <c r="X375" s="17">
        <f>IF($C375="","",IF(AND($L375&lt;&gt;"",NOT(ISNUMBER($L375))),"RAW SCORE NOT A NUMBER",IF(AND(ISNUMBER($L375),OR($L375&lt;0,$L375&gt;100)),"RAW SCORE OUT OF RANGE",IF(AND($Y375="Unexcused",OR($L375="",NOT(ISNUMBER($L375)),$L375&lt;&gt;0)),"UNEXCUSED ABSENCE MUST RECORD 0",IF(COUNTIF(nrES_RecID,$B375)&gt;1,"DUPLICATE RECORD",IF(N($K375)&gt;2,"ATTEMPT 3+ NOT ALLOWED - policy 300.5 permits one retest per exam; this row records nothing",IF(AND($K375=2,COUNTIFS(nrES_PID,$D375,nrES_Code,$F375,nrES_Att,1)=0),"ATTEMPT 2 WITHOUT ATTEMPT 1",IF(AND($K375=2,$L375=""),"RETEST ROW HAS NO SCORE",IF(AND($H375="Final",$L375&lt;&gt;"",IFERROR(INDEX(nrCKfinalExamElig,MATCH($D375,rngCadetPIDs,0)),"")="No"),"FINAL EXAM AFTER FAILED FINAL PT (500.1.H)",IF(AND($K375=2,ISNUMBER($L375),COUNTIFS(nrES_PID,$D375,nrES_Code,$F375,nrES_Att,1)&gt;0,SUMIFS(nrES_Raw,nrES_PID,$D375,nrES_Code,$F375,nrES_Att,1)&gt;=$J375),"RETEST AFTER A PASSING FIRST ATTEMPT","OK"))))))))))</f>
        <v/>
      </c>
      <c r="Y375" s="16" t="n"/>
    </row>
    <row r="376">
      <c r="B376" s="17">
        <f>IF($C376="","",$D376&amp;"-"&amp;$F376&amp;"-"&amp;$K376)</f>
        <v/>
      </c>
      <c r="C376" s="16" t="n"/>
      <c r="D376" s="17">
        <f>IF($C376="","",IFERROR(INDEX(rngCadetPIDs,MATCH($C376,rngCadetNames,0)),"?"))</f>
        <v/>
      </c>
      <c r="E376" s="17">
        <f>IF($D376="","",IFERROR(INDEX(nrCadetAgency,MATCH($D376,rngCadetPIDs,0)),""))</f>
        <v/>
      </c>
      <c r="F376" s="16" t="n"/>
      <c r="G376" s="17">
        <f>IF($F376="","",IFERROR(INDEX(rngEPname,MATCH($F376,rngEPcode,0)),"?"))</f>
        <v/>
      </c>
      <c r="H376" s="17">
        <f>IF($F376="","",IFERROR(INDEX(rngEPtype,MATCH($F376,rngEPcode,0)),"?"))</f>
        <v/>
      </c>
      <c r="I376" s="17">
        <f>IF($F376="","",IFERROR(INDEX(rngEPseq,MATCH($F376,rngEPcode,0)),""))</f>
        <v/>
      </c>
      <c r="J376" s="17">
        <f>IF($F376="","",IFERROR(INDEX(rngEPpass,MATCH($F376,rngEPcode,0)),cfgPassingScore))</f>
        <v/>
      </c>
      <c r="K376" s="16" t="n"/>
      <c r="L376" s="16" t="n"/>
      <c r="M376" s="17">
        <f>IF($C376="","",IF($L376="","",IF(NOT(ISNUMBER($L376)),$L376,IF(N($K376)&gt;2,"",IF($K376=1,IF(COUNTIFS(nrES_PID,$D376,nrES_Code,$F376,nrES_Att,2,nrES_Raw,"&gt;=0")&gt;0,"",$L376),IF($L376&gt;=$J376,MAX($J376,cfgRetakeRecordedCap),IF(COUNTIFS(nrES_PID,$D376,nrES_Code,$F376,nrES_Att,1)=0,$L376,SUMIFS(nrES_Raw,nrES_PID,$D376,nrES_Code,$F376,nrES_Att,1))))))))</f>
        <v/>
      </c>
      <c r="N376" s="17">
        <f>IF($C376="","",IF($L376="","",IF(NOT(ISNUMBER($L376)),"(not a score)",IF($L376&gt;=$J376,"Yes","No"))))</f>
        <v/>
      </c>
      <c r="O376" s="17">
        <f>IF($C376="","",IF($M376="","",IF(NOT(ISNUMBER($M376)),"(not a score)",IF($M376&gt;=$J376,"Yes","No"))))</f>
        <v/>
      </c>
      <c r="P376" s="17">
        <f>IF($C376="","",IF($K376="","",IF(N($K376)&gt;2,"No",IF(COUNTIFS(nrES_PID,$D376,nrES_Code,$F376,nrES_Att,"&gt;"&amp;$K376,nrES_Att,"&lt;=2",nrES_Raw,"&gt;=0")=0,"Yes","No"))))</f>
        <v/>
      </c>
      <c r="Q376" s="17">
        <f>IF($C376="","",IF($L376="","",IF(AND($K376=1,ISNUMBER($L376),$L376&lt;$J376,COUNTIFS(nrES_PID,$D376,nrES_Code,$F376,nrES_Att,2,nrES_Raw,"&gt;=0")=0),"Yes","No")))</f>
        <v/>
      </c>
      <c r="R376" s="17">
        <f>IF($C376="","",IF($L376="","",IF(AND(N($K376)&gt;=2,ISNUMBER($L376),$L376&lt;$J376),"Yes","No")))</f>
        <v/>
      </c>
      <c r="S376" s="18" t="n"/>
      <c r="T376" s="19">
        <f>IF(OR($C376="",$L376="",$K376&lt;&gt;1,NOT(ISNUMBER($L376)),$L376&gt;=$J376),"",IF($S376="","(enter date)",_xlfn.LET(_xlpm.dn,_xlfn.XLOOKUP($S376,nrCDdate,nrCDnum,"",1),IF(_xlpm.dn="","(after last class day)",_xlfn.LET(_xlpm.dd,_xlfn.XLOOKUP(_xlpm.dn+cfgRetestClassDays,nrCDnum,nrCDdate,""),_xlpm.ok,_xlfn.XLOOKUP(_xlpm.dn+cfgRetestClassDays,nrCDnum,nrCDinsession,"No"),IF(OR(_xlpm.dd="",_xlpm.ok&lt;&gt;"Yes"),"(after last class day)",_xlpm.dd))))))</f>
        <v/>
      </c>
      <c r="U376" s="17">
        <f>IF($C376="","",IF(AND($Y376="Excused",$L376="",N($K376)&lt;=1),"EXCUSED - 1st attempt pending",IF(OR($L376="",$K376&lt;&gt;1,NOT(ISNUMBER($L376)),$L376&gt;=$J376),"",IF(COUNTIFS(nrES_PID,$D376,nrES_Code,$F376,nrES_Att,2,nrES_Raw,"&gt;=0")&gt;0,IF(IFERROR(_xlfn.MINIFS(nrES_Date,nrES_PID,$D376,nrES_Code,$F376,nrES_Att,2,nrES_Raw,"&gt;=0",nrES_Date,"&gt;0"),0)=0,"RETEST UNDATED",IF(NOT(ISNUMBER($T376)),"RETEST DATE UNCHECKED",IF(_xlfn.MINIFS(nrES_Date,nrES_PID,$D376,nrES_Code,$F376,nrES_Att,2,nrES_Raw,"&gt;=0",nrES_Date,"&gt;0")&gt;$T376,"LATE RETEST "&amp;TEXT(_xlfn.MINIFS(nrES_Date,nrES_PID,$D376,nrES_Code,$F376,nrES_Att,2,nrES_Raw,"&gt;=0",nrES_Date,"&gt;0"),"mm/dd")&amp;" (due "&amp;TEXT($T376,"mm/dd")&amp;")","Retested"))),IF(NOT(ISNUMBER($T376)),"CHECK DATE",IF(TODAY()&gt;$T376,"OVERDUE","Due "&amp;TEXT($T376,"mm/dd")))))))</f>
        <v/>
      </c>
      <c r="V376" s="16" t="n"/>
      <c r="W376" s="16" t="n"/>
      <c r="X376" s="17">
        <f>IF($C376="","",IF(AND($L376&lt;&gt;"",NOT(ISNUMBER($L376))),"RAW SCORE NOT A NUMBER",IF(AND(ISNUMBER($L376),OR($L376&lt;0,$L376&gt;100)),"RAW SCORE OUT OF RANGE",IF(AND($Y376="Unexcused",OR($L376="",NOT(ISNUMBER($L376)),$L376&lt;&gt;0)),"UNEXCUSED ABSENCE MUST RECORD 0",IF(COUNTIF(nrES_RecID,$B376)&gt;1,"DUPLICATE RECORD",IF(N($K376)&gt;2,"ATTEMPT 3+ NOT ALLOWED - policy 300.5 permits one retest per exam; this row records nothing",IF(AND($K376=2,COUNTIFS(nrES_PID,$D376,nrES_Code,$F376,nrES_Att,1)=0),"ATTEMPT 2 WITHOUT ATTEMPT 1",IF(AND($K376=2,$L376=""),"RETEST ROW HAS NO SCORE",IF(AND($H376="Final",$L376&lt;&gt;"",IFERROR(INDEX(nrCKfinalExamElig,MATCH($D376,rngCadetPIDs,0)),"")="No"),"FINAL EXAM AFTER FAILED FINAL PT (500.1.H)",IF(AND($K376=2,ISNUMBER($L376),COUNTIFS(nrES_PID,$D376,nrES_Code,$F376,nrES_Att,1)&gt;0,SUMIFS(nrES_Raw,nrES_PID,$D376,nrES_Code,$F376,nrES_Att,1)&gt;=$J376),"RETEST AFTER A PASSING FIRST ATTEMPT","OK"))))))))))</f>
        <v/>
      </c>
      <c r="Y376" s="16" t="n"/>
    </row>
    <row r="377">
      <c r="B377" s="17">
        <f>IF($C377="","",$D377&amp;"-"&amp;$F377&amp;"-"&amp;$K377)</f>
        <v/>
      </c>
      <c r="C377" s="16" t="n"/>
      <c r="D377" s="17">
        <f>IF($C377="","",IFERROR(INDEX(rngCadetPIDs,MATCH($C377,rngCadetNames,0)),"?"))</f>
        <v/>
      </c>
      <c r="E377" s="17">
        <f>IF($D377="","",IFERROR(INDEX(nrCadetAgency,MATCH($D377,rngCadetPIDs,0)),""))</f>
        <v/>
      </c>
      <c r="F377" s="16" t="n"/>
      <c r="G377" s="17">
        <f>IF($F377="","",IFERROR(INDEX(rngEPname,MATCH($F377,rngEPcode,0)),"?"))</f>
        <v/>
      </c>
      <c r="H377" s="17">
        <f>IF($F377="","",IFERROR(INDEX(rngEPtype,MATCH($F377,rngEPcode,0)),"?"))</f>
        <v/>
      </c>
      <c r="I377" s="17">
        <f>IF($F377="","",IFERROR(INDEX(rngEPseq,MATCH($F377,rngEPcode,0)),""))</f>
        <v/>
      </c>
      <c r="J377" s="17">
        <f>IF($F377="","",IFERROR(INDEX(rngEPpass,MATCH($F377,rngEPcode,0)),cfgPassingScore))</f>
        <v/>
      </c>
      <c r="K377" s="16" t="n"/>
      <c r="L377" s="16" t="n"/>
      <c r="M377" s="17">
        <f>IF($C377="","",IF($L377="","",IF(NOT(ISNUMBER($L377)),$L377,IF(N($K377)&gt;2,"",IF($K377=1,IF(COUNTIFS(nrES_PID,$D377,nrES_Code,$F377,nrES_Att,2,nrES_Raw,"&gt;=0")&gt;0,"",$L377),IF($L377&gt;=$J377,MAX($J377,cfgRetakeRecordedCap),IF(COUNTIFS(nrES_PID,$D377,nrES_Code,$F377,nrES_Att,1)=0,$L377,SUMIFS(nrES_Raw,nrES_PID,$D377,nrES_Code,$F377,nrES_Att,1))))))))</f>
        <v/>
      </c>
      <c r="N377" s="17">
        <f>IF($C377="","",IF($L377="","",IF(NOT(ISNUMBER($L377)),"(not a score)",IF($L377&gt;=$J377,"Yes","No"))))</f>
        <v/>
      </c>
      <c r="O377" s="17">
        <f>IF($C377="","",IF($M377="","",IF(NOT(ISNUMBER($M377)),"(not a score)",IF($M377&gt;=$J377,"Yes","No"))))</f>
        <v/>
      </c>
      <c r="P377" s="17">
        <f>IF($C377="","",IF($K377="","",IF(N($K377)&gt;2,"No",IF(COUNTIFS(nrES_PID,$D377,nrES_Code,$F377,nrES_Att,"&gt;"&amp;$K377,nrES_Att,"&lt;=2",nrES_Raw,"&gt;=0")=0,"Yes","No"))))</f>
        <v/>
      </c>
      <c r="Q377" s="17">
        <f>IF($C377="","",IF($L377="","",IF(AND($K377=1,ISNUMBER($L377),$L377&lt;$J377,COUNTIFS(nrES_PID,$D377,nrES_Code,$F377,nrES_Att,2,nrES_Raw,"&gt;=0")=0),"Yes","No")))</f>
        <v/>
      </c>
      <c r="R377" s="17">
        <f>IF($C377="","",IF($L377="","",IF(AND(N($K377)&gt;=2,ISNUMBER($L377),$L377&lt;$J377),"Yes","No")))</f>
        <v/>
      </c>
      <c r="S377" s="18" t="n"/>
      <c r="T377" s="19">
        <f>IF(OR($C377="",$L377="",$K377&lt;&gt;1,NOT(ISNUMBER($L377)),$L377&gt;=$J377),"",IF($S377="","(enter date)",_xlfn.LET(_xlpm.dn,_xlfn.XLOOKUP($S377,nrCDdate,nrCDnum,"",1),IF(_xlpm.dn="","(after last class day)",_xlfn.LET(_xlpm.dd,_xlfn.XLOOKUP(_xlpm.dn+cfgRetestClassDays,nrCDnum,nrCDdate,""),_xlpm.ok,_xlfn.XLOOKUP(_xlpm.dn+cfgRetestClassDays,nrCDnum,nrCDinsession,"No"),IF(OR(_xlpm.dd="",_xlpm.ok&lt;&gt;"Yes"),"(after last class day)",_xlpm.dd))))))</f>
        <v/>
      </c>
      <c r="U377" s="17">
        <f>IF($C377="","",IF(AND($Y377="Excused",$L377="",N($K377)&lt;=1),"EXCUSED - 1st attempt pending",IF(OR($L377="",$K377&lt;&gt;1,NOT(ISNUMBER($L377)),$L377&gt;=$J377),"",IF(COUNTIFS(nrES_PID,$D377,nrES_Code,$F377,nrES_Att,2,nrES_Raw,"&gt;=0")&gt;0,IF(IFERROR(_xlfn.MINIFS(nrES_Date,nrES_PID,$D377,nrES_Code,$F377,nrES_Att,2,nrES_Raw,"&gt;=0",nrES_Date,"&gt;0"),0)=0,"RETEST UNDATED",IF(NOT(ISNUMBER($T377)),"RETEST DATE UNCHECKED",IF(_xlfn.MINIFS(nrES_Date,nrES_PID,$D377,nrES_Code,$F377,nrES_Att,2,nrES_Raw,"&gt;=0",nrES_Date,"&gt;0")&gt;$T377,"LATE RETEST "&amp;TEXT(_xlfn.MINIFS(nrES_Date,nrES_PID,$D377,nrES_Code,$F377,nrES_Att,2,nrES_Raw,"&gt;=0",nrES_Date,"&gt;0"),"mm/dd")&amp;" (due "&amp;TEXT($T377,"mm/dd")&amp;")","Retested"))),IF(NOT(ISNUMBER($T377)),"CHECK DATE",IF(TODAY()&gt;$T377,"OVERDUE","Due "&amp;TEXT($T377,"mm/dd")))))))</f>
        <v/>
      </c>
      <c r="V377" s="16" t="n"/>
      <c r="W377" s="16" t="n"/>
      <c r="X377" s="17">
        <f>IF($C377="","",IF(AND($L377&lt;&gt;"",NOT(ISNUMBER($L377))),"RAW SCORE NOT A NUMBER",IF(AND(ISNUMBER($L377),OR($L377&lt;0,$L377&gt;100)),"RAW SCORE OUT OF RANGE",IF(AND($Y377="Unexcused",OR($L377="",NOT(ISNUMBER($L377)),$L377&lt;&gt;0)),"UNEXCUSED ABSENCE MUST RECORD 0",IF(COUNTIF(nrES_RecID,$B377)&gt;1,"DUPLICATE RECORD",IF(N($K377)&gt;2,"ATTEMPT 3+ NOT ALLOWED - policy 300.5 permits one retest per exam; this row records nothing",IF(AND($K377=2,COUNTIFS(nrES_PID,$D377,nrES_Code,$F377,nrES_Att,1)=0),"ATTEMPT 2 WITHOUT ATTEMPT 1",IF(AND($K377=2,$L377=""),"RETEST ROW HAS NO SCORE",IF(AND($H377="Final",$L377&lt;&gt;"",IFERROR(INDEX(nrCKfinalExamElig,MATCH($D377,rngCadetPIDs,0)),"")="No"),"FINAL EXAM AFTER FAILED FINAL PT (500.1.H)",IF(AND($K377=2,ISNUMBER($L377),COUNTIFS(nrES_PID,$D377,nrES_Code,$F377,nrES_Att,1)&gt;0,SUMIFS(nrES_Raw,nrES_PID,$D377,nrES_Code,$F377,nrES_Att,1)&gt;=$J377),"RETEST AFTER A PASSING FIRST ATTEMPT","OK"))))))))))</f>
        <v/>
      </c>
      <c r="Y377" s="16" t="n"/>
    </row>
    <row r="378">
      <c r="B378" s="17">
        <f>IF($C378="","",$D378&amp;"-"&amp;$F378&amp;"-"&amp;$K378)</f>
        <v/>
      </c>
      <c r="C378" s="16" t="n"/>
      <c r="D378" s="17">
        <f>IF($C378="","",IFERROR(INDEX(rngCadetPIDs,MATCH($C378,rngCadetNames,0)),"?"))</f>
        <v/>
      </c>
      <c r="E378" s="17">
        <f>IF($D378="","",IFERROR(INDEX(nrCadetAgency,MATCH($D378,rngCadetPIDs,0)),""))</f>
        <v/>
      </c>
      <c r="F378" s="16" t="n"/>
      <c r="G378" s="17">
        <f>IF($F378="","",IFERROR(INDEX(rngEPname,MATCH($F378,rngEPcode,0)),"?"))</f>
        <v/>
      </c>
      <c r="H378" s="17">
        <f>IF($F378="","",IFERROR(INDEX(rngEPtype,MATCH($F378,rngEPcode,0)),"?"))</f>
        <v/>
      </c>
      <c r="I378" s="17">
        <f>IF($F378="","",IFERROR(INDEX(rngEPseq,MATCH($F378,rngEPcode,0)),""))</f>
        <v/>
      </c>
      <c r="J378" s="17">
        <f>IF($F378="","",IFERROR(INDEX(rngEPpass,MATCH($F378,rngEPcode,0)),cfgPassingScore))</f>
        <v/>
      </c>
      <c r="K378" s="16" t="n"/>
      <c r="L378" s="16" t="n"/>
      <c r="M378" s="17">
        <f>IF($C378="","",IF($L378="","",IF(NOT(ISNUMBER($L378)),$L378,IF(N($K378)&gt;2,"",IF($K378=1,IF(COUNTIFS(nrES_PID,$D378,nrES_Code,$F378,nrES_Att,2,nrES_Raw,"&gt;=0")&gt;0,"",$L378),IF($L378&gt;=$J378,MAX($J378,cfgRetakeRecordedCap),IF(COUNTIFS(nrES_PID,$D378,nrES_Code,$F378,nrES_Att,1)=0,$L378,SUMIFS(nrES_Raw,nrES_PID,$D378,nrES_Code,$F378,nrES_Att,1))))))))</f>
        <v/>
      </c>
      <c r="N378" s="17">
        <f>IF($C378="","",IF($L378="","",IF(NOT(ISNUMBER($L378)),"(not a score)",IF($L378&gt;=$J378,"Yes","No"))))</f>
        <v/>
      </c>
      <c r="O378" s="17">
        <f>IF($C378="","",IF($M378="","",IF(NOT(ISNUMBER($M378)),"(not a score)",IF($M378&gt;=$J378,"Yes","No"))))</f>
        <v/>
      </c>
      <c r="P378" s="17">
        <f>IF($C378="","",IF($K378="","",IF(N($K378)&gt;2,"No",IF(COUNTIFS(nrES_PID,$D378,nrES_Code,$F378,nrES_Att,"&gt;"&amp;$K378,nrES_Att,"&lt;=2",nrES_Raw,"&gt;=0")=0,"Yes","No"))))</f>
        <v/>
      </c>
      <c r="Q378" s="17">
        <f>IF($C378="","",IF($L378="","",IF(AND($K378=1,ISNUMBER($L378),$L378&lt;$J378,COUNTIFS(nrES_PID,$D378,nrES_Code,$F378,nrES_Att,2,nrES_Raw,"&gt;=0")=0),"Yes","No")))</f>
        <v/>
      </c>
      <c r="R378" s="17">
        <f>IF($C378="","",IF($L378="","",IF(AND(N($K378)&gt;=2,ISNUMBER($L378),$L378&lt;$J378),"Yes","No")))</f>
        <v/>
      </c>
      <c r="S378" s="18" t="n"/>
      <c r="T378" s="19">
        <f>IF(OR($C378="",$L378="",$K378&lt;&gt;1,NOT(ISNUMBER($L378)),$L378&gt;=$J378),"",IF($S378="","(enter date)",_xlfn.LET(_xlpm.dn,_xlfn.XLOOKUP($S378,nrCDdate,nrCDnum,"",1),IF(_xlpm.dn="","(after last class day)",_xlfn.LET(_xlpm.dd,_xlfn.XLOOKUP(_xlpm.dn+cfgRetestClassDays,nrCDnum,nrCDdate,""),_xlpm.ok,_xlfn.XLOOKUP(_xlpm.dn+cfgRetestClassDays,nrCDnum,nrCDinsession,"No"),IF(OR(_xlpm.dd="",_xlpm.ok&lt;&gt;"Yes"),"(after last class day)",_xlpm.dd))))))</f>
        <v/>
      </c>
      <c r="U378" s="17">
        <f>IF($C378="","",IF(AND($Y378="Excused",$L378="",N($K378)&lt;=1),"EXCUSED - 1st attempt pending",IF(OR($L378="",$K378&lt;&gt;1,NOT(ISNUMBER($L378)),$L378&gt;=$J378),"",IF(COUNTIFS(nrES_PID,$D378,nrES_Code,$F378,nrES_Att,2,nrES_Raw,"&gt;=0")&gt;0,IF(IFERROR(_xlfn.MINIFS(nrES_Date,nrES_PID,$D378,nrES_Code,$F378,nrES_Att,2,nrES_Raw,"&gt;=0",nrES_Date,"&gt;0"),0)=0,"RETEST UNDATED",IF(NOT(ISNUMBER($T378)),"RETEST DATE UNCHECKED",IF(_xlfn.MINIFS(nrES_Date,nrES_PID,$D378,nrES_Code,$F378,nrES_Att,2,nrES_Raw,"&gt;=0",nrES_Date,"&gt;0")&gt;$T378,"LATE RETEST "&amp;TEXT(_xlfn.MINIFS(nrES_Date,nrES_PID,$D378,nrES_Code,$F378,nrES_Att,2,nrES_Raw,"&gt;=0",nrES_Date,"&gt;0"),"mm/dd")&amp;" (due "&amp;TEXT($T378,"mm/dd")&amp;")","Retested"))),IF(NOT(ISNUMBER($T378)),"CHECK DATE",IF(TODAY()&gt;$T378,"OVERDUE","Due "&amp;TEXT($T378,"mm/dd")))))))</f>
        <v/>
      </c>
      <c r="V378" s="16" t="n"/>
      <c r="W378" s="16" t="n"/>
      <c r="X378" s="17">
        <f>IF($C378="","",IF(AND($L378&lt;&gt;"",NOT(ISNUMBER($L378))),"RAW SCORE NOT A NUMBER",IF(AND(ISNUMBER($L378),OR($L378&lt;0,$L378&gt;100)),"RAW SCORE OUT OF RANGE",IF(AND($Y378="Unexcused",OR($L378="",NOT(ISNUMBER($L378)),$L378&lt;&gt;0)),"UNEXCUSED ABSENCE MUST RECORD 0",IF(COUNTIF(nrES_RecID,$B378)&gt;1,"DUPLICATE RECORD",IF(N($K378)&gt;2,"ATTEMPT 3+ NOT ALLOWED - policy 300.5 permits one retest per exam; this row records nothing",IF(AND($K378=2,COUNTIFS(nrES_PID,$D378,nrES_Code,$F378,nrES_Att,1)=0),"ATTEMPT 2 WITHOUT ATTEMPT 1",IF(AND($K378=2,$L378=""),"RETEST ROW HAS NO SCORE",IF(AND($H378="Final",$L378&lt;&gt;"",IFERROR(INDEX(nrCKfinalExamElig,MATCH($D378,rngCadetPIDs,0)),"")="No"),"FINAL EXAM AFTER FAILED FINAL PT (500.1.H)",IF(AND($K378=2,ISNUMBER($L378),COUNTIFS(nrES_PID,$D378,nrES_Code,$F378,nrES_Att,1)&gt;0,SUMIFS(nrES_Raw,nrES_PID,$D378,nrES_Code,$F378,nrES_Att,1)&gt;=$J378),"RETEST AFTER A PASSING FIRST ATTEMPT","OK"))))))))))</f>
        <v/>
      </c>
      <c r="Y378" s="16" t="n"/>
    </row>
    <row r="379">
      <c r="B379" s="17">
        <f>IF($C379="","",$D379&amp;"-"&amp;$F379&amp;"-"&amp;$K379)</f>
        <v/>
      </c>
      <c r="C379" s="16" t="n"/>
      <c r="D379" s="17">
        <f>IF($C379="","",IFERROR(INDEX(rngCadetPIDs,MATCH($C379,rngCadetNames,0)),"?"))</f>
        <v/>
      </c>
      <c r="E379" s="17">
        <f>IF($D379="","",IFERROR(INDEX(nrCadetAgency,MATCH($D379,rngCadetPIDs,0)),""))</f>
        <v/>
      </c>
      <c r="F379" s="16" t="n"/>
      <c r="G379" s="17">
        <f>IF($F379="","",IFERROR(INDEX(rngEPname,MATCH($F379,rngEPcode,0)),"?"))</f>
        <v/>
      </c>
      <c r="H379" s="17">
        <f>IF($F379="","",IFERROR(INDEX(rngEPtype,MATCH($F379,rngEPcode,0)),"?"))</f>
        <v/>
      </c>
      <c r="I379" s="17">
        <f>IF($F379="","",IFERROR(INDEX(rngEPseq,MATCH($F379,rngEPcode,0)),""))</f>
        <v/>
      </c>
      <c r="J379" s="17">
        <f>IF($F379="","",IFERROR(INDEX(rngEPpass,MATCH($F379,rngEPcode,0)),cfgPassingScore))</f>
        <v/>
      </c>
      <c r="K379" s="16" t="n"/>
      <c r="L379" s="16" t="n"/>
      <c r="M379" s="17">
        <f>IF($C379="","",IF($L379="","",IF(NOT(ISNUMBER($L379)),$L379,IF(N($K379)&gt;2,"",IF($K379=1,IF(COUNTIFS(nrES_PID,$D379,nrES_Code,$F379,nrES_Att,2,nrES_Raw,"&gt;=0")&gt;0,"",$L379),IF($L379&gt;=$J379,MAX($J379,cfgRetakeRecordedCap),IF(COUNTIFS(nrES_PID,$D379,nrES_Code,$F379,nrES_Att,1)=0,$L379,SUMIFS(nrES_Raw,nrES_PID,$D379,nrES_Code,$F379,nrES_Att,1))))))))</f>
        <v/>
      </c>
      <c r="N379" s="17">
        <f>IF($C379="","",IF($L379="","",IF(NOT(ISNUMBER($L379)),"(not a score)",IF($L379&gt;=$J379,"Yes","No"))))</f>
        <v/>
      </c>
      <c r="O379" s="17">
        <f>IF($C379="","",IF($M379="","",IF(NOT(ISNUMBER($M379)),"(not a score)",IF($M379&gt;=$J379,"Yes","No"))))</f>
        <v/>
      </c>
      <c r="P379" s="17">
        <f>IF($C379="","",IF($K379="","",IF(N($K379)&gt;2,"No",IF(COUNTIFS(nrES_PID,$D379,nrES_Code,$F379,nrES_Att,"&gt;"&amp;$K379,nrES_Att,"&lt;=2",nrES_Raw,"&gt;=0")=0,"Yes","No"))))</f>
        <v/>
      </c>
      <c r="Q379" s="17">
        <f>IF($C379="","",IF($L379="","",IF(AND($K379=1,ISNUMBER($L379),$L379&lt;$J379,COUNTIFS(nrES_PID,$D379,nrES_Code,$F379,nrES_Att,2,nrES_Raw,"&gt;=0")=0),"Yes","No")))</f>
        <v/>
      </c>
      <c r="R379" s="17">
        <f>IF($C379="","",IF($L379="","",IF(AND(N($K379)&gt;=2,ISNUMBER($L379),$L379&lt;$J379),"Yes","No")))</f>
        <v/>
      </c>
      <c r="S379" s="18" t="n"/>
      <c r="T379" s="19">
        <f>IF(OR($C379="",$L379="",$K379&lt;&gt;1,NOT(ISNUMBER($L379)),$L379&gt;=$J379),"",IF($S379="","(enter date)",_xlfn.LET(_xlpm.dn,_xlfn.XLOOKUP($S379,nrCDdate,nrCDnum,"",1),IF(_xlpm.dn="","(after last class day)",_xlfn.LET(_xlpm.dd,_xlfn.XLOOKUP(_xlpm.dn+cfgRetestClassDays,nrCDnum,nrCDdate,""),_xlpm.ok,_xlfn.XLOOKUP(_xlpm.dn+cfgRetestClassDays,nrCDnum,nrCDinsession,"No"),IF(OR(_xlpm.dd="",_xlpm.ok&lt;&gt;"Yes"),"(after last class day)",_xlpm.dd))))))</f>
        <v/>
      </c>
      <c r="U379" s="17">
        <f>IF($C379="","",IF(AND($Y379="Excused",$L379="",N($K379)&lt;=1),"EXCUSED - 1st attempt pending",IF(OR($L379="",$K379&lt;&gt;1,NOT(ISNUMBER($L379)),$L379&gt;=$J379),"",IF(COUNTIFS(nrES_PID,$D379,nrES_Code,$F379,nrES_Att,2,nrES_Raw,"&gt;=0")&gt;0,IF(IFERROR(_xlfn.MINIFS(nrES_Date,nrES_PID,$D379,nrES_Code,$F379,nrES_Att,2,nrES_Raw,"&gt;=0",nrES_Date,"&gt;0"),0)=0,"RETEST UNDATED",IF(NOT(ISNUMBER($T379)),"RETEST DATE UNCHECKED",IF(_xlfn.MINIFS(nrES_Date,nrES_PID,$D379,nrES_Code,$F379,nrES_Att,2,nrES_Raw,"&gt;=0",nrES_Date,"&gt;0")&gt;$T379,"LATE RETEST "&amp;TEXT(_xlfn.MINIFS(nrES_Date,nrES_PID,$D379,nrES_Code,$F379,nrES_Att,2,nrES_Raw,"&gt;=0",nrES_Date,"&gt;0"),"mm/dd")&amp;" (due "&amp;TEXT($T379,"mm/dd")&amp;")","Retested"))),IF(NOT(ISNUMBER($T379)),"CHECK DATE",IF(TODAY()&gt;$T379,"OVERDUE","Due "&amp;TEXT($T379,"mm/dd")))))))</f>
        <v/>
      </c>
      <c r="V379" s="16" t="n"/>
      <c r="W379" s="16" t="n"/>
      <c r="X379" s="17">
        <f>IF($C379="","",IF(AND($L379&lt;&gt;"",NOT(ISNUMBER($L379))),"RAW SCORE NOT A NUMBER",IF(AND(ISNUMBER($L379),OR($L379&lt;0,$L379&gt;100)),"RAW SCORE OUT OF RANGE",IF(AND($Y379="Unexcused",OR($L379="",NOT(ISNUMBER($L379)),$L379&lt;&gt;0)),"UNEXCUSED ABSENCE MUST RECORD 0",IF(COUNTIF(nrES_RecID,$B379)&gt;1,"DUPLICATE RECORD",IF(N($K379)&gt;2,"ATTEMPT 3+ NOT ALLOWED - policy 300.5 permits one retest per exam; this row records nothing",IF(AND($K379=2,COUNTIFS(nrES_PID,$D379,nrES_Code,$F379,nrES_Att,1)=0),"ATTEMPT 2 WITHOUT ATTEMPT 1",IF(AND($K379=2,$L379=""),"RETEST ROW HAS NO SCORE",IF(AND($H379="Final",$L379&lt;&gt;"",IFERROR(INDEX(nrCKfinalExamElig,MATCH($D379,rngCadetPIDs,0)),"")="No"),"FINAL EXAM AFTER FAILED FINAL PT (500.1.H)",IF(AND($K379=2,ISNUMBER($L379),COUNTIFS(nrES_PID,$D379,nrES_Code,$F379,nrES_Att,1)&gt;0,SUMIFS(nrES_Raw,nrES_PID,$D379,nrES_Code,$F379,nrES_Att,1)&gt;=$J379),"RETEST AFTER A PASSING FIRST ATTEMPT","OK"))))))))))</f>
        <v/>
      </c>
      <c r="Y379" s="16" t="n"/>
    </row>
    <row r="380">
      <c r="B380" s="17">
        <f>IF($C380="","",$D380&amp;"-"&amp;$F380&amp;"-"&amp;$K380)</f>
        <v/>
      </c>
      <c r="C380" s="16" t="n"/>
      <c r="D380" s="17">
        <f>IF($C380="","",IFERROR(INDEX(rngCadetPIDs,MATCH($C380,rngCadetNames,0)),"?"))</f>
        <v/>
      </c>
      <c r="E380" s="17">
        <f>IF($D380="","",IFERROR(INDEX(nrCadetAgency,MATCH($D380,rngCadetPIDs,0)),""))</f>
        <v/>
      </c>
      <c r="F380" s="16" t="n"/>
      <c r="G380" s="17">
        <f>IF($F380="","",IFERROR(INDEX(rngEPname,MATCH($F380,rngEPcode,0)),"?"))</f>
        <v/>
      </c>
      <c r="H380" s="17">
        <f>IF($F380="","",IFERROR(INDEX(rngEPtype,MATCH($F380,rngEPcode,0)),"?"))</f>
        <v/>
      </c>
      <c r="I380" s="17">
        <f>IF($F380="","",IFERROR(INDEX(rngEPseq,MATCH($F380,rngEPcode,0)),""))</f>
        <v/>
      </c>
      <c r="J380" s="17">
        <f>IF($F380="","",IFERROR(INDEX(rngEPpass,MATCH($F380,rngEPcode,0)),cfgPassingScore))</f>
        <v/>
      </c>
      <c r="K380" s="16" t="n"/>
      <c r="L380" s="16" t="n"/>
      <c r="M380" s="17">
        <f>IF($C380="","",IF($L380="","",IF(NOT(ISNUMBER($L380)),$L380,IF(N($K380)&gt;2,"",IF($K380=1,IF(COUNTIFS(nrES_PID,$D380,nrES_Code,$F380,nrES_Att,2,nrES_Raw,"&gt;=0")&gt;0,"",$L380),IF($L380&gt;=$J380,MAX($J380,cfgRetakeRecordedCap),IF(COUNTIFS(nrES_PID,$D380,nrES_Code,$F380,nrES_Att,1)=0,$L380,SUMIFS(nrES_Raw,nrES_PID,$D380,nrES_Code,$F380,nrES_Att,1))))))))</f>
        <v/>
      </c>
      <c r="N380" s="17">
        <f>IF($C380="","",IF($L380="","",IF(NOT(ISNUMBER($L380)),"(not a score)",IF($L380&gt;=$J380,"Yes","No"))))</f>
        <v/>
      </c>
      <c r="O380" s="17">
        <f>IF($C380="","",IF($M380="","",IF(NOT(ISNUMBER($M380)),"(not a score)",IF($M380&gt;=$J380,"Yes","No"))))</f>
        <v/>
      </c>
      <c r="P380" s="17">
        <f>IF($C380="","",IF($K380="","",IF(N($K380)&gt;2,"No",IF(COUNTIFS(nrES_PID,$D380,nrES_Code,$F380,nrES_Att,"&gt;"&amp;$K380,nrES_Att,"&lt;=2",nrES_Raw,"&gt;=0")=0,"Yes","No"))))</f>
        <v/>
      </c>
      <c r="Q380" s="17">
        <f>IF($C380="","",IF($L380="","",IF(AND($K380=1,ISNUMBER($L380),$L380&lt;$J380,COUNTIFS(nrES_PID,$D380,nrES_Code,$F380,nrES_Att,2,nrES_Raw,"&gt;=0")=0),"Yes","No")))</f>
        <v/>
      </c>
      <c r="R380" s="17">
        <f>IF($C380="","",IF($L380="","",IF(AND(N($K380)&gt;=2,ISNUMBER($L380),$L380&lt;$J380),"Yes","No")))</f>
        <v/>
      </c>
      <c r="S380" s="18" t="n"/>
      <c r="T380" s="19">
        <f>IF(OR($C380="",$L380="",$K380&lt;&gt;1,NOT(ISNUMBER($L380)),$L380&gt;=$J380),"",IF($S380="","(enter date)",_xlfn.LET(_xlpm.dn,_xlfn.XLOOKUP($S380,nrCDdate,nrCDnum,"",1),IF(_xlpm.dn="","(after last class day)",_xlfn.LET(_xlpm.dd,_xlfn.XLOOKUP(_xlpm.dn+cfgRetestClassDays,nrCDnum,nrCDdate,""),_xlpm.ok,_xlfn.XLOOKUP(_xlpm.dn+cfgRetestClassDays,nrCDnum,nrCDinsession,"No"),IF(OR(_xlpm.dd="",_xlpm.ok&lt;&gt;"Yes"),"(after last class day)",_xlpm.dd))))))</f>
        <v/>
      </c>
      <c r="U380" s="17">
        <f>IF($C380="","",IF(AND($Y380="Excused",$L380="",N($K380)&lt;=1),"EXCUSED - 1st attempt pending",IF(OR($L380="",$K380&lt;&gt;1,NOT(ISNUMBER($L380)),$L380&gt;=$J380),"",IF(COUNTIFS(nrES_PID,$D380,nrES_Code,$F380,nrES_Att,2,nrES_Raw,"&gt;=0")&gt;0,IF(IFERROR(_xlfn.MINIFS(nrES_Date,nrES_PID,$D380,nrES_Code,$F380,nrES_Att,2,nrES_Raw,"&gt;=0",nrES_Date,"&gt;0"),0)=0,"RETEST UNDATED",IF(NOT(ISNUMBER($T380)),"RETEST DATE UNCHECKED",IF(_xlfn.MINIFS(nrES_Date,nrES_PID,$D380,nrES_Code,$F380,nrES_Att,2,nrES_Raw,"&gt;=0",nrES_Date,"&gt;0")&gt;$T380,"LATE RETEST "&amp;TEXT(_xlfn.MINIFS(nrES_Date,nrES_PID,$D380,nrES_Code,$F380,nrES_Att,2,nrES_Raw,"&gt;=0",nrES_Date,"&gt;0"),"mm/dd")&amp;" (due "&amp;TEXT($T380,"mm/dd")&amp;")","Retested"))),IF(NOT(ISNUMBER($T380)),"CHECK DATE",IF(TODAY()&gt;$T380,"OVERDUE","Due "&amp;TEXT($T380,"mm/dd")))))))</f>
        <v/>
      </c>
      <c r="V380" s="16" t="n"/>
      <c r="W380" s="16" t="n"/>
      <c r="X380" s="17">
        <f>IF($C380="","",IF(AND($L380&lt;&gt;"",NOT(ISNUMBER($L380))),"RAW SCORE NOT A NUMBER",IF(AND(ISNUMBER($L380),OR($L380&lt;0,$L380&gt;100)),"RAW SCORE OUT OF RANGE",IF(AND($Y380="Unexcused",OR($L380="",NOT(ISNUMBER($L380)),$L380&lt;&gt;0)),"UNEXCUSED ABSENCE MUST RECORD 0",IF(COUNTIF(nrES_RecID,$B380)&gt;1,"DUPLICATE RECORD",IF(N($K380)&gt;2,"ATTEMPT 3+ NOT ALLOWED - policy 300.5 permits one retest per exam; this row records nothing",IF(AND($K380=2,COUNTIFS(nrES_PID,$D380,nrES_Code,$F380,nrES_Att,1)=0),"ATTEMPT 2 WITHOUT ATTEMPT 1",IF(AND($K380=2,$L380=""),"RETEST ROW HAS NO SCORE",IF(AND($H380="Final",$L380&lt;&gt;"",IFERROR(INDEX(nrCKfinalExamElig,MATCH($D380,rngCadetPIDs,0)),"")="No"),"FINAL EXAM AFTER FAILED FINAL PT (500.1.H)",IF(AND($K380=2,ISNUMBER($L380),COUNTIFS(nrES_PID,$D380,nrES_Code,$F380,nrES_Att,1)&gt;0,SUMIFS(nrES_Raw,nrES_PID,$D380,nrES_Code,$F380,nrES_Att,1)&gt;=$J380),"RETEST AFTER A PASSING FIRST ATTEMPT","OK"))))))))))</f>
        <v/>
      </c>
      <c r="Y380" s="16" t="n"/>
    </row>
    <row r="381">
      <c r="B381" s="17">
        <f>IF($C381="","",$D381&amp;"-"&amp;$F381&amp;"-"&amp;$K381)</f>
        <v/>
      </c>
      <c r="C381" s="16" t="n"/>
      <c r="D381" s="17">
        <f>IF($C381="","",IFERROR(INDEX(rngCadetPIDs,MATCH($C381,rngCadetNames,0)),"?"))</f>
        <v/>
      </c>
      <c r="E381" s="17">
        <f>IF($D381="","",IFERROR(INDEX(nrCadetAgency,MATCH($D381,rngCadetPIDs,0)),""))</f>
        <v/>
      </c>
      <c r="F381" s="16" t="n"/>
      <c r="G381" s="17">
        <f>IF($F381="","",IFERROR(INDEX(rngEPname,MATCH($F381,rngEPcode,0)),"?"))</f>
        <v/>
      </c>
      <c r="H381" s="17">
        <f>IF($F381="","",IFERROR(INDEX(rngEPtype,MATCH($F381,rngEPcode,0)),"?"))</f>
        <v/>
      </c>
      <c r="I381" s="17">
        <f>IF($F381="","",IFERROR(INDEX(rngEPseq,MATCH($F381,rngEPcode,0)),""))</f>
        <v/>
      </c>
      <c r="J381" s="17">
        <f>IF($F381="","",IFERROR(INDEX(rngEPpass,MATCH($F381,rngEPcode,0)),cfgPassingScore))</f>
        <v/>
      </c>
      <c r="K381" s="16" t="n"/>
      <c r="L381" s="16" t="n"/>
      <c r="M381" s="17">
        <f>IF($C381="","",IF($L381="","",IF(NOT(ISNUMBER($L381)),$L381,IF(N($K381)&gt;2,"",IF($K381=1,IF(COUNTIFS(nrES_PID,$D381,nrES_Code,$F381,nrES_Att,2,nrES_Raw,"&gt;=0")&gt;0,"",$L381),IF($L381&gt;=$J381,MAX($J381,cfgRetakeRecordedCap),IF(COUNTIFS(nrES_PID,$D381,nrES_Code,$F381,nrES_Att,1)=0,$L381,SUMIFS(nrES_Raw,nrES_PID,$D381,nrES_Code,$F381,nrES_Att,1))))))))</f>
        <v/>
      </c>
      <c r="N381" s="17">
        <f>IF($C381="","",IF($L381="","",IF(NOT(ISNUMBER($L381)),"(not a score)",IF($L381&gt;=$J381,"Yes","No"))))</f>
        <v/>
      </c>
      <c r="O381" s="17">
        <f>IF($C381="","",IF($M381="","",IF(NOT(ISNUMBER($M381)),"(not a score)",IF($M381&gt;=$J381,"Yes","No"))))</f>
        <v/>
      </c>
      <c r="P381" s="17">
        <f>IF($C381="","",IF($K381="","",IF(N($K381)&gt;2,"No",IF(COUNTIFS(nrES_PID,$D381,nrES_Code,$F381,nrES_Att,"&gt;"&amp;$K381,nrES_Att,"&lt;=2",nrES_Raw,"&gt;=0")=0,"Yes","No"))))</f>
        <v/>
      </c>
      <c r="Q381" s="17">
        <f>IF($C381="","",IF($L381="","",IF(AND($K381=1,ISNUMBER($L381),$L381&lt;$J381,COUNTIFS(nrES_PID,$D381,nrES_Code,$F381,nrES_Att,2,nrES_Raw,"&gt;=0")=0),"Yes","No")))</f>
        <v/>
      </c>
      <c r="R381" s="17">
        <f>IF($C381="","",IF($L381="","",IF(AND(N($K381)&gt;=2,ISNUMBER($L381),$L381&lt;$J381),"Yes","No")))</f>
        <v/>
      </c>
      <c r="S381" s="18" t="n"/>
      <c r="T381" s="19">
        <f>IF(OR($C381="",$L381="",$K381&lt;&gt;1,NOT(ISNUMBER($L381)),$L381&gt;=$J381),"",IF($S381="","(enter date)",_xlfn.LET(_xlpm.dn,_xlfn.XLOOKUP($S381,nrCDdate,nrCDnum,"",1),IF(_xlpm.dn="","(after last class day)",_xlfn.LET(_xlpm.dd,_xlfn.XLOOKUP(_xlpm.dn+cfgRetestClassDays,nrCDnum,nrCDdate,""),_xlpm.ok,_xlfn.XLOOKUP(_xlpm.dn+cfgRetestClassDays,nrCDnum,nrCDinsession,"No"),IF(OR(_xlpm.dd="",_xlpm.ok&lt;&gt;"Yes"),"(after last class day)",_xlpm.dd))))))</f>
        <v/>
      </c>
      <c r="U381" s="17">
        <f>IF($C381="","",IF(AND($Y381="Excused",$L381="",N($K381)&lt;=1),"EXCUSED - 1st attempt pending",IF(OR($L381="",$K381&lt;&gt;1,NOT(ISNUMBER($L381)),$L381&gt;=$J381),"",IF(COUNTIFS(nrES_PID,$D381,nrES_Code,$F381,nrES_Att,2,nrES_Raw,"&gt;=0")&gt;0,IF(IFERROR(_xlfn.MINIFS(nrES_Date,nrES_PID,$D381,nrES_Code,$F381,nrES_Att,2,nrES_Raw,"&gt;=0",nrES_Date,"&gt;0"),0)=0,"RETEST UNDATED",IF(NOT(ISNUMBER($T381)),"RETEST DATE UNCHECKED",IF(_xlfn.MINIFS(nrES_Date,nrES_PID,$D381,nrES_Code,$F381,nrES_Att,2,nrES_Raw,"&gt;=0",nrES_Date,"&gt;0")&gt;$T381,"LATE RETEST "&amp;TEXT(_xlfn.MINIFS(nrES_Date,nrES_PID,$D381,nrES_Code,$F381,nrES_Att,2,nrES_Raw,"&gt;=0",nrES_Date,"&gt;0"),"mm/dd")&amp;" (due "&amp;TEXT($T381,"mm/dd")&amp;")","Retested"))),IF(NOT(ISNUMBER($T381)),"CHECK DATE",IF(TODAY()&gt;$T381,"OVERDUE","Due "&amp;TEXT($T381,"mm/dd")))))))</f>
        <v/>
      </c>
      <c r="V381" s="16" t="n"/>
      <c r="W381" s="16" t="n"/>
      <c r="X381" s="17">
        <f>IF($C381="","",IF(AND($L381&lt;&gt;"",NOT(ISNUMBER($L381))),"RAW SCORE NOT A NUMBER",IF(AND(ISNUMBER($L381),OR($L381&lt;0,$L381&gt;100)),"RAW SCORE OUT OF RANGE",IF(AND($Y381="Unexcused",OR($L381="",NOT(ISNUMBER($L381)),$L381&lt;&gt;0)),"UNEXCUSED ABSENCE MUST RECORD 0",IF(COUNTIF(nrES_RecID,$B381)&gt;1,"DUPLICATE RECORD",IF(N($K381)&gt;2,"ATTEMPT 3+ NOT ALLOWED - policy 300.5 permits one retest per exam; this row records nothing",IF(AND($K381=2,COUNTIFS(nrES_PID,$D381,nrES_Code,$F381,nrES_Att,1)=0),"ATTEMPT 2 WITHOUT ATTEMPT 1",IF(AND($K381=2,$L381=""),"RETEST ROW HAS NO SCORE",IF(AND($H381="Final",$L381&lt;&gt;"",IFERROR(INDEX(nrCKfinalExamElig,MATCH($D381,rngCadetPIDs,0)),"")="No"),"FINAL EXAM AFTER FAILED FINAL PT (500.1.H)",IF(AND($K381=2,ISNUMBER($L381),COUNTIFS(nrES_PID,$D381,nrES_Code,$F381,nrES_Att,1)&gt;0,SUMIFS(nrES_Raw,nrES_PID,$D381,nrES_Code,$F381,nrES_Att,1)&gt;=$J381),"RETEST AFTER A PASSING FIRST ATTEMPT","OK"))))))))))</f>
        <v/>
      </c>
      <c r="Y381" s="16" t="n"/>
    </row>
    <row r="382">
      <c r="B382" s="17">
        <f>IF($C382="","",$D382&amp;"-"&amp;$F382&amp;"-"&amp;$K382)</f>
        <v/>
      </c>
      <c r="C382" s="16" t="n"/>
      <c r="D382" s="17">
        <f>IF($C382="","",IFERROR(INDEX(rngCadetPIDs,MATCH($C382,rngCadetNames,0)),"?"))</f>
        <v/>
      </c>
      <c r="E382" s="17">
        <f>IF($D382="","",IFERROR(INDEX(nrCadetAgency,MATCH($D382,rngCadetPIDs,0)),""))</f>
        <v/>
      </c>
      <c r="F382" s="16" t="n"/>
      <c r="G382" s="17">
        <f>IF($F382="","",IFERROR(INDEX(rngEPname,MATCH($F382,rngEPcode,0)),"?"))</f>
        <v/>
      </c>
      <c r="H382" s="17">
        <f>IF($F382="","",IFERROR(INDEX(rngEPtype,MATCH($F382,rngEPcode,0)),"?"))</f>
        <v/>
      </c>
      <c r="I382" s="17">
        <f>IF($F382="","",IFERROR(INDEX(rngEPseq,MATCH($F382,rngEPcode,0)),""))</f>
        <v/>
      </c>
      <c r="J382" s="17">
        <f>IF($F382="","",IFERROR(INDEX(rngEPpass,MATCH($F382,rngEPcode,0)),cfgPassingScore))</f>
        <v/>
      </c>
      <c r="K382" s="16" t="n"/>
      <c r="L382" s="16" t="n"/>
      <c r="M382" s="17">
        <f>IF($C382="","",IF($L382="","",IF(NOT(ISNUMBER($L382)),$L382,IF(N($K382)&gt;2,"",IF($K382=1,IF(COUNTIFS(nrES_PID,$D382,nrES_Code,$F382,nrES_Att,2,nrES_Raw,"&gt;=0")&gt;0,"",$L382),IF($L382&gt;=$J382,MAX($J382,cfgRetakeRecordedCap),IF(COUNTIFS(nrES_PID,$D382,nrES_Code,$F382,nrES_Att,1)=0,$L382,SUMIFS(nrES_Raw,nrES_PID,$D382,nrES_Code,$F382,nrES_Att,1))))))))</f>
        <v/>
      </c>
      <c r="N382" s="17">
        <f>IF($C382="","",IF($L382="","",IF(NOT(ISNUMBER($L382)),"(not a score)",IF($L382&gt;=$J382,"Yes","No"))))</f>
        <v/>
      </c>
      <c r="O382" s="17">
        <f>IF($C382="","",IF($M382="","",IF(NOT(ISNUMBER($M382)),"(not a score)",IF($M382&gt;=$J382,"Yes","No"))))</f>
        <v/>
      </c>
      <c r="P382" s="17">
        <f>IF($C382="","",IF($K382="","",IF(N($K382)&gt;2,"No",IF(COUNTIFS(nrES_PID,$D382,nrES_Code,$F382,nrES_Att,"&gt;"&amp;$K382,nrES_Att,"&lt;=2",nrES_Raw,"&gt;=0")=0,"Yes","No"))))</f>
        <v/>
      </c>
      <c r="Q382" s="17">
        <f>IF($C382="","",IF($L382="","",IF(AND($K382=1,ISNUMBER($L382),$L382&lt;$J382,COUNTIFS(nrES_PID,$D382,nrES_Code,$F382,nrES_Att,2,nrES_Raw,"&gt;=0")=0),"Yes","No")))</f>
        <v/>
      </c>
      <c r="R382" s="17">
        <f>IF($C382="","",IF($L382="","",IF(AND(N($K382)&gt;=2,ISNUMBER($L382),$L382&lt;$J382),"Yes","No")))</f>
        <v/>
      </c>
      <c r="S382" s="18" t="n"/>
      <c r="T382" s="19">
        <f>IF(OR($C382="",$L382="",$K382&lt;&gt;1,NOT(ISNUMBER($L382)),$L382&gt;=$J382),"",IF($S382="","(enter date)",_xlfn.LET(_xlpm.dn,_xlfn.XLOOKUP($S382,nrCDdate,nrCDnum,"",1),IF(_xlpm.dn="","(after last class day)",_xlfn.LET(_xlpm.dd,_xlfn.XLOOKUP(_xlpm.dn+cfgRetestClassDays,nrCDnum,nrCDdate,""),_xlpm.ok,_xlfn.XLOOKUP(_xlpm.dn+cfgRetestClassDays,nrCDnum,nrCDinsession,"No"),IF(OR(_xlpm.dd="",_xlpm.ok&lt;&gt;"Yes"),"(after last class day)",_xlpm.dd))))))</f>
        <v/>
      </c>
      <c r="U382" s="17">
        <f>IF($C382="","",IF(AND($Y382="Excused",$L382="",N($K382)&lt;=1),"EXCUSED - 1st attempt pending",IF(OR($L382="",$K382&lt;&gt;1,NOT(ISNUMBER($L382)),$L382&gt;=$J382),"",IF(COUNTIFS(nrES_PID,$D382,nrES_Code,$F382,nrES_Att,2,nrES_Raw,"&gt;=0")&gt;0,IF(IFERROR(_xlfn.MINIFS(nrES_Date,nrES_PID,$D382,nrES_Code,$F382,nrES_Att,2,nrES_Raw,"&gt;=0",nrES_Date,"&gt;0"),0)=0,"RETEST UNDATED",IF(NOT(ISNUMBER($T382)),"RETEST DATE UNCHECKED",IF(_xlfn.MINIFS(nrES_Date,nrES_PID,$D382,nrES_Code,$F382,nrES_Att,2,nrES_Raw,"&gt;=0",nrES_Date,"&gt;0")&gt;$T382,"LATE RETEST "&amp;TEXT(_xlfn.MINIFS(nrES_Date,nrES_PID,$D382,nrES_Code,$F382,nrES_Att,2,nrES_Raw,"&gt;=0",nrES_Date,"&gt;0"),"mm/dd")&amp;" (due "&amp;TEXT($T382,"mm/dd")&amp;")","Retested"))),IF(NOT(ISNUMBER($T382)),"CHECK DATE",IF(TODAY()&gt;$T382,"OVERDUE","Due "&amp;TEXT($T382,"mm/dd")))))))</f>
        <v/>
      </c>
      <c r="V382" s="16" t="n"/>
      <c r="W382" s="16" t="n"/>
      <c r="X382" s="17">
        <f>IF($C382="","",IF(AND($L382&lt;&gt;"",NOT(ISNUMBER($L382))),"RAW SCORE NOT A NUMBER",IF(AND(ISNUMBER($L382),OR($L382&lt;0,$L382&gt;100)),"RAW SCORE OUT OF RANGE",IF(AND($Y382="Unexcused",OR($L382="",NOT(ISNUMBER($L382)),$L382&lt;&gt;0)),"UNEXCUSED ABSENCE MUST RECORD 0",IF(COUNTIF(nrES_RecID,$B382)&gt;1,"DUPLICATE RECORD",IF(N($K382)&gt;2,"ATTEMPT 3+ NOT ALLOWED - policy 300.5 permits one retest per exam; this row records nothing",IF(AND($K382=2,COUNTIFS(nrES_PID,$D382,nrES_Code,$F382,nrES_Att,1)=0),"ATTEMPT 2 WITHOUT ATTEMPT 1",IF(AND($K382=2,$L382=""),"RETEST ROW HAS NO SCORE",IF(AND($H382="Final",$L382&lt;&gt;"",IFERROR(INDEX(nrCKfinalExamElig,MATCH($D382,rngCadetPIDs,0)),"")="No"),"FINAL EXAM AFTER FAILED FINAL PT (500.1.H)",IF(AND($K382=2,ISNUMBER($L382),COUNTIFS(nrES_PID,$D382,nrES_Code,$F382,nrES_Att,1)&gt;0,SUMIFS(nrES_Raw,nrES_PID,$D382,nrES_Code,$F382,nrES_Att,1)&gt;=$J382),"RETEST AFTER A PASSING FIRST ATTEMPT","OK"))))))))))</f>
        <v/>
      </c>
      <c r="Y382" s="16" t="n"/>
    </row>
    <row r="383">
      <c r="B383" s="17">
        <f>IF($C383="","",$D383&amp;"-"&amp;$F383&amp;"-"&amp;$K383)</f>
        <v/>
      </c>
      <c r="C383" s="16" t="n"/>
      <c r="D383" s="17">
        <f>IF($C383="","",IFERROR(INDEX(rngCadetPIDs,MATCH($C383,rngCadetNames,0)),"?"))</f>
        <v/>
      </c>
      <c r="E383" s="17">
        <f>IF($D383="","",IFERROR(INDEX(nrCadetAgency,MATCH($D383,rngCadetPIDs,0)),""))</f>
        <v/>
      </c>
      <c r="F383" s="16" t="n"/>
      <c r="G383" s="17">
        <f>IF($F383="","",IFERROR(INDEX(rngEPname,MATCH($F383,rngEPcode,0)),"?"))</f>
        <v/>
      </c>
      <c r="H383" s="17">
        <f>IF($F383="","",IFERROR(INDEX(rngEPtype,MATCH($F383,rngEPcode,0)),"?"))</f>
        <v/>
      </c>
      <c r="I383" s="17">
        <f>IF($F383="","",IFERROR(INDEX(rngEPseq,MATCH($F383,rngEPcode,0)),""))</f>
        <v/>
      </c>
      <c r="J383" s="17">
        <f>IF($F383="","",IFERROR(INDEX(rngEPpass,MATCH($F383,rngEPcode,0)),cfgPassingScore))</f>
        <v/>
      </c>
      <c r="K383" s="16" t="n"/>
      <c r="L383" s="16" t="n"/>
      <c r="M383" s="17">
        <f>IF($C383="","",IF($L383="","",IF(NOT(ISNUMBER($L383)),$L383,IF(N($K383)&gt;2,"",IF($K383=1,IF(COUNTIFS(nrES_PID,$D383,nrES_Code,$F383,nrES_Att,2,nrES_Raw,"&gt;=0")&gt;0,"",$L383),IF($L383&gt;=$J383,MAX($J383,cfgRetakeRecordedCap),IF(COUNTIFS(nrES_PID,$D383,nrES_Code,$F383,nrES_Att,1)=0,$L383,SUMIFS(nrES_Raw,nrES_PID,$D383,nrES_Code,$F383,nrES_Att,1))))))))</f>
        <v/>
      </c>
      <c r="N383" s="17">
        <f>IF($C383="","",IF($L383="","",IF(NOT(ISNUMBER($L383)),"(not a score)",IF($L383&gt;=$J383,"Yes","No"))))</f>
        <v/>
      </c>
      <c r="O383" s="17">
        <f>IF($C383="","",IF($M383="","",IF(NOT(ISNUMBER($M383)),"(not a score)",IF($M383&gt;=$J383,"Yes","No"))))</f>
        <v/>
      </c>
      <c r="P383" s="17">
        <f>IF($C383="","",IF($K383="","",IF(N($K383)&gt;2,"No",IF(COUNTIFS(nrES_PID,$D383,nrES_Code,$F383,nrES_Att,"&gt;"&amp;$K383,nrES_Att,"&lt;=2",nrES_Raw,"&gt;=0")=0,"Yes","No"))))</f>
        <v/>
      </c>
      <c r="Q383" s="17">
        <f>IF($C383="","",IF($L383="","",IF(AND($K383=1,ISNUMBER($L383),$L383&lt;$J383,COUNTIFS(nrES_PID,$D383,nrES_Code,$F383,nrES_Att,2,nrES_Raw,"&gt;=0")=0),"Yes","No")))</f>
        <v/>
      </c>
      <c r="R383" s="17">
        <f>IF($C383="","",IF($L383="","",IF(AND(N($K383)&gt;=2,ISNUMBER($L383),$L383&lt;$J383),"Yes","No")))</f>
        <v/>
      </c>
      <c r="S383" s="18" t="n"/>
      <c r="T383" s="19">
        <f>IF(OR($C383="",$L383="",$K383&lt;&gt;1,NOT(ISNUMBER($L383)),$L383&gt;=$J383),"",IF($S383="","(enter date)",_xlfn.LET(_xlpm.dn,_xlfn.XLOOKUP($S383,nrCDdate,nrCDnum,"",1),IF(_xlpm.dn="","(after last class day)",_xlfn.LET(_xlpm.dd,_xlfn.XLOOKUP(_xlpm.dn+cfgRetestClassDays,nrCDnum,nrCDdate,""),_xlpm.ok,_xlfn.XLOOKUP(_xlpm.dn+cfgRetestClassDays,nrCDnum,nrCDinsession,"No"),IF(OR(_xlpm.dd="",_xlpm.ok&lt;&gt;"Yes"),"(after last class day)",_xlpm.dd))))))</f>
        <v/>
      </c>
      <c r="U383" s="17">
        <f>IF($C383="","",IF(AND($Y383="Excused",$L383="",N($K383)&lt;=1),"EXCUSED - 1st attempt pending",IF(OR($L383="",$K383&lt;&gt;1,NOT(ISNUMBER($L383)),$L383&gt;=$J383),"",IF(COUNTIFS(nrES_PID,$D383,nrES_Code,$F383,nrES_Att,2,nrES_Raw,"&gt;=0")&gt;0,IF(IFERROR(_xlfn.MINIFS(nrES_Date,nrES_PID,$D383,nrES_Code,$F383,nrES_Att,2,nrES_Raw,"&gt;=0",nrES_Date,"&gt;0"),0)=0,"RETEST UNDATED",IF(NOT(ISNUMBER($T383)),"RETEST DATE UNCHECKED",IF(_xlfn.MINIFS(nrES_Date,nrES_PID,$D383,nrES_Code,$F383,nrES_Att,2,nrES_Raw,"&gt;=0",nrES_Date,"&gt;0")&gt;$T383,"LATE RETEST "&amp;TEXT(_xlfn.MINIFS(nrES_Date,nrES_PID,$D383,nrES_Code,$F383,nrES_Att,2,nrES_Raw,"&gt;=0",nrES_Date,"&gt;0"),"mm/dd")&amp;" (due "&amp;TEXT($T383,"mm/dd")&amp;")","Retested"))),IF(NOT(ISNUMBER($T383)),"CHECK DATE",IF(TODAY()&gt;$T383,"OVERDUE","Due "&amp;TEXT($T383,"mm/dd")))))))</f>
        <v/>
      </c>
      <c r="V383" s="16" t="n"/>
      <c r="W383" s="16" t="n"/>
      <c r="X383" s="17">
        <f>IF($C383="","",IF(AND($L383&lt;&gt;"",NOT(ISNUMBER($L383))),"RAW SCORE NOT A NUMBER",IF(AND(ISNUMBER($L383),OR($L383&lt;0,$L383&gt;100)),"RAW SCORE OUT OF RANGE",IF(AND($Y383="Unexcused",OR($L383="",NOT(ISNUMBER($L383)),$L383&lt;&gt;0)),"UNEXCUSED ABSENCE MUST RECORD 0",IF(COUNTIF(nrES_RecID,$B383)&gt;1,"DUPLICATE RECORD",IF(N($K383)&gt;2,"ATTEMPT 3+ NOT ALLOWED - policy 300.5 permits one retest per exam; this row records nothing",IF(AND($K383=2,COUNTIFS(nrES_PID,$D383,nrES_Code,$F383,nrES_Att,1)=0),"ATTEMPT 2 WITHOUT ATTEMPT 1",IF(AND($K383=2,$L383=""),"RETEST ROW HAS NO SCORE",IF(AND($H383="Final",$L383&lt;&gt;"",IFERROR(INDEX(nrCKfinalExamElig,MATCH($D383,rngCadetPIDs,0)),"")="No"),"FINAL EXAM AFTER FAILED FINAL PT (500.1.H)",IF(AND($K383=2,ISNUMBER($L383),COUNTIFS(nrES_PID,$D383,nrES_Code,$F383,nrES_Att,1)&gt;0,SUMIFS(nrES_Raw,nrES_PID,$D383,nrES_Code,$F383,nrES_Att,1)&gt;=$J383),"RETEST AFTER A PASSING FIRST ATTEMPT","OK"))))))))))</f>
        <v/>
      </c>
      <c r="Y383" s="16" t="n"/>
    </row>
    <row r="384">
      <c r="B384" s="17">
        <f>IF($C384="","",$D384&amp;"-"&amp;$F384&amp;"-"&amp;$K384)</f>
        <v/>
      </c>
      <c r="C384" s="16" t="n"/>
      <c r="D384" s="17">
        <f>IF($C384="","",IFERROR(INDEX(rngCadetPIDs,MATCH($C384,rngCadetNames,0)),"?"))</f>
        <v/>
      </c>
      <c r="E384" s="17">
        <f>IF($D384="","",IFERROR(INDEX(nrCadetAgency,MATCH($D384,rngCadetPIDs,0)),""))</f>
        <v/>
      </c>
      <c r="F384" s="16" t="n"/>
      <c r="G384" s="17">
        <f>IF($F384="","",IFERROR(INDEX(rngEPname,MATCH($F384,rngEPcode,0)),"?"))</f>
        <v/>
      </c>
      <c r="H384" s="17">
        <f>IF($F384="","",IFERROR(INDEX(rngEPtype,MATCH($F384,rngEPcode,0)),"?"))</f>
        <v/>
      </c>
      <c r="I384" s="17">
        <f>IF($F384="","",IFERROR(INDEX(rngEPseq,MATCH($F384,rngEPcode,0)),""))</f>
        <v/>
      </c>
      <c r="J384" s="17">
        <f>IF($F384="","",IFERROR(INDEX(rngEPpass,MATCH($F384,rngEPcode,0)),cfgPassingScore))</f>
        <v/>
      </c>
      <c r="K384" s="16" t="n"/>
      <c r="L384" s="16" t="n"/>
      <c r="M384" s="17">
        <f>IF($C384="","",IF($L384="","",IF(NOT(ISNUMBER($L384)),$L384,IF(N($K384)&gt;2,"",IF($K384=1,IF(COUNTIFS(nrES_PID,$D384,nrES_Code,$F384,nrES_Att,2,nrES_Raw,"&gt;=0")&gt;0,"",$L384),IF($L384&gt;=$J384,MAX($J384,cfgRetakeRecordedCap),IF(COUNTIFS(nrES_PID,$D384,nrES_Code,$F384,nrES_Att,1)=0,$L384,SUMIFS(nrES_Raw,nrES_PID,$D384,nrES_Code,$F384,nrES_Att,1))))))))</f>
        <v/>
      </c>
      <c r="N384" s="17">
        <f>IF($C384="","",IF($L384="","",IF(NOT(ISNUMBER($L384)),"(not a score)",IF($L384&gt;=$J384,"Yes","No"))))</f>
        <v/>
      </c>
      <c r="O384" s="17">
        <f>IF($C384="","",IF($M384="","",IF(NOT(ISNUMBER($M384)),"(not a score)",IF($M384&gt;=$J384,"Yes","No"))))</f>
        <v/>
      </c>
      <c r="P384" s="17">
        <f>IF($C384="","",IF($K384="","",IF(N($K384)&gt;2,"No",IF(COUNTIFS(nrES_PID,$D384,nrES_Code,$F384,nrES_Att,"&gt;"&amp;$K384,nrES_Att,"&lt;=2",nrES_Raw,"&gt;=0")=0,"Yes","No"))))</f>
        <v/>
      </c>
      <c r="Q384" s="17">
        <f>IF($C384="","",IF($L384="","",IF(AND($K384=1,ISNUMBER($L384),$L384&lt;$J384,COUNTIFS(nrES_PID,$D384,nrES_Code,$F384,nrES_Att,2,nrES_Raw,"&gt;=0")=0),"Yes","No")))</f>
        <v/>
      </c>
      <c r="R384" s="17">
        <f>IF($C384="","",IF($L384="","",IF(AND(N($K384)&gt;=2,ISNUMBER($L384),$L384&lt;$J384),"Yes","No")))</f>
        <v/>
      </c>
      <c r="S384" s="18" t="n"/>
      <c r="T384" s="19">
        <f>IF(OR($C384="",$L384="",$K384&lt;&gt;1,NOT(ISNUMBER($L384)),$L384&gt;=$J384),"",IF($S384="","(enter date)",_xlfn.LET(_xlpm.dn,_xlfn.XLOOKUP($S384,nrCDdate,nrCDnum,"",1),IF(_xlpm.dn="","(after last class day)",_xlfn.LET(_xlpm.dd,_xlfn.XLOOKUP(_xlpm.dn+cfgRetestClassDays,nrCDnum,nrCDdate,""),_xlpm.ok,_xlfn.XLOOKUP(_xlpm.dn+cfgRetestClassDays,nrCDnum,nrCDinsession,"No"),IF(OR(_xlpm.dd="",_xlpm.ok&lt;&gt;"Yes"),"(after last class day)",_xlpm.dd))))))</f>
        <v/>
      </c>
      <c r="U384" s="17">
        <f>IF($C384="","",IF(AND($Y384="Excused",$L384="",N($K384)&lt;=1),"EXCUSED - 1st attempt pending",IF(OR($L384="",$K384&lt;&gt;1,NOT(ISNUMBER($L384)),$L384&gt;=$J384),"",IF(COUNTIFS(nrES_PID,$D384,nrES_Code,$F384,nrES_Att,2,nrES_Raw,"&gt;=0")&gt;0,IF(IFERROR(_xlfn.MINIFS(nrES_Date,nrES_PID,$D384,nrES_Code,$F384,nrES_Att,2,nrES_Raw,"&gt;=0",nrES_Date,"&gt;0"),0)=0,"RETEST UNDATED",IF(NOT(ISNUMBER($T384)),"RETEST DATE UNCHECKED",IF(_xlfn.MINIFS(nrES_Date,nrES_PID,$D384,nrES_Code,$F384,nrES_Att,2,nrES_Raw,"&gt;=0",nrES_Date,"&gt;0")&gt;$T384,"LATE RETEST "&amp;TEXT(_xlfn.MINIFS(nrES_Date,nrES_PID,$D384,nrES_Code,$F384,nrES_Att,2,nrES_Raw,"&gt;=0",nrES_Date,"&gt;0"),"mm/dd")&amp;" (due "&amp;TEXT($T384,"mm/dd")&amp;")","Retested"))),IF(NOT(ISNUMBER($T384)),"CHECK DATE",IF(TODAY()&gt;$T384,"OVERDUE","Due "&amp;TEXT($T384,"mm/dd")))))))</f>
        <v/>
      </c>
      <c r="V384" s="16" t="n"/>
      <c r="W384" s="16" t="n"/>
      <c r="X384" s="17">
        <f>IF($C384="","",IF(AND($L384&lt;&gt;"",NOT(ISNUMBER($L384))),"RAW SCORE NOT A NUMBER",IF(AND(ISNUMBER($L384),OR($L384&lt;0,$L384&gt;100)),"RAW SCORE OUT OF RANGE",IF(AND($Y384="Unexcused",OR($L384="",NOT(ISNUMBER($L384)),$L384&lt;&gt;0)),"UNEXCUSED ABSENCE MUST RECORD 0",IF(COUNTIF(nrES_RecID,$B384)&gt;1,"DUPLICATE RECORD",IF(N($K384)&gt;2,"ATTEMPT 3+ NOT ALLOWED - policy 300.5 permits one retest per exam; this row records nothing",IF(AND($K384=2,COUNTIFS(nrES_PID,$D384,nrES_Code,$F384,nrES_Att,1)=0),"ATTEMPT 2 WITHOUT ATTEMPT 1",IF(AND($K384=2,$L384=""),"RETEST ROW HAS NO SCORE",IF(AND($H384="Final",$L384&lt;&gt;"",IFERROR(INDEX(nrCKfinalExamElig,MATCH($D384,rngCadetPIDs,0)),"")="No"),"FINAL EXAM AFTER FAILED FINAL PT (500.1.H)",IF(AND($K384=2,ISNUMBER($L384),COUNTIFS(nrES_PID,$D384,nrES_Code,$F384,nrES_Att,1)&gt;0,SUMIFS(nrES_Raw,nrES_PID,$D384,nrES_Code,$F384,nrES_Att,1)&gt;=$J384),"RETEST AFTER A PASSING FIRST ATTEMPT","OK"))))))))))</f>
        <v/>
      </c>
      <c r="Y384" s="16" t="n"/>
    </row>
    <row r="385">
      <c r="B385" s="17">
        <f>IF($C385="","",$D385&amp;"-"&amp;$F385&amp;"-"&amp;$K385)</f>
        <v/>
      </c>
      <c r="C385" s="16" t="n"/>
      <c r="D385" s="17">
        <f>IF($C385="","",IFERROR(INDEX(rngCadetPIDs,MATCH($C385,rngCadetNames,0)),"?"))</f>
        <v/>
      </c>
      <c r="E385" s="17">
        <f>IF($D385="","",IFERROR(INDEX(nrCadetAgency,MATCH($D385,rngCadetPIDs,0)),""))</f>
        <v/>
      </c>
      <c r="F385" s="16" t="n"/>
      <c r="G385" s="17">
        <f>IF($F385="","",IFERROR(INDEX(rngEPname,MATCH($F385,rngEPcode,0)),"?"))</f>
        <v/>
      </c>
      <c r="H385" s="17">
        <f>IF($F385="","",IFERROR(INDEX(rngEPtype,MATCH($F385,rngEPcode,0)),"?"))</f>
        <v/>
      </c>
      <c r="I385" s="17">
        <f>IF($F385="","",IFERROR(INDEX(rngEPseq,MATCH($F385,rngEPcode,0)),""))</f>
        <v/>
      </c>
      <c r="J385" s="17">
        <f>IF($F385="","",IFERROR(INDEX(rngEPpass,MATCH($F385,rngEPcode,0)),cfgPassingScore))</f>
        <v/>
      </c>
      <c r="K385" s="16" t="n"/>
      <c r="L385" s="16" t="n"/>
      <c r="M385" s="17">
        <f>IF($C385="","",IF($L385="","",IF(NOT(ISNUMBER($L385)),$L385,IF(N($K385)&gt;2,"",IF($K385=1,IF(COUNTIFS(nrES_PID,$D385,nrES_Code,$F385,nrES_Att,2,nrES_Raw,"&gt;=0")&gt;0,"",$L385),IF($L385&gt;=$J385,MAX($J385,cfgRetakeRecordedCap),IF(COUNTIFS(nrES_PID,$D385,nrES_Code,$F385,nrES_Att,1)=0,$L385,SUMIFS(nrES_Raw,nrES_PID,$D385,nrES_Code,$F385,nrES_Att,1))))))))</f>
        <v/>
      </c>
      <c r="N385" s="17">
        <f>IF($C385="","",IF($L385="","",IF(NOT(ISNUMBER($L385)),"(not a score)",IF($L385&gt;=$J385,"Yes","No"))))</f>
        <v/>
      </c>
      <c r="O385" s="17">
        <f>IF($C385="","",IF($M385="","",IF(NOT(ISNUMBER($M385)),"(not a score)",IF($M385&gt;=$J385,"Yes","No"))))</f>
        <v/>
      </c>
      <c r="P385" s="17">
        <f>IF($C385="","",IF($K385="","",IF(N($K385)&gt;2,"No",IF(COUNTIFS(nrES_PID,$D385,nrES_Code,$F385,nrES_Att,"&gt;"&amp;$K385,nrES_Att,"&lt;=2",nrES_Raw,"&gt;=0")=0,"Yes","No"))))</f>
        <v/>
      </c>
      <c r="Q385" s="17">
        <f>IF($C385="","",IF($L385="","",IF(AND($K385=1,ISNUMBER($L385),$L385&lt;$J385,COUNTIFS(nrES_PID,$D385,nrES_Code,$F385,nrES_Att,2,nrES_Raw,"&gt;=0")=0),"Yes","No")))</f>
        <v/>
      </c>
      <c r="R385" s="17">
        <f>IF($C385="","",IF($L385="","",IF(AND(N($K385)&gt;=2,ISNUMBER($L385),$L385&lt;$J385),"Yes","No")))</f>
        <v/>
      </c>
      <c r="S385" s="18" t="n"/>
      <c r="T385" s="19">
        <f>IF(OR($C385="",$L385="",$K385&lt;&gt;1,NOT(ISNUMBER($L385)),$L385&gt;=$J385),"",IF($S385="","(enter date)",_xlfn.LET(_xlpm.dn,_xlfn.XLOOKUP($S385,nrCDdate,nrCDnum,"",1),IF(_xlpm.dn="","(after last class day)",_xlfn.LET(_xlpm.dd,_xlfn.XLOOKUP(_xlpm.dn+cfgRetestClassDays,nrCDnum,nrCDdate,""),_xlpm.ok,_xlfn.XLOOKUP(_xlpm.dn+cfgRetestClassDays,nrCDnum,nrCDinsession,"No"),IF(OR(_xlpm.dd="",_xlpm.ok&lt;&gt;"Yes"),"(after last class day)",_xlpm.dd))))))</f>
        <v/>
      </c>
      <c r="U385" s="17">
        <f>IF($C385="","",IF(AND($Y385="Excused",$L385="",N($K385)&lt;=1),"EXCUSED - 1st attempt pending",IF(OR($L385="",$K385&lt;&gt;1,NOT(ISNUMBER($L385)),$L385&gt;=$J385),"",IF(COUNTIFS(nrES_PID,$D385,nrES_Code,$F385,nrES_Att,2,nrES_Raw,"&gt;=0")&gt;0,IF(IFERROR(_xlfn.MINIFS(nrES_Date,nrES_PID,$D385,nrES_Code,$F385,nrES_Att,2,nrES_Raw,"&gt;=0",nrES_Date,"&gt;0"),0)=0,"RETEST UNDATED",IF(NOT(ISNUMBER($T385)),"RETEST DATE UNCHECKED",IF(_xlfn.MINIFS(nrES_Date,nrES_PID,$D385,nrES_Code,$F385,nrES_Att,2,nrES_Raw,"&gt;=0",nrES_Date,"&gt;0")&gt;$T385,"LATE RETEST "&amp;TEXT(_xlfn.MINIFS(nrES_Date,nrES_PID,$D385,nrES_Code,$F385,nrES_Att,2,nrES_Raw,"&gt;=0",nrES_Date,"&gt;0"),"mm/dd")&amp;" (due "&amp;TEXT($T385,"mm/dd")&amp;")","Retested"))),IF(NOT(ISNUMBER($T385)),"CHECK DATE",IF(TODAY()&gt;$T385,"OVERDUE","Due "&amp;TEXT($T385,"mm/dd")))))))</f>
        <v/>
      </c>
      <c r="V385" s="16" t="n"/>
      <c r="W385" s="16" t="n"/>
      <c r="X385" s="17">
        <f>IF($C385="","",IF(AND($L385&lt;&gt;"",NOT(ISNUMBER($L385))),"RAW SCORE NOT A NUMBER",IF(AND(ISNUMBER($L385),OR($L385&lt;0,$L385&gt;100)),"RAW SCORE OUT OF RANGE",IF(AND($Y385="Unexcused",OR($L385="",NOT(ISNUMBER($L385)),$L385&lt;&gt;0)),"UNEXCUSED ABSENCE MUST RECORD 0",IF(COUNTIF(nrES_RecID,$B385)&gt;1,"DUPLICATE RECORD",IF(N($K385)&gt;2,"ATTEMPT 3+ NOT ALLOWED - policy 300.5 permits one retest per exam; this row records nothing",IF(AND($K385=2,COUNTIFS(nrES_PID,$D385,nrES_Code,$F385,nrES_Att,1)=0),"ATTEMPT 2 WITHOUT ATTEMPT 1",IF(AND($K385=2,$L385=""),"RETEST ROW HAS NO SCORE",IF(AND($H385="Final",$L385&lt;&gt;"",IFERROR(INDEX(nrCKfinalExamElig,MATCH($D385,rngCadetPIDs,0)),"")="No"),"FINAL EXAM AFTER FAILED FINAL PT (500.1.H)",IF(AND($K385=2,ISNUMBER($L385),COUNTIFS(nrES_PID,$D385,nrES_Code,$F385,nrES_Att,1)&gt;0,SUMIFS(nrES_Raw,nrES_PID,$D385,nrES_Code,$F385,nrES_Att,1)&gt;=$J385),"RETEST AFTER A PASSING FIRST ATTEMPT","OK"))))))))))</f>
        <v/>
      </c>
      <c r="Y385" s="16" t="n"/>
    </row>
    <row r="386">
      <c r="B386" s="17">
        <f>IF($C386="","",$D386&amp;"-"&amp;$F386&amp;"-"&amp;$K386)</f>
        <v/>
      </c>
      <c r="C386" s="16" t="n"/>
      <c r="D386" s="17">
        <f>IF($C386="","",IFERROR(INDEX(rngCadetPIDs,MATCH($C386,rngCadetNames,0)),"?"))</f>
        <v/>
      </c>
      <c r="E386" s="17">
        <f>IF($D386="","",IFERROR(INDEX(nrCadetAgency,MATCH($D386,rngCadetPIDs,0)),""))</f>
        <v/>
      </c>
      <c r="F386" s="16" t="n"/>
      <c r="G386" s="17">
        <f>IF($F386="","",IFERROR(INDEX(rngEPname,MATCH($F386,rngEPcode,0)),"?"))</f>
        <v/>
      </c>
      <c r="H386" s="17">
        <f>IF($F386="","",IFERROR(INDEX(rngEPtype,MATCH($F386,rngEPcode,0)),"?"))</f>
        <v/>
      </c>
      <c r="I386" s="17">
        <f>IF($F386="","",IFERROR(INDEX(rngEPseq,MATCH($F386,rngEPcode,0)),""))</f>
        <v/>
      </c>
      <c r="J386" s="17">
        <f>IF($F386="","",IFERROR(INDEX(rngEPpass,MATCH($F386,rngEPcode,0)),cfgPassingScore))</f>
        <v/>
      </c>
      <c r="K386" s="16" t="n"/>
      <c r="L386" s="16" t="n"/>
      <c r="M386" s="17">
        <f>IF($C386="","",IF($L386="","",IF(NOT(ISNUMBER($L386)),$L386,IF(N($K386)&gt;2,"",IF($K386=1,IF(COUNTIFS(nrES_PID,$D386,nrES_Code,$F386,nrES_Att,2,nrES_Raw,"&gt;=0")&gt;0,"",$L386),IF($L386&gt;=$J386,MAX($J386,cfgRetakeRecordedCap),IF(COUNTIFS(nrES_PID,$D386,nrES_Code,$F386,nrES_Att,1)=0,$L386,SUMIFS(nrES_Raw,nrES_PID,$D386,nrES_Code,$F386,nrES_Att,1))))))))</f>
        <v/>
      </c>
      <c r="N386" s="17">
        <f>IF($C386="","",IF($L386="","",IF(NOT(ISNUMBER($L386)),"(not a score)",IF($L386&gt;=$J386,"Yes","No"))))</f>
        <v/>
      </c>
      <c r="O386" s="17">
        <f>IF($C386="","",IF($M386="","",IF(NOT(ISNUMBER($M386)),"(not a score)",IF($M386&gt;=$J386,"Yes","No"))))</f>
        <v/>
      </c>
      <c r="P386" s="17">
        <f>IF($C386="","",IF($K386="","",IF(N($K386)&gt;2,"No",IF(COUNTIFS(nrES_PID,$D386,nrES_Code,$F386,nrES_Att,"&gt;"&amp;$K386,nrES_Att,"&lt;=2",nrES_Raw,"&gt;=0")=0,"Yes","No"))))</f>
        <v/>
      </c>
      <c r="Q386" s="17">
        <f>IF($C386="","",IF($L386="","",IF(AND($K386=1,ISNUMBER($L386),$L386&lt;$J386,COUNTIFS(nrES_PID,$D386,nrES_Code,$F386,nrES_Att,2,nrES_Raw,"&gt;=0")=0),"Yes","No")))</f>
        <v/>
      </c>
      <c r="R386" s="17">
        <f>IF($C386="","",IF($L386="","",IF(AND(N($K386)&gt;=2,ISNUMBER($L386),$L386&lt;$J386),"Yes","No")))</f>
        <v/>
      </c>
      <c r="S386" s="18" t="n"/>
      <c r="T386" s="19">
        <f>IF(OR($C386="",$L386="",$K386&lt;&gt;1,NOT(ISNUMBER($L386)),$L386&gt;=$J386),"",IF($S386="","(enter date)",_xlfn.LET(_xlpm.dn,_xlfn.XLOOKUP($S386,nrCDdate,nrCDnum,"",1),IF(_xlpm.dn="","(after last class day)",_xlfn.LET(_xlpm.dd,_xlfn.XLOOKUP(_xlpm.dn+cfgRetestClassDays,nrCDnum,nrCDdate,""),_xlpm.ok,_xlfn.XLOOKUP(_xlpm.dn+cfgRetestClassDays,nrCDnum,nrCDinsession,"No"),IF(OR(_xlpm.dd="",_xlpm.ok&lt;&gt;"Yes"),"(after last class day)",_xlpm.dd))))))</f>
        <v/>
      </c>
      <c r="U386" s="17">
        <f>IF($C386="","",IF(AND($Y386="Excused",$L386="",N($K386)&lt;=1),"EXCUSED - 1st attempt pending",IF(OR($L386="",$K386&lt;&gt;1,NOT(ISNUMBER($L386)),$L386&gt;=$J386),"",IF(COUNTIFS(nrES_PID,$D386,nrES_Code,$F386,nrES_Att,2,nrES_Raw,"&gt;=0")&gt;0,IF(IFERROR(_xlfn.MINIFS(nrES_Date,nrES_PID,$D386,nrES_Code,$F386,nrES_Att,2,nrES_Raw,"&gt;=0",nrES_Date,"&gt;0"),0)=0,"RETEST UNDATED",IF(NOT(ISNUMBER($T386)),"RETEST DATE UNCHECKED",IF(_xlfn.MINIFS(nrES_Date,nrES_PID,$D386,nrES_Code,$F386,nrES_Att,2,nrES_Raw,"&gt;=0",nrES_Date,"&gt;0")&gt;$T386,"LATE RETEST "&amp;TEXT(_xlfn.MINIFS(nrES_Date,nrES_PID,$D386,nrES_Code,$F386,nrES_Att,2,nrES_Raw,"&gt;=0",nrES_Date,"&gt;0"),"mm/dd")&amp;" (due "&amp;TEXT($T386,"mm/dd")&amp;")","Retested"))),IF(NOT(ISNUMBER($T386)),"CHECK DATE",IF(TODAY()&gt;$T386,"OVERDUE","Due "&amp;TEXT($T386,"mm/dd")))))))</f>
        <v/>
      </c>
      <c r="V386" s="16" t="n"/>
      <c r="W386" s="16" t="n"/>
      <c r="X386" s="17">
        <f>IF($C386="","",IF(AND($L386&lt;&gt;"",NOT(ISNUMBER($L386))),"RAW SCORE NOT A NUMBER",IF(AND(ISNUMBER($L386),OR($L386&lt;0,$L386&gt;100)),"RAW SCORE OUT OF RANGE",IF(AND($Y386="Unexcused",OR($L386="",NOT(ISNUMBER($L386)),$L386&lt;&gt;0)),"UNEXCUSED ABSENCE MUST RECORD 0",IF(COUNTIF(nrES_RecID,$B386)&gt;1,"DUPLICATE RECORD",IF(N($K386)&gt;2,"ATTEMPT 3+ NOT ALLOWED - policy 300.5 permits one retest per exam; this row records nothing",IF(AND($K386=2,COUNTIFS(nrES_PID,$D386,nrES_Code,$F386,nrES_Att,1)=0),"ATTEMPT 2 WITHOUT ATTEMPT 1",IF(AND($K386=2,$L386=""),"RETEST ROW HAS NO SCORE",IF(AND($H386="Final",$L386&lt;&gt;"",IFERROR(INDEX(nrCKfinalExamElig,MATCH($D386,rngCadetPIDs,0)),"")="No"),"FINAL EXAM AFTER FAILED FINAL PT (500.1.H)",IF(AND($K386=2,ISNUMBER($L386),COUNTIFS(nrES_PID,$D386,nrES_Code,$F386,nrES_Att,1)&gt;0,SUMIFS(nrES_Raw,nrES_PID,$D386,nrES_Code,$F386,nrES_Att,1)&gt;=$J386),"RETEST AFTER A PASSING FIRST ATTEMPT","OK"))))))))))</f>
        <v/>
      </c>
      <c r="Y386" s="16" t="n"/>
    </row>
    <row r="387">
      <c r="B387" s="17">
        <f>IF($C387="","",$D387&amp;"-"&amp;$F387&amp;"-"&amp;$K387)</f>
        <v/>
      </c>
      <c r="C387" s="16" t="n"/>
      <c r="D387" s="17">
        <f>IF($C387="","",IFERROR(INDEX(rngCadetPIDs,MATCH($C387,rngCadetNames,0)),"?"))</f>
        <v/>
      </c>
      <c r="E387" s="17">
        <f>IF($D387="","",IFERROR(INDEX(nrCadetAgency,MATCH($D387,rngCadetPIDs,0)),""))</f>
        <v/>
      </c>
      <c r="F387" s="16" t="n"/>
      <c r="G387" s="17">
        <f>IF($F387="","",IFERROR(INDEX(rngEPname,MATCH($F387,rngEPcode,0)),"?"))</f>
        <v/>
      </c>
      <c r="H387" s="17">
        <f>IF($F387="","",IFERROR(INDEX(rngEPtype,MATCH($F387,rngEPcode,0)),"?"))</f>
        <v/>
      </c>
      <c r="I387" s="17">
        <f>IF($F387="","",IFERROR(INDEX(rngEPseq,MATCH($F387,rngEPcode,0)),""))</f>
        <v/>
      </c>
      <c r="J387" s="17">
        <f>IF($F387="","",IFERROR(INDEX(rngEPpass,MATCH($F387,rngEPcode,0)),cfgPassingScore))</f>
        <v/>
      </c>
      <c r="K387" s="16" t="n"/>
      <c r="L387" s="16" t="n"/>
      <c r="M387" s="17">
        <f>IF($C387="","",IF($L387="","",IF(NOT(ISNUMBER($L387)),$L387,IF(N($K387)&gt;2,"",IF($K387=1,IF(COUNTIFS(nrES_PID,$D387,nrES_Code,$F387,nrES_Att,2,nrES_Raw,"&gt;=0")&gt;0,"",$L387),IF($L387&gt;=$J387,MAX($J387,cfgRetakeRecordedCap),IF(COUNTIFS(nrES_PID,$D387,nrES_Code,$F387,nrES_Att,1)=0,$L387,SUMIFS(nrES_Raw,nrES_PID,$D387,nrES_Code,$F387,nrES_Att,1))))))))</f>
        <v/>
      </c>
      <c r="N387" s="17">
        <f>IF($C387="","",IF($L387="","",IF(NOT(ISNUMBER($L387)),"(not a score)",IF($L387&gt;=$J387,"Yes","No"))))</f>
        <v/>
      </c>
      <c r="O387" s="17">
        <f>IF($C387="","",IF($M387="","",IF(NOT(ISNUMBER($M387)),"(not a score)",IF($M387&gt;=$J387,"Yes","No"))))</f>
        <v/>
      </c>
      <c r="P387" s="17">
        <f>IF($C387="","",IF($K387="","",IF(N($K387)&gt;2,"No",IF(COUNTIFS(nrES_PID,$D387,nrES_Code,$F387,nrES_Att,"&gt;"&amp;$K387,nrES_Att,"&lt;=2",nrES_Raw,"&gt;=0")=0,"Yes","No"))))</f>
        <v/>
      </c>
      <c r="Q387" s="17">
        <f>IF($C387="","",IF($L387="","",IF(AND($K387=1,ISNUMBER($L387),$L387&lt;$J387,COUNTIFS(nrES_PID,$D387,nrES_Code,$F387,nrES_Att,2,nrES_Raw,"&gt;=0")=0),"Yes","No")))</f>
        <v/>
      </c>
      <c r="R387" s="17">
        <f>IF($C387="","",IF($L387="","",IF(AND(N($K387)&gt;=2,ISNUMBER($L387),$L387&lt;$J387),"Yes","No")))</f>
        <v/>
      </c>
      <c r="S387" s="18" t="n"/>
      <c r="T387" s="19">
        <f>IF(OR($C387="",$L387="",$K387&lt;&gt;1,NOT(ISNUMBER($L387)),$L387&gt;=$J387),"",IF($S387="","(enter date)",_xlfn.LET(_xlpm.dn,_xlfn.XLOOKUP($S387,nrCDdate,nrCDnum,"",1),IF(_xlpm.dn="","(after last class day)",_xlfn.LET(_xlpm.dd,_xlfn.XLOOKUP(_xlpm.dn+cfgRetestClassDays,nrCDnum,nrCDdate,""),_xlpm.ok,_xlfn.XLOOKUP(_xlpm.dn+cfgRetestClassDays,nrCDnum,nrCDinsession,"No"),IF(OR(_xlpm.dd="",_xlpm.ok&lt;&gt;"Yes"),"(after last class day)",_xlpm.dd))))))</f>
        <v/>
      </c>
      <c r="U387" s="17">
        <f>IF($C387="","",IF(AND($Y387="Excused",$L387="",N($K387)&lt;=1),"EXCUSED - 1st attempt pending",IF(OR($L387="",$K387&lt;&gt;1,NOT(ISNUMBER($L387)),$L387&gt;=$J387),"",IF(COUNTIFS(nrES_PID,$D387,nrES_Code,$F387,nrES_Att,2,nrES_Raw,"&gt;=0")&gt;0,IF(IFERROR(_xlfn.MINIFS(nrES_Date,nrES_PID,$D387,nrES_Code,$F387,nrES_Att,2,nrES_Raw,"&gt;=0",nrES_Date,"&gt;0"),0)=0,"RETEST UNDATED",IF(NOT(ISNUMBER($T387)),"RETEST DATE UNCHECKED",IF(_xlfn.MINIFS(nrES_Date,nrES_PID,$D387,nrES_Code,$F387,nrES_Att,2,nrES_Raw,"&gt;=0",nrES_Date,"&gt;0")&gt;$T387,"LATE RETEST "&amp;TEXT(_xlfn.MINIFS(nrES_Date,nrES_PID,$D387,nrES_Code,$F387,nrES_Att,2,nrES_Raw,"&gt;=0",nrES_Date,"&gt;0"),"mm/dd")&amp;" (due "&amp;TEXT($T387,"mm/dd")&amp;")","Retested"))),IF(NOT(ISNUMBER($T387)),"CHECK DATE",IF(TODAY()&gt;$T387,"OVERDUE","Due "&amp;TEXT($T387,"mm/dd")))))))</f>
        <v/>
      </c>
      <c r="V387" s="16" t="n"/>
      <c r="W387" s="16" t="n"/>
      <c r="X387" s="17">
        <f>IF($C387="","",IF(AND($L387&lt;&gt;"",NOT(ISNUMBER($L387))),"RAW SCORE NOT A NUMBER",IF(AND(ISNUMBER($L387),OR($L387&lt;0,$L387&gt;100)),"RAW SCORE OUT OF RANGE",IF(AND($Y387="Unexcused",OR($L387="",NOT(ISNUMBER($L387)),$L387&lt;&gt;0)),"UNEXCUSED ABSENCE MUST RECORD 0",IF(COUNTIF(nrES_RecID,$B387)&gt;1,"DUPLICATE RECORD",IF(N($K387)&gt;2,"ATTEMPT 3+ NOT ALLOWED - policy 300.5 permits one retest per exam; this row records nothing",IF(AND($K387=2,COUNTIFS(nrES_PID,$D387,nrES_Code,$F387,nrES_Att,1)=0),"ATTEMPT 2 WITHOUT ATTEMPT 1",IF(AND($K387=2,$L387=""),"RETEST ROW HAS NO SCORE",IF(AND($H387="Final",$L387&lt;&gt;"",IFERROR(INDEX(nrCKfinalExamElig,MATCH($D387,rngCadetPIDs,0)),"")="No"),"FINAL EXAM AFTER FAILED FINAL PT (500.1.H)",IF(AND($K387=2,ISNUMBER($L387),COUNTIFS(nrES_PID,$D387,nrES_Code,$F387,nrES_Att,1)&gt;0,SUMIFS(nrES_Raw,nrES_PID,$D387,nrES_Code,$F387,nrES_Att,1)&gt;=$J387),"RETEST AFTER A PASSING FIRST ATTEMPT","OK"))))))))))</f>
        <v/>
      </c>
      <c r="Y387" s="16" t="n"/>
    </row>
    <row r="388">
      <c r="B388" s="17">
        <f>IF($C388="","",$D388&amp;"-"&amp;$F388&amp;"-"&amp;$K388)</f>
        <v/>
      </c>
      <c r="C388" s="16" t="n"/>
      <c r="D388" s="17">
        <f>IF($C388="","",IFERROR(INDEX(rngCadetPIDs,MATCH($C388,rngCadetNames,0)),"?"))</f>
        <v/>
      </c>
      <c r="E388" s="17">
        <f>IF($D388="","",IFERROR(INDEX(nrCadetAgency,MATCH($D388,rngCadetPIDs,0)),""))</f>
        <v/>
      </c>
      <c r="F388" s="16" t="n"/>
      <c r="G388" s="17">
        <f>IF($F388="","",IFERROR(INDEX(rngEPname,MATCH($F388,rngEPcode,0)),"?"))</f>
        <v/>
      </c>
      <c r="H388" s="17">
        <f>IF($F388="","",IFERROR(INDEX(rngEPtype,MATCH($F388,rngEPcode,0)),"?"))</f>
        <v/>
      </c>
      <c r="I388" s="17">
        <f>IF($F388="","",IFERROR(INDEX(rngEPseq,MATCH($F388,rngEPcode,0)),""))</f>
        <v/>
      </c>
      <c r="J388" s="17">
        <f>IF($F388="","",IFERROR(INDEX(rngEPpass,MATCH($F388,rngEPcode,0)),cfgPassingScore))</f>
        <v/>
      </c>
      <c r="K388" s="16" t="n"/>
      <c r="L388" s="16" t="n"/>
      <c r="M388" s="17">
        <f>IF($C388="","",IF($L388="","",IF(NOT(ISNUMBER($L388)),$L388,IF(N($K388)&gt;2,"",IF($K388=1,IF(COUNTIFS(nrES_PID,$D388,nrES_Code,$F388,nrES_Att,2,nrES_Raw,"&gt;=0")&gt;0,"",$L388),IF($L388&gt;=$J388,MAX($J388,cfgRetakeRecordedCap),IF(COUNTIFS(nrES_PID,$D388,nrES_Code,$F388,nrES_Att,1)=0,$L388,SUMIFS(nrES_Raw,nrES_PID,$D388,nrES_Code,$F388,nrES_Att,1))))))))</f>
        <v/>
      </c>
      <c r="N388" s="17">
        <f>IF($C388="","",IF($L388="","",IF(NOT(ISNUMBER($L388)),"(not a score)",IF($L388&gt;=$J388,"Yes","No"))))</f>
        <v/>
      </c>
      <c r="O388" s="17">
        <f>IF($C388="","",IF($M388="","",IF(NOT(ISNUMBER($M388)),"(not a score)",IF($M388&gt;=$J388,"Yes","No"))))</f>
        <v/>
      </c>
      <c r="P388" s="17">
        <f>IF($C388="","",IF($K388="","",IF(N($K388)&gt;2,"No",IF(COUNTIFS(nrES_PID,$D388,nrES_Code,$F388,nrES_Att,"&gt;"&amp;$K388,nrES_Att,"&lt;=2",nrES_Raw,"&gt;=0")=0,"Yes","No"))))</f>
        <v/>
      </c>
      <c r="Q388" s="17">
        <f>IF($C388="","",IF($L388="","",IF(AND($K388=1,ISNUMBER($L388),$L388&lt;$J388,COUNTIFS(nrES_PID,$D388,nrES_Code,$F388,nrES_Att,2,nrES_Raw,"&gt;=0")=0),"Yes","No")))</f>
        <v/>
      </c>
      <c r="R388" s="17">
        <f>IF($C388="","",IF($L388="","",IF(AND(N($K388)&gt;=2,ISNUMBER($L388),$L388&lt;$J388),"Yes","No")))</f>
        <v/>
      </c>
      <c r="S388" s="18" t="n"/>
      <c r="T388" s="19">
        <f>IF(OR($C388="",$L388="",$K388&lt;&gt;1,NOT(ISNUMBER($L388)),$L388&gt;=$J388),"",IF($S388="","(enter date)",_xlfn.LET(_xlpm.dn,_xlfn.XLOOKUP($S388,nrCDdate,nrCDnum,"",1),IF(_xlpm.dn="","(after last class day)",_xlfn.LET(_xlpm.dd,_xlfn.XLOOKUP(_xlpm.dn+cfgRetestClassDays,nrCDnum,nrCDdate,""),_xlpm.ok,_xlfn.XLOOKUP(_xlpm.dn+cfgRetestClassDays,nrCDnum,nrCDinsession,"No"),IF(OR(_xlpm.dd="",_xlpm.ok&lt;&gt;"Yes"),"(after last class day)",_xlpm.dd))))))</f>
        <v/>
      </c>
      <c r="U388" s="17">
        <f>IF($C388="","",IF(AND($Y388="Excused",$L388="",N($K388)&lt;=1),"EXCUSED - 1st attempt pending",IF(OR($L388="",$K388&lt;&gt;1,NOT(ISNUMBER($L388)),$L388&gt;=$J388),"",IF(COUNTIFS(nrES_PID,$D388,nrES_Code,$F388,nrES_Att,2,nrES_Raw,"&gt;=0")&gt;0,IF(IFERROR(_xlfn.MINIFS(nrES_Date,nrES_PID,$D388,nrES_Code,$F388,nrES_Att,2,nrES_Raw,"&gt;=0",nrES_Date,"&gt;0"),0)=0,"RETEST UNDATED",IF(NOT(ISNUMBER($T388)),"RETEST DATE UNCHECKED",IF(_xlfn.MINIFS(nrES_Date,nrES_PID,$D388,nrES_Code,$F388,nrES_Att,2,nrES_Raw,"&gt;=0",nrES_Date,"&gt;0")&gt;$T388,"LATE RETEST "&amp;TEXT(_xlfn.MINIFS(nrES_Date,nrES_PID,$D388,nrES_Code,$F388,nrES_Att,2,nrES_Raw,"&gt;=0",nrES_Date,"&gt;0"),"mm/dd")&amp;" (due "&amp;TEXT($T388,"mm/dd")&amp;")","Retested"))),IF(NOT(ISNUMBER($T388)),"CHECK DATE",IF(TODAY()&gt;$T388,"OVERDUE","Due "&amp;TEXT($T388,"mm/dd")))))))</f>
        <v/>
      </c>
      <c r="V388" s="16" t="n"/>
      <c r="W388" s="16" t="n"/>
      <c r="X388" s="17">
        <f>IF($C388="","",IF(AND($L388&lt;&gt;"",NOT(ISNUMBER($L388))),"RAW SCORE NOT A NUMBER",IF(AND(ISNUMBER($L388),OR($L388&lt;0,$L388&gt;100)),"RAW SCORE OUT OF RANGE",IF(AND($Y388="Unexcused",OR($L388="",NOT(ISNUMBER($L388)),$L388&lt;&gt;0)),"UNEXCUSED ABSENCE MUST RECORD 0",IF(COUNTIF(nrES_RecID,$B388)&gt;1,"DUPLICATE RECORD",IF(N($K388)&gt;2,"ATTEMPT 3+ NOT ALLOWED - policy 300.5 permits one retest per exam; this row records nothing",IF(AND($K388=2,COUNTIFS(nrES_PID,$D388,nrES_Code,$F388,nrES_Att,1)=0),"ATTEMPT 2 WITHOUT ATTEMPT 1",IF(AND($K388=2,$L388=""),"RETEST ROW HAS NO SCORE",IF(AND($H388="Final",$L388&lt;&gt;"",IFERROR(INDEX(nrCKfinalExamElig,MATCH($D388,rngCadetPIDs,0)),"")="No"),"FINAL EXAM AFTER FAILED FINAL PT (500.1.H)",IF(AND($K388=2,ISNUMBER($L388),COUNTIFS(nrES_PID,$D388,nrES_Code,$F388,nrES_Att,1)&gt;0,SUMIFS(nrES_Raw,nrES_PID,$D388,nrES_Code,$F388,nrES_Att,1)&gt;=$J388),"RETEST AFTER A PASSING FIRST ATTEMPT","OK"))))))))))</f>
        <v/>
      </c>
      <c r="Y388" s="16" t="n"/>
    </row>
    <row r="389">
      <c r="B389" s="17">
        <f>IF($C389="","",$D389&amp;"-"&amp;$F389&amp;"-"&amp;$K389)</f>
        <v/>
      </c>
      <c r="C389" s="16" t="n"/>
      <c r="D389" s="17">
        <f>IF($C389="","",IFERROR(INDEX(rngCadetPIDs,MATCH($C389,rngCadetNames,0)),"?"))</f>
        <v/>
      </c>
      <c r="E389" s="17">
        <f>IF($D389="","",IFERROR(INDEX(nrCadetAgency,MATCH($D389,rngCadetPIDs,0)),""))</f>
        <v/>
      </c>
      <c r="F389" s="16" t="n"/>
      <c r="G389" s="17">
        <f>IF($F389="","",IFERROR(INDEX(rngEPname,MATCH($F389,rngEPcode,0)),"?"))</f>
        <v/>
      </c>
      <c r="H389" s="17">
        <f>IF($F389="","",IFERROR(INDEX(rngEPtype,MATCH($F389,rngEPcode,0)),"?"))</f>
        <v/>
      </c>
      <c r="I389" s="17">
        <f>IF($F389="","",IFERROR(INDEX(rngEPseq,MATCH($F389,rngEPcode,0)),""))</f>
        <v/>
      </c>
      <c r="J389" s="17">
        <f>IF($F389="","",IFERROR(INDEX(rngEPpass,MATCH($F389,rngEPcode,0)),cfgPassingScore))</f>
        <v/>
      </c>
      <c r="K389" s="16" t="n"/>
      <c r="L389" s="16" t="n"/>
      <c r="M389" s="17">
        <f>IF($C389="","",IF($L389="","",IF(NOT(ISNUMBER($L389)),$L389,IF(N($K389)&gt;2,"",IF($K389=1,IF(COUNTIFS(nrES_PID,$D389,nrES_Code,$F389,nrES_Att,2,nrES_Raw,"&gt;=0")&gt;0,"",$L389),IF($L389&gt;=$J389,MAX($J389,cfgRetakeRecordedCap),IF(COUNTIFS(nrES_PID,$D389,nrES_Code,$F389,nrES_Att,1)=0,$L389,SUMIFS(nrES_Raw,nrES_PID,$D389,nrES_Code,$F389,nrES_Att,1))))))))</f>
        <v/>
      </c>
      <c r="N389" s="17">
        <f>IF($C389="","",IF($L389="","",IF(NOT(ISNUMBER($L389)),"(not a score)",IF($L389&gt;=$J389,"Yes","No"))))</f>
        <v/>
      </c>
      <c r="O389" s="17">
        <f>IF($C389="","",IF($M389="","",IF(NOT(ISNUMBER($M389)),"(not a score)",IF($M389&gt;=$J389,"Yes","No"))))</f>
        <v/>
      </c>
      <c r="P389" s="17">
        <f>IF($C389="","",IF($K389="","",IF(N($K389)&gt;2,"No",IF(COUNTIFS(nrES_PID,$D389,nrES_Code,$F389,nrES_Att,"&gt;"&amp;$K389,nrES_Att,"&lt;=2",nrES_Raw,"&gt;=0")=0,"Yes","No"))))</f>
        <v/>
      </c>
      <c r="Q389" s="17">
        <f>IF($C389="","",IF($L389="","",IF(AND($K389=1,ISNUMBER($L389),$L389&lt;$J389,COUNTIFS(nrES_PID,$D389,nrES_Code,$F389,nrES_Att,2,nrES_Raw,"&gt;=0")=0),"Yes","No")))</f>
        <v/>
      </c>
      <c r="R389" s="17">
        <f>IF($C389="","",IF($L389="","",IF(AND(N($K389)&gt;=2,ISNUMBER($L389),$L389&lt;$J389),"Yes","No")))</f>
        <v/>
      </c>
      <c r="S389" s="18" t="n"/>
      <c r="T389" s="19">
        <f>IF(OR($C389="",$L389="",$K389&lt;&gt;1,NOT(ISNUMBER($L389)),$L389&gt;=$J389),"",IF($S389="","(enter date)",_xlfn.LET(_xlpm.dn,_xlfn.XLOOKUP($S389,nrCDdate,nrCDnum,"",1),IF(_xlpm.dn="","(after last class day)",_xlfn.LET(_xlpm.dd,_xlfn.XLOOKUP(_xlpm.dn+cfgRetestClassDays,nrCDnum,nrCDdate,""),_xlpm.ok,_xlfn.XLOOKUP(_xlpm.dn+cfgRetestClassDays,nrCDnum,nrCDinsession,"No"),IF(OR(_xlpm.dd="",_xlpm.ok&lt;&gt;"Yes"),"(after last class day)",_xlpm.dd))))))</f>
        <v/>
      </c>
      <c r="U389" s="17">
        <f>IF($C389="","",IF(AND($Y389="Excused",$L389="",N($K389)&lt;=1),"EXCUSED - 1st attempt pending",IF(OR($L389="",$K389&lt;&gt;1,NOT(ISNUMBER($L389)),$L389&gt;=$J389),"",IF(COUNTIFS(nrES_PID,$D389,nrES_Code,$F389,nrES_Att,2,nrES_Raw,"&gt;=0")&gt;0,IF(IFERROR(_xlfn.MINIFS(nrES_Date,nrES_PID,$D389,nrES_Code,$F389,nrES_Att,2,nrES_Raw,"&gt;=0",nrES_Date,"&gt;0"),0)=0,"RETEST UNDATED",IF(NOT(ISNUMBER($T389)),"RETEST DATE UNCHECKED",IF(_xlfn.MINIFS(nrES_Date,nrES_PID,$D389,nrES_Code,$F389,nrES_Att,2,nrES_Raw,"&gt;=0",nrES_Date,"&gt;0")&gt;$T389,"LATE RETEST "&amp;TEXT(_xlfn.MINIFS(nrES_Date,nrES_PID,$D389,nrES_Code,$F389,nrES_Att,2,nrES_Raw,"&gt;=0",nrES_Date,"&gt;0"),"mm/dd")&amp;" (due "&amp;TEXT($T389,"mm/dd")&amp;")","Retested"))),IF(NOT(ISNUMBER($T389)),"CHECK DATE",IF(TODAY()&gt;$T389,"OVERDUE","Due "&amp;TEXT($T389,"mm/dd")))))))</f>
        <v/>
      </c>
      <c r="V389" s="16" t="n"/>
      <c r="W389" s="16" t="n"/>
      <c r="X389" s="17">
        <f>IF($C389="","",IF(AND($L389&lt;&gt;"",NOT(ISNUMBER($L389))),"RAW SCORE NOT A NUMBER",IF(AND(ISNUMBER($L389),OR($L389&lt;0,$L389&gt;100)),"RAW SCORE OUT OF RANGE",IF(AND($Y389="Unexcused",OR($L389="",NOT(ISNUMBER($L389)),$L389&lt;&gt;0)),"UNEXCUSED ABSENCE MUST RECORD 0",IF(COUNTIF(nrES_RecID,$B389)&gt;1,"DUPLICATE RECORD",IF(N($K389)&gt;2,"ATTEMPT 3+ NOT ALLOWED - policy 300.5 permits one retest per exam; this row records nothing",IF(AND($K389=2,COUNTIFS(nrES_PID,$D389,nrES_Code,$F389,nrES_Att,1)=0),"ATTEMPT 2 WITHOUT ATTEMPT 1",IF(AND($K389=2,$L389=""),"RETEST ROW HAS NO SCORE",IF(AND($H389="Final",$L389&lt;&gt;"",IFERROR(INDEX(nrCKfinalExamElig,MATCH($D389,rngCadetPIDs,0)),"")="No"),"FINAL EXAM AFTER FAILED FINAL PT (500.1.H)",IF(AND($K389=2,ISNUMBER($L389),COUNTIFS(nrES_PID,$D389,nrES_Code,$F389,nrES_Att,1)&gt;0,SUMIFS(nrES_Raw,nrES_PID,$D389,nrES_Code,$F389,nrES_Att,1)&gt;=$J389),"RETEST AFTER A PASSING FIRST ATTEMPT","OK"))))))))))</f>
        <v/>
      </c>
      <c r="Y389" s="16" t="n"/>
    </row>
    <row r="390">
      <c r="B390" s="17">
        <f>IF($C390="","",$D390&amp;"-"&amp;$F390&amp;"-"&amp;$K390)</f>
        <v/>
      </c>
      <c r="C390" s="16" t="n"/>
      <c r="D390" s="17">
        <f>IF($C390="","",IFERROR(INDEX(rngCadetPIDs,MATCH($C390,rngCadetNames,0)),"?"))</f>
        <v/>
      </c>
      <c r="E390" s="17">
        <f>IF($D390="","",IFERROR(INDEX(nrCadetAgency,MATCH($D390,rngCadetPIDs,0)),""))</f>
        <v/>
      </c>
      <c r="F390" s="16" t="n"/>
      <c r="G390" s="17">
        <f>IF($F390="","",IFERROR(INDEX(rngEPname,MATCH($F390,rngEPcode,0)),"?"))</f>
        <v/>
      </c>
      <c r="H390" s="17">
        <f>IF($F390="","",IFERROR(INDEX(rngEPtype,MATCH($F390,rngEPcode,0)),"?"))</f>
        <v/>
      </c>
      <c r="I390" s="17">
        <f>IF($F390="","",IFERROR(INDEX(rngEPseq,MATCH($F390,rngEPcode,0)),""))</f>
        <v/>
      </c>
      <c r="J390" s="17">
        <f>IF($F390="","",IFERROR(INDEX(rngEPpass,MATCH($F390,rngEPcode,0)),cfgPassingScore))</f>
        <v/>
      </c>
      <c r="K390" s="16" t="n"/>
      <c r="L390" s="16" t="n"/>
      <c r="M390" s="17">
        <f>IF($C390="","",IF($L390="","",IF(NOT(ISNUMBER($L390)),$L390,IF(N($K390)&gt;2,"",IF($K390=1,IF(COUNTIFS(nrES_PID,$D390,nrES_Code,$F390,nrES_Att,2,nrES_Raw,"&gt;=0")&gt;0,"",$L390),IF($L390&gt;=$J390,MAX($J390,cfgRetakeRecordedCap),IF(COUNTIFS(nrES_PID,$D390,nrES_Code,$F390,nrES_Att,1)=0,$L390,SUMIFS(nrES_Raw,nrES_PID,$D390,nrES_Code,$F390,nrES_Att,1))))))))</f>
        <v/>
      </c>
      <c r="N390" s="17">
        <f>IF($C390="","",IF($L390="","",IF(NOT(ISNUMBER($L390)),"(not a score)",IF($L390&gt;=$J390,"Yes","No"))))</f>
        <v/>
      </c>
      <c r="O390" s="17">
        <f>IF($C390="","",IF($M390="","",IF(NOT(ISNUMBER($M390)),"(not a score)",IF($M390&gt;=$J390,"Yes","No"))))</f>
        <v/>
      </c>
      <c r="P390" s="17">
        <f>IF($C390="","",IF($K390="","",IF(N($K390)&gt;2,"No",IF(COUNTIFS(nrES_PID,$D390,nrES_Code,$F390,nrES_Att,"&gt;"&amp;$K390,nrES_Att,"&lt;=2",nrES_Raw,"&gt;=0")=0,"Yes","No"))))</f>
        <v/>
      </c>
      <c r="Q390" s="17">
        <f>IF($C390="","",IF($L390="","",IF(AND($K390=1,ISNUMBER($L390),$L390&lt;$J390,COUNTIFS(nrES_PID,$D390,nrES_Code,$F390,nrES_Att,2,nrES_Raw,"&gt;=0")=0),"Yes","No")))</f>
        <v/>
      </c>
      <c r="R390" s="17">
        <f>IF($C390="","",IF($L390="","",IF(AND(N($K390)&gt;=2,ISNUMBER($L390),$L390&lt;$J390),"Yes","No")))</f>
        <v/>
      </c>
      <c r="S390" s="18" t="n"/>
      <c r="T390" s="19">
        <f>IF(OR($C390="",$L390="",$K390&lt;&gt;1,NOT(ISNUMBER($L390)),$L390&gt;=$J390),"",IF($S390="","(enter date)",_xlfn.LET(_xlpm.dn,_xlfn.XLOOKUP($S390,nrCDdate,nrCDnum,"",1),IF(_xlpm.dn="","(after last class day)",_xlfn.LET(_xlpm.dd,_xlfn.XLOOKUP(_xlpm.dn+cfgRetestClassDays,nrCDnum,nrCDdate,""),_xlpm.ok,_xlfn.XLOOKUP(_xlpm.dn+cfgRetestClassDays,nrCDnum,nrCDinsession,"No"),IF(OR(_xlpm.dd="",_xlpm.ok&lt;&gt;"Yes"),"(after last class day)",_xlpm.dd))))))</f>
        <v/>
      </c>
      <c r="U390" s="17">
        <f>IF($C390="","",IF(AND($Y390="Excused",$L390="",N($K390)&lt;=1),"EXCUSED - 1st attempt pending",IF(OR($L390="",$K390&lt;&gt;1,NOT(ISNUMBER($L390)),$L390&gt;=$J390),"",IF(COUNTIFS(nrES_PID,$D390,nrES_Code,$F390,nrES_Att,2,nrES_Raw,"&gt;=0")&gt;0,IF(IFERROR(_xlfn.MINIFS(nrES_Date,nrES_PID,$D390,nrES_Code,$F390,nrES_Att,2,nrES_Raw,"&gt;=0",nrES_Date,"&gt;0"),0)=0,"RETEST UNDATED",IF(NOT(ISNUMBER($T390)),"RETEST DATE UNCHECKED",IF(_xlfn.MINIFS(nrES_Date,nrES_PID,$D390,nrES_Code,$F390,nrES_Att,2,nrES_Raw,"&gt;=0",nrES_Date,"&gt;0")&gt;$T390,"LATE RETEST "&amp;TEXT(_xlfn.MINIFS(nrES_Date,nrES_PID,$D390,nrES_Code,$F390,nrES_Att,2,nrES_Raw,"&gt;=0",nrES_Date,"&gt;0"),"mm/dd")&amp;" (due "&amp;TEXT($T390,"mm/dd")&amp;")","Retested"))),IF(NOT(ISNUMBER($T390)),"CHECK DATE",IF(TODAY()&gt;$T390,"OVERDUE","Due "&amp;TEXT($T390,"mm/dd")))))))</f>
        <v/>
      </c>
      <c r="V390" s="16" t="n"/>
      <c r="W390" s="16" t="n"/>
      <c r="X390" s="17">
        <f>IF($C390="","",IF(AND($L390&lt;&gt;"",NOT(ISNUMBER($L390))),"RAW SCORE NOT A NUMBER",IF(AND(ISNUMBER($L390),OR($L390&lt;0,$L390&gt;100)),"RAW SCORE OUT OF RANGE",IF(AND($Y390="Unexcused",OR($L390="",NOT(ISNUMBER($L390)),$L390&lt;&gt;0)),"UNEXCUSED ABSENCE MUST RECORD 0",IF(COUNTIF(nrES_RecID,$B390)&gt;1,"DUPLICATE RECORD",IF(N($K390)&gt;2,"ATTEMPT 3+ NOT ALLOWED - policy 300.5 permits one retest per exam; this row records nothing",IF(AND($K390=2,COUNTIFS(nrES_PID,$D390,nrES_Code,$F390,nrES_Att,1)=0),"ATTEMPT 2 WITHOUT ATTEMPT 1",IF(AND($K390=2,$L390=""),"RETEST ROW HAS NO SCORE",IF(AND($H390="Final",$L390&lt;&gt;"",IFERROR(INDEX(nrCKfinalExamElig,MATCH($D390,rngCadetPIDs,0)),"")="No"),"FINAL EXAM AFTER FAILED FINAL PT (500.1.H)",IF(AND($K390=2,ISNUMBER($L390),COUNTIFS(nrES_PID,$D390,nrES_Code,$F390,nrES_Att,1)&gt;0,SUMIFS(nrES_Raw,nrES_PID,$D390,nrES_Code,$F390,nrES_Att,1)&gt;=$J390),"RETEST AFTER A PASSING FIRST ATTEMPT","OK"))))))))))</f>
        <v/>
      </c>
      <c r="Y390" s="16" t="n"/>
    </row>
    <row r="391">
      <c r="B391" s="17">
        <f>IF($C391="","",$D391&amp;"-"&amp;$F391&amp;"-"&amp;$K391)</f>
        <v/>
      </c>
      <c r="C391" s="16" t="n"/>
      <c r="D391" s="17">
        <f>IF($C391="","",IFERROR(INDEX(rngCadetPIDs,MATCH($C391,rngCadetNames,0)),"?"))</f>
        <v/>
      </c>
      <c r="E391" s="17">
        <f>IF($D391="","",IFERROR(INDEX(nrCadetAgency,MATCH($D391,rngCadetPIDs,0)),""))</f>
        <v/>
      </c>
      <c r="F391" s="16" t="n"/>
      <c r="G391" s="17">
        <f>IF($F391="","",IFERROR(INDEX(rngEPname,MATCH($F391,rngEPcode,0)),"?"))</f>
        <v/>
      </c>
      <c r="H391" s="17">
        <f>IF($F391="","",IFERROR(INDEX(rngEPtype,MATCH($F391,rngEPcode,0)),"?"))</f>
        <v/>
      </c>
      <c r="I391" s="17">
        <f>IF($F391="","",IFERROR(INDEX(rngEPseq,MATCH($F391,rngEPcode,0)),""))</f>
        <v/>
      </c>
      <c r="J391" s="17">
        <f>IF($F391="","",IFERROR(INDEX(rngEPpass,MATCH($F391,rngEPcode,0)),cfgPassingScore))</f>
        <v/>
      </c>
      <c r="K391" s="16" t="n"/>
      <c r="L391" s="16" t="n"/>
      <c r="M391" s="17">
        <f>IF($C391="","",IF($L391="","",IF(NOT(ISNUMBER($L391)),$L391,IF(N($K391)&gt;2,"",IF($K391=1,IF(COUNTIFS(nrES_PID,$D391,nrES_Code,$F391,nrES_Att,2,nrES_Raw,"&gt;=0")&gt;0,"",$L391),IF($L391&gt;=$J391,MAX($J391,cfgRetakeRecordedCap),IF(COUNTIFS(nrES_PID,$D391,nrES_Code,$F391,nrES_Att,1)=0,$L391,SUMIFS(nrES_Raw,nrES_PID,$D391,nrES_Code,$F391,nrES_Att,1))))))))</f>
        <v/>
      </c>
      <c r="N391" s="17">
        <f>IF($C391="","",IF($L391="","",IF(NOT(ISNUMBER($L391)),"(not a score)",IF($L391&gt;=$J391,"Yes","No"))))</f>
        <v/>
      </c>
      <c r="O391" s="17">
        <f>IF($C391="","",IF($M391="","",IF(NOT(ISNUMBER($M391)),"(not a score)",IF($M391&gt;=$J391,"Yes","No"))))</f>
        <v/>
      </c>
      <c r="P391" s="17">
        <f>IF($C391="","",IF($K391="","",IF(N($K391)&gt;2,"No",IF(COUNTIFS(nrES_PID,$D391,nrES_Code,$F391,nrES_Att,"&gt;"&amp;$K391,nrES_Att,"&lt;=2",nrES_Raw,"&gt;=0")=0,"Yes","No"))))</f>
        <v/>
      </c>
      <c r="Q391" s="17">
        <f>IF($C391="","",IF($L391="","",IF(AND($K391=1,ISNUMBER($L391),$L391&lt;$J391,COUNTIFS(nrES_PID,$D391,nrES_Code,$F391,nrES_Att,2,nrES_Raw,"&gt;=0")=0),"Yes","No")))</f>
        <v/>
      </c>
      <c r="R391" s="17">
        <f>IF($C391="","",IF($L391="","",IF(AND(N($K391)&gt;=2,ISNUMBER($L391),$L391&lt;$J391),"Yes","No")))</f>
        <v/>
      </c>
      <c r="S391" s="18" t="n"/>
      <c r="T391" s="19">
        <f>IF(OR($C391="",$L391="",$K391&lt;&gt;1,NOT(ISNUMBER($L391)),$L391&gt;=$J391),"",IF($S391="","(enter date)",_xlfn.LET(_xlpm.dn,_xlfn.XLOOKUP($S391,nrCDdate,nrCDnum,"",1),IF(_xlpm.dn="","(after last class day)",_xlfn.LET(_xlpm.dd,_xlfn.XLOOKUP(_xlpm.dn+cfgRetestClassDays,nrCDnum,nrCDdate,""),_xlpm.ok,_xlfn.XLOOKUP(_xlpm.dn+cfgRetestClassDays,nrCDnum,nrCDinsession,"No"),IF(OR(_xlpm.dd="",_xlpm.ok&lt;&gt;"Yes"),"(after last class day)",_xlpm.dd))))))</f>
        <v/>
      </c>
      <c r="U391" s="17">
        <f>IF($C391="","",IF(AND($Y391="Excused",$L391="",N($K391)&lt;=1),"EXCUSED - 1st attempt pending",IF(OR($L391="",$K391&lt;&gt;1,NOT(ISNUMBER($L391)),$L391&gt;=$J391),"",IF(COUNTIFS(nrES_PID,$D391,nrES_Code,$F391,nrES_Att,2,nrES_Raw,"&gt;=0")&gt;0,IF(IFERROR(_xlfn.MINIFS(nrES_Date,nrES_PID,$D391,nrES_Code,$F391,nrES_Att,2,nrES_Raw,"&gt;=0",nrES_Date,"&gt;0"),0)=0,"RETEST UNDATED",IF(NOT(ISNUMBER($T391)),"RETEST DATE UNCHECKED",IF(_xlfn.MINIFS(nrES_Date,nrES_PID,$D391,nrES_Code,$F391,nrES_Att,2,nrES_Raw,"&gt;=0",nrES_Date,"&gt;0")&gt;$T391,"LATE RETEST "&amp;TEXT(_xlfn.MINIFS(nrES_Date,nrES_PID,$D391,nrES_Code,$F391,nrES_Att,2,nrES_Raw,"&gt;=0",nrES_Date,"&gt;0"),"mm/dd")&amp;" (due "&amp;TEXT($T391,"mm/dd")&amp;")","Retested"))),IF(NOT(ISNUMBER($T391)),"CHECK DATE",IF(TODAY()&gt;$T391,"OVERDUE","Due "&amp;TEXT($T391,"mm/dd")))))))</f>
        <v/>
      </c>
      <c r="V391" s="16" t="n"/>
      <c r="W391" s="16" t="n"/>
      <c r="X391" s="17">
        <f>IF($C391="","",IF(AND($L391&lt;&gt;"",NOT(ISNUMBER($L391))),"RAW SCORE NOT A NUMBER",IF(AND(ISNUMBER($L391),OR($L391&lt;0,$L391&gt;100)),"RAW SCORE OUT OF RANGE",IF(AND($Y391="Unexcused",OR($L391="",NOT(ISNUMBER($L391)),$L391&lt;&gt;0)),"UNEXCUSED ABSENCE MUST RECORD 0",IF(COUNTIF(nrES_RecID,$B391)&gt;1,"DUPLICATE RECORD",IF(N($K391)&gt;2,"ATTEMPT 3+ NOT ALLOWED - policy 300.5 permits one retest per exam; this row records nothing",IF(AND($K391=2,COUNTIFS(nrES_PID,$D391,nrES_Code,$F391,nrES_Att,1)=0),"ATTEMPT 2 WITHOUT ATTEMPT 1",IF(AND($K391=2,$L391=""),"RETEST ROW HAS NO SCORE",IF(AND($H391="Final",$L391&lt;&gt;"",IFERROR(INDEX(nrCKfinalExamElig,MATCH($D391,rngCadetPIDs,0)),"")="No"),"FINAL EXAM AFTER FAILED FINAL PT (500.1.H)",IF(AND($K391=2,ISNUMBER($L391),COUNTIFS(nrES_PID,$D391,nrES_Code,$F391,nrES_Att,1)&gt;0,SUMIFS(nrES_Raw,nrES_PID,$D391,nrES_Code,$F391,nrES_Att,1)&gt;=$J391),"RETEST AFTER A PASSING FIRST ATTEMPT","OK"))))))))))</f>
        <v/>
      </c>
      <c r="Y391" s="16" t="n"/>
    </row>
    <row r="392">
      <c r="B392" s="17">
        <f>IF($C392="","",$D392&amp;"-"&amp;$F392&amp;"-"&amp;$K392)</f>
        <v/>
      </c>
      <c r="C392" s="16" t="n"/>
      <c r="D392" s="17">
        <f>IF($C392="","",IFERROR(INDEX(rngCadetPIDs,MATCH($C392,rngCadetNames,0)),"?"))</f>
        <v/>
      </c>
      <c r="E392" s="17">
        <f>IF($D392="","",IFERROR(INDEX(nrCadetAgency,MATCH($D392,rngCadetPIDs,0)),""))</f>
        <v/>
      </c>
      <c r="F392" s="16" t="n"/>
      <c r="G392" s="17">
        <f>IF($F392="","",IFERROR(INDEX(rngEPname,MATCH($F392,rngEPcode,0)),"?"))</f>
        <v/>
      </c>
      <c r="H392" s="17">
        <f>IF($F392="","",IFERROR(INDEX(rngEPtype,MATCH($F392,rngEPcode,0)),"?"))</f>
        <v/>
      </c>
      <c r="I392" s="17">
        <f>IF($F392="","",IFERROR(INDEX(rngEPseq,MATCH($F392,rngEPcode,0)),""))</f>
        <v/>
      </c>
      <c r="J392" s="17">
        <f>IF($F392="","",IFERROR(INDEX(rngEPpass,MATCH($F392,rngEPcode,0)),cfgPassingScore))</f>
        <v/>
      </c>
      <c r="K392" s="16" t="n"/>
      <c r="L392" s="16" t="n"/>
      <c r="M392" s="17">
        <f>IF($C392="","",IF($L392="","",IF(NOT(ISNUMBER($L392)),$L392,IF(N($K392)&gt;2,"",IF($K392=1,IF(COUNTIFS(nrES_PID,$D392,nrES_Code,$F392,nrES_Att,2,nrES_Raw,"&gt;=0")&gt;0,"",$L392),IF($L392&gt;=$J392,MAX($J392,cfgRetakeRecordedCap),IF(COUNTIFS(nrES_PID,$D392,nrES_Code,$F392,nrES_Att,1)=0,$L392,SUMIFS(nrES_Raw,nrES_PID,$D392,nrES_Code,$F392,nrES_Att,1))))))))</f>
        <v/>
      </c>
      <c r="N392" s="17">
        <f>IF($C392="","",IF($L392="","",IF(NOT(ISNUMBER($L392)),"(not a score)",IF($L392&gt;=$J392,"Yes","No"))))</f>
        <v/>
      </c>
      <c r="O392" s="17">
        <f>IF($C392="","",IF($M392="","",IF(NOT(ISNUMBER($M392)),"(not a score)",IF($M392&gt;=$J392,"Yes","No"))))</f>
        <v/>
      </c>
      <c r="P392" s="17">
        <f>IF($C392="","",IF($K392="","",IF(N($K392)&gt;2,"No",IF(COUNTIFS(nrES_PID,$D392,nrES_Code,$F392,nrES_Att,"&gt;"&amp;$K392,nrES_Att,"&lt;=2",nrES_Raw,"&gt;=0")=0,"Yes","No"))))</f>
        <v/>
      </c>
      <c r="Q392" s="17">
        <f>IF($C392="","",IF($L392="","",IF(AND($K392=1,ISNUMBER($L392),$L392&lt;$J392,COUNTIFS(nrES_PID,$D392,nrES_Code,$F392,nrES_Att,2,nrES_Raw,"&gt;=0")=0),"Yes","No")))</f>
        <v/>
      </c>
      <c r="R392" s="17">
        <f>IF($C392="","",IF($L392="","",IF(AND(N($K392)&gt;=2,ISNUMBER($L392),$L392&lt;$J392),"Yes","No")))</f>
        <v/>
      </c>
      <c r="S392" s="18" t="n"/>
      <c r="T392" s="19">
        <f>IF(OR($C392="",$L392="",$K392&lt;&gt;1,NOT(ISNUMBER($L392)),$L392&gt;=$J392),"",IF($S392="","(enter date)",_xlfn.LET(_xlpm.dn,_xlfn.XLOOKUP($S392,nrCDdate,nrCDnum,"",1),IF(_xlpm.dn="","(after last class day)",_xlfn.LET(_xlpm.dd,_xlfn.XLOOKUP(_xlpm.dn+cfgRetestClassDays,nrCDnum,nrCDdate,""),_xlpm.ok,_xlfn.XLOOKUP(_xlpm.dn+cfgRetestClassDays,nrCDnum,nrCDinsession,"No"),IF(OR(_xlpm.dd="",_xlpm.ok&lt;&gt;"Yes"),"(after last class day)",_xlpm.dd))))))</f>
        <v/>
      </c>
      <c r="U392" s="17">
        <f>IF($C392="","",IF(AND($Y392="Excused",$L392="",N($K392)&lt;=1),"EXCUSED - 1st attempt pending",IF(OR($L392="",$K392&lt;&gt;1,NOT(ISNUMBER($L392)),$L392&gt;=$J392),"",IF(COUNTIFS(nrES_PID,$D392,nrES_Code,$F392,nrES_Att,2,nrES_Raw,"&gt;=0")&gt;0,IF(IFERROR(_xlfn.MINIFS(nrES_Date,nrES_PID,$D392,nrES_Code,$F392,nrES_Att,2,nrES_Raw,"&gt;=0",nrES_Date,"&gt;0"),0)=0,"RETEST UNDATED",IF(NOT(ISNUMBER($T392)),"RETEST DATE UNCHECKED",IF(_xlfn.MINIFS(nrES_Date,nrES_PID,$D392,nrES_Code,$F392,nrES_Att,2,nrES_Raw,"&gt;=0",nrES_Date,"&gt;0")&gt;$T392,"LATE RETEST "&amp;TEXT(_xlfn.MINIFS(nrES_Date,nrES_PID,$D392,nrES_Code,$F392,nrES_Att,2,nrES_Raw,"&gt;=0",nrES_Date,"&gt;0"),"mm/dd")&amp;" (due "&amp;TEXT($T392,"mm/dd")&amp;")","Retested"))),IF(NOT(ISNUMBER($T392)),"CHECK DATE",IF(TODAY()&gt;$T392,"OVERDUE","Due "&amp;TEXT($T392,"mm/dd")))))))</f>
        <v/>
      </c>
      <c r="V392" s="16" t="n"/>
      <c r="W392" s="16" t="n"/>
      <c r="X392" s="17">
        <f>IF($C392="","",IF(AND($L392&lt;&gt;"",NOT(ISNUMBER($L392))),"RAW SCORE NOT A NUMBER",IF(AND(ISNUMBER($L392),OR($L392&lt;0,$L392&gt;100)),"RAW SCORE OUT OF RANGE",IF(AND($Y392="Unexcused",OR($L392="",NOT(ISNUMBER($L392)),$L392&lt;&gt;0)),"UNEXCUSED ABSENCE MUST RECORD 0",IF(COUNTIF(nrES_RecID,$B392)&gt;1,"DUPLICATE RECORD",IF(N($K392)&gt;2,"ATTEMPT 3+ NOT ALLOWED - policy 300.5 permits one retest per exam; this row records nothing",IF(AND($K392=2,COUNTIFS(nrES_PID,$D392,nrES_Code,$F392,nrES_Att,1)=0),"ATTEMPT 2 WITHOUT ATTEMPT 1",IF(AND($K392=2,$L392=""),"RETEST ROW HAS NO SCORE",IF(AND($H392="Final",$L392&lt;&gt;"",IFERROR(INDEX(nrCKfinalExamElig,MATCH($D392,rngCadetPIDs,0)),"")="No"),"FINAL EXAM AFTER FAILED FINAL PT (500.1.H)",IF(AND($K392=2,ISNUMBER($L392),COUNTIFS(nrES_PID,$D392,nrES_Code,$F392,nrES_Att,1)&gt;0,SUMIFS(nrES_Raw,nrES_PID,$D392,nrES_Code,$F392,nrES_Att,1)&gt;=$J392),"RETEST AFTER A PASSING FIRST ATTEMPT","OK"))))))))))</f>
        <v/>
      </c>
      <c r="Y392" s="16" t="n"/>
    </row>
    <row r="393">
      <c r="B393" s="17">
        <f>IF($C393="","",$D393&amp;"-"&amp;$F393&amp;"-"&amp;$K393)</f>
        <v/>
      </c>
      <c r="C393" s="16" t="n"/>
      <c r="D393" s="17">
        <f>IF($C393="","",IFERROR(INDEX(rngCadetPIDs,MATCH($C393,rngCadetNames,0)),"?"))</f>
        <v/>
      </c>
      <c r="E393" s="17">
        <f>IF($D393="","",IFERROR(INDEX(nrCadetAgency,MATCH($D393,rngCadetPIDs,0)),""))</f>
        <v/>
      </c>
      <c r="F393" s="16" t="n"/>
      <c r="G393" s="17">
        <f>IF($F393="","",IFERROR(INDEX(rngEPname,MATCH($F393,rngEPcode,0)),"?"))</f>
        <v/>
      </c>
      <c r="H393" s="17">
        <f>IF($F393="","",IFERROR(INDEX(rngEPtype,MATCH($F393,rngEPcode,0)),"?"))</f>
        <v/>
      </c>
      <c r="I393" s="17">
        <f>IF($F393="","",IFERROR(INDEX(rngEPseq,MATCH($F393,rngEPcode,0)),""))</f>
        <v/>
      </c>
      <c r="J393" s="17">
        <f>IF($F393="","",IFERROR(INDEX(rngEPpass,MATCH($F393,rngEPcode,0)),cfgPassingScore))</f>
        <v/>
      </c>
      <c r="K393" s="16" t="n"/>
      <c r="L393" s="16" t="n"/>
      <c r="M393" s="17">
        <f>IF($C393="","",IF($L393="","",IF(NOT(ISNUMBER($L393)),$L393,IF(N($K393)&gt;2,"",IF($K393=1,IF(COUNTIFS(nrES_PID,$D393,nrES_Code,$F393,nrES_Att,2,nrES_Raw,"&gt;=0")&gt;0,"",$L393),IF($L393&gt;=$J393,MAX($J393,cfgRetakeRecordedCap),IF(COUNTIFS(nrES_PID,$D393,nrES_Code,$F393,nrES_Att,1)=0,$L393,SUMIFS(nrES_Raw,nrES_PID,$D393,nrES_Code,$F393,nrES_Att,1))))))))</f>
        <v/>
      </c>
      <c r="N393" s="17">
        <f>IF($C393="","",IF($L393="","",IF(NOT(ISNUMBER($L393)),"(not a score)",IF($L393&gt;=$J393,"Yes","No"))))</f>
        <v/>
      </c>
      <c r="O393" s="17">
        <f>IF($C393="","",IF($M393="","",IF(NOT(ISNUMBER($M393)),"(not a score)",IF($M393&gt;=$J393,"Yes","No"))))</f>
        <v/>
      </c>
      <c r="P393" s="17">
        <f>IF($C393="","",IF($K393="","",IF(N($K393)&gt;2,"No",IF(COUNTIFS(nrES_PID,$D393,nrES_Code,$F393,nrES_Att,"&gt;"&amp;$K393,nrES_Att,"&lt;=2",nrES_Raw,"&gt;=0")=0,"Yes","No"))))</f>
        <v/>
      </c>
      <c r="Q393" s="17">
        <f>IF($C393="","",IF($L393="","",IF(AND($K393=1,ISNUMBER($L393),$L393&lt;$J393,COUNTIFS(nrES_PID,$D393,nrES_Code,$F393,nrES_Att,2,nrES_Raw,"&gt;=0")=0),"Yes","No")))</f>
        <v/>
      </c>
      <c r="R393" s="17">
        <f>IF($C393="","",IF($L393="","",IF(AND(N($K393)&gt;=2,ISNUMBER($L393),$L393&lt;$J393),"Yes","No")))</f>
        <v/>
      </c>
      <c r="S393" s="18" t="n"/>
      <c r="T393" s="19">
        <f>IF(OR($C393="",$L393="",$K393&lt;&gt;1,NOT(ISNUMBER($L393)),$L393&gt;=$J393),"",IF($S393="","(enter date)",_xlfn.LET(_xlpm.dn,_xlfn.XLOOKUP($S393,nrCDdate,nrCDnum,"",1),IF(_xlpm.dn="","(after last class day)",_xlfn.LET(_xlpm.dd,_xlfn.XLOOKUP(_xlpm.dn+cfgRetestClassDays,nrCDnum,nrCDdate,""),_xlpm.ok,_xlfn.XLOOKUP(_xlpm.dn+cfgRetestClassDays,nrCDnum,nrCDinsession,"No"),IF(OR(_xlpm.dd="",_xlpm.ok&lt;&gt;"Yes"),"(after last class day)",_xlpm.dd))))))</f>
        <v/>
      </c>
      <c r="U393" s="17">
        <f>IF($C393="","",IF(AND($Y393="Excused",$L393="",N($K393)&lt;=1),"EXCUSED - 1st attempt pending",IF(OR($L393="",$K393&lt;&gt;1,NOT(ISNUMBER($L393)),$L393&gt;=$J393),"",IF(COUNTIFS(nrES_PID,$D393,nrES_Code,$F393,nrES_Att,2,nrES_Raw,"&gt;=0")&gt;0,IF(IFERROR(_xlfn.MINIFS(nrES_Date,nrES_PID,$D393,nrES_Code,$F393,nrES_Att,2,nrES_Raw,"&gt;=0",nrES_Date,"&gt;0"),0)=0,"RETEST UNDATED",IF(NOT(ISNUMBER($T393)),"RETEST DATE UNCHECKED",IF(_xlfn.MINIFS(nrES_Date,nrES_PID,$D393,nrES_Code,$F393,nrES_Att,2,nrES_Raw,"&gt;=0",nrES_Date,"&gt;0")&gt;$T393,"LATE RETEST "&amp;TEXT(_xlfn.MINIFS(nrES_Date,nrES_PID,$D393,nrES_Code,$F393,nrES_Att,2,nrES_Raw,"&gt;=0",nrES_Date,"&gt;0"),"mm/dd")&amp;" (due "&amp;TEXT($T393,"mm/dd")&amp;")","Retested"))),IF(NOT(ISNUMBER($T393)),"CHECK DATE",IF(TODAY()&gt;$T393,"OVERDUE","Due "&amp;TEXT($T393,"mm/dd")))))))</f>
        <v/>
      </c>
      <c r="V393" s="16" t="n"/>
      <c r="W393" s="16" t="n"/>
      <c r="X393" s="17">
        <f>IF($C393="","",IF(AND($L393&lt;&gt;"",NOT(ISNUMBER($L393))),"RAW SCORE NOT A NUMBER",IF(AND(ISNUMBER($L393),OR($L393&lt;0,$L393&gt;100)),"RAW SCORE OUT OF RANGE",IF(AND($Y393="Unexcused",OR($L393="",NOT(ISNUMBER($L393)),$L393&lt;&gt;0)),"UNEXCUSED ABSENCE MUST RECORD 0",IF(COUNTIF(nrES_RecID,$B393)&gt;1,"DUPLICATE RECORD",IF(N($K393)&gt;2,"ATTEMPT 3+ NOT ALLOWED - policy 300.5 permits one retest per exam; this row records nothing",IF(AND($K393=2,COUNTIFS(nrES_PID,$D393,nrES_Code,$F393,nrES_Att,1)=0),"ATTEMPT 2 WITHOUT ATTEMPT 1",IF(AND($K393=2,$L393=""),"RETEST ROW HAS NO SCORE",IF(AND($H393="Final",$L393&lt;&gt;"",IFERROR(INDEX(nrCKfinalExamElig,MATCH($D393,rngCadetPIDs,0)),"")="No"),"FINAL EXAM AFTER FAILED FINAL PT (500.1.H)",IF(AND($K393=2,ISNUMBER($L393),COUNTIFS(nrES_PID,$D393,nrES_Code,$F393,nrES_Att,1)&gt;0,SUMIFS(nrES_Raw,nrES_PID,$D393,nrES_Code,$F393,nrES_Att,1)&gt;=$J393),"RETEST AFTER A PASSING FIRST ATTEMPT","OK"))))))))))</f>
        <v/>
      </c>
      <c r="Y393" s="16" t="n"/>
    </row>
    <row r="394">
      <c r="B394" s="17">
        <f>IF($C394="","",$D394&amp;"-"&amp;$F394&amp;"-"&amp;$K394)</f>
        <v/>
      </c>
      <c r="C394" s="16" t="n"/>
      <c r="D394" s="17">
        <f>IF($C394="","",IFERROR(INDEX(rngCadetPIDs,MATCH($C394,rngCadetNames,0)),"?"))</f>
        <v/>
      </c>
      <c r="E394" s="17">
        <f>IF($D394="","",IFERROR(INDEX(nrCadetAgency,MATCH($D394,rngCadetPIDs,0)),""))</f>
        <v/>
      </c>
      <c r="F394" s="16" t="n"/>
      <c r="G394" s="17">
        <f>IF($F394="","",IFERROR(INDEX(rngEPname,MATCH($F394,rngEPcode,0)),"?"))</f>
        <v/>
      </c>
      <c r="H394" s="17">
        <f>IF($F394="","",IFERROR(INDEX(rngEPtype,MATCH($F394,rngEPcode,0)),"?"))</f>
        <v/>
      </c>
      <c r="I394" s="17">
        <f>IF($F394="","",IFERROR(INDEX(rngEPseq,MATCH($F394,rngEPcode,0)),""))</f>
        <v/>
      </c>
      <c r="J394" s="17">
        <f>IF($F394="","",IFERROR(INDEX(rngEPpass,MATCH($F394,rngEPcode,0)),cfgPassingScore))</f>
        <v/>
      </c>
      <c r="K394" s="16" t="n"/>
      <c r="L394" s="16" t="n"/>
      <c r="M394" s="17">
        <f>IF($C394="","",IF($L394="","",IF(NOT(ISNUMBER($L394)),$L394,IF(N($K394)&gt;2,"",IF($K394=1,IF(COUNTIFS(nrES_PID,$D394,nrES_Code,$F394,nrES_Att,2,nrES_Raw,"&gt;=0")&gt;0,"",$L394),IF($L394&gt;=$J394,MAX($J394,cfgRetakeRecordedCap),IF(COUNTIFS(nrES_PID,$D394,nrES_Code,$F394,nrES_Att,1)=0,$L394,SUMIFS(nrES_Raw,nrES_PID,$D394,nrES_Code,$F394,nrES_Att,1))))))))</f>
        <v/>
      </c>
      <c r="N394" s="17">
        <f>IF($C394="","",IF($L394="","",IF(NOT(ISNUMBER($L394)),"(not a score)",IF($L394&gt;=$J394,"Yes","No"))))</f>
        <v/>
      </c>
      <c r="O394" s="17">
        <f>IF($C394="","",IF($M394="","",IF(NOT(ISNUMBER($M394)),"(not a score)",IF($M394&gt;=$J394,"Yes","No"))))</f>
        <v/>
      </c>
      <c r="P394" s="17">
        <f>IF($C394="","",IF($K394="","",IF(N($K394)&gt;2,"No",IF(COUNTIFS(nrES_PID,$D394,nrES_Code,$F394,nrES_Att,"&gt;"&amp;$K394,nrES_Att,"&lt;=2",nrES_Raw,"&gt;=0")=0,"Yes","No"))))</f>
        <v/>
      </c>
      <c r="Q394" s="17">
        <f>IF($C394="","",IF($L394="","",IF(AND($K394=1,ISNUMBER($L394),$L394&lt;$J394,COUNTIFS(nrES_PID,$D394,nrES_Code,$F394,nrES_Att,2,nrES_Raw,"&gt;=0")=0),"Yes","No")))</f>
        <v/>
      </c>
      <c r="R394" s="17">
        <f>IF($C394="","",IF($L394="","",IF(AND(N($K394)&gt;=2,ISNUMBER($L394),$L394&lt;$J394),"Yes","No")))</f>
        <v/>
      </c>
      <c r="S394" s="18" t="n"/>
      <c r="T394" s="19">
        <f>IF(OR($C394="",$L394="",$K394&lt;&gt;1,NOT(ISNUMBER($L394)),$L394&gt;=$J394),"",IF($S394="","(enter date)",_xlfn.LET(_xlpm.dn,_xlfn.XLOOKUP($S394,nrCDdate,nrCDnum,"",1),IF(_xlpm.dn="","(after last class day)",_xlfn.LET(_xlpm.dd,_xlfn.XLOOKUP(_xlpm.dn+cfgRetestClassDays,nrCDnum,nrCDdate,""),_xlpm.ok,_xlfn.XLOOKUP(_xlpm.dn+cfgRetestClassDays,nrCDnum,nrCDinsession,"No"),IF(OR(_xlpm.dd="",_xlpm.ok&lt;&gt;"Yes"),"(after last class day)",_xlpm.dd))))))</f>
        <v/>
      </c>
      <c r="U394" s="17">
        <f>IF($C394="","",IF(AND($Y394="Excused",$L394="",N($K394)&lt;=1),"EXCUSED - 1st attempt pending",IF(OR($L394="",$K394&lt;&gt;1,NOT(ISNUMBER($L394)),$L394&gt;=$J394),"",IF(COUNTIFS(nrES_PID,$D394,nrES_Code,$F394,nrES_Att,2,nrES_Raw,"&gt;=0")&gt;0,IF(IFERROR(_xlfn.MINIFS(nrES_Date,nrES_PID,$D394,nrES_Code,$F394,nrES_Att,2,nrES_Raw,"&gt;=0",nrES_Date,"&gt;0"),0)=0,"RETEST UNDATED",IF(NOT(ISNUMBER($T394)),"RETEST DATE UNCHECKED",IF(_xlfn.MINIFS(nrES_Date,nrES_PID,$D394,nrES_Code,$F394,nrES_Att,2,nrES_Raw,"&gt;=0",nrES_Date,"&gt;0")&gt;$T394,"LATE RETEST "&amp;TEXT(_xlfn.MINIFS(nrES_Date,nrES_PID,$D394,nrES_Code,$F394,nrES_Att,2,nrES_Raw,"&gt;=0",nrES_Date,"&gt;0"),"mm/dd")&amp;" (due "&amp;TEXT($T394,"mm/dd")&amp;")","Retested"))),IF(NOT(ISNUMBER($T394)),"CHECK DATE",IF(TODAY()&gt;$T394,"OVERDUE","Due "&amp;TEXT($T394,"mm/dd")))))))</f>
        <v/>
      </c>
      <c r="V394" s="16" t="n"/>
      <c r="W394" s="16" t="n"/>
      <c r="X394" s="17">
        <f>IF($C394="","",IF(AND($L394&lt;&gt;"",NOT(ISNUMBER($L394))),"RAW SCORE NOT A NUMBER",IF(AND(ISNUMBER($L394),OR($L394&lt;0,$L394&gt;100)),"RAW SCORE OUT OF RANGE",IF(AND($Y394="Unexcused",OR($L394="",NOT(ISNUMBER($L394)),$L394&lt;&gt;0)),"UNEXCUSED ABSENCE MUST RECORD 0",IF(COUNTIF(nrES_RecID,$B394)&gt;1,"DUPLICATE RECORD",IF(N($K394)&gt;2,"ATTEMPT 3+ NOT ALLOWED - policy 300.5 permits one retest per exam; this row records nothing",IF(AND($K394=2,COUNTIFS(nrES_PID,$D394,nrES_Code,$F394,nrES_Att,1)=0),"ATTEMPT 2 WITHOUT ATTEMPT 1",IF(AND($K394=2,$L394=""),"RETEST ROW HAS NO SCORE",IF(AND($H394="Final",$L394&lt;&gt;"",IFERROR(INDEX(nrCKfinalExamElig,MATCH($D394,rngCadetPIDs,0)),"")="No"),"FINAL EXAM AFTER FAILED FINAL PT (500.1.H)",IF(AND($K394=2,ISNUMBER($L394),COUNTIFS(nrES_PID,$D394,nrES_Code,$F394,nrES_Att,1)&gt;0,SUMIFS(nrES_Raw,nrES_PID,$D394,nrES_Code,$F394,nrES_Att,1)&gt;=$J394),"RETEST AFTER A PASSING FIRST ATTEMPT","OK"))))))))))</f>
        <v/>
      </c>
      <c r="Y394" s="16" t="n"/>
    </row>
    <row r="395">
      <c r="B395" s="17">
        <f>IF($C395="","",$D395&amp;"-"&amp;$F395&amp;"-"&amp;$K395)</f>
        <v/>
      </c>
      <c r="C395" s="16" t="n"/>
      <c r="D395" s="17">
        <f>IF($C395="","",IFERROR(INDEX(rngCadetPIDs,MATCH($C395,rngCadetNames,0)),"?"))</f>
        <v/>
      </c>
      <c r="E395" s="17">
        <f>IF($D395="","",IFERROR(INDEX(nrCadetAgency,MATCH($D395,rngCadetPIDs,0)),""))</f>
        <v/>
      </c>
      <c r="F395" s="16" t="n"/>
      <c r="G395" s="17">
        <f>IF($F395="","",IFERROR(INDEX(rngEPname,MATCH($F395,rngEPcode,0)),"?"))</f>
        <v/>
      </c>
      <c r="H395" s="17">
        <f>IF($F395="","",IFERROR(INDEX(rngEPtype,MATCH($F395,rngEPcode,0)),"?"))</f>
        <v/>
      </c>
      <c r="I395" s="17">
        <f>IF($F395="","",IFERROR(INDEX(rngEPseq,MATCH($F395,rngEPcode,0)),""))</f>
        <v/>
      </c>
      <c r="J395" s="17">
        <f>IF($F395="","",IFERROR(INDEX(rngEPpass,MATCH($F395,rngEPcode,0)),cfgPassingScore))</f>
        <v/>
      </c>
      <c r="K395" s="16" t="n"/>
      <c r="L395" s="16" t="n"/>
      <c r="M395" s="17">
        <f>IF($C395="","",IF($L395="","",IF(NOT(ISNUMBER($L395)),$L395,IF(N($K395)&gt;2,"",IF($K395=1,IF(COUNTIFS(nrES_PID,$D395,nrES_Code,$F395,nrES_Att,2,nrES_Raw,"&gt;=0")&gt;0,"",$L395),IF($L395&gt;=$J395,MAX($J395,cfgRetakeRecordedCap),IF(COUNTIFS(nrES_PID,$D395,nrES_Code,$F395,nrES_Att,1)=0,$L395,SUMIFS(nrES_Raw,nrES_PID,$D395,nrES_Code,$F395,nrES_Att,1))))))))</f>
        <v/>
      </c>
      <c r="N395" s="17">
        <f>IF($C395="","",IF($L395="","",IF(NOT(ISNUMBER($L395)),"(not a score)",IF($L395&gt;=$J395,"Yes","No"))))</f>
        <v/>
      </c>
      <c r="O395" s="17">
        <f>IF($C395="","",IF($M395="","",IF(NOT(ISNUMBER($M395)),"(not a score)",IF($M395&gt;=$J395,"Yes","No"))))</f>
        <v/>
      </c>
      <c r="P395" s="17">
        <f>IF($C395="","",IF($K395="","",IF(N($K395)&gt;2,"No",IF(COUNTIFS(nrES_PID,$D395,nrES_Code,$F395,nrES_Att,"&gt;"&amp;$K395,nrES_Att,"&lt;=2",nrES_Raw,"&gt;=0")=0,"Yes","No"))))</f>
        <v/>
      </c>
      <c r="Q395" s="17">
        <f>IF($C395="","",IF($L395="","",IF(AND($K395=1,ISNUMBER($L395),$L395&lt;$J395,COUNTIFS(nrES_PID,$D395,nrES_Code,$F395,nrES_Att,2,nrES_Raw,"&gt;=0")=0),"Yes","No")))</f>
        <v/>
      </c>
      <c r="R395" s="17">
        <f>IF($C395="","",IF($L395="","",IF(AND(N($K395)&gt;=2,ISNUMBER($L395),$L395&lt;$J395),"Yes","No")))</f>
        <v/>
      </c>
      <c r="S395" s="18" t="n"/>
      <c r="T395" s="19">
        <f>IF(OR($C395="",$L395="",$K395&lt;&gt;1,NOT(ISNUMBER($L395)),$L395&gt;=$J395),"",IF($S395="","(enter date)",_xlfn.LET(_xlpm.dn,_xlfn.XLOOKUP($S395,nrCDdate,nrCDnum,"",1),IF(_xlpm.dn="","(after last class day)",_xlfn.LET(_xlpm.dd,_xlfn.XLOOKUP(_xlpm.dn+cfgRetestClassDays,nrCDnum,nrCDdate,""),_xlpm.ok,_xlfn.XLOOKUP(_xlpm.dn+cfgRetestClassDays,nrCDnum,nrCDinsession,"No"),IF(OR(_xlpm.dd="",_xlpm.ok&lt;&gt;"Yes"),"(after last class day)",_xlpm.dd))))))</f>
        <v/>
      </c>
      <c r="U395" s="17">
        <f>IF($C395="","",IF(AND($Y395="Excused",$L395="",N($K395)&lt;=1),"EXCUSED - 1st attempt pending",IF(OR($L395="",$K395&lt;&gt;1,NOT(ISNUMBER($L395)),$L395&gt;=$J395),"",IF(COUNTIFS(nrES_PID,$D395,nrES_Code,$F395,nrES_Att,2,nrES_Raw,"&gt;=0")&gt;0,IF(IFERROR(_xlfn.MINIFS(nrES_Date,nrES_PID,$D395,nrES_Code,$F395,nrES_Att,2,nrES_Raw,"&gt;=0",nrES_Date,"&gt;0"),0)=0,"RETEST UNDATED",IF(NOT(ISNUMBER($T395)),"RETEST DATE UNCHECKED",IF(_xlfn.MINIFS(nrES_Date,nrES_PID,$D395,nrES_Code,$F395,nrES_Att,2,nrES_Raw,"&gt;=0",nrES_Date,"&gt;0")&gt;$T395,"LATE RETEST "&amp;TEXT(_xlfn.MINIFS(nrES_Date,nrES_PID,$D395,nrES_Code,$F395,nrES_Att,2,nrES_Raw,"&gt;=0",nrES_Date,"&gt;0"),"mm/dd")&amp;" (due "&amp;TEXT($T395,"mm/dd")&amp;")","Retested"))),IF(NOT(ISNUMBER($T395)),"CHECK DATE",IF(TODAY()&gt;$T395,"OVERDUE","Due "&amp;TEXT($T395,"mm/dd")))))))</f>
        <v/>
      </c>
      <c r="V395" s="16" t="n"/>
      <c r="W395" s="16" t="n"/>
      <c r="X395" s="17">
        <f>IF($C395="","",IF(AND($L395&lt;&gt;"",NOT(ISNUMBER($L395))),"RAW SCORE NOT A NUMBER",IF(AND(ISNUMBER($L395),OR($L395&lt;0,$L395&gt;100)),"RAW SCORE OUT OF RANGE",IF(AND($Y395="Unexcused",OR($L395="",NOT(ISNUMBER($L395)),$L395&lt;&gt;0)),"UNEXCUSED ABSENCE MUST RECORD 0",IF(COUNTIF(nrES_RecID,$B395)&gt;1,"DUPLICATE RECORD",IF(N($K395)&gt;2,"ATTEMPT 3+ NOT ALLOWED - policy 300.5 permits one retest per exam; this row records nothing",IF(AND($K395=2,COUNTIFS(nrES_PID,$D395,nrES_Code,$F395,nrES_Att,1)=0),"ATTEMPT 2 WITHOUT ATTEMPT 1",IF(AND($K395=2,$L395=""),"RETEST ROW HAS NO SCORE",IF(AND($H395="Final",$L395&lt;&gt;"",IFERROR(INDEX(nrCKfinalExamElig,MATCH($D395,rngCadetPIDs,0)),"")="No"),"FINAL EXAM AFTER FAILED FINAL PT (500.1.H)",IF(AND($K395=2,ISNUMBER($L395),COUNTIFS(nrES_PID,$D395,nrES_Code,$F395,nrES_Att,1)&gt;0,SUMIFS(nrES_Raw,nrES_PID,$D395,nrES_Code,$F395,nrES_Att,1)&gt;=$J395),"RETEST AFTER A PASSING FIRST ATTEMPT","OK"))))))))))</f>
        <v/>
      </c>
      <c r="Y395" s="16" t="n"/>
    </row>
    <row r="396">
      <c r="B396" s="17">
        <f>IF($C396="","",$D396&amp;"-"&amp;$F396&amp;"-"&amp;$K396)</f>
        <v/>
      </c>
      <c r="C396" s="16" t="n"/>
      <c r="D396" s="17">
        <f>IF($C396="","",IFERROR(INDEX(rngCadetPIDs,MATCH($C396,rngCadetNames,0)),"?"))</f>
        <v/>
      </c>
      <c r="E396" s="17">
        <f>IF($D396="","",IFERROR(INDEX(nrCadetAgency,MATCH($D396,rngCadetPIDs,0)),""))</f>
        <v/>
      </c>
      <c r="F396" s="16" t="n"/>
      <c r="G396" s="17">
        <f>IF($F396="","",IFERROR(INDEX(rngEPname,MATCH($F396,rngEPcode,0)),"?"))</f>
        <v/>
      </c>
      <c r="H396" s="17">
        <f>IF($F396="","",IFERROR(INDEX(rngEPtype,MATCH($F396,rngEPcode,0)),"?"))</f>
        <v/>
      </c>
      <c r="I396" s="17">
        <f>IF($F396="","",IFERROR(INDEX(rngEPseq,MATCH($F396,rngEPcode,0)),""))</f>
        <v/>
      </c>
      <c r="J396" s="17">
        <f>IF($F396="","",IFERROR(INDEX(rngEPpass,MATCH($F396,rngEPcode,0)),cfgPassingScore))</f>
        <v/>
      </c>
      <c r="K396" s="16" t="n"/>
      <c r="L396" s="16" t="n"/>
      <c r="M396" s="17">
        <f>IF($C396="","",IF($L396="","",IF(NOT(ISNUMBER($L396)),$L396,IF(N($K396)&gt;2,"",IF($K396=1,IF(COUNTIFS(nrES_PID,$D396,nrES_Code,$F396,nrES_Att,2,nrES_Raw,"&gt;=0")&gt;0,"",$L396),IF($L396&gt;=$J396,MAX($J396,cfgRetakeRecordedCap),IF(COUNTIFS(nrES_PID,$D396,nrES_Code,$F396,nrES_Att,1)=0,$L396,SUMIFS(nrES_Raw,nrES_PID,$D396,nrES_Code,$F396,nrES_Att,1))))))))</f>
        <v/>
      </c>
      <c r="N396" s="17">
        <f>IF($C396="","",IF($L396="","",IF(NOT(ISNUMBER($L396)),"(not a score)",IF($L396&gt;=$J396,"Yes","No"))))</f>
        <v/>
      </c>
      <c r="O396" s="17">
        <f>IF($C396="","",IF($M396="","",IF(NOT(ISNUMBER($M396)),"(not a score)",IF($M396&gt;=$J396,"Yes","No"))))</f>
        <v/>
      </c>
      <c r="P396" s="17">
        <f>IF($C396="","",IF($K396="","",IF(N($K396)&gt;2,"No",IF(COUNTIFS(nrES_PID,$D396,nrES_Code,$F396,nrES_Att,"&gt;"&amp;$K396,nrES_Att,"&lt;=2",nrES_Raw,"&gt;=0")=0,"Yes","No"))))</f>
        <v/>
      </c>
      <c r="Q396" s="17">
        <f>IF($C396="","",IF($L396="","",IF(AND($K396=1,ISNUMBER($L396),$L396&lt;$J396,COUNTIFS(nrES_PID,$D396,nrES_Code,$F396,nrES_Att,2,nrES_Raw,"&gt;=0")=0),"Yes","No")))</f>
        <v/>
      </c>
      <c r="R396" s="17">
        <f>IF($C396="","",IF($L396="","",IF(AND(N($K396)&gt;=2,ISNUMBER($L396),$L396&lt;$J396),"Yes","No")))</f>
        <v/>
      </c>
      <c r="S396" s="18" t="n"/>
      <c r="T396" s="19">
        <f>IF(OR($C396="",$L396="",$K396&lt;&gt;1,NOT(ISNUMBER($L396)),$L396&gt;=$J396),"",IF($S396="","(enter date)",_xlfn.LET(_xlpm.dn,_xlfn.XLOOKUP($S396,nrCDdate,nrCDnum,"",1),IF(_xlpm.dn="","(after last class day)",_xlfn.LET(_xlpm.dd,_xlfn.XLOOKUP(_xlpm.dn+cfgRetestClassDays,nrCDnum,nrCDdate,""),_xlpm.ok,_xlfn.XLOOKUP(_xlpm.dn+cfgRetestClassDays,nrCDnum,nrCDinsession,"No"),IF(OR(_xlpm.dd="",_xlpm.ok&lt;&gt;"Yes"),"(after last class day)",_xlpm.dd))))))</f>
        <v/>
      </c>
      <c r="U396" s="17">
        <f>IF($C396="","",IF(AND($Y396="Excused",$L396="",N($K396)&lt;=1),"EXCUSED - 1st attempt pending",IF(OR($L396="",$K396&lt;&gt;1,NOT(ISNUMBER($L396)),$L396&gt;=$J396),"",IF(COUNTIFS(nrES_PID,$D396,nrES_Code,$F396,nrES_Att,2,nrES_Raw,"&gt;=0")&gt;0,IF(IFERROR(_xlfn.MINIFS(nrES_Date,nrES_PID,$D396,nrES_Code,$F396,nrES_Att,2,nrES_Raw,"&gt;=0",nrES_Date,"&gt;0"),0)=0,"RETEST UNDATED",IF(NOT(ISNUMBER($T396)),"RETEST DATE UNCHECKED",IF(_xlfn.MINIFS(nrES_Date,nrES_PID,$D396,nrES_Code,$F396,nrES_Att,2,nrES_Raw,"&gt;=0",nrES_Date,"&gt;0")&gt;$T396,"LATE RETEST "&amp;TEXT(_xlfn.MINIFS(nrES_Date,nrES_PID,$D396,nrES_Code,$F396,nrES_Att,2,nrES_Raw,"&gt;=0",nrES_Date,"&gt;0"),"mm/dd")&amp;" (due "&amp;TEXT($T396,"mm/dd")&amp;")","Retested"))),IF(NOT(ISNUMBER($T396)),"CHECK DATE",IF(TODAY()&gt;$T396,"OVERDUE","Due "&amp;TEXT($T396,"mm/dd")))))))</f>
        <v/>
      </c>
      <c r="V396" s="16" t="n"/>
      <c r="W396" s="16" t="n"/>
      <c r="X396" s="17">
        <f>IF($C396="","",IF(AND($L396&lt;&gt;"",NOT(ISNUMBER($L396))),"RAW SCORE NOT A NUMBER",IF(AND(ISNUMBER($L396),OR($L396&lt;0,$L396&gt;100)),"RAW SCORE OUT OF RANGE",IF(AND($Y396="Unexcused",OR($L396="",NOT(ISNUMBER($L396)),$L396&lt;&gt;0)),"UNEXCUSED ABSENCE MUST RECORD 0",IF(COUNTIF(nrES_RecID,$B396)&gt;1,"DUPLICATE RECORD",IF(N($K396)&gt;2,"ATTEMPT 3+ NOT ALLOWED - policy 300.5 permits one retest per exam; this row records nothing",IF(AND($K396=2,COUNTIFS(nrES_PID,$D396,nrES_Code,$F396,nrES_Att,1)=0),"ATTEMPT 2 WITHOUT ATTEMPT 1",IF(AND($K396=2,$L396=""),"RETEST ROW HAS NO SCORE",IF(AND($H396="Final",$L396&lt;&gt;"",IFERROR(INDEX(nrCKfinalExamElig,MATCH($D396,rngCadetPIDs,0)),"")="No"),"FINAL EXAM AFTER FAILED FINAL PT (500.1.H)",IF(AND($K396=2,ISNUMBER($L396),COUNTIFS(nrES_PID,$D396,nrES_Code,$F396,nrES_Att,1)&gt;0,SUMIFS(nrES_Raw,nrES_PID,$D396,nrES_Code,$F396,nrES_Att,1)&gt;=$J396),"RETEST AFTER A PASSING FIRST ATTEMPT","OK"))))))))))</f>
        <v/>
      </c>
      <c r="Y396" s="16" t="n"/>
    </row>
    <row r="397">
      <c r="B397" s="17">
        <f>IF($C397="","",$D397&amp;"-"&amp;$F397&amp;"-"&amp;$K397)</f>
        <v/>
      </c>
      <c r="C397" s="16" t="n"/>
      <c r="D397" s="17">
        <f>IF($C397="","",IFERROR(INDEX(rngCadetPIDs,MATCH($C397,rngCadetNames,0)),"?"))</f>
        <v/>
      </c>
      <c r="E397" s="17">
        <f>IF($D397="","",IFERROR(INDEX(nrCadetAgency,MATCH($D397,rngCadetPIDs,0)),""))</f>
        <v/>
      </c>
      <c r="F397" s="16" t="n"/>
      <c r="G397" s="17">
        <f>IF($F397="","",IFERROR(INDEX(rngEPname,MATCH($F397,rngEPcode,0)),"?"))</f>
        <v/>
      </c>
      <c r="H397" s="17">
        <f>IF($F397="","",IFERROR(INDEX(rngEPtype,MATCH($F397,rngEPcode,0)),"?"))</f>
        <v/>
      </c>
      <c r="I397" s="17">
        <f>IF($F397="","",IFERROR(INDEX(rngEPseq,MATCH($F397,rngEPcode,0)),""))</f>
        <v/>
      </c>
      <c r="J397" s="17">
        <f>IF($F397="","",IFERROR(INDEX(rngEPpass,MATCH($F397,rngEPcode,0)),cfgPassingScore))</f>
        <v/>
      </c>
      <c r="K397" s="16" t="n"/>
      <c r="L397" s="16" t="n"/>
      <c r="M397" s="17">
        <f>IF($C397="","",IF($L397="","",IF(NOT(ISNUMBER($L397)),$L397,IF(N($K397)&gt;2,"",IF($K397=1,IF(COUNTIFS(nrES_PID,$D397,nrES_Code,$F397,nrES_Att,2,nrES_Raw,"&gt;=0")&gt;0,"",$L397),IF($L397&gt;=$J397,MAX($J397,cfgRetakeRecordedCap),IF(COUNTIFS(nrES_PID,$D397,nrES_Code,$F397,nrES_Att,1)=0,$L397,SUMIFS(nrES_Raw,nrES_PID,$D397,nrES_Code,$F397,nrES_Att,1))))))))</f>
        <v/>
      </c>
      <c r="N397" s="17">
        <f>IF($C397="","",IF($L397="","",IF(NOT(ISNUMBER($L397)),"(not a score)",IF($L397&gt;=$J397,"Yes","No"))))</f>
        <v/>
      </c>
      <c r="O397" s="17">
        <f>IF($C397="","",IF($M397="","",IF(NOT(ISNUMBER($M397)),"(not a score)",IF($M397&gt;=$J397,"Yes","No"))))</f>
        <v/>
      </c>
      <c r="P397" s="17">
        <f>IF($C397="","",IF($K397="","",IF(N($K397)&gt;2,"No",IF(COUNTIFS(nrES_PID,$D397,nrES_Code,$F397,nrES_Att,"&gt;"&amp;$K397,nrES_Att,"&lt;=2",nrES_Raw,"&gt;=0")=0,"Yes","No"))))</f>
        <v/>
      </c>
      <c r="Q397" s="17">
        <f>IF($C397="","",IF($L397="","",IF(AND($K397=1,ISNUMBER($L397),$L397&lt;$J397,COUNTIFS(nrES_PID,$D397,nrES_Code,$F397,nrES_Att,2,nrES_Raw,"&gt;=0")=0),"Yes","No")))</f>
        <v/>
      </c>
      <c r="R397" s="17">
        <f>IF($C397="","",IF($L397="","",IF(AND(N($K397)&gt;=2,ISNUMBER($L397),$L397&lt;$J397),"Yes","No")))</f>
        <v/>
      </c>
      <c r="S397" s="18" t="n"/>
      <c r="T397" s="19">
        <f>IF(OR($C397="",$L397="",$K397&lt;&gt;1,NOT(ISNUMBER($L397)),$L397&gt;=$J397),"",IF($S397="","(enter date)",_xlfn.LET(_xlpm.dn,_xlfn.XLOOKUP($S397,nrCDdate,nrCDnum,"",1),IF(_xlpm.dn="","(after last class day)",_xlfn.LET(_xlpm.dd,_xlfn.XLOOKUP(_xlpm.dn+cfgRetestClassDays,nrCDnum,nrCDdate,""),_xlpm.ok,_xlfn.XLOOKUP(_xlpm.dn+cfgRetestClassDays,nrCDnum,nrCDinsession,"No"),IF(OR(_xlpm.dd="",_xlpm.ok&lt;&gt;"Yes"),"(after last class day)",_xlpm.dd))))))</f>
        <v/>
      </c>
      <c r="U397" s="17">
        <f>IF($C397="","",IF(AND($Y397="Excused",$L397="",N($K397)&lt;=1),"EXCUSED - 1st attempt pending",IF(OR($L397="",$K397&lt;&gt;1,NOT(ISNUMBER($L397)),$L397&gt;=$J397),"",IF(COUNTIFS(nrES_PID,$D397,nrES_Code,$F397,nrES_Att,2,nrES_Raw,"&gt;=0")&gt;0,IF(IFERROR(_xlfn.MINIFS(nrES_Date,nrES_PID,$D397,nrES_Code,$F397,nrES_Att,2,nrES_Raw,"&gt;=0",nrES_Date,"&gt;0"),0)=0,"RETEST UNDATED",IF(NOT(ISNUMBER($T397)),"RETEST DATE UNCHECKED",IF(_xlfn.MINIFS(nrES_Date,nrES_PID,$D397,nrES_Code,$F397,nrES_Att,2,nrES_Raw,"&gt;=0",nrES_Date,"&gt;0")&gt;$T397,"LATE RETEST "&amp;TEXT(_xlfn.MINIFS(nrES_Date,nrES_PID,$D397,nrES_Code,$F397,nrES_Att,2,nrES_Raw,"&gt;=0",nrES_Date,"&gt;0"),"mm/dd")&amp;" (due "&amp;TEXT($T397,"mm/dd")&amp;")","Retested"))),IF(NOT(ISNUMBER($T397)),"CHECK DATE",IF(TODAY()&gt;$T397,"OVERDUE","Due "&amp;TEXT($T397,"mm/dd")))))))</f>
        <v/>
      </c>
      <c r="V397" s="16" t="n"/>
      <c r="W397" s="16" t="n"/>
      <c r="X397" s="17">
        <f>IF($C397="","",IF(AND($L397&lt;&gt;"",NOT(ISNUMBER($L397))),"RAW SCORE NOT A NUMBER",IF(AND(ISNUMBER($L397),OR($L397&lt;0,$L397&gt;100)),"RAW SCORE OUT OF RANGE",IF(AND($Y397="Unexcused",OR($L397="",NOT(ISNUMBER($L397)),$L397&lt;&gt;0)),"UNEXCUSED ABSENCE MUST RECORD 0",IF(COUNTIF(nrES_RecID,$B397)&gt;1,"DUPLICATE RECORD",IF(N($K397)&gt;2,"ATTEMPT 3+ NOT ALLOWED - policy 300.5 permits one retest per exam; this row records nothing",IF(AND($K397=2,COUNTIFS(nrES_PID,$D397,nrES_Code,$F397,nrES_Att,1)=0),"ATTEMPT 2 WITHOUT ATTEMPT 1",IF(AND($K397=2,$L397=""),"RETEST ROW HAS NO SCORE",IF(AND($H397="Final",$L397&lt;&gt;"",IFERROR(INDEX(nrCKfinalExamElig,MATCH($D397,rngCadetPIDs,0)),"")="No"),"FINAL EXAM AFTER FAILED FINAL PT (500.1.H)",IF(AND($K397=2,ISNUMBER($L397),COUNTIFS(nrES_PID,$D397,nrES_Code,$F397,nrES_Att,1)&gt;0,SUMIFS(nrES_Raw,nrES_PID,$D397,nrES_Code,$F397,nrES_Att,1)&gt;=$J397),"RETEST AFTER A PASSING FIRST ATTEMPT","OK"))))))))))</f>
        <v/>
      </c>
      <c r="Y397" s="16" t="n"/>
    </row>
    <row r="398">
      <c r="B398" s="17">
        <f>IF($C398="","",$D398&amp;"-"&amp;$F398&amp;"-"&amp;$K398)</f>
        <v/>
      </c>
      <c r="C398" s="16" t="n"/>
      <c r="D398" s="17">
        <f>IF($C398="","",IFERROR(INDEX(rngCadetPIDs,MATCH($C398,rngCadetNames,0)),"?"))</f>
        <v/>
      </c>
      <c r="E398" s="17">
        <f>IF($D398="","",IFERROR(INDEX(nrCadetAgency,MATCH($D398,rngCadetPIDs,0)),""))</f>
        <v/>
      </c>
      <c r="F398" s="16" t="n"/>
      <c r="G398" s="17">
        <f>IF($F398="","",IFERROR(INDEX(rngEPname,MATCH($F398,rngEPcode,0)),"?"))</f>
        <v/>
      </c>
      <c r="H398" s="17">
        <f>IF($F398="","",IFERROR(INDEX(rngEPtype,MATCH($F398,rngEPcode,0)),"?"))</f>
        <v/>
      </c>
      <c r="I398" s="17">
        <f>IF($F398="","",IFERROR(INDEX(rngEPseq,MATCH($F398,rngEPcode,0)),""))</f>
        <v/>
      </c>
      <c r="J398" s="17">
        <f>IF($F398="","",IFERROR(INDEX(rngEPpass,MATCH($F398,rngEPcode,0)),cfgPassingScore))</f>
        <v/>
      </c>
      <c r="K398" s="16" t="n"/>
      <c r="L398" s="16" t="n"/>
      <c r="M398" s="17">
        <f>IF($C398="","",IF($L398="","",IF(NOT(ISNUMBER($L398)),$L398,IF(N($K398)&gt;2,"",IF($K398=1,IF(COUNTIFS(nrES_PID,$D398,nrES_Code,$F398,nrES_Att,2,nrES_Raw,"&gt;=0")&gt;0,"",$L398),IF($L398&gt;=$J398,MAX($J398,cfgRetakeRecordedCap),IF(COUNTIFS(nrES_PID,$D398,nrES_Code,$F398,nrES_Att,1)=0,$L398,SUMIFS(nrES_Raw,nrES_PID,$D398,nrES_Code,$F398,nrES_Att,1))))))))</f>
        <v/>
      </c>
      <c r="N398" s="17">
        <f>IF($C398="","",IF($L398="","",IF(NOT(ISNUMBER($L398)),"(not a score)",IF($L398&gt;=$J398,"Yes","No"))))</f>
        <v/>
      </c>
      <c r="O398" s="17">
        <f>IF($C398="","",IF($M398="","",IF(NOT(ISNUMBER($M398)),"(not a score)",IF($M398&gt;=$J398,"Yes","No"))))</f>
        <v/>
      </c>
      <c r="P398" s="17">
        <f>IF($C398="","",IF($K398="","",IF(N($K398)&gt;2,"No",IF(COUNTIFS(nrES_PID,$D398,nrES_Code,$F398,nrES_Att,"&gt;"&amp;$K398,nrES_Att,"&lt;=2",nrES_Raw,"&gt;=0")=0,"Yes","No"))))</f>
        <v/>
      </c>
      <c r="Q398" s="17">
        <f>IF($C398="","",IF($L398="","",IF(AND($K398=1,ISNUMBER($L398),$L398&lt;$J398,COUNTIFS(nrES_PID,$D398,nrES_Code,$F398,nrES_Att,2,nrES_Raw,"&gt;=0")=0),"Yes","No")))</f>
        <v/>
      </c>
      <c r="R398" s="17">
        <f>IF($C398="","",IF($L398="","",IF(AND(N($K398)&gt;=2,ISNUMBER($L398),$L398&lt;$J398),"Yes","No")))</f>
        <v/>
      </c>
      <c r="S398" s="18" t="n"/>
      <c r="T398" s="19">
        <f>IF(OR($C398="",$L398="",$K398&lt;&gt;1,NOT(ISNUMBER($L398)),$L398&gt;=$J398),"",IF($S398="","(enter date)",_xlfn.LET(_xlpm.dn,_xlfn.XLOOKUP($S398,nrCDdate,nrCDnum,"",1),IF(_xlpm.dn="","(after last class day)",_xlfn.LET(_xlpm.dd,_xlfn.XLOOKUP(_xlpm.dn+cfgRetestClassDays,nrCDnum,nrCDdate,""),_xlpm.ok,_xlfn.XLOOKUP(_xlpm.dn+cfgRetestClassDays,nrCDnum,nrCDinsession,"No"),IF(OR(_xlpm.dd="",_xlpm.ok&lt;&gt;"Yes"),"(after last class day)",_xlpm.dd))))))</f>
        <v/>
      </c>
      <c r="U398" s="17">
        <f>IF($C398="","",IF(AND($Y398="Excused",$L398="",N($K398)&lt;=1),"EXCUSED - 1st attempt pending",IF(OR($L398="",$K398&lt;&gt;1,NOT(ISNUMBER($L398)),$L398&gt;=$J398),"",IF(COUNTIFS(nrES_PID,$D398,nrES_Code,$F398,nrES_Att,2,nrES_Raw,"&gt;=0")&gt;0,IF(IFERROR(_xlfn.MINIFS(nrES_Date,nrES_PID,$D398,nrES_Code,$F398,nrES_Att,2,nrES_Raw,"&gt;=0",nrES_Date,"&gt;0"),0)=0,"RETEST UNDATED",IF(NOT(ISNUMBER($T398)),"RETEST DATE UNCHECKED",IF(_xlfn.MINIFS(nrES_Date,nrES_PID,$D398,nrES_Code,$F398,nrES_Att,2,nrES_Raw,"&gt;=0",nrES_Date,"&gt;0")&gt;$T398,"LATE RETEST "&amp;TEXT(_xlfn.MINIFS(nrES_Date,nrES_PID,$D398,nrES_Code,$F398,nrES_Att,2,nrES_Raw,"&gt;=0",nrES_Date,"&gt;0"),"mm/dd")&amp;" (due "&amp;TEXT($T398,"mm/dd")&amp;")","Retested"))),IF(NOT(ISNUMBER($T398)),"CHECK DATE",IF(TODAY()&gt;$T398,"OVERDUE","Due "&amp;TEXT($T398,"mm/dd")))))))</f>
        <v/>
      </c>
      <c r="V398" s="16" t="n"/>
      <c r="W398" s="16" t="n"/>
      <c r="X398" s="17">
        <f>IF($C398="","",IF(AND($L398&lt;&gt;"",NOT(ISNUMBER($L398))),"RAW SCORE NOT A NUMBER",IF(AND(ISNUMBER($L398),OR($L398&lt;0,$L398&gt;100)),"RAW SCORE OUT OF RANGE",IF(AND($Y398="Unexcused",OR($L398="",NOT(ISNUMBER($L398)),$L398&lt;&gt;0)),"UNEXCUSED ABSENCE MUST RECORD 0",IF(COUNTIF(nrES_RecID,$B398)&gt;1,"DUPLICATE RECORD",IF(N($K398)&gt;2,"ATTEMPT 3+ NOT ALLOWED - policy 300.5 permits one retest per exam; this row records nothing",IF(AND($K398=2,COUNTIFS(nrES_PID,$D398,nrES_Code,$F398,nrES_Att,1)=0),"ATTEMPT 2 WITHOUT ATTEMPT 1",IF(AND($K398=2,$L398=""),"RETEST ROW HAS NO SCORE",IF(AND($H398="Final",$L398&lt;&gt;"",IFERROR(INDEX(nrCKfinalExamElig,MATCH($D398,rngCadetPIDs,0)),"")="No"),"FINAL EXAM AFTER FAILED FINAL PT (500.1.H)",IF(AND($K398=2,ISNUMBER($L398),COUNTIFS(nrES_PID,$D398,nrES_Code,$F398,nrES_Att,1)&gt;0,SUMIFS(nrES_Raw,nrES_PID,$D398,nrES_Code,$F398,nrES_Att,1)&gt;=$J398),"RETEST AFTER A PASSING FIRST ATTEMPT","OK"))))))))))</f>
        <v/>
      </c>
      <c r="Y398" s="16" t="n"/>
    </row>
    <row r="399">
      <c r="B399" s="17">
        <f>IF($C399="","",$D399&amp;"-"&amp;$F399&amp;"-"&amp;$K399)</f>
        <v/>
      </c>
      <c r="C399" s="16" t="n"/>
      <c r="D399" s="17">
        <f>IF($C399="","",IFERROR(INDEX(rngCadetPIDs,MATCH($C399,rngCadetNames,0)),"?"))</f>
        <v/>
      </c>
      <c r="E399" s="17">
        <f>IF($D399="","",IFERROR(INDEX(nrCadetAgency,MATCH($D399,rngCadetPIDs,0)),""))</f>
        <v/>
      </c>
      <c r="F399" s="16" t="n"/>
      <c r="G399" s="17">
        <f>IF($F399="","",IFERROR(INDEX(rngEPname,MATCH($F399,rngEPcode,0)),"?"))</f>
        <v/>
      </c>
      <c r="H399" s="17">
        <f>IF($F399="","",IFERROR(INDEX(rngEPtype,MATCH($F399,rngEPcode,0)),"?"))</f>
        <v/>
      </c>
      <c r="I399" s="17">
        <f>IF($F399="","",IFERROR(INDEX(rngEPseq,MATCH($F399,rngEPcode,0)),""))</f>
        <v/>
      </c>
      <c r="J399" s="17">
        <f>IF($F399="","",IFERROR(INDEX(rngEPpass,MATCH($F399,rngEPcode,0)),cfgPassingScore))</f>
        <v/>
      </c>
      <c r="K399" s="16" t="n"/>
      <c r="L399" s="16" t="n"/>
      <c r="M399" s="17">
        <f>IF($C399="","",IF($L399="","",IF(NOT(ISNUMBER($L399)),$L399,IF(N($K399)&gt;2,"",IF($K399=1,IF(COUNTIFS(nrES_PID,$D399,nrES_Code,$F399,nrES_Att,2,nrES_Raw,"&gt;=0")&gt;0,"",$L399),IF($L399&gt;=$J399,MAX($J399,cfgRetakeRecordedCap),IF(COUNTIFS(nrES_PID,$D399,nrES_Code,$F399,nrES_Att,1)=0,$L399,SUMIFS(nrES_Raw,nrES_PID,$D399,nrES_Code,$F399,nrES_Att,1))))))))</f>
        <v/>
      </c>
      <c r="N399" s="17">
        <f>IF($C399="","",IF($L399="","",IF(NOT(ISNUMBER($L399)),"(not a score)",IF($L399&gt;=$J399,"Yes","No"))))</f>
        <v/>
      </c>
      <c r="O399" s="17">
        <f>IF($C399="","",IF($M399="","",IF(NOT(ISNUMBER($M399)),"(not a score)",IF($M399&gt;=$J399,"Yes","No"))))</f>
        <v/>
      </c>
      <c r="P399" s="17">
        <f>IF($C399="","",IF($K399="","",IF(N($K399)&gt;2,"No",IF(COUNTIFS(nrES_PID,$D399,nrES_Code,$F399,nrES_Att,"&gt;"&amp;$K399,nrES_Att,"&lt;=2",nrES_Raw,"&gt;=0")=0,"Yes","No"))))</f>
        <v/>
      </c>
      <c r="Q399" s="17">
        <f>IF($C399="","",IF($L399="","",IF(AND($K399=1,ISNUMBER($L399),$L399&lt;$J399,COUNTIFS(nrES_PID,$D399,nrES_Code,$F399,nrES_Att,2,nrES_Raw,"&gt;=0")=0),"Yes","No")))</f>
        <v/>
      </c>
      <c r="R399" s="17">
        <f>IF($C399="","",IF($L399="","",IF(AND(N($K399)&gt;=2,ISNUMBER($L399),$L399&lt;$J399),"Yes","No")))</f>
        <v/>
      </c>
      <c r="S399" s="18" t="n"/>
      <c r="T399" s="19">
        <f>IF(OR($C399="",$L399="",$K399&lt;&gt;1,NOT(ISNUMBER($L399)),$L399&gt;=$J399),"",IF($S399="","(enter date)",_xlfn.LET(_xlpm.dn,_xlfn.XLOOKUP($S399,nrCDdate,nrCDnum,"",1),IF(_xlpm.dn="","(after last class day)",_xlfn.LET(_xlpm.dd,_xlfn.XLOOKUP(_xlpm.dn+cfgRetestClassDays,nrCDnum,nrCDdate,""),_xlpm.ok,_xlfn.XLOOKUP(_xlpm.dn+cfgRetestClassDays,nrCDnum,nrCDinsession,"No"),IF(OR(_xlpm.dd="",_xlpm.ok&lt;&gt;"Yes"),"(after last class day)",_xlpm.dd))))))</f>
        <v/>
      </c>
      <c r="U399" s="17">
        <f>IF($C399="","",IF(AND($Y399="Excused",$L399="",N($K399)&lt;=1),"EXCUSED - 1st attempt pending",IF(OR($L399="",$K399&lt;&gt;1,NOT(ISNUMBER($L399)),$L399&gt;=$J399),"",IF(COUNTIFS(nrES_PID,$D399,nrES_Code,$F399,nrES_Att,2,nrES_Raw,"&gt;=0")&gt;0,IF(IFERROR(_xlfn.MINIFS(nrES_Date,nrES_PID,$D399,nrES_Code,$F399,nrES_Att,2,nrES_Raw,"&gt;=0",nrES_Date,"&gt;0"),0)=0,"RETEST UNDATED",IF(NOT(ISNUMBER($T399)),"RETEST DATE UNCHECKED",IF(_xlfn.MINIFS(nrES_Date,nrES_PID,$D399,nrES_Code,$F399,nrES_Att,2,nrES_Raw,"&gt;=0",nrES_Date,"&gt;0")&gt;$T399,"LATE RETEST "&amp;TEXT(_xlfn.MINIFS(nrES_Date,nrES_PID,$D399,nrES_Code,$F399,nrES_Att,2,nrES_Raw,"&gt;=0",nrES_Date,"&gt;0"),"mm/dd")&amp;" (due "&amp;TEXT($T399,"mm/dd")&amp;")","Retested"))),IF(NOT(ISNUMBER($T399)),"CHECK DATE",IF(TODAY()&gt;$T399,"OVERDUE","Due "&amp;TEXT($T399,"mm/dd")))))))</f>
        <v/>
      </c>
      <c r="V399" s="16" t="n"/>
      <c r="W399" s="16" t="n"/>
      <c r="X399" s="17">
        <f>IF($C399="","",IF(AND($L399&lt;&gt;"",NOT(ISNUMBER($L399))),"RAW SCORE NOT A NUMBER",IF(AND(ISNUMBER($L399),OR($L399&lt;0,$L399&gt;100)),"RAW SCORE OUT OF RANGE",IF(AND($Y399="Unexcused",OR($L399="",NOT(ISNUMBER($L399)),$L399&lt;&gt;0)),"UNEXCUSED ABSENCE MUST RECORD 0",IF(COUNTIF(nrES_RecID,$B399)&gt;1,"DUPLICATE RECORD",IF(N($K399)&gt;2,"ATTEMPT 3+ NOT ALLOWED - policy 300.5 permits one retest per exam; this row records nothing",IF(AND($K399=2,COUNTIFS(nrES_PID,$D399,nrES_Code,$F399,nrES_Att,1)=0),"ATTEMPT 2 WITHOUT ATTEMPT 1",IF(AND($K399=2,$L399=""),"RETEST ROW HAS NO SCORE",IF(AND($H399="Final",$L399&lt;&gt;"",IFERROR(INDEX(nrCKfinalExamElig,MATCH($D399,rngCadetPIDs,0)),"")="No"),"FINAL EXAM AFTER FAILED FINAL PT (500.1.H)",IF(AND($K399=2,ISNUMBER($L399),COUNTIFS(nrES_PID,$D399,nrES_Code,$F399,nrES_Att,1)&gt;0,SUMIFS(nrES_Raw,nrES_PID,$D399,nrES_Code,$F399,nrES_Att,1)&gt;=$J399),"RETEST AFTER A PASSING FIRST ATTEMPT","OK"))))))))))</f>
        <v/>
      </c>
      <c r="Y399" s="16" t="n"/>
    </row>
    <row r="400">
      <c r="B400" s="17">
        <f>IF($C400="","",$D400&amp;"-"&amp;$F400&amp;"-"&amp;$K400)</f>
        <v/>
      </c>
      <c r="C400" s="16" t="n"/>
      <c r="D400" s="17">
        <f>IF($C400="","",IFERROR(INDEX(rngCadetPIDs,MATCH($C400,rngCadetNames,0)),"?"))</f>
        <v/>
      </c>
      <c r="E400" s="17">
        <f>IF($D400="","",IFERROR(INDEX(nrCadetAgency,MATCH($D400,rngCadetPIDs,0)),""))</f>
        <v/>
      </c>
      <c r="F400" s="16" t="n"/>
      <c r="G400" s="17">
        <f>IF($F400="","",IFERROR(INDEX(rngEPname,MATCH($F400,rngEPcode,0)),"?"))</f>
        <v/>
      </c>
      <c r="H400" s="17">
        <f>IF($F400="","",IFERROR(INDEX(rngEPtype,MATCH($F400,rngEPcode,0)),"?"))</f>
        <v/>
      </c>
      <c r="I400" s="17">
        <f>IF($F400="","",IFERROR(INDEX(rngEPseq,MATCH($F400,rngEPcode,0)),""))</f>
        <v/>
      </c>
      <c r="J400" s="17">
        <f>IF($F400="","",IFERROR(INDEX(rngEPpass,MATCH($F400,rngEPcode,0)),cfgPassingScore))</f>
        <v/>
      </c>
      <c r="K400" s="16" t="n"/>
      <c r="L400" s="16" t="n"/>
      <c r="M400" s="17">
        <f>IF($C400="","",IF($L400="","",IF(NOT(ISNUMBER($L400)),$L400,IF(N($K400)&gt;2,"",IF($K400=1,IF(COUNTIFS(nrES_PID,$D400,nrES_Code,$F400,nrES_Att,2,nrES_Raw,"&gt;=0")&gt;0,"",$L400),IF($L400&gt;=$J400,MAX($J400,cfgRetakeRecordedCap),IF(COUNTIFS(nrES_PID,$D400,nrES_Code,$F400,nrES_Att,1)=0,$L400,SUMIFS(nrES_Raw,nrES_PID,$D400,nrES_Code,$F400,nrES_Att,1))))))))</f>
        <v/>
      </c>
      <c r="N400" s="17">
        <f>IF($C400="","",IF($L400="","",IF(NOT(ISNUMBER($L400)),"(not a score)",IF($L400&gt;=$J400,"Yes","No"))))</f>
        <v/>
      </c>
      <c r="O400" s="17">
        <f>IF($C400="","",IF($M400="","",IF(NOT(ISNUMBER($M400)),"(not a score)",IF($M400&gt;=$J400,"Yes","No"))))</f>
        <v/>
      </c>
      <c r="P400" s="17">
        <f>IF($C400="","",IF($K400="","",IF(N($K400)&gt;2,"No",IF(COUNTIFS(nrES_PID,$D400,nrES_Code,$F400,nrES_Att,"&gt;"&amp;$K400,nrES_Att,"&lt;=2",nrES_Raw,"&gt;=0")=0,"Yes","No"))))</f>
        <v/>
      </c>
      <c r="Q400" s="17">
        <f>IF($C400="","",IF($L400="","",IF(AND($K400=1,ISNUMBER($L400),$L400&lt;$J400,COUNTIFS(nrES_PID,$D400,nrES_Code,$F400,nrES_Att,2,nrES_Raw,"&gt;=0")=0),"Yes","No")))</f>
        <v/>
      </c>
      <c r="R400" s="17">
        <f>IF($C400="","",IF($L400="","",IF(AND(N($K400)&gt;=2,ISNUMBER($L400),$L400&lt;$J400),"Yes","No")))</f>
        <v/>
      </c>
      <c r="S400" s="18" t="n"/>
      <c r="T400" s="19">
        <f>IF(OR($C400="",$L400="",$K400&lt;&gt;1,NOT(ISNUMBER($L400)),$L400&gt;=$J400),"",IF($S400="","(enter date)",_xlfn.LET(_xlpm.dn,_xlfn.XLOOKUP($S400,nrCDdate,nrCDnum,"",1),IF(_xlpm.dn="","(after last class day)",_xlfn.LET(_xlpm.dd,_xlfn.XLOOKUP(_xlpm.dn+cfgRetestClassDays,nrCDnum,nrCDdate,""),_xlpm.ok,_xlfn.XLOOKUP(_xlpm.dn+cfgRetestClassDays,nrCDnum,nrCDinsession,"No"),IF(OR(_xlpm.dd="",_xlpm.ok&lt;&gt;"Yes"),"(after last class day)",_xlpm.dd))))))</f>
        <v/>
      </c>
      <c r="U400" s="17">
        <f>IF($C400="","",IF(AND($Y400="Excused",$L400="",N($K400)&lt;=1),"EXCUSED - 1st attempt pending",IF(OR($L400="",$K400&lt;&gt;1,NOT(ISNUMBER($L400)),$L400&gt;=$J400),"",IF(COUNTIFS(nrES_PID,$D400,nrES_Code,$F400,nrES_Att,2,nrES_Raw,"&gt;=0")&gt;0,IF(IFERROR(_xlfn.MINIFS(nrES_Date,nrES_PID,$D400,nrES_Code,$F400,nrES_Att,2,nrES_Raw,"&gt;=0",nrES_Date,"&gt;0"),0)=0,"RETEST UNDATED",IF(NOT(ISNUMBER($T400)),"RETEST DATE UNCHECKED",IF(_xlfn.MINIFS(nrES_Date,nrES_PID,$D400,nrES_Code,$F400,nrES_Att,2,nrES_Raw,"&gt;=0",nrES_Date,"&gt;0")&gt;$T400,"LATE RETEST "&amp;TEXT(_xlfn.MINIFS(nrES_Date,nrES_PID,$D400,nrES_Code,$F400,nrES_Att,2,nrES_Raw,"&gt;=0",nrES_Date,"&gt;0"),"mm/dd")&amp;" (due "&amp;TEXT($T400,"mm/dd")&amp;")","Retested"))),IF(NOT(ISNUMBER($T400)),"CHECK DATE",IF(TODAY()&gt;$T400,"OVERDUE","Due "&amp;TEXT($T400,"mm/dd")))))))</f>
        <v/>
      </c>
      <c r="V400" s="16" t="n"/>
      <c r="W400" s="16" t="n"/>
      <c r="X400" s="17">
        <f>IF($C400="","",IF(AND($L400&lt;&gt;"",NOT(ISNUMBER($L400))),"RAW SCORE NOT A NUMBER",IF(AND(ISNUMBER($L400),OR($L400&lt;0,$L400&gt;100)),"RAW SCORE OUT OF RANGE",IF(AND($Y400="Unexcused",OR($L400="",NOT(ISNUMBER($L400)),$L400&lt;&gt;0)),"UNEXCUSED ABSENCE MUST RECORD 0",IF(COUNTIF(nrES_RecID,$B400)&gt;1,"DUPLICATE RECORD",IF(N($K400)&gt;2,"ATTEMPT 3+ NOT ALLOWED - policy 300.5 permits one retest per exam; this row records nothing",IF(AND($K400=2,COUNTIFS(nrES_PID,$D400,nrES_Code,$F400,nrES_Att,1)=0),"ATTEMPT 2 WITHOUT ATTEMPT 1",IF(AND($K400=2,$L400=""),"RETEST ROW HAS NO SCORE",IF(AND($H400="Final",$L400&lt;&gt;"",IFERROR(INDEX(nrCKfinalExamElig,MATCH($D400,rngCadetPIDs,0)),"")="No"),"FINAL EXAM AFTER FAILED FINAL PT (500.1.H)",IF(AND($K400=2,ISNUMBER($L400),COUNTIFS(nrES_PID,$D400,nrES_Code,$F400,nrES_Att,1)&gt;0,SUMIFS(nrES_Raw,nrES_PID,$D400,nrES_Code,$F400,nrES_Att,1)&gt;=$J400),"RETEST AFTER A PASSING FIRST ATTEMPT","OK"))))))))))</f>
        <v/>
      </c>
      <c r="Y400" s="16" t="n"/>
    </row>
    <row r="401">
      <c r="B401" s="17">
        <f>IF($C401="","",$D401&amp;"-"&amp;$F401&amp;"-"&amp;$K401)</f>
        <v/>
      </c>
      <c r="C401" s="16" t="n"/>
      <c r="D401" s="17">
        <f>IF($C401="","",IFERROR(INDEX(rngCadetPIDs,MATCH($C401,rngCadetNames,0)),"?"))</f>
        <v/>
      </c>
      <c r="E401" s="17">
        <f>IF($D401="","",IFERROR(INDEX(nrCadetAgency,MATCH($D401,rngCadetPIDs,0)),""))</f>
        <v/>
      </c>
      <c r="F401" s="16" t="n"/>
      <c r="G401" s="17">
        <f>IF($F401="","",IFERROR(INDEX(rngEPname,MATCH($F401,rngEPcode,0)),"?"))</f>
        <v/>
      </c>
      <c r="H401" s="17">
        <f>IF($F401="","",IFERROR(INDEX(rngEPtype,MATCH($F401,rngEPcode,0)),"?"))</f>
        <v/>
      </c>
      <c r="I401" s="17">
        <f>IF($F401="","",IFERROR(INDEX(rngEPseq,MATCH($F401,rngEPcode,0)),""))</f>
        <v/>
      </c>
      <c r="J401" s="17">
        <f>IF($F401="","",IFERROR(INDEX(rngEPpass,MATCH($F401,rngEPcode,0)),cfgPassingScore))</f>
        <v/>
      </c>
      <c r="K401" s="16" t="n"/>
      <c r="L401" s="16" t="n"/>
      <c r="M401" s="17">
        <f>IF($C401="","",IF($L401="","",IF(NOT(ISNUMBER($L401)),$L401,IF(N($K401)&gt;2,"",IF($K401=1,IF(COUNTIFS(nrES_PID,$D401,nrES_Code,$F401,nrES_Att,2,nrES_Raw,"&gt;=0")&gt;0,"",$L401),IF($L401&gt;=$J401,MAX($J401,cfgRetakeRecordedCap),IF(COUNTIFS(nrES_PID,$D401,nrES_Code,$F401,nrES_Att,1)=0,$L401,SUMIFS(nrES_Raw,nrES_PID,$D401,nrES_Code,$F401,nrES_Att,1))))))))</f>
        <v/>
      </c>
      <c r="N401" s="17">
        <f>IF($C401="","",IF($L401="","",IF(NOT(ISNUMBER($L401)),"(not a score)",IF($L401&gt;=$J401,"Yes","No"))))</f>
        <v/>
      </c>
      <c r="O401" s="17">
        <f>IF($C401="","",IF($M401="","",IF(NOT(ISNUMBER($M401)),"(not a score)",IF($M401&gt;=$J401,"Yes","No"))))</f>
        <v/>
      </c>
      <c r="P401" s="17">
        <f>IF($C401="","",IF($K401="","",IF(N($K401)&gt;2,"No",IF(COUNTIFS(nrES_PID,$D401,nrES_Code,$F401,nrES_Att,"&gt;"&amp;$K401,nrES_Att,"&lt;=2",nrES_Raw,"&gt;=0")=0,"Yes","No"))))</f>
        <v/>
      </c>
      <c r="Q401" s="17">
        <f>IF($C401="","",IF($L401="","",IF(AND($K401=1,ISNUMBER($L401),$L401&lt;$J401,COUNTIFS(nrES_PID,$D401,nrES_Code,$F401,nrES_Att,2,nrES_Raw,"&gt;=0")=0),"Yes","No")))</f>
        <v/>
      </c>
      <c r="R401" s="17">
        <f>IF($C401="","",IF($L401="","",IF(AND(N($K401)&gt;=2,ISNUMBER($L401),$L401&lt;$J401),"Yes","No")))</f>
        <v/>
      </c>
      <c r="S401" s="18" t="n"/>
      <c r="T401" s="19">
        <f>IF(OR($C401="",$L401="",$K401&lt;&gt;1,NOT(ISNUMBER($L401)),$L401&gt;=$J401),"",IF($S401="","(enter date)",_xlfn.LET(_xlpm.dn,_xlfn.XLOOKUP($S401,nrCDdate,nrCDnum,"",1),IF(_xlpm.dn="","(after last class day)",_xlfn.LET(_xlpm.dd,_xlfn.XLOOKUP(_xlpm.dn+cfgRetestClassDays,nrCDnum,nrCDdate,""),_xlpm.ok,_xlfn.XLOOKUP(_xlpm.dn+cfgRetestClassDays,nrCDnum,nrCDinsession,"No"),IF(OR(_xlpm.dd="",_xlpm.ok&lt;&gt;"Yes"),"(after last class day)",_xlpm.dd))))))</f>
        <v/>
      </c>
      <c r="U401" s="17">
        <f>IF($C401="","",IF(AND($Y401="Excused",$L401="",N($K401)&lt;=1),"EXCUSED - 1st attempt pending",IF(OR($L401="",$K401&lt;&gt;1,NOT(ISNUMBER($L401)),$L401&gt;=$J401),"",IF(COUNTIFS(nrES_PID,$D401,nrES_Code,$F401,nrES_Att,2,nrES_Raw,"&gt;=0")&gt;0,IF(IFERROR(_xlfn.MINIFS(nrES_Date,nrES_PID,$D401,nrES_Code,$F401,nrES_Att,2,nrES_Raw,"&gt;=0",nrES_Date,"&gt;0"),0)=0,"RETEST UNDATED",IF(NOT(ISNUMBER($T401)),"RETEST DATE UNCHECKED",IF(_xlfn.MINIFS(nrES_Date,nrES_PID,$D401,nrES_Code,$F401,nrES_Att,2,nrES_Raw,"&gt;=0",nrES_Date,"&gt;0")&gt;$T401,"LATE RETEST "&amp;TEXT(_xlfn.MINIFS(nrES_Date,nrES_PID,$D401,nrES_Code,$F401,nrES_Att,2,nrES_Raw,"&gt;=0",nrES_Date,"&gt;0"),"mm/dd")&amp;" (due "&amp;TEXT($T401,"mm/dd")&amp;")","Retested"))),IF(NOT(ISNUMBER($T401)),"CHECK DATE",IF(TODAY()&gt;$T401,"OVERDUE","Due "&amp;TEXT($T401,"mm/dd")))))))</f>
        <v/>
      </c>
      <c r="V401" s="16" t="n"/>
      <c r="W401" s="16" t="n"/>
      <c r="X401" s="17">
        <f>IF($C401="","",IF(AND($L401&lt;&gt;"",NOT(ISNUMBER($L401))),"RAW SCORE NOT A NUMBER",IF(AND(ISNUMBER($L401),OR($L401&lt;0,$L401&gt;100)),"RAW SCORE OUT OF RANGE",IF(AND($Y401="Unexcused",OR($L401="",NOT(ISNUMBER($L401)),$L401&lt;&gt;0)),"UNEXCUSED ABSENCE MUST RECORD 0",IF(COUNTIF(nrES_RecID,$B401)&gt;1,"DUPLICATE RECORD",IF(N($K401)&gt;2,"ATTEMPT 3+ NOT ALLOWED - policy 300.5 permits one retest per exam; this row records nothing",IF(AND($K401=2,COUNTIFS(nrES_PID,$D401,nrES_Code,$F401,nrES_Att,1)=0),"ATTEMPT 2 WITHOUT ATTEMPT 1",IF(AND($K401=2,$L401=""),"RETEST ROW HAS NO SCORE",IF(AND($H401="Final",$L401&lt;&gt;"",IFERROR(INDEX(nrCKfinalExamElig,MATCH($D401,rngCadetPIDs,0)),"")="No"),"FINAL EXAM AFTER FAILED FINAL PT (500.1.H)",IF(AND($K401=2,ISNUMBER($L401),COUNTIFS(nrES_PID,$D401,nrES_Code,$F401,nrES_Att,1)&gt;0,SUMIFS(nrES_Raw,nrES_PID,$D401,nrES_Code,$F401,nrES_Att,1)&gt;=$J401),"RETEST AFTER A PASSING FIRST ATTEMPT","OK"))))))))))</f>
        <v/>
      </c>
      <c r="Y401" s="16" t="n"/>
    </row>
    <row r="402">
      <c r="B402" s="17">
        <f>IF($C402="","",$D402&amp;"-"&amp;$F402&amp;"-"&amp;$K402)</f>
        <v/>
      </c>
      <c r="C402" s="16" t="n"/>
      <c r="D402" s="17">
        <f>IF($C402="","",IFERROR(INDEX(rngCadetPIDs,MATCH($C402,rngCadetNames,0)),"?"))</f>
        <v/>
      </c>
      <c r="E402" s="17">
        <f>IF($D402="","",IFERROR(INDEX(nrCadetAgency,MATCH($D402,rngCadetPIDs,0)),""))</f>
        <v/>
      </c>
      <c r="F402" s="16" t="n"/>
      <c r="G402" s="17">
        <f>IF($F402="","",IFERROR(INDEX(rngEPname,MATCH($F402,rngEPcode,0)),"?"))</f>
        <v/>
      </c>
      <c r="H402" s="17">
        <f>IF($F402="","",IFERROR(INDEX(rngEPtype,MATCH($F402,rngEPcode,0)),"?"))</f>
        <v/>
      </c>
      <c r="I402" s="17">
        <f>IF($F402="","",IFERROR(INDEX(rngEPseq,MATCH($F402,rngEPcode,0)),""))</f>
        <v/>
      </c>
      <c r="J402" s="17">
        <f>IF($F402="","",IFERROR(INDEX(rngEPpass,MATCH($F402,rngEPcode,0)),cfgPassingScore))</f>
        <v/>
      </c>
      <c r="K402" s="16" t="n"/>
      <c r="L402" s="16" t="n"/>
      <c r="M402" s="17">
        <f>IF($C402="","",IF($L402="","",IF(NOT(ISNUMBER($L402)),$L402,IF(N($K402)&gt;2,"",IF($K402=1,IF(COUNTIFS(nrES_PID,$D402,nrES_Code,$F402,nrES_Att,2,nrES_Raw,"&gt;=0")&gt;0,"",$L402),IF($L402&gt;=$J402,MAX($J402,cfgRetakeRecordedCap),IF(COUNTIFS(nrES_PID,$D402,nrES_Code,$F402,nrES_Att,1)=0,$L402,SUMIFS(nrES_Raw,nrES_PID,$D402,nrES_Code,$F402,nrES_Att,1))))))))</f>
        <v/>
      </c>
      <c r="N402" s="17">
        <f>IF($C402="","",IF($L402="","",IF(NOT(ISNUMBER($L402)),"(not a score)",IF($L402&gt;=$J402,"Yes","No"))))</f>
        <v/>
      </c>
      <c r="O402" s="17">
        <f>IF($C402="","",IF($M402="","",IF(NOT(ISNUMBER($M402)),"(not a score)",IF($M402&gt;=$J402,"Yes","No"))))</f>
        <v/>
      </c>
      <c r="P402" s="17">
        <f>IF($C402="","",IF($K402="","",IF(N($K402)&gt;2,"No",IF(COUNTIFS(nrES_PID,$D402,nrES_Code,$F402,nrES_Att,"&gt;"&amp;$K402,nrES_Att,"&lt;=2",nrES_Raw,"&gt;=0")=0,"Yes","No"))))</f>
        <v/>
      </c>
      <c r="Q402" s="17">
        <f>IF($C402="","",IF($L402="","",IF(AND($K402=1,ISNUMBER($L402),$L402&lt;$J402,COUNTIFS(nrES_PID,$D402,nrES_Code,$F402,nrES_Att,2,nrES_Raw,"&gt;=0")=0),"Yes","No")))</f>
        <v/>
      </c>
      <c r="R402" s="17">
        <f>IF($C402="","",IF($L402="","",IF(AND(N($K402)&gt;=2,ISNUMBER($L402),$L402&lt;$J402),"Yes","No")))</f>
        <v/>
      </c>
      <c r="S402" s="18" t="n"/>
      <c r="T402" s="19">
        <f>IF(OR($C402="",$L402="",$K402&lt;&gt;1,NOT(ISNUMBER($L402)),$L402&gt;=$J402),"",IF($S402="","(enter date)",_xlfn.LET(_xlpm.dn,_xlfn.XLOOKUP($S402,nrCDdate,nrCDnum,"",1),IF(_xlpm.dn="","(after last class day)",_xlfn.LET(_xlpm.dd,_xlfn.XLOOKUP(_xlpm.dn+cfgRetestClassDays,nrCDnum,nrCDdate,""),_xlpm.ok,_xlfn.XLOOKUP(_xlpm.dn+cfgRetestClassDays,nrCDnum,nrCDinsession,"No"),IF(OR(_xlpm.dd="",_xlpm.ok&lt;&gt;"Yes"),"(after last class day)",_xlpm.dd))))))</f>
        <v/>
      </c>
      <c r="U402" s="17">
        <f>IF($C402="","",IF(AND($Y402="Excused",$L402="",N($K402)&lt;=1),"EXCUSED - 1st attempt pending",IF(OR($L402="",$K402&lt;&gt;1,NOT(ISNUMBER($L402)),$L402&gt;=$J402),"",IF(COUNTIFS(nrES_PID,$D402,nrES_Code,$F402,nrES_Att,2,nrES_Raw,"&gt;=0")&gt;0,IF(IFERROR(_xlfn.MINIFS(nrES_Date,nrES_PID,$D402,nrES_Code,$F402,nrES_Att,2,nrES_Raw,"&gt;=0",nrES_Date,"&gt;0"),0)=0,"RETEST UNDATED",IF(NOT(ISNUMBER($T402)),"RETEST DATE UNCHECKED",IF(_xlfn.MINIFS(nrES_Date,nrES_PID,$D402,nrES_Code,$F402,nrES_Att,2,nrES_Raw,"&gt;=0",nrES_Date,"&gt;0")&gt;$T402,"LATE RETEST "&amp;TEXT(_xlfn.MINIFS(nrES_Date,nrES_PID,$D402,nrES_Code,$F402,nrES_Att,2,nrES_Raw,"&gt;=0",nrES_Date,"&gt;0"),"mm/dd")&amp;" (due "&amp;TEXT($T402,"mm/dd")&amp;")","Retested"))),IF(NOT(ISNUMBER($T402)),"CHECK DATE",IF(TODAY()&gt;$T402,"OVERDUE","Due "&amp;TEXT($T402,"mm/dd")))))))</f>
        <v/>
      </c>
      <c r="V402" s="16" t="n"/>
      <c r="W402" s="16" t="n"/>
      <c r="X402" s="17">
        <f>IF($C402="","",IF(AND($L402&lt;&gt;"",NOT(ISNUMBER($L402))),"RAW SCORE NOT A NUMBER",IF(AND(ISNUMBER($L402),OR($L402&lt;0,$L402&gt;100)),"RAW SCORE OUT OF RANGE",IF(AND($Y402="Unexcused",OR($L402="",NOT(ISNUMBER($L402)),$L402&lt;&gt;0)),"UNEXCUSED ABSENCE MUST RECORD 0",IF(COUNTIF(nrES_RecID,$B402)&gt;1,"DUPLICATE RECORD",IF(N($K402)&gt;2,"ATTEMPT 3+ NOT ALLOWED - policy 300.5 permits one retest per exam; this row records nothing",IF(AND($K402=2,COUNTIFS(nrES_PID,$D402,nrES_Code,$F402,nrES_Att,1)=0),"ATTEMPT 2 WITHOUT ATTEMPT 1",IF(AND($K402=2,$L402=""),"RETEST ROW HAS NO SCORE",IF(AND($H402="Final",$L402&lt;&gt;"",IFERROR(INDEX(nrCKfinalExamElig,MATCH($D402,rngCadetPIDs,0)),"")="No"),"FINAL EXAM AFTER FAILED FINAL PT (500.1.H)",IF(AND($K402=2,ISNUMBER($L402),COUNTIFS(nrES_PID,$D402,nrES_Code,$F402,nrES_Att,1)&gt;0,SUMIFS(nrES_Raw,nrES_PID,$D402,nrES_Code,$F402,nrES_Att,1)&gt;=$J402),"RETEST AFTER A PASSING FIRST ATTEMPT","OK"))))))))))</f>
        <v/>
      </c>
      <c r="Y402" s="16" t="n"/>
    </row>
    <row r="403">
      <c r="B403" s="17">
        <f>IF($C403="","",$D403&amp;"-"&amp;$F403&amp;"-"&amp;$K403)</f>
        <v/>
      </c>
      <c r="C403" s="16" t="n"/>
      <c r="D403" s="17">
        <f>IF($C403="","",IFERROR(INDEX(rngCadetPIDs,MATCH($C403,rngCadetNames,0)),"?"))</f>
        <v/>
      </c>
      <c r="E403" s="17">
        <f>IF($D403="","",IFERROR(INDEX(nrCadetAgency,MATCH($D403,rngCadetPIDs,0)),""))</f>
        <v/>
      </c>
      <c r="F403" s="16" t="n"/>
      <c r="G403" s="17">
        <f>IF($F403="","",IFERROR(INDEX(rngEPname,MATCH($F403,rngEPcode,0)),"?"))</f>
        <v/>
      </c>
      <c r="H403" s="17">
        <f>IF($F403="","",IFERROR(INDEX(rngEPtype,MATCH($F403,rngEPcode,0)),"?"))</f>
        <v/>
      </c>
      <c r="I403" s="17">
        <f>IF($F403="","",IFERROR(INDEX(rngEPseq,MATCH($F403,rngEPcode,0)),""))</f>
        <v/>
      </c>
      <c r="J403" s="17">
        <f>IF($F403="","",IFERROR(INDEX(rngEPpass,MATCH($F403,rngEPcode,0)),cfgPassingScore))</f>
        <v/>
      </c>
      <c r="K403" s="16" t="n"/>
      <c r="L403" s="16" t="n"/>
      <c r="M403" s="17">
        <f>IF($C403="","",IF($L403="","",IF(NOT(ISNUMBER($L403)),$L403,IF(N($K403)&gt;2,"",IF($K403=1,IF(COUNTIFS(nrES_PID,$D403,nrES_Code,$F403,nrES_Att,2,nrES_Raw,"&gt;=0")&gt;0,"",$L403),IF($L403&gt;=$J403,MAX($J403,cfgRetakeRecordedCap),IF(COUNTIFS(nrES_PID,$D403,nrES_Code,$F403,nrES_Att,1)=0,$L403,SUMIFS(nrES_Raw,nrES_PID,$D403,nrES_Code,$F403,nrES_Att,1))))))))</f>
        <v/>
      </c>
      <c r="N403" s="17">
        <f>IF($C403="","",IF($L403="","",IF(NOT(ISNUMBER($L403)),"(not a score)",IF($L403&gt;=$J403,"Yes","No"))))</f>
        <v/>
      </c>
      <c r="O403" s="17">
        <f>IF($C403="","",IF($M403="","",IF(NOT(ISNUMBER($M403)),"(not a score)",IF($M403&gt;=$J403,"Yes","No"))))</f>
        <v/>
      </c>
      <c r="P403" s="17">
        <f>IF($C403="","",IF($K403="","",IF(N($K403)&gt;2,"No",IF(COUNTIFS(nrES_PID,$D403,nrES_Code,$F403,nrES_Att,"&gt;"&amp;$K403,nrES_Att,"&lt;=2",nrES_Raw,"&gt;=0")=0,"Yes","No"))))</f>
        <v/>
      </c>
      <c r="Q403" s="17">
        <f>IF($C403="","",IF($L403="","",IF(AND($K403=1,ISNUMBER($L403),$L403&lt;$J403,COUNTIFS(nrES_PID,$D403,nrES_Code,$F403,nrES_Att,2,nrES_Raw,"&gt;=0")=0),"Yes","No")))</f>
        <v/>
      </c>
      <c r="R403" s="17">
        <f>IF($C403="","",IF($L403="","",IF(AND(N($K403)&gt;=2,ISNUMBER($L403),$L403&lt;$J403),"Yes","No")))</f>
        <v/>
      </c>
      <c r="S403" s="18" t="n"/>
      <c r="T403" s="19">
        <f>IF(OR($C403="",$L403="",$K403&lt;&gt;1,NOT(ISNUMBER($L403)),$L403&gt;=$J403),"",IF($S403="","(enter date)",_xlfn.LET(_xlpm.dn,_xlfn.XLOOKUP($S403,nrCDdate,nrCDnum,"",1),IF(_xlpm.dn="","(after last class day)",_xlfn.LET(_xlpm.dd,_xlfn.XLOOKUP(_xlpm.dn+cfgRetestClassDays,nrCDnum,nrCDdate,""),_xlpm.ok,_xlfn.XLOOKUP(_xlpm.dn+cfgRetestClassDays,nrCDnum,nrCDinsession,"No"),IF(OR(_xlpm.dd="",_xlpm.ok&lt;&gt;"Yes"),"(after last class day)",_xlpm.dd))))))</f>
        <v/>
      </c>
      <c r="U403" s="17">
        <f>IF($C403="","",IF(AND($Y403="Excused",$L403="",N($K403)&lt;=1),"EXCUSED - 1st attempt pending",IF(OR($L403="",$K403&lt;&gt;1,NOT(ISNUMBER($L403)),$L403&gt;=$J403),"",IF(COUNTIFS(nrES_PID,$D403,nrES_Code,$F403,nrES_Att,2,nrES_Raw,"&gt;=0")&gt;0,IF(IFERROR(_xlfn.MINIFS(nrES_Date,nrES_PID,$D403,nrES_Code,$F403,nrES_Att,2,nrES_Raw,"&gt;=0",nrES_Date,"&gt;0"),0)=0,"RETEST UNDATED",IF(NOT(ISNUMBER($T403)),"RETEST DATE UNCHECKED",IF(_xlfn.MINIFS(nrES_Date,nrES_PID,$D403,nrES_Code,$F403,nrES_Att,2,nrES_Raw,"&gt;=0",nrES_Date,"&gt;0")&gt;$T403,"LATE RETEST "&amp;TEXT(_xlfn.MINIFS(nrES_Date,nrES_PID,$D403,nrES_Code,$F403,nrES_Att,2,nrES_Raw,"&gt;=0",nrES_Date,"&gt;0"),"mm/dd")&amp;" (due "&amp;TEXT($T403,"mm/dd")&amp;")","Retested"))),IF(NOT(ISNUMBER($T403)),"CHECK DATE",IF(TODAY()&gt;$T403,"OVERDUE","Due "&amp;TEXT($T403,"mm/dd")))))))</f>
        <v/>
      </c>
      <c r="V403" s="16" t="n"/>
      <c r="W403" s="16" t="n"/>
      <c r="X403" s="17">
        <f>IF($C403="","",IF(AND($L403&lt;&gt;"",NOT(ISNUMBER($L403))),"RAW SCORE NOT A NUMBER",IF(AND(ISNUMBER($L403),OR($L403&lt;0,$L403&gt;100)),"RAW SCORE OUT OF RANGE",IF(AND($Y403="Unexcused",OR($L403="",NOT(ISNUMBER($L403)),$L403&lt;&gt;0)),"UNEXCUSED ABSENCE MUST RECORD 0",IF(COUNTIF(nrES_RecID,$B403)&gt;1,"DUPLICATE RECORD",IF(N($K403)&gt;2,"ATTEMPT 3+ NOT ALLOWED - policy 300.5 permits one retest per exam; this row records nothing",IF(AND($K403=2,COUNTIFS(nrES_PID,$D403,nrES_Code,$F403,nrES_Att,1)=0),"ATTEMPT 2 WITHOUT ATTEMPT 1",IF(AND($K403=2,$L403=""),"RETEST ROW HAS NO SCORE",IF(AND($H403="Final",$L403&lt;&gt;"",IFERROR(INDEX(nrCKfinalExamElig,MATCH($D403,rngCadetPIDs,0)),"")="No"),"FINAL EXAM AFTER FAILED FINAL PT (500.1.H)",IF(AND($K403=2,ISNUMBER($L403),COUNTIFS(nrES_PID,$D403,nrES_Code,$F403,nrES_Att,1)&gt;0,SUMIFS(nrES_Raw,nrES_PID,$D403,nrES_Code,$F403,nrES_Att,1)&gt;=$J403),"RETEST AFTER A PASSING FIRST ATTEMPT","OK"))))))))))</f>
        <v/>
      </c>
      <c r="Y403" s="16" t="n"/>
    </row>
    <row r="404">
      <c r="B404" s="17">
        <f>IF($C404="","",$D404&amp;"-"&amp;$F404&amp;"-"&amp;$K404)</f>
        <v/>
      </c>
      <c r="C404" s="16" t="n"/>
      <c r="D404" s="17">
        <f>IF($C404="","",IFERROR(INDEX(rngCadetPIDs,MATCH($C404,rngCadetNames,0)),"?"))</f>
        <v/>
      </c>
      <c r="E404" s="17">
        <f>IF($D404="","",IFERROR(INDEX(nrCadetAgency,MATCH($D404,rngCadetPIDs,0)),""))</f>
        <v/>
      </c>
      <c r="F404" s="16" t="n"/>
      <c r="G404" s="17">
        <f>IF($F404="","",IFERROR(INDEX(rngEPname,MATCH($F404,rngEPcode,0)),"?"))</f>
        <v/>
      </c>
      <c r="H404" s="17">
        <f>IF($F404="","",IFERROR(INDEX(rngEPtype,MATCH($F404,rngEPcode,0)),"?"))</f>
        <v/>
      </c>
      <c r="I404" s="17">
        <f>IF($F404="","",IFERROR(INDEX(rngEPseq,MATCH($F404,rngEPcode,0)),""))</f>
        <v/>
      </c>
      <c r="J404" s="17">
        <f>IF($F404="","",IFERROR(INDEX(rngEPpass,MATCH($F404,rngEPcode,0)),cfgPassingScore))</f>
        <v/>
      </c>
      <c r="K404" s="16" t="n"/>
      <c r="L404" s="16" t="n"/>
      <c r="M404" s="17">
        <f>IF($C404="","",IF($L404="","",IF(NOT(ISNUMBER($L404)),$L404,IF(N($K404)&gt;2,"",IF($K404=1,IF(COUNTIFS(nrES_PID,$D404,nrES_Code,$F404,nrES_Att,2,nrES_Raw,"&gt;=0")&gt;0,"",$L404),IF($L404&gt;=$J404,MAX($J404,cfgRetakeRecordedCap),IF(COUNTIFS(nrES_PID,$D404,nrES_Code,$F404,nrES_Att,1)=0,$L404,SUMIFS(nrES_Raw,nrES_PID,$D404,nrES_Code,$F404,nrES_Att,1))))))))</f>
        <v/>
      </c>
      <c r="N404" s="17">
        <f>IF($C404="","",IF($L404="","",IF(NOT(ISNUMBER($L404)),"(not a score)",IF($L404&gt;=$J404,"Yes","No"))))</f>
        <v/>
      </c>
      <c r="O404" s="17">
        <f>IF($C404="","",IF($M404="","",IF(NOT(ISNUMBER($M404)),"(not a score)",IF($M404&gt;=$J404,"Yes","No"))))</f>
        <v/>
      </c>
      <c r="P404" s="17">
        <f>IF($C404="","",IF($K404="","",IF(N($K404)&gt;2,"No",IF(COUNTIFS(nrES_PID,$D404,nrES_Code,$F404,nrES_Att,"&gt;"&amp;$K404,nrES_Att,"&lt;=2",nrES_Raw,"&gt;=0")=0,"Yes","No"))))</f>
        <v/>
      </c>
      <c r="Q404" s="17">
        <f>IF($C404="","",IF($L404="","",IF(AND($K404=1,ISNUMBER($L404),$L404&lt;$J404,COUNTIFS(nrES_PID,$D404,nrES_Code,$F404,nrES_Att,2,nrES_Raw,"&gt;=0")=0),"Yes","No")))</f>
        <v/>
      </c>
      <c r="R404" s="17">
        <f>IF($C404="","",IF($L404="","",IF(AND(N($K404)&gt;=2,ISNUMBER($L404),$L404&lt;$J404),"Yes","No")))</f>
        <v/>
      </c>
      <c r="S404" s="18" t="n"/>
      <c r="T404" s="19">
        <f>IF(OR($C404="",$L404="",$K404&lt;&gt;1,NOT(ISNUMBER($L404)),$L404&gt;=$J404),"",IF($S404="","(enter date)",_xlfn.LET(_xlpm.dn,_xlfn.XLOOKUP($S404,nrCDdate,nrCDnum,"",1),IF(_xlpm.dn="","(after last class day)",_xlfn.LET(_xlpm.dd,_xlfn.XLOOKUP(_xlpm.dn+cfgRetestClassDays,nrCDnum,nrCDdate,""),_xlpm.ok,_xlfn.XLOOKUP(_xlpm.dn+cfgRetestClassDays,nrCDnum,nrCDinsession,"No"),IF(OR(_xlpm.dd="",_xlpm.ok&lt;&gt;"Yes"),"(after last class day)",_xlpm.dd))))))</f>
        <v/>
      </c>
      <c r="U404" s="17">
        <f>IF($C404="","",IF(AND($Y404="Excused",$L404="",N($K404)&lt;=1),"EXCUSED - 1st attempt pending",IF(OR($L404="",$K404&lt;&gt;1,NOT(ISNUMBER($L404)),$L404&gt;=$J404),"",IF(COUNTIFS(nrES_PID,$D404,nrES_Code,$F404,nrES_Att,2,nrES_Raw,"&gt;=0")&gt;0,IF(IFERROR(_xlfn.MINIFS(nrES_Date,nrES_PID,$D404,nrES_Code,$F404,nrES_Att,2,nrES_Raw,"&gt;=0",nrES_Date,"&gt;0"),0)=0,"RETEST UNDATED",IF(NOT(ISNUMBER($T404)),"RETEST DATE UNCHECKED",IF(_xlfn.MINIFS(nrES_Date,nrES_PID,$D404,nrES_Code,$F404,nrES_Att,2,nrES_Raw,"&gt;=0",nrES_Date,"&gt;0")&gt;$T404,"LATE RETEST "&amp;TEXT(_xlfn.MINIFS(nrES_Date,nrES_PID,$D404,nrES_Code,$F404,nrES_Att,2,nrES_Raw,"&gt;=0",nrES_Date,"&gt;0"),"mm/dd")&amp;" (due "&amp;TEXT($T404,"mm/dd")&amp;")","Retested"))),IF(NOT(ISNUMBER($T404)),"CHECK DATE",IF(TODAY()&gt;$T404,"OVERDUE","Due "&amp;TEXT($T404,"mm/dd")))))))</f>
        <v/>
      </c>
      <c r="V404" s="16" t="n"/>
      <c r="W404" s="16" t="n"/>
      <c r="X404" s="17">
        <f>IF($C404="","",IF(AND($L404&lt;&gt;"",NOT(ISNUMBER($L404))),"RAW SCORE NOT A NUMBER",IF(AND(ISNUMBER($L404),OR($L404&lt;0,$L404&gt;100)),"RAW SCORE OUT OF RANGE",IF(AND($Y404="Unexcused",OR($L404="",NOT(ISNUMBER($L404)),$L404&lt;&gt;0)),"UNEXCUSED ABSENCE MUST RECORD 0",IF(COUNTIF(nrES_RecID,$B404)&gt;1,"DUPLICATE RECORD",IF(N($K404)&gt;2,"ATTEMPT 3+ NOT ALLOWED - policy 300.5 permits one retest per exam; this row records nothing",IF(AND($K404=2,COUNTIFS(nrES_PID,$D404,nrES_Code,$F404,nrES_Att,1)=0),"ATTEMPT 2 WITHOUT ATTEMPT 1",IF(AND($K404=2,$L404=""),"RETEST ROW HAS NO SCORE",IF(AND($H404="Final",$L404&lt;&gt;"",IFERROR(INDEX(nrCKfinalExamElig,MATCH($D404,rngCadetPIDs,0)),"")="No"),"FINAL EXAM AFTER FAILED FINAL PT (500.1.H)",IF(AND($K404=2,ISNUMBER($L404),COUNTIFS(nrES_PID,$D404,nrES_Code,$F404,nrES_Att,1)&gt;0,SUMIFS(nrES_Raw,nrES_PID,$D404,nrES_Code,$F404,nrES_Att,1)&gt;=$J404),"RETEST AFTER A PASSING FIRST ATTEMPT","OK"))))))))))</f>
        <v/>
      </c>
      <c r="Y404" s="16" t="n"/>
    </row>
    <row r="405">
      <c r="B405" s="17">
        <f>IF($C405="","",$D405&amp;"-"&amp;$F405&amp;"-"&amp;$K405)</f>
        <v/>
      </c>
      <c r="C405" s="16" t="n"/>
      <c r="D405" s="17">
        <f>IF($C405="","",IFERROR(INDEX(rngCadetPIDs,MATCH($C405,rngCadetNames,0)),"?"))</f>
        <v/>
      </c>
      <c r="E405" s="17">
        <f>IF($D405="","",IFERROR(INDEX(nrCadetAgency,MATCH($D405,rngCadetPIDs,0)),""))</f>
        <v/>
      </c>
      <c r="F405" s="16" t="n"/>
      <c r="G405" s="17">
        <f>IF($F405="","",IFERROR(INDEX(rngEPname,MATCH($F405,rngEPcode,0)),"?"))</f>
        <v/>
      </c>
      <c r="H405" s="17">
        <f>IF($F405="","",IFERROR(INDEX(rngEPtype,MATCH($F405,rngEPcode,0)),"?"))</f>
        <v/>
      </c>
      <c r="I405" s="17">
        <f>IF($F405="","",IFERROR(INDEX(rngEPseq,MATCH($F405,rngEPcode,0)),""))</f>
        <v/>
      </c>
      <c r="J405" s="17">
        <f>IF($F405="","",IFERROR(INDEX(rngEPpass,MATCH($F405,rngEPcode,0)),cfgPassingScore))</f>
        <v/>
      </c>
      <c r="K405" s="16" t="n"/>
      <c r="L405" s="16" t="n"/>
      <c r="M405" s="17">
        <f>IF($C405="","",IF($L405="","",IF(NOT(ISNUMBER($L405)),$L405,IF(N($K405)&gt;2,"",IF($K405=1,IF(COUNTIFS(nrES_PID,$D405,nrES_Code,$F405,nrES_Att,2,nrES_Raw,"&gt;=0")&gt;0,"",$L405),IF($L405&gt;=$J405,MAX($J405,cfgRetakeRecordedCap),IF(COUNTIFS(nrES_PID,$D405,nrES_Code,$F405,nrES_Att,1)=0,$L405,SUMIFS(nrES_Raw,nrES_PID,$D405,nrES_Code,$F405,nrES_Att,1))))))))</f>
        <v/>
      </c>
      <c r="N405" s="17">
        <f>IF($C405="","",IF($L405="","",IF(NOT(ISNUMBER($L405)),"(not a score)",IF($L405&gt;=$J405,"Yes","No"))))</f>
        <v/>
      </c>
      <c r="O405" s="17">
        <f>IF($C405="","",IF($M405="","",IF(NOT(ISNUMBER($M405)),"(not a score)",IF($M405&gt;=$J405,"Yes","No"))))</f>
        <v/>
      </c>
      <c r="P405" s="17">
        <f>IF($C405="","",IF($K405="","",IF(N($K405)&gt;2,"No",IF(COUNTIFS(nrES_PID,$D405,nrES_Code,$F405,nrES_Att,"&gt;"&amp;$K405,nrES_Att,"&lt;=2",nrES_Raw,"&gt;=0")=0,"Yes","No"))))</f>
        <v/>
      </c>
      <c r="Q405" s="17">
        <f>IF($C405="","",IF($L405="","",IF(AND($K405=1,ISNUMBER($L405),$L405&lt;$J405,COUNTIFS(nrES_PID,$D405,nrES_Code,$F405,nrES_Att,2,nrES_Raw,"&gt;=0")=0),"Yes","No")))</f>
        <v/>
      </c>
      <c r="R405" s="17">
        <f>IF($C405="","",IF($L405="","",IF(AND(N($K405)&gt;=2,ISNUMBER($L405),$L405&lt;$J405),"Yes","No")))</f>
        <v/>
      </c>
      <c r="S405" s="18" t="n"/>
      <c r="T405" s="19">
        <f>IF(OR($C405="",$L405="",$K405&lt;&gt;1,NOT(ISNUMBER($L405)),$L405&gt;=$J405),"",IF($S405="","(enter date)",_xlfn.LET(_xlpm.dn,_xlfn.XLOOKUP($S405,nrCDdate,nrCDnum,"",1),IF(_xlpm.dn="","(after last class day)",_xlfn.LET(_xlpm.dd,_xlfn.XLOOKUP(_xlpm.dn+cfgRetestClassDays,nrCDnum,nrCDdate,""),_xlpm.ok,_xlfn.XLOOKUP(_xlpm.dn+cfgRetestClassDays,nrCDnum,nrCDinsession,"No"),IF(OR(_xlpm.dd="",_xlpm.ok&lt;&gt;"Yes"),"(after last class day)",_xlpm.dd))))))</f>
        <v/>
      </c>
      <c r="U405" s="17">
        <f>IF($C405="","",IF(AND($Y405="Excused",$L405="",N($K405)&lt;=1),"EXCUSED - 1st attempt pending",IF(OR($L405="",$K405&lt;&gt;1,NOT(ISNUMBER($L405)),$L405&gt;=$J405),"",IF(COUNTIFS(nrES_PID,$D405,nrES_Code,$F405,nrES_Att,2,nrES_Raw,"&gt;=0")&gt;0,IF(IFERROR(_xlfn.MINIFS(nrES_Date,nrES_PID,$D405,nrES_Code,$F405,nrES_Att,2,nrES_Raw,"&gt;=0",nrES_Date,"&gt;0"),0)=0,"RETEST UNDATED",IF(NOT(ISNUMBER($T405)),"RETEST DATE UNCHECKED",IF(_xlfn.MINIFS(nrES_Date,nrES_PID,$D405,nrES_Code,$F405,nrES_Att,2,nrES_Raw,"&gt;=0",nrES_Date,"&gt;0")&gt;$T405,"LATE RETEST "&amp;TEXT(_xlfn.MINIFS(nrES_Date,nrES_PID,$D405,nrES_Code,$F405,nrES_Att,2,nrES_Raw,"&gt;=0",nrES_Date,"&gt;0"),"mm/dd")&amp;" (due "&amp;TEXT($T405,"mm/dd")&amp;")","Retested"))),IF(NOT(ISNUMBER($T405)),"CHECK DATE",IF(TODAY()&gt;$T405,"OVERDUE","Due "&amp;TEXT($T405,"mm/dd")))))))</f>
        <v/>
      </c>
      <c r="V405" s="16" t="n"/>
      <c r="W405" s="16" t="n"/>
      <c r="X405" s="17">
        <f>IF($C405="","",IF(AND($L405&lt;&gt;"",NOT(ISNUMBER($L405))),"RAW SCORE NOT A NUMBER",IF(AND(ISNUMBER($L405),OR($L405&lt;0,$L405&gt;100)),"RAW SCORE OUT OF RANGE",IF(AND($Y405="Unexcused",OR($L405="",NOT(ISNUMBER($L405)),$L405&lt;&gt;0)),"UNEXCUSED ABSENCE MUST RECORD 0",IF(COUNTIF(nrES_RecID,$B405)&gt;1,"DUPLICATE RECORD",IF(N($K405)&gt;2,"ATTEMPT 3+ NOT ALLOWED - policy 300.5 permits one retest per exam; this row records nothing",IF(AND($K405=2,COUNTIFS(nrES_PID,$D405,nrES_Code,$F405,nrES_Att,1)=0),"ATTEMPT 2 WITHOUT ATTEMPT 1",IF(AND($K405=2,$L405=""),"RETEST ROW HAS NO SCORE",IF(AND($H405="Final",$L405&lt;&gt;"",IFERROR(INDEX(nrCKfinalExamElig,MATCH($D405,rngCadetPIDs,0)),"")="No"),"FINAL EXAM AFTER FAILED FINAL PT (500.1.H)",IF(AND($K405=2,ISNUMBER($L405),COUNTIFS(nrES_PID,$D405,nrES_Code,$F405,nrES_Att,1)&gt;0,SUMIFS(nrES_Raw,nrES_PID,$D405,nrES_Code,$F405,nrES_Att,1)&gt;=$J405),"RETEST AFTER A PASSING FIRST ATTEMPT","OK"))))))))))</f>
        <v/>
      </c>
      <c r="Y405" s="16" t="n"/>
    </row>
    <row r="406">
      <c r="B406" s="17">
        <f>IF($C406="","",$D406&amp;"-"&amp;$F406&amp;"-"&amp;$K406)</f>
        <v/>
      </c>
      <c r="C406" s="16" t="n"/>
      <c r="D406" s="17">
        <f>IF($C406="","",IFERROR(INDEX(rngCadetPIDs,MATCH($C406,rngCadetNames,0)),"?"))</f>
        <v/>
      </c>
      <c r="E406" s="17">
        <f>IF($D406="","",IFERROR(INDEX(nrCadetAgency,MATCH($D406,rngCadetPIDs,0)),""))</f>
        <v/>
      </c>
      <c r="F406" s="16" t="n"/>
      <c r="G406" s="17">
        <f>IF($F406="","",IFERROR(INDEX(rngEPname,MATCH($F406,rngEPcode,0)),"?"))</f>
        <v/>
      </c>
      <c r="H406" s="17">
        <f>IF($F406="","",IFERROR(INDEX(rngEPtype,MATCH($F406,rngEPcode,0)),"?"))</f>
        <v/>
      </c>
      <c r="I406" s="17">
        <f>IF($F406="","",IFERROR(INDEX(rngEPseq,MATCH($F406,rngEPcode,0)),""))</f>
        <v/>
      </c>
      <c r="J406" s="17">
        <f>IF($F406="","",IFERROR(INDEX(rngEPpass,MATCH($F406,rngEPcode,0)),cfgPassingScore))</f>
        <v/>
      </c>
      <c r="K406" s="16" t="n"/>
      <c r="L406" s="16" t="n"/>
      <c r="M406" s="17">
        <f>IF($C406="","",IF($L406="","",IF(NOT(ISNUMBER($L406)),$L406,IF(N($K406)&gt;2,"",IF($K406=1,IF(COUNTIFS(nrES_PID,$D406,nrES_Code,$F406,nrES_Att,2,nrES_Raw,"&gt;=0")&gt;0,"",$L406),IF($L406&gt;=$J406,MAX($J406,cfgRetakeRecordedCap),IF(COUNTIFS(nrES_PID,$D406,nrES_Code,$F406,nrES_Att,1)=0,$L406,SUMIFS(nrES_Raw,nrES_PID,$D406,nrES_Code,$F406,nrES_Att,1))))))))</f>
        <v/>
      </c>
      <c r="N406" s="17">
        <f>IF($C406="","",IF($L406="","",IF(NOT(ISNUMBER($L406)),"(not a score)",IF($L406&gt;=$J406,"Yes","No"))))</f>
        <v/>
      </c>
      <c r="O406" s="17">
        <f>IF($C406="","",IF($M406="","",IF(NOT(ISNUMBER($M406)),"(not a score)",IF($M406&gt;=$J406,"Yes","No"))))</f>
        <v/>
      </c>
      <c r="P406" s="17">
        <f>IF($C406="","",IF($K406="","",IF(N($K406)&gt;2,"No",IF(COUNTIFS(nrES_PID,$D406,nrES_Code,$F406,nrES_Att,"&gt;"&amp;$K406,nrES_Att,"&lt;=2",nrES_Raw,"&gt;=0")=0,"Yes","No"))))</f>
        <v/>
      </c>
      <c r="Q406" s="17">
        <f>IF($C406="","",IF($L406="","",IF(AND($K406=1,ISNUMBER($L406),$L406&lt;$J406,COUNTIFS(nrES_PID,$D406,nrES_Code,$F406,nrES_Att,2,nrES_Raw,"&gt;=0")=0),"Yes","No")))</f>
        <v/>
      </c>
      <c r="R406" s="17">
        <f>IF($C406="","",IF($L406="","",IF(AND(N($K406)&gt;=2,ISNUMBER($L406),$L406&lt;$J406),"Yes","No")))</f>
        <v/>
      </c>
      <c r="S406" s="18" t="n"/>
      <c r="T406" s="19">
        <f>IF(OR($C406="",$L406="",$K406&lt;&gt;1,NOT(ISNUMBER($L406)),$L406&gt;=$J406),"",IF($S406="","(enter date)",_xlfn.LET(_xlpm.dn,_xlfn.XLOOKUP($S406,nrCDdate,nrCDnum,"",1),IF(_xlpm.dn="","(after last class day)",_xlfn.LET(_xlpm.dd,_xlfn.XLOOKUP(_xlpm.dn+cfgRetestClassDays,nrCDnum,nrCDdate,""),_xlpm.ok,_xlfn.XLOOKUP(_xlpm.dn+cfgRetestClassDays,nrCDnum,nrCDinsession,"No"),IF(OR(_xlpm.dd="",_xlpm.ok&lt;&gt;"Yes"),"(after last class day)",_xlpm.dd))))))</f>
        <v/>
      </c>
      <c r="U406" s="17">
        <f>IF($C406="","",IF(AND($Y406="Excused",$L406="",N($K406)&lt;=1),"EXCUSED - 1st attempt pending",IF(OR($L406="",$K406&lt;&gt;1,NOT(ISNUMBER($L406)),$L406&gt;=$J406),"",IF(COUNTIFS(nrES_PID,$D406,nrES_Code,$F406,nrES_Att,2,nrES_Raw,"&gt;=0")&gt;0,IF(IFERROR(_xlfn.MINIFS(nrES_Date,nrES_PID,$D406,nrES_Code,$F406,nrES_Att,2,nrES_Raw,"&gt;=0",nrES_Date,"&gt;0"),0)=0,"RETEST UNDATED",IF(NOT(ISNUMBER($T406)),"RETEST DATE UNCHECKED",IF(_xlfn.MINIFS(nrES_Date,nrES_PID,$D406,nrES_Code,$F406,nrES_Att,2,nrES_Raw,"&gt;=0",nrES_Date,"&gt;0")&gt;$T406,"LATE RETEST "&amp;TEXT(_xlfn.MINIFS(nrES_Date,nrES_PID,$D406,nrES_Code,$F406,nrES_Att,2,nrES_Raw,"&gt;=0",nrES_Date,"&gt;0"),"mm/dd")&amp;" (due "&amp;TEXT($T406,"mm/dd")&amp;")","Retested"))),IF(NOT(ISNUMBER($T406)),"CHECK DATE",IF(TODAY()&gt;$T406,"OVERDUE","Due "&amp;TEXT($T406,"mm/dd")))))))</f>
        <v/>
      </c>
      <c r="V406" s="16" t="n"/>
      <c r="W406" s="16" t="n"/>
      <c r="X406" s="17">
        <f>IF($C406="","",IF(AND($L406&lt;&gt;"",NOT(ISNUMBER($L406))),"RAW SCORE NOT A NUMBER",IF(AND(ISNUMBER($L406),OR($L406&lt;0,$L406&gt;100)),"RAW SCORE OUT OF RANGE",IF(AND($Y406="Unexcused",OR($L406="",NOT(ISNUMBER($L406)),$L406&lt;&gt;0)),"UNEXCUSED ABSENCE MUST RECORD 0",IF(COUNTIF(nrES_RecID,$B406)&gt;1,"DUPLICATE RECORD",IF(N($K406)&gt;2,"ATTEMPT 3+ NOT ALLOWED - policy 300.5 permits one retest per exam; this row records nothing",IF(AND($K406=2,COUNTIFS(nrES_PID,$D406,nrES_Code,$F406,nrES_Att,1)=0),"ATTEMPT 2 WITHOUT ATTEMPT 1",IF(AND($K406=2,$L406=""),"RETEST ROW HAS NO SCORE",IF(AND($H406="Final",$L406&lt;&gt;"",IFERROR(INDEX(nrCKfinalExamElig,MATCH($D406,rngCadetPIDs,0)),"")="No"),"FINAL EXAM AFTER FAILED FINAL PT (500.1.H)",IF(AND($K406=2,ISNUMBER($L406),COUNTIFS(nrES_PID,$D406,nrES_Code,$F406,nrES_Att,1)&gt;0,SUMIFS(nrES_Raw,nrES_PID,$D406,nrES_Code,$F406,nrES_Att,1)&gt;=$J406),"RETEST AFTER A PASSING FIRST ATTEMPT","OK"))))))))))</f>
        <v/>
      </c>
      <c r="Y406" s="16" t="n"/>
    </row>
    <row r="407">
      <c r="B407" s="17">
        <f>IF($C407="","",$D407&amp;"-"&amp;$F407&amp;"-"&amp;$K407)</f>
        <v/>
      </c>
      <c r="C407" s="16" t="n"/>
      <c r="D407" s="17">
        <f>IF($C407="","",IFERROR(INDEX(rngCadetPIDs,MATCH($C407,rngCadetNames,0)),"?"))</f>
        <v/>
      </c>
      <c r="E407" s="17">
        <f>IF($D407="","",IFERROR(INDEX(nrCadetAgency,MATCH($D407,rngCadetPIDs,0)),""))</f>
        <v/>
      </c>
      <c r="F407" s="16" t="n"/>
      <c r="G407" s="17">
        <f>IF($F407="","",IFERROR(INDEX(rngEPname,MATCH($F407,rngEPcode,0)),"?"))</f>
        <v/>
      </c>
      <c r="H407" s="17">
        <f>IF($F407="","",IFERROR(INDEX(rngEPtype,MATCH($F407,rngEPcode,0)),"?"))</f>
        <v/>
      </c>
      <c r="I407" s="17">
        <f>IF($F407="","",IFERROR(INDEX(rngEPseq,MATCH($F407,rngEPcode,0)),""))</f>
        <v/>
      </c>
      <c r="J407" s="17">
        <f>IF($F407="","",IFERROR(INDEX(rngEPpass,MATCH($F407,rngEPcode,0)),cfgPassingScore))</f>
        <v/>
      </c>
      <c r="K407" s="16" t="n"/>
      <c r="L407" s="16" t="n"/>
      <c r="M407" s="17">
        <f>IF($C407="","",IF($L407="","",IF(NOT(ISNUMBER($L407)),$L407,IF(N($K407)&gt;2,"",IF($K407=1,IF(COUNTIFS(nrES_PID,$D407,nrES_Code,$F407,nrES_Att,2,nrES_Raw,"&gt;=0")&gt;0,"",$L407),IF($L407&gt;=$J407,MAX($J407,cfgRetakeRecordedCap),IF(COUNTIFS(nrES_PID,$D407,nrES_Code,$F407,nrES_Att,1)=0,$L407,SUMIFS(nrES_Raw,nrES_PID,$D407,nrES_Code,$F407,nrES_Att,1))))))))</f>
        <v/>
      </c>
      <c r="N407" s="17">
        <f>IF($C407="","",IF($L407="","",IF(NOT(ISNUMBER($L407)),"(not a score)",IF($L407&gt;=$J407,"Yes","No"))))</f>
        <v/>
      </c>
      <c r="O407" s="17">
        <f>IF($C407="","",IF($M407="","",IF(NOT(ISNUMBER($M407)),"(not a score)",IF($M407&gt;=$J407,"Yes","No"))))</f>
        <v/>
      </c>
      <c r="P407" s="17">
        <f>IF($C407="","",IF($K407="","",IF(N($K407)&gt;2,"No",IF(COUNTIFS(nrES_PID,$D407,nrES_Code,$F407,nrES_Att,"&gt;"&amp;$K407,nrES_Att,"&lt;=2",nrES_Raw,"&gt;=0")=0,"Yes","No"))))</f>
        <v/>
      </c>
      <c r="Q407" s="17">
        <f>IF($C407="","",IF($L407="","",IF(AND($K407=1,ISNUMBER($L407),$L407&lt;$J407,COUNTIFS(nrES_PID,$D407,nrES_Code,$F407,nrES_Att,2,nrES_Raw,"&gt;=0")=0),"Yes","No")))</f>
        <v/>
      </c>
      <c r="R407" s="17">
        <f>IF($C407="","",IF($L407="","",IF(AND(N($K407)&gt;=2,ISNUMBER($L407),$L407&lt;$J407),"Yes","No")))</f>
        <v/>
      </c>
      <c r="S407" s="18" t="n"/>
      <c r="T407" s="19">
        <f>IF(OR($C407="",$L407="",$K407&lt;&gt;1,NOT(ISNUMBER($L407)),$L407&gt;=$J407),"",IF($S407="","(enter date)",_xlfn.LET(_xlpm.dn,_xlfn.XLOOKUP($S407,nrCDdate,nrCDnum,"",1),IF(_xlpm.dn="","(after last class day)",_xlfn.LET(_xlpm.dd,_xlfn.XLOOKUP(_xlpm.dn+cfgRetestClassDays,nrCDnum,nrCDdate,""),_xlpm.ok,_xlfn.XLOOKUP(_xlpm.dn+cfgRetestClassDays,nrCDnum,nrCDinsession,"No"),IF(OR(_xlpm.dd="",_xlpm.ok&lt;&gt;"Yes"),"(after last class day)",_xlpm.dd))))))</f>
        <v/>
      </c>
      <c r="U407" s="17">
        <f>IF($C407="","",IF(AND($Y407="Excused",$L407="",N($K407)&lt;=1),"EXCUSED - 1st attempt pending",IF(OR($L407="",$K407&lt;&gt;1,NOT(ISNUMBER($L407)),$L407&gt;=$J407),"",IF(COUNTIFS(nrES_PID,$D407,nrES_Code,$F407,nrES_Att,2,nrES_Raw,"&gt;=0")&gt;0,IF(IFERROR(_xlfn.MINIFS(nrES_Date,nrES_PID,$D407,nrES_Code,$F407,nrES_Att,2,nrES_Raw,"&gt;=0",nrES_Date,"&gt;0"),0)=0,"RETEST UNDATED",IF(NOT(ISNUMBER($T407)),"RETEST DATE UNCHECKED",IF(_xlfn.MINIFS(nrES_Date,nrES_PID,$D407,nrES_Code,$F407,nrES_Att,2,nrES_Raw,"&gt;=0",nrES_Date,"&gt;0")&gt;$T407,"LATE RETEST "&amp;TEXT(_xlfn.MINIFS(nrES_Date,nrES_PID,$D407,nrES_Code,$F407,nrES_Att,2,nrES_Raw,"&gt;=0",nrES_Date,"&gt;0"),"mm/dd")&amp;" (due "&amp;TEXT($T407,"mm/dd")&amp;")","Retested"))),IF(NOT(ISNUMBER($T407)),"CHECK DATE",IF(TODAY()&gt;$T407,"OVERDUE","Due "&amp;TEXT($T407,"mm/dd")))))))</f>
        <v/>
      </c>
      <c r="V407" s="16" t="n"/>
      <c r="W407" s="16" t="n"/>
      <c r="X407" s="17">
        <f>IF($C407="","",IF(AND($L407&lt;&gt;"",NOT(ISNUMBER($L407))),"RAW SCORE NOT A NUMBER",IF(AND(ISNUMBER($L407),OR($L407&lt;0,$L407&gt;100)),"RAW SCORE OUT OF RANGE",IF(AND($Y407="Unexcused",OR($L407="",NOT(ISNUMBER($L407)),$L407&lt;&gt;0)),"UNEXCUSED ABSENCE MUST RECORD 0",IF(COUNTIF(nrES_RecID,$B407)&gt;1,"DUPLICATE RECORD",IF(N($K407)&gt;2,"ATTEMPT 3+ NOT ALLOWED - policy 300.5 permits one retest per exam; this row records nothing",IF(AND($K407=2,COUNTIFS(nrES_PID,$D407,nrES_Code,$F407,nrES_Att,1)=0),"ATTEMPT 2 WITHOUT ATTEMPT 1",IF(AND($K407=2,$L407=""),"RETEST ROW HAS NO SCORE",IF(AND($H407="Final",$L407&lt;&gt;"",IFERROR(INDEX(nrCKfinalExamElig,MATCH($D407,rngCadetPIDs,0)),"")="No"),"FINAL EXAM AFTER FAILED FINAL PT (500.1.H)",IF(AND($K407=2,ISNUMBER($L407),COUNTIFS(nrES_PID,$D407,nrES_Code,$F407,nrES_Att,1)&gt;0,SUMIFS(nrES_Raw,nrES_PID,$D407,nrES_Code,$F407,nrES_Att,1)&gt;=$J407),"RETEST AFTER A PASSING FIRST ATTEMPT","OK"))))))))))</f>
        <v/>
      </c>
      <c r="Y407" s="16" t="n"/>
    </row>
    <row r="408">
      <c r="B408" s="17">
        <f>IF($C408="","",$D408&amp;"-"&amp;$F408&amp;"-"&amp;$K408)</f>
        <v/>
      </c>
      <c r="C408" s="16" t="n"/>
      <c r="D408" s="17">
        <f>IF($C408="","",IFERROR(INDEX(rngCadetPIDs,MATCH($C408,rngCadetNames,0)),"?"))</f>
        <v/>
      </c>
      <c r="E408" s="17">
        <f>IF($D408="","",IFERROR(INDEX(nrCadetAgency,MATCH($D408,rngCadetPIDs,0)),""))</f>
        <v/>
      </c>
      <c r="F408" s="16" t="n"/>
      <c r="G408" s="17">
        <f>IF($F408="","",IFERROR(INDEX(rngEPname,MATCH($F408,rngEPcode,0)),"?"))</f>
        <v/>
      </c>
      <c r="H408" s="17">
        <f>IF($F408="","",IFERROR(INDEX(rngEPtype,MATCH($F408,rngEPcode,0)),"?"))</f>
        <v/>
      </c>
      <c r="I408" s="17">
        <f>IF($F408="","",IFERROR(INDEX(rngEPseq,MATCH($F408,rngEPcode,0)),""))</f>
        <v/>
      </c>
      <c r="J408" s="17">
        <f>IF($F408="","",IFERROR(INDEX(rngEPpass,MATCH($F408,rngEPcode,0)),cfgPassingScore))</f>
        <v/>
      </c>
      <c r="K408" s="16" t="n"/>
      <c r="L408" s="16" t="n"/>
      <c r="M408" s="17">
        <f>IF($C408="","",IF($L408="","",IF(NOT(ISNUMBER($L408)),$L408,IF(N($K408)&gt;2,"",IF($K408=1,IF(COUNTIFS(nrES_PID,$D408,nrES_Code,$F408,nrES_Att,2,nrES_Raw,"&gt;=0")&gt;0,"",$L408),IF($L408&gt;=$J408,MAX($J408,cfgRetakeRecordedCap),IF(COUNTIFS(nrES_PID,$D408,nrES_Code,$F408,nrES_Att,1)=0,$L408,SUMIFS(nrES_Raw,nrES_PID,$D408,nrES_Code,$F408,nrES_Att,1))))))))</f>
        <v/>
      </c>
      <c r="N408" s="17">
        <f>IF($C408="","",IF($L408="","",IF(NOT(ISNUMBER($L408)),"(not a score)",IF($L408&gt;=$J408,"Yes","No"))))</f>
        <v/>
      </c>
      <c r="O408" s="17">
        <f>IF($C408="","",IF($M408="","",IF(NOT(ISNUMBER($M408)),"(not a score)",IF($M408&gt;=$J408,"Yes","No"))))</f>
        <v/>
      </c>
      <c r="P408" s="17">
        <f>IF($C408="","",IF($K408="","",IF(N($K408)&gt;2,"No",IF(COUNTIFS(nrES_PID,$D408,nrES_Code,$F408,nrES_Att,"&gt;"&amp;$K408,nrES_Att,"&lt;=2",nrES_Raw,"&gt;=0")=0,"Yes","No"))))</f>
        <v/>
      </c>
      <c r="Q408" s="17">
        <f>IF($C408="","",IF($L408="","",IF(AND($K408=1,ISNUMBER($L408),$L408&lt;$J408,COUNTIFS(nrES_PID,$D408,nrES_Code,$F408,nrES_Att,2,nrES_Raw,"&gt;=0")=0),"Yes","No")))</f>
        <v/>
      </c>
      <c r="R408" s="17">
        <f>IF($C408="","",IF($L408="","",IF(AND(N($K408)&gt;=2,ISNUMBER($L408),$L408&lt;$J408),"Yes","No")))</f>
        <v/>
      </c>
      <c r="S408" s="18" t="n"/>
      <c r="T408" s="19">
        <f>IF(OR($C408="",$L408="",$K408&lt;&gt;1,NOT(ISNUMBER($L408)),$L408&gt;=$J408),"",IF($S408="","(enter date)",_xlfn.LET(_xlpm.dn,_xlfn.XLOOKUP($S408,nrCDdate,nrCDnum,"",1),IF(_xlpm.dn="","(after last class day)",_xlfn.LET(_xlpm.dd,_xlfn.XLOOKUP(_xlpm.dn+cfgRetestClassDays,nrCDnum,nrCDdate,""),_xlpm.ok,_xlfn.XLOOKUP(_xlpm.dn+cfgRetestClassDays,nrCDnum,nrCDinsession,"No"),IF(OR(_xlpm.dd="",_xlpm.ok&lt;&gt;"Yes"),"(after last class day)",_xlpm.dd))))))</f>
        <v/>
      </c>
      <c r="U408" s="17">
        <f>IF($C408="","",IF(AND($Y408="Excused",$L408="",N($K408)&lt;=1),"EXCUSED - 1st attempt pending",IF(OR($L408="",$K408&lt;&gt;1,NOT(ISNUMBER($L408)),$L408&gt;=$J408),"",IF(COUNTIFS(nrES_PID,$D408,nrES_Code,$F408,nrES_Att,2,nrES_Raw,"&gt;=0")&gt;0,IF(IFERROR(_xlfn.MINIFS(nrES_Date,nrES_PID,$D408,nrES_Code,$F408,nrES_Att,2,nrES_Raw,"&gt;=0",nrES_Date,"&gt;0"),0)=0,"RETEST UNDATED",IF(NOT(ISNUMBER($T408)),"RETEST DATE UNCHECKED",IF(_xlfn.MINIFS(nrES_Date,nrES_PID,$D408,nrES_Code,$F408,nrES_Att,2,nrES_Raw,"&gt;=0",nrES_Date,"&gt;0")&gt;$T408,"LATE RETEST "&amp;TEXT(_xlfn.MINIFS(nrES_Date,nrES_PID,$D408,nrES_Code,$F408,nrES_Att,2,nrES_Raw,"&gt;=0",nrES_Date,"&gt;0"),"mm/dd")&amp;" (due "&amp;TEXT($T408,"mm/dd")&amp;")","Retested"))),IF(NOT(ISNUMBER($T408)),"CHECK DATE",IF(TODAY()&gt;$T408,"OVERDUE","Due "&amp;TEXT($T408,"mm/dd")))))))</f>
        <v/>
      </c>
      <c r="V408" s="16" t="n"/>
      <c r="W408" s="16" t="n"/>
      <c r="X408" s="17">
        <f>IF($C408="","",IF(AND($L408&lt;&gt;"",NOT(ISNUMBER($L408))),"RAW SCORE NOT A NUMBER",IF(AND(ISNUMBER($L408),OR($L408&lt;0,$L408&gt;100)),"RAW SCORE OUT OF RANGE",IF(AND($Y408="Unexcused",OR($L408="",NOT(ISNUMBER($L408)),$L408&lt;&gt;0)),"UNEXCUSED ABSENCE MUST RECORD 0",IF(COUNTIF(nrES_RecID,$B408)&gt;1,"DUPLICATE RECORD",IF(N($K408)&gt;2,"ATTEMPT 3+ NOT ALLOWED - policy 300.5 permits one retest per exam; this row records nothing",IF(AND($K408=2,COUNTIFS(nrES_PID,$D408,nrES_Code,$F408,nrES_Att,1)=0),"ATTEMPT 2 WITHOUT ATTEMPT 1",IF(AND($K408=2,$L408=""),"RETEST ROW HAS NO SCORE",IF(AND($H408="Final",$L408&lt;&gt;"",IFERROR(INDEX(nrCKfinalExamElig,MATCH($D408,rngCadetPIDs,0)),"")="No"),"FINAL EXAM AFTER FAILED FINAL PT (500.1.H)",IF(AND($K408=2,ISNUMBER($L408),COUNTIFS(nrES_PID,$D408,nrES_Code,$F408,nrES_Att,1)&gt;0,SUMIFS(nrES_Raw,nrES_PID,$D408,nrES_Code,$F408,nrES_Att,1)&gt;=$J408),"RETEST AFTER A PASSING FIRST ATTEMPT","OK"))))))))))</f>
        <v/>
      </c>
      <c r="Y408" s="16" t="n"/>
    </row>
    <row r="409">
      <c r="B409" s="17">
        <f>IF($C409="","",$D409&amp;"-"&amp;$F409&amp;"-"&amp;$K409)</f>
        <v/>
      </c>
      <c r="C409" s="16" t="n"/>
      <c r="D409" s="17">
        <f>IF($C409="","",IFERROR(INDEX(rngCadetPIDs,MATCH($C409,rngCadetNames,0)),"?"))</f>
        <v/>
      </c>
      <c r="E409" s="17">
        <f>IF($D409="","",IFERROR(INDEX(nrCadetAgency,MATCH($D409,rngCadetPIDs,0)),""))</f>
        <v/>
      </c>
      <c r="F409" s="16" t="n"/>
      <c r="G409" s="17">
        <f>IF($F409="","",IFERROR(INDEX(rngEPname,MATCH($F409,rngEPcode,0)),"?"))</f>
        <v/>
      </c>
      <c r="H409" s="17">
        <f>IF($F409="","",IFERROR(INDEX(rngEPtype,MATCH($F409,rngEPcode,0)),"?"))</f>
        <v/>
      </c>
      <c r="I409" s="17">
        <f>IF($F409="","",IFERROR(INDEX(rngEPseq,MATCH($F409,rngEPcode,0)),""))</f>
        <v/>
      </c>
      <c r="J409" s="17">
        <f>IF($F409="","",IFERROR(INDEX(rngEPpass,MATCH($F409,rngEPcode,0)),cfgPassingScore))</f>
        <v/>
      </c>
      <c r="K409" s="16" t="n"/>
      <c r="L409" s="16" t="n"/>
      <c r="M409" s="17">
        <f>IF($C409="","",IF($L409="","",IF(NOT(ISNUMBER($L409)),$L409,IF(N($K409)&gt;2,"",IF($K409=1,IF(COUNTIFS(nrES_PID,$D409,nrES_Code,$F409,nrES_Att,2,nrES_Raw,"&gt;=0")&gt;0,"",$L409),IF($L409&gt;=$J409,MAX($J409,cfgRetakeRecordedCap),IF(COUNTIFS(nrES_PID,$D409,nrES_Code,$F409,nrES_Att,1)=0,$L409,SUMIFS(nrES_Raw,nrES_PID,$D409,nrES_Code,$F409,nrES_Att,1))))))))</f>
        <v/>
      </c>
      <c r="N409" s="17">
        <f>IF($C409="","",IF($L409="","",IF(NOT(ISNUMBER($L409)),"(not a score)",IF($L409&gt;=$J409,"Yes","No"))))</f>
        <v/>
      </c>
      <c r="O409" s="17">
        <f>IF($C409="","",IF($M409="","",IF(NOT(ISNUMBER($M409)),"(not a score)",IF($M409&gt;=$J409,"Yes","No"))))</f>
        <v/>
      </c>
      <c r="P409" s="17">
        <f>IF($C409="","",IF($K409="","",IF(N($K409)&gt;2,"No",IF(COUNTIFS(nrES_PID,$D409,nrES_Code,$F409,nrES_Att,"&gt;"&amp;$K409,nrES_Att,"&lt;=2",nrES_Raw,"&gt;=0")=0,"Yes","No"))))</f>
        <v/>
      </c>
      <c r="Q409" s="17">
        <f>IF($C409="","",IF($L409="","",IF(AND($K409=1,ISNUMBER($L409),$L409&lt;$J409,COUNTIFS(nrES_PID,$D409,nrES_Code,$F409,nrES_Att,2,nrES_Raw,"&gt;=0")=0),"Yes","No")))</f>
        <v/>
      </c>
      <c r="R409" s="17">
        <f>IF($C409="","",IF($L409="","",IF(AND(N($K409)&gt;=2,ISNUMBER($L409),$L409&lt;$J409),"Yes","No")))</f>
        <v/>
      </c>
      <c r="S409" s="18" t="n"/>
      <c r="T409" s="19">
        <f>IF(OR($C409="",$L409="",$K409&lt;&gt;1,NOT(ISNUMBER($L409)),$L409&gt;=$J409),"",IF($S409="","(enter date)",_xlfn.LET(_xlpm.dn,_xlfn.XLOOKUP($S409,nrCDdate,nrCDnum,"",1),IF(_xlpm.dn="","(after last class day)",_xlfn.LET(_xlpm.dd,_xlfn.XLOOKUP(_xlpm.dn+cfgRetestClassDays,nrCDnum,nrCDdate,""),_xlpm.ok,_xlfn.XLOOKUP(_xlpm.dn+cfgRetestClassDays,nrCDnum,nrCDinsession,"No"),IF(OR(_xlpm.dd="",_xlpm.ok&lt;&gt;"Yes"),"(after last class day)",_xlpm.dd))))))</f>
        <v/>
      </c>
      <c r="U409" s="17">
        <f>IF($C409="","",IF(AND($Y409="Excused",$L409="",N($K409)&lt;=1),"EXCUSED - 1st attempt pending",IF(OR($L409="",$K409&lt;&gt;1,NOT(ISNUMBER($L409)),$L409&gt;=$J409),"",IF(COUNTIFS(nrES_PID,$D409,nrES_Code,$F409,nrES_Att,2,nrES_Raw,"&gt;=0")&gt;0,IF(IFERROR(_xlfn.MINIFS(nrES_Date,nrES_PID,$D409,nrES_Code,$F409,nrES_Att,2,nrES_Raw,"&gt;=0",nrES_Date,"&gt;0"),0)=0,"RETEST UNDATED",IF(NOT(ISNUMBER($T409)),"RETEST DATE UNCHECKED",IF(_xlfn.MINIFS(nrES_Date,nrES_PID,$D409,nrES_Code,$F409,nrES_Att,2,nrES_Raw,"&gt;=0",nrES_Date,"&gt;0")&gt;$T409,"LATE RETEST "&amp;TEXT(_xlfn.MINIFS(nrES_Date,nrES_PID,$D409,nrES_Code,$F409,nrES_Att,2,nrES_Raw,"&gt;=0",nrES_Date,"&gt;0"),"mm/dd")&amp;" (due "&amp;TEXT($T409,"mm/dd")&amp;")","Retested"))),IF(NOT(ISNUMBER($T409)),"CHECK DATE",IF(TODAY()&gt;$T409,"OVERDUE","Due "&amp;TEXT($T409,"mm/dd")))))))</f>
        <v/>
      </c>
      <c r="V409" s="16" t="n"/>
      <c r="W409" s="16" t="n"/>
      <c r="X409" s="17">
        <f>IF($C409="","",IF(AND($L409&lt;&gt;"",NOT(ISNUMBER($L409))),"RAW SCORE NOT A NUMBER",IF(AND(ISNUMBER($L409),OR($L409&lt;0,$L409&gt;100)),"RAW SCORE OUT OF RANGE",IF(AND($Y409="Unexcused",OR($L409="",NOT(ISNUMBER($L409)),$L409&lt;&gt;0)),"UNEXCUSED ABSENCE MUST RECORD 0",IF(COUNTIF(nrES_RecID,$B409)&gt;1,"DUPLICATE RECORD",IF(N($K409)&gt;2,"ATTEMPT 3+ NOT ALLOWED - policy 300.5 permits one retest per exam; this row records nothing",IF(AND($K409=2,COUNTIFS(nrES_PID,$D409,nrES_Code,$F409,nrES_Att,1)=0),"ATTEMPT 2 WITHOUT ATTEMPT 1",IF(AND($K409=2,$L409=""),"RETEST ROW HAS NO SCORE",IF(AND($H409="Final",$L409&lt;&gt;"",IFERROR(INDEX(nrCKfinalExamElig,MATCH($D409,rngCadetPIDs,0)),"")="No"),"FINAL EXAM AFTER FAILED FINAL PT (500.1.H)",IF(AND($K409=2,ISNUMBER($L409),COUNTIFS(nrES_PID,$D409,nrES_Code,$F409,nrES_Att,1)&gt;0,SUMIFS(nrES_Raw,nrES_PID,$D409,nrES_Code,$F409,nrES_Att,1)&gt;=$J409),"RETEST AFTER A PASSING FIRST ATTEMPT","OK"))))))))))</f>
        <v/>
      </c>
      <c r="Y409" s="16" t="n"/>
    </row>
    <row r="410">
      <c r="B410" s="17">
        <f>IF($C410="","",$D410&amp;"-"&amp;$F410&amp;"-"&amp;$K410)</f>
        <v/>
      </c>
      <c r="C410" s="16" t="n"/>
      <c r="D410" s="17">
        <f>IF($C410="","",IFERROR(INDEX(rngCadetPIDs,MATCH($C410,rngCadetNames,0)),"?"))</f>
        <v/>
      </c>
      <c r="E410" s="17">
        <f>IF($D410="","",IFERROR(INDEX(nrCadetAgency,MATCH($D410,rngCadetPIDs,0)),""))</f>
        <v/>
      </c>
      <c r="F410" s="16" t="n"/>
      <c r="G410" s="17">
        <f>IF($F410="","",IFERROR(INDEX(rngEPname,MATCH($F410,rngEPcode,0)),"?"))</f>
        <v/>
      </c>
      <c r="H410" s="17">
        <f>IF($F410="","",IFERROR(INDEX(rngEPtype,MATCH($F410,rngEPcode,0)),"?"))</f>
        <v/>
      </c>
      <c r="I410" s="17">
        <f>IF($F410="","",IFERROR(INDEX(rngEPseq,MATCH($F410,rngEPcode,0)),""))</f>
        <v/>
      </c>
      <c r="J410" s="17">
        <f>IF($F410="","",IFERROR(INDEX(rngEPpass,MATCH($F410,rngEPcode,0)),cfgPassingScore))</f>
        <v/>
      </c>
      <c r="K410" s="16" t="n"/>
      <c r="L410" s="16" t="n"/>
      <c r="M410" s="17">
        <f>IF($C410="","",IF($L410="","",IF(NOT(ISNUMBER($L410)),$L410,IF(N($K410)&gt;2,"",IF($K410=1,IF(COUNTIFS(nrES_PID,$D410,nrES_Code,$F410,nrES_Att,2,nrES_Raw,"&gt;=0")&gt;0,"",$L410),IF($L410&gt;=$J410,MAX($J410,cfgRetakeRecordedCap),IF(COUNTIFS(nrES_PID,$D410,nrES_Code,$F410,nrES_Att,1)=0,$L410,SUMIFS(nrES_Raw,nrES_PID,$D410,nrES_Code,$F410,nrES_Att,1))))))))</f>
        <v/>
      </c>
      <c r="N410" s="17">
        <f>IF($C410="","",IF($L410="","",IF(NOT(ISNUMBER($L410)),"(not a score)",IF($L410&gt;=$J410,"Yes","No"))))</f>
        <v/>
      </c>
      <c r="O410" s="17">
        <f>IF($C410="","",IF($M410="","",IF(NOT(ISNUMBER($M410)),"(not a score)",IF($M410&gt;=$J410,"Yes","No"))))</f>
        <v/>
      </c>
      <c r="P410" s="17">
        <f>IF($C410="","",IF($K410="","",IF(N($K410)&gt;2,"No",IF(COUNTIFS(nrES_PID,$D410,nrES_Code,$F410,nrES_Att,"&gt;"&amp;$K410,nrES_Att,"&lt;=2",nrES_Raw,"&gt;=0")=0,"Yes","No"))))</f>
        <v/>
      </c>
      <c r="Q410" s="17">
        <f>IF($C410="","",IF($L410="","",IF(AND($K410=1,ISNUMBER($L410),$L410&lt;$J410,COUNTIFS(nrES_PID,$D410,nrES_Code,$F410,nrES_Att,2,nrES_Raw,"&gt;=0")=0),"Yes","No")))</f>
        <v/>
      </c>
      <c r="R410" s="17">
        <f>IF($C410="","",IF($L410="","",IF(AND(N($K410)&gt;=2,ISNUMBER($L410),$L410&lt;$J410),"Yes","No")))</f>
        <v/>
      </c>
      <c r="S410" s="18" t="n"/>
      <c r="T410" s="19">
        <f>IF(OR($C410="",$L410="",$K410&lt;&gt;1,NOT(ISNUMBER($L410)),$L410&gt;=$J410),"",IF($S410="","(enter date)",_xlfn.LET(_xlpm.dn,_xlfn.XLOOKUP($S410,nrCDdate,nrCDnum,"",1),IF(_xlpm.dn="","(after last class day)",_xlfn.LET(_xlpm.dd,_xlfn.XLOOKUP(_xlpm.dn+cfgRetestClassDays,nrCDnum,nrCDdate,""),_xlpm.ok,_xlfn.XLOOKUP(_xlpm.dn+cfgRetestClassDays,nrCDnum,nrCDinsession,"No"),IF(OR(_xlpm.dd="",_xlpm.ok&lt;&gt;"Yes"),"(after last class day)",_xlpm.dd))))))</f>
        <v/>
      </c>
      <c r="U410" s="17">
        <f>IF($C410="","",IF(AND($Y410="Excused",$L410="",N($K410)&lt;=1),"EXCUSED - 1st attempt pending",IF(OR($L410="",$K410&lt;&gt;1,NOT(ISNUMBER($L410)),$L410&gt;=$J410),"",IF(COUNTIFS(nrES_PID,$D410,nrES_Code,$F410,nrES_Att,2,nrES_Raw,"&gt;=0")&gt;0,IF(IFERROR(_xlfn.MINIFS(nrES_Date,nrES_PID,$D410,nrES_Code,$F410,nrES_Att,2,nrES_Raw,"&gt;=0",nrES_Date,"&gt;0"),0)=0,"RETEST UNDATED",IF(NOT(ISNUMBER($T410)),"RETEST DATE UNCHECKED",IF(_xlfn.MINIFS(nrES_Date,nrES_PID,$D410,nrES_Code,$F410,nrES_Att,2,nrES_Raw,"&gt;=0",nrES_Date,"&gt;0")&gt;$T410,"LATE RETEST "&amp;TEXT(_xlfn.MINIFS(nrES_Date,nrES_PID,$D410,nrES_Code,$F410,nrES_Att,2,nrES_Raw,"&gt;=0",nrES_Date,"&gt;0"),"mm/dd")&amp;" (due "&amp;TEXT($T410,"mm/dd")&amp;")","Retested"))),IF(NOT(ISNUMBER($T410)),"CHECK DATE",IF(TODAY()&gt;$T410,"OVERDUE","Due "&amp;TEXT($T410,"mm/dd")))))))</f>
        <v/>
      </c>
      <c r="V410" s="16" t="n"/>
      <c r="W410" s="16" t="n"/>
      <c r="X410" s="17">
        <f>IF($C410="","",IF(AND($L410&lt;&gt;"",NOT(ISNUMBER($L410))),"RAW SCORE NOT A NUMBER",IF(AND(ISNUMBER($L410),OR($L410&lt;0,$L410&gt;100)),"RAW SCORE OUT OF RANGE",IF(AND($Y410="Unexcused",OR($L410="",NOT(ISNUMBER($L410)),$L410&lt;&gt;0)),"UNEXCUSED ABSENCE MUST RECORD 0",IF(COUNTIF(nrES_RecID,$B410)&gt;1,"DUPLICATE RECORD",IF(N($K410)&gt;2,"ATTEMPT 3+ NOT ALLOWED - policy 300.5 permits one retest per exam; this row records nothing",IF(AND($K410=2,COUNTIFS(nrES_PID,$D410,nrES_Code,$F410,nrES_Att,1)=0),"ATTEMPT 2 WITHOUT ATTEMPT 1",IF(AND($K410=2,$L410=""),"RETEST ROW HAS NO SCORE",IF(AND($H410="Final",$L410&lt;&gt;"",IFERROR(INDEX(nrCKfinalExamElig,MATCH($D410,rngCadetPIDs,0)),"")="No"),"FINAL EXAM AFTER FAILED FINAL PT (500.1.H)",IF(AND($K410=2,ISNUMBER($L410),COUNTIFS(nrES_PID,$D410,nrES_Code,$F410,nrES_Att,1)&gt;0,SUMIFS(nrES_Raw,nrES_PID,$D410,nrES_Code,$F410,nrES_Att,1)&gt;=$J410),"RETEST AFTER A PASSING FIRST ATTEMPT","OK"))))))))))</f>
        <v/>
      </c>
      <c r="Y410" s="16" t="n"/>
    </row>
    <row r="411">
      <c r="B411" s="17">
        <f>IF($C411="","",$D411&amp;"-"&amp;$F411&amp;"-"&amp;$K411)</f>
        <v/>
      </c>
      <c r="C411" s="16" t="n"/>
      <c r="D411" s="17">
        <f>IF($C411="","",IFERROR(INDEX(rngCadetPIDs,MATCH($C411,rngCadetNames,0)),"?"))</f>
        <v/>
      </c>
      <c r="E411" s="17">
        <f>IF($D411="","",IFERROR(INDEX(nrCadetAgency,MATCH($D411,rngCadetPIDs,0)),""))</f>
        <v/>
      </c>
      <c r="F411" s="16" t="n"/>
      <c r="G411" s="17">
        <f>IF($F411="","",IFERROR(INDEX(rngEPname,MATCH($F411,rngEPcode,0)),"?"))</f>
        <v/>
      </c>
      <c r="H411" s="17">
        <f>IF($F411="","",IFERROR(INDEX(rngEPtype,MATCH($F411,rngEPcode,0)),"?"))</f>
        <v/>
      </c>
      <c r="I411" s="17">
        <f>IF($F411="","",IFERROR(INDEX(rngEPseq,MATCH($F411,rngEPcode,0)),""))</f>
        <v/>
      </c>
      <c r="J411" s="17">
        <f>IF($F411="","",IFERROR(INDEX(rngEPpass,MATCH($F411,rngEPcode,0)),cfgPassingScore))</f>
        <v/>
      </c>
      <c r="K411" s="16" t="n"/>
      <c r="L411" s="16" t="n"/>
      <c r="M411" s="17">
        <f>IF($C411="","",IF($L411="","",IF(NOT(ISNUMBER($L411)),$L411,IF(N($K411)&gt;2,"",IF($K411=1,IF(COUNTIFS(nrES_PID,$D411,nrES_Code,$F411,nrES_Att,2,nrES_Raw,"&gt;=0")&gt;0,"",$L411),IF($L411&gt;=$J411,MAX($J411,cfgRetakeRecordedCap),IF(COUNTIFS(nrES_PID,$D411,nrES_Code,$F411,nrES_Att,1)=0,$L411,SUMIFS(nrES_Raw,nrES_PID,$D411,nrES_Code,$F411,nrES_Att,1))))))))</f>
        <v/>
      </c>
      <c r="N411" s="17">
        <f>IF($C411="","",IF($L411="","",IF(NOT(ISNUMBER($L411)),"(not a score)",IF($L411&gt;=$J411,"Yes","No"))))</f>
        <v/>
      </c>
      <c r="O411" s="17">
        <f>IF($C411="","",IF($M411="","",IF(NOT(ISNUMBER($M411)),"(not a score)",IF($M411&gt;=$J411,"Yes","No"))))</f>
        <v/>
      </c>
      <c r="P411" s="17">
        <f>IF($C411="","",IF($K411="","",IF(N($K411)&gt;2,"No",IF(COUNTIFS(nrES_PID,$D411,nrES_Code,$F411,nrES_Att,"&gt;"&amp;$K411,nrES_Att,"&lt;=2",nrES_Raw,"&gt;=0")=0,"Yes","No"))))</f>
        <v/>
      </c>
      <c r="Q411" s="17">
        <f>IF($C411="","",IF($L411="","",IF(AND($K411=1,ISNUMBER($L411),$L411&lt;$J411,COUNTIFS(nrES_PID,$D411,nrES_Code,$F411,nrES_Att,2,nrES_Raw,"&gt;=0")=0),"Yes","No")))</f>
        <v/>
      </c>
      <c r="R411" s="17">
        <f>IF($C411="","",IF($L411="","",IF(AND(N($K411)&gt;=2,ISNUMBER($L411),$L411&lt;$J411),"Yes","No")))</f>
        <v/>
      </c>
      <c r="S411" s="18" t="n"/>
      <c r="T411" s="19">
        <f>IF(OR($C411="",$L411="",$K411&lt;&gt;1,NOT(ISNUMBER($L411)),$L411&gt;=$J411),"",IF($S411="","(enter date)",_xlfn.LET(_xlpm.dn,_xlfn.XLOOKUP($S411,nrCDdate,nrCDnum,"",1),IF(_xlpm.dn="","(after last class day)",_xlfn.LET(_xlpm.dd,_xlfn.XLOOKUP(_xlpm.dn+cfgRetestClassDays,nrCDnum,nrCDdate,""),_xlpm.ok,_xlfn.XLOOKUP(_xlpm.dn+cfgRetestClassDays,nrCDnum,nrCDinsession,"No"),IF(OR(_xlpm.dd="",_xlpm.ok&lt;&gt;"Yes"),"(after last class day)",_xlpm.dd))))))</f>
        <v/>
      </c>
      <c r="U411" s="17">
        <f>IF($C411="","",IF(AND($Y411="Excused",$L411="",N($K411)&lt;=1),"EXCUSED - 1st attempt pending",IF(OR($L411="",$K411&lt;&gt;1,NOT(ISNUMBER($L411)),$L411&gt;=$J411),"",IF(COUNTIFS(nrES_PID,$D411,nrES_Code,$F411,nrES_Att,2,nrES_Raw,"&gt;=0")&gt;0,IF(IFERROR(_xlfn.MINIFS(nrES_Date,nrES_PID,$D411,nrES_Code,$F411,nrES_Att,2,nrES_Raw,"&gt;=0",nrES_Date,"&gt;0"),0)=0,"RETEST UNDATED",IF(NOT(ISNUMBER($T411)),"RETEST DATE UNCHECKED",IF(_xlfn.MINIFS(nrES_Date,nrES_PID,$D411,nrES_Code,$F411,nrES_Att,2,nrES_Raw,"&gt;=0",nrES_Date,"&gt;0")&gt;$T411,"LATE RETEST "&amp;TEXT(_xlfn.MINIFS(nrES_Date,nrES_PID,$D411,nrES_Code,$F411,nrES_Att,2,nrES_Raw,"&gt;=0",nrES_Date,"&gt;0"),"mm/dd")&amp;" (due "&amp;TEXT($T411,"mm/dd")&amp;")","Retested"))),IF(NOT(ISNUMBER($T411)),"CHECK DATE",IF(TODAY()&gt;$T411,"OVERDUE","Due "&amp;TEXT($T411,"mm/dd")))))))</f>
        <v/>
      </c>
      <c r="V411" s="16" t="n"/>
      <c r="W411" s="16" t="n"/>
      <c r="X411" s="17">
        <f>IF($C411="","",IF(AND($L411&lt;&gt;"",NOT(ISNUMBER($L411))),"RAW SCORE NOT A NUMBER",IF(AND(ISNUMBER($L411),OR($L411&lt;0,$L411&gt;100)),"RAW SCORE OUT OF RANGE",IF(AND($Y411="Unexcused",OR($L411="",NOT(ISNUMBER($L411)),$L411&lt;&gt;0)),"UNEXCUSED ABSENCE MUST RECORD 0",IF(COUNTIF(nrES_RecID,$B411)&gt;1,"DUPLICATE RECORD",IF(N($K411)&gt;2,"ATTEMPT 3+ NOT ALLOWED - policy 300.5 permits one retest per exam; this row records nothing",IF(AND($K411=2,COUNTIFS(nrES_PID,$D411,nrES_Code,$F411,nrES_Att,1)=0),"ATTEMPT 2 WITHOUT ATTEMPT 1",IF(AND($K411=2,$L411=""),"RETEST ROW HAS NO SCORE",IF(AND($H411="Final",$L411&lt;&gt;"",IFERROR(INDEX(nrCKfinalExamElig,MATCH($D411,rngCadetPIDs,0)),"")="No"),"FINAL EXAM AFTER FAILED FINAL PT (500.1.H)",IF(AND($K411=2,ISNUMBER($L411),COUNTIFS(nrES_PID,$D411,nrES_Code,$F411,nrES_Att,1)&gt;0,SUMIFS(nrES_Raw,nrES_PID,$D411,nrES_Code,$F411,nrES_Att,1)&gt;=$J411),"RETEST AFTER A PASSING FIRST ATTEMPT","OK"))))))))))</f>
        <v/>
      </c>
      <c r="Y411" s="16" t="n"/>
    </row>
    <row r="412">
      <c r="B412" s="17">
        <f>IF($C412="","",$D412&amp;"-"&amp;$F412&amp;"-"&amp;$K412)</f>
        <v/>
      </c>
      <c r="C412" s="16" t="n"/>
      <c r="D412" s="17">
        <f>IF($C412="","",IFERROR(INDEX(rngCadetPIDs,MATCH($C412,rngCadetNames,0)),"?"))</f>
        <v/>
      </c>
      <c r="E412" s="17">
        <f>IF($D412="","",IFERROR(INDEX(nrCadetAgency,MATCH($D412,rngCadetPIDs,0)),""))</f>
        <v/>
      </c>
      <c r="F412" s="16" t="n"/>
      <c r="G412" s="17">
        <f>IF($F412="","",IFERROR(INDEX(rngEPname,MATCH($F412,rngEPcode,0)),"?"))</f>
        <v/>
      </c>
      <c r="H412" s="17">
        <f>IF($F412="","",IFERROR(INDEX(rngEPtype,MATCH($F412,rngEPcode,0)),"?"))</f>
        <v/>
      </c>
      <c r="I412" s="17">
        <f>IF($F412="","",IFERROR(INDEX(rngEPseq,MATCH($F412,rngEPcode,0)),""))</f>
        <v/>
      </c>
      <c r="J412" s="17">
        <f>IF($F412="","",IFERROR(INDEX(rngEPpass,MATCH($F412,rngEPcode,0)),cfgPassingScore))</f>
        <v/>
      </c>
      <c r="K412" s="16" t="n"/>
      <c r="L412" s="16" t="n"/>
      <c r="M412" s="17">
        <f>IF($C412="","",IF($L412="","",IF(NOT(ISNUMBER($L412)),$L412,IF(N($K412)&gt;2,"",IF($K412=1,IF(COUNTIFS(nrES_PID,$D412,nrES_Code,$F412,nrES_Att,2,nrES_Raw,"&gt;=0")&gt;0,"",$L412),IF($L412&gt;=$J412,MAX($J412,cfgRetakeRecordedCap),IF(COUNTIFS(nrES_PID,$D412,nrES_Code,$F412,nrES_Att,1)=0,$L412,SUMIFS(nrES_Raw,nrES_PID,$D412,nrES_Code,$F412,nrES_Att,1))))))))</f>
        <v/>
      </c>
      <c r="N412" s="17">
        <f>IF($C412="","",IF($L412="","",IF(NOT(ISNUMBER($L412)),"(not a score)",IF($L412&gt;=$J412,"Yes","No"))))</f>
        <v/>
      </c>
      <c r="O412" s="17">
        <f>IF($C412="","",IF($M412="","",IF(NOT(ISNUMBER($M412)),"(not a score)",IF($M412&gt;=$J412,"Yes","No"))))</f>
        <v/>
      </c>
      <c r="P412" s="17">
        <f>IF($C412="","",IF($K412="","",IF(N($K412)&gt;2,"No",IF(COUNTIFS(nrES_PID,$D412,nrES_Code,$F412,nrES_Att,"&gt;"&amp;$K412,nrES_Att,"&lt;=2",nrES_Raw,"&gt;=0")=0,"Yes","No"))))</f>
        <v/>
      </c>
      <c r="Q412" s="17">
        <f>IF($C412="","",IF($L412="","",IF(AND($K412=1,ISNUMBER($L412),$L412&lt;$J412,COUNTIFS(nrES_PID,$D412,nrES_Code,$F412,nrES_Att,2,nrES_Raw,"&gt;=0")=0),"Yes","No")))</f>
        <v/>
      </c>
      <c r="R412" s="17">
        <f>IF($C412="","",IF($L412="","",IF(AND(N($K412)&gt;=2,ISNUMBER($L412),$L412&lt;$J412),"Yes","No")))</f>
        <v/>
      </c>
      <c r="S412" s="18" t="n"/>
      <c r="T412" s="19">
        <f>IF(OR($C412="",$L412="",$K412&lt;&gt;1,NOT(ISNUMBER($L412)),$L412&gt;=$J412),"",IF($S412="","(enter date)",_xlfn.LET(_xlpm.dn,_xlfn.XLOOKUP($S412,nrCDdate,nrCDnum,"",1),IF(_xlpm.dn="","(after last class day)",_xlfn.LET(_xlpm.dd,_xlfn.XLOOKUP(_xlpm.dn+cfgRetestClassDays,nrCDnum,nrCDdate,""),_xlpm.ok,_xlfn.XLOOKUP(_xlpm.dn+cfgRetestClassDays,nrCDnum,nrCDinsession,"No"),IF(OR(_xlpm.dd="",_xlpm.ok&lt;&gt;"Yes"),"(after last class day)",_xlpm.dd))))))</f>
        <v/>
      </c>
      <c r="U412" s="17">
        <f>IF($C412="","",IF(AND($Y412="Excused",$L412="",N($K412)&lt;=1),"EXCUSED - 1st attempt pending",IF(OR($L412="",$K412&lt;&gt;1,NOT(ISNUMBER($L412)),$L412&gt;=$J412),"",IF(COUNTIFS(nrES_PID,$D412,nrES_Code,$F412,nrES_Att,2,nrES_Raw,"&gt;=0")&gt;0,IF(IFERROR(_xlfn.MINIFS(nrES_Date,nrES_PID,$D412,nrES_Code,$F412,nrES_Att,2,nrES_Raw,"&gt;=0",nrES_Date,"&gt;0"),0)=0,"RETEST UNDATED",IF(NOT(ISNUMBER($T412)),"RETEST DATE UNCHECKED",IF(_xlfn.MINIFS(nrES_Date,nrES_PID,$D412,nrES_Code,$F412,nrES_Att,2,nrES_Raw,"&gt;=0",nrES_Date,"&gt;0")&gt;$T412,"LATE RETEST "&amp;TEXT(_xlfn.MINIFS(nrES_Date,nrES_PID,$D412,nrES_Code,$F412,nrES_Att,2,nrES_Raw,"&gt;=0",nrES_Date,"&gt;0"),"mm/dd")&amp;" (due "&amp;TEXT($T412,"mm/dd")&amp;")","Retested"))),IF(NOT(ISNUMBER($T412)),"CHECK DATE",IF(TODAY()&gt;$T412,"OVERDUE","Due "&amp;TEXT($T412,"mm/dd")))))))</f>
        <v/>
      </c>
      <c r="V412" s="16" t="n"/>
      <c r="W412" s="16" t="n"/>
      <c r="X412" s="17">
        <f>IF($C412="","",IF(AND($L412&lt;&gt;"",NOT(ISNUMBER($L412))),"RAW SCORE NOT A NUMBER",IF(AND(ISNUMBER($L412),OR($L412&lt;0,$L412&gt;100)),"RAW SCORE OUT OF RANGE",IF(AND($Y412="Unexcused",OR($L412="",NOT(ISNUMBER($L412)),$L412&lt;&gt;0)),"UNEXCUSED ABSENCE MUST RECORD 0",IF(COUNTIF(nrES_RecID,$B412)&gt;1,"DUPLICATE RECORD",IF(N($K412)&gt;2,"ATTEMPT 3+ NOT ALLOWED - policy 300.5 permits one retest per exam; this row records nothing",IF(AND($K412=2,COUNTIFS(nrES_PID,$D412,nrES_Code,$F412,nrES_Att,1)=0),"ATTEMPT 2 WITHOUT ATTEMPT 1",IF(AND($K412=2,$L412=""),"RETEST ROW HAS NO SCORE",IF(AND($H412="Final",$L412&lt;&gt;"",IFERROR(INDEX(nrCKfinalExamElig,MATCH($D412,rngCadetPIDs,0)),"")="No"),"FINAL EXAM AFTER FAILED FINAL PT (500.1.H)",IF(AND($K412=2,ISNUMBER($L412),COUNTIFS(nrES_PID,$D412,nrES_Code,$F412,nrES_Att,1)&gt;0,SUMIFS(nrES_Raw,nrES_PID,$D412,nrES_Code,$F412,nrES_Att,1)&gt;=$J412),"RETEST AFTER A PASSING FIRST ATTEMPT","OK"))))))))))</f>
        <v/>
      </c>
      <c r="Y412" s="16" t="n"/>
    </row>
    <row r="413">
      <c r="B413" s="17">
        <f>IF($C413="","",$D413&amp;"-"&amp;$F413&amp;"-"&amp;$K413)</f>
        <v/>
      </c>
      <c r="C413" s="16" t="n"/>
      <c r="D413" s="17">
        <f>IF($C413="","",IFERROR(INDEX(rngCadetPIDs,MATCH($C413,rngCadetNames,0)),"?"))</f>
        <v/>
      </c>
      <c r="E413" s="17">
        <f>IF($D413="","",IFERROR(INDEX(nrCadetAgency,MATCH($D413,rngCadetPIDs,0)),""))</f>
        <v/>
      </c>
      <c r="F413" s="16" t="n"/>
      <c r="G413" s="17">
        <f>IF($F413="","",IFERROR(INDEX(rngEPname,MATCH($F413,rngEPcode,0)),"?"))</f>
        <v/>
      </c>
      <c r="H413" s="17">
        <f>IF($F413="","",IFERROR(INDEX(rngEPtype,MATCH($F413,rngEPcode,0)),"?"))</f>
        <v/>
      </c>
      <c r="I413" s="17">
        <f>IF($F413="","",IFERROR(INDEX(rngEPseq,MATCH($F413,rngEPcode,0)),""))</f>
        <v/>
      </c>
      <c r="J413" s="17">
        <f>IF($F413="","",IFERROR(INDEX(rngEPpass,MATCH($F413,rngEPcode,0)),cfgPassingScore))</f>
        <v/>
      </c>
      <c r="K413" s="16" t="n"/>
      <c r="L413" s="16" t="n"/>
      <c r="M413" s="17">
        <f>IF($C413="","",IF($L413="","",IF(NOT(ISNUMBER($L413)),$L413,IF(N($K413)&gt;2,"",IF($K413=1,IF(COUNTIFS(nrES_PID,$D413,nrES_Code,$F413,nrES_Att,2,nrES_Raw,"&gt;=0")&gt;0,"",$L413),IF($L413&gt;=$J413,MAX($J413,cfgRetakeRecordedCap),IF(COUNTIFS(nrES_PID,$D413,nrES_Code,$F413,nrES_Att,1)=0,$L413,SUMIFS(nrES_Raw,nrES_PID,$D413,nrES_Code,$F413,nrES_Att,1))))))))</f>
        <v/>
      </c>
      <c r="N413" s="17">
        <f>IF($C413="","",IF($L413="","",IF(NOT(ISNUMBER($L413)),"(not a score)",IF($L413&gt;=$J413,"Yes","No"))))</f>
        <v/>
      </c>
      <c r="O413" s="17">
        <f>IF($C413="","",IF($M413="","",IF(NOT(ISNUMBER($M413)),"(not a score)",IF($M413&gt;=$J413,"Yes","No"))))</f>
        <v/>
      </c>
      <c r="P413" s="17">
        <f>IF($C413="","",IF($K413="","",IF(N($K413)&gt;2,"No",IF(COUNTIFS(nrES_PID,$D413,nrES_Code,$F413,nrES_Att,"&gt;"&amp;$K413,nrES_Att,"&lt;=2",nrES_Raw,"&gt;=0")=0,"Yes","No"))))</f>
        <v/>
      </c>
      <c r="Q413" s="17">
        <f>IF($C413="","",IF($L413="","",IF(AND($K413=1,ISNUMBER($L413),$L413&lt;$J413,COUNTIFS(nrES_PID,$D413,nrES_Code,$F413,nrES_Att,2,nrES_Raw,"&gt;=0")=0),"Yes","No")))</f>
        <v/>
      </c>
      <c r="R413" s="17">
        <f>IF($C413="","",IF($L413="","",IF(AND(N($K413)&gt;=2,ISNUMBER($L413),$L413&lt;$J413),"Yes","No")))</f>
        <v/>
      </c>
      <c r="S413" s="18" t="n"/>
      <c r="T413" s="19">
        <f>IF(OR($C413="",$L413="",$K413&lt;&gt;1,NOT(ISNUMBER($L413)),$L413&gt;=$J413),"",IF($S413="","(enter date)",_xlfn.LET(_xlpm.dn,_xlfn.XLOOKUP($S413,nrCDdate,nrCDnum,"",1),IF(_xlpm.dn="","(after last class day)",_xlfn.LET(_xlpm.dd,_xlfn.XLOOKUP(_xlpm.dn+cfgRetestClassDays,nrCDnum,nrCDdate,""),_xlpm.ok,_xlfn.XLOOKUP(_xlpm.dn+cfgRetestClassDays,nrCDnum,nrCDinsession,"No"),IF(OR(_xlpm.dd="",_xlpm.ok&lt;&gt;"Yes"),"(after last class day)",_xlpm.dd))))))</f>
        <v/>
      </c>
      <c r="U413" s="17">
        <f>IF($C413="","",IF(AND($Y413="Excused",$L413="",N($K413)&lt;=1),"EXCUSED - 1st attempt pending",IF(OR($L413="",$K413&lt;&gt;1,NOT(ISNUMBER($L413)),$L413&gt;=$J413),"",IF(COUNTIFS(nrES_PID,$D413,nrES_Code,$F413,nrES_Att,2,nrES_Raw,"&gt;=0")&gt;0,IF(IFERROR(_xlfn.MINIFS(nrES_Date,nrES_PID,$D413,nrES_Code,$F413,nrES_Att,2,nrES_Raw,"&gt;=0",nrES_Date,"&gt;0"),0)=0,"RETEST UNDATED",IF(NOT(ISNUMBER($T413)),"RETEST DATE UNCHECKED",IF(_xlfn.MINIFS(nrES_Date,nrES_PID,$D413,nrES_Code,$F413,nrES_Att,2,nrES_Raw,"&gt;=0",nrES_Date,"&gt;0")&gt;$T413,"LATE RETEST "&amp;TEXT(_xlfn.MINIFS(nrES_Date,nrES_PID,$D413,nrES_Code,$F413,nrES_Att,2,nrES_Raw,"&gt;=0",nrES_Date,"&gt;0"),"mm/dd")&amp;" (due "&amp;TEXT($T413,"mm/dd")&amp;")","Retested"))),IF(NOT(ISNUMBER($T413)),"CHECK DATE",IF(TODAY()&gt;$T413,"OVERDUE","Due "&amp;TEXT($T413,"mm/dd")))))))</f>
        <v/>
      </c>
      <c r="V413" s="16" t="n"/>
      <c r="W413" s="16" t="n"/>
      <c r="X413" s="17">
        <f>IF($C413="","",IF(AND($L413&lt;&gt;"",NOT(ISNUMBER($L413))),"RAW SCORE NOT A NUMBER",IF(AND(ISNUMBER($L413),OR($L413&lt;0,$L413&gt;100)),"RAW SCORE OUT OF RANGE",IF(AND($Y413="Unexcused",OR($L413="",NOT(ISNUMBER($L413)),$L413&lt;&gt;0)),"UNEXCUSED ABSENCE MUST RECORD 0",IF(COUNTIF(nrES_RecID,$B413)&gt;1,"DUPLICATE RECORD",IF(N($K413)&gt;2,"ATTEMPT 3+ NOT ALLOWED - policy 300.5 permits one retest per exam; this row records nothing",IF(AND($K413=2,COUNTIFS(nrES_PID,$D413,nrES_Code,$F413,nrES_Att,1)=0),"ATTEMPT 2 WITHOUT ATTEMPT 1",IF(AND($K413=2,$L413=""),"RETEST ROW HAS NO SCORE",IF(AND($H413="Final",$L413&lt;&gt;"",IFERROR(INDEX(nrCKfinalExamElig,MATCH($D413,rngCadetPIDs,0)),"")="No"),"FINAL EXAM AFTER FAILED FINAL PT (500.1.H)",IF(AND($K413=2,ISNUMBER($L413),COUNTIFS(nrES_PID,$D413,nrES_Code,$F413,nrES_Att,1)&gt;0,SUMIFS(nrES_Raw,nrES_PID,$D413,nrES_Code,$F413,nrES_Att,1)&gt;=$J413),"RETEST AFTER A PASSING FIRST ATTEMPT","OK"))))))))))</f>
        <v/>
      </c>
      <c r="Y413" s="16" t="n"/>
    </row>
    <row r="414">
      <c r="B414" s="17">
        <f>IF($C414="","",$D414&amp;"-"&amp;$F414&amp;"-"&amp;$K414)</f>
        <v/>
      </c>
      <c r="C414" s="16" t="n"/>
      <c r="D414" s="17">
        <f>IF($C414="","",IFERROR(INDEX(rngCadetPIDs,MATCH($C414,rngCadetNames,0)),"?"))</f>
        <v/>
      </c>
      <c r="E414" s="17">
        <f>IF($D414="","",IFERROR(INDEX(nrCadetAgency,MATCH($D414,rngCadetPIDs,0)),""))</f>
        <v/>
      </c>
      <c r="F414" s="16" t="n"/>
      <c r="G414" s="17">
        <f>IF($F414="","",IFERROR(INDEX(rngEPname,MATCH($F414,rngEPcode,0)),"?"))</f>
        <v/>
      </c>
      <c r="H414" s="17">
        <f>IF($F414="","",IFERROR(INDEX(rngEPtype,MATCH($F414,rngEPcode,0)),"?"))</f>
        <v/>
      </c>
      <c r="I414" s="17">
        <f>IF($F414="","",IFERROR(INDEX(rngEPseq,MATCH($F414,rngEPcode,0)),""))</f>
        <v/>
      </c>
      <c r="J414" s="17">
        <f>IF($F414="","",IFERROR(INDEX(rngEPpass,MATCH($F414,rngEPcode,0)),cfgPassingScore))</f>
        <v/>
      </c>
      <c r="K414" s="16" t="n"/>
      <c r="L414" s="16" t="n"/>
      <c r="M414" s="17">
        <f>IF($C414="","",IF($L414="","",IF(NOT(ISNUMBER($L414)),$L414,IF(N($K414)&gt;2,"",IF($K414=1,IF(COUNTIFS(nrES_PID,$D414,nrES_Code,$F414,nrES_Att,2,nrES_Raw,"&gt;=0")&gt;0,"",$L414),IF($L414&gt;=$J414,MAX($J414,cfgRetakeRecordedCap),IF(COUNTIFS(nrES_PID,$D414,nrES_Code,$F414,nrES_Att,1)=0,$L414,SUMIFS(nrES_Raw,nrES_PID,$D414,nrES_Code,$F414,nrES_Att,1))))))))</f>
        <v/>
      </c>
      <c r="N414" s="17">
        <f>IF($C414="","",IF($L414="","",IF(NOT(ISNUMBER($L414)),"(not a score)",IF($L414&gt;=$J414,"Yes","No"))))</f>
        <v/>
      </c>
      <c r="O414" s="17">
        <f>IF($C414="","",IF($M414="","",IF(NOT(ISNUMBER($M414)),"(not a score)",IF($M414&gt;=$J414,"Yes","No"))))</f>
        <v/>
      </c>
      <c r="P414" s="17">
        <f>IF($C414="","",IF($K414="","",IF(N($K414)&gt;2,"No",IF(COUNTIFS(nrES_PID,$D414,nrES_Code,$F414,nrES_Att,"&gt;"&amp;$K414,nrES_Att,"&lt;=2",nrES_Raw,"&gt;=0")=0,"Yes","No"))))</f>
        <v/>
      </c>
      <c r="Q414" s="17">
        <f>IF($C414="","",IF($L414="","",IF(AND($K414=1,ISNUMBER($L414),$L414&lt;$J414,COUNTIFS(nrES_PID,$D414,nrES_Code,$F414,nrES_Att,2,nrES_Raw,"&gt;=0")=0),"Yes","No")))</f>
        <v/>
      </c>
      <c r="R414" s="17">
        <f>IF($C414="","",IF($L414="","",IF(AND(N($K414)&gt;=2,ISNUMBER($L414),$L414&lt;$J414),"Yes","No")))</f>
        <v/>
      </c>
      <c r="S414" s="18" t="n"/>
      <c r="T414" s="19">
        <f>IF(OR($C414="",$L414="",$K414&lt;&gt;1,NOT(ISNUMBER($L414)),$L414&gt;=$J414),"",IF($S414="","(enter date)",_xlfn.LET(_xlpm.dn,_xlfn.XLOOKUP($S414,nrCDdate,nrCDnum,"",1),IF(_xlpm.dn="","(after last class day)",_xlfn.LET(_xlpm.dd,_xlfn.XLOOKUP(_xlpm.dn+cfgRetestClassDays,nrCDnum,nrCDdate,""),_xlpm.ok,_xlfn.XLOOKUP(_xlpm.dn+cfgRetestClassDays,nrCDnum,nrCDinsession,"No"),IF(OR(_xlpm.dd="",_xlpm.ok&lt;&gt;"Yes"),"(after last class day)",_xlpm.dd))))))</f>
        <v/>
      </c>
      <c r="U414" s="17">
        <f>IF($C414="","",IF(AND($Y414="Excused",$L414="",N($K414)&lt;=1),"EXCUSED - 1st attempt pending",IF(OR($L414="",$K414&lt;&gt;1,NOT(ISNUMBER($L414)),$L414&gt;=$J414),"",IF(COUNTIFS(nrES_PID,$D414,nrES_Code,$F414,nrES_Att,2,nrES_Raw,"&gt;=0")&gt;0,IF(IFERROR(_xlfn.MINIFS(nrES_Date,nrES_PID,$D414,nrES_Code,$F414,nrES_Att,2,nrES_Raw,"&gt;=0",nrES_Date,"&gt;0"),0)=0,"RETEST UNDATED",IF(NOT(ISNUMBER($T414)),"RETEST DATE UNCHECKED",IF(_xlfn.MINIFS(nrES_Date,nrES_PID,$D414,nrES_Code,$F414,nrES_Att,2,nrES_Raw,"&gt;=0",nrES_Date,"&gt;0")&gt;$T414,"LATE RETEST "&amp;TEXT(_xlfn.MINIFS(nrES_Date,nrES_PID,$D414,nrES_Code,$F414,nrES_Att,2,nrES_Raw,"&gt;=0",nrES_Date,"&gt;0"),"mm/dd")&amp;" (due "&amp;TEXT($T414,"mm/dd")&amp;")","Retested"))),IF(NOT(ISNUMBER($T414)),"CHECK DATE",IF(TODAY()&gt;$T414,"OVERDUE","Due "&amp;TEXT($T414,"mm/dd")))))))</f>
        <v/>
      </c>
      <c r="V414" s="16" t="n"/>
      <c r="W414" s="16" t="n"/>
      <c r="X414" s="17">
        <f>IF($C414="","",IF(AND($L414&lt;&gt;"",NOT(ISNUMBER($L414))),"RAW SCORE NOT A NUMBER",IF(AND(ISNUMBER($L414),OR($L414&lt;0,$L414&gt;100)),"RAW SCORE OUT OF RANGE",IF(AND($Y414="Unexcused",OR($L414="",NOT(ISNUMBER($L414)),$L414&lt;&gt;0)),"UNEXCUSED ABSENCE MUST RECORD 0",IF(COUNTIF(nrES_RecID,$B414)&gt;1,"DUPLICATE RECORD",IF(N($K414)&gt;2,"ATTEMPT 3+ NOT ALLOWED - policy 300.5 permits one retest per exam; this row records nothing",IF(AND($K414=2,COUNTIFS(nrES_PID,$D414,nrES_Code,$F414,nrES_Att,1)=0),"ATTEMPT 2 WITHOUT ATTEMPT 1",IF(AND($K414=2,$L414=""),"RETEST ROW HAS NO SCORE",IF(AND($H414="Final",$L414&lt;&gt;"",IFERROR(INDEX(nrCKfinalExamElig,MATCH($D414,rngCadetPIDs,0)),"")="No"),"FINAL EXAM AFTER FAILED FINAL PT (500.1.H)",IF(AND($K414=2,ISNUMBER($L414),COUNTIFS(nrES_PID,$D414,nrES_Code,$F414,nrES_Att,1)&gt;0,SUMIFS(nrES_Raw,nrES_PID,$D414,nrES_Code,$F414,nrES_Att,1)&gt;=$J414),"RETEST AFTER A PASSING FIRST ATTEMPT","OK"))))))))))</f>
        <v/>
      </c>
      <c r="Y414" s="16" t="n"/>
    </row>
    <row r="415">
      <c r="B415" s="17">
        <f>IF($C415="","",$D415&amp;"-"&amp;$F415&amp;"-"&amp;$K415)</f>
        <v/>
      </c>
      <c r="C415" s="16" t="n"/>
      <c r="D415" s="17">
        <f>IF($C415="","",IFERROR(INDEX(rngCadetPIDs,MATCH($C415,rngCadetNames,0)),"?"))</f>
        <v/>
      </c>
      <c r="E415" s="17">
        <f>IF($D415="","",IFERROR(INDEX(nrCadetAgency,MATCH($D415,rngCadetPIDs,0)),""))</f>
        <v/>
      </c>
      <c r="F415" s="16" t="n"/>
      <c r="G415" s="17">
        <f>IF($F415="","",IFERROR(INDEX(rngEPname,MATCH($F415,rngEPcode,0)),"?"))</f>
        <v/>
      </c>
      <c r="H415" s="17">
        <f>IF($F415="","",IFERROR(INDEX(rngEPtype,MATCH($F415,rngEPcode,0)),"?"))</f>
        <v/>
      </c>
      <c r="I415" s="17">
        <f>IF($F415="","",IFERROR(INDEX(rngEPseq,MATCH($F415,rngEPcode,0)),""))</f>
        <v/>
      </c>
      <c r="J415" s="17">
        <f>IF($F415="","",IFERROR(INDEX(rngEPpass,MATCH($F415,rngEPcode,0)),cfgPassingScore))</f>
        <v/>
      </c>
      <c r="K415" s="16" t="n"/>
      <c r="L415" s="16" t="n"/>
      <c r="M415" s="17">
        <f>IF($C415="","",IF($L415="","",IF(NOT(ISNUMBER($L415)),$L415,IF(N($K415)&gt;2,"",IF($K415=1,IF(COUNTIFS(nrES_PID,$D415,nrES_Code,$F415,nrES_Att,2,nrES_Raw,"&gt;=0")&gt;0,"",$L415),IF($L415&gt;=$J415,MAX($J415,cfgRetakeRecordedCap),IF(COUNTIFS(nrES_PID,$D415,nrES_Code,$F415,nrES_Att,1)=0,$L415,SUMIFS(nrES_Raw,nrES_PID,$D415,nrES_Code,$F415,nrES_Att,1))))))))</f>
        <v/>
      </c>
      <c r="N415" s="17">
        <f>IF($C415="","",IF($L415="","",IF(NOT(ISNUMBER($L415)),"(not a score)",IF($L415&gt;=$J415,"Yes","No"))))</f>
        <v/>
      </c>
      <c r="O415" s="17">
        <f>IF($C415="","",IF($M415="","",IF(NOT(ISNUMBER($M415)),"(not a score)",IF($M415&gt;=$J415,"Yes","No"))))</f>
        <v/>
      </c>
      <c r="P415" s="17">
        <f>IF($C415="","",IF($K415="","",IF(N($K415)&gt;2,"No",IF(COUNTIFS(nrES_PID,$D415,nrES_Code,$F415,nrES_Att,"&gt;"&amp;$K415,nrES_Att,"&lt;=2",nrES_Raw,"&gt;=0")=0,"Yes","No"))))</f>
        <v/>
      </c>
      <c r="Q415" s="17">
        <f>IF($C415="","",IF($L415="","",IF(AND($K415=1,ISNUMBER($L415),$L415&lt;$J415,COUNTIFS(nrES_PID,$D415,nrES_Code,$F415,nrES_Att,2,nrES_Raw,"&gt;=0")=0),"Yes","No")))</f>
        <v/>
      </c>
      <c r="R415" s="17">
        <f>IF($C415="","",IF($L415="","",IF(AND(N($K415)&gt;=2,ISNUMBER($L415),$L415&lt;$J415),"Yes","No")))</f>
        <v/>
      </c>
      <c r="S415" s="18" t="n"/>
      <c r="T415" s="19">
        <f>IF(OR($C415="",$L415="",$K415&lt;&gt;1,NOT(ISNUMBER($L415)),$L415&gt;=$J415),"",IF($S415="","(enter date)",_xlfn.LET(_xlpm.dn,_xlfn.XLOOKUP($S415,nrCDdate,nrCDnum,"",1),IF(_xlpm.dn="","(after last class day)",_xlfn.LET(_xlpm.dd,_xlfn.XLOOKUP(_xlpm.dn+cfgRetestClassDays,nrCDnum,nrCDdate,""),_xlpm.ok,_xlfn.XLOOKUP(_xlpm.dn+cfgRetestClassDays,nrCDnum,nrCDinsession,"No"),IF(OR(_xlpm.dd="",_xlpm.ok&lt;&gt;"Yes"),"(after last class day)",_xlpm.dd))))))</f>
        <v/>
      </c>
      <c r="U415" s="17">
        <f>IF($C415="","",IF(AND($Y415="Excused",$L415="",N($K415)&lt;=1),"EXCUSED - 1st attempt pending",IF(OR($L415="",$K415&lt;&gt;1,NOT(ISNUMBER($L415)),$L415&gt;=$J415),"",IF(COUNTIFS(nrES_PID,$D415,nrES_Code,$F415,nrES_Att,2,nrES_Raw,"&gt;=0")&gt;0,IF(IFERROR(_xlfn.MINIFS(nrES_Date,nrES_PID,$D415,nrES_Code,$F415,nrES_Att,2,nrES_Raw,"&gt;=0",nrES_Date,"&gt;0"),0)=0,"RETEST UNDATED",IF(NOT(ISNUMBER($T415)),"RETEST DATE UNCHECKED",IF(_xlfn.MINIFS(nrES_Date,nrES_PID,$D415,nrES_Code,$F415,nrES_Att,2,nrES_Raw,"&gt;=0",nrES_Date,"&gt;0")&gt;$T415,"LATE RETEST "&amp;TEXT(_xlfn.MINIFS(nrES_Date,nrES_PID,$D415,nrES_Code,$F415,nrES_Att,2,nrES_Raw,"&gt;=0",nrES_Date,"&gt;0"),"mm/dd")&amp;" (due "&amp;TEXT($T415,"mm/dd")&amp;")","Retested"))),IF(NOT(ISNUMBER($T415)),"CHECK DATE",IF(TODAY()&gt;$T415,"OVERDUE","Due "&amp;TEXT($T415,"mm/dd")))))))</f>
        <v/>
      </c>
      <c r="V415" s="16" t="n"/>
      <c r="W415" s="16" t="n"/>
      <c r="X415" s="17">
        <f>IF($C415="","",IF(AND($L415&lt;&gt;"",NOT(ISNUMBER($L415))),"RAW SCORE NOT A NUMBER",IF(AND(ISNUMBER($L415),OR($L415&lt;0,$L415&gt;100)),"RAW SCORE OUT OF RANGE",IF(AND($Y415="Unexcused",OR($L415="",NOT(ISNUMBER($L415)),$L415&lt;&gt;0)),"UNEXCUSED ABSENCE MUST RECORD 0",IF(COUNTIF(nrES_RecID,$B415)&gt;1,"DUPLICATE RECORD",IF(N($K415)&gt;2,"ATTEMPT 3+ NOT ALLOWED - policy 300.5 permits one retest per exam; this row records nothing",IF(AND($K415=2,COUNTIFS(nrES_PID,$D415,nrES_Code,$F415,nrES_Att,1)=0),"ATTEMPT 2 WITHOUT ATTEMPT 1",IF(AND($K415=2,$L415=""),"RETEST ROW HAS NO SCORE",IF(AND($H415="Final",$L415&lt;&gt;"",IFERROR(INDEX(nrCKfinalExamElig,MATCH($D415,rngCadetPIDs,0)),"")="No"),"FINAL EXAM AFTER FAILED FINAL PT (500.1.H)",IF(AND($K415=2,ISNUMBER($L415),COUNTIFS(nrES_PID,$D415,nrES_Code,$F415,nrES_Att,1)&gt;0,SUMIFS(nrES_Raw,nrES_PID,$D415,nrES_Code,$F415,nrES_Att,1)&gt;=$J415),"RETEST AFTER A PASSING FIRST ATTEMPT","OK"))))))))))</f>
        <v/>
      </c>
      <c r="Y415" s="16" t="n"/>
    </row>
    <row r="416">
      <c r="B416" s="17">
        <f>IF($C416="","",$D416&amp;"-"&amp;$F416&amp;"-"&amp;$K416)</f>
        <v/>
      </c>
      <c r="C416" s="16" t="n"/>
      <c r="D416" s="17">
        <f>IF($C416="","",IFERROR(INDEX(rngCadetPIDs,MATCH($C416,rngCadetNames,0)),"?"))</f>
        <v/>
      </c>
      <c r="E416" s="17">
        <f>IF($D416="","",IFERROR(INDEX(nrCadetAgency,MATCH($D416,rngCadetPIDs,0)),""))</f>
        <v/>
      </c>
      <c r="F416" s="16" t="n"/>
      <c r="G416" s="17">
        <f>IF($F416="","",IFERROR(INDEX(rngEPname,MATCH($F416,rngEPcode,0)),"?"))</f>
        <v/>
      </c>
      <c r="H416" s="17">
        <f>IF($F416="","",IFERROR(INDEX(rngEPtype,MATCH($F416,rngEPcode,0)),"?"))</f>
        <v/>
      </c>
      <c r="I416" s="17">
        <f>IF($F416="","",IFERROR(INDEX(rngEPseq,MATCH($F416,rngEPcode,0)),""))</f>
        <v/>
      </c>
      <c r="J416" s="17">
        <f>IF($F416="","",IFERROR(INDEX(rngEPpass,MATCH($F416,rngEPcode,0)),cfgPassingScore))</f>
        <v/>
      </c>
      <c r="K416" s="16" t="n"/>
      <c r="L416" s="16" t="n"/>
      <c r="M416" s="17">
        <f>IF($C416="","",IF($L416="","",IF(NOT(ISNUMBER($L416)),$L416,IF(N($K416)&gt;2,"",IF($K416=1,IF(COUNTIFS(nrES_PID,$D416,nrES_Code,$F416,nrES_Att,2,nrES_Raw,"&gt;=0")&gt;0,"",$L416),IF($L416&gt;=$J416,MAX($J416,cfgRetakeRecordedCap),IF(COUNTIFS(nrES_PID,$D416,nrES_Code,$F416,nrES_Att,1)=0,$L416,SUMIFS(nrES_Raw,nrES_PID,$D416,nrES_Code,$F416,nrES_Att,1))))))))</f>
        <v/>
      </c>
      <c r="N416" s="17">
        <f>IF($C416="","",IF($L416="","",IF(NOT(ISNUMBER($L416)),"(not a score)",IF($L416&gt;=$J416,"Yes","No"))))</f>
        <v/>
      </c>
      <c r="O416" s="17">
        <f>IF($C416="","",IF($M416="","",IF(NOT(ISNUMBER($M416)),"(not a score)",IF($M416&gt;=$J416,"Yes","No"))))</f>
        <v/>
      </c>
      <c r="P416" s="17">
        <f>IF($C416="","",IF($K416="","",IF(N($K416)&gt;2,"No",IF(COUNTIFS(nrES_PID,$D416,nrES_Code,$F416,nrES_Att,"&gt;"&amp;$K416,nrES_Att,"&lt;=2",nrES_Raw,"&gt;=0")=0,"Yes","No"))))</f>
        <v/>
      </c>
      <c r="Q416" s="17">
        <f>IF($C416="","",IF($L416="","",IF(AND($K416=1,ISNUMBER($L416),$L416&lt;$J416,COUNTIFS(nrES_PID,$D416,nrES_Code,$F416,nrES_Att,2,nrES_Raw,"&gt;=0")=0),"Yes","No")))</f>
        <v/>
      </c>
      <c r="R416" s="17">
        <f>IF($C416="","",IF($L416="","",IF(AND(N($K416)&gt;=2,ISNUMBER($L416),$L416&lt;$J416),"Yes","No")))</f>
        <v/>
      </c>
      <c r="S416" s="18" t="n"/>
      <c r="T416" s="19">
        <f>IF(OR($C416="",$L416="",$K416&lt;&gt;1,NOT(ISNUMBER($L416)),$L416&gt;=$J416),"",IF($S416="","(enter date)",_xlfn.LET(_xlpm.dn,_xlfn.XLOOKUP($S416,nrCDdate,nrCDnum,"",1),IF(_xlpm.dn="","(after last class day)",_xlfn.LET(_xlpm.dd,_xlfn.XLOOKUP(_xlpm.dn+cfgRetestClassDays,nrCDnum,nrCDdate,""),_xlpm.ok,_xlfn.XLOOKUP(_xlpm.dn+cfgRetestClassDays,nrCDnum,nrCDinsession,"No"),IF(OR(_xlpm.dd="",_xlpm.ok&lt;&gt;"Yes"),"(after last class day)",_xlpm.dd))))))</f>
        <v/>
      </c>
      <c r="U416" s="17">
        <f>IF($C416="","",IF(AND($Y416="Excused",$L416="",N($K416)&lt;=1),"EXCUSED - 1st attempt pending",IF(OR($L416="",$K416&lt;&gt;1,NOT(ISNUMBER($L416)),$L416&gt;=$J416),"",IF(COUNTIFS(nrES_PID,$D416,nrES_Code,$F416,nrES_Att,2,nrES_Raw,"&gt;=0")&gt;0,IF(IFERROR(_xlfn.MINIFS(nrES_Date,nrES_PID,$D416,nrES_Code,$F416,nrES_Att,2,nrES_Raw,"&gt;=0",nrES_Date,"&gt;0"),0)=0,"RETEST UNDATED",IF(NOT(ISNUMBER($T416)),"RETEST DATE UNCHECKED",IF(_xlfn.MINIFS(nrES_Date,nrES_PID,$D416,nrES_Code,$F416,nrES_Att,2,nrES_Raw,"&gt;=0",nrES_Date,"&gt;0")&gt;$T416,"LATE RETEST "&amp;TEXT(_xlfn.MINIFS(nrES_Date,nrES_PID,$D416,nrES_Code,$F416,nrES_Att,2,nrES_Raw,"&gt;=0",nrES_Date,"&gt;0"),"mm/dd")&amp;" (due "&amp;TEXT($T416,"mm/dd")&amp;")","Retested"))),IF(NOT(ISNUMBER($T416)),"CHECK DATE",IF(TODAY()&gt;$T416,"OVERDUE","Due "&amp;TEXT($T416,"mm/dd")))))))</f>
        <v/>
      </c>
      <c r="V416" s="16" t="n"/>
      <c r="W416" s="16" t="n"/>
      <c r="X416" s="17">
        <f>IF($C416="","",IF(AND($L416&lt;&gt;"",NOT(ISNUMBER($L416))),"RAW SCORE NOT A NUMBER",IF(AND(ISNUMBER($L416),OR($L416&lt;0,$L416&gt;100)),"RAW SCORE OUT OF RANGE",IF(AND($Y416="Unexcused",OR($L416="",NOT(ISNUMBER($L416)),$L416&lt;&gt;0)),"UNEXCUSED ABSENCE MUST RECORD 0",IF(COUNTIF(nrES_RecID,$B416)&gt;1,"DUPLICATE RECORD",IF(N($K416)&gt;2,"ATTEMPT 3+ NOT ALLOWED - policy 300.5 permits one retest per exam; this row records nothing",IF(AND($K416=2,COUNTIFS(nrES_PID,$D416,nrES_Code,$F416,nrES_Att,1)=0),"ATTEMPT 2 WITHOUT ATTEMPT 1",IF(AND($K416=2,$L416=""),"RETEST ROW HAS NO SCORE",IF(AND($H416="Final",$L416&lt;&gt;"",IFERROR(INDEX(nrCKfinalExamElig,MATCH($D416,rngCadetPIDs,0)),"")="No"),"FINAL EXAM AFTER FAILED FINAL PT (500.1.H)",IF(AND($K416=2,ISNUMBER($L416),COUNTIFS(nrES_PID,$D416,nrES_Code,$F416,nrES_Att,1)&gt;0,SUMIFS(nrES_Raw,nrES_PID,$D416,nrES_Code,$F416,nrES_Att,1)&gt;=$J416),"RETEST AFTER A PASSING FIRST ATTEMPT","OK"))))))))))</f>
        <v/>
      </c>
      <c r="Y416" s="16" t="n"/>
    </row>
    <row r="417">
      <c r="B417" s="17">
        <f>IF($C417="","",$D417&amp;"-"&amp;$F417&amp;"-"&amp;$K417)</f>
        <v/>
      </c>
      <c r="C417" s="16" t="n"/>
      <c r="D417" s="17">
        <f>IF($C417="","",IFERROR(INDEX(rngCadetPIDs,MATCH($C417,rngCadetNames,0)),"?"))</f>
        <v/>
      </c>
      <c r="E417" s="17">
        <f>IF($D417="","",IFERROR(INDEX(nrCadetAgency,MATCH($D417,rngCadetPIDs,0)),""))</f>
        <v/>
      </c>
      <c r="F417" s="16" t="n"/>
      <c r="G417" s="17">
        <f>IF($F417="","",IFERROR(INDEX(rngEPname,MATCH($F417,rngEPcode,0)),"?"))</f>
        <v/>
      </c>
      <c r="H417" s="17">
        <f>IF($F417="","",IFERROR(INDEX(rngEPtype,MATCH($F417,rngEPcode,0)),"?"))</f>
        <v/>
      </c>
      <c r="I417" s="17">
        <f>IF($F417="","",IFERROR(INDEX(rngEPseq,MATCH($F417,rngEPcode,0)),""))</f>
        <v/>
      </c>
      <c r="J417" s="17">
        <f>IF($F417="","",IFERROR(INDEX(rngEPpass,MATCH($F417,rngEPcode,0)),cfgPassingScore))</f>
        <v/>
      </c>
      <c r="K417" s="16" t="n"/>
      <c r="L417" s="16" t="n"/>
      <c r="M417" s="17">
        <f>IF($C417="","",IF($L417="","",IF(NOT(ISNUMBER($L417)),$L417,IF(N($K417)&gt;2,"",IF($K417=1,IF(COUNTIFS(nrES_PID,$D417,nrES_Code,$F417,nrES_Att,2,nrES_Raw,"&gt;=0")&gt;0,"",$L417),IF($L417&gt;=$J417,MAX($J417,cfgRetakeRecordedCap),IF(COUNTIFS(nrES_PID,$D417,nrES_Code,$F417,nrES_Att,1)=0,$L417,SUMIFS(nrES_Raw,nrES_PID,$D417,nrES_Code,$F417,nrES_Att,1))))))))</f>
        <v/>
      </c>
      <c r="N417" s="17">
        <f>IF($C417="","",IF($L417="","",IF(NOT(ISNUMBER($L417)),"(not a score)",IF($L417&gt;=$J417,"Yes","No"))))</f>
        <v/>
      </c>
      <c r="O417" s="17">
        <f>IF($C417="","",IF($M417="","",IF(NOT(ISNUMBER($M417)),"(not a score)",IF($M417&gt;=$J417,"Yes","No"))))</f>
        <v/>
      </c>
      <c r="P417" s="17">
        <f>IF($C417="","",IF($K417="","",IF(N($K417)&gt;2,"No",IF(COUNTIFS(nrES_PID,$D417,nrES_Code,$F417,nrES_Att,"&gt;"&amp;$K417,nrES_Att,"&lt;=2",nrES_Raw,"&gt;=0")=0,"Yes","No"))))</f>
        <v/>
      </c>
      <c r="Q417" s="17">
        <f>IF($C417="","",IF($L417="","",IF(AND($K417=1,ISNUMBER($L417),$L417&lt;$J417,COUNTIFS(nrES_PID,$D417,nrES_Code,$F417,nrES_Att,2,nrES_Raw,"&gt;=0")=0),"Yes","No")))</f>
        <v/>
      </c>
      <c r="R417" s="17">
        <f>IF($C417="","",IF($L417="","",IF(AND(N($K417)&gt;=2,ISNUMBER($L417),$L417&lt;$J417),"Yes","No")))</f>
        <v/>
      </c>
      <c r="S417" s="18" t="n"/>
      <c r="T417" s="19">
        <f>IF(OR($C417="",$L417="",$K417&lt;&gt;1,NOT(ISNUMBER($L417)),$L417&gt;=$J417),"",IF($S417="","(enter date)",_xlfn.LET(_xlpm.dn,_xlfn.XLOOKUP($S417,nrCDdate,nrCDnum,"",1),IF(_xlpm.dn="","(after last class day)",_xlfn.LET(_xlpm.dd,_xlfn.XLOOKUP(_xlpm.dn+cfgRetestClassDays,nrCDnum,nrCDdate,""),_xlpm.ok,_xlfn.XLOOKUP(_xlpm.dn+cfgRetestClassDays,nrCDnum,nrCDinsession,"No"),IF(OR(_xlpm.dd="",_xlpm.ok&lt;&gt;"Yes"),"(after last class day)",_xlpm.dd))))))</f>
        <v/>
      </c>
      <c r="U417" s="17">
        <f>IF($C417="","",IF(AND($Y417="Excused",$L417="",N($K417)&lt;=1),"EXCUSED - 1st attempt pending",IF(OR($L417="",$K417&lt;&gt;1,NOT(ISNUMBER($L417)),$L417&gt;=$J417),"",IF(COUNTIFS(nrES_PID,$D417,nrES_Code,$F417,nrES_Att,2,nrES_Raw,"&gt;=0")&gt;0,IF(IFERROR(_xlfn.MINIFS(nrES_Date,nrES_PID,$D417,nrES_Code,$F417,nrES_Att,2,nrES_Raw,"&gt;=0",nrES_Date,"&gt;0"),0)=0,"RETEST UNDATED",IF(NOT(ISNUMBER($T417)),"RETEST DATE UNCHECKED",IF(_xlfn.MINIFS(nrES_Date,nrES_PID,$D417,nrES_Code,$F417,nrES_Att,2,nrES_Raw,"&gt;=0",nrES_Date,"&gt;0")&gt;$T417,"LATE RETEST "&amp;TEXT(_xlfn.MINIFS(nrES_Date,nrES_PID,$D417,nrES_Code,$F417,nrES_Att,2,nrES_Raw,"&gt;=0",nrES_Date,"&gt;0"),"mm/dd")&amp;" (due "&amp;TEXT($T417,"mm/dd")&amp;")","Retested"))),IF(NOT(ISNUMBER($T417)),"CHECK DATE",IF(TODAY()&gt;$T417,"OVERDUE","Due "&amp;TEXT($T417,"mm/dd")))))))</f>
        <v/>
      </c>
      <c r="V417" s="16" t="n"/>
      <c r="W417" s="16" t="n"/>
      <c r="X417" s="17">
        <f>IF($C417="","",IF(AND($L417&lt;&gt;"",NOT(ISNUMBER($L417))),"RAW SCORE NOT A NUMBER",IF(AND(ISNUMBER($L417),OR($L417&lt;0,$L417&gt;100)),"RAW SCORE OUT OF RANGE",IF(AND($Y417="Unexcused",OR($L417="",NOT(ISNUMBER($L417)),$L417&lt;&gt;0)),"UNEXCUSED ABSENCE MUST RECORD 0",IF(COUNTIF(nrES_RecID,$B417)&gt;1,"DUPLICATE RECORD",IF(N($K417)&gt;2,"ATTEMPT 3+ NOT ALLOWED - policy 300.5 permits one retest per exam; this row records nothing",IF(AND($K417=2,COUNTIFS(nrES_PID,$D417,nrES_Code,$F417,nrES_Att,1)=0),"ATTEMPT 2 WITHOUT ATTEMPT 1",IF(AND($K417=2,$L417=""),"RETEST ROW HAS NO SCORE",IF(AND($H417="Final",$L417&lt;&gt;"",IFERROR(INDEX(nrCKfinalExamElig,MATCH($D417,rngCadetPIDs,0)),"")="No"),"FINAL EXAM AFTER FAILED FINAL PT (500.1.H)",IF(AND($K417=2,ISNUMBER($L417),COUNTIFS(nrES_PID,$D417,nrES_Code,$F417,nrES_Att,1)&gt;0,SUMIFS(nrES_Raw,nrES_PID,$D417,nrES_Code,$F417,nrES_Att,1)&gt;=$J417),"RETEST AFTER A PASSING FIRST ATTEMPT","OK"))))))))))</f>
        <v/>
      </c>
      <c r="Y417" s="16" t="n"/>
    </row>
    <row r="418">
      <c r="B418" s="17">
        <f>IF($C418="","",$D418&amp;"-"&amp;$F418&amp;"-"&amp;$K418)</f>
        <v/>
      </c>
      <c r="C418" s="16" t="n"/>
      <c r="D418" s="17">
        <f>IF($C418="","",IFERROR(INDEX(rngCadetPIDs,MATCH($C418,rngCadetNames,0)),"?"))</f>
        <v/>
      </c>
      <c r="E418" s="17">
        <f>IF($D418="","",IFERROR(INDEX(nrCadetAgency,MATCH($D418,rngCadetPIDs,0)),""))</f>
        <v/>
      </c>
      <c r="F418" s="16" t="n"/>
      <c r="G418" s="17">
        <f>IF($F418="","",IFERROR(INDEX(rngEPname,MATCH($F418,rngEPcode,0)),"?"))</f>
        <v/>
      </c>
      <c r="H418" s="17">
        <f>IF($F418="","",IFERROR(INDEX(rngEPtype,MATCH($F418,rngEPcode,0)),"?"))</f>
        <v/>
      </c>
      <c r="I418" s="17">
        <f>IF($F418="","",IFERROR(INDEX(rngEPseq,MATCH($F418,rngEPcode,0)),""))</f>
        <v/>
      </c>
      <c r="J418" s="17">
        <f>IF($F418="","",IFERROR(INDEX(rngEPpass,MATCH($F418,rngEPcode,0)),cfgPassingScore))</f>
        <v/>
      </c>
      <c r="K418" s="16" t="n"/>
      <c r="L418" s="16" t="n"/>
      <c r="M418" s="17">
        <f>IF($C418="","",IF($L418="","",IF(NOT(ISNUMBER($L418)),$L418,IF(N($K418)&gt;2,"",IF($K418=1,IF(COUNTIFS(nrES_PID,$D418,nrES_Code,$F418,nrES_Att,2,nrES_Raw,"&gt;=0")&gt;0,"",$L418),IF($L418&gt;=$J418,MAX($J418,cfgRetakeRecordedCap),IF(COUNTIFS(nrES_PID,$D418,nrES_Code,$F418,nrES_Att,1)=0,$L418,SUMIFS(nrES_Raw,nrES_PID,$D418,nrES_Code,$F418,nrES_Att,1))))))))</f>
        <v/>
      </c>
      <c r="N418" s="17">
        <f>IF($C418="","",IF($L418="","",IF(NOT(ISNUMBER($L418)),"(not a score)",IF($L418&gt;=$J418,"Yes","No"))))</f>
        <v/>
      </c>
      <c r="O418" s="17">
        <f>IF($C418="","",IF($M418="","",IF(NOT(ISNUMBER($M418)),"(not a score)",IF($M418&gt;=$J418,"Yes","No"))))</f>
        <v/>
      </c>
      <c r="P418" s="17">
        <f>IF($C418="","",IF($K418="","",IF(N($K418)&gt;2,"No",IF(COUNTIFS(nrES_PID,$D418,nrES_Code,$F418,nrES_Att,"&gt;"&amp;$K418,nrES_Att,"&lt;=2",nrES_Raw,"&gt;=0")=0,"Yes","No"))))</f>
        <v/>
      </c>
      <c r="Q418" s="17">
        <f>IF($C418="","",IF($L418="","",IF(AND($K418=1,ISNUMBER($L418),$L418&lt;$J418,COUNTIFS(nrES_PID,$D418,nrES_Code,$F418,nrES_Att,2,nrES_Raw,"&gt;=0")=0),"Yes","No")))</f>
        <v/>
      </c>
      <c r="R418" s="17">
        <f>IF($C418="","",IF($L418="","",IF(AND(N($K418)&gt;=2,ISNUMBER($L418),$L418&lt;$J418),"Yes","No")))</f>
        <v/>
      </c>
      <c r="S418" s="18" t="n"/>
      <c r="T418" s="19">
        <f>IF(OR($C418="",$L418="",$K418&lt;&gt;1,NOT(ISNUMBER($L418)),$L418&gt;=$J418),"",IF($S418="","(enter date)",_xlfn.LET(_xlpm.dn,_xlfn.XLOOKUP($S418,nrCDdate,nrCDnum,"",1),IF(_xlpm.dn="","(after last class day)",_xlfn.LET(_xlpm.dd,_xlfn.XLOOKUP(_xlpm.dn+cfgRetestClassDays,nrCDnum,nrCDdate,""),_xlpm.ok,_xlfn.XLOOKUP(_xlpm.dn+cfgRetestClassDays,nrCDnum,nrCDinsession,"No"),IF(OR(_xlpm.dd="",_xlpm.ok&lt;&gt;"Yes"),"(after last class day)",_xlpm.dd))))))</f>
        <v/>
      </c>
      <c r="U418" s="17">
        <f>IF($C418="","",IF(AND($Y418="Excused",$L418="",N($K418)&lt;=1),"EXCUSED - 1st attempt pending",IF(OR($L418="",$K418&lt;&gt;1,NOT(ISNUMBER($L418)),$L418&gt;=$J418),"",IF(COUNTIFS(nrES_PID,$D418,nrES_Code,$F418,nrES_Att,2,nrES_Raw,"&gt;=0")&gt;0,IF(IFERROR(_xlfn.MINIFS(nrES_Date,nrES_PID,$D418,nrES_Code,$F418,nrES_Att,2,nrES_Raw,"&gt;=0",nrES_Date,"&gt;0"),0)=0,"RETEST UNDATED",IF(NOT(ISNUMBER($T418)),"RETEST DATE UNCHECKED",IF(_xlfn.MINIFS(nrES_Date,nrES_PID,$D418,nrES_Code,$F418,nrES_Att,2,nrES_Raw,"&gt;=0",nrES_Date,"&gt;0")&gt;$T418,"LATE RETEST "&amp;TEXT(_xlfn.MINIFS(nrES_Date,nrES_PID,$D418,nrES_Code,$F418,nrES_Att,2,nrES_Raw,"&gt;=0",nrES_Date,"&gt;0"),"mm/dd")&amp;" (due "&amp;TEXT($T418,"mm/dd")&amp;")","Retested"))),IF(NOT(ISNUMBER($T418)),"CHECK DATE",IF(TODAY()&gt;$T418,"OVERDUE","Due "&amp;TEXT($T418,"mm/dd")))))))</f>
        <v/>
      </c>
      <c r="V418" s="16" t="n"/>
      <c r="W418" s="16" t="n"/>
      <c r="X418" s="17">
        <f>IF($C418="","",IF(AND($L418&lt;&gt;"",NOT(ISNUMBER($L418))),"RAW SCORE NOT A NUMBER",IF(AND(ISNUMBER($L418),OR($L418&lt;0,$L418&gt;100)),"RAW SCORE OUT OF RANGE",IF(AND($Y418="Unexcused",OR($L418="",NOT(ISNUMBER($L418)),$L418&lt;&gt;0)),"UNEXCUSED ABSENCE MUST RECORD 0",IF(COUNTIF(nrES_RecID,$B418)&gt;1,"DUPLICATE RECORD",IF(N($K418)&gt;2,"ATTEMPT 3+ NOT ALLOWED - policy 300.5 permits one retest per exam; this row records nothing",IF(AND($K418=2,COUNTIFS(nrES_PID,$D418,nrES_Code,$F418,nrES_Att,1)=0),"ATTEMPT 2 WITHOUT ATTEMPT 1",IF(AND($K418=2,$L418=""),"RETEST ROW HAS NO SCORE",IF(AND($H418="Final",$L418&lt;&gt;"",IFERROR(INDEX(nrCKfinalExamElig,MATCH($D418,rngCadetPIDs,0)),"")="No"),"FINAL EXAM AFTER FAILED FINAL PT (500.1.H)",IF(AND($K418=2,ISNUMBER($L418),COUNTIFS(nrES_PID,$D418,nrES_Code,$F418,nrES_Att,1)&gt;0,SUMIFS(nrES_Raw,nrES_PID,$D418,nrES_Code,$F418,nrES_Att,1)&gt;=$J418),"RETEST AFTER A PASSING FIRST ATTEMPT","OK"))))))))))</f>
        <v/>
      </c>
      <c r="Y418" s="16" t="n"/>
    </row>
    <row r="419">
      <c r="B419" s="17">
        <f>IF($C419="","",$D419&amp;"-"&amp;$F419&amp;"-"&amp;$K419)</f>
        <v/>
      </c>
      <c r="C419" s="16" t="n"/>
      <c r="D419" s="17">
        <f>IF($C419="","",IFERROR(INDEX(rngCadetPIDs,MATCH($C419,rngCadetNames,0)),"?"))</f>
        <v/>
      </c>
      <c r="E419" s="17">
        <f>IF($D419="","",IFERROR(INDEX(nrCadetAgency,MATCH($D419,rngCadetPIDs,0)),""))</f>
        <v/>
      </c>
      <c r="F419" s="16" t="n"/>
      <c r="G419" s="17">
        <f>IF($F419="","",IFERROR(INDEX(rngEPname,MATCH($F419,rngEPcode,0)),"?"))</f>
        <v/>
      </c>
      <c r="H419" s="17">
        <f>IF($F419="","",IFERROR(INDEX(rngEPtype,MATCH($F419,rngEPcode,0)),"?"))</f>
        <v/>
      </c>
      <c r="I419" s="17">
        <f>IF($F419="","",IFERROR(INDEX(rngEPseq,MATCH($F419,rngEPcode,0)),""))</f>
        <v/>
      </c>
      <c r="J419" s="17">
        <f>IF($F419="","",IFERROR(INDEX(rngEPpass,MATCH($F419,rngEPcode,0)),cfgPassingScore))</f>
        <v/>
      </c>
      <c r="K419" s="16" t="n"/>
      <c r="L419" s="16" t="n"/>
      <c r="M419" s="17">
        <f>IF($C419="","",IF($L419="","",IF(NOT(ISNUMBER($L419)),$L419,IF(N($K419)&gt;2,"",IF($K419=1,IF(COUNTIFS(nrES_PID,$D419,nrES_Code,$F419,nrES_Att,2,nrES_Raw,"&gt;=0")&gt;0,"",$L419),IF($L419&gt;=$J419,MAX($J419,cfgRetakeRecordedCap),IF(COUNTIFS(nrES_PID,$D419,nrES_Code,$F419,nrES_Att,1)=0,$L419,SUMIFS(nrES_Raw,nrES_PID,$D419,nrES_Code,$F419,nrES_Att,1))))))))</f>
        <v/>
      </c>
      <c r="N419" s="17">
        <f>IF($C419="","",IF($L419="","",IF(NOT(ISNUMBER($L419)),"(not a score)",IF($L419&gt;=$J419,"Yes","No"))))</f>
        <v/>
      </c>
      <c r="O419" s="17">
        <f>IF($C419="","",IF($M419="","",IF(NOT(ISNUMBER($M419)),"(not a score)",IF($M419&gt;=$J419,"Yes","No"))))</f>
        <v/>
      </c>
      <c r="P419" s="17">
        <f>IF($C419="","",IF($K419="","",IF(N($K419)&gt;2,"No",IF(COUNTIFS(nrES_PID,$D419,nrES_Code,$F419,nrES_Att,"&gt;"&amp;$K419,nrES_Att,"&lt;=2",nrES_Raw,"&gt;=0")=0,"Yes","No"))))</f>
        <v/>
      </c>
      <c r="Q419" s="17">
        <f>IF($C419="","",IF($L419="","",IF(AND($K419=1,ISNUMBER($L419),$L419&lt;$J419,COUNTIFS(nrES_PID,$D419,nrES_Code,$F419,nrES_Att,2,nrES_Raw,"&gt;=0")=0),"Yes","No")))</f>
        <v/>
      </c>
      <c r="R419" s="17">
        <f>IF($C419="","",IF($L419="","",IF(AND(N($K419)&gt;=2,ISNUMBER($L419),$L419&lt;$J419),"Yes","No")))</f>
        <v/>
      </c>
      <c r="S419" s="18" t="n"/>
      <c r="T419" s="19">
        <f>IF(OR($C419="",$L419="",$K419&lt;&gt;1,NOT(ISNUMBER($L419)),$L419&gt;=$J419),"",IF($S419="","(enter date)",_xlfn.LET(_xlpm.dn,_xlfn.XLOOKUP($S419,nrCDdate,nrCDnum,"",1),IF(_xlpm.dn="","(after last class day)",_xlfn.LET(_xlpm.dd,_xlfn.XLOOKUP(_xlpm.dn+cfgRetestClassDays,nrCDnum,nrCDdate,""),_xlpm.ok,_xlfn.XLOOKUP(_xlpm.dn+cfgRetestClassDays,nrCDnum,nrCDinsession,"No"),IF(OR(_xlpm.dd="",_xlpm.ok&lt;&gt;"Yes"),"(after last class day)",_xlpm.dd))))))</f>
        <v/>
      </c>
      <c r="U419" s="17">
        <f>IF($C419="","",IF(AND($Y419="Excused",$L419="",N($K419)&lt;=1),"EXCUSED - 1st attempt pending",IF(OR($L419="",$K419&lt;&gt;1,NOT(ISNUMBER($L419)),$L419&gt;=$J419),"",IF(COUNTIFS(nrES_PID,$D419,nrES_Code,$F419,nrES_Att,2,nrES_Raw,"&gt;=0")&gt;0,IF(IFERROR(_xlfn.MINIFS(nrES_Date,nrES_PID,$D419,nrES_Code,$F419,nrES_Att,2,nrES_Raw,"&gt;=0",nrES_Date,"&gt;0"),0)=0,"RETEST UNDATED",IF(NOT(ISNUMBER($T419)),"RETEST DATE UNCHECKED",IF(_xlfn.MINIFS(nrES_Date,nrES_PID,$D419,nrES_Code,$F419,nrES_Att,2,nrES_Raw,"&gt;=0",nrES_Date,"&gt;0")&gt;$T419,"LATE RETEST "&amp;TEXT(_xlfn.MINIFS(nrES_Date,nrES_PID,$D419,nrES_Code,$F419,nrES_Att,2,nrES_Raw,"&gt;=0",nrES_Date,"&gt;0"),"mm/dd")&amp;" (due "&amp;TEXT($T419,"mm/dd")&amp;")","Retested"))),IF(NOT(ISNUMBER($T419)),"CHECK DATE",IF(TODAY()&gt;$T419,"OVERDUE","Due "&amp;TEXT($T419,"mm/dd")))))))</f>
        <v/>
      </c>
      <c r="V419" s="16" t="n"/>
      <c r="W419" s="16" t="n"/>
      <c r="X419" s="17">
        <f>IF($C419="","",IF(AND($L419&lt;&gt;"",NOT(ISNUMBER($L419))),"RAW SCORE NOT A NUMBER",IF(AND(ISNUMBER($L419),OR($L419&lt;0,$L419&gt;100)),"RAW SCORE OUT OF RANGE",IF(AND($Y419="Unexcused",OR($L419="",NOT(ISNUMBER($L419)),$L419&lt;&gt;0)),"UNEXCUSED ABSENCE MUST RECORD 0",IF(COUNTIF(nrES_RecID,$B419)&gt;1,"DUPLICATE RECORD",IF(N($K419)&gt;2,"ATTEMPT 3+ NOT ALLOWED - policy 300.5 permits one retest per exam; this row records nothing",IF(AND($K419=2,COUNTIFS(nrES_PID,$D419,nrES_Code,$F419,nrES_Att,1)=0),"ATTEMPT 2 WITHOUT ATTEMPT 1",IF(AND($K419=2,$L419=""),"RETEST ROW HAS NO SCORE",IF(AND($H419="Final",$L419&lt;&gt;"",IFERROR(INDEX(nrCKfinalExamElig,MATCH($D419,rngCadetPIDs,0)),"")="No"),"FINAL EXAM AFTER FAILED FINAL PT (500.1.H)",IF(AND($K419=2,ISNUMBER($L419),COUNTIFS(nrES_PID,$D419,nrES_Code,$F419,nrES_Att,1)&gt;0,SUMIFS(nrES_Raw,nrES_PID,$D419,nrES_Code,$F419,nrES_Att,1)&gt;=$J419),"RETEST AFTER A PASSING FIRST ATTEMPT","OK"))))))))))</f>
        <v/>
      </c>
      <c r="Y419" s="16" t="n"/>
    </row>
    <row r="420">
      <c r="B420" s="17">
        <f>IF($C420="","",$D420&amp;"-"&amp;$F420&amp;"-"&amp;$K420)</f>
        <v/>
      </c>
      <c r="C420" s="16" t="n"/>
      <c r="D420" s="17">
        <f>IF($C420="","",IFERROR(INDEX(rngCadetPIDs,MATCH($C420,rngCadetNames,0)),"?"))</f>
        <v/>
      </c>
      <c r="E420" s="17">
        <f>IF($D420="","",IFERROR(INDEX(nrCadetAgency,MATCH($D420,rngCadetPIDs,0)),""))</f>
        <v/>
      </c>
      <c r="F420" s="16" t="n"/>
      <c r="G420" s="17">
        <f>IF($F420="","",IFERROR(INDEX(rngEPname,MATCH($F420,rngEPcode,0)),"?"))</f>
        <v/>
      </c>
      <c r="H420" s="17">
        <f>IF($F420="","",IFERROR(INDEX(rngEPtype,MATCH($F420,rngEPcode,0)),"?"))</f>
        <v/>
      </c>
      <c r="I420" s="17">
        <f>IF($F420="","",IFERROR(INDEX(rngEPseq,MATCH($F420,rngEPcode,0)),""))</f>
        <v/>
      </c>
      <c r="J420" s="17">
        <f>IF($F420="","",IFERROR(INDEX(rngEPpass,MATCH($F420,rngEPcode,0)),cfgPassingScore))</f>
        <v/>
      </c>
      <c r="K420" s="16" t="n"/>
      <c r="L420" s="16" t="n"/>
      <c r="M420" s="17">
        <f>IF($C420="","",IF($L420="","",IF(NOT(ISNUMBER($L420)),$L420,IF(N($K420)&gt;2,"",IF($K420=1,IF(COUNTIFS(nrES_PID,$D420,nrES_Code,$F420,nrES_Att,2,nrES_Raw,"&gt;=0")&gt;0,"",$L420),IF($L420&gt;=$J420,MAX($J420,cfgRetakeRecordedCap),IF(COUNTIFS(nrES_PID,$D420,nrES_Code,$F420,nrES_Att,1)=0,$L420,SUMIFS(nrES_Raw,nrES_PID,$D420,nrES_Code,$F420,nrES_Att,1))))))))</f>
        <v/>
      </c>
      <c r="N420" s="17">
        <f>IF($C420="","",IF($L420="","",IF(NOT(ISNUMBER($L420)),"(not a score)",IF($L420&gt;=$J420,"Yes","No"))))</f>
        <v/>
      </c>
      <c r="O420" s="17">
        <f>IF($C420="","",IF($M420="","",IF(NOT(ISNUMBER($M420)),"(not a score)",IF($M420&gt;=$J420,"Yes","No"))))</f>
        <v/>
      </c>
      <c r="P420" s="17">
        <f>IF($C420="","",IF($K420="","",IF(N($K420)&gt;2,"No",IF(COUNTIFS(nrES_PID,$D420,nrES_Code,$F420,nrES_Att,"&gt;"&amp;$K420,nrES_Att,"&lt;=2",nrES_Raw,"&gt;=0")=0,"Yes","No"))))</f>
        <v/>
      </c>
      <c r="Q420" s="17">
        <f>IF($C420="","",IF($L420="","",IF(AND($K420=1,ISNUMBER($L420),$L420&lt;$J420,COUNTIFS(nrES_PID,$D420,nrES_Code,$F420,nrES_Att,2,nrES_Raw,"&gt;=0")=0),"Yes","No")))</f>
        <v/>
      </c>
      <c r="R420" s="17">
        <f>IF($C420="","",IF($L420="","",IF(AND(N($K420)&gt;=2,ISNUMBER($L420),$L420&lt;$J420),"Yes","No")))</f>
        <v/>
      </c>
      <c r="S420" s="18" t="n"/>
      <c r="T420" s="19">
        <f>IF(OR($C420="",$L420="",$K420&lt;&gt;1,NOT(ISNUMBER($L420)),$L420&gt;=$J420),"",IF($S420="","(enter date)",_xlfn.LET(_xlpm.dn,_xlfn.XLOOKUP($S420,nrCDdate,nrCDnum,"",1),IF(_xlpm.dn="","(after last class day)",_xlfn.LET(_xlpm.dd,_xlfn.XLOOKUP(_xlpm.dn+cfgRetestClassDays,nrCDnum,nrCDdate,""),_xlpm.ok,_xlfn.XLOOKUP(_xlpm.dn+cfgRetestClassDays,nrCDnum,nrCDinsession,"No"),IF(OR(_xlpm.dd="",_xlpm.ok&lt;&gt;"Yes"),"(after last class day)",_xlpm.dd))))))</f>
        <v/>
      </c>
      <c r="U420" s="17">
        <f>IF($C420="","",IF(AND($Y420="Excused",$L420="",N($K420)&lt;=1),"EXCUSED - 1st attempt pending",IF(OR($L420="",$K420&lt;&gt;1,NOT(ISNUMBER($L420)),$L420&gt;=$J420),"",IF(COUNTIFS(nrES_PID,$D420,nrES_Code,$F420,nrES_Att,2,nrES_Raw,"&gt;=0")&gt;0,IF(IFERROR(_xlfn.MINIFS(nrES_Date,nrES_PID,$D420,nrES_Code,$F420,nrES_Att,2,nrES_Raw,"&gt;=0",nrES_Date,"&gt;0"),0)=0,"RETEST UNDATED",IF(NOT(ISNUMBER($T420)),"RETEST DATE UNCHECKED",IF(_xlfn.MINIFS(nrES_Date,nrES_PID,$D420,nrES_Code,$F420,nrES_Att,2,nrES_Raw,"&gt;=0",nrES_Date,"&gt;0")&gt;$T420,"LATE RETEST "&amp;TEXT(_xlfn.MINIFS(nrES_Date,nrES_PID,$D420,nrES_Code,$F420,nrES_Att,2,nrES_Raw,"&gt;=0",nrES_Date,"&gt;0"),"mm/dd")&amp;" (due "&amp;TEXT($T420,"mm/dd")&amp;")","Retested"))),IF(NOT(ISNUMBER($T420)),"CHECK DATE",IF(TODAY()&gt;$T420,"OVERDUE","Due "&amp;TEXT($T420,"mm/dd")))))))</f>
        <v/>
      </c>
      <c r="V420" s="16" t="n"/>
      <c r="W420" s="16" t="n"/>
      <c r="X420" s="17">
        <f>IF($C420="","",IF(AND($L420&lt;&gt;"",NOT(ISNUMBER($L420))),"RAW SCORE NOT A NUMBER",IF(AND(ISNUMBER($L420),OR($L420&lt;0,$L420&gt;100)),"RAW SCORE OUT OF RANGE",IF(AND($Y420="Unexcused",OR($L420="",NOT(ISNUMBER($L420)),$L420&lt;&gt;0)),"UNEXCUSED ABSENCE MUST RECORD 0",IF(COUNTIF(nrES_RecID,$B420)&gt;1,"DUPLICATE RECORD",IF(N($K420)&gt;2,"ATTEMPT 3+ NOT ALLOWED - policy 300.5 permits one retest per exam; this row records nothing",IF(AND($K420=2,COUNTIFS(nrES_PID,$D420,nrES_Code,$F420,nrES_Att,1)=0),"ATTEMPT 2 WITHOUT ATTEMPT 1",IF(AND($K420=2,$L420=""),"RETEST ROW HAS NO SCORE",IF(AND($H420="Final",$L420&lt;&gt;"",IFERROR(INDEX(nrCKfinalExamElig,MATCH($D420,rngCadetPIDs,0)),"")="No"),"FINAL EXAM AFTER FAILED FINAL PT (500.1.H)",IF(AND($K420=2,ISNUMBER($L420),COUNTIFS(nrES_PID,$D420,nrES_Code,$F420,nrES_Att,1)&gt;0,SUMIFS(nrES_Raw,nrES_PID,$D420,nrES_Code,$F420,nrES_Att,1)&gt;=$J420),"RETEST AFTER A PASSING FIRST ATTEMPT","OK"))))))))))</f>
        <v/>
      </c>
      <c r="Y420" s="16" t="n"/>
    </row>
    <row r="421">
      <c r="B421" s="17">
        <f>IF($C421="","",$D421&amp;"-"&amp;$F421&amp;"-"&amp;$K421)</f>
        <v/>
      </c>
      <c r="C421" s="16" t="n"/>
      <c r="D421" s="17">
        <f>IF($C421="","",IFERROR(INDEX(rngCadetPIDs,MATCH($C421,rngCadetNames,0)),"?"))</f>
        <v/>
      </c>
      <c r="E421" s="17">
        <f>IF($D421="","",IFERROR(INDEX(nrCadetAgency,MATCH($D421,rngCadetPIDs,0)),""))</f>
        <v/>
      </c>
      <c r="F421" s="16" t="n"/>
      <c r="G421" s="17">
        <f>IF($F421="","",IFERROR(INDEX(rngEPname,MATCH($F421,rngEPcode,0)),"?"))</f>
        <v/>
      </c>
      <c r="H421" s="17">
        <f>IF($F421="","",IFERROR(INDEX(rngEPtype,MATCH($F421,rngEPcode,0)),"?"))</f>
        <v/>
      </c>
      <c r="I421" s="17">
        <f>IF($F421="","",IFERROR(INDEX(rngEPseq,MATCH($F421,rngEPcode,0)),""))</f>
        <v/>
      </c>
      <c r="J421" s="17">
        <f>IF($F421="","",IFERROR(INDEX(rngEPpass,MATCH($F421,rngEPcode,0)),cfgPassingScore))</f>
        <v/>
      </c>
      <c r="K421" s="16" t="n"/>
      <c r="L421" s="16" t="n"/>
      <c r="M421" s="17">
        <f>IF($C421="","",IF($L421="","",IF(NOT(ISNUMBER($L421)),$L421,IF(N($K421)&gt;2,"",IF($K421=1,IF(COUNTIFS(nrES_PID,$D421,nrES_Code,$F421,nrES_Att,2,nrES_Raw,"&gt;=0")&gt;0,"",$L421),IF($L421&gt;=$J421,MAX($J421,cfgRetakeRecordedCap),IF(COUNTIFS(nrES_PID,$D421,nrES_Code,$F421,nrES_Att,1)=0,$L421,SUMIFS(nrES_Raw,nrES_PID,$D421,nrES_Code,$F421,nrES_Att,1))))))))</f>
        <v/>
      </c>
      <c r="N421" s="17">
        <f>IF($C421="","",IF($L421="","",IF(NOT(ISNUMBER($L421)),"(not a score)",IF($L421&gt;=$J421,"Yes","No"))))</f>
        <v/>
      </c>
      <c r="O421" s="17">
        <f>IF($C421="","",IF($M421="","",IF(NOT(ISNUMBER($M421)),"(not a score)",IF($M421&gt;=$J421,"Yes","No"))))</f>
        <v/>
      </c>
      <c r="P421" s="17">
        <f>IF($C421="","",IF($K421="","",IF(N($K421)&gt;2,"No",IF(COUNTIFS(nrES_PID,$D421,nrES_Code,$F421,nrES_Att,"&gt;"&amp;$K421,nrES_Att,"&lt;=2",nrES_Raw,"&gt;=0")=0,"Yes","No"))))</f>
        <v/>
      </c>
      <c r="Q421" s="17">
        <f>IF($C421="","",IF($L421="","",IF(AND($K421=1,ISNUMBER($L421),$L421&lt;$J421,COUNTIFS(nrES_PID,$D421,nrES_Code,$F421,nrES_Att,2,nrES_Raw,"&gt;=0")=0),"Yes","No")))</f>
        <v/>
      </c>
      <c r="R421" s="17">
        <f>IF($C421="","",IF($L421="","",IF(AND(N($K421)&gt;=2,ISNUMBER($L421),$L421&lt;$J421),"Yes","No")))</f>
        <v/>
      </c>
      <c r="S421" s="18" t="n"/>
      <c r="T421" s="19">
        <f>IF(OR($C421="",$L421="",$K421&lt;&gt;1,NOT(ISNUMBER($L421)),$L421&gt;=$J421),"",IF($S421="","(enter date)",_xlfn.LET(_xlpm.dn,_xlfn.XLOOKUP($S421,nrCDdate,nrCDnum,"",1),IF(_xlpm.dn="","(after last class day)",_xlfn.LET(_xlpm.dd,_xlfn.XLOOKUP(_xlpm.dn+cfgRetestClassDays,nrCDnum,nrCDdate,""),_xlpm.ok,_xlfn.XLOOKUP(_xlpm.dn+cfgRetestClassDays,nrCDnum,nrCDinsession,"No"),IF(OR(_xlpm.dd="",_xlpm.ok&lt;&gt;"Yes"),"(after last class day)",_xlpm.dd))))))</f>
        <v/>
      </c>
      <c r="U421" s="17">
        <f>IF($C421="","",IF(AND($Y421="Excused",$L421="",N($K421)&lt;=1),"EXCUSED - 1st attempt pending",IF(OR($L421="",$K421&lt;&gt;1,NOT(ISNUMBER($L421)),$L421&gt;=$J421),"",IF(COUNTIFS(nrES_PID,$D421,nrES_Code,$F421,nrES_Att,2,nrES_Raw,"&gt;=0")&gt;0,IF(IFERROR(_xlfn.MINIFS(nrES_Date,nrES_PID,$D421,nrES_Code,$F421,nrES_Att,2,nrES_Raw,"&gt;=0",nrES_Date,"&gt;0"),0)=0,"RETEST UNDATED",IF(NOT(ISNUMBER($T421)),"RETEST DATE UNCHECKED",IF(_xlfn.MINIFS(nrES_Date,nrES_PID,$D421,nrES_Code,$F421,nrES_Att,2,nrES_Raw,"&gt;=0",nrES_Date,"&gt;0")&gt;$T421,"LATE RETEST "&amp;TEXT(_xlfn.MINIFS(nrES_Date,nrES_PID,$D421,nrES_Code,$F421,nrES_Att,2,nrES_Raw,"&gt;=0",nrES_Date,"&gt;0"),"mm/dd")&amp;" (due "&amp;TEXT($T421,"mm/dd")&amp;")","Retested"))),IF(NOT(ISNUMBER($T421)),"CHECK DATE",IF(TODAY()&gt;$T421,"OVERDUE","Due "&amp;TEXT($T421,"mm/dd")))))))</f>
        <v/>
      </c>
      <c r="V421" s="16" t="n"/>
      <c r="W421" s="16" t="n"/>
      <c r="X421" s="17">
        <f>IF($C421="","",IF(AND($L421&lt;&gt;"",NOT(ISNUMBER($L421))),"RAW SCORE NOT A NUMBER",IF(AND(ISNUMBER($L421),OR($L421&lt;0,$L421&gt;100)),"RAW SCORE OUT OF RANGE",IF(AND($Y421="Unexcused",OR($L421="",NOT(ISNUMBER($L421)),$L421&lt;&gt;0)),"UNEXCUSED ABSENCE MUST RECORD 0",IF(COUNTIF(nrES_RecID,$B421)&gt;1,"DUPLICATE RECORD",IF(N($K421)&gt;2,"ATTEMPT 3+ NOT ALLOWED - policy 300.5 permits one retest per exam; this row records nothing",IF(AND($K421=2,COUNTIFS(nrES_PID,$D421,nrES_Code,$F421,nrES_Att,1)=0),"ATTEMPT 2 WITHOUT ATTEMPT 1",IF(AND($K421=2,$L421=""),"RETEST ROW HAS NO SCORE",IF(AND($H421="Final",$L421&lt;&gt;"",IFERROR(INDEX(nrCKfinalExamElig,MATCH($D421,rngCadetPIDs,0)),"")="No"),"FINAL EXAM AFTER FAILED FINAL PT (500.1.H)",IF(AND($K421=2,ISNUMBER($L421),COUNTIFS(nrES_PID,$D421,nrES_Code,$F421,nrES_Att,1)&gt;0,SUMIFS(nrES_Raw,nrES_PID,$D421,nrES_Code,$F421,nrES_Att,1)&gt;=$J421),"RETEST AFTER A PASSING FIRST ATTEMPT","OK"))))))))))</f>
        <v/>
      </c>
      <c r="Y421" s="16" t="n"/>
    </row>
    <row r="422">
      <c r="B422" s="17">
        <f>IF($C422="","",$D422&amp;"-"&amp;$F422&amp;"-"&amp;$K422)</f>
        <v/>
      </c>
      <c r="C422" s="16" t="n"/>
      <c r="D422" s="17">
        <f>IF($C422="","",IFERROR(INDEX(rngCadetPIDs,MATCH($C422,rngCadetNames,0)),"?"))</f>
        <v/>
      </c>
      <c r="E422" s="17">
        <f>IF($D422="","",IFERROR(INDEX(nrCadetAgency,MATCH($D422,rngCadetPIDs,0)),""))</f>
        <v/>
      </c>
      <c r="F422" s="16" t="n"/>
      <c r="G422" s="17">
        <f>IF($F422="","",IFERROR(INDEX(rngEPname,MATCH($F422,rngEPcode,0)),"?"))</f>
        <v/>
      </c>
      <c r="H422" s="17">
        <f>IF($F422="","",IFERROR(INDEX(rngEPtype,MATCH($F422,rngEPcode,0)),"?"))</f>
        <v/>
      </c>
      <c r="I422" s="17">
        <f>IF($F422="","",IFERROR(INDEX(rngEPseq,MATCH($F422,rngEPcode,0)),""))</f>
        <v/>
      </c>
      <c r="J422" s="17">
        <f>IF($F422="","",IFERROR(INDEX(rngEPpass,MATCH($F422,rngEPcode,0)),cfgPassingScore))</f>
        <v/>
      </c>
      <c r="K422" s="16" t="n"/>
      <c r="L422" s="16" t="n"/>
      <c r="M422" s="17">
        <f>IF($C422="","",IF($L422="","",IF(NOT(ISNUMBER($L422)),$L422,IF(N($K422)&gt;2,"",IF($K422=1,IF(COUNTIFS(nrES_PID,$D422,nrES_Code,$F422,nrES_Att,2,nrES_Raw,"&gt;=0")&gt;0,"",$L422),IF($L422&gt;=$J422,MAX($J422,cfgRetakeRecordedCap),IF(COUNTIFS(nrES_PID,$D422,nrES_Code,$F422,nrES_Att,1)=0,$L422,SUMIFS(nrES_Raw,nrES_PID,$D422,nrES_Code,$F422,nrES_Att,1))))))))</f>
        <v/>
      </c>
      <c r="N422" s="17">
        <f>IF($C422="","",IF($L422="","",IF(NOT(ISNUMBER($L422)),"(not a score)",IF($L422&gt;=$J422,"Yes","No"))))</f>
        <v/>
      </c>
      <c r="O422" s="17">
        <f>IF($C422="","",IF($M422="","",IF(NOT(ISNUMBER($M422)),"(not a score)",IF($M422&gt;=$J422,"Yes","No"))))</f>
        <v/>
      </c>
      <c r="P422" s="17">
        <f>IF($C422="","",IF($K422="","",IF(N($K422)&gt;2,"No",IF(COUNTIFS(nrES_PID,$D422,nrES_Code,$F422,nrES_Att,"&gt;"&amp;$K422,nrES_Att,"&lt;=2",nrES_Raw,"&gt;=0")=0,"Yes","No"))))</f>
        <v/>
      </c>
      <c r="Q422" s="17">
        <f>IF($C422="","",IF($L422="","",IF(AND($K422=1,ISNUMBER($L422),$L422&lt;$J422,COUNTIFS(nrES_PID,$D422,nrES_Code,$F422,nrES_Att,2,nrES_Raw,"&gt;=0")=0),"Yes","No")))</f>
        <v/>
      </c>
      <c r="R422" s="17">
        <f>IF($C422="","",IF($L422="","",IF(AND(N($K422)&gt;=2,ISNUMBER($L422),$L422&lt;$J422),"Yes","No")))</f>
        <v/>
      </c>
      <c r="S422" s="18" t="n"/>
      <c r="T422" s="19">
        <f>IF(OR($C422="",$L422="",$K422&lt;&gt;1,NOT(ISNUMBER($L422)),$L422&gt;=$J422),"",IF($S422="","(enter date)",_xlfn.LET(_xlpm.dn,_xlfn.XLOOKUP($S422,nrCDdate,nrCDnum,"",1),IF(_xlpm.dn="","(after last class day)",_xlfn.LET(_xlpm.dd,_xlfn.XLOOKUP(_xlpm.dn+cfgRetestClassDays,nrCDnum,nrCDdate,""),_xlpm.ok,_xlfn.XLOOKUP(_xlpm.dn+cfgRetestClassDays,nrCDnum,nrCDinsession,"No"),IF(OR(_xlpm.dd="",_xlpm.ok&lt;&gt;"Yes"),"(after last class day)",_xlpm.dd))))))</f>
        <v/>
      </c>
      <c r="U422" s="17">
        <f>IF($C422="","",IF(AND($Y422="Excused",$L422="",N($K422)&lt;=1),"EXCUSED - 1st attempt pending",IF(OR($L422="",$K422&lt;&gt;1,NOT(ISNUMBER($L422)),$L422&gt;=$J422),"",IF(COUNTIFS(nrES_PID,$D422,nrES_Code,$F422,nrES_Att,2,nrES_Raw,"&gt;=0")&gt;0,IF(IFERROR(_xlfn.MINIFS(nrES_Date,nrES_PID,$D422,nrES_Code,$F422,nrES_Att,2,nrES_Raw,"&gt;=0",nrES_Date,"&gt;0"),0)=0,"RETEST UNDATED",IF(NOT(ISNUMBER($T422)),"RETEST DATE UNCHECKED",IF(_xlfn.MINIFS(nrES_Date,nrES_PID,$D422,nrES_Code,$F422,nrES_Att,2,nrES_Raw,"&gt;=0",nrES_Date,"&gt;0")&gt;$T422,"LATE RETEST "&amp;TEXT(_xlfn.MINIFS(nrES_Date,nrES_PID,$D422,nrES_Code,$F422,nrES_Att,2,nrES_Raw,"&gt;=0",nrES_Date,"&gt;0"),"mm/dd")&amp;" (due "&amp;TEXT($T422,"mm/dd")&amp;")","Retested"))),IF(NOT(ISNUMBER($T422)),"CHECK DATE",IF(TODAY()&gt;$T422,"OVERDUE","Due "&amp;TEXT($T422,"mm/dd")))))))</f>
        <v/>
      </c>
      <c r="V422" s="16" t="n"/>
      <c r="W422" s="16" t="n"/>
      <c r="X422" s="17">
        <f>IF($C422="","",IF(AND($L422&lt;&gt;"",NOT(ISNUMBER($L422))),"RAW SCORE NOT A NUMBER",IF(AND(ISNUMBER($L422),OR($L422&lt;0,$L422&gt;100)),"RAW SCORE OUT OF RANGE",IF(AND($Y422="Unexcused",OR($L422="",NOT(ISNUMBER($L422)),$L422&lt;&gt;0)),"UNEXCUSED ABSENCE MUST RECORD 0",IF(COUNTIF(nrES_RecID,$B422)&gt;1,"DUPLICATE RECORD",IF(N($K422)&gt;2,"ATTEMPT 3+ NOT ALLOWED - policy 300.5 permits one retest per exam; this row records nothing",IF(AND($K422=2,COUNTIFS(nrES_PID,$D422,nrES_Code,$F422,nrES_Att,1)=0),"ATTEMPT 2 WITHOUT ATTEMPT 1",IF(AND($K422=2,$L422=""),"RETEST ROW HAS NO SCORE",IF(AND($H422="Final",$L422&lt;&gt;"",IFERROR(INDEX(nrCKfinalExamElig,MATCH($D422,rngCadetPIDs,0)),"")="No"),"FINAL EXAM AFTER FAILED FINAL PT (500.1.H)",IF(AND($K422=2,ISNUMBER($L422),COUNTIFS(nrES_PID,$D422,nrES_Code,$F422,nrES_Att,1)&gt;0,SUMIFS(nrES_Raw,nrES_PID,$D422,nrES_Code,$F422,nrES_Att,1)&gt;=$J422),"RETEST AFTER A PASSING FIRST ATTEMPT","OK"))))))))))</f>
        <v/>
      </c>
      <c r="Y422" s="16" t="n"/>
    </row>
    <row r="423">
      <c r="B423" s="17">
        <f>IF($C423="","",$D423&amp;"-"&amp;$F423&amp;"-"&amp;$K423)</f>
        <v/>
      </c>
      <c r="C423" s="16" t="n"/>
      <c r="D423" s="17">
        <f>IF($C423="","",IFERROR(INDEX(rngCadetPIDs,MATCH($C423,rngCadetNames,0)),"?"))</f>
        <v/>
      </c>
      <c r="E423" s="17">
        <f>IF($D423="","",IFERROR(INDEX(nrCadetAgency,MATCH($D423,rngCadetPIDs,0)),""))</f>
        <v/>
      </c>
      <c r="F423" s="16" t="n"/>
      <c r="G423" s="17">
        <f>IF($F423="","",IFERROR(INDEX(rngEPname,MATCH($F423,rngEPcode,0)),"?"))</f>
        <v/>
      </c>
      <c r="H423" s="17">
        <f>IF($F423="","",IFERROR(INDEX(rngEPtype,MATCH($F423,rngEPcode,0)),"?"))</f>
        <v/>
      </c>
      <c r="I423" s="17">
        <f>IF($F423="","",IFERROR(INDEX(rngEPseq,MATCH($F423,rngEPcode,0)),""))</f>
        <v/>
      </c>
      <c r="J423" s="17">
        <f>IF($F423="","",IFERROR(INDEX(rngEPpass,MATCH($F423,rngEPcode,0)),cfgPassingScore))</f>
        <v/>
      </c>
      <c r="K423" s="16" t="n"/>
      <c r="L423" s="16" t="n"/>
      <c r="M423" s="17">
        <f>IF($C423="","",IF($L423="","",IF(NOT(ISNUMBER($L423)),$L423,IF(N($K423)&gt;2,"",IF($K423=1,IF(COUNTIFS(nrES_PID,$D423,nrES_Code,$F423,nrES_Att,2,nrES_Raw,"&gt;=0")&gt;0,"",$L423),IF($L423&gt;=$J423,MAX($J423,cfgRetakeRecordedCap),IF(COUNTIFS(nrES_PID,$D423,nrES_Code,$F423,nrES_Att,1)=0,$L423,SUMIFS(nrES_Raw,nrES_PID,$D423,nrES_Code,$F423,nrES_Att,1))))))))</f>
        <v/>
      </c>
      <c r="N423" s="17">
        <f>IF($C423="","",IF($L423="","",IF(NOT(ISNUMBER($L423)),"(not a score)",IF($L423&gt;=$J423,"Yes","No"))))</f>
        <v/>
      </c>
      <c r="O423" s="17">
        <f>IF($C423="","",IF($M423="","",IF(NOT(ISNUMBER($M423)),"(not a score)",IF($M423&gt;=$J423,"Yes","No"))))</f>
        <v/>
      </c>
      <c r="P423" s="17">
        <f>IF($C423="","",IF($K423="","",IF(N($K423)&gt;2,"No",IF(COUNTIFS(nrES_PID,$D423,nrES_Code,$F423,nrES_Att,"&gt;"&amp;$K423,nrES_Att,"&lt;=2",nrES_Raw,"&gt;=0")=0,"Yes","No"))))</f>
        <v/>
      </c>
      <c r="Q423" s="17">
        <f>IF($C423="","",IF($L423="","",IF(AND($K423=1,ISNUMBER($L423),$L423&lt;$J423,COUNTIFS(nrES_PID,$D423,nrES_Code,$F423,nrES_Att,2,nrES_Raw,"&gt;=0")=0),"Yes","No")))</f>
        <v/>
      </c>
      <c r="R423" s="17">
        <f>IF($C423="","",IF($L423="","",IF(AND(N($K423)&gt;=2,ISNUMBER($L423),$L423&lt;$J423),"Yes","No")))</f>
        <v/>
      </c>
      <c r="S423" s="18" t="n"/>
      <c r="T423" s="19">
        <f>IF(OR($C423="",$L423="",$K423&lt;&gt;1,NOT(ISNUMBER($L423)),$L423&gt;=$J423),"",IF($S423="","(enter date)",_xlfn.LET(_xlpm.dn,_xlfn.XLOOKUP($S423,nrCDdate,nrCDnum,"",1),IF(_xlpm.dn="","(after last class day)",_xlfn.LET(_xlpm.dd,_xlfn.XLOOKUP(_xlpm.dn+cfgRetestClassDays,nrCDnum,nrCDdate,""),_xlpm.ok,_xlfn.XLOOKUP(_xlpm.dn+cfgRetestClassDays,nrCDnum,nrCDinsession,"No"),IF(OR(_xlpm.dd="",_xlpm.ok&lt;&gt;"Yes"),"(after last class day)",_xlpm.dd))))))</f>
        <v/>
      </c>
      <c r="U423" s="17">
        <f>IF($C423="","",IF(AND($Y423="Excused",$L423="",N($K423)&lt;=1),"EXCUSED - 1st attempt pending",IF(OR($L423="",$K423&lt;&gt;1,NOT(ISNUMBER($L423)),$L423&gt;=$J423),"",IF(COUNTIFS(nrES_PID,$D423,nrES_Code,$F423,nrES_Att,2,nrES_Raw,"&gt;=0")&gt;0,IF(IFERROR(_xlfn.MINIFS(nrES_Date,nrES_PID,$D423,nrES_Code,$F423,nrES_Att,2,nrES_Raw,"&gt;=0",nrES_Date,"&gt;0"),0)=0,"RETEST UNDATED",IF(NOT(ISNUMBER($T423)),"RETEST DATE UNCHECKED",IF(_xlfn.MINIFS(nrES_Date,nrES_PID,$D423,nrES_Code,$F423,nrES_Att,2,nrES_Raw,"&gt;=0",nrES_Date,"&gt;0")&gt;$T423,"LATE RETEST "&amp;TEXT(_xlfn.MINIFS(nrES_Date,nrES_PID,$D423,nrES_Code,$F423,nrES_Att,2,nrES_Raw,"&gt;=0",nrES_Date,"&gt;0"),"mm/dd")&amp;" (due "&amp;TEXT($T423,"mm/dd")&amp;")","Retested"))),IF(NOT(ISNUMBER($T423)),"CHECK DATE",IF(TODAY()&gt;$T423,"OVERDUE","Due "&amp;TEXT($T423,"mm/dd")))))))</f>
        <v/>
      </c>
      <c r="V423" s="16" t="n"/>
      <c r="W423" s="16" t="n"/>
      <c r="X423" s="17">
        <f>IF($C423="","",IF(AND($L423&lt;&gt;"",NOT(ISNUMBER($L423))),"RAW SCORE NOT A NUMBER",IF(AND(ISNUMBER($L423),OR($L423&lt;0,$L423&gt;100)),"RAW SCORE OUT OF RANGE",IF(AND($Y423="Unexcused",OR($L423="",NOT(ISNUMBER($L423)),$L423&lt;&gt;0)),"UNEXCUSED ABSENCE MUST RECORD 0",IF(COUNTIF(nrES_RecID,$B423)&gt;1,"DUPLICATE RECORD",IF(N($K423)&gt;2,"ATTEMPT 3+ NOT ALLOWED - policy 300.5 permits one retest per exam; this row records nothing",IF(AND($K423=2,COUNTIFS(nrES_PID,$D423,nrES_Code,$F423,nrES_Att,1)=0),"ATTEMPT 2 WITHOUT ATTEMPT 1",IF(AND($K423=2,$L423=""),"RETEST ROW HAS NO SCORE",IF(AND($H423="Final",$L423&lt;&gt;"",IFERROR(INDEX(nrCKfinalExamElig,MATCH($D423,rngCadetPIDs,0)),"")="No"),"FINAL EXAM AFTER FAILED FINAL PT (500.1.H)",IF(AND($K423=2,ISNUMBER($L423),COUNTIFS(nrES_PID,$D423,nrES_Code,$F423,nrES_Att,1)&gt;0,SUMIFS(nrES_Raw,nrES_PID,$D423,nrES_Code,$F423,nrES_Att,1)&gt;=$J423),"RETEST AFTER A PASSING FIRST ATTEMPT","OK"))))))))))</f>
        <v/>
      </c>
      <c r="Y423" s="16" t="n"/>
    </row>
    <row r="424">
      <c r="B424" s="17">
        <f>IF($C424="","",$D424&amp;"-"&amp;$F424&amp;"-"&amp;$K424)</f>
        <v/>
      </c>
      <c r="C424" s="16" t="n"/>
      <c r="D424" s="17">
        <f>IF($C424="","",IFERROR(INDEX(rngCadetPIDs,MATCH($C424,rngCadetNames,0)),"?"))</f>
        <v/>
      </c>
      <c r="E424" s="17">
        <f>IF($D424="","",IFERROR(INDEX(nrCadetAgency,MATCH($D424,rngCadetPIDs,0)),""))</f>
        <v/>
      </c>
      <c r="F424" s="16" t="n"/>
      <c r="G424" s="17">
        <f>IF($F424="","",IFERROR(INDEX(rngEPname,MATCH($F424,rngEPcode,0)),"?"))</f>
        <v/>
      </c>
      <c r="H424" s="17">
        <f>IF($F424="","",IFERROR(INDEX(rngEPtype,MATCH($F424,rngEPcode,0)),"?"))</f>
        <v/>
      </c>
      <c r="I424" s="17">
        <f>IF($F424="","",IFERROR(INDEX(rngEPseq,MATCH($F424,rngEPcode,0)),""))</f>
        <v/>
      </c>
      <c r="J424" s="17">
        <f>IF($F424="","",IFERROR(INDEX(rngEPpass,MATCH($F424,rngEPcode,0)),cfgPassingScore))</f>
        <v/>
      </c>
      <c r="K424" s="16" t="n"/>
      <c r="L424" s="16" t="n"/>
      <c r="M424" s="17">
        <f>IF($C424="","",IF($L424="","",IF(NOT(ISNUMBER($L424)),$L424,IF(N($K424)&gt;2,"",IF($K424=1,IF(COUNTIFS(nrES_PID,$D424,nrES_Code,$F424,nrES_Att,2,nrES_Raw,"&gt;=0")&gt;0,"",$L424),IF($L424&gt;=$J424,MAX($J424,cfgRetakeRecordedCap),IF(COUNTIFS(nrES_PID,$D424,nrES_Code,$F424,nrES_Att,1)=0,$L424,SUMIFS(nrES_Raw,nrES_PID,$D424,nrES_Code,$F424,nrES_Att,1))))))))</f>
        <v/>
      </c>
      <c r="N424" s="17">
        <f>IF($C424="","",IF($L424="","",IF(NOT(ISNUMBER($L424)),"(not a score)",IF($L424&gt;=$J424,"Yes","No"))))</f>
        <v/>
      </c>
      <c r="O424" s="17">
        <f>IF($C424="","",IF($M424="","",IF(NOT(ISNUMBER($M424)),"(not a score)",IF($M424&gt;=$J424,"Yes","No"))))</f>
        <v/>
      </c>
      <c r="P424" s="17">
        <f>IF($C424="","",IF($K424="","",IF(N($K424)&gt;2,"No",IF(COUNTIFS(nrES_PID,$D424,nrES_Code,$F424,nrES_Att,"&gt;"&amp;$K424,nrES_Att,"&lt;=2",nrES_Raw,"&gt;=0")=0,"Yes","No"))))</f>
        <v/>
      </c>
      <c r="Q424" s="17">
        <f>IF($C424="","",IF($L424="","",IF(AND($K424=1,ISNUMBER($L424),$L424&lt;$J424,COUNTIFS(nrES_PID,$D424,nrES_Code,$F424,nrES_Att,2,nrES_Raw,"&gt;=0")=0),"Yes","No")))</f>
        <v/>
      </c>
      <c r="R424" s="17">
        <f>IF($C424="","",IF($L424="","",IF(AND(N($K424)&gt;=2,ISNUMBER($L424),$L424&lt;$J424),"Yes","No")))</f>
        <v/>
      </c>
      <c r="S424" s="18" t="n"/>
      <c r="T424" s="19">
        <f>IF(OR($C424="",$L424="",$K424&lt;&gt;1,NOT(ISNUMBER($L424)),$L424&gt;=$J424),"",IF($S424="","(enter date)",_xlfn.LET(_xlpm.dn,_xlfn.XLOOKUP($S424,nrCDdate,nrCDnum,"",1),IF(_xlpm.dn="","(after last class day)",_xlfn.LET(_xlpm.dd,_xlfn.XLOOKUP(_xlpm.dn+cfgRetestClassDays,nrCDnum,nrCDdate,""),_xlpm.ok,_xlfn.XLOOKUP(_xlpm.dn+cfgRetestClassDays,nrCDnum,nrCDinsession,"No"),IF(OR(_xlpm.dd="",_xlpm.ok&lt;&gt;"Yes"),"(after last class day)",_xlpm.dd))))))</f>
        <v/>
      </c>
      <c r="U424" s="17">
        <f>IF($C424="","",IF(AND($Y424="Excused",$L424="",N($K424)&lt;=1),"EXCUSED - 1st attempt pending",IF(OR($L424="",$K424&lt;&gt;1,NOT(ISNUMBER($L424)),$L424&gt;=$J424),"",IF(COUNTIFS(nrES_PID,$D424,nrES_Code,$F424,nrES_Att,2,nrES_Raw,"&gt;=0")&gt;0,IF(IFERROR(_xlfn.MINIFS(nrES_Date,nrES_PID,$D424,nrES_Code,$F424,nrES_Att,2,nrES_Raw,"&gt;=0",nrES_Date,"&gt;0"),0)=0,"RETEST UNDATED",IF(NOT(ISNUMBER($T424)),"RETEST DATE UNCHECKED",IF(_xlfn.MINIFS(nrES_Date,nrES_PID,$D424,nrES_Code,$F424,nrES_Att,2,nrES_Raw,"&gt;=0",nrES_Date,"&gt;0")&gt;$T424,"LATE RETEST "&amp;TEXT(_xlfn.MINIFS(nrES_Date,nrES_PID,$D424,nrES_Code,$F424,nrES_Att,2,nrES_Raw,"&gt;=0",nrES_Date,"&gt;0"),"mm/dd")&amp;" (due "&amp;TEXT($T424,"mm/dd")&amp;")","Retested"))),IF(NOT(ISNUMBER($T424)),"CHECK DATE",IF(TODAY()&gt;$T424,"OVERDUE","Due "&amp;TEXT($T424,"mm/dd")))))))</f>
        <v/>
      </c>
      <c r="V424" s="16" t="n"/>
      <c r="W424" s="16" t="n"/>
      <c r="X424" s="17">
        <f>IF($C424="","",IF(AND($L424&lt;&gt;"",NOT(ISNUMBER($L424))),"RAW SCORE NOT A NUMBER",IF(AND(ISNUMBER($L424),OR($L424&lt;0,$L424&gt;100)),"RAW SCORE OUT OF RANGE",IF(AND($Y424="Unexcused",OR($L424="",NOT(ISNUMBER($L424)),$L424&lt;&gt;0)),"UNEXCUSED ABSENCE MUST RECORD 0",IF(COUNTIF(nrES_RecID,$B424)&gt;1,"DUPLICATE RECORD",IF(N($K424)&gt;2,"ATTEMPT 3+ NOT ALLOWED - policy 300.5 permits one retest per exam; this row records nothing",IF(AND($K424=2,COUNTIFS(nrES_PID,$D424,nrES_Code,$F424,nrES_Att,1)=0),"ATTEMPT 2 WITHOUT ATTEMPT 1",IF(AND($K424=2,$L424=""),"RETEST ROW HAS NO SCORE",IF(AND($H424="Final",$L424&lt;&gt;"",IFERROR(INDEX(nrCKfinalExamElig,MATCH($D424,rngCadetPIDs,0)),"")="No"),"FINAL EXAM AFTER FAILED FINAL PT (500.1.H)",IF(AND($K424=2,ISNUMBER($L424),COUNTIFS(nrES_PID,$D424,nrES_Code,$F424,nrES_Att,1)&gt;0,SUMIFS(nrES_Raw,nrES_PID,$D424,nrES_Code,$F424,nrES_Att,1)&gt;=$J424),"RETEST AFTER A PASSING FIRST ATTEMPT","OK"))))))))))</f>
        <v/>
      </c>
      <c r="Y424" s="16" t="n"/>
    </row>
    <row r="425">
      <c r="B425" s="17">
        <f>IF($C425="","",$D425&amp;"-"&amp;$F425&amp;"-"&amp;$K425)</f>
        <v/>
      </c>
      <c r="C425" s="16" t="n"/>
      <c r="D425" s="17">
        <f>IF($C425="","",IFERROR(INDEX(rngCadetPIDs,MATCH($C425,rngCadetNames,0)),"?"))</f>
        <v/>
      </c>
      <c r="E425" s="17">
        <f>IF($D425="","",IFERROR(INDEX(nrCadetAgency,MATCH($D425,rngCadetPIDs,0)),""))</f>
        <v/>
      </c>
      <c r="F425" s="16" t="n"/>
      <c r="G425" s="17">
        <f>IF($F425="","",IFERROR(INDEX(rngEPname,MATCH($F425,rngEPcode,0)),"?"))</f>
        <v/>
      </c>
      <c r="H425" s="17">
        <f>IF($F425="","",IFERROR(INDEX(rngEPtype,MATCH($F425,rngEPcode,0)),"?"))</f>
        <v/>
      </c>
      <c r="I425" s="17">
        <f>IF($F425="","",IFERROR(INDEX(rngEPseq,MATCH($F425,rngEPcode,0)),""))</f>
        <v/>
      </c>
      <c r="J425" s="17">
        <f>IF($F425="","",IFERROR(INDEX(rngEPpass,MATCH($F425,rngEPcode,0)),cfgPassingScore))</f>
        <v/>
      </c>
      <c r="K425" s="16" t="n"/>
      <c r="L425" s="16" t="n"/>
      <c r="M425" s="17">
        <f>IF($C425="","",IF($L425="","",IF(NOT(ISNUMBER($L425)),$L425,IF(N($K425)&gt;2,"",IF($K425=1,IF(COUNTIFS(nrES_PID,$D425,nrES_Code,$F425,nrES_Att,2,nrES_Raw,"&gt;=0")&gt;0,"",$L425),IF($L425&gt;=$J425,MAX($J425,cfgRetakeRecordedCap),IF(COUNTIFS(nrES_PID,$D425,nrES_Code,$F425,nrES_Att,1)=0,$L425,SUMIFS(nrES_Raw,nrES_PID,$D425,nrES_Code,$F425,nrES_Att,1))))))))</f>
        <v/>
      </c>
      <c r="N425" s="17">
        <f>IF($C425="","",IF($L425="","",IF(NOT(ISNUMBER($L425)),"(not a score)",IF($L425&gt;=$J425,"Yes","No"))))</f>
        <v/>
      </c>
      <c r="O425" s="17">
        <f>IF($C425="","",IF($M425="","",IF(NOT(ISNUMBER($M425)),"(not a score)",IF($M425&gt;=$J425,"Yes","No"))))</f>
        <v/>
      </c>
      <c r="P425" s="17">
        <f>IF($C425="","",IF($K425="","",IF(N($K425)&gt;2,"No",IF(COUNTIFS(nrES_PID,$D425,nrES_Code,$F425,nrES_Att,"&gt;"&amp;$K425,nrES_Att,"&lt;=2",nrES_Raw,"&gt;=0")=0,"Yes","No"))))</f>
        <v/>
      </c>
      <c r="Q425" s="17">
        <f>IF($C425="","",IF($L425="","",IF(AND($K425=1,ISNUMBER($L425),$L425&lt;$J425,COUNTIFS(nrES_PID,$D425,nrES_Code,$F425,nrES_Att,2,nrES_Raw,"&gt;=0")=0),"Yes","No")))</f>
        <v/>
      </c>
      <c r="R425" s="17">
        <f>IF($C425="","",IF($L425="","",IF(AND(N($K425)&gt;=2,ISNUMBER($L425),$L425&lt;$J425),"Yes","No")))</f>
        <v/>
      </c>
      <c r="S425" s="18" t="n"/>
      <c r="T425" s="19">
        <f>IF(OR($C425="",$L425="",$K425&lt;&gt;1,NOT(ISNUMBER($L425)),$L425&gt;=$J425),"",IF($S425="","(enter date)",_xlfn.LET(_xlpm.dn,_xlfn.XLOOKUP($S425,nrCDdate,nrCDnum,"",1),IF(_xlpm.dn="","(after last class day)",_xlfn.LET(_xlpm.dd,_xlfn.XLOOKUP(_xlpm.dn+cfgRetestClassDays,nrCDnum,nrCDdate,""),_xlpm.ok,_xlfn.XLOOKUP(_xlpm.dn+cfgRetestClassDays,nrCDnum,nrCDinsession,"No"),IF(OR(_xlpm.dd="",_xlpm.ok&lt;&gt;"Yes"),"(after last class day)",_xlpm.dd))))))</f>
        <v/>
      </c>
      <c r="U425" s="17">
        <f>IF($C425="","",IF(AND($Y425="Excused",$L425="",N($K425)&lt;=1),"EXCUSED - 1st attempt pending",IF(OR($L425="",$K425&lt;&gt;1,NOT(ISNUMBER($L425)),$L425&gt;=$J425),"",IF(COUNTIFS(nrES_PID,$D425,nrES_Code,$F425,nrES_Att,2,nrES_Raw,"&gt;=0")&gt;0,IF(IFERROR(_xlfn.MINIFS(nrES_Date,nrES_PID,$D425,nrES_Code,$F425,nrES_Att,2,nrES_Raw,"&gt;=0",nrES_Date,"&gt;0"),0)=0,"RETEST UNDATED",IF(NOT(ISNUMBER($T425)),"RETEST DATE UNCHECKED",IF(_xlfn.MINIFS(nrES_Date,nrES_PID,$D425,nrES_Code,$F425,nrES_Att,2,nrES_Raw,"&gt;=0",nrES_Date,"&gt;0")&gt;$T425,"LATE RETEST "&amp;TEXT(_xlfn.MINIFS(nrES_Date,nrES_PID,$D425,nrES_Code,$F425,nrES_Att,2,nrES_Raw,"&gt;=0",nrES_Date,"&gt;0"),"mm/dd")&amp;" (due "&amp;TEXT($T425,"mm/dd")&amp;")","Retested"))),IF(NOT(ISNUMBER($T425)),"CHECK DATE",IF(TODAY()&gt;$T425,"OVERDUE","Due "&amp;TEXT($T425,"mm/dd")))))))</f>
        <v/>
      </c>
      <c r="V425" s="16" t="n"/>
      <c r="W425" s="16" t="n"/>
      <c r="X425" s="17">
        <f>IF($C425="","",IF(AND($L425&lt;&gt;"",NOT(ISNUMBER($L425))),"RAW SCORE NOT A NUMBER",IF(AND(ISNUMBER($L425),OR($L425&lt;0,$L425&gt;100)),"RAW SCORE OUT OF RANGE",IF(AND($Y425="Unexcused",OR($L425="",NOT(ISNUMBER($L425)),$L425&lt;&gt;0)),"UNEXCUSED ABSENCE MUST RECORD 0",IF(COUNTIF(nrES_RecID,$B425)&gt;1,"DUPLICATE RECORD",IF(N($K425)&gt;2,"ATTEMPT 3+ NOT ALLOWED - policy 300.5 permits one retest per exam; this row records nothing",IF(AND($K425=2,COUNTIFS(nrES_PID,$D425,nrES_Code,$F425,nrES_Att,1)=0),"ATTEMPT 2 WITHOUT ATTEMPT 1",IF(AND($K425=2,$L425=""),"RETEST ROW HAS NO SCORE",IF(AND($H425="Final",$L425&lt;&gt;"",IFERROR(INDEX(nrCKfinalExamElig,MATCH($D425,rngCadetPIDs,0)),"")="No"),"FINAL EXAM AFTER FAILED FINAL PT (500.1.H)",IF(AND($K425=2,ISNUMBER($L425),COUNTIFS(nrES_PID,$D425,nrES_Code,$F425,nrES_Att,1)&gt;0,SUMIFS(nrES_Raw,nrES_PID,$D425,nrES_Code,$F425,nrES_Att,1)&gt;=$J425),"RETEST AFTER A PASSING FIRST ATTEMPT","OK"))))))))))</f>
        <v/>
      </c>
      <c r="Y425" s="16" t="n"/>
    </row>
    <row r="426">
      <c r="B426" s="17">
        <f>IF($C426="","",$D426&amp;"-"&amp;$F426&amp;"-"&amp;$K426)</f>
        <v/>
      </c>
      <c r="C426" s="16" t="n"/>
      <c r="D426" s="17">
        <f>IF($C426="","",IFERROR(INDEX(rngCadetPIDs,MATCH($C426,rngCadetNames,0)),"?"))</f>
        <v/>
      </c>
      <c r="E426" s="17">
        <f>IF($D426="","",IFERROR(INDEX(nrCadetAgency,MATCH($D426,rngCadetPIDs,0)),""))</f>
        <v/>
      </c>
      <c r="F426" s="16" t="n"/>
      <c r="G426" s="17">
        <f>IF($F426="","",IFERROR(INDEX(rngEPname,MATCH($F426,rngEPcode,0)),"?"))</f>
        <v/>
      </c>
      <c r="H426" s="17">
        <f>IF($F426="","",IFERROR(INDEX(rngEPtype,MATCH($F426,rngEPcode,0)),"?"))</f>
        <v/>
      </c>
      <c r="I426" s="17">
        <f>IF($F426="","",IFERROR(INDEX(rngEPseq,MATCH($F426,rngEPcode,0)),""))</f>
        <v/>
      </c>
      <c r="J426" s="17">
        <f>IF($F426="","",IFERROR(INDEX(rngEPpass,MATCH($F426,rngEPcode,0)),cfgPassingScore))</f>
        <v/>
      </c>
      <c r="K426" s="16" t="n"/>
      <c r="L426" s="16" t="n"/>
      <c r="M426" s="17">
        <f>IF($C426="","",IF($L426="","",IF(NOT(ISNUMBER($L426)),$L426,IF(N($K426)&gt;2,"",IF($K426=1,IF(COUNTIFS(nrES_PID,$D426,nrES_Code,$F426,nrES_Att,2,nrES_Raw,"&gt;=0")&gt;0,"",$L426),IF($L426&gt;=$J426,MAX($J426,cfgRetakeRecordedCap),IF(COUNTIFS(nrES_PID,$D426,nrES_Code,$F426,nrES_Att,1)=0,$L426,SUMIFS(nrES_Raw,nrES_PID,$D426,nrES_Code,$F426,nrES_Att,1))))))))</f>
        <v/>
      </c>
      <c r="N426" s="17">
        <f>IF($C426="","",IF($L426="","",IF(NOT(ISNUMBER($L426)),"(not a score)",IF($L426&gt;=$J426,"Yes","No"))))</f>
        <v/>
      </c>
      <c r="O426" s="17">
        <f>IF($C426="","",IF($M426="","",IF(NOT(ISNUMBER($M426)),"(not a score)",IF($M426&gt;=$J426,"Yes","No"))))</f>
        <v/>
      </c>
      <c r="P426" s="17">
        <f>IF($C426="","",IF($K426="","",IF(N($K426)&gt;2,"No",IF(COUNTIFS(nrES_PID,$D426,nrES_Code,$F426,nrES_Att,"&gt;"&amp;$K426,nrES_Att,"&lt;=2",nrES_Raw,"&gt;=0")=0,"Yes","No"))))</f>
        <v/>
      </c>
      <c r="Q426" s="17">
        <f>IF($C426="","",IF($L426="","",IF(AND($K426=1,ISNUMBER($L426),$L426&lt;$J426,COUNTIFS(nrES_PID,$D426,nrES_Code,$F426,nrES_Att,2,nrES_Raw,"&gt;=0")=0),"Yes","No")))</f>
        <v/>
      </c>
      <c r="R426" s="17">
        <f>IF($C426="","",IF($L426="","",IF(AND(N($K426)&gt;=2,ISNUMBER($L426),$L426&lt;$J426),"Yes","No")))</f>
        <v/>
      </c>
      <c r="S426" s="18" t="n"/>
      <c r="T426" s="19">
        <f>IF(OR($C426="",$L426="",$K426&lt;&gt;1,NOT(ISNUMBER($L426)),$L426&gt;=$J426),"",IF($S426="","(enter date)",_xlfn.LET(_xlpm.dn,_xlfn.XLOOKUP($S426,nrCDdate,nrCDnum,"",1),IF(_xlpm.dn="","(after last class day)",_xlfn.LET(_xlpm.dd,_xlfn.XLOOKUP(_xlpm.dn+cfgRetestClassDays,nrCDnum,nrCDdate,""),_xlpm.ok,_xlfn.XLOOKUP(_xlpm.dn+cfgRetestClassDays,nrCDnum,nrCDinsession,"No"),IF(OR(_xlpm.dd="",_xlpm.ok&lt;&gt;"Yes"),"(after last class day)",_xlpm.dd))))))</f>
        <v/>
      </c>
      <c r="U426" s="17">
        <f>IF($C426="","",IF(AND($Y426="Excused",$L426="",N($K426)&lt;=1),"EXCUSED - 1st attempt pending",IF(OR($L426="",$K426&lt;&gt;1,NOT(ISNUMBER($L426)),$L426&gt;=$J426),"",IF(COUNTIFS(nrES_PID,$D426,nrES_Code,$F426,nrES_Att,2,nrES_Raw,"&gt;=0")&gt;0,IF(IFERROR(_xlfn.MINIFS(nrES_Date,nrES_PID,$D426,nrES_Code,$F426,nrES_Att,2,nrES_Raw,"&gt;=0",nrES_Date,"&gt;0"),0)=0,"RETEST UNDATED",IF(NOT(ISNUMBER($T426)),"RETEST DATE UNCHECKED",IF(_xlfn.MINIFS(nrES_Date,nrES_PID,$D426,nrES_Code,$F426,nrES_Att,2,nrES_Raw,"&gt;=0",nrES_Date,"&gt;0")&gt;$T426,"LATE RETEST "&amp;TEXT(_xlfn.MINIFS(nrES_Date,nrES_PID,$D426,nrES_Code,$F426,nrES_Att,2,nrES_Raw,"&gt;=0",nrES_Date,"&gt;0"),"mm/dd")&amp;" (due "&amp;TEXT($T426,"mm/dd")&amp;")","Retested"))),IF(NOT(ISNUMBER($T426)),"CHECK DATE",IF(TODAY()&gt;$T426,"OVERDUE","Due "&amp;TEXT($T426,"mm/dd")))))))</f>
        <v/>
      </c>
      <c r="V426" s="16" t="n"/>
      <c r="W426" s="16" t="n"/>
      <c r="X426" s="17">
        <f>IF($C426="","",IF(AND($L426&lt;&gt;"",NOT(ISNUMBER($L426))),"RAW SCORE NOT A NUMBER",IF(AND(ISNUMBER($L426),OR($L426&lt;0,$L426&gt;100)),"RAW SCORE OUT OF RANGE",IF(AND($Y426="Unexcused",OR($L426="",NOT(ISNUMBER($L426)),$L426&lt;&gt;0)),"UNEXCUSED ABSENCE MUST RECORD 0",IF(COUNTIF(nrES_RecID,$B426)&gt;1,"DUPLICATE RECORD",IF(N($K426)&gt;2,"ATTEMPT 3+ NOT ALLOWED - policy 300.5 permits one retest per exam; this row records nothing",IF(AND($K426=2,COUNTIFS(nrES_PID,$D426,nrES_Code,$F426,nrES_Att,1)=0),"ATTEMPT 2 WITHOUT ATTEMPT 1",IF(AND($K426=2,$L426=""),"RETEST ROW HAS NO SCORE",IF(AND($H426="Final",$L426&lt;&gt;"",IFERROR(INDEX(nrCKfinalExamElig,MATCH($D426,rngCadetPIDs,0)),"")="No"),"FINAL EXAM AFTER FAILED FINAL PT (500.1.H)",IF(AND($K426=2,ISNUMBER($L426),COUNTIFS(nrES_PID,$D426,nrES_Code,$F426,nrES_Att,1)&gt;0,SUMIFS(nrES_Raw,nrES_PID,$D426,nrES_Code,$F426,nrES_Att,1)&gt;=$J426),"RETEST AFTER A PASSING FIRST ATTEMPT","OK"))))))))))</f>
        <v/>
      </c>
      <c r="Y426" s="16" t="n"/>
    </row>
    <row r="427">
      <c r="B427" s="17">
        <f>IF($C427="","",$D427&amp;"-"&amp;$F427&amp;"-"&amp;$K427)</f>
        <v/>
      </c>
      <c r="C427" s="16" t="n"/>
      <c r="D427" s="17">
        <f>IF($C427="","",IFERROR(INDEX(rngCadetPIDs,MATCH($C427,rngCadetNames,0)),"?"))</f>
        <v/>
      </c>
      <c r="E427" s="17">
        <f>IF($D427="","",IFERROR(INDEX(nrCadetAgency,MATCH($D427,rngCadetPIDs,0)),""))</f>
        <v/>
      </c>
      <c r="F427" s="16" t="n"/>
      <c r="G427" s="17">
        <f>IF($F427="","",IFERROR(INDEX(rngEPname,MATCH($F427,rngEPcode,0)),"?"))</f>
        <v/>
      </c>
      <c r="H427" s="17">
        <f>IF($F427="","",IFERROR(INDEX(rngEPtype,MATCH($F427,rngEPcode,0)),"?"))</f>
        <v/>
      </c>
      <c r="I427" s="17">
        <f>IF($F427="","",IFERROR(INDEX(rngEPseq,MATCH($F427,rngEPcode,0)),""))</f>
        <v/>
      </c>
      <c r="J427" s="17">
        <f>IF($F427="","",IFERROR(INDEX(rngEPpass,MATCH($F427,rngEPcode,0)),cfgPassingScore))</f>
        <v/>
      </c>
      <c r="K427" s="16" t="n"/>
      <c r="L427" s="16" t="n"/>
      <c r="M427" s="17">
        <f>IF($C427="","",IF($L427="","",IF(NOT(ISNUMBER($L427)),$L427,IF(N($K427)&gt;2,"",IF($K427=1,IF(COUNTIFS(nrES_PID,$D427,nrES_Code,$F427,nrES_Att,2,nrES_Raw,"&gt;=0")&gt;0,"",$L427),IF($L427&gt;=$J427,MAX($J427,cfgRetakeRecordedCap),IF(COUNTIFS(nrES_PID,$D427,nrES_Code,$F427,nrES_Att,1)=0,$L427,SUMIFS(nrES_Raw,nrES_PID,$D427,nrES_Code,$F427,nrES_Att,1))))))))</f>
        <v/>
      </c>
      <c r="N427" s="17">
        <f>IF($C427="","",IF($L427="","",IF(NOT(ISNUMBER($L427)),"(not a score)",IF($L427&gt;=$J427,"Yes","No"))))</f>
        <v/>
      </c>
      <c r="O427" s="17">
        <f>IF($C427="","",IF($M427="","",IF(NOT(ISNUMBER($M427)),"(not a score)",IF($M427&gt;=$J427,"Yes","No"))))</f>
        <v/>
      </c>
      <c r="P427" s="17">
        <f>IF($C427="","",IF($K427="","",IF(N($K427)&gt;2,"No",IF(COUNTIFS(nrES_PID,$D427,nrES_Code,$F427,nrES_Att,"&gt;"&amp;$K427,nrES_Att,"&lt;=2",nrES_Raw,"&gt;=0")=0,"Yes","No"))))</f>
        <v/>
      </c>
      <c r="Q427" s="17">
        <f>IF($C427="","",IF($L427="","",IF(AND($K427=1,ISNUMBER($L427),$L427&lt;$J427,COUNTIFS(nrES_PID,$D427,nrES_Code,$F427,nrES_Att,2,nrES_Raw,"&gt;=0")=0),"Yes","No")))</f>
        <v/>
      </c>
      <c r="R427" s="17">
        <f>IF($C427="","",IF($L427="","",IF(AND(N($K427)&gt;=2,ISNUMBER($L427),$L427&lt;$J427),"Yes","No")))</f>
        <v/>
      </c>
      <c r="S427" s="18" t="n"/>
      <c r="T427" s="19">
        <f>IF(OR($C427="",$L427="",$K427&lt;&gt;1,NOT(ISNUMBER($L427)),$L427&gt;=$J427),"",IF($S427="","(enter date)",_xlfn.LET(_xlpm.dn,_xlfn.XLOOKUP($S427,nrCDdate,nrCDnum,"",1),IF(_xlpm.dn="","(after last class day)",_xlfn.LET(_xlpm.dd,_xlfn.XLOOKUP(_xlpm.dn+cfgRetestClassDays,nrCDnum,nrCDdate,""),_xlpm.ok,_xlfn.XLOOKUP(_xlpm.dn+cfgRetestClassDays,nrCDnum,nrCDinsession,"No"),IF(OR(_xlpm.dd="",_xlpm.ok&lt;&gt;"Yes"),"(after last class day)",_xlpm.dd))))))</f>
        <v/>
      </c>
      <c r="U427" s="17">
        <f>IF($C427="","",IF(AND($Y427="Excused",$L427="",N($K427)&lt;=1),"EXCUSED - 1st attempt pending",IF(OR($L427="",$K427&lt;&gt;1,NOT(ISNUMBER($L427)),$L427&gt;=$J427),"",IF(COUNTIFS(nrES_PID,$D427,nrES_Code,$F427,nrES_Att,2,nrES_Raw,"&gt;=0")&gt;0,IF(IFERROR(_xlfn.MINIFS(nrES_Date,nrES_PID,$D427,nrES_Code,$F427,nrES_Att,2,nrES_Raw,"&gt;=0",nrES_Date,"&gt;0"),0)=0,"RETEST UNDATED",IF(NOT(ISNUMBER($T427)),"RETEST DATE UNCHECKED",IF(_xlfn.MINIFS(nrES_Date,nrES_PID,$D427,nrES_Code,$F427,nrES_Att,2,nrES_Raw,"&gt;=0",nrES_Date,"&gt;0")&gt;$T427,"LATE RETEST "&amp;TEXT(_xlfn.MINIFS(nrES_Date,nrES_PID,$D427,nrES_Code,$F427,nrES_Att,2,nrES_Raw,"&gt;=0",nrES_Date,"&gt;0"),"mm/dd")&amp;" (due "&amp;TEXT($T427,"mm/dd")&amp;")","Retested"))),IF(NOT(ISNUMBER($T427)),"CHECK DATE",IF(TODAY()&gt;$T427,"OVERDUE","Due "&amp;TEXT($T427,"mm/dd")))))))</f>
        <v/>
      </c>
      <c r="V427" s="16" t="n"/>
      <c r="W427" s="16" t="n"/>
      <c r="X427" s="17">
        <f>IF($C427="","",IF(AND($L427&lt;&gt;"",NOT(ISNUMBER($L427))),"RAW SCORE NOT A NUMBER",IF(AND(ISNUMBER($L427),OR($L427&lt;0,$L427&gt;100)),"RAW SCORE OUT OF RANGE",IF(AND($Y427="Unexcused",OR($L427="",NOT(ISNUMBER($L427)),$L427&lt;&gt;0)),"UNEXCUSED ABSENCE MUST RECORD 0",IF(COUNTIF(nrES_RecID,$B427)&gt;1,"DUPLICATE RECORD",IF(N($K427)&gt;2,"ATTEMPT 3+ NOT ALLOWED - policy 300.5 permits one retest per exam; this row records nothing",IF(AND($K427=2,COUNTIFS(nrES_PID,$D427,nrES_Code,$F427,nrES_Att,1)=0),"ATTEMPT 2 WITHOUT ATTEMPT 1",IF(AND($K427=2,$L427=""),"RETEST ROW HAS NO SCORE",IF(AND($H427="Final",$L427&lt;&gt;"",IFERROR(INDEX(nrCKfinalExamElig,MATCH($D427,rngCadetPIDs,0)),"")="No"),"FINAL EXAM AFTER FAILED FINAL PT (500.1.H)",IF(AND($K427=2,ISNUMBER($L427),COUNTIFS(nrES_PID,$D427,nrES_Code,$F427,nrES_Att,1)&gt;0,SUMIFS(nrES_Raw,nrES_PID,$D427,nrES_Code,$F427,nrES_Att,1)&gt;=$J427),"RETEST AFTER A PASSING FIRST ATTEMPT","OK"))))))))))</f>
        <v/>
      </c>
      <c r="Y427" s="16" t="n"/>
    </row>
    <row r="428">
      <c r="B428" s="17">
        <f>IF($C428="","",$D428&amp;"-"&amp;$F428&amp;"-"&amp;$K428)</f>
        <v/>
      </c>
      <c r="C428" s="16" t="n"/>
      <c r="D428" s="17">
        <f>IF($C428="","",IFERROR(INDEX(rngCadetPIDs,MATCH($C428,rngCadetNames,0)),"?"))</f>
        <v/>
      </c>
      <c r="E428" s="17">
        <f>IF($D428="","",IFERROR(INDEX(nrCadetAgency,MATCH($D428,rngCadetPIDs,0)),""))</f>
        <v/>
      </c>
      <c r="F428" s="16" t="n"/>
      <c r="G428" s="17">
        <f>IF($F428="","",IFERROR(INDEX(rngEPname,MATCH($F428,rngEPcode,0)),"?"))</f>
        <v/>
      </c>
      <c r="H428" s="17">
        <f>IF($F428="","",IFERROR(INDEX(rngEPtype,MATCH($F428,rngEPcode,0)),"?"))</f>
        <v/>
      </c>
      <c r="I428" s="17">
        <f>IF($F428="","",IFERROR(INDEX(rngEPseq,MATCH($F428,rngEPcode,0)),""))</f>
        <v/>
      </c>
      <c r="J428" s="17">
        <f>IF($F428="","",IFERROR(INDEX(rngEPpass,MATCH($F428,rngEPcode,0)),cfgPassingScore))</f>
        <v/>
      </c>
      <c r="K428" s="16" t="n"/>
      <c r="L428" s="16" t="n"/>
      <c r="M428" s="17">
        <f>IF($C428="","",IF($L428="","",IF(NOT(ISNUMBER($L428)),$L428,IF(N($K428)&gt;2,"",IF($K428=1,IF(COUNTIFS(nrES_PID,$D428,nrES_Code,$F428,nrES_Att,2,nrES_Raw,"&gt;=0")&gt;0,"",$L428),IF($L428&gt;=$J428,MAX($J428,cfgRetakeRecordedCap),IF(COUNTIFS(nrES_PID,$D428,nrES_Code,$F428,nrES_Att,1)=0,$L428,SUMIFS(nrES_Raw,nrES_PID,$D428,nrES_Code,$F428,nrES_Att,1))))))))</f>
        <v/>
      </c>
      <c r="N428" s="17">
        <f>IF($C428="","",IF($L428="","",IF(NOT(ISNUMBER($L428)),"(not a score)",IF($L428&gt;=$J428,"Yes","No"))))</f>
        <v/>
      </c>
      <c r="O428" s="17">
        <f>IF($C428="","",IF($M428="","",IF(NOT(ISNUMBER($M428)),"(not a score)",IF($M428&gt;=$J428,"Yes","No"))))</f>
        <v/>
      </c>
      <c r="P428" s="17">
        <f>IF($C428="","",IF($K428="","",IF(N($K428)&gt;2,"No",IF(COUNTIFS(nrES_PID,$D428,nrES_Code,$F428,nrES_Att,"&gt;"&amp;$K428,nrES_Att,"&lt;=2",nrES_Raw,"&gt;=0")=0,"Yes","No"))))</f>
        <v/>
      </c>
      <c r="Q428" s="17">
        <f>IF($C428="","",IF($L428="","",IF(AND($K428=1,ISNUMBER($L428),$L428&lt;$J428,COUNTIFS(nrES_PID,$D428,nrES_Code,$F428,nrES_Att,2,nrES_Raw,"&gt;=0")=0),"Yes","No")))</f>
        <v/>
      </c>
      <c r="R428" s="17">
        <f>IF($C428="","",IF($L428="","",IF(AND(N($K428)&gt;=2,ISNUMBER($L428),$L428&lt;$J428),"Yes","No")))</f>
        <v/>
      </c>
      <c r="S428" s="18" t="n"/>
      <c r="T428" s="19">
        <f>IF(OR($C428="",$L428="",$K428&lt;&gt;1,NOT(ISNUMBER($L428)),$L428&gt;=$J428),"",IF($S428="","(enter date)",_xlfn.LET(_xlpm.dn,_xlfn.XLOOKUP($S428,nrCDdate,nrCDnum,"",1),IF(_xlpm.dn="","(after last class day)",_xlfn.LET(_xlpm.dd,_xlfn.XLOOKUP(_xlpm.dn+cfgRetestClassDays,nrCDnum,nrCDdate,""),_xlpm.ok,_xlfn.XLOOKUP(_xlpm.dn+cfgRetestClassDays,nrCDnum,nrCDinsession,"No"),IF(OR(_xlpm.dd="",_xlpm.ok&lt;&gt;"Yes"),"(after last class day)",_xlpm.dd))))))</f>
        <v/>
      </c>
      <c r="U428" s="17">
        <f>IF($C428="","",IF(AND($Y428="Excused",$L428="",N($K428)&lt;=1),"EXCUSED - 1st attempt pending",IF(OR($L428="",$K428&lt;&gt;1,NOT(ISNUMBER($L428)),$L428&gt;=$J428),"",IF(COUNTIFS(nrES_PID,$D428,nrES_Code,$F428,nrES_Att,2,nrES_Raw,"&gt;=0")&gt;0,IF(IFERROR(_xlfn.MINIFS(nrES_Date,nrES_PID,$D428,nrES_Code,$F428,nrES_Att,2,nrES_Raw,"&gt;=0",nrES_Date,"&gt;0"),0)=0,"RETEST UNDATED",IF(NOT(ISNUMBER($T428)),"RETEST DATE UNCHECKED",IF(_xlfn.MINIFS(nrES_Date,nrES_PID,$D428,nrES_Code,$F428,nrES_Att,2,nrES_Raw,"&gt;=0",nrES_Date,"&gt;0")&gt;$T428,"LATE RETEST "&amp;TEXT(_xlfn.MINIFS(nrES_Date,nrES_PID,$D428,nrES_Code,$F428,nrES_Att,2,nrES_Raw,"&gt;=0",nrES_Date,"&gt;0"),"mm/dd")&amp;" (due "&amp;TEXT($T428,"mm/dd")&amp;")","Retested"))),IF(NOT(ISNUMBER($T428)),"CHECK DATE",IF(TODAY()&gt;$T428,"OVERDUE","Due "&amp;TEXT($T428,"mm/dd")))))))</f>
        <v/>
      </c>
      <c r="V428" s="16" t="n"/>
      <c r="W428" s="16" t="n"/>
      <c r="X428" s="17">
        <f>IF($C428="","",IF(AND($L428&lt;&gt;"",NOT(ISNUMBER($L428))),"RAW SCORE NOT A NUMBER",IF(AND(ISNUMBER($L428),OR($L428&lt;0,$L428&gt;100)),"RAW SCORE OUT OF RANGE",IF(AND($Y428="Unexcused",OR($L428="",NOT(ISNUMBER($L428)),$L428&lt;&gt;0)),"UNEXCUSED ABSENCE MUST RECORD 0",IF(COUNTIF(nrES_RecID,$B428)&gt;1,"DUPLICATE RECORD",IF(N($K428)&gt;2,"ATTEMPT 3+ NOT ALLOWED - policy 300.5 permits one retest per exam; this row records nothing",IF(AND($K428=2,COUNTIFS(nrES_PID,$D428,nrES_Code,$F428,nrES_Att,1)=0),"ATTEMPT 2 WITHOUT ATTEMPT 1",IF(AND($K428=2,$L428=""),"RETEST ROW HAS NO SCORE",IF(AND($H428="Final",$L428&lt;&gt;"",IFERROR(INDEX(nrCKfinalExamElig,MATCH($D428,rngCadetPIDs,0)),"")="No"),"FINAL EXAM AFTER FAILED FINAL PT (500.1.H)",IF(AND($K428=2,ISNUMBER($L428),COUNTIFS(nrES_PID,$D428,nrES_Code,$F428,nrES_Att,1)&gt;0,SUMIFS(nrES_Raw,nrES_PID,$D428,nrES_Code,$F428,nrES_Att,1)&gt;=$J428),"RETEST AFTER A PASSING FIRST ATTEMPT","OK"))))))))))</f>
        <v/>
      </c>
      <c r="Y428" s="16" t="n"/>
    </row>
    <row r="429">
      <c r="B429" s="17">
        <f>IF($C429="","",$D429&amp;"-"&amp;$F429&amp;"-"&amp;$K429)</f>
        <v/>
      </c>
      <c r="C429" s="16" t="n"/>
      <c r="D429" s="17">
        <f>IF($C429="","",IFERROR(INDEX(rngCadetPIDs,MATCH($C429,rngCadetNames,0)),"?"))</f>
        <v/>
      </c>
      <c r="E429" s="17">
        <f>IF($D429="","",IFERROR(INDEX(nrCadetAgency,MATCH($D429,rngCadetPIDs,0)),""))</f>
        <v/>
      </c>
      <c r="F429" s="16" t="n"/>
      <c r="G429" s="17">
        <f>IF($F429="","",IFERROR(INDEX(rngEPname,MATCH($F429,rngEPcode,0)),"?"))</f>
        <v/>
      </c>
      <c r="H429" s="17">
        <f>IF($F429="","",IFERROR(INDEX(rngEPtype,MATCH($F429,rngEPcode,0)),"?"))</f>
        <v/>
      </c>
      <c r="I429" s="17">
        <f>IF($F429="","",IFERROR(INDEX(rngEPseq,MATCH($F429,rngEPcode,0)),""))</f>
        <v/>
      </c>
      <c r="J429" s="17">
        <f>IF($F429="","",IFERROR(INDEX(rngEPpass,MATCH($F429,rngEPcode,0)),cfgPassingScore))</f>
        <v/>
      </c>
      <c r="K429" s="16" t="n"/>
      <c r="L429" s="16" t="n"/>
      <c r="M429" s="17">
        <f>IF($C429="","",IF($L429="","",IF(NOT(ISNUMBER($L429)),$L429,IF(N($K429)&gt;2,"",IF($K429=1,IF(COUNTIFS(nrES_PID,$D429,nrES_Code,$F429,nrES_Att,2,nrES_Raw,"&gt;=0")&gt;0,"",$L429),IF($L429&gt;=$J429,MAX($J429,cfgRetakeRecordedCap),IF(COUNTIFS(nrES_PID,$D429,nrES_Code,$F429,nrES_Att,1)=0,$L429,SUMIFS(nrES_Raw,nrES_PID,$D429,nrES_Code,$F429,nrES_Att,1))))))))</f>
        <v/>
      </c>
      <c r="N429" s="17">
        <f>IF($C429="","",IF($L429="","",IF(NOT(ISNUMBER($L429)),"(not a score)",IF($L429&gt;=$J429,"Yes","No"))))</f>
        <v/>
      </c>
      <c r="O429" s="17">
        <f>IF($C429="","",IF($M429="","",IF(NOT(ISNUMBER($M429)),"(not a score)",IF($M429&gt;=$J429,"Yes","No"))))</f>
        <v/>
      </c>
      <c r="P429" s="17">
        <f>IF($C429="","",IF($K429="","",IF(N($K429)&gt;2,"No",IF(COUNTIFS(nrES_PID,$D429,nrES_Code,$F429,nrES_Att,"&gt;"&amp;$K429,nrES_Att,"&lt;=2",nrES_Raw,"&gt;=0")=0,"Yes","No"))))</f>
        <v/>
      </c>
      <c r="Q429" s="17">
        <f>IF($C429="","",IF($L429="","",IF(AND($K429=1,ISNUMBER($L429),$L429&lt;$J429,COUNTIFS(nrES_PID,$D429,nrES_Code,$F429,nrES_Att,2,nrES_Raw,"&gt;=0")=0),"Yes","No")))</f>
        <v/>
      </c>
      <c r="R429" s="17">
        <f>IF($C429="","",IF($L429="","",IF(AND(N($K429)&gt;=2,ISNUMBER($L429),$L429&lt;$J429),"Yes","No")))</f>
        <v/>
      </c>
      <c r="S429" s="18" t="n"/>
      <c r="T429" s="19">
        <f>IF(OR($C429="",$L429="",$K429&lt;&gt;1,NOT(ISNUMBER($L429)),$L429&gt;=$J429),"",IF($S429="","(enter date)",_xlfn.LET(_xlpm.dn,_xlfn.XLOOKUP($S429,nrCDdate,nrCDnum,"",1),IF(_xlpm.dn="","(after last class day)",_xlfn.LET(_xlpm.dd,_xlfn.XLOOKUP(_xlpm.dn+cfgRetestClassDays,nrCDnum,nrCDdate,""),_xlpm.ok,_xlfn.XLOOKUP(_xlpm.dn+cfgRetestClassDays,nrCDnum,nrCDinsession,"No"),IF(OR(_xlpm.dd="",_xlpm.ok&lt;&gt;"Yes"),"(after last class day)",_xlpm.dd))))))</f>
        <v/>
      </c>
      <c r="U429" s="17">
        <f>IF($C429="","",IF(AND($Y429="Excused",$L429="",N($K429)&lt;=1),"EXCUSED - 1st attempt pending",IF(OR($L429="",$K429&lt;&gt;1,NOT(ISNUMBER($L429)),$L429&gt;=$J429),"",IF(COUNTIFS(nrES_PID,$D429,nrES_Code,$F429,nrES_Att,2,nrES_Raw,"&gt;=0")&gt;0,IF(IFERROR(_xlfn.MINIFS(nrES_Date,nrES_PID,$D429,nrES_Code,$F429,nrES_Att,2,nrES_Raw,"&gt;=0",nrES_Date,"&gt;0"),0)=0,"RETEST UNDATED",IF(NOT(ISNUMBER($T429)),"RETEST DATE UNCHECKED",IF(_xlfn.MINIFS(nrES_Date,nrES_PID,$D429,nrES_Code,$F429,nrES_Att,2,nrES_Raw,"&gt;=0",nrES_Date,"&gt;0")&gt;$T429,"LATE RETEST "&amp;TEXT(_xlfn.MINIFS(nrES_Date,nrES_PID,$D429,nrES_Code,$F429,nrES_Att,2,nrES_Raw,"&gt;=0",nrES_Date,"&gt;0"),"mm/dd")&amp;" (due "&amp;TEXT($T429,"mm/dd")&amp;")","Retested"))),IF(NOT(ISNUMBER($T429)),"CHECK DATE",IF(TODAY()&gt;$T429,"OVERDUE","Due "&amp;TEXT($T429,"mm/dd")))))))</f>
        <v/>
      </c>
      <c r="V429" s="16" t="n"/>
      <c r="W429" s="16" t="n"/>
      <c r="X429" s="17">
        <f>IF($C429="","",IF(AND($L429&lt;&gt;"",NOT(ISNUMBER($L429))),"RAW SCORE NOT A NUMBER",IF(AND(ISNUMBER($L429),OR($L429&lt;0,$L429&gt;100)),"RAW SCORE OUT OF RANGE",IF(AND($Y429="Unexcused",OR($L429="",NOT(ISNUMBER($L429)),$L429&lt;&gt;0)),"UNEXCUSED ABSENCE MUST RECORD 0",IF(COUNTIF(nrES_RecID,$B429)&gt;1,"DUPLICATE RECORD",IF(N($K429)&gt;2,"ATTEMPT 3+ NOT ALLOWED - policy 300.5 permits one retest per exam; this row records nothing",IF(AND($K429=2,COUNTIFS(nrES_PID,$D429,nrES_Code,$F429,nrES_Att,1)=0),"ATTEMPT 2 WITHOUT ATTEMPT 1",IF(AND($K429=2,$L429=""),"RETEST ROW HAS NO SCORE",IF(AND($H429="Final",$L429&lt;&gt;"",IFERROR(INDEX(nrCKfinalExamElig,MATCH($D429,rngCadetPIDs,0)),"")="No"),"FINAL EXAM AFTER FAILED FINAL PT (500.1.H)",IF(AND($K429=2,ISNUMBER($L429),COUNTIFS(nrES_PID,$D429,nrES_Code,$F429,nrES_Att,1)&gt;0,SUMIFS(nrES_Raw,nrES_PID,$D429,nrES_Code,$F429,nrES_Att,1)&gt;=$J429),"RETEST AFTER A PASSING FIRST ATTEMPT","OK"))))))))))</f>
        <v/>
      </c>
      <c r="Y429" s="16" t="n"/>
    </row>
    <row r="430">
      <c r="B430" s="17">
        <f>IF($C430="","",$D430&amp;"-"&amp;$F430&amp;"-"&amp;$K430)</f>
        <v/>
      </c>
      <c r="C430" s="16" t="n"/>
      <c r="D430" s="17">
        <f>IF($C430="","",IFERROR(INDEX(rngCadetPIDs,MATCH($C430,rngCadetNames,0)),"?"))</f>
        <v/>
      </c>
      <c r="E430" s="17">
        <f>IF($D430="","",IFERROR(INDEX(nrCadetAgency,MATCH($D430,rngCadetPIDs,0)),""))</f>
        <v/>
      </c>
      <c r="F430" s="16" t="n"/>
      <c r="G430" s="17">
        <f>IF($F430="","",IFERROR(INDEX(rngEPname,MATCH($F430,rngEPcode,0)),"?"))</f>
        <v/>
      </c>
      <c r="H430" s="17">
        <f>IF($F430="","",IFERROR(INDEX(rngEPtype,MATCH($F430,rngEPcode,0)),"?"))</f>
        <v/>
      </c>
      <c r="I430" s="17">
        <f>IF($F430="","",IFERROR(INDEX(rngEPseq,MATCH($F430,rngEPcode,0)),""))</f>
        <v/>
      </c>
      <c r="J430" s="17">
        <f>IF($F430="","",IFERROR(INDEX(rngEPpass,MATCH($F430,rngEPcode,0)),cfgPassingScore))</f>
        <v/>
      </c>
      <c r="K430" s="16" t="n"/>
      <c r="L430" s="16" t="n"/>
      <c r="M430" s="17">
        <f>IF($C430="","",IF($L430="","",IF(NOT(ISNUMBER($L430)),$L430,IF(N($K430)&gt;2,"",IF($K430=1,IF(COUNTIFS(nrES_PID,$D430,nrES_Code,$F430,nrES_Att,2,nrES_Raw,"&gt;=0")&gt;0,"",$L430),IF($L430&gt;=$J430,MAX($J430,cfgRetakeRecordedCap),IF(COUNTIFS(nrES_PID,$D430,nrES_Code,$F430,nrES_Att,1)=0,$L430,SUMIFS(nrES_Raw,nrES_PID,$D430,nrES_Code,$F430,nrES_Att,1))))))))</f>
        <v/>
      </c>
      <c r="N430" s="17">
        <f>IF($C430="","",IF($L430="","",IF(NOT(ISNUMBER($L430)),"(not a score)",IF($L430&gt;=$J430,"Yes","No"))))</f>
        <v/>
      </c>
      <c r="O430" s="17">
        <f>IF($C430="","",IF($M430="","",IF(NOT(ISNUMBER($M430)),"(not a score)",IF($M430&gt;=$J430,"Yes","No"))))</f>
        <v/>
      </c>
      <c r="P430" s="17">
        <f>IF($C430="","",IF($K430="","",IF(N($K430)&gt;2,"No",IF(COUNTIFS(nrES_PID,$D430,nrES_Code,$F430,nrES_Att,"&gt;"&amp;$K430,nrES_Att,"&lt;=2",nrES_Raw,"&gt;=0")=0,"Yes","No"))))</f>
        <v/>
      </c>
      <c r="Q430" s="17">
        <f>IF($C430="","",IF($L430="","",IF(AND($K430=1,ISNUMBER($L430),$L430&lt;$J430,COUNTIFS(nrES_PID,$D430,nrES_Code,$F430,nrES_Att,2,nrES_Raw,"&gt;=0")=0),"Yes","No")))</f>
        <v/>
      </c>
      <c r="R430" s="17">
        <f>IF($C430="","",IF($L430="","",IF(AND(N($K430)&gt;=2,ISNUMBER($L430),$L430&lt;$J430),"Yes","No")))</f>
        <v/>
      </c>
      <c r="S430" s="18" t="n"/>
      <c r="T430" s="19">
        <f>IF(OR($C430="",$L430="",$K430&lt;&gt;1,NOT(ISNUMBER($L430)),$L430&gt;=$J430),"",IF($S430="","(enter date)",_xlfn.LET(_xlpm.dn,_xlfn.XLOOKUP($S430,nrCDdate,nrCDnum,"",1),IF(_xlpm.dn="","(after last class day)",_xlfn.LET(_xlpm.dd,_xlfn.XLOOKUP(_xlpm.dn+cfgRetestClassDays,nrCDnum,nrCDdate,""),_xlpm.ok,_xlfn.XLOOKUP(_xlpm.dn+cfgRetestClassDays,nrCDnum,nrCDinsession,"No"),IF(OR(_xlpm.dd="",_xlpm.ok&lt;&gt;"Yes"),"(after last class day)",_xlpm.dd))))))</f>
        <v/>
      </c>
      <c r="U430" s="17">
        <f>IF($C430="","",IF(AND($Y430="Excused",$L430="",N($K430)&lt;=1),"EXCUSED - 1st attempt pending",IF(OR($L430="",$K430&lt;&gt;1,NOT(ISNUMBER($L430)),$L430&gt;=$J430),"",IF(COUNTIFS(nrES_PID,$D430,nrES_Code,$F430,nrES_Att,2,nrES_Raw,"&gt;=0")&gt;0,IF(IFERROR(_xlfn.MINIFS(nrES_Date,nrES_PID,$D430,nrES_Code,$F430,nrES_Att,2,nrES_Raw,"&gt;=0",nrES_Date,"&gt;0"),0)=0,"RETEST UNDATED",IF(NOT(ISNUMBER($T430)),"RETEST DATE UNCHECKED",IF(_xlfn.MINIFS(nrES_Date,nrES_PID,$D430,nrES_Code,$F430,nrES_Att,2,nrES_Raw,"&gt;=0",nrES_Date,"&gt;0")&gt;$T430,"LATE RETEST "&amp;TEXT(_xlfn.MINIFS(nrES_Date,nrES_PID,$D430,nrES_Code,$F430,nrES_Att,2,nrES_Raw,"&gt;=0",nrES_Date,"&gt;0"),"mm/dd")&amp;" (due "&amp;TEXT($T430,"mm/dd")&amp;")","Retested"))),IF(NOT(ISNUMBER($T430)),"CHECK DATE",IF(TODAY()&gt;$T430,"OVERDUE","Due "&amp;TEXT($T430,"mm/dd")))))))</f>
        <v/>
      </c>
      <c r="V430" s="16" t="n"/>
      <c r="W430" s="16" t="n"/>
      <c r="X430" s="17">
        <f>IF($C430="","",IF(AND($L430&lt;&gt;"",NOT(ISNUMBER($L430))),"RAW SCORE NOT A NUMBER",IF(AND(ISNUMBER($L430),OR($L430&lt;0,$L430&gt;100)),"RAW SCORE OUT OF RANGE",IF(AND($Y430="Unexcused",OR($L430="",NOT(ISNUMBER($L430)),$L430&lt;&gt;0)),"UNEXCUSED ABSENCE MUST RECORD 0",IF(COUNTIF(nrES_RecID,$B430)&gt;1,"DUPLICATE RECORD",IF(N($K430)&gt;2,"ATTEMPT 3+ NOT ALLOWED - policy 300.5 permits one retest per exam; this row records nothing",IF(AND($K430=2,COUNTIFS(nrES_PID,$D430,nrES_Code,$F430,nrES_Att,1)=0),"ATTEMPT 2 WITHOUT ATTEMPT 1",IF(AND($K430=2,$L430=""),"RETEST ROW HAS NO SCORE",IF(AND($H430="Final",$L430&lt;&gt;"",IFERROR(INDEX(nrCKfinalExamElig,MATCH($D430,rngCadetPIDs,0)),"")="No"),"FINAL EXAM AFTER FAILED FINAL PT (500.1.H)",IF(AND($K430=2,ISNUMBER($L430),COUNTIFS(nrES_PID,$D430,nrES_Code,$F430,nrES_Att,1)&gt;0,SUMIFS(nrES_Raw,nrES_PID,$D430,nrES_Code,$F430,nrES_Att,1)&gt;=$J430),"RETEST AFTER A PASSING FIRST ATTEMPT","OK"))))))))))</f>
        <v/>
      </c>
      <c r="Y430" s="16" t="n"/>
    </row>
    <row r="431">
      <c r="B431" s="17">
        <f>IF($C431="","",$D431&amp;"-"&amp;$F431&amp;"-"&amp;$K431)</f>
        <v/>
      </c>
      <c r="C431" s="16" t="n"/>
      <c r="D431" s="17">
        <f>IF($C431="","",IFERROR(INDEX(rngCadetPIDs,MATCH($C431,rngCadetNames,0)),"?"))</f>
        <v/>
      </c>
      <c r="E431" s="17">
        <f>IF($D431="","",IFERROR(INDEX(nrCadetAgency,MATCH($D431,rngCadetPIDs,0)),""))</f>
        <v/>
      </c>
      <c r="F431" s="16" t="n"/>
      <c r="G431" s="17">
        <f>IF($F431="","",IFERROR(INDEX(rngEPname,MATCH($F431,rngEPcode,0)),"?"))</f>
        <v/>
      </c>
      <c r="H431" s="17">
        <f>IF($F431="","",IFERROR(INDEX(rngEPtype,MATCH($F431,rngEPcode,0)),"?"))</f>
        <v/>
      </c>
      <c r="I431" s="17">
        <f>IF($F431="","",IFERROR(INDEX(rngEPseq,MATCH($F431,rngEPcode,0)),""))</f>
        <v/>
      </c>
      <c r="J431" s="17">
        <f>IF($F431="","",IFERROR(INDEX(rngEPpass,MATCH($F431,rngEPcode,0)),cfgPassingScore))</f>
        <v/>
      </c>
      <c r="K431" s="16" t="n"/>
      <c r="L431" s="16" t="n"/>
      <c r="M431" s="17">
        <f>IF($C431="","",IF($L431="","",IF(NOT(ISNUMBER($L431)),$L431,IF(N($K431)&gt;2,"",IF($K431=1,IF(COUNTIFS(nrES_PID,$D431,nrES_Code,$F431,nrES_Att,2,nrES_Raw,"&gt;=0")&gt;0,"",$L431),IF($L431&gt;=$J431,MAX($J431,cfgRetakeRecordedCap),IF(COUNTIFS(nrES_PID,$D431,nrES_Code,$F431,nrES_Att,1)=0,$L431,SUMIFS(nrES_Raw,nrES_PID,$D431,nrES_Code,$F431,nrES_Att,1))))))))</f>
        <v/>
      </c>
      <c r="N431" s="17">
        <f>IF($C431="","",IF($L431="","",IF(NOT(ISNUMBER($L431)),"(not a score)",IF($L431&gt;=$J431,"Yes","No"))))</f>
        <v/>
      </c>
      <c r="O431" s="17">
        <f>IF($C431="","",IF($M431="","",IF(NOT(ISNUMBER($M431)),"(not a score)",IF($M431&gt;=$J431,"Yes","No"))))</f>
        <v/>
      </c>
      <c r="P431" s="17">
        <f>IF($C431="","",IF($K431="","",IF(N($K431)&gt;2,"No",IF(COUNTIFS(nrES_PID,$D431,nrES_Code,$F431,nrES_Att,"&gt;"&amp;$K431,nrES_Att,"&lt;=2",nrES_Raw,"&gt;=0")=0,"Yes","No"))))</f>
        <v/>
      </c>
      <c r="Q431" s="17">
        <f>IF($C431="","",IF($L431="","",IF(AND($K431=1,ISNUMBER($L431),$L431&lt;$J431,COUNTIFS(nrES_PID,$D431,nrES_Code,$F431,nrES_Att,2,nrES_Raw,"&gt;=0")=0),"Yes","No")))</f>
        <v/>
      </c>
      <c r="R431" s="17">
        <f>IF($C431="","",IF($L431="","",IF(AND(N($K431)&gt;=2,ISNUMBER($L431),$L431&lt;$J431),"Yes","No")))</f>
        <v/>
      </c>
      <c r="S431" s="18" t="n"/>
      <c r="T431" s="19">
        <f>IF(OR($C431="",$L431="",$K431&lt;&gt;1,NOT(ISNUMBER($L431)),$L431&gt;=$J431),"",IF($S431="","(enter date)",_xlfn.LET(_xlpm.dn,_xlfn.XLOOKUP($S431,nrCDdate,nrCDnum,"",1),IF(_xlpm.dn="","(after last class day)",_xlfn.LET(_xlpm.dd,_xlfn.XLOOKUP(_xlpm.dn+cfgRetestClassDays,nrCDnum,nrCDdate,""),_xlpm.ok,_xlfn.XLOOKUP(_xlpm.dn+cfgRetestClassDays,nrCDnum,nrCDinsession,"No"),IF(OR(_xlpm.dd="",_xlpm.ok&lt;&gt;"Yes"),"(after last class day)",_xlpm.dd))))))</f>
        <v/>
      </c>
      <c r="U431" s="17">
        <f>IF($C431="","",IF(AND($Y431="Excused",$L431="",N($K431)&lt;=1),"EXCUSED - 1st attempt pending",IF(OR($L431="",$K431&lt;&gt;1,NOT(ISNUMBER($L431)),$L431&gt;=$J431),"",IF(COUNTIFS(nrES_PID,$D431,nrES_Code,$F431,nrES_Att,2,nrES_Raw,"&gt;=0")&gt;0,IF(IFERROR(_xlfn.MINIFS(nrES_Date,nrES_PID,$D431,nrES_Code,$F431,nrES_Att,2,nrES_Raw,"&gt;=0",nrES_Date,"&gt;0"),0)=0,"RETEST UNDATED",IF(NOT(ISNUMBER($T431)),"RETEST DATE UNCHECKED",IF(_xlfn.MINIFS(nrES_Date,nrES_PID,$D431,nrES_Code,$F431,nrES_Att,2,nrES_Raw,"&gt;=0",nrES_Date,"&gt;0")&gt;$T431,"LATE RETEST "&amp;TEXT(_xlfn.MINIFS(nrES_Date,nrES_PID,$D431,nrES_Code,$F431,nrES_Att,2,nrES_Raw,"&gt;=0",nrES_Date,"&gt;0"),"mm/dd")&amp;" (due "&amp;TEXT($T431,"mm/dd")&amp;")","Retested"))),IF(NOT(ISNUMBER($T431)),"CHECK DATE",IF(TODAY()&gt;$T431,"OVERDUE","Due "&amp;TEXT($T431,"mm/dd")))))))</f>
        <v/>
      </c>
      <c r="V431" s="16" t="n"/>
      <c r="W431" s="16" t="n"/>
      <c r="X431" s="17">
        <f>IF($C431="","",IF(AND($L431&lt;&gt;"",NOT(ISNUMBER($L431))),"RAW SCORE NOT A NUMBER",IF(AND(ISNUMBER($L431),OR($L431&lt;0,$L431&gt;100)),"RAW SCORE OUT OF RANGE",IF(AND($Y431="Unexcused",OR($L431="",NOT(ISNUMBER($L431)),$L431&lt;&gt;0)),"UNEXCUSED ABSENCE MUST RECORD 0",IF(COUNTIF(nrES_RecID,$B431)&gt;1,"DUPLICATE RECORD",IF(N($K431)&gt;2,"ATTEMPT 3+ NOT ALLOWED - policy 300.5 permits one retest per exam; this row records nothing",IF(AND($K431=2,COUNTIFS(nrES_PID,$D431,nrES_Code,$F431,nrES_Att,1)=0),"ATTEMPT 2 WITHOUT ATTEMPT 1",IF(AND($K431=2,$L431=""),"RETEST ROW HAS NO SCORE",IF(AND($H431="Final",$L431&lt;&gt;"",IFERROR(INDEX(nrCKfinalExamElig,MATCH($D431,rngCadetPIDs,0)),"")="No"),"FINAL EXAM AFTER FAILED FINAL PT (500.1.H)",IF(AND($K431=2,ISNUMBER($L431),COUNTIFS(nrES_PID,$D431,nrES_Code,$F431,nrES_Att,1)&gt;0,SUMIFS(nrES_Raw,nrES_PID,$D431,nrES_Code,$F431,nrES_Att,1)&gt;=$J431),"RETEST AFTER A PASSING FIRST ATTEMPT","OK"))))))))))</f>
        <v/>
      </c>
      <c r="Y431" s="16" t="n"/>
    </row>
    <row r="432">
      <c r="B432" s="17">
        <f>IF($C432="","",$D432&amp;"-"&amp;$F432&amp;"-"&amp;$K432)</f>
        <v/>
      </c>
      <c r="C432" s="16" t="n"/>
      <c r="D432" s="17">
        <f>IF($C432="","",IFERROR(INDEX(rngCadetPIDs,MATCH($C432,rngCadetNames,0)),"?"))</f>
        <v/>
      </c>
      <c r="E432" s="17">
        <f>IF($D432="","",IFERROR(INDEX(nrCadetAgency,MATCH($D432,rngCadetPIDs,0)),""))</f>
        <v/>
      </c>
      <c r="F432" s="16" t="n"/>
      <c r="G432" s="17">
        <f>IF($F432="","",IFERROR(INDEX(rngEPname,MATCH($F432,rngEPcode,0)),"?"))</f>
        <v/>
      </c>
      <c r="H432" s="17">
        <f>IF($F432="","",IFERROR(INDEX(rngEPtype,MATCH($F432,rngEPcode,0)),"?"))</f>
        <v/>
      </c>
      <c r="I432" s="17">
        <f>IF($F432="","",IFERROR(INDEX(rngEPseq,MATCH($F432,rngEPcode,0)),""))</f>
        <v/>
      </c>
      <c r="J432" s="17">
        <f>IF($F432="","",IFERROR(INDEX(rngEPpass,MATCH($F432,rngEPcode,0)),cfgPassingScore))</f>
        <v/>
      </c>
      <c r="K432" s="16" t="n"/>
      <c r="L432" s="16" t="n"/>
      <c r="M432" s="17">
        <f>IF($C432="","",IF($L432="","",IF(NOT(ISNUMBER($L432)),$L432,IF(N($K432)&gt;2,"",IF($K432=1,IF(COUNTIFS(nrES_PID,$D432,nrES_Code,$F432,nrES_Att,2,nrES_Raw,"&gt;=0")&gt;0,"",$L432),IF($L432&gt;=$J432,MAX($J432,cfgRetakeRecordedCap),IF(COUNTIFS(nrES_PID,$D432,nrES_Code,$F432,nrES_Att,1)=0,$L432,SUMIFS(nrES_Raw,nrES_PID,$D432,nrES_Code,$F432,nrES_Att,1))))))))</f>
        <v/>
      </c>
      <c r="N432" s="17">
        <f>IF($C432="","",IF($L432="","",IF(NOT(ISNUMBER($L432)),"(not a score)",IF($L432&gt;=$J432,"Yes","No"))))</f>
        <v/>
      </c>
      <c r="O432" s="17">
        <f>IF($C432="","",IF($M432="","",IF(NOT(ISNUMBER($M432)),"(not a score)",IF($M432&gt;=$J432,"Yes","No"))))</f>
        <v/>
      </c>
      <c r="P432" s="17">
        <f>IF($C432="","",IF($K432="","",IF(N($K432)&gt;2,"No",IF(COUNTIFS(nrES_PID,$D432,nrES_Code,$F432,nrES_Att,"&gt;"&amp;$K432,nrES_Att,"&lt;=2",nrES_Raw,"&gt;=0")=0,"Yes","No"))))</f>
        <v/>
      </c>
      <c r="Q432" s="17">
        <f>IF($C432="","",IF($L432="","",IF(AND($K432=1,ISNUMBER($L432),$L432&lt;$J432,COUNTIFS(nrES_PID,$D432,nrES_Code,$F432,nrES_Att,2,nrES_Raw,"&gt;=0")=0),"Yes","No")))</f>
        <v/>
      </c>
      <c r="R432" s="17">
        <f>IF($C432="","",IF($L432="","",IF(AND(N($K432)&gt;=2,ISNUMBER($L432),$L432&lt;$J432),"Yes","No")))</f>
        <v/>
      </c>
      <c r="S432" s="18" t="n"/>
      <c r="T432" s="19">
        <f>IF(OR($C432="",$L432="",$K432&lt;&gt;1,NOT(ISNUMBER($L432)),$L432&gt;=$J432),"",IF($S432="","(enter date)",_xlfn.LET(_xlpm.dn,_xlfn.XLOOKUP($S432,nrCDdate,nrCDnum,"",1),IF(_xlpm.dn="","(after last class day)",_xlfn.LET(_xlpm.dd,_xlfn.XLOOKUP(_xlpm.dn+cfgRetestClassDays,nrCDnum,nrCDdate,""),_xlpm.ok,_xlfn.XLOOKUP(_xlpm.dn+cfgRetestClassDays,nrCDnum,nrCDinsession,"No"),IF(OR(_xlpm.dd="",_xlpm.ok&lt;&gt;"Yes"),"(after last class day)",_xlpm.dd))))))</f>
        <v/>
      </c>
      <c r="U432" s="17">
        <f>IF($C432="","",IF(AND($Y432="Excused",$L432="",N($K432)&lt;=1),"EXCUSED - 1st attempt pending",IF(OR($L432="",$K432&lt;&gt;1,NOT(ISNUMBER($L432)),$L432&gt;=$J432),"",IF(COUNTIFS(nrES_PID,$D432,nrES_Code,$F432,nrES_Att,2,nrES_Raw,"&gt;=0")&gt;0,IF(IFERROR(_xlfn.MINIFS(nrES_Date,nrES_PID,$D432,nrES_Code,$F432,nrES_Att,2,nrES_Raw,"&gt;=0",nrES_Date,"&gt;0"),0)=0,"RETEST UNDATED",IF(NOT(ISNUMBER($T432)),"RETEST DATE UNCHECKED",IF(_xlfn.MINIFS(nrES_Date,nrES_PID,$D432,nrES_Code,$F432,nrES_Att,2,nrES_Raw,"&gt;=0",nrES_Date,"&gt;0")&gt;$T432,"LATE RETEST "&amp;TEXT(_xlfn.MINIFS(nrES_Date,nrES_PID,$D432,nrES_Code,$F432,nrES_Att,2,nrES_Raw,"&gt;=0",nrES_Date,"&gt;0"),"mm/dd")&amp;" (due "&amp;TEXT($T432,"mm/dd")&amp;")","Retested"))),IF(NOT(ISNUMBER($T432)),"CHECK DATE",IF(TODAY()&gt;$T432,"OVERDUE","Due "&amp;TEXT($T432,"mm/dd")))))))</f>
        <v/>
      </c>
      <c r="V432" s="16" t="n"/>
      <c r="W432" s="16" t="n"/>
      <c r="X432" s="17">
        <f>IF($C432="","",IF(AND($L432&lt;&gt;"",NOT(ISNUMBER($L432))),"RAW SCORE NOT A NUMBER",IF(AND(ISNUMBER($L432),OR($L432&lt;0,$L432&gt;100)),"RAW SCORE OUT OF RANGE",IF(AND($Y432="Unexcused",OR($L432="",NOT(ISNUMBER($L432)),$L432&lt;&gt;0)),"UNEXCUSED ABSENCE MUST RECORD 0",IF(COUNTIF(nrES_RecID,$B432)&gt;1,"DUPLICATE RECORD",IF(N($K432)&gt;2,"ATTEMPT 3+ NOT ALLOWED - policy 300.5 permits one retest per exam; this row records nothing",IF(AND($K432=2,COUNTIFS(nrES_PID,$D432,nrES_Code,$F432,nrES_Att,1)=0),"ATTEMPT 2 WITHOUT ATTEMPT 1",IF(AND($K432=2,$L432=""),"RETEST ROW HAS NO SCORE",IF(AND($H432="Final",$L432&lt;&gt;"",IFERROR(INDEX(nrCKfinalExamElig,MATCH($D432,rngCadetPIDs,0)),"")="No"),"FINAL EXAM AFTER FAILED FINAL PT (500.1.H)",IF(AND($K432=2,ISNUMBER($L432),COUNTIFS(nrES_PID,$D432,nrES_Code,$F432,nrES_Att,1)&gt;0,SUMIFS(nrES_Raw,nrES_PID,$D432,nrES_Code,$F432,nrES_Att,1)&gt;=$J432),"RETEST AFTER A PASSING FIRST ATTEMPT","OK"))))))))))</f>
        <v/>
      </c>
      <c r="Y432" s="16" t="n"/>
    </row>
    <row r="433">
      <c r="B433" s="17">
        <f>IF($C433="","",$D433&amp;"-"&amp;$F433&amp;"-"&amp;$K433)</f>
        <v/>
      </c>
      <c r="C433" s="16" t="n"/>
      <c r="D433" s="17">
        <f>IF($C433="","",IFERROR(INDEX(rngCadetPIDs,MATCH($C433,rngCadetNames,0)),"?"))</f>
        <v/>
      </c>
      <c r="E433" s="17">
        <f>IF($D433="","",IFERROR(INDEX(nrCadetAgency,MATCH($D433,rngCadetPIDs,0)),""))</f>
        <v/>
      </c>
      <c r="F433" s="16" t="n"/>
      <c r="G433" s="17">
        <f>IF($F433="","",IFERROR(INDEX(rngEPname,MATCH($F433,rngEPcode,0)),"?"))</f>
        <v/>
      </c>
      <c r="H433" s="17">
        <f>IF($F433="","",IFERROR(INDEX(rngEPtype,MATCH($F433,rngEPcode,0)),"?"))</f>
        <v/>
      </c>
      <c r="I433" s="17">
        <f>IF($F433="","",IFERROR(INDEX(rngEPseq,MATCH($F433,rngEPcode,0)),""))</f>
        <v/>
      </c>
      <c r="J433" s="17">
        <f>IF($F433="","",IFERROR(INDEX(rngEPpass,MATCH($F433,rngEPcode,0)),cfgPassingScore))</f>
        <v/>
      </c>
      <c r="K433" s="16" t="n"/>
      <c r="L433" s="16" t="n"/>
      <c r="M433" s="17">
        <f>IF($C433="","",IF($L433="","",IF(NOT(ISNUMBER($L433)),$L433,IF(N($K433)&gt;2,"",IF($K433=1,IF(COUNTIFS(nrES_PID,$D433,nrES_Code,$F433,nrES_Att,2,nrES_Raw,"&gt;=0")&gt;0,"",$L433),IF($L433&gt;=$J433,MAX($J433,cfgRetakeRecordedCap),IF(COUNTIFS(nrES_PID,$D433,nrES_Code,$F433,nrES_Att,1)=0,$L433,SUMIFS(nrES_Raw,nrES_PID,$D433,nrES_Code,$F433,nrES_Att,1))))))))</f>
        <v/>
      </c>
      <c r="N433" s="17">
        <f>IF($C433="","",IF($L433="","",IF(NOT(ISNUMBER($L433)),"(not a score)",IF($L433&gt;=$J433,"Yes","No"))))</f>
        <v/>
      </c>
      <c r="O433" s="17">
        <f>IF($C433="","",IF($M433="","",IF(NOT(ISNUMBER($M433)),"(not a score)",IF($M433&gt;=$J433,"Yes","No"))))</f>
        <v/>
      </c>
      <c r="P433" s="17">
        <f>IF($C433="","",IF($K433="","",IF(N($K433)&gt;2,"No",IF(COUNTIFS(nrES_PID,$D433,nrES_Code,$F433,nrES_Att,"&gt;"&amp;$K433,nrES_Att,"&lt;=2",nrES_Raw,"&gt;=0")=0,"Yes","No"))))</f>
        <v/>
      </c>
      <c r="Q433" s="17">
        <f>IF($C433="","",IF($L433="","",IF(AND($K433=1,ISNUMBER($L433),$L433&lt;$J433,COUNTIFS(nrES_PID,$D433,nrES_Code,$F433,nrES_Att,2,nrES_Raw,"&gt;=0")=0),"Yes","No")))</f>
        <v/>
      </c>
      <c r="R433" s="17">
        <f>IF($C433="","",IF($L433="","",IF(AND(N($K433)&gt;=2,ISNUMBER($L433),$L433&lt;$J433),"Yes","No")))</f>
        <v/>
      </c>
      <c r="S433" s="18" t="n"/>
      <c r="T433" s="19">
        <f>IF(OR($C433="",$L433="",$K433&lt;&gt;1,NOT(ISNUMBER($L433)),$L433&gt;=$J433),"",IF($S433="","(enter date)",_xlfn.LET(_xlpm.dn,_xlfn.XLOOKUP($S433,nrCDdate,nrCDnum,"",1),IF(_xlpm.dn="","(after last class day)",_xlfn.LET(_xlpm.dd,_xlfn.XLOOKUP(_xlpm.dn+cfgRetestClassDays,nrCDnum,nrCDdate,""),_xlpm.ok,_xlfn.XLOOKUP(_xlpm.dn+cfgRetestClassDays,nrCDnum,nrCDinsession,"No"),IF(OR(_xlpm.dd="",_xlpm.ok&lt;&gt;"Yes"),"(after last class day)",_xlpm.dd))))))</f>
        <v/>
      </c>
      <c r="U433" s="17">
        <f>IF($C433="","",IF(AND($Y433="Excused",$L433="",N($K433)&lt;=1),"EXCUSED - 1st attempt pending",IF(OR($L433="",$K433&lt;&gt;1,NOT(ISNUMBER($L433)),$L433&gt;=$J433),"",IF(COUNTIFS(nrES_PID,$D433,nrES_Code,$F433,nrES_Att,2,nrES_Raw,"&gt;=0")&gt;0,IF(IFERROR(_xlfn.MINIFS(nrES_Date,nrES_PID,$D433,nrES_Code,$F433,nrES_Att,2,nrES_Raw,"&gt;=0",nrES_Date,"&gt;0"),0)=0,"RETEST UNDATED",IF(NOT(ISNUMBER($T433)),"RETEST DATE UNCHECKED",IF(_xlfn.MINIFS(nrES_Date,nrES_PID,$D433,nrES_Code,$F433,nrES_Att,2,nrES_Raw,"&gt;=0",nrES_Date,"&gt;0")&gt;$T433,"LATE RETEST "&amp;TEXT(_xlfn.MINIFS(nrES_Date,nrES_PID,$D433,nrES_Code,$F433,nrES_Att,2,nrES_Raw,"&gt;=0",nrES_Date,"&gt;0"),"mm/dd")&amp;" (due "&amp;TEXT($T433,"mm/dd")&amp;")","Retested"))),IF(NOT(ISNUMBER($T433)),"CHECK DATE",IF(TODAY()&gt;$T433,"OVERDUE","Due "&amp;TEXT($T433,"mm/dd")))))))</f>
        <v/>
      </c>
      <c r="V433" s="16" t="n"/>
      <c r="W433" s="16" t="n"/>
      <c r="X433" s="17">
        <f>IF($C433="","",IF(AND($L433&lt;&gt;"",NOT(ISNUMBER($L433))),"RAW SCORE NOT A NUMBER",IF(AND(ISNUMBER($L433),OR($L433&lt;0,$L433&gt;100)),"RAW SCORE OUT OF RANGE",IF(AND($Y433="Unexcused",OR($L433="",NOT(ISNUMBER($L433)),$L433&lt;&gt;0)),"UNEXCUSED ABSENCE MUST RECORD 0",IF(COUNTIF(nrES_RecID,$B433)&gt;1,"DUPLICATE RECORD",IF(N($K433)&gt;2,"ATTEMPT 3+ NOT ALLOWED - policy 300.5 permits one retest per exam; this row records nothing",IF(AND($K433=2,COUNTIFS(nrES_PID,$D433,nrES_Code,$F433,nrES_Att,1)=0),"ATTEMPT 2 WITHOUT ATTEMPT 1",IF(AND($K433=2,$L433=""),"RETEST ROW HAS NO SCORE",IF(AND($H433="Final",$L433&lt;&gt;"",IFERROR(INDEX(nrCKfinalExamElig,MATCH($D433,rngCadetPIDs,0)),"")="No"),"FINAL EXAM AFTER FAILED FINAL PT (500.1.H)",IF(AND($K433=2,ISNUMBER($L433),COUNTIFS(nrES_PID,$D433,nrES_Code,$F433,nrES_Att,1)&gt;0,SUMIFS(nrES_Raw,nrES_PID,$D433,nrES_Code,$F433,nrES_Att,1)&gt;=$J433),"RETEST AFTER A PASSING FIRST ATTEMPT","OK"))))))))))</f>
        <v/>
      </c>
      <c r="Y433" s="16" t="n"/>
    </row>
    <row r="434">
      <c r="B434" s="17">
        <f>IF($C434="","",$D434&amp;"-"&amp;$F434&amp;"-"&amp;$K434)</f>
        <v/>
      </c>
      <c r="C434" s="16" t="n"/>
      <c r="D434" s="17">
        <f>IF($C434="","",IFERROR(INDEX(rngCadetPIDs,MATCH($C434,rngCadetNames,0)),"?"))</f>
        <v/>
      </c>
      <c r="E434" s="17">
        <f>IF($D434="","",IFERROR(INDEX(nrCadetAgency,MATCH($D434,rngCadetPIDs,0)),""))</f>
        <v/>
      </c>
      <c r="F434" s="16" t="n"/>
      <c r="G434" s="17">
        <f>IF($F434="","",IFERROR(INDEX(rngEPname,MATCH($F434,rngEPcode,0)),"?"))</f>
        <v/>
      </c>
      <c r="H434" s="17">
        <f>IF($F434="","",IFERROR(INDEX(rngEPtype,MATCH($F434,rngEPcode,0)),"?"))</f>
        <v/>
      </c>
      <c r="I434" s="17">
        <f>IF($F434="","",IFERROR(INDEX(rngEPseq,MATCH($F434,rngEPcode,0)),""))</f>
        <v/>
      </c>
      <c r="J434" s="17">
        <f>IF($F434="","",IFERROR(INDEX(rngEPpass,MATCH($F434,rngEPcode,0)),cfgPassingScore))</f>
        <v/>
      </c>
      <c r="K434" s="16" t="n"/>
      <c r="L434" s="16" t="n"/>
      <c r="M434" s="17">
        <f>IF($C434="","",IF($L434="","",IF(NOT(ISNUMBER($L434)),$L434,IF(N($K434)&gt;2,"",IF($K434=1,IF(COUNTIFS(nrES_PID,$D434,nrES_Code,$F434,nrES_Att,2,nrES_Raw,"&gt;=0")&gt;0,"",$L434),IF($L434&gt;=$J434,MAX($J434,cfgRetakeRecordedCap),IF(COUNTIFS(nrES_PID,$D434,nrES_Code,$F434,nrES_Att,1)=0,$L434,SUMIFS(nrES_Raw,nrES_PID,$D434,nrES_Code,$F434,nrES_Att,1))))))))</f>
        <v/>
      </c>
      <c r="N434" s="17">
        <f>IF($C434="","",IF($L434="","",IF(NOT(ISNUMBER($L434)),"(not a score)",IF($L434&gt;=$J434,"Yes","No"))))</f>
        <v/>
      </c>
      <c r="O434" s="17">
        <f>IF($C434="","",IF($M434="","",IF(NOT(ISNUMBER($M434)),"(not a score)",IF($M434&gt;=$J434,"Yes","No"))))</f>
        <v/>
      </c>
      <c r="P434" s="17">
        <f>IF($C434="","",IF($K434="","",IF(N($K434)&gt;2,"No",IF(COUNTIFS(nrES_PID,$D434,nrES_Code,$F434,nrES_Att,"&gt;"&amp;$K434,nrES_Att,"&lt;=2",nrES_Raw,"&gt;=0")=0,"Yes","No"))))</f>
        <v/>
      </c>
      <c r="Q434" s="17">
        <f>IF($C434="","",IF($L434="","",IF(AND($K434=1,ISNUMBER($L434),$L434&lt;$J434,COUNTIFS(nrES_PID,$D434,nrES_Code,$F434,nrES_Att,2,nrES_Raw,"&gt;=0")=0),"Yes","No")))</f>
        <v/>
      </c>
      <c r="R434" s="17">
        <f>IF($C434="","",IF($L434="","",IF(AND(N($K434)&gt;=2,ISNUMBER($L434),$L434&lt;$J434),"Yes","No")))</f>
        <v/>
      </c>
      <c r="S434" s="18" t="n"/>
      <c r="T434" s="19">
        <f>IF(OR($C434="",$L434="",$K434&lt;&gt;1,NOT(ISNUMBER($L434)),$L434&gt;=$J434),"",IF($S434="","(enter date)",_xlfn.LET(_xlpm.dn,_xlfn.XLOOKUP($S434,nrCDdate,nrCDnum,"",1),IF(_xlpm.dn="","(after last class day)",_xlfn.LET(_xlpm.dd,_xlfn.XLOOKUP(_xlpm.dn+cfgRetestClassDays,nrCDnum,nrCDdate,""),_xlpm.ok,_xlfn.XLOOKUP(_xlpm.dn+cfgRetestClassDays,nrCDnum,nrCDinsession,"No"),IF(OR(_xlpm.dd="",_xlpm.ok&lt;&gt;"Yes"),"(after last class day)",_xlpm.dd))))))</f>
        <v/>
      </c>
      <c r="U434" s="17">
        <f>IF($C434="","",IF(AND($Y434="Excused",$L434="",N($K434)&lt;=1),"EXCUSED - 1st attempt pending",IF(OR($L434="",$K434&lt;&gt;1,NOT(ISNUMBER($L434)),$L434&gt;=$J434),"",IF(COUNTIFS(nrES_PID,$D434,nrES_Code,$F434,nrES_Att,2,nrES_Raw,"&gt;=0")&gt;0,IF(IFERROR(_xlfn.MINIFS(nrES_Date,nrES_PID,$D434,nrES_Code,$F434,nrES_Att,2,nrES_Raw,"&gt;=0",nrES_Date,"&gt;0"),0)=0,"RETEST UNDATED",IF(NOT(ISNUMBER($T434)),"RETEST DATE UNCHECKED",IF(_xlfn.MINIFS(nrES_Date,nrES_PID,$D434,nrES_Code,$F434,nrES_Att,2,nrES_Raw,"&gt;=0",nrES_Date,"&gt;0")&gt;$T434,"LATE RETEST "&amp;TEXT(_xlfn.MINIFS(nrES_Date,nrES_PID,$D434,nrES_Code,$F434,nrES_Att,2,nrES_Raw,"&gt;=0",nrES_Date,"&gt;0"),"mm/dd")&amp;" (due "&amp;TEXT($T434,"mm/dd")&amp;")","Retested"))),IF(NOT(ISNUMBER($T434)),"CHECK DATE",IF(TODAY()&gt;$T434,"OVERDUE","Due "&amp;TEXT($T434,"mm/dd")))))))</f>
        <v/>
      </c>
      <c r="V434" s="16" t="n"/>
      <c r="W434" s="16" t="n"/>
      <c r="X434" s="17">
        <f>IF($C434="","",IF(AND($L434&lt;&gt;"",NOT(ISNUMBER($L434))),"RAW SCORE NOT A NUMBER",IF(AND(ISNUMBER($L434),OR($L434&lt;0,$L434&gt;100)),"RAW SCORE OUT OF RANGE",IF(AND($Y434="Unexcused",OR($L434="",NOT(ISNUMBER($L434)),$L434&lt;&gt;0)),"UNEXCUSED ABSENCE MUST RECORD 0",IF(COUNTIF(nrES_RecID,$B434)&gt;1,"DUPLICATE RECORD",IF(N($K434)&gt;2,"ATTEMPT 3+ NOT ALLOWED - policy 300.5 permits one retest per exam; this row records nothing",IF(AND($K434=2,COUNTIFS(nrES_PID,$D434,nrES_Code,$F434,nrES_Att,1)=0),"ATTEMPT 2 WITHOUT ATTEMPT 1",IF(AND($K434=2,$L434=""),"RETEST ROW HAS NO SCORE",IF(AND($H434="Final",$L434&lt;&gt;"",IFERROR(INDEX(nrCKfinalExamElig,MATCH($D434,rngCadetPIDs,0)),"")="No"),"FINAL EXAM AFTER FAILED FINAL PT (500.1.H)",IF(AND($K434=2,ISNUMBER($L434),COUNTIFS(nrES_PID,$D434,nrES_Code,$F434,nrES_Att,1)&gt;0,SUMIFS(nrES_Raw,nrES_PID,$D434,nrES_Code,$F434,nrES_Att,1)&gt;=$J434),"RETEST AFTER A PASSING FIRST ATTEMPT","OK"))))))))))</f>
        <v/>
      </c>
      <c r="Y434" s="16" t="n"/>
    </row>
    <row r="435">
      <c r="B435" s="17">
        <f>IF($C435="","",$D435&amp;"-"&amp;$F435&amp;"-"&amp;$K435)</f>
        <v/>
      </c>
      <c r="C435" s="16" t="n"/>
      <c r="D435" s="17">
        <f>IF($C435="","",IFERROR(INDEX(rngCadetPIDs,MATCH($C435,rngCadetNames,0)),"?"))</f>
        <v/>
      </c>
      <c r="E435" s="17">
        <f>IF($D435="","",IFERROR(INDEX(nrCadetAgency,MATCH($D435,rngCadetPIDs,0)),""))</f>
        <v/>
      </c>
      <c r="F435" s="16" t="n"/>
      <c r="G435" s="17">
        <f>IF($F435="","",IFERROR(INDEX(rngEPname,MATCH($F435,rngEPcode,0)),"?"))</f>
        <v/>
      </c>
      <c r="H435" s="17">
        <f>IF($F435="","",IFERROR(INDEX(rngEPtype,MATCH($F435,rngEPcode,0)),"?"))</f>
        <v/>
      </c>
      <c r="I435" s="17">
        <f>IF($F435="","",IFERROR(INDEX(rngEPseq,MATCH($F435,rngEPcode,0)),""))</f>
        <v/>
      </c>
      <c r="J435" s="17">
        <f>IF($F435="","",IFERROR(INDEX(rngEPpass,MATCH($F435,rngEPcode,0)),cfgPassingScore))</f>
        <v/>
      </c>
      <c r="K435" s="16" t="n"/>
      <c r="L435" s="16" t="n"/>
      <c r="M435" s="17">
        <f>IF($C435="","",IF($L435="","",IF(NOT(ISNUMBER($L435)),$L435,IF(N($K435)&gt;2,"",IF($K435=1,IF(COUNTIFS(nrES_PID,$D435,nrES_Code,$F435,nrES_Att,2,nrES_Raw,"&gt;=0")&gt;0,"",$L435),IF($L435&gt;=$J435,MAX($J435,cfgRetakeRecordedCap),IF(COUNTIFS(nrES_PID,$D435,nrES_Code,$F435,nrES_Att,1)=0,$L435,SUMIFS(nrES_Raw,nrES_PID,$D435,nrES_Code,$F435,nrES_Att,1))))))))</f>
        <v/>
      </c>
      <c r="N435" s="17">
        <f>IF($C435="","",IF($L435="","",IF(NOT(ISNUMBER($L435)),"(not a score)",IF($L435&gt;=$J435,"Yes","No"))))</f>
        <v/>
      </c>
      <c r="O435" s="17">
        <f>IF($C435="","",IF($M435="","",IF(NOT(ISNUMBER($M435)),"(not a score)",IF($M435&gt;=$J435,"Yes","No"))))</f>
        <v/>
      </c>
      <c r="P435" s="17">
        <f>IF($C435="","",IF($K435="","",IF(N($K435)&gt;2,"No",IF(COUNTIFS(nrES_PID,$D435,nrES_Code,$F435,nrES_Att,"&gt;"&amp;$K435,nrES_Att,"&lt;=2",nrES_Raw,"&gt;=0")=0,"Yes","No"))))</f>
        <v/>
      </c>
      <c r="Q435" s="17">
        <f>IF($C435="","",IF($L435="","",IF(AND($K435=1,ISNUMBER($L435),$L435&lt;$J435,COUNTIFS(nrES_PID,$D435,nrES_Code,$F435,nrES_Att,2,nrES_Raw,"&gt;=0")=0),"Yes","No")))</f>
        <v/>
      </c>
      <c r="R435" s="17">
        <f>IF($C435="","",IF($L435="","",IF(AND(N($K435)&gt;=2,ISNUMBER($L435),$L435&lt;$J435),"Yes","No")))</f>
        <v/>
      </c>
      <c r="S435" s="18" t="n"/>
      <c r="T435" s="19">
        <f>IF(OR($C435="",$L435="",$K435&lt;&gt;1,NOT(ISNUMBER($L435)),$L435&gt;=$J435),"",IF($S435="","(enter date)",_xlfn.LET(_xlpm.dn,_xlfn.XLOOKUP($S435,nrCDdate,nrCDnum,"",1),IF(_xlpm.dn="","(after last class day)",_xlfn.LET(_xlpm.dd,_xlfn.XLOOKUP(_xlpm.dn+cfgRetestClassDays,nrCDnum,nrCDdate,""),_xlpm.ok,_xlfn.XLOOKUP(_xlpm.dn+cfgRetestClassDays,nrCDnum,nrCDinsession,"No"),IF(OR(_xlpm.dd="",_xlpm.ok&lt;&gt;"Yes"),"(after last class day)",_xlpm.dd))))))</f>
        <v/>
      </c>
      <c r="U435" s="17">
        <f>IF($C435="","",IF(AND($Y435="Excused",$L435="",N($K435)&lt;=1),"EXCUSED - 1st attempt pending",IF(OR($L435="",$K435&lt;&gt;1,NOT(ISNUMBER($L435)),$L435&gt;=$J435),"",IF(COUNTIFS(nrES_PID,$D435,nrES_Code,$F435,nrES_Att,2,nrES_Raw,"&gt;=0")&gt;0,IF(IFERROR(_xlfn.MINIFS(nrES_Date,nrES_PID,$D435,nrES_Code,$F435,nrES_Att,2,nrES_Raw,"&gt;=0",nrES_Date,"&gt;0"),0)=0,"RETEST UNDATED",IF(NOT(ISNUMBER($T435)),"RETEST DATE UNCHECKED",IF(_xlfn.MINIFS(nrES_Date,nrES_PID,$D435,nrES_Code,$F435,nrES_Att,2,nrES_Raw,"&gt;=0",nrES_Date,"&gt;0")&gt;$T435,"LATE RETEST "&amp;TEXT(_xlfn.MINIFS(nrES_Date,nrES_PID,$D435,nrES_Code,$F435,nrES_Att,2,nrES_Raw,"&gt;=0",nrES_Date,"&gt;0"),"mm/dd")&amp;" (due "&amp;TEXT($T435,"mm/dd")&amp;")","Retested"))),IF(NOT(ISNUMBER($T435)),"CHECK DATE",IF(TODAY()&gt;$T435,"OVERDUE","Due "&amp;TEXT($T435,"mm/dd")))))))</f>
        <v/>
      </c>
      <c r="V435" s="16" t="n"/>
      <c r="W435" s="16" t="n"/>
      <c r="X435" s="17">
        <f>IF($C435="","",IF(AND($L435&lt;&gt;"",NOT(ISNUMBER($L435))),"RAW SCORE NOT A NUMBER",IF(AND(ISNUMBER($L435),OR($L435&lt;0,$L435&gt;100)),"RAW SCORE OUT OF RANGE",IF(AND($Y435="Unexcused",OR($L435="",NOT(ISNUMBER($L435)),$L435&lt;&gt;0)),"UNEXCUSED ABSENCE MUST RECORD 0",IF(COUNTIF(nrES_RecID,$B435)&gt;1,"DUPLICATE RECORD",IF(N($K435)&gt;2,"ATTEMPT 3+ NOT ALLOWED - policy 300.5 permits one retest per exam; this row records nothing",IF(AND($K435=2,COUNTIFS(nrES_PID,$D435,nrES_Code,$F435,nrES_Att,1)=0),"ATTEMPT 2 WITHOUT ATTEMPT 1",IF(AND($K435=2,$L435=""),"RETEST ROW HAS NO SCORE",IF(AND($H435="Final",$L435&lt;&gt;"",IFERROR(INDEX(nrCKfinalExamElig,MATCH($D435,rngCadetPIDs,0)),"")="No"),"FINAL EXAM AFTER FAILED FINAL PT (500.1.H)",IF(AND($K435=2,ISNUMBER($L435),COUNTIFS(nrES_PID,$D435,nrES_Code,$F435,nrES_Att,1)&gt;0,SUMIFS(nrES_Raw,nrES_PID,$D435,nrES_Code,$F435,nrES_Att,1)&gt;=$J435),"RETEST AFTER A PASSING FIRST ATTEMPT","OK"))))))))))</f>
        <v/>
      </c>
      <c r="Y435" s="16" t="n"/>
    </row>
    <row r="436">
      <c r="B436" s="17">
        <f>IF($C436="","",$D436&amp;"-"&amp;$F436&amp;"-"&amp;$K436)</f>
        <v/>
      </c>
      <c r="C436" s="16" t="n"/>
      <c r="D436" s="17">
        <f>IF($C436="","",IFERROR(INDEX(rngCadetPIDs,MATCH($C436,rngCadetNames,0)),"?"))</f>
        <v/>
      </c>
      <c r="E436" s="17">
        <f>IF($D436="","",IFERROR(INDEX(nrCadetAgency,MATCH($D436,rngCadetPIDs,0)),""))</f>
        <v/>
      </c>
      <c r="F436" s="16" t="n"/>
      <c r="G436" s="17">
        <f>IF($F436="","",IFERROR(INDEX(rngEPname,MATCH($F436,rngEPcode,0)),"?"))</f>
        <v/>
      </c>
      <c r="H436" s="17">
        <f>IF($F436="","",IFERROR(INDEX(rngEPtype,MATCH($F436,rngEPcode,0)),"?"))</f>
        <v/>
      </c>
      <c r="I436" s="17">
        <f>IF($F436="","",IFERROR(INDEX(rngEPseq,MATCH($F436,rngEPcode,0)),""))</f>
        <v/>
      </c>
      <c r="J436" s="17">
        <f>IF($F436="","",IFERROR(INDEX(rngEPpass,MATCH($F436,rngEPcode,0)),cfgPassingScore))</f>
        <v/>
      </c>
      <c r="K436" s="16" t="n"/>
      <c r="L436" s="16" t="n"/>
      <c r="M436" s="17">
        <f>IF($C436="","",IF($L436="","",IF(NOT(ISNUMBER($L436)),$L436,IF(N($K436)&gt;2,"",IF($K436=1,IF(COUNTIFS(nrES_PID,$D436,nrES_Code,$F436,nrES_Att,2,nrES_Raw,"&gt;=0")&gt;0,"",$L436),IF($L436&gt;=$J436,MAX($J436,cfgRetakeRecordedCap),IF(COUNTIFS(nrES_PID,$D436,nrES_Code,$F436,nrES_Att,1)=0,$L436,SUMIFS(nrES_Raw,nrES_PID,$D436,nrES_Code,$F436,nrES_Att,1))))))))</f>
        <v/>
      </c>
      <c r="N436" s="17">
        <f>IF($C436="","",IF($L436="","",IF(NOT(ISNUMBER($L436)),"(not a score)",IF($L436&gt;=$J436,"Yes","No"))))</f>
        <v/>
      </c>
      <c r="O436" s="17">
        <f>IF($C436="","",IF($M436="","",IF(NOT(ISNUMBER($M436)),"(not a score)",IF($M436&gt;=$J436,"Yes","No"))))</f>
        <v/>
      </c>
      <c r="P436" s="17">
        <f>IF($C436="","",IF($K436="","",IF(N($K436)&gt;2,"No",IF(COUNTIFS(nrES_PID,$D436,nrES_Code,$F436,nrES_Att,"&gt;"&amp;$K436,nrES_Att,"&lt;=2",nrES_Raw,"&gt;=0")=0,"Yes","No"))))</f>
        <v/>
      </c>
      <c r="Q436" s="17">
        <f>IF($C436="","",IF($L436="","",IF(AND($K436=1,ISNUMBER($L436),$L436&lt;$J436,COUNTIFS(nrES_PID,$D436,nrES_Code,$F436,nrES_Att,2,nrES_Raw,"&gt;=0")=0),"Yes","No")))</f>
        <v/>
      </c>
      <c r="R436" s="17">
        <f>IF($C436="","",IF($L436="","",IF(AND(N($K436)&gt;=2,ISNUMBER($L436),$L436&lt;$J436),"Yes","No")))</f>
        <v/>
      </c>
      <c r="S436" s="18" t="n"/>
      <c r="T436" s="19">
        <f>IF(OR($C436="",$L436="",$K436&lt;&gt;1,NOT(ISNUMBER($L436)),$L436&gt;=$J436),"",IF($S436="","(enter date)",_xlfn.LET(_xlpm.dn,_xlfn.XLOOKUP($S436,nrCDdate,nrCDnum,"",1),IF(_xlpm.dn="","(after last class day)",_xlfn.LET(_xlpm.dd,_xlfn.XLOOKUP(_xlpm.dn+cfgRetestClassDays,nrCDnum,nrCDdate,""),_xlpm.ok,_xlfn.XLOOKUP(_xlpm.dn+cfgRetestClassDays,nrCDnum,nrCDinsession,"No"),IF(OR(_xlpm.dd="",_xlpm.ok&lt;&gt;"Yes"),"(after last class day)",_xlpm.dd))))))</f>
        <v/>
      </c>
      <c r="U436" s="17">
        <f>IF($C436="","",IF(AND($Y436="Excused",$L436="",N($K436)&lt;=1),"EXCUSED - 1st attempt pending",IF(OR($L436="",$K436&lt;&gt;1,NOT(ISNUMBER($L436)),$L436&gt;=$J436),"",IF(COUNTIFS(nrES_PID,$D436,nrES_Code,$F436,nrES_Att,2,nrES_Raw,"&gt;=0")&gt;0,IF(IFERROR(_xlfn.MINIFS(nrES_Date,nrES_PID,$D436,nrES_Code,$F436,nrES_Att,2,nrES_Raw,"&gt;=0",nrES_Date,"&gt;0"),0)=0,"RETEST UNDATED",IF(NOT(ISNUMBER($T436)),"RETEST DATE UNCHECKED",IF(_xlfn.MINIFS(nrES_Date,nrES_PID,$D436,nrES_Code,$F436,nrES_Att,2,nrES_Raw,"&gt;=0",nrES_Date,"&gt;0")&gt;$T436,"LATE RETEST "&amp;TEXT(_xlfn.MINIFS(nrES_Date,nrES_PID,$D436,nrES_Code,$F436,nrES_Att,2,nrES_Raw,"&gt;=0",nrES_Date,"&gt;0"),"mm/dd")&amp;" (due "&amp;TEXT($T436,"mm/dd")&amp;")","Retested"))),IF(NOT(ISNUMBER($T436)),"CHECK DATE",IF(TODAY()&gt;$T436,"OVERDUE","Due "&amp;TEXT($T436,"mm/dd")))))))</f>
        <v/>
      </c>
      <c r="V436" s="16" t="n"/>
      <c r="W436" s="16" t="n"/>
      <c r="X436" s="17">
        <f>IF($C436="","",IF(AND($L436&lt;&gt;"",NOT(ISNUMBER($L436))),"RAW SCORE NOT A NUMBER",IF(AND(ISNUMBER($L436),OR($L436&lt;0,$L436&gt;100)),"RAW SCORE OUT OF RANGE",IF(AND($Y436="Unexcused",OR($L436="",NOT(ISNUMBER($L436)),$L436&lt;&gt;0)),"UNEXCUSED ABSENCE MUST RECORD 0",IF(COUNTIF(nrES_RecID,$B436)&gt;1,"DUPLICATE RECORD",IF(N($K436)&gt;2,"ATTEMPT 3+ NOT ALLOWED - policy 300.5 permits one retest per exam; this row records nothing",IF(AND($K436=2,COUNTIFS(nrES_PID,$D436,nrES_Code,$F436,nrES_Att,1)=0),"ATTEMPT 2 WITHOUT ATTEMPT 1",IF(AND($K436=2,$L436=""),"RETEST ROW HAS NO SCORE",IF(AND($H436="Final",$L436&lt;&gt;"",IFERROR(INDEX(nrCKfinalExamElig,MATCH($D436,rngCadetPIDs,0)),"")="No"),"FINAL EXAM AFTER FAILED FINAL PT (500.1.H)",IF(AND($K436=2,ISNUMBER($L436),COUNTIFS(nrES_PID,$D436,nrES_Code,$F436,nrES_Att,1)&gt;0,SUMIFS(nrES_Raw,nrES_PID,$D436,nrES_Code,$F436,nrES_Att,1)&gt;=$J436),"RETEST AFTER A PASSING FIRST ATTEMPT","OK"))))))))))</f>
        <v/>
      </c>
      <c r="Y436" s="16" t="n"/>
    </row>
    <row r="437">
      <c r="B437" s="17">
        <f>IF($C437="","",$D437&amp;"-"&amp;$F437&amp;"-"&amp;$K437)</f>
        <v/>
      </c>
      <c r="C437" s="16" t="n"/>
      <c r="D437" s="17">
        <f>IF($C437="","",IFERROR(INDEX(rngCadetPIDs,MATCH($C437,rngCadetNames,0)),"?"))</f>
        <v/>
      </c>
      <c r="E437" s="17">
        <f>IF($D437="","",IFERROR(INDEX(nrCadetAgency,MATCH($D437,rngCadetPIDs,0)),""))</f>
        <v/>
      </c>
      <c r="F437" s="16" t="n"/>
      <c r="G437" s="17">
        <f>IF($F437="","",IFERROR(INDEX(rngEPname,MATCH($F437,rngEPcode,0)),"?"))</f>
        <v/>
      </c>
      <c r="H437" s="17">
        <f>IF($F437="","",IFERROR(INDEX(rngEPtype,MATCH($F437,rngEPcode,0)),"?"))</f>
        <v/>
      </c>
      <c r="I437" s="17">
        <f>IF($F437="","",IFERROR(INDEX(rngEPseq,MATCH($F437,rngEPcode,0)),""))</f>
        <v/>
      </c>
      <c r="J437" s="17">
        <f>IF($F437="","",IFERROR(INDEX(rngEPpass,MATCH($F437,rngEPcode,0)),cfgPassingScore))</f>
        <v/>
      </c>
      <c r="K437" s="16" t="n"/>
      <c r="L437" s="16" t="n"/>
      <c r="M437" s="17">
        <f>IF($C437="","",IF($L437="","",IF(NOT(ISNUMBER($L437)),$L437,IF(N($K437)&gt;2,"",IF($K437=1,IF(COUNTIFS(nrES_PID,$D437,nrES_Code,$F437,nrES_Att,2,nrES_Raw,"&gt;=0")&gt;0,"",$L437),IF($L437&gt;=$J437,MAX($J437,cfgRetakeRecordedCap),IF(COUNTIFS(nrES_PID,$D437,nrES_Code,$F437,nrES_Att,1)=0,$L437,SUMIFS(nrES_Raw,nrES_PID,$D437,nrES_Code,$F437,nrES_Att,1))))))))</f>
        <v/>
      </c>
      <c r="N437" s="17">
        <f>IF($C437="","",IF($L437="","",IF(NOT(ISNUMBER($L437)),"(not a score)",IF($L437&gt;=$J437,"Yes","No"))))</f>
        <v/>
      </c>
      <c r="O437" s="17">
        <f>IF($C437="","",IF($M437="","",IF(NOT(ISNUMBER($M437)),"(not a score)",IF($M437&gt;=$J437,"Yes","No"))))</f>
        <v/>
      </c>
      <c r="P437" s="17">
        <f>IF($C437="","",IF($K437="","",IF(N($K437)&gt;2,"No",IF(COUNTIFS(nrES_PID,$D437,nrES_Code,$F437,nrES_Att,"&gt;"&amp;$K437,nrES_Att,"&lt;=2",nrES_Raw,"&gt;=0")=0,"Yes","No"))))</f>
        <v/>
      </c>
      <c r="Q437" s="17">
        <f>IF($C437="","",IF($L437="","",IF(AND($K437=1,ISNUMBER($L437),$L437&lt;$J437,COUNTIFS(nrES_PID,$D437,nrES_Code,$F437,nrES_Att,2,nrES_Raw,"&gt;=0")=0),"Yes","No")))</f>
        <v/>
      </c>
      <c r="R437" s="17">
        <f>IF($C437="","",IF($L437="","",IF(AND(N($K437)&gt;=2,ISNUMBER($L437),$L437&lt;$J437),"Yes","No")))</f>
        <v/>
      </c>
      <c r="S437" s="18" t="n"/>
      <c r="T437" s="19">
        <f>IF(OR($C437="",$L437="",$K437&lt;&gt;1,NOT(ISNUMBER($L437)),$L437&gt;=$J437),"",IF($S437="","(enter date)",_xlfn.LET(_xlpm.dn,_xlfn.XLOOKUP($S437,nrCDdate,nrCDnum,"",1),IF(_xlpm.dn="","(after last class day)",_xlfn.LET(_xlpm.dd,_xlfn.XLOOKUP(_xlpm.dn+cfgRetestClassDays,nrCDnum,nrCDdate,""),_xlpm.ok,_xlfn.XLOOKUP(_xlpm.dn+cfgRetestClassDays,nrCDnum,nrCDinsession,"No"),IF(OR(_xlpm.dd="",_xlpm.ok&lt;&gt;"Yes"),"(after last class day)",_xlpm.dd))))))</f>
        <v/>
      </c>
      <c r="U437" s="17">
        <f>IF($C437="","",IF(AND($Y437="Excused",$L437="",N($K437)&lt;=1),"EXCUSED - 1st attempt pending",IF(OR($L437="",$K437&lt;&gt;1,NOT(ISNUMBER($L437)),$L437&gt;=$J437),"",IF(COUNTIFS(nrES_PID,$D437,nrES_Code,$F437,nrES_Att,2,nrES_Raw,"&gt;=0")&gt;0,IF(IFERROR(_xlfn.MINIFS(nrES_Date,nrES_PID,$D437,nrES_Code,$F437,nrES_Att,2,nrES_Raw,"&gt;=0",nrES_Date,"&gt;0"),0)=0,"RETEST UNDATED",IF(NOT(ISNUMBER($T437)),"RETEST DATE UNCHECKED",IF(_xlfn.MINIFS(nrES_Date,nrES_PID,$D437,nrES_Code,$F437,nrES_Att,2,nrES_Raw,"&gt;=0",nrES_Date,"&gt;0")&gt;$T437,"LATE RETEST "&amp;TEXT(_xlfn.MINIFS(nrES_Date,nrES_PID,$D437,nrES_Code,$F437,nrES_Att,2,nrES_Raw,"&gt;=0",nrES_Date,"&gt;0"),"mm/dd")&amp;" (due "&amp;TEXT($T437,"mm/dd")&amp;")","Retested"))),IF(NOT(ISNUMBER($T437)),"CHECK DATE",IF(TODAY()&gt;$T437,"OVERDUE","Due "&amp;TEXT($T437,"mm/dd")))))))</f>
        <v/>
      </c>
      <c r="V437" s="16" t="n"/>
      <c r="W437" s="16" t="n"/>
      <c r="X437" s="17">
        <f>IF($C437="","",IF(AND($L437&lt;&gt;"",NOT(ISNUMBER($L437))),"RAW SCORE NOT A NUMBER",IF(AND(ISNUMBER($L437),OR($L437&lt;0,$L437&gt;100)),"RAW SCORE OUT OF RANGE",IF(AND($Y437="Unexcused",OR($L437="",NOT(ISNUMBER($L437)),$L437&lt;&gt;0)),"UNEXCUSED ABSENCE MUST RECORD 0",IF(COUNTIF(nrES_RecID,$B437)&gt;1,"DUPLICATE RECORD",IF(N($K437)&gt;2,"ATTEMPT 3+ NOT ALLOWED - policy 300.5 permits one retest per exam; this row records nothing",IF(AND($K437=2,COUNTIFS(nrES_PID,$D437,nrES_Code,$F437,nrES_Att,1)=0),"ATTEMPT 2 WITHOUT ATTEMPT 1",IF(AND($K437=2,$L437=""),"RETEST ROW HAS NO SCORE",IF(AND($H437="Final",$L437&lt;&gt;"",IFERROR(INDEX(nrCKfinalExamElig,MATCH($D437,rngCadetPIDs,0)),"")="No"),"FINAL EXAM AFTER FAILED FINAL PT (500.1.H)",IF(AND($K437=2,ISNUMBER($L437),COUNTIFS(nrES_PID,$D437,nrES_Code,$F437,nrES_Att,1)&gt;0,SUMIFS(nrES_Raw,nrES_PID,$D437,nrES_Code,$F437,nrES_Att,1)&gt;=$J437),"RETEST AFTER A PASSING FIRST ATTEMPT","OK"))))))))))</f>
        <v/>
      </c>
      <c r="Y437" s="16" t="n"/>
    </row>
    <row r="438">
      <c r="B438" s="17">
        <f>IF($C438="","",$D438&amp;"-"&amp;$F438&amp;"-"&amp;$K438)</f>
        <v/>
      </c>
      <c r="C438" s="16" t="n"/>
      <c r="D438" s="17">
        <f>IF($C438="","",IFERROR(INDEX(rngCadetPIDs,MATCH($C438,rngCadetNames,0)),"?"))</f>
        <v/>
      </c>
      <c r="E438" s="17">
        <f>IF($D438="","",IFERROR(INDEX(nrCadetAgency,MATCH($D438,rngCadetPIDs,0)),""))</f>
        <v/>
      </c>
      <c r="F438" s="16" t="n"/>
      <c r="G438" s="17">
        <f>IF($F438="","",IFERROR(INDEX(rngEPname,MATCH($F438,rngEPcode,0)),"?"))</f>
        <v/>
      </c>
      <c r="H438" s="17">
        <f>IF($F438="","",IFERROR(INDEX(rngEPtype,MATCH($F438,rngEPcode,0)),"?"))</f>
        <v/>
      </c>
      <c r="I438" s="17">
        <f>IF($F438="","",IFERROR(INDEX(rngEPseq,MATCH($F438,rngEPcode,0)),""))</f>
        <v/>
      </c>
      <c r="J438" s="17">
        <f>IF($F438="","",IFERROR(INDEX(rngEPpass,MATCH($F438,rngEPcode,0)),cfgPassingScore))</f>
        <v/>
      </c>
      <c r="K438" s="16" t="n"/>
      <c r="L438" s="16" t="n"/>
      <c r="M438" s="17">
        <f>IF($C438="","",IF($L438="","",IF(NOT(ISNUMBER($L438)),$L438,IF(N($K438)&gt;2,"",IF($K438=1,IF(COUNTIFS(nrES_PID,$D438,nrES_Code,$F438,nrES_Att,2,nrES_Raw,"&gt;=0")&gt;0,"",$L438),IF($L438&gt;=$J438,MAX($J438,cfgRetakeRecordedCap),IF(COUNTIFS(nrES_PID,$D438,nrES_Code,$F438,nrES_Att,1)=0,$L438,SUMIFS(nrES_Raw,nrES_PID,$D438,nrES_Code,$F438,nrES_Att,1))))))))</f>
        <v/>
      </c>
      <c r="N438" s="17">
        <f>IF($C438="","",IF($L438="","",IF(NOT(ISNUMBER($L438)),"(not a score)",IF($L438&gt;=$J438,"Yes","No"))))</f>
        <v/>
      </c>
      <c r="O438" s="17">
        <f>IF($C438="","",IF($M438="","",IF(NOT(ISNUMBER($M438)),"(not a score)",IF($M438&gt;=$J438,"Yes","No"))))</f>
        <v/>
      </c>
      <c r="P438" s="17">
        <f>IF($C438="","",IF($K438="","",IF(N($K438)&gt;2,"No",IF(COUNTIFS(nrES_PID,$D438,nrES_Code,$F438,nrES_Att,"&gt;"&amp;$K438,nrES_Att,"&lt;=2",nrES_Raw,"&gt;=0")=0,"Yes","No"))))</f>
        <v/>
      </c>
      <c r="Q438" s="17">
        <f>IF($C438="","",IF($L438="","",IF(AND($K438=1,ISNUMBER($L438),$L438&lt;$J438,COUNTIFS(nrES_PID,$D438,nrES_Code,$F438,nrES_Att,2,nrES_Raw,"&gt;=0")=0),"Yes","No")))</f>
        <v/>
      </c>
      <c r="R438" s="17">
        <f>IF($C438="","",IF($L438="","",IF(AND(N($K438)&gt;=2,ISNUMBER($L438),$L438&lt;$J438),"Yes","No")))</f>
        <v/>
      </c>
      <c r="S438" s="18" t="n"/>
      <c r="T438" s="19">
        <f>IF(OR($C438="",$L438="",$K438&lt;&gt;1,NOT(ISNUMBER($L438)),$L438&gt;=$J438),"",IF($S438="","(enter date)",_xlfn.LET(_xlpm.dn,_xlfn.XLOOKUP($S438,nrCDdate,nrCDnum,"",1),IF(_xlpm.dn="","(after last class day)",_xlfn.LET(_xlpm.dd,_xlfn.XLOOKUP(_xlpm.dn+cfgRetestClassDays,nrCDnum,nrCDdate,""),_xlpm.ok,_xlfn.XLOOKUP(_xlpm.dn+cfgRetestClassDays,nrCDnum,nrCDinsession,"No"),IF(OR(_xlpm.dd="",_xlpm.ok&lt;&gt;"Yes"),"(after last class day)",_xlpm.dd))))))</f>
        <v/>
      </c>
      <c r="U438" s="17">
        <f>IF($C438="","",IF(AND($Y438="Excused",$L438="",N($K438)&lt;=1),"EXCUSED - 1st attempt pending",IF(OR($L438="",$K438&lt;&gt;1,NOT(ISNUMBER($L438)),$L438&gt;=$J438),"",IF(COUNTIFS(nrES_PID,$D438,nrES_Code,$F438,nrES_Att,2,nrES_Raw,"&gt;=0")&gt;0,IF(IFERROR(_xlfn.MINIFS(nrES_Date,nrES_PID,$D438,nrES_Code,$F438,nrES_Att,2,nrES_Raw,"&gt;=0",nrES_Date,"&gt;0"),0)=0,"RETEST UNDATED",IF(NOT(ISNUMBER($T438)),"RETEST DATE UNCHECKED",IF(_xlfn.MINIFS(nrES_Date,nrES_PID,$D438,nrES_Code,$F438,nrES_Att,2,nrES_Raw,"&gt;=0",nrES_Date,"&gt;0")&gt;$T438,"LATE RETEST "&amp;TEXT(_xlfn.MINIFS(nrES_Date,nrES_PID,$D438,nrES_Code,$F438,nrES_Att,2,nrES_Raw,"&gt;=0",nrES_Date,"&gt;0"),"mm/dd")&amp;" (due "&amp;TEXT($T438,"mm/dd")&amp;")","Retested"))),IF(NOT(ISNUMBER($T438)),"CHECK DATE",IF(TODAY()&gt;$T438,"OVERDUE","Due "&amp;TEXT($T438,"mm/dd")))))))</f>
        <v/>
      </c>
      <c r="V438" s="16" t="n"/>
      <c r="W438" s="16" t="n"/>
      <c r="X438" s="17">
        <f>IF($C438="","",IF(AND($L438&lt;&gt;"",NOT(ISNUMBER($L438))),"RAW SCORE NOT A NUMBER",IF(AND(ISNUMBER($L438),OR($L438&lt;0,$L438&gt;100)),"RAW SCORE OUT OF RANGE",IF(AND($Y438="Unexcused",OR($L438="",NOT(ISNUMBER($L438)),$L438&lt;&gt;0)),"UNEXCUSED ABSENCE MUST RECORD 0",IF(COUNTIF(nrES_RecID,$B438)&gt;1,"DUPLICATE RECORD",IF(N($K438)&gt;2,"ATTEMPT 3+ NOT ALLOWED - policy 300.5 permits one retest per exam; this row records nothing",IF(AND($K438=2,COUNTIFS(nrES_PID,$D438,nrES_Code,$F438,nrES_Att,1)=0),"ATTEMPT 2 WITHOUT ATTEMPT 1",IF(AND($K438=2,$L438=""),"RETEST ROW HAS NO SCORE",IF(AND($H438="Final",$L438&lt;&gt;"",IFERROR(INDEX(nrCKfinalExamElig,MATCH($D438,rngCadetPIDs,0)),"")="No"),"FINAL EXAM AFTER FAILED FINAL PT (500.1.H)",IF(AND($K438=2,ISNUMBER($L438),COUNTIFS(nrES_PID,$D438,nrES_Code,$F438,nrES_Att,1)&gt;0,SUMIFS(nrES_Raw,nrES_PID,$D438,nrES_Code,$F438,nrES_Att,1)&gt;=$J438),"RETEST AFTER A PASSING FIRST ATTEMPT","OK"))))))))))</f>
        <v/>
      </c>
      <c r="Y438" s="16" t="n"/>
    </row>
    <row r="439">
      <c r="B439" s="17">
        <f>IF($C439="","",$D439&amp;"-"&amp;$F439&amp;"-"&amp;$K439)</f>
        <v/>
      </c>
      <c r="C439" s="16" t="n"/>
      <c r="D439" s="17">
        <f>IF($C439="","",IFERROR(INDEX(rngCadetPIDs,MATCH($C439,rngCadetNames,0)),"?"))</f>
        <v/>
      </c>
      <c r="E439" s="17">
        <f>IF($D439="","",IFERROR(INDEX(nrCadetAgency,MATCH($D439,rngCadetPIDs,0)),""))</f>
        <v/>
      </c>
      <c r="F439" s="16" t="n"/>
      <c r="G439" s="17">
        <f>IF($F439="","",IFERROR(INDEX(rngEPname,MATCH($F439,rngEPcode,0)),"?"))</f>
        <v/>
      </c>
      <c r="H439" s="17">
        <f>IF($F439="","",IFERROR(INDEX(rngEPtype,MATCH($F439,rngEPcode,0)),"?"))</f>
        <v/>
      </c>
      <c r="I439" s="17">
        <f>IF($F439="","",IFERROR(INDEX(rngEPseq,MATCH($F439,rngEPcode,0)),""))</f>
        <v/>
      </c>
      <c r="J439" s="17">
        <f>IF($F439="","",IFERROR(INDEX(rngEPpass,MATCH($F439,rngEPcode,0)),cfgPassingScore))</f>
        <v/>
      </c>
      <c r="K439" s="16" t="n"/>
      <c r="L439" s="16" t="n"/>
      <c r="M439" s="17">
        <f>IF($C439="","",IF($L439="","",IF(NOT(ISNUMBER($L439)),$L439,IF(N($K439)&gt;2,"",IF($K439=1,IF(COUNTIFS(nrES_PID,$D439,nrES_Code,$F439,nrES_Att,2,nrES_Raw,"&gt;=0")&gt;0,"",$L439),IF($L439&gt;=$J439,MAX($J439,cfgRetakeRecordedCap),IF(COUNTIFS(nrES_PID,$D439,nrES_Code,$F439,nrES_Att,1)=0,$L439,SUMIFS(nrES_Raw,nrES_PID,$D439,nrES_Code,$F439,nrES_Att,1))))))))</f>
        <v/>
      </c>
      <c r="N439" s="17">
        <f>IF($C439="","",IF($L439="","",IF(NOT(ISNUMBER($L439)),"(not a score)",IF($L439&gt;=$J439,"Yes","No"))))</f>
        <v/>
      </c>
      <c r="O439" s="17">
        <f>IF($C439="","",IF($M439="","",IF(NOT(ISNUMBER($M439)),"(not a score)",IF($M439&gt;=$J439,"Yes","No"))))</f>
        <v/>
      </c>
      <c r="P439" s="17">
        <f>IF($C439="","",IF($K439="","",IF(N($K439)&gt;2,"No",IF(COUNTIFS(nrES_PID,$D439,nrES_Code,$F439,nrES_Att,"&gt;"&amp;$K439,nrES_Att,"&lt;=2",nrES_Raw,"&gt;=0")=0,"Yes","No"))))</f>
        <v/>
      </c>
      <c r="Q439" s="17">
        <f>IF($C439="","",IF($L439="","",IF(AND($K439=1,ISNUMBER($L439),$L439&lt;$J439,COUNTIFS(nrES_PID,$D439,nrES_Code,$F439,nrES_Att,2,nrES_Raw,"&gt;=0")=0),"Yes","No")))</f>
        <v/>
      </c>
      <c r="R439" s="17">
        <f>IF($C439="","",IF($L439="","",IF(AND(N($K439)&gt;=2,ISNUMBER($L439),$L439&lt;$J439),"Yes","No")))</f>
        <v/>
      </c>
      <c r="S439" s="18" t="n"/>
      <c r="T439" s="19">
        <f>IF(OR($C439="",$L439="",$K439&lt;&gt;1,NOT(ISNUMBER($L439)),$L439&gt;=$J439),"",IF($S439="","(enter date)",_xlfn.LET(_xlpm.dn,_xlfn.XLOOKUP($S439,nrCDdate,nrCDnum,"",1),IF(_xlpm.dn="","(after last class day)",_xlfn.LET(_xlpm.dd,_xlfn.XLOOKUP(_xlpm.dn+cfgRetestClassDays,nrCDnum,nrCDdate,""),_xlpm.ok,_xlfn.XLOOKUP(_xlpm.dn+cfgRetestClassDays,nrCDnum,nrCDinsession,"No"),IF(OR(_xlpm.dd="",_xlpm.ok&lt;&gt;"Yes"),"(after last class day)",_xlpm.dd))))))</f>
        <v/>
      </c>
      <c r="U439" s="17">
        <f>IF($C439="","",IF(AND($Y439="Excused",$L439="",N($K439)&lt;=1),"EXCUSED - 1st attempt pending",IF(OR($L439="",$K439&lt;&gt;1,NOT(ISNUMBER($L439)),$L439&gt;=$J439),"",IF(COUNTIFS(nrES_PID,$D439,nrES_Code,$F439,nrES_Att,2,nrES_Raw,"&gt;=0")&gt;0,IF(IFERROR(_xlfn.MINIFS(nrES_Date,nrES_PID,$D439,nrES_Code,$F439,nrES_Att,2,nrES_Raw,"&gt;=0",nrES_Date,"&gt;0"),0)=0,"RETEST UNDATED",IF(NOT(ISNUMBER($T439)),"RETEST DATE UNCHECKED",IF(_xlfn.MINIFS(nrES_Date,nrES_PID,$D439,nrES_Code,$F439,nrES_Att,2,nrES_Raw,"&gt;=0",nrES_Date,"&gt;0")&gt;$T439,"LATE RETEST "&amp;TEXT(_xlfn.MINIFS(nrES_Date,nrES_PID,$D439,nrES_Code,$F439,nrES_Att,2,nrES_Raw,"&gt;=0",nrES_Date,"&gt;0"),"mm/dd")&amp;" (due "&amp;TEXT($T439,"mm/dd")&amp;")","Retested"))),IF(NOT(ISNUMBER($T439)),"CHECK DATE",IF(TODAY()&gt;$T439,"OVERDUE","Due "&amp;TEXT($T439,"mm/dd")))))))</f>
        <v/>
      </c>
      <c r="V439" s="16" t="n"/>
      <c r="W439" s="16" t="n"/>
      <c r="X439" s="17">
        <f>IF($C439="","",IF(AND($L439&lt;&gt;"",NOT(ISNUMBER($L439))),"RAW SCORE NOT A NUMBER",IF(AND(ISNUMBER($L439),OR($L439&lt;0,$L439&gt;100)),"RAW SCORE OUT OF RANGE",IF(AND($Y439="Unexcused",OR($L439="",NOT(ISNUMBER($L439)),$L439&lt;&gt;0)),"UNEXCUSED ABSENCE MUST RECORD 0",IF(COUNTIF(nrES_RecID,$B439)&gt;1,"DUPLICATE RECORD",IF(N($K439)&gt;2,"ATTEMPT 3+ NOT ALLOWED - policy 300.5 permits one retest per exam; this row records nothing",IF(AND($K439=2,COUNTIFS(nrES_PID,$D439,nrES_Code,$F439,nrES_Att,1)=0),"ATTEMPT 2 WITHOUT ATTEMPT 1",IF(AND($K439=2,$L439=""),"RETEST ROW HAS NO SCORE",IF(AND($H439="Final",$L439&lt;&gt;"",IFERROR(INDEX(nrCKfinalExamElig,MATCH($D439,rngCadetPIDs,0)),"")="No"),"FINAL EXAM AFTER FAILED FINAL PT (500.1.H)",IF(AND($K439=2,ISNUMBER($L439),COUNTIFS(nrES_PID,$D439,nrES_Code,$F439,nrES_Att,1)&gt;0,SUMIFS(nrES_Raw,nrES_PID,$D439,nrES_Code,$F439,nrES_Att,1)&gt;=$J439),"RETEST AFTER A PASSING FIRST ATTEMPT","OK"))))))))))</f>
        <v/>
      </c>
      <c r="Y439" s="16" t="n"/>
    </row>
    <row r="440">
      <c r="B440" s="17">
        <f>IF($C440="","",$D440&amp;"-"&amp;$F440&amp;"-"&amp;$K440)</f>
        <v/>
      </c>
      <c r="C440" s="16" t="n"/>
      <c r="D440" s="17">
        <f>IF($C440="","",IFERROR(INDEX(rngCadetPIDs,MATCH($C440,rngCadetNames,0)),"?"))</f>
        <v/>
      </c>
      <c r="E440" s="17">
        <f>IF($D440="","",IFERROR(INDEX(nrCadetAgency,MATCH($D440,rngCadetPIDs,0)),""))</f>
        <v/>
      </c>
      <c r="F440" s="16" t="n"/>
      <c r="G440" s="17">
        <f>IF($F440="","",IFERROR(INDEX(rngEPname,MATCH($F440,rngEPcode,0)),"?"))</f>
        <v/>
      </c>
      <c r="H440" s="17">
        <f>IF($F440="","",IFERROR(INDEX(rngEPtype,MATCH($F440,rngEPcode,0)),"?"))</f>
        <v/>
      </c>
      <c r="I440" s="17">
        <f>IF($F440="","",IFERROR(INDEX(rngEPseq,MATCH($F440,rngEPcode,0)),""))</f>
        <v/>
      </c>
      <c r="J440" s="17">
        <f>IF($F440="","",IFERROR(INDEX(rngEPpass,MATCH($F440,rngEPcode,0)),cfgPassingScore))</f>
        <v/>
      </c>
      <c r="K440" s="16" t="n"/>
      <c r="L440" s="16" t="n"/>
      <c r="M440" s="17">
        <f>IF($C440="","",IF($L440="","",IF(NOT(ISNUMBER($L440)),$L440,IF(N($K440)&gt;2,"",IF($K440=1,IF(COUNTIFS(nrES_PID,$D440,nrES_Code,$F440,nrES_Att,2,nrES_Raw,"&gt;=0")&gt;0,"",$L440),IF($L440&gt;=$J440,MAX($J440,cfgRetakeRecordedCap),IF(COUNTIFS(nrES_PID,$D440,nrES_Code,$F440,nrES_Att,1)=0,$L440,SUMIFS(nrES_Raw,nrES_PID,$D440,nrES_Code,$F440,nrES_Att,1))))))))</f>
        <v/>
      </c>
      <c r="N440" s="17">
        <f>IF($C440="","",IF($L440="","",IF(NOT(ISNUMBER($L440)),"(not a score)",IF($L440&gt;=$J440,"Yes","No"))))</f>
        <v/>
      </c>
      <c r="O440" s="17">
        <f>IF($C440="","",IF($M440="","",IF(NOT(ISNUMBER($M440)),"(not a score)",IF($M440&gt;=$J440,"Yes","No"))))</f>
        <v/>
      </c>
      <c r="P440" s="17">
        <f>IF($C440="","",IF($K440="","",IF(N($K440)&gt;2,"No",IF(COUNTIFS(nrES_PID,$D440,nrES_Code,$F440,nrES_Att,"&gt;"&amp;$K440,nrES_Att,"&lt;=2",nrES_Raw,"&gt;=0")=0,"Yes","No"))))</f>
        <v/>
      </c>
      <c r="Q440" s="17">
        <f>IF($C440="","",IF($L440="","",IF(AND($K440=1,ISNUMBER($L440),$L440&lt;$J440,COUNTIFS(nrES_PID,$D440,nrES_Code,$F440,nrES_Att,2,nrES_Raw,"&gt;=0")=0),"Yes","No")))</f>
        <v/>
      </c>
      <c r="R440" s="17">
        <f>IF($C440="","",IF($L440="","",IF(AND(N($K440)&gt;=2,ISNUMBER($L440),$L440&lt;$J440),"Yes","No")))</f>
        <v/>
      </c>
      <c r="S440" s="18" t="n"/>
      <c r="T440" s="19">
        <f>IF(OR($C440="",$L440="",$K440&lt;&gt;1,NOT(ISNUMBER($L440)),$L440&gt;=$J440),"",IF($S440="","(enter date)",_xlfn.LET(_xlpm.dn,_xlfn.XLOOKUP($S440,nrCDdate,nrCDnum,"",1),IF(_xlpm.dn="","(after last class day)",_xlfn.LET(_xlpm.dd,_xlfn.XLOOKUP(_xlpm.dn+cfgRetestClassDays,nrCDnum,nrCDdate,""),_xlpm.ok,_xlfn.XLOOKUP(_xlpm.dn+cfgRetestClassDays,nrCDnum,nrCDinsession,"No"),IF(OR(_xlpm.dd="",_xlpm.ok&lt;&gt;"Yes"),"(after last class day)",_xlpm.dd))))))</f>
        <v/>
      </c>
      <c r="U440" s="17">
        <f>IF($C440="","",IF(AND($Y440="Excused",$L440="",N($K440)&lt;=1),"EXCUSED - 1st attempt pending",IF(OR($L440="",$K440&lt;&gt;1,NOT(ISNUMBER($L440)),$L440&gt;=$J440),"",IF(COUNTIFS(nrES_PID,$D440,nrES_Code,$F440,nrES_Att,2,nrES_Raw,"&gt;=0")&gt;0,IF(IFERROR(_xlfn.MINIFS(nrES_Date,nrES_PID,$D440,nrES_Code,$F440,nrES_Att,2,nrES_Raw,"&gt;=0",nrES_Date,"&gt;0"),0)=0,"RETEST UNDATED",IF(NOT(ISNUMBER($T440)),"RETEST DATE UNCHECKED",IF(_xlfn.MINIFS(nrES_Date,nrES_PID,$D440,nrES_Code,$F440,nrES_Att,2,nrES_Raw,"&gt;=0",nrES_Date,"&gt;0")&gt;$T440,"LATE RETEST "&amp;TEXT(_xlfn.MINIFS(nrES_Date,nrES_PID,$D440,nrES_Code,$F440,nrES_Att,2,nrES_Raw,"&gt;=0",nrES_Date,"&gt;0"),"mm/dd")&amp;" (due "&amp;TEXT($T440,"mm/dd")&amp;")","Retested"))),IF(NOT(ISNUMBER($T440)),"CHECK DATE",IF(TODAY()&gt;$T440,"OVERDUE","Due "&amp;TEXT($T440,"mm/dd")))))))</f>
        <v/>
      </c>
      <c r="V440" s="16" t="n"/>
      <c r="W440" s="16" t="n"/>
      <c r="X440" s="17">
        <f>IF($C440="","",IF(AND($L440&lt;&gt;"",NOT(ISNUMBER($L440))),"RAW SCORE NOT A NUMBER",IF(AND(ISNUMBER($L440),OR($L440&lt;0,$L440&gt;100)),"RAW SCORE OUT OF RANGE",IF(AND($Y440="Unexcused",OR($L440="",NOT(ISNUMBER($L440)),$L440&lt;&gt;0)),"UNEXCUSED ABSENCE MUST RECORD 0",IF(COUNTIF(nrES_RecID,$B440)&gt;1,"DUPLICATE RECORD",IF(N($K440)&gt;2,"ATTEMPT 3+ NOT ALLOWED - policy 300.5 permits one retest per exam; this row records nothing",IF(AND($K440=2,COUNTIFS(nrES_PID,$D440,nrES_Code,$F440,nrES_Att,1)=0),"ATTEMPT 2 WITHOUT ATTEMPT 1",IF(AND($K440=2,$L440=""),"RETEST ROW HAS NO SCORE",IF(AND($H440="Final",$L440&lt;&gt;"",IFERROR(INDEX(nrCKfinalExamElig,MATCH($D440,rngCadetPIDs,0)),"")="No"),"FINAL EXAM AFTER FAILED FINAL PT (500.1.H)",IF(AND($K440=2,ISNUMBER($L440),COUNTIFS(nrES_PID,$D440,nrES_Code,$F440,nrES_Att,1)&gt;0,SUMIFS(nrES_Raw,nrES_PID,$D440,nrES_Code,$F440,nrES_Att,1)&gt;=$J440),"RETEST AFTER A PASSING FIRST ATTEMPT","OK"))))))))))</f>
        <v/>
      </c>
      <c r="Y440" s="16" t="n"/>
    </row>
    <row r="441">
      <c r="B441" s="17">
        <f>IF($C441="","",$D441&amp;"-"&amp;$F441&amp;"-"&amp;$K441)</f>
        <v/>
      </c>
      <c r="C441" s="16" t="n"/>
      <c r="D441" s="17">
        <f>IF($C441="","",IFERROR(INDEX(rngCadetPIDs,MATCH($C441,rngCadetNames,0)),"?"))</f>
        <v/>
      </c>
      <c r="E441" s="17">
        <f>IF($D441="","",IFERROR(INDEX(nrCadetAgency,MATCH($D441,rngCadetPIDs,0)),""))</f>
        <v/>
      </c>
      <c r="F441" s="16" t="n"/>
      <c r="G441" s="17">
        <f>IF($F441="","",IFERROR(INDEX(rngEPname,MATCH($F441,rngEPcode,0)),"?"))</f>
        <v/>
      </c>
      <c r="H441" s="17">
        <f>IF($F441="","",IFERROR(INDEX(rngEPtype,MATCH($F441,rngEPcode,0)),"?"))</f>
        <v/>
      </c>
      <c r="I441" s="17">
        <f>IF($F441="","",IFERROR(INDEX(rngEPseq,MATCH($F441,rngEPcode,0)),""))</f>
        <v/>
      </c>
      <c r="J441" s="17">
        <f>IF($F441="","",IFERROR(INDEX(rngEPpass,MATCH($F441,rngEPcode,0)),cfgPassingScore))</f>
        <v/>
      </c>
      <c r="K441" s="16" t="n"/>
      <c r="L441" s="16" t="n"/>
      <c r="M441" s="17">
        <f>IF($C441="","",IF($L441="","",IF(NOT(ISNUMBER($L441)),$L441,IF(N($K441)&gt;2,"",IF($K441=1,IF(COUNTIFS(nrES_PID,$D441,nrES_Code,$F441,nrES_Att,2,nrES_Raw,"&gt;=0")&gt;0,"",$L441),IF($L441&gt;=$J441,MAX($J441,cfgRetakeRecordedCap),IF(COUNTIFS(nrES_PID,$D441,nrES_Code,$F441,nrES_Att,1)=0,$L441,SUMIFS(nrES_Raw,nrES_PID,$D441,nrES_Code,$F441,nrES_Att,1))))))))</f>
        <v/>
      </c>
      <c r="N441" s="17">
        <f>IF($C441="","",IF($L441="","",IF(NOT(ISNUMBER($L441)),"(not a score)",IF($L441&gt;=$J441,"Yes","No"))))</f>
        <v/>
      </c>
      <c r="O441" s="17">
        <f>IF($C441="","",IF($M441="","",IF(NOT(ISNUMBER($M441)),"(not a score)",IF($M441&gt;=$J441,"Yes","No"))))</f>
        <v/>
      </c>
      <c r="P441" s="17">
        <f>IF($C441="","",IF($K441="","",IF(N($K441)&gt;2,"No",IF(COUNTIFS(nrES_PID,$D441,nrES_Code,$F441,nrES_Att,"&gt;"&amp;$K441,nrES_Att,"&lt;=2",nrES_Raw,"&gt;=0")=0,"Yes","No"))))</f>
        <v/>
      </c>
      <c r="Q441" s="17">
        <f>IF($C441="","",IF($L441="","",IF(AND($K441=1,ISNUMBER($L441),$L441&lt;$J441,COUNTIFS(nrES_PID,$D441,nrES_Code,$F441,nrES_Att,2,nrES_Raw,"&gt;=0")=0),"Yes","No")))</f>
        <v/>
      </c>
      <c r="R441" s="17">
        <f>IF($C441="","",IF($L441="","",IF(AND(N($K441)&gt;=2,ISNUMBER($L441),$L441&lt;$J441),"Yes","No")))</f>
        <v/>
      </c>
      <c r="S441" s="18" t="n"/>
      <c r="T441" s="19">
        <f>IF(OR($C441="",$L441="",$K441&lt;&gt;1,NOT(ISNUMBER($L441)),$L441&gt;=$J441),"",IF($S441="","(enter date)",_xlfn.LET(_xlpm.dn,_xlfn.XLOOKUP($S441,nrCDdate,nrCDnum,"",1),IF(_xlpm.dn="","(after last class day)",_xlfn.LET(_xlpm.dd,_xlfn.XLOOKUP(_xlpm.dn+cfgRetestClassDays,nrCDnum,nrCDdate,""),_xlpm.ok,_xlfn.XLOOKUP(_xlpm.dn+cfgRetestClassDays,nrCDnum,nrCDinsession,"No"),IF(OR(_xlpm.dd="",_xlpm.ok&lt;&gt;"Yes"),"(after last class day)",_xlpm.dd))))))</f>
        <v/>
      </c>
      <c r="U441" s="17">
        <f>IF($C441="","",IF(AND($Y441="Excused",$L441="",N($K441)&lt;=1),"EXCUSED - 1st attempt pending",IF(OR($L441="",$K441&lt;&gt;1,NOT(ISNUMBER($L441)),$L441&gt;=$J441),"",IF(COUNTIFS(nrES_PID,$D441,nrES_Code,$F441,nrES_Att,2,nrES_Raw,"&gt;=0")&gt;0,IF(IFERROR(_xlfn.MINIFS(nrES_Date,nrES_PID,$D441,nrES_Code,$F441,nrES_Att,2,nrES_Raw,"&gt;=0",nrES_Date,"&gt;0"),0)=0,"RETEST UNDATED",IF(NOT(ISNUMBER($T441)),"RETEST DATE UNCHECKED",IF(_xlfn.MINIFS(nrES_Date,nrES_PID,$D441,nrES_Code,$F441,nrES_Att,2,nrES_Raw,"&gt;=0",nrES_Date,"&gt;0")&gt;$T441,"LATE RETEST "&amp;TEXT(_xlfn.MINIFS(nrES_Date,nrES_PID,$D441,nrES_Code,$F441,nrES_Att,2,nrES_Raw,"&gt;=0",nrES_Date,"&gt;0"),"mm/dd")&amp;" (due "&amp;TEXT($T441,"mm/dd")&amp;")","Retested"))),IF(NOT(ISNUMBER($T441)),"CHECK DATE",IF(TODAY()&gt;$T441,"OVERDUE","Due "&amp;TEXT($T441,"mm/dd")))))))</f>
        <v/>
      </c>
      <c r="V441" s="16" t="n"/>
      <c r="W441" s="16" t="n"/>
      <c r="X441" s="17">
        <f>IF($C441="","",IF(AND($L441&lt;&gt;"",NOT(ISNUMBER($L441))),"RAW SCORE NOT A NUMBER",IF(AND(ISNUMBER($L441),OR($L441&lt;0,$L441&gt;100)),"RAW SCORE OUT OF RANGE",IF(AND($Y441="Unexcused",OR($L441="",NOT(ISNUMBER($L441)),$L441&lt;&gt;0)),"UNEXCUSED ABSENCE MUST RECORD 0",IF(COUNTIF(nrES_RecID,$B441)&gt;1,"DUPLICATE RECORD",IF(N($K441)&gt;2,"ATTEMPT 3+ NOT ALLOWED - policy 300.5 permits one retest per exam; this row records nothing",IF(AND($K441=2,COUNTIFS(nrES_PID,$D441,nrES_Code,$F441,nrES_Att,1)=0),"ATTEMPT 2 WITHOUT ATTEMPT 1",IF(AND($K441=2,$L441=""),"RETEST ROW HAS NO SCORE",IF(AND($H441="Final",$L441&lt;&gt;"",IFERROR(INDEX(nrCKfinalExamElig,MATCH($D441,rngCadetPIDs,0)),"")="No"),"FINAL EXAM AFTER FAILED FINAL PT (500.1.H)",IF(AND($K441=2,ISNUMBER($L441),COUNTIFS(nrES_PID,$D441,nrES_Code,$F441,nrES_Att,1)&gt;0,SUMIFS(nrES_Raw,nrES_PID,$D441,nrES_Code,$F441,nrES_Att,1)&gt;=$J441),"RETEST AFTER A PASSING FIRST ATTEMPT","OK"))))))))))</f>
        <v/>
      </c>
      <c r="Y441" s="16" t="n"/>
    </row>
    <row r="442">
      <c r="B442" s="17">
        <f>IF($C442="","",$D442&amp;"-"&amp;$F442&amp;"-"&amp;$K442)</f>
        <v/>
      </c>
      <c r="C442" s="16" t="n"/>
      <c r="D442" s="17">
        <f>IF($C442="","",IFERROR(INDEX(rngCadetPIDs,MATCH($C442,rngCadetNames,0)),"?"))</f>
        <v/>
      </c>
      <c r="E442" s="17">
        <f>IF($D442="","",IFERROR(INDEX(nrCadetAgency,MATCH($D442,rngCadetPIDs,0)),""))</f>
        <v/>
      </c>
      <c r="F442" s="16" t="n"/>
      <c r="G442" s="17">
        <f>IF($F442="","",IFERROR(INDEX(rngEPname,MATCH($F442,rngEPcode,0)),"?"))</f>
        <v/>
      </c>
      <c r="H442" s="17">
        <f>IF($F442="","",IFERROR(INDEX(rngEPtype,MATCH($F442,rngEPcode,0)),"?"))</f>
        <v/>
      </c>
      <c r="I442" s="17">
        <f>IF($F442="","",IFERROR(INDEX(rngEPseq,MATCH($F442,rngEPcode,0)),""))</f>
        <v/>
      </c>
      <c r="J442" s="17">
        <f>IF($F442="","",IFERROR(INDEX(rngEPpass,MATCH($F442,rngEPcode,0)),cfgPassingScore))</f>
        <v/>
      </c>
      <c r="K442" s="16" t="n"/>
      <c r="L442" s="16" t="n"/>
      <c r="M442" s="17">
        <f>IF($C442="","",IF($L442="","",IF(NOT(ISNUMBER($L442)),$L442,IF(N($K442)&gt;2,"",IF($K442=1,IF(COUNTIFS(nrES_PID,$D442,nrES_Code,$F442,nrES_Att,2,nrES_Raw,"&gt;=0")&gt;0,"",$L442),IF($L442&gt;=$J442,MAX($J442,cfgRetakeRecordedCap),IF(COUNTIFS(nrES_PID,$D442,nrES_Code,$F442,nrES_Att,1)=0,$L442,SUMIFS(nrES_Raw,nrES_PID,$D442,nrES_Code,$F442,nrES_Att,1))))))))</f>
        <v/>
      </c>
      <c r="N442" s="17">
        <f>IF($C442="","",IF($L442="","",IF(NOT(ISNUMBER($L442)),"(not a score)",IF($L442&gt;=$J442,"Yes","No"))))</f>
        <v/>
      </c>
      <c r="O442" s="17">
        <f>IF($C442="","",IF($M442="","",IF(NOT(ISNUMBER($M442)),"(not a score)",IF($M442&gt;=$J442,"Yes","No"))))</f>
        <v/>
      </c>
      <c r="P442" s="17">
        <f>IF($C442="","",IF($K442="","",IF(N($K442)&gt;2,"No",IF(COUNTIFS(nrES_PID,$D442,nrES_Code,$F442,nrES_Att,"&gt;"&amp;$K442,nrES_Att,"&lt;=2",nrES_Raw,"&gt;=0")=0,"Yes","No"))))</f>
        <v/>
      </c>
      <c r="Q442" s="17">
        <f>IF($C442="","",IF($L442="","",IF(AND($K442=1,ISNUMBER($L442),$L442&lt;$J442,COUNTIFS(nrES_PID,$D442,nrES_Code,$F442,nrES_Att,2,nrES_Raw,"&gt;=0")=0),"Yes","No")))</f>
        <v/>
      </c>
      <c r="R442" s="17">
        <f>IF($C442="","",IF($L442="","",IF(AND(N($K442)&gt;=2,ISNUMBER($L442),$L442&lt;$J442),"Yes","No")))</f>
        <v/>
      </c>
      <c r="S442" s="18" t="n"/>
      <c r="T442" s="19">
        <f>IF(OR($C442="",$L442="",$K442&lt;&gt;1,NOT(ISNUMBER($L442)),$L442&gt;=$J442),"",IF($S442="","(enter date)",_xlfn.LET(_xlpm.dn,_xlfn.XLOOKUP($S442,nrCDdate,nrCDnum,"",1),IF(_xlpm.dn="","(after last class day)",_xlfn.LET(_xlpm.dd,_xlfn.XLOOKUP(_xlpm.dn+cfgRetestClassDays,nrCDnum,nrCDdate,""),_xlpm.ok,_xlfn.XLOOKUP(_xlpm.dn+cfgRetestClassDays,nrCDnum,nrCDinsession,"No"),IF(OR(_xlpm.dd="",_xlpm.ok&lt;&gt;"Yes"),"(after last class day)",_xlpm.dd))))))</f>
        <v/>
      </c>
      <c r="U442" s="17">
        <f>IF($C442="","",IF(AND($Y442="Excused",$L442="",N($K442)&lt;=1),"EXCUSED - 1st attempt pending",IF(OR($L442="",$K442&lt;&gt;1,NOT(ISNUMBER($L442)),$L442&gt;=$J442),"",IF(COUNTIFS(nrES_PID,$D442,nrES_Code,$F442,nrES_Att,2,nrES_Raw,"&gt;=0")&gt;0,IF(IFERROR(_xlfn.MINIFS(nrES_Date,nrES_PID,$D442,nrES_Code,$F442,nrES_Att,2,nrES_Raw,"&gt;=0",nrES_Date,"&gt;0"),0)=0,"RETEST UNDATED",IF(NOT(ISNUMBER($T442)),"RETEST DATE UNCHECKED",IF(_xlfn.MINIFS(nrES_Date,nrES_PID,$D442,nrES_Code,$F442,nrES_Att,2,nrES_Raw,"&gt;=0",nrES_Date,"&gt;0")&gt;$T442,"LATE RETEST "&amp;TEXT(_xlfn.MINIFS(nrES_Date,nrES_PID,$D442,nrES_Code,$F442,nrES_Att,2,nrES_Raw,"&gt;=0",nrES_Date,"&gt;0"),"mm/dd")&amp;" (due "&amp;TEXT($T442,"mm/dd")&amp;")","Retested"))),IF(NOT(ISNUMBER($T442)),"CHECK DATE",IF(TODAY()&gt;$T442,"OVERDUE","Due "&amp;TEXT($T442,"mm/dd")))))))</f>
        <v/>
      </c>
      <c r="V442" s="16" t="n"/>
      <c r="W442" s="16" t="n"/>
      <c r="X442" s="17">
        <f>IF($C442="","",IF(AND($L442&lt;&gt;"",NOT(ISNUMBER($L442))),"RAW SCORE NOT A NUMBER",IF(AND(ISNUMBER($L442),OR($L442&lt;0,$L442&gt;100)),"RAW SCORE OUT OF RANGE",IF(AND($Y442="Unexcused",OR($L442="",NOT(ISNUMBER($L442)),$L442&lt;&gt;0)),"UNEXCUSED ABSENCE MUST RECORD 0",IF(COUNTIF(nrES_RecID,$B442)&gt;1,"DUPLICATE RECORD",IF(N($K442)&gt;2,"ATTEMPT 3+ NOT ALLOWED - policy 300.5 permits one retest per exam; this row records nothing",IF(AND($K442=2,COUNTIFS(nrES_PID,$D442,nrES_Code,$F442,nrES_Att,1)=0),"ATTEMPT 2 WITHOUT ATTEMPT 1",IF(AND($K442=2,$L442=""),"RETEST ROW HAS NO SCORE",IF(AND($H442="Final",$L442&lt;&gt;"",IFERROR(INDEX(nrCKfinalExamElig,MATCH($D442,rngCadetPIDs,0)),"")="No"),"FINAL EXAM AFTER FAILED FINAL PT (500.1.H)",IF(AND($K442=2,ISNUMBER($L442),COUNTIFS(nrES_PID,$D442,nrES_Code,$F442,nrES_Att,1)&gt;0,SUMIFS(nrES_Raw,nrES_PID,$D442,nrES_Code,$F442,nrES_Att,1)&gt;=$J442),"RETEST AFTER A PASSING FIRST ATTEMPT","OK"))))))))))</f>
        <v/>
      </c>
      <c r="Y442" s="16" t="n"/>
    </row>
    <row r="443">
      <c r="B443" s="17">
        <f>IF($C443="","",$D443&amp;"-"&amp;$F443&amp;"-"&amp;$K443)</f>
        <v/>
      </c>
      <c r="C443" s="16" t="n"/>
      <c r="D443" s="17">
        <f>IF($C443="","",IFERROR(INDEX(rngCadetPIDs,MATCH($C443,rngCadetNames,0)),"?"))</f>
        <v/>
      </c>
      <c r="E443" s="17">
        <f>IF($D443="","",IFERROR(INDEX(nrCadetAgency,MATCH($D443,rngCadetPIDs,0)),""))</f>
        <v/>
      </c>
      <c r="F443" s="16" t="n"/>
      <c r="G443" s="17">
        <f>IF($F443="","",IFERROR(INDEX(rngEPname,MATCH($F443,rngEPcode,0)),"?"))</f>
        <v/>
      </c>
      <c r="H443" s="17">
        <f>IF($F443="","",IFERROR(INDEX(rngEPtype,MATCH($F443,rngEPcode,0)),"?"))</f>
        <v/>
      </c>
      <c r="I443" s="17">
        <f>IF($F443="","",IFERROR(INDEX(rngEPseq,MATCH($F443,rngEPcode,0)),""))</f>
        <v/>
      </c>
      <c r="J443" s="17">
        <f>IF($F443="","",IFERROR(INDEX(rngEPpass,MATCH($F443,rngEPcode,0)),cfgPassingScore))</f>
        <v/>
      </c>
      <c r="K443" s="16" t="n"/>
      <c r="L443" s="16" t="n"/>
      <c r="M443" s="17">
        <f>IF($C443="","",IF($L443="","",IF(NOT(ISNUMBER($L443)),$L443,IF(N($K443)&gt;2,"",IF($K443=1,IF(COUNTIFS(nrES_PID,$D443,nrES_Code,$F443,nrES_Att,2,nrES_Raw,"&gt;=0")&gt;0,"",$L443),IF($L443&gt;=$J443,MAX($J443,cfgRetakeRecordedCap),IF(COUNTIFS(nrES_PID,$D443,nrES_Code,$F443,nrES_Att,1)=0,$L443,SUMIFS(nrES_Raw,nrES_PID,$D443,nrES_Code,$F443,nrES_Att,1))))))))</f>
        <v/>
      </c>
      <c r="N443" s="17">
        <f>IF($C443="","",IF($L443="","",IF(NOT(ISNUMBER($L443)),"(not a score)",IF($L443&gt;=$J443,"Yes","No"))))</f>
        <v/>
      </c>
      <c r="O443" s="17">
        <f>IF($C443="","",IF($M443="","",IF(NOT(ISNUMBER($M443)),"(not a score)",IF($M443&gt;=$J443,"Yes","No"))))</f>
        <v/>
      </c>
      <c r="P443" s="17">
        <f>IF($C443="","",IF($K443="","",IF(N($K443)&gt;2,"No",IF(COUNTIFS(nrES_PID,$D443,nrES_Code,$F443,nrES_Att,"&gt;"&amp;$K443,nrES_Att,"&lt;=2",nrES_Raw,"&gt;=0")=0,"Yes","No"))))</f>
        <v/>
      </c>
      <c r="Q443" s="17">
        <f>IF($C443="","",IF($L443="","",IF(AND($K443=1,ISNUMBER($L443),$L443&lt;$J443,COUNTIFS(nrES_PID,$D443,nrES_Code,$F443,nrES_Att,2,nrES_Raw,"&gt;=0")=0),"Yes","No")))</f>
        <v/>
      </c>
      <c r="R443" s="17">
        <f>IF($C443="","",IF($L443="","",IF(AND(N($K443)&gt;=2,ISNUMBER($L443),$L443&lt;$J443),"Yes","No")))</f>
        <v/>
      </c>
      <c r="S443" s="18" t="n"/>
      <c r="T443" s="19">
        <f>IF(OR($C443="",$L443="",$K443&lt;&gt;1,NOT(ISNUMBER($L443)),$L443&gt;=$J443),"",IF($S443="","(enter date)",_xlfn.LET(_xlpm.dn,_xlfn.XLOOKUP($S443,nrCDdate,nrCDnum,"",1),IF(_xlpm.dn="","(after last class day)",_xlfn.LET(_xlpm.dd,_xlfn.XLOOKUP(_xlpm.dn+cfgRetestClassDays,nrCDnum,nrCDdate,""),_xlpm.ok,_xlfn.XLOOKUP(_xlpm.dn+cfgRetestClassDays,nrCDnum,nrCDinsession,"No"),IF(OR(_xlpm.dd="",_xlpm.ok&lt;&gt;"Yes"),"(after last class day)",_xlpm.dd))))))</f>
        <v/>
      </c>
      <c r="U443" s="17">
        <f>IF($C443="","",IF(AND($Y443="Excused",$L443="",N($K443)&lt;=1),"EXCUSED - 1st attempt pending",IF(OR($L443="",$K443&lt;&gt;1,NOT(ISNUMBER($L443)),$L443&gt;=$J443),"",IF(COUNTIFS(nrES_PID,$D443,nrES_Code,$F443,nrES_Att,2,nrES_Raw,"&gt;=0")&gt;0,IF(IFERROR(_xlfn.MINIFS(nrES_Date,nrES_PID,$D443,nrES_Code,$F443,nrES_Att,2,nrES_Raw,"&gt;=0",nrES_Date,"&gt;0"),0)=0,"RETEST UNDATED",IF(NOT(ISNUMBER($T443)),"RETEST DATE UNCHECKED",IF(_xlfn.MINIFS(nrES_Date,nrES_PID,$D443,nrES_Code,$F443,nrES_Att,2,nrES_Raw,"&gt;=0",nrES_Date,"&gt;0")&gt;$T443,"LATE RETEST "&amp;TEXT(_xlfn.MINIFS(nrES_Date,nrES_PID,$D443,nrES_Code,$F443,nrES_Att,2,nrES_Raw,"&gt;=0",nrES_Date,"&gt;0"),"mm/dd")&amp;" (due "&amp;TEXT($T443,"mm/dd")&amp;")","Retested"))),IF(NOT(ISNUMBER($T443)),"CHECK DATE",IF(TODAY()&gt;$T443,"OVERDUE","Due "&amp;TEXT($T443,"mm/dd")))))))</f>
        <v/>
      </c>
      <c r="V443" s="16" t="n"/>
      <c r="W443" s="16" t="n"/>
      <c r="X443" s="17">
        <f>IF($C443="","",IF(AND($L443&lt;&gt;"",NOT(ISNUMBER($L443))),"RAW SCORE NOT A NUMBER",IF(AND(ISNUMBER($L443),OR($L443&lt;0,$L443&gt;100)),"RAW SCORE OUT OF RANGE",IF(AND($Y443="Unexcused",OR($L443="",NOT(ISNUMBER($L443)),$L443&lt;&gt;0)),"UNEXCUSED ABSENCE MUST RECORD 0",IF(COUNTIF(nrES_RecID,$B443)&gt;1,"DUPLICATE RECORD",IF(N($K443)&gt;2,"ATTEMPT 3+ NOT ALLOWED - policy 300.5 permits one retest per exam; this row records nothing",IF(AND($K443=2,COUNTIFS(nrES_PID,$D443,nrES_Code,$F443,nrES_Att,1)=0),"ATTEMPT 2 WITHOUT ATTEMPT 1",IF(AND($K443=2,$L443=""),"RETEST ROW HAS NO SCORE",IF(AND($H443="Final",$L443&lt;&gt;"",IFERROR(INDEX(nrCKfinalExamElig,MATCH($D443,rngCadetPIDs,0)),"")="No"),"FINAL EXAM AFTER FAILED FINAL PT (500.1.H)",IF(AND($K443=2,ISNUMBER($L443),COUNTIFS(nrES_PID,$D443,nrES_Code,$F443,nrES_Att,1)&gt;0,SUMIFS(nrES_Raw,nrES_PID,$D443,nrES_Code,$F443,nrES_Att,1)&gt;=$J443),"RETEST AFTER A PASSING FIRST ATTEMPT","OK"))))))))))</f>
        <v/>
      </c>
      <c r="Y443" s="16" t="n"/>
    </row>
    <row r="444">
      <c r="B444" s="17">
        <f>IF($C444="","",$D444&amp;"-"&amp;$F444&amp;"-"&amp;$K444)</f>
        <v/>
      </c>
      <c r="C444" s="16" t="n"/>
      <c r="D444" s="17">
        <f>IF($C444="","",IFERROR(INDEX(rngCadetPIDs,MATCH($C444,rngCadetNames,0)),"?"))</f>
        <v/>
      </c>
      <c r="E444" s="17">
        <f>IF($D444="","",IFERROR(INDEX(nrCadetAgency,MATCH($D444,rngCadetPIDs,0)),""))</f>
        <v/>
      </c>
      <c r="F444" s="16" t="n"/>
      <c r="G444" s="17">
        <f>IF($F444="","",IFERROR(INDEX(rngEPname,MATCH($F444,rngEPcode,0)),"?"))</f>
        <v/>
      </c>
      <c r="H444" s="17">
        <f>IF($F444="","",IFERROR(INDEX(rngEPtype,MATCH($F444,rngEPcode,0)),"?"))</f>
        <v/>
      </c>
      <c r="I444" s="17">
        <f>IF($F444="","",IFERROR(INDEX(rngEPseq,MATCH($F444,rngEPcode,0)),""))</f>
        <v/>
      </c>
      <c r="J444" s="17">
        <f>IF($F444="","",IFERROR(INDEX(rngEPpass,MATCH($F444,rngEPcode,0)),cfgPassingScore))</f>
        <v/>
      </c>
      <c r="K444" s="16" t="n"/>
      <c r="L444" s="16" t="n"/>
      <c r="M444" s="17">
        <f>IF($C444="","",IF($L444="","",IF(NOT(ISNUMBER($L444)),$L444,IF(N($K444)&gt;2,"",IF($K444=1,IF(COUNTIFS(nrES_PID,$D444,nrES_Code,$F444,nrES_Att,2,nrES_Raw,"&gt;=0")&gt;0,"",$L444),IF($L444&gt;=$J444,MAX($J444,cfgRetakeRecordedCap),IF(COUNTIFS(nrES_PID,$D444,nrES_Code,$F444,nrES_Att,1)=0,$L444,SUMIFS(nrES_Raw,nrES_PID,$D444,nrES_Code,$F444,nrES_Att,1))))))))</f>
        <v/>
      </c>
      <c r="N444" s="17">
        <f>IF($C444="","",IF($L444="","",IF(NOT(ISNUMBER($L444)),"(not a score)",IF($L444&gt;=$J444,"Yes","No"))))</f>
        <v/>
      </c>
      <c r="O444" s="17">
        <f>IF($C444="","",IF($M444="","",IF(NOT(ISNUMBER($M444)),"(not a score)",IF($M444&gt;=$J444,"Yes","No"))))</f>
        <v/>
      </c>
      <c r="P444" s="17">
        <f>IF($C444="","",IF($K444="","",IF(N($K444)&gt;2,"No",IF(COUNTIFS(nrES_PID,$D444,nrES_Code,$F444,nrES_Att,"&gt;"&amp;$K444,nrES_Att,"&lt;=2",nrES_Raw,"&gt;=0")=0,"Yes","No"))))</f>
        <v/>
      </c>
      <c r="Q444" s="17">
        <f>IF($C444="","",IF($L444="","",IF(AND($K444=1,ISNUMBER($L444),$L444&lt;$J444,COUNTIFS(nrES_PID,$D444,nrES_Code,$F444,nrES_Att,2,nrES_Raw,"&gt;=0")=0),"Yes","No")))</f>
        <v/>
      </c>
      <c r="R444" s="17">
        <f>IF($C444="","",IF($L444="","",IF(AND(N($K444)&gt;=2,ISNUMBER($L444),$L444&lt;$J444),"Yes","No")))</f>
        <v/>
      </c>
      <c r="S444" s="18" t="n"/>
      <c r="T444" s="19">
        <f>IF(OR($C444="",$L444="",$K444&lt;&gt;1,NOT(ISNUMBER($L444)),$L444&gt;=$J444),"",IF($S444="","(enter date)",_xlfn.LET(_xlpm.dn,_xlfn.XLOOKUP($S444,nrCDdate,nrCDnum,"",1),IF(_xlpm.dn="","(after last class day)",_xlfn.LET(_xlpm.dd,_xlfn.XLOOKUP(_xlpm.dn+cfgRetestClassDays,nrCDnum,nrCDdate,""),_xlpm.ok,_xlfn.XLOOKUP(_xlpm.dn+cfgRetestClassDays,nrCDnum,nrCDinsession,"No"),IF(OR(_xlpm.dd="",_xlpm.ok&lt;&gt;"Yes"),"(after last class day)",_xlpm.dd))))))</f>
        <v/>
      </c>
      <c r="U444" s="17">
        <f>IF($C444="","",IF(AND($Y444="Excused",$L444="",N($K444)&lt;=1),"EXCUSED - 1st attempt pending",IF(OR($L444="",$K444&lt;&gt;1,NOT(ISNUMBER($L444)),$L444&gt;=$J444),"",IF(COUNTIFS(nrES_PID,$D444,nrES_Code,$F444,nrES_Att,2,nrES_Raw,"&gt;=0")&gt;0,IF(IFERROR(_xlfn.MINIFS(nrES_Date,nrES_PID,$D444,nrES_Code,$F444,nrES_Att,2,nrES_Raw,"&gt;=0",nrES_Date,"&gt;0"),0)=0,"RETEST UNDATED",IF(NOT(ISNUMBER($T444)),"RETEST DATE UNCHECKED",IF(_xlfn.MINIFS(nrES_Date,nrES_PID,$D444,nrES_Code,$F444,nrES_Att,2,nrES_Raw,"&gt;=0",nrES_Date,"&gt;0")&gt;$T444,"LATE RETEST "&amp;TEXT(_xlfn.MINIFS(nrES_Date,nrES_PID,$D444,nrES_Code,$F444,nrES_Att,2,nrES_Raw,"&gt;=0",nrES_Date,"&gt;0"),"mm/dd")&amp;" (due "&amp;TEXT($T444,"mm/dd")&amp;")","Retested"))),IF(NOT(ISNUMBER($T444)),"CHECK DATE",IF(TODAY()&gt;$T444,"OVERDUE","Due "&amp;TEXT($T444,"mm/dd")))))))</f>
        <v/>
      </c>
      <c r="V444" s="16" t="n"/>
      <c r="W444" s="16" t="n"/>
      <c r="X444" s="17">
        <f>IF($C444="","",IF(AND($L444&lt;&gt;"",NOT(ISNUMBER($L444))),"RAW SCORE NOT A NUMBER",IF(AND(ISNUMBER($L444),OR($L444&lt;0,$L444&gt;100)),"RAW SCORE OUT OF RANGE",IF(AND($Y444="Unexcused",OR($L444="",NOT(ISNUMBER($L444)),$L444&lt;&gt;0)),"UNEXCUSED ABSENCE MUST RECORD 0",IF(COUNTIF(nrES_RecID,$B444)&gt;1,"DUPLICATE RECORD",IF(N($K444)&gt;2,"ATTEMPT 3+ NOT ALLOWED - policy 300.5 permits one retest per exam; this row records nothing",IF(AND($K444=2,COUNTIFS(nrES_PID,$D444,nrES_Code,$F444,nrES_Att,1)=0),"ATTEMPT 2 WITHOUT ATTEMPT 1",IF(AND($K444=2,$L444=""),"RETEST ROW HAS NO SCORE",IF(AND($H444="Final",$L444&lt;&gt;"",IFERROR(INDEX(nrCKfinalExamElig,MATCH($D444,rngCadetPIDs,0)),"")="No"),"FINAL EXAM AFTER FAILED FINAL PT (500.1.H)",IF(AND($K444=2,ISNUMBER($L444),COUNTIFS(nrES_PID,$D444,nrES_Code,$F444,nrES_Att,1)&gt;0,SUMIFS(nrES_Raw,nrES_PID,$D444,nrES_Code,$F444,nrES_Att,1)&gt;=$J444),"RETEST AFTER A PASSING FIRST ATTEMPT","OK"))))))))))</f>
        <v/>
      </c>
      <c r="Y444" s="16" t="n"/>
    </row>
    <row r="445">
      <c r="B445" s="17">
        <f>IF($C445="","",$D445&amp;"-"&amp;$F445&amp;"-"&amp;$K445)</f>
        <v/>
      </c>
      <c r="C445" s="16" t="n"/>
      <c r="D445" s="17">
        <f>IF($C445="","",IFERROR(INDEX(rngCadetPIDs,MATCH($C445,rngCadetNames,0)),"?"))</f>
        <v/>
      </c>
      <c r="E445" s="17">
        <f>IF($D445="","",IFERROR(INDEX(nrCadetAgency,MATCH($D445,rngCadetPIDs,0)),""))</f>
        <v/>
      </c>
      <c r="F445" s="16" t="n"/>
      <c r="G445" s="17">
        <f>IF($F445="","",IFERROR(INDEX(rngEPname,MATCH($F445,rngEPcode,0)),"?"))</f>
        <v/>
      </c>
      <c r="H445" s="17">
        <f>IF($F445="","",IFERROR(INDEX(rngEPtype,MATCH($F445,rngEPcode,0)),"?"))</f>
        <v/>
      </c>
      <c r="I445" s="17">
        <f>IF($F445="","",IFERROR(INDEX(rngEPseq,MATCH($F445,rngEPcode,0)),""))</f>
        <v/>
      </c>
      <c r="J445" s="17">
        <f>IF($F445="","",IFERROR(INDEX(rngEPpass,MATCH($F445,rngEPcode,0)),cfgPassingScore))</f>
        <v/>
      </c>
      <c r="K445" s="16" t="n"/>
      <c r="L445" s="16" t="n"/>
      <c r="M445" s="17">
        <f>IF($C445="","",IF($L445="","",IF(NOT(ISNUMBER($L445)),$L445,IF(N($K445)&gt;2,"",IF($K445=1,IF(COUNTIFS(nrES_PID,$D445,nrES_Code,$F445,nrES_Att,2,nrES_Raw,"&gt;=0")&gt;0,"",$L445),IF($L445&gt;=$J445,MAX($J445,cfgRetakeRecordedCap),IF(COUNTIFS(nrES_PID,$D445,nrES_Code,$F445,nrES_Att,1)=0,$L445,SUMIFS(nrES_Raw,nrES_PID,$D445,nrES_Code,$F445,nrES_Att,1))))))))</f>
        <v/>
      </c>
      <c r="N445" s="17">
        <f>IF($C445="","",IF($L445="","",IF(NOT(ISNUMBER($L445)),"(not a score)",IF($L445&gt;=$J445,"Yes","No"))))</f>
        <v/>
      </c>
      <c r="O445" s="17">
        <f>IF($C445="","",IF($M445="","",IF(NOT(ISNUMBER($M445)),"(not a score)",IF($M445&gt;=$J445,"Yes","No"))))</f>
        <v/>
      </c>
      <c r="P445" s="17">
        <f>IF($C445="","",IF($K445="","",IF(N($K445)&gt;2,"No",IF(COUNTIFS(nrES_PID,$D445,nrES_Code,$F445,nrES_Att,"&gt;"&amp;$K445,nrES_Att,"&lt;=2",nrES_Raw,"&gt;=0")=0,"Yes","No"))))</f>
        <v/>
      </c>
      <c r="Q445" s="17">
        <f>IF($C445="","",IF($L445="","",IF(AND($K445=1,ISNUMBER($L445),$L445&lt;$J445,COUNTIFS(nrES_PID,$D445,nrES_Code,$F445,nrES_Att,2,nrES_Raw,"&gt;=0")=0),"Yes","No")))</f>
        <v/>
      </c>
      <c r="R445" s="17">
        <f>IF($C445="","",IF($L445="","",IF(AND(N($K445)&gt;=2,ISNUMBER($L445),$L445&lt;$J445),"Yes","No")))</f>
        <v/>
      </c>
      <c r="S445" s="18" t="n"/>
      <c r="T445" s="19">
        <f>IF(OR($C445="",$L445="",$K445&lt;&gt;1,NOT(ISNUMBER($L445)),$L445&gt;=$J445),"",IF($S445="","(enter date)",_xlfn.LET(_xlpm.dn,_xlfn.XLOOKUP($S445,nrCDdate,nrCDnum,"",1),IF(_xlpm.dn="","(after last class day)",_xlfn.LET(_xlpm.dd,_xlfn.XLOOKUP(_xlpm.dn+cfgRetestClassDays,nrCDnum,nrCDdate,""),_xlpm.ok,_xlfn.XLOOKUP(_xlpm.dn+cfgRetestClassDays,nrCDnum,nrCDinsession,"No"),IF(OR(_xlpm.dd="",_xlpm.ok&lt;&gt;"Yes"),"(after last class day)",_xlpm.dd))))))</f>
        <v/>
      </c>
      <c r="U445" s="17">
        <f>IF($C445="","",IF(AND($Y445="Excused",$L445="",N($K445)&lt;=1),"EXCUSED - 1st attempt pending",IF(OR($L445="",$K445&lt;&gt;1,NOT(ISNUMBER($L445)),$L445&gt;=$J445),"",IF(COUNTIFS(nrES_PID,$D445,nrES_Code,$F445,nrES_Att,2,nrES_Raw,"&gt;=0")&gt;0,IF(IFERROR(_xlfn.MINIFS(nrES_Date,nrES_PID,$D445,nrES_Code,$F445,nrES_Att,2,nrES_Raw,"&gt;=0",nrES_Date,"&gt;0"),0)=0,"RETEST UNDATED",IF(NOT(ISNUMBER($T445)),"RETEST DATE UNCHECKED",IF(_xlfn.MINIFS(nrES_Date,nrES_PID,$D445,nrES_Code,$F445,nrES_Att,2,nrES_Raw,"&gt;=0",nrES_Date,"&gt;0")&gt;$T445,"LATE RETEST "&amp;TEXT(_xlfn.MINIFS(nrES_Date,nrES_PID,$D445,nrES_Code,$F445,nrES_Att,2,nrES_Raw,"&gt;=0",nrES_Date,"&gt;0"),"mm/dd")&amp;" (due "&amp;TEXT($T445,"mm/dd")&amp;")","Retested"))),IF(NOT(ISNUMBER($T445)),"CHECK DATE",IF(TODAY()&gt;$T445,"OVERDUE","Due "&amp;TEXT($T445,"mm/dd")))))))</f>
        <v/>
      </c>
      <c r="V445" s="16" t="n"/>
      <c r="W445" s="16" t="n"/>
      <c r="X445" s="17">
        <f>IF($C445="","",IF(AND($L445&lt;&gt;"",NOT(ISNUMBER($L445))),"RAW SCORE NOT A NUMBER",IF(AND(ISNUMBER($L445),OR($L445&lt;0,$L445&gt;100)),"RAW SCORE OUT OF RANGE",IF(AND($Y445="Unexcused",OR($L445="",NOT(ISNUMBER($L445)),$L445&lt;&gt;0)),"UNEXCUSED ABSENCE MUST RECORD 0",IF(COUNTIF(nrES_RecID,$B445)&gt;1,"DUPLICATE RECORD",IF(N($K445)&gt;2,"ATTEMPT 3+ NOT ALLOWED - policy 300.5 permits one retest per exam; this row records nothing",IF(AND($K445=2,COUNTIFS(nrES_PID,$D445,nrES_Code,$F445,nrES_Att,1)=0),"ATTEMPT 2 WITHOUT ATTEMPT 1",IF(AND($K445=2,$L445=""),"RETEST ROW HAS NO SCORE",IF(AND($H445="Final",$L445&lt;&gt;"",IFERROR(INDEX(nrCKfinalExamElig,MATCH($D445,rngCadetPIDs,0)),"")="No"),"FINAL EXAM AFTER FAILED FINAL PT (500.1.H)",IF(AND($K445=2,ISNUMBER($L445),COUNTIFS(nrES_PID,$D445,nrES_Code,$F445,nrES_Att,1)&gt;0,SUMIFS(nrES_Raw,nrES_PID,$D445,nrES_Code,$F445,nrES_Att,1)&gt;=$J445),"RETEST AFTER A PASSING FIRST ATTEMPT","OK"))))))))))</f>
        <v/>
      </c>
      <c r="Y445" s="16" t="n"/>
    </row>
    <row r="446">
      <c r="B446" s="17">
        <f>IF($C446="","",$D446&amp;"-"&amp;$F446&amp;"-"&amp;$K446)</f>
        <v/>
      </c>
      <c r="C446" s="16" t="n"/>
      <c r="D446" s="17">
        <f>IF($C446="","",IFERROR(INDEX(rngCadetPIDs,MATCH($C446,rngCadetNames,0)),"?"))</f>
        <v/>
      </c>
      <c r="E446" s="17">
        <f>IF($D446="","",IFERROR(INDEX(nrCadetAgency,MATCH($D446,rngCadetPIDs,0)),""))</f>
        <v/>
      </c>
      <c r="F446" s="16" t="n"/>
      <c r="G446" s="17">
        <f>IF($F446="","",IFERROR(INDEX(rngEPname,MATCH($F446,rngEPcode,0)),"?"))</f>
        <v/>
      </c>
      <c r="H446" s="17">
        <f>IF($F446="","",IFERROR(INDEX(rngEPtype,MATCH($F446,rngEPcode,0)),"?"))</f>
        <v/>
      </c>
      <c r="I446" s="17">
        <f>IF($F446="","",IFERROR(INDEX(rngEPseq,MATCH($F446,rngEPcode,0)),""))</f>
        <v/>
      </c>
      <c r="J446" s="17">
        <f>IF($F446="","",IFERROR(INDEX(rngEPpass,MATCH($F446,rngEPcode,0)),cfgPassingScore))</f>
        <v/>
      </c>
      <c r="K446" s="16" t="n"/>
      <c r="L446" s="16" t="n"/>
      <c r="M446" s="17">
        <f>IF($C446="","",IF($L446="","",IF(NOT(ISNUMBER($L446)),$L446,IF(N($K446)&gt;2,"",IF($K446=1,IF(COUNTIFS(nrES_PID,$D446,nrES_Code,$F446,nrES_Att,2,nrES_Raw,"&gt;=0")&gt;0,"",$L446),IF($L446&gt;=$J446,MAX($J446,cfgRetakeRecordedCap),IF(COUNTIFS(nrES_PID,$D446,nrES_Code,$F446,nrES_Att,1)=0,$L446,SUMIFS(nrES_Raw,nrES_PID,$D446,nrES_Code,$F446,nrES_Att,1))))))))</f>
        <v/>
      </c>
      <c r="N446" s="17">
        <f>IF($C446="","",IF($L446="","",IF(NOT(ISNUMBER($L446)),"(not a score)",IF($L446&gt;=$J446,"Yes","No"))))</f>
        <v/>
      </c>
      <c r="O446" s="17">
        <f>IF($C446="","",IF($M446="","",IF(NOT(ISNUMBER($M446)),"(not a score)",IF($M446&gt;=$J446,"Yes","No"))))</f>
        <v/>
      </c>
      <c r="P446" s="17">
        <f>IF($C446="","",IF($K446="","",IF(N($K446)&gt;2,"No",IF(COUNTIFS(nrES_PID,$D446,nrES_Code,$F446,nrES_Att,"&gt;"&amp;$K446,nrES_Att,"&lt;=2",nrES_Raw,"&gt;=0")=0,"Yes","No"))))</f>
        <v/>
      </c>
      <c r="Q446" s="17">
        <f>IF($C446="","",IF($L446="","",IF(AND($K446=1,ISNUMBER($L446),$L446&lt;$J446,COUNTIFS(nrES_PID,$D446,nrES_Code,$F446,nrES_Att,2,nrES_Raw,"&gt;=0")=0),"Yes","No")))</f>
        <v/>
      </c>
      <c r="R446" s="17">
        <f>IF($C446="","",IF($L446="","",IF(AND(N($K446)&gt;=2,ISNUMBER($L446),$L446&lt;$J446),"Yes","No")))</f>
        <v/>
      </c>
      <c r="S446" s="18" t="n"/>
      <c r="T446" s="19">
        <f>IF(OR($C446="",$L446="",$K446&lt;&gt;1,NOT(ISNUMBER($L446)),$L446&gt;=$J446),"",IF($S446="","(enter date)",_xlfn.LET(_xlpm.dn,_xlfn.XLOOKUP($S446,nrCDdate,nrCDnum,"",1),IF(_xlpm.dn="","(after last class day)",_xlfn.LET(_xlpm.dd,_xlfn.XLOOKUP(_xlpm.dn+cfgRetestClassDays,nrCDnum,nrCDdate,""),_xlpm.ok,_xlfn.XLOOKUP(_xlpm.dn+cfgRetestClassDays,nrCDnum,nrCDinsession,"No"),IF(OR(_xlpm.dd="",_xlpm.ok&lt;&gt;"Yes"),"(after last class day)",_xlpm.dd))))))</f>
        <v/>
      </c>
      <c r="U446" s="17">
        <f>IF($C446="","",IF(AND($Y446="Excused",$L446="",N($K446)&lt;=1),"EXCUSED - 1st attempt pending",IF(OR($L446="",$K446&lt;&gt;1,NOT(ISNUMBER($L446)),$L446&gt;=$J446),"",IF(COUNTIFS(nrES_PID,$D446,nrES_Code,$F446,nrES_Att,2,nrES_Raw,"&gt;=0")&gt;0,IF(IFERROR(_xlfn.MINIFS(nrES_Date,nrES_PID,$D446,nrES_Code,$F446,nrES_Att,2,nrES_Raw,"&gt;=0",nrES_Date,"&gt;0"),0)=0,"RETEST UNDATED",IF(NOT(ISNUMBER($T446)),"RETEST DATE UNCHECKED",IF(_xlfn.MINIFS(nrES_Date,nrES_PID,$D446,nrES_Code,$F446,nrES_Att,2,nrES_Raw,"&gt;=0",nrES_Date,"&gt;0")&gt;$T446,"LATE RETEST "&amp;TEXT(_xlfn.MINIFS(nrES_Date,nrES_PID,$D446,nrES_Code,$F446,nrES_Att,2,nrES_Raw,"&gt;=0",nrES_Date,"&gt;0"),"mm/dd")&amp;" (due "&amp;TEXT($T446,"mm/dd")&amp;")","Retested"))),IF(NOT(ISNUMBER($T446)),"CHECK DATE",IF(TODAY()&gt;$T446,"OVERDUE","Due "&amp;TEXT($T446,"mm/dd")))))))</f>
        <v/>
      </c>
      <c r="V446" s="16" t="n"/>
      <c r="W446" s="16" t="n"/>
      <c r="X446" s="17">
        <f>IF($C446="","",IF(AND($L446&lt;&gt;"",NOT(ISNUMBER($L446))),"RAW SCORE NOT A NUMBER",IF(AND(ISNUMBER($L446),OR($L446&lt;0,$L446&gt;100)),"RAW SCORE OUT OF RANGE",IF(AND($Y446="Unexcused",OR($L446="",NOT(ISNUMBER($L446)),$L446&lt;&gt;0)),"UNEXCUSED ABSENCE MUST RECORD 0",IF(COUNTIF(nrES_RecID,$B446)&gt;1,"DUPLICATE RECORD",IF(N($K446)&gt;2,"ATTEMPT 3+ NOT ALLOWED - policy 300.5 permits one retest per exam; this row records nothing",IF(AND($K446=2,COUNTIFS(nrES_PID,$D446,nrES_Code,$F446,nrES_Att,1)=0),"ATTEMPT 2 WITHOUT ATTEMPT 1",IF(AND($K446=2,$L446=""),"RETEST ROW HAS NO SCORE",IF(AND($H446="Final",$L446&lt;&gt;"",IFERROR(INDEX(nrCKfinalExamElig,MATCH($D446,rngCadetPIDs,0)),"")="No"),"FINAL EXAM AFTER FAILED FINAL PT (500.1.H)",IF(AND($K446=2,ISNUMBER($L446),COUNTIFS(nrES_PID,$D446,nrES_Code,$F446,nrES_Att,1)&gt;0,SUMIFS(nrES_Raw,nrES_PID,$D446,nrES_Code,$F446,nrES_Att,1)&gt;=$J446),"RETEST AFTER A PASSING FIRST ATTEMPT","OK"))))))))))</f>
        <v/>
      </c>
      <c r="Y446" s="16" t="n"/>
    </row>
    <row r="447">
      <c r="B447" s="17">
        <f>IF($C447="","",$D447&amp;"-"&amp;$F447&amp;"-"&amp;$K447)</f>
        <v/>
      </c>
      <c r="C447" s="16" t="n"/>
      <c r="D447" s="17">
        <f>IF($C447="","",IFERROR(INDEX(rngCadetPIDs,MATCH($C447,rngCadetNames,0)),"?"))</f>
        <v/>
      </c>
      <c r="E447" s="17">
        <f>IF($D447="","",IFERROR(INDEX(nrCadetAgency,MATCH($D447,rngCadetPIDs,0)),""))</f>
        <v/>
      </c>
      <c r="F447" s="16" t="n"/>
      <c r="G447" s="17">
        <f>IF($F447="","",IFERROR(INDEX(rngEPname,MATCH($F447,rngEPcode,0)),"?"))</f>
        <v/>
      </c>
      <c r="H447" s="17">
        <f>IF($F447="","",IFERROR(INDEX(rngEPtype,MATCH($F447,rngEPcode,0)),"?"))</f>
        <v/>
      </c>
      <c r="I447" s="17">
        <f>IF($F447="","",IFERROR(INDEX(rngEPseq,MATCH($F447,rngEPcode,0)),""))</f>
        <v/>
      </c>
      <c r="J447" s="17">
        <f>IF($F447="","",IFERROR(INDEX(rngEPpass,MATCH($F447,rngEPcode,0)),cfgPassingScore))</f>
        <v/>
      </c>
      <c r="K447" s="16" t="n"/>
      <c r="L447" s="16" t="n"/>
      <c r="M447" s="17">
        <f>IF($C447="","",IF($L447="","",IF(NOT(ISNUMBER($L447)),$L447,IF(N($K447)&gt;2,"",IF($K447=1,IF(COUNTIFS(nrES_PID,$D447,nrES_Code,$F447,nrES_Att,2,nrES_Raw,"&gt;=0")&gt;0,"",$L447),IF($L447&gt;=$J447,MAX($J447,cfgRetakeRecordedCap),IF(COUNTIFS(nrES_PID,$D447,nrES_Code,$F447,nrES_Att,1)=0,$L447,SUMIFS(nrES_Raw,nrES_PID,$D447,nrES_Code,$F447,nrES_Att,1))))))))</f>
        <v/>
      </c>
      <c r="N447" s="17">
        <f>IF($C447="","",IF($L447="","",IF(NOT(ISNUMBER($L447)),"(not a score)",IF($L447&gt;=$J447,"Yes","No"))))</f>
        <v/>
      </c>
      <c r="O447" s="17">
        <f>IF($C447="","",IF($M447="","",IF(NOT(ISNUMBER($M447)),"(not a score)",IF($M447&gt;=$J447,"Yes","No"))))</f>
        <v/>
      </c>
      <c r="P447" s="17">
        <f>IF($C447="","",IF($K447="","",IF(N($K447)&gt;2,"No",IF(COUNTIFS(nrES_PID,$D447,nrES_Code,$F447,nrES_Att,"&gt;"&amp;$K447,nrES_Att,"&lt;=2",nrES_Raw,"&gt;=0")=0,"Yes","No"))))</f>
        <v/>
      </c>
      <c r="Q447" s="17">
        <f>IF($C447="","",IF($L447="","",IF(AND($K447=1,ISNUMBER($L447),$L447&lt;$J447,COUNTIFS(nrES_PID,$D447,nrES_Code,$F447,nrES_Att,2,nrES_Raw,"&gt;=0")=0),"Yes","No")))</f>
        <v/>
      </c>
      <c r="R447" s="17">
        <f>IF($C447="","",IF($L447="","",IF(AND(N($K447)&gt;=2,ISNUMBER($L447),$L447&lt;$J447),"Yes","No")))</f>
        <v/>
      </c>
      <c r="S447" s="18" t="n"/>
      <c r="T447" s="19">
        <f>IF(OR($C447="",$L447="",$K447&lt;&gt;1,NOT(ISNUMBER($L447)),$L447&gt;=$J447),"",IF($S447="","(enter date)",_xlfn.LET(_xlpm.dn,_xlfn.XLOOKUP($S447,nrCDdate,nrCDnum,"",1),IF(_xlpm.dn="","(after last class day)",_xlfn.LET(_xlpm.dd,_xlfn.XLOOKUP(_xlpm.dn+cfgRetestClassDays,nrCDnum,nrCDdate,""),_xlpm.ok,_xlfn.XLOOKUP(_xlpm.dn+cfgRetestClassDays,nrCDnum,nrCDinsession,"No"),IF(OR(_xlpm.dd="",_xlpm.ok&lt;&gt;"Yes"),"(after last class day)",_xlpm.dd))))))</f>
        <v/>
      </c>
      <c r="U447" s="17">
        <f>IF($C447="","",IF(AND($Y447="Excused",$L447="",N($K447)&lt;=1),"EXCUSED - 1st attempt pending",IF(OR($L447="",$K447&lt;&gt;1,NOT(ISNUMBER($L447)),$L447&gt;=$J447),"",IF(COUNTIFS(nrES_PID,$D447,nrES_Code,$F447,nrES_Att,2,nrES_Raw,"&gt;=0")&gt;0,IF(IFERROR(_xlfn.MINIFS(nrES_Date,nrES_PID,$D447,nrES_Code,$F447,nrES_Att,2,nrES_Raw,"&gt;=0",nrES_Date,"&gt;0"),0)=0,"RETEST UNDATED",IF(NOT(ISNUMBER($T447)),"RETEST DATE UNCHECKED",IF(_xlfn.MINIFS(nrES_Date,nrES_PID,$D447,nrES_Code,$F447,nrES_Att,2,nrES_Raw,"&gt;=0",nrES_Date,"&gt;0")&gt;$T447,"LATE RETEST "&amp;TEXT(_xlfn.MINIFS(nrES_Date,nrES_PID,$D447,nrES_Code,$F447,nrES_Att,2,nrES_Raw,"&gt;=0",nrES_Date,"&gt;0"),"mm/dd")&amp;" (due "&amp;TEXT($T447,"mm/dd")&amp;")","Retested"))),IF(NOT(ISNUMBER($T447)),"CHECK DATE",IF(TODAY()&gt;$T447,"OVERDUE","Due "&amp;TEXT($T447,"mm/dd")))))))</f>
        <v/>
      </c>
      <c r="V447" s="16" t="n"/>
      <c r="W447" s="16" t="n"/>
      <c r="X447" s="17">
        <f>IF($C447="","",IF(AND($L447&lt;&gt;"",NOT(ISNUMBER($L447))),"RAW SCORE NOT A NUMBER",IF(AND(ISNUMBER($L447),OR($L447&lt;0,$L447&gt;100)),"RAW SCORE OUT OF RANGE",IF(AND($Y447="Unexcused",OR($L447="",NOT(ISNUMBER($L447)),$L447&lt;&gt;0)),"UNEXCUSED ABSENCE MUST RECORD 0",IF(COUNTIF(nrES_RecID,$B447)&gt;1,"DUPLICATE RECORD",IF(N($K447)&gt;2,"ATTEMPT 3+ NOT ALLOWED - policy 300.5 permits one retest per exam; this row records nothing",IF(AND($K447=2,COUNTIFS(nrES_PID,$D447,nrES_Code,$F447,nrES_Att,1)=0),"ATTEMPT 2 WITHOUT ATTEMPT 1",IF(AND($K447=2,$L447=""),"RETEST ROW HAS NO SCORE",IF(AND($H447="Final",$L447&lt;&gt;"",IFERROR(INDEX(nrCKfinalExamElig,MATCH($D447,rngCadetPIDs,0)),"")="No"),"FINAL EXAM AFTER FAILED FINAL PT (500.1.H)",IF(AND($K447=2,ISNUMBER($L447),COUNTIFS(nrES_PID,$D447,nrES_Code,$F447,nrES_Att,1)&gt;0,SUMIFS(nrES_Raw,nrES_PID,$D447,nrES_Code,$F447,nrES_Att,1)&gt;=$J447),"RETEST AFTER A PASSING FIRST ATTEMPT","OK"))))))))))</f>
        <v/>
      </c>
      <c r="Y447" s="16" t="n"/>
    </row>
    <row r="448">
      <c r="B448" s="17">
        <f>IF($C448="","",$D448&amp;"-"&amp;$F448&amp;"-"&amp;$K448)</f>
        <v/>
      </c>
      <c r="C448" s="16" t="n"/>
      <c r="D448" s="17">
        <f>IF($C448="","",IFERROR(INDEX(rngCadetPIDs,MATCH($C448,rngCadetNames,0)),"?"))</f>
        <v/>
      </c>
      <c r="E448" s="17">
        <f>IF($D448="","",IFERROR(INDEX(nrCadetAgency,MATCH($D448,rngCadetPIDs,0)),""))</f>
        <v/>
      </c>
      <c r="F448" s="16" t="n"/>
      <c r="G448" s="17">
        <f>IF($F448="","",IFERROR(INDEX(rngEPname,MATCH($F448,rngEPcode,0)),"?"))</f>
        <v/>
      </c>
      <c r="H448" s="17">
        <f>IF($F448="","",IFERROR(INDEX(rngEPtype,MATCH($F448,rngEPcode,0)),"?"))</f>
        <v/>
      </c>
      <c r="I448" s="17">
        <f>IF($F448="","",IFERROR(INDEX(rngEPseq,MATCH($F448,rngEPcode,0)),""))</f>
        <v/>
      </c>
      <c r="J448" s="17">
        <f>IF($F448="","",IFERROR(INDEX(rngEPpass,MATCH($F448,rngEPcode,0)),cfgPassingScore))</f>
        <v/>
      </c>
      <c r="K448" s="16" t="n"/>
      <c r="L448" s="16" t="n"/>
      <c r="M448" s="17">
        <f>IF($C448="","",IF($L448="","",IF(NOT(ISNUMBER($L448)),$L448,IF(N($K448)&gt;2,"",IF($K448=1,IF(COUNTIFS(nrES_PID,$D448,nrES_Code,$F448,nrES_Att,2,nrES_Raw,"&gt;=0")&gt;0,"",$L448),IF($L448&gt;=$J448,MAX($J448,cfgRetakeRecordedCap),IF(COUNTIFS(nrES_PID,$D448,nrES_Code,$F448,nrES_Att,1)=0,$L448,SUMIFS(nrES_Raw,nrES_PID,$D448,nrES_Code,$F448,nrES_Att,1))))))))</f>
        <v/>
      </c>
      <c r="N448" s="17">
        <f>IF($C448="","",IF($L448="","",IF(NOT(ISNUMBER($L448)),"(not a score)",IF($L448&gt;=$J448,"Yes","No"))))</f>
        <v/>
      </c>
      <c r="O448" s="17">
        <f>IF($C448="","",IF($M448="","",IF(NOT(ISNUMBER($M448)),"(not a score)",IF($M448&gt;=$J448,"Yes","No"))))</f>
        <v/>
      </c>
      <c r="P448" s="17">
        <f>IF($C448="","",IF($K448="","",IF(N($K448)&gt;2,"No",IF(COUNTIFS(nrES_PID,$D448,nrES_Code,$F448,nrES_Att,"&gt;"&amp;$K448,nrES_Att,"&lt;=2",nrES_Raw,"&gt;=0")=0,"Yes","No"))))</f>
        <v/>
      </c>
      <c r="Q448" s="17">
        <f>IF($C448="","",IF($L448="","",IF(AND($K448=1,ISNUMBER($L448),$L448&lt;$J448,COUNTIFS(nrES_PID,$D448,nrES_Code,$F448,nrES_Att,2,nrES_Raw,"&gt;=0")=0),"Yes","No")))</f>
        <v/>
      </c>
      <c r="R448" s="17">
        <f>IF($C448="","",IF($L448="","",IF(AND(N($K448)&gt;=2,ISNUMBER($L448),$L448&lt;$J448),"Yes","No")))</f>
        <v/>
      </c>
      <c r="S448" s="18" t="n"/>
      <c r="T448" s="19">
        <f>IF(OR($C448="",$L448="",$K448&lt;&gt;1,NOT(ISNUMBER($L448)),$L448&gt;=$J448),"",IF($S448="","(enter date)",_xlfn.LET(_xlpm.dn,_xlfn.XLOOKUP($S448,nrCDdate,nrCDnum,"",1),IF(_xlpm.dn="","(after last class day)",_xlfn.LET(_xlpm.dd,_xlfn.XLOOKUP(_xlpm.dn+cfgRetestClassDays,nrCDnum,nrCDdate,""),_xlpm.ok,_xlfn.XLOOKUP(_xlpm.dn+cfgRetestClassDays,nrCDnum,nrCDinsession,"No"),IF(OR(_xlpm.dd="",_xlpm.ok&lt;&gt;"Yes"),"(after last class day)",_xlpm.dd))))))</f>
        <v/>
      </c>
      <c r="U448" s="17">
        <f>IF($C448="","",IF(AND($Y448="Excused",$L448="",N($K448)&lt;=1),"EXCUSED - 1st attempt pending",IF(OR($L448="",$K448&lt;&gt;1,NOT(ISNUMBER($L448)),$L448&gt;=$J448),"",IF(COUNTIFS(nrES_PID,$D448,nrES_Code,$F448,nrES_Att,2,nrES_Raw,"&gt;=0")&gt;0,IF(IFERROR(_xlfn.MINIFS(nrES_Date,nrES_PID,$D448,nrES_Code,$F448,nrES_Att,2,nrES_Raw,"&gt;=0",nrES_Date,"&gt;0"),0)=0,"RETEST UNDATED",IF(NOT(ISNUMBER($T448)),"RETEST DATE UNCHECKED",IF(_xlfn.MINIFS(nrES_Date,nrES_PID,$D448,nrES_Code,$F448,nrES_Att,2,nrES_Raw,"&gt;=0",nrES_Date,"&gt;0")&gt;$T448,"LATE RETEST "&amp;TEXT(_xlfn.MINIFS(nrES_Date,nrES_PID,$D448,nrES_Code,$F448,nrES_Att,2,nrES_Raw,"&gt;=0",nrES_Date,"&gt;0"),"mm/dd")&amp;" (due "&amp;TEXT($T448,"mm/dd")&amp;")","Retested"))),IF(NOT(ISNUMBER($T448)),"CHECK DATE",IF(TODAY()&gt;$T448,"OVERDUE","Due "&amp;TEXT($T448,"mm/dd")))))))</f>
        <v/>
      </c>
      <c r="V448" s="16" t="n"/>
      <c r="W448" s="16" t="n"/>
      <c r="X448" s="17">
        <f>IF($C448="","",IF(AND($L448&lt;&gt;"",NOT(ISNUMBER($L448))),"RAW SCORE NOT A NUMBER",IF(AND(ISNUMBER($L448),OR($L448&lt;0,$L448&gt;100)),"RAW SCORE OUT OF RANGE",IF(AND($Y448="Unexcused",OR($L448="",NOT(ISNUMBER($L448)),$L448&lt;&gt;0)),"UNEXCUSED ABSENCE MUST RECORD 0",IF(COUNTIF(nrES_RecID,$B448)&gt;1,"DUPLICATE RECORD",IF(N($K448)&gt;2,"ATTEMPT 3+ NOT ALLOWED - policy 300.5 permits one retest per exam; this row records nothing",IF(AND($K448=2,COUNTIFS(nrES_PID,$D448,nrES_Code,$F448,nrES_Att,1)=0),"ATTEMPT 2 WITHOUT ATTEMPT 1",IF(AND($K448=2,$L448=""),"RETEST ROW HAS NO SCORE",IF(AND($H448="Final",$L448&lt;&gt;"",IFERROR(INDEX(nrCKfinalExamElig,MATCH($D448,rngCadetPIDs,0)),"")="No"),"FINAL EXAM AFTER FAILED FINAL PT (500.1.H)",IF(AND($K448=2,ISNUMBER($L448),COUNTIFS(nrES_PID,$D448,nrES_Code,$F448,nrES_Att,1)&gt;0,SUMIFS(nrES_Raw,nrES_PID,$D448,nrES_Code,$F448,nrES_Att,1)&gt;=$J448),"RETEST AFTER A PASSING FIRST ATTEMPT","OK"))))))))))</f>
        <v/>
      </c>
      <c r="Y448" s="16" t="n"/>
    </row>
    <row r="449">
      <c r="B449" s="17">
        <f>IF($C449="","",$D449&amp;"-"&amp;$F449&amp;"-"&amp;$K449)</f>
        <v/>
      </c>
      <c r="C449" s="16" t="n"/>
      <c r="D449" s="17">
        <f>IF($C449="","",IFERROR(INDEX(rngCadetPIDs,MATCH($C449,rngCadetNames,0)),"?"))</f>
        <v/>
      </c>
      <c r="E449" s="17">
        <f>IF($D449="","",IFERROR(INDEX(nrCadetAgency,MATCH($D449,rngCadetPIDs,0)),""))</f>
        <v/>
      </c>
      <c r="F449" s="16" t="n"/>
      <c r="G449" s="17">
        <f>IF($F449="","",IFERROR(INDEX(rngEPname,MATCH($F449,rngEPcode,0)),"?"))</f>
        <v/>
      </c>
      <c r="H449" s="17">
        <f>IF($F449="","",IFERROR(INDEX(rngEPtype,MATCH($F449,rngEPcode,0)),"?"))</f>
        <v/>
      </c>
      <c r="I449" s="17">
        <f>IF($F449="","",IFERROR(INDEX(rngEPseq,MATCH($F449,rngEPcode,0)),""))</f>
        <v/>
      </c>
      <c r="J449" s="17">
        <f>IF($F449="","",IFERROR(INDEX(rngEPpass,MATCH($F449,rngEPcode,0)),cfgPassingScore))</f>
        <v/>
      </c>
      <c r="K449" s="16" t="n"/>
      <c r="L449" s="16" t="n"/>
      <c r="M449" s="17">
        <f>IF($C449="","",IF($L449="","",IF(NOT(ISNUMBER($L449)),$L449,IF(N($K449)&gt;2,"",IF($K449=1,IF(COUNTIFS(nrES_PID,$D449,nrES_Code,$F449,nrES_Att,2,nrES_Raw,"&gt;=0")&gt;0,"",$L449),IF($L449&gt;=$J449,MAX($J449,cfgRetakeRecordedCap),IF(COUNTIFS(nrES_PID,$D449,nrES_Code,$F449,nrES_Att,1)=0,$L449,SUMIFS(nrES_Raw,nrES_PID,$D449,nrES_Code,$F449,nrES_Att,1))))))))</f>
        <v/>
      </c>
      <c r="N449" s="17">
        <f>IF($C449="","",IF($L449="","",IF(NOT(ISNUMBER($L449)),"(not a score)",IF($L449&gt;=$J449,"Yes","No"))))</f>
        <v/>
      </c>
      <c r="O449" s="17">
        <f>IF($C449="","",IF($M449="","",IF(NOT(ISNUMBER($M449)),"(not a score)",IF($M449&gt;=$J449,"Yes","No"))))</f>
        <v/>
      </c>
      <c r="P449" s="17">
        <f>IF($C449="","",IF($K449="","",IF(N($K449)&gt;2,"No",IF(COUNTIFS(nrES_PID,$D449,nrES_Code,$F449,nrES_Att,"&gt;"&amp;$K449,nrES_Att,"&lt;=2",nrES_Raw,"&gt;=0")=0,"Yes","No"))))</f>
        <v/>
      </c>
      <c r="Q449" s="17">
        <f>IF($C449="","",IF($L449="","",IF(AND($K449=1,ISNUMBER($L449),$L449&lt;$J449,COUNTIFS(nrES_PID,$D449,nrES_Code,$F449,nrES_Att,2,nrES_Raw,"&gt;=0")=0),"Yes","No")))</f>
        <v/>
      </c>
      <c r="R449" s="17">
        <f>IF($C449="","",IF($L449="","",IF(AND(N($K449)&gt;=2,ISNUMBER($L449),$L449&lt;$J449),"Yes","No")))</f>
        <v/>
      </c>
      <c r="S449" s="18" t="n"/>
      <c r="T449" s="19">
        <f>IF(OR($C449="",$L449="",$K449&lt;&gt;1,NOT(ISNUMBER($L449)),$L449&gt;=$J449),"",IF($S449="","(enter date)",_xlfn.LET(_xlpm.dn,_xlfn.XLOOKUP($S449,nrCDdate,nrCDnum,"",1),IF(_xlpm.dn="","(after last class day)",_xlfn.LET(_xlpm.dd,_xlfn.XLOOKUP(_xlpm.dn+cfgRetestClassDays,nrCDnum,nrCDdate,""),_xlpm.ok,_xlfn.XLOOKUP(_xlpm.dn+cfgRetestClassDays,nrCDnum,nrCDinsession,"No"),IF(OR(_xlpm.dd="",_xlpm.ok&lt;&gt;"Yes"),"(after last class day)",_xlpm.dd))))))</f>
        <v/>
      </c>
      <c r="U449" s="17">
        <f>IF($C449="","",IF(AND($Y449="Excused",$L449="",N($K449)&lt;=1),"EXCUSED - 1st attempt pending",IF(OR($L449="",$K449&lt;&gt;1,NOT(ISNUMBER($L449)),$L449&gt;=$J449),"",IF(COUNTIFS(nrES_PID,$D449,nrES_Code,$F449,nrES_Att,2,nrES_Raw,"&gt;=0")&gt;0,IF(IFERROR(_xlfn.MINIFS(nrES_Date,nrES_PID,$D449,nrES_Code,$F449,nrES_Att,2,nrES_Raw,"&gt;=0",nrES_Date,"&gt;0"),0)=0,"RETEST UNDATED",IF(NOT(ISNUMBER($T449)),"RETEST DATE UNCHECKED",IF(_xlfn.MINIFS(nrES_Date,nrES_PID,$D449,nrES_Code,$F449,nrES_Att,2,nrES_Raw,"&gt;=0",nrES_Date,"&gt;0")&gt;$T449,"LATE RETEST "&amp;TEXT(_xlfn.MINIFS(nrES_Date,nrES_PID,$D449,nrES_Code,$F449,nrES_Att,2,nrES_Raw,"&gt;=0",nrES_Date,"&gt;0"),"mm/dd")&amp;" (due "&amp;TEXT($T449,"mm/dd")&amp;")","Retested"))),IF(NOT(ISNUMBER($T449)),"CHECK DATE",IF(TODAY()&gt;$T449,"OVERDUE","Due "&amp;TEXT($T449,"mm/dd")))))))</f>
        <v/>
      </c>
      <c r="V449" s="16" t="n"/>
      <c r="W449" s="16" t="n"/>
      <c r="X449" s="17">
        <f>IF($C449="","",IF(AND($L449&lt;&gt;"",NOT(ISNUMBER($L449))),"RAW SCORE NOT A NUMBER",IF(AND(ISNUMBER($L449),OR($L449&lt;0,$L449&gt;100)),"RAW SCORE OUT OF RANGE",IF(AND($Y449="Unexcused",OR($L449="",NOT(ISNUMBER($L449)),$L449&lt;&gt;0)),"UNEXCUSED ABSENCE MUST RECORD 0",IF(COUNTIF(nrES_RecID,$B449)&gt;1,"DUPLICATE RECORD",IF(N($K449)&gt;2,"ATTEMPT 3+ NOT ALLOWED - policy 300.5 permits one retest per exam; this row records nothing",IF(AND($K449=2,COUNTIFS(nrES_PID,$D449,nrES_Code,$F449,nrES_Att,1)=0),"ATTEMPT 2 WITHOUT ATTEMPT 1",IF(AND($K449=2,$L449=""),"RETEST ROW HAS NO SCORE",IF(AND($H449="Final",$L449&lt;&gt;"",IFERROR(INDEX(nrCKfinalExamElig,MATCH($D449,rngCadetPIDs,0)),"")="No"),"FINAL EXAM AFTER FAILED FINAL PT (500.1.H)",IF(AND($K449=2,ISNUMBER($L449),COUNTIFS(nrES_PID,$D449,nrES_Code,$F449,nrES_Att,1)&gt;0,SUMIFS(nrES_Raw,nrES_PID,$D449,nrES_Code,$F449,nrES_Att,1)&gt;=$J449),"RETEST AFTER A PASSING FIRST ATTEMPT","OK"))))))))))</f>
        <v/>
      </c>
      <c r="Y449" s="16" t="n"/>
    </row>
    <row r="450">
      <c r="B450" s="17">
        <f>IF($C450="","",$D450&amp;"-"&amp;$F450&amp;"-"&amp;$K450)</f>
        <v/>
      </c>
      <c r="C450" s="16" t="n"/>
      <c r="D450" s="17">
        <f>IF($C450="","",IFERROR(INDEX(rngCadetPIDs,MATCH($C450,rngCadetNames,0)),"?"))</f>
        <v/>
      </c>
      <c r="E450" s="17">
        <f>IF($D450="","",IFERROR(INDEX(nrCadetAgency,MATCH($D450,rngCadetPIDs,0)),""))</f>
        <v/>
      </c>
      <c r="F450" s="16" t="n"/>
      <c r="G450" s="17">
        <f>IF($F450="","",IFERROR(INDEX(rngEPname,MATCH($F450,rngEPcode,0)),"?"))</f>
        <v/>
      </c>
      <c r="H450" s="17">
        <f>IF($F450="","",IFERROR(INDEX(rngEPtype,MATCH($F450,rngEPcode,0)),"?"))</f>
        <v/>
      </c>
      <c r="I450" s="17">
        <f>IF($F450="","",IFERROR(INDEX(rngEPseq,MATCH($F450,rngEPcode,0)),""))</f>
        <v/>
      </c>
      <c r="J450" s="17">
        <f>IF($F450="","",IFERROR(INDEX(rngEPpass,MATCH($F450,rngEPcode,0)),cfgPassingScore))</f>
        <v/>
      </c>
      <c r="K450" s="16" t="n"/>
      <c r="L450" s="16" t="n"/>
      <c r="M450" s="17">
        <f>IF($C450="","",IF($L450="","",IF(NOT(ISNUMBER($L450)),$L450,IF(N($K450)&gt;2,"",IF($K450=1,IF(COUNTIFS(nrES_PID,$D450,nrES_Code,$F450,nrES_Att,2,nrES_Raw,"&gt;=0")&gt;0,"",$L450),IF($L450&gt;=$J450,MAX($J450,cfgRetakeRecordedCap),IF(COUNTIFS(nrES_PID,$D450,nrES_Code,$F450,nrES_Att,1)=0,$L450,SUMIFS(nrES_Raw,nrES_PID,$D450,nrES_Code,$F450,nrES_Att,1))))))))</f>
        <v/>
      </c>
      <c r="N450" s="17">
        <f>IF($C450="","",IF($L450="","",IF(NOT(ISNUMBER($L450)),"(not a score)",IF($L450&gt;=$J450,"Yes","No"))))</f>
        <v/>
      </c>
      <c r="O450" s="17">
        <f>IF($C450="","",IF($M450="","",IF(NOT(ISNUMBER($M450)),"(not a score)",IF($M450&gt;=$J450,"Yes","No"))))</f>
        <v/>
      </c>
      <c r="P450" s="17">
        <f>IF($C450="","",IF($K450="","",IF(N($K450)&gt;2,"No",IF(COUNTIFS(nrES_PID,$D450,nrES_Code,$F450,nrES_Att,"&gt;"&amp;$K450,nrES_Att,"&lt;=2",nrES_Raw,"&gt;=0")=0,"Yes","No"))))</f>
        <v/>
      </c>
      <c r="Q450" s="17">
        <f>IF($C450="","",IF($L450="","",IF(AND($K450=1,ISNUMBER($L450),$L450&lt;$J450,COUNTIFS(nrES_PID,$D450,nrES_Code,$F450,nrES_Att,2,nrES_Raw,"&gt;=0")=0),"Yes","No")))</f>
        <v/>
      </c>
      <c r="R450" s="17">
        <f>IF($C450="","",IF($L450="","",IF(AND(N($K450)&gt;=2,ISNUMBER($L450),$L450&lt;$J450),"Yes","No")))</f>
        <v/>
      </c>
      <c r="S450" s="18" t="n"/>
      <c r="T450" s="19">
        <f>IF(OR($C450="",$L450="",$K450&lt;&gt;1,NOT(ISNUMBER($L450)),$L450&gt;=$J450),"",IF($S450="","(enter date)",_xlfn.LET(_xlpm.dn,_xlfn.XLOOKUP($S450,nrCDdate,nrCDnum,"",1),IF(_xlpm.dn="","(after last class day)",_xlfn.LET(_xlpm.dd,_xlfn.XLOOKUP(_xlpm.dn+cfgRetestClassDays,nrCDnum,nrCDdate,""),_xlpm.ok,_xlfn.XLOOKUP(_xlpm.dn+cfgRetestClassDays,nrCDnum,nrCDinsession,"No"),IF(OR(_xlpm.dd="",_xlpm.ok&lt;&gt;"Yes"),"(after last class day)",_xlpm.dd))))))</f>
        <v/>
      </c>
      <c r="U450" s="17">
        <f>IF($C450="","",IF(AND($Y450="Excused",$L450="",N($K450)&lt;=1),"EXCUSED - 1st attempt pending",IF(OR($L450="",$K450&lt;&gt;1,NOT(ISNUMBER($L450)),$L450&gt;=$J450),"",IF(COUNTIFS(nrES_PID,$D450,nrES_Code,$F450,nrES_Att,2,nrES_Raw,"&gt;=0")&gt;0,IF(IFERROR(_xlfn.MINIFS(nrES_Date,nrES_PID,$D450,nrES_Code,$F450,nrES_Att,2,nrES_Raw,"&gt;=0",nrES_Date,"&gt;0"),0)=0,"RETEST UNDATED",IF(NOT(ISNUMBER($T450)),"RETEST DATE UNCHECKED",IF(_xlfn.MINIFS(nrES_Date,nrES_PID,$D450,nrES_Code,$F450,nrES_Att,2,nrES_Raw,"&gt;=0",nrES_Date,"&gt;0")&gt;$T450,"LATE RETEST "&amp;TEXT(_xlfn.MINIFS(nrES_Date,nrES_PID,$D450,nrES_Code,$F450,nrES_Att,2,nrES_Raw,"&gt;=0",nrES_Date,"&gt;0"),"mm/dd")&amp;" (due "&amp;TEXT($T450,"mm/dd")&amp;")","Retested"))),IF(NOT(ISNUMBER($T450)),"CHECK DATE",IF(TODAY()&gt;$T450,"OVERDUE","Due "&amp;TEXT($T450,"mm/dd")))))))</f>
        <v/>
      </c>
      <c r="V450" s="16" t="n"/>
      <c r="W450" s="16" t="n"/>
      <c r="X450" s="17">
        <f>IF($C450="","",IF(AND($L450&lt;&gt;"",NOT(ISNUMBER($L450))),"RAW SCORE NOT A NUMBER",IF(AND(ISNUMBER($L450),OR($L450&lt;0,$L450&gt;100)),"RAW SCORE OUT OF RANGE",IF(AND($Y450="Unexcused",OR($L450="",NOT(ISNUMBER($L450)),$L450&lt;&gt;0)),"UNEXCUSED ABSENCE MUST RECORD 0",IF(COUNTIF(nrES_RecID,$B450)&gt;1,"DUPLICATE RECORD",IF(N($K450)&gt;2,"ATTEMPT 3+ NOT ALLOWED - policy 300.5 permits one retest per exam; this row records nothing",IF(AND($K450=2,COUNTIFS(nrES_PID,$D450,nrES_Code,$F450,nrES_Att,1)=0),"ATTEMPT 2 WITHOUT ATTEMPT 1",IF(AND($K450=2,$L450=""),"RETEST ROW HAS NO SCORE",IF(AND($H450="Final",$L450&lt;&gt;"",IFERROR(INDEX(nrCKfinalExamElig,MATCH($D450,rngCadetPIDs,0)),"")="No"),"FINAL EXAM AFTER FAILED FINAL PT (500.1.H)",IF(AND($K450=2,ISNUMBER($L450),COUNTIFS(nrES_PID,$D450,nrES_Code,$F450,nrES_Att,1)&gt;0,SUMIFS(nrES_Raw,nrES_PID,$D450,nrES_Code,$F450,nrES_Att,1)&gt;=$J450),"RETEST AFTER A PASSING FIRST ATTEMPT","OK"))))))))))</f>
        <v/>
      </c>
      <c r="Y450" s="16" t="n"/>
    </row>
    <row r="451">
      <c r="B451" s="17">
        <f>IF($C451="","",$D451&amp;"-"&amp;$F451&amp;"-"&amp;$K451)</f>
        <v/>
      </c>
      <c r="C451" s="16" t="n"/>
      <c r="D451" s="17">
        <f>IF($C451="","",IFERROR(INDEX(rngCadetPIDs,MATCH($C451,rngCadetNames,0)),"?"))</f>
        <v/>
      </c>
      <c r="E451" s="17">
        <f>IF($D451="","",IFERROR(INDEX(nrCadetAgency,MATCH($D451,rngCadetPIDs,0)),""))</f>
        <v/>
      </c>
      <c r="F451" s="16" t="n"/>
      <c r="G451" s="17">
        <f>IF($F451="","",IFERROR(INDEX(rngEPname,MATCH($F451,rngEPcode,0)),"?"))</f>
        <v/>
      </c>
      <c r="H451" s="17">
        <f>IF($F451="","",IFERROR(INDEX(rngEPtype,MATCH($F451,rngEPcode,0)),"?"))</f>
        <v/>
      </c>
      <c r="I451" s="17">
        <f>IF($F451="","",IFERROR(INDEX(rngEPseq,MATCH($F451,rngEPcode,0)),""))</f>
        <v/>
      </c>
      <c r="J451" s="17">
        <f>IF($F451="","",IFERROR(INDEX(rngEPpass,MATCH($F451,rngEPcode,0)),cfgPassingScore))</f>
        <v/>
      </c>
      <c r="K451" s="16" t="n"/>
      <c r="L451" s="16" t="n"/>
      <c r="M451" s="17">
        <f>IF($C451="","",IF($L451="","",IF(NOT(ISNUMBER($L451)),$L451,IF(N($K451)&gt;2,"",IF($K451=1,IF(COUNTIFS(nrES_PID,$D451,nrES_Code,$F451,nrES_Att,2,nrES_Raw,"&gt;=0")&gt;0,"",$L451),IF($L451&gt;=$J451,MAX($J451,cfgRetakeRecordedCap),IF(COUNTIFS(nrES_PID,$D451,nrES_Code,$F451,nrES_Att,1)=0,$L451,SUMIFS(nrES_Raw,nrES_PID,$D451,nrES_Code,$F451,nrES_Att,1))))))))</f>
        <v/>
      </c>
      <c r="N451" s="17">
        <f>IF($C451="","",IF($L451="","",IF(NOT(ISNUMBER($L451)),"(not a score)",IF($L451&gt;=$J451,"Yes","No"))))</f>
        <v/>
      </c>
      <c r="O451" s="17">
        <f>IF($C451="","",IF($M451="","",IF(NOT(ISNUMBER($M451)),"(not a score)",IF($M451&gt;=$J451,"Yes","No"))))</f>
        <v/>
      </c>
      <c r="P451" s="17">
        <f>IF($C451="","",IF($K451="","",IF(N($K451)&gt;2,"No",IF(COUNTIFS(nrES_PID,$D451,nrES_Code,$F451,nrES_Att,"&gt;"&amp;$K451,nrES_Att,"&lt;=2",nrES_Raw,"&gt;=0")=0,"Yes","No"))))</f>
        <v/>
      </c>
      <c r="Q451" s="17">
        <f>IF($C451="","",IF($L451="","",IF(AND($K451=1,ISNUMBER($L451),$L451&lt;$J451,COUNTIFS(nrES_PID,$D451,nrES_Code,$F451,nrES_Att,2,nrES_Raw,"&gt;=0")=0),"Yes","No")))</f>
        <v/>
      </c>
      <c r="R451" s="17">
        <f>IF($C451="","",IF($L451="","",IF(AND(N($K451)&gt;=2,ISNUMBER($L451),$L451&lt;$J451),"Yes","No")))</f>
        <v/>
      </c>
      <c r="S451" s="18" t="n"/>
      <c r="T451" s="19">
        <f>IF(OR($C451="",$L451="",$K451&lt;&gt;1,NOT(ISNUMBER($L451)),$L451&gt;=$J451),"",IF($S451="","(enter date)",_xlfn.LET(_xlpm.dn,_xlfn.XLOOKUP($S451,nrCDdate,nrCDnum,"",1),IF(_xlpm.dn="","(after last class day)",_xlfn.LET(_xlpm.dd,_xlfn.XLOOKUP(_xlpm.dn+cfgRetestClassDays,nrCDnum,nrCDdate,""),_xlpm.ok,_xlfn.XLOOKUP(_xlpm.dn+cfgRetestClassDays,nrCDnum,nrCDinsession,"No"),IF(OR(_xlpm.dd="",_xlpm.ok&lt;&gt;"Yes"),"(after last class day)",_xlpm.dd))))))</f>
        <v/>
      </c>
      <c r="U451" s="17">
        <f>IF($C451="","",IF(AND($Y451="Excused",$L451="",N($K451)&lt;=1),"EXCUSED - 1st attempt pending",IF(OR($L451="",$K451&lt;&gt;1,NOT(ISNUMBER($L451)),$L451&gt;=$J451),"",IF(COUNTIFS(nrES_PID,$D451,nrES_Code,$F451,nrES_Att,2,nrES_Raw,"&gt;=0")&gt;0,IF(IFERROR(_xlfn.MINIFS(nrES_Date,nrES_PID,$D451,nrES_Code,$F451,nrES_Att,2,nrES_Raw,"&gt;=0",nrES_Date,"&gt;0"),0)=0,"RETEST UNDATED",IF(NOT(ISNUMBER($T451)),"RETEST DATE UNCHECKED",IF(_xlfn.MINIFS(nrES_Date,nrES_PID,$D451,nrES_Code,$F451,nrES_Att,2,nrES_Raw,"&gt;=0",nrES_Date,"&gt;0")&gt;$T451,"LATE RETEST "&amp;TEXT(_xlfn.MINIFS(nrES_Date,nrES_PID,$D451,nrES_Code,$F451,nrES_Att,2,nrES_Raw,"&gt;=0",nrES_Date,"&gt;0"),"mm/dd")&amp;" (due "&amp;TEXT($T451,"mm/dd")&amp;")","Retested"))),IF(NOT(ISNUMBER($T451)),"CHECK DATE",IF(TODAY()&gt;$T451,"OVERDUE","Due "&amp;TEXT($T451,"mm/dd")))))))</f>
        <v/>
      </c>
      <c r="V451" s="16" t="n"/>
      <c r="W451" s="16" t="n"/>
      <c r="X451" s="17">
        <f>IF($C451="","",IF(AND($L451&lt;&gt;"",NOT(ISNUMBER($L451))),"RAW SCORE NOT A NUMBER",IF(AND(ISNUMBER($L451),OR($L451&lt;0,$L451&gt;100)),"RAW SCORE OUT OF RANGE",IF(AND($Y451="Unexcused",OR($L451="",NOT(ISNUMBER($L451)),$L451&lt;&gt;0)),"UNEXCUSED ABSENCE MUST RECORD 0",IF(COUNTIF(nrES_RecID,$B451)&gt;1,"DUPLICATE RECORD",IF(N($K451)&gt;2,"ATTEMPT 3+ NOT ALLOWED - policy 300.5 permits one retest per exam; this row records nothing",IF(AND($K451=2,COUNTIFS(nrES_PID,$D451,nrES_Code,$F451,nrES_Att,1)=0),"ATTEMPT 2 WITHOUT ATTEMPT 1",IF(AND($K451=2,$L451=""),"RETEST ROW HAS NO SCORE",IF(AND($H451="Final",$L451&lt;&gt;"",IFERROR(INDEX(nrCKfinalExamElig,MATCH($D451,rngCadetPIDs,0)),"")="No"),"FINAL EXAM AFTER FAILED FINAL PT (500.1.H)",IF(AND($K451=2,ISNUMBER($L451),COUNTIFS(nrES_PID,$D451,nrES_Code,$F451,nrES_Att,1)&gt;0,SUMIFS(nrES_Raw,nrES_PID,$D451,nrES_Code,$F451,nrES_Att,1)&gt;=$J451),"RETEST AFTER A PASSING FIRST ATTEMPT","OK"))))))))))</f>
        <v/>
      </c>
      <c r="Y451" s="16" t="n"/>
    </row>
    <row r="452">
      <c r="B452" s="17">
        <f>IF($C452="","",$D452&amp;"-"&amp;$F452&amp;"-"&amp;$K452)</f>
        <v/>
      </c>
      <c r="C452" s="16" t="n"/>
      <c r="D452" s="17">
        <f>IF($C452="","",IFERROR(INDEX(rngCadetPIDs,MATCH($C452,rngCadetNames,0)),"?"))</f>
        <v/>
      </c>
      <c r="E452" s="17">
        <f>IF($D452="","",IFERROR(INDEX(nrCadetAgency,MATCH($D452,rngCadetPIDs,0)),""))</f>
        <v/>
      </c>
      <c r="F452" s="16" t="n"/>
      <c r="G452" s="17">
        <f>IF($F452="","",IFERROR(INDEX(rngEPname,MATCH($F452,rngEPcode,0)),"?"))</f>
        <v/>
      </c>
      <c r="H452" s="17">
        <f>IF($F452="","",IFERROR(INDEX(rngEPtype,MATCH($F452,rngEPcode,0)),"?"))</f>
        <v/>
      </c>
      <c r="I452" s="17">
        <f>IF($F452="","",IFERROR(INDEX(rngEPseq,MATCH($F452,rngEPcode,0)),""))</f>
        <v/>
      </c>
      <c r="J452" s="17">
        <f>IF($F452="","",IFERROR(INDEX(rngEPpass,MATCH($F452,rngEPcode,0)),cfgPassingScore))</f>
        <v/>
      </c>
      <c r="K452" s="16" t="n"/>
      <c r="L452" s="16" t="n"/>
      <c r="M452" s="17">
        <f>IF($C452="","",IF($L452="","",IF(NOT(ISNUMBER($L452)),$L452,IF(N($K452)&gt;2,"",IF($K452=1,IF(COUNTIFS(nrES_PID,$D452,nrES_Code,$F452,nrES_Att,2,nrES_Raw,"&gt;=0")&gt;0,"",$L452),IF($L452&gt;=$J452,MAX($J452,cfgRetakeRecordedCap),IF(COUNTIFS(nrES_PID,$D452,nrES_Code,$F452,nrES_Att,1)=0,$L452,SUMIFS(nrES_Raw,nrES_PID,$D452,nrES_Code,$F452,nrES_Att,1))))))))</f>
        <v/>
      </c>
      <c r="N452" s="17">
        <f>IF($C452="","",IF($L452="","",IF(NOT(ISNUMBER($L452)),"(not a score)",IF($L452&gt;=$J452,"Yes","No"))))</f>
        <v/>
      </c>
      <c r="O452" s="17">
        <f>IF($C452="","",IF($M452="","",IF(NOT(ISNUMBER($M452)),"(not a score)",IF($M452&gt;=$J452,"Yes","No"))))</f>
        <v/>
      </c>
      <c r="P452" s="17">
        <f>IF($C452="","",IF($K452="","",IF(N($K452)&gt;2,"No",IF(COUNTIFS(nrES_PID,$D452,nrES_Code,$F452,nrES_Att,"&gt;"&amp;$K452,nrES_Att,"&lt;=2",nrES_Raw,"&gt;=0")=0,"Yes","No"))))</f>
        <v/>
      </c>
      <c r="Q452" s="17">
        <f>IF($C452="","",IF($L452="","",IF(AND($K452=1,ISNUMBER($L452),$L452&lt;$J452,COUNTIFS(nrES_PID,$D452,nrES_Code,$F452,nrES_Att,2,nrES_Raw,"&gt;=0")=0),"Yes","No")))</f>
        <v/>
      </c>
      <c r="R452" s="17">
        <f>IF($C452="","",IF($L452="","",IF(AND(N($K452)&gt;=2,ISNUMBER($L452),$L452&lt;$J452),"Yes","No")))</f>
        <v/>
      </c>
      <c r="S452" s="18" t="n"/>
      <c r="T452" s="19">
        <f>IF(OR($C452="",$L452="",$K452&lt;&gt;1,NOT(ISNUMBER($L452)),$L452&gt;=$J452),"",IF($S452="","(enter date)",_xlfn.LET(_xlpm.dn,_xlfn.XLOOKUP($S452,nrCDdate,nrCDnum,"",1),IF(_xlpm.dn="","(after last class day)",_xlfn.LET(_xlpm.dd,_xlfn.XLOOKUP(_xlpm.dn+cfgRetestClassDays,nrCDnum,nrCDdate,""),_xlpm.ok,_xlfn.XLOOKUP(_xlpm.dn+cfgRetestClassDays,nrCDnum,nrCDinsession,"No"),IF(OR(_xlpm.dd="",_xlpm.ok&lt;&gt;"Yes"),"(after last class day)",_xlpm.dd))))))</f>
        <v/>
      </c>
      <c r="U452" s="17">
        <f>IF($C452="","",IF(AND($Y452="Excused",$L452="",N($K452)&lt;=1),"EXCUSED - 1st attempt pending",IF(OR($L452="",$K452&lt;&gt;1,NOT(ISNUMBER($L452)),$L452&gt;=$J452),"",IF(COUNTIFS(nrES_PID,$D452,nrES_Code,$F452,nrES_Att,2,nrES_Raw,"&gt;=0")&gt;0,IF(IFERROR(_xlfn.MINIFS(nrES_Date,nrES_PID,$D452,nrES_Code,$F452,nrES_Att,2,nrES_Raw,"&gt;=0",nrES_Date,"&gt;0"),0)=0,"RETEST UNDATED",IF(NOT(ISNUMBER($T452)),"RETEST DATE UNCHECKED",IF(_xlfn.MINIFS(nrES_Date,nrES_PID,$D452,nrES_Code,$F452,nrES_Att,2,nrES_Raw,"&gt;=0",nrES_Date,"&gt;0")&gt;$T452,"LATE RETEST "&amp;TEXT(_xlfn.MINIFS(nrES_Date,nrES_PID,$D452,nrES_Code,$F452,nrES_Att,2,nrES_Raw,"&gt;=0",nrES_Date,"&gt;0"),"mm/dd")&amp;" (due "&amp;TEXT($T452,"mm/dd")&amp;")","Retested"))),IF(NOT(ISNUMBER($T452)),"CHECK DATE",IF(TODAY()&gt;$T452,"OVERDUE","Due "&amp;TEXT($T452,"mm/dd")))))))</f>
        <v/>
      </c>
      <c r="V452" s="16" t="n"/>
      <c r="W452" s="16" t="n"/>
      <c r="X452" s="17">
        <f>IF($C452="","",IF(AND($L452&lt;&gt;"",NOT(ISNUMBER($L452))),"RAW SCORE NOT A NUMBER",IF(AND(ISNUMBER($L452),OR($L452&lt;0,$L452&gt;100)),"RAW SCORE OUT OF RANGE",IF(AND($Y452="Unexcused",OR($L452="",NOT(ISNUMBER($L452)),$L452&lt;&gt;0)),"UNEXCUSED ABSENCE MUST RECORD 0",IF(COUNTIF(nrES_RecID,$B452)&gt;1,"DUPLICATE RECORD",IF(N($K452)&gt;2,"ATTEMPT 3+ NOT ALLOWED - policy 300.5 permits one retest per exam; this row records nothing",IF(AND($K452=2,COUNTIFS(nrES_PID,$D452,nrES_Code,$F452,nrES_Att,1)=0),"ATTEMPT 2 WITHOUT ATTEMPT 1",IF(AND($K452=2,$L452=""),"RETEST ROW HAS NO SCORE",IF(AND($H452="Final",$L452&lt;&gt;"",IFERROR(INDEX(nrCKfinalExamElig,MATCH($D452,rngCadetPIDs,0)),"")="No"),"FINAL EXAM AFTER FAILED FINAL PT (500.1.H)",IF(AND($K452=2,ISNUMBER($L452),COUNTIFS(nrES_PID,$D452,nrES_Code,$F452,nrES_Att,1)&gt;0,SUMIFS(nrES_Raw,nrES_PID,$D452,nrES_Code,$F452,nrES_Att,1)&gt;=$J452),"RETEST AFTER A PASSING FIRST ATTEMPT","OK"))))))))))</f>
        <v/>
      </c>
      <c r="Y452" s="16" t="n"/>
    </row>
    <row r="453">
      <c r="B453" s="17">
        <f>IF($C453="","",$D453&amp;"-"&amp;$F453&amp;"-"&amp;$K453)</f>
        <v/>
      </c>
      <c r="C453" s="16" t="n"/>
      <c r="D453" s="17">
        <f>IF($C453="","",IFERROR(INDEX(rngCadetPIDs,MATCH($C453,rngCadetNames,0)),"?"))</f>
        <v/>
      </c>
      <c r="E453" s="17">
        <f>IF($D453="","",IFERROR(INDEX(nrCadetAgency,MATCH($D453,rngCadetPIDs,0)),""))</f>
        <v/>
      </c>
      <c r="F453" s="16" t="n"/>
      <c r="G453" s="17">
        <f>IF($F453="","",IFERROR(INDEX(rngEPname,MATCH($F453,rngEPcode,0)),"?"))</f>
        <v/>
      </c>
      <c r="H453" s="17">
        <f>IF($F453="","",IFERROR(INDEX(rngEPtype,MATCH($F453,rngEPcode,0)),"?"))</f>
        <v/>
      </c>
      <c r="I453" s="17">
        <f>IF($F453="","",IFERROR(INDEX(rngEPseq,MATCH($F453,rngEPcode,0)),""))</f>
        <v/>
      </c>
      <c r="J453" s="17">
        <f>IF($F453="","",IFERROR(INDEX(rngEPpass,MATCH($F453,rngEPcode,0)),cfgPassingScore))</f>
        <v/>
      </c>
      <c r="K453" s="16" t="n"/>
      <c r="L453" s="16" t="n"/>
      <c r="M453" s="17">
        <f>IF($C453="","",IF($L453="","",IF(NOT(ISNUMBER($L453)),$L453,IF(N($K453)&gt;2,"",IF($K453=1,IF(COUNTIFS(nrES_PID,$D453,nrES_Code,$F453,nrES_Att,2,nrES_Raw,"&gt;=0")&gt;0,"",$L453),IF($L453&gt;=$J453,MAX($J453,cfgRetakeRecordedCap),IF(COUNTIFS(nrES_PID,$D453,nrES_Code,$F453,nrES_Att,1)=0,$L453,SUMIFS(nrES_Raw,nrES_PID,$D453,nrES_Code,$F453,nrES_Att,1))))))))</f>
        <v/>
      </c>
      <c r="N453" s="17">
        <f>IF($C453="","",IF($L453="","",IF(NOT(ISNUMBER($L453)),"(not a score)",IF($L453&gt;=$J453,"Yes","No"))))</f>
        <v/>
      </c>
      <c r="O453" s="17">
        <f>IF($C453="","",IF($M453="","",IF(NOT(ISNUMBER($M453)),"(not a score)",IF($M453&gt;=$J453,"Yes","No"))))</f>
        <v/>
      </c>
      <c r="P453" s="17">
        <f>IF($C453="","",IF($K453="","",IF(N($K453)&gt;2,"No",IF(COUNTIFS(nrES_PID,$D453,nrES_Code,$F453,nrES_Att,"&gt;"&amp;$K453,nrES_Att,"&lt;=2",nrES_Raw,"&gt;=0")=0,"Yes","No"))))</f>
        <v/>
      </c>
      <c r="Q453" s="17">
        <f>IF($C453="","",IF($L453="","",IF(AND($K453=1,ISNUMBER($L453),$L453&lt;$J453,COUNTIFS(nrES_PID,$D453,nrES_Code,$F453,nrES_Att,2,nrES_Raw,"&gt;=0")=0),"Yes","No")))</f>
        <v/>
      </c>
      <c r="R453" s="17">
        <f>IF($C453="","",IF($L453="","",IF(AND(N($K453)&gt;=2,ISNUMBER($L453),$L453&lt;$J453),"Yes","No")))</f>
        <v/>
      </c>
      <c r="S453" s="18" t="n"/>
      <c r="T453" s="19">
        <f>IF(OR($C453="",$L453="",$K453&lt;&gt;1,NOT(ISNUMBER($L453)),$L453&gt;=$J453),"",IF($S453="","(enter date)",_xlfn.LET(_xlpm.dn,_xlfn.XLOOKUP($S453,nrCDdate,nrCDnum,"",1),IF(_xlpm.dn="","(after last class day)",_xlfn.LET(_xlpm.dd,_xlfn.XLOOKUP(_xlpm.dn+cfgRetestClassDays,nrCDnum,nrCDdate,""),_xlpm.ok,_xlfn.XLOOKUP(_xlpm.dn+cfgRetestClassDays,nrCDnum,nrCDinsession,"No"),IF(OR(_xlpm.dd="",_xlpm.ok&lt;&gt;"Yes"),"(after last class day)",_xlpm.dd))))))</f>
        <v/>
      </c>
      <c r="U453" s="17">
        <f>IF($C453="","",IF(AND($Y453="Excused",$L453="",N($K453)&lt;=1),"EXCUSED - 1st attempt pending",IF(OR($L453="",$K453&lt;&gt;1,NOT(ISNUMBER($L453)),$L453&gt;=$J453),"",IF(COUNTIFS(nrES_PID,$D453,nrES_Code,$F453,nrES_Att,2,nrES_Raw,"&gt;=0")&gt;0,IF(IFERROR(_xlfn.MINIFS(nrES_Date,nrES_PID,$D453,nrES_Code,$F453,nrES_Att,2,nrES_Raw,"&gt;=0",nrES_Date,"&gt;0"),0)=0,"RETEST UNDATED",IF(NOT(ISNUMBER($T453)),"RETEST DATE UNCHECKED",IF(_xlfn.MINIFS(nrES_Date,nrES_PID,$D453,nrES_Code,$F453,nrES_Att,2,nrES_Raw,"&gt;=0",nrES_Date,"&gt;0")&gt;$T453,"LATE RETEST "&amp;TEXT(_xlfn.MINIFS(nrES_Date,nrES_PID,$D453,nrES_Code,$F453,nrES_Att,2,nrES_Raw,"&gt;=0",nrES_Date,"&gt;0"),"mm/dd")&amp;" (due "&amp;TEXT($T453,"mm/dd")&amp;")","Retested"))),IF(NOT(ISNUMBER($T453)),"CHECK DATE",IF(TODAY()&gt;$T453,"OVERDUE","Due "&amp;TEXT($T453,"mm/dd")))))))</f>
        <v/>
      </c>
      <c r="V453" s="16" t="n"/>
      <c r="W453" s="16" t="n"/>
      <c r="X453" s="17">
        <f>IF($C453="","",IF(AND($L453&lt;&gt;"",NOT(ISNUMBER($L453))),"RAW SCORE NOT A NUMBER",IF(AND(ISNUMBER($L453),OR($L453&lt;0,$L453&gt;100)),"RAW SCORE OUT OF RANGE",IF(AND($Y453="Unexcused",OR($L453="",NOT(ISNUMBER($L453)),$L453&lt;&gt;0)),"UNEXCUSED ABSENCE MUST RECORD 0",IF(COUNTIF(nrES_RecID,$B453)&gt;1,"DUPLICATE RECORD",IF(N($K453)&gt;2,"ATTEMPT 3+ NOT ALLOWED - policy 300.5 permits one retest per exam; this row records nothing",IF(AND($K453=2,COUNTIFS(nrES_PID,$D453,nrES_Code,$F453,nrES_Att,1)=0),"ATTEMPT 2 WITHOUT ATTEMPT 1",IF(AND($K453=2,$L453=""),"RETEST ROW HAS NO SCORE",IF(AND($H453="Final",$L453&lt;&gt;"",IFERROR(INDEX(nrCKfinalExamElig,MATCH($D453,rngCadetPIDs,0)),"")="No"),"FINAL EXAM AFTER FAILED FINAL PT (500.1.H)",IF(AND($K453=2,ISNUMBER($L453),COUNTIFS(nrES_PID,$D453,nrES_Code,$F453,nrES_Att,1)&gt;0,SUMIFS(nrES_Raw,nrES_PID,$D453,nrES_Code,$F453,nrES_Att,1)&gt;=$J453),"RETEST AFTER A PASSING FIRST ATTEMPT","OK"))))))))))</f>
        <v/>
      </c>
      <c r="Y453" s="16" t="n"/>
    </row>
    <row r="454">
      <c r="B454" s="17">
        <f>IF($C454="","",$D454&amp;"-"&amp;$F454&amp;"-"&amp;$K454)</f>
        <v/>
      </c>
      <c r="C454" s="16" t="n"/>
      <c r="D454" s="17">
        <f>IF($C454="","",IFERROR(INDEX(rngCadetPIDs,MATCH($C454,rngCadetNames,0)),"?"))</f>
        <v/>
      </c>
      <c r="E454" s="17">
        <f>IF($D454="","",IFERROR(INDEX(nrCadetAgency,MATCH($D454,rngCadetPIDs,0)),""))</f>
        <v/>
      </c>
      <c r="F454" s="16" t="n"/>
      <c r="G454" s="17">
        <f>IF($F454="","",IFERROR(INDEX(rngEPname,MATCH($F454,rngEPcode,0)),"?"))</f>
        <v/>
      </c>
      <c r="H454" s="17">
        <f>IF($F454="","",IFERROR(INDEX(rngEPtype,MATCH($F454,rngEPcode,0)),"?"))</f>
        <v/>
      </c>
      <c r="I454" s="17">
        <f>IF($F454="","",IFERROR(INDEX(rngEPseq,MATCH($F454,rngEPcode,0)),""))</f>
        <v/>
      </c>
      <c r="J454" s="17">
        <f>IF($F454="","",IFERROR(INDEX(rngEPpass,MATCH($F454,rngEPcode,0)),cfgPassingScore))</f>
        <v/>
      </c>
      <c r="K454" s="16" t="n"/>
      <c r="L454" s="16" t="n"/>
      <c r="M454" s="17">
        <f>IF($C454="","",IF($L454="","",IF(NOT(ISNUMBER($L454)),$L454,IF(N($K454)&gt;2,"",IF($K454=1,IF(COUNTIFS(nrES_PID,$D454,nrES_Code,$F454,nrES_Att,2,nrES_Raw,"&gt;=0")&gt;0,"",$L454),IF($L454&gt;=$J454,MAX($J454,cfgRetakeRecordedCap),IF(COUNTIFS(nrES_PID,$D454,nrES_Code,$F454,nrES_Att,1)=0,$L454,SUMIFS(nrES_Raw,nrES_PID,$D454,nrES_Code,$F454,nrES_Att,1))))))))</f>
        <v/>
      </c>
      <c r="N454" s="17">
        <f>IF($C454="","",IF($L454="","",IF(NOT(ISNUMBER($L454)),"(not a score)",IF($L454&gt;=$J454,"Yes","No"))))</f>
        <v/>
      </c>
      <c r="O454" s="17">
        <f>IF($C454="","",IF($M454="","",IF(NOT(ISNUMBER($M454)),"(not a score)",IF($M454&gt;=$J454,"Yes","No"))))</f>
        <v/>
      </c>
      <c r="P454" s="17">
        <f>IF($C454="","",IF($K454="","",IF(N($K454)&gt;2,"No",IF(COUNTIFS(nrES_PID,$D454,nrES_Code,$F454,nrES_Att,"&gt;"&amp;$K454,nrES_Att,"&lt;=2",nrES_Raw,"&gt;=0")=0,"Yes","No"))))</f>
        <v/>
      </c>
      <c r="Q454" s="17">
        <f>IF($C454="","",IF($L454="","",IF(AND($K454=1,ISNUMBER($L454),$L454&lt;$J454,COUNTIFS(nrES_PID,$D454,nrES_Code,$F454,nrES_Att,2,nrES_Raw,"&gt;=0")=0),"Yes","No")))</f>
        <v/>
      </c>
      <c r="R454" s="17">
        <f>IF($C454="","",IF($L454="","",IF(AND(N($K454)&gt;=2,ISNUMBER($L454),$L454&lt;$J454),"Yes","No")))</f>
        <v/>
      </c>
      <c r="S454" s="18" t="n"/>
      <c r="T454" s="19">
        <f>IF(OR($C454="",$L454="",$K454&lt;&gt;1,NOT(ISNUMBER($L454)),$L454&gt;=$J454),"",IF($S454="","(enter date)",_xlfn.LET(_xlpm.dn,_xlfn.XLOOKUP($S454,nrCDdate,nrCDnum,"",1),IF(_xlpm.dn="","(after last class day)",_xlfn.LET(_xlpm.dd,_xlfn.XLOOKUP(_xlpm.dn+cfgRetestClassDays,nrCDnum,nrCDdate,""),_xlpm.ok,_xlfn.XLOOKUP(_xlpm.dn+cfgRetestClassDays,nrCDnum,nrCDinsession,"No"),IF(OR(_xlpm.dd="",_xlpm.ok&lt;&gt;"Yes"),"(after last class day)",_xlpm.dd))))))</f>
        <v/>
      </c>
      <c r="U454" s="17">
        <f>IF($C454="","",IF(AND($Y454="Excused",$L454="",N($K454)&lt;=1),"EXCUSED - 1st attempt pending",IF(OR($L454="",$K454&lt;&gt;1,NOT(ISNUMBER($L454)),$L454&gt;=$J454),"",IF(COUNTIFS(nrES_PID,$D454,nrES_Code,$F454,nrES_Att,2,nrES_Raw,"&gt;=0")&gt;0,IF(IFERROR(_xlfn.MINIFS(nrES_Date,nrES_PID,$D454,nrES_Code,$F454,nrES_Att,2,nrES_Raw,"&gt;=0",nrES_Date,"&gt;0"),0)=0,"RETEST UNDATED",IF(NOT(ISNUMBER($T454)),"RETEST DATE UNCHECKED",IF(_xlfn.MINIFS(nrES_Date,nrES_PID,$D454,nrES_Code,$F454,nrES_Att,2,nrES_Raw,"&gt;=0",nrES_Date,"&gt;0")&gt;$T454,"LATE RETEST "&amp;TEXT(_xlfn.MINIFS(nrES_Date,nrES_PID,$D454,nrES_Code,$F454,nrES_Att,2,nrES_Raw,"&gt;=0",nrES_Date,"&gt;0"),"mm/dd")&amp;" (due "&amp;TEXT($T454,"mm/dd")&amp;")","Retested"))),IF(NOT(ISNUMBER($T454)),"CHECK DATE",IF(TODAY()&gt;$T454,"OVERDUE","Due "&amp;TEXT($T454,"mm/dd")))))))</f>
        <v/>
      </c>
      <c r="V454" s="16" t="n"/>
      <c r="W454" s="16" t="n"/>
      <c r="X454" s="17">
        <f>IF($C454="","",IF(AND($L454&lt;&gt;"",NOT(ISNUMBER($L454))),"RAW SCORE NOT A NUMBER",IF(AND(ISNUMBER($L454),OR($L454&lt;0,$L454&gt;100)),"RAW SCORE OUT OF RANGE",IF(AND($Y454="Unexcused",OR($L454="",NOT(ISNUMBER($L454)),$L454&lt;&gt;0)),"UNEXCUSED ABSENCE MUST RECORD 0",IF(COUNTIF(nrES_RecID,$B454)&gt;1,"DUPLICATE RECORD",IF(N($K454)&gt;2,"ATTEMPT 3+ NOT ALLOWED - policy 300.5 permits one retest per exam; this row records nothing",IF(AND($K454=2,COUNTIFS(nrES_PID,$D454,nrES_Code,$F454,nrES_Att,1)=0),"ATTEMPT 2 WITHOUT ATTEMPT 1",IF(AND($K454=2,$L454=""),"RETEST ROW HAS NO SCORE",IF(AND($H454="Final",$L454&lt;&gt;"",IFERROR(INDEX(nrCKfinalExamElig,MATCH($D454,rngCadetPIDs,0)),"")="No"),"FINAL EXAM AFTER FAILED FINAL PT (500.1.H)",IF(AND($K454=2,ISNUMBER($L454),COUNTIFS(nrES_PID,$D454,nrES_Code,$F454,nrES_Att,1)&gt;0,SUMIFS(nrES_Raw,nrES_PID,$D454,nrES_Code,$F454,nrES_Att,1)&gt;=$J454),"RETEST AFTER A PASSING FIRST ATTEMPT","OK"))))))))))</f>
        <v/>
      </c>
      <c r="Y454" s="16" t="n"/>
    </row>
    <row r="455">
      <c r="B455" s="17">
        <f>IF($C455="","",$D455&amp;"-"&amp;$F455&amp;"-"&amp;$K455)</f>
        <v/>
      </c>
      <c r="C455" s="16" t="n"/>
      <c r="D455" s="17">
        <f>IF($C455="","",IFERROR(INDEX(rngCadetPIDs,MATCH($C455,rngCadetNames,0)),"?"))</f>
        <v/>
      </c>
      <c r="E455" s="17">
        <f>IF($D455="","",IFERROR(INDEX(nrCadetAgency,MATCH($D455,rngCadetPIDs,0)),""))</f>
        <v/>
      </c>
      <c r="F455" s="16" t="n"/>
      <c r="G455" s="17">
        <f>IF($F455="","",IFERROR(INDEX(rngEPname,MATCH($F455,rngEPcode,0)),"?"))</f>
        <v/>
      </c>
      <c r="H455" s="17">
        <f>IF($F455="","",IFERROR(INDEX(rngEPtype,MATCH($F455,rngEPcode,0)),"?"))</f>
        <v/>
      </c>
      <c r="I455" s="17">
        <f>IF($F455="","",IFERROR(INDEX(rngEPseq,MATCH($F455,rngEPcode,0)),""))</f>
        <v/>
      </c>
      <c r="J455" s="17">
        <f>IF($F455="","",IFERROR(INDEX(rngEPpass,MATCH($F455,rngEPcode,0)),cfgPassingScore))</f>
        <v/>
      </c>
      <c r="K455" s="16" t="n"/>
      <c r="L455" s="16" t="n"/>
      <c r="M455" s="17">
        <f>IF($C455="","",IF($L455="","",IF(NOT(ISNUMBER($L455)),$L455,IF(N($K455)&gt;2,"",IF($K455=1,IF(COUNTIFS(nrES_PID,$D455,nrES_Code,$F455,nrES_Att,2,nrES_Raw,"&gt;=0")&gt;0,"",$L455),IF($L455&gt;=$J455,MAX($J455,cfgRetakeRecordedCap),IF(COUNTIFS(nrES_PID,$D455,nrES_Code,$F455,nrES_Att,1)=0,$L455,SUMIFS(nrES_Raw,nrES_PID,$D455,nrES_Code,$F455,nrES_Att,1))))))))</f>
        <v/>
      </c>
      <c r="N455" s="17">
        <f>IF($C455="","",IF($L455="","",IF(NOT(ISNUMBER($L455)),"(not a score)",IF($L455&gt;=$J455,"Yes","No"))))</f>
        <v/>
      </c>
      <c r="O455" s="17">
        <f>IF($C455="","",IF($M455="","",IF(NOT(ISNUMBER($M455)),"(not a score)",IF($M455&gt;=$J455,"Yes","No"))))</f>
        <v/>
      </c>
      <c r="P455" s="17">
        <f>IF($C455="","",IF($K455="","",IF(N($K455)&gt;2,"No",IF(COUNTIFS(nrES_PID,$D455,nrES_Code,$F455,nrES_Att,"&gt;"&amp;$K455,nrES_Att,"&lt;=2",nrES_Raw,"&gt;=0")=0,"Yes","No"))))</f>
        <v/>
      </c>
      <c r="Q455" s="17">
        <f>IF($C455="","",IF($L455="","",IF(AND($K455=1,ISNUMBER($L455),$L455&lt;$J455,COUNTIFS(nrES_PID,$D455,nrES_Code,$F455,nrES_Att,2,nrES_Raw,"&gt;=0")=0),"Yes","No")))</f>
        <v/>
      </c>
      <c r="R455" s="17">
        <f>IF($C455="","",IF($L455="","",IF(AND(N($K455)&gt;=2,ISNUMBER($L455),$L455&lt;$J455),"Yes","No")))</f>
        <v/>
      </c>
      <c r="S455" s="18" t="n"/>
      <c r="T455" s="19">
        <f>IF(OR($C455="",$L455="",$K455&lt;&gt;1,NOT(ISNUMBER($L455)),$L455&gt;=$J455),"",IF($S455="","(enter date)",_xlfn.LET(_xlpm.dn,_xlfn.XLOOKUP($S455,nrCDdate,nrCDnum,"",1),IF(_xlpm.dn="","(after last class day)",_xlfn.LET(_xlpm.dd,_xlfn.XLOOKUP(_xlpm.dn+cfgRetestClassDays,nrCDnum,nrCDdate,""),_xlpm.ok,_xlfn.XLOOKUP(_xlpm.dn+cfgRetestClassDays,nrCDnum,nrCDinsession,"No"),IF(OR(_xlpm.dd="",_xlpm.ok&lt;&gt;"Yes"),"(after last class day)",_xlpm.dd))))))</f>
        <v/>
      </c>
      <c r="U455" s="17">
        <f>IF($C455="","",IF(AND($Y455="Excused",$L455="",N($K455)&lt;=1),"EXCUSED - 1st attempt pending",IF(OR($L455="",$K455&lt;&gt;1,NOT(ISNUMBER($L455)),$L455&gt;=$J455),"",IF(COUNTIFS(nrES_PID,$D455,nrES_Code,$F455,nrES_Att,2,nrES_Raw,"&gt;=0")&gt;0,IF(IFERROR(_xlfn.MINIFS(nrES_Date,nrES_PID,$D455,nrES_Code,$F455,nrES_Att,2,nrES_Raw,"&gt;=0",nrES_Date,"&gt;0"),0)=0,"RETEST UNDATED",IF(NOT(ISNUMBER($T455)),"RETEST DATE UNCHECKED",IF(_xlfn.MINIFS(nrES_Date,nrES_PID,$D455,nrES_Code,$F455,nrES_Att,2,nrES_Raw,"&gt;=0",nrES_Date,"&gt;0")&gt;$T455,"LATE RETEST "&amp;TEXT(_xlfn.MINIFS(nrES_Date,nrES_PID,$D455,nrES_Code,$F455,nrES_Att,2,nrES_Raw,"&gt;=0",nrES_Date,"&gt;0"),"mm/dd")&amp;" (due "&amp;TEXT($T455,"mm/dd")&amp;")","Retested"))),IF(NOT(ISNUMBER($T455)),"CHECK DATE",IF(TODAY()&gt;$T455,"OVERDUE","Due "&amp;TEXT($T455,"mm/dd")))))))</f>
        <v/>
      </c>
      <c r="V455" s="16" t="n"/>
      <c r="W455" s="16" t="n"/>
      <c r="X455" s="17">
        <f>IF($C455="","",IF(AND($L455&lt;&gt;"",NOT(ISNUMBER($L455))),"RAW SCORE NOT A NUMBER",IF(AND(ISNUMBER($L455),OR($L455&lt;0,$L455&gt;100)),"RAW SCORE OUT OF RANGE",IF(AND($Y455="Unexcused",OR($L455="",NOT(ISNUMBER($L455)),$L455&lt;&gt;0)),"UNEXCUSED ABSENCE MUST RECORD 0",IF(COUNTIF(nrES_RecID,$B455)&gt;1,"DUPLICATE RECORD",IF(N($K455)&gt;2,"ATTEMPT 3+ NOT ALLOWED - policy 300.5 permits one retest per exam; this row records nothing",IF(AND($K455=2,COUNTIFS(nrES_PID,$D455,nrES_Code,$F455,nrES_Att,1)=0),"ATTEMPT 2 WITHOUT ATTEMPT 1",IF(AND($K455=2,$L455=""),"RETEST ROW HAS NO SCORE",IF(AND($H455="Final",$L455&lt;&gt;"",IFERROR(INDEX(nrCKfinalExamElig,MATCH($D455,rngCadetPIDs,0)),"")="No"),"FINAL EXAM AFTER FAILED FINAL PT (500.1.H)",IF(AND($K455=2,ISNUMBER($L455),COUNTIFS(nrES_PID,$D455,nrES_Code,$F455,nrES_Att,1)&gt;0,SUMIFS(nrES_Raw,nrES_PID,$D455,nrES_Code,$F455,nrES_Att,1)&gt;=$J455),"RETEST AFTER A PASSING FIRST ATTEMPT","OK"))))))))))</f>
        <v/>
      </c>
      <c r="Y455" s="16" t="n"/>
    </row>
    <row r="456">
      <c r="B456" s="17">
        <f>IF($C456="","",$D456&amp;"-"&amp;$F456&amp;"-"&amp;$K456)</f>
        <v/>
      </c>
      <c r="C456" s="16" t="n"/>
      <c r="D456" s="17">
        <f>IF($C456="","",IFERROR(INDEX(rngCadetPIDs,MATCH($C456,rngCadetNames,0)),"?"))</f>
        <v/>
      </c>
      <c r="E456" s="17">
        <f>IF($D456="","",IFERROR(INDEX(nrCadetAgency,MATCH($D456,rngCadetPIDs,0)),""))</f>
        <v/>
      </c>
      <c r="F456" s="16" t="n"/>
      <c r="G456" s="17">
        <f>IF($F456="","",IFERROR(INDEX(rngEPname,MATCH($F456,rngEPcode,0)),"?"))</f>
        <v/>
      </c>
      <c r="H456" s="17">
        <f>IF($F456="","",IFERROR(INDEX(rngEPtype,MATCH($F456,rngEPcode,0)),"?"))</f>
        <v/>
      </c>
      <c r="I456" s="17">
        <f>IF($F456="","",IFERROR(INDEX(rngEPseq,MATCH($F456,rngEPcode,0)),""))</f>
        <v/>
      </c>
      <c r="J456" s="17">
        <f>IF($F456="","",IFERROR(INDEX(rngEPpass,MATCH($F456,rngEPcode,0)),cfgPassingScore))</f>
        <v/>
      </c>
      <c r="K456" s="16" t="n"/>
      <c r="L456" s="16" t="n"/>
      <c r="M456" s="17">
        <f>IF($C456="","",IF($L456="","",IF(NOT(ISNUMBER($L456)),$L456,IF(N($K456)&gt;2,"",IF($K456=1,IF(COUNTIFS(nrES_PID,$D456,nrES_Code,$F456,nrES_Att,2,nrES_Raw,"&gt;=0")&gt;0,"",$L456),IF($L456&gt;=$J456,MAX($J456,cfgRetakeRecordedCap),IF(COUNTIFS(nrES_PID,$D456,nrES_Code,$F456,nrES_Att,1)=0,$L456,SUMIFS(nrES_Raw,nrES_PID,$D456,nrES_Code,$F456,nrES_Att,1))))))))</f>
        <v/>
      </c>
      <c r="N456" s="17">
        <f>IF($C456="","",IF($L456="","",IF(NOT(ISNUMBER($L456)),"(not a score)",IF($L456&gt;=$J456,"Yes","No"))))</f>
        <v/>
      </c>
      <c r="O456" s="17">
        <f>IF($C456="","",IF($M456="","",IF(NOT(ISNUMBER($M456)),"(not a score)",IF($M456&gt;=$J456,"Yes","No"))))</f>
        <v/>
      </c>
      <c r="P456" s="17">
        <f>IF($C456="","",IF($K456="","",IF(N($K456)&gt;2,"No",IF(COUNTIFS(nrES_PID,$D456,nrES_Code,$F456,nrES_Att,"&gt;"&amp;$K456,nrES_Att,"&lt;=2",nrES_Raw,"&gt;=0")=0,"Yes","No"))))</f>
        <v/>
      </c>
      <c r="Q456" s="17">
        <f>IF($C456="","",IF($L456="","",IF(AND($K456=1,ISNUMBER($L456),$L456&lt;$J456,COUNTIFS(nrES_PID,$D456,nrES_Code,$F456,nrES_Att,2,nrES_Raw,"&gt;=0")=0),"Yes","No")))</f>
        <v/>
      </c>
      <c r="R456" s="17">
        <f>IF($C456="","",IF($L456="","",IF(AND(N($K456)&gt;=2,ISNUMBER($L456),$L456&lt;$J456),"Yes","No")))</f>
        <v/>
      </c>
      <c r="S456" s="18" t="n"/>
      <c r="T456" s="19">
        <f>IF(OR($C456="",$L456="",$K456&lt;&gt;1,NOT(ISNUMBER($L456)),$L456&gt;=$J456),"",IF($S456="","(enter date)",_xlfn.LET(_xlpm.dn,_xlfn.XLOOKUP($S456,nrCDdate,nrCDnum,"",1),IF(_xlpm.dn="","(after last class day)",_xlfn.LET(_xlpm.dd,_xlfn.XLOOKUP(_xlpm.dn+cfgRetestClassDays,nrCDnum,nrCDdate,""),_xlpm.ok,_xlfn.XLOOKUP(_xlpm.dn+cfgRetestClassDays,nrCDnum,nrCDinsession,"No"),IF(OR(_xlpm.dd="",_xlpm.ok&lt;&gt;"Yes"),"(after last class day)",_xlpm.dd))))))</f>
        <v/>
      </c>
      <c r="U456" s="17">
        <f>IF($C456="","",IF(AND($Y456="Excused",$L456="",N($K456)&lt;=1),"EXCUSED - 1st attempt pending",IF(OR($L456="",$K456&lt;&gt;1,NOT(ISNUMBER($L456)),$L456&gt;=$J456),"",IF(COUNTIFS(nrES_PID,$D456,nrES_Code,$F456,nrES_Att,2,nrES_Raw,"&gt;=0")&gt;0,IF(IFERROR(_xlfn.MINIFS(nrES_Date,nrES_PID,$D456,nrES_Code,$F456,nrES_Att,2,nrES_Raw,"&gt;=0",nrES_Date,"&gt;0"),0)=0,"RETEST UNDATED",IF(NOT(ISNUMBER($T456)),"RETEST DATE UNCHECKED",IF(_xlfn.MINIFS(nrES_Date,nrES_PID,$D456,nrES_Code,$F456,nrES_Att,2,nrES_Raw,"&gt;=0",nrES_Date,"&gt;0")&gt;$T456,"LATE RETEST "&amp;TEXT(_xlfn.MINIFS(nrES_Date,nrES_PID,$D456,nrES_Code,$F456,nrES_Att,2,nrES_Raw,"&gt;=0",nrES_Date,"&gt;0"),"mm/dd")&amp;" (due "&amp;TEXT($T456,"mm/dd")&amp;")","Retested"))),IF(NOT(ISNUMBER($T456)),"CHECK DATE",IF(TODAY()&gt;$T456,"OVERDUE","Due "&amp;TEXT($T456,"mm/dd")))))))</f>
        <v/>
      </c>
      <c r="V456" s="16" t="n"/>
      <c r="W456" s="16" t="n"/>
      <c r="X456" s="17">
        <f>IF($C456="","",IF(AND($L456&lt;&gt;"",NOT(ISNUMBER($L456))),"RAW SCORE NOT A NUMBER",IF(AND(ISNUMBER($L456),OR($L456&lt;0,$L456&gt;100)),"RAW SCORE OUT OF RANGE",IF(AND($Y456="Unexcused",OR($L456="",NOT(ISNUMBER($L456)),$L456&lt;&gt;0)),"UNEXCUSED ABSENCE MUST RECORD 0",IF(COUNTIF(nrES_RecID,$B456)&gt;1,"DUPLICATE RECORD",IF(N($K456)&gt;2,"ATTEMPT 3+ NOT ALLOWED - policy 300.5 permits one retest per exam; this row records nothing",IF(AND($K456=2,COUNTIFS(nrES_PID,$D456,nrES_Code,$F456,nrES_Att,1)=0),"ATTEMPT 2 WITHOUT ATTEMPT 1",IF(AND($K456=2,$L456=""),"RETEST ROW HAS NO SCORE",IF(AND($H456="Final",$L456&lt;&gt;"",IFERROR(INDEX(nrCKfinalExamElig,MATCH($D456,rngCadetPIDs,0)),"")="No"),"FINAL EXAM AFTER FAILED FINAL PT (500.1.H)",IF(AND($K456=2,ISNUMBER($L456),COUNTIFS(nrES_PID,$D456,nrES_Code,$F456,nrES_Att,1)&gt;0,SUMIFS(nrES_Raw,nrES_PID,$D456,nrES_Code,$F456,nrES_Att,1)&gt;=$J456),"RETEST AFTER A PASSING FIRST ATTEMPT","OK"))))))))))</f>
        <v/>
      </c>
      <c r="Y456" s="16" t="n"/>
    </row>
    <row r="457">
      <c r="B457" s="17">
        <f>IF($C457="","",$D457&amp;"-"&amp;$F457&amp;"-"&amp;$K457)</f>
        <v/>
      </c>
      <c r="C457" s="16" t="n"/>
      <c r="D457" s="17">
        <f>IF($C457="","",IFERROR(INDEX(rngCadetPIDs,MATCH($C457,rngCadetNames,0)),"?"))</f>
        <v/>
      </c>
      <c r="E457" s="17">
        <f>IF($D457="","",IFERROR(INDEX(nrCadetAgency,MATCH($D457,rngCadetPIDs,0)),""))</f>
        <v/>
      </c>
      <c r="F457" s="16" t="n"/>
      <c r="G457" s="17">
        <f>IF($F457="","",IFERROR(INDEX(rngEPname,MATCH($F457,rngEPcode,0)),"?"))</f>
        <v/>
      </c>
      <c r="H457" s="17">
        <f>IF($F457="","",IFERROR(INDEX(rngEPtype,MATCH($F457,rngEPcode,0)),"?"))</f>
        <v/>
      </c>
      <c r="I457" s="17">
        <f>IF($F457="","",IFERROR(INDEX(rngEPseq,MATCH($F457,rngEPcode,0)),""))</f>
        <v/>
      </c>
      <c r="J457" s="17">
        <f>IF($F457="","",IFERROR(INDEX(rngEPpass,MATCH($F457,rngEPcode,0)),cfgPassingScore))</f>
        <v/>
      </c>
      <c r="K457" s="16" t="n"/>
      <c r="L457" s="16" t="n"/>
      <c r="M457" s="17">
        <f>IF($C457="","",IF($L457="","",IF(NOT(ISNUMBER($L457)),$L457,IF(N($K457)&gt;2,"",IF($K457=1,IF(COUNTIFS(nrES_PID,$D457,nrES_Code,$F457,nrES_Att,2,nrES_Raw,"&gt;=0")&gt;0,"",$L457),IF($L457&gt;=$J457,MAX($J457,cfgRetakeRecordedCap),IF(COUNTIFS(nrES_PID,$D457,nrES_Code,$F457,nrES_Att,1)=0,$L457,SUMIFS(nrES_Raw,nrES_PID,$D457,nrES_Code,$F457,nrES_Att,1))))))))</f>
        <v/>
      </c>
      <c r="N457" s="17">
        <f>IF($C457="","",IF($L457="","",IF(NOT(ISNUMBER($L457)),"(not a score)",IF($L457&gt;=$J457,"Yes","No"))))</f>
        <v/>
      </c>
      <c r="O457" s="17">
        <f>IF($C457="","",IF($M457="","",IF(NOT(ISNUMBER($M457)),"(not a score)",IF($M457&gt;=$J457,"Yes","No"))))</f>
        <v/>
      </c>
      <c r="P457" s="17">
        <f>IF($C457="","",IF($K457="","",IF(N($K457)&gt;2,"No",IF(COUNTIFS(nrES_PID,$D457,nrES_Code,$F457,nrES_Att,"&gt;"&amp;$K457,nrES_Att,"&lt;=2",nrES_Raw,"&gt;=0")=0,"Yes","No"))))</f>
        <v/>
      </c>
      <c r="Q457" s="17">
        <f>IF($C457="","",IF($L457="","",IF(AND($K457=1,ISNUMBER($L457),$L457&lt;$J457,COUNTIFS(nrES_PID,$D457,nrES_Code,$F457,nrES_Att,2,nrES_Raw,"&gt;=0")=0),"Yes","No")))</f>
        <v/>
      </c>
      <c r="R457" s="17">
        <f>IF($C457="","",IF($L457="","",IF(AND(N($K457)&gt;=2,ISNUMBER($L457),$L457&lt;$J457),"Yes","No")))</f>
        <v/>
      </c>
      <c r="S457" s="18" t="n"/>
      <c r="T457" s="19">
        <f>IF(OR($C457="",$L457="",$K457&lt;&gt;1,NOT(ISNUMBER($L457)),$L457&gt;=$J457),"",IF($S457="","(enter date)",_xlfn.LET(_xlpm.dn,_xlfn.XLOOKUP($S457,nrCDdate,nrCDnum,"",1),IF(_xlpm.dn="","(after last class day)",_xlfn.LET(_xlpm.dd,_xlfn.XLOOKUP(_xlpm.dn+cfgRetestClassDays,nrCDnum,nrCDdate,""),_xlpm.ok,_xlfn.XLOOKUP(_xlpm.dn+cfgRetestClassDays,nrCDnum,nrCDinsession,"No"),IF(OR(_xlpm.dd="",_xlpm.ok&lt;&gt;"Yes"),"(after last class day)",_xlpm.dd))))))</f>
        <v/>
      </c>
      <c r="U457" s="17">
        <f>IF($C457="","",IF(AND($Y457="Excused",$L457="",N($K457)&lt;=1),"EXCUSED - 1st attempt pending",IF(OR($L457="",$K457&lt;&gt;1,NOT(ISNUMBER($L457)),$L457&gt;=$J457),"",IF(COUNTIFS(nrES_PID,$D457,nrES_Code,$F457,nrES_Att,2,nrES_Raw,"&gt;=0")&gt;0,IF(IFERROR(_xlfn.MINIFS(nrES_Date,nrES_PID,$D457,nrES_Code,$F457,nrES_Att,2,nrES_Raw,"&gt;=0",nrES_Date,"&gt;0"),0)=0,"RETEST UNDATED",IF(NOT(ISNUMBER($T457)),"RETEST DATE UNCHECKED",IF(_xlfn.MINIFS(nrES_Date,nrES_PID,$D457,nrES_Code,$F457,nrES_Att,2,nrES_Raw,"&gt;=0",nrES_Date,"&gt;0")&gt;$T457,"LATE RETEST "&amp;TEXT(_xlfn.MINIFS(nrES_Date,nrES_PID,$D457,nrES_Code,$F457,nrES_Att,2,nrES_Raw,"&gt;=0",nrES_Date,"&gt;0"),"mm/dd")&amp;" (due "&amp;TEXT($T457,"mm/dd")&amp;")","Retested"))),IF(NOT(ISNUMBER($T457)),"CHECK DATE",IF(TODAY()&gt;$T457,"OVERDUE","Due "&amp;TEXT($T457,"mm/dd")))))))</f>
        <v/>
      </c>
      <c r="V457" s="16" t="n"/>
      <c r="W457" s="16" t="n"/>
      <c r="X457" s="17">
        <f>IF($C457="","",IF(AND($L457&lt;&gt;"",NOT(ISNUMBER($L457))),"RAW SCORE NOT A NUMBER",IF(AND(ISNUMBER($L457),OR($L457&lt;0,$L457&gt;100)),"RAW SCORE OUT OF RANGE",IF(AND($Y457="Unexcused",OR($L457="",NOT(ISNUMBER($L457)),$L457&lt;&gt;0)),"UNEXCUSED ABSENCE MUST RECORD 0",IF(COUNTIF(nrES_RecID,$B457)&gt;1,"DUPLICATE RECORD",IF(N($K457)&gt;2,"ATTEMPT 3+ NOT ALLOWED - policy 300.5 permits one retest per exam; this row records nothing",IF(AND($K457=2,COUNTIFS(nrES_PID,$D457,nrES_Code,$F457,nrES_Att,1)=0),"ATTEMPT 2 WITHOUT ATTEMPT 1",IF(AND($K457=2,$L457=""),"RETEST ROW HAS NO SCORE",IF(AND($H457="Final",$L457&lt;&gt;"",IFERROR(INDEX(nrCKfinalExamElig,MATCH($D457,rngCadetPIDs,0)),"")="No"),"FINAL EXAM AFTER FAILED FINAL PT (500.1.H)",IF(AND($K457=2,ISNUMBER($L457),COUNTIFS(nrES_PID,$D457,nrES_Code,$F457,nrES_Att,1)&gt;0,SUMIFS(nrES_Raw,nrES_PID,$D457,nrES_Code,$F457,nrES_Att,1)&gt;=$J457),"RETEST AFTER A PASSING FIRST ATTEMPT","OK"))))))))))</f>
        <v/>
      </c>
      <c r="Y457" s="16" t="n"/>
    </row>
    <row r="458">
      <c r="B458" s="17">
        <f>IF($C458="","",$D458&amp;"-"&amp;$F458&amp;"-"&amp;$K458)</f>
        <v/>
      </c>
      <c r="C458" s="16" t="n"/>
      <c r="D458" s="17">
        <f>IF($C458="","",IFERROR(INDEX(rngCadetPIDs,MATCH($C458,rngCadetNames,0)),"?"))</f>
        <v/>
      </c>
      <c r="E458" s="17">
        <f>IF($D458="","",IFERROR(INDEX(nrCadetAgency,MATCH($D458,rngCadetPIDs,0)),""))</f>
        <v/>
      </c>
      <c r="F458" s="16" t="n"/>
      <c r="G458" s="17">
        <f>IF($F458="","",IFERROR(INDEX(rngEPname,MATCH($F458,rngEPcode,0)),"?"))</f>
        <v/>
      </c>
      <c r="H458" s="17">
        <f>IF($F458="","",IFERROR(INDEX(rngEPtype,MATCH($F458,rngEPcode,0)),"?"))</f>
        <v/>
      </c>
      <c r="I458" s="17">
        <f>IF($F458="","",IFERROR(INDEX(rngEPseq,MATCH($F458,rngEPcode,0)),""))</f>
        <v/>
      </c>
      <c r="J458" s="17">
        <f>IF($F458="","",IFERROR(INDEX(rngEPpass,MATCH($F458,rngEPcode,0)),cfgPassingScore))</f>
        <v/>
      </c>
      <c r="K458" s="16" t="n"/>
      <c r="L458" s="16" t="n"/>
      <c r="M458" s="17">
        <f>IF($C458="","",IF($L458="","",IF(NOT(ISNUMBER($L458)),$L458,IF(N($K458)&gt;2,"",IF($K458=1,IF(COUNTIFS(nrES_PID,$D458,nrES_Code,$F458,nrES_Att,2,nrES_Raw,"&gt;=0")&gt;0,"",$L458),IF($L458&gt;=$J458,MAX($J458,cfgRetakeRecordedCap),IF(COUNTIFS(nrES_PID,$D458,nrES_Code,$F458,nrES_Att,1)=0,$L458,SUMIFS(nrES_Raw,nrES_PID,$D458,nrES_Code,$F458,nrES_Att,1))))))))</f>
        <v/>
      </c>
      <c r="N458" s="17">
        <f>IF($C458="","",IF($L458="","",IF(NOT(ISNUMBER($L458)),"(not a score)",IF($L458&gt;=$J458,"Yes","No"))))</f>
        <v/>
      </c>
      <c r="O458" s="17">
        <f>IF($C458="","",IF($M458="","",IF(NOT(ISNUMBER($M458)),"(not a score)",IF($M458&gt;=$J458,"Yes","No"))))</f>
        <v/>
      </c>
      <c r="P458" s="17">
        <f>IF($C458="","",IF($K458="","",IF(N($K458)&gt;2,"No",IF(COUNTIFS(nrES_PID,$D458,nrES_Code,$F458,nrES_Att,"&gt;"&amp;$K458,nrES_Att,"&lt;=2",nrES_Raw,"&gt;=0")=0,"Yes","No"))))</f>
        <v/>
      </c>
      <c r="Q458" s="17">
        <f>IF($C458="","",IF($L458="","",IF(AND($K458=1,ISNUMBER($L458),$L458&lt;$J458,COUNTIFS(nrES_PID,$D458,nrES_Code,$F458,nrES_Att,2,nrES_Raw,"&gt;=0")=0),"Yes","No")))</f>
        <v/>
      </c>
      <c r="R458" s="17">
        <f>IF($C458="","",IF($L458="","",IF(AND(N($K458)&gt;=2,ISNUMBER($L458),$L458&lt;$J458),"Yes","No")))</f>
        <v/>
      </c>
      <c r="S458" s="18" t="n"/>
      <c r="T458" s="19">
        <f>IF(OR($C458="",$L458="",$K458&lt;&gt;1,NOT(ISNUMBER($L458)),$L458&gt;=$J458),"",IF($S458="","(enter date)",_xlfn.LET(_xlpm.dn,_xlfn.XLOOKUP($S458,nrCDdate,nrCDnum,"",1),IF(_xlpm.dn="","(after last class day)",_xlfn.LET(_xlpm.dd,_xlfn.XLOOKUP(_xlpm.dn+cfgRetestClassDays,nrCDnum,nrCDdate,""),_xlpm.ok,_xlfn.XLOOKUP(_xlpm.dn+cfgRetestClassDays,nrCDnum,nrCDinsession,"No"),IF(OR(_xlpm.dd="",_xlpm.ok&lt;&gt;"Yes"),"(after last class day)",_xlpm.dd))))))</f>
        <v/>
      </c>
      <c r="U458" s="17">
        <f>IF($C458="","",IF(AND($Y458="Excused",$L458="",N($K458)&lt;=1),"EXCUSED - 1st attempt pending",IF(OR($L458="",$K458&lt;&gt;1,NOT(ISNUMBER($L458)),$L458&gt;=$J458),"",IF(COUNTIFS(nrES_PID,$D458,nrES_Code,$F458,nrES_Att,2,nrES_Raw,"&gt;=0")&gt;0,IF(IFERROR(_xlfn.MINIFS(nrES_Date,nrES_PID,$D458,nrES_Code,$F458,nrES_Att,2,nrES_Raw,"&gt;=0",nrES_Date,"&gt;0"),0)=0,"RETEST UNDATED",IF(NOT(ISNUMBER($T458)),"RETEST DATE UNCHECKED",IF(_xlfn.MINIFS(nrES_Date,nrES_PID,$D458,nrES_Code,$F458,nrES_Att,2,nrES_Raw,"&gt;=0",nrES_Date,"&gt;0")&gt;$T458,"LATE RETEST "&amp;TEXT(_xlfn.MINIFS(nrES_Date,nrES_PID,$D458,nrES_Code,$F458,nrES_Att,2,nrES_Raw,"&gt;=0",nrES_Date,"&gt;0"),"mm/dd")&amp;" (due "&amp;TEXT($T458,"mm/dd")&amp;")","Retested"))),IF(NOT(ISNUMBER($T458)),"CHECK DATE",IF(TODAY()&gt;$T458,"OVERDUE","Due "&amp;TEXT($T458,"mm/dd")))))))</f>
        <v/>
      </c>
      <c r="V458" s="16" t="n"/>
      <c r="W458" s="16" t="n"/>
      <c r="X458" s="17">
        <f>IF($C458="","",IF(AND($L458&lt;&gt;"",NOT(ISNUMBER($L458))),"RAW SCORE NOT A NUMBER",IF(AND(ISNUMBER($L458),OR($L458&lt;0,$L458&gt;100)),"RAW SCORE OUT OF RANGE",IF(AND($Y458="Unexcused",OR($L458="",NOT(ISNUMBER($L458)),$L458&lt;&gt;0)),"UNEXCUSED ABSENCE MUST RECORD 0",IF(COUNTIF(nrES_RecID,$B458)&gt;1,"DUPLICATE RECORD",IF(N($K458)&gt;2,"ATTEMPT 3+ NOT ALLOWED - policy 300.5 permits one retest per exam; this row records nothing",IF(AND($K458=2,COUNTIFS(nrES_PID,$D458,nrES_Code,$F458,nrES_Att,1)=0),"ATTEMPT 2 WITHOUT ATTEMPT 1",IF(AND($K458=2,$L458=""),"RETEST ROW HAS NO SCORE",IF(AND($H458="Final",$L458&lt;&gt;"",IFERROR(INDEX(nrCKfinalExamElig,MATCH($D458,rngCadetPIDs,0)),"")="No"),"FINAL EXAM AFTER FAILED FINAL PT (500.1.H)",IF(AND($K458=2,ISNUMBER($L458),COUNTIFS(nrES_PID,$D458,nrES_Code,$F458,nrES_Att,1)&gt;0,SUMIFS(nrES_Raw,nrES_PID,$D458,nrES_Code,$F458,nrES_Att,1)&gt;=$J458),"RETEST AFTER A PASSING FIRST ATTEMPT","OK"))))))))))</f>
        <v/>
      </c>
      <c r="Y458" s="16" t="n"/>
    </row>
    <row r="459">
      <c r="B459" s="17">
        <f>IF($C459="","",$D459&amp;"-"&amp;$F459&amp;"-"&amp;$K459)</f>
        <v/>
      </c>
      <c r="C459" s="16" t="n"/>
      <c r="D459" s="17">
        <f>IF($C459="","",IFERROR(INDEX(rngCadetPIDs,MATCH($C459,rngCadetNames,0)),"?"))</f>
        <v/>
      </c>
      <c r="E459" s="17">
        <f>IF($D459="","",IFERROR(INDEX(nrCadetAgency,MATCH($D459,rngCadetPIDs,0)),""))</f>
        <v/>
      </c>
      <c r="F459" s="16" t="n"/>
      <c r="G459" s="17">
        <f>IF($F459="","",IFERROR(INDEX(rngEPname,MATCH($F459,rngEPcode,0)),"?"))</f>
        <v/>
      </c>
      <c r="H459" s="17">
        <f>IF($F459="","",IFERROR(INDEX(rngEPtype,MATCH($F459,rngEPcode,0)),"?"))</f>
        <v/>
      </c>
      <c r="I459" s="17">
        <f>IF($F459="","",IFERROR(INDEX(rngEPseq,MATCH($F459,rngEPcode,0)),""))</f>
        <v/>
      </c>
      <c r="J459" s="17">
        <f>IF($F459="","",IFERROR(INDEX(rngEPpass,MATCH($F459,rngEPcode,0)),cfgPassingScore))</f>
        <v/>
      </c>
      <c r="K459" s="16" t="n"/>
      <c r="L459" s="16" t="n"/>
      <c r="M459" s="17">
        <f>IF($C459="","",IF($L459="","",IF(NOT(ISNUMBER($L459)),$L459,IF(N($K459)&gt;2,"",IF($K459=1,IF(COUNTIFS(nrES_PID,$D459,nrES_Code,$F459,nrES_Att,2,nrES_Raw,"&gt;=0")&gt;0,"",$L459),IF($L459&gt;=$J459,MAX($J459,cfgRetakeRecordedCap),IF(COUNTIFS(nrES_PID,$D459,nrES_Code,$F459,nrES_Att,1)=0,$L459,SUMIFS(nrES_Raw,nrES_PID,$D459,nrES_Code,$F459,nrES_Att,1))))))))</f>
        <v/>
      </c>
      <c r="N459" s="17">
        <f>IF($C459="","",IF($L459="","",IF(NOT(ISNUMBER($L459)),"(not a score)",IF($L459&gt;=$J459,"Yes","No"))))</f>
        <v/>
      </c>
      <c r="O459" s="17">
        <f>IF($C459="","",IF($M459="","",IF(NOT(ISNUMBER($M459)),"(not a score)",IF($M459&gt;=$J459,"Yes","No"))))</f>
        <v/>
      </c>
      <c r="P459" s="17">
        <f>IF($C459="","",IF($K459="","",IF(N($K459)&gt;2,"No",IF(COUNTIFS(nrES_PID,$D459,nrES_Code,$F459,nrES_Att,"&gt;"&amp;$K459,nrES_Att,"&lt;=2",nrES_Raw,"&gt;=0")=0,"Yes","No"))))</f>
        <v/>
      </c>
      <c r="Q459" s="17">
        <f>IF($C459="","",IF($L459="","",IF(AND($K459=1,ISNUMBER($L459),$L459&lt;$J459,COUNTIFS(nrES_PID,$D459,nrES_Code,$F459,nrES_Att,2,nrES_Raw,"&gt;=0")=0),"Yes","No")))</f>
        <v/>
      </c>
      <c r="R459" s="17">
        <f>IF($C459="","",IF($L459="","",IF(AND(N($K459)&gt;=2,ISNUMBER($L459),$L459&lt;$J459),"Yes","No")))</f>
        <v/>
      </c>
      <c r="S459" s="18" t="n"/>
      <c r="T459" s="19">
        <f>IF(OR($C459="",$L459="",$K459&lt;&gt;1,NOT(ISNUMBER($L459)),$L459&gt;=$J459),"",IF($S459="","(enter date)",_xlfn.LET(_xlpm.dn,_xlfn.XLOOKUP($S459,nrCDdate,nrCDnum,"",1),IF(_xlpm.dn="","(after last class day)",_xlfn.LET(_xlpm.dd,_xlfn.XLOOKUP(_xlpm.dn+cfgRetestClassDays,nrCDnum,nrCDdate,""),_xlpm.ok,_xlfn.XLOOKUP(_xlpm.dn+cfgRetestClassDays,nrCDnum,nrCDinsession,"No"),IF(OR(_xlpm.dd="",_xlpm.ok&lt;&gt;"Yes"),"(after last class day)",_xlpm.dd))))))</f>
        <v/>
      </c>
      <c r="U459" s="17">
        <f>IF($C459="","",IF(AND($Y459="Excused",$L459="",N($K459)&lt;=1),"EXCUSED - 1st attempt pending",IF(OR($L459="",$K459&lt;&gt;1,NOT(ISNUMBER($L459)),$L459&gt;=$J459),"",IF(COUNTIFS(nrES_PID,$D459,nrES_Code,$F459,nrES_Att,2,nrES_Raw,"&gt;=0")&gt;0,IF(IFERROR(_xlfn.MINIFS(nrES_Date,nrES_PID,$D459,nrES_Code,$F459,nrES_Att,2,nrES_Raw,"&gt;=0",nrES_Date,"&gt;0"),0)=0,"RETEST UNDATED",IF(NOT(ISNUMBER($T459)),"RETEST DATE UNCHECKED",IF(_xlfn.MINIFS(nrES_Date,nrES_PID,$D459,nrES_Code,$F459,nrES_Att,2,nrES_Raw,"&gt;=0",nrES_Date,"&gt;0")&gt;$T459,"LATE RETEST "&amp;TEXT(_xlfn.MINIFS(nrES_Date,nrES_PID,$D459,nrES_Code,$F459,nrES_Att,2,nrES_Raw,"&gt;=0",nrES_Date,"&gt;0"),"mm/dd")&amp;" (due "&amp;TEXT($T459,"mm/dd")&amp;")","Retested"))),IF(NOT(ISNUMBER($T459)),"CHECK DATE",IF(TODAY()&gt;$T459,"OVERDUE","Due "&amp;TEXT($T459,"mm/dd")))))))</f>
        <v/>
      </c>
      <c r="V459" s="16" t="n"/>
      <c r="W459" s="16" t="n"/>
      <c r="X459" s="17">
        <f>IF($C459="","",IF(AND($L459&lt;&gt;"",NOT(ISNUMBER($L459))),"RAW SCORE NOT A NUMBER",IF(AND(ISNUMBER($L459),OR($L459&lt;0,$L459&gt;100)),"RAW SCORE OUT OF RANGE",IF(AND($Y459="Unexcused",OR($L459="",NOT(ISNUMBER($L459)),$L459&lt;&gt;0)),"UNEXCUSED ABSENCE MUST RECORD 0",IF(COUNTIF(nrES_RecID,$B459)&gt;1,"DUPLICATE RECORD",IF(N($K459)&gt;2,"ATTEMPT 3+ NOT ALLOWED - policy 300.5 permits one retest per exam; this row records nothing",IF(AND($K459=2,COUNTIFS(nrES_PID,$D459,nrES_Code,$F459,nrES_Att,1)=0),"ATTEMPT 2 WITHOUT ATTEMPT 1",IF(AND($K459=2,$L459=""),"RETEST ROW HAS NO SCORE",IF(AND($H459="Final",$L459&lt;&gt;"",IFERROR(INDEX(nrCKfinalExamElig,MATCH($D459,rngCadetPIDs,0)),"")="No"),"FINAL EXAM AFTER FAILED FINAL PT (500.1.H)",IF(AND($K459=2,ISNUMBER($L459),COUNTIFS(nrES_PID,$D459,nrES_Code,$F459,nrES_Att,1)&gt;0,SUMIFS(nrES_Raw,nrES_PID,$D459,nrES_Code,$F459,nrES_Att,1)&gt;=$J459),"RETEST AFTER A PASSING FIRST ATTEMPT","OK"))))))))))</f>
        <v/>
      </c>
      <c r="Y459" s="16" t="n"/>
    </row>
    <row r="460">
      <c r="B460" s="17">
        <f>IF($C460="","",$D460&amp;"-"&amp;$F460&amp;"-"&amp;$K460)</f>
        <v/>
      </c>
      <c r="C460" s="16" t="n"/>
      <c r="D460" s="17">
        <f>IF($C460="","",IFERROR(INDEX(rngCadetPIDs,MATCH($C460,rngCadetNames,0)),"?"))</f>
        <v/>
      </c>
      <c r="E460" s="17">
        <f>IF($D460="","",IFERROR(INDEX(nrCadetAgency,MATCH($D460,rngCadetPIDs,0)),""))</f>
        <v/>
      </c>
      <c r="F460" s="16" t="n"/>
      <c r="G460" s="17">
        <f>IF($F460="","",IFERROR(INDEX(rngEPname,MATCH($F460,rngEPcode,0)),"?"))</f>
        <v/>
      </c>
      <c r="H460" s="17">
        <f>IF($F460="","",IFERROR(INDEX(rngEPtype,MATCH($F460,rngEPcode,0)),"?"))</f>
        <v/>
      </c>
      <c r="I460" s="17">
        <f>IF($F460="","",IFERROR(INDEX(rngEPseq,MATCH($F460,rngEPcode,0)),""))</f>
        <v/>
      </c>
      <c r="J460" s="17">
        <f>IF($F460="","",IFERROR(INDEX(rngEPpass,MATCH($F460,rngEPcode,0)),cfgPassingScore))</f>
        <v/>
      </c>
      <c r="K460" s="16" t="n"/>
      <c r="L460" s="16" t="n"/>
      <c r="M460" s="17">
        <f>IF($C460="","",IF($L460="","",IF(NOT(ISNUMBER($L460)),$L460,IF(N($K460)&gt;2,"",IF($K460=1,IF(COUNTIFS(nrES_PID,$D460,nrES_Code,$F460,nrES_Att,2,nrES_Raw,"&gt;=0")&gt;0,"",$L460),IF($L460&gt;=$J460,MAX($J460,cfgRetakeRecordedCap),IF(COUNTIFS(nrES_PID,$D460,nrES_Code,$F460,nrES_Att,1)=0,$L460,SUMIFS(nrES_Raw,nrES_PID,$D460,nrES_Code,$F460,nrES_Att,1))))))))</f>
        <v/>
      </c>
      <c r="N460" s="17">
        <f>IF($C460="","",IF($L460="","",IF(NOT(ISNUMBER($L460)),"(not a score)",IF($L460&gt;=$J460,"Yes","No"))))</f>
        <v/>
      </c>
      <c r="O460" s="17">
        <f>IF($C460="","",IF($M460="","",IF(NOT(ISNUMBER($M460)),"(not a score)",IF($M460&gt;=$J460,"Yes","No"))))</f>
        <v/>
      </c>
      <c r="P460" s="17">
        <f>IF($C460="","",IF($K460="","",IF(N($K460)&gt;2,"No",IF(COUNTIFS(nrES_PID,$D460,nrES_Code,$F460,nrES_Att,"&gt;"&amp;$K460,nrES_Att,"&lt;=2",nrES_Raw,"&gt;=0")=0,"Yes","No"))))</f>
        <v/>
      </c>
      <c r="Q460" s="17">
        <f>IF($C460="","",IF($L460="","",IF(AND($K460=1,ISNUMBER($L460),$L460&lt;$J460,COUNTIFS(nrES_PID,$D460,nrES_Code,$F460,nrES_Att,2,nrES_Raw,"&gt;=0")=0),"Yes","No")))</f>
        <v/>
      </c>
      <c r="R460" s="17">
        <f>IF($C460="","",IF($L460="","",IF(AND(N($K460)&gt;=2,ISNUMBER($L460),$L460&lt;$J460),"Yes","No")))</f>
        <v/>
      </c>
      <c r="S460" s="18" t="n"/>
      <c r="T460" s="19">
        <f>IF(OR($C460="",$L460="",$K460&lt;&gt;1,NOT(ISNUMBER($L460)),$L460&gt;=$J460),"",IF($S460="","(enter date)",_xlfn.LET(_xlpm.dn,_xlfn.XLOOKUP($S460,nrCDdate,nrCDnum,"",1),IF(_xlpm.dn="","(after last class day)",_xlfn.LET(_xlpm.dd,_xlfn.XLOOKUP(_xlpm.dn+cfgRetestClassDays,nrCDnum,nrCDdate,""),_xlpm.ok,_xlfn.XLOOKUP(_xlpm.dn+cfgRetestClassDays,nrCDnum,nrCDinsession,"No"),IF(OR(_xlpm.dd="",_xlpm.ok&lt;&gt;"Yes"),"(after last class day)",_xlpm.dd))))))</f>
        <v/>
      </c>
      <c r="U460" s="17">
        <f>IF($C460="","",IF(AND($Y460="Excused",$L460="",N($K460)&lt;=1),"EXCUSED - 1st attempt pending",IF(OR($L460="",$K460&lt;&gt;1,NOT(ISNUMBER($L460)),$L460&gt;=$J460),"",IF(COUNTIFS(nrES_PID,$D460,nrES_Code,$F460,nrES_Att,2,nrES_Raw,"&gt;=0")&gt;0,IF(IFERROR(_xlfn.MINIFS(nrES_Date,nrES_PID,$D460,nrES_Code,$F460,nrES_Att,2,nrES_Raw,"&gt;=0",nrES_Date,"&gt;0"),0)=0,"RETEST UNDATED",IF(NOT(ISNUMBER($T460)),"RETEST DATE UNCHECKED",IF(_xlfn.MINIFS(nrES_Date,nrES_PID,$D460,nrES_Code,$F460,nrES_Att,2,nrES_Raw,"&gt;=0",nrES_Date,"&gt;0")&gt;$T460,"LATE RETEST "&amp;TEXT(_xlfn.MINIFS(nrES_Date,nrES_PID,$D460,nrES_Code,$F460,nrES_Att,2,nrES_Raw,"&gt;=0",nrES_Date,"&gt;0"),"mm/dd")&amp;" (due "&amp;TEXT($T460,"mm/dd")&amp;")","Retested"))),IF(NOT(ISNUMBER($T460)),"CHECK DATE",IF(TODAY()&gt;$T460,"OVERDUE","Due "&amp;TEXT($T460,"mm/dd")))))))</f>
        <v/>
      </c>
      <c r="V460" s="16" t="n"/>
      <c r="W460" s="16" t="n"/>
      <c r="X460" s="17">
        <f>IF($C460="","",IF(AND($L460&lt;&gt;"",NOT(ISNUMBER($L460))),"RAW SCORE NOT A NUMBER",IF(AND(ISNUMBER($L460),OR($L460&lt;0,$L460&gt;100)),"RAW SCORE OUT OF RANGE",IF(AND($Y460="Unexcused",OR($L460="",NOT(ISNUMBER($L460)),$L460&lt;&gt;0)),"UNEXCUSED ABSENCE MUST RECORD 0",IF(COUNTIF(nrES_RecID,$B460)&gt;1,"DUPLICATE RECORD",IF(N($K460)&gt;2,"ATTEMPT 3+ NOT ALLOWED - policy 300.5 permits one retest per exam; this row records nothing",IF(AND($K460=2,COUNTIFS(nrES_PID,$D460,nrES_Code,$F460,nrES_Att,1)=0),"ATTEMPT 2 WITHOUT ATTEMPT 1",IF(AND($K460=2,$L460=""),"RETEST ROW HAS NO SCORE",IF(AND($H460="Final",$L460&lt;&gt;"",IFERROR(INDEX(nrCKfinalExamElig,MATCH($D460,rngCadetPIDs,0)),"")="No"),"FINAL EXAM AFTER FAILED FINAL PT (500.1.H)",IF(AND($K460=2,ISNUMBER($L460),COUNTIFS(nrES_PID,$D460,nrES_Code,$F460,nrES_Att,1)&gt;0,SUMIFS(nrES_Raw,nrES_PID,$D460,nrES_Code,$F460,nrES_Att,1)&gt;=$J460),"RETEST AFTER A PASSING FIRST ATTEMPT","OK"))))))))))</f>
        <v/>
      </c>
      <c r="Y460" s="16" t="n"/>
    </row>
    <row r="461">
      <c r="B461" s="17">
        <f>IF($C461="","",$D461&amp;"-"&amp;$F461&amp;"-"&amp;$K461)</f>
        <v/>
      </c>
      <c r="C461" s="16" t="n"/>
      <c r="D461" s="17">
        <f>IF($C461="","",IFERROR(INDEX(rngCadetPIDs,MATCH($C461,rngCadetNames,0)),"?"))</f>
        <v/>
      </c>
      <c r="E461" s="17">
        <f>IF($D461="","",IFERROR(INDEX(nrCadetAgency,MATCH($D461,rngCadetPIDs,0)),""))</f>
        <v/>
      </c>
      <c r="F461" s="16" t="n"/>
      <c r="G461" s="17">
        <f>IF($F461="","",IFERROR(INDEX(rngEPname,MATCH($F461,rngEPcode,0)),"?"))</f>
        <v/>
      </c>
      <c r="H461" s="17">
        <f>IF($F461="","",IFERROR(INDEX(rngEPtype,MATCH($F461,rngEPcode,0)),"?"))</f>
        <v/>
      </c>
      <c r="I461" s="17">
        <f>IF($F461="","",IFERROR(INDEX(rngEPseq,MATCH($F461,rngEPcode,0)),""))</f>
        <v/>
      </c>
      <c r="J461" s="17">
        <f>IF($F461="","",IFERROR(INDEX(rngEPpass,MATCH($F461,rngEPcode,0)),cfgPassingScore))</f>
        <v/>
      </c>
      <c r="K461" s="16" t="n"/>
      <c r="L461" s="16" t="n"/>
      <c r="M461" s="17">
        <f>IF($C461="","",IF($L461="","",IF(NOT(ISNUMBER($L461)),$L461,IF(N($K461)&gt;2,"",IF($K461=1,IF(COUNTIFS(nrES_PID,$D461,nrES_Code,$F461,nrES_Att,2,nrES_Raw,"&gt;=0")&gt;0,"",$L461),IF($L461&gt;=$J461,MAX($J461,cfgRetakeRecordedCap),IF(COUNTIFS(nrES_PID,$D461,nrES_Code,$F461,nrES_Att,1)=0,$L461,SUMIFS(nrES_Raw,nrES_PID,$D461,nrES_Code,$F461,nrES_Att,1))))))))</f>
        <v/>
      </c>
      <c r="N461" s="17">
        <f>IF($C461="","",IF($L461="","",IF(NOT(ISNUMBER($L461)),"(not a score)",IF($L461&gt;=$J461,"Yes","No"))))</f>
        <v/>
      </c>
      <c r="O461" s="17">
        <f>IF($C461="","",IF($M461="","",IF(NOT(ISNUMBER($M461)),"(not a score)",IF($M461&gt;=$J461,"Yes","No"))))</f>
        <v/>
      </c>
      <c r="P461" s="17">
        <f>IF($C461="","",IF($K461="","",IF(N($K461)&gt;2,"No",IF(COUNTIFS(nrES_PID,$D461,nrES_Code,$F461,nrES_Att,"&gt;"&amp;$K461,nrES_Att,"&lt;=2",nrES_Raw,"&gt;=0")=0,"Yes","No"))))</f>
        <v/>
      </c>
      <c r="Q461" s="17">
        <f>IF($C461="","",IF($L461="","",IF(AND($K461=1,ISNUMBER($L461),$L461&lt;$J461,COUNTIFS(nrES_PID,$D461,nrES_Code,$F461,nrES_Att,2,nrES_Raw,"&gt;=0")=0),"Yes","No")))</f>
        <v/>
      </c>
      <c r="R461" s="17">
        <f>IF($C461="","",IF($L461="","",IF(AND(N($K461)&gt;=2,ISNUMBER($L461),$L461&lt;$J461),"Yes","No")))</f>
        <v/>
      </c>
      <c r="S461" s="18" t="n"/>
      <c r="T461" s="19">
        <f>IF(OR($C461="",$L461="",$K461&lt;&gt;1,NOT(ISNUMBER($L461)),$L461&gt;=$J461),"",IF($S461="","(enter date)",_xlfn.LET(_xlpm.dn,_xlfn.XLOOKUP($S461,nrCDdate,nrCDnum,"",1),IF(_xlpm.dn="","(after last class day)",_xlfn.LET(_xlpm.dd,_xlfn.XLOOKUP(_xlpm.dn+cfgRetestClassDays,nrCDnum,nrCDdate,""),_xlpm.ok,_xlfn.XLOOKUP(_xlpm.dn+cfgRetestClassDays,nrCDnum,nrCDinsession,"No"),IF(OR(_xlpm.dd="",_xlpm.ok&lt;&gt;"Yes"),"(after last class day)",_xlpm.dd))))))</f>
        <v/>
      </c>
      <c r="U461" s="17">
        <f>IF($C461="","",IF(AND($Y461="Excused",$L461="",N($K461)&lt;=1),"EXCUSED - 1st attempt pending",IF(OR($L461="",$K461&lt;&gt;1,NOT(ISNUMBER($L461)),$L461&gt;=$J461),"",IF(COUNTIFS(nrES_PID,$D461,nrES_Code,$F461,nrES_Att,2,nrES_Raw,"&gt;=0")&gt;0,IF(IFERROR(_xlfn.MINIFS(nrES_Date,nrES_PID,$D461,nrES_Code,$F461,nrES_Att,2,nrES_Raw,"&gt;=0",nrES_Date,"&gt;0"),0)=0,"RETEST UNDATED",IF(NOT(ISNUMBER($T461)),"RETEST DATE UNCHECKED",IF(_xlfn.MINIFS(nrES_Date,nrES_PID,$D461,nrES_Code,$F461,nrES_Att,2,nrES_Raw,"&gt;=0",nrES_Date,"&gt;0")&gt;$T461,"LATE RETEST "&amp;TEXT(_xlfn.MINIFS(nrES_Date,nrES_PID,$D461,nrES_Code,$F461,nrES_Att,2,nrES_Raw,"&gt;=0",nrES_Date,"&gt;0"),"mm/dd")&amp;" (due "&amp;TEXT($T461,"mm/dd")&amp;")","Retested"))),IF(NOT(ISNUMBER($T461)),"CHECK DATE",IF(TODAY()&gt;$T461,"OVERDUE","Due "&amp;TEXT($T461,"mm/dd")))))))</f>
        <v/>
      </c>
      <c r="V461" s="16" t="n"/>
      <c r="W461" s="16" t="n"/>
      <c r="X461" s="17">
        <f>IF($C461="","",IF(AND($L461&lt;&gt;"",NOT(ISNUMBER($L461))),"RAW SCORE NOT A NUMBER",IF(AND(ISNUMBER($L461),OR($L461&lt;0,$L461&gt;100)),"RAW SCORE OUT OF RANGE",IF(AND($Y461="Unexcused",OR($L461="",NOT(ISNUMBER($L461)),$L461&lt;&gt;0)),"UNEXCUSED ABSENCE MUST RECORD 0",IF(COUNTIF(nrES_RecID,$B461)&gt;1,"DUPLICATE RECORD",IF(N($K461)&gt;2,"ATTEMPT 3+ NOT ALLOWED - policy 300.5 permits one retest per exam; this row records nothing",IF(AND($K461=2,COUNTIFS(nrES_PID,$D461,nrES_Code,$F461,nrES_Att,1)=0),"ATTEMPT 2 WITHOUT ATTEMPT 1",IF(AND($K461=2,$L461=""),"RETEST ROW HAS NO SCORE",IF(AND($H461="Final",$L461&lt;&gt;"",IFERROR(INDEX(nrCKfinalExamElig,MATCH($D461,rngCadetPIDs,0)),"")="No"),"FINAL EXAM AFTER FAILED FINAL PT (500.1.H)",IF(AND($K461=2,ISNUMBER($L461),COUNTIFS(nrES_PID,$D461,nrES_Code,$F461,nrES_Att,1)&gt;0,SUMIFS(nrES_Raw,nrES_PID,$D461,nrES_Code,$F461,nrES_Att,1)&gt;=$J461),"RETEST AFTER A PASSING FIRST ATTEMPT","OK"))))))))))</f>
        <v/>
      </c>
      <c r="Y461" s="16" t="n"/>
    </row>
    <row r="462">
      <c r="B462" s="17">
        <f>IF($C462="","",$D462&amp;"-"&amp;$F462&amp;"-"&amp;$K462)</f>
        <v/>
      </c>
      <c r="C462" s="16" t="n"/>
      <c r="D462" s="17">
        <f>IF($C462="","",IFERROR(INDEX(rngCadetPIDs,MATCH($C462,rngCadetNames,0)),"?"))</f>
        <v/>
      </c>
      <c r="E462" s="17">
        <f>IF($D462="","",IFERROR(INDEX(nrCadetAgency,MATCH($D462,rngCadetPIDs,0)),""))</f>
        <v/>
      </c>
      <c r="F462" s="16" t="n"/>
      <c r="G462" s="17">
        <f>IF($F462="","",IFERROR(INDEX(rngEPname,MATCH($F462,rngEPcode,0)),"?"))</f>
        <v/>
      </c>
      <c r="H462" s="17">
        <f>IF($F462="","",IFERROR(INDEX(rngEPtype,MATCH($F462,rngEPcode,0)),"?"))</f>
        <v/>
      </c>
      <c r="I462" s="17">
        <f>IF($F462="","",IFERROR(INDEX(rngEPseq,MATCH($F462,rngEPcode,0)),""))</f>
        <v/>
      </c>
      <c r="J462" s="17">
        <f>IF($F462="","",IFERROR(INDEX(rngEPpass,MATCH($F462,rngEPcode,0)),cfgPassingScore))</f>
        <v/>
      </c>
      <c r="K462" s="16" t="n"/>
      <c r="L462" s="16" t="n"/>
      <c r="M462" s="17">
        <f>IF($C462="","",IF($L462="","",IF(NOT(ISNUMBER($L462)),$L462,IF(N($K462)&gt;2,"",IF($K462=1,IF(COUNTIFS(nrES_PID,$D462,nrES_Code,$F462,nrES_Att,2,nrES_Raw,"&gt;=0")&gt;0,"",$L462),IF($L462&gt;=$J462,MAX($J462,cfgRetakeRecordedCap),IF(COUNTIFS(nrES_PID,$D462,nrES_Code,$F462,nrES_Att,1)=0,$L462,SUMIFS(nrES_Raw,nrES_PID,$D462,nrES_Code,$F462,nrES_Att,1))))))))</f>
        <v/>
      </c>
      <c r="N462" s="17">
        <f>IF($C462="","",IF($L462="","",IF(NOT(ISNUMBER($L462)),"(not a score)",IF($L462&gt;=$J462,"Yes","No"))))</f>
        <v/>
      </c>
      <c r="O462" s="17">
        <f>IF($C462="","",IF($M462="","",IF(NOT(ISNUMBER($M462)),"(not a score)",IF($M462&gt;=$J462,"Yes","No"))))</f>
        <v/>
      </c>
      <c r="P462" s="17">
        <f>IF($C462="","",IF($K462="","",IF(N($K462)&gt;2,"No",IF(COUNTIFS(nrES_PID,$D462,nrES_Code,$F462,nrES_Att,"&gt;"&amp;$K462,nrES_Att,"&lt;=2",nrES_Raw,"&gt;=0")=0,"Yes","No"))))</f>
        <v/>
      </c>
      <c r="Q462" s="17">
        <f>IF($C462="","",IF($L462="","",IF(AND($K462=1,ISNUMBER($L462),$L462&lt;$J462,COUNTIFS(nrES_PID,$D462,nrES_Code,$F462,nrES_Att,2,nrES_Raw,"&gt;=0")=0),"Yes","No")))</f>
        <v/>
      </c>
      <c r="R462" s="17">
        <f>IF($C462="","",IF($L462="","",IF(AND(N($K462)&gt;=2,ISNUMBER($L462),$L462&lt;$J462),"Yes","No")))</f>
        <v/>
      </c>
      <c r="S462" s="18" t="n"/>
      <c r="T462" s="19">
        <f>IF(OR($C462="",$L462="",$K462&lt;&gt;1,NOT(ISNUMBER($L462)),$L462&gt;=$J462),"",IF($S462="","(enter date)",_xlfn.LET(_xlpm.dn,_xlfn.XLOOKUP($S462,nrCDdate,nrCDnum,"",1),IF(_xlpm.dn="","(after last class day)",_xlfn.LET(_xlpm.dd,_xlfn.XLOOKUP(_xlpm.dn+cfgRetestClassDays,nrCDnum,nrCDdate,""),_xlpm.ok,_xlfn.XLOOKUP(_xlpm.dn+cfgRetestClassDays,nrCDnum,nrCDinsession,"No"),IF(OR(_xlpm.dd="",_xlpm.ok&lt;&gt;"Yes"),"(after last class day)",_xlpm.dd))))))</f>
        <v/>
      </c>
      <c r="U462" s="17">
        <f>IF($C462="","",IF(AND($Y462="Excused",$L462="",N($K462)&lt;=1),"EXCUSED - 1st attempt pending",IF(OR($L462="",$K462&lt;&gt;1,NOT(ISNUMBER($L462)),$L462&gt;=$J462),"",IF(COUNTIFS(nrES_PID,$D462,nrES_Code,$F462,nrES_Att,2,nrES_Raw,"&gt;=0")&gt;0,IF(IFERROR(_xlfn.MINIFS(nrES_Date,nrES_PID,$D462,nrES_Code,$F462,nrES_Att,2,nrES_Raw,"&gt;=0",nrES_Date,"&gt;0"),0)=0,"RETEST UNDATED",IF(NOT(ISNUMBER($T462)),"RETEST DATE UNCHECKED",IF(_xlfn.MINIFS(nrES_Date,nrES_PID,$D462,nrES_Code,$F462,nrES_Att,2,nrES_Raw,"&gt;=0",nrES_Date,"&gt;0")&gt;$T462,"LATE RETEST "&amp;TEXT(_xlfn.MINIFS(nrES_Date,nrES_PID,$D462,nrES_Code,$F462,nrES_Att,2,nrES_Raw,"&gt;=0",nrES_Date,"&gt;0"),"mm/dd")&amp;" (due "&amp;TEXT($T462,"mm/dd")&amp;")","Retested"))),IF(NOT(ISNUMBER($T462)),"CHECK DATE",IF(TODAY()&gt;$T462,"OVERDUE","Due "&amp;TEXT($T462,"mm/dd")))))))</f>
        <v/>
      </c>
      <c r="V462" s="16" t="n"/>
      <c r="W462" s="16" t="n"/>
      <c r="X462" s="17">
        <f>IF($C462="","",IF(AND($L462&lt;&gt;"",NOT(ISNUMBER($L462))),"RAW SCORE NOT A NUMBER",IF(AND(ISNUMBER($L462),OR($L462&lt;0,$L462&gt;100)),"RAW SCORE OUT OF RANGE",IF(AND($Y462="Unexcused",OR($L462="",NOT(ISNUMBER($L462)),$L462&lt;&gt;0)),"UNEXCUSED ABSENCE MUST RECORD 0",IF(COUNTIF(nrES_RecID,$B462)&gt;1,"DUPLICATE RECORD",IF(N($K462)&gt;2,"ATTEMPT 3+ NOT ALLOWED - policy 300.5 permits one retest per exam; this row records nothing",IF(AND($K462=2,COUNTIFS(nrES_PID,$D462,nrES_Code,$F462,nrES_Att,1)=0),"ATTEMPT 2 WITHOUT ATTEMPT 1",IF(AND($K462=2,$L462=""),"RETEST ROW HAS NO SCORE",IF(AND($H462="Final",$L462&lt;&gt;"",IFERROR(INDEX(nrCKfinalExamElig,MATCH($D462,rngCadetPIDs,0)),"")="No"),"FINAL EXAM AFTER FAILED FINAL PT (500.1.H)",IF(AND($K462=2,ISNUMBER($L462),COUNTIFS(nrES_PID,$D462,nrES_Code,$F462,nrES_Att,1)&gt;0,SUMIFS(nrES_Raw,nrES_PID,$D462,nrES_Code,$F462,nrES_Att,1)&gt;=$J462),"RETEST AFTER A PASSING FIRST ATTEMPT","OK"))))))))))</f>
        <v/>
      </c>
      <c r="Y462" s="16" t="n"/>
    </row>
    <row r="463">
      <c r="B463" s="17">
        <f>IF($C463="","",$D463&amp;"-"&amp;$F463&amp;"-"&amp;$K463)</f>
        <v/>
      </c>
      <c r="C463" s="16" t="n"/>
      <c r="D463" s="17">
        <f>IF($C463="","",IFERROR(INDEX(rngCadetPIDs,MATCH($C463,rngCadetNames,0)),"?"))</f>
        <v/>
      </c>
      <c r="E463" s="17">
        <f>IF($D463="","",IFERROR(INDEX(nrCadetAgency,MATCH($D463,rngCadetPIDs,0)),""))</f>
        <v/>
      </c>
      <c r="F463" s="16" t="n"/>
      <c r="G463" s="17">
        <f>IF($F463="","",IFERROR(INDEX(rngEPname,MATCH($F463,rngEPcode,0)),"?"))</f>
        <v/>
      </c>
      <c r="H463" s="17">
        <f>IF($F463="","",IFERROR(INDEX(rngEPtype,MATCH($F463,rngEPcode,0)),"?"))</f>
        <v/>
      </c>
      <c r="I463" s="17">
        <f>IF($F463="","",IFERROR(INDEX(rngEPseq,MATCH($F463,rngEPcode,0)),""))</f>
        <v/>
      </c>
      <c r="J463" s="17">
        <f>IF($F463="","",IFERROR(INDEX(rngEPpass,MATCH($F463,rngEPcode,0)),cfgPassingScore))</f>
        <v/>
      </c>
      <c r="K463" s="16" t="n"/>
      <c r="L463" s="16" t="n"/>
      <c r="M463" s="17">
        <f>IF($C463="","",IF($L463="","",IF(NOT(ISNUMBER($L463)),$L463,IF(N($K463)&gt;2,"",IF($K463=1,IF(COUNTIFS(nrES_PID,$D463,nrES_Code,$F463,nrES_Att,2,nrES_Raw,"&gt;=0")&gt;0,"",$L463),IF($L463&gt;=$J463,MAX($J463,cfgRetakeRecordedCap),IF(COUNTIFS(nrES_PID,$D463,nrES_Code,$F463,nrES_Att,1)=0,$L463,SUMIFS(nrES_Raw,nrES_PID,$D463,nrES_Code,$F463,nrES_Att,1))))))))</f>
        <v/>
      </c>
      <c r="N463" s="17">
        <f>IF($C463="","",IF($L463="","",IF(NOT(ISNUMBER($L463)),"(not a score)",IF($L463&gt;=$J463,"Yes","No"))))</f>
        <v/>
      </c>
      <c r="O463" s="17">
        <f>IF($C463="","",IF($M463="","",IF(NOT(ISNUMBER($M463)),"(not a score)",IF($M463&gt;=$J463,"Yes","No"))))</f>
        <v/>
      </c>
      <c r="P463" s="17">
        <f>IF($C463="","",IF($K463="","",IF(N($K463)&gt;2,"No",IF(COUNTIFS(nrES_PID,$D463,nrES_Code,$F463,nrES_Att,"&gt;"&amp;$K463,nrES_Att,"&lt;=2",nrES_Raw,"&gt;=0")=0,"Yes","No"))))</f>
        <v/>
      </c>
      <c r="Q463" s="17">
        <f>IF($C463="","",IF($L463="","",IF(AND($K463=1,ISNUMBER($L463),$L463&lt;$J463,COUNTIFS(nrES_PID,$D463,nrES_Code,$F463,nrES_Att,2,nrES_Raw,"&gt;=0")=0),"Yes","No")))</f>
        <v/>
      </c>
      <c r="R463" s="17">
        <f>IF($C463="","",IF($L463="","",IF(AND(N($K463)&gt;=2,ISNUMBER($L463),$L463&lt;$J463),"Yes","No")))</f>
        <v/>
      </c>
      <c r="S463" s="18" t="n"/>
      <c r="T463" s="19">
        <f>IF(OR($C463="",$L463="",$K463&lt;&gt;1,NOT(ISNUMBER($L463)),$L463&gt;=$J463),"",IF($S463="","(enter date)",_xlfn.LET(_xlpm.dn,_xlfn.XLOOKUP($S463,nrCDdate,nrCDnum,"",1),IF(_xlpm.dn="","(after last class day)",_xlfn.LET(_xlpm.dd,_xlfn.XLOOKUP(_xlpm.dn+cfgRetestClassDays,nrCDnum,nrCDdate,""),_xlpm.ok,_xlfn.XLOOKUP(_xlpm.dn+cfgRetestClassDays,nrCDnum,nrCDinsession,"No"),IF(OR(_xlpm.dd="",_xlpm.ok&lt;&gt;"Yes"),"(after last class day)",_xlpm.dd))))))</f>
        <v/>
      </c>
      <c r="U463" s="17">
        <f>IF($C463="","",IF(AND($Y463="Excused",$L463="",N($K463)&lt;=1),"EXCUSED - 1st attempt pending",IF(OR($L463="",$K463&lt;&gt;1,NOT(ISNUMBER($L463)),$L463&gt;=$J463),"",IF(COUNTIFS(nrES_PID,$D463,nrES_Code,$F463,nrES_Att,2,nrES_Raw,"&gt;=0")&gt;0,IF(IFERROR(_xlfn.MINIFS(nrES_Date,nrES_PID,$D463,nrES_Code,$F463,nrES_Att,2,nrES_Raw,"&gt;=0",nrES_Date,"&gt;0"),0)=0,"RETEST UNDATED",IF(NOT(ISNUMBER($T463)),"RETEST DATE UNCHECKED",IF(_xlfn.MINIFS(nrES_Date,nrES_PID,$D463,nrES_Code,$F463,nrES_Att,2,nrES_Raw,"&gt;=0",nrES_Date,"&gt;0")&gt;$T463,"LATE RETEST "&amp;TEXT(_xlfn.MINIFS(nrES_Date,nrES_PID,$D463,nrES_Code,$F463,nrES_Att,2,nrES_Raw,"&gt;=0",nrES_Date,"&gt;0"),"mm/dd")&amp;" (due "&amp;TEXT($T463,"mm/dd")&amp;")","Retested"))),IF(NOT(ISNUMBER($T463)),"CHECK DATE",IF(TODAY()&gt;$T463,"OVERDUE","Due "&amp;TEXT($T463,"mm/dd")))))))</f>
        <v/>
      </c>
      <c r="V463" s="16" t="n"/>
      <c r="W463" s="16" t="n"/>
      <c r="X463" s="17">
        <f>IF($C463="","",IF(AND($L463&lt;&gt;"",NOT(ISNUMBER($L463))),"RAW SCORE NOT A NUMBER",IF(AND(ISNUMBER($L463),OR($L463&lt;0,$L463&gt;100)),"RAW SCORE OUT OF RANGE",IF(AND($Y463="Unexcused",OR($L463="",NOT(ISNUMBER($L463)),$L463&lt;&gt;0)),"UNEXCUSED ABSENCE MUST RECORD 0",IF(COUNTIF(nrES_RecID,$B463)&gt;1,"DUPLICATE RECORD",IF(N($K463)&gt;2,"ATTEMPT 3+ NOT ALLOWED - policy 300.5 permits one retest per exam; this row records nothing",IF(AND($K463=2,COUNTIFS(nrES_PID,$D463,nrES_Code,$F463,nrES_Att,1)=0),"ATTEMPT 2 WITHOUT ATTEMPT 1",IF(AND($K463=2,$L463=""),"RETEST ROW HAS NO SCORE",IF(AND($H463="Final",$L463&lt;&gt;"",IFERROR(INDEX(nrCKfinalExamElig,MATCH($D463,rngCadetPIDs,0)),"")="No"),"FINAL EXAM AFTER FAILED FINAL PT (500.1.H)",IF(AND($K463=2,ISNUMBER($L463),COUNTIFS(nrES_PID,$D463,nrES_Code,$F463,nrES_Att,1)&gt;0,SUMIFS(nrES_Raw,nrES_PID,$D463,nrES_Code,$F463,nrES_Att,1)&gt;=$J463),"RETEST AFTER A PASSING FIRST ATTEMPT","OK"))))))))))</f>
        <v/>
      </c>
      <c r="Y463" s="16" t="n"/>
    </row>
    <row r="464">
      <c r="B464" s="17">
        <f>IF($C464="","",$D464&amp;"-"&amp;$F464&amp;"-"&amp;$K464)</f>
        <v/>
      </c>
      <c r="C464" s="16" t="n"/>
      <c r="D464" s="17">
        <f>IF($C464="","",IFERROR(INDEX(rngCadetPIDs,MATCH($C464,rngCadetNames,0)),"?"))</f>
        <v/>
      </c>
      <c r="E464" s="17">
        <f>IF($D464="","",IFERROR(INDEX(nrCadetAgency,MATCH($D464,rngCadetPIDs,0)),""))</f>
        <v/>
      </c>
      <c r="F464" s="16" t="n"/>
      <c r="G464" s="17">
        <f>IF($F464="","",IFERROR(INDEX(rngEPname,MATCH($F464,rngEPcode,0)),"?"))</f>
        <v/>
      </c>
      <c r="H464" s="17">
        <f>IF($F464="","",IFERROR(INDEX(rngEPtype,MATCH($F464,rngEPcode,0)),"?"))</f>
        <v/>
      </c>
      <c r="I464" s="17">
        <f>IF($F464="","",IFERROR(INDEX(rngEPseq,MATCH($F464,rngEPcode,0)),""))</f>
        <v/>
      </c>
      <c r="J464" s="17">
        <f>IF($F464="","",IFERROR(INDEX(rngEPpass,MATCH($F464,rngEPcode,0)),cfgPassingScore))</f>
        <v/>
      </c>
      <c r="K464" s="16" t="n"/>
      <c r="L464" s="16" t="n"/>
      <c r="M464" s="17">
        <f>IF($C464="","",IF($L464="","",IF(NOT(ISNUMBER($L464)),$L464,IF(N($K464)&gt;2,"",IF($K464=1,IF(COUNTIFS(nrES_PID,$D464,nrES_Code,$F464,nrES_Att,2,nrES_Raw,"&gt;=0")&gt;0,"",$L464),IF($L464&gt;=$J464,MAX($J464,cfgRetakeRecordedCap),IF(COUNTIFS(nrES_PID,$D464,nrES_Code,$F464,nrES_Att,1)=0,$L464,SUMIFS(nrES_Raw,nrES_PID,$D464,nrES_Code,$F464,nrES_Att,1))))))))</f>
        <v/>
      </c>
      <c r="N464" s="17">
        <f>IF($C464="","",IF($L464="","",IF(NOT(ISNUMBER($L464)),"(not a score)",IF($L464&gt;=$J464,"Yes","No"))))</f>
        <v/>
      </c>
      <c r="O464" s="17">
        <f>IF($C464="","",IF($M464="","",IF(NOT(ISNUMBER($M464)),"(not a score)",IF($M464&gt;=$J464,"Yes","No"))))</f>
        <v/>
      </c>
      <c r="P464" s="17">
        <f>IF($C464="","",IF($K464="","",IF(N($K464)&gt;2,"No",IF(COUNTIFS(nrES_PID,$D464,nrES_Code,$F464,nrES_Att,"&gt;"&amp;$K464,nrES_Att,"&lt;=2",nrES_Raw,"&gt;=0")=0,"Yes","No"))))</f>
        <v/>
      </c>
      <c r="Q464" s="17">
        <f>IF($C464="","",IF($L464="","",IF(AND($K464=1,ISNUMBER($L464),$L464&lt;$J464,COUNTIFS(nrES_PID,$D464,nrES_Code,$F464,nrES_Att,2,nrES_Raw,"&gt;=0")=0),"Yes","No")))</f>
        <v/>
      </c>
      <c r="R464" s="17">
        <f>IF($C464="","",IF($L464="","",IF(AND(N($K464)&gt;=2,ISNUMBER($L464),$L464&lt;$J464),"Yes","No")))</f>
        <v/>
      </c>
      <c r="S464" s="18" t="n"/>
      <c r="T464" s="19">
        <f>IF(OR($C464="",$L464="",$K464&lt;&gt;1,NOT(ISNUMBER($L464)),$L464&gt;=$J464),"",IF($S464="","(enter date)",_xlfn.LET(_xlpm.dn,_xlfn.XLOOKUP($S464,nrCDdate,nrCDnum,"",1),IF(_xlpm.dn="","(after last class day)",_xlfn.LET(_xlpm.dd,_xlfn.XLOOKUP(_xlpm.dn+cfgRetestClassDays,nrCDnum,nrCDdate,""),_xlpm.ok,_xlfn.XLOOKUP(_xlpm.dn+cfgRetestClassDays,nrCDnum,nrCDinsession,"No"),IF(OR(_xlpm.dd="",_xlpm.ok&lt;&gt;"Yes"),"(after last class day)",_xlpm.dd))))))</f>
        <v/>
      </c>
      <c r="U464" s="17">
        <f>IF($C464="","",IF(AND($Y464="Excused",$L464="",N($K464)&lt;=1),"EXCUSED - 1st attempt pending",IF(OR($L464="",$K464&lt;&gt;1,NOT(ISNUMBER($L464)),$L464&gt;=$J464),"",IF(COUNTIFS(nrES_PID,$D464,nrES_Code,$F464,nrES_Att,2,nrES_Raw,"&gt;=0")&gt;0,IF(IFERROR(_xlfn.MINIFS(nrES_Date,nrES_PID,$D464,nrES_Code,$F464,nrES_Att,2,nrES_Raw,"&gt;=0",nrES_Date,"&gt;0"),0)=0,"RETEST UNDATED",IF(NOT(ISNUMBER($T464)),"RETEST DATE UNCHECKED",IF(_xlfn.MINIFS(nrES_Date,nrES_PID,$D464,nrES_Code,$F464,nrES_Att,2,nrES_Raw,"&gt;=0",nrES_Date,"&gt;0")&gt;$T464,"LATE RETEST "&amp;TEXT(_xlfn.MINIFS(nrES_Date,nrES_PID,$D464,nrES_Code,$F464,nrES_Att,2,nrES_Raw,"&gt;=0",nrES_Date,"&gt;0"),"mm/dd")&amp;" (due "&amp;TEXT($T464,"mm/dd")&amp;")","Retested"))),IF(NOT(ISNUMBER($T464)),"CHECK DATE",IF(TODAY()&gt;$T464,"OVERDUE","Due "&amp;TEXT($T464,"mm/dd")))))))</f>
        <v/>
      </c>
      <c r="V464" s="16" t="n"/>
      <c r="W464" s="16" t="n"/>
      <c r="X464" s="17">
        <f>IF($C464="","",IF(AND($L464&lt;&gt;"",NOT(ISNUMBER($L464))),"RAW SCORE NOT A NUMBER",IF(AND(ISNUMBER($L464),OR($L464&lt;0,$L464&gt;100)),"RAW SCORE OUT OF RANGE",IF(AND($Y464="Unexcused",OR($L464="",NOT(ISNUMBER($L464)),$L464&lt;&gt;0)),"UNEXCUSED ABSENCE MUST RECORD 0",IF(COUNTIF(nrES_RecID,$B464)&gt;1,"DUPLICATE RECORD",IF(N($K464)&gt;2,"ATTEMPT 3+ NOT ALLOWED - policy 300.5 permits one retest per exam; this row records nothing",IF(AND($K464=2,COUNTIFS(nrES_PID,$D464,nrES_Code,$F464,nrES_Att,1)=0),"ATTEMPT 2 WITHOUT ATTEMPT 1",IF(AND($K464=2,$L464=""),"RETEST ROW HAS NO SCORE",IF(AND($H464="Final",$L464&lt;&gt;"",IFERROR(INDEX(nrCKfinalExamElig,MATCH($D464,rngCadetPIDs,0)),"")="No"),"FINAL EXAM AFTER FAILED FINAL PT (500.1.H)",IF(AND($K464=2,ISNUMBER($L464),COUNTIFS(nrES_PID,$D464,nrES_Code,$F464,nrES_Att,1)&gt;0,SUMIFS(nrES_Raw,nrES_PID,$D464,nrES_Code,$F464,nrES_Att,1)&gt;=$J464),"RETEST AFTER A PASSING FIRST ATTEMPT","OK"))))))))))</f>
        <v/>
      </c>
      <c r="Y464" s="16" t="n"/>
    </row>
    <row r="465">
      <c r="B465" s="17">
        <f>IF($C465="","",$D465&amp;"-"&amp;$F465&amp;"-"&amp;$K465)</f>
        <v/>
      </c>
      <c r="C465" s="16" t="n"/>
      <c r="D465" s="17">
        <f>IF($C465="","",IFERROR(INDEX(rngCadetPIDs,MATCH($C465,rngCadetNames,0)),"?"))</f>
        <v/>
      </c>
      <c r="E465" s="17">
        <f>IF($D465="","",IFERROR(INDEX(nrCadetAgency,MATCH($D465,rngCadetPIDs,0)),""))</f>
        <v/>
      </c>
      <c r="F465" s="16" t="n"/>
      <c r="G465" s="17">
        <f>IF($F465="","",IFERROR(INDEX(rngEPname,MATCH($F465,rngEPcode,0)),"?"))</f>
        <v/>
      </c>
      <c r="H465" s="17">
        <f>IF($F465="","",IFERROR(INDEX(rngEPtype,MATCH($F465,rngEPcode,0)),"?"))</f>
        <v/>
      </c>
      <c r="I465" s="17">
        <f>IF($F465="","",IFERROR(INDEX(rngEPseq,MATCH($F465,rngEPcode,0)),""))</f>
        <v/>
      </c>
      <c r="J465" s="17">
        <f>IF($F465="","",IFERROR(INDEX(rngEPpass,MATCH($F465,rngEPcode,0)),cfgPassingScore))</f>
        <v/>
      </c>
      <c r="K465" s="16" t="n"/>
      <c r="L465" s="16" t="n"/>
      <c r="M465" s="17">
        <f>IF($C465="","",IF($L465="","",IF(NOT(ISNUMBER($L465)),$L465,IF(N($K465)&gt;2,"",IF($K465=1,IF(COUNTIFS(nrES_PID,$D465,nrES_Code,$F465,nrES_Att,2,nrES_Raw,"&gt;=0")&gt;0,"",$L465),IF($L465&gt;=$J465,MAX($J465,cfgRetakeRecordedCap),IF(COUNTIFS(nrES_PID,$D465,nrES_Code,$F465,nrES_Att,1)=0,$L465,SUMIFS(nrES_Raw,nrES_PID,$D465,nrES_Code,$F465,nrES_Att,1))))))))</f>
        <v/>
      </c>
      <c r="N465" s="17">
        <f>IF($C465="","",IF($L465="","",IF(NOT(ISNUMBER($L465)),"(not a score)",IF($L465&gt;=$J465,"Yes","No"))))</f>
        <v/>
      </c>
      <c r="O465" s="17">
        <f>IF($C465="","",IF($M465="","",IF(NOT(ISNUMBER($M465)),"(not a score)",IF($M465&gt;=$J465,"Yes","No"))))</f>
        <v/>
      </c>
      <c r="P465" s="17">
        <f>IF($C465="","",IF($K465="","",IF(N($K465)&gt;2,"No",IF(COUNTIFS(nrES_PID,$D465,nrES_Code,$F465,nrES_Att,"&gt;"&amp;$K465,nrES_Att,"&lt;=2",nrES_Raw,"&gt;=0")=0,"Yes","No"))))</f>
        <v/>
      </c>
      <c r="Q465" s="17">
        <f>IF($C465="","",IF($L465="","",IF(AND($K465=1,ISNUMBER($L465),$L465&lt;$J465,COUNTIFS(nrES_PID,$D465,nrES_Code,$F465,nrES_Att,2,nrES_Raw,"&gt;=0")=0),"Yes","No")))</f>
        <v/>
      </c>
      <c r="R465" s="17">
        <f>IF($C465="","",IF($L465="","",IF(AND(N($K465)&gt;=2,ISNUMBER($L465),$L465&lt;$J465),"Yes","No")))</f>
        <v/>
      </c>
      <c r="S465" s="18" t="n"/>
      <c r="T465" s="19">
        <f>IF(OR($C465="",$L465="",$K465&lt;&gt;1,NOT(ISNUMBER($L465)),$L465&gt;=$J465),"",IF($S465="","(enter date)",_xlfn.LET(_xlpm.dn,_xlfn.XLOOKUP($S465,nrCDdate,nrCDnum,"",1),IF(_xlpm.dn="","(after last class day)",_xlfn.LET(_xlpm.dd,_xlfn.XLOOKUP(_xlpm.dn+cfgRetestClassDays,nrCDnum,nrCDdate,""),_xlpm.ok,_xlfn.XLOOKUP(_xlpm.dn+cfgRetestClassDays,nrCDnum,nrCDinsession,"No"),IF(OR(_xlpm.dd="",_xlpm.ok&lt;&gt;"Yes"),"(after last class day)",_xlpm.dd))))))</f>
        <v/>
      </c>
      <c r="U465" s="17">
        <f>IF($C465="","",IF(AND($Y465="Excused",$L465="",N($K465)&lt;=1),"EXCUSED - 1st attempt pending",IF(OR($L465="",$K465&lt;&gt;1,NOT(ISNUMBER($L465)),$L465&gt;=$J465),"",IF(COUNTIFS(nrES_PID,$D465,nrES_Code,$F465,nrES_Att,2,nrES_Raw,"&gt;=0")&gt;0,IF(IFERROR(_xlfn.MINIFS(nrES_Date,nrES_PID,$D465,nrES_Code,$F465,nrES_Att,2,nrES_Raw,"&gt;=0",nrES_Date,"&gt;0"),0)=0,"RETEST UNDATED",IF(NOT(ISNUMBER($T465)),"RETEST DATE UNCHECKED",IF(_xlfn.MINIFS(nrES_Date,nrES_PID,$D465,nrES_Code,$F465,nrES_Att,2,nrES_Raw,"&gt;=0",nrES_Date,"&gt;0")&gt;$T465,"LATE RETEST "&amp;TEXT(_xlfn.MINIFS(nrES_Date,nrES_PID,$D465,nrES_Code,$F465,nrES_Att,2,nrES_Raw,"&gt;=0",nrES_Date,"&gt;0"),"mm/dd")&amp;" (due "&amp;TEXT($T465,"mm/dd")&amp;")","Retested"))),IF(NOT(ISNUMBER($T465)),"CHECK DATE",IF(TODAY()&gt;$T465,"OVERDUE","Due "&amp;TEXT($T465,"mm/dd")))))))</f>
        <v/>
      </c>
      <c r="V465" s="16" t="n"/>
      <c r="W465" s="16" t="n"/>
      <c r="X465" s="17">
        <f>IF($C465="","",IF(AND($L465&lt;&gt;"",NOT(ISNUMBER($L465))),"RAW SCORE NOT A NUMBER",IF(AND(ISNUMBER($L465),OR($L465&lt;0,$L465&gt;100)),"RAW SCORE OUT OF RANGE",IF(AND($Y465="Unexcused",OR($L465="",NOT(ISNUMBER($L465)),$L465&lt;&gt;0)),"UNEXCUSED ABSENCE MUST RECORD 0",IF(COUNTIF(nrES_RecID,$B465)&gt;1,"DUPLICATE RECORD",IF(N($K465)&gt;2,"ATTEMPT 3+ NOT ALLOWED - policy 300.5 permits one retest per exam; this row records nothing",IF(AND($K465=2,COUNTIFS(nrES_PID,$D465,nrES_Code,$F465,nrES_Att,1)=0),"ATTEMPT 2 WITHOUT ATTEMPT 1",IF(AND($K465=2,$L465=""),"RETEST ROW HAS NO SCORE",IF(AND($H465="Final",$L465&lt;&gt;"",IFERROR(INDEX(nrCKfinalExamElig,MATCH($D465,rngCadetPIDs,0)),"")="No"),"FINAL EXAM AFTER FAILED FINAL PT (500.1.H)",IF(AND($K465=2,ISNUMBER($L465),COUNTIFS(nrES_PID,$D465,nrES_Code,$F465,nrES_Att,1)&gt;0,SUMIFS(nrES_Raw,nrES_PID,$D465,nrES_Code,$F465,nrES_Att,1)&gt;=$J465),"RETEST AFTER A PASSING FIRST ATTEMPT","OK"))))))))))</f>
        <v/>
      </c>
      <c r="Y465" s="16" t="n"/>
    </row>
    <row r="466">
      <c r="B466" s="17">
        <f>IF($C466="","",$D466&amp;"-"&amp;$F466&amp;"-"&amp;$K466)</f>
        <v/>
      </c>
      <c r="C466" s="16" t="n"/>
      <c r="D466" s="17">
        <f>IF($C466="","",IFERROR(INDEX(rngCadetPIDs,MATCH($C466,rngCadetNames,0)),"?"))</f>
        <v/>
      </c>
      <c r="E466" s="17">
        <f>IF($D466="","",IFERROR(INDEX(nrCadetAgency,MATCH($D466,rngCadetPIDs,0)),""))</f>
        <v/>
      </c>
      <c r="F466" s="16" t="n"/>
      <c r="G466" s="17">
        <f>IF($F466="","",IFERROR(INDEX(rngEPname,MATCH($F466,rngEPcode,0)),"?"))</f>
        <v/>
      </c>
      <c r="H466" s="17">
        <f>IF($F466="","",IFERROR(INDEX(rngEPtype,MATCH($F466,rngEPcode,0)),"?"))</f>
        <v/>
      </c>
      <c r="I466" s="17">
        <f>IF($F466="","",IFERROR(INDEX(rngEPseq,MATCH($F466,rngEPcode,0)),""))</f>
        <v/>
      </c>
      <c r="J466" s="17">
        <f>IF($F466="","",IFERROR(INDEX(rngEPpass,MATCH($F466,rngEPcode,0)),cfgPassingScore))</f>
        <v/>
      </c>
      <c r="K466" s="16" t="n"/>
      <c r="L466" s="16" t="n"/>
      <c r="M466" s="17">
        <f>IF($C466="","",IF($L466="","",IF(NOT(ISNUMBER($L466)),$L466,IF(N($K466)&gt;2,"",IF($K466=1,IF(COUNTIFS(nrES_PID,$D466,nrES_Code,$F466,nrES_Att,2,nrES_Raw,"&gt;=0")&gt;0,"",$L466),IF($L466&gt;=$J466,MAX($J466,cfgRetakeRecordedCap),IF(COUNTIFS(nrES_PID,$D466,nrES_Code,$F466,nrES_Att,1)=0,$L466,SUMIFS(nrES_Raw,nrES_PID,$D466,nrES_Code,$F466,nrES_Att,1))))))))</f>
        <v/>
      </c>
      <c r="N466" s="17">
        <f>IF($C466="","",IF($L466="","",IF(NOT(ISNUMBER($L466)),"(not a score)",IF($L466&gt;=$J466,"Yes","No"))))</f>
        <v/>
      </c>
      <c r="O466" s="17">
        <f>IF($C466="","",IF($M466="","",IF(NOT(ISNUMBER($M466)),"(not a score)",IF($M466&gt;=$J466,"Yes","No"))))</f>
        <v/>
      </c>
      <c r="P466" s="17">
        <f>IF($C466="","",IF($K466="","",IF(N($K466)&gt;2,"No",IF(COUNTIFS(nrES_PID,$D466,nrES_Code,$F466,nrES_Att,"&gt;"&amp;$K466,nrES_Att,"&lt;=2",nrES_Raw,"&gt;=0")=0,"Yes","No"))))</f>
        <v/>
      </c>
      <c r="Q466" s="17">
        <f>IF($C466="","",IF($L466="","",IF(AND($K466=1,ISNUMBER($L466),$L466&lt;$J466,COUNTIFS(nrES_PID,$D466,nrES_Code,$F466,nrES_Att,2,nrES_Raw,"&gt;=0")=0),"Yes","No")))</f>
        <v/>
      </c>
      <c r="R466" s="17">
        <f>IF($C466="","",IF($L466="","",IF(AND(N($K466)&gt;=2,ISNUMBER($L466),$L466&lt;$J466),"Yes","No")))</f>
        <v/>
      </c>
      <c r="S466" s="18" t="n"/>
      <c r="T466" s="19">
        <f>IF(OR($C466="",$L466="",$K466&lt;&gt;1,NOT(ISNUMBER($L466)),$L466&gt;=$J466),"",IF($S466="","(enter date)",_xlfn.LET(_xlpm.dn,_xlfn.XLOOKUP($S466,nrCDdate,nrCDnum,"",1),IF(_xlpm.dn="","(after last class day)",_xlfn.LET(_xlpm.dd,_xlfn.XLOOKUP(_xlpm.dn+cfgRetestClassDays,nrCDnum,nrCDdate,""),_xlpm.ok,_xlfn.XLOOKUP(_xlpm.dn+cfgRetestClassDays,nrCDnum,nrCDinsession,"No"),IF(OR(_xlpm.dd="",_xlpm.ok&lt;&gt;"Yes"),"(after last class day)",_xlpm.dd))))))</f>
        <v/>
      </c>
      <c r="U466" s="17">
        <f>IF($C466="","",IF(AND($Y466="Excused",$L466="",N($K466)&lt;=1),"EXCUSED - 1st attempt pending",IF(OR($L466="",$K466&lt;&gt;1,NOT(ISNUMBER($L466)),$L466&gt;=$J466),"",IF(COUNTIFS(nrES_PID,$D466,nrES_Code,$F466,nrES_Att,2,nrES_Raw,"&gt;=0")&gt;0,IF(IFERROR(_xlfn.MINIFS(nrES_Date,nrES_PID,$D466,nrES_Code,$F466,nrES_Att,2,nrES_Raw,"&gt;=0",nrES_Date,"&gt;0"),0)=0,"RETEST UNDATED",IF(NOT(ISNUMBER($T466)),"RETEST DATE UNCHECKED",IF(_xlfn.MINIFS(nrES_Date,nrES_PID,$D466,nrES_Code,$F466,nrES_Att,2,nrES_Raw,"&gt;=0",nrES_Date,"&gt;0")&gt;$T466,"LATE RETEST "&amp;TEXT(_xlfn.MINIFS(nrES_Date,nrES_PID,$D466,nrES_Code,$F466,nrES_Att,2,nrES_Raw,"&gt;=0",nrES_Date,"&gt;0"),"mm/dd")&amp;" (due "&amp;TEXT($T466,"mm/dd")&amp;")","Retested"))),IF(NOT(ISNUMBER($T466)),"CHECK DATE",IF(TODAY()&gt;$T466,"OVERDUE","Due "&amp;TEXT($T466,"mm/dd")))))))</f>
        <v/>
      </c>
      <c r="V466" s="16" t="n"/>
      <c r="W466" s="16" t="n"/>
      <c r="X466" s="17">
        <f>IF($C466="","",IF(AND($L466&lt;&gt;"",NOT(ISNUMBER($L466))),"RAW SCORE NOT A NUMBER",IF(AND(ISNUMBER($L466),OR($L466&lt;0,$L466&gt;100)),"RAW SCORE OUT OF RANGE",IF(AND($Y466="Unexcused",OR($L466="",NOT(ISNUMBER($L466)),$L466&lt;&gt;0)),"UNEXCUSED ABSENCE MUST RECORD 0",IF(COUNTIF(nrES_RecID,$B466)&gt;1,"DUPLICATE RECORD",IF(N($K466)&gt;2,"ATTEMPT 3+ NOT ALLOWED - policy 300.5 permits one retest per exam; this row records nothing",IF(AND($K466=2,COUNTIFS(nrES_PID,$D466,nrES_Code,$F466,nrES_Att,1)=0),"ATTEMPT 2 WITHOUT ATTEMPT 1",IF(AND($K466=2,$L466=""),"RETEST ROW HAS NO SCORE",IF(AND($H466="Final",$L466&lt;&gt;"",IFERROR(INDEX(nrCKfinalExamElig,MATCH($D466,rngCadetPIDs,0)),"")="No"),"FINAL EXAM AFTER FAILED FINAL PT (500.1.H)",IF(AND($K466=2,ISNUMBER($L466),COUNTIFS(nrES_PID,$D466,nrES_Code,$F466,nrES_Att,1)&gt;0,SUMIFS(nrES_Raw,nrES_PID,$D466,nrES_Code,$F466,nrES_Att,1)&gt;=$J466),"RETEST AFTER A PASSING FIRST ATTEMPT","OK"))))))))))</f>
        <v/>
      </c>
      <c r="Y466" s="16" t="n"/>
    </row>
    <row r="467">
      <c r="B467" s="17">
        <f>IF($C467="","",$D467&amp;"-"&amp;$F467&amp;"-"&amp;$K467)</f>
        <v/>
      </c>
      <c r="C467" s="16" t="n"/>
      <c r="D467" s="17">
        <f>IF($C467="","",IFERROR(INDEX(rngCadetPIDs,MATCH($C467,rngCadetNames,0)),"?"))</f>
        <v/>
      </c>
      <c r="E467" s="17">
        <f>IF($D467="","",IFERROR(INDEX(nrCadetAgency,MATCH($D467,rngCadetPIDs,0)),""))</f>
        <v/>
      </c>
      <c r="F467" s="16" t="n"/>
      <c r="G467" s="17">
        <f>IF($F467="","",IFERROR(INDEX(rngEPname,MATCH($F467,rngEPcode,0)),"?"))</f>
        <v/>
      </c>
      <c r="H467" s="17">
        <f>IF($F467="","",IFERROR(INDEX(rngEPtype,MATCH($F467,rngEPcode,0)),"?"))</f>
        <v/>
      </c>
      <c r="I467" s="17">
        <f>IF($F467="","",IFERROR(INDEX(rngEPseq,MATCH($F467,rngEPcode,0)),""))</f>
        <v/>
      </c>
      <c r="J467" s="17">
        <f>IF($F467="","",IFERROR(INDEX(rngEPpass,MATCH($F467,rngEPcode,0)),cfgPassingScore))</f>
        <v/>
      </c>
      <c r="K467" s="16" t="n"/>
      <c r="L467" s="16" t="n"/>
      <c r="M467" s="17">
        <f>IF($C467="","",IF($L467="","",IF(NOT(ISNUMBER($L467)),$L467,IF(N($K467)&gt;2,"",IF($K467=1,IF(COUNTIFS(nrES_PID,$D467,nrES_Code,$F467,nrES_Att,2,nrES_Raw,"&gt;=0")&gt;0,"",$L467),IF($L467&gt;=$J467,MAX($J467,cfgRetakeRecordedCap),IF(COUNTIFS(nrES_PID,$D467,nrES_Code,$F467,nrES_Att,1)=0,$L467,SUMIFS(nrES_Raw,nrES_PID,$D467,nrES_Code,$F467,nrES_Att,1))))))))</f>
        <v/>
      </c>
      <c r="N467" s="17">
        <f>IF($C467="","",IF($L467="","",IF(NOT(ISNUMBER($L467)),"(not a score)",IF($L467&gt;=$J467,"Yes","No"))))</f>
        <v/>
      </c>
      <c r="O467" s="17">
        <f>IF($C467="","",IF($M467="","",IF(NOT(ISNUMBER($M467)),"(not a score)",IF($M467&gt;=$J467,"Yes","No"))))</f>
        <v/>
      </c>
      <c r="P467" s="17">
        <f>IF($C467="","",IF($K467="","",IF(N($K467)&gt;2,"No",IF(COUNTIFS(nrES_PID,$D467,nrES_Code,$F467,nrES_Att,"&gt;"&amp;$K467,nrES_Att,"&lt;=2",nrES_Raw,"&gt;=0")=0,"Yes","No"))))</f>
        <v/>
      </c>
      <c r="Q467" s="17">
        <f>IF($C467="","",IF($L467="","",IF(AND($K467=1,ISNUMBER($L467),$L467&lt;$J467,COUNTIFS(nrES_PID,$D467,nrES_Code,$F467,nrES_Att,2,nrES_Raw,"&gt;=0")=0),"Yes","No")))</f>
        <v/>
      </c>
      <c r="R467" s="17">
        <f>IF($C467="","",IF($L467="","",IF(AND(N($K467)&gt;=2,ISNUMBER($L467),$L467&lt;$J467),"Yes","No")))</f>
        <v/>
      </c>
      <c r="S467" s="18" t="n"/>
      <c r="T467" s="19">
        <f>IF(OR($C467="",$L467="",$K467&lt;&gt;1,NOT(ISNUMBER($L467)),$L467&gt;=$J467),"",IF($S467="","(enter date)",_xlfn.LET(_xlpm.dn,_xlfn.XLOOKUP($S467,nrCDdate,nrCDnum,"",1),IF(_xlpm.dn="","(after last class day)",_xlfn.LET(_xlpm.dd,_xlfn.XLOOKUP(_xlpm.dn+cfgRetestClassDays,nrCDnum,nrCDdate,""),_xlpm.ok,_xlfn.XLOOKUP(_xlpm.dn+cfgRetestClassDays,nrCDnum,nrCDinsession,"No"),IF(OR(_xlpm.dd="",_xlpm.ok&lt;&gt;"Yes"),"(after last class day)",_xlpm.dd))))))</f>
        <v/>
      </c>
      <c r="U467" s="17">
        <f>IF($C467="","",IF(AND($Y467="Excused",$L467="",N($K467)&lt;=1),"EXCUSED - 1st attempt pending",IF(OR($L467="",$K467&lt;&gt;1,NOT(ISNUMBER($L467)),$L467&gt;=$J467),"",IF(COUNTIFS(nrES_PID,$D467,nrES_Code,$F467,nrES_Att,2,nrES_Raw,"&gt;=0")&gt;0,IF(IFERROR(_xlfn.MINIFS(nrES_Date,nrES_PID,$D467,nrES_Code,$F467,nrES_Att,2,nrES_Raw,"&gt;=0",nrES_Date,"&gt;0"),0)=0,"RETEST UNDATED",IF(NOT(ISNUMBER($T467)),"RETEST DATE UNCHECKED",IF(_xlfn.MINIFS(nrES_Date,nrES_PID,$D467,nrES_Code,$F467,nrES_Att,2,nrES_Raw,"&gt;=0",nrES_Date,"&gt;0")&gt;$T467,"LATE RETEST "&amp;TEXT(_xlfn.MINIFS(nrES_Date,nrES_PID,$D467,nrES_Code,$F467,nrES_Att,2,nrES_Raw,"&gt;=0",nrES_Date,"&gt;0"),"mm/dd")&amp;" (due "&amp;TEXT($T467,"mm/dd")&amp;")","Retested"))),IF(NOT(ISNUMBER($T467)),"CHECK DATE",IF(TODAY()&gt;$T467,"OVERDUE","Due "&amp;TEXT($T467,"mm/dd")))))))</f>
        <v/>
      </c>
      <c r="V467" s="16" t="n"/>
      <c r="W467" s="16" t="n"/>
      <c r="X467" s="17">
        <f>IF($C467="","",IF(AND($L467&lt;&gt;"",NOT(ISNUMBER($L467))),"RAW SCORE NOT A NUMBER",IF(AND(ISNUMBER($L467),OR($L467&lt;0,$L467&gt;100)),"RAW SCORE OUT OF RANGE",IF(AND($Y467="Unexcused",OR($L467="",NOT(ISNUMBER($L467)),$L467&lt;&gt;0)),"UNEXCUSED ABSENCE MUST RECORD 0",IF(COUNTIF(nrES_RecID,$B467)&gt;1,"DUPLICATE RECORD",IF(N($K467)&gt;2,"ATTEMPT 3+ NOT ALLOWED - policy 300.5 permits one retest per exam; this row records nothing",IF(AND($K467=2,COUNTIFS(nrES_PID,$D467,nrES_Code,$F467,nrES_Att,1)=0),"ATTEMPT 2 WITHOUT ATTEMPT 1",IF(AND($K467=2,$L467=""),"RETEST ROW HAS NO SCORE",IF(AND($H467="Final",$L467&lt;&gt;"",IFERROR(INDEX(nrCKfinalExamElig,MATCH($D467,rngCadetPIDs,0)),"")="No"),"FINAL EXAM AFTER FAILED FINAL PT (500.1.H)",IF(AND($K467=2,ISNUMBER($L467),COUNTIFS(nrES_PID,$D467,nrES_Code,$F467,nrES_Att,1)&gt;0,SUMIFS(nrES_Raw,nrES_PID,$D467,nrES_Code,$F467,nrES_Att,1)&gt;=$J467),"RETEST AFTER A PASSING FIRST ATTEMPT","OK"))))))))))</f>
        <v/>
      </c>
      <c r="Y467" s="16" t="n"/>
    </row>
    <row r="468">
      <c r="B468" s="17">
        <f>IF($C468="","",$D468&amp;"-"&amp;$F468&amp;"-"&amp;$K468)</f>
        <v/>
      </c>
      <c r="C468" s="16" t="n"/>
      <c r="D468" s="17">
        <f>IF($C468="","",IFERROR(INDEX(rngCadetPIDs,MATCH($C468,rngCadetNames,0)),"?"))</f>
        <v/>
      </c>
      <c r="E468" s="17">
        <f>IF($D468="","",IFERROR(INDEX(nrCadetAgency,MATCH($D468,rngCadetPIDs,0)),""))</f>
        <v/>
      </c>
      <c r="F468" s="16" t="n"/>
      <c r="G468" s="17">
        <f>IF($F468="","",IFERROR(INDEX(rngEPname,MATCH($F468,rngEPcode,0)),"?"))</f>
        <v/>
      </c>
      <c r="H468" s="17">
        <f>IF($F468="","",IFERROR(INDEX(rngEPtype,MATCH($F468,rngEPcode,0)),"?"))</f>
        <v/>
      </c>
      <c r="I468" s="17">
        <f>IF($F468="","",IFERROR(INDEX(rngEPseq,MATCH($F468,rngEPcode,0)),""))</f>
        <v/>
      </c>
      <c r="J468" s="17">
        <f>IF($F468="","",IFERROR(INDEX(rngEPpass,MATCH($F468,rngEPcode,0)),cfgPassingScore))</f>
        <v/>
      </c>
      <c r="K468" s="16" t="n"/>
      <c r="L468" s="16" t="n"/>
      <c r="M468" s="17">
        <f>IF($C468="","",IF($L468="","",IF(NOT(ISNUMBER($L468)),$L468,IF(N($K468)&gt;2,"",IF($K468=1,IF(COUNTIFS(nrES_PID,$D468,nrES_Code,$F468,nrES_Att,2,nrES_Raw,"&gt;=0")&gt;0,"",$L468),IF($L468&gt;=$J468,MAX($J468,cfgRetakeRecordedCap),IF(COUNTIFS(nrES_PID,$D468,nrES_Code,$F468,nrES_Att,1)=0,$L468,SUMIFS(nrES_Raw,nrES_PID,$D468,nrES_Code,$F468,nrES_Att,1))))))))</f>
        <v/>
      </c>
      <c r="N468" s="17">
        <f>IF($C468="","",IF($L468="","",IF(NOT(ISNUMBER($L468)),"(not a score)",IF($L468&gt;=$J468,"Yes","No"))))</f>
        <v/>
      </c>
      <c r="O468" s="17">
        <f>IF($C468="","",IF($M468="","",IF(NOT(ISNUMBER($M468)),"(not a score)",IF($M468&gt;=$J468,"Yes","No"))))</f>
        <v/>
      </c>
      <c r="P468" s="17">
        <f>IF($C468="","",IF($K468="","",IF(N($K468)&gt;2,"No",IF(COUNTIFS(nrES_PID,$D468,nrES_Code,$F468,nrES_Att,"&gt;"&amp;$K468,nrES_Att,"&lt;=2",nrES_Raw,"&gt;=0")=0,"Yes","No"))))</f>
        <v/>
      </c>
      <c r="Q468" s="17">
        <f>IF($C468="","",IF($L468="","",IF(AND($K468=1,ISNUMBER($L468),$L468&lt;$J468,COUNTIFS(nrES_PID,$D468,nrES_Code,$F468,nrES_Att,2,nrES_Raw,"&gt;=0")=0),"Yes","No")))</f>
        <v/>
      </c>
      <c r="R468" s="17">
        <f>IF($C468="","",IF($L468="","",IF(AND(N($K468)&gt;=2,ISNUMBER($L468),$L468&lt;$J468),"Yes","No")))</f>
        <v/>
      </c>
      <c r="S468" s="18" t="n"/>
      <c r="T468" s="19">
        <f>IF(OR($C468="",$L468="",$K468&lt;&gt;1,NOT(ISNUMBER($L468)),$L468&gt;=$J468),"",IF($S468="","(enter date)",_xlfn.LET(_xlpm.dn,_xlfn.XLOOKUP($S468,nrCDdate,nrCDnum,"",1),IF(_xlpm.dn="","(after last class day)",_xlfn.LET(_xlpm.dd,_xlfn.XLOOKUP(_xlpm.dn+cfgRetestClassDays,nrCDnum,nrCDdate,""),_xlpm.ok,_xlfn.XLOOKUP(_xlpm.dn+cfgRetestClassDays,nrCDnum,nrCDinsession,"No"),IF(OR(_xlpm.dd="",_xlpm.ok&lt;&gt;"Yes"),"(after last class day)",_xlpm.dd))))))</f>
        <v/>
      </c>
      <c r="U468" s="17">
        <f>IF($C468="","",IF(AND($Y468="Excused",$L468="",N($K468)&lt;=1),"EXCUSED - 1st attempt pending",IF(OR($L468="",$K468&lt;&gt;1,NOT(ISNUMBER($L468)),$L468&gt;=$J468),"",IF(COUNTIFS(nrES_PID,$D468,nrES_Code,$F468,nrES_Att,2,nrES_Raw,"&gt;=0")&gt;0,IF(IFERROR(_xlfn.MINIFS(nrES_Date,nrES_PID,$D468,nrES_Code,$F468,nrES_Att,2,nrES_Raw,"&gt;=0",nrES_Date,"&gt;0"),0)=0,"RETEST UNDATED",IF(NOT(ISNUMBER($T468)),"RETEST DATE UNCHECKED",IF(_xlfn.MINIFS(nrES_Date,nrES_PID,$D468,nrES_Code,$F468,nrES_Att,2,nrES_Raw,"&gt;=0",nrES_Date,"&gt;0")&gt;$T468,"LATE RETEST "&amp;TEXT(_xlfn.MINIFS(nrES_Date,nrES_PID,$D468,nrES_Code,$F468,nrES_Att,2,nrES_Raw,"&gt;=0",nrES_Date,"&gt;0"),"mm/dd")&amp;" (due "&amp;TEXT($T468,"mm/dd")&amp;")","Retested"))),IF(NOT(ISNUMBER($T468)),"CHECK DATE",IF(TODAY()&gt;$T468,"OVERDUE","Due "&amp;TEXT($T468,"mm/dd")))))))</f>
        <v/>
      </c>
      <c r="V468" s="16" t="n"/>
      <c r="W468" s="16" t="n"/>
      <c r="X468" s="17">
        <f>IF($C468="","",IF(AND($L468&lt;&gt;"",NOT(ISNUMBER($L468))),"RAW SCORE NOT A NUMBER",IF(AND(ISNUMBER($L468),OR($L468&lt;0,$L468&gt;100)),"RAW SCORE OUT OF RANGE",IF(AND($Y468="Unexcused",OR($L468="",NOT(ISNUMBER($L468)),$L468&lt;&gt;0)),"UNEXCUSED ABSENCE MUST RECORD 0",IF(COUNTIF(nrES_RecID,$B468)&gt;1,"DUPLICATE RECORD",IF(N($K468)&gt;2,"ATTEMPT 3+ NOT ALLOWED - policy 300.5 permits one retest per exam; this row records nothing",IF(AND($K468=2,COUNTIFS(nrES_PID,$D468,nrES_Code,$F468,nrES_Att,1)=0),"ATTEMPT 2 WITHOUT ATTEMPT 1",IF(AND($K468=2,$L468=""),"RETEST ROW HAS NO SCORE",IF(AND($H468="Final",$L468&lt;&gt;"",IFERROR(INDEX(nrCKfinalExamElig,MATCH($D468,rngCadetPIDs,0)),"")="No"),"FINAL EXAM AFTER FAILED FINAL PT (500.1.H)",IF(AND($K468=2,ISNUMBER($L468),COUNTIFS(nrES_PID,$D468,nrES_Code,$F468,nrES_Att,1)&gt;0,SUMIFS(nrES_Raw,nrES_PID,$D468,nrES_Code,$F468,nrES_Att,1)&gt;=$J468),"RETEST AFTER A PASSING FIRST ATTEMPT","OK"))))))))))</f>
        <v/>
      </c>
      <c r="Y468" s="16" t="n"/>
    </row>
    <row r="469">
      <c r="B469" s="17">
        <f>IF($C469="","",$D469&amp;"-"&amp;$F469&amp;"-"&amp;$K469)</f>
        <v/>
      </c>
      <c r="C469" s="16" t="n"/>
      <c r="D469" s="17">
        <f>IF($C469="","",IFERROR(INDEX(rngCadetPIDs,MATCH($C469,rngCadetNames,0)),"?"))</f>
        <v/>
      </c>
      <c r="E469" s="17">
        <f>IF($D469="","",IFERROR(INDEX(nrCadetAgency,MATCH($D469,rngCadetPIDs,0)),""))</f>
        <v/>
      </c>
      <c r="F469" s="16" t="n"/>
      <c r="G469" s="17">
        <f>IF($F469="","",IFERROR(INDEX(rngEPname,MATCH($F469,rngEPcode,0)),"?"))</f>
        <v/>
      </c>
      <c r="H469" s="17">
        <f>IF($F469="","",IFERROR(INDEX(rngEPtype,MATCH($F469,rngEPcode,0)),"?"))</f>
        <v/>
      </c>
      <c r="I469" s="17">
        <f>IF($F469="","",IFERROR(INDEX(rngEPseq,MATCH($F469,rngEPcode,0)),""))</f>
        <v/>
      </c>
      <c r="J469" s="17">
        <f>IF($F469="","",IFERROR(INDEX(rngEPpass,MATCH($F469,rngEPcode,0)),cfgPassingScore))</f>
        <v/>
      </c>
      <c r="K469" s="16" t="n"/>
      <c r="L469" s="16" t="n"/>
      <c r="M469" s="17">
        <f>IF($C469="","",IF($L469="","",IF(NOT(ISNUMBER($L469)),$L469,IF(N($K469)&gt;2,"",IF($K469=1,IF(COUNTIFS(nrES_PID,$D469,nrES_Code,$F469,nrES_Att,2,nrES_Raw,"&gt;=0")&gt;0,"",$L469),IF($L469&gt;=$J469,MAX($J469,cfgRetakeRecordedCap),IF(COUNTIFS(nrES_PID,$D469,nrES_Code,$F469,nrES_Att,1)=0,$L469,SUMIFS(nrES_Raw,nrES_PID,$D469,nrES_Code,$F469,nrES_Att,1))))))))</f>
        <v/>
      </c>
      <c r="N469" s="17">
        <f>IF($C469="","",IF($L469="","",IF(NOT(ISNUMBER($L469)),"(not a score)",IF($L469&gt;=$J469,"Yes","No"))))</f>
        <v/>
      </c>
      <c r="O469" s="17">
        <f>IF($C469="","",IF($M469="","",IF(NOT(ISNUMBER($M469)),"(not a score)",IF($M469&gt;=$J469,"Yes","No"))))</f>
        <v/>
      </c>
      <c r="P469" s="17">
        <f>IF($C469="","",IF($K469="","",IF(N($K469)&gt;2,"No",IF(COUNTIFS(nrES_PID,$D469,nrES_Code,$F469,nrES_Att,"&gt;"&amp;$K469,nrES_Att,"&lt;=2",nrES_Raw,"&gt;=0")=0,"Yes","No"))))</f>
        <v/>
      </c>
      <c r="Q469" s="17">
        <f>IF($C469="","",IF($L469="","",IF(AND($K469=1,ISNUMBER($L469),$L469&lt;$J469,COUNTIFS(nrES_PID,$D469,nrES_Code,$F469,nrES_Att,2,nrES_Raw,"&gt;=0")=0),"Yes","No")))</f>
        <v/>
      </c>
      <c r="R469" s="17">
        <f>IF($C469="","",IF($L469="","",IF(AND(N($K469)&gt;=2,ISNUMBER($L469),$L469&lt;$J469),"Yes","No")))</f>
        <v/>
      </c>
      <c r="S469" s="18" t="n"/>
      <c r="T469" s="19">
        <f>IF(OR($C469="",$L469="",$K469&lt;&gt;1,NOT(ISNUMBER($L469)),$L469&gt;=$J469),"",IF($S469="","(enter date)",_xlfn.LET(_xlpm.dn,_xlfn.XLOOKUP($S469,nrCDdate,nrCDnum,"",1),IF(_xlpm.dn="","(after last class day)",_xlfn.LET(_xlpm.dd,_xlfn.XLOOKUP(_xlpm.dn+cfgRetestClassDays,nrCDnum,nrCDdate,""),_xlpm.ok,_xlfn.XLOOKUP(_xlpm.dn+cfgRetestClassDays,nrCDnum,nrCDinsession,"No"),IF(OR(_xlpm.dd="",_xlpm.ok&lt;&gt;"Yes"),"(after last class day)",_xlpm.dd))))))</f>
        <v/>
      </c>
      <c r="U469" s="17">
        <f>IF($C469="","",IF(AND($Y469="Excused",$L469="",N($K469)&lt;=1),"EXCUSED - 1st attempt pending",IF(OR($L469="",$K469&lt;&gt;1,NOT(ISNUMBER($L469)),$L469&gt;=$J469),"",IF(COUNTIFS(nrES_PID,$D469,nrES_Code,$F469,nrES_Att,2,nrES_Raw,"&gt;=0")&gt;0,IF(IFERROR(_xlfn.MINIFS(nrES_Date,nrES_PID,$D469,nrES_Code,$F469,nrES_Att,2,nrES_Raw,"&gt;=0",nrES_Date,"&gt;0"),0)=0,"RETEST UNDATED",IF(NOT(ISNUMBER($T469)),"RETEST DATE UNCHECKED",IF(_xlfn.MINIFS(nrES_Date,nrES_PID,$D469,nrES_Code,$F469,nrES_Att,2,nrES_Raw,"&gt;=0",nrES_Date,"&gt;0")&gt;$T469,"LATE RETEST "&amp;TEXT(_xlfn.MINIFS(nrES_Date,nrES_PID,$D469,nrES_Code,$F469,nrES_Att,2,nrES_Raw,"&gt;=0",nrES_Date,"&gt;0"),"mm/dd")&amp;" (due "&amp;TEXT($T469,"mm/dd")&amp;")","Retested"))),IF(NOT(ISNUMBER($T469)),"CHECK DATE",IF(TODAY()&gt;$T469,"OVERDUE","Due "&amp;TEXT($T469,"mm/dd")))))))</f>
        <v/>
      </c>
      <c r="V469" s="16" t="n"/>
      <c r="W469" s="16" t="n"/>
      <c r="X469" s="17">
        <f>IF($C469="","",IF(AND($L469&lt;&gt;"",NOT(ISNUMBER($L469))),"RAW SCORE NOT A NUMBER",IF(AND(ISNUMBER($L469),OR($L469&lt;0,$L469&gt;100)),"RAW SCORE OUT OF RANGE",IF(AND($Y469="Unexcused",OR($L469="",NOT(ISNUMBER($L469)),$L469&lt;&gt;0)),"UNEXCUSED ABSENCE MUST RECORD 0",IF(COUNTIF(nrES_RecID,$B469)&gt;1,"DUPLICATE RECORD",IF(N($K469)&gt;2,"ATTEMPT 3+ NOT ALLOWED - policy 300.5 permits one retest per exam; this row records nothing",IF(AND($K469=2,COUNTIFS(nrES_PID,$D469,nrES_Code,$F469,nrES_Att,1)=0),"ATTEMPT 2 WITHOUT ATTEMPT 1",IF(AND($K469=2,$L469=""),"RETEST ROW HAS NO SCORE",IF(AND($H469="Final",$L469&lt;&gt;"",IFERROR(INDEX(nrCKfinalExamElig,MATCH($D469,rngCadetPIDs,0)),"")="No"),"FINAL EXAM AFTER FAILED FINAL PT (500.1.H)",IF(AND($K469=2,ISNUMBER($L469),COUNTIFS(nrES_PID,$D469,nrES_Code,$F469,nrES_Att,1)&gt;0,SUMIFS(nrES_Raw,nrES_PID,$D469,nrES_Code,$F469,nrES_Att,1)&gt;=$J469),"RETEST AFTER A PASSING FIRST ATTEMPT","OK"))))))))))</f>
        <v/>
      </c>
      <c r="Y469" s="16" t="n"/>
    </row>
    <row r="470">
      <c r="B470" s="17">
        <f>IF($C470="","",$D470&amp;"-"&amp;$F470&amp;"-"&amp;$K470)</f>
        <v/>
      </c>
      <c r="C470" s="16" t="n"/>
      <c r="D470" s="17">
        <f>IF($C470="","",IFERROR(INDEX(rngCadetPIDs,MATCH($C470,rngCadetNames,0)),"?"))</f>
        <v/>
      </c>
      <c r="E470" s="17">
        <f>IF($D470="","",IFERROR(INDEX(nrCadetAgency,MATCH($D470,rngCadetPIDs,0)),""))</f>
        <v/>
      </c>
      <c r="F470" s="16" t="n"/>
      <c r="G470" s="17">
        <f>IF($F470="","",IFERROR(INDEX(rngEPname,MATCH($F470,rngEPcode,0)),"?"))</f>
        <v/>
      </c>
      <c r="H470" s="17">
        <f>IF($F470="","",IFERROR(INDEX(rngEPtype,MATCH($F470,rngEPcode,0)),"?"))</f>
        <v/>
      </c>
      <c r="I470" s="17">
        <f>IF($F470="","",IFERROR(INDEX(rngEPseq,MATCH($F470,rngEPcode,0)),""))</f>
        <v/>
      </c>
      <c r="J470" s="17">
        <f>IF($F470="","",IFERROR(INDEX(rngEPpass,MATCH($F470,rngEPcode,0)),cfgPassingScore))</f>
        <v/>
      </c>
      <c r="K470" s="16" t="n"/>
      <c r="L470" s="16" t="n"/>
      <c r="M470" s="17">
        <f>IF($C470="","",IF($L470="","",IF(NOT(ISNUMBER($L470)),$L470,IF(N($K470)&gt;2,"",IF($K470=1,IF(COUNTIFS(nrES_PID,$D470,nrES_Code,$F470,nrES_Att,2,nrES_Raw,"&gt;=0")&gt;0,"",$L470),IF($L470&gt;=$J470,MAX($J470,cfgRetakeRecordedCap),IF(COUNTIFS(nrES_PID,$D470,nrES_Code,$F470,nrES_Att,1)=0,$L470,SUMIFS(nrES_Raw,nrES_PID,$D470,nrES_Code,$F470,nrES_Att,1))))))))</f>
        <v/>
      </c>
      <c r="N470" s="17">
        <f>IF($C470="","",IF($L470="","",IF(NOT(ISNUMBER($L470)),"(not a score)",IF($L470&gt;=$J470,"Yes","No"))))</f>
        <v/>
      </c>
      <c r="O470" s="17">
        <f>IF($C470="","",IF($M470="","",IF(NOT(ISNUMBER($M470)),"(not a score)",IF($M470&gt;=$J470,"Yes","No"))))</f>
        <v/>
      </c>
      <c r="P470" s="17">
        <f>IF($C470="","",IF($K470="","",IF(N($K470)&gt;2,"No",IF(COUNTIFS(nrES_PID,$D470,nrES_Code,$F470,nrES_Att,"&gt;"&amp;$K470,nrES_Att,"&lt;=2",nrES_Raw,"&gt;=0")=0,"Yes","No"))))</f>
        <v/>
      </c>
      <c r="Q470" s="17">
        <f>IF($C470="","",IF($L470="","",IF(AND($K470=1,ISNUMBER($L470),$L470&lt;$J470,COUNTIFS(nrES_PID,$D470,nrES_Code,$F470,nrES_Att,2,nrES_Raw,"&gt;=0")=0),"Yes","No")))</f>
        <v/>
      </c>
      <c r="R470" s="17">
        <f>IF($C470="","",IF($L470="","",IF(AND(N($K470)&gt;=2,ISNUMBER($L470),$L470&lt;$J470),"Yes","No")))</f>
        <v/>
      </c>
      <c r="S470" s="18" t="n"/>
      <c r="T470" s="19">
        <f>IF(OR($C470="",$L470="",$K470&lt;&gt;1,NOT(ISNUMBER($L470)),$L470&gt;=$J470),"",IF($S470="","(enter date)",_xlfn.LET(_xlpm.dn,_xlfn.XLOOKUP($S470,nrCDdate,nrCDnum,"",1),IF(_xlpm.dn="","(after last class day)",_xlfn.LET(_xlpm.dd,_xlfn.XLOOKUP(_xlpm.dn+cfgRetestClassDays,nrCDnum,nrCDdate,""),_xlpm.ok,_xlfn.XLOOKUP(_xlpm.dn+cfgRetestClassDays,nrCDnum,nrCDinsession,"No"),IF(OR(_xlpm.dd="",_xlpm.ok&lt;&gt;"Yes"),"(after last class day)",_xlpm.dd))))))</f>
        <v/>
      </c>
      <c r="U470" s="17">
        <f>IF($C470="","",IF(AND($Y470="Excused",$L470="",N($K470)&lt;=1),"EXCUSED - 1st attempt pending",IF(OR($L470="",$K470&lt;&gt;1,NOT(ISNUMBER($L470)),$L470&gt;=$J470),"",IF(COUNTIFS(nrES_PID,$D470,nrES_Code,$F470,nrES_Att,2,nrES_Raw,"&gt;=0")&gt;0,IF(IFERROR(_xlfn.MINIFS(nrES_Date,nrES_PID,$D470,nrES_Code,$F470,nrES_Att,2,nrES_Raw,"&gt;=0",nrES_Date,"&gt;0"),0)=0,"RETEST UNDATED",IF(NOT(ISNUMBER($T470)),"RETEST DATE UNCHECKED",IF(_xlfn.MINIFS(nrES_Date,nrES_PID,$D470,nrES_Code,$F470,nrES_Att,2,nrES_Raw,"&gt;=0",nrES_Date,"&gt;0")&gt;$T470,"LATE RETEST "&amp;TEXT(_xlfn.MINIFS(nrES_Date,nrES_PID,$D470,nrES_Code,$F470,nrES_Att,2,nrES_Raw,"&gt;=0",nrES_Date,"&gt;0"),"mm/dd")&amp;" (due "&amp;TEXT($T470,"mm/dd")&amp;")","Retested"))),IF(NOT(ISNUMBER($T470)),"CHECK DATE",IF(TODAY()&gt;$T470,"OVERDUE","Due "&amp;TEXT($T470,"mm/dd")))))))</f>
        <v/>
      </c>
      <c r="V470" s="16" t="n"/>
      <c r="W470" s="16" t="n"/>
      <c r="X470" s="17">
        <f>IF($C470="","",IF(AND($L470&lt;&gt;"",NOT(ISNUMBER($L470))),"RAW SCORE NOT A NUMBER",IF(AND(ISNUMBER($L470),OR($L470&lt;0,$L470&gt;100)),"RAW SCORE OUT OF RANGE",IF(AND($Y470="Unexcused",OR($L470="",NOT(ISNUMBER($L470)),$L470&lt;&gt;0)),"UNEXCUSED ABSENCE MUST RECORD 0",IF(COUNTIF(nrES_RecID,$B470)&gt;1,"DUPLICATE RECORD",IF(N($K470)&gt;2,"ATTEMPT 3+ NOT ALLOWED - policy 300.5 permits one retest per exam; this row records nothing",IF(AND($K470=2,COUNTIFS(nrES_PID,$D470,nrES_Code,$F470,nrES_Att,1)=0),"ATTEMPT 2 WITHOUT ATTEMPT 1",IF(AND($K470=2,$L470=""),"RETEST ROW HAS NO SCORE",IF(AND($H470="Final",$L470&lt;&gt;"",IFERROR(INDEX(nrCKfinalExamElig,MATCH($D470,rngCadetPIDs,0)),"")="No"),"FINAL EXAM AFTER FAILED FINAL PT (500.1.H)",IF(AND($K470=2,ISNUMBER($L470),COUNTIFS(nrES_PID,$D470,nrES_Code,$F470,nrES_Att,1)&gt;0,SUMIFS(nrES_Raw,nrES_PID,$D470,nrES_Code,$F470,nrES_Att,1)&gt;=$J470),"RETEST AFTER A PASSING FIRST ATTEMPT","OK"))))))))))</f>
        <v/>
      </c>
      <c r="Y470" s="16" t="n"/>
    </row>
    <row r="471">
      <c r="B471" s="17">
        <f>IF($C471="","",$D471&amp;"-"&amp;$F471&amp;"-"&amp;$K471)</f>
        <v/>
      </c>
      <c r="C471" s="16" t="n"/>
      <c r="D471" s="17">
        <f>IF($C471="","",IFERROR(INDEX(rngCadetPIDs,MATCH($C471,rngCadetNames,0)),"?"))</f>
        <v/>
      </c>
      <c r="E471" s="17">
        <f>IF($D471="","",IFERROR(INDEX(nrCadetAgency,MATCH($D471,rngCadetPIDs,0)),""))</f>
        <v/>
      </c>
      <c r="F471" s="16" t="n"/>
      <c r="G471" s="17">
        <f>IF($F471="","",IFERROR(INDEX(rngEPname,MATCH($F471,rngEPcode,0)),"?"))</f>
        <v/>
      </c>
      <c r="H471" s="17">
        <f>IF($F471="","",IFERROR(INDEX(rngEPtype,MATCH($F471,rngEPcode,0)),"?"))</f>
        <v/>
      </c>
      <c r="I471" s="17">
        <f>IF($F471="","",IFERROR(INDEX(rngEPseq,MATCH($F471,rngEPcode,0)),""))</f>
        <v/>
      </c>
      <c r="J471" s="17">
        <f>IF($F471="","",IFERROR(INDEX(rngEPpass,MATCH($F471,rngEPcode,0)),cfgPassingScore))</f>
        <v/>
      </c>
      <c r="K471" s="16" t="n"/>
      <c r="L471" s="16" t="n"/>
      <c r="M471" s="17">
        <f>IF($C471="","",IF($L471="","",IF(NOT(ISNUMBER($L471)),$L471,IF(N($K471)&gt;2,"",IF($K471=1,IF(COUNTIFS(nrES_PID,$D471,nrES_Code,$F471,nrES_Att,2,nrES_Raw,"&gt;=0")&gt;0,"",$L471),IF($L471&gt;=$J471,MAX($J471,cfgRetakeRecordedCap),IF(COUNTIFS(nrES_PID,$D471,nrES_Code,$F471,nrES_Att,1)=0,$L471,SUMIFS(nrES_Raw,nrES_PID,$D471,nrES_Code,$F471,nrES_Att,1))))))))</f>
        <v/>
      </c>
      <c r="N471" s="17">
        <f>IF($C471="","",IF($L471="","",IF(NOT(ISNUMBER($L471)),"(not a score)",IF($L471&gt;=$J471,"Yes","No"))))</f>
        <v/>
      </c>
      <c r="O471" s="17">
        <f>IF($C471="","",IF($M471="","",IF(NOT(ISNUMBER($M471)),"(not a score)",IF($M471&gt;=$J471,"Yes","No"))))</f>
        <v/>
      </c>
      <c r="P471" s="17">
        <f>IF($C471="","",IF($K471="","",IF(N($K471)&gt;2,"No",IF(COUNTIFS(nrES_PID,$D471,nrES_Code,$F471,nrES_Att,"&gt;"&amp;$K471,nrES_Att,"&lt;=2",nrES_Raw,"&gt;=0")=0,"Yes","No"))))</f>
        <v/>
      </c>
      <c r="Q471" s="17">
        <f>IF($C471="","",IF($L471="","",IF(AND($K471=1,ISNUMBER($L471),$L471&lt;$J471,COUNTIFS(nrES_PID,$D471,nrES_Code,$F471,nrES_Att,2,nrES_Raw,"&gt;=0")=0),"Yes","No")))</f>
        <v/>
      </c>
      <c r="R471" s="17">
        <f>IF($C471="","",IF($L471="","",IF(AND(N($K471)&gt;=2,ISNUMBER($L471),$L471&lt;$J471),"Yes","No")))</f>
        <v/>
      </c>
      <c r="S471" s="18" t="n"/>
      <c r="T471" s="19">
        <f>IF(OR($C471="",$L471="",$K471&lt;&gt;1,NOT(ISNUMBER($L471)),$L471&gt;=$J471),"",IF($S471="","(enter date)",_xlfn.LET(_xlpm.dn,_xlfn.XLOOKUP($S471,nrCDdate,nrCDnum,"",1),IF(_xlpm.dn="","(after last class day)",_xlfn.LET(_xlpm.dd,_xlfn.XLOOKUP(_xlpm.dn+cfgRetestClassDays,nrCDnum,nrCDdate,""),_xlpm.ok,_xlfn.XLOOKUP(_xlpm.dn+cfgRetestClassDays,nrCDnum,nrCDinsession,"No"),IF(OR(_xlpm.dd="",_xlpm.ok&lt;&gt;"Yes"),"(after last class day)",_xlpm.dd))))))</f>
        <v/>
      </c>
      <c r="U471" s="17">
        <f>IF($C471="","",IF(AND($Y471="Excused",$L471="",N($K471)&lt;=1),"EXCUSED - 1st attempt pending",IF(OR($L471="",$K471&lt;&gt;1,NOT(ISNUMBER($L471)),$L471&gt;=$J471),"",IF(COUNTIFS(nrES_PID,$D471,nrES_Code,$F471,nrES_Att,2,nrES_Raw,"&gt;=0")&gt;0,IF(IFERROR(_xlfn.MINIFS(nrES_Date,nrES_PID,$D471,nrES_Code,$F471,nrES_Att,2,nrES_Raw,"&gt;=0",nrES_Date,"&gt;0"),0)=0,"RETEST UNDATED",IF(NOT(ISNUMBER($T471)),"RETEST DATE UNCHECKED",IF(_xlfn.MINIFS(nrES_Date,nrES_PID,$D471,nrES_Code,$F471,nrES_Att,2,nrES_Raw,"&gt;=0",nrES_Date,"&gt;0")&gt;$T471,"LATE RETEST "&amp;TEXT(_xlfn.MINIFS(nrES_Date,nrES_PID,$D471,nrES_Code,$F471,nrES_Att,2,nrES_Raw,"&gt;=0",nrES_Date,"&gt;0"),"mm/dd")&amp;" (due "&amp;TEXT($T471,"mm/dd")&amp;")","Retested"))),IF(NOT(ISNUMBER($T471)),"CHECK DATE",IF(TODAY()&gt;$T471,"OVERDUE","Due "&amp;TEXT($T471,"mm/dd")))))))</f>
        <v/>
      </c>
      <c r="V471" s="16" t="n"/>
      <c r="W471" s="16" t="n"/>
      <c r="X471" s="17">
        <f>IF($C471="","",IF(AND($L471&lt;&gt;"",NOT(ISNUMBER($L471))),"RAW SCORE NOT A NUMBER",IF(AND(ISNUMBER($L471),OR($L471&lt;0,$L471&gt;100)),"RAW SCORE OUT OF RANGE",IF(AND($Y471="Unexcused",OR($L471="",NOT(ISNUMBER($L471)),$L471&lt;&gt;0)),"UNEXCUSED ABSENCE MUST RECORD 0",IF(COUNTIF(nrES_RecID,$B471)&gt;1,"DUPLICATE RECORD",IF(N($K471)&gt;2,"ATTEMPT 3+ NOT ALLOWED - policy 300.5 permits one retest per exam; this row records nothing",IF(AND($K471=2,COUNTIFS(nrES_PID,$D471,nrES_Code,$F471,nrES_Att,1)=0),"ATTEMPT 2 WITHOUT ATTEMPT 1",IF(AND($K471=2,$L471=""),"RETEST ROW HAS NO SCORE",IF(AND($H471="Final",$L471&lt;&gt;"",IFERROR(INDEX(nrCKfinalExamElig,MATCH($D471,rngCadetPIDs,0)),"")="No"),"FINAL EXAM AFTER FAILED FINAL PT (500.1.H)",IF(AND($K471=2,ISNUMBER($L471),COUNTIFS(nrES_PID,$D471,nrES_Code,$F471,nrES_Att,1)&gt;0,SUMIFS(nrES_Raw,nrES_PID,$D471,nrES_Code,$F471,nrES_Att,1)&gt;=$J471),"RETEST AFTER A PASSING FIRST ATTEMPT","OK"))))))))))</f>
        <v/>
      </c>
      <c r="Y471" s="16" t="n"/>
    </row>
    <row r="472">
      <c r="B472" s="17">
        <f>IF($C472="","",$D472&amp;"-"&amp;$F472&amp;"-"&amp;$K472)</f>
        <v/>
      </c>
      <c r="C472" s="16" t="n"/>
      <c r="D472" s="17">
        <f>IF($C472="","",IFERROR(INDEX(rngCadetPIDs,MATCH($C472,rngCadetNames,0)),"?"))</f>
        <v/>
      </c>
      <c r="E472" s="17">
        <f>IF($D472="","",IFERROR(INDEX(nrCadetAgency,MATCH($D472,rngCadetPIDs,0)),""))</f>
        <v/>
      </c>
      <c r="F472" s="16" t="n"/>
      <c r="G472" s="17">
        <f>IF($F472="","",IFERROR(INDEX(rngEPname,MATCH($F472,rngEPcode,0)),"?"))</f>
        <v/>
      </c>
      <c r="H472" s="17">
        <f>IF($F472="","",IFERROR(INDEX(rngEPtype,MATCH($F472,rngEPcode,0)),"?"))</f>
        <v/>
      </c>
      <c r="I472" s="17">
        <f>IF($F472="","",IFERROR(INDEX(rngEPseq,MATCH($F472,rngEPcode,0)),""))</f>
        <v/>
      </c>
      <c r="J472" s="17">
        <f>IF($F472="","",IFERROR(INDEX(rngEPpass,MATCH($F472,rngEPcode,0)),cfgPassingScore))</f>
        <v/>
      </c>
      <c r="K472" s="16" t="n"/>
      <c r="L472" s="16" t="n"/>
      <c r="M472" s="17">
        <f>IF($C472="","",IF($L472="","",IF(NOT(ISNUMBER($L472)),$L472,IF(N($K472)&gt;2,"",IF($K472=1,IF(COUNTIFS(nrES_PID,$D472,nrES_Code,$F472,nrES_Att,2,nrES_Raw,"&gt;=0")&gt;0,"",$L472),IF($L472&gt;=$J472,MAX($J472,cfgRetakeRecordedCap),IF(COUNTIFS(nrES_PID,$D472,nrES_Code,$F472,nrES_Att,1)=0,$L472,SUMIFS(nrES_Raw,nrES_PID,$D472,nrES_Code,$F472,nrES_Att,1))))))))</f>
        <v/>
      </c>
      <c r="N472" s="17">
        <f>IF($C472="","",IF($L472="","",IF(NOT(ISNUMBER($L472)),"(not a score)",IF($L472&gt;=$J472,"Yes","No"))))</f>
        <v/>
      </c>
      <c r="O472" s="17">
        <f>IF($C472="","",IF($M472="","",IF(NOT(ISNUMBER($M472)),"(not a score)",IF($M472&gt;=$J472,"Yes","No"))))</f>
        <v/>
      </c>
      <c r="P472" s="17">
        <f>IF($C472="","",IF($K472="","",IF(N($K472)&gt;2,"No",IF(COUNTIFS(nrES_PID,$D472,nrES_Code,$F472,nrES_Att,"&gt;"&amp;$K472,nrES_Att,"&lt;=2",nrES_Raw,"&gt;=0")=0,"Yes","No"))))</f>
        <v/>
      </c>
      <c r="Q472" s="17">
        <f>IF($C472="","",IF($L472="","",IF(AND($K472=1,ISNUMBER($L472),$L472&lt;$J472,COUNTIFS(nrES_PID,$D472,nrES_Code,$F472,nrES_Att,2,nrES_Raw,"&gt;=0")=0),"Yes","No")))</f>
        <v/>
      </c>
      <c r="R472" s="17">
        <f>IF($C472="","",IF($L472="","",IF(AND(N($K472)&gt;=2,ISNUMBER($L472),$L472&lt;$J472),"Yes","No")))</f>
        <v/>
      </c>
      <c r="S472" s="18" t="n"/>
      <c r="T472" s="19">
        <f>IF(OR($C472="",$L472="",$K472&lt;&gt;1,NOT(ISNUMBER($L472)),$L472&gt;=$J472),"",IF($S472="","(enter date)",_xlfn.LET(_xlpm.dn,_xlfn.XLOOKUP($S472,nrCDdate,nrCDnum,"",1),IF(_xlpm.dn="","(after last class day)",_xlfn.LET(_xlpm.dd,_xlfn.XLOOKUP(_xlpm.dn+cfgRetestClassDays,nrCDnum,nrCDdate,""),_xlpm.ok,_xlfn.XLOOKUP(_xlpm.dn+cfgRetestClassDays,nrCDnum,nrCDinsession,"No"),IF(OR(_xlpm.dd="",_xlpm.ok&lt;&gt;"Yes"),"(after last class day)",_xlpm.dd))))))</f>
        <v/>
      </c>
      <c r="U472" s="17">
        <f>IF($C472="","",IF(AND($Y472="Excused",$L472="",N($K472)&lt;=1),"EXCUSED - 1st attempt pending",IF(OR($L472="",$K472&lt;&gt;1,NOT(ISNUMBER($L472)),$L472&gt;=$J472),"",IF(COUNTIFS(nrES_PID,$D472,nrES_Code,$F472,nrES_Att,2,nrES_Raw,"&gt;=0")&gt;0,IF(IFERROR(_xlfn.MINIFS(nrES_Date,nrES_PID,$D472,nrES_Code,$F472,nrES_Att,2,nrES_Raw,"&gt;=0",nrES_Date,"&gt;0"),0)=0,"RETEST UNDATED",IF(NOT(ISNUMBER($T472)),"RETEST DATE UNCHECKED",IF(_xlfn.MINIFS(nrES_Date,nrES_PID,$D472,nrES_Code,$F472,nrES_Att,2,nrES_Raw,"&gt;=0",nrES_Date,"&gt;0")&gt;$T472,"LATE RETEST "&amp;TEXT(_xlfn.MINIFS(nrES_Date,nrES_PID,$D472,nrES_Code,$F472,nrES_Att,2,nrES_Raw,"&gt;=0",nrES_Date,"&gt;0"),"mm/dd")&amp;" (due "&amp;TEXT($T472,"mm/dd")&amp;")","Retested"))),IF(NOT(ISNUMBER($T472)),"CHECK DATE",IF(TODAY()&gt;$T472,"OVERDUE","Due "&amp;TEXT($T472,"mm/dd")))))))</f>
        <v/>
      </c>
      <c r="V472" s="16" t="n"/>
      <c r="W472" s="16" t="n"/>
      <c r="X472" s="17">
        <f>IF($C472="","",IF(AND($L472&lt;&gt;"",NOT(ISNUMBER($L472))),"RAW SCORE NOT A NUMBER",IF(AND(ISNUMBER($L472),OR($L472&lt;0,$L472&gt;100)),"RAW SCORE OUT OF RANGE",IF(AND($Y472="Unexcused",OR($L472="",NOT(ISNUMBER($L472)),$L472&lt;&gt;0)),"UNEXCUSED ABSENCE MUST RECORD 0",IF(COUNTIF(nrES_RecID,$B472)&gt;1,"DUPLICATE RECORD",IF(N($K472)&gt;2,"ATTEMPT 3+ NOT ALLOWED - policy 300.5 permits one retest per exam; this row records nothing",IF(AND($K472=2,COUNTIFS(nrES_PID,$D472,nrES_Code,$F472,nrES_Att,1)=0),"ATTEMPT 2 WITHOUT ATTEMPT 1",IF(AND($K472=2,$L472=""),"RETEST ROW HAS NO SCORE",IF(AND($H472="Final",$L472&lt;&gt;"",IFERROR(INDEX(nrCKfinalExamElig,MATCH($D472,rngCadetPIDs,0)),"")="No"),"FINAL EXAM AFTER FAILED FINAL PT (500.1.H)",IF(AND($K472=2,ISNUMBER($L472),COUNTIFS(nrES_PID,$D472,nrES_Code,$F472,nrES_Att,1)&gt;0,SUMIFS(nrES_Raw,nrES_PID,$D472,nrES_Code,$F472,nrES_Att,1)&gt;=$J472),"RETEST AFTER A PASSING FIRST ATTEMPT","OK"))))))))))</f>
        <v/>
      </c>
      <c r="Y472" s="16" t="n"/>
    </row>
    <row r="473">
      <c r="B473" s="17">
        <f>IF($C473="","",$D473&amp;"-"&amp;$F473&amp;"-"&amp;$K473)</f>
        <v/>
      </c>
      <c r="C473" s="16" t="n"/>
      <c r="D473" s="17">
        <f>IF($C473="","",IFERROR(INDEX(rngCadetPIDs,MATCH($C473,rngCadetNames,0)),"?"))</f>
        <v/>
      </c>
      <c r="E473" s="17">
        <f>IF($D473="","",IFERROR(INDEX(nrCadetAgency,MATCH($D473,rngCadetPIDs,0)),""))</f>
        <v/>
      </c>
      <c r="F473" s="16" t="n"/>
      <c r="G473" s="17">
        <f>IF($F473="","",IFERROR(INDEX(rngEPname,MATCH($F473,rngEPcode,0)),"?"))</f>
        <v/>
      </c>
      <c r="H473" s="17">
        <f>IF($F473="","",IFERROR(INDEX(rngEPtype,MATCH($F473,rngEPcode,0)),"?"))</f>
        <v/>
      </c>
      <c r="I473" s="17">
        <f>IF($F473="","",IFERROR(INDEX(rngEPseq,MATCH($F473,rngEPcode,0)),""))</f>
        <v/>
      </c>
      <c r="J473" s="17">
        <f>IF($F473="","",IFERROR(INDEX(rngEPpass,MATCH($F473,rngEPcode,0)),cfgPassingScore))</f>
        <v/>
      </c>
      <c r="K473" s="16" t="n"/>
      <c r="L473" s="16" t="n"/>
      <c r="M473" s="17">
        <f>IF($C473="","",IF($L473="","",IF(NOT(ISNUMBER($L473)),$L473,IF(N($K473)&gt;2,"",IF($K473=1,IF(COUNTIFS(nrES_PID,$D473,nrES_Code,$F473,nrES_Att,2,nrES_Raw,"&gt;=0")&gt;0,"",$L473),IF($L473&gt;=$J473,MAX($J473,cfgRetakeRecordedCap),IF(COUNTIFS(nrES_PID,$D473,nrES_Code,$F473,nrES_Att,1)=0,$L473,SUMIFS(nrES_Raw,nrES_PID,$D473,nrES_Code,$F473,nrES_Att,1))))))))</f>
        <v/>
      </c>
      <c r="N473" s="17">
        <f>IF($C473="","",IF($L473="","",IF(NOT(ISNUMBER($L473)),"(not a score)",IF($L473&gt;=$J473,"Yes","No"))))</f>
        <v/>
      </c>
      <c r="O473" s="17">
        <f>IF($C473="","",IF($M473="","",IF(NOT(ISNUMBER($M473)),"(not a score)",IF($M473&gt;=$J473,"Yes","No"))))</f>
        <v/>
      </c>
      <c r="P473" s="17">
        <f>IF($C473="","",IF($K473="","",IF(N($K473)&gt;2,"No",IF(COUNTIFS(nrES_PID,$D473,nrES_Code,$F473,nrES_Att,"&gt;"&amp;$K473,nrES_Att,"&lt;=2",nrES_Raw,"&gt;=0")=0,"Yes","No"))))</f>
        <v/>
      </c>
      <c r="Q473" s="17">
        <f>IF($C473="","",IF($L473="","",IF(AND($K473=1,ISNUMBER($L473),$L473&lt;$J473,COUNTIFS(nrES_PID,$D473,nrES_Code,$F473,nrES_Att,2,nrES_Raw,"&gt;=0")=0),"Yes","No")))</f>
        <v/>
      </c>
      <c r="R473" s="17">
        <f>IF($C473="","",IF($L473="","",IF(AND(N($K473)&gt;=2,ISNUMBER($L473),$L473&lt;$J473),"Yes","No")))</f>
        <v/>
      </c>
      <c r="S473" s="18" t="n"/>
      <c r="T473" s="19">
        <f>IF(OR($C473="",$L473="",$K473&lt;&gt;1,NOT(ISNUMBER($L473)),$L473&gt;=$J473),"",IF($S473="","(enter date)",_xlfn.LET(_xlpm.dn,_xlfn.XLOOKUP($S473,nrCDdate,nrCDnum,"",1),IF(_xlpm.dn="","(after last class day)",_xlfn.LET(_xlpm.dd,_xlfn.XLOOKUP(_xlpm.dn+cfgRetestClassDays,nrCDnum,nrCDdate,""),_xlpm.ok,_xlfn.XLOOKUP(_xlpm.dn+cfgRetestClassDays,nrCDnum,nrCDinsession,"No"),IF(OR(_xlpm.dd="",_xlpm.ok&lt;&gt;"Yes"),"(after last class day)",_xlpm.dd))))))</f>
        <v/>
      </c>
      <c r="U473" s="17">
        <f>IF($C473="","",IF(AND($Y473="Excused",$L473="",N($K473)&lt;=1),"EXCUSED - 1st attempt pending",IF(OR($L473="",$K473&lt;&gt;1,NOT(ISNUMBER($L473)),$L473&gt;=$J473),"",IF(COUNTIFS(nrES_PID,$D473,nrES_Code,$F473,nrES_Att,2,nrES_Raw,"&gt;=0")&gt;0,IF(IFERROR(_xlfn.MINIFS(nrES_Date,nrES_PID,$D473,nrES_Code,$F473,nrES_Att,2,nrES_Raw,"&gt;=0",nrES_Date,"&gt;0"),0)=0,"RETEST UNDATED",IF(NOT(ISNUMBER($T473)),"RETEST DATE UNCHECKED",IF(_xlfn.MINIFS(nrES_Date,nrES_PID,$D473,nrES_Code,$F473,nrES_Att,2,nrES_Raw,"&gt;=0",nrES_Date,"&gt;0")&gt;$T473,"LATE RETEST "&amp;TEXT(_xlfn.MINIFS(nrES_Date,nrES_PID,$D473,nrES_Code,$F473,nrES_Att,2,nrES_Raw,"&gt;=0",nrES_Date,"&gt;0"),"mm/dd")&amp;" (due "&amp;TEXT($T473,"mm/dd")&amp;")","Retested"))),IF(NOT(ISNUMBER($T473)),"CHECK DATE",IF(TODAY()&gt;$T473,"OVERDUE","Due "&amp;TEXT($T473,"mm/dd")))))))</f>
        <v/>
      </c>
      <c r="V473" s="16" t="n"/>
      <c r="W473" s="16" t="n"/>
      <c r="X473" s="17">
        <f>IF($C473="","",IF(AND($L473&lt;&gt;"",NOT(ISNUMBER($L473))),"RAW SCORE NOT A NUMBER",IF(AND(ISNUMBER($L473),OR($L473&lt;0,$L473&gt;100)),"RAW SCORE OUT OF RANGE",IF(AND($Y473="Unexcused",OR($L473="",NOT(ISNUMBER($L473)),$L473&lt;&gt;0)),"UNEXCUSED ABSENCE MUST RECORD 0",IF(COUNTIF(nrES_RecID,$B473)&gt;1,"DUPLICATE RECORD",IF(N($K473)&gt;2,"ATTEMPT 3+ NOT ALLOWED - policy 300.5 permits one retest per exam; this row records nothing",IF(AND($K473=2,COUNTIFS(nrES_PID,$D473,nrES_Code,$F473,nrES_Att,1)=0),"ATTEMPT 2 WITHOUT ATTEMPT 1",IF(AND($K473=2,$L473=""),"RETEST ROW HAS NO SCORE",IF(AND($H473="Final",$L473&lt;&gt;"",IFERROR(INDEX(nrCKfinalExamElig,MATCH($D473,rngCadetPIDs,0)),"")="No"),"FINAL EXAM AFTER FAILED FINAL PT (500.1.H)",IF(AND($K473=2,ISNUMBER($L473),COUNTIFS(nrES_PID,$D473,nrES_Code,$F473,nrES_Att,1)&gt;0,SUMIFS(nrES_Raw,nrES_PID,$D473,nrES_Code,$F473,nrES_Att,1)&gt;=$J473),"RETEST AFTER A PASSING FIRST ATTEMPT","OK"))))))))))</f>
        <v/>
      </c>
      <c r="Y473" s="16" t="n"/>
    </row>
    <row r="474">
      <c r="B474" s="17">
        <f>IF($C474="","",$D474&amp;"-"&amp;$F474&amp;"-"&amp;$K474)</f>
        <v/>
      </c>
      <c r="C474" s="16" t="n"/>
      <c r="D474" s="17">
        <f>IF($C474="","",IFERROR(INDEX(rngCadetPIDs,MATCH($C474,rngCadetNames,0)),"?"))</f>
        <v/>
      </c>
      <c r="E474" s="17">
        <f>IF($D474="","",IFERROR(INDEX(nrCadetAgency,MATCH($D474,rngCadetPIDs,0)),""))</f>
        <v/>
      </c>
      <c r="F474" s="16" t="n"/>
      <c r="G474" s="17">
        <f>IF($F474="","",IFERROR(INDEX(rngEPname,MATCH($F474,rngEPcode,0)),"?"))</f>
        <v/>
      </c>
      <c r="H474" s="17">
        <f>IF($F474="","",IFERROR(INDEX(rngEPtype,MATCH($F474,rngEPcode,0)),"?"))</f>
        <v/>
      </c>
      <c r="I474" s="17">
        <f>IF($F474="","",IFERROR(INDEX(rngEPseq,MATCH($F474,rngEPcode,0)),""))</f>
        <v/>
      </c>
      <c r="J474" s="17">
        <f>IF($F474="","",IFERROR(INDEX(rngEPpass,MATCH($F474,rngEPcode,0)),cfgPassingScore))</f>
        <v/>
      </c>
      <c r="K474" s="16" t="n"/>
      <c r="L474" s="16" t="n"/>
      <c r="M474" s="17">
        <f>IF($C474="","",IF($L474="","",IF(NOT(ISNUMBER($L474)),$L474,IF(N($K474)&gt;2,"",IF($K474=1,IF(COUNTIFS(nrES_PID,$D474,nrES_Code,$F474,nrES_Att,2,nrES_Raw,"&gt;=0")&gt;0,"",$L474),IF($L474&gt;=$J474,MAX($J474,cfgRetakeRecordedCap),IF(COUNTIFS(nrES_PID,$D474,nrES_Code,$F474,nrES_Att,1)=0,$L474,SUMIFS(nrES_Raw,nrES_PID,$D474,nrES_Code,$F474,nrES_Att,1))))))))</f>
        <v/>
      </c>
      <c r="N474" s="17">
        <f>IF($C474="","",IF($L474="","",IF(NOT(ISNUMBER($L474)),"(not a score)",IF($L474&gt;=$J474,"Yes","No"))))</f>
        <v/>
      </c>
      <c r="O474" s="17">
        <f>IF($C474="","",IF($M474="","",IF(NOT(ISNUMBER($M474)),"(not a score)",IF($M474&gt;=$J474,"Yes","No"))))</f>
        <v/>
      </c>
      <c r="P474" s="17">
        <f>IF($C474="","",IF($K474="","",IF(N($K474)&gt;2,"No",IF(COUNTIFS(nrES_PID,$D474,nrES_Code,$F474,nrES_Att,"&gt;"&amp;$K474,nrES_Att,"&lt;=2",nrES_Raw,"&gt;=0")=0,"Yes","No"))))</f>
        <v/>
      </c>
      <c r="Q474" s="17">
        <f>IF($C474="","",IF($L474="","",IF(AND($K474=1,ISNUMBER($L474),$L474&lt;$J474,COUNTIFS(nrES_PID,$D474,nrES_Code,$F474,nrES_Att,2,nrES_Raw,"&gt;=0")=0),"Yes","No")))</f>
        <v/>
      </c>
      <c r="R474" s="17">
        <f>IF($C474="","",IF($L474="","",IF(AND(N($K474)&gt;=2,ISNUMBER($L474),$L474&lt;$J474),"Yes","No")))</f>
        <v/>
      </c>
      <c r="S474" s="18" t="n"/>
      <c r="T474" s="19">
        <f>IF(OR($C474="",$L474="",$K474&lt;&gt;1,NOT(ISNUMBER($L474)),$L474&gt;=$J474),"",IF($S474="","(enter date)",_xlfn.LET(_xlpm.dn,_xlfn.XLOOKUP($S474,nrCDdate,nrCDnum,"",1),IF(_xlpm.dn="","(after last class day)",_xlfn.LET(_xlpm.dd,_xlfn.XLOOKUP(_xlpm.dn+cfgRetestClassDays,nrCDnum,nrCDdate,""),_xlpm.ok,_xlfn.XLOOKUP(_xlpm.dn+cfgRetestClassDays,nrCDnum,nrCDinsession,"No"),IF(OR(_xlpm.dd="",_xlpm.ok&lt;&gt;"Yes"),"(after last class day)",_xlpm.dd))))))</f>
        <v/>
      </c>
      <c r="U474" s="17">
        <f>IF($C474="","",IF(AND($Y474="Excused",$L474="",N($K474)&lt;=1),"EXCUSED - 1st attempt pending",IF(OR($L474="",$K474&lt;&gt;1,NOT(ISNUMBER($L474)),$L474&gt;=$J474),"",IF(COUNTIFS(nrES_PID,$D474,nrES_Code,$F474,nrES_Att,2,nrES_Raw,"&gt;=0")&gt;0,IF(IFERROR(_xlfn.MINIFS(nrES_Date,nrES_PID,$D474,nrES_Code,$F474,nrES_Att,2,nrES_Raw,"&gt;=0",nrES_Date,"&gt;0"),0)=0,"RETEST UNDATED",IF(NOT(ISNUMBER($T474)),"RETEST DATE UNCHECKED",IF(_xlfn.MINIFS(nrES_Date,nrES_PID,$D474,nrES_Code,$F474,nrES_Att,2,nrES_Raw,"&gt;=0",nrES_Date,"&gt;0")&gt;$T474,"LATE RETEST "&amp;TEXT(_xlfn.MINIFS(nrES_Date,nrES_PID,$D474,nrES_Code,$F474,nrES_Att,2,nrES_Raw,"&gt;=0",nrES_Date,"&gt;0"),"mm/dd")&amp;" (due "&amp;TEXT($T474,"mm/dd")&amp;")","Retested"))),IF(NOT(ISNUMBER($T474)),"CHECK DATE",IF(TODAY()&gt;$T474,"OVERDUE","Due "&amp;TEXT($T474,"mm/dd")))))))</f>
        <v/>
      </c>
      <c r="V474" s="16" t="n"/>
      <c r="W474" s="16" t="n"/>
      <c r="X474" s="17">
        <f>IF($C474="","",IF(AND($L474&lt;&gt;"",NOT(ISNUMBER($L474))),"RAW SCORE NOT A NUMBER",IF(AND(ISNUMBER($L474),OR($L474&lt;0,$L474&gt;100)),"RAW SCORE OUT OF RANGE",IF(AND($Y474="Unexcused",OR($L474="",NOT(ISNUMBER($L474)),$L474&lt;&gt;0)),"UNEXCUSED ABSENCE MUST RECORD 0",IF(COUNTIF(nrES_RecID,$B474)&gt;1,"DUPLICATE RECORD",IF(N($K474)&gt;2,"ATTEMPT 3+ NOT ALLOWED - policy 300.5 permits one retest per exam; this row records nothing",IF(AND($K474=2,COUNTIFS(nrES_PID,$D474,nrES_Code,$F474,nrES_Att,1)=0),"ATTEMPT 2 WITHOUT ATTEMPT 1",IF(AND($K474=2,$L474=""),"RETEST ROW HAS NO SCORE",IF(AND($H474="Final",$L474&lt;&gt;"",IFERROR(INDEX(nrCKfinalExamElig,MATCH($D474,rngCadetPIDs,0)),"")="No"),"FINAL EXAM AFTER FAILED FINAL PT (500.1.H)",IF(AND($K474=2,ISNUMBER($L474),COUNTIFS(nrES_PID,$D474,nrES_Code,$F474,nrES_Att,1)&gt;0,SUMIFS(nrES_Raw,nrES_PID,$D474,nrES_Code,$F474,nrES_Att,1)&gt;=$J474),"RETEST AFTER A PASSING FIRST ATTEMPT","OK"))))))))))</f>
        <v/>
      </c>
      <c r="Y474" s="16" t="n"/>
    </row>
    <row r="475">
      <c r="B475" s="17">
        <f>IF($C475="","",$D475&amp;"-"&amp;$F475&amp;"-"&amp;$K475)</f>
        <v/>
      </c>
      <c r="C475" s="16" t="n"/>
      <c r="D475" s="17">
        <f>IF($C475="","",IFERROR(INDEX(rngCadetPIDs,MATCH($C475,rngCadetNames,0)),"?"))</f>
        <v/>
      </c>
      <c r="E475" s="17">
        <f>IF($D475="","",IFERROR(INDEX(nrCadetAgency,MATCH($D475,rngCadetPIDs,0)),""))</f>
        <v/>
      </c>
      <c r="F475" s="16" t="n"/>
      <c r="G475" s="17">
        <f>IF($F475="","",IFERROR(INDEX(rngEPname,MATCH($F475,rngEPcode,0)),"?"))</f>
        <v/>
      </c>
      <c r="H475" s="17">
        <f>IF($F475="","",IFERROR(INDEX(rngEPtype,MATCH($F475,rngEPcode,0)),"?"))</f>
        <v/>
      </c>
      <c r="I475" s="17">
        <f>IF($F475="","",IFERROR(INDEX(rngEPseq,MATCH($F475,rngEPcode,0)),""))</f>
        <v/>
      </c>
      <c r="J475" s="17">
        <f>IF($F475="","",IFERROR(INDEX(rngEPpass,MATCH($F475,rngEPcode,0)),cfgPassingScore))</f>
        <v/>
      </c>
      <c r="K475" s="16" t="n"/>
      <c r="L475" s="16" t="n"/>
      <c r="M475" s="17">
        <f>IF($C475="","",IF($L475="","",IF(NOT(ISNUMBER($L475)),$L475,IF(N($K475)&gt;2,"",IF($K475=1,IF(COUNTIFS(nrES_PID,$D475,nrES_Code,$F475,nrES_Att,2,nrES_Raw,"&gt;=0")&gt;0,"",$L475),IF($L475&gt;=$J475,MAX($J475,cfgRetakeRecordedCap),IF(COUNTIFS(nrES_PID,$D475,nrES_Code,$F475,nrES_Att,1)=0,$L475,SUMIFS(nrES_Raw,nrES_PID,$D475,nrES_Code,$F475,nrES_Att,1))))))))</f>
        <v/>
      </c>
      <c r="N475" s="17">
        <f>IF($C475="","",IF($L475="","",IF(NOT(ISNUMBER($L475)),"(not a score)",IF($L475&gt;=$J475,"Yes","No"))))</f>
        <v/>
      </c>
      <c r="O475" s="17">
        <f>IF($C475="","",IF($M475="","",IF(NOT(ISNUMBER($M475)),"(not a score)",IF($M475&gt;=$J475,"Yes","No"))))</f>
        <v/>
      </c>
      <c r="P475" s="17">
        <f>IF($C475="","",IF($K475="","",IF(N($K475)&gt;2,"No",IF(COUNTIFS(nrES_PID,$D475,nrES_Code,$F475,nrES_Att,"&gt;"&amp;$K475,nrES_Att,"&lt;=2",nrES_Raw,"&gt;=0")=0,"Yes","No"))))</f>
        <v/>
      </c>
      <c r="Q475" s="17">
        <f>IF($C475="","",IF($L475="","",IF(AND($K475=1,ISNUMBER($L475),$L475&lt;$J475,COUNTIFS(nrES_PID,$D475,nrES_Code,$F475,nrES_Att,2,nrES_Raw,"&gt;=0")=0),"Yes","No")))</f>
        <v/>
      </c>
      <c r="R475" s="17">
        <f>IF($C475="","",IF($L475="","",IF(AND(N($K475)&gt;=2,ISNUMBER($L475),$L475&lt;$J475),"Yes","No")))</f>
        <v/>
      </c>
      <c r="S475" s="18" t="n"/>
      <c r="T475" s="19">
        <f>IF(OR($C475="",$L475="",$K475&lt;&gt;1,NOT(ISNUMBER($L475)),$L475&gt;=$J475),"",IF($S475="","(enter date)",_xlfn.LET(_xlpm.dn,_xlfn.XLOOKUP($S475,nrCDdate,nrCDnum,"",1),IF(_xlpm.dn="","(after last class day)",_xlfn.LET(_xlpm.dd,_xlfn.XLOOKUP(_xlpm.dn+cfgRetestClassDays,nrCDnum,nrCDdate,""),_xlpm.ok,_xlfn.XLOOKUP(_xlpm.dn+cfgRetestClassDays,nrCDnum,nrCDinsession,"No"),IF(OR(_xlpm.dd="",_xlpm.ok&lt;&gt;"Yes"),"(after last class day)",_xlpm.dd))))))</f>
        <v/>
      </c>
      <c r="U475" s="17">
        <f>IF($C475="","",IF(AND($Y475="Excused",$L475="",N($K475)&lt;=1),"EXCUSED - 1st attempt pending",IF(OR($L475="",$K475&lt;&gt;1,NOT(ISNUMBER($L475)),$L475&gt;=$J475),"",IF(COUNTIFS(nrES_PID,$D475,nrES_Code,$F475,nrES_Att,2,nrES_Raw,"&gt;=0")&gt;0,IF(IFERROR(_xlfn.MINIFS(nrES_Date,nrES_PID,$D475,nrES_Code,$F475,nrES_Att,2,nrES_Raw,"&gt;=0",nrES_Date,"&gt;0"),0)=0,"RETEST UNDATED",IF(NOT(ISNUMBER($T475)),"RETEST DATE UNCHECKED",IF(_xlfn.MINIFS(nrES_Date,nrES_PID,$D475,nrES_Code,$F475,nrES_Att,2,nrES_Raw,"&gt;=0",nrES_Date,"&gt;0")&gt;$T475,"LATE RETEST "&amp;TEXT(_xlfn.MINIFS(nrES_Date,nrES_PID,$D475,nrES_Code,$F475,nrES_Att,2,nrES_Raw,"&gt;=0",nrES_Date,"&gt;0"),"mm/dd")&amp;" (due "&amp;TEXT($T475,"mm/dd")&amp;")","Retested"))),IF(NOT(ISNUMBER($T475)),"CHECK DATE",IF(TODAY()&gt;$T475,"OVERDUE","Due "&amp;TEXT($T475,"mm/dd")))))))</f>
        <v/>
      </c>
      <c r="V475" s="16" t="n"/>
      <c r="W475" s="16" t="n"/>
      <c r="X475" s="17">
        <f>IF($C475="","",IF(AND($L475&lt;&gt;"",NOT(ISNUMBER($L475))),"RAW SCORE NOT A NUMBER",IF(AND(ISNUMBER($L475),OR($L475&lt;0,$L475&gt;100)),"RAW SCORE OUT OF RANGE",IF(AND($Y475="Unexcused",OR($L475="",NOT(ISNUMBER($L475)),$L475&lt;&gt;0)),"UNEXCUSED ABSENCE MUST RECORD 0",IF(COUNTIF(nrES_RecID,$B475)&gt;1,"DUPLICATE RECORD",IF(N($K475)&gt;2,"ATTEMPT 3+ NOT ALLOWED - policy 300.5 permits one retest per exam; this row records nothing",IF(AND($K475=2,COUNTIFS(nrES_PID,$D475,nrES_Code,$F475,nrES_Att,1)=0),"ATTEMPT 2 WITHOUT ATTEMPT 1",IF(AND($K475=2,$L475=""),"RETEST ROW HAS NO SCORE",IF(AND($H475="Final",$L475&lt;&gt;"",IFERROR(INDEX(nrCKfinalExamElig,MATCH($D475,rngCadetPIDs,0)),"")="No"),"FINAL EXAM AFTER FAILED FINAL PT (500.1.H)",IF(AND($K475=2,ISNUMBER($L475),COUNTIFS(nrES_PID,$D475,nrES_Code,$F475,nrES_Att,1)&gt;0,SUMIFS(nrES_Raw,nrES_PID,$D475,nrES_Code,$F475,nrES_Att,1)&gt;=$J475),"RETEST AFTER A PASSING FIRST ATTEMPT","OK"))))))))))</f>
        <v/>
      </c>
      <c r="Y475" s="16" t="n"/>
    </row>
    <row r="476">
      <c r="B476" s="17">
        <f>IF($C476="","",$D476&amp;"-"&amp;$F476&amp;"-"&amp;$K476)</f>
        <v/>
      </c>
      <c r="C476" s="16" t="n"/>
      <c r="D476" s="17">
        <f>IF($C476="","",IFERROR(INDEX(rngCadetPIDs,MATCH($C476,rngCadetNames,0)),"?"))</f>
        <v/>
      </c>
      <c r="E476" s="17">
        <f>IF($D476="","",IFERROR(INDEX(nrCadetAgency,MATCH($D476,rngCadetPIDs,0)),""))</f>
        <v/>
      </c>
      <c r="F476" s="16" t="n"/>
      <c r="G476" s="17">
        <f>IF($F476="","",IFERROR(INDEX(rngEPname,MATCH($F476,rngEPcode,0)),"?"))</f>
        <v/>
      </c>
      <c r="H476" s="17">
        <f>IF($F476="","",IFERROR(INDEX(rngEPtype,MATCH($F476,rngEPcode,0)),"?"))</f>
        <v/>
      </c>
      <c r="I476" s="17">
        <f>IF($F476="","",IFERROR(INDEX(rngEPseq,MATCH($F476,rngEPcode,0)),""))</f>
        <v/>
      </c>
      <c r="J476" s="17">
        <f>IF($F476="","",IFERROR(INDEX(rngEPpass,MATCH($F476,rngEPcode,0)),cfgPassingScore))</f>
        <v/>
      </c>
      <c r="K476" s="16" t="n"/>
      <c r="L476" s="16" t="n"/>
      <c r="M476" s="17">
        <f>IF($C476="","",IF($L476="","",IF(NOT(ISNUMBER($L476)),$L476,IF(N($K476)&gt;2,"",IF($K476=1,IF(COUNTIFS(nrES_PID,$D476,nrES_Code,$F476,nrES_Att,2,nrES_Raw,"&gt;=0")&gt;0,"",$L476),IF($L476&gt;=$J476,MAX($J476,cfgRetakeRecordedCap),IF(COUNTIFS(nrES_PID,$D476,nrES_Code,$F476,nrES_Att,1)=0,$L476,SUMIFS(nrES_Raw,nrES_PID,$D476,nrES_Code,$F476,nrES_Att,1))))))))</f>
        <v/>
      </c>
      <c r="N476" s="17">
        <f>IF($C476="","",IF($L476="","",IF(NOT(ISNUMBER($L476)),"(not a score)",IF($L476&gt;=$J476,"Yes","No"))))</f>
        <v/>
      </c>
      <c r="O476" s="17">
        <f>IF($C476="","",IF($M476="","",IF(NOT(ISNUMBER($M476)),"(not a score)",IF($M476&gt;=$J476,"Yes","No"))))</f>
        <v/>
      </c>
      <c r="P476" s="17">
        <f>IF($C476="","",IF($K476="","",IF(N($K476)&gt;2,"No",IF(COUNTIFS(nrES_PID,$D476,nrES_Code,$F476,nrES_Att,"&gt;"&amp;$K476,nrES_Att,"&lt;=2",nrES_Raw,"&gt;=0")=0,"Yes","No"))))</f>
        <v/>
      </c>
      <c r="Q476" s="17">
        <f>IF($C476="","",IF($L476="","",IF(AND($K476=1,ISNUMBER($L476),$L476&lt;$J476,COUNTIFS(nrES_PID,$D476,nrES_Code,$F476,nrES_Att,2,nrES_Raw,"&gt;=0")=0),"Yes","No")))</f>
        <v/>
      </c>
      <c r="R476" s="17">
        <f>IF($C476="","",IF($L476="","",IF(AND(N($K476)&gt;=2,ISNUMBER($L476),$L476&lt;$J476),"Yes","No")))</f>
        <v/>
      </c>
      <c r="S476" s="18" t="n"/>
      <c r="T476" s="19">
        <f>IF(OR($C476="",$L476="",$K476&lt;&gt;1,NOT(ISNUMBER($L476)),$L476&gt;=$J476),"",IF($S476="","(enter date)",_xlfn.LET(_xlpm.dn,_xlfn.XLOOKUP($S476,nrCDdate,nrCDnum,"",1),IF(_xlpm.dn="","(after last class day)",_xlfn.LET(_xlpm.dd,_xlfn.XLOOKUP(_xlpm.dn+cfgRetestClassDays,nrCDnum,nrCDdate,""),_xlpm.ok,_xlfn.XLOOKUP(_xlpm.dn+cfgRetestClassDays,nrCDnum,nrCDinsession,"No"),IF(OR(_xlpm.dd="",_xlpm.ok&lt;&gt;"Yes"),"(after last class day)",_xlpm.dd))))))</f>
        <v/>
      </c>
      <c r="U476" s="17">
        <f>IF($C476="","",IF(AND($Y476="Excused",$L476="",N($K476)&lt;=1),"EXCUSED - 1st attempt pending",IF(OR($L476="",$K476&lt;&gt;1,NOT(ISNUMBER($L476)),$L476&gt;=$J476),"",IF(COUNTIFS(nrES_PID,$D476,nrES_Code,$F476,nrES_Att,2,nrES_Raw,"&gt;=0")&gt;0,IF(IFERROR(_xlfn.MINIFS(nrES_Date,nrES_PID,$D476,nrES_Code,$F476,nrES_Att,2,nrES_Raw,"&gt;=0",nrES_Date,"&gt;0"),0)=0,"RETEST UNDATED",IF(NOT(ISNUMBER($T476)),"RETEST DATE UNCHECKED",IF(_xlfn.MINIFS(nrES_Date,nrES_PID,$D476,nrES_Code,$F476,nrES_Att,2,nrES_Raw,"&gt;=0",nrES_Date,"&gt;0")&gt;$T476,"LATE RETEST "&amp;TEXT(_xlfn.MINIFS(nrES_Date,nrES_PID,$D476,nrES_Code,$F476,nrES_Att,2,nrES_Raw,"&gt;=0",nrES_Date,"&gt;0"),"mm/dd")&amp;" (due "&amp;TEXT($T476,"mm/dd")&amp;")","Retested"))),IF(NOT(ISNUMBER($T476)),"CHECK DATE",IF(TODAY()&gt;$T476,"OVERDUE","Due "&amp;TEXT($T476,"mm/dd")))))))</f>
        <v/>
      </c>
      <c r="V476" s="16" t="n"/>
      <c r="W476" s="16" t="n"/>
      <c r="X476" s="17">
        <f>IF($C476="","",IF(AND($L476&lt;&gt;"",NOT(ISNUMBER($L476))),"RAW SCORE NOT A NUMBER",IF(AND(ISNUMBER($L476),OR($L476&lt;0,$L476&gt;100)),"RAW SCORE OUT OF RANGE",IF(AND($Y476="Unexcused",OR($L476="",NOT(ISNUMBER($L476)),$L476&lt;&gt;0)),"UNEXCUSED ABSENCE MUST RECORD 0",IF(COUNTIF(nrES_RecID,$B476)&gt;1,"DUPLICATE RECORD",IF(N($K476)&gt;2,"ATTEMPT 3+ NOT ALLOWED - policy 300.5 permits one retest per exam; this row records nothing",IF(AND($K476=2,COUNTIFS(nrES_PID,$D476,nrES_Code,$F476,nrES_Att,1)=0),"ATTEMPT 2 WITHOUT ATTEMPT 1",IF(AND($K476=2,$L476=""),"RETEST ROW HAS NO SCORE",IF(AND($H476="Final",$L476&lt;&gt;"",IFERROR(INDEX(nrCKfinalExamElig,MATCH($D476,rngCadetPIDs,0)),"")="No"),"FINAL EXAM AFTER FAILED FINAL PT (500.1.H)",IF(AND($K476=2,ISNUMBER($L476),COUNTIFS(nrES_PID,$D476,nrES_Code,$F476,nrES_Att,1)&gt;0,SUMIFS(nrES_Raw,nrES_PID,$D476,nrES_Code,$F476,nrES_Att,1)&gt;=$J476),"RETEST AFTER A PASSING FIRST ATTEMPT","OK"))))))))))</f>
        <v/>
      </c>
      <c r="Y476" s="16" t="n"/>
    </row>
    <row r="477">
      <c r="B477" s="17">
        <f>IF($C477="","",$D477&amp;"-"&amp;$F477&amp;"-"&amp;$K477)</f>
        <v/>
      </c>
      <c r="C477" s="16" t="n"/>
      <c r="D477" s="17">
        <f>IF($C477="","",IFERROR(INDEX(rngCadetPIDs,MATCH($C477,rngCadetNames,0)),"?"))</f>
        <v/>
      </c>
      <c r="E477" s="17">
        <f>IF($D477="","",IFERROR(INDEX(nrCadetAgency,MATCH($D477,rngCadetPIDs,0)),""))</f>
        <v/>
      </c>
      <c r="F477" s="16" t="n"/>
      <c r="G477" s="17">
        <f>IF($F477="","",IFERROR(INDEX(rngEPname,MATCH($F477,rngEPcode,0)),"?"))</f>
        <v/>
      </c>
      <c r="H477" s="17">
        <f>IF($F477="","",IFERROR(INDEX(rngEPtype,MATCH($F477,rngEPcode,0)),"?"))</f>
        <v/>
      </c>
      <c r="I477" s="17">
        <f>IF($F477="","",IFERROR(INDEX(rngEPseq,MATCH($F477,rngEPcode,0)),""))</f>
        <v/>
      </c>
      <c r="J477" s="17">
        <f>IF($F477="","",IFERROR(INDEX(rngEPpass,MATCH($F477,rngEPcode,0)),cfgPassingScore))</f>
        <v/>
      </c>
      <c r="K477" s="16" t="n"/>
      <c r="L477" s="16" t="n"/>
      <c r="M477" s="17">
        <f>IF($C477="","",IF($L477="","",IF(NOT(ISNUMBER($L477)),$L477,IF(N($K477)&gt;2,"",IF($K477=1,IF(COUNTIFS(nrES_PID,$D477,nrES_Code,$F477,nrES_Att,2,nrES_Raw,"&gt;=0")&gt;0,"",$L477),IF($L477&gt;=$J477,MAX($J477,cfgRetakeRecordedCap),IF(COUNTIFS(nrES_PID,$D477,nrES_Code,$F477,nrES_Att,1)=0,$L477,SUMIFS(nrES_Raw,nrES_PID,$D477,nrES_Code,$F477,nrES_Att,1))))))))</f>
        <v/>
      </c>
      <c r="N477" s="17">
        <f>IF($C477="","",IF($L477="","",IF(NOT(ISNUMBER($L477)),"(not a score)",IF($L477&gt;=$J477,"Yes","No"))))</f>
        <v/>
      </c>
      <c r="O477" s="17">
        <f>IF($C477="","",IF($M477="","",IF(NOT(ISNUMBER($M477)),"(not a score)",IF($M477&gt;=$J477,"Yes","No"))))</f>
        <v/>
      </c>
      <c r="P477" s="17">
        <f>IF($C477="","",IF($K477="","",IF(N($K477)&gt;2,"No",IF(COUNTIFS(nrES_PID,$D477,nrES_Code,$F477,nrES_Att,"&gt;"&amp;$K477,nrES_Att,"&lt;=2",nrES_Raw,"&gt;=0")=0,"Yes","No"))))</f>
        <v/>
      </c>
      <c r="Q477" s="17">
        <f>IF($C477="","",IF($L477="","",IF(AND($K477=1,ISNUMBER($L477),$L477&lt;$J477,COUNTIFS(nrES_PID,$D477,nrES_Code,$F477,nrES_Att,2,nrES_Raw,"&gt;=0")=0),"Yes","No")))</f>
        <v/>
      </c>
      <c r="R477" s="17">
        <f>IF($C477="","",IF($L477="","",IF(AND(N($K477)&gt;=2,ISNUMBER($L477),$L477&lt;$J477),"Yes","No")))</f>
        <v/>
      </c>
      <c r="S477" s="18" t="n"/>
      <c r="T477" s="19">
        <f>IF(OR($C477="",$L477="",$K477&lt;&gt;1,NOT(ISNUMBER($L477)),$L477&gt;=$J477),"",IF($S477="","(enter date)",_xlfn.LET(_xlpm.dn,_xlfn.XLOOKUP($S477,nrCDdate,nrCDnum,"",1),IF(_xlpm.dn="","(after last class day)",_xlfn.LET(_xlpm.dd,_xlfn.XLOOKUP(_xlpm.dn+cfgRetestClassDays,nrCDnum,nrCDdate,""),_xlpm.ok,_xlfn.XLOOKUP(_xlpm.dn+cfgRetestClassDays,nrCDnum,nrCDinsession,"No"),IF(OR(_xlpm.dd="",_xlpm.ok&lt;&gt;"Yes"),"(after last class day)",_xlpm.dd))))))</f>
        <v/>
      </c>
      <c r="U477" s="17">
        <f>IF($C477="","",IF(AND($Y477="Excused",$L477="",N($K477)&lt;=1),"EXCUSED - 1st attempt pending",IF(OR($L477="",$K477&lt;&gt;1,NOT(ISNUMBER($L477)),$L477&gt;=$J477),"",IF(COUNTIFS(nrES_PID,$D477,nrES_Code,$F477,nrES_Att,2,nrES_Raw,"&gt;=0")&gt;0,IF(IFERROR(_xlfn.MINIFS(nrES_Date,nrES_PID,$D477,nrES_Code,$F477,nrES_Att,2,nrES_Raw,"&gt;=0",nrES_Date,"&gt;0"),0)=0,"RETEST UNDATED",IF(NOT(ISNUMBER($T477)),"RETEST DATE UNCHECKED",IF(_xlfn.MINIFS(nrES_Date,nrES_PID,$D477,nrES_Code,$F477,nrES_Att,2,nrES_Raw,"&gt;=0",nrES_Date,"&gt;0")&gt;$T477,"LATE RETEST "&amp;TEXT(_xlfn.MINIFS(nrES_Date,nrES_PID,$D477,nrES_Code,$F477,nrES_Att,2,nrES_Raw,"&gt;=0",nrES_Date,"&gt;0"),"mm/dd")&amp;" (due "&amp;TEXT($T477,"mm/dd")&amp;")","Retested"))),IF(NOT(ISNUMBER($T477)),"CHECK DATE",IF(TODAY()&gt;$T477,"OVERDUE","Due "&amp;TEXT($T477,"mm/dd")))))))</f>
        <v/>
      </c>
      <c r="V477" s="16" t="n"/>
      <c r="W477" s="16" t="n"/>
      <c r="X477" s="17">
        <f>IF($C477="","",IF(AND($L477&lt;&gt;"",NOT(ISNUMBER($L477))),"RAW SCORE NOT A NUMBER",IF(AND(ISNUMBER($L477),OR($L477&lt;0,$L477&gt;100)),"RAW SCORE OUT OF RANGE",IF(AND($Y477="Unexcused",OR($L477="",NOT(ISNUMBER($L477)),$L477&lt;&gt;0)),"UNEXCUSED ABSENCE MUST RECORD 0",IF(COUNTIF(nrES_RecID,$B477)&gt;1,"DUPLICATE RECORD",IF(N($K477)&gt;2,"ATTEMPT 3+ NOT ALLOWED - policy 300.5 permits one retest per exam; this row records nothing",IF(AND($K477=2,COUNTIFS(nrES_PID,$D477,nrES_Code,$F477,nrES_Att,1)=0),"ATTEMPT 2 WITHOUT ATTEMPT 1",IF(AND($K477=2,$L477=""),"RETEST ROW HAS NO SCORE",IF(AND($H477="Final",$L477&lt;&gt;"",IFERROR(INDEX(nrCKfinalExamElig,MATCH($D477,rngCadetPIDs,0)),"")="No"),"FINAL EXAM AFTER FAILED FINAL PT (500.1.H)",IF(AND($K477=2,ISNUMBER($L477),COUNTIFS(nrES_PID,$D477,nrES_Code,$F477,nrES_Att,1)&gt;0,SUMIFS(nrES_Raw,nrES_PID,$D477,nrES_Code,$F477,nrES_Att,1)&gt;=$J477),"RETEST AFTER A PASSING FIRST ATTEMPT","OK"))))))))))</f>
        <v/>
      </c>
      <c r="Y477" s="16" t="n"/>
    </row>
    <row r="478">
      <c r="B478" s="17">
        <f>IF($C478="","",$D478&amp;"-"&amp;$F478&amp;"-"&amp;$K478)</f>
        <v/>
      </c>
      <c r="C478" s="16" t="n"/>
      <c r="D478" s="17">
        <f>IF($C478="","",IFERROR(INDEX(rngCadetPIDs,MATCH($C478,rngCadetNames,0)),"?"))</f>
        <v/>
      </c>
      <c r="E478" s="17">
        <f>IF($D478="","",IFERROR(INDEX(nrCadetAgency,MATCH($D478,rngCadetPIDs,0)),""))</f>
        <v/>
      </c>
      <c r="F478" s="16" t="n"/>
      <c r="G478" s="17">
        <f>IF($F478="","",IFERROR(INDEX(rngEPname,MATCH($F478,rngEPcode,0)),"?"))</f>
        <v/>
      </c>
      <c r="H478" s="17">
        <f>IF($F478="","",IFERROR(INDEX(rngEPtype,MATCH($F478,rngEPcode,0)),"?"))</f>
        <v/>
      </c>
      <c r="I478" s="17">
        <f>IF($F478="","",IFERROR(INDEX(rngEPseq,MATCH($F478,rngEPcode,0)),""))</f>
        <v/>
      </c>
      <c r="J478" s="17">
        <f>IF($F478="","",IFERROR(INDEX(rngEPpass,MATCH($F478,rngEPcode,0)),cfgPassingScore))</f>
        <v/>
      </c>
      <c r="K478" s="16" t="n"/>
      <c r="L478" s="16" t="n"/>
      <c r="M478" s="17">
        <f>IF($C478="","",IF($L478="","",IF(NOT(ISNUMBER($L478)),$L478,IF(N($K478)&gt;2,"",IF($K478=1,IF(COUNTIFS(nrES_PID,$D478,nrES_Code,$F478,nrES_Att,2,nrES_Raw,"&gt;=0")&gt;0,"",$L478),IF($L478&gt;=$J478,MAX($J478,cfgRetakeRecordedCap),IF(COUNTIFS(nrES_PID,$D478,nrES_Code,$F478,nrES_Att,1)=0,$L478,SUMIFS(nrES_Raw,nrES_PID,$D478,nrES_Code,$F478,nrES_Att,1))))))))</f>
        <v/>
      </c>
      <c r="N478" s="17">
        <f>IF($C478="","",IF($L478="","",IF(NOT(ISNUMBER($L478)),"(not a score)",IF($L478&gt;=$J478,"Yes","No"))))</f>
        <v/>
      </c>
      <c r="O478" s="17">
        <f>IF($C478="","",IF($M478="","",IF(NOT(ISNUMBER($M478)),"(not a score)",IF($M478&gt;=$J478,"Yes","No"))))</f>
        <v/>
      </c>
      <c r="P478" s="17">
        <f>IF($C478="","",IF($K478="","",IF(N($K478)&gt;2,"No",IF(COUNTIFS(nrES_PID,$D478,nrES_Code,$F478,nrES_Att,"&gt;"&amp;$K478,nrES_Att,"&lt;=2",nrES_Raw,"&gt;=0")=0,"Yes","No"))))</f>
        <v/>
      </c>
      <c r="Q478" s="17">
        <f>IF($C478="","",IF($L478="","",IF(AND($K478=1,ISNUMBER($L478),$L478&lt;$J478,COUNTIFS(nrES_PID,$D478,nrES_Code,$F478,nrES_Att,2,nrES_Raw,"&gt;=0")=0),"Yes","No")))</f>
        <v/>
      </c>
      <c r="R478" s="17">
        <f>IF($C478="","",IF($L478="","",IF(AND(N($K478)&gt;=2,ISNUMBER($L478),$L478&lt;$J478),"Yes","No")))</f>
        <v/>
      </c>
      <c r="S478" s="18" t="n"/>
      <c r="T478" s="19">
        <f>IF(OR($C478="",$L478="",$K478&lt;&gt;1,NOT(ISNUMBER($L478)),$L478&gt;=$J478),"",IF($S478="","(enter date)",_xlfn.LET(_xlpm.dn,_xlfn.XLOOKUP($S478,nrCDdate,nrCDnum,"",1),IF(_xlpm.dn="","(after last class day)",_xlfn.LET(_xlpm.dd,_xlfn.XLOOKUP(_xlpm.dn+cfgRetestClassDays,nrCDnum,nrCDdate,""),_xlpm.ok,_xlfn.XLOOKUP(_xlpm.dn+cfgRetestClassDays,nrCDnum,nrCDinsession,"No"),IF(OR(_xlpm.dd="",_xlpm.ok&lt;&gt;"Yes"),"(after last class day)",_xlpm.dd))))))</f>
        <v/>
      </c>
      <c r="U478" s="17">
        <f>IF($C478="","",IF(AND($Y478="Excused",$L478="",N($K478)&lt;=1),"EXCUSED - 1st attempt pending",IF(OR($L478="",$K478&lt;&gt;1,NOT(ISNUMBER($L478)),$L478&gt;=$J478),"",IF(COUNTIFS(nrES_PID,$D478,nrES_Code,$F478,nrES_Att,2,nrES_Raw,"&gt;=0")&gt;0,IF(IFERROR(_xlfn.MINIFS(nrES_Date,nrES_PID,$D478,nrES_Code,$F478,nrES_Att,2,nrES_Raw,"&gt;=0",nrES_Date,"&gt;0"),0)=0,"RETEST UNDATED",IF(NOT(ISNUMBER($T478)),"RETEST DATE UNCHECKED",IF(_xlfn.MINIFS(nrES_Date,nrES_PID,$D478,nrES_Code,$F478,nrES_Att,2,nrES_Raw,"&gt;=0",nrES_Date,"&gt;0")&gt;$T478,"LATE RETEST "&amp;TEXT(_xlfn.MINIFS(nrES_Date,nrES_PID,$D478,nrES_Code,$F478,nrES_Att,2,nrES_Raw,"&gt;=0",nrES_Date,"&gt;0"),"mm/dd")&amp;" (due "&amp;TEXT($T478,"mm/dd")&amp;")","Retested"))),IF(NOT(ISNUMBER($T478)),"CHECK DATE",IF(TODAY()&gt;$T478,"OVERDUE","Due "&amp;TEXT($T478,"mm/dd")))))))</f>
        <v/>
      </c>
      <c r="V478" s="16" t="n"/>
      <c r="W478" s="16" t="n"/>
      <c r="X478" s="17">
        <f>IF($C478="","",IF(AND($L478&lt;&gt;"",NOT(ISNUMBER($L478))),"RAW SCORE NOT A NUMBER",IF(AND(ISNUMBER($L478),OR($L478&lt;0,$L478&gt;100)),"RAW SCORE OUT OF RANGE",IF(AND($Y478="Unexcused",OR($L478="",NOT(ISNUMBER($L478)),$L478&lt;&gt;0)),"UNEXCUSED ABSENCE MUST RECORD 0",IF(COUNTIF(nrES_RecID,$B478)&gt;1,"DUPLICATE RECORD",IF(N($K478)&gt;2,"ATTEMPT 3+ NOT ALLOWED - policy 300.5 permits one retest per exam; this row records nothing",IF(AND($K478=2,COUNTIFS(nrES_PID,$D478,nrES_Code,$F478,nrES_Att,1)=0),"ATTEMPT 2 WITHOUT ATTEMPT 1",IF(AND($K478=2,$L478=""),"RETEST ROW HAS NO SCORE",IF(AND($H478="Final",$L478&lt;&gt;"",IFERROR(INDEX(nrCKfinalExamElig,MATCH($D478,rngCadetPIDs,0)),"")="No"),"FINAL EXAM AFTER FAILED FINAL PT (500.1.H)",IF(AND($K478=2,ISNUMBER($L478),COUNTIFS(nrES_PID,$D478,nrES_Code,$F478,nrES_Att,1)&gt;0,SUMIFS(nrES_Raw,nrES_PID,$D478,nrES_Code,$F478,nrES_Att,1)&gt;=$J478),"RETEST AFTER A PASSING FIRST ATTEMPT","OK"))))))))))</f>
        <v/>
      </c>
      <c r="Y478" s="16" t="n"/>
    </row>
    <row r="479">
      <c r="B479" s="17">
        <f>IF($C479="","",$D479&amp;"-"&amp;$F479&amp;"-"&amp;$K479)</f>
        <v/>
      </c>
      <c r="C479" s="16" t="n"/>
      <c r="D479" s="17">
        <f>IF($C479="","",IFERROR(INDEX(rngCadetPIDs,MATCH($C479,rngCadetNames,0)),"?"))</f>
        <v/>
      </c>
      <c r="E479" s="17">
        <f>IF($D479="","",IFERROR(INDEX(nrCadetAgency,MATCH($D479,rngCadetPIDs,0)),""))</f>
        <v/>
      </c>
      <c r="F479" s="16" t="n"/>
      <c r="G479" s="17">
        <f>IF($F479="","",IFERROR(INDEX(rngEPname,MATCH($F479,rngEPcode,0)),"?"))</f>
        <v/>
      </c>
      <c r="H479" s="17">
        <f>IF($F479="","",IFERROR(INDEX(rngEPtype,MATCH($F479,rngEPcode,0)),"?"))</f>
        <v/>
      </c>
      <c r="I479" s="17">
        <f>IF($F479="","",IFERROR(INDEX(rngEPseq,MATCH($F479,rngEPcode,0)),""))</f>
        <v/>
      </c>
      <c r="J479" s="17">
        <f>IF($F479="","",IFERROR(INDEX(rngEPpass,MATCH($F479,rngEPcode,0)),cfgPassingScore))</f>
        <v/>
      </c>
      <c r="K479" s="16" t="n"/>
      <c r="L479" s="16" t="n"/>
      <c r="M479" s="17">
        <f>IF($C479="","",IF($L479="","",IF(NOT(ISNUMBER($L479)),$L479,IF(N($K479)&gt;2,"",IF($K479=1,IF(COUNTIFS(nrES_PID,$D479,nrES_Code,$F479,nrES_Att,2,nrES_Raw,"&gt;=0")&gt;0,"",$L479),IF($L479&gt;=$J479,MAX($J479,cfgRetakeRecordedCap),IF(COUNTIFS(nrES_PID,$D479,nrES_Code,$F479,nrES_Att,1)=0,$L479,SUMIFS(nrES_Raw,nrES_PID,$D479,nrES_Code,$F479,nrES_Att,1))))))))</f>
        <v/>
      </c>
      <c r="N479" s="17">
        <f>IF($C479="","",IF($L479="","",IF(NOT(ISNUMBER($L479)),"(not a score)",IF($L479&gt;=$J479,"Yes","No"))))</f>
        <v/>
      </c>
      <c r="O479" s="17">
        <f>IF($C479="","",IF($M479="","",IF(NOT(ISNUMBER($M479)),"(not a score)",IF($M479&gt;=$J479,"Yes","No"))))</f>
        <v/>
      </c>
      <c r="P479" s="17">
        <f>IF($C479="","",IF($K479="","",IF(N($K479)&gt;2,"No",IF(COUNTIFS(nrES_PID,$D479,nrES_Code,$F479,nrES_Att,"&gt;"&amp;$K479,nrES_Att,"&lt;=2",nrES_Raw,"&gt;=0")=0,"Yes","No"))))</f>
        <v/>
      </c>
      <c r="Q479" s="17">
        <f>IF($C479="","",IF($L479="","",IF(AND($K479=1,ISNUMBER($L479),$L479&lt;$J479,COUNTIFS(nrES_PID,$D479,nrES_Code,$F479,nrES_Att,2,nrES_Raw,"&gt;=0")=0),"Yes","No")))</f>
        <v/>
      </c>
      <c r="R479" s="17">
        <f>IF($C479="","",IF($L479="","",IF(AND(N($K479)&gt;=2,ISNUMBER($L479),$L479&lt;$J479),"Yes","No")))</f>
        <v/>
      </c>
      <c r="S479" s="18" t="n"/>
      <c r="T479" s="19">
        <f>IF(OR($C479="",$L479="",$K479&lt;&gt;1,NOT(ISNUMBER($L479)),$L479&gt;=$J479),"",IF($S479="","(enter date)",_xlfn.LET(_xlpm.dn,_xlfn.XLOOKUP($S479,nrCDdate,nrCDnum,"",1),IF(_xlpm.dn="","(after last class day)",_xlfn.LET(_xlpm.dd,_xlfn.XLOOKUP(_xlpm.dn+cfgRetestClassDays,nrCDnum,nrCDdate,""),_xlpm.ok,_xlfn.XLOOKUP(_xlpm.dn+cfgRetestClassDays,nrCDnum,nrCDinsession,"No"),IF(OR(_xlpm.dd="",_xlpm.ok&lt;&gt;"Yes"),"(after last class day)",_xlpm.dd))))))</f>
        <v/>
      </c>
      <c r="U479" s="17">
        <f>IF($C479="","",IF(AND($Y479="Excused",$L479="",N($K479)&lt;=1),"EXCUSED - 1st attempt pending",IF(OR($L479="",$K479&lt;&gt;1,NOT(ISNUMBER($L479)),$L479&gt;=$J479),"",IF(COUNTIFS(nrES_PID,$D479,nrES_Code,$F479,nrES_Att,2,nrES_Raw,"&gt;=0")&gt;0,IF(IFERROR(_xlfn.MINIFS(nrES_Date,nrES_PID,$D479,nrES_Code,$F479,nrES_Att,2,nrES_Raw,"&gt;=0",nrES_Date,"&gt;0"),0)=0,"RETEST UNDATED",IF(NOT(ISNUMBER($T479)),"RETEST DATE UNCHECKED",IF(_xlfn.MINIFS(nrES_Date,nrES_PID,$D479,nrES_Code,$F479,nrES_Att,2,nrES_Raw,"&gt;=0",nrES_Date,"&gt;0")&gt;$T479,"LATE RETEST "&amp;TEXT(_xlfn.MINIFS(nrES_Date,nrES_PID,$D479,nrES_Code,$F479,nrES_Att,2,nrES_Raw,"&gt;=0",nrES_Date,"&gt;0"),"mm/dd")&amp;" (due "&amp;TEXT($T479,"mm/dd")&amp;")","Retested"))),IF(NOT(ISNUMBER($T479)),"CHECK DATE",IF(TODAY()&gt;$T479,"OVERDUE","Due "&amp;TEXT($T479,"mm/dd")))))))</f>
        <v/>
      </c>
      <c r="V479" s="16" t="n"/>
      <c r="W479" s="16" t="n"/>
      <c r="X479" s="17">
        <f>IF($C479="","",IF(AND($L479&lt;&gt;"",NOT(ISNUMBER($L479))),"RAW SCORE NOT A NUMBER",IF(AND(ISNUMBER($L479),OR($L479&lt;0,$L479&gt;100)),"RAW SCORE OUT OF RANGE",IF(AND($Y479="Unexcused",OR($L479="",NOT(ISNUMBER($L479)),$L479&lt;&gt;0)),"UNEXCUSED ABSENCE MUST RECORD 0",IF(COUNTIF(nrES_RecID,$B479)&gt;1,"DUPLICATE RECORD",IF(N($K479)&gt;2,"ATTEMPT 3+ NOT ALLOWED - policy 300.5 permits one retest per exam; this row records nothing",IF(AND($K479=2,COUNTIFS(nrES_PID,$D479,nrES_Code,$F479,nrES_Att,1)=0),"ATTEMPT 2 WITHOUT ATTEMPT 1",IF(AND($K479=2,$L479=""),"RETEST ROW HAS NO SCORE",IF(AND($H479="Final",$L479&lt;&gt;"",IFERROR(INDEX(nrCKfinalExamElig,MATCH($D479,rngCadetPIDs,0)),"")="No"),"FINAL EXAM AFTER FAILED FINAL PT (500.1.H)",IF(AND($K479=2,ISNUMBER($L479),COUNTIFS(nrES_PID,$D479,nrES_Code,$F479,nrES_Att,1)&gt;0,SUMIFS(nrES_Raw,nrES_PID,$D479,nrES_Code,$F479,nrES_Att,1)&gt;=$J479),"RETEST AFTER A PASSING FIRST ATTEMPT","OK"))))))))))</f>
        <v/>
      </c>
      <c r="Y479" s="16" t="n"/>
    </row>
    <row r="480">
      <c r="B480" s="17">
        <f>IF($C480="","",$D480&amp;"-"&amp;$F480&amp;"-"&amp;$K480)</f>
        <v/>
      </c>
      <c r="C480" s="16" t="n"/>
      <c r="D480" s="17">
        <f>IF($C480="","",IFERROR(INDEX(rngCadetPIDs,MATCH($C480,rngCadetNames,0)),"?"))</f>
        <v/>
      </c>
      <c r="E480" s="17">
        <f>IF($D480="","",IFERROR(INDEX(nrCadetAgency,MATCH($D480,rngCadetPIDs,0)),""))</f>
        <v/>
      </c>
      <c r="F480" s="16" t="n"/>
      <c r="G480" s="17">
        <f>IF($F480="","",IFERROR(INDEX(rngEPname,MATCH($F480,rngEPcode,0)),"?"))</f>
        <v/>
      </c>
      <c r="H480" s="17">
        <f>IF($F480="","",IFERROR(INDEX(rngEPtype,MATCH($F480,rngEPcode,0)),"?"))</f>
        <v/>
      </c>
      <c r="I480" s="17">
        <f>IF($F480="","",IFERROR(INDEX(rngEPseq,MATCH($F480,rngEPcode,0)),""))</f>
        <v/>
      </c>
      <c r="J480" s="17">
        <f>IF($F480="","",IFERROR(INDEX(rngEPpass,MATCH($F480,rngEPcode,0)),cfgPassingScore))</f>
        <v/>
      </c>
      <c r="K480" s="16" t="n"/>
      <c r="L480" s="16" t="n"/>
      <c r="M480" s="17">
        <f>IF($C480="","",IF($L480="","",IF(NOT(ISNUMBER($L480)),$L480,IF(N($K480)&gt;2,"",IF($K480=1,IF(COUNTIFS(nrES_PID,$D480,nrES_Code,$F480,nrES_Att,2,nrES_Raw,"&gt;=0")&gt;0,"",$L480),IF($L480&gt;=$J480,MAX($J480,cfgRetakeRecordedCap),IF(COUNTIFS(nrES_PID,$D480,nrES_Code,$F480,nrES_Att,1)=0,$L480,SUMIFS(nrES_Raw,nrES_PID,$D480,nrES_Code,$F480,nrES_Att,1))))))))</f>
        <v/>
      </c>
      <c r="N480" s="17">
        <f>IF($C480="","",IF($L480="","",IF(NOT(ISNUMBER($L480)),"(not a score)",IF($L480&gt;=$J480,"Yes","No"))))</f>
        <v/>
      </c>
      <c r="O480" s="17">
        <f>IF($C480="","",IF($M480="","",IF(NOT(ISNUMBER($M480)),"(not a score)",IF($M480&gt;=$J480,"Yes","No"))))</f>
        <v/>
      </c>
      <c r="P480" s="17">
        <f>IF($C480="","",IF($K480="","",IF(N($K480)&gt;2,"No",IF(COUNTIFS(nrES_PID,$D480,nrES_Code,$F480,nrES_Att,"&gt;"&amp;$K480,nrES_Att,"&lt;=2",nrES_Raw,"&gt;=0")=0,"Yes","No"))))</f>
        <v/>
      </c>
      <c r="Q480" s="17">
        <f>IF($C480="","",IF($L480="","",IF(AND($K480=1,ISNUMBER($L480),$L480&lt;$J480,COUNTIFS(nrES_PID,$D480,nrES_Code,$F480,nrES_Att,2,nrES_Raw,"&gt;=0")=0),"Yes","No")))</f>
        <v/>
      </c>
      <c r="R480" s="17">
        <f>IF($C480="","",IF($L480="","",IF(AND(N($K480)&gt;=2,ISNUMBER($L480),$L480&lt;$J480),"Yes","No")))</f>
        <v/>
      </c>
      <c r="S480" s="18" t="n"/>
      <c r="T480" s="19">
        <f>IF(OR($C480="",$L480="",$K480&lt;&gt;1,NOT(ISNUMBER($L480)),$L480&gt;=$J480),"",IF($S480="","(enter date)",_xlfn.LET(_xlpm.dn,_xlfn.XLOOKUP($S480,nrCDdate,nrCDnum,"",1),IF(_xlpm.dn="","(after last class day)",_xlfn.LET(_xlpm.dd,_xlfn.XLOOKUP(_xlpm.dn+cfgRetestClassDays,nrCDnum,nrCDdate,""),_xlpm.ok,_xlfn.XLOOKUP(_xlpm.dn+cfgRetestClassDays,nrCDnum,nrCDinsession,"No"),IF(OR(_xlpm.dd="",_xlpm.ok&lt;&gt;"Yes"),"(after last class day)",_xlpm.dd))))))</f>
        <v/>
      </c>
      <c r="U480" s="17">
        <f>IF($C480="","",IF(AND($Y480="Excused",$L480="",N($K480)&lt;=1),"EXCUSED - 1st attempt pending",IF(OR($L480="",$K480&lt;&gt;1,NOT(ISNUMBER($L480)),$L480&gt;=$J480),"",IF(COUNTIFS(nrES_PID,$D480,nrES_Code,$F480,nrES_Att,2,nrES_Raw,"&gt;=0")&gt;0,IF(IFERROR(_xlfn.MINIFS(nrES_Date,nrES_PID,$D480,nrES_Code,$F480,nrES_Att,2,nrES_Raw,"&gt;=0",nrES_Date,"&gt;0"),0)=0,"RETEST UNDATED",IF(NOT(ISNUMBER($T480)),"RETEST DATE UNCHECKED",IF(_xlfn.MINIFS(nrES_Date,nrES_PID,$D480,nrES_Code,$F480,nrES_Att,2,nrES_Raw,"&gt;=0",nrES_Date,"&gt;0")&gt;$T480,"LATE RETEST "&amp;TEXT(_xlfn.MINIFS(nrES_Date,nrES_PID,$D480,nrES_Code,$F480,nrES_Att,2,nrES_Raw,"&gt;=0",nrES_Date,"&gt;0"),"mm/dd")&amp;" (due "&amp;TEXT($T480,"mm/dd")&amp;")","Retested"))),IF(NOT(ISNUMBER($T480)),"CHECK DATE",IF(TODAY()&gt;$T480,"OVERDUE","Due "&amp;TEXT($T480,"mm/dd")))))))</f>
        <v/>
      </c>
      <c r="V480" s="16" t="n"/>
      <c r="W480" s="16" t="n"/>
      <c r="X480" s="17">
        <f>IF($C480="","",IF(AND($L480&lt;&gt;"",NOT(ISNUMBER($L480))),"RAW SCORE NOT A NUMBER",IF(AND(ISNUMBER($L480),OR($L480&lt;0,$L480&gt;100)),"RAW SCORE OUT OF RANGE",IF(AND($Y480="Unexcused",OR($L480="",NOT(ISNUMBER($L480)),$L480&lt;&gt;0)),"UNEXCUSED ABSENCE MUST RECORD 0",IF(COUNTIF(nrES_RecID,$B480)&gt;1,"DUPLICATE RECORD",IF(N($K480)&gt;2,"ATTEMPT 3+ NOT ALLOWED - policy 300.5 permits one retest per exam; this row records nothing",IF(AND($K480=2,COUNTIFS(nrES_PID,$D480,nrES_Code,$F480,nrES_Att,1)=0),"ATTEMPT 2 WITHOUT ATTEMPT 1",IF(AND($K480=2,$L480=""),"RETEST ROW HAS NO SCORE",IF(AND($H480="Final",$L480&lt;&gt;"",IFERROR(INDEX(nrCKfinalExamElig,MATCH($D480,rngCadetPIDs,0)),"")="No"),"FINAL EXAM AFTER FAILED FINAL PT (500.1.H)",IF(AND($K480=2,ISNUMBER($L480),COUNTIFS(nrES_PID,$D480,nrES_Code,$F480,nrES_Att,1)&gt;0,SUMIFS(nrES_Raw,nrES_PID,$D480,nrES_Code,$F480,nrES_Att,1)&gt;=$J480),"RETEST AFTER A PASSING FIRST ATTEMPT","OK"))))))))))</f>
        <v/>
      </c>
      <c r="Y480" s="16" t="n"/>
    </row>
    <row r="481">
      <c r="B481" s="17">
        <f>IF($C481="","",$D481&amp;"-"&amp;$F481&amp;"-"&amp;$K481)</f>
        <v/>
      </c>
      <c r="C481" s="16" t="n"/>
      <c r="D481" s="17">
        <f>IF($C481="","",IFERROR(INDEX(rngCadetPIDs,MATCH($C481,rngCadetNames,0)),"?"))</f>
        <v/>
      </c>
      <c r="E481" s="17">
        <f>IF($D481="","",IFERROR(INDEX(nrCadetAgency,MATCH($D481,rngCadetPIDs,0)),""))</f>
        <v/>
      </c>
      <c r="F481" s="16" t="n"/>
      <c r="G481" s="17">
        <f>IF($F481="","",IFERROR(INDEX(rngEPname,MATCH($F481,rngEPcode,0)),"?"))</f>
        <v/>
      </c>
      <c r="H481" s="17">
        <f>IF($F481="","",IFERROR(INDEX(rngEPtype,MATCH($F481,rngEPcode,0)),"?"))</f>
        <v/>
      </c>
      <c r="I481" s="17">
        <f>IF($F481="","",IFERROR(INDEX(rngEPseq,MATCH($F481,rngEPcode,0)),""))</f>
        <v/>
      </c>
      <c r="J481" s="17">
        <f>IF($F481="","",IFERROR(INDEX(rngEPpass,MATCH($F481,rngEPcode,0)),cfgPassingScore))</f>
        <v/>
      </c>
      <c r="K481" s="16" t="n"/>
      <c r="L481" s="16" t="n"/>
      <c r="M481" s="17">
        <f>IF($C481="","",IF($L481="","",IF(NOT(ISNUMBER($L481)),$L481,IF(N($K481)&gt;2,"",IF($K481=1,IF(COUNTIFS(nrES_PID,$D481,nrES_Code,$F481,nrES_Att,2,nrES_Raw,"&gt;=0")&gt;0,"",$L481),IF($L481&gt;=$J481,MAX($J481,cfgRetakeRecordedCap),IF(COUNTIFS(nrES_PID,$D481,nrES_Code,$F481,nrES_Att,1)=0,$L481,SUMIFS(nrES_Raw,nrES_PID,$D481,nrES_Code,$F481,nrES_Att,1))))))))</f>
        <v/>
      </c>
      <c r="N481" s="17">
        <f>IF($C481="","",IF($L481="","",IF(NOT(ISNUMBER($L481)),"(not a score)",IF($L481&gt;=$J481,"Yes","No"))))</f>
        <v/>
      </c>
      <c r="O481" s="17">
        <f>IF($C481="","",IF($M481="","",IF(NOT(ISNUMBER($M481)),"(not a score)",IF($M481&gt;=$J481,"Yes","No"))))</f>
        <v/>
      </c>
      <c r="P481" s="17">
        <f>IF($C481="","",IF($K481="","",IF(N($K481)&gt;2,"No",IF(COUNTIFS(nrES_PID,$D481,nrES_Code,$F481,nrES_Att,"&gt;"&amp;$K481,nrES_Att,"&lt;=2",nrES_Raw,"&gt;=0")=0,"Yes","No"))))</f>
        <v/>
      </c>
      <c r="Q481" s="17">
        <f>IF($C481="","",IF($L481="","",IF(AND($K481=1,ISNUMBER($L481),$L481&lt;$J481,COUNTIFS(nrES_PID,$D481,nrES_Code,$F481,nrES_Att,2,nrES_Raw,"&gt;=0")=0),"Yes","No")))</f>
        <v/>
      </c>
      <c r="R481" s="17">
        <f>IF($C481="","",IF($L481="","",IF(AND(N($K481)&gt;=2,ISNUMBER($L481),$L481&lt;$J481),"Yes","No")))</f>
        <v/>
      </c>
      <c r="S481" s="18" t="n"/>
      <c r="T481" s="19">
        <f>IF(OR($C481="",$L481="",$K481&lt;&gt;1,NOT(ISNUMBER($L481)),$L481&gt;=$J481),"",IF($S481="","(enter date)",_xlfn.LET(_xlpm.dn,_xlfn.XLOOKUP($S481,nrCDdate,nrCDnum,"",1),IF(_xlpm.dn="","(after last class day)",_xlfn.LET(_xlpm.dd,_xlfn.XLOOKUP(_xlpm.dn+cfgRetestClassDays,nrCDnum,nrCDdate,""),_xlpm.ok,_xlfn.XLOOKUP(_xlpm.dn+cfgRetestClassDays,nrCDnum,nrCDinsession,"No"),IF(OR(_xlpm.dd="",_xlpm.ok&lt;&gt;"Yes"),"(after last class day)",_xlpm.dd))))))</f>
        <v/>
      </c>
      <c r="U481" s="17">
        <f>IF($C481="","",IF(AND($Y481="Excused",$L481="",N($K481)&lt;=1),"EXCUSED - 1st attempt pending",IF(OR($L481="",$K481&lt;&gt;1,NOT(ISNUMBER($L481)),$L481&gt;=$J481),"",IF(COUNTIFS(nrES_PID,$D481,nrES_Code,$F481,nrES_Att,2,nrES_Raw,"&gt;=0")&gt;0,IF(IFERROR(_xlfn.MINIFS(nrES_Date,nrES_PID,$D481,nrES_Code,$F481,nrES_Att,2,nrES_Raw,"&gt;=0",nrES_Date,"&gt;0"),0)=0,"RETEST UNDATED",IF(NOT(ISNUMBER($T481)),"RETEST DATE UNCHECKED",IF(_xlfn.MINIFS(nrES_Date,nrES_PID,$D481,nrES_Code,$F481,nrES_Att,2,nrES_Raw,"&gt;=0",nrES_Date,"&gt;0")&gt;$T481,"LATE RETEST "&amp;TEXT(_xlfn.MINIFS(nrES_Date,nrES_PID,$D481,nrES_Code,$F481,nrES_Att,2,nrES_Raw,"&gt;=0",nrES_Date,"&gt;0"),"mm/dd")&amp;" (due "&amp;TEXT($T481,"mm/dd")&amp;")","Retested"))),IF(NOT(ISNUMBER($T481)),"CHECK DATE",IF(TODAY()&gt;$T481,"OVERDUE","Due "&amp;TEXT($T481,"mm/dd")))))))</f>
        <v/>
      </c>
      <c r="V481" s="16" t="n"/>
      <c r="W481" s="16" t="n"/>
      <c r="X481" s="17">
        <f>IF($C481="","",IF(AND($L481&lt;&gt;"",NOT(ISNUMBER($L481))),"RAW SCORE NOT A NUMBER",IF(AND(ISNUMBER($L481),OR($L481&lt;0,$L481&gt;100)),"RAW SCORE OUT OF RANGE",IF(AND($Y481="Unexcused",OR($L481="",NOT(ISNUMBER($L481)),$L481&lt;&gt;0)),"UNEXCUSED ABSENCE MUST RECORD 0",IF(COUNTIF(nrES_RecID,$B481)&gt;1,"DUPLICATE RECORD",IF(N($K481)&gt;2,"ATTEMPT 3+ NOT ALLOWED - policy 300.5 permits one retest per exam; this row records nothing",IF(AND($K481=2,COUNTIFS(nrES_PID,$D481,nrES_Code,$F481,nrES_Att,1)=0),"ATTEMPT 2 WITHOUT ATTEMPT 1",IF(AND($K481=2,$L481=""),"RETEST ROW HAS NO SCORE",IF(AND($H481="Final",$L481&lt;&gt;"",IFERROR(INDEX(nrCKfinalExamElig,MATCH($D481,rngCadetPIDs,0)),"")="No"),"FINAL EXAM AFTER FAILED FINAL PT (500.1.H)",IF(AND($K481=2,ISNUMBER($L481),COUNTIFS(nrES_PID,$D481,nrES_Code,$F481,nrES_Att,1)&gt;0,SUMIFS(nrES_Raw,nrES_PID,$D481,nrES_Code,$F481,nrES_Att,1)&gt;=$J481),"RETEST AFTER A PASSING FIRST ATTEMPT","OK"))))))))))</f>
        <v/>
      </c>
      <c r="Y481" s="16" t="n"/>
    </row>
    <row r="482">
      <c r="B482" s="17">
        <f>IF($C482="","",$D482&amp;"-"&amp;$F482&amp;"-"&amp;$K482)</f>
        <v/>
      </c>
      <c r="C482" s="16" t="n"/>
      <c r="D482" s="17">
        <f>IF($C482="","",IFERROR(INDEX(rngCadetPIDs,MATCH($C482,rngCadetNames,0)),"?"))</f>
        <v/>
      </c>
      <c r="E482" s="17">
        <f>IF($D482="","",IFERROR(INDEX(nrCadetAgency,MATCH($D482,rngCadetPIDs,0)),""))</f>
        <v/>
      </c>
      <c r="F482" s="16" t="n"/>
      <c r="G482" s="17">
        <f>IF($F482="","",IFERROR(INDEX(rngEPname,MATCH($F482,rngEPcode,0)),"?"))</f>
        <v/>
      </c>
      <c r="H482" s="17">
        <f>IF($F482="","",IFERROR(INDEX(rngEPtype,MATCH($F482,rngEPcode,0)),"?"))</f>
        <v/>
      </c>
      <c r="I482" s="17">
        <f>IF($F482="","",IFERROR(INDEX(rngEPseq,MATCH($F482,rngEPcode,0)),""))</f>
        <v/>
      </c>
      <c r="J482" s="17">
        <f>IF($F482="","",IFERROR(INDEX(rngEPpass,MATCH($F482,rngEPcode,0)),cfgPassingScore))</f>
        <v/>
      </c>
      <c r="K482" s="16" t="n"/>
      <c r="L482" s="16" t="n"/>
      <c r="M482" s="17">
        <f>IF($C482="","",IF($L482="","",IF(NOT(ISNUMBER($L482)),$L482,IF(N($K482)&gt;2,"",IF($K482=1,IF(COUNTIFS(nrES_PID,$D482,nrES_Code,$F482,nrES_Att,2,nrES_Raw,"&gt;=0")&gt;0,"",$L482),IF($L482&gt;=$J482,MAX($J482,cfgRetakeRecordedCap),IF(COUNTIFS(nrES_PID,$D482,nrES_Code,$F482,nrES_Att,1)=0,$L482,SUMIFS(nrES_Raw,nrES_PID,$D482,nrES_Code,$F482,nrES_Att,1))))))))</f>
        <v/>
      </c>
      <c r="N482" s="17">
        <f>IF($C482="","",IF($L482="","",IF(NOT(ISNUMBER($L482)),"(not a score)",IF($L482&gt;=$J482,"Yes","No"))))</f>
        <v/>
      </c>
      <c r="O482" s="17">
        <f>IF($C482="","",IF($M482="","",IF(NOT(ISNUMBER($M482)),"(not a score)",IF($M482&gt;=$J482,"Yes","No"))))</f>
        <v/>
      </c>
      <c r="P482" s="17">
        <f>IF($C482="","",IF($K482="","",IF(N($K482)&gt;2,"No",IF(COUNTIFS(nrES_PID,$D482,nrES_Code,$F482,nrES_Att,"&gt;"&amp;$K482,nrES_Att,"&lt;=2",nrES_Raw,"&gt;=0")=0,"Yes","No"))))</f>
        <v/>
      </c>
      <c r="Q482" s="17">
        <f>IF($C482="","",IF($L482="","",IF(AND($K482=1,ISNUMBER($L482),$L482&lt;$J482,COUNTIFS(nrES_PID,$D482,nrES_Code,$F482,nrES_Att,2,nrES_Raw,"&gt;=0")=0),"Yes","No")))</f>
        <v/>
      </c>
      <c r="R482" s="17">
        <f>IF($C482="","",IF($L482="","",IF(AND(N($K482)&gt;=2,ISNUMBER($L482),$L482&lt;$J482),"Yes","No")))</f>
        <v/>
      </c>
      <c r="S482" s="18" t="n"/>
      <c r="T482" s="19">
        <f>IF(OR($C482="",$L482="",$K482&lt;&gt;1,NOT(ISNUMBER($L482)),$L482&gt;=$J482),"",IF($S482="","(enter date)",_xlfn.LET(_xlpm.dn,_xlfn.XLOOKUP($S482,nrCDdate,nrCDnum,"",1),IF(_xlpm.dn="","(after last class day)",_xlfn.LET(_xlpm.dd,_xlfn.XLOOKUP(_xlpm.dn+cfgRetestClassDays,nrCDnum,nrCDdate,""),_xlpm.ok,_xlfn.XLOOKUP(_xlpm.dn+cfgRetestClassDays,nrCDnum,nrCDinsession,"No"),IF(OR(_xlpm.dd="",_xlpm.ok&lt;&gt;"Yes"),"(after last class day)",_xlpm.dd))))))</f>
        <v/>
      </c>
      <c r="U482" s="17">
        <f>IF($C482="","",IF(AND($Y482="Excused",$L482="",N($K482)&lt;=1),"EXCUSED - 1st attempt pending",IF(OR($L482="",$K482&lt;&gt;1,NOT(ISNUMBER($L482)),$L482&gt;=$J482),"",IF(COUNTIFS(nrES_PID,$D482,nrES_Code,$F482,nrES_Att,2,nrES_Raw,"&gt;=0")&gt;0,IF(IFERROR(_xlfn.MINIFS(nrES_Date,nrES_PID,$D482,nrES_Code,$F482,nrES_Att,2,nrES_Raw,"&gt;=0",nrES_Date,"&gt;0"),0)=0,"RETEST UNDATED",IF(NOT(ISNUMBER($T482)),"RETEST DATE UNCHECKED",IF(_xlfn.MINIFS(nrES_Date,nrES_PID,$D482,nrES_Code,$F482,nrES_Att,2,nrES_Raw,"&gt;=0",nrES_Date,"&gt;0")&gt;$T482,"LATE RETEST "&amp;TEXT(_xlfn.MINIFS(nrES_Date,nrES_PID,$D482,nrES_Code,$F482,nrES_Att,2,nrES_Raw,"&gt;=0",nrES_Date,"&gt;0"),"mm/dd")&amp;" (due "&amp;TEXT($T482,"mm/dd")&amp;")","Retested"))),IF(NOT(ISNUMBER($T482)),"CHECK DATE",IF(TODAY()&gt;$T482,"OVERDUE","Due "&amp;TEXT($T482,"mm/dd")))))))</f>
        <v/>
      </c>
      <c r="V482" s="16" t="n"/>
      <c r="W482" s="16" t="n"/>
      <c r="X482" s="17">
        <f>IF($C482="","",IF(AND($L482&lt;&gt;"",NOT(ISNUMBER($L482))),"RAW SCORE NOT A NUMBER",IF(AND(ISNUMBER($L482),OR($L482&lt;0,$L482&gt;100)),"RAW SCORE OUT OF RANGE",IF(AND($Y482="Unexcused",OR($L482="",NOT(ISNUMBER($L482)),$L482&lt;&gt;0)),"UNEXCUSED ABSENCE MUST RECORD 0",IF(COUNTIF(nrES_RecID,$B482)&gt;1,"DUPLICATE RECORD",IF(N($K482)&gt;2,"ATTEMPT 3+ NOT ALLOWED - policy 300.5 permits one retest per exam; this row records nothing",IF(AND($K482=2,COUNTIFS(nrES_PID,$D482,nrES_Code,$F482,nrES_Att,1)=0),"ATTEMPT 2 WITHOUT ATTEMPT 1",IF(AND($K482=2,$L482=""),"RETEST ROW HAS NO SCORE",IF(AND($H482="Final",$L482&lt;&gt;"",IFERROR(INDEX(nrCKfinalExamElig,MATCH($D482,rngCadetPIDs,0)),"")="No"),"FINAL EXAM AFTER FAILED FINAL PT (500.1.H)",IF(AND($K482=2,ISNUMBER($L482),COUNTIFS(nrES_PID,$D482,nrES_Code,$F482,nrES_Att,1)&gt;0,SUMIFS(nrES_Raw,nrES_PID,$D482,nrES_Code,$F482,nrES_Att,1)&gt;=$J482),"RETEST AFTER A PASSING FIRST ATTEMPT","OK"))))))))))</f>
        <v/>
      </c>
      <c r="Y482" s="16" t="n"/>
    </row>
    <row r="483">
      <c r="B483" s="17">
        <f>IF($C483="","",$D483&amp;"-"&amp;$F483&amp;"-"&amp;$K483)</f>
        <v/>
      </c>
      <c r="C483" s="16" t="n"/>
      <c r="D483" s="17">
        <f>IF($C483="","",IFERROR(INDEX(rngCadetPIDs,MATCH($C483,rngCadetNames,0)),"?"))</f>
        <v/>
      </c>
      <c r="E483" s="17">
        <f>IF($D483="","",IFERROR(INDEX(nrCadetAgency,MATCH($D483,rngCadetPIDs,0)),""))</f>
        <v/>
      </c>
      <c r="F483" s="16" t="n"/>
      <c r="G483" s="17">
        <f>IF($F483="","",IFERROR(INDEX(rngEPname,MATCH($F483,rngEPcode,0)),"?"))</f>
        <v/>
      </c>
      <c r="H483" s="17">
        <f>IF($F483="","",IFERROR(INDEX(rngEPtype,MATCH($F483,rngEPcode,0)),"?"))</f>
        <v/>
      </c>
      <c r="I483" s="17">
        <f>IF($F483="","",IFERROR(INDEX(rngEPseq,MATCH($F483,rngEPcode,0)),""))</f>
        <v/>
      </c>
      <c r="J483" s="17">
        <f>IF($F483="","",IFERROR(INDEX(rngEPpass,MATCH($F483,rngEPcode,0)),cfgPassingScore))</f>
        <v/>
      </c>
      <c r="K483" s="16" t="n"/>
      <c r="L483" s="16" t="n"/>
      <c r="M483" s="17">
        <f>IF($C483="","",IF($L483="","",IF(NOT(ISNUMBER($L483)),$L483,IF(N($K483)&gt;2,"",IF($K483=1,IF(COUNTIFS(nrES_PID,$D483,nrES_Code,$F483,nrES_Att,2,nrES_Raw,"&gt;=0")&gt;0,"",$L483),IF($L483&gt;=$J483,MAX($J483,cfgRetakeRecordedCap),IF(COUNTIFS(nrES_PID,$D483,nrES_Code,$F483,nrES_Att,1)=0,$L483,SUMIFS(nrES_Raw,nrES_PID,$D483,nrES_Code,$F483,nrES_Att,1))))))))</f>
        <v/>
      </c>
      <c r="N483" s="17">
        <f>IF($C483="","",IF($L483="","",IF(NOT(ISNUMBER($L483)),"(not a score)",IF($L483&gt;=$J483,"Yes","No"))))</f>
        <v/>
      </c>
      <c r="O483" s="17">
        <f>IF($C483="","",IF($M483="","",IF(NOT(ISNUMBER($M483)),"(not a score)",IF($M483&gt;=$J483,"Yes","No"))))</f>
        <v/>
      </c>
      <c r="P483" s="17">
        <f>IF($C483="","",IF($K483="","",IF(N($K483)&gt;2,"No",IF(COUNTIFS(nrES_PID,$D483,nrES_Code,$F483,nrES_Att,"&gt;"&amp;$K483,nrES_Att,"&lt;=2",nrES_Raw,"&gt;=0")=0,"Yes","No"))))</f>
        <v/>
      </c>
      <c r="Q483" s="17">
        <f>IF($C483="","",IF($L483="","",IF(AND($K483=1,ISNUMBER($L483),$L483&lt;$J483,COUNTIFS(nrES_PID,$D483,nrES_Code,$F483,nrES_Att,2,nrES_Raw,"&gt;=0")=0),"Yes","No")))</f>
        <v/>
      </c>
      <c r="R483" s="17">
        <f>IF($C483="","",IF($L483="","",IF(AND(N($K483)&gt;=2,ISNUMBER($L483),$L483&lt;$J483),"Yes","No")))</f>
        <v/>
      </c>
      <c r="S483" s="18" t="n"/>
      <c r="T483" s="19">
        <f>IF(OR($C483="",$L483="",$K483&lt;&gt;1,NOT(ISNUMBER($L483)),$L483&gt;=$J483),"",IF($S483="","(enter date)",_xlfn.LET(_xlpm.dn,_xlfn.XLOOKUP($S483,nrCDdate,nrCDnum,"",1),IF(_xlpm.dn="","(after last class day)",_xlfn.LET(_xlpm.dd,_xlfn.XLOOKUP(_xlpm.dn+cfgRetestClassDays,nrCDnum,nrCDdate,""),_xlpm.ok,_xlfn.XLOOKUP(_xlpm.dn+cfgRetestClassDays,nrCDnum,nrCDinsession,"No"),IF(OR(_xlpm.dd="",_xlpm.ok&lt;&gt;"Yes"),"(after last class day)",_xlpm.dd))))))</f>
        <v/>
      </c>
      <c r="U483" s="17">
        <f>IF($C483="","",IF(AND($Y483="Excused",$L483="",N($K483)&lt;=1),"EXCUSED - 1st attempt pending",IF(OR($L483="",$K483&lt;&gt;1,NOT(ISNUMBER($L483)),$L483&gt;=$J483),"",IF(COUNTIFS(nrES_PID,$D483,nrES_Code,$F483,nrES_Att,2,nrES_Raw,"&gt;=0")&gt;0,IF(IFERROR(_xlfn.MINIFS(nrES_Date,nrES_PID,$D483,nrES_Code,$F483,nrES_Att,2,nrES_Raw,"&gt;=0",nrES_Date,"&gt;0"),0)=0,"RETEST UNDATED",IF(NOT(ISNUMBER($T483)),"RETEST DATE UNCHECKED",IF(_xlfn.MINIFS(nrES_Date,nrES_PID,$D483,nrES_Code,$F483,nrES_Att,2,nrES_Raw,"&gt;=0",nrES_Date,"&gt;0")&gt;$T483,"LATE RETEST "&amp;TEXT(_xlfn.MINIFS(nrES_Date,nrES_PID,$D483,nrES_Code,$F483,nrES_Att,2,nrES_Raw,"&gt;=0",nrES_Date,"&gt;0"),"mm/dd")&amp;" (due "&amp;TEXT($T483,"mm/dd")&amp;")","Retested"))),IF(NOT(ISNUMBER($T483)),"CHECK DATE",IF(TODAY()&gt;$T483,"OVERDUE","Due "&amp;TEXT($T483,"mm/dd")))))))</f>
        <v/>
      </c>
      <c r="V483" s="16" t="n"/>
      <c r="W483" s="16" t="n"/>
      <c r="X483" s="17">
        <f>IF($C483="","",IF(AND($L483&lt;&gt;"",NOT(ISNUMBER($L483))),"RAW SCORE NOT A NUMBER",IF(AND(ISNUMBER($L483),OR($L483&lt;0,$L483&gt;100)),"RAW SCORE OUT OF RANGE",IF(AND($Y483="Unexcused",OR($L483="",NOT(ISNUMBER($L483)),$L483&lt;&gt;0)),"UNEXCUSED ABSENCE MUST RECORD 0",IF(COUNTIF(nrES_RecID,$B483)&gt;1,"DUPLICATE RECORD",IF(N($K483)&gt;2,"ATTEMPT 3+ NOT ALLOWED - policy 300.5 permits one retest per exam; this row records nothing",IF(AND($K483=2,COUNTIFS(nrES_PID,$D483,nrES_Code,$F483,nrES_Att,1)=0),"ATTEMPT 2 WITHOUT ATTEMPT 1",IF(AND($K483=2,$L483=""),"RETEST ROW HAS NO SCORE",IF(AND($H483="Final",$L483&lt;&gt;"",IFERROR(INDEX(nrCKfinalExamElig,MATCH($D483,rngCadetPIDs,0)),"")="No"),"FINAL EXAM AFTER FAILED FINAL PT (500.1.H)",IF(AND($K483=2,ISNUMBER($L483),COUNTIFS(nrES_PID,$D483,nrES_Code,$F483,nrES_Att,1)&gt;0,SUMIFS(nrES_Raw,nrES_PID,$D483,nrES_Code,$F483,nrES_Att,1)&gt;=$J483),"RETEST AFTER A PASSING FIRST ATTEMPT","OK"))))))))))</f>
        <v/>
      </c>
      <c r="Y483" s="16" t="n"/>
    </row>
    <row r="484">
      <c r="B484" s="17">
        <f>IF($C484="","",$D484&amp;"-"&amp;$F484&amp;"-"&amp;$K484)</f>
        <v/>
      </c>
      <c r="C484" s="16" t="n"/>
      <c r="D484" s="17">
        <f>IF($C484="","",IFERROR(INDEX(rngCadetPIDs,MATCH($C484,rngCadetNames,0)),"?"))</f>
        <v/>
      </c>
      <c r="E484" s="17">
        <f>IF($D484="","",IFERROR(INDEX(nrCadetAgency,MATCH($D484,rngCadetPIDs,0)),""))</f>
        <v/>
      </c>
      <c r="F484" s="16" t="n"/>
      <c r="G484" s="17">
        <f>IF($F484="","",IFERROR(INDEX(rngEPname,MATCH($F484,rngEPcode,0)),"?"))</f>
        <v/>
      </c>
      <c r="H484" s="17">
        <f>IF($F484="","",IFERROR(INDEX(rngEPtype,MATCH($F484,rngEPcode,0)),"?"))</f>
        <v/>
      </c>
      <c r="I484" s="17">
        <f>IF($F484="","",IFERROR(INDEX(rngEPseq,MATCH($F484,rngEPcode,0)),""))</f>
        <v/>
      </c>
      <c r="J484" s="17">
        <f>IF($F484="","",IFERROR(INDEX(rngEPpass,MATCH($F484,rngEPcode,0)),cfgPassingScore))</f>
        <v/>
      </c>
      <c r="K484" s="16" t="n"/>
      <c r="L484" s="16" t="n"/>
      <c r="M484" s="17">
        <f>IF($C484="","",IF($L484="","",IF(NOT(ISNUMBER($L484)),$L484,IF(N($K484)&gt;2,"",IF($K484=1,IF(COUNTIFS(nrES_PID,$D484,nrES_Code,$F484,nrES_Att,2,nrES_Raw,"&gt;=0")&gt;0,"",$L484),IF($L484&gt;=$J484,MAX($J484,cfgRetakeRecordedCap),IF(COUNTIFS(nrES_PID,$D484,nrES_Code,$F484,nrES_Att,1)=0,$L484,SUMIFS(nrES_Raw,nrES_PID,$D484,nrES_Code,$F484,nrES_Att,1))))))))</f>
        <v/>
      </c>
      <c r="N484" s="17">
        <f>IF($C484="","",IF($L484="","",IF(NOT(ISNUMBER($L484)),"(not a score)",IF($L484&gt;=$J484,"Yes","No"))))</f>
        <v/>
      </c>
      <c r="O484" s="17">
        <f>IF($C484="","",IF($M484="","",IF(NOT(ISNUMBER($M484)),"(not a score)",IF($M484&gt;=$J484,"Yes","No"))))</f>
        <v/>
      </c>
      <c r="P484" s="17">
        <f>IF($C484="","",IF($K484="","",IF(N($K484)&gt;2,"No",IF(COUNTIFS(nrES_PID,$D484,nrES_Code,$F484,nrES_Att,"&gt;"&amp;$K484,nrES_Att,"&lt;=2",nrES_Raw,"&gt;=0")=0,"Yes","No"))))</f>
        <v/>
      </c>
      <c r="Q484" s="17">
        <f>IF($C484="","",IF($L484="","",IF(AND($K484=1,ISNUMBER($L484),$L484&lt;$J484,COUNTIFS(nrES_PID,$D484,nrES_Code,$F484,nrES_Att,2,nrES_Raw,"&gt;=0")=0),"Yes","No")))</f>
        <v/>
      </c>
      <c r="R484" s="17">
        <f>IF($C484="","",IF($L484="","",IF(AND(N($K484)&gt;=2,ISNUMBER($L484),$L484&lt;$J484),"Yes","No")))</f>
        <v/>
      </c>
      <c r="S484" s="18" t="n"/>
      <c r="T484" s="19">
        <f>IF(OR($C484="",$L484="",$K484&lt;&gt;1,NOT(ISNUMBER($L484)),$L484&gt;=$J484),"",IF($S484="","(enter date)",_xlfn.LET(_xlpm.dn,_xlfn.XLOOKUP($S484,nrCDdate,nrCDnum,"",1),IF(_xlpm.dn="","(after last class day)",_xlfn.LET(_xlpm.dd,_xlfn.XLOOKUP(_xlpm.dn+cfgRetestClassDays,nrCDnum,nrCDdate,""),_xlpm.ok,_xlfn.XLOOKUP(_xlpm.dn+cfgRetestClassDays,nrCDnum,nrCDinsession,"No"),IF(OR(_xlpm.dd="",_xlpm.ok&lt;&gt;"Yes"),"(after last class day)",_xlpm.dd))))))</f>
        <v/>
      </c>
      <c r="U484" s="17">
        <f>IF($C484="","",IF(AND($Y484="Excused",$L484="",N($K484)&lt;=1),"EXCUSED - 1st attempt pending",IF(OR($L484="",$K484&lt;&gt;1,NOT(ISNUMBER($L484)),$L484&gt;=$J484),"",IF(COUNTIFS(nrES_PID,$D484,nrES_Code,$F484,nrES_Att,2,nrES_Raw,"&gt;=0")&gt;0,IF(IFERROR(_xlfn.MINIFS(nrES_Date,nrES_PID,$D484,nrES_Code,$F484,nrES_Att,2,nrES_Raw,"&gt;=0",nrES_Date,"&gt;0"),0)=0,"RETEST UNDATED",IF(NOT(ISNUMBER($T484)),"RETEST DATE UNCHECKED",IF(_xlfn.MINIFS(nrES_Date,nrES_PID,$D484,nrES_Code,$F484,nrES_Att,2,nrES_Raw,"&gt;=0",nrES_Date,"&gt;0")&gt;$T484,"LATE RETEST "&amp;TEXT(_xlfn.MINIFS(nrES_Date,nrES_PID,$D484,nrES_Code,$F484,nrES_Att,2,nrES_Raw,"&gt;=0",nrES_Date,"&gt;0"),"mm/dd")&amp;" (due "&amp;TEXT($T484,"mm/dd")&amp;")","Retested"))),IF(NOT(ISNUMBER($T484)),"CHECK DATE",IF(TODAY()&gt;$T484,"OVERDUE","Due "&amp;TEXT($T484,"mm/dd")))))))</f>
        <v/>
      </c>
      <c r="V484" s="16" t="n"/>
      <c r="W484" s="16" t="n"/>
      <c r="X484" s="17">
        <f>IF($C484="","",IF(AND($L484&lt;&gt;"",NOT(ISNUMBER($L484))),"RAW SCORE NOT A NUMBER",IF(AND(ISNUMBER($L484),OR($L484&lt;0,$L484&gt;100)),"RAW SCORE OUT OF RANGE",IF(AND($Y484="Unexcused",OR($L484="",NOT(ISNUMBER($L484)),$L484&lt;&gt;0)),"UNEXCUSED ABSENCE MUST RECORD 0",IF(COUNTIF(nrES_RecID,$B484)&gt;1,"DUPLICATE RECORD",IF(N($K484)&gt;2,"ATTEMPT 3+ NOT ALLOWED - policy 300.5 permits one retest per exam; this row records nothing",IF(AND($K484=2,COUNTIFS(nrES_PID,$D484,nrES_Code,$F484,nrES_Att,1)=0),"ATTEMPT 2 WITHOUT ATTEMPT 1",IF(AND($K484=2,$L484=""),"RETEST ROW HAS NO SCORE",IF(AND($H484="Final",$L484&lt;&gt;"",IFERROR(INDEX(nrCKfinalExamElig,MATCH($D484,rngCadetPIDs,0)),"")="No"),"FINAL EXAM AFTER FAILED FINAL PT (500.1.H)",IF(AND($K484=2,ISNUMBER($L484),COUNTIFS(nrES_PID,$D484,nrES_Code,$F484,nrES_Att,1)&gt;0,SUMIFS(nrES_Raw,nrES_PID,$D484,nrES_Code,$F484,nrES_Att,1)&gt;=$J484),"RETEST AFTER A PASSING FIRST ATTEMPT","OK"))))))))))</f>
        <v/>
      </c>
      <c r="Y484" s="16" t="n"/>
    </row>
    <row r="485">
      <c r="B485" s="17">
        <f>IF($C485="","",$D485&amp;"-"&amp;$F485&amp;"-"&amp;$K485)</f>
        <v/>
      </c>
      <c r="C485" s="16" t="n"/>
      <c r="D485" s="17">
        <f>IF($C485="","",IFERROR(INDEX(rngCadetPIDs,MATCH($C485,rngCadetNames,0)),"?"))</f>
        <v/>
      </c>
      <c r="E485" s="17">
        <f>IF($D485="","",IFERROR(INDEX(nrCadetAgency,MATCH($D485,rngCadetPIDs,0)),""))</f>
        <v/>
      </c>
      <c r="F485" s="16" t="n"/>
      <c r="G485" s="17">
        <f>IF($F485="","",IFERROR(INDEX(rngEPname,MATCH($F485,rngEPcode,0)),"?"))</f>
        <v/>
      </c>
      <c r="H485" s="17">
        <f>IF($F485="","",IFERROR(INDEX(rngEPtype,MATCH($F485,rngEPcode,0)),"?"))</f>
        <v/>
      </c>
      <c r="I485" s="17">
        <f>IF($F485="","",IFERROR(INDEX(rngEPseq,MATCH($F485,rngEPcode,0)),""))</f>
        <v/>
      </c>
      <c r="J485" s="17">
        <f>IF($F485="","",IFERROR(INDEX(rngEPpass,MATCH($F485,rngEPcode,0)),cfgPassingScore))</f>
        <v/>
      </c>
      <c r="K485" s="16" t="n"/>
      <c r="L485" s="16" t="n"/>
      <c r="M485" s="17">
        <f>IF($C485="","",IF($L485="","",IF(NOT(ISNUMBER($L485)),$L485,IF(N($K485)&gt;2,"",IF($K485=1,IF(COUNTIFS(nrES_PID,$D485,nrES_Code,$F485,nrES_Att,2,nrES_Raw,"&gt;=0")&gt;0,"",$L485),IF($L485&gt;=$J485,MAX($J485,cfgRetakeRecordedCap),IF(COUNTIFS(nrES_PID,$D485,nrES_Code,$F485,nrES_Att,1)=0,$L485,SUMIFS(nrES_Raw,nrES_PID,$D485,nrES_Code,$F485,nrES_Att,1))))))))</f>
        <v/>
      </c>
      <c r="N485" s="17">
        <f>IF($C485="","",IF($L485="","",IF(NOT(ISNUMBER($L485)),"(not a score)",IF($L485&gt;=$J485,"Yes","No"))))</f>
        <v/>
      </c>
      <c r="O485" s="17">
        <f>IF($C485="","",IF($M485="","",IF(NOT(ISNUMBER($M485)),"(not a score)",IF($M485&gt;=$J485,"Yes","No"))))</f>
        <v/>
      </c>
      <c r="P485" s="17">
        <f>IF($C485="","",IF($K485="","",IF(N($K485)&gt;2,"No",IF(COUNTIFS(nrES_PID,$D485,nrES_Code,$F485,nrES_Att,"&gt;"&amp;$K485,nrES_Att,"&lt;=2",nrES_Raw,"&gt;=0")=0,"Yes","No"))))</f>
        <v/>
      </c>
      <c r="Q485" s="17">
        <f>IF($C485="","",IF($L485="","",IF(AND($K485=1,ISNUMBER($L485),$L485&lt;$J485,COUNTIFS(nrES_PID,$D485,nrES_Code,$F485,nrES_Att,2,nrES_Raw,"&gt;=0")=0),"Yes","No")))</f>
        <v/>
      </c>
      <c r="R485" s="17">
        <f>IF($C485="","",IF($L485="","",IF(AND(N($K485)&gt;=2,ISNUMBER($L485),$L485&lt;$J485),"Yes","No")))</f>
        <v/>
      </c>
      <c r="S485" s="18" t="n"/>
      <c r="T485" s="19">
        <f>IF(OR($C485="",$L485="",$K485&lt;&gt;1,NOT(ISNUMBER($L485)),$L485&gt;=$J485),"",IF($S485="","(enter date)",_xlfn.LET(_xlpm.dn,_xlfn.XLOOKUP($S485,nrCDdate,nrCDnum,"",1),IF(_xlpm.dn="","(after last class day)",_xlfn.LET(_xlpm.dd,_xlfn.XLOOKUP(_xlpm.dn+cfgRetestClassDays,nrCDnum,nrCDdate,""),_xlpm.ok,_xlfn.XLOOKUP(_xlpm.dn+cfgRetestClassDays,nrCDnum,nrCDinsession,"No"),IF(OR(_xlpm.dd="",_xlpm.ok&lt;&gt;"Yes"),"(after last class day)",_xlpm.dd))))))</f>
        <v/>
      </c>
      <c r="U485" s="17">
        <f>IF($C485="","",IF(AND($Y485="Excused",$L485="",N($K485)&lt;=1),"EXCUSED - 1st attempt pending",IF(OR($L485="",$K485&lt;&gt;1,NOT(ISNUMBER($L485)),$L485&gt;=$J485),"",IF(COUNTIFS(nrES_PID,$D485,nrES_Code,$F485,nrES_Att,2,nrES_Raw,"&gt;=0")&gt;0,IF(IFERROR(_xlfn.MINIFS(nrES_Date,nrES_PID,$D485,nrES_Code,$F485,nrES_Att,2,nrES_Raw,"&gt;=0",nrES_Date,"&gt;0"),0)=0,"RETEST UNDATED",IF(NOT(ISNUMBER($T485)),"RETEST DATE UNCHECKED",IF(_xlfn.MINIFS(nrES_Date,nrES_PID,$D485,nrES_Code,$F485,nrES_Att,2,nrES_Raw,"&gt;=0",nrES_Date,"&gt;0")&gt;$T485,"LATE RETEST "&amp;TEXT(_xlfn.MINIFS(nrES_Date,nrES_PID,$D485,nrES_Code,$F485,nrES_Att,2,nrES_Raw,"&gt;=0",nrES_Date,"&gt;0"),"mm/dd")&amp;" (due "&amp;TEXT($T485,"mm/dd")&amp;")","Retested"))),IF(NOT(ISNUMBER($T485)),"CHECK DATE",IF(TODAY()&gt;$T485,"OVERDUE","Due "&amp;TEXT($T485,"mm/dd")))))))</f>
        <v/>
      </c>
      <c r="V485" s="16" t="n"/>
      <c r="W485" s="16" t="n"/>
      <c r="X485" s="17">
        <f>IF($C485="","",IF(AND($L485&lt;&gt;"",NOT(ISNUMBER($L485))),"RAW SCORE NOT A NUMBER",IF(AND(ISNUMBER($L485),OR($L485&lt;0,$L485&gt;100)),"RAW SCORE OUT OF RANGE",IF(AND($Y485="Unexcused",OR($L485="",NOT(ISNUMBER($L485)),$L485&lt;&gt;0)),"UNEXCUSED ABSENCE MUST RECORD 0",IF(COUNTIF(nrES_RecID,$B485)&gt;1,"DUPLICATE RECORD",IF(N($K485)&gt;2,"ATTEMPT 3+ NOT ALLOWED - policy 300.5 permits one retest per exam; this row records nothing",IF(AND($K485=2,COUNTIFS(nrES_PID,$D485,nrES_Code,$F485,nrES_Att,1)=0),"ATTEMPT 2 WITHOUT ATTEMPT 1",IF(AND($K485=2,$L485=""),"RETEST ROW HAS NO SCORE",IF(AND($H485="Final",$L485&lt;&gt;"",IFERROR(INDEX(nrCKfinalExamElig,MATCH($D485,rngCadetPIDs,0)),"")="No"),"FINAL EXAM AFTER FAILED FINAL PT (500.1.H)",IF(AND($K485=2,ISNUMBER($L485),COUNTIFS(nrES_PID,$D485,nrES_Code,$F485,nrES_Att,1)&gt;0,SUMIFS(nrES_Raw,nrES_PID,$D485,nrES_Code,$F485,nrES_Att,1)&gt;=$J485),"RETEST AFTER A PASSING FIRST ATTEMPT","OK"))))))))))</f>
        <v/>
      </c>
      <c r="Y485" s="16" t="n"/>
    </row>
    <row r="486">
      <c r="B486" s="17">
        <f>IF($C486="","",$D486&amp;"-"&amp;$F486&amp;"-"&amp;$K486)</f>
        <v/>
      </c>
      <c r="C486" s="16" t="n"/>
      <c r="D486" s="17">
        <f>IF($C486="","",IFERROR(INDEX(rngCadetPIDs,MATCH($C486,rngCadetNames,0)),"?"))</f>
        <v/>
      </c>
      <c r="E486" s="17">
        <f>IF($D486="","",IFERROR(INDEX(nrCadetAgency,MATCH($D486,rngCadetPIDs,0)),""))</f>
        <v/>
      </c>
      <c r="F486" s="16" t="n"/>
      <c r="G486" s="17">
        <f>IF($F486="","",IFERROR(INDEX(rngEPname,MATCH($F486,rngEPcode,0)),"?"))</f>
        <v/>
      </c>
      <c r="H486" s="17">
        <f>IF($F486="","",IFERROR(INDEX(rngEPtype,MATCH($F486,rngEPcode,0)),"?"))</f>
        <v/>
      </c>
      <c r="I486" s="17">
        <f>IF($F486="","",IFERROR(INDEX(rngEPseq,MATCH($F486,rngEPcode,0)),""))</f>
        <v/>
      </c>
      <c r="J486" s="17">
        <f>IF($F486="","",IFERROR(INDEX(rngEPpass,MATCH($F486,rngEPcode,0)),cfgPassingScore))</f>
        <v/>
      </c>
      <c r="K486" s="16" t="n"/>
      <c r="L486" s="16" t="n"/>
      <c r="M486" s="17">
        <f>IF($C486="","",IF($L486="","",IF(NOT(ISNUMBER($L486)),$L486,IF(N($K486)&gt;2,"",IF($K486=1,IF(COUNTIFS(nrES_PID,$D486,nrES_Code,$F486,nrES_Att,2,nrES_Raw,"&gt;=0")&gt;0,"",$L486),IF($L486&gt;=$J486,MAX($J486,cfgRetakeRecordedCap),IF(COUNTIFS(nrES_PID,$D486,nrES_Code,$F486,nrES_Att,1)=0,$L486,SUMIFS(nrES_Raw,nrES_PID,$D486,nrES_Code,$F486,nrES_Att,1))))))))</f>
        <v/>
      </c>
      <c r="N486" s="17">
        <f>IF($C486="","",IF($L486="","",IF(NOT(ISNUMBER($L486)),"(not a score)",IF($L486&gt;=$J486,"Yes","No"))))</f>
        <v/>
      </c>
      <c r="O486" s="17">
        <f>IF($C486="","",IF($M486="","",IF(NOT(ISNUMBER($M486)),"(not a score)",IF($M486&gt;=$J486,"Yes","No"))))</f>
        <v/>
      </c>
      <c r="P486" s="17">
        <f>IF($C486="","",IF($K486="","",IF(N($K486)&gt;2,"No",IF(COUNTIFS(nrES_PID,$D486,nrES_Code,$F486,nrES_Att,"&gt;"&amp;$K486,nrES_Att,"&lt;=2",nrES_Raw,"&gt;=0")=0,"Yes","No"))))</f>
        <v/>
      </c>
      <c r="Q486" s="17">
        <f>IF($C486="","",IF($L486="","",IF(AND($K486=1,ISNUMBER($L486),$L486&lt;$J486,COUNTIFS(nrES_PID,$D486,nrES_Code,$F486,nrES_Att,2,nrES_Raw,"&gt;=0")=0),"Yes","No")))</f>
        <v/>
      </c>
      <c r="R486" s="17">
        <f>IF($C486="","",IF($L486="","",IF(AND(N($K486)&gt;=2,ISNUMBER($L486),$L486&lt;$J486),"Yes","No")))</f>
        <v/>
      </c>
      <c r="S486" s="18" t="n"/>
      <c r="T486" s="19">
        <f>IF(OR($C486="",$L486="",$K486&lt;&gt;1,NOT(ISNUMBER($L486)),$L486&gt;=$J486),"",IF($S486="","(enter date)",_xlfn.LET(_xlpm.dn,_xlfn.XLOOKUP($S486,nrCDdate,nrCDnum,"",1),IF(_xlpm.dn="","(after last class day)",_xlfn.LET(_xlpm.dd,_xlfn.XLOOKUP(_xlpm.dn+cfgRetestClassDays,nrCDnum,nrCDdate,""),_xlpm.ok,_xlfn.XLOOKUP(_xlpm.dn+cfgRetestClassDays,nrCDnum,nrCDinsession,"No"),IF(OR(_xlpm.dd="",_xlpm.ok&lt;&gt;"Yes"),"(after last class day)",_xlpm.dd))))))</f>
        <v/>
      </c>
      <c r="U486" s="17">
        <f>IF($C486="","",IF(AND($Y486="Excused",$L486="",N($K486)&lt;=1),"EXCUSED - 1st attempt pending",IF(OR($L486="",$K486&lt;&gt;1,NOT(ISNUMBER($L486)),$L486&gt;=$J486),"",IF(COUNTIFS(nrES_PID,$D486,nrES_Code,$F486,nrES_Att,2,nrES_Raw,"&gt;=0")&gt;0,IF(IFERROR(_xlfn.MINIFS(nrES_Date,nrES_PID,$D486,nrES_Code,$F486,nrES_Att,2,nrES_Raw,"&gt;=0",nrES_Date,"&gt;0"),0)=0,"RETEST UNDATED",IF(NOT(ISNUMBER($T486)),"RETEST DATE UNCHECKED",IF(_xlfn.MINIFS(nrES_Date,nrES_PID,$D486,nrES_Code,$F486,nrES_Att,2,nrES_Raw,"&gt;=0",nrES_Date,"&gt;0")&gt;$T486,"LATE RETEST "&amp;TEXT(_xlfn.MINIFS(nrES_Date,nrES_PID,$D486,nrES_Code,$F486,nrES_Att,2,nrES_Raw,"&gt;=0",nrES_Date,"&gt;0"),"mm/dd")&amp;" (due "&amp;TEXT($T486,"mm/dd")&amp;")","Retested"))),IF(NOT(ISNUMBER($T486)),"CHECK DATE",IF(TODAY()&gt;$T486,"OVERDUE","Due "&amp;TEXT($T486,"mm/dd")))))))</f>
        <v/>
      </c>
      <c r="V486" s="16" t="n"/>
      <c r="W486" s="16" t="n"/>
      <c r="X486" s="17">
        <f>IF($C486="","",IF(AND($L486&lt;&gt;"",NOT(ISNUMBER($L486))),"RAW SCORE NOT A NUMBER",IF(AND(ISNUMBER($L486),OR($L486&lt;0,$L486&gt;100)),"RAW SCORE OUT OF RANGE",IF(AND($Y486="Unexcused",OR($L486="",NOT(ISNUMBER($L486)),$L486&lt;&gt;0)),"UNEXCUSED ABSENCE MUST RECORD 0",IF(COUNTIF(nrES_RecID,$B486)&gt;1,"DUPLICATE RECORD",IF(N($K486)&gt;2,"ATTEMPT 3+ NOT ALLOWED - policy 300.5 permits one retest per exam; this row records nothing",IF(AND($K486=2,COUNTIFS(nrES_PID,$D486,nrES_Code,$F486,nrES_Att,1)=0),"ATTEMPT 2 WITHOUT ATTEMPT 1",IF(AND($K486=2,$L486=""),"RETEST ROW HAS NO SCORE",IF(AND($H486="Final",$L486&lt;&gt;"",IFERROR(INDEX(nrCKfinalExamElig,MATCH($D486,rngCadetPIDs,0)),"")="No"),"FINAL EXAM AFTER FAILED FINAL PT (500.1.H)",IF(AND($K486=2,ISNUMBER($L486),COUNTIFS(nrES_PID,$D486,nrES_Code,$F486,nrES_Att,1)&gt;0,SUMIFS(nrES_Raw,nrES_PID,$D486,nrES_Code,$F486,nrES_Att,1)&gt;=$J486),"RETEST AFTER A PASSING FIRST ATTEMPT","OK"))))))))))</f>
        <v/>
      </c>
      <c r="Y486" s="16" t="n"/>
    </row>
    <row r="487">
      <c r="B487" s="17">
        <f>IF($C487="","",$D487&amp;"-"&amp;$F487&amp;"-"&amp;$K487)</f>
        <v/>
      </c>
      <c r="C487" s="16" t="n"/>
      <c r="D487" s="17">
        <f>IF($C487="","",IFERROR(INDEX(rngCadetPIDs,MATCH($C487,rngCadetNames,0)),"?"))</f>
        <v/>
      </c>
      <c r="E487" s="17">
        <f>IF($D487="","",IFERROR(INDEX(nrCadetAgency,MATCH($D487,rngCadetPIDs,0)),""))</f>
        <v/>
      </c>
      <c r="F487" s="16" t="n"/>
      <c r="G487" s="17">
        <f>IF($F487="","",IFERROR(INDEX(rngEPname,MATCH($F487,rngEPcode,0)),"?"))</f>
        <v/>
      </c>
      <c r="H487" s="17">
        <f>IF($F487="","",IFERROR(INDEX(rngEPtype,MATCH($F487,rngEPcode,0)),"?"))</f>
        <v/>
      </c>
      <c r="I487" s="17">
        <f>IF($F487="","",IFERROR(INDEX(rngEPseq,MATCH($F487,rngEPcode,0)),""))</f>
        <v/>
      </c>
      <c r="J487" s="17">
        <f>IF($F487="","",IFERROR(INDEX(rngEPpass,MATCH($F487,rngEPcode,0)),cfgPassingScore))</f>
        <v/>
      </c>
      <c r="K487" s="16" t="n"/>
      <c r="L487" s="16" t="n"/>
      <c r="M487" s="17">
        <f>IF($C487="","",IF($L487="","",IF(NOT(ISNUMBER($L487)),$L487,IF(N($K487)&gt;2,"",IF($K487=1,IF(COUNTIFS(nrES_PID,$D487,nrES_Code,$F487,nrES_Att,2,nrES_Raw,"&gt;=0")&gt;0,"",$L487),IF($L487&gt;=$J487,MAX($J487,cfgRetakeRecordedCap),IF(COUNTIFS(nrES_PID,$D487,nrES_Code,$F487,nrES_Att,1)=0,$L487,SUMIFS(nrES_Raw,nrES_PID,$D487,nrES_Code,$F487,nrES_Att,1))))))))</f>
        <v/>
      </c>
      <c r="N487" s="17">
        <f>IF($C487="","",IF($L487="","",IF(NOT(ISNUMBER($L487)),"(not a score)",IF($L487&gt;=$J487,"Yes","No"))))</f>
        <v/>
      </c>
      <c r="O487" s="17">
        <f>IF($C487="","",IF($M487="","",IF(NOT(ISNUMBER($M487)),"(not a score)",IF($M487&gt;=$J487,"Yes","No"))))</f>
        <v/>
      </c>
      <c r="P487" s="17">
        <f>IF($C487="","",IF($K487="","",IF(N($K487)&gt;2,"No",IF(COUNTIFS(nrES_PID,$D487,nrES_Code,$F487,nrES_Att,"&gt;"&amp;$K487,nrES_Att,"&lt;=2",nrES_Raw,"&gt;=0")=0,"Yes","No"))))</f>
        <v/>
      </c>
      <c r="Q487" s="17">
        <f>IF($C487="","",IF($L487="","",IF(AND($K487=1,ISNUMBER($L487),$L487&lt;$J487,COUNTIFS(nrES_PID,$D487,nrES_Code,$F487,nrES_Att,2,nrES_Raw,"&gt;=0")=0),"Yes","No")))</f>
        <v/>
      </c>
      <c r="R487" s="17">
        <f>IF($C487="","",IF($L487="","",IF(AND(N($K487)&gt;=2,ISNUMBER($L487),$L487&lt;$J487),"Yes","No")))</f>
        <v/>
      </c>
      <c r="S487" s="18" t="n"/>
      <c r="T487" s="19">
        <f>IF(OR($C487="",$L487="",$K487&lt;&gt;1,NOT(ISNUMBER($L487)),$L487&gt;=$J487),"",IF($S487="","(enter date)",_xlfn.LET(_xlpm.dn,_xlfn.XLOOKUP($S487,nrCDdate,nrCDnum,"",1),IF(_xlpm.dn="","(after last class day)",_xlfn.LET(_xlpm.dd,_xlfn.XLOOKUP(_xlpm.dn+cfgRetestClassDays,nrCDnum,nrCDdate,""),_xlpm.ok,_xlfn.XLOOKUP(_xlpm.dn+cfgRetestClassDays,nrCDnum,nrCDinsession,"No"),IF(OR(_xlpm.dd="",_xlpm.ok&lt;&gt;"Yes"),"(after last class day)",_xlpm.dd))))))</f>
        <v/>
      </c>
      <c r="U487" s="17">
        <f>IF($C487="","",IF(AND($Y487="Excused",$L487="",N($K487)&lt;=1),"EXCUSED - 1st attempt pending",IF(OR($L487="",$K487&lt;&gt;1,NOT(ISNUMBER($L487)),$L487&gt;=$J487),"",IF(COUNTIFS(nrES_PID,$D487,nrES_Code,$F487,nrES_Att,2,nrES_Raw,"&gt;=0")&gt;0,IF(IFERROR(_xlfn.MINIFS(nrES_Date,nrES_PID,$D487,nrES_Code,$F487,nrES_Att,2,nrES_Raw,"&gt;=0",nrES_Date,"&gt;0"),0)=0,"RETEST UNDATED",IF(NOT(ISNUMBER($T487)),"RETEST DATE UNCHECKED",IF(_xlfn.MINIFS(nrES_Date,nrES_PID,$D487,nrES_Code,$F487,nrES_Att,2,nrES_Raw,"&gt;=0",nrES_Date,"&gt;0")&gt;$T487,"LATE RETEST "&amp;TEXT(_xlfn.MINIFS(nrES_Date,nrES_PID,$D487,nrES_Code,$F487,nrES_Att,2,nrES_Raw,"&gt;=0",nrES_Date,"&gt;0"),"mm/dd")&amp;" (due "&amp;TEXT($T487,"mm/dd")&amp;")","Retested"))),IF(NOT(ISNUMBER($T487)),"CHECK DATE",IF(TODAY()&gt;$T487,"OVERDUE","Due "&amp;TEXT($T487,"mm/dd")))))))</f>
        <v/>
      </c>
      <c r="V487" s="16" t="n"/>
      <c r="W487" s="16" t="n"/>
      <c r="X487" s="17">
        <f>IF($C487="","",IF(AND($L487&lt;&gt;"",NOT(ISNUMBER($L487))),"RAW SCORE NOT A NUMBER",IF(AND(ISNUMBER($L487),OR($L487&lt;0,$L487&gt;100)),"RAW SCORE OUT OF RANGE",IF(AND($Y487="Unexcused",OR($L487="",NOT(ISNUMBER($L487)),$L487&lt;&gt;0)),"UNEXCUSED ABSENCE MUST RECORD 0",IF(COUNTIF(nrES_RecID,$B487)&gt;1,"DUPLICATE RECORD",IF(N($K487)&gt;2,"ATTEMPT 3+ NOT ALLOWED - policy 300.5 permits one retest per exam; this row records nothing",IF(AND($K487=2,COUNTIFS(nrES_PID,$D487,nrES_Code,$F487,nrES_Att,1)=0),"ATTEMPT 2 WITHOUT ATTEMPT 1",IF(AND($K487=2,$L487=""),"RETEST ROW HAS NO SCORE",IF(AND($H487="Final",$L487&lt;&gt;"",IFERROR(INDEX(nrCKfinalExamElig,MATCH($D487,rngCadetPIDs,0)),"")="No"),"FINAL EXAM AFTER FAILED FINAL PT (500.1.H)",IF(AND($K487=2,ISNUMBER($L487),COUNTIFS(nrES_PID,$D487,nrES_Code,$F487,nrES_Att,1)&gt;0,SUMIFS(nrES_Raw,nrES_PID,$D487,nrES_Code,$F487,nrES_Att,1)&gt;=$J487),"RETEST AFTER A PASSING FIRST ATTEMPT","OK"))))))))))</f>
        <v/>
      </c>
      <c r="Y487" s="16" t="n"/>
    </row>
    <row r="488">
      <c r="B488" s="17">
        <f>IF($C488="","",$D488&amp;"-"&amp;$F488&amp;"-"&amp;$K488)</f>
        <v/>
      </c>
      <c r="C488" s="16" t="n"/>
      <c r="D488" s="17">
        <f>IF($C488="","",IFERROR(INDEX(rngCadetPIDs,MATCH($C488,rngCadetNames,0)),"?"))</f>
        <v/>
      </c>
      <c r="E488" s="17">
        <f>IF($D488="","",IFERROR(INDEX(nrCadetAgency,MATCH($D488,rngCadetPIDs,0)),""))</f>
        <v/>
      </c>
      <c r="F488" s="16" t="n"/>
      <c r="G488" s="17">
        <f>IF($F488="","",IFERROR(INDEX(rngEPname,MATCH($F488,rngEPcode,0)),"?"))</f>
        <v/>
      </c>
      <c r="H488" s="17">
        <f>IF($F488="","",IFERROR(INDEX(rngEPtype,MATCH($F488,rngEPcode,0)),"?"))</f>
        <v/>
      </c>
      <c r="I488" s="17">
        <f>IF($F488="","",IFERROR(INDEX(rngEPseq,MATCH($F488,rngEPcode,0)),""))</f>
        <v/>
      </c>
      <c r="J488" s="17">
        <f>IF($F488="","",IFERROR(INDEX(rngEPpass,MATCH($F488,rngEPcode,0)),cfgPassingScore))</f>
        <v/>
      </c>
      <c r="K488" s="16" t="n"/>
      <c r="L488" s="16" t="n"/>
      <c r="M488" s="17">
        <f>IF($C488="","",IF($L488="","",IF(NOT(ISNUMBER($L488)),$L488,IF(N($K488)&gt;2,"",IF($K488=1,IF(COUNTIFS(nrES_PID,$D488,nrES_Code,$F488,nrES_Att,2,nrES_Raw,"&gt;=0")&gt;0,"",$L488),IF($L488&gt;=$J488,MAX($J488,cfgRetakeRecordedCap),IF(COUNTIFS(nrES_PID,$D488,nrES_Code,$F488,nrES_Att,1)=0,$L488,SUMIFS(nrES_Raw,nrES_PID,$D488,nrES_Code,$F488,nrES_Att,1))))))))</f>
        <v/>
      </c>
      <c r="N488" s="17">
        <f>IF($C488="","",IF($L488="","",IF(NOT(ISNUMBER($L488)),"(not a score)",IF($L488&gt;=$J488,"Yes","No"))))</f>
        <v/>
      </c>
      <c r="O488" s="17">
        <f>IF($C488="","",IF($M488="","",IF(NOT(ISNUMBER($M488)),"(not a score)",IF($M488&gt;=$J488,"Yes","No"))))</f>
        <v/>
      </c>
      <c r="P488" s="17">
        <f>IF($C488="","",IF($K488="","",IF(N($K488)&gt;2,"No",IF(COUNTIFS(nrES_PID,$D488,nrES_Code,$F488,nrES_Att,"&gt;"&amp;$K488,nrES_Att,"&lt;=2",nrES_Raw,"&gt;=0")=0,"Yes","No"))))</f>
        <v/>
      </c>
      <c r="Q488" s="17">
        <f>IF($C488="","",IF($L488="","",IF(AND($K488=1,ISNUMBER($L488),$L488&lt;$J488,COUNTIFS(nrES_PID,$D488,nrES_Code,$F488,nrES_Att,2,nrES_Raw,"&gt;=0")=0),"Yes","No")))</f>
        <v/>
      </c>
      <c r="R488" s="17">
        <f>IF($C488="","",IF($L488="","",IF(AND(N($K488)&gt;=2,ISNUMBER($L488),$L488&lt;$J488),"Yes","No")))</f>
        <v/>
      </c>
      <c r="S488" s="18" t="n"/>
      <c r="T488" s="19">
        <f>IF(OR($C488="",$L488="",$K488&lt;&gt;1,NOT(ISNUMBER($L488)),$L488&gt;=$J488),"",IF($S488="","(enter date)",_xlfn.LET(_xlpm.dn,_xlfn.XLOOKUP($S488,nrCDdate,nrCDnum,"",1),IF(_xlpm.dn="","(after last class day)",_xlfn.LET(_xlpm.dd,_xlfn.XLOOKUP(_xlpm.dn+cfgRetestClassDays,nrCDnum,nrCDdate,""),_xlpm.ok,_xlfn.XLOOKUP(_xlpm.dn+cfgRetestClassDays,nrCDnum,nrCDinsession,"No"),IF(OR(_xlpm.dd="",_xlpm.ok&lt;&gt;"Yes"),"(after last class day)",_xlpm.dd))))))</f>
        <v/>
      </c>
      <c r="U488" s="17">
        <f>IF($C488="","",IF(AND($Y488="Excused",$L488="",N($K488)&lt;=1),"EXCUSED - 1st attempt pending",IF(OR($L488="",$K488&lt;&gt;1,NOT(ISNUMBER($L488)),$L488&gt;=$J488),"",IF(COUNTIFS(nrES_PID,$D488,nrES_Code,$F488,nrES_Att,2,nrES_Raw,"&gt;=0")&gt;0,IF(IFERROR(_xlfn.MINIFS(nrES_Date,nrES_PID,$D488,nrES_Code,$F488,nrES_Att,2,nrES_Raw,"&gt;=0",nrES_Date,"&gt;0"),0)=0,"RETEST UNDATED",IF(NOT(ISNUMBER($T488)),"RETEST DATE UNCHECKED",IF(_xlfn.MINIFS(nrES_Date,nrES_PID,$D488,nrES_Code,$F488,nrES_Att,2,nrES_Raw,"&gt;=0",nrES_Date,"&gt;0")&gt;$T488,"LATE RETEST "&amp;TEXT(_xlfn.MINIFS(nrES_Date,nrES_PID,$D488,nrES_Code,$F488,nrES_Att,2,nrES_Raw,"&gt;=0",nrES_Date,"&gt;0"),"mm/dd")&amp;" (due "&amp;TEXT($T488,"mm/dd")&amp;")","Retested"))),IF(NOT(ISNUMBER($T488)),"CHECK DATE",IF(TODAY()&gt;$T488,"OVERDUE","Due "&amp;TEXT($T488,"mm/dd")))))))</f>
        <v/>
      </c>
      <c r="V488" s="16" t="n"/>
      <c r="W488" s="16" t="n"/>
      <c r="X488" s="17">
        <f>IF($C488="","",IF(AND($L488&lt;&gt;"",NOT(ISNUMBER($L488))),"RAW SCORE NOT A NUMBER",IF(AND(ISNUMBER($L488),OR($L488&lt;0,$L488&gt;100)),"RAW SCORE OUT OF RANGE",IF(AND($Y488="Unexcused",OR($L488="",NOT(ISNUMBER($L488)),$L488&lt;&gt;0)),"UNEXCUSED ABSENCE MUST RECORD 0",IF(COUNTIF(nrES_RecID,$B488)&gt;1,"DUPLICATE RECORD",IF(N($K488)&gt;2,"ATTEMPT 3+ NOT ALLOWED - policy 300.5 permits one retest per exam; this row records nothing",IF(AND($K488=2,COUNTIFS(nrES_PID,$D488,nrES_Code,$F488,nrES_Att,1)=0),"ATTEMPT 2 WITHOUT ATTEMPT 1",IF(AND($K488=2,$L488=""),"RETEST ROW HAS NO SCORE",IF(AND($H488="Final",$L488&lt;&gt;"",IFERROR(INDEX(nrCKfinalExamElig,MATCH($D488,rngCadetPIDs,0)),"")="No"),"FINAL EXAM AFTER FAILED FINAL PT (500.1.H)",IF(AND($K488=2,ISNUMBER($L488),COUNTIFS(nrES_PID,$D488,nrES_Code,$F488,nrES_Att,1)&gt;0,SUMIFS(nrES_Raw,nrES_PID,$D488,nrES_Code,$F488,nrES_Att,1)&gt;=$J488),"RETEST AFTER A PASSING FIRST ATTEMPT","OK"))))))))))</f>
        <v/>
      </c>
      <c r="Y488" s="16" t="n"/>
    </row>
    <row r="489">
      <c r="B489" s="17">
        <f>IF($C489="","",$D489&amp;"-"&amp;$F489&amp;"-"&amp;$K489)</f>
        <v/>
      </c>
      <c r="C489" s="16" t="n"/>
      <c r="D489" s="17">
        <f>IF($C489="","",IFERROR(INDEX(rngCadetPIDs,MATCH($C489,rngCadetNames,0)),"?"))</f>
        <v/>
      </c>
      <c r="E489" s="17">
        <f>IF($D489="","",IFERROR(INDEX(nrCadetAgency,MATCH($D489,rngCadetPIDs,0)),""))</f>
        <v/>
      </c>
      <c r="F489" s="16" t="n"/>
      <c r="G489" s="17">
        <f>IF($F489="","",IFERROR(INDEX(rngEPname,MATCH($F489,rngEPcode,0)),"?"))</f>
        <v/>
      </c>
      <c r="H489" s="17">
        <f>IF($F489="","",IFERROR(INDEX(rngEPtype,MATCH($F489,rngEPcode,0)),"?"))</f>
        <v/>
      </c>
      <c r="I489" s="17">
        <f>IF($F489="","",IFERROR(INDEX(rngEPseq,MATCH($F489,rngEPcode,0)),""))</f>
        <v/>
      </c>
      <c r="J489" s="17">
        <f>IF($F489="","",IFERROR(INDEX(rngEPpass,MATCH($F489,rngEPcode,0)),cfgPassingScore))</f>
        <v/>
      </c>
      <c r="K489" s="16" t="n"/>
      <c r="L489" s="16" t="n"/>
      <c r="M489" s="17">
        <f>IF($C489="","",IF($L489="","",IF(NOT(ISNUMBER($L489)),$L489,IF(N($K489)&gt;2,"",IF($K489=1,IF(COUNTIFS(nrES_PID,$D489,nrES_Code,$F489,nrES_Att,2,nrES_Raw,"&gt;=0")&gt;0,"",$L489),IF($L489&gt;=$J489,MAX($J489,cfgRetakeRecordedCap),IF(COUNTIFS(nrES_PID,$D489,nrES_Code,$F489,nrES_Att,1)=0,$L489,SUMIFS(nrES_Raw,nrES_PID,$D489,nrES_Code,$F489,nrES_Att,1))))))))</f>
        <v/>
      </c>
      <c r="N489" s="17">
        <f>IF($C489="","",IF($L489="","",IF(NOT(ISNUMBER($L489)),"(not a score)",IF($L489&gt;=$J489,"Yes","No"))))</f>
        <v/>
      </c>
      <c r="O489" s="17">
        <f>IF($C489="","",IF($M489="","",IF(NOT(ISNUMBER($M489)),"(not a score)",IF($M489&gt;=$J489,"Yes","No"))))</f>
        <v/>
      </c>
      <c r="P489" s="17">
        <f>IF($C489="","",IF($K489="","",IF(N($K489)&gt;2,"No",IF(COUNTIFS(nrES_PID,$D489,nrES_Code,$F489,nrES_Att,"&gt;"&amp;$K489,nrES_Att,"&lt;=2",nrES_Raw,"&gt;=0")=0,"Yes","No"))))</f>
        <v/>
      </c>
      <c r="Q489" s="17">
        <f>IF($C489="","",IF($L489="","",IF(AND($K489=1,ISNUMBER($L489),$L489&lt;$J489,COUNTIFS(nrES_PID,$D489,nrES_Code,$F489,nrES_Att,2,nrES_Raw,"&gt;=0")=0),"Yes","No")))</f>
        <v/>
      </c>
      <c r="R489" s="17">
        <f>IF($C489="","",IF($L489="","",IF(AND(N($K489)&gt;=2,ISNUMBER($L489),$L489&lt;$J489),"Yes","No")))</f>
        <v/>
      </c>
      <c r="S489" s="18" t="n"/>
      <c r="T489" s="19">
        <f>IF(OR($C489="",$L489="",$K489&lt;&gt;1,NOT(ISNUMBER($L489)),$L489&gt;=$J489),"",IF($S489="","(enter date)",_xlfn.LET(_xlpm.dn,_xlfn.XLOOKUP($S489,nrCDdate,nrCDnum,"",1),IF(_xlpm.dn="","(after last class day)",_xlfn.LET(_xlpm.dd,_xlfn.XLOOKUP(_xlpm.dn+cfgRetestClassDays,nrCDnum,nrCDdate,""),_xlpm.ok,_xlfn.XLOOKUP(_xlpm.dn+cfgRetestClassDays,nrCDnum,nrCDinsession,"No"),IF(OR(_xlpm.dd="",_xlpm.ok&lt;&gt;"Yes"),"(after last class day)",_xlpm.dd))))))</f>
        <v/>
      </c>
      <c r="U489" s="17">
        <f>IF($C489="","",IF(AND($Y489="Excused",$L489="",N($K489)&lt;=1),"EXCUSED - 1st attempt pending",IF(OR($L489="",$K489&lt;&gt;1,NOT(ISNUMBER($L489)),$L489&gt;=$J489),"",IF(COUNTIFS(nrES_PID,$D489,nrES_Code,$F489,nrES_Att,2,nrES_Raw,"&gt;=0")&gt;0,IF(IFERROR(_xlfn.MINIFS(nrES_Date,nrES_PID,$D489,nrES_Code,$F489,nrES_Att,2,nrES_Raw,"&gt;=0",nrES_Date,"&gt;0"),0)=0,"RETEST UNDATED",IF(NOT(ISNUMBER($T489)),"RETEST DATE UNCHECKED",IF(_xlfn.MINIFS(nrES_Date,nrES_PID,$D489,nrES_Code,$F489,nrES_Att,2,nrES_Raw,"&gt;=0",nrES_Date,"&gt;0")&gt;$T489,"LATE RETEST "&amp;TEXT(_xlfn.MINIFS(nrES_Date,nrES_PID,$D489,nrES_Code,$F489,nrES_Att,2,nrES_Raw,"&gt;=0",nrES_Date,"&gt;0"),"mm/dd")&amp;" (due "&amp;TEXT($T489,"mm/dd")&amp;")","Retested"))),IF(NOT(ISNUMBER($T489)),"CHECK DATE",IF(TODAY()&gt;$T489,"OVERDUE","Due "&amp;TEXT($T489,"mm/dd")))))))</f>
        <v/>
      </c>
      <c r="V489" s="16" t="n"/>
      <c r="W489" s="16" t="n"/>
      <c r="X489" s="17">
        <f>IF($C489="","",IF(AND($L489&lt;&gt;"",NOT(ISNUMBER($L489))),"RAW SCORE NOT A NUMBER",IF(AND(ISNUMBER($L489),OR($L489&lt;0,$L489&gt;100)),"RAW SCORE OUT OF RANGE",IF(AND($Y489="Unexcused",OR($L489="",NOT(ISNUMBER($L489)),$L489&lt;&gt;0)),"UNEXCUSED ABSENCE MUST RECORD 0",IF(COUNTIF(nrES_RecID,$B489)&gt;1,"DUPLICATE RECORD",IF(N($K489)&gt;2,"ATTEMPT 3+ NOT ALLOWED - policy 300.5 permits one retest per exam; this row records nothing",IF(AND($K489=2,COUNTIFS(nrES_PID,$D489,nrES_Code,$F489,nrES_Att,1)=0),"ATTEMPT 2 WITHOUT ATTEMPT 1",IF(AND($K489=2,$L489=""),"RETEST ROW HAS NO SCORE",IF(AND($H489="Final",$L489&lt;&gt;"",IFERROR(INDEX(nrCKfinalExamElig,MATCH($D489,rngCadetPIDs,0)),"")="No"),"FINAL EXAM AFTER FAILED FINAL PT (500.1.H)",IF(AND($K489=2,ISNUMBER($L489),COUNTIFS(nrES_PID,$D489,nrES_Code,$F489,nrES_Att,1)&gt;0,SUMIFS(nrES_Raw,nrES_PID,$D489,nrES_Code,$F489,nrES_Att,1)&gt;=$J489),"RETEST AFTER A PASSING FIRST ATTEMPT","OK"))))))))))</f>
        <v/>
      </c>
      <c r="Y489" s="16" t="n"/>
    </row>
    <row r="490">
      <c r="B490" s="17">
        <f>IF($C490="","",$D490&amp;"-"&amp;$F490&amp;"-"&amp;$K490)</f>
        <v/>
      </c>
      <c r="C490" s="16" t="n"/>
      <c r="D490" s="17">
        <f>IF($C490="","",IFERROR(INDEX(rngCadetPIDs,MATCH($C490,rngCadetNames,0)),"?"))</f>
        <v/>
      </c>
      <c r="E490" s="17">
        <f>IF($D490="","",IFERROR(INDEX(nrCadetAgency,MATCH($D490,rngCadetPIDs,0)),""))</f>
        <v/>
      </c>
      <c r="F490" s="16" t="n"/>
      <c r="G490" s="17">
        <f>IF($F490="","",IFERROR(INDEX(rngEPname,MATCH($F490,rngEPcode,0)),"?"))</f>
        <v/>
      </c>
      <c r="H490" s="17">
        <f>IF($F490="","",IFERROR(INDEX(rngEPtype,MATCH($F490,rngEPcode,0)),"?"))</f>
        <v/>
      </c>
      <c r="I490" s="17">
        <f>IF($F490="","",IFERROR(INDEX(rngEPseq,MATCH($F490,rngEPcode,0)),""))</f>
        <v/>
      </c>
      <c r="J490" s="17">
        <f>IF($F490="","",IFERROR(INDEX(rngEPpass,MATCH($F490,rngEPcode,0)),cfgPassingScore))</f>
        <v/>
      </c>
      <c r="K490" s="16" t="n"/>
      <c r="L490" s="16" t="n"/>
      <c r="M490" s="17">
        <f>IF($C490="","",IF($L490="","",IF(NOT(ISNUMBER($L490)),$L490,IF(N($K490)&gt;2,"",IF($K490=1,IF(COUNTIFS(nrES_PID,$D490,nrES_Code,$F490,nrES_Att,2,nrES_Raw,"&gt;=0")&gt;0,"",$L490),IF($L490&gt;=$J490,MAX($J490,cfgRetakeRecordedCap),IF(COUNTIFS(nrES_PID,$D490,nrES_Code,$F490,nrES_Att,1)=0,$L490,SUMIFS(nrES_Raw,nrES_PID,$D490,nrES_Code,$F490,nrES_Att,1))))))))</f>
        <v/>
      </c>
      <c r="N490" s="17">
        <f>IF($C490="","",IF($L490="","",IF(NOT(ISNUMBER($L490)),"(not a score)",IF($L490&gt;=$J490,"Yes","No"))))</f>
        <v/>
      </c>
      <c r="O490" s="17">
        <f>IF($C490="","",IF($M490="","",IF(NOT(ISNUMBER($M490)),"(not a score)",IF($M490&gt;=$J490,"Yes","No"))))</f>
        <v/>
      </c>
      <c r="P490" s="17">
        <f>IF($C490="","",IF($K490="","",IF(N($K490)&gt;2,"No",IF(COUNTIFS(nrES_PID,$D490,nrES_Code,$F490,nrES_Att,"&gt;"&amp;$K490,nrES_Att,"&lt;=2",nrES_Raw,"&gt;=0")=0,"Yes","No"))))</f>
        <v/>
      </c>
      <c r="Q490" s="17">
        <f>IF($C490="","",IF($L490="","",IF(AND($K490=1,ISNUMBER($L490),$L490&lt;$J490,COUNTIFS(nrES_PID,$D490,nrES_Code,$F490,nrES_Att,2,nrES_Raw,"&gt;=0")=0),"Yes","No")))</f>
        <v/>
      </c>
      <c r="R490" s="17">
        <f>IF($C490="","",IF($L490="","",IF(AND(N($K490)&gt;=2,ISNUMBER($L490),$L490&lt;$J490),"Yes","No")))</f>
        <v/>
      </c>
      <c r="S490" s="18" t="n"/>
      <c r="T490" s="19">
        <f>IF(OR($C490="",$L490="",$K490&lt;&gt;1,NOT(ISNUMBER($L490)),$L490&gt;=$J490),"",IF($S490="","(enter date)",_xlfn.LET(_xlpm.dn,_xlfn.XLOOKUP($S490,nrCDdate,nrCDnum,"",1),IF(_xlpm.dn="","(after last class day)",_xlfn.LET(_xlpm.dd,_xlfn.XLOOKUP(_xlpm.dn+cfgRetestClassDays,nrCDnum,nrCDdate,""),_xlpm.ok,_xlfn.XLOOKUP(_xlpm.dn+cfgRetestClassDays,nrCDnum,nrCDinsession,"No"),IF(OR(_xlpm.dd="",_xlpm.ok&lt;&gt;"Yes"),"(after last class day)",_xlpm.dd))))))</f>
        <v/>
      </c>
      <c r="U490" s="17">
        <f>IF($C490="","",IF(AND($Y490="Excused",$L490="",N($K490)&lt;=1),"EXCUSED - 1st attempt pending",IF(OR($L490="",$K490&lt;&gt;1,NOT(ISNUMBER($L490)),$L490&gt;=$J490),"",IF(COUNTIFS(nrES_PID,$D490,nrES_Code,$F490,nrES_Att,2,nrES_Raw,"&gt;=0")&gt;0,IF(IFERROR(_xlfn.MINIFS(nrES_Date,nrES_PID,$D490,nrES_Code,$F490,nrES_Att,2,nrES_Raw,"&gt;=0",nrES_Date,"&gt;0"),0)=0,"RETEST UNDATED",IF(NOT(ISNUMBER($T490)),"RETEST DATE UNCHECKED",IF(_xlfn.MINIFS(nrES_Date,nrES_PID,$D490,nrES_Code,$F490,nrES_Att,2,nrES_Raw,"&gt;=0",nrES_Date,"&gt;0")&gt;$T490,"LATE RETEST "&amp;TEXT(_xlfn.MINIFS(nrES_Date,nrES_PID,$D490,nrES_Code,$F490,nrES_Att,2,nrES_Raw,"&gt;=0",nrES_Date,"&gt;0"),"mm/dd")&amp;" (due "&amp;TEXT($T490,"mm/dd")&amp;")","Retested"))),IF(NOT(ISNUMBER($T490)),"CHECK DATE",IF(TODAY()&gt;$T490,"OVERDUE","Due "&amp;TEXT($T490,"mm/dd")))))))</f>
        <v/>
      </c>
      <c r="V490" s="16" t="n"/>
      <c r="W490" s="16" t="n"/>
      <c r="X490" s="17">
        <f>IF($C490="","",IF(AND($L490&lt;&gt;"",NOT(ISNUMBER($L490))),"RAW SCORE NOT A NUMBER",IF(AND(ISNUMBER($L490),OR($L490&lt;0,$L490&gt;100)),"RAW SCORE OUT OF RANGE",IF(AND($Y490="Unexcused",OR($L490="",NOT(ISNUMBER($L490)),$L490&lt;&gt;0)),"UNEXCUSED ABSENCE MUST RECORD 0",IF(COUNTIF(nrES_RecID,$B490)&gt;1,"DUPLICATE RECORD",IF(N($K490)&gt;2,"ATTEMPT 3+ NOT ALLOWED - policy 300.5 permits one retest per exam; this row records nothing",IF(AND($K490=2,COUNTIFS(nrES_PID,$D490,nrES_Code,$F490,nrES_Att,1)=0),"ATTEMPT 2 WITHOUT ATTEMPT 1",IF(AND($K490=2,$L490=""),"RETEST ROW HAS NO SCORE",IF(AND($H490="Final",$L490&lt;&gt;"",IFERROR(INDEX(nrCKfinalExamElig,MATCH($D490,rngCadetPIDs,0)),"")="No"),"FINAL EXAM AFTER FAILED FINAL PT (500.1.H)",IF(AND($K490=2,ISNUMBER($L490),COUNTIFS(nrES_PID,$D490,nrES_Code,$F490,nrES_Att,1)&gt;0,SUMIFS(nrES_Raw,nrES_PID,$D490,nrES_Code,$F490,nrES_Att,1)&gt;=$J490),"RETEST AFTER A PASSING FIRST ATTEMPT","OK"))))))))))</f>
        <v/>
      </c>
      <c r="Y490" s="16" t="n"/>
    </row>
    <row r="491">
      <c r="B491" s="17">
        <f>IF($C491="","",$D491&amp;"-"&amp;$F491&amp;"-"&amp;$K491)</f>
        <v/>
      </c>
      <c r="C491" s="16" t="n"/>
      <c r="D491" s="17">
        <f>IF($C491="","",IFERROR(INDEX(rngCadetPIDs,MATCH($C491,rngCadetNames,0)),"?"))</f>
        <v/>
      </c>
      <c r="E491" s="17">
        <f>IF($D491="","",IFERROR(INDEX(nrCadetAgency,MATCH($D491,rngCadetPIDs,0)),""))</f>
        <v/>
      </c>
      <c r="F491" s="16" t="n"/>
      <c r="G491" s="17">
        <f>IF($F491="","",IFERROR(INDEX(rngEPname,MATCH($F491,rngEPcode,0)),"?"))</f>
        <v/>
      </c>
      <c r="H491" s="17">
        <f>IF($F491="","",IFERROR(INDEX(rngEPtype,MATCH($F491,rngEPcode,0)),"?"))</f>
        <v/>
      </c>
      <c r="I491" s="17">
        <f>IF($F491="","",IFERROR(INDEX(rngEPseq,MATCH($F491,rngEPcode,0)),""))</f>
        <v/>
      </c>
      <c r="J491" s="17">
        <f>IF($F491="","",IFERROR(INDEX(rngEPpass,MATCH($F491,rngEPcode,0)),cfgPassingScore))</f>
        <v/>
      </c>
      <c r="K491" s="16" t="n"/>
      <c r="L491" s="16" t="n"/>
      <c r="M491" s="17">
        <f>IF($C491="","",IF($L491="","",IF(NOT(ISNUMBER($L491)),$L491,IF(N($K491)&gt;2,"",IF($K491=1,IF(COUNTIFS(nrES_PID,$D491,nrES_Code,$F491,nrES_Att,2,nrES_Raw,"&gt;=0")&gt;0,"",$L491),IF($L491&gt;=$J491,MAX($J491,cfgRetakeRecordedCap),IF(COUNTIFS(nrES_PID,$D491,nrES_Code,$F491,nrES_Att,1)=0,$L491,SUMIFS(nrES_Raw,nrES_PID,$D491,nrES_Code,$F491,nrES_Att,1))))))))</f>
        <v/>
      </c>
      <c r="N491" s="17">
        <f>IF($C491="","",IF($L491="","",IF(NOT(ISNUMBER($L491)),"(not a score)",IF($L491&gt;=$J491,"Yes","No"))))</f>
        <v/>
      </c>
      <c r="O491" s="17">
        <f>IF($C491="","",IF($M491="","",IF(NOT(ISNUMBER($M491)),"(not a score)",IF($M491&gt;=$J491,"Yes","No"))))</f>
        <v/>
      </c>
      <c r="P491" s="17">
        <f>IF($C491="","",IF($K491="","",IF(N($K491)&gt;2,"No",IF(COUNTIFS(nrES_PID,$D491,nrES_Code,$F491,nrES_Att,"&gt;"&amp;$K491,nrES_Att,"&lt;=2",nrES_Raw,"&gt;=0")=0,"Yes","No"))))</f>
        <v/>
      </c>
      <c r="Q491" s="17">
        <f>IF($C491="","",IF($L491="","",IF(AND($K491=1,ISNUMBER($L491),$L491&lt;$J491,COUNTIFS(nrES_PID,$D491,nrES_Code,$F491,nrES_Att,2,nrES_Raw,"&gt;=0")=0),"Yes","No")))</f>
        <v/>
      </c>
      <c r="R491" s="17">
        <f>IF($C491="","",IF($L491="","",IF(AND(N($K491)&gt;=2,ISNUMBER($L491),$L491&lt;$J491),"Yes","No")))</f>
        <v/>
      </c>
      <c r="S491" s="18" t="n"/>
      <c r="T491" s="19">
        <f>IF(OR($C491="",$L491="",$K491&lt;&gt;1,NOT(ISNUMBER($L491)),$L491&gt;=$J491),"",IF($S491="","(enter date)",_xlfn.LET(_xlpm.dn,_xlfn.XLOOKUP($S491,nrCDdate,nrCDnum,"",1),IF(_xlpm.dn="","(after last class day)",_xlfn.LET(_xlpm.dd,_xlfn.XLOOKUP(_xlpm.dn+cfgRetestClassDays,nrCDnum,nrCDdate,""),_xlpm.ok,_xlfn.XLOOKUP(_xlpm.dn+cfgRetestClassDays,nrCDnum,nrCDinsession,"No"),IF(OR(_xlpm.dd="",_xlpm.ok&lt;&gt;"Yes"),"(after last class day)",_xlpm.dd))))))</f>
        <v/>
      </c>
      <c r="U491" s="17">
        <f>IF($C491="","",IF(AND($Y491="Excused",$L491="",N($K491)&lt;=1),"EXCUSED - 1st attempt pending",IF(OR($L491="",$K491&lt;&gt;1,NOT(ISNUMBER($L491)),$L491&gt;=$J491),"",IF(COUNTIFS(nrES_PID,$D491,nrES_Code,$F491,nrES_Att,2,nrES_Raw,"&gt;=0")&gt;0,IF(IFERROR(_xlfn.MINIFS(nrES_Date,nrES_PID,$D491,nrES_Code,$F491,nrES_Att,2,nrES_Raw,"&gt;=0",nrES_Date,"&gt;0"),0)=0,"RETEST UNDATED",IF(NOT(ISNUMBER($T491)),"RETEST DATE UNCHECKED",IF(_xlfn.MINIFS(nrES_Date,nrES_PID,$D491,nrES_Code,$F491,nrES_Att,2,nrES_Raw,"&gt;=0",nrES_Date,"&gt;0")&gt;$T491,"LATE RETEST "&amp;TEXT(_xlfn.MINIFS(nrES_Date,nrES_PID,$D491,nrES_Code,$F491,nrES_Att,2,nrES_Raw,"&gt;=0",nrES_Date,"&gt;0"),"mm/dd")&amp;" (due "&amp;TEXT($T491,"mm/dd")&amp;")","Retested"))),IF(NOT(ISNUMBER($T491)),"CHECK DATE",IF(TODAY()&gt;$T491,"OVERDUE","Due "&amp;TEXT($T491,"mm/dd")))))))</f>
        <v/>
      </c>
      <c r="V491" s="16" t="n"/>
      <c r="W491" s="16" t="n"/>
      <c r="X491" s="17">
        <f>IF($C491="","",IF(AND($L491&lt;&gt;"",NOT(ISNUMBER($L491))),"RAW SCORE NOT A NUMBER",IF(AND(ISNUMBER($L491),OR($L491&lt;0,$L491&gt;100)),"RAW SCORE OUT OF RANGE",IF(AND($Y491="Unexcused",OR($L491="",NOT(ISNUMBER($L491)),$L491&lt;&gt;0)),"UNEXCUSED ABSENCE MUST RECORD 0",IF(COUNTIF(nrES_RecID,$B491)&gt;1,"DUPLICATE RECORD",IF(N($K491)&gt;2,"ATTEMPT 3+ NOT ALLOWED - policy 300.5 permits one retest per exam; this row records nothing",IF(AND($K491=2,COUNTIFS(nrES_PID,$D491,nrES_Code,$F491,nrES_Att,1)=0),"ATTEMPT 2 WITHOUT ATTEMPT 1",IF(AND($K491=2,$L491=""),"RETEST ROW HAS NO SCORE",IF(AND($H491="Final",$L491&lt;&gt;"",IFERROR(INDEX(nrCKfinalExamElig,MATCH($D491,rngCadetPIDs,0)),"")="No"),"FINAL EXAM AFTER FAILED FINAL PT (500.1.H)",IF(AND($K491=2,ISNUMBER($L491),COUNTIFS(nrES_PID,$D491,nrES_Code,$F491,nrES_Att,1)&gt;0,SUMIFS(nrES_Raw,nrES_PID,$D491,nrES_Code,$F491,nrES_Att,1)&gt;=$J491),"RETEST AFTER A PASSING FIRST ATTEMPT","OK"))))))))))</f>
        <v/>
      </c>
      <c r="Y491" s="16" t="n"/>
    </row>
    <row r="492">
      <c r="B492" s="17">
        <f>IF($C492="","",$D492&amp;"-"&amp;$F492&amp;"-"&amp;$K492)</f>
        <v/>
      </c>
      <c r="C492" s="16" t="n"/>
      <c r="D492" s="17">
        <f>IF($C492="","",IFERROR(INDEX(rngCadetPIDs,MATCH($C492,rngCadetNames,0)),"?"))</f>
        <v/>
      </c>
      <c r="E492" s="17">
        <f>IF($D492="","",IFERROR(INDEX(nrCadetAgency,MATCH($D492,rngCadetPIDs,0)),""))</f>
        <v/>
      </c>
      <c r="F492" s="16" t="n"/>
      <c r="G492" s="17">
        <f>IF($F492="","",IFERROR(INDEX(rngEPname,MATCH($F492,rngEPcode,0)),"?"))</f>
        <v/>
      </c>
      <c r="H492" s="17">
        <f>IF($F492="","",IFERROR(INDEX(rngEPtype,MATCH($F492,rngEPcode,0)),"?"))</f>
        <v/>
      </c>
      <c r="I492" s="17">
        <f>IF($F492="","",IFERROR(INDEX(rngEPseq,MATCH($F492,rngEPcode,0)),""))</f>
        <v/>
      </c>
      <c r="J492" s="17">
        <f>IF($F492="","",IFERROR(INDEX(rngEPpass,MATCH($F492,rngEPcode,0)),cfgPassingScore))</f>
        <v/>
      </c>
      <c r="K492" s="16" t="n"/>
      <c r="L492" s="16" t="n"/>
      <c r="M492" s="17">
        <f>IF($C492="","",IF($L492="","",IF(NOT(ISNUMBER($L492)),$L492,IF(N($K492)&gt;2,"",IF($K492=1,IF(COUNTIFS(nrES_PID,$D492,nrES_Code,$F492,nrES_Att,2,nrES_Raw,"&gt;=0")&gt;0,"",$L492),IF($L492&gt;=$J492,MAX($J492,cfgRetakeRecordedCap),IF(COUNTIFS(nrES_PID,$D492,nrES_Code,$F492,nrES_Att,1)=0,$L492,SUMIFS(nrES_Raw,nrES_PID,$D492,nrES_Code,$F492,nrES_Att,1))))))))</f>
        <v/>
      </c>
      <c r="N492" s="17">
        <f>IF($C492="","",IF($L492="","",IF(NOT(ISNUMBER($L492)),"(not a score)",IF($L492&gt;=$J492,"Yes","No"))))</f>
        <v/>
      </c>
      <c r="O492" s="17">
        <f>IF($C492="","",IF($M492="","",IF(NOT(ISNUMBER($M492)),"(not a score)",IF($M492&gt;=$J492,"Yes","No"))))</f>
        <v/>
      </c>
      <c r="P492" s="17">
        <f>IF($C492="","",IF($K492="","",IF(N($K492)&gt;2,"No",IF(COUNTIFS(nrES_PID,$D492,nrES_Code,$F492,nrES_Att,"&gt;"&amp;$K492,nrES_Att,"&lt;=2",nrES_Raw,"&gt;=0")=0,"Yes","No"))))</f>
        <v/>
      </c>
      <c r="Q492" s="17">
        <f>IF($C492="","",IF($L492="","",IF(AND($K492=1,ISNUMBER($L492),$L492&lt;$J492,COUNTIFS(nrES_PID,$D492,nrES_Code,$F492,nrES_Att,2,nrES_Raw,"&gt;=0")=0),"Yes","No")))</f>
        <v/>
      </c>
      <c r="R492" s="17">
        <f>IF($C492="","",IF($L492="","",IF(AND(N($K492)&gt;=2,ISNUMBER($L492),$L492&lt;$J492),"Yes","No")))</f>
        <v/>
      </c>
      <c r="S492" s="18" t="n"/>
      <c r="T492" s="19">
        <f>IF(OR($C492="",$L492="",$K492&lt;&gt;1,NOT(ISNUMBER($L492)),$L492&gt;=$J492),"",IF($S492="","(enter date)",_xlfn.LET(_xlpm.dn,_xlfn.XLOOKUP($S492,nrCDdate,nrCDnum,"",1),IF(_xlpm.dn="","(after last class day)",_xlfn.LET(_xlpm.dd,_xlfn.XLOOKUP(_xlpm.dn+cfgRetestClassDays,nrCDnum,nrCDdate,""),_xlpm.ok,_xlfn.XLOOKUP(_xlpm.dn+cfgRetestClassDays,nrCDnum,nrCDinsession,"No"),IF(OR(_xlpm.dd="",_xlpm.ok&lt;&gt;"Yes"),"(after last class day)",_xlpm.dd))))))</f>
        <v/>
      </c>
      <c r="U492" s="17">
        <f>IF($C492="","",IF(AND($Y492="Excused",$L492="",N($K492)&lt;=1),"EXCUSED - 1st attempt pending",IF(OR($L492="",$K492&lt;&gt;1,NOT(ISNUMBER($L492)),$L492&gt;=$J492),"",IF(COUNTIFS(nrES_PID,$D492,nrES_Code,$F492,nrES_Att,2,nrES_Raw,"&gt;=0")&gt;0,IF(IFERROR(_xlfn.MINIFS(nrES_Date,nrES_PID,$D492,nrES_Code,$F492,nrES_Att,2,nrES_Raw,"&gt;=0",nrES_Date,"&gt;0"),0)=0,"RETEST UNDATED",IF(NOT(ISNUMBER($T492)),"RETEST DATE UNCHECKED",IF(_xlfn.MINIFS(nrES_Date,nrES_PID,$D492,nrES_Code,$F492,nrES_Att,2,nrES_Raw,"&gt;=0",nrES_Date,"&gt;0")&gt;$T492,"LATE RETEST "&amp;TEXT(_xlfn.MINIFS(nrES_Date,nrES_PID,$D492,nrES_Code,$F492,nrES_Att,2,nrES_Raw,"&gt;=0",nrES_Date,"&gt;0"),"mm/dd")&amp;" (due "&amp;TEXT($T492,"mm/dd")&amp;")","Retested"))),IF(NOT(ISNUMBER($T492)),"CHECK DATE",IF(TODAY()&gt;$T492,"OVERDUE","Due "&amp;TEXT($T492,"mm/dd")))))))</f>
        <v/>
      </c>
      <c r="V492" s="16" t="n"/>
      <c r="W492" s="16" t="n"/>
      <c r="X492" s="17">
        <f>IF($C492="","",IF(AND($L492&lt;&gt;"",NOT(ISNUMBER($L492))),"RAW SCORE NOT A NUMBER",IF(AND(ISNUMBER($L492),OR($L492&lt;0,$L492&gt;100)),"RAW SCORE OUT OF RANGE",IF(AND($Y492="Unexcused",OR($L492="",NOT(ISNUMBER($L492)),$L492&lt;&gt;0)),"UNEXCUSED ABSENCE MUST RECORD 0",IF(COUNTIF(nrES_RecID,$B492)&gt;1,"DUPLICATE RECORD",IF(N($K492)&gt;2,"ATTEMPT 3+ NOT ALLOWED - policy 300.5 permits one retest per exam; this row records nothing",IF(AND($K492=2,COUNTIFS(nrES_PID,$D492,nrES_Code,$F492,nrES_Att,1)=0),"ATTEMPT 2 WITHOUT ATTEMPT 1",IF(AND($K492=2,$L492=""),"RETEST ROW HAS NO SCORE",IF(AND($H492="Final",$L492&lt;&gt;"",IFERROR(INDEX(nrCKfinalExamElig,MATCH($D492,rngCadetPIDs,0)),"")="No"),"FINAL EXAM AFTER FAILED FINAL PT (500.1.H)",IF(AND($K492=2,ISNUMBER($L492),COUNTIFS(nrES_PID,$D492,nrES_Code,$F492,nrES_Att,1)&gt;0,SUMIFS(nrES_Raw,nrES_PID,$D492,nrES_Code,$F492,nrES_Att,1)&gt;=$J492),"RETEST AFTER A PASSING FIRST ATTEMPT","OK"))))))))))</f>
        <v/>
      </c>
      <c r="Y492" s="16" t="n"/>
    </row>
    <row r="493">
      <c r="B493" s="17">
        <f>IF($C493="","",$D493&amp;"-"&amp;$F493&amp;"-"&amp;$K493)</f>
        <v/>
      </c>
      <c r="C493" s="16" t="n"/>
      <c r="D493" s="17">
        <f>IF($C493="","",IFERROR(INDEX(rngCadetPIDs,MATCH($C493,rngCadetNames,0)),"?"))</f>
        <v/>
      </c>
      <c r="E493" s="17">
        <f>IF($D493="","",IFERROR(INDEX(nrCadetAgency,MATCH($D493,rngCadetPIDs,0)),""))</f>
        <v/>
      </c>
      <c r="F493" s="16" t="n"/>
      <c r="G493" s="17">
        <f>IF($F493="","",IFERROR(INDEX(rngEPname,MATCH($F493,rngEPcode,0)),"?"))</f>
        <v/>
      </c>
      <c r="H493" s="17">
        <f>IF($F493="","",IFERROR(INDEX(rngEPtype,MATCH($F493,rngEPcode,0)),"?"))</f>
        <v/>
      </c>
      <c r="I493" s="17">
        <f>IF($F493="","",IFERROR(INDEX(rngEPseq,MATCH($F493,rngEPcode,0)),""))</f>
        <v/>
      </c>
      <c r="J493" s="17">
        <f>IF($F493="","",IFERROR(INDEX(rngEPpass,MATCH($F493,rngEPcode,0)),cfgPassingScore))</f>
        <v/>
      </c>
      <c r="K493" s="16" t="n"/>
      <c r="L493" s="16" t="n"/>
      <c r="M493" s="17">
        <f>IF($C493="","",IF($L493="","",IF(NOT(ISNUMBER($L493)),$L493,IF(N($K493)&gt;2,"",IF($K493=1,IF(COUNTIFS(nrES_PID,$D493,nrES_Code,$F493,nrES_Att,2,nrES_Raw,"&gt;=0")&gt;0,"",$L493),IF($L493&gt;=$J493,MAX($J493,cfgRetakeRecordedCap),IF(COUNTIFS(nrES_PID,$D493,nrES_Code,$F493,nrES_Att,1)=0,$L493,SUMIFS(nrES_Raw,nrES_PID,$D493,nrES_Code,$F493,nrES_Att,1))))))))</f>
        <v/>
      </c>
      <c r="N493" s="17">
        <f>IF($C493="","",IF($L493="","",IF(NOT(ISNUMBER($L493)),"(not a score)",IF($L493&gt;=$J493,"Yes","No"))))</f>
        <v/>
      </c>
      <c r="O493" s="17">
        <f>IF($C493="","",IF($M493="","",IF(NOT(ISNUMBER($M493)),"(not a score)",IF($M493&gt;=$J493,"Yes","No"))))</f>
        <v/>
      </c>
      <c r="P493" s="17">
        <f>IF($C493="","",IF($K493="","",IF(N($K493)&gt;2,"No",IF(COUNTIFS(nrES_PID,$D493,nrES_Code,$F493,nrES_Att,"&gt;"&amp;$K493,nrES_Att,"&lt;=2",nrES_Raw,"&gt;=0")=0,"Yes","No"))))</f>
        <v/>
      </c>
      <c r="Q493" s="17">
        <f>IF($C493="","",IF($L493="","",IF(AND($K493=1,ISNUMBER($L493),$L493&lt;$J493,COUNTIFS(nrES_PID,$D493,nrES_Code,$F493,nrES_Att,2,nrES_Raw,"&gt;=0")=0),"Yes","No")))</f>
        <v/>
      </c>
      <c r="R493" s="17">
        <f>IF($C493="","",IF($L493="","",IF(AND(N($K493)&gt;=2,ISNUMBER($L493),$L493&lt;$J493),"Yes","No")))</f>
        <v/>
      </c>
      <c r="S493" s="18" t="n"/>
      <c r="T493" s="19">
        <f>IF(OR($C493="",$L493="",$K493&lt;&gt;1,NOT(ISNUMBER($L493)),$L493&gt;=$J493),"",IF($S493="","(enter date)",_xlfn.LET(_xlpm.dn,_xlfn.XLOOKUP($S493,nrCDdate,nrCDnum,"",1),IF(_xlpm.dn="","(after last class day)",_xlfn.LET(_xlpm.dd,_xlfn.XLOOKUP(_xlpm.dn+cfgRetestClassDays,nrCDnum,nrCDdate,""),_xlpm.ok,_xlfn.XLOOKUP(_xlpm.dn+cfgRetestClassDays,nrCDnum,nrCDinsession,"No"),IF(OR(_xlpm.dd="",_xlpm.ok&lt;&gt;"Yes"),"(after last class day)",_xlpm.dd))))))</f>
        <v/>
      </c>
      <c r="U493" s="17">
        <f>IF($C493="","",IF(AND($Y493="Excused",$L493="",N($K493)&lt;=1),"EXCUSED - 1st attempt pending",IF(OR($L493="",$K493&lt;&gt;1,NOT(ISNUMBER($L493)),$L493&gt;=$J493),"",IF(COUNTIFS(nrES_PID,$D493,nrES_Code,$F493,nrES_Att,2,nrES_Raw,"&gt;=0")&gt;0,IF(IFERROR(_xlfn.MINIFS(nrES_Date,nrES_PID,$D493,nrES_Code,$F493,nrES_Att,2,nrES_Raw,"&gt;=0",nrES_Date,"&gt;0"),0)=0,"RETEST UNDATED",IF(NOT(ISNUMBER($T493)),"RETEST DATE UNCHECKED",IF(_xlfn.MINIFS(nrES_Date,nrES_PID,$D493,nrES_Code,$F493,nrES_Att,2,nrES_Raw,"&gt;=0",nrES_Date,"&gt;0")&gt;$T493,"LATE RETEST "&amp;TEXT(_xlfn.MINIFS(nrES_Date,nrES_PID,$D493,nrES_Code,$F493,nrES_Att,2,nrES_Raw,"&gt;=0",nrES_Date,"&gt;0"),"mm/dd")&amp;" (due "&amp;TEXT($T493,"mm/dd")&amp;")","Retested"))),IF(NOT(ISNUMBER($T493)),"CHECK DATE",IF(TODAY()&gt;$T493,"OVERDUE","Due "&amp;TEXT($T493,"mm/dd")))))))</f>
        <v/>
      </c>
      <c r="V493" s="16" t="n"/>
      <c r="W493" s="16" t="n"/>
      <c r="X493" s="17">
        <f>IF($C493="","",IF(AND($L493&lt;&gt;"",NOT(ISNUMBER($L493))),"RAW SCORE NOT A NUMBER",IF(AND(ISNUMBER($L493),OR($L493&lt;0,$L493&gt;100)),"RAW SCORE OUT OF RANGE",IF(AND($Y493="Unexcused",OR($L493="",NOT(ISNUMBER($L493)),$L493&lt;&gt;0)),"UNEXCUSED ABSENCE MUST RECORD 0",IF(COUNTIF(nrES_RecID,$B493)&gt;1,"DUPLICATE RECORD",IF(N($K493)&gt;2,"ATTEMPT 3+ NOT ALLOWED - policy 300.5 permits one retest per exam; this row records nothing",IF(AND($K493=2,COUNTIFS(nrES_PID,$D493,nrES_Code,$F493,nrES_Att,1)=0),"ATTEMPT 2 WITHOUT ATTEMPT 1",IF(AND($K493=2,$L493=""),"RETEST ROW HAS NO SCORE",IF(AND($H493="Final",$L493&lt;&gt;"",IFERROR(INDEX(nrCKfinalExamElig,MATCH($D493,rngCadetPIDs,0)),"")="No"),"FINAL EXAM AFTER FAILED FINAL PT (500.1.H)",IF(AND($K493=2,ISNUMBER($L493),COUNTIFS(nrES_PID,$D493,nrES_Code,$F493,nrES_Att,1)&gt;0,SUMIFS(nrES_Raw,nrES_PID,$D493,nrES_Code,$F493,nrES_Att,1)&gt;=$J493),"RETEST AFTER A PASSING FIRST ATTEMPT","OK"))))))))))</f>
        <v/>
      </c>
      <c r="Y493" s="16" t="n"/>
    </row>
    <row r="494">
      <c r="B494" s="17">
        <f>IF($C494="","",$D494&amp;"-"&amp;$F494&amp;"-"&amp;$K494)</f>
        <v/>
      </c>
      <c r="C494" s="16" t="n"/>
      <c r="D494" s="17">
        <f>IF($C494="","",IFERROR(INDEX(rngCadetPIDs,MATCH($C494,rngCadetNames,0)),"?"))</f>
        <v/>
      </c>
      <c r="E494" s="17">
        <f>IF($D494="","",IFERROR(INDEX(nrCadetAgency,MATCH($D494,rngCadetPIDs,0)),""))</f>
        <v/>
      </c>
      <c r="F494" s="16" t="n"/>
      <c r="G494" s="17">
        <f>IF($F494="","",IFERROR(INDEX(rngEPname,MATCH($F494,rngEPcode,0)),"?"))</f>
        <v/>
      </c>
      <c r="H494" s="17">
        <f>IF($F494="","",IFERROR(INDEX(rngEPtype,MATCH($F494,rngEPcode,0)),"?"))</f>
        <v/>
      </c>
      <c r="I494" s="17">
        <f>IF($F494="","",IFERROR(INDEX(rngEPseq,MATCH($F494,rngEPcode,0)),""))</f>
        <v/>
      </c>
      <c r="J494" s="17">
        <f>IF($F494="","",IFERROR(INDEX(rngEPpass,MATCH($F494,rngEPcode,0)),cfgPassingScore))</f>
        <v/>
      </c>
      <c r="K494" s="16" t="n"/>
      <c r="L494" s="16" t="n"/>
      <c r="M494" s="17">
        <f>IF($C494="","",IF($L494="","",IF(NOT(ISNUMBER($L494)),$L494,IF(N($K494)&gt;2,"",IF($K494=1,IF(COUNTIFS(nrES_PID,$D494,nrES_Code,$F494,nrES_Att,2,nrES_Raw,"&gt;=0")&gt;0,"",$L494),IF($L494&gt;=$J494,MAX($J494,cfgRetakeRecordedCap),IF(COUNTIFS(nrES_PID,$D494,nrES_Code,$F494,nrES_Att,1)=0,$L494,SUMIFS(nrES_Raw,nrES_PID,$D494,nrES_Code,$F494,nrES_Att,1))))))))</f>
        <v/>
      </c>
      <c r="N494" s="17">
        <f>IF($C494="","",IF($L494="","",IF(NOT(ISNUMBER($L494)),"(not a score)",IF($L494&gt;=$J494,"Yes","No"))))</f>
        <v/>
      </c>
      <c r="O494" s="17">
        <f>IF($C494="","",IF($M494="","",IF(NOT(ISNUMBER($M494)),"(not a score)",IF($M494&gt;=$J494,"Yes","No"))))</f>
        <v/>
      </c>
      <c r="P494" s="17">
        <f>IF($C494="","",IF($K494="","",IF(N($K494)&gt;2,"No",IF(COUNTIFS(nrES_PID,$D494,nrES_Code,$F494,nrES_Att,"&gt;"&amp;$K494,nrES_Att,"&lt;=2",nrES_Raw,"&gt;=0")=0,"Yes","No"))))</f>
        <v/>
      </c>
      <c r="Q494" s="17">
        <f>IF($C494="","",IF($L494="","",IF(AND($K494=1,ISNUMBER($L494),$L494&lt;$J494,COUNTIFS(nrES_PID,$D494,nrES_Code,$F494,nrES_Att,2,nrES_Raw,"&gt;=0")=0),"Yes","No")))</f>
        <v/>
      </c>
      <c r="R494" s="17">
        <f>IF($C494="","",IF($L494="","",IF(AND(N($K494)&gt;=2,ISNUMBER($L494),$L494&lt;$J494),"Yes","No")))</f>
        <v/>
      </c>
      <c r="S494" s="18" t="n"/>
      <c r="T494" s="19">
        <f>IF(OR($C494="",$L494="",$K494&lt;&gt;1,NOT(ISNUMBER($L494)),$L494&gt;=$J494),"",IF($S494="","(enter date)",_xlfn.LET(_xlpm.dn,_xlfn.XLOOKUP($S494,nrCDdate,nrCDnum,"",1),IF(_xlpm.dn="","(after last class day)",_xlfn.LET(_xlpm.dd,_xlfn.XLOOKUP(_xlpm.dn+cfgRetestClassDays,nrCDnum,nrCDdate,""),_xlpm.ok,_xlfn.XLOOKUP(_xlpm.dn+cfgRetestClassDays,nrCDnum,nrCDinsession,"No"),IF(OR(_xlpm.dd="",_xlpm.ok&lt;&gt;"Yes"),"(after last class day)",_xlpm.dd))))))</f>
        <v/>
      </c>
      <c r="U494" s="17">
        <f>IF($C494="","",IF(AND($Y494="Excused",$L494="",N($K494)&lt;=1),"EXCUSED - 1st attempt pending",IF(OR($L494="",$K494&lt;&gt;1,NOT(ISNUMBER($L494)),$L494&gt;=$J494),"",IF(COUNTIFS(nrES_PID,$D494,nrES_Code,$F494,nrES_Att,2,nrES_Raw,"&gt;=0")&gt;0,IF(IFERROR(_xlfn.MINIFS(nrES_Date,nrES_PID,$D494,nrES_Code,$F494,nrES_Att,2,nrES_Raw,"&gt;=0",nrES_Date,"&gt;0"),0)=0,"RETEST UNDATED",IF(NOT(ISNUMBER($T494)),"RETEST DATE UNCHECKED",IF(_xlfn.MINIFS(nrES_Date,nrES_PID,$D494,nrES_Code,$F494,nrES_Att,2,nrES_Raw,"&gt;=0",nrES_Date,"&gt;0")&gt;$T494,"LATE RETEST "&amp;TEXT(_xlfn.MINIFS(nrES_Date,nrES_PID,$D494,nrES_Code,$F494,nrES_Att,2,nrES_Raw,"&gt;=0",nrES_Date,"&gt;0"),"mm/dd")&amp;" (due "&amp;TEXT($T494,"mm/dd")&amp;")","Retested"))),IF(NOT(ISNUMBER($T494)),"CHECK DATE",IF(TODAY()&gt;$T494,"OVERDUE","Due "&amp;TEXT($T494,"mm/dd")))))))</f>
        <v/>
      </c>
      <c r="V494" s="16" t="n"/>
      <c r="W494" s="16" t="n"/>
      <c r="X494" s="17">
        <f>IF($C494="","",IF(AND($L494&lt;&gt;"",NOT(ISNUMBER($L494))),"RAW SCORE NOT A NUMBER",IF(AND(ISNUMBER($L494),OR($L494&lt;0,$L494&gt;100)),"RAW SCORE OUT OF RANGE",IF(AND($Y494="Unexcused",OR($L494="",NOT(ISNUMBER($L494)),$L494&lt;&gt;0)),"UNEXCUSED ABSENCE MUST RECORD 0",IF(COUNTIF(nrES_RecID,$B494)&gt;1,"DUPLICATE RECORD",IF(N($K494)&gt;2,"ATTEMPT 3+ NOT ALLOWED - policy 300.5 permits one retest per exam; this row records nothing",IF(AND($K494=2,COUNTIFS(nrES_PID,$D494,nrES_Code,$F494,nrES_Att,1)=0),"ATTEMPT 2 WITHOUT ATTEMPT 1",IF(AND($K494=2,$L494=""),"RETEST ROW HAS NO SCORE",IF(AND($H494="Final",$L494&lt;&gt;"",IFERROR(INDEX(nrCKfinalExamElig,MATCH($D494,rngCadetPIDs,0)),"")="No"),"FINAL EXAM AFTER FAILED FINAL PT (500.1.H)",IF(AND($K494=2,ISNUMBER($L494),COUNTIFS(nrES_PID,$D494,nrES_Code,$F494,nrES_Att,1)&gt;0,SUMIFS(nrES_Raw,nrES_PID,$D494,nrES_Code,$F494,nrES_Att,1)&gt;=$J494),"RETEST AFTER A PASSING FIRST ATTEMPT","OK"))))))))))</f>
        <v/>
      </c>
      <c r="Y494" s="16" t="n"/>
    </row>
    <row r="495">
      <c r="B495" s="17">
        <f>IF($C495="","",$D495&amp;"-"&amp;$F495&amp;"-"&amp;$K495)</f>
        <v/>
      </c>
      <c r="C495" s="16" t="n"/>
      <c r="D495" s="17">
        <f>IF($C495="","",IFERROR(INDEX(rngCadetPIDs,MATCH($C495,rngCadetNames,0)),"?"))</f>
        <v/>
      </c>
      <c r="E495" s="17">
        <f>IF($D495="","",IFERROR(INDEX(nrCadetAgency,MATCH($D495,rngCadetPIDs,0)),""))</f>
        <v/>
      </c>
      <c r="F495" s="16" t="n"/>
      <c r="G495" s="17">
        <f>IF($F495="","",IFERROR(INDEX(rngEPname,MATCH($F495,rngEPcode,0)),"?"))</f>
        <v/>
      </c>
      <c r="H495" s="17">
        <f>IF($F495="","",IFERROR(INDEX(rngEPtype,MATCH($F495,rngEPcode,0)),"?"))</f>
        <v/>
      </c>
      <c r="I495" s="17">
        <f>IF($F495="","",IFERROR(INDEX(rngEPseq,MATCH($F495,rngEPcode,0)),""))</f>
        <v/>
      </c>
      <c r="J495" s="17">
        <f>IF($F495="","",IFERROR(INDEX(rngEPpass,MATCH($F495,rngEPcode,0)),cfgPassingScore))</f>
        <v/>
      </c>
      <c r="K495" s="16" t="n"/>
      <c r="L495" s="16" t="n"/>
      <c r="M495" s="17">
        <f>IF($C495="","",IF($L495="","",IF(NOT(ISNUMBER($L495)),$L495,IF(N($K495)&gt;2,"",IF($K495=1,IF(COUNTIFS(nrES_PID,$D495,nrES_Code,$F495,nrES_Att,2,nrES_Raw,"&gt;=0")&gt;0,"",$L495),IF($L495&gt;=$J495,MAX($J495,cfgRetakeRecordedCap),IF(COUNTIFS(nrES_PID,$D495,nrES_Code,$F495,nrES_Att,1)=0,$L495,SUMIFS(nrES_Raw,nrES_PID,$D495,nrES_Code,$F495,nrES_Att,1))))))))</f>
        <v/>
      </c>
      <c r="N495" s="17">
        <f>IF($C495="","",IF($L495="","",IF(NOT(ISNUMBER($L495)),"(not a score)",IF($L495&gt;=$J495,"Yes","No"))))</f>
        <v/>
      </c>
      <c r="O495" s="17">
        <f>IF($C495="","",IF($M495="","",IF(NOT(ISNUMBER($M495)),"(not a score)",IF($M495&gt;=$J495,"Yes","No"))))</f>
        <v/>
      </c>
      <c r="P495" s="17">
        <f>IF($C495="","",IF($K495="","",IF(N($K495)&gt;2,"No",IF(COUNTIFS(nrES_PID,$D495,nrES_Code,$F495,nrES_Att,"&gt;"&amp;$K495,nrES_Att,"&lt;=2",nrES_Raw,"&gt;=0")=0,"Yes","No"))))</f>
        <v/>
      </c>
      <c r="Q495" s="17">
        <f>IF($C495="","",IF($L495="","",IF(AND($K495=1,ISNUMBER($L495),$L495&lt;$J495,COUNTIFS(nrES_PID,$D495,nrES_Code,$F495,nrES_Att,2,nrES_Raw,"&gt;=0")=0),"Yes","No")))</f>
        <v/>
      </c>
      <c r="R495" s="17">
        <f>IF($C495="","",IF($L495="","",IF(AND(N($K495)&gt;=2,ISNUMBER($L495),$L495&lt;$J495),"Yes","No")))</f>
        <v/>
      </c>
      <c r="S495" s="18" t="n"/>
      <c r="T495" s="19">
        <f>IF(OR($C495="",$L495="",$K495&lt;&gt;1,NOT(ISNUMBER($L495)),$L495&gt;=$J495),"",IF($S495="","(enter date)",_xlfn.LET(_xlpm.dn,_xlfn.XLOOKUP($S495,nrCDdate,nrCDnum,"",1),IF(_xlpm.dn="","(after last class day)",_xlfn.LET(_xlpm.dd,_xlfn.XLOOKUP(_xlpm.dn+cfgRetestClassDays,nrCDnum,nrCDdate,""),_xlpm.ok,_xlfn.XLOOKUP(_xlpm.dn+cfgRetestClassDays,nrCDnum,nrCDinsession,"No"),IF(OR(_xlpm.dd="",_xlpm.ok&lt;&gt;"Yes"),"(after last class day)",_xlpm.dd))))))</f>
        <v/>
      </c>
      <c r="U495" s="17">
        <f>IF($C495="","",IF(AND($Y495="Excused",$L495="",N($K495)&lt;=1),"EXCUSED - 1st attempt pending",IF(OR($L495="",$K495&lt;&gt;1,NOT(ISNUMBER($L495)),$L495&gt;=$J495),"",IF(COUNTIFS(nrES_PID,$D495,nrES_Code,$F495,nrES_Att,2,nrES_Raw,"&gt;=0")&gt;0,IF(IFERROR(_xlfn.MINIFS(nrES_Date,nrES_PID,$D495,nrES_Code,$F495,nrES_Att,2,nrES_Raw,"&gt;=0",nrES_Date,"&gt;0"),0)=0,"RETEST UNDATED",IF(NOT(ISNUMBER($T495)),"RETEST DATE UNCHECKED",IF(_xlfn.MINIFS(nrES_Date,nrES_PID,$D495,nrES_Code,$F495,nrES_Att,2,nrES_Raw,"&gt;=0",nrES_Date,"&gt;0")&gt;$T495,"LATE RETEST "&amp;TEXT(_xlfn.MINIFS(nrES_Date,nrES_PID,$D495,nrES_Code,$F495,nrES_Att,2,nrES_Raw,"&gt;=0",nrES_Date,"&gt;0"),"mm/dd")&amp;" (due "&amp;TEXT($T495,"mm/dd")&amp;")","Retested"))),IF(NOT(ISNUMBER($T495)),"CHECK DATE",IF(TODAY()&gt;$T495,"OVERDUE","Due "&amp;TEXT($T495,"mm/dd")))))))</f>
        <v/>
      </c>
      <c r="V495" s="16" t="n"/>
      <c r="W495" s="16" t="n"/>
      <c r="X495" s="17">
        <f>IF($C495="","",IF(AND($L495&lt;&gt;"",NOT(ISNUMBER($L495))),"RAW SCORE NOT A NUMBER",IF(AND(ISNUMBER($L495),OR($L495&lt;0,$L495&gt;100)),"RAW SCORE OUT OF RANGE",IF(AND($Y495="Unexcused",OR($L495="",NOT(ISNUMBER($L495)),$L495&lt;&gt;0)),"UNEXCUSED ABSENCE MUST RECORD 0",IF(COUNTIF(nrES_RecID,$B495)&gt;1,"DUPLICATE RECORD",IF(N($K495)&gt;2,"ATTEMPT 3+ NOT ALLOWED - policy 300.5 permits one retest per exam; this row records nothing",IF(AND($K495=2,COUNTIFS(nrES_PID,$D495,nrES_Code,$F495,nrES_Att,1)=0),"ATTEMPT 2 WITHOUT ATTEMPT 1",IF(AND($K495=2,$L495=""),"RETEST ROW HAS NO SCORE",IF(AND($H495="Final",$L495&lt;&gt;"",IFERROR(INDEX(nrCKfinalExamElig,MATCH($D495,rngCadetPIDs,0)),"")="No"),"FINAL EXAM AFTER FAILED FINAL PT (500.1.H)",IF(AND($K495=2,ISNUMBER($L495),COUNTIFS(nrES_PID,$D495,nrES_Code,$F495,nrES_Att,1)&gt;0,SUMIFS(nrES_Raw,nrES_PID,$D495,nrES_Code,$F495,nrES_Att,1)&gt;=$J495),"RETEST AFTER A PASSING FIRST ATTEMPT","OK"))))))))))</f>
        <v/>
      </c>
      <c r="Y495" s="16" t="n"/>
    </row>
    <row r="496">
      <c r="B496" s="17">
        <f>IF($C496="","",$D496&amp;"-"&amp;$F496&amp;"-"&amp;$K496)</f>
        <v/>
      </c>
      <c r="C496" s="16" t="n"/>
      <c r="D496" s="17">
        <f>IF($C496="","",IFERROR(INDEX(rngCadetPIDs,MATCH($C496,rngCadetNames,0)),"?"))</f>
        <v/>
      </c>
      <c r="E496" s="17">
        <f>IF($D496="","",IFERROR(INDEX(nrCadetAgency,MATCH($D496,rngCadetPIDs,0)),""))</f>
        <v/>
      </c>
      <c r="F496" s="16" t="n"/>
      <c r="G496" s="17">
        <f>IF($F496="","",IFERROR(INDEX(rngEPname,MATCH($F496,rngEPcode,0)),"?"))</f>
        <v/>
      </c>
      <c r="H496" s="17">
        <f>IF($F496="","",IFERROR(INDEX(rngEPtype,MATCH($F496,rngEPcode,0)),"?"))</f>
        <v/>
      </c>
      <c r="I496" s="17">
        <f>IF($F496="","",IFERROR(INDEX(rngEPseq,MATCH($F496,rngEPcode,0)),""))</f>
        <v/>
      </c>
      <c r="J496" s="17">
        <f>IF($F496="","",IFERROR(INDEX(rngEPpass,MATCH($F496,rngEPcode,0)),cfgPassingScore))</f>
        <v/>
      </c>
      <c r="K496" s="16" t="n"/>
      <c r="L496" s="16" t="n"/>
      <c r="M496" s="17">
        <f>IF($C496="","",IF($L496="","",IF(NOT(ISNUMBER($L496)),$L496,IF(N($K496)&gt;2,"",IF($K496=1,IF(COUNTIFS(nrES_PID,$D496,nrES_Code,$F496,nrES_Att,2,nrES_Raw,"&gt;=0")&gt;0,"",$L496),IF($L496&gt;=$J496,MAX($J496,cfgRetakeRecordedCap),IF(COUNTIFS(nrES_PID,$D496,nrES_Code,$F496,nrES_Att,1)=0,$L496,SUMIFS(nrES_Raw,nrES_PID,$D496,nrES_Code,$F496,nrES_Att,1))))))))</f>
        <v/>
      </c>
      <c r="N496" s="17">
        <f>IF($C496="","",IF($L496="","",IF(NOT(ISNUMBER($L496)),"(not a score)",IF($L496&gt;=$J496,"Yes","No"))))</f>
        <v/>
      </c>
      <c r="O496" s="17">
        <f>IF($C496="","",IF($M496="","",IF(NOT(ISNUMBER($M496)),"(not a score)",IF($M496&gt;=$J496,"Yes","No"))))</f>
        <v/>
      </c>
      <c r="P496" s="17">
        <f>IF($C496="","",IF($K496="","",IF(N($K496)&gt;2,"No",IF(COUNTIFS(nrES_PID,$D496,nrES_Code,$F496,nrES_Att,"&gt;"&amp;$K496,nrES_Att,"&lt;=2",nrES_Raw,"&gt;=0")=0,"Yes","No"))))</f>
        <v/>
      </c>
      <c r="Q496" s="17">
        <f>IF($C496="","",IF($L496="","",IF(AND($K496=1,ISNUMBER($L496),$L496&lt;$J496,COUNTIFS(nrES_PID,$D496,nrES_Code,$F496,nrES_Att,2,nrES_Raw,"&gt;=0")=0),"Yes","No")))</f>
        <v/>
      </c>
      <c r="R496" s="17">
        <f>IF($C496="","",IF($L496="","",IF(AND(N($K496)&gt;=2,ISNUMBER($L496),$L496&lt;$J496),"Yes","No")))</f>
        <v/>
      </c>
      <c r="S496" s="18" t="n"/>
      <c r="T496" s="19">
        <f>IF(OR($C496="",$L496="",$K496&lt;&gt;1,NOT(ISNUMBER($L496)),$L496&gt;=$J496),"",IF($S496="","(enter date)",_xlfn.LET(_xlpm.dn,_xlfn.XLOOKUP($S496,nrCDdate,nrCDnum,"",1),IF(_xlpm.dn="","(after last class day)",_xlfn.LET(_xlpm.dd,_xlfn.XLOOKUP(_xlpm.dn+cfgRetestClassDays,nrCDnum,nrCDdate,""),_xlpm.ok,_xlfn.XLOOKUP(_xlpm.dn+cfgRetestClassDays,nrCDnum,nrCDinsession,"No"),IF(OR(_xlpm.dd="",_xlpm.ok&lt;&gt;"Yes"),"(after last class day)",_xlpm.dd))))))</f>
        <v/>
      </c>
      <c r="U496" s="17">
        <f>IF($C496="","",IF(AND($Y496="Excused",$L496="",N($K496)&lt;=1),"EXCUSED - 1st attempt pending",IF(OR($L496="",$K496&lt;&gt;1,NOT(ISNUMBER($L496)),$L496&gt;=$J496),"",IF(COUNTIFS(nrES_PID,$D496,nrES_Code,$F496,nrES_Att,2,nrES_Raw,"&gt;=0")&gt;0,IF(IFERROR(_xlfn.MINIFS(nrES_Date,nrES_PID,$D496,nrES_Code,$F496,nrES_Att,2,nrES_Raw,"&gt;=0",nrES_Date,"&gt;0"),0)=0,"RETEST UNDATED",IF(NOT(ISNUMBER($T496)),"RETEST DATE UNCHECKED",IF(_xlfn.MINIFS(nrES_Date,nrES_PID,$D496,nrES_Code,$F496,nrES_Att,2,nrES_Raw,"&gt;=0",nrES_Date,"&gt;0")&gt;$T496,"LATE RETEST "&amp;TEXT(_xlfn.MINIFS(nrES_Date,nrES_PID,$D496,nrES_Code,$F496,nrES_Att,2,nrES_Raw,"&gt;=0",nrES_Date,"&gt;0"),"mm/dd")&amp;" (due "&amp;TEXT($T496,"mm/dd")&amp;")","Retested"))),IF(NOT(ISNUMBER($T496)),"CHECK DATE",IF(TODAY()&gt;$T496,"OVERDUE","Due "&amp;TEXT($T496,"mm/dd")))))))</f>
        <v/>
      </c>
      <c r="V496" s="16" t="n"/>
      <c r="W496" s="16" t="n"/>
      <c r="X496" s="17">
        <f>IF($C496="","",IF(AND($L496&lt;&gt;"",NOT(ISNUMBER($L496))),"RAW SCORE NOT A NUMBER",IF(AND(ISNUMBER($L496),OR($L496&lt;0,$L496&gt;100)),"RAW SCORE OUT OF RANGE",IF(AND($Y496="Unexcused",OR($L496="",NOT(ISNUMBER($L496)),$L496&lt;&gt;0)),"UNEXCUSED ABSENCE MUST RECORD 0",IF(COUNTIF(nrES_RecID,$B496)&gt;1,"DUPLICATE RECORD",IF(N($K496)&gt;2,"ATTEMPT 3+ NOT ALLOWED - policy 300.5 permits one retest per exam; this row records nothing",IF(AND($K496=2,COUNTIFS(nrES_PID,$D496,nrES_Code,$F496,nrES_Att,1)=0),"ATTEMPT 2 WITHOUT ATTEMPT 1",IF(AND($K496=2,$L496=""),"RETEST ROW HAS NO SCORE",IF(AND($H496="Final",$L496&lt;&gt;"",IFERROR(INDEX(nrCKfinalExamElig,MATCH($D496,rngCadetPIDs,0)),"")="No"),"FINAL EXAM AFTER FAILED FINAL PT (500.1.H)",IF(AND($K496=2,ISNUMBER($L496),COUNTIFS(nrES_PID,$D496,nrES_Code,$F496,nrES_Att,1)&gt;0,SUMIFS(nrES_Raw,nrES_PID,$D496,nrES_Code,$F496,nrES_Att,1)&gt;=$J496),"RETEST AFTER A PASSING FIRST ATTEMPT","OK"))))))))))</f>
        <v/>
      </c>
      <c r="Y496" s="16" t="n"/>
    </row>
    <row r="497">
      <c r="B497" s="17">
        <f>IF($C497="","",$D497&amp;"-"&amp;$F497&amp;"-"&amp;$K497)</f>
        <v/>
      </c>
      <c r="C497" s="16" t="n"/>
      <c r="D497" s="17">
        <f>IF($C497="","",IFERROR(INDEX(rngCadetPIDs,MATCH($C497,rngCadetNames,0)),"?"))</f>
        <v/>
      </c>
      <c r="E497" s="17">
        <f>IF($D497="","",IFERROR(INDEX(nrCadetAgency,MATCH($D497,rngCadetPIDs,0)),""))</f>
        <v/>
      </c>
      <c r="F497" s="16" t="n"/>
      <c r="G497" s="17">
        <f>IF($F497="","",IFERROR(INDEX(rngEPname,MATCH($F497,rngEPcode,0)),"?"))</f>
        <v/>
      </c>
      <c r="H497" s="17">
        <f>IF($F497="","",IFERROR(INDEX(rngEPtype,MATCH($F497,rngEPcode,0)),"?"))</f>
        <v/>
      </c>
      <c r="I497" s="17">
        <f>IF($F497="","",IFERROR(INDEX(rngEPseq,MATCH($F497,rngEPcode,0)),""))</f>
        <v/>
      </c>
      <c r="J497" s="17">
        <f>IF($F497="","",IFERROR(INDEX(rngEPpass,MATCH($F497,rngEPcode,0)),cfgPassingScore))</f>
        <v/>
      </c>
      <c r="K497" s="16" t="n"/>
      <c r="L497" s="16" t="n"/>
      <c r="M497" s="17">
        <f>IF($C497="","",IF($L497="","",IF(NOT(ISNUMBER($L497)),$L497,IF(N($K497)&gt;2,"",IF($K497=1,IF(COUNTIFS(nrES_PID,$D497,nrES_Code,$F497,nrES_Att,2,nrES_Raw,"&gt;=0")&gt;0,"",$L497),IF($L497&gt;=$J497,MAX($J497,cfgRetakeRecordedCap),IF(COUNTIFS(nrES_PID,$D497,nrES_Code,$F497,nrES_Att,1)=0,$L497,SUMIFS(nrES_Raw,nrES_PID,$D497,nrES_Code,$F497,nrES_Att,1))))))))</f>
        <v/>
      </c>
      <c r="N497" s="17">
        <f>IF($C497="","",IF($L497="","",IF(NOT(ISNUMBER($L497)),"(not a score)",IF($L497&gt;=$J497,"Yes","No"))))</f>
        <v/>
      </c>
      <c r="O497" s="17">
        <f>IF($C497="","",IF($M497="","",IF(NOT(ISNUMBER($M497)),"(not a score)",IF($M497&gt;=$J497,"Yes","No"))))</f>
        <v/>
      </c>
      <c r="P497" s="17">
        <f>IF($C497="","",IF($K497="","",IF(N($K497)&gt;2,"No",IF(COUNTIFS(nrES_PID,$D497,nrES_Code,$F497,nrES_Att,"&gt;"&amp;$K497,nrES_Att,"&lt;=2",nrES_Raw,"&gt;=0")=0,"Yes","No"))))</f>
        <v/>
      </c>
      <c r="Q497" s="17">
        <f>IF($C497="","",IF($L497="","",IF(AND($K497=1,ISNUMBER($L497),$L497&lt;$J497,COUNTIFS(nrES_PID,$D497,nrES_Code,$F497,nrES_Att,2,nrES_Raw,"&gt;=0")=0),"Yes","No")))</f>
        <v/>
      </c>
      <c r="R497" s="17">
        <f>IF($C497="","",IF($L497="","",IF(AND(N($K497)&gt;=2,ISNUMBER($L497),$L497&lt;$J497),"Yes","No")))</f>
        <v/>
      </c>
      <c r="S497" s="18" t="n"/>
      <c r="T497" s="19">
        <f>IF(OR($C497="",$L497="",$K497&lt;&gt;1,NOT(ISNUMBER($L497)),$L497&gt;=$J497),"",IF($S497="","(enter date)",_xlfn.LET(_xlpm.dn,_xlfn.XLOOKUP($S497,nrCDdate,nrCDnum,"",1),IF(_xlpm.dn="","(after last class day)",_xlfn.LET(_xlpm.dd,_xlfn.XLOOKUP(_xlpm.dn+cfgRetestClassDays,nrCDnum,nrCDdate,""),_xlpm.ok,_xlfn.XLOOKUP(_xlpm.dn+cfgRetestClassDays,nrCDnum,nrCDinsession,"No"),IF(OR(_xlpm.dd="",_xlpm.ok&lt;&gt;"Yes"),"(after last class day)",_xlpm.dd))))))</f>
        <v/>
      </c>
      <c r="U497" s="17">
        <f>IF($C497="","",IF(AND($Y497="Excused",$L497="",N($K497)&lt;=1),"EXCUSED - 1st attempt pending",IF(OR($L497="",$K497&lt;&gt;1,NOT(ISNUMBER($L497)),$L497&gt;=$J497),"",IF(COUNTIFS(nrES_PID,$D497,nrES_Code,$F497,nrES_Att,2,nrES_Raw,"&gt;=0")&gt;0,IF(IFERROR(_xlfn.MINIFS(nrES_Date,nrES_PID,$D497,nrES_Code,$F497,nrES_Att,2,nrES_Raw,"&gt;=0",nrES_Date,"&gt;0"),0)=0,"RETEST UNDATED",IF(NOT(ISNUMBER($T497)),"RETEST DATE UNCHECKED",IF(_xlfn.MINIFS(nrES_Date,nrES_PID,$D497,nrES_Code,$F497,nrES_Att,2,nrES_Raw,"&gt;=0",nrES_Date,"&gt;0")&gt;$T497,"LATE RETEST "&amp;TEXT(_xlfn.MINIFS(nrES_Date,nrES_PID,$D497,nrES_Code,$F497,nrES_Att,2,nrES_Raw,"&gt;=0",nrES_Date,"&gt;0"),"mm/dd")&amp;" (due "&amp;TEXT($T497,"mm/dd")&amp;")","Retested"))),IF(NOT(ISNUMBER($T497)),"CHECK DATE",IF(TODAY()&gt;$T497,"OVERDUE","Due "&amp;TEXT($T497,"mm/dd")))))))</f>
        <v/>
      </c>
      <c r="V497" s="16" t="n"/>
      <c r="W497" s="16" t="n"/>
      <c r="X497" s="17">
        <f>IF($C497="","",IF(AND($L497&lt;&gt;"",NOT(ISNUMBER($L497))),"RAW SCORE NOT A NUMBER",IF(AND(ISNUMBER($L497),OR($L497&lt;0,$L497&gt;100)),"RAW SCORE OUT OF RANGE",IF(AND($Y497="Unexcused",OR($L497="",NOT(ISNUMBER($L497)),$L497&lt;&gt;0)),"UNEXCUSED ABSENCE MUST RECORD 0",IF(COUNTIF(nrES_RecID,$B497)&gt;1,"DUPLICATE RECORD",IF(N($K497)&gt;2,"ATTEMPT 3+ NOT ALLOWED - policy 300.5 permits one retest per exam; this row records nothing",IF(AND($K497=2,COUNTIFS(nrES_PID,$D497,nrES_Code,$F497,nrES_Att,1)=0),"ATTEMPT 2 WITHOUT ATTEMPT 1",IF(AND($K497=2,$L497=""),"RETEST ROW HAS NO SCORE",IF(AND($H497="Final",$L497&lt;&gt;"",IFERROR(INDEX(nrCKfinalExamElig,MATCH($D497,rngCadetPIDs,0)),"")="No"),"FINAL EXAM AFTER FAILED FINAL PT (500.1.H)",IF(AND($K497=2,ISNUMBER($L497),COUNTIFS(nrES_PID,$D497,nrES_Code,$F497,nrES_Att,1)&gt;0,SUMIFS(nrES_Raw,nrES_PID,$D497,nrES_Code,$F497,nrES_Att,1)&gt;=$J497),"RETEST AFTER A PASSING FIRST ATTEMPT","OK"))))))))))</f>
        <v/>
      </c>
      <c r="Y497" s="16" t="n"/>
    </row>
    <row r="498">
      <c r="B498" s="17">
        <f>IF($C498="","",$D498&amp;"-"&amp;$F498&amp;"-"&amp;$K498)</f>
        <v/>
      </c>
      <c r="C498" s="16" t="n"/>
      <c r="D498" s="17">
        <f>IF($C498="","",IFERROR(INDEX(rngCadetPIDs,MATCH($C498,rngCadetNames,0)),"?"))</f>
        <v/>
      </c>
      <c r="E498" s="17">
        <f>IF($D498="","",IFERROR(INDEX(nrCadetAgency,MATCH($D498,rngCadetPIDs,0)),""))</f>
        <v/>
      </c>
      <c r="F498" s="16" t="n"/>
      <c r="G498" s="17">
        <f>IF($F498="","",IFERROR(INDEX(rngEPname,MATCH($F498,rngEPcode,0)),"?"))</f>
        <v/>
      </c>
      <c r="H498" s="17">
        <f>IF($F498="","",IFERROR(INDEX(rngEPtype,MATCH($F498,rngEPcode,0)),"?"))</f>
        <v/>
      </c>
      <c r="I498" s="17">
        <f>IF($F498="","",IFERROR(INDEX(rngEPseq,MATCH($F498,rngEPcode,0)),""))</f>
        <v/>
      </c>
      <c r="J498" s="17">
        <f>IF($F498="","",IFERROR(INDEX(rngEPpass,MATCH($F498,rngEPcode,0)),cfgPassingScore))</f>
        <v/>
      </c>
      <c r="K498" s="16" t="n"/>
      <c r="L498" s="16" t="n"/>
      <c r="M498" s="17">
        <f>IF($C498="","",IF($L498="","",IF(NOT(ISNUMBER($L498)),$L498,IF(N($K498)&gt;2,"",IF($K498=1,IF(COUNTIFS(nrES_PID,$D498,nrES_Code,$F498,nrES_Att,2,nrES_Raw,"&gt;=0")&gt;0,"",$L498),IF($L498&gt;=$J498,MAX($J498,cfgRetakeRecordedCap),IF(COUNTIFS(nrES_PID,$D498,nrES_Code,$F498,nrES_Att,1)=0,$L498,SUMIFS(nrES_Raw,nrES_PID,$D498,nrES_Code,$F498,nrES_Att,1))))))))</f>
        <v/>
      </c>
      <c r="N498" s="17">
        <f>IF($C498="","",IF($L498="","",IF(NOT(ISNUMBER($L498)),"(not a score)",IF($L498&gt;=$J498,"Yes","No"))))</f>
        <v/>
      </c>
      <c r="O498" s="17">
        <f>IF($C498="","",IF($M498="","",IF(NOT(ISNUMBER($M498)),"(not a score)",IF($M498&gt;=$J498,"Yes","No"))))</f>
        <v/>
      </c>
      <c r="P498" s="17">
        <f>IF($C498="","",IF($K498="","",IF(N($K498)&gt;2,"No",IF(COUNTIFS(nrES_PID,$D498,nrES_Code,$F498,nrES_Att,"&gt;"&amp;$K498,nrES_Att,"&lt;=2",nrES_Raw,"&gt;=0")=0,"Yes","No"))))</f>
        <v/>
      </c>
      <c r="Q498" s="17">
        <f>IF($C498="","",IF($L498="","",IF(AND($K498=1,ISNUMBER($L498),$L498&lt;$J498,COUNTIFS(nrES_PID,$D498,nrES_Code,$F498,nrES_Att,2,nrES_Raw,"&gt;=0")=0),"Yes","No")))</f>
        <v/>
      </c>
      <c r="R498" s="17">
        <f>IF($C498="","",IF($L498="","",IF(AND(N($K498)&gt;=2,ISNUMBER($L498),$L498&lt;$J498),"Yes","No")))</f>
        <v/>
      </c>
      <c r="S498" s="18" t="n"/>
      <c r="T498" s="19">
        <f>IF(OR($C498="",$L498="",$K498&lt;&gt;1,NOT(ISNUMBER($L498)),$L498&gt;=$J498),"",IF($S498="","(enter date)",_xlfn.LET(_xlpm.dn,_xlfn.XLOOKUP($S498,nrCDdate,nrCDnum,"",1),IF(_xlpm.dn="","(after last class day)",_xlfn.LET(_xlpm.dd,_xlfn.XLOOKUP(_xlpm.dn+cfgRetestClassDays,nrCDnum,nrCDdate,""),_xlpm.ok,_xlfn.XLOOKUP(_xlpm.dn+cfgRetestClassDays,nrCDnum,nrCDinsession,"No"),IF(OR(_xlpm.dd="",_xlpm.ok&lt;&gt;"Yes"),"(after last class day)",_xlpm.dd))))))</f>
        <v/>
      </c>
      <c r="U498" s="17">
        <f>IF($C498="","",IF(AND($Y498="Excused",$L498="",N($K498)&lt;=1),"EXCUSED - 1st attempt pending",IF(OR($L498="",$K498&lt;&gt;1,NOT(ISNUMBER($L498)),$L498&gt;=$J498),"",IF(COUNTIFS(nrES_PID,$D498,nrES_Code,$F498,nrES_Att,2,nrES_Raw,"&gt;=0")&gt;0,IF(IFERROR(_xlfn.MINIFS(nrES_Date,nrES_PID,$D498,nrES_Code,$F498,nrES_Att,2,nrES_Raw,"&gt;=0",nrES_Date,"&gt;0"),0)=0,"RETEST UNDATED",IF(NOT(ISNUMBER($T498)),"RETEST DATE UNCHECKED",IF(_xlfn.MINIFS(nrES_Date,nrES_PID,$D498,nrES_Code,$F498,nrES_Att,2,nrES_Raw,"&gt;=0",nrES_Date,"&gt;0")&gt;$T498,"LATE RETEST "&amp;TEXT(_xlfn.MINIFS(nrES_Date,nrES_PID,$D498,nrES_Code,$F498,nrES_Att,2,nrES_Raw,"&gt;=0",nrES_Date,"&gt;0"),"mm/dd")&amp;" (due "&amp;TEXT($T498,"mm/dd")&amp;")","Retested"))),IF(NOT(ISNUMBER($T498)),"CHECK DATE",IF(TODAY()&gt;$T498,"OVERDUE","Due "&amp;TEXT($T498,"mm/dd")))))))</f>
        <v/>
      </c>
      <c r="V498" s="16" t="n"/>
      <c r="W498" s="16" t="n"/>
      <c r="X498" s="17">
        <f>IF($C498="","",IF(AND($L498&lt;&gt;"",NOT(ISNUMBER($L498))),"RAW SCORE NOT A NUMBER",IF(AND(ISNUMBER($L498),OR($L498&lt;0,$L498&gt;100)),"RAW SCORE OUT OF RANGE",IF(AND($Y498="Unexcused",OR($L498="",NOT(ISNUMBER($L498)),$L498&lt;&gt;0)),"UNEXCUSED ABSENCE MUST RECORD 0",IF(COUNTIF(nrES_RecID,$B498)&gt;1,"DUPLICATE RECORD",IF(N($K498)&gt;2,"ATTEMPT 3+ NOT ALLOWED - policy 300.5 permits one retest per exam; this row records nothing",IF(AND($K498=2,COUNTIFS(nrES_PID,$D498,nrES_Code,$F498,nrES_Att,1)=0),"ATTEMPT 2 WITHOUT ATTEMPT 1",IF(AND($K498=2,$L498=""),"RETEST ROW HAS NO SCORE",IF(AND($H498="Final",$L498&lt;&gt;"",IFERROR(INDEX(nrCKfinalExamElig,MATCH($D498,rngCadetPIDs,0)),"")="No"),"FINAL EXAM AFTER FAILED FINAL PT (500.1.H)",IF(AND($K498=2,ISNUMBER($L498),COUNTIFS(nrES_PID,$D498,nrES_Code,$F498,nrES_Att,1)&gt;0,SUMIFS(nrES_Raw,nrES_PID,$D498,nrES_Code,$F498,nrES_Att,1)&gt;=$J498),"RETEST AFTER A PASSING FIRST ATTEMPT","OK"))))))))))</f>
        <v/>
      </c>
      <c r="Y498" s="16" t="n"/>
    </row>
    <row r="499">
      <c r="B499" s="17">
        <f>IF($C499="","",$D499&amp;"-"&amp;$F499&amp;"-"&amp;$K499)</f>
        <v/>
      </c>
      <c r="C499" s="16" t="n"/>
      <c r="D499" s="17">
        <f>IF($C499="","",IFERROR(INDEX(rngCadetPIDs,MATCH($C499,rngCadetNames,0)),"?"))</f>
        <v/>
      </c>
      <c r="E499" s="17">
        <f>IF($D499="","",IFERROR(INDEX(nrCadetAgency,MATCH($D499,rngCadetPIDs,0)),""))</f>
        <v/>
      </c>
      <c r="F499" s="16" t="n"/>
      <c r="G499" s="17">
        <f>IF($F499="","",IFERROR(INDEX(rngEPname,MATCH($F499,rngEPcode,0)),"?"))</f>
        <v/>
      </c>
      <c r="H499" s="17">
        <f>IF($F499="","",IFERROR(INDEX(rngEPtype,MATCH($F499,rngEPcode,0)),"?"))</f>
        <v/>
      </c>
      <c r="I499" s="17">
        <f>IF($F499="","",IFERROR(INDEX(rngEPseq,MATCH($F499,rngEPcode,0)),""))</f>
        <v/>
      </c>
      <c r="J499" s="17">
        <f>IF($F499="","",IFERROR(INDEX(rngEPpass,MATCH($F499,rngEPcode,0)),cfgPassingScore))</f>
        <v/>
      </c>
      <c r="K499" s="16" t="n"/>
      <c r="L499" s="16" t="n"/>
      <c r="M499" s="17">
        <f>IF($C499="","",IF($L499="","",IF(NOT(ISNUMBER($L499)),$L499,IF(N($K499)&gt;2,"",IF($K499=1,IF(COUNTIFS(nrES_PID,$D499,nrES_Code,$F499,nrES_Att,2,nrES_Raw,"&gt;=0")&gt;0,"",$L499),IF($L499&gt;=$J499,MAX($J499,cfgRetakeRecordedCap),IF(COUNTIFS(nrES_PID,$D499,nrES_Code,$F499,nrES_Att,1)=0,$L499,SUMIFS(nrES_Raw,nrES_PID,$D499,nrES_Code,$F499,nrES_Att,1))))))))</f>
        <v/>
      </c>
      <c r="N499" s="17">
        <f>IF($C499="","",IF($L499="","",IF(NOT(ISNUMBER($L499)),"(not a score)",IF($L499&gt;=$J499,"Yes","No"))))</f>
        <v/>
      </c>
      <c r="O499" s="17">
        <f>IF($C499="","",IF($M499="","",IF(NOT(ISNUMBER($M499)),"(not a score)",IF($M499&gt;=$J499,"Yes","No"))))</f>
        <v/>
      </c>
      <c r="P499" s="17">
        <f>IF($C499="","",IF($K499="","",IF(N($K499)&gt;2,"No",IF(COUNTIFS(nrES_PID,$D499,nrES_Code,$F499,nrES_Att,"&gt;"&amp;$K499,nrES_Att,"&lt;=2",nrES_Raw,"&gt;=0")=0,"Yes","No"))))</f>
        <v/>
      </c>
      <c r="Q499" s="17">
        <f>IF($C499="","",IF($L499="","",IF(AND($K499=1,ISNUMBER($L499),$L499&lt;$J499,COUNTIFS(nrES_PID,$D499,nrES_Code,$F499,nrES_Att,2,nrES_Raw,"&gt;=0")=0),"Yes","No")))</f>
        <v/>
      </c>
      <c r="R499" s="17">
        <f>IF($C499="","",IF($L499="","",IF(AND(N($K499)&gt;=2,ISNUMBER($L499),$L499&lt;$J499),"Yes","No")))</f>
        <v/>
      </c>
      <c r="S499" s="18" t="n"/>
      <c r="T499" s="19">
        <f>IF(OR($C499="",$L499="",$K499&lt;&gt;1,NOT(ISNUMBER($L499)),$L499&gt;=$J499),"",IF($S499="","(enter date)",_xlfn.LET(_xlpm.dn,_xlfn.XLOOKUP($S499,nrCDdate,nrCDnum,"",1),IF(_xlpm.dn="","(after last class day)",_xlfn.LET(_xlpm.dd,_xlfn.XLOOKUP(_xlpm.dn+cfgRetestClassDays,nrCDnum,nrCDdate,""),_xlpm.ok,_xlfn.XLOOKUP(_xlpm.dn+cfgRetestClassDays,nrCDnum,nrCDinsession,"No"),IF(OR(_xlpm.dd="",_xlpm.ok&lt;&gt;"Yes"),"(after last class day)",_xlpm.dd))))))</f>
        <v/>
      </c>
      <c r="U499" s="17">
        <f>IF($C499="","",IF(AND($Y499="Excused",$L499="",N($K499)&lt;=1),"EXCUSED - 1st attempt pending",IF(OR($L499="",$K499&lt;&gt;1,NOT(ISNUMBER($L499)),$L499&gt;=$J499),"",IF(COUNTIFS(nrES_PID,$D499,nrES_Code,$F499,nrES_Att,2,nrES_Raw,"&gt;=0")&gt;0,IF(IFERROR(_xlfn.MINIFS(nrES_Date,nrES_PID,$D499,nrES_Code,$F499,nrES_Att,2,nrES_Raw,"&gt;=0",nrES_Date,"&gt;0"),0)=0,"RETEST UNDATED",IF(NOT(ISNUMBER($T499)),"RETEST DATE UNCHECKED",IF(_xlfn.MINIFS(nrES_Date,nrES_PID,$D499,nrES_Code,$F499,nrES_Att,2,nrES_Raw,"&gt;=0",nrES_Date,"&gt;0")&gt;$T499,"LATE RETEST "&amp;TEXT(_xlfn.MINIFS(nrES_Date,nrES_PID,$D499,nrES_Code,$F499,nrES_Att,2,nrES_Raw,"&gt;=0",nrES_Date,"&gt;0"),"mm/dd")&amp;" (due "&amp;TEXT($T499,"mm/dd")&amp;")","Retested"))),IF(NOT(ISNUMBER($T499)),"CHECK DATE",IF(TODAY()&gt;$T499,"OVERDUE","Due "&amp;TEXT($T499,"mm/dd")))))))</f>
        <v/>
      </c>
      <c r="V499" s="16" t="n"/>
      <c r="W499" s="16" t="n"/>
      <c r="X499" s="17">
        <f>IF($C499="","",IF(AND($L499&lt;&gt;"",NOT(ISNUMBER($L499))),"RAW SCORE NOT A NUMBER",IF(AND(ISNUMBER($L499),OR($L499&lt;0,$L499&gt;100)),"RAW SCORE OUT OF RANGE",IF(AND($Y499="Unexcused",OR($L499="",NOT(ISNUMBER($L499)),$L499&lt;&gt;0)),"UNEXCUSED ABSENCE MUST RECORD 0",IF(COUNTIF(nrES_RecID,$B499)&gt;1,"DUPLICATE RECORD",IF(N($K499)&gt;2,"ATTEMPT 3+ NOT ALLOWED - policy 300.5 permits one retest per exam; this row records nothing",IF(AND($K499=2,COUNTIFS(nrES_PID,$D499,nrES_Code,$F499,nrES_Att,1)=0),"ATTEMPT 2 WITHOUT ATTEMPT 1",IF(AND($K499=2,$L499=""),"RETEST ROW HAS NO SCORE",IF(AND($H499="Final",$L499&lt;&gt;"",IFERROR(INDEX(nrCKfinalExamElig,MATCH($D499,rngCadetPIDs,0)),"")="No"),"FINAL EXAM AFTER FAILED FINAL PT (500.1.H)",IF(AND($K499=2,ISNUMBER($L499),COUNTIFS(nrES_PID,$D499,nrES_Code,$F499,nrES_Att,1)&gt;0,SUMIFS(nrES_Raw,nrES_PID,$D499,nrES_Code,$F499,nrES_Att,1)&gt;=$J499),"RETEST AFTER A PASSING FIRST ATTEMPT","OK"))))))))))</f>
        <v/>
      </c>
      <c r="Y499" s="16" t="n"/>
    </row>
    <row r="500">
      <c r="B500" s="17">
        <f>IF($C500="","",$D500&amp;"-"&amp;$F500&amp;"-"&amp;$K500)</f>
        <v/>
      </c>
      <c r="C500" s="16" t="n"/>
      <c r="D500" s="17">
        <f>IF($C500="","",IFERROR(INDEX(rngCadetPIDs,MATCH($C500,rngCadetNames,0)),"?"))</f>
        <v/>
      </c>
      <c r="E500" s="17">
        <f>IF($D500="","",IFERROR(INDEX(nrCadetAgency,MATCH($D500,rngCadetPIDs,0)),""))</f>
        <v/>
      </c>
      <c r="F500" s="16" t="n"/>
      <c r="G500" s="17">
        <f>IF($F500="","",IFERROR(INDEX(rngEPname,MATCH($F500,rngEPcode,0)),"?"))</f>
        <v/>
      </c>
      <c r="H500" s="17">
        <f>IF($F500="","",IFERROR(INDEX(rngEPtype,MATCH($F500,rngEPcode,0)),"?"))</f>
        <v/>
      </c>
      <c r="I500" s="17">
        <f>IF($F500="","",IFERROR(INDEX(rngEPseq,MATCH($F500,rngEPcode,0)),""))</f>
        <v/>
      </c>
      <c r="J500" s="17">
        <f>IF($F500="","",IFERROR(INDEX(rngEPpass,MATCH($F500,rngEPcode,0)),cfgPassingScore))</f>
        <v/>
      </c>
      <c r="K500" s="16" t="n"/>
      <c r="L500" s="16" t="n"/>
      <c r="M500" s="17">
        <f>IF($C500="","",IF($L500="","",IF(NOT(ISNUMBER($L500)),$L500,IF(N($K500)&gt;2,"",IF($K500=1,IF(COUNTIFS(nrES_PID,$D500,nrES_Code,$F500,nrES_Att,2,nrES_Raw,"&gt;=0")&gt;0,"",$L500),IF($L500&gt;=$J500,MAX($J500,cfgRetakeRecordedCap),IF(COUNTIFS(nrES_PID,$D500,nrES_Code,$F500,nrES_Att,1)=0,$L500,SUMIFS(nrES_Raw,nrES_PID,$D500,nrES_Code,$F500,nrES_Att,1))))))))</f>
        <v/>
      </c>
      <c r="N500" s="17">
        <f>IF($C500="","",IF($L500="","",IF(NOT(ISNUMBER($L500)),"(not a score)",IF($L500&gt;=$J500,"Yes","No"))))</f>
        <v/>
      </c>
      <c r="O500" s="17">
        <f>IF($C500="","",IF($M500="","",IF(NOT(ISNUMBER($M500)),"(not a score)",IF($M500&gt;=$J500,"Yes","No"))))</f>
        <v/>
      </c>
      <c r="P500" s="17">
        <f>IF($C500="","",IF($K500="","",IF(N($K500)&gt;2,"No",IF(COUNTIFS(nrES_PID,$D500,nrES_Code,$F500,nrES_Att,"&gt;"&amp;$K500,nrES_Att,"&lt;=2",nrES_Raw,"&gt;=0")=0,"Yes","No"))))</f>
        <v/>
      </c>
      <c r="Q500" s="17">
        <f>IF($C500="","",IF($L500="","",IF(AND($K500=1,ISNUMBER($L500),$L500&lt;$J500,COUNTIFS(nrES_PID,$D500,nrES_Code,$F500,nrES_Att,2,nrES_Raw,"&gt;=0")=0),"Yes","No")))</f>
        <v/>
      </c>
      <c r="R500" s="17">
        <f>IF($C500="","",IF($L500="","",IF(AND(N($K500)&gt;=2,ISNUMBER($L500),$L500&lt;$J500),"Yes","No")))</f>
        <v/>
      </c>
      <c r="S500" s="18" t="n"/>
      <c r="T500" s="19">
        <f>IF(OR($C500="",$L500="",$K500&lt;&gt;1,NOT(ISNUMBER($L500)),$L500&gt;=$J500),"",IF($S500="","(enter date)",_xlfn.LET(_xlpm.dn,_xlfn.XLOOKUP($S500,nrCDdate,nrCDnum,"",1),IF(_xlpm.dn="","(after last class day)",_xlfn.LET(_xlpm.dd,_xlfn.XLOOKUP(_xlpm.dn+cfgRetestClassDays,nrCDnum,nrCDdate,""),_xlpm.ok,_xlfn.XLOOKUP(_xlpm.dn+cfgRetestClassDays,nrCDnum,nrCDinsession,"No"),IF(OR(_xlpm.dd="",_xlpm.ok&lt;&gt;"Yes"),"(after last class day)",_xlpm.dd))))))</f>
        <v/>
      </c>
      <c r="U500" s="17">
        <f>IF($C500="","",IF(AND($Y500="Excused",$L500="",N($K500)&lt;=1),"EXCUSED - 1st attempt pending",IF(OR($L500="",$K500&lt;&gt;1,NOT(ISNUMBER($L500)),$L500&gt;=$J500),"",IF(COUNTIFS(nrES_PID,$D500,nrES_Code,$F500,nrES_Att,2,nrES_Raw,"&gt;=0")&gt;0,IF(IFERROR(_xlfn.MINIFS(nrES_Date,nrES_PID,$D500,nrES_Code,$F500,nrES_Att,2,nrES_Raw,"&gt;=0",nrES_Date,"&gt;0"),0)=0,"RETEST UNDATED",IF(NOT(ISNUMBER($T500)),"RETEST DATE UNCHECKED",IF(_xlfn.MINIFS(nrES_Date,nrES_PID,$D500,nrES_Code,$F500,nrES_Att,2,nrES_Raw,"&gt;=0",nrES_Date,"&gt;0")&gt;$T500,"LATE RETEST "&amp;TEXT(_xlfn.MINIFS(nrES_Date,nrES_PID,$D500,nrES_Code,$F500,nrES_Att,2,nrES_Raw,"&gt;=0",nrES_Date,"&gt;0"),"mm/dd")&amp;" (due "&amp;TEXT($T500,"mm/dd")&amp;")","Retested"))),IF(NOT(ISNUMBER($T500)),"CHECK DATE",IF(TODAY()&gt;$T500,"OVERDUE","Due "&amp;TEXT($T500,"mm/dd")))))))</f>
        <v/>
      </c>
      <c r="V500" s="16" t="n"/>
      <c r="W500" s="16" t="n"/>
      <c r="X500" s="17">
        <f>IF($C500="","",IF(AND($L500&lt;&gt;"",NOT(ISNUMBER($L500))),"RAW SCORE NOT A NUMBER",IF(AND(ISNUMBER($L500),OR($L500&lt;0,$L500&gt;100)),"RAW SCORE OUT OF RANGE",IF(AND($Y500="Unexcused",OR($L500="",NOT(ISNUMBER($L500)),$L500&lt;&gt;0)),"UNEXCUSED ABSENCE MUST RECORD 0",IF(COUNTIF(nrES_RecID,$B500)&gt;1,"DUPLICATE RECORD",IF(N($K500)&gt;2,"ATTEMPT 3+ NOT ALLOWED - policy 300.5 permits one retest per exam; this row records nothing",IF(AND($K500=2,COUNTIFS(nrES_PID,$D500,nrES_Code,$F500,nrES_Att,1)=0),"ATTEMPT 2 WITHOUT ATTEMPT 1",IF(AND($K500=2,$L500=""),"RETEST ROW HAS NO SCORE",IF(AND($H500="Final",$L500&lt;&gt;"",IFERROR(INDEX(nrCKfinalExamElig,MATCH($D500,rngCadetPIDs,0)),"")="No"),"FINAL EXAM AFTER FAILED FINAL PT (500.1.H)",IF(AND($K500=2,ISNUMBER($L500),COUNTIFS(nrES_PID,$D500,nrES_Code,$F500,nrES_Att,1)&gt;0,SUMIFS(nrES_Raw,nrES_PID,$D500,nrES_Code,$F500,nrES_Att,1)&gt;=$J500),"RETEST AFTER A PASSING FIRST ATTEMPT","OK"))))))))))</f>
        <v/>
      </c>
      <c r="Y500" s="16" t="n"/>
    </row>
    <row r="501">
      <c r="B501" s="17">
        <f>IF($C501="","",$D501&amp;"-"&amp;$F501&amp;"-"&amp;$K501)</f>
        <v/>
      </c>
      <c r="C501" s="16" t="n"/>
      <c r="D501" s="17">
        <f>IF($C501="","",IFERROR(INDEX(rngCadetPIDs,MATCH($C501,rngCadetNames,0)),"?"))</f>
        <v/>
      </c>
      <c r="E501" s="17">
        <f>IF($D501="","",IFERROR(INDEX(nrCadetAgency,MATCH($D501,rngCadetPIDs,0)),""))</f>
        <v/>
      </c>
      <c r="F501" s="16" t="n"/>
      <c r="G501" s="17">
        <f>IF($F501="","",IFERROR(INDEX(rngEPname,MATCH($F501,rngEPcode,0)),"?"))</f>
        <v/>
      </c>
      <c r="H501" s="17">
        <f>IF($F501="","",IFERROR(INDEX(rngEPtype,MATCH($F501,rngEPcode,0)),"?"))</f>
        <v/>
      </c>
      <c r="I501" s="17">
        <f>IF($F501="","",IFERROR(INDEX(rngEPseq,MATCH($F501,rngEPcode,0)),""))</f>
        <v/>
      </c>
      <c r="J501" s="17">
        <f>IF($F501="","",IFERROR(INDEX(rngEPpass,MATCH($F501,rngEPcode,0)),cfgPassingScore))</f>
        <v/>
      </c>
      <c r="K501" s="16" t="n"/>
      <c r="L501" s="16" t="n"/>
      <c r="M501" s="17">
        <f>IF($C501="","",IF($L501="","",IF(NOT(ISNUMBER($L501)),$L501,IF(N($K501)&gt;2,"",IF($K501=1,IF(COUNTIFS(nrES_PID,$D501,nrES_Code,$F501,nrES_Att,2,nrES_Raw,"&gt;=0")&gt;0,"",$L501),IF($L501&gt;=$J501,MAX($J501,cfgRetakeRecordedCap),IF(COUNTIFS(nrES_PID,$D501,nrES_Code,$F501,nrES_Att,1)=0,$L501,SUMIFS(nrES_Raw,nrES_PID,$D501,nrES_Code,$F501,nrES_Att,1))))))))</f>
        <v/>
      </c>
      <c r="N501" s="17">
        <f>IF($C501="","",IF($L501="","",IF(NOT(ISNUMBER($L501)),"(not a score)",IF($L501&gt;=$J501,"Yes","No"))))</f>
        <v/>
      </c>
      <c r="O501" s="17">
        <f>IF($C501="","",IF($M501="","",IF(NOT(ISNUMBER($M501)),"(not a score)",IF($M501&gt;=$J501,"Yes","No"))))</f>
        <v/>
      </c>
      <c r="P501" s="17">
        <f>IF($C501="","",IF($K501="","",IF(N($K501)&gt;2,"No",IF(COUNTIFS(nrES_PID,$D501,nrES_Code,$F501,nrES_Att,"&gt;"&amp;$K501,nrES_Att,"&lt;=2",nrES_Raw,"&gt;=0")=0,"Yes","No"))))</f>
        <v/>
      </c>
      <c r="Q501" s="17">
        <f>IF($C501="","",IF($L501="","",IF(AND($K501=1,ISNUMBER($L501),$L501&lt;$J501,COUNTIFS(nrES_PID,$D501,nrES_Code,$F501,nrES_Att,2,nrES_Raw,"&gt;=0")=0),"Yes","No")))</f>
        <v/>
      </c>
      <c r="R501" s="17">
        <f>IF($C501="","",IF($L501="","",IF(AND(N($K501)&gt;=2,ISNUMBER($L501),$L501&lt;$J501),"Yes","No")))</f>
        <v/>
      </c>
      <c r="S501" s="18" t="n"/>
      <c r="T501" s="19">
        <f>IF(OR($C501="",$L501="",$K501&lt;&gt;1,NOT(ISNUMBER($L501)),$L501&gt;=$J501),"",IF($S501="","(enter date)",_xlfn.LET(_xlpm.dn,_xlfn.XLOOKUP($S501,nrCDdate,nrCDnum,"",1),IF(_xlpm.dn="","(after last class day)",_xlfn.LET(_xlpm.dd,_xlfn.XLOOKUP(_xlpm.dn+cfgRetestClassDays,nrCDnum,nrCDdate,""),_xlpm.ok,_xlfn.XLOOKUP(_xlpm.dn+cfgRetestClassDays,nrCDnum,nrCDinsession,"No"),IF(OR(_xlpm.dd="",_xlpm.ok&lt;&gt;"Yes"),"(after last class day)",_xlpm.dd))))))</f>
        <v/>
      </c>
      <c r="U501" s="17">
        <f>IF($C501="","",IF(AND($Y501="Excused",$L501="",N($K501)&lt;=1),"EXCUSED - 1st attempt pending",IF(OR($L501="",$K501&lt;&gt;1,NOT(ISNUMBER($L501)),$L501&gt;=$J501),"",IF(COUNTIFS(nrES_PID,$D501,nrES_Code,$F501,nrES_Att,2,nrES_Raw,"&gt;=0")&gt;0,IF(IFERROR(_xlfn.MINIFS(nrES_Date,nrES_PID,$D501,nrES_Code,$F501,nrES_Att,2,nrES_Raw,"&gt;=0",nrES_Date,"&gt;0"),0)=0,"RETEST UNDATED",IF(NOT(ISNUMBER($T501)),"RETEST DATE UNCHECKED",IF(_xlfn.MINIFS(nrES_Date,nrES_PID,$D501,nrES_Code,$F501,nrES_Att,2,nrES_Raw,"&gt;=0",nrES_Date,"&gt;0")&gt;$T501,"LATE RETEST "&amp;TEXT(_xlfn.MINIFS(nrES_Date,nrES_PID,$D501,nrES_Code,$F501,nrES_Att,2,nrES_Raw,"&gt;=0",nrES_Date,"&gt;0"),"mm/dd")&amp;" (due "&amp;TEXT($T501,"mm/dd")&amp;")","Retested"))),IF(NOT(ISNUMBER($T501)),"CHECK DATE",IF(TODAY()&gt;$T501,"OVERDUE","Due "&amp;TEXT($T501,"mm/dd")))))))</f>
        <v/>
      </c>
      <c r="V501" s="16" t="n"/>
      <c r="W501" s="16" t="n"/>
      <c r="X501" s="17">
        <f>IF($C501="","",IF(AND($L501&lt;&gt;"",NOT(ISNUMBER($L501))),"RAW SCORE NOT A NUMBER",IF(AND(ISNUMBER($L501),OR($L501&lt;0,$L501&gt;100)),"RAW SCORE OUT OF RANGE",IF(AND($Y501="Unexcused",OR($L501="",NOT(ISNUMBER($L501)),$L501&lt;&gt;0)),"UNEXCUSED ABSENCE MUST RECORD 0",IF(COUNTIF(nrES_RecID,$B501)&gt;1,"DUPLICATE RECORD",IF(N($K501)&gt;2,"ATTEMPT 3+ NOT ALLOWED - policy 300.5 permits one retest per exam; this row records nothing",IF(AND($K501=2,COUNTIFS(nrES_PID,$D501,nrES_Code,$F501,nrES_Att,1)=0),"ATTEMPT 2 WITHOUT ATTEMPT 1",IF(AND($K501=2,$L501=""),"RETEST ROW HAS NO SCORE",IF(AND($H501="Final",$L501&lt;&gt;"",IFERROR(INDEX(nrCKfinalExamElig,MATCH($D501,rngCadetPIDs,0)),"")="No"),"FINAL EXAM AFTER FAILED FINAL PT (500.1.H)",IF(AND($K501=2,ISNUMBER($L501),COUNTIFS(nrES_PID,$D501,nrES_Code,$F501,nrES_Att,1)&gt;0,SUMIFS(nrES_Raw,nrES_PID,$D501,nrES_Code,$F501,nrES_Att,1)&gt;=$J501),"RETEST AFTER A PASSING FIRST ATTEMPT","OK"))))))))))</f>
        <v/>
      </c>
      <c r="Y501" s="16" t="n"/>
    </row>
    <row r="502">
      <c r="B502" s="17">
        <f>IF($C502="","",$D502&amp;"-"&amp;$F502&amp;"-"&amp;$K502)</f>
        <v/>
      </c>
      <c r="C502" s="16" t="n"/>
      <c r="D502" s="17">
        <f>IF($C502="","",IFERROR(INDEX(rngCadetPIDs,MATCH($C502,rngCadetNames,0)),"?"))</f>
        <v/>
      </c>
      <c r="E502" s="17">
        <f>IF($D502="","",IFERROR(INDEX(nrCadetAgency,MATCH($D502,rngCadetPIDs,0)),""))</f>
        <v/>
      </c>
      <c r="F502" s="16" t="n"/>
      <c r="G502" s="17">
        <f>IF($F502="","",IFERROR(INDEX(rngEPname,MATCH($F502,rngEPcode,0)),"?"))</f>
        <v/>
      </c>
      <c r="H502" s="17">
        <f>IF($F502="","",IFERROR(INDEX(rngEPtype,MATCH($F502,rngEPcode,0)),"?"))</f>
        <v/>
      </c>
      <c r="I502" s="17">
        <f>IF($F502="","",IFERROR(INDEX(rngEPseq,MATCH($F502,rngEPcode,0)),""))</f>
        <v/>
      </c>
      <c r="J502" s="17">
        <f>IF($F502="","",IFERROR(INDEX(rngEPpass,MATCH($F502,rngEPcode,0)),cfgPassingScore))</f>
        <v/>
      </c>
      <c r="K502" s="16" t="n"/>
      <c r="L502" s="16" t="n"/>
      <c r="M502" s="17">
        <f>IF($C502="","",IF($L502="","",IF(NOT(ISNUMBER($L502)),$L502,IF(N($K502)&gt;2,"",IF($K502=1,IF(COUNTIFS(nrES_PID,$D502,nrES_Code,$F502,nrES_Att,2,nrES_Raw,"&gt;=0")&gt;0,"",$L502),IF($L502&gt;=$J502,MAX($J502,cfgRetakeRecordedCap),IF(COUNTIFS(nrES_PID,$D502,nrES_Code,$F502,nrES_Att,1)=0,$L502,SUMIFS(nrES_Raw,nrES_PID,$D502,nrES_Code,$F502,nrES_Att,1))))))))</f>
        <v/>
      </c>
      <c r="N502" s="17">
        <f>IF($C502="","",IF($L502="","",IF(NOT(ISNUMBER($L502)),"(not a score)",IF($L502&gt;=$J502,"Yes","No"))))</f>
        <v/>
      </c>
      <c r="O502" s="17">
        <f>IF($C502="","",IF($M502="","",IF(NOT(ISNUMBER($M502)),"(not a score)",IF($M502&gt;=$J502,"Yes","No"))))</f>
        <v/>
      </c>
      <c r="P502" s="17">
        <f>IF($C502="","",IF($K502="","",IF(N($K502)&gt;2,"No",IF(COUNTIFS(nrES_PID,$D502,nrES_Code,$F502,nrES_Att,"&gt;"&amp;$K502,nrES_Att,"&lt;=2",nrES_Raw,"&gt;=0")=0,"Yes","No"))))</f>
        <v/>
      </c>
      <c r="Q502" s="17">
        <f>IF($C502="","",IF($L502="","",IF(AND($K502=1,ISNUMBER($L502),$L502&lt;$J502,COUNTIFS(nrES_PID,$D502,nrES_Code,$F502,nrES_Att,2,nrES_Raw,"&gt;=0")=0),"Yes","No")))</f>
        <v/>
      </c>
      <c r="R502" s="17">
        <f>IF($C502="","",IF($L502="","",IF(AND(N($K502)&gt;=2,ISNUMBER($L502),$L502&lt;$J502),"Yes","No")))</f>
        <v/>
      </c>
      <c r="S502" s="18" t="n"/>
      <c r="T502" s="19">
        <f>IF(OR($C502="",$L502="",$K502&lt;&gt;1,NOT(ISNUMBER($L502)),$L502&gt;=$J502),"",IF($S502="","(enter date)",_xlfn.LET(_xlpm.dn,_xlfn.XLOOKUP($S502,nrCDdate,nrCDnum,"",1),IF(_xlpm.dn="","(after last class day)",_xlfn.LET(_xlpm.dd,_xlfn.XLOOKUP(_xlpm.dn+cfgRetestClassDays,nrCDnum,nrCDdate,""),_xlpm.ok,_xlfn.XLOOKUP(_xlpm.dn+cfgRetestClassDays,nrCDnum,nrCDinsession,"No"),IF(OR(_xlpm.dd="",_xlpm.ok&lt;&gt;"Yes"),"(after last class day)",_xlpm.dd))))))</f>
        <v/>
      </c>
      <c r="U502" s="17">
        <f>IF($C502="","",IF(AND($Y502="Excused",$L502="",N($K502)&lt;=1),"EXCUSED - 1st attempt pending",IF(OR($L502="",$K502&lt;&gt;1,NOT(ISNUMBER($L502)),$L502&gt;=$J502),"",IF(COUNTIFS(nrES_PID,$D502,nrES_Code,$F502,nrES_Att,2,nrES_Raw,"&gt;=0")&gt;0,IF(IFERROR(_xlfn.MINIFS(nrES_Date,nrES_PID,$D502,nrES_Code,$F502,nrES_Att,2,nrES_Raw,"&gt;=0",nrES_Date,"&gt;0"),0)=0,"RETEST UNDATED",IF(NOT(ISNUMBER($T502)),"RETEST DATE UNCHECKED",IF(_xlfn.MINIFS(nrES_Date,nrES_PID,$D502,nrES_Code,$F502,nrES_Att,2,nrES_Raw,"&gt;=0",nrES_Date,"&gt;0")&gt;$T502,"LATE RETEST "&amp;TEXT(_xlfn.MINIFS(nrES_Date,nrES_PID,$D502,nrES_Code,$F502,nrES_Att,2,nrES_Raw,"&gt;=0",nrES_Date,"&gt;0"),"mm/dd")&amp;" (due "&amp;TEXT($T502,"mm/dd")&amp;")","Retested"))),IF(NOT(ISNUMBER($T502)),"CHECK DATE",IF(TODAY()&gt;$T502,"OVERDUE","Due "&amp;TEXT($T502,"mm/dd")))))))</f>
        <v/>
      </c>
      <c r="V502" s="16" t="n"/>
      <c r="W502" s="16" t="n"/>
      <c r="X502" s="17">
        <f>IF($C502="","",IF(AND($L502&lt;&gt;"",NOT(ISNUMBER($L502))),"RAW SCORE NOT A NUMBER",IF(AND(ISNUMBER($L502),OR($L502&lt;0,$L502&gt;100)),"RAW SCORE OUT OF RANGE",IF(AND($Y502="Unexcused",OR($L502="",NOT(ISNUMBER($L502)),$L502&lt;&gt;0)),"UNEXCUSED ABSENCE MUST RECORD 0",IF(COUNTIF(nrES_RecID,$B502)&gt;1,"DUPLICATE RECORD",IF(N($K502)&gt;2,"ATTEMPT 3+ NOT ALLOWED - policy 300.5 permits one retest per exam; this row records nothing",IF(AND($K502=2,COUNTIFS(nrES_PID,$D502,nrES_Code,$F502,nrES_Att,1)=0),"ATTEMPT 2 WITHOUT ATTEMPT 1",IF(AND($K502=2,$L502=""),"RETEST ROW HAS NO SCORE",IF(AND($H502="Final",$L502&lt;&gt;"",IFERROR(INDEX(nrCKfinalExamElig,MATCH($D502,rngCadetPIDs,0)),"")="No"),"FINAL EXAM AFTER FAILED FINAL PT (500.1.H)",IF(AND($K502=2,ISNUMBER($L502),COUNTIFS(nrES_PID,$D502,nrES_Code,$F502,nrES_Att,1)&gt;0,SUMIFS(nrES_Raw,nrES_PID,$D502,nrES_Code,$F502,nrES_Att,1)&gt;=$J502),"RETEST AFTER A PASSING FIRST ATTEMPT","OK"))))))))))</f>
        <v/>
      </c>
      <c r="Y502" s="16" t="n"/>
    </row>
    <row r="503">
      <c r="B503" s="17">
        <f>IF($C503="","",$D503&amp;"-"&amp;$F503&amp;"-"&amp;$K503)</f>
        <v/>
      </c>
      <c r="C503" s="16" t="n"/>
      <c r="D503" s="17">
        <f>IF($C503="","",IFERROR(INDEX(rngCadetPIDs,MATCH($C503,rngCadetNames,0)),"?"))</f>
        <v/>
      </c>
      <c r="E503" s="17">
        <f>IF($D503="","",IFERROR(INDEX(nrCadetAgency,MATCH($D503,rngCadetPIDs,0)),""))</f>
        <v/>
      </c>
      <c r="F503" s="16" t="n"/>
      <c r="G503" s="17">
        <f>IF($F503="","",IFERROR(INDEX(rngEPname,MATCH($F503,rngEPcode,0)),"?"))</f>
        <v/>
      </c>
      <c r="H503" s="17">
        <f>IF($F503="","",IFERROR(INDEX(rngEPtype,MATCH($F503,rngEPcode,0)),"?"))</f>
        <v/>
      </c>
      <c r="I503" s="17">
        <f>IF($F503="","",IFERROR(INDEX(rngEPseq,MATCH($F503,rngEPcode,0)),""))</f>
        <v/>
      </c>
      <c r="J503" s="17">
        <f>IF($F503="","",IFERROR(INDEX(rngEPpass,MATCH($F503,rngEPcode,0)),cfgPassingScore))</f>
        <v/>
      </c>
      <c r="K503" s="16" t="n"/>
      <c r="L503" s="16" t="n"/>
      <c r="M503" s="17">
        <f>IF($C503="","",IF($L503="","",IF(NOT(ISNUMBER($L503)),$L503,IF(N($K503)&gt;2,"",IF($K503=1,IF(COUNTIFS(nrES_PID,$D503,nrES_Code,$F503,nrES_Att,2,nrES_Raw,"&gt;=0")&gt;0,"",$L503),IF($L503&gt;=$J503,MAX($J503,cfgRetakeRecordedCap),IF(COUNTIFS(nrES_PID,$D503,nrES_Code,$F503,nrES_Att,1)=0,$L503,SUMIFS(nrES_Raw,nrES_PID,$D503,nrES_Code,$F503,nrES_Att,1))))))))</f>
        <v/>
      </c>
      <c r="N503" s="17">
        <f>IF($C503="","",IF($L503="","",IF(NOT(ISNUMBER($L503)),"(not a score)",IF($L503&gt;=$J503,"Yes","No"))))</f>
        <v/>
      </c>
      <c r="O503" s="17">
        <f>IF($C503="","",IF($M503="","",IF(NOT(ISNUMBER($M503)),"(not a score)",IF($M503&gt;=$J503,"Yes","No"))))</f>
        <v/>
      </c>
      <c r="P503" s="17">
        <f>IF($C503="","",IF($K503="","",IF(N($K503)&gt;2,"No",IF(COUNTIFS(nrES_PID,$D503,nrES_Code,$F503,nrES_Att,"&gt;"&amp;$K503,nrES_Att,"&lt;=2",nrES_Raw,"&gt;=0")=0,"Yes","No"))))</f>
        <v/>
      </c>
      <c r="Q503" s="17">
        <f>IF($C503="","",IF($L503="","",IF(AND($K503=1,ISNUMBER($L503),$L503&lt;$J503,COUNTIFS(nrES_PID,$D503,nrES_Code,$F503,nrES_Att,2,nrES_Raw,"&gt;=0")=0),"Yes","No")))</f>
        <v/>
      </c>
      <c r="R503" s="17">
        <f>IF($C503="","",IF($L503="","",IF(AND(N($K503)&gt;=2,ISNUMBER($L503),$L503&lt;$J503),"Yes","No")))</f>
        <v/>
      </c>
      <c r="S503" s="18" t="n"/>
      <c r="T503" s="19">
        <f>IF(OR($C503="",$L503="",$K503&lt;&gt;1,NOT(ISNUMBER($L503)),$L503&gt;=$J503),"",IF($S503="","(enter date)",_xlfn.LET(_xlpm.dn,_xlfn.XLOOKUP($S503,nrCDdate,nrCDnum,"",1),IF(_xlpm.dn="","(after last class day)",_xlfn.LET(_xlpm.dd,_xlfn.XLOOKUP(_xlpm.dn+cfgRetestClassDays,nrCDnum,nrCDdate,""),_xlpm.ok,_xlfn.XLOOKUP(_xlpm.dn+cfgRetestClassDays,nrCDnum,nrCDinsession,"No"),IF(OR(_xlpm.dd="",_xlpm.ok&lt;&gt;"Yes"),"(after last class day)",_xlpm.dd))))))</f>
        <v/>
      </c>
      <c r="U503" s="17">
        <f>IF($C503="","",IF(AND($Y503="Excused",$L503="",N($K503)&lt;=1),"EXCUSED - 1st attempt pending",IF(OR($L503="",$K503&lt;&gt;1,NOT(ISNUMBER($L503)),$L503&gt;=$J503),"",IF(COUNTIFS(nrES_PID,$D503,nrES_Code,$F503,nrES_Att,2,nrES_Raw,"&gt;=0")&gt;0,IF(IFERROR(_xlfn.MINIFS(nrES_Date,nrES_PID,$D503,nrES_Code,$F503,nrES_Att,2,nrES_Raw,"&gt;=0",nrES_Date,"&gt;0"),0)=0,"RETEST UNDATED",IF(NOT(ISNUMBER($T503)),"RETEST DATE UNCHECKED",IF(_xlfn.MINIFS(nrES_Date,nrES_PID,$D503,nrES_Code,$F503,nrES_Att,2,nrES_Raw,"&gt;=0",nrES_Date,"&gt;0")&gt;$T503,"LATE RETEST "&amp;TEXT(_xlfn.MINIFS(nrES_Date,nrES_PID,$D503,nrES_Code,$F503,nrES_Att,2,nrES_Raw,"&gt;=0",nrES_Date,"&gt;0"),"mm/dd")&amp;" (due "&amp;TEXT($T503,"mm/dd")&amp;")","Retested"))),IF(NOT(ISNUMBER($T503)),"CHECK DATE",IF(TODAY()&gt;$T503,"OVERDUE","Due "&amp;TEXT($T503,"mm/dd")))))))</f>
        <v/>
      </c>
      <c r="V503" s="16" t="n"/>
      <c r="W503" s="16" t="n"/>
      <c r="X503" s="17">
        <f>IF($C503="","",IF(AND($L503&lt;&gt;"",NOT(ISNUMBER($L503))),"RAW SCORE NOT A NUMBER",IF(AND(ISNUMBER($L503),OR($L503&lt;0,$L503&gt;100)),"RAW SCORE OUT OF RANGE",IF(AND($Y503="Unexcused",OR($L503="",NOT(ISNUMBER($L503)),$L503&lt;&gt;0)),"UNEXCUSED ABSENCE MUST RECORD 0",IF(COUNTIF(nrES_RecID,$B503)&gt;1,"DUPLICATE RECORD",IF(N($K503)&gt;2,"ATTEMPT 3+ NOT ALLOWED - policy 300.5 permits one retest per exam; this row records nothing",IF(AND($K503=2,COUNTIFS(nrES_PID,$D503,nrES_Code,$F503,nrES_Att,1)=0),"ATTEMPT 2 WITHOUT ATTEMPT 1",IF(AND($K503=2,$L503=""),"RETEST ROW HAS NO SCORE",IF(AND($H503="Final",$L503&lt;&gt;"",IFERROR(INDEX(nrCKfinalExamElig,MATCH($D503,rngCadetPIDs,0)),"")="No"),"FINAL EXAM AFTER FAILED FINAL PT (500.1.H)",IF(AND($K503=2,ISNUMBER($L503),COUNTIFS(nrES_PID,$D503,nrES_Code,$F503,nrES_Att,1)&gt;0,SUMIFS(nrES_Raw,nrES_PID,$D503,nrES_Code,$F503,nrES_Att,1)&gt;=$J503),"RETEST AFTER A PASSING FIRST ATTEMPT","OK"))))))))))</f>
        <v/>
      </c>
      <c r="Y503" s="16" t="n"/>
    </row>
    <row r="504">
      <c r="B504" s="17">
        <f>IF($C504="","",$D504&amp;"-"&amp;$F504&amp;"-"&amp;$K504)</f>
        <v/>
      </c>
      <c r="C504" s="16" t="n"/>
      <c r="D504" s="17">
        <f>IF($C504="","",IFERROR(INDEX(rngCadetPIDs,MATCH($C504,rngCadetNames,0)),"?"))</f>
        <v/>
      </c>
      <c r="E504" s="17">
        <f>IF($D504="","",IFERROR(INDEX(nrCadetAgency,MATCH($D504,rngCadetPIDs,0)),""))</f>
        <v/>
      </c>
      <c r="F504" s="16" t="n"/>
      <c r="G504" s="17">
        <f>IF($F504="","",IFERROR(INDEX(rngEPname,MATCH($F504,rngEPcode,0)),"?"))</f>
        <v/>
      </c>
      <c r="H504" s="17">
        <f>IF($F504="","",IFERROR(INDEX(rngEPtype,MATCH($F504,rngEPcode,0)),"?"))</f>
        <v/>
      </c>
      <c r="I504" s="17">
        <f>IF($F504="","",IFERROR(INDEX(rngEPseq,MATCH($F504,rngEPcode,0)),""))</f>
        <v/>
      </c>
      <c r="J504" s="17">
        <f>IF($F504="","",IFERROR(INDEX(rngEPpass,MATCH($F504,rngEPcode,0)),cfgPassingScore))</f>
        <v/>
      </c>
      <c r="K504" s="16" t="n"/>
      <c r="L504" s="16" t="n"/>
      <c r="M504" s="17">
        <f>IF($C504="","",IF($L504="","",IF(NOT(ISNUMBER($L504)),$L504,IF(N($K504)&gt;2,"",IF($K504=1,IF(COUNTIFS(nrES_PID,$D504,nrES_Code,$F504,nrES_Att,2,nrES_Raw,"&gt;=0")&gt;0,"",$L504),IF($L504&gt;=$J504,MAX($J504,cfgRetakeRecordedCap),IF(COUNTIFS(nrES_PID,$D504,nrES_Code,$F504,nrES_Att,1)=0,$L504,SUMIFS(nrES_Raw,nrES_PID,$D504,nrES_Code,$F504,nrES_Att,1))))))))</f>
        <v/>
      </c>
      <c r="N504" s="17">
        <f>IF($C504="","",IF($L504="","",IF(NOT(ISNUMBER($L504)),"(not a score)",IF($L504&gt;=$J504,"Yes","No"))))</f>
        <v/>
      </c>
      <c r="O504" s="17">
        <f>IF($C504="","",IF($M504="","",IF(NOT(ISNUMBER($M504)),"(not a score)",IF($M504&gt;=$J504,"Yes","No"))))</f>
        <v/>
      </c>
      <c r="P504" s="17">
        <f>IF($C504="","",IF($K504="","",IF(N($K504)&gt;2,"No",IF(COUNTIFS(nrES_PID,$D504,nrES_Code,$F504,nrES_Att,"&gt;"&amp;$K504,nrES_Att,"&lt;=2",nrES_Raw,"&gt;=0")=0,"Yes","No"))))</f>
        <v/>
      </c>
      <c r="Q504" s="17">
        <f>IF($C504="","",IF($L504="","",IF(AND($K504=1,ISNUMBER($L504),$L504&lt;$J504,COUNTIFS(nrES_PID,$D504,nrES_Code,$F504,nrES_Att,2,nrES_Raw,"&gt;=0")=0),"Yes","No")))</f>
        <v/>
      </c>
      <c r="R504" s="17">
        <f>IF($C504="","",IF($L504="","",IF(AND(N($K504)&gt;=2,ISNUMBER($L504),$L504&lt;$J504),"Yes","No")))</f>
        <v/>
      </c>
      <c r="S504" s="18" t="n"/>
      <c r="T504" s="19">
        <f>IF(OR($C504="",$L504="",$K504&lt;&gt;1,NOT(ISNUMBER($L504)),$L504&gt;=$J504),"",IF($S504="","(enter date)",_xlfn.LET(_xlpm.dn,_xlfn.XLOOKUP($S504,nrCDdate,nrCDnum,"",1),IF(_xlpm.dn="","(after last class day)",_xlfn.LET(_xlpm.dd,_xlfn.XLOOKUP(_xlpm.dn+cfgRetestClassDays,nrCDnum,nrCDdate,""),_xlpm.ok,_xlfn.XLOOKUP(_xlpm.dn+cfgRetestClassDays,nrCDnum,nrCDinsession,"No"),IF(OR(_xlpm.dd="",_xlpm.ok&lt;&gt;"Yes"),"(after last class day)",_xlpm.dd))))))</f>
        <v/>
      </c>
      <c r="U504" s="17">
        <f>IF($C504="","",IF(AND($Y504="Excused",$L504="",N($K504)&lt;=1),"EXCUSED - 1st attempt pending",IF(OR($L504="",$K504&lt;&gt;1,NOT(ISNUMBER($L504)),$L504&gt;=$J504),"",IF(COUNTIFS(nrES_PID,$D504,nrES_Code,$F504,nrES_Att,2,nrES_Raw,"&gt;=0")&gt;0,IF(IFERROR(_xlfn.MINIFS(nrES_Date,nrES_PID,$D504,nrES_Code,$F504,nrES_Att,2,nrES_Raw,"&gt;=0",nrES_Date,"&gt;0"),0)=0,"RETEST UNDATED",IF(NOT(ISNUMBER($T504)),"RETEST DATE UNCHECKED",IF(_xlfn.MINIFS(nrES_Date,nrES_PID,$D504,nrES_Code,$F504,nrES_Att,2,nrES_Raw,"&gt;=0",nrES_Date,"&gt;0")&gt;$T504,"LATE RETEST "&amp;TEXT(_xlfn.MINIFS(nrES_Date,nrES_PID,$D504,nrES_Code,$F504,nrES_Att,2,nrES_Raw,"&gt;=0",nrES_Date,"&gt;0"),"mm/dd")&amp;" (due "&amp;TEXT($T504,"mm/dd")&amp;")","Retested"))),IF(NOT(ISNUMBER($T504)),"CHECK DATE",IF(TODAY()&gt;$T504,"OVERDUE","Due "&amp;TEXT($T504,"mm/dd")))))))</f>
        <v/>
      </c>
      <c r="V504" s="16" t="n"/>
      <c r="W504" s="16" t="n"/>
      <c r="X504" s="17">
        <f>IF($C504="","",IF(AND($L504&lt;&gt;"",NOT(ISNUMBER($L504))),"RAW SCORE NOT A NUMBER",IF(AND(ISNUMBER($L504),OR($L504&lt;0,$L504&gt;100)),"RAW SCORE OUT OF RANGE",IF(AND($Y504="Unexcused",OR($L504="",NOT(ISNUMBER($L504)),$L504&lt;&gt;0)),"UNEXCUSED ABSENCE MUST RECORD 0",IF(COUNTIF(nrES_RecID,$B504)&gt;1,"DUPLICATE RECORD",IF(N($K504)&gt;2,"ATTEMPT 3+ NOT ALLOWED - policy 300.5 permits one retest per exam; this row records nothing",IF(AND($K504=2,COUNTIFS(nrES_PID,$D504,nrES_Code,$F504,nrES_Att,1)=0),"ATTEMPT 2 WITHOUT ATTEMPT 1",IF(AND($K504=2,$L504=""),"RETEST ROW HAS NO SCORE",IF(AND($H504="Final",$L504&lt;&gt;"",IFERROR(INDEX(nrCKfinalExamElig,MATCH($D504,rngCadetPIDs,0)),"")="No"),"FINAL EXAM AFTER FAILED FINAL PT (500.1.H)",IF(AND($K504=2,ISNUMBER($L504),COUNTIFS(nrES_PID,$D504,nrES_Code,$F504,nrES_Att,1)&gt;0,SUMIFS(nrES_Raw,nrES_PID,$D504,nrES_Code,$F504,nrES_Att,1)&gt;=$J504),"RETEST AFTER A PASSING FIRST ATTEMPT","OK"))))))))))</f>
        <v/>
      </c>
      <c r="Y504" s="16" t="n"/>
    </row>
    <row r="505">
      <c r="B505" s="17">
        <f>IF($C505="","",$D505&amp;"-"&amp;$F505&amp;"-"&amp;$K505)</f>
        <v/>
      </c>
      <c r="C505" s="16" t="n"/>
      <c r="D505" s="17">
        <f>IF($C505="","",IFERROR(INDEX(rngCadetPIDs,MATCH($C505,rngCadetNames,0)),"?"))</f>
        <v/>
      </c>
      <c r="E505" s="17">
        <f>IF($D505="","",IFERROR(INDEX(nrCadetAgency,MATCH($D505,rngCadetPIDs,0)),""))</f>
        <v/>
      </c>
      <c r="F505" s="16" t="n"/>
      <c r="G505" s="17">
        <f>IF($F505="","",IFERROR(INDEX(rngEPname,MATCH($F505,rngEPcode,0)),"?"))</f>
        <v/>
      </c>
      <c r="H505" s="17">
        <f>IF($F505="","",IFERROR(INDEX(rngEPtype,MATCH($F505,rngEPcode,0)),"?"))</f>
        <v/>
      </c>
      <c r="I505" s="17">
        <f>IF($F505="","",IFERROR(INDEX(rngEPseq,MATCH($F505,rngEPcode,0)),""))</f>
        <v/>
      </c>
      <c r="J505" s="17">
        <f>IF($F505="","",IFERROR(INDEX(rngEPpass,MATCH($F505,rngEPcode,0)),cfgPassingScore))</f>
        <v/>
      </c>
      <c r="K505" s="16" t="n"/>
      <c r="L505" s="16" t="n"/>
      <c r="M505" s="17">
        <f>IF($C505="","",IF($L505="","",IF(NOT(ISNUMBER($L505)),$L505,IF(N($K505)&gt;2,"",IF($K505=1,IF(COUNTIFS(nrES_PID,$D505,nrES_Code,$F505,nrES_Att,2,nrES_Raw,"&gt;=0")&gt;0,"",$L505),IF($L505&gt;=$J505,MAX($J505,cfgRetakeRecordedCap),IF(COUNTIFS(nrES_PID,$D505,nrES_Code,$F505,nrES_Att,1)=0,$L505,SUMIFS(nrES_Raw,nrES_PID,$D505,nrES_Code,$F505,nrES_Att,1))))))))</f>
        <v/>
      </c>
      <c r="N505" s="17">
        <f>IF($C505="","",IF($L505="","",IF(NOT(ISNUMBER($L505)),"(not a score)",IF($L505&gt;=$J505,"Yes","No"))))</f>
        <v/>
      </c>
      <c r="O505" s="17">
        <f>IF($C505="","",IF($M505="","",IF(NOT(ISNUMBER($M505)),"(not a score)",IF($M505&gt;=$J505,"Yes","No"))))</f>
        <v/>
      </c>
      <c r="P505" s="17">
        <f>IF($C505="","",IF($K505="","",IF(N($K505)&gt;2,"No",IF(COUNTIFS(nrES_PID,$D505,nrES_Code,$F505,nrES_Att,"&gt;"&amp;$K505,nrES_Att,"&lt;=2",nrES_Raw,"&gt;=0")=0,"Yes","No"))))</f>
        <v/>
      </c>
      <c r="Q505" s="17">
        <f>IF($C505="","",IF($L505="","",IF(AND($K505=1,ISNUMBER($L505),$L505&lt;$J505,COUNTIFS(nrES_PID,$D505,nrES_Code,$F505,nrES_Att,2,nrES_Raw,"&gt;=0")=0),"Yes","No")))</f>
        <v/>
      </c>
      <c r="R505" s="17">
        <f>IF($C505="","",IF($L505="","",IF(AND(N($K505)&gt;=2,ISNUMBER($L505),$L505&lt;$J505),"Yes","No")))</f>
        <v/>
      </c>
      <c r="S505" s="18" t="n"/>
      <c r="T505" s="19">
        <f>IF(OR($C505="",$L505="",$K505&lt;&gt;1,NOT(ISNUMBER($L505)),$L505&gt;=$J505),"",IF($S505="","(enter date)",_xlfn.LET(_xlpm.dn,_xlfn.XLOOKUP($S505,nrCDdate,nrCDnum,"",1),IF(_xlpm.dn="","(after last class day)",_xlfn.LET(_xlpm.dd,_xlfn.XLOOKUP(_xlpm.dn+cfgRetestClassDays,nrCDnum,nrCDdate,""),_xlpm.ok,_xlfn.XLOOKUP(_xlpm.dn+cfgRetestClassDays,nrCDnum,nrCDinsession,"No"),IF(OR(_xlpm.dd="",_xlpm.ok&lt;&gt;"Yes"),"(after last class day)",_xlpm.dd))))))</f>
        <v/>
      </c>
      <c r="U505" s="17">
        <f>IF($C505="","",IF(AND($Y505="Excused",$L505="",N($K505)&lt;=1),"EXCUSED - 1st attempt pending",IF(OR($L505="",$K505&lt;&gt;1,NOT(ISNUMBER($L505)),$L505&gt;=$J505),"",IF(COUNTIFS(nrES_PID,$D505,nrES_Code,$F505,nrES_Att,2,nrES_Raw,"&gt;=0")&gt;0,IF(IFERROR(_xlfn.MINIFS(nrES_Date,nrES_PID,$D505,nrES_Code,$F505,nrES_Att,2,nrES_Raw,"&gt;=0",nrES_Date,"&gt;0"),0)=0,"RETEST UNDATED",IF(NOT(ISNUMBER($T505)),"RETEST DATE UNCHECKED",IF(_xlfn.MINIFS(nrES_Date,nrES_PID,$D505,nrES_Code,$F505,nrES_Att,2,nrES_Raw,"&gt;=0",nrES_Date,"&gt;0")&gt;$T505,"LATE RETEST "&amp;TEXT(_xlfn.MINIFS(nrES_Date,nrES_PID,$D505,nrES_Code,$F505,nrES_Att,2,nrES_Raw,"&gt;=0",nrES_Date,"&gt;0"),"mm/dd")&amp;" (due "&amp;TEXT($T505,"mm/dd")&amp;")","Retested"))),IF(NOT(ISNUMBER($T505)),"CHECK DATE",IF(TODAY()&gt;$T505,"OVERDUE","Due "&amp;TEXT($T505,"mm/dd")))))))</f>
        <v/>
      </c>
      <c r="V505" s="16" t="n"/>
      <c r="W505" s="16" t="n"/>
      <c r="X505" s="17">
        <f>IF($C505="","",IF(AND($L505&lt;&gt;"",NOT(ISNUMBER($L505))),"RAW SCORE NOT A NUMBER",IF(AND(ISNUMBER($L505),OR($L505&lt;0,$L505&gt;100)),"RAW SCORE OUT OF RANGE",IF(AND($Y505="Unexcused",OR($L505="",NOT(ISNUMBER($L505)),$L505&lt;&gt;0)),"UNEXCUSED ABSENCE MUST RECORD 0",IF(COUNTIF(nrES_RecID,$B505)&gt;1,"DUPLICATE RECORD",IF(N($K505)&gt;2,"ATTEMPT 3+ NOT ALLOWED - policy 300.5 permits one retest per exam; this row records nothing",IF(AND($K505=2,COUNTIFS(nrES_PID,$D505,nrES_Code,$F505,nrES_Att,1)=0),"ATTEMPT 2 WITHOUT ATTEMPT 1",IF(AND($K505=2,$L505=""),"RETEST ROW HAS NO SCORE",IF(AND($H505="Final",$L505&lt;&gt;"",IFERROR(INDEX(nrCKfinalExamElig,MATCH($D505,rngCadetPIDs,0)),"")="No"),"FINAL EXAM AFTER FAILED FINAL PT (500.1.H)",IF(AND($K505=2,ISNUMBER($L505),COUNTIFS(nrES_PID,$D505,nrES_Code,$F505,nrES_Att,1)&gt;0,SUMIFS(nrES_Raw,nrES_PID,$D505,nrES_Code,$F505,nrES_Att,1)&gt;=$J505),"RETEST AFTER A PASSING FIRST ATTEMPT","OK"))))))))))</f>
        <v/>
      </c>
      <c r="Y505" s="16" t="n"/>
    </row>
    <row r="506">
      <c r="B506" s="17">
        <f>IF($C506="","",$D506&amp;"-"&amp;$F506&amp;"-"&amp;$K506)</f>
        <v/>
      </c>
      <c r="C506" s="16" t="n"/>
      <c r="D506" s="17">
        <f>IF($C506="","",IFERROR(INDEX(rngCadetPIDs,MATCH($C506,rngCadetNames,0)),"?"))</f>
        <v/>
      </c>
      <c r="E506" s="17">
        <f>IF($D506="","",IFERROR(INDEX(nrCadetAgency,MATCH($D506,rngCadetPIDs,0)),""))</f>
        <v/>
      </c>
      <c r="F506" s="16" t="n"/>
      <c r="G506" s="17">
        <f>IF($F506="","",IFERROR(INDEX(rngEPname,MATCH($F506,rngEPcode,0)),"?"))</f>
        <v/>
      </c>
      <c r="H506" s="17">
        <f>IF($F506="","",IFERROR(INDEX(rngEPtype,MATCH($F506,rngEPcode,0)),"?"))</f>
        <v/>
      </c>
      <c r="I506" s="17">
        <f>IF($F506="","",IFERROR(INDEX(rngEPseq,MATCH($F506,rngEPcode,0)),""))</f>
        <v/>
      </c>
      <c r="J506" s="17">
        <f>IF($F506="","",IFERROR(INDEX(rngEPpass,MATCH($F506,rngEPcode,0)),cfgPassingScore))</f>
        <v/>
      </c>
      <c r="K506" s="16" t="n"/>
      <c r="L506" s="16" t="n"/>
      <c r="M506" s="17">
        <f>IF($C506="","",IF($L506="","",IF(NOT(ISNUMBER($L506)),$L506,IF(N($K506)&gt;2,"",IF($K506=1,IF(COUNTIFS(nrES_PID,$D506,nrES_Code,$F506,nrES_Att,2,nrES_Raw,"&gt;=0")&gt;0,"",$L506),IF($L506&gt;=$J506,MAX($J506,cfgRetakeRecordedCap),IF(COUNTIFS(nrES_PID,$D506,nrES_Code,$F506,nrES_Att,1)=0,$L506,SUMIFS(nrES_Raw,nrES_PID,$D506,nrES_Code,$F506,nrES_Att,1))))))))</f>
        <v/>
      </c>
      <c r="N506" s="17">
        <f>IF($C506="","",IF($L506="","",IF(NOT(ISNUMBER($L506)),"(not a score)",IF($L506&gt;=$J506,"Yes","No"))))</f>
        <v/>
      </c>
      <c r="O506" s="17">
        <f>IF($C506="","",IF($M506="","",IF(NOT(ISNUMBER($M506)),"(not a score)",IF($M506&gt;=$J506,"Yes","No"))))</f>
        <v/>
      </c>
      <c r="P506" s="17">
        <f>IF($C506="","",IF($K506="","",IF(N($K506)&gt;2,"No",IF(COUNTIFS(nrES_PID,$D506,nrES_Code,$F506,nrES_Att,"&gt;"&amp;$K506,nrES_Att,"&lt;=2",nrES_Raw,"&gt;=0")=0,"Yes","No"))))</f>
        <v/>
      </c>
      <c r="Q506" s="17">
        <f>IF($C506="","",IF($L506="","",IF(AND($K506=1,ISNUMBER($L506),$L506&lt;$J506,COUNTIFS(nrES_PID,$D506,nrES_Code,$F506,nrES_Att,2,nrES_Raw,"&gt;=0")=0),"Yes","No")))</f>
        <v/>
      </c>
      <c r="R506" s="17">
        <f>IF($C506="","",IF($L506="","",IF(AND(N($K506)&gt;=2,ISNUMBER($L506),$L506&lt;$J506),"Yes","No")))</f>
        <v/>
      </c>
      <c r="S506" s="18" t="n"/>
      <c r="T506" s="19">
        <f>IF(OR($C506="",$L506="",$K506&lt;&gt;1,NOT(ISNUMBER($L506)),$L506&gt;=$J506),"",IF($S506="","(enter date)",_xlfn.LET(_xlpm.dn,_xlfn.XLOOKUP($S506,nrCDdate,nrCDnum,"",1),IF(_xlpm.dn="","(after last class day)",_xlfn.LET(_xlpm.dd,_xlfn.XLOOKUP(_xlpm.dn+cfgRetestClassDays,nrCDnum,nrCDdate,""),_xlpm.ok,_xlfn.XLOOKUP(_xlpm.dn+cfgRetestClassDays,nrCDnum,nrCDinsession,"No"),IF(OR(_xlpm.dd="",_xlpm.ok&lt;&gt;"Yes"),"(after last class day)",_xlpm.dd))))))</f>
        <v/>
      </c>
      <c r="U506" s="17">
        <f>IF($C506="","",IF(AND($Y506="Excused",$L506="",N($K506)&lt;=1),"EXCUSED - 1st attempt pending",IF(OR($L506="",$K506&lt;&gt;1,NOT(ISNUMBER($L506)),$L506&gt;=$J506),"",IF(COUNTIFS(nrES_PID,$D506,nrES_Code,$F506,nrES_Att,2,nrES_Raw,"&gt;=0")&gt;0,IF(IFERROR(_xlfn.MINIFS(nrES_Date,nrES_PID,$D506,nrES_Code,$F506,nrES_Att,2,nrES_Raw,"&gt;=0",nrES_Date,"&gt;0"),0)=0,"RETEST UNDATED",IF(NOT(ISNUMBER($T506)),"RETEST DATE UNCHECKED",IF(_xlfn.MINIFS(nrES_Date,nrES_PID,$D506,nrES_Code,$F506,nrES_Att,2,nrES_Raw,"&gt;=0",nrES_Date,"&gt;0")&gt;$T506,"LATE RETEST "&amp;TEXT(_xlfn.MINIFS(nrES_Date,nrES_PID,$D506,nrES_Code,$F506,nrES_Att,2,nrES_Raw,"&gt;=0",nrES_Date,"&gt;0"),"mm/dd")&amp;" (due "&amp;TEXT($T506,"mm/dd")&amp;")","Retested"))),IF(NOT(ISNUMBER($T506)),"CHECK DATE",IF(TODAY()&gt;$T506,"OVERDUE","Due "&amp;TEXT($T506,"mm/dd")))))))</f>
        <v/>
      </c>
      <c r="V506" s="16" t="n"/>
      <c r="W506" s="16" t="n"/>
      <c r="X506" s="17">
        <f>IF($C506="","",IF(AND($L506&lt;&gt;"",NOT(ISNUMBER($L506))),"RAW SCORE NOT A NUMBER",IF(AND(ISNUMBER($L506),OR($L506&lt;0,$L506&gt;100)),"RAW SCORE OUT OF RANGE",IF(AND($Y506="Unexcused",OR($L506="",NOT(ISNUMBER($L506)),$L506&lt;&gt;0)),"UNEXCUSED ABSENCE MUST RECORD 0",IF(COUNTIF(nrES_RecID,$B506)&gt;1,"DUPLICATE RECORD",IF(N($K506)&gt;2,"ATTEMPT 3+ NOT ALLOWED - policy 300.5 permits one retest per exam; this row records nothing",IF(AND($K506=2,COUNTIFS(nrES_PID,$D506,nrES_Code,$F506,nrES_Att,1)=0),"ATTEMPT 2 WITHOUT ATTEMPT 1",IF(AND($K506=2,$L506=""),"RETEST ROW HAS NO SCORE",IF(AND($H506="Final",$L506&lt;&gt;"",IFERROR(INDEX(nrCKfinalExamElig,MATCH($D506,rngCadetPIDs,0)),"")="No"),"FINAL EXAM AFTER FAILED FINAL PT (500.1.H)",IF(AND($K506=2,ISNUMBER($L506),COUNTIFS(nrES_PID,$D506,nrES_Code,$F506,nrES_Att,1)&gt;0,SUMIFS(nrES_Raw,nrES_PID,$D506,nrES_Code,$F506,nrES_Att,1)&gt;=$J506),"RETEST AFTER A PASSING FIRST ATTEMPT","OK"))))))))))</f>
        <v/>
      </c>
      <c r="Y506" s="16" t="n"/>
    </row>
    <row r="507">
      <c r="B507" s="17">
        <f>IF($C507="","",$D507&amp;"-"&amp;$F507&amp;"-"&amp;$K507)</f>
        <v/>
      </c>
      <c r="C507" s="16" t="n"/>
      <c r="D507" s="17">
        <f>IF($C507="","",IFERROR(INDEX(rngCadetPIDs,MATCH($C507,rngCadetNames,0)),"?"))</f>
        <v/>
      </c>
      <c r="E507" s="17">
        <f>IF($D507="","",IFERROR(INDEX(nrCadetAgency,MATCH($D507,rngCadetPIDs,0)),""))</f>
        <v/>
      </c>
      <c r="F507" s="16" t="n"/>
      <c r="G507" s="17">
        <f>IF($F507="","",IFERROR(INDEX(rngEPname,MATCH($F507,rngEPcode,0)),"?"))</f>
        <v/>
      </c>
      <c r="H507" s="17">
        <f>IF($F507="","",IFERROR(INDEX(rngEPtype,MATCH($F507,rngEPcode,0)),"?"))</f>
        <v/>
      </c>
      <c r="I507" s="17">
        <f>IF($F507="","",IFERROR(INDEX(rngEPseq,MATCH($F507,rngEPcode,0)),""))</f>
        <v/>
      </c>
      <c r="J507" s="17">
        <f>IF($F507="","",IFERROR(INDEX(rngEPpass,MATCH($F507,rngEPcode,0)),cfgPassingScore))</f>
        <v/>
      </c>
      <c r="K507" s="16" t="n"/>
      <c r="L507" s="16" t="n"/>
      <c r="M507" s="17">
        <f>IF($C507="","",IF($L507="","",IF(NOT(ISNUMBER($L507)),$L507,IF(N($K507)&gt;2,"",IF($K507=1,IF(COUNTIFS(nrES_PID,$D507,nrES_Code,$F507,nrES_Att,2,nrES_Raw,"&gt;=0")&gt;0,"",$L507),IF($L507&gt;=$J507,MAX($J507,cfgRetakeRecordedCap),IF(COUNTIFS(nrES_PID,$D507,nrES_Code,$F507,nrES_Att,1)=0,$L507,SUMIFS(nrES_Raw,nrES_PID,$D507,nrES_Code,$F507,nrES_Att,1))))))))</f>
        <v/>
      </c>
      <c r="N507" s="17">
        <f>IF($C507="","",IF($L507="","",IF(NOT(ISNUMBER($L507)),"(not a score)",IF($L507&gt;=$J507,"Yes","No"))))</f>
        <v/>
      </c>
      <c r="O507" s="17">
        <f>IF($C507="","",IF($M507="","",IF(NOT(ISNUMBER($M507)),"(not a score)",IF($M507&gt;=$J507,"Yes","No"))))</f>
        <v/>
      </c>
      <c r="P507" s="17">
        <f>IF($C507="","",IF($K507="","",IF(N($K507)&gt;2,"No",IF(COUNTIFS(nrES_PID,$D507,nrES_Code,$F507,nrES_Att,"&gt;"&amp;$K507,nrES_Att,"&lt;=2",nrES_Raw,"&gt;=0")=0,"Yes","No"))))</f>
        <v/>
      </c>
      <c r="Q507" s="17">
        <f>IF($C507="","",IF($L507="","",IF(AND($K507=1,ISNUMBER($L507),$L507&lt;$J507,COUNTIFS(nrES_PID,$D507,nrES_Code,$F507,nrES_Att,2,nrES_Raw,"&gt;=0")=0),"Yes","No")))</f>
        <v/>
      </c>
      <c r="R507" s="17">
        <f>IF($C507="","",IF($L507="","",IF(AND(N($K507)&gt;=2,ISNUMBER($L507),$L507&lt;$J507),"Yes","No")))</f>
        <v/>
      </c>
      <c r="S507" s="18" t="n"/>
      <c r="T507" s="19">
        <f>IF(OR($C507="",$L507="",$K507&lt;&gt;1,NOT(ISNUMBER($L507)),$L507&gt;=$J507),"",IF($S507="","(enter date)",_xlfn.LET(_xlpm.dn,_xlfn.XLOOKUP($S507,nrCDdate,nrCDnum,"",1),IF(_xlpm.dn="","(after last class day)",_xlfn.LET(_xlpm.dd,_xlfn.XLOOKUP(_xlpm.dn+cfgRetestClassDays,nrCDnum,nrCDdate,""),_xlpm.ok,_xlfn.XLOOKUP(_xlpm.dn+cfgRetestClassDays,nrCDnum,nrCDinsession,"No"),IF(OR(_xlpm.dd="",_xlpm.ok&lt;&gt;"Yes"),"(after last class day)",_xlpm.dd))))))</f>
        <v/>
      </c>
      <c r="U507" s="17">
        <f>IF($C507="","",IF(AND($Y507="Excused",$L507="",N($K507)&lt;=1),"EXCUSED - 1st attempt pending",IF(OR($L507="",$K507&lt;&gt;1,NOT(ISNUMBER($L507)),$L507&gt;=$J507),"",IF(COUNTIFS(nrES_PID,$D507,nrES_Code,$F507,nrES_Att,2,nrES_Raw,"&gt;=0")&gt;0,IF(IFERROR(_xlfn.MINIFS(nrES_Date,nrES_PID,$D507,nrES_Code,$F507,nrES_Att,2,nrES_Raw,"&gt;=0",nrES_Date,"&gt;0"),0)=0,"RETEST UNDATED",IF(NOT(ISNUMBER($T507)),"RETEST DATE UNCHECKED",IF(_xlfn.MINIFS(nrES_Date,nrES_PID,$D507,nrES_Code,$F507,nrES_Att,2,nrES_Raw,"&gt;=0",nrES_Date,"&gt;0")&gt;$T507,"LATE RETEST "&amp;TEXT(_xlfn.MINIFS(nrES_Date,nrES_PID,$D507,nrES_Code,$F507,nrES_Att,2,nrES_Raw,"&gt;=0",nrES_Date,"&gt;0"),"mm/dd")&amp;" (due "&amp;TEXT($T507,"mm/dd")&amp;")","Retested"))),IF(NOT(ISNUMBER($T507)),"CHECK DATE",IF(TODAY()&gt;$T507,"OVERDUE","Due "&amp;TEXT($T507,"mm/dd")))))))</f>
        <v/>
      </c>
      <c r="V507" s="16" t="n"/>
      <c r="W507" s="16" t="n"/>
      <c r="X507" s="17">
        <f>IF($C507="","",IF(AND($L507&lt;&gt;"",NOT(ISNUMBER($L507))),"RAW SCORE NOT A NUMBER",IF(AND(ISNUMBER($L507),OR($L507&lt;0,$L507&gt;100)),"RAW SCORE OUT OF RANGE",IF(AND($Y507="Unexcused",OR($L507="",NOT(ISNUMBER($L507)),$L507&lt;&gt;0)),"UNEXCUSED ABSENCE MUST RECORD 0",IF(COUNTIF(nrES_RecID,$B507)&gt;1,"DUPLICATE RECORD",IF(N($K507)&gt;2,"ATTEMPT 3+ NOT ALLOWED - policy 300.5 permits one retest per exam; this row records nothing",IF(AND($K507=2,COUNTIFS(nrES_PID,$D507,nrES_Code,$F507,nrES_Att,1)=0),"ATTEMPT 2 WITHOUT ATTEMPT 1",IF(AND($K507=2,$L507=""),"RETEST ROW HAS NO SCORE",IF(AND($H507="Final",$L507&lt;&gt;"",IFERROR(INDEX(nrCKfinalExamElig,MATCH($D507,rngCadetPIDs,0)),"")="No"),"FINAL EXAM AFTER FAILED FINAL PT (500.1.H)",IF(AND($K507=2,ISNUMBER($L507),COUNTIFS(nrES_PID,$D507,nrES_Code,$F507,nrES_Att,1)&gt;0,SUMIFS(nrES_Raw,nrES_PID,$D507,nrES_Code,$F507,nrES_Att,1)&gt;=$J507),"RETEST AFTER A PASSING FIRST ATTEMPT","OK"))))))))))</f>
        <v/>
      </c>
      <c r="Y507" s="16" t="n"/>
    </row>
    <row r="508">
      <c r="B508" s="17">
        <f>IF($C508="","",$D508&amp;"-"&amp;$F508&amp;"-"&amp;$K508)</f>
        <v/>
      </c>
      <c r="C508" s="16" t="n"/>
      <c r="D508" s="17">
        <f>IF($C508="","",IFERROR(INDEX(rngCadetPIDs,MATCH($C508,rngCadetNames,0)),"?"))</f>
        <v/>
      </c>
      <c r="E508" s="17">
        <f>IF($D508="","",IFERROR(INDEX(nrCadetAgency,MATCH($D508,rngCadetPIDs,0)),""))</f>
        <v/>
      </c>
      <c r="F508" s="16" t="n"/>
      <c r="G508" s="17">
        <f>IF($F508="","",IFERROR(INDEX(rngEPname,MATCH($F508,rngEPcode,0)),"?"))</f>
        <v/>
      </c>
      <c r="H508" s="17">
        <f>IF($F508="","",IFERROR(INDEX(rngEPtype,MATCH($F508,rngEPcode,0)),"?"))</f>
        <v/>
      </c>
      <c r="I508" s="17">
        <f>IF($F508="","",IFERROR(INDEX(rngEPseq,MATCH($F508,rngEPcode,0)),""))</f>
        <v/>
      </c>
      <c r="J508" s="17">
        <f>IF($F508="","",IFERROR(INDEX(rngEPpass,MATCH($F508,rngEPcode,0)),cfgPassingScore))</f>
        <v/>
      </c>
      <c r="K508" s="16" t="n"/>
      <c r="L508" s="16" t="n"/>
      <c r="M508" s="17">
        <f>IF($C508="","",IF($L508="","",IF(NOT(ISNUMBER($L508)),$L508,IF(N($K508)&gt;2,"",IF($K508=1,IF(COUNTIFS(nrES_PID,$D508,nrES_Code,$F508,nrES_Att,2,nrES_Raw,"&gt;=0")&gt;0,"",$L508),IF($L508&gt;=$J508,MAX($J508,cfgRetakeRecordedCap),IF(COUNTIFS(nrES_PID,$D508,nrES_Code,$F508,nrES_Att,1)=0,$L508,SUMIFS(nrES_Raw,nrES_PID,$D508,nrES_Code,$F508,nrES_Att,1))))))))</f>
        <v/>
      </c>
      <c r="N508" s="17">
        <f>IF($C508="","",IF($L508="","",IF(NOT(ISNUMBER($L508)),"(not a score)",IF($L508&gt;=$J508,"Yes","No"))))</f>
        <v/>
      </c>
      <c r="O508" s="17">
        <f>IF($C508="","",IF($M508="","",IF(NOT(ISNUMBER($M508)),"(not a score)",IF($M508&gt;=$J508,"Yes","No"))))</f>
        <v/>
      </c>
      <c r="P508" s="17">
        <f>IF($C508="","",IF($K508="","",IF(N($K508)&gt;2,"No",IF(COUNTIFS(nrES_PID,$D508,nrES_Code,$F508,nrES_Att,"&gt;"&amp;$K508,nrES_Att,"&lt;=2",nrES_Raw,"&gt;=0")=0,"Yes","No"))))</f>
        <v/>
      </c>
      <c r="Q508" s="17">
        <f>IF($C508="","",IF($L508="","",IF(AND($K508=1,ISNUMBER($L508),$L508&lt;$J508,COUNTIFS(nrES_PID,$D508,nrES_Code,$F508,nrES_Att,2,nrES_Raw,"&gt;=0")=0),"Yes","No")))</f>
        <v/>
      </c>
      <c r="R508" s="17">
        <f>IF($C508="","",IF($L508="","",IF(AND(N($K508)&gt;=2,ISNUMBER($L508),$L508&lt;$J508),"Yes","No")))</f>
        <v/>
      </c>
      <c r="S508" s="18" t="n"/>
      <c r="T508" s="19">
        <f>IF(OR($C508="",$L508="",$K508&lt;&gt;1,NOT(ISNUMBER($L508)),$L508&gt;=$J508),"",IF($S508="","(enter date)",_xlfn.LET(_xlpm.dn,_xlfn.XLOOKUP($S508,nrCDdate,nrCDnum,"",1),IF(_xlpm.dn="","(after last class day)",_xlfn.LET(_xlpm.dd,_xlfn.XLOOKUP(_xlpm.dn+cfgRetestClassDays,nrCDnum,nrCDdate,""),_xlpm.ok,_xlfn.XLOOKUP(_xlpm.dn+cfgRetestClassDays,nrCDnum,nrCDinsession,"No"),IF(OR(_xlpm.dd="",_xlpm.ok&lt;&gt;"Yes"),"(after last class day)",_xlpm.dd))))))</f>
        <v/>
      </c>
      <c r="U508" s="17">
        <f>IF($C508="","",IF(AND($Y508="Excused",$L508="",N($K508)&lt;=1),"EXCUSED - 1st attempt pending",IF(OR($L508="",$K508&lt;&gt;1,NOT(ISNUMBER($L508)),$L508&gt;=$J508),"",IF(COUNTIFS(nrES_PID,$D508,nrES_Code,$F508,nrES_Att,2,nrES_Raw,"&gt;=0")&gt;0,IF(IFERROR(_xlfn.MINIFS(nrES_Date,nrES_PID,$D508,nrES_Code,$F508,nrES_Att,2,nrES_Raw,"&gt;=0",nrES_Date,"&gt;0"),0)=0,"RETEST UNDATED",IF(NOT(ISNUMBER($T508)),"RETEST DATE UNCHECKED",IF(_xlfn.MINIFS(nrES_Date,nrES_PID,$D508,nrES_Code,$F508,nrES_Att,2,nrES_Raw,"&gt;=0",nrES_Date,"&gt;0")&gt;$T508,"LATE RETEST "&amp;TEXT(_xlfn.MINIFS(nrES_Date,nrES_PID,$D508,nrES_Code,$F508,nrES_Att,2,nrES_Raw,"&gt;=0",nrES_Date,"&gt;0"),"mm/dd")&amp;" (due "&amp;TEXT($T508,"mm/dd")&amp;")","Retested"))),IF(NOT(ISNUMBER($T508)),"CHECK DATE",IF(TODAY()&gt;$T508,"OVERDUE","Due "&amp;TEXT($T508,"mm/dd")))))))</f>
        <v/>
      </c>
      <c r="V508" s="16" t="n"/>
      <c r="W508" s="16" t="n"/>
      <c r="X508" s="17">
        <f>IF($C508="","",IF(AND($L508&lt;&gt;"",NOT(ISNUMBER($L508))),"RAW SCORE NOT A NUMBER",IF(AND(ISNUMBER($L508),OR($L508&lt;0,$L508&gt;100)),"RAW SCORE OUT OF RANGE",IF(AND($Y508="Unexcused",OR($L508="",NOT(ISNUMBER($L508)),$L508&lt;&gt;0)),"UNEXCUSED ABSENCE MUST RECORD 0",IF(COUNTIF(nrES_RecID,$B508)&gt;1,"DUPLICATE RECORD",IF(N($K508)&gt;2,"ATTEMPT 3+ NOT ALLOWED - policy 300.5 permits one retest per exam; this row records nothing",IF(AND($K508=2,COUNTIFS(nrES_PID,$D508,nrES_Code,$F508,nrES_Att,1)=0),"ATTEMPT 2 WITHOUT ATTEMPT 1",IF(AND($K508=2,$L508=""),"RETEST ROW HAS NO SCORE",IF(AND($H508="Final",$L508&lt;&gt;"",IFERROR(INDEX(nrCKfinalExamElig,MATCH($D508,rngCadetPIDs,0)),"")="No"),"FINAL EXAM AFTER FAILED FINAL PT (500.1.H)",IF(AND($K508=2,ISNUMBER($L508),COUNTIFS(nrES_PID,$D508,nrES_Code,$F508,nrES_Att,1)&gt;0,SUMIFS(nrES_Raw,nrES_PID,$D508,nrES_Code,$F508,nrES_Att,1)&gt;=$J508),"RETEST AFTER A PASSING FIRST ATTEMPT","OK"))))))))))</f>
        <v/>
      </c>
      <c r="Y508" s="16" t="n"/>
    </row>
    <row r="509">
      <c r="B509" s="17">
        <f>IF($C509="","",$D509&amp;"-"&amp;$F509&amp;"-"&amp;$K509)</f>
        <v/>
      </c>
      <c r="C509" s="16" t="n"/>
      <c r="D509" s="17">
        <f>IF($C509="","",IFERROR(INDEX(rngCadetPIDs,MATCH($C509,rngCadetNames,0)),"?"))</f>
        <v/>
      </c>
      <c r="E509" s="17">
        <f>IF($D509="","",IFERROR(INDEX(nrCadetAgency,MATCH($D509,rngCadetPIDs,0)),""))</f>
        <v/>
      </c>
      <c r="F509" s="16" t="n"/>
      <c r="G509" s="17">
        <f>IF($F509="","",IFERROR(INDEX(rngEPname,MATCH($F509,rngEPcode,0)),"?"))</f>
        <v/>
      </c>
      <c r="H509" s="17">
        <f>IF($F509="","",IFERROR(INDEX(rngEPtype,MATCH($F509,rngEPcode,0)),"?"))</f>
        <v/>
      </c>
      <c r="I509" s="17">
        <f>IF($F509="","",IFERROR(INDEX(rngEPseq,MATCH($F509,rngEPcode,0)),""))</f>
        <v/>
      </c>
      <c r="J509" s="17">
        <f>IF($F509="","",IFERROR(INDEX(rngEPpass,MATCH($F509,rngEPcode,0)),cfgPassingScore))</f>
        <v/>
      </c>
      <c r="K509" s="16" t="n"/>
      <c r="L509" s="16" t="n"/>
      <c r="M509" s="17">
        <f>IF($C509="","",IF($L509="","",IF(NOT(ISNUMBER($L509)),$L509,IF(N($K509)&gt;2,"",IF($K509=1,IF(COUNTIFS(nrES_PID,$D509,nrES_Code,$F509,nrES_Att,2,nrES_Raw,"&gt;=0")&gt;0,"",$L509),IF($L509&gt;=$J509,MAX($J509,cfgRetakeRecordedCap),IF(COUNTIFS(nrES_PID,$D509,nrES_Code,$F509,nrES_Att,1)=0,$L509,SUMIFS(nrES_Raw,nrES_PID,$D509,nrES_Code,$F509,nrES_Att,1))))))))</f>
        <v/>
      </c>
      <c r="N509" s="17">
        <f>IF($C509="","",IF($L509="","",IF(NOT(ISNUMBER($L509)),"(not a score)",IF($L509&gt;=$J509,"Yes","No"))))</f>
        <v/>
      </c>
      <c r="O509" s="17">
        <f>IF($C509="","",IF($M509="","",IF(NOT(ISNUMBER($M509)),"(not a score)",IF($M509&gt;=$J509,"Yes","No"))))</f>
        <v/>
      </c>
      <c r="P509" s="17">
        <f>IF($C509="","",IF($K509="","",IF(N($K509)&gt;2,"No",IF(COUNTIFS(nrES_PID,$D509,nrES_Code,$F509,nrES_Att,"&gt;"&amp;$K509,nrES_Att,"&lt;=2",nrES_Raw,"&gt;=0")=0,"Yes","No"))))</f>
        <v/>
      </c>
      <c r="Q509" s="17">
        <f>IF($C509="","",IF($L509="","",IF(AND($K509=1,ISNUMBER($L509),$L509&lt;$J509,COUNTIFS(nrES_PID,$D509,nrES_Code,$F509,nrES_Att,2,nrES_Raw,"&gt;=0")=0),"Yes","No")))</f>
        <v/>
      </c>
      <c r="R509" s="17">
        <f>IF($C509="","",IF($L509="","",IF(AND(N($K509)&gt;=2,ISNUMBER($L509),$L509&lt;$J509),"Yes","No")))</f>
        <v/>
      </c>
      <c r="S509" s="18" t="n"/>
      <c r="T509" s="19">
        <f>IF(OR($C509="",$L509="",$K509&lt;&gt;1,NOT(ISNUMBER($L509)),$L509&gt;=$J509),"",IF($S509="","(enter date)",_xlfn.LET(_xlpm.dn,_xlfn.XLOOKUP($S509,nrCDdate,nrCDnum,"",1),IF(_xlpm.dn="","(after last class day)",_xlfn.LET(_xlpm.dd,_xlfn.XLOOKUP(_xlpm.dn+cfgRetestClassDays,nrCDnum,nrCDdate,""),_xlpm.ok,_xlfn.XLOOKUP(_xlpm.dn+cfgRetestClassDays,nrCDnum,nrCDinsession,"No"),IF(OR(_xlpm.dd="",_xlpm.ok&lt;&gt;"Yes"),"(after last class day)",_xlpm.dd))))))</f>
        <v/>
      </c>
      <c r="U509" s="17">
        <f>IF($C509="","",IF(AND($Y509="Excused",$L509="",N($K509)&lt;=1),"EXCUSED - 1st attempt pending",IF(OR($L509="",$K509&lt;&gt;1,NOT(ISNUMBER($L509)),$L509&gt;=$J509),"",IF(COUNTIFS(nrES_PID,$D509,nrES_Code,$F509,nrES_Att,2,nrES_Raw,"&gt;=0")&gt;0,IF(IFERROR(_xlfn.MINIFS(nrES_Date,nrES_PID,$D509,nrES_Code,$F509,nrES_Att,2,nrES_Raw,"&gt;=0",nrES_Date,"&gt;0"),0)=0,"RETEST UNDATED",IF(NOT(ISNUMBER($T509)),"RETEST DATE UNCHECKED",IF(_xlfn.MINIFS(nrES_Date,nrES_PID,$D509,nrES_Code,$F509,nrES_Att,2,nrES_Raw,"&gt;=0",nrES_Date,"&gt;0")&gt;$T509,"LATE RETEST "&amp;TEXT(_xlfn.MINIFS(nrES_Date,nrES_PID,$D509,nrES_Code,$F509,nrES_Att,2,nrES_Raw,"&gt;=0",nrES_Date,"&gt;0"),"mm/dd")&amp;" (due "&amp;TEXT($T509,"mm/dd")&amp;")","Retested"))),IF(NOT(ISNUMBER($T509)),"CHECK DATE",IF(TODAY()&gt;$T509,"OVERDUE","Due "&amp;TEXT($T509,"mm/dd")))))))</f>
        <v/>
      </c>
      <c r="V509" s="16" t="n"/>
      <c r="W509" s="16" t="n"/>
      <c r="X509" s="17">
        <f>IF($C509="","",IF(AND($L509&lt;&gt;"",NOT(ISNUMBER($L509))),"RAW SCORE NOT A NUMBER",IF(AND(ISNUMBER($L509),OR($L509&lt;0,$L509&gt;100)),"RAW SCORE OUT OF RANGE",IF(AND($Y509="Unexcused",OR($L509="",NOT(ISNUMBER($L509)),$L509&lt;&gt;0)),"UNEXCUSED ABSENCE MUST RECORD 0",IF(COUNTIF(nrES_RecID,$B509)&gt;1,"DUPLICATE RECORD",IF(N($K509)&gt;2,"ATTEMPT 3+ NOT ALLOWED - policy 300.5 permits one retest per exam; this row records nothing",IF(AND($K509=2,COUNTIFS(nrES_PID,$D509,nrES_Code,$F509,nrES_Att,1)=0),"ATTEMPT 2 WITHOUT ATTEMPT 1",IF(AND($K509=2,$L509=""),"RETEST ROW HAS NO SCORE",IF(AND($H509="Final",$L509&lt;&gt;"",IFERROR(INDEX(nrCKfinalExamElig,MATCH($D509,rngCadetPIDs,0)),"")="No"),"FINAL EXAM AFTER FAILED FINAL PT (500.1.H)",IF(AND($K509=2,ISNUMBER($L509),COUNTIFS(nrES_PID,$D509,nrES_Code,$F509,nrES_Att,1)&gt;0,SUMIFS(nrES_Raw,nrES_PID,$D509,nrES_Code,$F509,nrES_Att,1)&gt;=$J509),"RETEST AFTER A PASSING FIRST ATTEMPT","OK"))))))))))</f>
        <v/>
      </c>
      <c r="Y509" s="16" t="n"/>
    </row>
    <row r="510">
      <c r="B510" s="17">
        <f>IF($C510="","",$D510&amp;"-"&amp;$F510&amp;"-"&amp;$K510)</f>
        <v/>
      </c>
      <c r="C510" s="16" t="n"/>
      <c r="D510" s="17">
        <f>IF($C510="","",IFERROR(INDEX(rngCadetPIDs,MATCH($C510,rngCadetNames,0)),"?"))</f>
        <v/>
      </c>
      <c r="E510" s="17">
        <f>IF($D510="","",IFERROR(INDEX(nrCadetAgency,MATCH($D510,rngCadetPIDs,0)),""))</f>
        <v/>
      </c>
      <c r="F510" s="16" t="n"/>
      <c r="G510" s="17">
        <f>IF($F510="","",IFERROR(INDEX(rngEPname,MATCH($F510,rngEPcode,0)),"?"))</f>
        <v/>
      </c>
      <c r="H510" s="17">
        <f>IF($F510="","",IFERROR(INDEX(rngEPtype,MATCH($F510,rngEPcode,0)),"?"))</f>
        <v/>
      </c>
      <c r="I510" s="17">
        <f>IF($F510="","",IFERROR(INDEX(rngEPseq,MATCH($F510,rngEPcode,0)),""))</f>
        <v/>
      </c>
      <c r="J510" s="17">
        <f>IF($F510="","",IFERROR(INDEX(rngEPpass,MATCH($F510,rngEPcode,0)),cfgPassingScore))</f>
        <v/>
      </c>
      <c r="K510" s="16" t="n"/>
      <c r="L510" s="16" t="n"/>
      <c r="M510" s="17">
        <f>IF($C510="","",IF($L510="","",IF(NOT(ISNUMBER($L510)),$L510,IF(N($K510)&gt;2,"",IF($K510=1,IF(COUNTIFS(nrES_PID,$D510,nrES_Code,$F510,nrES_Att,2,nrES_Raw,"&gt;=0")&gt;0,"",$L510),IF($L510&gt;=$J510,MAX($J510,cfgRetakeRecordedCap),IF(COUNTIFS(nrES_PID,$D510,nrES_Code,$F510,nrES_Att,1)=0,$L510,SUMIFS(nrES_Raw,nrES_PID,$D510,nrES_Code,$F510,nrES_Att,1))))))))</f>
        <v/>
      </c>
      <c r="N510" s="17">
        <f>IF($C510="","",IF($L510="","",IF(NOT(ISNUMBER($L510)),"(not a score)",IF($L510&gt;=$J510,"Yes","No"))))</f>
        <v/>
      </c>
      <c r="O510" s="17">
        <f>IF($C510="","",IF($M510="","",IF(NOT(ISNUMBER($M510)),"(not a score)",IF($M510&gt;=$J510,"Yes","No"))))</f>
        <v/>
      </c>
      <c r="P510" s="17">
        <f>IF($C510="","",IF($K510="","",IF(N($K510)&gt;2,"No",IF(COUNTIFS(nrES_PID,$D510,nrES_Code,$F510,nrES_Att,"&gt;"&amp;$K510,nrES_Att,"&lt;=2",nrES_Raw,"&gt;=0")=0,"Yes","No"))))</f>
        <v/>
      </c>
      <c r="Q510" s="17">
        <f>IF($C510="","",IF($L510="","",IF(AND($K510=1,ISNUMBER($L510),$L510&lt;$J510,COUNTIFS(nrES_PID,$D510,nrES_Code,$F510,nrES_Att,2,nrES_Raw,"&gt;=0")=0),"Yes","No")))</f>
        <v/>
      </c>
      <c r="R510" s="17">
        <f>IF($C510="","",IF($L510="","",IF(AND(N($K510)&gt;=2,ISNUMBER($L510),$L510&lt;$J510),"Yes","No")))</f>
        <v/>
      </c>
      <c r="S510" s="18" t="n"/>
      <c r="T510" s="19">
        <f>IF(OR($C510="",$L510="",$K510&lt;&gt;1,NOT(ISNUMBER($L510)),$L510&gt;=$J510),"",IF($S510="","(enter date)",_xlfn.LET(_xlpm.dn,_xlfn.XLOOKUP($S510,nrCDdate,nrCDnum,"",1),IF(_xlpm.dn="","(after last class day)",_xlfn.LET(_xlpm.dd,_xlfn.XLOOKUP(_xlpm.dn+cfgRetestClassDays,nrCDnum,nrCDdate,""),_xlpm.ok,_xlfn.XLOOKUP(_xlpm.dn+cfgRetestClassDays,nrCDnum,nrCDinsession,"No"),IF(OR(_xlpm.dd="",_xlpm.ok&lt;&gt;"Yes"),"(after last class day)",_xlpm.dd))))))</f>
        <v/>
      </c>
      <c r="U510" s="17">
        <f>IF($C510="","",IF(AND($Y510="Excused",$L510="",N($K510)&lt;=1),"EXCUSED - 1st attempt pending",IF(OR($L510="",$K510&lt;&gt;1,NOT(ISNUMBER($L510)),$L510&gt;=$J510),"",IF(COUNTIFS(nrES_PID,$D510,nrES_Code,$F510,nrES_Att,2,nrES_Raw,"&gt;=0")&gt;0,IF(IFERROR(_xlfn.MINIFS(nrES_Date,nrES_PID,$D510,nrES_Code,$F510,nrES_Att,2,nrES_Raw,"&gt;=0",nrES_Date,"&gt;0"),0)=0,"RETEST UNDATED",IF(NOT(ISNUMBER($T510)),"RETEST DATE UNCHECKED",IF(_xlfn.MINIFS(nrES_Date,nrES_PID,$D510,nrES_Code,$F510,nrES_Att,2,nrES_Raw,"&gt;=0",nrES_Date,"&gt;0")&gt;$T510,"LATE RETEST "&amp;TEXT(_xlfn.MINIFS(nrES_Date,nrES_PID,$D510,nrES_Code,$F510,nrES_Att,2,nrES_Raw,"&gt;=0",nrES_Date,"&gt;0"),"mm/dd")&amp;" (due "&amp;TEXT($T510,"mm/dd")&amp;")","Retested"))),IF(NOT(ISNUMBER($T510)),"CHECK DATE",IF(TODAY()&gt;$T510,"OVERDUE","Due "&amp;TEXT($T510,"mm/dd")))))))</f>
        <v/>
      </c>
      <c r="V510" s="16" t="n"/>
      <c r="W510" s="16" t="n"/>
      <c r="X510" s="17">
        <f>IF($C510="","",IF(AND($L510&lt;&gt;"",NOT(ISNUMBER($L510))),"RAW SCORE NOT A NUMBER",IF(AND(ISNUMBER($L510),OR($L510&lt;0,$L510&gt;100)),"RAW SCORE OUT OF RANGE",IF(AND($Y510="Unexcused",OR($L510="",NOT(ISNUMBER($L510)),$L510&lt;&gt;0)),"UNEXCUSED ABSENCE MUST RECORD 0",IF(COUNTIF(nrES_RecID,$B510)&gt;1,"DUPLICATE RECORD",IF(N($K510)&gt;2,"ATTEMPT 3+ NOT ALLOWED - policy 300.5 permits one retest per exam; this row records nothing",IF(AND($K510=2,COUNTIFS(nrES_PID,$D510,nrES_Code,$F510,nrES_Att,1)=0),"ATTEMPT 2 WITHOUT ATTEMPT 1",IF(AND($K510=2,$L510=""),"RETEST ROW HAS NO SCORE",IF(AND($H510="Final",$L510&lt;&gt;"",IFERROR(INDEX(nrCKfinalExamElig,MATCH($D510,rngCadetPIDs,0)),"")="No"),"FINAL EXAM AFTER FAILED FINAL PT (500.1.H)",IF(AND($K510=2,ISNUMBER($L510),COUNTIFS(nrES_PID,$D510,nrES_Code,$F510,nrES_Att,1)&gt;0,SUMIFS(nrES_Raw,nrES_PID,$D510,nrES_Code,$F510,nrES_Att,1)&gt;=$J510),"RETEST AFTER A PASSING FIRST ATTEMPT","OK"))))))))))</f>
        <v/>
      </c>
      <c r="Y510" s="16" t="n"/>
    </row>
    <row r="511">
      <c r="B511" s="17">
        <f>IF($C511="","",$D511&amp;"-"&amp;$F511&amp;"-"&amp;$K511)</f>
        <v/>
      </c>
      <c r="C511" s="16" t="n"/>
      <c r="D511" s="17">
        <f>IF($C511="","",IFERROR(INDEX(rngCadetPIDs,MATCH($C511,rngCadetNames,0)),"?"))</f>
        <v/>
      </c>
      <c r="E511" s="17">
        <f>IF($D511="","",IFERROR(INDEX(nrCadetAgency,MATCH($D511,rngCadetPIDs,0)),""))</f>
        <v/>
      </c>
      <c r="F511" s="16" t="n"/>
      <c r="G511" s="17">
        <f>IF($F511="","",IFERROR(INDEX(rngEPname,MATCH($F511,rngEPcode,0)),"?"))</f>
        <v/>
      </c>
      <c r="H511" s="17">
        <f>IF($F511="","",IFERROR(INDEX(rngEPtype,MATCH($F511,rngEPcode,0)),"?"))</f>
        <v/>
      </c>
      <c r="I511" s="17">
        <f>IF($F511="","",IFERROR(INDEX(rngEPseq,MATCH($F511,rngEPcode,0)),""))</f>
        <v/>
      </c>
      <c r="J511" s="17">
        <f>IF($F511="","",IFERROR(INDEX(rngEPpass,MATCH($F511,rngEPcode,0)),cfgPassingScore))</f>
        <v/>
      </c>
      <c r="K511" s="16" t="n"/>
      <c r="L511" s="16" t="n"/>
      <c r="M511" s="17">
        <f>IF($C511="","",IF($L511="","",IF(NOT(ISNUMBER($L511)),$L511,IF(N($K511)&gt;2,"",IF($K511=1,IF(COUNTIFS(nrES_PID,$D511,nrES_Code,$F511,nrES_Att,2,nrES_Raw,"&gt;=0")&gt;0,"",$L511),IF($L511&gt;=$J511,MAX($J511,cfgRetakeRecordedCap),IF(COUNTIFS(nrES_PID,$D511,nrES_Code,$F511,nrES_Att,1)=0,$L511,SUMIFS(nrES_Raw,nrES_PID,$D511,nrES_Code,$F511,nrES_Att,1))))))))</f>
        <v/>
      </c>
      <c r="N511" s="17">
        <f>IF($C511="","",IF($L511="","",IF(NOT(ISNUMBER($L511)),"(not a score)",IF($L511&gt;=$J511,"Yes","No"))))</f>
        <v/>
      </c>
      <c r="O511" s="17">
        <f>IF($C511="","",IF($M511="","",IF(NOT(ISNUMBER($M511)),"(not a score)",IF($M511&gt;=$J511,"Yes","No"))))</f>
        <v/>
      </c>
      <c r="P511" s="17">
        <f>IF($C511="","",IF($K511="","",IF(N($K511)&gt;2,"No",IF(COUNTIFS(nrES_PID,$D511,nrES_Code,$F511,nrES_Att,"&gt;"&amp;$K511,nrES_Att,"&lt;=2",nrES_Raw,"&gt;=0")=0,"Yes","No"))))</f>
        <v/>
      </c>
      <c r="Q511" s="17">
        <f>IF($C511="","",IF($L511="","",IF(AND($K511=1,ISNUMBER($L511),$L511&lt;$J511,COUNTIFS(nrES_PID,$D511,nrES_Code,$F511,nrES_Att,2,nrES_Raw,"&gt;=0")=0),"Yes","No")))</f>
        <v/>
      </c>
      <c r="R511" s="17">
        <f>IF($C511="","",IF($L511="","",IF(AND(N($K511)&gt;=2,ISNUMBER($L511),$L511&lt;$J511),"Yes","No")))</f>
        <v/>
      </c>
      <c r="S511" s="18" t="n"/>
      <c r="T511" s="19">
        <f>IF(OR($C511="",$L511="",$K511&lt;&gt;1,NOT(ISNUMBER($L511)),$L511&gt;=$J511),"",IF($S511="","(enter date)",_xlfn.LET(_xlpm.dn,_xlfn.XLOOKUP($S511,nrCDdate,nrCDnum,"",1),IF(_xlpm.dn="","(after last class day)",_xlfn.LET(_xlpm.dd,_xlfn.XLOOKUP(_xlpm.dn+cfgRetestClassDays,nrCDnum,nrCDdate,""),_xlpm.ok,_xlfn.XLOOKUP(_xlpm.dn+cfgRetestClassDays,nrCDnum,nrCDinsession,"No"),IF(OR(_xlpm.dd="",_xlpm.ok&lt;&gt;"Yes"),"(after last class day)",_xlpm.dd))))))</f>
        <v/>
      </c>
      <c r="U511" s="17">
        <f>IF($C511="","",IF(AND($Y511="Excused",$L511="",N($K511)&lt;=1),"EXCUSED - 1st attempt pending",IF(OR($L511="",$K511&lt;&gt;1,NOT(ISNUMBER($L511)),$L511&gt;=$J511),"",IF(COUNTIFS(nrES_PID,$D511,nrES_Code,$F511,nrES_Att,2,nrES_Raw,"&gt;=0")&gt;0,IF(IFERROR(_xlfn.MINIFS(nrES_Date,nrES_PID,$D511,nrES_Code,$F511,nrES_Att,2,nrES_Raw,"&gt;=0",nrES_Date,"&gt;0"),0)=0,"RETEST UNDATED",IF(NOT(ISNUMBER($T511)),"RETEST DATE UNCHECKED",IF(_xlfn.MINIFS(nrES_Date,nrES_PID,$D511,nrES_Code,$F511,nrES_Att,2,nrES_Raw,"&gt;=0",nrES_Date,"&gt;0")&gt;$T511,"LATE RETEST "&amp;TEXT(_xlfn.MINIFS(nrES_Date,nrES_PID,$D511,nrES_Code,$F511,nrES_Att,2,nrES_Raw,"&gt;=0",nrES_Date,"&gt;0"),"mm/dd")&amp;" (due "&amp;TEXT($T511,"mm/dd")&amp;")","Retested"))),IF(NOT(ISNUMBER($T511)),"CHECK DATE",IF(TODAY()&gt;$T511,"OVERDUE","Due "&amp;TEXT($T511,"mm/dd")))))))</f>
        <v/>
      </c>
      <c r="V511" s="16" t="n"/>
      <c r="W511" s="16" t="n"/>
      <c r="X511" s="17">
        <f>IF($C511="","",IF(AND($L511&lt;&gt;"",NOT(ISNUMBER($L511))),"RAW SCORE NOT A NUMBER",IF(AND(ISNUMBER($L511),OR($L511&lt;0,$L511&gt;100)),"RAW SCORE OUT OF RANGE",IF(AND($Y511="Unexcused",OR($L511="",NOT(ISNUMBER($L511)),$L511&lt;&gt;0)),"UNEXCUSED ABSENCE MUST RECORD 0",IF(COUNTIF(nrES_RecID,$B511)&gt;1,"DUPLICATE RECORD",IF(N($K511)&gt;2,"ATTEMPT 3+ NOT ALLOWED - policy 300.5 permits one retest per exam; this row records nothing",IF(AND($K511=2,COUNTIFS(nrES_PID,$D511,nrES_Code,$F511,nrES_Att,1)=0),"ATTEMPT 2 WITHOUT ATTEMPT 1",IF(AND($K511=2,$L511=""),"RETEST ROW HAS NO SCORE",IF(AND($H511="Final",$L511&lt;&gt;"",IFERROR(INDEX(nrCKfinalExamElig,MATCH($D511,rngCadetPIDs,0)),"")="No"),"FINAL EXAM AFTER FAILED FINAL PT (500.1.H)",IF(AND($K511=2,ISNUMBER($L511),COUNTIFS(nrES_PID,$D511,nrES_Code,$F511,nrES_Att,1)&gt;0,SUMIFS(nrES_Raw,nrES_PID,$D511,nrES_Code,$F511,nrES_Att,1)&gt;=$J511),"RETEST AFTER A PASSING FIRST ATTEMPT","OK"))))))))))</f>
        <v/>
      </c>
      <c r="Y511" s="16" t="n"/>
    </row>
    <row r="512">
      <c r="B512" s="17">
        <f>IF($C512="","",$D512&amp;"-"&amp;$F512&amp;"-"&amp;$K512)</f>
        <v/>
      </c>
      <c r="C512" s="16" t="n"/>
      <c r="D512" s="17">
        <f>IF($C512="","",IFERROR(INDEX(rngCadetPIDs,MATCH($C512,rngCadetNames,0)),"?"))</f>
        <v/>
      </c>
      <c r="E512" s="17">
        <f>IF($D512="","",IFERROR(INDEX(nrCadetAgency,MATCH($D512,rngCadetPIDs,0)),""))</f>
        <v/>
      </c>
      <c r="F512" s="16" t="n"/>
      <c r="G512" s="17">
        <f>IF($F512="","",IFERROR(INDEX(rngEPname,MATCH($F512,rngEPcode,0)),"?"))</f>
        <v/>
      </c>
      <c r="H512" s="17">
        <f>IF($F512="","",IFERROR(INDEX(rngEPtype,MATCH($F512,rngEPcode,0)),"?"))</f>
        <v/>
      </c>
      <c r="I512" s="17">
        <f>IF($F512="","",IFERROR(INDEX(rngEPseq,MATCH($F512,rngEPcode,0)),""))</f>
        <v/>
      </c>
      <c r="J512" s="17">
        <f>IF($F512="","",IFERROR(INDEX(rngEPpass,MATCH($F512,rngEPcode,0)),cfgPassingScore))</f>
        <v/>
      </c>
      <c r="K512" s="16" t="n"/>
      <c r="L512" s="16" t="n"/>
      <c r="M512" s="17">
        <f>IF($C512="","",IF($L512="","",IF(NOT(ISNUMBER($L512)),$L512,IF(N($K512)&gt;2,"",IF($K512=1,IF(COUNTIFS(nrES_PID,$D512,nrES_Code,$F512,nrES_Att,2,nrES_Raw,"&gt;=0")&gt;0,"",$L512),IF($L512&gt;=$J512,MAX($J512,cfgRetakeRecordedCap),IF(COUNTIFS(nrES_PID,$D512,nrES_Code,$F512,nrES_Att,1)=0,$L512,SUMIFS(nrES_Raw,nrES_PID,$D512,nrES_Code,$F512,nrES_Att,1))))))))</f>
        <v/>
      </c>
      <c r="N512" s="17">
        <f>IF($C512="","",IF($L512="","",IF(NOT(ISNUMBER($L512)),"(not a score)",IF($L512&gt;=$J512,"Yes","No"))))</f>
        <v/>
      </c>
      <c r="O512" s="17">
        <f>IF($C512="","",IF($M512="","",IF(NOT(ISNUMBER($M512)),"(not a score)",IF($M512&gt;=$J512,"Yes","No"))))</f>
        <v/>
      </c>
      <c r="P512" s="17">
        <f>IF($C512="","",IF($K512="","",IF(N($K512)&gt;2,"No",IF(COUNTIFS(nrES_PID,$D512,nrES_Code,$F512,nrES_Att,"&gt;"&amp;$K512,nrES_Att,"&lt;=2",nrES_Raw,"&gt;=0")=0,"Yes","No"))))</f>
        <v/>
      </c>
      <c r="Q512" s="17">
        <f>IF($C512="","",IF($L512="","",IF(AND($K512=1,ISNUMBER($L512),$L512&lt;$J512,COUNTIFS(nrES_PID,$D512,nrES_Code,$F512,nrES_Att,2,nrES_Raw,"&gt;=0")=0),"Yes","No")))</f>
        <v/>
      </c>
      <c r="R512" s="17">
        <f>IF($C512="","",IF($L512="","",IF(AND(N($K512)&gt;=2,ISNUMBER($L512),$L512&lt;$J512),"Yes","No")))</f>
        <v/>
      </c>
      <c r="S512" s="18" t="n"/>
      <c r="T512" s="19">
        <f>IF(OR($C512="",$L512="",$K512&lt;&gt;1,NOT(ISNUMBER($L512)),$L512&gt;=$J512),"",IF($S512="","(enter date)",_xlfn.LET(_xlpm.dn,_xlfn.XLOOKUP($S512,nrCDdate,nrCDnum,"",1),IF(_xlpm.dn="","(after last class day)",_xlfn.LET(_xlpm.dd,_xlfn.XLOOKUP(_xlpm.dn+cfgRetestClassDays,nrCDnum,nrCDdate,""),_xlpm.ok,_xlfn.XLOOKUP(_xlpm.dn+cfgRetestClassDays,nrCDnum,nrCDinsession,"No"),IF(OR(_xlpm.dd="",_xlpm.ok&lt;&gt;"Yes"),"(after last class day)",_xlpm.dd))))))</f>
        <v/>
      </c>
      <c r="U512" s="17">
        <f>IF($C512="","",IF(AND($Y512="Excused",$L512="",N($K512)&lt;=1),"EXCUSED - 1st attempt pending",IF(OR($L512="",$K512&lt;&gt;1,NOT(ISNUMBER($L512)),$L512&gt;=$J512),"",IF(COUNTIFS(nrES_PID,$D512,nrES_Code,$F512,nrES_Att,2,nrES_Raw,"&gt;=0")&gt;0,IF(IFERROR(_xlfn.MINIFS(nrES_Date,nrES_PID,$D512,nrES_Code,$F512,nrES_Att,2,nrES_Raw,"&gt;=0",nrES_Date,"&gt;0"),0)=0,"RETEST UNDATED",IF(NOT(ISNUMBER($T512)),"RETEST DATE UNCHECKED",IF(_xlfn.MINIFS(nrES_Date,nrES_PID,$D512,nrES_Code,$F512,nrES_Att,2,nrES_Raw,"&gt;=0",nrES_Date,"&gt;0")&gt;$T512,"LATE RETEST "&amp;TEXT(_xlfn.MINIFS(nrES_Date,nrES_PID,$D512,nrES_Code,$F512,nrES_Att,2,nrES_Raw,"&gt;=0",nrES_Date,"&gt;0"),"mm/dd")&amp;" (due "&amp;TEXT($T512,"mm/dd")&amp;")","Retested"))),IF(NOT(ISNUMBER($T512)),"CHECK DATE",IF(TODAY()&gt;$T512,"OVERDUE","Due "&amp;TEXT($T512,"mm/dd")))))))</f>
        <v/>
      </c>
      <c r="V512" s="16" t="n"/>
      <c r="W512" s="16" t="n"/>
      <c r="X512" s="17">
        <f>IF($C512="","",IF(AND($L512&lt;&gt;"",NOT(ISNUMBER($L512))),"RAW SCORE NOT A NUMBER",IF(AND(ISNUMBER($L512),OR($L512&lt;0,$L512&gt;100)),"RAW SCORE OUT OF RANGE",IF(AND($Y512="Unexcused",OR($L512="",NOT(ISNUMBER($L512)),$L512&lt;&gt;0)),"UNEXCUSED ABSENCE MUST RECORD 0",IF(COUNTIF(nrES_RecID,$B512)&gt;1,"DUPLICATE RECORD",IF(N($K512)&gt;2,"ATTEMPT 3+ NOT ALLOWED - policy 300.5 permits one retest per exam; this row records nothing",IF(AND($K512=2,COUNTIFS(nrES_PID,$D512,nrES_Code,$F512,nrES_Att,1)=0),"ATTEMPT 2 WITHOUT ATTEMPT 1",IF(AND($K512=2,$L512=""),"RETEST ROW HAS NO SCORE",IF(AND($H512="Final",$L512&lt;&gt;"",IFERROR(INDEX(nrCKfinalExamElig,MATCH($D512,rngCadetPIDs,0)),"")="No"),"FINAL EXAM AFTER FAILED FINAL PT (500.1.H)",IF(AND($K512=2,ISNUMBER($L512),COUNTIFS(nrES_PID,$D512,nrES_Code,$F512,nrES_Att,1)&gt;0,SUMIFS(nrES_Raw,nrES_PID,$D512,nrES_Code,$F512,nrES_Att,1)&gt;=$J512),"RETEST AFTER A PASSING FIRST ATTEMPT","OK"))))))))))</f>
        <v/>
      </c>
      <c r="Y512" s="16" t="n"/>
    </row>
    <row r="513">
      <c r="B513" s="17">
        <f>IF($C513="","",$D513&amp;"-"&amp;$F513&amp;"-"&amp;$K513)</f>
        <v/>
      </c>
      <c r="C513" s="16" t="n"/>
      <c r="D513" s="17">
        <f>IF($C513="","",IFERROR(INDEX(rngCadetPIDs,MATCH($C513,rngCadetNames,0)),"?"))</f>
        <v/>
      </c>
      <c r="E513" s="17">
        <f>IF($D513="","",IFERROR(INDEX(nrCadetAgency,MATCH($D513,rngCadetPIDs,0)),""))</f>
        <v/>
      </c>
      <c r="F513" s="16" t="n"/>
      <c r="G513" s="17">
        <f>IF($F513="","",IFERROR(INDEX(rngEPname,MATCH($F513,rngEPcode,0)),"?"))</f>
        <v/>
      </c>
      <c r="H513" s="17">
        <f>IF($F513="","",IFERROR(INDEX(rngEPtype,MATCH($F513,rngEPcode,0)),"?"))</f>
        <v/>
      </c>
      <c r="I513" s="17">
        <f>IF($F513="","",IFERROR(INDEX(rngEPseq,MATCH($F513,rngEPcode,0)),""))</f>
        <v/>
      </c>
      <c r="J513" s="17">
        <f>IF($F513="","",IFERROR(INDEX(rngEPpass,MATCH($F513,rngEPcode,0)),cfgPassingScore))</f>
        <v/>
      </c>
      <c r="K513" s="16" t="n"/>
      <c r="L513" s="16" t="n"/>
      <c r="M513" s="17">
        <f>IF($C513="","",IF($L513="","",IF(NOT(ISNUMBER($L513)),$L513,IF(N($K513)&gt;2,"",IF($K513=1,IF(COUNTIFS(nrES_PID,$D513,nrES_Code,$F513,nrES_Att,2,nrES_Raw,"&gt;=0")&gt;0,"",$L513),IF($L513&gt;=$J513,MAX($J513,cfgRetakeRecordedCap),IF(COUNTIFS(nrES_PID,$D513,nrES_Code,$F513,nrES_Att,1)=0,$L513,SUMIFS(nrES_Raw,nrES_PID,$D513,nrES_Code,$F513,nrES_Att,1))))))))</f>
        <v/>
      </c>
      <c r="N513" s="17">
        <f>IF($C513="","",IF($L513="","",IF(NOT(ISNUMBER($L513)),"(not a score)",IF($L513&gt;=$J513,"Yes","No"))))</f>
        <v/>
      </c>
      <c r="O513" s="17">
        <f>IF($C513="","",IF($M513="","",IF(NOT(ISNUMBER($M513)),"(not a score)",IF($M513&gt;=$J513,"Yes","No"))))</f>
        <v/>
      </c>
      <c r="P513" s="17">
        <f>IF($C513="","",IF($K513="","",IF(N($K513)&gt;2,"No",IF(COUNTIFS(nrES_PID,$D513,nrES_Code,$F513,nrES_Att,"&gt;"&amp;$K513,nrES_Att,"&lt;=2",nrES_Raw,"&gt;=0")=0,"Yes","No"))))</f>
        <v/>
      </c>
      <c r="Q513" s="17">
        <f>IF($C513="","",IF($L513="","",IF(AND($K513=1,ISNUMBER($L513),$L513&lt;$J513,COUNTIFS(nrES_PID,$D513,nrES_Code,$F513,nrES_Att,2,nrES_Raw,"&gt;=0")=0),"Yes","No")))</f>
        <v/>
      </c>
      <c r="R513" s="17">
        <f>IF($C513="","",IF($L513="","",IF(AND(N($K513)&gt;=2,ISNUMBER($L513),$L513&lt;$J513),"Yes","No")))</f>
        <v/>
      </c>
      <c r="S513" s="18" t="n"/>
      <c r="T513" s="19">
        <f>IF(OR($C513="",$L513="",$K513&lt;&gt;1,NOT(ISNUMBER($L513)),$L513&gt;=$J513),"",IF($S513="","(enter date)",_xlfn.LET(_xlpm.dn,_xlfn.XLOOKUP($S513,nrCDdate,nrCDnum,"",1),IF(_xlpm.dn="","(after last class day)",_xlfn.LET(_xlpm.dd,_xlfn.XLOOKUP(_xlpm.dn+cfgRetestClassDays,nrCDnum,nrCDdate,""),_xlpm.ok,_xlfn.XLOOKUP(_xlpm.dn+cfgRetestClassDays,nrCDnum,nrCDinsession,"No"),IF(OR(_xlpm.dd="",_xlpm.ok&lt;&gt;"Yes"),"(after last class day)",_xlpm.dd))))))</f>
        <v/>
      </c>
      <c r="U513" s="17">
        <f>IF($C513="","",IF(AND($Y513="Excused",$L513="",N($K513)&lt;=1),"EXCUSED - 1st attempt pending",IF(OR($L513="",$K513&lt;&gt;1,NOT(ISNUMBER($L513)),$L513&gt;=$J513),"",IF(COUNTIFS(nrES_PID,$D513,nrES_Code,$F513,nrES_Att,2,nrES_Raw,"&gt;=0")&gt;0,IF(IFERROR(_xlfn.MINIFS(nrES_Date,nrES_PID,$D513,nrES_Code,$F513,nrES_Att,2,nrES_Raw,"&gt;=0",nrES_Date,"&gt;0"),0)=0,"RETEST UNDATED",IF(NOT(ISNUMBER($T513)),"RETEST DATE UNCHECKED",IF(_xlfn.MINIFS(nrES_Date,nrES_PID,$D513,nrES_Code,$F513,nrES_Att,2,nrES_Raw,"&gt;=0",nrES_Date,"&gt;0")&gt;$T513,"LATE RETEST "&amp;TEXT(_xlfn.MINIFS(nrES_Date,nrES_PID,$D513,nrES_Code,$F513,nrES_Att,2,nrES_Raw,"&gt;=0",nrES_Date,"&gt;0"),"mm/dd")&amp;" (due "&amp;TEXT($T513,"mm/dd")&amp;")","Retested"))),IF(NOT(ISNUMBER($T513)),"CHECK DATE",IF(TODAY()&gt;$T513,"OVERDUE","Due "&amp;TEXT($T513,"mm/dd")))))))</f>
        <v/>
      </c>
      <c r="V513" s="16" t="n"/>
      <c r="W513" s="16" t="n"/>
      <c r="X513" s="17">
        <f>IF($C513="","",IF(AND($L513&lt;&gt;"",NOT(ISNUMBER($L513))),"RAW SCORE NOT A NUMBER",IF(AND(ISNUMBER($L513),OR($L513&lt;0,$L513&gt;100)),"RAW SCORE OUT OF RANGE",IF(AND($Y513="Unexcused",OR($L513="",NOT(ISNUMBER($L513)),$L513&lt;&gt;0)),"UNEXCUSED ABSENCE MUST RECORD 0",IF(COUNTIF(nrES_RecID,$B513)&gt;1,"DUPLICATE RECORD",IF(N($K513)&gt;2,"ATTEMPT 3+ NOT ALLOWED - policy 300.5 permits one retest per exam; this row records nothing",IF(AND($K513=2,COUNTIFS(nrES_PID,$D513,nrES_Code,$F513,nrES_Att,1)=0),"ATTEMPT 2 WITHOUT ATTEMPT 1",IF(AND($K513=2,$L513=""),"RETEST ROW HAS NO SCORE",IF(AND($H513="Final",$L513&lt;&gt;"",IFERROR(INDEX(nrCKfinalExamElig,MATCH($D513,rngCadetPIDs,0)),"")="No"),"FINAL EXAM AFTER FAILED FINAL PT (500.1.H)",IF(AND($K513=2,ISNUMBER($L513),COUNTIFS(nrES_PID,$D513,nrES_Code,$F513,nrES_Att,1)&gt;0,SUMIFS(nrES_Raw,nrES_PID,$D513,nrES_Code,$F513,nrES_Att,1)&gt;=$J513),"RETEST AFTER A PASSING FIRST ATTEMPT","OK"))))))))))</f>
        <v/>
      </c>
      <c r="Y513" s="16" t="n"/>
    </row>
    <row r="514">
      <c r="B514" s="17">
        <f>IF($C514="","",$D514&amp;"-"&amp;$F514&amp;"-"&amp;$K514)</f>
        <v/>
      </c>
      <c r="C514" s="16" t="n"/>
      <c r="D514" s="17">
        <f>IF($C514="","",IFERROR(INDEX(rngCadetPIDs,MATCH($C514,rngCadetNames,0)),"?"))</f>
        <v/>
      </c>
      <c r="E514" s="17">
        <f>IF($D514="","",IFERROR(INDEX(nrCadetAgency,MATCH($D514,rngCadetPIDs,0)),""))</f>
        <v/>
      </c>
      <c r="F514" s="16" t="n"/>
      <c r="G514" s="17">
        <f>IF($F514="","",IFERROR(INDEX(rngEPname,MATCH($F514,rngEPcode,0)),"?"))</f>
        <v/>
      </c>
      <c r="H514" s="17">
        <f>IF($F514="","",IFERROR(INDEX(rngEPtype,MATCH($F514,rngEPcode,0)),"?"))</f>
        <v/>
      </c>
      <c r="I514" s="17">
        <f>IF($F514="","",IFERROR(INDEX(rngEPseq,MATCH($F514,rngEPcode,0)),""))</f>
        <v/>
      </c>
      <c r="J514" s="17">
        <f>IF($F514="","",IFERROR(INDEX(rngEPpass,MATCH($F514,rngEPcode,0)),cfgPassingScore))</f>
        <v/>
      </c>
      <c r="K514" s="16" t="n"/>
      <c r="L514" s="16" t="n"/>
      <c r="M514" s="17">
        <f>IF($C514="","",IF($L514="","",IF(NOT(ISNUMBER($L514)),$L514,IF(N($K514)&gt;2,"",IF($K514=1,IF(COUNTIFS(nrES_PID,$D514,nrES_Code,$F514,nrES_Att,2,nrES_Raw,"&gt;=0")&gt;0,"",$L514),IF($L514&gt;=$J514,MAX($J514,cfgRetakeRecordedCap),IF(COUNTIFS(nrES_PID,$D514,nrES_Code,$F514,nrES_Att,1)=0,$L514,SUMIFS(nrES_Raw,nrES_PID,$D514,nrES_Code,$F514,nrES_Att,1))))))))</f>
        <v/>
      </c>
      <c r="N514" s="17">
        <f>IF($C514="","",IF($L514="","",IF(NOT(ISNUMBER($L514)),"(not a score)",IF($L514&gt;=$J514,"Yes","No"))))</f>
        <v/>
      </c>
      <c r="O514" s="17">
        <f>IF($C514="","",IF($M514="","",IF(NOT(ISNUMBER($M514)),"(not a score)",IF($M514&gt;=$J514,"Yes","No"))))</f>
        <v/>
      </c>
      <c r="P514" s="17">
        <f>IF($C514="","",IF($K514="","",IF(N($K514)&gt;2,"No",IF(COUNTIFS(nrES_PID,$D514,nrES_Code,$F514,nrES_Att,"&gt;"&amp;$K514,nrES_Att,"&lt;=2",nrES_Raw,"&gt;=0")=0,"Yes","No"))))</f>
        <v/>
      </c>
      <c r="Q514" s="17">
        <f>IF($C514="","",IF($L514="","",IF(AND($K514=1,ISNUMBER($L514),$L514&lt;$J514,COUNTIFS(nrES_PID,$D514,nrES_Code,$F514,nrES_Att,2,nrES_Raw,"&gt;=0")=0),"Yes","No")))</f>
        <v/>
      </c>
      <c r="R514" s="17">
        <f>IF($C514="","",IF($L514="","",IF(AND(N($K514)&gt;=2,ISNUMBER($L514),$L514&lt;$J514),"Yes","No")))</f>
        <v/>
      </c>
      <c r="S514" s="18" t="n"/>
      <c r="T514" s="19">
        <f>IF(OR($C514="",$L514="",$K514&lt;&gt;1,NOT(ISNUMBER($L514)),$L514&gt;=$J514),"",IF($S514="","(enter date)",_xlfn.LET(_xlpm.dn,_xlfn.XLOOKUP($S514,nrCDdate,nrCDnum,"",1),IF(_xlpm.dn="","(after last class day)",_xlfn.LET(_xlpm.dd,_xlfn.XLOOKUP(_xlpm.dn+cfgRetestClassDays,nrCDnum,nrCDdate,""),_xlpm.ok,_xlfn.XLOOKUP(_xlpm.dn+cfgRetestClassDays,nrCDnum,nrCDinsession,"No"),IF(OR(_xlpm.dd="",_xlpm.ok&lt;&gt;"Yes"),"(after last class day)",_xlpm.dd))))))</f>
        <v/>
      </c>
      <c r="U514" s="17">
        <f>IF($C514="","",IF(AND($Y514="Excused",$L514="",N($K514)&lt;=1),"EXCUSED - 1st attempt pending",IF(OR($L514="",$K514&lt;&gt;1,NOT(ISNUMBER($L514)),$L514&gt;=$J514),"",IF(COUNTIFS(nrES_PID,$D514,nrES_Code,$F514,nrES_Att,2,nrES_Raw,"&gt;=0")&gt;0,IF(IFERROR(_xlfn.MINIFS(nrES_Date,nrES_PID,$D514,nrES_Code,$F514,nrES_Att,2,nrES_Raw,"&gt;=0",nrES_Date,"&gt;0"),0)=0,"RETEST UNDATED",IF(NOT(ISNUMBER($T514)),"RETEST DATE UNCHECKED",IF(_xlfn.MINIFS(nrES_Date,nrES_PID,$D514,nrES_Code,$F514,nrES_Att,2,nrES_Raw,"&gt;=0",nrES_Date,"&gt;0")&gt;$T514,"LATE RETEST "&amp;TEXT(_xlfn.MINIFS(nrES_Date,nrES_PID,$D514,nrES_Code,$F514,nrES_Att,2,nrES_Raw,"&gt;=0",nrES_Date,"&gt;0"),"mm/dd")&amp;" (due "&amp;TEXT($T514,"mm/dd")&amp;")","Retested"))),IF(NOT(ISNUMBER($T514)),"CHECK DATE",IF(TODAY()&gt;$T514,"OVERDUE","Due "&amp;TEXT($T514,"mm/dd")))))))</f>
        <v/>
      </c>
      <c r="V514" s="16" t="n"/>
      <c r="W514" s="16" t="n"/>
      <c r="X514" s="17">
        <f>IF($C514="","",IF(AND($L514&lt;&gt;"",NOT(ISNUMBER($L514))),"RAW SCORE NOT A NUMBER",IF(AND(ISNUMBER($L514),OR($L514&lt;0,$L514&gt;100)),"RAW SCORE OUT OF RANGE",IF(AND($Y514="Unexcused",OR($L514="",NOT(ISNUMBER($L514)),$L514&lt;&gt;0)),"UNEXCUSED ABSENCE MUST RECORD 0",IF(COUNTIF(nrES_RecID,$B514)&gt;1,"DUPLICATE RECORD",IF(N($K514)&gt;2,"ATTEMPT 3+ NOT ALLOWED - policy 300.5 permits one retest per exam; this row records nothing",IF(AND($K514=2,COUNTIFS(nrES_PID,$D514,nrES_Code,$F514,nrES_Att,1)=0),"ATTEMPT 2 WITHOUT ATTEMPT 1",IF(AND($K514=2,$L514=""),"RETEST ROW HAS NO SCORE",IF(AND($H514="Final",$L514&lt;&gt;"",IFERROR(INDEX(nrCKfinalExamElig,MATCH($D514,rngCadetPIDs,0)),"")="No"),"FINAL EXAM AFTER FAILED FINAL PT (500.1.H)",IF(AND($K514=2,ISNUMBER($L514),COUNTIFS(nrES_PID,$D514,nrES_Code,$F514,nrES_Att,1)&gt;0,SUMIFS(nrES_Raw,nrES_PID,$D514,nrES_Code,$F514,nrES_Att,1)&gt;=$J514),"RETEST AFTER A PASSING FIRST ATTEMPT","OK"))))))))))</f>
        <v/>
      </c>
      <c r="Y514" s="16" t="n"/>
    </row>
    <row r="515">
      <c r="B515" s="17">
        <f>IF($C515="","",$D515&amp;"-"&amp;$F515&amp;"-"&amp;$K515)</f>
        <v/>
      </c>
      <c r="C515" s="16" t="n"/>
      <c r="D515" s="17">
        <f>IF($C515="","",IFERROR(INDEX(rngCadetPIDs,MATCH($C515,rngCadetNames,0)),"?"))</f>
        <v/>
      </c>
      <c r="E515" s="17">
        <f>IF($D515="","",IFERROR(INDEX(nrCadetAgency,MATCH($D515,rngCadetPIDs,0)),""))</f>
        <v/>
      </c>
      <c r="F515" s="16" t="n"/>
      <c r="G515" s="17">
        <f>IF($F515="","",IFERROR(INDEX(rngEPname,MATCH($F515,rngEPcode,0)),"?"))</f>
        <v/>
      </c>
      <c r="H515" s="17">
        <f>IF($F515="","",IFERROR(INDEX(rngEPtype,MATCH($F515,rngEPcode,0)),"?"))</f>
        <v/>
      </c>
      <c r="I515" s="17">
        <f>IF($F515="","",IFERROR(INDEX(rngEPseq,MATCH($F515,rngEPcode,0)),""))</f>
        <v/>
      </c>
      <c r="J515" s="17">
        <f>IF($F515="","",IFERROR(INDEX(rngEPpass,MATCH($F515,rngEPcode,0)),cfgPassingScore))</f>
        <v/>
      </c>
      <c r="K515" s="16" t="n"/>
      <c r="L515" s="16" t="n"/>
      <c r="M515" s="17">
        <f>IF($C515="","",IF($L515="","",IF(NOT(ISNUMBER($L515)),$L515,IF(N($K515)&gt;2,"",IF($K515=1,IF(COUNTIFS(nrES_PID,$D515,nrES_Code,$F515,nrES_Att,2,nrES_Raw,"&gt;=0")&gt;0,"",$L515),IF($L515&gt;=$J515,MAX($J515,cfgRetakeRecordedCap),IF(COUNTIFS(nrES_PID,$D515,nrES_Code,$F515,nrES_Att,1)=0,$L515,SUMIFS(nrES_Raw,nrES_PID,$D515,nrES_Code,$F515,nrES_Att,1))))))))</f>
        <v/>
      </c>
      <c r="N515" s="17">
        <f>IF($C515="","",IF($L515="","",IF(NOT(ISNUMBER($L515)),"(not a score)",IF($L515&gt;=$J515,"Yes","No"))))</f>
        <v/>
      </c>
      <c r="O515" s="17">
        <f>IF($C515="","",IF($M515="","",IF(NOT(ISNUMBER($M515)),"(not a score)",IF($M515&gt;=$J515,"Yes","No"))))</f>
        <v/>
      </c>
      <c r="P515" s="17">
        <f>IF($C515="","",IF($K515="","",IF(N($K515)&gt;2,"No",IF(COUNTIFS(nrES_PID,$D515,nrES_Code,$F515,nrES_Att,"&gt;"&amp;$K515,nrES_Att,"&lt;=2",nrES_Raw,"&gt;=0")=0,"Yes","No"))))</f>
        <v/>
      </c>
      <c r="Q515" s="17">
        <f>IF($C515="","",IF($L515="","",IF(AND($K515=1,ISNUMBER($L515),$L515&lt;$J515,COUNTIFS(nrES_PID,$D515,nrES_Code,$F515,nrES_Att,2,nrES_Raw,"&gt;=0")=0),"Yes","No")))</f>
        <v/>
      </c>
      <c r="R515" s="17">
        <f>IF($C515="","",IF($L515="","",IF(AND(N($K515)&gt;=2,ISNUMBER($L515),$L515&lt;$J515),"Yes","No")))</f>
        <v/>
      </c>
      <c r="S515" s="18" t="n"/>
      <c r="T515" s="19">
        <f>IF(OR($C515="",$L515="",$K515&lt;&gt;1,NOT(ISNUMBER($L515)),$L515&gt;=$J515),"",IF($S515="","(enter date)",_xlfn.LET(_xlpm.dn,_xlfn.XLOOKUP($S515,nrCDdate,nrCDnum,"",1),IF(_xlpm.dn="","(after last class day)",_xlfn.LET(_xlpm.dd,_xlfn.XLOOKUP(_xlpm.dn+cfgRetestClassDays,nrCDnum,nrCDdate,""),_xlpm.ok,_xlfn.XLOOKUP(_xlpm.dn+cfgRetestClassDays,nrCDnum,nrCDinsession,"No"),IF(OR(_xlpm.dd="",_xlpm.ok&lt;&gt;"Yes"),"(after last class day)",_xlpm.dd))))))</f>
        <v/>
      </c>
      <c r="U515" s="17">
        <f>IF($C515="","",IF(AND($Y515="Excused",$L515="",N($K515)&lt;=1),"EXCUSED - 1st attempt pending",IF(OR($L515="",$K515&lt;&gt;1,NOT(ISNUMBER($L515)),$L515&gt;=$J515),"",IF(COUNTIFS(nrES_PID,$D515,nrES_Code,$F515,nrES_Att,2,nrES_Raw,"&gt;=0")&gt;0,IF(IFERROR(_xlfn.MINIFS(nrES_Date,nrES_PID,$D515,nrES_Code,$F515,nrES_Att,2,nrES_Raw,"&gt;=0",nrES_Date,"&gt;0"),0)=0,"RETEST UNDATED",IF(NOT(ISNUMBER($T515)),"RETEST DATE UNCHECKED",IF(_xlfn.MINIFS(nrES_Date,nrES_PID,$D515,nrES_Code,$F515,nrES_Att,2,nrES_Raw,"&gt;=0",nrES_Date,"&gt;0")&gt;$T515,"LATE RETEST "&amp;TEXT(_xlfn.MINIFS(nrES_Date,nrES_PID,$D515,nrES_Code,$F515,nrES_Att,2,nrES_Raw,"&gt;=0",nrES_Date,"&gt;0"),"mm/dd")&amp;" (due "&amp;TEXT($T515,"mm/dd")&amp;")","Retested"))),IF(NOT(ISNUMBER($T515)),"CHECK DATE",IF(TODAY()&gt;$T515,"OVERDUE","Due "&amp;TEXT($T515,"mm/dd")))))))</f>
        <v/>
      </c>
      <c r="V515" s="16" t="n"/>
      <c r="W515" s="16" t="n"/>
      <c r="X515" s="17">
        <f>IF($C515="","",IF(AND($L515&lt;&gt;"",NOT(ISNUMBER($L515))),"RAW SCORE NOT A NUMBER",IF(AND(ISNUMBER($L515),OR($L515&lt;0,$L515&gt;100)),"RAW SCORE OUT OF RANGE",IF(AND($Y515="Unexcused",OR($L515="",NOT(ISNUMBER($L515)),$L515&lt;&gt;0)),"UNEXCUSED ABSENCE MUST RECORD 0",IF(COUNTIF(nrES_RecID,$B515)&gt;1,"DUPLICATE RECORD",IF(N($K515)&gt;2,"ATTEMPT 3+ NOT ALLOWED - policy 300.5 permits one retest per exam; this row records nothing",IF(AND($K515=2,COUNTIFS(nrES_PID,$D515,nrES_Code,$F515,nrES_Att,1)=0),"ATTEMPT 2 WITHOUT ATTEMPT 1",IF(AND($K515=2,$L515=""),"RETEST ROW HAS NO SCORE",IF(AND($H515="Final",$L515&lt;&gt;"",IFERROR(INDEX(nrCKfinalExamElig,MATCH($D515,rngCadetPIDs,0)),"")="No"),"FINAL EXAM AFTER FAILED FINAL PT (500.1.H)",IF(AND($K515=2,ISNUMBER($L515),COUNTIFS(nrES_PID,$D515,nrES_Code,$F515,nrES_Att,1)&gt;0,SUMIFS(nrES_Raw,nrES_PID,$D515,nrES_Code,$F515,nrES_Att,1)&gt;=$J515),"RETEST AFTER A PASSING FIRST ATTEMPT","OK"))))))))))</f>
        <v/>
      </c>
      <c r="Y515" s="16" t="n"/>
    </row>
    <row r="516">
      <c r="B516" s="17">
        <f>IF($C516="","",$D516&amp;"-"&amp;$F516&amp;"-"&amp;$K516)</f>
        <v/>
      </c>
      <c r="C516" s="16" t="n"/>
      <c r="D516" s="17">
        <f>IF($C516="","",IFERROR(INDEX(rngCadetPIDs,MATCH($C516,rngCadetNames,0)),"?"))</f>
        <v/>
      </c>
      <c r="E516" s="17">
        <f>IF($D516="","",IFERROR(INDEX(nrCadetAgency,MATCH($D516,rngCadetPIDs,0)),""))</f>
        <v/>
      </c>
      <c r="F516" s="16" t="n"/>
      <c r="G516" s="17">
        <f>IF($F516="","",IFERROR(INDEX(rngEPname,MATCH($F516,rngEPcode,0)),"?"))</f>
        <v/>
      </c>
      <c r="H516" s="17">
        <f>IF($F516="","",IFERROR(INDEX(rngEPtype,MATCH($F516,rngEPcode,0)),"?"))</f>
        <v/>
      </c>
      <c r="I516" s="17">
        <f>IF($F516="","",IFERROR(INDEX(rngEPseq,MATCH($F516,rngEPcode,0)),""))</f>
        <v/>
      </c>
      <c r="J516" s="17">
        <f>IF($F516="","",IFERROR(INDEX(rngEPpass,MATCH($F516,rngEPcode,0)),cfgPassingScore))</f>
        <v/>
      </c>
      <c r="K516" s="16" t="n"/>
      <c r="L516" s="16" t="n"/>
      <c r="M516" s="17">
        <f>IF($C516="","",IF($L516="","",IF(NOT(ISNUMBER($L516)),$L516,IF(N($K516)&gt;2,"",IF($K516=1,IF(COUNTIFS(nrES_PID,$D516,nrES_Code,$F516,nrES_Att,2,nrES_Raw,"&gt;=0")&gt;0,"",$L516),IF($L516&gt;=$J516,MAX($J516,cfgRetakeRecordedCap),IF(COUNTIFS(nrES_PID,$D516,nrES_Code,$F516,nrES_Att,1)=0,$L516,SUMIFS(nrES_Raw,nrES_PID,$D516,nrES_Code,$F516,nrES_Att,1))))))))</f>
        <v/>
      </c>
      <c r="N516" s="17">
        <f>IF($C516="","",IF($L516="","",IF(NOT(ISNUMBER($L516)),"(not a score)",IF($L516&gt;=$J516,"Yes","No"))))</f>
        <v/>
      </c>
      <c r="O516" s="17">
        <f>IF($C516="","",IF($M516="","",IF(NOT(ISNUMBER($M516)),"(not a score)",IF($M516&gt;=$J516,"Yes","No"))))</f>
        <v/>
      </c>
      <c r="P516" s="17">
        <f>IF($C516="","",IF($K516="","",IF(N($K516)&gt;2,"No",IF(COUNTIFS(nrES_PID,$D516,nrES_Code,$F516,nrES_Att,"&gt;"&amp;$K516,nrES_Att,"&lt;=2",nrES_Raw,"&gt;=0")=0,"Yes","No"))))</f>
        <v/>
      </c>
      <c r="Q516" s="17">
        <f>IF($C516="","",IF($L516="","",IF(AND($K516=1,ISNUMBER($L516),$L516&lt;$J516,COUNTIFS(nrES_PID,$D516,nrES_Code,$F516,nrES_Att,2,nrES_Raw,"&gt;=0")=0),"Yes","No")))</f>
        <v/>
      </c>
      <c r="R516" s="17">
        <f>IF($C516="","",IF($L516="","",IF(AND(N($K516)&gt;=2,ISNUMBER($L516),$L516&lt;$J516),"Yes","No")))</f>
        <v/>
      </c>
      <c r="S516" s="18" t="n"/>
      <c r="T516" s="19">
        <f>IF(OR($C516="",$L516="",$K516&lt;&gt;1,NOT(ISNUMBER($L516)),$L516&gt;=$J516),"",IF($S516="","(enter date)",_xlfn.LET(_xlpm.dn,_xlfn.XLOOKUP($S516,nrCDdate,nrCDnum,"",1),IF(_xlpm.dn="","(after last class day)",_xlfn.LET(_xlpm.dd,_xlfn.XLOOKUP(_xlpm.dn+cfgRetestClassDays,nrCDnum,nrCDdate,""),_xlpm.ok,_xlfn.XLOOKUP(_xlpm.dn+cfgRetestClassDays,nrCDnum,nrCDinsession,"No"),IF(OR(_xlpm.dd="",_xlpm.ok&lt;&gt;"Yes"),"(after last class day)",_xlpm.dd))))))</f>
        <v/>
      </c>
      <c r="U516" s="17">
        <f>IF($C516="","",IF(AND($Y516="Excused",$L516="",N($K516)&lt;=1),"EXCUSED - 1st attempt pending",IF(OR($L516="",$K516&lt;&gt;1,NOT(ISNUMBER($L516)),$L516&gt;=$J516),"",IF(COUNTIFS(nrES_PID,$D516,nrES_Code,$F516,nrES_Att,2,nrES_Raw,"&gt;=0")&gt;0,IF(IFERROR(_xlfn.MINIFS(nrES_Date,nrES_PID,$D516,nrES_Code,$F516,nrES_Att,2,nrES_Raw,"&gt;=0",nrES_Date,"&gt;0"),0)=0,"RETEST UNDATED",IF(NOT(ISNUMBER($T516)),"RETEST DATE UNCHECKED",IF(_xlfn.MINIFS(nrES_Date,nrES_PID,$D516,nrES_Code,$F516,nrES_Att,2,nrES_Raw,"&gt;=0",nrES_Date,"&gt;0")&gt;$T516,"LATE RETEST "&amp;TEXT(_xlfn.MINIFS(nrES_Date,nrES_PID,$D516,nrES_Code,$F516,nrES_Att,2,nrES_Raw,"&gt;=0",nrES_Date,"&gt;0"),"mm/dd")&amp;" (due "&amp;TEXT($T516,"mm/dd")&amp;")","Retested"))),IF(NOT(ISNUMBER($T516)),"CHECK DATE",IF(TODAY()&gt;$T516,"OVERDUE","Due "&amp;TEXT($T516,"mm/dd")))))))</f>
        <v/>
      </c>
      <c r="V516" s="16" t="n"/>
      <c r="W516" s="16" t="n"/>
      <c r="X516" s="17">
        <f>IF($C516="","",IF(AND($L516&lt;&gt;"",NOT(ISNUMBER($L516))),"RAW SCORE NOT A NUMBER",IF(AND(ISNUMBER($L516),OR($L516&lt;0,$L516&gt;100)),"RAW SCORE OUT OF RANGE",IF(AND($Y516="Unexcused",OR($L516="",NOT(ISNUMBER($L516)),$L516&lt;&gt;0)),"UNEXCUSED ABSENCE MUST RECORD 0",IF(COUNTIF(nrES_RecID,$B516)&gt;1,"DUPLICATE RECORD",IF(N($K516)&gt;2,"ATTEMPT 3+ NOT ALLOWED - policy 300.5 permits one retest per exam; this row records nothing",IF(AND($K516=2,COUNTIFS(nrES_PID,$D516,nrES_Code,$F516,nrES_Att,1)=0),"ATTEMPT 2 WITHOUT ATTEMPT 1",IF(AND($K516=2,$L516=""),"RETEST ROW HAS NO SCORE",IF(AND($H516="Final",$L516&lt;&gt;"",IFERROR(INDEX(nrCKfinalExamElig,MATCH($D516,rngCadetPIDs,0)),"")="No"),"FINAL EXAM AFTER FAILED FINAL PT (500.1.H)",IF(AND($K516=2,ISNUMBER($L516),COUNTIFS(nrES_PID,$D516,nrES_Code,$F516,nrES_Att,1)&gt;0,SUMIFS(nrES_Raw,nrES_PID,$D516,nrES_Code,$F516,nrES_Att,1)&gt;=$J516),"RETEST AFTER A PASSING FIRST ATTEMPT","OK"))))))))))</f>
        <v/>
      </c>
      <c r="Y516" s="16" t="n"/>
    </row>
    <row r="517">
      <c r="B517" s="17">
        <f>IF($C517="","",$D517&amp;"-"&amp;$F517&amp;"-"&amp;$K517)</f>
        <v/>
      </c>
      <c r="C517" s="16" t="n"/>
      <c r="D517" s="17">
        <f>IF($C517="","",IFERROR(INDEX(rngCadetPIDs,MATCH($C517,rngCadetNames,0)),"?"))</f>
        <v/>
      </c>
      <c r="E517" s="17">
        <f>IF($D517="","",IFERROR(INDEX(nrCadetAgency,MATCH($D517,rngCadetPIDs,0)),""))</f>
        <v/>
      </c>
      <c r="F517" s="16" t="n"/>
      <c r="G517" s="17">
        <f>IF($F517="","",IFERROR(INDEX(rngEPname,MATCH($F517,rngEPcode,0)),"?"))</f>
        <v/>
      </c>
      <c r="H517" s="17">
        <f>IF($F517="","",IFERROR(INDEX(rngEPtype,MATCH($F517,rngEPcode,0)),"?"))</f>
        <v/>
      </c>
      <c r="I517" s="17">
        <f>IF($F517="","",IFERROR(INDEX(rngEPseq,MATCH($F517,rngEPcode,0)),""))</f>
        <v/>
      </c>
      <c r="J517" s="17">
        <f>IF($F517="","",IFERROR(INDEX(rngEPpass,MATCH($F517,rngEPcode,0)),cfgPassingScore))</f>
        <v/>
      </c>
      <c r="K517" s="16" t="n"/>
      <c r="L517" s="16" t="n"/>
      <c r="M517" s="17">
        <f>IF($C517="","",IF($L517="","",IF(NOT(ISNUMBER($L517)),$L517,IF(N($K517)&gt;2,"",IF($K517=1,IF(COUNTIFS(nrES_PID,$D517,nrES_Code,$F517,nrES_Att,2,nrES_Raw,"&gt;=0")&gt;0,"",$L517),IF($L517&gt;=$J517,MAX($J517,cfgRetakeRecordedCap),IF(COUNTIFS(nrES_PID,$D517,nrES_Code,$F517,nrES_Att,1)=0,$L517,SUMIFS(nrES_Raw,nrES_PID,$D517,nrES_Code,$F517,nrES_Att,1))))))))</f>
        <v/>
      </c>
      <c r="N517" s="17">
        <f>IF($C517="","",IF($L517="","",IF(NOT(ISNUMBER($L517)),"(not a score)",IF($L517&gt;=$J517,"Yes","No"))))</f>
        <v/>
      </c>
      <c r="O517" s="17">
        <f>IF($C517="","",IF($M517="","",IF(NOT(ISNUMBER($M517)),"(not a score)",IF($M517&gt;=$J517,"Yes","No"))))</f>
        <v/>
      </c>
      <c r="P517" s="17">
        <f>IF($C517="","",IF($K517="","",IF(N($K517)&gt;2,"No",IF(COUNTIFS(nrES_PID,$D517,nrES_Code,$F517,nrES_Att,"&gt;"&amp;$K517,nrES_Att,"&lt;=2",nrES_Raw,"&gt;=0")=0,"Yes","No"))))</f>
        <v/>
      </c>
      <c r="Q517" s="17">
        <f>IF($C517="","",IF($L517="","",IF(AND($K517=1,ISNUMBER($L517),$L517&lt;$J517,COUNTIFS(nrES_PID,$D517,nrES_Code,$F517,nrES_Att,2,nrES_Raw,"&gt;=0")=0),"Yes","No")))</f>
        <v/>
      </c>
      <c r="R517" s="17">
        <f>IF($C517="","",IF($L517="","",IF(AND(N($K517)&gt;=2,ISNUMBER($L517),$L517&lt;$J517),"Yes","No")))</f>
        <v/>
      </c>
      <c r="S517" s="18" t="n"/>
      <c r="T517" s="19">
        <f>IF(OR($C517="",$L517="",$K517&lt;&gt;1,NOT(ISNUMBER($L517)),$L517&gt;=$J517),"",IF($S517="","(enter date)",_xlfn.LET(_xlpm.dn,_xlfn.XLOOKUP($S517,nrCDdate,nrCDnum,"",1),IF(_xlpm.dn="","(after last class day)",_xlfn.LET(_xlpm.dd,_xlfn.XLOOKUP(_xlpm.dn+cfgRetestClassDays,nrCDnum,nrCDdate,""),_xlpm.ok,_xlfn.XLOOKUP(_xlpm.dn+cfgRetestClassDays,nrCDnum,nrCDinsession,"No"),IF(OR(_xlpm.dd="",_xlpm.ok&lt;&gt;"Yes"),"(after last class day)",_xlpm.dd))))))</f>
        <v/>
      </c>
      <c r="U517" s="17">
        <f>IF($C517="","",IF(AND($Y517="Excused",$L517="",N($K517)&lt;=1),"EXCUSED - 1st attempt pending",IF(OR($L517="",$K517&lt;&gt;1,NOT(ISNUMBER($L517)),$L517&gt;=$J517),"",IF(COUNTIFS(nrES_PID,$D517,nrES_Code,$F517,nrES_Att,2,nrES_Raw,"&gt;=0")&gt;0,IF(IFERROR(_xlfn.MINIFS(nrES_Date,nrES_PID,$D517,nrES_Code,$F517,nrES_Att,2,nrES_Raw,"&gt;=0",nrES_Date,"&gt;0"),0)=0,"RETEST UNDATED",IF(NOT(ISNUMBER($T517)),"RETEST DATE UNCHECKED",IF(_xlfn.MINIFS(nrES_Date,nrES_PID,$D517,nrES_Code,$F517,nrES_Att,2,nrES_Raw,"&gt;=0",nrES_Date,"&gt;0")&gt;$T517,"LATE RETEST "&amp;TEXT(_xlfn.MINIFS(nrES_Date,nrES_PID,$D517,nrES_Code,$F517,nrES_Att,2,nrES_Raw,"&gt;=0",nrES_Date,"&gt;0"),"mm/dd")&amp;" (due "&amp;TEXT($T517,"mm/dd")&amp;")","Retested"))),IF(NOT(ISNUMBER($T517)),"CHECK DATE",IF(TODAY()&gt;$T517,"OVERDUE","Due "&amp;TEXT($T517,"mm/dd")))))))</f>
        <v/>
      </c>
      <c r="V517" s="16" t="n"/>
      <c r="W517" s="16" t="n"/>
      <c r="X517" s="17">
        <f>IF($C517="","",IF(AND($L517&lt;&gt;"",NOT(ISNUMBER($L517))),"RAW SCORE NOT A NUMBER",IF(AND(ISNUMBER($L517),OR($L517&lt;0,$L517&gt;100)),"RAW SCORE OUT OF RANGE",IF(AND($Y517="Unexcused",OR($L517="",NOT(ISNUMBER($L517)),$L517&lt;&gt;0)),"UNEXCUSED ABSENCE MUST RECORD 0",IF(COUNTIF(nrES_RecID,$B517)&gt;1,"DUPLICATE RECORD",IF(N($K517)&gt;2,"ATTEMPT 3+ NOT ALLOWED - policy 300.5 permits one retest per exam; this row records nothing",IF(AND($K517=2,COUNTIFS(nrES_PID,$D517,nrES_Code,$F517,nrES_Att,1)=0),"ATTEMPT 2 WITHOUT ATTEMPT 1",IF(AND($K517=2,$L517=""),"RETEST ROW HAS NO SCORE",IF(AND($H517="Final",$L517&lt;&gt;"",IFERROR(INDEX(nrCKfinalExamElig,MATCH($D517,rngCadetPIDs,0)),"")="No"),"FINAL EXAM AFTER FAILED FINAL PT (500.1.H)",IF(AND($K517=2,ISNUMBER($L517),COUNTIFS(nrES_PID,$D517,nrES_Code,$F517,nrES_Att,1)&gt;0,SUMIFS(nrES_Raw,nrES_PID,$D517,nrES_Code,$F517,nrES_Att,1)&gt;=$J517),"RETEST AFTER A PASSING FIRST ATTEMPT","OK"))))))))))</f>
        <v/>
      </c>
      <c r="Y517" s="16" t="n"/>
    </row>
    <row r="518">
      <c r="B518" s="17">
        <f>IF($C518="","",$D518&amp;"-"&amp;$F518&amp;"-"&amp;$K518)</f>
        <v/>
      </c>
      <c r="C518" s="16" t="n"/>
      <c r="D518" s="17">
        <f>IF($C518="","",IFERROR(INDEX(rngCadetPIDs,MATCH($C518,rngCadetNames,0)),"?"))</f>
        <v/>
      </c>
      <c r="E518" s="17">
        <f>IF($D518="","",IFERROR(INDEX(nrCadetAgency,MATCH($D518,rngCadetPIDs,0)),""))</f>
        <v/>
      </c>
      <c r="F518" s="16" t="n"/>
      <c r="G518" s="17">
        <f>IF($F518="","",IFERROR(INDEX(rngEPname,MATCH($F518,rngEPcode,0)),"?"))</f>
        <v/>
      </c>
      <c r="H518" s="17">
        <f>IF($F518="","",IFERROR(INDEX(rngEPtype,MATCH($F518,rngEPcode,0)),"?"))</f>
        <v/>
      </c>
      <c r="I518" s="17">
        <f>IF($F518="","",IFERROR(INDEX(rngEPseq,MATCH($F518,rngEPcode,0)),""))</f>
        <v/>
      </c>
      <c r="J518" s="17">
        <f>IF($F518="","",IFERROR(INDEX(rngEPpass,MATCH($F518,rngEPcode,0)),cfgPassingScore))</f>
        <v/>
      </c>
      <c r="K518" s="16" t="n"/>
      <c r="L518" s="16" t="n"/>
      <c r="M518" s="17">
        <f>IF($C518="","",IF($L518="","",IF(NOT(ISNUMBER($L518)),$L518,IF(N($K518)&gt;2,"",IF($K518=1,IF(COUNTIFS(nrES_PID,$D518,nrES_Code,$F518,nrES_Att,2,nrES_Raw,"&gt;=0")&gt;0,"",$L518),IF($L518&gt;=$J518,MAX($J518,cfgRetakeRecordedCap),IF(COUNTIFS(nrES_PID,$D518,nrES_Code,$F518,nrES_Att,1)=0,$L518,SUMIFS(nrES_Raw,nrES_PID,$D518,nrES_Code,$F518,nrES_Att,1))))))))</f>
        <v/>
      </c>
      <c r="N518" s="17">
        <f>IF($C518="","",IF($L518="","",IF(NOT(ISNUMBER($L518)),"(not a score)",IF($L518&gt;=$J518,"Yes","No"))))</f>
        <v/>
      </c>
      <c r="O518" s="17">
        <f>IF($C518="","",IF($M518="","",IF(NOT(ISNUMBER($M518)),"(not a score)",IF($M518&gt;=$J518,"Yes","No"))))</f>
        <v/>
      </c>
      <c r="P518" s="17">
        <f>IF($C518="","",IF($K518="","",IF(N($K518)&gt;2,"No",IF(COUNTIFS(nrES_PID,$D518,nrES_Code,$F518,nrES_Att,"&gt;"&amp;$K518,nrES_Att,"&lt;=2",nrES_Raw,"&gt;=0")=0,"Yes","No"))))</f>
        <v/>
      </c>
      <c r="Q518" s="17">
        <f>IF($C518="","",IF($L518="","",IF(AND($K518=1,ISNUMBER($L518),$L518&lt;$J518,COUNTIFS(nrES_PID,$D518,nrES_Code,$F518,nrES_Att,2,nrES_Raw,"&gt;=0")=0),"Yes","No")))</f>
        <v/>
      </c>
      <c r="R518" s="17">
        <f>IF($C518="","",IF($L518="","",IF(AND(N($K518)&gt;=2,ISNUMBER($L518),$L518&lt;$J518),"Yes","No")))</f>
        <v/>
      </c>
      <c r="S518" s="18" t="n"/>
      <c r="T518" s="19">
        <f>IF(OR($C518="",$L518="",$K518&lt;&gt;1,NOT(ISNUMBER($L518)),$L518&gt;=$J518),"",IF($S518="","(enter date)",_xlfn.LET(_xlpm.dn,_xlfn.XLOOKUP($S518,nrCDdate,nrCDnum,"",1),IF(_xlpm.dn="","(after last class day)",_xlfn.LET(_xlpm.dd,_xlfn.XLOOKUP(_xlpm.dn+cfgRetestClassDays,nrCDnum,nrCDdate,""),_xlpm.ok,_xlfn.XLOOKUP(_xlpm.dn+cfgRetestClassDays,nrCDnum,nrCDinsession,"No"),IF(OR(_xlpm.dd="",_xlpm.ok&lt;&gt;"Yes"),"(after last class day)",_xlpm.dd))))))</f>
        <v/>
      </c>
      <c r="U518" s="17">
        <f>IF($C518="","",IF(AND($Y518="Excused",$L518="",N($K518)&lt;=1),"EXCUSED - 1st attempt pending",IF(OR($L518="",$K518&lt;&gt;1,NOT(ISNUMBER($L518)),$L518&gt;=$J518),"",IF(COUNTIFS(nrES_PID,$D518,nrES_Code,$F518,nrES_Att,2,nrES_Raw,"&gt;=0")&gt;0,IF(IFERROR(_xlfn.MINIFS(nrES_Date,nrES_PID,$D518,nrES_Code,$F518,nrES_Att,2,nrES_Raw,"&gt;=0",nrES_Date,"&gt;0"),0)=0,"RETEST UNDATED",IF(NOT(ISNUMBER($T518)),"RETEST DATE UNCHECKED",IF(_xlfn.MINIFS(nrES_Date,nrES_PID,$D518,nrES_Code,$F518,nrES_Att,2,nrES_Raw,"&gt;=0",nrES_Date,"&gt;0")&gt;$T518,"LATE RETEST "&amp;TEXT(_xlfn.MINIFS(nrES_Date,nrES_PID,$D518,nrES_Code,$F518,nrES_Att,2,nrES_Raw,"&gt;=0",nrES_Date,"&gt;0"),"mm/dd")&amp;" (due "&amp;TEXT($T518,"mm/dd")&amp;")","Retested"))),IF(NOT(ISNUMBER($T518)),"CHECK DATE",IF(TODAY()&gt;$T518,"OVERDUE","Due "&amp;TEXT($T518,"mm/dd")))))))</f>
        <v/>
      </c>
      <c r="V518" s="16" t="n"/>
      <c r="W518" s="16" t="n"/>
      <c r="X518" s="17">
        <f>IF($C518="","",IF(AND($L518&lt;&gt;"",NOT(ISNUMBER($L518))),"RAW SCORE NOT A NUMBER",IF(AND(ISNUMBER($L518),OR($L518&lt;0,$L518&gt;100)),"RAW SCORE OUT OF RANGE",IF(AND($Y518="Unexcused",OR($L518="",NOT(ISNUMBER($L518)),$L518&lt;&gt;0)),"UNEXCUSED ABSENCE MUST RECORD 0",IF(COUNTIF(nrES_RecID,$B518)&gt;1,"DUPLICATE RECORD",IF(N($K518)&gt;2,"ATTEMPT 3+ NOT ALLOWED - policy 300.5 permits one retest per exam; this row records nothing",IF(AND($K518=2,COUNTIFS(nrES_PID,$D518,nrES_Code,$F518,nrES_Att,1)=0),"ATTEMPT 2 WITHOUT ATTEMPT 1",IF(AND($K518=2,$L518=""),"RETEST ROW HAS NO SCORE",IF(AND($H518="Final",$L518&lt;&gt;"",IFERROR(INDEX(nrCKfinalExamElig,MATCH($D518,rngCadetPIDs,0)),"")="No"),"FINAL EXAM AFTER FAILED FINAL PT (500.1.H)",IF(AND($K518=2,ISNUMBER($L518),COUNTIFS(nrES_PID,$D518,nrES_Code,$F518,nrES_Att,1)&gt;0,SUMIFS(nrES_Raw,nrES_PID,$D518,nrES_Code,$F518,nrES_Att,1)&gt;=$J518),"RETEST AFTER A PASSING FIRST ATTEMPT","OK"))))))))))</f>
        <v/>
      </c>
      <c r="Y518" s="16" t="n"/>
    </row>
    <row r="519">
      <c r="B519" s="17">
        <f>IF($C519="","",$D519&amp;"-"&amp;$F519&amp;"-"&amp;$K519)</f>
        <v/>
      </c>
      <c r="C519" s="16" t="n"/>
      <c r="D519" s="17">
        <f>IF($C519="","",IFERROR(INDEX(rngCadetPIDs,MATCH($C519,rngCadetNames,0)),"?"))</f>
        <v/>
      </c>
      <c r="E519" s="17">
        <f>IF($D519="","",IFERROR(INDEX(nrCadetAgency,MATCH($D519,rngCadetPIDs,0)),""))</f>
        <v/>
      </c>
      <c r="F519" s="16" t="n"/>
      <c r="G519" s="17">
        <f>IF($F519="","",IFERROR(INDEX(rngEPname,MATCH($F519,rngEPcode,0)),"?"))</f>
        <v/>
      </c>
      <c r="H519" s="17">
        <f>IF($F519="","",IFERROR(INDEX(rngEPtype,MATCH($F519,rngEPcode,0)),"?"))</f>
        <v/>
      </c>
      <c r="I519" s="17">
        <f>IF($F519="","",IFERROR(INDEX(rngEPseq,MATCH($F519,rngEPcode,0)),""))</f>
        <v/>
      </c>
      <c r="J519" s="17">
        <f>IF($F519="","",IFERROR(INDEX(rngEPpass,MATCH($F519,rngEPcode,0)),cfgPassingScore))</f>
        <v/>
      </c>
      <c r="K519" s="16" t="n"/>
      <c r="L519" s="16" t="n"/>
      <c r="M519" s="17">
        <f>IF($C519="","",IF($L519="","",IF(NOT(ISNUMBER($L519)),$L519,IF(N($K519)&gt;2,"",IF($K519=1,IF(COUNTIFS(nrES_PID,$D519,nrES_Code,$F519,nrES_Att,2,nrES_Raw,"&gt;=0")&gt;0,"",$L519),IF($L519&gt;=$J519,MAX($J519,cfgRetakeRecordedCap),IF(COUNTIFS(nrES_PID,$D519,nrES_Code,$F519,nrES_Att,1)=0,$L519,SUMIFS(nrES_Raw,nrES_PID,$D519,nrES_Code,$F519,nrES_Att,1))))))))</f>
        <v/>
      </c>
      <c r="N519" s="17">
        <f>IF($C519="","",IF($L519="","",IF(NOT(ISNUMBER($L519)),"(not a score)",IF($L519&gt;=$J519,"Yes","No"))))</f>
        <v/>
      </c>
      <c r="O519" s="17">
        <f>IF($C519="","",IF($M519="","",IF(NOT(ISNUMBER($M519)),"(not a score)",IF($M519&gt;=$J519,"Yes","No"))))</f>
        <v/>
      </c>
      <c r="P519" s="17">
        <f>IF($C519="","",IF($K519="","",IF(N($K519)&gt;2,"No",IF(COUNTIFS(nrES_PID,$D519,nrES_Code,$F519,nrES_Att,"&gt;"&amp;$K519,nrES_Att,"&lt;=2",nrES_Raw,"&gt;=0")=0,"Yes","No"))))</f>
        <v/>
      </c>
      <c r="Q519" s="17">
        <f>IF($C519="","",IF($L519="","",IF(AND($K519=1,ISNUMBER($L519),$L519&lt;$J519,COUNTIFS(nrES_PID,$D519,nrES_Code,$F519,nrES_Att,2,nrES_Raw,"&gt;=0")=0),"Yes","No")))</f>
        <v/>
      </c>
      <c r="R519" s="17">
        <f>IF($C519="","",IF($L519="","",IF(AND(N($K519)&gt;=2,ISNUMBER($L519),$L519&lt;$J519),"Yes","No")))</f>
        <v/>
      </c>
      <c r="S519" s="18" t="n"/>
      <c r="T519" s="19">
        <f>IF(OR($C519="",$L519="",$K519&lt;&gt;1,NOT(ISNUMBER($L519)),$L519&gt;=$J519),"",IF($S519="","(enter date)",_xlfn.LET(_xlpm.dn,_xlfn.XLOOKUP($S519,nrCDdate,nrCDnum,"",1),IF(_xlpm.dn="","(after last class day)",_xlfn.LET(_xlpm.dd,_xlfn.XLOOKUP(_xlpm.dn+cfgRetestClassDays,nrCDnum,nrCDdate,""),_xlpm.ok,_xlfn.XLOOKUP(_xlpm.dn+cfgRetestClassDays,nrCDnum,nrCDinsession,"No"),IF(OR(_xlpm.dd="",_xlpm.ok&lt;&gt;"Yes"),"(after last class day)",_xlpm.dd))))))</f>
        <v/>
      </c>
      <c r="U519" s="17">
        <f>IF($C519="","",IF(AND($Y519="Excused",$L519="",N($K519)&lt;=1),"EXCUSED - 1st attempt pending",IF(OR($L519="",$K519&lt;&gt;1,NOT(ISNUMBER($L519)),$L519&gt;=$J519),"",IF(COUNTIFS(nrES_PID,$D519,nrES_Code,$F519,nrES_Att,2,nrES_Raw,"&gt;=0")&gt;0,IF(IFERROR(_xlfn.MINIFS(nrES_Date,nrES_PID,$D519,nrES_Code,$F519,nrES_Att,2,nrES_Raw,"&gt;=0",nrES_Date,"&gt;0"),0)=0,"RETEST UNDATED",IF(NOT(ISNUMBER($T519)),"RETEST DATE UNCHECKED",IF(_xlfn.MINIFS(nrES_Date,nrES_PID,$D519,nrES_Code,$F519,nrES_Att,2,nrES_Raw,"&gt;=0",nrES_Date,"&gt;0")&gt;$T519,"LATE RETEST "&amp;TEXT(_xlfn.MINIFS(nrES_Date,nrES_PID,$D519,nrES_Code,$F519,nrES_Att,2,nrES_Raw,"&gt;=0",nrES_Date,"&gt;0"),"mm/dd")&amp;" (due "&amp;TEXT($T519,"mm/dd")&amp;")","Retested"))),IF(NOT(ISNUMBER($T519)),"CHECK DATE",IF(TODAY()&gt;$T519,"OVERDUE","Due "&amp;TEXT($T519,"mm/dd")))))))</f>
        <v/>
      </c>
      <c r="V519" s="16" t="n"/>
      <c r="W519" s="16" t="n"/>
      <c r="X519" s="17">
        <f>IF($C519="","",IF(AND($L519&lt;&gt;"",NOT(ISNUMBER($L519))),"RAW SCORE NOT A NUMBER",IF(AND(ISNUMBER($L519),OR($L519&lt;0,$L519&gt;100)),"RAW SCORE OUT OF RANGE",IF(AND($Y519="Unexcused",OR($L519="",NOT(ISNUMBER($L519)),$L519&lt;&gt;0)),"UNEXCUSED ABSENCE MUST RECORD 0",IF(COUNTIF(nrES_RecID,$B519)&gt;1,"DUPLICATE RECORD",IF(N($K519)&gt;2,"ATTEMPT 3+ NOT ALLOWED - policy 300.5 permits one retest per exam; this row records nothing",IF(AND($K519=2,COUNTIFS(nrES_PID,$D519,nrES_Code,$F519,nrES_Att,1)=0),"ATTEMPT 2 WITHOUT ATTEMPT 1",IF(AND($K519=2,$L519=""),"RETEST ROW HAS NO SCORE",IF(AND($H519="Final",$L519&lt;&gt;"",IFERROR(INDEX(nrCKfinalExamElig,MATCH($D519,rngCadetPIDs,0)),"")="No"),"FINAL EXAM AFTER FAILED FINAL PT (500.1.H)",IF(AND($K519=2,ISNUMBER($L519),COUNTIFS(nrES_PID,$D519,nrES_Code,$F519,nrES_Att,1)&gt;0,SUMIFS(nrES_Raw,nrES_PID,$D519,nrES_Code,$F519,nrES_Att,1)&gt;=$J519),"RETEST AFTER A PASSING FIRST ATTEMPT","OK"))))))))))</f>
        <v/>
      </c>
      <c r="Y519" s="16" t="n"/>
    </row>
    <row r="520">
      <c r="B520" s="17">
        <f>IF($C520="","",$D520&amp;"-"&amp;$F520&amp;"-"&amp;$K520)</f>
        <v/>
      </c>
      <c r="C520" s="16" t="n"/>
      <c r="D520" s="17">
        <f>IF($C520="","",IFERROR(INDEX(rngCadetPIDs,MATCH($C520,rngCadetNames,0)),"?"))</f>
        <v/>
      </c>
      <c r="E520" s="17">
        <f>IF($D520="","",IFERROR(INDEX(nrCadetAgency,MATCH($D520,rngCadetPIDs,0)),""))</f>
        <v/>
      </c>
      <c r="F520" s="16" t="n"/>
      <c r="G520" s="17">
        <f>IF($F520="","",IFERROR(INDEX(rngEPname,MATCH($F520,rngEPcode,0)),"?"))</f>
        <v/>
      </c>
      <c r="H520" s="17">
        <f>IF($F520="","",IFERROR(INDEX(rngEPtype,MATCH($F520,rngEPcode,0)),"?"))</f>
        <v/>
      </c>
      <c r="I520" s="17">
        <f>IF($F520="","",IFERROR(INDEX(rngEPseq,MATCH($F520,rngEPcode,0)),""))</f>
        <v/>
      </c>
      <c r="J520" s="17">
        <f>IF($F520="","",IFERROR(INDEX(rngEPpass,MATCH($F520,rngEPcode,0)),cfgPassingScore))</f>
        <v/>
      </c>
      <c r="K520" s="16" t="n"/>
      <c r="L520" s="16" t="n"/>
      <c r="M520" s="17">
        <f>IF($C520="","",IF($L520="","",IF(NOT(ISNUMBER($L520)),$L520,IF(N($K520)&gt;2,"",IF($K520=1,IF(COUNTIFS(nrES_PID,$D520,nrES_Code,$F520,nrES_Att,2,nrES_Raw,"&gt;=0")&gt;0,"",$L520),IF($L520&gt;=$J520,MAX($J520,cfgRetakeRecordedCap),IF(COUNTIFS(nrES_PID,$D520,nrES_Code,$F520,nrES_Att,1)=0,$L520,SUMIFS(nrES_Raw,nrES_PID,$D520,nrES_Code,$F520,nrES_Att,1))))))))</f>
        <v/>
      </c>
      <c r="N520" s="17">
        <f>IF($C520="","",IF($L520="","",IF(NOT(ISNUMBER($L520)),"(not a score)",IF($L520&gt;=$J520,"Yes","No"))))</f>
        <v/>
      </c>
      <c r="O520" s="17">
        <f>IF($C520="","",IF($M520="","",IF(NOT(ISNUMBER($M520)),"(not a score)",IF($M520&gt;=$J520,"Yes","No"))))</f>
        <v/>
      </c>
      <c r="P520" s="17">
        <f>IF($C520="","",IF($K520="","",IF(N($K520)&gt;2,"No",IF(COUNTIFS(nrES_PID,$D520,nrES_Code,$F520,nrES_Att,"&gt;"&amp;$K520,nrES_Att,"&lt;=2",nrES_Raw,"&gt;=0")=0,"Yes","No"))))</f>
        <v/>
      </c>
      <c r="Q520" s="17">
        <f>IF($C520="","",IF($L520="","",IF(AND($K520=1,ISNUMBER($L520),$L520&lt;$J520,COUNTIFS(nrES_PID,$D520,nrES_Code,$F520,nrES_Att,2,nrES_Raw,"&gt;=0")=0),"Yes","No")))</f>
        <v/>
      </c>
      <c r="R520" s="17">
        <f>IF($C520="","",IF($L520="","",IF(AND(N($K520)&gt;=2,ISNUMBER($L520),$L520&lt;$J520),"Yes","No")))</f>
        <v/>
      </c>
      <c r="S520" s="18" t="n"/>
      <c r="T520" s="19">
        <f>IF(OR($C520="",$L520="",$K520&lt;&gt;1,NOT(ISNUMBER($L520)),$L520&gt;=$J520),"",IF($S520="","(enter date)",_xlfn.LET(_xlpm.dn,_xlfn.XLOOKUP($S520,nrCDdate,nrCDnum,"",1),IF(_xlpm.dn="","(after last class day)",_xlfn.LET(_xlpm.dd,_xlfn.XLOOKUP(_xlpm.dn+cfgRetestClassDays,nrCDnum,nrCDdate,""),_xlpm.ok,_xlfn.XLOOKUP(_xlpm.dn+cfgRetestClassDays,nrCDnum,nrCDinsession,"No"),IF(OR(_xlpm.dd="",_xlpm.ok&lt;&gt;"Yes"),"(after last class day)",_xlpm.dd))))))</f>
        <v/>
      </c>
      <c r="U520" s="17">
        <f>IF($C520="","",IF(AND($Y520="Excused",$L520="",N($K520)&lt;=1),"EXCUSED - 1st attempt pending",IF(OR($L520="",$K520&lt;&gt;1,NOT(ISNUMBER($L520)),$L520&gt;=$J520),"",IF(COUNTIFS(nrES_PID,$D520,nrES_Code,$F520,nrES_Att,2,nrES_Raw,"&gt;=0")&gt;0,IF(IFERROR(_xlfn.MINIFS(nrES_Date,nrES_PID,$D520,nrES_Code,$F520,nrES_Att,2,nrES_Raw,"&gt;=0",nrES_Date,"&gt;0"),0)=0,"RETEST UNDATED",IF(NOT(ISNUMBER($T520)),"RETEST DATE UNCHECKED",IF(_xlfn.MINIFS(nrES_Date,nrES_PID,$D520,nrES_Code,$F520,nrES_Att,2,nrES_Raw,"&gt;=0",nrES_Date,"&gt;0")&gt;$T520,"LATE RETEST "&amp;TEXT(_xlfn.MINIFS(nrES_Date,nrES_PID,$D520,nrES_Code,$F520,nrES_Att,2,nrES_Raw,"&gt;=0",nrES_Date,"&gt;0"),"mm/dd")&amp;" (due "&amp;TEXT($T520,"mm/dd")&amp;")","Retested"))),IF(NOT(ISNUMBER($T520)),"CHECK DATE",IF(TODAY()&gt;$T520,"OVERDUE","Due "&amp;TEXT($T520,"mm/dd")))))))</f>
        <v/>
      </c>
      <c r="V520" s="16" t="n"/>
      <c r="W520" s="16" t="n"/>
      <c r="X520" s="17">
        <f>IF($C520="","",IF(AND($L520&lt;&gt;"",NOT(ISNUMBER($L520))),"RAW SCORE NOT A NUMBER",IF(AND(ISNUMBER($L520),OR($L520&lt;0,$L520&gt;100)),"RAW SCORE OUT OF RANGE",IF(AND($Y520="Unexcused",OR($L520="",NOT(ISNUMBER($L520)),$L520&lt;&gt;0)),"UNEXCUSED ABSENCE MUST RECORD 0",IF(COUNTIF(nrES_RecID,$B520)&gt;1,"DUPLICATE RECORD",IF(N($K520)&gt;2,"ATTEMPT 3+ NOT ALLOWED - policy 300.5 permits one retest per exam; this row records nothing",IF(AND($K520=2,COUNTIFS(nrES_PID,$D520,nrES_Code,$F520,nrES_Att,1)=0),"ATTEMPT 2 WITHOUT ATTEMPT 1",IF(AND($K520=2,$L520=""),"RETEST ROW HAS NO SCORE",IF(AND($H520="Final",$L520&lt;&gt;"",IFERROR(INDEX(nrCKfinalExamElig,MATCH($D520,rngCadetPIDs,0)),"")="No"),"FINAL EXAM AFTER FAILED FINAL PT (500.1.H)",IF(AND($K520=2,ISNUMBER($L520),COUNTIFS(nrES_PID,$D520,nrES_Code,$F520,nrES_Att,1)&gt;0,SUMIFS(nrES_Raw,nrES_PID,$D520,nrES_Code,$F520,nrES_Att,1)&gt;=$J520),"RETEST AFTER A PASSING FIRST ATTEMPT","OK"))))))))))</f>
        <v/>
      </c>
      <c r="Y520" s="16" t="n"/>
    </row>
    <row r="521">
      <c r="B521" s="17">
        <f>IF($C521="","",$D521&amp;"-"&amp;$F521&amp;"-"&amp;$K521)</f>
        <v/>
      </c>
      <c r="C521" s="16" t="n"/>
      <c r="D521" s="17">
        <f>IF($C521="","",IFERROR(INDEX(rngCadetPIDs,MATCH($C521,rngCadetNames,0)),"?"))</f>
        <v/>
      </c>
      <c r="E521" s="17">
        <f>IF($D521="","",IFERROR(INDEX(nrCadetAgency,MATCH($D521,rngCadetPIDs,0)),""))</f>
        <v/>
      </c>
      <c r="F521" s="16" t="n"/>
      <c r="G521" s="17">
        <f>IF($F521="","",IFERROR(INDEX(rngEPname,MATCH($F521,rngEPcode,0)),"?"))</f>
        <v/>
      </c>
      <c r="H521" s="17">
        <f>IF($F521="","",IFERROR(INDEX(rngEPtype,MATCH($F521,rngEPcode,0)),"?"))</f>
        <v/>
      </c>
      <c r="I521" s="17">
        <f>IF($F521="","",IFERROR(INDEX(rngEPseq,MATCH($F521,rngEPcode,0)),""))</f>
        <v/>
      </c>
      <c r="J521" s="17">
        <f>IF($F521="","",IFERROR(INDEX(rngEPpass,MATCH($F521,rngEPcode,0)),cfgPassingScore))</f>
        <v/>
      </c>
      <c r="K521" s="16" t="n"/>
      <c r="L521" s="16" t="n"/>
      <c r="M521" s="17">
        <f>IF($C521="","",IF($L521="","",IF(NOT(ISNUMBER($L521)),$L521,IF(N($K521)&gt;2,"",IF($K521=1,IF(COUNTIFS(nrES_PID,$D521,nrES_Code,$F521,nrES_Att,2,nrES_Raw,"&gt;=0")&gt;0,"",$L521),IF($L521&gt;=$J521,MAX($J521,cfgRetakeRecordedCap),IF(COUNTIFS(nrES_PID,$D521,nrES_Code,$F521,nrES_Att,1)=0,$L521,SUMIFS(nrES_Raw,nrES_PID,$D521,nrES_Code,$F521,nrES_Att,1))))))))</f>
        <v/>
      </c>
      <c r="N521" s="17">
        <f>IF($C521="","",IF($L521="","",IF(NOT(ISNUMBER($L521)),"(not a score)",IF($L521&gt;=$J521,"Yes","No"))))</f>
        <v/>
      </c>
      <c r="O521" s="17">
        <f>IF($C521="","",IF($M521="","",IF(NOT(ISNUMBER($M521)),"(not a score)",IF($M521&gt;=$J521,"Yes","No"))))</f>
        <v/>
      </c>
      <c r="P521" s="17">
        <f>IF($C521="","",IF($K521="","",IF(N($K521)&gt;2,"No",IF(COUNTIFS(nrES_PID,$D521,nrES_Code,$F521,nrES_Att,"&gt;"&amp;$K521,nrES_Att,"&lt;=2",nrES_Raw,"&gt;=0")=0,"Yes","No"))))</f>
        <v/>
      </c>
      <c r="Q521" s="17">
        <f>IF($C521="","",IF($L521="","",IF(AND($K521=1,ISNUMBER($L521),$L521&lt;$J521,COUNTIFS(nrES_PID,$D521,nrES_Code,$F521,nrES_Att,2,nrES_Raw,"&gt;=0")=0),"Yes","No")))</f>
        <v/>
      </c>
      <c r="R521" s="17">
        <f>IF($C521="","",IF($L521="","",IF(AND(N($K521)&gt;=2,ISNUMBER($L521),$L521&lt;$J521),"Yes","No")))</f>
        <v/>
      </c>
      <c r="S521" s="18" t="n"/>
      <c r="T521" s="19">
        <f>IF(OR($C521="",$L521="",$K521&lt;&gt;1,NOT(ISNUMBER($L521)),$L521&gt;=$J521),"",IF($S521="","(enter date)",_xlfn.LET(_xlpm.dn,_xlfn.XLOOKUP($S521,nrCDdate,nrCDnum,"",1),IF(_xlpm.dn="","(after last class day)",_xlfn.LET(_xlpm.dd,_xlfn.XLOOKUP(_xlpm.dn+cfgRetestClassDays,nrCDnum,nrCDdate,""),_xlpm.ok,_xlfn.XLOOKUP(_xlpm.dn+cfgRetestClassDays,nrCDnum,nrCDinsession,"No"),IF(OR(_xlpm.dd="",_xlpm.ok&lt;&gt;"Yes"),"(after last class day)",_xlpm.dd))))))</f>
        <v/>
      </c>
      <c r="U521" s="17">
        <f>IF($C521="","",IF(AND($Y521="Excused",$L521="",N($K521)&lt;=1),"EXCUSED - 1st attempt pending",IF(OR($L521="",$K521&lt;&gt;1,NOT(ISNUMBER($L521)),$L521&gt;=$J521),"",IF(COUNTIFS(nrES_PID,$D521,nrES_Code,$F521,nrES_Att,2,nrES_Raw,"&gt;=0")&gt;0,IF(IFERROR(_xlfn.MINIFS(nrES_Date,nrES_PID,$D521,nrES_Code,$F521,nrES_Att,2,nrES_Raw,"&gt;=0",nrES_Date,"&gt;0"),0)=0,"RETEST UNDATED",IF(NOT(ISNUMBER($T521)),"RETEST DATE UNCHECKED",IF(_xlfn.MINIFS(nrES_Date,nrES_PID,$D521,nrES_Code,$F521,nrES_Att,2,nrES_Raw,"&gt;=0",nrES_Date,"&gt;0")&gt;$T521,"LATE RETEST "&amp;TEXT(_xlfn.MINIFS(nrES_Date,nrES_PID,$D521,nrES_Code,$F521,nrES_Att,2,nrES_Raw,"&gt;=0",nrES_Date,"&gt;0"),"mm/dd")&amp;" (due "&amp;TEXT($T521,"mm/dd")&amp;")","Retested"))),IF(NOT(ISNUMBER($T521)),"CHECK DATE",IF(TODAY()&gt;$T521,"OVERDUE","Due "&amp;TEXT($T521,"mm/dd")))))))</f>
        <v/>
      </c>
      <c r="V521" s="16" t="n"/>
      <c r="W521" s="16" t="n"/>
      <c r="X521" s="17">
        <f>IF($C521="","",IF(AND($L521&lt;&gt;"",NOT(ISNUMBER($L521))),"RAW SCORE NOT A NUMBER",IF(AND(ISNUMBER($L521),OR($L521&lt;0,$L521&gt;100)),"RAW SCORE OUT OF RANGE",IF(AND($Y521="Unexcused",OR($L521="",NOT(ISNUMBER($L521)),$L521&lt;&gt;0)),"UNEXCUSED ABSENCE MUST RECORD 0",IF(COUNTIF(nrES_RecID,$B521)&gt;1,"DUPLICATE RECORD",IF(N($K521)&gt;2,"ATTEMPT 3+ NOT ALLOWED - policy 300.5 permits one retest per exam; this row records nothing",IF(AND($K521=2,COUNTIFS(nrES_PID,$D521,nrES_Code,$F521,nrES_Att,1)=0),"ATTEMPT 2 WITHOUT ATTEMPT 1",IF(AND($K521=2,$L521=""),"RETEST ROW HAS NO SCORE",IF(AND($H521="Final",$L521&lt;&gt;"",IFERROR(INDEX(nrCKfinalExamElig,MATCH($D521,rngCadetPIDs,0)),"")="No"),"FINAL EXAM AFTER FAILED FINAL PT (500.1.H)",IF(AND($K521=2,ISNUMBER($L521),COUNTIFS(nrES_PID,$D521,nrES_Code,$F521,nrES_Att,1)&gt;0,SUMIFS(nrES_Raw,nrES_PID,$D521,nrES_Code,$F521,nrES_Att,1)&gt;=$J521),"RETEST AFTER A PASSING FIRST ATTEMPT","OK"))))))))))</f>
        <v/>
      </c>
      <c r="Y521" s="16" t="n"/>
    </row>
    <row r="522">
      <c r="B522" s="17">
        <f>IF($C522="","",$D522&amp;"-"&amp;$F522&amp;"-"&amp;$K522)</f>
        <v/>
      </c>
      <c r="C522" s="16" t="n"/>
      <c r="D522" s="17">
        <f>IF($C522="","",IFERROR(INDEX(rngCadetPIDs,MATCH($C522,rngCadetNames,0)),"?"))</f>
        <v/>
      </c>
      <c r="E522" s="17">
        <f>IF($D522="","",IFERROR(INDEX(nrCadetAgency,MATCH($D522,rngCadetPIDs,0)),""))</f>
        <v/>
      </c>
      <c r="F522" s="16" t="n"/>
      <c r="G522" s="17">
        <f>IF($F522="","",IFERROR(INDEX(rngEPname,MATCH($F522,rngEPcode,0)),"?"))</f>
        <v/>
      </c>
      <c r="H522" s="17">
        <f>IF($F522="","",IFERROR(INDEX(rngEPtype,MATCH($F522,rngEPcode,0)),"?"))</f>
        <v/>
      </c>
      <c r="I522" s="17">
        <f>IF($F522="","",IFERROR(INDEX(rngEPseq,MATCH($F522,rngEPcode,0)),""))</f>
        <v/>
      </c>
      <c r="J522" s="17">
        <f>IF($F522="","",IFERROR(INDEX(rngEPpass,MATCH($F522,rngEPcode,0)),cfgPassingScore))</f>
        <v/>
      </c>
      <c r="K522" s="16" t="n"/>
      <c r="L522" s="16" t="n"/>
      <c r="M522" s="17">
        <f>IF($C522="","",IF($L522="","",IF(NOT(ISNUMBER($L522)),$L522,IF(N($K522)&gt;2,"",IF($K522=1,IF(COUNTIFS(nrES_PID,$D522,nrES_Code,$F522,nrES_Att,2,nrES_Raw,"&gt;=0")&gt;0,"",$L522),IF($L522&gt;=$J522,MAX($J522,cfgRetakeRecordedCap),IF(COUNTIFS(nrES_PID,$D522,nrES_Code,$F522,nrES_Att,1)=0,$L522,SUMIFS(nrES_Raw,nrES_PID,$D522,nrES_Code,$F522,nrES_Att,1))))))))</f>
        <v/>
      </c>
      <c r="N522" s="17">
        <f>IF($C522="","",IF($L522="","",IF(NOT(ISNUMBER($L522)),"(not a score)",IF($L522&gt;=$J522,"Yes","No"))))</f>
        <v/>
      </c>
      <c r="O522" s="17">
        <f>IF($C522="","",IF($M522="","",IF(NOT(ISNUMBER($M522)),"(not a score)",IF($M522&gt;=$J522,"Yes","No"))))</f>
        <v/>
      </c>
      <c r="P522" s="17">
        <f>IF($C522="","",IF($K522="","",IF(N($K522)&gt;2,"No",IF(COUNTIFS(nrES_PID,$D522,nrES_Code,$F522,nrES_Att,"&gt;"&amp;$K522,nrES_Att,"&lt;=2",nrES_Raw,"&gt;=0")=0,"Yes","No"))))</f>
        <v/>
      </c>
      <c r="Q522" s="17">
        <f>IF($C522="","",IF($L522="","",IF(AND($K522=1,ISNUMBER($L522),$L522&lt;$J522,COUNTIFS(nrES_PID,$D522,nrES_Code,$F522,nrES_Att,2,nrES_Raw,"&gt;=0")=0),"Yes","No")))</f>
        <v/>
      </c>
      <c r="R522" s="17">
        <f>IF($C522="","",IF($L522="","",IF(AND(N($K522)&gt;=2,ISNUMBER($L522),$L522&lt;$J522),"Yes","No")))</f>
        <v/>
      </c>
      <c r="S522" s="18" t="n"/>
      <c r="T522" s="19">
        <f>IF(OR($C522="",$L522="",$K522&lt;&gt;1,NOT(ISNUMBER($L522)),$L522&gt;=$J522),"",IF($S522="","(enter date)",_xlfn.LET(_xlpm.dn,_xlfn.XLOOKUP($S522,nrCDdate,nrCDnum,"",1),IF(_xlpm.dn="","(after last class day)",_xlfn.LET(_xlpm.dd,_xlfn.XLOOKUP(_xlpm.dn+cfgRetestClassDays,nrCDnum,nrCDdate,""),_xlpm.ok,_xlfn.XLOOKUP(_xlpm.dn+cfgRetestClassDays,nrCDnum,nrCDinsession,"No"),IF(OR(_xlpm.dd="",_xlpm.ok&lt;&gt;"Yes"),"(after last class day)",_xlpm.dd))))))</f>
        <v/>
      </c>
      <c r="U522" s="17">
        <f>IF($C522="","",IF(AND($Y522="Excused",$L522="",N($K522)&lt;=1),"EXCUSED - 1st attempt pending",IF(OR($L522="",$K522&lt;&gt;1,NOT(ISNUMBER($L522)),$L522&gt;=$J522),"",IF(COUNTIFS(nrES_PID,$D522,nrES_Code,$F522,nrES_Att,2,nrES_Raw,"&gt;=0")&gt;0,IF(IFERROR(_xlfn.MINIFS(nrES_Date,nrES_PID,$D522,nrES_Code,$F522,nrES_Att,2,nrES_Raw,"&gt;=0",nrES_Date,"&gt;0"),0)=0,"RETEST UNDATED",IF(NOT(ISNUMBER($T522)),"RETEST DATE UNCHECKED",IF(_xlfn.MINIFS(nrES_Date,nrES_PID,$D522,nrES_Code,$F522,nrES_Att,2,nrES_Raw,"&gt;=0",nrES_Date,"&gt;0")&gt;$T522,"LATE RETEST "&amp;TEXT(_xlfn.MINIFS(nrES_Date,nrES_PID,$D522,nrES_Code,$F522,nrES_Att,2,nrES_Raw,"&gt;=0",nrES_Date,"&gt;0"),"mm/dd")&amp;" (due "&amp;TEXT($T522,"mm/dd")&amp;")","Retested"))),IF(NOT(ISNUMBER($T522)),"CHECK DATE",IF(TODAY()&gt;$T522,"OVERDUE","Due "&amp;TEXT($T522,"mm/dd")))))))</f>
        <v/>
      </c>
      <c r="V522" s="16" t="n"/>
      <c r="W522" s="16" t="n"/>
      <c r="X522" s="17">
        <f>IF($C522="","",IF(AND($L522&lt;&gt;"",NOT(ISNUMBER($L522))),"RAW SCORE NOT A NUMBER",IF(AND(ISNUMBER($L522),OR($L522&lt;0,$L522&gt;100)),"RAW SCORE OUT OF RANGE",IF(AND($Y522="Unexcused",OR($L522="",NOT(ISNUMBER($L522)),$L522&lt;&gt;0)),"UNEXCUSED ABSENCE MUST RECORD 0",IF(COUNTIF(nrES_RecID,$B522)&gt;1,"DUPLICATE RECORD",IF(N($K522)&gt;2,"ATTEMPT 3+ NOT ALLOWED - policy 300.5 permits one retest per exam; this row records nothing",IF(AND($K522=2,COUNTIFS(nrES_PID,$D522,nrES_Code,$F522,nrES_Att,1)=0),"ATTEMPT 2 WITHOUT ATTEMPT 1",IF(AND($K522=2,$L522=""),"RETEST ROW HAS NO SCORE",IF(AND($H522="Final",$L522&lt;&gt;"",IFERROR(INDEX(nrCKfinalExamElig,MATCH($D522,rngCadetPIDs,0)),"")="No"),"FINAL EXAM AFTER FAILED FINAL PT (500.1.H)",IF(AND($K522=2,ISNUMBER($L522),COUNTIFS(nrES_PID,$D522,nrES_Code,$F522,nrES_Att,1)&gt;0,SUMIFS(nrES_Raw,nrES_PID,$D522,nrES_Code,$F522,nrES_Att,1)&gt;=$J522),"RETEST AFTER A PASSING FIRST ATTEMPT","OK"))))))))))</f>
        <v/>
      </c>
      <c r="Y522" s="16" t="n"/>
    </row>
    <row r="523">
      <c r="B523" s="17">
        <f>IF($C523="","",$D523&amp;"-"&amp;$F523&amp;"-"&amp;$K523)</f>
        <v/>
      </c>
      <c r="C523" s="16" t="n"/>
      <c r="D523" s="17">
        <f>IF($C523="","",IFERROR(INDEX(rngCadetPIDs,MATCH($C523,rngCadetNames,0)),"?"))</f>
        <v/>
      </c>
      <c r="E523" s="17">
        <f>IF($D523="","",IFERROR(INDEX(nrCadetAgency,MATCH($D523,rngCadetPIDs,0)),""))</f>
        <v/>
      </c>
      <c r="F523" s="16" t="n"/>
      <c r="G523" s="17">
        <f>IF($F523="","",IFERROR(INDEX(rngEPname,MATCH($F523,rngEPcode,0)),"?"))</f>
        <v/>
      </c>
      <c r="H523" s="17">
        <f>IF($F523="","",IFERROR(INDEX(rngEPtype,MATCH($F523,rngEPcode,0)),"?"))</f>
        <v/>
      </c>
      <c r="I523" s="17">
        <f>IF($F523="","",IFERROR(INDEX(rngEPseq,MATCH($F523,rngEPcode,0)),""))</f>
        <v/>
      </c>
      <c r="J523" s="17">
        <f>IF($F523="","",IFERROR(INDEX(rngEPpass,MATCH($F523,rngEPcode,0)),cfgPassingScore))</f>
        <v/>
      </c>
      <c r="K523" s="16" t="n"/>
      <c r="L523" s="16" t="n"/>
      <c r="M523" s="17">
        <f>IF($C523="","",IF($L523="","",IF(NOT(ISNUMBER($L523)),$L523,IF(N($K523)&gt;2,"",IF($K523=1,IF(COUNTIFS(nrES_PID,$D523,nrES_Code,$F523,nrES_Att,2,nrES_Raw,"&gt;=0")&gt;0,"",$L523),IF($L523&gt;=$J523,MAX($J523,cfgRetakeRecordedCap),IF(COUNTIFS(nrES_PID,$D523,nrES_Code,$F523,nrES_Att,1)=0,$L523,SUMIFS(nrES_Raw,nrES_PID,$D523,nrES_Code,$F523,nrES_Att,1))))))))</f>
        <v/>
      </c>
      <c r="N523" s="17">
        <f>IF($C523="","",IF($L523="","",IF(NOT(ISNUMBER($L523)),"(not a score)",IF($L523&gt;=$J523,"Yes","No"))))</f>
        <v/>
      </c>
      <c r="O523" s="17">
        <f>IF($C523="","",IF($M523="","",IF(NOT(ISNUMBER($M523)),"(not a score)",IF($M523&gt;=$J523,"Yes","No"))))</f>
        <v/>
      </c>
      <c r="P523" s="17">
        <f>IF($C523="","",IF($K523="","",IF(N($K523)&gt;2,"No",IF(COUNTIFS(nrES_PID,$D523,nrES_Code,$F523,nrES_Att,"&gt;"&amp;$K523,nrES_Att,"&lt;=2",nrES_Raw,"&gt;=0")=0,"Yes","No"))))</f>
        <v/>
      </c>
      <c r="Q523" s="17">
        <f>IF($C523="","",IF($L523="","",IF(AND($K523=1,ISNUMBER($L523),$L523&lt;$J523,COUNTIFS(nrES_PID,$D523,nrES_Code,$F523,nrES_Att,2,nrES_Raw,"&gt;=0")=0),"Yes","No")))</f>
        <v/>
      </c>
      <c r="R523" s="17">
        <f>IF($C523="","",IF($L523="","",IF(AND(N($K523)&gt;=2,ISNUMBER($L523),$L523&lt;$J523),"Yes","No")))</f>
        <v/>
      </c>
      <c r="S523" s="18" t="n"/>
      <c r="T523" s="19">
        <f>IF(OR($C523="",$L523="",$K523&lt;&gt;1,NOT(ISNUMBER($L523)),$L523&gt;=$J523),"",IF($S523="","(enter date)",_xlfn.LET(_xlpm.dn,_xlfn.XLOOKUP($S523,nrCDdate,nrCDnum,"",1),IF(_xlpm.dn="","(after last class day)",_xlfn.LET(_xlpm.dd,_xlfn.XLOOKUP(_xlpm.dn+cfgRetestClassDays,nrCDnum,nrCDdate,""),_xlpm.ok,_xlfn.XLOOKUP(_xlpm.dn+cfgRetestClassDays,nrCDnum,nrCDinsession,"No"),IF(OR(_xlpm.dd="",_xlpm.ok&lt;&gt;"Yes"),"(after last class day)",_xlpm.dd))))))</f>
        <v/>
      </c>
      <c r="U523" s="17">
        <f>IF($C523="","",IF(AND($Y523="Excused",$L523="",N($K523)&lt;=1),"EXCUSED - 1st attempt pending",IF(OR($L523="",$K523&lt;&gt;1,NOT(ISNUMBER($L523)),$L523&gt;=$J523),"",IF(COUNTIFS(nrES_PID,$D523,nrES_Code,$F523,nrES_Att,2,nrES_Raw,"&gt;=0")&gt;0,IF(IFERROR(_xlfn.MINIFS(nrES_Date,nrES_PID,$D523,nrES_Code,$F523,nrES_Att,2,nrES_Raw,"&gt;=0",nrES_Date,"&gt;0"),0)=0,"RETEST UNDATED",IF(NOT(ISNUMBER($T523)),"RETEST DATE UNCHECKED",IF(_xlfn.MINIFS(nrES_Date,nrES_PID,$D523,nrES_Code,$F523,nrES_Att,2,nrES_Raw,"&gt;=0",nrES_Date,"&gt;0")&gt;$T523,"LATE RETEST "&amp;TEXT(_xlfn.MINIFS(nrES_Date,nrES_PID,$D523,nrES_Code,$F523,nrES_Att,2,nrES_Raw,"&gt;=0",nrES_Date,"&gt;0"),"mm/dd")&amp;" (due "&amp;TEXT($T523,"mm/dd")&amp;")","Retested"))),IF(NOT(ISNUMBER($T523)),"CHECK DATE",IF(TODAY()&gt;$T523,"OVERDUE","Due "&amp;TEXT($T523,"mm/dd")))))))</f>
        <v/>
      </c>
      <c r="V523" s="16" t="n"/>
      <c r="W523" s="16" t="n"/>
      <c r="X523" s="17">
        <f>IF($C523="","",IF(AND($L523&lt;&gt;"",NOT(ISNUMBER($L523))),"RAW SCORE NOT A NUMBER",IF(AND(ISNUMBER($L523),OR($L523&lt;0,$L523&gt;100)),"RAW SCORE OUT OF RANGE",IF(AND($Y523="Unexcused",OR($L523="",NOT(ISNUMBER($L523)),$L523&lt;&gt;0)),"UNEXCUSED ABSENCE MUST RECORD 0",IF(COUNTIF(nrES_RecID,$B523)&gt;1,"DUPLICATE RECORD",IF(N($K523)&gt;2,"ATTEMPT 3+ NOT ALLOWED - policy 300.5 permits one retest per exam; this row records nothing",IF(AND($K523=2,COUNTIFS(nrES_PID,$D523,nrES_Code,$F523,nrES_Att,1)=0),"ATTEMPT 2 WITHOUT ATTEMPT 1",IF(AND($K523=2,$L523=""),"RETEST ROW HAS NO SCORE",IF(AND($H523="Final",$L523&lt;&gt;"",IFERROR(INDEX(nrCKfinalExamElig,MATCH($D523,rngCadetPIDs,0)),"")="No"),"FINAL EXAM AFTER FAILED FINAL PT (500.1.H)",IF(AND($K523=2,ISNUMBER($L523),COUNTIFS(nrES_PID,$D523,nrES_Code,$F523,nrES_Att,1)&gt;0,SUMIFS(nrES_Raw,nrES_PID,$D523,nrES_Code,$F523,nrES_Att,1)&gt;=$J523),"RETEST AFTER A PASSING FIRST ATTEMPT","OK"))))))))))</f>
        <v/>
      </c>
      <c r="Y523" s="16" t="n"/>
    </row>
    <row r="524">
      <c r="B524" s="17">
        <f>IF($C524="","",$D524&amp;"-"&amp;$F524&amp;"-"&amp;$K524)</f>
        <v/>
      </c>
      <c r="C524" s="16" t="n"/>
      <c r="D524" s="17">
        <f>IF($C524="","",IFERROR(INDEX(rngCadetPIDs,MATCH($C524,rngCadetNames,0)),"?"))</f>
        <v/>
      </c>
      <c r="E524" s="17">
        <f>IF($D524="","",IFERROR(INDEX(nrCadetAgency,MATCH($D524,rngCadetPIDs,0)),""))</f>
        <v/>
      </c>
      <c r="F524" s="16" t="n"/>
      <c r="G524" s="17">
        <f>IF($F524="","",IFERROR(INDEX(rngEPname,MATCH($F524,rngEPcode,0)),"?"))</f>
        <v/>
      </c>
      <c r="H524" s="17">
        <f>IF($F524="","",IFERROR(INDEX(rngEPtype,MATCH($F524,rngEPcode,0)),"?"))</f>
        <v/>
      </c>
      <c r="I524" s="17">
        <f>IF($F524="","",IFERROR(INDEX(rngEPseq,MATCH($F524,rngEPcode,0)),""))</f>
        <v/>
      </c>
      <c r="J524" s="17">
        <f>IF($F524="","",IFERROR(INDEX(rngEPpass,MATCH($F524,rngEPcode,0)),cfgPassingScore))</f>
        <v/>
      </c>
      <c r="K524" s="16" t="n"/>
      <c r="L524" s="16" t="n"/>
      <c r="M524" s="17">
        <f>IF($C524="","",IF($L524="","",IF(NOT(ISNUMBER($L524)),$L524,IF(N($K524)&gt;2,"",IF($K524=1,IF(COUNTIFS(nrES_PID,$D524,nrES_Code,$F524,nrES_Att,2,nrES_Raw,"&gt;=0")&gt;0,"",$L524),IF($L524&gt;=$J524,MAX($J524,cfgRetakeRecordedCap),IF(COUNTIFS(nrES_PID,$D524,nrES_Code,$F524,nrES_Att,1)=0,$L524,SUMIFS(nrES_Raw,nrES_PID,$D524,nrES_Code,$F524,nrES_Att,1))))))))</f>
        <v/>
      </c>
      <c r="N524" s="17">
        <f>IF($C524="","",IF($L524="","",IF(NOT(ISNUMBER($L524)),"(not a score)",IF($L524&gt;=$J524,"Yes","No"))))</f>
        <v/>
      </c>
      <c r="O524" s="17">
        <f>IF($C524="","",IF($M524="","",IF(NOT(ISNUMBER($M524)),"(not a score)",IF($M524&gt;=$J524,"Yes","No"))))</f>
        <v/>
      </c>
      <c r="P524" s="17">
        <f>IF($C524="","",IF($K524="","",IF(N($K524)&gt;2,"No",IF(COUNTIFS(nrES_PID,$D524,nrES_Code,$F524,nrES_Att,"&gt;"&amp;$K524,nrES_Att,"&lt;=2",nrES_Raw,"&gt;=0")=0,"Yes","No"))))</f>
        <v/>
      </c>
      <c r="Q524" s="17">
        <f>IF($C524="","",IF($L524="","",IF(AND($K524=1,ISNUMBER($L524),$L524&lt;$J524,COUNTIFS(nrES_PID,$D524,nrES_Code,$F524,nrES_Att,2,nrES_Raw,"&gt;=0")=0),"Yes","No")))</f>
        <v/>
      </c>
      <c r="R524" s="17">
        <f>IF($C524="","",IF($L524="","",IF(AND(N($K524)&gt;=2,ISNUMBER($L524),$L524&lt;$J524),"Yes","No")))</f>
        <v/>
      </c>
      <c r="S524" s="18" t="n"/>
      <c r="T524" s="19">
        <f>IF(OR($C524="",$L524="",$K524&lt;&gt;1,NOT(ISNUMBER($L524)),$L524&gt;=$J524),"",IF($S524="","(enter date)",_xlfn.LET(_xlpm.dn,_xlfn.XLOOKUP($S524,nrCDdate,nrCDnum,"",1),IF(_xlpm.dn="","(after last class day)",_xlfn.LET(_xlpm.dd,_xlfn.XLOOKUP(_xlpm.dn+cfgRetestClassDays,nrCDnum,nrCDdate,""),_xlpm.ok,_xlfn.XLOOKUP(_xlpm.dn+cfgRetestClassDays,nrCDnum,nrCDinsession,"No"),IF(OR(_xlpm.dd="",_xlpm.ok&lt;&gt;"Yes"),"(after last class day)",_xlpm.dd))))))</f>
        <v/>
      </c>
      <c r="U524" s="17">
        <f>IF($C524="","",IF(AND($Y524="Excused",$L524="",N($K524)&lt;=1),"EXCUSED - 1st attempt pending",IF(OR($L524="",$K524&lt;&gt;1,NOT(ISNUMBER($L524)),$L524&gt;=$J524),"",IF(COUNTIFS(nrES_PID,$D524,nrES_Code,$F524,nrES_Att,2,nrES_Raw,"&gt;=0")&gt;0,IF(IFERROR(_xlfn.MINIFS(nrES_Date,nrES_PID,$D524,nrES_Code,$F524,nrES_Att,2,nrES_Raw,"&gt;=0",nrES_Date,"&gt;0"),0)=0,"RETEST UNDATED",IF(NOT(ISNUMBER($T524)),"RETEST DATE UNCHECKED",IF(_xlfn.MINIFS(nrES_Date,nrES_PID,$D524,nrES_Code,$F524,nrES_Att,2,nrES_Raw,"&gt;=0",nrES_Date,"&gt;0")&gt;$T524,"LATE RETEST "&amp;TEXT(_xlfn.MINIFS(nrES_Date,nrES_PID,$D524,nrES_Code,$F524,nrES_Att,2,nrES_Raw,"&gt;=0",nrES_Date,"&gt;0"),"mm/dd")&amp;" (due "&amp;TEXT($T524,"mm/dd")&amp;")","Retested"))),IF(NOT(ISNUMBER($T524)),"CHECK DATE",IF(TODAY()&gt;$T524,"OVERDUE","Due "&amp;TEXT($T524,"mm/dd")))))))</f>
        <v/>
      </c>
      <c r="V524" s="16" t="n"/>
      <c r="W524" s="16" t="n"/>
      <c r="X524" s="17">
        <f>IF($C524="","",IF(AND($L524&lt;&gt;"",NOT(ISNUMBER($L524))),"RAW SCORE NOT A NUMBER",IF(AND(ISNUMBER($L524),OR($L524&lt;0,$L524&gt;100)),"RAW SCORE OUT OF RANGE",IF(AND($Y524="Unexcused",OR($L524="",NOT(ISNUMBER($L524)),$L524&lt;&gt;0)),"UNEXCUSED ABSENCE MUST RECORD 0",IF(COUNTIF(nrES_RecID,$B524)&gt;1,"DUPLICATE RECORD",IF(N($K524)&gt;2,"ATTEMPT 3+ NOT ALLOWED - policy 300.5 permits one retest per exam; this row records nothing",IF(AND($K524=2,COUNTIFS(nrES_PID,$D524,nrES_Code,$F524,nrES_Att,1)=0),"ATTEMPT 2 WITHOUT ATTEMPT 1",IF(AND($K524=2,$L524=""),"RETEST ROW HAS NO SCORE",IF(AND($H524="Final",$L524&lt;&gt;"",IFERROR(INDEX(nrCKfinalExamElig,MATCH($D524,rngCadetPIDs,0)),"")="No"),"FINAL EXAM AFTER FAILED FINAL PT (500.1.H)",IF(AND($K524=2,ISNUMBER($L524),COUNTIFS(nrES_PID,$D524,nrES_Code,$F524,nrES_Att,1)&gt;0,SUMIFS(nrES_Raw,nrES_PID,$D524,nrES_Code,$F524,nrES_Att,1)&gt;=$J524),"RETEST AFTER A PASSING FIRST ATTEMPT","OK"))))))))))</f>
        <v/>
      </c>
      <c r="Y524" s="16" t="n"/>
    </row>
    <row r="525">
      <c r="B525" s="17">
        <f>IF($C525="","",$D525&amp;"-"&amp;$F525&amp;"-"&amp;$K525)</f>
        <v/>
      </c>
      <c r="C525" s="16" t="n"/>
      <c r="D525" s="17">
        <f>IF($C525="","",IFERROR(INDEX(rngCadetPIDs,MATCH($C525,rngCadetNames,0)),"?"))</f>
        <v/>
      </c>
      <c r="E525" s="17">
        <f>IF($D525="","",IFERROR(INDEX(nrCadetAgency,MATCH($D525,rngCadetPIDs,0)),""))</f>
        <v/>
      </c>
      <c r="F525" s="16" t="n"/>
      <c r="G525" s="17">
        <f>IF($F525="","",IFERROR(INDEX(rngEPname,MATCH($F525,rngEPcode,0)),"?"))</f>
        <v/>
      </c>
      <c r="H525" s="17">
        <f>IF($F525="","",IFERROR(INDEX(rngEPtype,MATCH($F525,rngEPcode,0)),"?"))</f>
        <v/>
      </c>
      <c r="I525" s="17">
        <f>IF($F525="","",IFERROR(INDEX(rngEPseq,MATCH($F525,rngEPcode,0)),""))</f>
        <v/>
      </c>
      <c r="J525" s="17">
        <f>IF($F525="","",IFERROR(INDEX(rngEPpass,MATCH($F525,rngEPcode,0)),cfgPassingScore))</f>
        <v/>
      </c>
      <c r="K525" s="16" t="n"/>
      <c r="L525" s="16" t="n"/>
      <c r="M525" s="17">
        <f>IF($C525="","",IF($L525="","",IF(NOT(ISNUMBER($L525)),$L525,IF(N($K525)&gt;2,"",IF($K525=1,IF(COUNTIFS(nrES_PID,$D525,nrES_Code,$F525,nrES_Att,2,nrES_Raw,"&gt;=0")&gt;0,"",$L525),IF($L525&gt;=$J525,MAX($J525,cfgRetakeRecordedCap),IF(COUNTIFS(nrES_PID,$D525,nrES_Code,$F525,nrES_Att,1)=0,$L525,SUMIFS(nrES_Raw,nrES_PID,$D525,nrES_Code,$F525,nrES_Att,1))))))))</f>
        <v/>
      </c>
      <c r="N525" s="17">
        <f>IF($C525="","",IF($L525="","",IF(NOT(ISNUMBER($L525)),"(not a score)",IF($L525&gt;=$J525,"Yes","No"))))</f>
        <v/>
      </c>
      <c r="O525" s="17">
        <f>IF($C525="","",IF($M525="","",IF(NOT(ISNUMBER($M525)),"(not a score)",IF($M525&gt;=$J525,"Yes","No"))))</f>
        <v/>
      </c>
      <c r="P525" s="17">
        <f>IF($C525="","",IF($K525="","",IF(N($K525)&gt;2,"No",IF(COUNTIFS(nrES_PID,$D525,nrES_Code,$F525,nrES_Att,"&gt;"&amp;$K525,nrES_Att,"&lt;=2",nrES_Raw,"&gt;=0")=0,"Yes","No"))))</f>
        <v/>
      </c>
      <c r="Q525" s="17">
        <f>IF($C525="","",IF($L525="","",IF(AND($K525=1,ISNUMBER($L525),$L525&lt;$J525,COUNTIFS(nrES_PID,$D525,nrES_Code,$F525,nrES_Att,2,nrES_Raw,"&gt;=0")=0),"Yes","No")))</f>
        <v/>
      </c>
      <c r="R525" s="17">
        <f>IF($C525="","",IF($L525="","",IF(AND(N($K525)&gt;=2,ISNUMBER($L525),$L525&lt;$J525),"Yes","No")))</f>
        <v/>
      </c>
      <c r="S525" s="18" t="n"/>
      <c r="T525" s="19">
        <f>IF(OR($C525="",$L525="",$K525&lt;&gt;1,NOT(ISNUMBER($L525)),$L525&gt;=$J525),"",IF($S525="","(enter date)",_xlfn.LET(_xlpm.dn,_xlfn.XLOOKUP($S525,nrCDdate,nrCDnum,"",1),IF(_xlpm.dn="","(after last class day)",_xlfn.LET(_xlpm.dd,_xlfn.XLOOKUP(_xlpm.dn+cfgRetestClassDays,nrCDnum,nrCDdate,""),_xlpm.ok,_xlfn.XLOOKUP(_xlpm.dn+cfgRetestClassDays,nrCDnum,nrCDinsession,"No"),IF(OR(_xlpm.dd="",_xlpm.ok&lt;&gt;"Yes"),"(after last class day)",_xlpm.dd))))))</f>
        <v/>
      </c>
      <c r="U525" s="17">
        <f>IF($C525="","",IF(AND($Y525="Excused",$L525="",N($K525)&lt;=1),"EXCUSED - 1st attempt pending",IF(OR($L525="",$K525&lt;&gt;1,NOT(ISNUMBER($L525)),$L525&gt;=$J525),"",IF(COUNTIFS(nrES_PID,$D525,nrES_Code,$F525,nrES_Att,2,nrES_Raw,"&gt;=0")&gt;0,IF(IFERROR(_xlfn.MINIFS(nrES_Date,nrES_PID,$D525,nrES_Code,$F525,nrES_Att,2,nrES_Raw,"&gt;=0",nrES_Date,"&gt;0"),0)=0,"RETEST UNDATED",IF(NOT(ISNUMBER($T525)),"RETEST DATE UNCHECKED",IF(_xlfn.MINIFS(nrES_Date,nrES_PID,$D525,nrES_Code,$F525,nrES_Att,2,nrES_Raw,"&gt;=0",nrES_Date,"&gt;0")&gt;$T525,"LATE RETEST "&amp;TEXT(_xlfn.MINIFS(nrES_Date,nrES_PID,$D525,nrES_Code,$F525,nrES_Att,2,nrES_Raw,"&gt;=0",nrES_Date,"&gt;0"),"mm/dd")&amp;" (due "&amp;TEXT($T525,"mm/dd")&amp;")","Retested"))),IF(NOT(ISNUMBER($T525)),"CHECK DATE",IF(TODAY()&gt;$T525,"OVERDUE","Due "&amp;TEXT($T525,"mm/dd")))))))</f>
        <v/>
      </c>
      <c r="V525" s="16" t="n"/>
      <c r="W525" s="16" t="n"/>
      <c r="X525" s="17">
        <f>IF($C525="","",IF(AND($L525&lt;&gt;"",NOT(ISNUMBER($L525))),"RAW SCORE NOT A NUMBER",IF(AND(ISNUMBER($L525),OR($L525&lt;0,$L525&gt;100)),"RAW SCORE OUT OF RANGE",IF(AND($Y525="Unexcused",OR($L525="",NOT(ISNUMBER($L525)),$L525&lt;&gt;0)),"UNEXCUSED ABSENCE MUST RECORD 0",IF(COUNTIF(nrES_RecID,$B525)&gt;1,"DUPLICATE RECORD",IF(N($K525)&gt;2,"ATTEMPT 3+ NOT ALLOWED - policy 300.5 permits one retest per exam; this row records nothing",IF(AND($K525=2,COUNTIFS(nrES_PID,$D525,nrES_Code,$F525,nrES_Att,1)=0),"ATTEMPT 2 WITHOUT ATTEMPT 1",IF(AND($K525=2,$L525=""),"RETEST ROW HAS NO SCORE",IF(AND($H525="Final",$L525&lt;&gt;"",IFERROR(INDEX(nrCKfinalExamElig,MATCH($D525,rngCadetPIDs,0)),"")="No"),"FINAL EXAM AFTER FAILED FINAL PT (500.1.H)",IF(AND($K525=2,ISNUMBER($L525),COUNTIFS(nrES_PID,$D525,nrES_Code,$F525,nrES_Att,1)&gt;0,SUMIFS(nrES_Raw,nrES_PID,$D525,nrES_Code,$F525,nrES_Att,1)&gt;=$J525),"RETEST AFTER A PASSING FIRST ATTEMPT","OK"))))))))))</f>
        <v/>
      </c>
      <c r="Y525" s="16" t="n"/>
    </row>
    <row r="526">
      <c r="B526" s="17">
        <f>IF($C526="","",$D526&amp;"-"&amp;$F526&amp;"-"&amp;$K526)</f>
        <v/>
      </c>
      <c r="C526" s="16" t="n"/>
      <c r="D526" s="17">
        <f>IF($C526="","",IFERROR(INDEX(rngCadetPIDs,MATCH($C526,rngCadetNames,0)),"?"))</f>
        <v/>
      </c>
      <c r="E526" s="17">
        <f>IF($D526="","",IFERROR(INDEX(nrCadetAgency,MATCH($D526,rngCadetPIDs,0)),""))</f>
        <v/>
      </c>
      <c r="F526" s="16" t="n"/>
      <c r="G526" s="17">
        <f>IF($F526="","",IFERROR(INDEX(rngEPname,MATCH($F526,rngEPcode,0)),"?"))</f>
        <v/>
      </c>
      <c r="H526" s="17">
        <f>IF($F526="","",IFERROR(INDEX(rngEPtype,MATCH($F526,rngEPcode,0)),"?"))</f>
        <v/>
      </c>
      <c r="I526" s="17">
        <f>IF($F526="","",IFERROR(INDEX(rngEPseq,MATCH($F526,rngEPcode,0)),""))</f>
        <v/>
      </c>
      <c r="J526" s="17">
        <f>IF($F526="","",IFERROR(INDEX(rngEPpass,MATCH($F526,rngEPcode,0)),cfgPassingScore))</f>
        <v/>
      </c>
      <c r="K526" s="16" t="n"/>
      <c r="L526" s="16" t="n"/>
      <c r="M526" s="17">
        <f>IF($C526="","",IF($L526="","",IF(NOT(ISNUMBER($L526)),$L526,IF(N($K526)&gt;2,"",IF($K526=1,IF(COUNTIFS(nrES_PID,$D526,nrES_Code,$F526,nrES_Att,2,nrES_Raw,"&gt;=0")&gt;0,"",$L526),IF($L526&gt;=$J526,MAX($J526,cfgRetakeRecordedCap),IF(COUNTIFS(nrES_PID,$D526,nrES_Code,$F526,nrES_Att,1)=0,$L526,SUMIFS(nrES_Raw,nrES_PID,$D526,nrES_Code,$F526,nrES_Att,1))))))))</f>
        <v/>
      </c>
      <c r="N526" s="17">
        <f>IF($C526="","",IF($L526="","",IF(NOT(ISNUMBER($L526)),"(not a score)",IF($L526&gt;=$J526,"Yes","No"))))</f>
        <v/>
      </c>
      <c r="O526" s="17">
        <f>IF($C526="","",IF($M526="","",IF(NOT(ISNUMBER($M526)),"(not a score)",IF($M526&gt;=$J526,"Yes","No"))))</f>
        <v/>
      </c>
      <c r="P526" s="17">
        <f>IF($C526="","",IF($K526="","",IF(N($K526)&gt;2,"No",IF(COUNTIFS(nrES_PID,$D526,nrES_Code,$F526,nrES_Att,"&gt;"&amp;$K526,nrES_Att,"&lt;=2",nrES_Raw,"&gt;=0")=0,"Yes","No"))))</f>
        <v/>
      </c>
      <c r="Q526" s="17">
        <f>IF($C526="","",IF($L526="","",IF(AND($K526=1,ISNUMBER($L526),$L526&lt;$J526,COUNTIFS(nrES_PID,$D526,nrES_Code,$F526,nrES_Att,2,nrES_Raw,"&gt;=0")=0),"Yes","No")))</f>
        <v/>
      </c>
      <c r="R526" s="17">
        <f>IF($C526="","",IF($L526="","",IF(AND(N($K526)&gt;=2,ISNUMBER($L526),$L526&lt;$J526),"Yes","No")))</f>
        <v/>
      </c>
      <c r="S526" s="18" t="n"/>
      <c r="T526" s="19">
        <f>IF(OR($C526="",$L526="",$K526&lt;&gt;1,NOT(ISNUMBER($L526)),$L526&gt;=$J526),"",IF($S526="","(enter date)",_xlfn.LET(_xlpm.dn,_xlfn.XLOOKUP($S526,nrCDdate,nrCDnum,"",1),IF(_xlpm.dn="","(after last class day)",_xlfn.LET(_xlpm.dd,_xlfn.XLOOKUP(_xlpm.dn+cfgRetestClassDays,nrCDnum,nrCDdate,""),_xlpm.ok,_xlfn.XLOOKUP(_xlpm.dn+cfgRetestClassDays,nrCDnum,nrCDinsession,"No"),IF(OR(_xlpm.dd="",_xlpm.ok&lt;&gt;"Yes"),"(after last class day)",_xlpm.dd))))))</f>
        <v/>
      </c>
      <c r="U526" s="17">
        <f>IF($C526="","",IF(AND($Y526="Excused",$L526="",N($K526)&lt;=1),"EXCUSED - 1st attempt pending",IF(OR($L526="",$K526&lt;&gt;1,NOT(ISNUMBER($L526)),$L526&gt;=$J526),"",IF(COUNTIFS(nrES_PID,$D526,nrES_Code,$F526,nrES_Att,2,nrES_Raw,"&gt;=0")&gt;0,IF(IFERROR(_xlfn.MINIFS(nrES_Date,nrES_PID,$D526,nrES_Code,$F526,nrES_Att,2,nrES_Raw,"&gt;=0",nrES_Date,"&gt;0"),0)=0,"RETEST UNDATED",IF(NOT(ISNUMBER($T526)),"RETEST DATE UNCHECKED",IF(_xlfn.MINIFS(nrES_Date,nrES_PID,$D526,nrES_Code,$F526,nrES_Att,2,nrES_Raw,"&gt;=0",nrES_Date,"&gt;0")&gt;$T526,"LATE RETEST "&amp;TEXT(_xlfn.MINIFS(nrES_Date,nrES_PID,$D526,nrES_Code,$F526,nrES_Att,2,nrES_Raw,"&gt;=0",nrES_Date,"&gt;0"),"mm/dd")&amp;" (due "&amp;TEXT($T526,"mm/dd")&amp;")","Retested"))),IF(NOT(ISNUMBER($T526)),"CHECK DATE",IF(TODAY()&gt;$T526,"OVERDUE","Due "&amp;TEXT($T526,"mm/dd")))))))</f>
        <v/>
      </c>
      <c r="V526" s="16" t="n"/>
      <c r="W526" s="16" t="n"/>
      <c r="X526" s="17">
        <f>IF($C526="","",IF(AND($L526&lt;&gt;"",NOT(ISNUMBER($L526))),"RAW SCORE NOT A NUMBER",IF(AND(ISNUMBER($L526),OR($L526&lt;0,$L526&gt;100)),"RAW SCORE OUT OF RANGE",IF(AND($Y526="Unexcused",OR($L526="",NOT(ISNUMBER($L526)),$L526&lt;&gt;0)),"UNEXCUSED ABSENCE MUST RECORD 0",IF(COUNTIF(nrES_RecID,$B526)&gt;1,"DUPLICATE RECORD",IF(N($K526)&gt;2,"ATTEMPT 3+ NOT ALLOWED - policy 300.5 permits one retest per exam; this row records nothing",IF(AND($K526=2,COUNTIFS(nrES_PID,$D526,nrES_Code,$F526,nrES_Att,1)=0),"ATTEMPT 2 WITHOUT ATTEMPT 1",IF(AND($K526=2,$L526=""),"RETEST ROW HAS NO SCORE",IF(AND($H526="Final",$L526&lt;&gt;"",IFERROR(INDEX(nrCKfinalExamElig,MATCH($D526,rngCadetPIDs,0)),"")="No"),"FINAL EXAM AFTER FAILED FINAL PT (500.1.H)",IF(AND($K526=2,ISNUMBER($L526),COUNTIFS(nrES_PID,$D526,nrES_Code,$F526,nrES_Att,1)&gt;0,SUMIFS(nrES_Raw,nrES_PID,$D526,nrES_Code,$F526,nrES_Att,1)&gt;=$J526),"RETEST AFTER A PASSING FIRST ATTEMPT","OK"))))))))))</f>
        <v/>
      </c>
      <c r="Y526" s="16" t="n"/>
    </row>
    <row r="527">
      <c r="B527" s="17">
        <f>IF($C527="","",$D527&amp;"-"&amp;$F527&amp;"-"&amp;$K527)</f>
        <v/>
      </c>
      <c r="C527" s="16" t="n"/>
      <c r="D527" s="17">
        <f>IF($C527="","",IFERROR(INDEX(rngCadetPIDs,MATCH($C527,rngCadetNames,0)),"?"))</f>
        <v/>
      </c>
      <c r="E527" s="17">
        <f>IF($D527="","",IFERROR(INDEX(nrCadetAgency,MATCH($D527,rngCadetPIDs,0)),""))</f>
        <v/>
      </c>
      <c r="F527" s="16" t="n"/>
      <c r="G527" s="17">
        <f>IF($F527="","",IFERROR(INDEX(rngEPname,MATCH($F527,rngEPcode,0)),"?"))</f>
        <v/>
      </c>
      <c r="H527" s="17">
        <f>IF($F527="","",IFERROR(INDEX(rngEPtype,MATCH($F527,rngEPcode,0)),"?"))</f>
        <v/>
      </c>
      <c r="I527" s="17">
        <f>IF($F527="","",IFERROR(INDEX(rngEPseq,MATCH($F527,rngEPcode,0)),""))</f>
        <v/>
      </c>
      <c r="J527" s="17">
        <f>IF($F527="","",IFERROR(INDEX(rngEPpass,MATCH($F527,rngEPcode,0)),cfgPassingScore))</f>
        <v/>
      </c>
      <c r="K527" s="16" t="n"/>
      <c r="L527" s="16" t="n"/>
      <c r="M527" s="17">
        <f>IF($C527="","",IF($L527="","",IF(NOT(ISNUMBER($L527)),$L527,IF(N($K527)&gt;2,"",IF($K527=1,IF(COUNTIFS(nrES_PID,$D527,nrES_Code,$F527,nrES_Att,2,nrES_Raw,"&gt;=0")&gt;0,"",$L527),IF($L527&gt;=$J527,MAX($J527,cfgRetakeRecordedCap),IF(COUNTIFS(nrES_PID,$D527,nrES_Code,$F527,nrES_Att,1)=0,$L527,SUMIFS(nrES_Raw,nrES_PID,$D527,nrES_Code,$F527,nrES_Att,1))))))))</f>
        <v/>
      </c>
      <c r="N527" s="17">
        <f>IF($C527="","",IF($L527="","",IF(NOT(ISNUMBER($L527)),"(not a score)",IF($L527&gt;=$J527,"Yes","No"))))</f>
        <v/>
      </c>
      <c r="O527" s="17">
        <f>IF($C527="","",IF($M527="","",IF(NOT(ISNUMBER($M527)),"(not a score)",IF($M527&gt;=$J527,"Yes","No"))))</f>
        <v/>
      </c>
      <c r="P527" s="17">
        <f>IF($C527="","",IF($K527="","",IF(N($K527)&gt;2,"No",IF(COUNTIFS(nrES_PID,$D527,nrES_Code,$F527,nrES_Att,"&gt;"&amp;$K527,nrES_Att,"&lt;=2",nrES_Raw,"&gt;=0")=0,"Yes","No"))))</f>
        <v/>
      </c>
      <c r="Q527" s="17">
        <f>IF($C527="","",IF($L527="","",IF(AND($K527=1,ISNUMBER($L527),$L527&lt;$J527,COUNTIFS(nrES_PID,$D527,nrES_Code,$F527,nrES_Att,2,nrES_Raw,"&gt;=0")=0),"Yes","No")))</f>
        <v/>
      </c>
      <c r="R527" s="17">
        <f>IF($C527="","",IF($L527="","",IF(AND(N($K527)&gt;=2,ISNUMBER($L527),$L527&lt;$J527),"Yes","No")))</f>
        <v/>
      </c>
      <c r="S527" s="18" t="n"/>
      <c r="T527" s="19">
        <f>IF(OR($C527="",$L527="",$K527&lt;&gt;1,NOT(ISNUMBER($L527)),$L527&gt;=$J527),"",IF($S527="","(enter date)",_xlfn.LET(_xlpm.dn,_xlfn.XLOOKUP($S527,nrCDdate,nrCDnum,"",1),IF(_xlpm.dn="","(after last class day)",_xlfn.LET(_xlpm.dd,_xlfn.XLOOKUP(_xlpm.dn+cfgRetestClassDays,nrCDnum,nrCDdate,""),_xlpm.ok,_xlfn.XLOOKUP(_xlpm.dn+cfgRetestClassDays,nrCDnum,nrCDinsession,"No"),IF(OR(_xlpm.dd="",_xlpm.ok&lt;&gt;"Yes"),"(after last class day)",_xlpm.dd))))))</f>
        <v/>
      </c>
      <c r="U527" s="17">
        <f>IF($C527="","",IF(AND($Y527="Excused",$L527="",N($K527)&lt;=1),"EXCUSED - 1st attempt pending",IF(OR($L527="",$K527&lt;&gt;1,NOT(ISNUMBER($L527)),$L527&gt;=$J527),"",IF(COUNTIFS(nrES_PID,$D527,nrES_Code,$F527,nrES_Att,2,nrES_Raw,"&gt;=0")&gt;0,IF(IFERROR(_xlfn.MINIFS(nrES_Date,nrES_PID,$D527,nrES_Code,$F527,nrES_Att,2,nrES_Raw,"&gt;=0",nrES_Date,"&gt;0"),0)=0,"RETEST UNDATED",IF(NOT(ISNUMBER($T527)),"RETEST DATE UNCHECKED",IF(_xlfn.MINIFS(nrES_Date,nrES_PID,$D527,nrES_Code,$F527,nrES_Att,2,nrES_Raw,"&gt;=0",nrES_Date,"&gt;0")&gt;$T527,"LATE RETEST "&amp;TEXT(_xlfn.MINIFS(nrES_Date,nrES_PID,$D527,nrES_Code,$F527,nrES_Att,2,nrES_Raw,"&gt;=0",nrES_Date,"&gt;0"),"mm/dd")&amp;" (due "&amp;TEXT($T527,"mm/dd")&amp;")","Retested"))),IF(NOT(ISNUMBER($T527)),"CHECK DATE",IF(TODAY()&gt;$T527,"OVERDUE","Due "&amp;TEXT($T527,"mm/dd")))))))</f>
        <v/>
      </c>
      <c r="V527" s="16" t="n"/>
      <c r="W527" s="16" t="n"/>
      <c r="X527" s="17">
        <f>IF($C527="","",IF(AND($L527&lt;&gt;"",NOT(ISNUMBER($L527))),"RAW SCORE NOT A NUMBER",IF(AND(ISNUMBER($L527),OR($L527&lt;0,$L527&gt;100)),"RAW SCORE OUT OF RANGE",IF(AND($Y527="Unexcused",OR($L527="",NOT(ISNUMBER($L527)),$L527&lt;&gt;0)),"UNEXCUSED ABSENCE MUST RECORD 0",IF(COUNTIF(nrES_RecID,$B527)&gt;1,"DUPLICATE RECORD",IF(N($K527)&gt;2,"ATTEMPT 3+ NOT ALLOWED - policy 300.5 permits one retest per exam; this row records nothing",IF(AND($K527=2,COUNTIFS(nrES_PID,$D527,nrES_Code,$F527,nrES_Att,1)=0),"ATTEMPT 2 WITHOUT ATTEMPT 1",IF(AND($K527=2,$L527=""),"RETEST ROW HAS NO SCORE",IF(AND($H527="Final",$L527&lt;&gt;"",IFERROR(INDEX(nrCKfinalExamElig,MATCH($D527,rngCadetPIDs,0)),"")="No"),"FINAL EXAM AFTER FAILED FINAL PT (500.1.H)",IF(AND($K527=2,ISNUMBER($L527),COUNTIFS(nrES_PID,$D527,nrES_Code,$F527,nrES_Att,1)&gt;0,SUMIFS(nrES_Raw,nrES_PID,$D527,nrES_Code,$F527,nrES_Att,1)&gt;=$J527),"RETEST AFTER A PASSING FIRST ATTEMPT","OK"))))))))))</f>
        <v/>
      </c>
      <c r="Y527" s="16" t="n"/>
    </row>
    <row r="528">
      <c r="B528" s="17">
        <f>IF($C528="","",$D528&amp;"-"&amp;$F528&amp;"-"&amp;$K528)</f>
        <v/>
      </c>
      <c r="C528" s="16" t="n"/>
      <c r="D528" s="17">
        <f>IF($C528="","",IFERROR(INDEX(rngCadetPIDs,MATCH($C528,rngCadetNames,0)),"?"))</f>
        <v/>
      </c>
      <c r="E528" s="17">
        <f>IF($D528="","",IFERROR(INDEX(nrCadetAgency,MATCH($D528,rngCadetPIDs,0)),""))</f>
        <v/>
      </c>
      <c r="F528" s="16" t="n"/>
      <c r="G528" s="17">
        <f>IF($F528="","",IFERROR(INDEX(rngEPname,MATCH($F528,rngEPcode,0)),"?"))</f>
        <v/>
      </c>
      <c r="H528" s="17">
        <f>IF($F528="","",IFERROR(INDEX(rngEPtype,MATCH($F528,rngEPcode,0)),"?"))</f>
        <v/>
      </c>
      <c r="I528" s="17">
        <f>IF($F528="","",IFERROR(INDEX(rngEPseq,MATCH($F528,rngEPcode,0)),""))</f>
        <v/>
      </c>
      <c r="J528" s="17">
        <f>IF($F528="","",IFERROR(INDEX(rngEPpass,MATCH($F528,rngEPcode,0)),cfgPassingScore))</f>
        <v/>
      </c>
      <c r="K528" s="16" t="n"/>
      <c r="L528" s="16" t="n"/>
      <c r="M528" s="17">
        <f>IF($C528="","",IF($L528="","",IF(NOT(ISNUMBER($L528)),$L528,IF(N($K528)&gt;2,"",IF($K528=1,IF(COUNTIFS(nrES_PID,$D528,nrES_Code,$F528,nrES_Att,2,nrES_Raw,"&gt;=0")&gt;0,"",$L528),IF($L528&gt;=$J528,MAX($J528,cfgRetakeRecordedCap),IF(COUNTIFS(nrES_PID,$D528,nrES_Code,$F528,nrES_Att,1)=0,$L528,SUMIFS(nrES_Raw,nrES_PID,$D528,nrES_Code,$F528,nrES_Att,1))))))))</f>
        <v/>
      </c>
      <c r="N528" s="17">
        <f>IF($C528="","",IF($L528="","",IF(NOT(ISNUMBER($L528)),"(not a score)",IF($L528&gt;=$J528,"Yes","No"))))</f>
        <v/>
      </c>
      <c r="O528" s="17">
        <f>IF($C528="","",IF($M528="","",IF(NOT(ISNUMBER($M528)),"(not a score)",IF($M528&gt;=$J528,"Yes","No"))))</f>
        <v/>
      </c>
      <c r="P528" s="17">
        <f>IF($C528="","",IF($K528="","",IF(N($K528)&gt;2,"No",IF(COUNTIFS(nrES_PID,$D528,nrES_Code,$F528,nrES_Att,"&gt;"&amp;$K528,nrES_Att,"&lt;=2",nrES_Raw,"&gt;=0")=0,"Yes","No"))))</f>
        <v/>
      </c>
      <c r="Q528" s="17">
        <f>IF($C528="","",IF($L528="","",IF(AND($K528=1,ISNUMBER($L528),$L528&lt;$J528,COUNTIFS(nrES_PID,$D528,nrES_Code,$F528,nrES_Att,2,nrES_Raw,"&gt;=0")=0),"Yes","No")))</f>
        <v/>
      </c>
      <c r="R528" s="17">
        <f>IF($C528="","",IF($L528="","",IF(AND(N($K528)&gt;=2,ISNUMBER($L528),$L528&lt;$J528),"Yes","No")))</f>
        <v/>
      </c>
      <c r="S528" s="18" t="n"/>
      <c r="T528" s="19">
        <f>IF(OR($C528="",$L528="",$K528&lt;&gt;1,NOT(ISNUMBER($L528)),$L528&gt;=$J528),"",IF($S528="","(enter date)",_xlfn.LET(_xlpm.dn,_xlfn.XLOOKUP($S528,nrCDdate,nrCDnum,"",1),IF(_xlpm.dn="","(after last class day)",_xlfn.LET(_xlpm.dd,_xlfn.XLOOKUP(_xlpm.dn+cfgRetestClassDays,nrCDnum,nrCDdate,""),_xlpm.ok,_xlfn.XLOOKUP(_xlpm.dn+cfgRetestClassDays,nrCDnum,nrCDinsession,"No"),IF(OR(_xlpm.dd="",_xlpm.ok&lt;&gt;"Yes"),"(after last class day)",_xlpm.dd))))))</f>
        <v/>
      </c>
      <c r="U528" s="17">
        <f>IF($C528="","",IF(AND($Y528="Excused",$L528="",N($K528)&lt;=1),"EXCUSED - 1st attempt pending",IF(OR($L528="",$K528&lt;&gt;1,NOT(ISNUMBER($L528)),$L528&gt;=$J528),"",IF(COUNTIFS(nrES_PID,$D528,nrES_Code,$F528,nrES_Att,2,nrES_Raw,"&gt;=0")&gt;0,IF(IFERROR(_xlfn.MINIFS(nrES_Date,nrES_PID,$D528,nrES_Code,$F528,nrES_Att,2,nrES_Raw,"&gt;=0",nrES_Date,"&gt;0"),0)=0,"RETEST UNDATED",IF(NOT(ISNUMBER($T528)),"RETEST DATE UNCHECKED",IF(_xlfn.MINIFS(nrES_Date,nrES_PID,$D528,nrES_Code,$F528,nrES_Att,2,nrES_Raw,"&gt;=0",nrES_Date,"&gt;0")&gt;$T528,"LATE RETEST "&amp;TEXT(_xlfn.MINIFS(nrES_Date,nrES_PID,$D528,nrES_Code,$F528,nrES_Att,2,nrES_Raw,"&gt;=0",nrES_Date,"&gt;0"),"mm/dd")&amp;" (due "&amp;TEXT($T528,"mm/dd")&amp;")","Retested"))),IF(NOT(ISNUMBER($T528)),"CHECK DATE",IF(TODAY()&gt;$T528,"OVERDUE","Due "&amp;TEXT($T528,"mm/dd")))))))</f>
        <v/>
      </c>
      <c r="V528" s="16" t="n"/>
      <c r="W528" s="16" t="n"/>
      <c r="X528" s="17">
        <f>IF($C528="","",IF(AND($L528&lt;&gt;"",NOT(ISNUMBER($L528))),"RAW SCORE NOT A NUMBER",IF(AND(ISNUMBER($L528),OR($L528&lt;0,$L528&gt;100)),"RAW SCORE OUT OF RANGE",IF(AND($Y528="Unexcused",OR($L528="",NOT(ISNUMBER($L528)),$L528&lt;&gt;0)),"UNEXCUSED ABSENCE MUST RECORD 0",IF(COUNTIF(nrES_RecID,$B528)&gt;1,"DUPLICATE RECORD",IF(N($K528)&gt;2,"ATTEMPT 3+ NOT ALLOWED - policy 300.5 permits one retest per exam; this row records nothing",IF(AND($K528=2,COUNTIFS(nrES_PID,$D528,nrES_Code,$F528,nrES_Att,1)=0),"ATTEMPT 2 WITHOUT ATTEMPT 1",IF(AND($K528=2,$L528=""),"RETEST ROW HAS NO SCORE",IF(AND($H528="Final",$L528&lt;&gt;"",IFERROR(INDEX(nrCKfinalExamElig,MATCH($D528,rngCadetPIDs,0)),"")="No"),"FINAL EXAM AFTER FAILED FINAL PT (500.1.H)",IF(AND($K528=2,ISNUMBER($L528),COUNTIFS(nrES_PID,$D528,nrES_Code,$F528,nrES_Att,1)&gt;0,SUMIFS(nrES_Raw,nrES_PID,$D528,nrES_Code,$F528,nrES_Att,1)&gt;=$J528),"RETEST AFTER A PASSING FIRST ATTEMPT","OK"))))))))))</f>
        <v/>
      </c>
      <c r="Y528" s="16" t="n"/>
    </row>
    <row r="529">
      <c r="B529" s="17">
        <f>IF($C529="","",$D529&amp;"-"&amp;$F529&amp;"-"&amp;$K529)</f>
        <v/>
      </c>
      <c r="C529" s="16" t="n"/>
      <c r="D529" s="17">
        <f>IF($C529="","",IFERROR(INDEX(rngCadetPIDs,MATCH($C529,rngCadetNames,0)),"?"))</f>
        <v/>
      </c>
      <c r="E529" s="17">
        <f>IF($D529="","",IFERROR(INDEX(nrCadetAgency,MATCH($D529,rngCadetPIDs,0)),""))</f>
        <v/>
      </c>
      <c r="F529" s="16" t="n"/>
      <c r="G529" s="17">
        <f>IF($F529="","",IFERROR(INDEX(rngEPname,MATCH($F529,rngEPcode,0)),"?"))</f>
        <v/>
      </c>
      <c r="H529" s="17">
        <f>IF($F529="","",IFERROR(INDEX(rngEPtype,MATCH($F529,rngEPcode,0)),"?"))</f>
        <v/>
      </c>
      <c r="I529" s="17">
        <f>IF($F529="","",IFERROR(INDEX(rngEPseq,MATCH($F529,rngEPcode,0)),""))</f>
        <v/>
      </c>
      <c r="J529" s="17">
        <f>IF($F529="","",IFERROR(INDEX(rngEPpass,MATCH($F529,rngEPcode,0)),cfgPassingScore))</f>
        <v/>
      </c>
      <c r="K529" s="16" t="n"/>
      <c r="L529" s="16" t="n"/>
      <c r="M529" s="17">
        <f>IF($C529="","",IF($L529="","",IF(NOT(ISNUMBER($L529)),$L529,IF(N($K529)&gt;2,"",IF($K529=1,IF(COUNTIFS(nrES_PID,$D529,nrES_Code,$F529,nrES_Att,2,nrES_Raw,"&gt;=0")&gt;0,"",$L529),IF($L529&gt;=$J529,MAX($J529,cfgRetakeRecordedCap),IF(COUNTIFS(nrES_PID,$D529,nrES_Code,$F529,nrES_Att,1)=0,$L529,SUMIFS(nrES_Raw,nrES_PID,$D529,nrES_Code,$F529,nrES_Att,1))))))))</f>
        <v/>
      </c>
      <c r="N529" s="17">
        <f>IF($C529="","",IF($L529="","",IF(NOT(ISNUMBER($L529)),"(not a score)",IF($L529&gt;=$J529,"Yes","No"))))</f>
        <v/>
      </c>
      <c r="O529" s="17">
        <f>IF($C529="","",IF($M529="","",IF(NOT(ISNUMBER($M529)),"(not a score)",IF($M529&gt;=$J529,"Yes","No"))))</f>
        <v/>
      </c>
      <c r="P529" s="17">
        <f>IF($C529="","",IF($K529="","",IF(N($K529)&gt;2,"No",IF(COUNTIFS(nrES_PID,$D529,nrES_Code,$F529,nrES_Att,"&gt;"&amp;$K529,nrES_Att,"&lt;=2",nrES_Raw,"&gt;=0")=0,"Yes","No"))))</f>
        <v/>
      </c>
      <c r="Q529" s="17">
        <f>IF($C529="","",IF($L529="","",IF(AND($K529=1,ISNUMBER($L529),$L529&lt;$J529,COUNTIFS(nrES_PID,$D529,nrES_Code,$F529,nrES_Att,2,nrES_Raw,"&gt;=0")=0),"Yes","No")))</f>
        <v/>
      </c>
      <c r="R529" s="17">
        <f>IF($C529="","",IF($L529="","",IF(AND(N($K529)&gt;=2,ISNUMBER($L529),$L529&lt;$J529),"Yes","No")))</f>
        <v/>
      </c>
      <c r="S529" s="18" t="n"/>
      <c r="T529" s="19">
        <f>IF(OR($C529="",$L529="",$K529&lt;&gt;1,NOT(ISNUMBER($L529)),$L529&gt;=$J529),"",IF($S529="","(enter date)",_xlfn.LET(_xlpm.dn,_xlfn.XLOOKUP($S529,nrCDdate,nrCDnum,"",1),IF(_xlpm.dn="","(after last class day)",_xlfn.LET(_xlpm.dd,_xlfn.XLOOKUP(_xlpm.dn+cfgRetestClassDays,nrCDnum,nrCDdate,""),_xlpm.ok,_xlfn.XLOOKUP(_xlpm.dn+cfgRetestClassDays,nrCDnum,nrCDinsession,"No"),IF(OR(_xlpm.dd="",_xlpm.ok&lt;&gt;"Yes"),"(after last class day)",_xlpm.dd))))))</f>
        <v/>
      </c>
      <c r="U529" s="17">
        <f>IF($C529="","",IF(AND($Y529="Excused",$L529="",N($K529)&lt;=1),"EXCUSED - 1st attempt pending",IF(OR($L529="",$K529&lt;&gt;1,NOT(ISNUMBER($L529)),$L529&gt;=$J529),"",IF(COUNTIFS(nrES_PID,$D529,nrES_Code,$F529,nrES_Att,2,nrES_Raw,"&gt;=0")&gt;0,IF(IFERROR(_xlfn.MINIFS(nrES_Date,nrES_PID,$D529,nrES_Code,$F529,nrES_Att,2,nrES_Raw,"&gt;=0",nrES_Date,"&gt;0"),0)=0,"RETEST UNDATED",IF(NOT(ISNUMBER($T529)),"RETEST DATE UNCHECKED",IF(_xlfn.MINIFS(nrES_Date,nrES_PID,$D529,nrES_Code,$F529,nrES_Att,2,nrES_Raw,"&gt;=0",nrES_Date,"&gt;0")&gt;$T529,"LATE RETEST "&amp;TEXT(_xlfn.MINIFS(nrES_Date,nrES_PID,$D529,nrES_Code,$F529,nrES_Att,2,nrES_Raw,"&gt;=0",nrES_Date,"&gt;0"),"mm/dd")&amp;" (due "&amp;TEXT($T529,"mm/dd")&amp;")","Retested"))),IF(NOT(ISNUMBER($T529)),"CHECK DATE",IF(TODAY()&gt;$T529,"OVERDUE","Due "&amp;TEXT($T529,"mm/dd")))))))</f>
        <v/>
      </c>
      <c r="V529" s="16" t="n"/>
      <c r="W529" s="16" t="n"/>
      <c r="X529" s="17">
        <f>IF($C529="","",IF(AND($L529&lt;&gt;"",NOT(ISNUMBER($L529))),"RAW SCORE NOT A NUMBER",IF(AND(ISNUMBER($L529),OR($L529&lt;0,$L529&gt;100)),"RAW SCORE OUT OF RANGE",IF(AND($Y529="Unexcused",OR($L529="",NOT(ISNUMBER($L529)),$L529&lt;&gt;0)),"UNEXCUSED ABSENCE MUST RECORD 0",IF(COUNTIF(nrES_RecID,$B529)&gt;1,"DUPLICATE RECORD",IF(N($K529)&gt;2,"ATTEMPT 3+ NOT ALLOWED - policy 300.5 permits one retest per exam; this row records nothing",IF(AND($K529=2,COUNTIFS(nrES_PID,$D529,nrES_Code,$F529,nrES_Att,1)=0),"ATTEMPT 2 WITHOUT ATTEMPT 1",IF(AND($K529=2,$L529=""),"RETEST ROW HAS NO SCORE",IF(AND($H529="Final",$L529&lt;&gt;"",IFERROR(INDEX(nrCKfinalExamElig,MATCH($D529,rngCadetPIDs,0)),"")="No"),"FINAL EXAM AFTER FAILED FINAL PT (500.1.H)",IF(AND($K529=2,ISNUMBER($L529),COUNTIFS(nrES_PID,$D529,nrES_Code,$F529,nrES_Att,1)&gt;0,SUMIFS(nrES_Raw,nrES_PID,$D529,nrES_Code,$F529,nrES_Att,1)&gt;=$J529),"RETEST AFTER A PASSING FIRST ATTEMPT","OK"))))))))))</f>
        <v/>
      </c>
      <c r="Y529" s="16" t="n"/>
    </row>
    <row r="530">
      <c r="B530" s="17">
        <f>IF($C530="","",$D530&amp;"-"&amp;$F530&amp;"-"&amp;$K530)</f>
        <v/>
      </c>
      <c r="C530" s="16" t="n"/>
      <c r="D530" s="17">
        <f>IF($C530="","",IFERROR(INDEX(rngCadetPIDs,MATCH($C530,rngCadetNames,0)),"?"))</f>
        <v/>
      </c>
      <c r="E530" s="17">
        <f>IF($D530="","",IFERROR(INDEX(nrCadetAgency,MATCH($D530,rngCadetPIDs,0)),""))</f>
        <v/>
      </c>
      <c r="F530" s="16" t="n"/>
      <c r="G530" s="17">
        <f>IF($F530="","",IFERROR(INDEX(rngEPname,MATCH($F530,rngEPcode,0)),"?"))</f>
        <v/>
      </c>
      <c r="H530" s="17">
        <f>IF($F530="","",IFERROR(INDEX(rngEPtype,MATCH($F530,rngEPcode,0)),"?"))</f>
        <v/>
      </c>
      <c r="I530" s="17">
        <f>IF($F530="","",IFERROR(INDEX(rngEPseq,MATCH($F530,rngEPcode,0)),""))</f>
        <v/>
      </c>
      <c r="J530" s="17">
        <f>IF($F530="","",IFERROR(INDEX(rngEPpass,MATCH($F530,rngEPcode,0)),cfgPassingScore))</f>
        <v/>
      </c>
      <c r="K530" s="16" t="n"/>
      <c r="L530" s="16" t="n"/>
      <c r="M530" s="17">
        <f>IF($C530="","",IF($L530="","",IF(NOT(ISNUMBER($L530)),$L530,IF(N($K530)&gt;2,"",IF($K530=1,IF(COUNTIFS(nrES_PID,$D530,nrES_Code,$F530,nrES_Att,2,nrES_Raw,"&gt;=0")&gt;0,"",$L530),IF($L530&gt;=$J530,MAX($J530,cfgRetakeRecordedCap),IF(COUNTIFS(nrES_PID,$D530,nrES_Code,$F530,nrES_Att,1)=0,$L530,SUMIFS(nrES_Raw,nrES_PID,$D530,nrES_Code,$F530,nrES_Att,1))))))))</f>
        <v/>
      </c>
      <c r="N530" s="17">
        <f>IF($C530="","",IF($L530="","",IF(NOT(ISNUMBER($L530)),"(not a score)",IF($L530&gt;=$J530,"Yes","No"))))</f>
        <v/>
      </c>
      <c r="O530" s="17">
        <f>IF($C530="","",IF($M530="","",IF(NOT(ISNUMBER($M530)),"(not a score)",IF($M530&gt;=$J530,"Yes","No"))))</f>
        <v/>
      </c>
      <c r="P530" s="17">
        <f>IF($C530="","",IF($K530="","",IF(N($K530)&gt;2,"No",IF(COUNTIFS(nrES_PID,$D530,nrES_Code,$F530,nrES_Att,"&gt;"&amp;$K530,nrES_Att,"&lt;=2",nrES_Raw,"&gt;=0")=0,"Yes","No"))))</f>
        <v/>
      </c>
      <c r="Q530" s="17">
        <f>IF($C530="","",IF($L530="","",IF(AND($K530=1,ISNUMBER($L530),$L530&lt;$J530,COUNTIFS(nrES_PID,$D530,nrES_Code,$F530,nrES_Att,2,nrES_Raw,"&gt;=0")=0),"Yes","No")))</f>
        <v/>
      </c>
      <c r="R530" s="17">
        <f>IF($C530="","",IF($L530="","",IF(AND(N($K530)&gt;=2,ISNUMBER($L530),$L530&lt;$J530),"Yes","No")))</f>
        <v/>
      </c>
      <c r="S530" s="18" t="n"/>
      <c r="T530" s="19">
        <f>IF(OR($C530="",$L530="",$K530&lt;&gt;1,NOT(ISNUMBER($L530)),$L530&gt;=$J530),"",IF($S530="","(enter date)",_xlfn.LET(_xlpm.dn,_xlfn.XLOOKUP($S530,nrCDdate,nrCDnum,"",1),IF(_xlpm.dn="","(after last class day)",_xlfn.LET(_xlpm.dd,_xlfn.XLOOKUP(_xlpm.dn+cfgRetestClassDays,nrCDnum,nrCDdate,""),_xlpm.ok,_xlfn.XLOOKUP(_xlpm.dn+cfgRetestClassDays,nrCDnum,nrCDinsession,"No"),IF(OR(_xlpm.dd="",_xlpm.ok&lt;&gt;"Yes"),"(after last class day)",_xlpm.dd))))))</f>
        <v/>
      </c>
      <c r="U530" s="17">
        <f>IF($C530="","",IF(AND($Y530="Excused",$L530="",N($K530)&lt;=1),"EXCUSED - 1st attempt pending",IF(OR($L530="",$K530&lt;&gt;1,NOT(ISNUMBER($L530)),$L530&gt;=$J530),"",IF(COUNTIFS(nrES_PID,$D530,nrES_Code,$F530,nrES_Att,2,nrES_Raw,"&gt;=0")&gt;0,IF(IFERROR(_xlfn.MINIFS(nrES_Date,nrES_PID,$D530,nrES_Code,$F530,nrES_Att,2,nrES_Raw,"&gt;=0",nrES_Date,"&gt;0"),0)=0,"RETEST UNDATED",IF(NOT(ISNUMBER($T530)),"RETEST DATE UNCHECKED",IF(_xlfn.MINIFS(nrES_Date,nrES_PID,$D530,nrES_Code,$F530,nrES_Att,2,nrES_Raw,"&gt;=0",nrES_Date,"&gt;0")&gt;$T530,"LATE RETEST "&amp;TEXT(_xlfn.MINIFS(nrES_Date,nrES_PID,$D530,nrES_Code,$F530,nrES_Att,2,nrES_Raw,"&gt;=0",nrES_Date,"&gt;0"),"mm/dd")&amp;" (due "&amp;TEXT($T530,"mm/dd")&amp;")","Retested"))),IF(NOT(ISNUMBER($T530)),"CHECK DATE",IF(TODAY()&gt;$T530,"OVERDUE","Due "&amp;TEXT($T530,"mm/dd")))))))</f>
        <v/>
      </c>
      <c r="V530" s="16" t="n"/>
      <c r="W530" s="16" t="n"/>
      <c r="X530" s="17">
        <f>IF($C530="","",IF(AND($L530&lt;&gt;"",NOT(ISNUMBER($L530))),"RAW SCORE NOT A NUMBER",IF(AND(ISNUMBER($L530),OR($L530&lt;0,$L530&gt;100)),"RAW SCORE OUT OF RANGE",IF(AND($Y530="Unexcused",OR($L530="",NOT(ISNUMBER($L530)),$L530&lt;&gt;0)),"UNEXCUSED ABSENCE MUST RECORD 0",IF(COUNTIF(nrES_RecID,$B530)&gt;1,"DUPLICATE RECORD",IF(N($K530)&gt;2,"ATTEMPT 3+ NOT ALLOWED - policy 300.5 permits one retest per exam; this row records nothing",IF(AND($K530=2,COUNTIFS(nrES_PID,$D530,nrES_Code,$F530,nrES_Att,1)=0),"ATTEMPT 2 WITHOUT ATTEMPT 1",IF(AND($K530=2,$L530=""),"RETEST ROW HAS NO SCORE",IF(AND($H530="Final",$L530&lt;&gt;"",IFERROR(INDEX(nrCKfinalExamElig,MATCH($D530,rngCadetPIDs,0)),"")="No"),"FINAL EXAM AFTER FAILED FINAL PT (500.1.H)",IF(AND($K530=2,ISNUMBER($L530),COUNTIFS(nrES_PID,$D530,nrES_Code,$F530,nrES_Att,1)&gt;0,SUMIFS(nrES_Raw,nrES_PID,$D530,nrES_Code,$F530,nrES_Att,1)&gt;=$J530),"RETEST AFTER A PASSING FIRST ATTEMPT","OK"))))))))))</f>
        <v/>
      </c>
      <c r="Y530" s="16" t="n"/>
    </row>
    <row r="531">
      <c r="B531" s="17">
        <f>IF($C531="","",$D531&amp;"-"&amp;$F531&amp;"-"&amp;$K531)</f>
        <v/>
      </c>
      <c r="C531" s="16" t="n"/>
      <c r="D531" s="17">
        <f>IF($C531="","",IFERROR(INDEX(rngCadetPIDs,MATCH($C531,rngCadetNames,0)),"?"))</f>
        <v/>
      </c>
      <c r="E531" s="17">
        <f>IF($D531="","",IFERROR(INDEX(nrCadetAgency,MATCH($D531,rngCadetPIDs,0)),""))</f>
        <v/>
      </c>
      <c r="F531" s="16" t="n"/>
      <c r="G531" s="17">
        <f>IF($F531="","",IFERROR(INDEX(rngEPname,MATCH($F531,rngEPcode,0)),"?"))</f>
        <v/>
      </c>
      <c r="H531" s="17">
        <f>IF($F531="","",IFERROR(INDEX(rngEPtype,MATCH($F531,rngEPcode,0)),"?"))</f>
        <v/>
      </c>
      <c r="I531" s="17">
        <f>IF($F531="","",IFERROR(INDEX(rngEPseq,MATCH($F531,rngEPcode,0)),""))</f>
        <v/>
      </c>
      <c r="J531" s="17">
        <f>IF($F531="","",IFERROR(INDEX(rngEPpass,MATCH($F531,rngEPcode,0)),cfgPassingScore))</f>
        <v/>
      </c>
      <c r="K531" s="16" t="n"/>
      <c r="L531" s="16" t="n"/>
      <c r="M531" s="17">
        <f>IF($C531="","",IF($L531="","",IF(NOT(ISNUMBER($L531)),$L531,IF(N($K531)&gt;2,"",IF($K531=1,IF(COUNTIFS(nrES_PID,$D531,nrES_Code,$F531,nrES_Att,2,nrES_Raw,"&gt;=0")&gt;0,"",$L531),IF($L531&gt;=$J531,MAX($J531,cfgRetakeRecordedCap),IF(COUNTIFS(nrES_PID,$D531,nrES_Code,$F531,nrES_Att,1)=0,$L531,SUMIFS(nrES_Raw,nrES_PID,$D531,nrES_Code,$F531,nrES_Att,1))))))))</f>
        <v/>
      </c>
      <c r="N531" s="17">
        <f>IF($C531="","",IF($L531="","",IF(NOT(ISNUMBER($L531)),"(not a score)",IF($L531&gt;=$J531,"Yes","No"))))</f>
        <v/>
      </c>
      <c r="O531" s="17">
        <f>IF($C531="","",IF($M531="","",IF(NOT(ISNUMBER($M531)),"(not a score)",IF($M531&gt;=$J531,"Yes","No"))))</f>
        <v/>
      </c>
      <c r="P531" s="17">
        <f>IF($C531="","",IF($K531="","",IF(N($K531)&gt;2,"No",IF(COUNTIFS(nrES_PID,$D531,nrES_Code,$F531,nrES_Att,"&gt;"&amp;$K531,nrES_Att,"&lt;=2",nrES_Raw,"&gt;=0")=0,"Yes","No"))))</f>
        <v/>
      </c>
      <c r="Q531" s="17">
        <f>IF($C531="","",IF($L531="","",IF(AND($K531=1,ISNUMBER($L531),$L531&lt;$J531,COUNTIFS(nrES_PID,$D531,nrES_Code,$F531,nrES_Att,2,nrES_Raw,"&gt;=0")=0),"Yes","No")))</f>
        <v/>
      </c>
      <c r="R531" s="17">
        <f>IF($C531="","",IF($L531="","",IF(AND(N($K531)&gt;=2,ISNUMBER($L531),$L531&lt;$J531),"Yes","No")))</f>
        <v/>
      </c>
      <c r="S531" s="18" t="n"/>
      <c r="T531" s="19">
        <f>IF(OR($C531="",$L531="",$K531&lt;&gt;1,NOT(ISNUMBER($L531)),$L531&gt;=$J531),"",IF($S531="","(enter date)",_xlfn.LET(_xlpm.dn,_xlfn.XLOOKUP($S531,nrCDdate,nrCDnum,"",1),IF(_xlpm.dn="","(after last class day)",_xlfn.LET(_xlpm.dd,_xlfn.XLOOKUP(_xlpm.dn+cfgRetestClassDays,nrCDnum,nrCDdate,""),_xlpm.ok,_xlfn.XLOOKUP(_xlpm.dn+cfgRetestClassDays,nrCDnum,nrCDinsession,"No"),IF(OR(_xlpm.dd="",_xlpm.ok&lt;&gt;"Yes"),"(after last class day)",_xlpm.dd))))))</f>
        <v/>
      </c>
      <c r="U531" s="17">
        <f>IF($C531="","",IF(AND($Y531="Excused",$L531="",N($K531)&lt;=1),"EXCUSED - 1st attempt pending",IF(OR($L531="",$K531&lt;&gt;1,NOT(ISNUMBER($L531)),$L531&gt;=$J531),"",IF(COUNTIFS(nrES_PID,$D531,nrES_Code,$F531,nrES_Att,2,nrES_Raw,"&gt;=0")&gt;0,IF(IFERROR(_xlfn.MINIFS(nrES_Date,nrES_PID,$D531,nrES_Code,$F531,nrES_Att,2,nrES_Raw,"&gt;=0",nrES_Date,"&gt;0"),0)=0,"RETEST UNDATED",IF(NOT(ISNUMBER($T531)),"RETEST DATE UNCHECKED",IF(_xlfn.MINIFS(nrES_Date,nrES_PID,$D531,nrES_Code,$F531,nrES_Att,2,nrES_Raw,"&gt;=0",nrES_Date,"&gt;0")&gt;$T531,"LATE RETEST "&amp;TEXT(_xlfn.MINIFS(nrES_Date,nrES_PID,$D531,nrES_Code,$F531,nrES_Att,2,nrES_Raw,"&gt;=0",nrES_Date,"&gt;0"),"mm/dd")&amp;" (due "&amp;TEXT($T531,"mm/dd")&amp;")","Retested"))),IF(NOT(ISNUMBER($T531)),"CHECK DATE",IF(TODAY()&gt;$T531,"OVERDUE","Due "&amp;TEXT($T531,"mm/dd")))))))</f>
        <v/>
      </c>
      <c r="V531" s="16" t="n"/>
      <c r="W531" s="16" t="n"/>
      <c r="X531" s="17">
        <f>IF($C531="","",IF(AND($L531&lt;&gt;"",NOT(ISNUMBER($L531))),"RAW SCORE NOT A NUMBER",IF(AND(ISNUMBER($L531),OR($L531&lt;0,$L531&gt;100)),"RAW SCORE OUT OF RANGE",IF(AND($Y531="Unexcused",OR($L531="",NOT(ISNUMBER($L531)),$L531&lt;&gt;0)),"UNEXCUSED ABSENCE MUST RECORD 0",IF(COUNTIF(nrES_RecID,$B531)&gt;1,"DUPLICATE RECORD",IF(N($K531)&gt;2,"ATTEMPT 3+ NOT ALLOWED - policy 300.5 permits one retest per exam; this row records nothing",IF(AND($K531=2,COUNTIFS(nrES_PID,$D531,nrES_Code,$F531,nrES_Att,1)=0),"ATTEMPT 2 WITHOUT ATTEMPT 1",IF(AND($K531=2,$L531=""),"RETEST ROW HAS NO SCORE",IF(AND($H531="Final",$L531&lt;&gt;"",IFERROR(INDEX(nrCKfinalExamElig,MATCH($D531,rngCadetPIDs,0)),"")="No"),"FINAL EXAM AFTER FAILED FINAL PT (500.1.H)",IF(AND($K531=2,ISNUMBER($L531),COUNTIFS(nrES_PID,$D531,nrES_Code,$F531,nrES_Att,1)&gt;0,SUMIFS(nrES_Raw,nrES_PID,$D531,nrES_Code,$F531,nrES_Att,1)&gt;=$J531),"RETEST AFTER A PASSING FIRST ATTEMPT","OK"))))))))))</f>
        <v/>
      </c>
      <c r="Y531" s="16" t="n"/>
    </row>
    <row r="532">
      <c r="B532" s="17">
        <f>IF($C532="","",$D532&amp;"-"&amp;$F532&amp;"-"&amp;$K532)</f>
        <v/>
      </c>
      <c r="C532" s="16" t="n"/>
      <c r="D532" s="17">
        <f>IF($C532="","",IFERROR(INDEX(rngCadetPIDs,MATCH($C532,rngCadetNames,0)),"?"))</f>
        <v/>
      </c>
      <c r="E532" s="17">
        <f>IF($D532="","",IFERROR(INDEX(nrCadetAgency,MATCH($D532,rngCadetPIDs,0)),""))</f>
        <v/>
      </c>
      <c r="F532" s="16" t="n"/>
      <c r="G532" s="17">
        <f>IF($F532="","",IFERROR(INDEX(rngEPname,MATCH($F532,rngEPcode,0)),"?"))</f>
        <v/>
      </c>
      <c r="H532" s="17">
        <f>IF($F532="","",IFERROR(INDEX(rngEPtype,MATCH($F532,rngEPcode,0)),"?"))</f>
        <v/>
      </c>
      <c r="I532" s="17">
        <f>IF($F532="","",IFERROR(INDEX(rngEPseq,MATCH($F532,rngEPcode,0)),""))</f>
        <v/>
      </c>
      <c r="J532" s="17">
        <f>IF($F532="","",IFERROR(INDEX(rngEPpass,MATCH($F532,rngEPcode,0)),cfgPassingScore))</f>
        <v/>
      </c>
      <c r="K532" s="16" t="n"/>
      <c r="L532" s="16" t="n"/>
      <c r="M532" s="17">
        <f>IF($C532="","",IF($L532="","",IF(NOT(ISNUMBER($L532)),$L532,IF(N($K532)&gt;2,"",IF($K532=1,IF(COUNTIFS(nrES_PID,$D532,nrES_Code,$F532,nrES_Att,2,nrES_Raw,"&gt;=0")&gt;0,"",$L532),IF($L532&gt;=$J532,MAX($J532,cfgRetakeRecordedCap),IF(COUNTIFS(nrES_PID,$D532,nrES_Code,$F532,nrES_Att,1)=0,$L532,SUMIFS(nrES_Raw,nrES_PID,$D532,nrES_Code,$F532,nrES_Att,1))))))))</f>
        <v/>
      </c>
      <c r="N532" s="17">
        <f>IF($C532="","",IF($L532="","",IF(NOT(ISNUMBER($L532)),"(not a score)",IF($L532&gt;=$J532,"Yes","No"))))</f>
        <v/>
      </c>
      <c r="O532" s="17">
        <f>IF($C532="","",IF($M532="","",IF(NOT(ISNUMBER($M532)),"(not a score)",IF($M532&gt;=$J532,"Yes","No"))))</f>
        <v/>
      </c>
      <c r="P532" s="17">
        <f>IF($C532="","",IF($K532="","",IF(N($K532)&gt;2,"No",IF(COUNTIFS(nrES_PID,$D532,nrES_Code,$F532,nrES_Att,"&gt;"&amp;$K532,nrES_Att,"&lt;=2",nrES_Raw,"&gt;=0")=0,"Yes","No"))))</f>
        <v/>
      </c>
      <c r="Q532" s="17">
        <f>IF($C532="","",IF($L532="","",IF(AND($K532=1,ISNUMBER($L532),$L532&lt;$J532,COUNTIFS(nrES_PID,$D532,nrES_Code,$F532,nrES_Att,2,nrES_Raw,"&gt;=0")=0),"Yes","No")))</f>
        <v/>
      </c>
      <c r="R532" s="17">
        <f>IF($C532="","",IF($L532="","",IF(AND(N($K532)&gt;=2,ISNUMBER($L532),$L532&lt;$J532),"Yes","No")))</f>
        <v/>
      </c>
      <c r="S532" s="18" t="n"/>
      <c r="T532" s="19">
        <f>IF(OR($C532="",$L532="",$K532&lt;&gt;1,NOT(ISNUMBER($L532)),$L532&gt;=$J532),"",IF($S532="","(enter date)",_xlfn.LET(_xlpm.dn,_xlfn.XLOOKUP($S532,nrCDdate,nrCDnum,"",1),IF(_xlpm.dn="","(after last class day)",_xlfn.LET(_xlpm.dd,_xlfn.XLOOKUP(_xlpm.dn+cfgRetestClassDays,nrCDnum,nrCDdate,""),_xlpm.ok,_xlfn.XLOOKUP(_xlpm.dn+cfgRetestClassDays,nrCDnum,nrCDinsession,"No"),IF(OR(_xlpm.dd="",_xlpm.ok&lt;&gt;"Yes"),"(after last class day)",_xlpm.dd))))))</f>
        <v/>
      </c>
      <c r="U532" s="17">
        <f>IF($C532="","",IF(AND($Y532="Excused",$L532="",N($K532)&lt;=1),"EXCUSED - 1st attempt pending",IF(OR($L532="",$K532&lt;&gt;1,NOT(ISNUMBER($L532)),$L532&gt;=$J532),"",IF(COUNTIFS(nrES_PID,$D532,nrES_Code,$F532,nrES_Att,2,nrES_Raw,"&gt;=0")&gt;0,IF(IFERROR(_xlfn.MINIFS(nrES_Date,nrES_PID,$D532,nrES_Code,$F532,nrES_Att,2,nrES_Raw,"&gt;=0",nrES_Date,"&gt;0"),0)=0,"RETEST UNDATED",IF(NOT(ISNUMBER($T532)),"RETEST DATE UNCHECKED",IF(_xlfn.MINIFS(nrES_Date,nrES_PID,$D532,nrES_Code,$F532,nrES_Att,2,nrES_Raw,"&gt;=0",nrES_Date,"&gt;0")&gt;$T532,"LATE RETEST "&amp;TEXT(_xlfn.MINIFS(nrES_Date,nrES_PID,$D532,nrES_Code,$F532,nrES_Att,2,nrES_Raw,"&gt;=0",nrES_Date,"&gt;0"),"mm/dd")&amp;" (due "&amp;TEXT($T532,"mm/dd")&amp;")","Retested"))),IF(NOT(ISNUMBER($T532)),"CHECK DATE",IF(TODAY()&gt;$T532,"OVERDUE","Due "&amp;TEXT($T532,"mm/dd")))))))</f>
        <v/>
      </c>
      <c r="V532" s="16" t="n"/>
      <c r="W532" s="16" t="n"/>
      <c r="X532" s="17">
        <f>IF($C532="","",IF(AND($L532&lt;&gt;"",NOT(ISNUMBER($L532))),"RAW SCORE NOT A NUMBER",IF(AND(ISNUMBER($L532),OR($L532&lt;0,$L532&gt;100)),"RAW SCORE OUT OF RANGE",IF(AND($Y532="Unexcused",OR($L532="",NOT(ISNUMBER($L532)),$L532&lt;&gt;0)),"UNEXCUSED ABSENCE MUST RECORD 0",IF(COUNTIF(nrES_RecID,$B532)&gt;1,"DUPLICATE RECORD",IF(N($K532)&gt;2,"ATTEMPT 3+ NOT ALLOWED - policy 300.5 permits one retest per exam; this row records nothing",IF(AND($K532=2,COUNTIFS(nrES_PID,$D532,nrES_Code,$F532,nrES_Att,1)=0),"ATTEMPT 2 WITHOUT ATTEMPT 1",IF(AND($K532=2,$L532=""),"RETEST ROW HAS NO SCORE",IF(AND($H532="Final",$L532&lt;&gt;"",IFERROR(INDEX(nrCKfinalExamElig,MATCH($D532,rngCadetPIDs,0)),"")="No"),"FINAL EXAM AFTER FAILED FINAL PT (500.1.H)",IF(AND($K532=2,ISNUMBER($L532),COUNTIFS(nrES_PID,$D532,nrES_Code,$F532,nrES_Att,1)&gt;0,SUMIFS(nrES_Raw,nrES_PID,$D532,nrES_Code,$F532,nrES_Att,1)&gt;=$J532),"RETEST AFTER A PASSING FIRST ATTEMPT","OK"))))))))))</f>
        <v/>
      </c>
      <c r="Y532" s="16" t="n"/>
    </row>
    <row r="533">
      <c r="B533" s="17">
        <f>IF($C533="","",$D533&amp;"-"&amp;$F533&amp;"-"&amp;$K533)</f>
        <v/>
      </c>
      <c r="C533" s="16" t="n"/>
      <c r="D533" s="17">
        <f>IF($C533="","",IFERROR(INDEX(rngCadetPIDs,MATCH($C533,rngCadetNames,0)),"?"))</f>
        <v/>
      </c>
      <c r="E533" s="17">
        <f>IF($D533="","",IFERROR(INDEX(nrCadetAgency,MATCH($D533,rngCadetPIDs,0)),""))</f>
        <v/>
      </c>
      <c r="F533" s="16" t="n"/>
      <c r="G533" s="17">
        <f>IF($F533="","",IFERROR(INDEX(rngEPname,MATCH($F533,rngEPcode,0)),"?"))</f>
        <v/>
      </c>
      <c r="H533" s="17">
        <f>IF($F533="","",IFERROR(INDEX(rngEPtype,MATCH($F533,rngEPcode,0)),"?"))</f>
        <v/>
      </c>
      <c r="I533" s="17">
        <f>IF($F533="","",IFERROR(INDEX(rngEPseq,MATCH($F533,rngEPcode,0)),""))</f>
        <v/>
      </c>
      <c r="J533" s="17">
        <f>IF($F533="","",IFERROR(INDEX(rngEPpass,MATCH($F533,rngEPcode,0)),cfgPassingScore))</f>
        <v/>
      </c>
      <c r="K533" s="16" t="n"/>
      <c r="L533" s="16" t="n"/>
      <c r="M533" s="17">
        <f>IF($C533="","",IF($L533="","",IF(NOT(ISNUMBER($L533)),$L533,IF(N($K533)&gt;2,"",IF($K533=1,IF(COUNTIFS(nrES_PID,$D533,nrES_Code,$F533,nrES_Att,2,nrES_Raw,"&gt;=0")&gt;0,"",$L533),IF($L533&gt;=$J533,MAX($J533,cfgRetakeRecordedCap),IF(COUNTIFS(nrES_PID,$D533,nrES_Code,$F533,nrES_Att,1)=0,$L533,SUMIFS(nrES_Raw,nrES_PID,$D533,nrES_Code,$F533,nrES_Att,1))))))))</f>
        <v/>
      </c>
      <c r="N533" s="17">
        <f>IF($C533="","",IF($L533="","",IF(NOT(ISNUMBER($L533)),"(not a score)",IF($L533&gt;=$J533,"Yes","No"))))</f>
        <v/>
      </c>
      <c r="O533" s="17">
        <f>IF($C533="","",IF($M533="","",IF(NOT(ISNUMBER($M533)),"(not a score)",IF($M533&gt;=$J533,"Yes","No"))))</f>
        <v/>
      </c>
      <c r="P533" s="17">
        <f>IF($C533="","",IF($K533="","",IF(N($K533)&gt;2,"No",IF(COUNTIFS(nrES_PID,$D533,nrES_Code,$F533,nrES_Att,"&gt;"&amp;$K533,nrES_Att,"&lt;=2",nrES_Raw,"&gt;=0")=0,"Yes","No"))))</f>
        <v/>
      </c>
      <c r="Q533" s="17">
        <f>IF($C533="","",IF($L533="","",IF(AND($K533=1,ISNUMBER($L533),$L533&lt;$J533,COUNTIFS(nrES_PID,$D533,nrES_Code,$F533,nrES_Att,2,nrES_Raw,"&gt;=0")=0),"Yes","No")))</f>
        <v/>
      </c>
      <c r="R533" s="17">
        <f>IF($C533="","",IF($L533="","",IF(AND(N($K533)&gt;=2,ISNUMBER($L533),$L533&lt;$J533),"Yes","No")))</f>
        <v/>
      </c>
      <c r="S533" s="18" t="n"/>
      <c r="T533" s="19">
        <f>IF(OR($C533="",$L533="",$K533&lt;&gt;1,NOT(ISNUMBER($L533)),$L533&gt;=$J533),"",IF($S533="","(enter date)",_xlfn.LET(_xlpm.dn,_xlfn.XLOOKUP($S533,nrCDdate,nrCDnum,"",1),IF(_xlpm.dn="","(after last class day)",_xlfn.LET(_xlpm.dd,_xlfn.XLOOKUP(_xlpm.dn+cfgRetestClassDays,nrCDnum,nrCDdate,""),_xlpm.ok,_xlfn.XLOOKUP(_xlpm.dn+cfgRetestClassDays,nrCDnum,nrCDinsession,"No"),IF(OR(_xlpm.dd="",_xlpm.ok&lt;&gt;"Yes"),"(after last class day)",_xlpm.dd))))))</f>
        <v/>
      </c>
      <c r="U533" s="17">
        <f>IF($C533="","",IF(AND($Y533="Excused",$L533="",N($K533)&lt;=1),"EXCUSED - 1st attempt pending",IF(OR($L533="",$K533&lt;&gt;1,NOT(ISNUMBER($L533)),$L533&gt;=$J533),"",IF(COUNTIFS(nrES_PID,$D533,nrES_Code,$F533,nrES_Att,2,nrES_Raw,"&gt;=0")&gt;0,IF(IFERROR(_xlfn.MINIFS(nrES_Date,nrES_PID,$D533,nrES_Code,$F533,nrES_Att,2,nrES_Raw,"&gt;=0",nrES_Date,"&gt;0"),0)=0,"RETEST UNDATED",IF(NOT(ISNUMBER($T533)),"RETEST DATE UNCHECKED",IF(_xlfn.MINIFS(nrES_Date,nrES_PID,$D533,nrES_Code,$F533,nrES_Att,2,nrES_Raw,"&gt;=0",nrES_Date,"&gt;0")&gt;$T533,"LATE RETEST "&amp;TEXT(_xlfn.MINIFS(nrES_Date,nrES_PID,$D533,nrES_Code,$F533,nrES_Att,2,nrES_Raw,"&gt;=0",nrES_Date,"&gt;0"),"mm/dd")&amp;" (due "&amp;TEXT($T533,"mm/dd")&amp;")","Retested"))),IF(NOT(ISNUMBER($T533)),"CHECK DATE",IF(TODAY()&gt;$T533,"OVERDUE","Due "&amp;TEXT($T533,"mm/dd")))))))</f>
        <v/>
      </c>
      <c r="V533" s="16" t="n"/>
      <c r="W533" s="16" t="n"/>
      <c r="X533" s="17">
        <f>IF($C533="","",IF(AND($L533&lt;&gt;"",NOT(ISNUMBER($L533))),"RAW SCORE NOT A NUMBER",IF(AND(ISNUMBER($L533),OR($L533&lt;0,$L533&gt;100)),"RAW SCORE OUT OF RANGE",IF(AND($Y533="Unexcused",OR($L533="",NOT(ISNUMBER($L533)),$L533&lt;&gt;0)),"UNEXCUSED ABSENCE MUST RECORD 0",IF(COUNTIF(nrES_RecID,$B533)&gt;1,"DUPLICATE RECORD",IF(N($K533)&gt;2,"ATTEMPT 3+ NOT ALLOWED - policy 300.5 permits one retest per exam; this row records nothing",IF(AND($K533=2,COUNTIFS(nrES_PID,$D533,nrES_Code,$F533,nrES_Att,1)=0),"ATTEMPT 2 WITHOUT ATTEMPT 1",IF(AND($K533=2,$L533=""),"RETEST ROW HAS NO SCORE",IF(AND($H533="Final",$L533&lt;&gt;"",IFERROR(INDEX(nrCKfinalExamElig,MATCH($D533,rngCadetPIDs,0)),"")="No"),"FINAL EXAM AFTER FAILED FINAL PT (500.1.H)",IF(AND($K533=2,ISNUMBER($L533),COUNTIFS(nrES_PID,$D533,nrES_Code,$F533,nrES_Att,1)&gt;0,SUMIFS(nrES_Raw,nrES_PID,$D533,nrES_Code,$F533,nrES_Att,1)&gt;=$J533),"RETEST AFTER A PASSING FIRST ATTEMPT","OK"))))))))))</f>
        <v/>
      </c>
      <c r="Y533" s="16" t="n"/>
    </row>
    <row r="534">
      <c r="B534" s="17">
        <f>IF($C534="","",$D534&amp;"-"&amp;$F534&amp;"-"&amp;$K534)</f>
        <v/>
      </c>
      <c r="C534" s="16" t="n"/>
      <c r="D534" s="17">
        <f>IF($C534="","",IFERROR(INDEX(rngCadetPIDs,MATCH($C534,rngCadetNames,0)),"?"))</f>
        <v/>
      </c>
      <c r="E534" s="17">
        <f>IF($D534="","",IFERROR(INDEX(nrCadetAgency,MATCH($D534,rngCadetPIDs,0)),""))</f>
        <v/>
      </c>
      <c r="F534" s="16" t="n"/>
      <c r="G534" s="17">
        <f>IF($F534="","",IFERROR(INDEX(rngEPname,MATCH($F534,rngEPcode,0)),"?"))</f>
        <v/>
      </c>
      <c r="H534" s="17">
        <f>IF($F534="","",IFERROR(INDEX(rngEPtype,MATCH($F534,rngEPcode,0)),"?"))</f>
        <v/>
      </c>
      <c r="I534" s="17">
        <f>IF($F534="","",IFERROR(INDEX(rngEPseq,MATCH($F534,rngEPcode,0)),""))</f>
        <v/>
      </c>
      <c r="J534" s="17">
        <f>IF($F534="","",IFERROR(INDEX(rngEPpass,MATCH($F534,rngEPcode,0)),cfgPassingScore))</f>
        <v/>
      </c>
      <c r="K534" s="16" t="n"/>
      <c r="L534" s="16" t="n"/>
      <c r="M534" s="17">
        <f>IF($C534="","",IF($L534="","",IF(NOT(ISNUMBER($L534)),$L534,IF(N($K534)&gt;2,"",IF($K534=1,IF(COUNTIFS(nrES_PID,$D534,nrES_Code,$F534,nrES_Att,2,nrES_Raw,"&gt;=0")&gt;0,"",$L534),IF($L534&gt;=$J534,MAX($J534,cfgRetakeRecordedCap),IF(COUNTIFS(nrES_PID,$D534,nrES_Code,$F534,nrES_Att,1)=0,$L534,SUMIFS(nrES_Raw,nrES_PID,$D534,nrES_Code,$F534,nrES_Att,1))))))))</f>
        <v/>
      </c>
      <c r="N534" s="17">
        <f>IF($C534="","",IF($L534="","",IF(NOT(ISNUMBER($L534)),"(not a score)",IF($L534&gt;=$J534,"Yes","No"))))</f>
        <v/>
      </c>
      <c r="O534" s="17">
        <f>IF($C534="","",IF($M534="","",IF(NOT(ISNUMBER($M534)),"(not a score)",IF($M534&gt;=$J534,"Yes","No"))))</f>
        <v/>
      </c>
      <c r="P534" s="17">
        <f>IF($C534="","",IF($K534="","",IF(N($K534)&gt;2,"No",IF(COUNTIFS(nrES_PID,$D534,nrES_Code,$F534,nrES_Att,"&gt;"&amp;$K534,nrES_Att,"&lt;=2",nrES_Raw,"&gt;=0")=0,"Yes","No"))))</f>
        <v/>
      </c>
      <c r="Q534" s="17">
        <f>IF($C534="","",IF($L534="","",IF(AND($K534=1,ISNUMBER($L534),$L534&lt;$J534,COUNTIFS(nrES_PID,$D534,nrES_Code,$F534,nrES_Att,2,nrES_Raw,"&gt;=0")=0),"Yes","No")))</f>
        <v/>
      </c>
      <c r="R534" s="17">
        <f>IF($C534="","",IF($L534="","",IF(AND(N($K534)&gt;=2,ISNUMBER($L534),$L534&lt;$J534),"Yes","No")))</f>
        <v/>
      </c>
      <c r="S534" s="18" t="n"/>
      <c r="T534" s="19">
        <f>IF(OR($C534="",$L534="",$K534&lt;&gt;1,NOT(ISNUMBER($L534)),$L534&gt;=$J534),"",IF($S534="","(enter date)",_xlfn.LET(_xlpm.dn,_xlfn.XLOOKUP($S534,nrCDdate,nrCDnum,"",1),IF(_xlpm.dn="","(after last class day)",_xlfn.LET(_xlpm.dd,_xlfn.XLOOKUP(_xlpm.dn+cfgRetestClassDays,nrCDnum,nrCDdate,""),_xlpm.ok,_xlfn.XLOOKUP(_xlpm.dn+cfgRetestClassDays,nrCDnum,nrCDinsession,"No"),IF(OR(_xlpm.dd="",_xlpm.ok&lt;&gt;"Yes"),"(after last class day)",_xlpm.dd))))))</f>
        <v/>
      </c>
      <c r="U534" s="17">
        <f>IF($C534="","",IF(AND($Y534="Excused",$L534="",N($K534)&lt;=1),"EXCUSED - 1st attempt pending",IF(OR($L534="",$K534&lt;&gt;1,NOT(ISNUMBER($L534)),$L534&gt;=$J534),"",IF(COUNTIFS(nrES_PID,$D534,nrES_Code,$F534,nrES_Att,2,nrES_Raw,"&gt;=0")&gt;0,IF(IFERROR(_xlfn.MINIFS(nrES_Date,nrES_PID,$D534,nrES_Code,$F534,nrES_Att,2,nrES_Raw,"&gt;=0",nrES_Date,"&gt;0"),0)=0,"RETEST UNDATED",IF(NOT(ISNUMBER($T534)),"RETEST DATE UNCHECKED",IF(_xlfn.MINIFS(nrES_Date,nrES_PID,$D534,nrES_Code,$F534,nrES_Att,2,nrES_Raw,"&gt;=0",nrES_Date,"&gt;0")&gt;$T534,"LATE RETEST "&amp;TEXT(_xlfn.MINIFS(nrES_Date,nrES_PID,$D534,nrES_Code,$F534,nrES_Att,2,nrES_Raw,"&gt;=0",nrES_Date,"&gt;0"),"mm/dd")&amp;" (due "&amp;TEXT($T534,"mm/dd")&amp;")","Retested"))),IF(NOT(ISNUMBER($T534)),"CHECK DATE",IF(TODAY()&gt;$T534,"OVERDUE","Due "&amp;TEXT($T534,"mm/dd")))))))</f>
        <v/>
      </c>
      <c r="V534" s="16" t="n"/>
      <c r="W534" s="16" t="n"/>
      <c r="X534" s="17">
        <f>IF($C534="","",IF(AND($L534&lt;&gt;"",NOT(ISNUMBER($L534))),"RAW SCORE NOT A NUMBER",IF(AND(ISNUMBER($L534),OR($L534&lt;0,$L534&gt;100)),"RAW SCORE OUT OF RANGE",IF(AND($Y534="Unexcused",OR($L534="",NOT(ISNUMBER($L534)),$L534&lt;&gt;0)),"UNEXCUSED ABSENCE MUST RECORD 0",IF(COUNTIF(nrES_RecID,$B534)&gt;1,"DUPLICATE RECORD",IF(N($K534)&gt;2,"ATTEMPT 3+ NOT ALLOWED - policy 300.5 permits one retest per exam; this row records nothing",IF(AND($K534=2,COUNTIFS(nrES_PID,$D534,nrES_Code,$F534,nrES_Att,1)=0),"ATTEMPT 2 WITHOUT ATTEMPT 1",IF(AND($K534=2,$L534=""),"RETEST ROW HAS NO SCORE",IF(AND($H534="Final",$L534&lt;&gt;"",IFERROR(INDEX(nrCKfinalExamElig,MATCH($D534,rngCadetPIDs,0)),"")="No"),"FINAL EXAM AFTER FAILED FINAL PT (500.1.H)",IF(AND($K534=2,ISNUMBER($L534),COUNTIFS(nrES_PID,$D534,nrES_Code,$F534,nrES_Att,1)&gt;0,SUMIFS(nrES_Raw,nrES_PID,$D534,nrES_Code,$F534,nrES_Att,1)&gt;=$J534),"RETEST AFTER A PASSING FIRST ATTEMPT","OK"))))))))))</f>
        <v/>
      </c>
      <c r="Y534" s="16" t="n"/>
    </row>
    <row r="535">
      <c r="B535" s="17">
        <f>IF($C535="","",$D535&amp;"-"&amp;$F535&amp;"-"&amp;$K535)</f>
        <v/>
      </c>
      <c r="C535" s="16" t="n"/>
      <c r="D535" s="17">
        <f>IF($C535="","",IFERROR(INDEX(rngCadetPIDs,MATCH($C535,rngCadetNames,0)),"?"))</f>
        <v/>
      </c>
      <c r="E535" s="17">
        <f>IF($D535="","",IFERROR(INDEX(nrCadetAgency,MATCH($D535,rngCadetPIDs,0)),""))</f>
        <v/>
      </c>
      <c r="F535" s="16" t="n"/>
      <c r="G535" s="17">
        <f>IF($F535="","",IFERROR(INDEX(rngEPname,MATCH($F535,rngEPcode,0)),"?"))</f>
        <v/>
      </c>
      <c r="H535" s="17">
        <f>IF($F535="","",IFERROR(INDEX(rngEPtype,MATCH($F535,rngEPcode,0)),"?"))</f>
        <v/>
      </c>
      <c r="I535" s="17">
        <f>IF($F535="","",IFERROR(INDEX(rngEPseq,MATCH($F535,rngEPcode,0)),""))</f>
        <v/>
      </c>
      <c r="J535" s="17">
        <f>IF($F535="","",IFERROR(INDEX(rngEPpass,MATCH($F535,rngEPcode,0)),cfgPassingScore))</f>
        <v/>
      </c>
      <c r="K535" s="16" t="n"/>
      <c r="L535" s="16" t="n"/>
      <c r="M535" s="17">
        <f>IF($C535="","",IF($L535="","",IF(NOT(ISNUMBER($L535)),$L535,IF(N($K535)&gt;2,"",IF($K535=1,IF(COUNTIFS(nrES_PID,$D535,nrES_Code,$F535,nrES_Att,2,nrES_Raw,"&gt;=0")&gt;0,"",$L535),IF($L535&gt;=$J535,MAX($J535,cfgRetakeRecordedCap),IF(COUNTIFS(nrES_PID,$D535,nrES_Code,$F535,nrES_Att,1)=0,$L535,SUMIFS(nrES_Raw,nrES_PID,$D535,nrES_Code,$F535,nrES_Att,1))))))))</f>
        <v/>
      </c>
      <c r="N535" s="17">
        <f>IF($C535="","",IF($L535="","",IF(NOT(ISNUMBER($L535)),"(not a score)",IF($L535&gt;=$J535,"Yes","No"))))</f>
        <v/>
      </c>
      <c r="O535" s="17">
        <f>IF($C535="","",IF($M535="","",IF(NOT(ISNUMBER($M535)),"(not a score)",IF($M535&gt;=$J535,"Yes","No"))))</f>
        <v/>
      </c>
      <c r="P535" s="17">
        <f>IF($C535="","",IF($K535="","",IF(N($K535)&gt;2,"No",IF(COUNTIFS(nrES_PID,$D535,nrES_Code,$F535,nrES_Att,"&gt;"&amp;$K535,nrES_Att,"&lt;=2",nrES_Raw,"&gt;=0")=0,"Yes","No"))))</f>
        <v/>
      </c>
      <c r="Q535" s="17">
        <f>IF($C535="","",IF($L535="","",IF(AND($K535=1,ISNUMBER($L535),$L535&lt;$J535,COUNTIFS(nrES_PID,$D535,nrES_Code,$F535,nrES_Att,2,nrES_Raw,"&gt;=0")=0),"Yes","No")))</f>
        <v/>
      </c>
      <c r="R535" s="17">
        <f>IF($C535="","",IF($L535="","",IF(AND(N($K535)&gt;=2,ISNUMBER($L535),$L535&lt;$J535),"Yes","No")))</f>
        <v/>
      </c>
      <c r="S535" s="18" t="n"/>
      <c r="T535" s="19">
        <f>IF(OR($C535="",$L535="",$K535&lt;&gt;1,NOT(ISNUMBER($L535)),$L535&gt;=$J535),"",IF($S535="","(enter date)",_xlfn.LET(_xlpm.dn,_xlfn.XLOOKUP($S535,nrCDdate,nrCDnum,"",1),IF(_xlpm.dn="","(after last class day)",_xlfn.LET(_xlpm.dd,_xlfn.XLOOKUP(_xlpm.dn+cfgRetestClassDays,nrCDnum,nrCDdate,""),_xlpm.ok,_xlfn.XLOOKUP(_xlpm.dn+cfgRetestClassDays,nrCDnum,nrCDinsession,"No"),IF(OR(_xlpm.dd="",_xlpm.ok&lt;&gt;"Yes"),"(after last class day)",_xlpm.dd))))))</f>
        <v/>
      </c>
      <c r="U535" s="17">
        <f>IF($C535="","",IF(AND($Y535="Excused",$L535="",N($K535)&lt;=1),"EXCUSED - 1st attempt pending",IF(OR($L535="",$K535&lt;&gt;1,NOT(ISNUMBER($L535)),$L535&gt;=$J535),"",IF(COUNTIFS(nrES_PID,$D535,nrES_Code,$F535,nrES_Att,2,nrES_Raw,"&gt;=0")&gt;0,IF(IFERROR(_xlfn.MINIFS(nrES_Date,nrES_PID,$D535,nrES_Code,$F535,nrES_Att,2,nrES_Raw,"&gt;=0",nrES_Date,"&gt;0"),0)=0,"RETEST UNDATED",IF(NOT(ISNUMBER($T535)),"RETEST DATE UNCHECKED",IF(_xlfn.MINIFS(nrES_Date,nrES_PID,$D535,nrES_Code,$F535,nrES_Att,2,nrES_Raw,"&gt;=0",nrES_Date,"&gt;0")&gt;$T535,"LATE RETEST "&amp;TEXT(_xlfn.MINIFS(nrES_Date,nrES_PID,$D535,nrES_Code,$F535,nrES_Att,2,nrES_Raw,"&gt;=0",nrES_Date,"&gt;0"),"mm/dd")&amp;" (due "&amp;TEXT($T535,"mm/dd")&amp;")","Retested"))),IF(NOT(ISNUMBER($T535)),"CHECK DATE",IF(TODAY()&gt;$T535,"OVERDUE","Due "&amp;TEXT($T535,"mm/dd")))))))</f>
        <v/>
      </c>
      <c r="V535" s="16" t="n"/>
      <c r="W535" s="16" t="n"/>
      <c r="X535" s="17">
        <f>IF($C535="","",IF(AND($L535&lt;&gt;"",NOT(ISNUMBER($L535))),"RAW SCORE NOT A NUMBER",IF(AND(ISNUMBER($L535),OR($L535&lt;0,$L535&gt;100)),"RAW SCORE OUT OF RANGE",IF(AND($Y535="Unexcused",OR($L535="",NOT(ISNUMBER($L535)),$L535&lt;&gt;0)),"UNEXCUSED ABSENCE MUST RECORD 0",IF(COUNTIF(nrES_RecID,$B535)&gt;1,"DUPLICATE RECORD",IF(N($K535)&gt;2,"ATTEMPT 3+ NOT ALLOWED - policy 300.5 permits one retest per exam; this row records nothing",IF(AND($K535=2,COUNTIFS(nrES_PID,$D535,nrES_Code,$F535,nrES_Att,1)=0),"ATTEMPT 2 WITHOUT ATTEMPT 1",IF(AND($K535=2,$L535=""),"RETEST ROW HAS NO SCORE",IF(AND($H535="Final",$L535&lt;&gt;"",IFERROR(INDEX(nrCKfinalExamElig,MATCH($D535,rngCadetPIDs,0)),"")="No"),"FINAL EXAM AFTER FAILED FINAL PT (500.1.H)",IF(AND($K535=2,ISNUMBER($L535),COUNTIFS(nrES_PID,$D535,nrES_Code,$F535,nrES_Att,1)&gt;0,SUMIFS(nrES_Raw,nrES_PID,$D535,nrES_Code,$F535,nrES_Att,1)&gt;=$J535),"RETEST AFTER A PASSING FIRST ATTEMPT","OK"))))))))))</f>
        <v/>
      </c>
      <c r="Y535" s="16" t="n"/>
    </row>
    <row r="536">
      <c r="B536" s="17">
        <f>IF($C536="","",$D536&amp;"-"&amp;$F536&amp;"-"&amp;$K536)</f>
        <v/>
      </c>
      <c r="C536" s="16" t="n"/>
      <c r="D536" s="17">
        <f>IF($C536="","",IFERROR(INDEX(rngCadetPIDs,MATCH($C536,rngCadetNames,0)),"?"))</f>
        <v/>
      </c>
      <c r="E536" s="17">
        <f>IF($D536="","",IFERROR(INDEX(nrCadetAgency,MATCH($D536,rngCadetPIDs,0)),""))</f>
        <v/>
      </c>
      <c r="F536" s="16" t="n"/>
      <c r="G536" s="17">
        <f>IF($F536="","",IFERROR(INDEX(rngEPname,MATCH($F536,rngEPcode,0)),"?"))</f>
        <v/>
      </c>
      <c r="H536" s="17">
        <f>IF($F536="","",IFERROR(INDEX(rngEPtype,MATCH($F536,rngEPcode,0)),"?"))</f>
        <v/>
      </c>
      <c r="I536" s="17">
        <f>IF($F536="","",IFERROR(INDEX(rngEPseq,MATCH($F536,rngEPcode,0)),""))</f>
        <v/>
      </c>
      <c r="J536" s="17">
        <f>IF($F536="","",IFERROR(INDEX(rngEPpass,MATCH($F536,rngEPcode,0)),cfgPassingScore))</f>
        <v/>
      </c>
      <c r="K536" s="16" t="n"/>
      <c r="L536" s="16" t="n"/>
      <c r="M536" s="17">
        <f>IF($C536="","",IF($L536="","",IF(NOT(ISNUMBER($L536)),$L536,IF(N($K536)&gt;2,"",IF($K536=1,IF(COUNTIFS(nrES_PID,$D536,nrES_Code,$F536,nrES_Att,2,nrES_Raw,"&gt;=0")&gt;0,"",$L536),IF($L536&gt;=$J536,MAX($J536,cfgRetakeRecordedCap),IF(COUNTIFS(nrES_PID,$D536,nrES_Code,$F536,nrES_Att,1)=0,$L536,SUMIFS(nrES_Raw,nrES_PID,$D536,nrES_Code,$F536,nrES_Att,1))))))))</f>
        <v/>
      </c>
      <c r="N536" s="17">
        <f>IF($C536="","",IF($L536="","",IF(NOT(ISNUMBER($L536)),"(not a score)",IF($L536&gt;=$J536,"Yes","No"))))</f>
        <v/>
      </c>
      <c r="O536" s="17">
        <f>IF($C536="","",IF($M536="","",IF(NOT(ISNUMBER($M536)),"(not a score)",IF($M536&gt;=$J536,"Yes","No"))))</f>
        <v/>
      </c>
      <c r="P536" s="17">
        <f>IF($C536="","",IF($K536="","",IF(N($K536)&gt;2,"No",IF(COUNTIFS(nrES_PID,$D536,nrES_Code,$F536,nrES_Att,"&gt;"&amp;$K536,nrES_Att,"&lt;=2",nrES_Raw,"&gt;=0")=0,"Yes","No"))))</f>
        <v/>
      </c>
      <c r="Q536" s="17">
        <f>IF($C536="","",IF($L536="","",IF(AND($K536=1,ISNUMBER($L536),$L536&lt;$J536,COUNTIFS(nrES_PID,$D536,nrES_Code,$F536,nrES_Att,2,nrES_Raw,"&gt;=0")=0),"Yes","No")))</f>
        <v/>
      </c>
      <c r="R536" s="17">
        <f>IF($C536="","",IF($L536="","",IF(AND(N($K536)&gt;=2,ISNUMBER($L536),$L536&lt;$J536),"Yes","No")))</f>
        <v/>
      </c>
      <c r="S536" s="18" t="n"/>
      <c r="T536" s="19">
        <f>IF(OR($C536="",$L536="",$K536&lt;&gt;1,NOT(ISNUMBER($L536)),$L536&gt;=$J536),"",IF($S536="","(enter date)",_xlfn.LET(_xlpm.dn,_xlfn.XLOOKUP($S536,nrCDdate,nrCDnum,"",1),IF(_xlpm.dn="","(after last class day)",_xlfn.LET(_xlpm.dd,_xlfn.XLOOKUP(_xlpm.dn+cfgRetestClassDays,nrCDnum,nrCDdate,""),_xlpm.ok,_xlfn.XLOOKUP(_xlpm.dn+cfgRetestClassDays,nrCDnum,nrCDinsession,"No"),IF(OR(_xlpm.dd="",_xlpm.ok&lt;&gt;"Yes"),"(after last class day)",_xlpm.dd))))))</f>
        <v/>
      </c>
      <c r="U536" s="17">
        <f>IF($C536="","",IF(AND($Y536="Excused",$L536="",N($K536)&lt;=1),"EXCUSED - 1st attempt pending",IF(OR($L536="",$K536&lt;&gt;1,NOT(ISNUMBER($L536)),$L536&gt;=$J536),"",IF(COUNTIFS(nrES_PID,$D536,nrES_Code,$F536,nrES_Att,2,nrES_Raw,"&gt;=0")&gt;0,IF(IFERROR(_xlfn.MINIFS(nrES_Date,nrES_PID,$D536,nrES_Code,$F536,nrES_Att,2,nrES_Raw,"&gt;=0",nrES_Date,"&gt;0"),0)=0,"RETEST UNDATED",IF(NOT(ISNUMBER($T536)),"RETEST DATE UNCHECKED",IF(_xlfn.MINIFS(nrES_Date,nrES_PID,$D536,nrES_Code,$F536,nrES_Att,2,nrES_Raw,"&gt;=0",nrES_Date,"&gt;0")&gt;$T536,"LATE RETEST "&amp;TEXT(_xlfn.MINIFS(nrES_Date,nrES_PID,$D536,nrES_Code,$F536,nrES_Att,2,nrES_Raw,"&gt;=0",nrES_Date,"&gt;0"),"mm/dd")&amp;" (due "&amp;TEXT($T536,"mm/dd")&amp;")","Retested"))),IF(NOT(ISNUMBER($T536)),"CHECK DATE",IF(TODAY()&gt;$T536,"OVERDUE","Due "&amp;TEXT($T536,"mm/dd")))))))</f>
        <v/>
      </c>
      <c r="V536" s="16" t="n"/>
      <c r="W536" s="16" t="n"/>
      <c r="X536" s="17">
        <f>IF($C536="","",IF(AND($L536&lt;&gt;"",NOT(ISNUMBER($L536))),"RAW SCORE NOT A NUMBER",IF(AND(ISNUMBER($L536),OR($L536&lt;0,$L536&gt;100)),"RAW SCORE OUT OF RANGE",IF(AND($Y536="Unexcused",OR($L536="",NOT(ISNUMBER($L536)),$L536&lt;&gt;0)),"UNEXCUSED ABSENCE MUST RECORD 0",IF(COUNTIF(nrES_RecID,$B536)&gt;1,"DUPLICATE RECORD",IF(N($K536)&gt;2,"ATTEMPT 3+ NOT ALLOWED - policy 300.5 permits one retest per exam; this row records nothing",IF(AND($K536=2,COUNTIFS(nrES_PID,$D536,nrES_Code,$F536,nrES_Att,1)=0),"ATTEMPT 2 WITHOUT ATTEMPT 1",IF(AND($K536=2,$L536=""),"RETEST ROW HAS NO SCORE",IF(AND($H536="Final",$L536&lt;&gt;"",IFERROR(INDEX(nrCKfinalExamElig,MATCH($D536,rngCadetPIDs,0)),"")="No"),"FINAL EXAM AFTER FAILED FINAL PT (500.1.H)",IF(AND($K536=2,ISNUMBER($L536),COUNTIFS(nrES_PID,$D536,nrES_Code,$F536,nrES_Att,1)&gt;0,SUMIFS(nrES_Raw,nrES_PID,$D536,nrES_Code,$F536,nrES_Att,1)&gt;=$J536),"RETEST AFTER A PASSING FIRST ATTEMPT","OK"))))))))))</f>
        <v/>
      </c>
      <c r="Y536" s="16" t="n"/>
    </row>
    <row r="537">
      <c r="B537" s="17">
        <f>IF($C537="","",$D537&amp;"-"&amp;$F537&amp;"-"&amp;$K537)</f>
        <v/>
      </c>
      <c r="C537" s="16" t="n"/>
      <c r="D537" s="17">
        <f>IF($C537="","",IFERROR(INDEX(rngCadetPIDs,MATCH($C537,rngCadetNames,0)),"?"))</f>
        <v/>
      </c>
      <c r="E537" s="17">
        <f>IF($D537="","",IFERROR(INDEX(nrCadetAgency,MATCH($D537,rngCadetPIDs,0)),""))</f>
        <v/>
      </c>
      <c r="F537" s="16" t="n"/>
      <c r="G537" s="17">
        <f>IF($F537="","",IFERROR(INDEX(rngEPname,MATCH($F537,rngEPcode,0)),"?"))</f>
        <v/>
      </c>
      <c r="H537" s="17">
        <f>IF($F537="","",IFERROR(INDEX(rngEPtype,MATCH($F537,rngEPcode,0)),"?"))</f>
        <v/>
      </c>
      <c r="I537" s="17">
        <f>IF($F537="","",IFERROR(INDEX(rngEPseq,MATCH($F537,rngEPcode,0)),""))</f>
        <v/>
      </c>
      <c r="J537" s="17">
        <f>IF($F537="","",IFERROR(INDEX(rngEPpass,MATCH($F537,rngEPcode,0)),cfgPassingScore))</f>
        <v/>
      </c>
      <c r="K537" s="16" t="n"/>
      <c r="L537" s="16" t="n"/>
      <c r="M537" s="17">
        <f>IF($C537="","",IF($L537="","",IF(NOT(ISNUMBER($L537)),$L537,IF(N($K537)&gt;2,"",IF($K537=1,IF(COUNTIFS(nrES_PID,$D537,nrES_Code,$F537,nrES_Att,2,nrES_Raw,"&gt;=0")&gt;0,"",$L537),IF($L537&gt;=$J537,MAX($J537,cfgRetakeRecordedCap),IF(COUNTIFS(nrES_PID,$D537,nrES_Code,$F537,nrES_Att,1)=0,$L537,SUMIFS(nrES_Raw,nrES_PID,$D537,nrES_Code,$F537,nrES_Att,1))))))))</f>
        <v/>
      </c>
      <c r="N537" s="17">
        <f>IF($C537="","",IF($L537="","",IF(NOT(ISNUMBER($L537)),"(not a score)",IF($L537&gt;=$J537,"Yes","No"))))</f>
        <v/>
      </c>
      <c r="O537" s="17">
        <f>IF($C537="","",IF($M537="","",IF(NOT(ISNUMBER($M537)),"(not a score)",IF($M537&gt;=$J537,"Yes","No"))))</f>
        <v/>
      </c>
      <c r="P537" s="17">
        <f>IF($C537="","",IF($K537="","",IF(N($K537)&gt;2,"No",IF(COUNTIFS(nrES_PID,$D537,nrES_Code,$F537,nrES_Att,"&gt;"&amp;$K537,nrES_Att,"&lt;=2",nrES_Raw,"&gt;=0")=0,"Yes","No"))))</f>
        <v/>
      </c>
      <c r="Q537" s="17">
        <f>IF($C537="","",IF($L537="","",IF(AND($K537=1,ISNUMBER($L537),$L537&lt;$J537,COUNTIFS(nrES_PID,$D537,nrES_Code,$F537,nrES_Att,2,nrES_Raw,"&gt;=0")=0),"Yes","No")))</f>
        <v/>
      </c>
      <c r="R537" s="17">
        <f>IF($C537="","",IF($L537="","",IF(AND(N($K537)&gt;=2,ISNUMBER($L537),$L537&lt;$J537),"Yes","No")))</f>
        <v/>
      </c>
      <c r="S537" s="18" t="n"/>
      <c r="T537" s="19">
        <f>IF(OR($C537="",$L537="",$K537&lt;&gt;1,NOT(ISNUMBER($L537)),$L537&gt;=$J537),"",IF($S537="","(enter date)",_xlfn.LET(_xlpm.dn,_xlfn.XLOOKUP($S537,nrCDdate,nrCDnum,"",1),IF(_xlpm.dn="","(after last class day)",_xlfn.LET(_xlpm.dd,_xlfn.XLOOKUP(_xlpm.dn+cfgRetestClassDays,nrCDnum,nrCDdate,""),_xlpm.ok,_xlfn.XLOOKUP(_xlpm.dn+cfgRetestClassDays,nrCDnum,nrCDinsession,"No"),IF(OR(_xlpm.dd="",_xlpm.ok&lt;&gt;"Yes"),"(after last class day)",_xlpm.dd))))))</f>
        <v/>
      </c>
      <c r="U537" s="17">
        <f>IF($C537="","",IF(AND($Y537="Excused",$L537="",N($K537)&lt;=1),"EXCUSED - 1st attempt pending",IF(OR($L537="",$K537&lt;&gt;1,NOT(ISNUMBER($L537)),$L537&gt;=$J537),"",IF(COUNTIFS(nrES_PID,$D537,nrES_Code,$F537,nrES_Att,2,nrES_Raw,"&gt;=0")&gt;0,IF(IFERROR(_xlfn.MINIFS(nrES_Date,nrES_PID,$D537,nrES_Code,$F537,nrES_Att,2,nrES_Raw,"&gt;=0",nrES_Date,"&gt;0"),0)=0,"RETEST UNDATED",IF(NOT(ISNUMBER($T537)),"RETEST DATE UNCHECKED",IF(_xlfn.MINIFS(nrES_Date,nrES_PID,$D537,nrES_Code,$F537,nrES_Att,2,nrES_Raw,"&gt;=0",nrES_Date,"&gt;0")&gt;$T537,"LATE RETEST "&amp;TEXT(_xlfn.MINIFS(nrES_Date,nrES_PID,$D537,nrES_Code,$F537,nrES_Att,2,nrES_Raw,"&gt;=0",nrES_Date,"&gt;0"),"mm/dd")&amp;" (due "&amp;TEXT($T537,"mm/dd")&amp;")","Retested"))),IF(NOT(ISNUMBER($T537)),"CHECK DATE",IF(TODAY()&gt;$T537,"OVERDUE","Due "&amp;TEXT($T537,"mm/dd")))))))</f>
        <v/>
      </c>
      <c r="V537" s="16" t="n"/>
      <c r="W537" s="16" t="n"/>
      <c r="X537" s="17">
        <f>IF($C537="","",IF(AND($L537&lt;&gt;"",NOT(ISNUMBER($L537))),"RAW SCORE NOT A NUMBER",IF(AND(ISNUMBER($L537),OR($L537&lt;0,$L537&gt;100)),"RAW SCORE OUT OF RANGE",IF(AND($Y537="Unexcused",OR($L537="",NOT(ISNUMBER($L537)),$L537&lt;&gt;0)),"UNEXCUSED ABSENCE MUST RECORD 0",IF(COUNTIF(nrES_RecID,$B537)&gt;1,"DUPLICATE RECORD",IF(N($K537)&gt;2,"ATTEMPT 3+ NOT ALLOWED - policy 300.5 permits one retest per exam; this row records nothing",IF(AND($K537=2,COUNTIFS(nrES_PID,$D537,nrES_Code,$F537,nrES_Att,1)=0),"ATTEMPT 2 WITHOUT ATTEMPT 1",IF(AND($K537=2,$L537=""),"RETEST ROW HAS NO SCORE",IF(AND($H537="Final",$L537&lt;&gt;"",IFERROR(INDEX(nrCKfinalExamElig,MATCH($D537,rngCadetPIDs,0)),"")="No"),"FINAL EXAM AFTER FAILED FINAL PT (500.1.H)",IF(AND($K537=2,ISNUMBER($L537),COUNTIFS(nrES_PID,$D537,nrES_Code,$F537,nrES_Att,1)&gt;0,SUMIFS(nrES_Raw,nrES_PID,$D537,nrES_Code,$F537,nrES_Att,1)&gt;=$J537),"RETEST AFTER A PASSING FIRST ATTEMPT","OK"))))))))))</f>
        <v/>
      </c>
      <c r="Y537" s="16" t="n"/>
    </row>
    <row r="538">
      <c r="B538" s="17">
        <f>IF($C538="","",$D538&amp;"-"&amp;$F538&amp;"-"&amp;$K538)</f>
        <v/>
      </c>
      <c r="C538" s="16" t="n"/>
      <c r="D538" s="17">
        <f>IF($C538="","",IFERROR(INDEX(rngCadetPIDs,MATCH($C538,rngCadetNames,0)),"?"))</f>
        <v/>
      </c>
      <c r="E538" s="17">
        <f>IF($D538="","",IFERROR(INDEX(nrCadetAgency,MATCH($D538,rngCadetPIDs,0)),""))</f>
        <v/>
      </c>
      <c r="F538" s="16" t="n"/>
      <c r="G538" s="17">
        <f>IF($F538="","",IFERROR(INDEX(rngEPname,MATCH($F538,rngEPcode,0)),"?"))</f>
        <v/>
      </c>
      <c r="H538" s="17">
        <f>IF($F538="","",IFERROR(INDEX(rngEPtype,MATCH($F538,rngEPcode,0)),"?"))</f>
        <v/>
      </c>
      <c r="I538" s="17">
        <f>IF($F538="","",IFERROR(INDEX(rngEPseq,MATCH($F538,rngEPcode,0)),""))</f>
        <v/>
      </c>
      <c r="J538" s="17">
        <f>IF($F538="","",IFERROR(INDEX(rngEPpass,MATCH($F538,rngEPcode,0)),cfgPassingScore))</f>
        <v/>
      </c>
      <c r="K538" s="16" t="n"/>
      <c r="L538" s="16" t="n"/>
      <c r="M538" s="17">
        <f>IF($C538="","",IF($L538="","",IF(NOT(ISNUMBER($L538)),$L538,IF(N($K538)&gt;2,"",IF($K538=1,IF(COUNTIFS(nrES_PID,$D538,nrES_Code,$F538,nrES_Att,2,nrES_Raw,"&gt;=0")&gt;0,"",$L538),IF($L538&gt;=$J538,MAX($J538,cfgRetakeRecordedCap),IF(COUNTIFS(nrES_PID,$D538,nrES_Code,$F538,nrES_Att,1)=0,$L538,SUMIFS(nrES_Raw,nrES_PID,$D538,nrES_Code,$F538,nrES_Att,1))))))))</f>
        <v/>
      </c>
      <c r="N538" s="17">
        <f>IF($C538="","",IF($L538="","",IF(NOT(ISNUMBER($L538)),"(not a score)",IF($L538&gt;=$J538,"Yes","No"))))</f>
        <v/>
      </c>
      <c r="O538" s="17">
        <f>IF($C538="","",IF($M538="","",IF(NOT(ISNUMBER($M538)),"(not a score)",IF($M538&gt;=$J538,"Yes","No"))))</f>
        <v/>
      </c>
      <c r="P538" s="17">
        <f>IF($C538="","",IF($K538="","",IF(N($K538)&gt;2,"No",IF(COUNTIFS(nrES_PID,$D538,nrES_Code,$F538,nrES_Att,"&gt;"&amp;$K538,nrES_Att,"&lt;=2",nrES_Raw,"&gt;=0")=0,"Yes","No"))))</f>
        <v/>
      </c>
      <c r="Q538" s="17">
        <f>IF($C538="","",IF($L538="","",IF(AND($K538=1,ISNUMBER($L538),$L538&lt;$J538,COUNTIFS(nrES_PID,$D538,nrES_Code,$F538,nrES_Att,2,nrES_Raw,"&gt;=0")=0),"Yes","No")))</f>
        <v/>
      </c>
      <c r="R538" s="17">
        <f>IF($C538="","",IF($L538="","",IF(AND(N($K538)&gt;=2,ISNUMBER($L538),$L538&lt;$J538),"Yes","No")))</f>
        <v/>
      </c>
      <c r="S538" s="18" t="n"/>
      <c r="T538" s="19">
        <f>IF(OR($C538="",$L538="",$K538&lt;&gt;1,NOT(ISNUMBER($L538)),$L538&gt;=$J538),"",IF($S538="","(enter date)",_xlfn.LET(_xlpm.dn,_xlfn.XLOOKUP($S538,nrCDdate,nrCDnum,"",1),IF(_xlpm.dn="","(after last class day)",_xlfn.LET(_xlpm.dd,_xlfn.XLOOKUP(_xlpm.dn+cfgRetestClassDays,nrCDnum,nrCDdate,""),_xlpm.ok,_xlfn.XLOOKUP(_xlpm.dn+cfgRetestClassDays,nrCDnum,nrCDinsession,"No"),IF(OR(_xlpm.dd="",_xlpm.ok&lt;&gt;"Yes"),"(after last class day)",_xlpm.dd))))))</f>
        <v/>
      </c>
      <c r="U538" s="17">
        <f>IF($C538="","",IF(AND($Y538="Excused",$L538="",N($K538)&lt;=1),"EXCUSED - 1st attempt pending",IF(OR($L538="",$K538&lt;&gt;1,NOT(ISNUMBER($L538)),$L538&gt;=$J538),"",IF(COUNTIFS(nrES_PID,$D538,nrES_Code,$F538,nrES_Att,2,nrES_Raw,"&gt;=0")&gt;0,IF(IFERROR(_xlfn.MINIFS(nrES_Date,nrES_PID,$D538,nrES_Code,$F538,nrES_Att,2,nrES_Raw,"&gt;=0",nrES_Date,"&gt;0"),0)=0,"RETEST UNDATED",IF(NOT(ISNUMBER($T538)),"RETEST DATE UNCHECKED",IF(_xlfn.MINIFS(nrES_Date,nrES_PID,$D538,nrES_Code,$F538,nrES_Att,2,nrES_Raw,"&gt;=0",nrES_Date,"&gt;0")&gt;$T538,"LATE RETEST "&amp;TEXT(_xlfn.MINIFS(nrES_Date,nrES_PID,$D538,nrES_Code,$F538,nrES_Att,2,nrES_Raw,"&gt;=0",nrES_Date,"&gt;0"),"mm/dd")&amp;" (due "&amp;TEXT($T538,"mm/dd")&amp;")","Retested"))),IF(NOT(ISNUMBER($T538)),"CHECK DATE",IF(TODAY()&gt;$T538,"OVERDUE","Due "&amp;TEXT($T538,"mm/dd")))))))</f>
        <v/>
      </c>
      <c r="V538" s="16" t="n"/>
      <c r="W538" s="16" t="n"/>
      <c r="X538" s="17">
        <f>IF($C538="","",IF(AND($L538&lt;&gt;"",NOT(ISNUMBER($L538))),"RAW SCORE NOT A NUMBER",IF(AND(ISNUMBER($L538),OR($L538&lt;0,$L538&gt;100)),"RAW SCORE OUT OF RANGE",IF(AND($Y538="Unexcused",OR($L538="",NOT(ISNUMBER($L538)),$L538&lt;&gt;0)),"UNEXCUSED ABSENCE MUST RECORD 0",IF(COUNTIF(nrES_RecID,$B538)&gt;1,"DUPLICATE RECORD",IF(N($K538)&gt;2,"ATTEMPT 3+ NOT ALLOWED - policy 300.5 permits one retest per exam; this row records nothing",IF(AND($K538=2,COUNTIFS(nrES_PID,$D538,nrES_Code,$F538,nrES_Att,1)=0),"ATTEMPT 2 WITHOUT ATTEMPT 1",IF(AND($K538=2,$L538=""),"RETEST ROW HAS NO SCORE",IF(AND($H538="Final",$L538&lt;&gt;"",IFERROR(INDEX(nrCKfinalExamElig,MATCH($D538,rngCadetPIDs,0)),"")="No"),"FINAL EXAM AFTER FAILED FINAL PT (500.1.H)",IF(AND($K538=2,ISNUMBER($L538),COUNTIFS(nrES_PID,$D538,nrES_Code,$F538,nrES_Att,1)&gt;0,SUMIFS(nrES_Raw,nrES_PID,$D538,nrES_Code,$F538,nrES_Att,1)&gt;=$J538),"RETEST AFTER A PASSING FIRST ATTEMPT","OK"))))))))))</f>
        <v/>
      </c>
      <c r="Y538" s="16" t="n"/>
    </row>
    <row r="539">
      <c r="B539" s="17">
        <f>IF($C539="","",$D539&amp;"-"&amp;$F539&amp;"-"&amp;$K539)</f>
        <v/>
      </c>
      <c r="C539" s="16" t="n"/>
      <c r="D539" s="17">
        <f>IF($C539="","",IFERROR(INDEX(rngCadetPIDs,MATCH($C539,rngCadetNames,0)),"?"))</f>
        <v/>
      </c>
      <c r="E539" s="17">
        <f>IF($D539="","",IFERROR(INDEX(nrCadetAgency,MATCH($D539,rngCadetPIDs,0)),""))</f>
        <v/>
      </c>
      <c r="F539" s="16" t="n"/>
      <c r="G539" s="17">
        <f>IF($F539="","",IFERROR(INDEX(rngEPname,MATCH($F539,rngEPcode,0)),"?"))</f>
        <v/>
      </c>
      <c r="H539" s="17">
        <f>IF($F539="","",IFERROR(INDEX(rngEPtype,MATCH($F539,rngEPcode,0)),"?"))</f>
        <v/>
      </c>
      <c r="I539" s="17">
        <f>IF($F539="","",IFERROR(INDEX(rngEPseq,MATCH($F539,rngEPcode,0)),""))</f>
        <v/>
      </c>
      <c r="J539" s="17">
        <f>IF($F539="","",IFERROR(INDEX(rngEPpass,MATCH($F539,rngEPcode,0)),cfgPassingScore))</f>
        <v/>
      </c>
      <c r="K539" s="16" t="n"/>
      <c r="L539" s="16" t="n"/>
      <c r="M539" s="17">
        <f>IF($C539="","",IF($L539="","",IF(NOT(ISNUMBER($L539)),$L539,IF(N($K539)&gt;2,"",IF($K539=1,IF(COUNTIFS(nrES_PID,$D539,nrES_Code,$F539,nrES_Att,2,nrES_Raw,"&gt;=0")&gt;0,"",$L539),IF($L539&gt;=$J539,MAX($J539,cfgRetakeRecordedCap),IF(COUNTIFS(nrES_PID,$D539,nrES_Code,$F539,nrES_Att,1)=0,$L539,SUMIFS(nrES_Raw,nrES_PID,$D539,nrES_Code,$F539,nrES_Att,1))))))))</f>
        <v/>
      </c>
      <c r="N539" s="17">
        <f>IF($C539="","",IF($L539="","",IF(NOT(ISNUMBER($L539)),"(not a score)",IF($L539&gt;=$J539,"Yes","No"))))</f>
        <v/>
      </c>
      <c r="O539" s="17">
        <f>IF($C539="","",IF($M539="","",IF(NOT(ISNUMBER($M539)),"(not a score)",IF($M539&gt;=$J539,"Yes","No"))))</f>
        <v/>
      </c>
      <c r="P539" s="17">
        <f>IF($C539="","",IF($K539="","",IF(N($K539)&gt;2,"No",IF(COUNTIFS(nrES_PID,$D539,nrES_Code,$F539,nrES_Att,"&gt;"&amp;$K539,nrES_Att,"&lt;=2",nrES_Raw,"&gt;=0")=0,"Yes","No"))))</f>
        <v/>
      </c>
      <c r="Q539" s="17">
        <f>IF($C539="","",IF($L539="","",IF(AND($K539=1,ISNUMBER($L539),$L539&lt;$J539,COUNTIFS(nrES_PID,$D539,nrES_Code,$F539,nrES_Att,2,nrES_Raw,"&gt;=0")=0),"Yes","No")))</f>
        <v/>
      </c>
      <c r="R539" s="17">
        <f>IF($C539="","",IF($L539="","",IF(AND(N($K539)&gt;=2,ISNUMBER($L539),$L539&lt;$J539),"Yes","No")))</f>
        <v/>
      </c>
      <c r="S539" s="18" t="n"/>
      <c r="T539" s="19">
        <f>IF(OR($C539="",$L539="",$K539&lt;&gt;1,NOT(ISNUMBER($L539)),$L539&gt;=$J539),"",IF($S539="","(enter date)",_xlfn.LET(_xlpm.dn,_xlfn.XLOOKUP($S539,nrCDdate,nrCDnum,"",1),IF(_xlpm.dn="","(after last class day)",_xlfn.LET(_xlpm.dd,_xlfn.XLOOKUP(_xlpm.dn+cfgRetestClassDays,nrCDnum,nrCDdate,""),_xlpm.ok,_xlfn.XLOOKUP(_xlpm.dn+cfgRetestClassDays,nrCDnum,nrCDinsession,"No"),IF(OR(_xlpm.dd="",_xlpm.ok&lt;&gt;"Yes"),"(after last class day)",_xlpm.dd))))))</f>
        <v/>
      </c>
      <c r="U539" s="17">
        <f>IF($C539="","",IF(AND($Y539="Excused",$L539="",N($K539)&lt;=1),"EXCUSED - 1st attempt pending",IF(OR($L539="",$K539&lt;&gt;1,NOT(ISNUMBER($L539)),$L539&gt;=$J539),"",IF(COUNTIFS(nrES_PID,$D539,nrES_Code,$F539,nrES_Att,2,nrES_Raw,"&gt;=0")&gt;0,IF(IFERROR(_xlfn.MINIFS(nrES_Date,nrES_PID,$D539,nrES_Code,$F539,nrES_Att,2,nrES_Raw,"&gt;=0",nrES_Date,"&gt;0"),0)=0,"RETEST UNDATED",IF(NOT(ISNUMBER($T539)),"RETEST DATE UNCHECKED",IF(_xlfn.MINIFS(nrES_Date,nrES_PID,$D539,nrES_Code,$F539,nrES_Att,2,nrES_Raw,"&gt;=0",nrES_Date,"&gt;0")&gt;$T539,"LATE RETEST "&amp;TEXT(_xlfn.MINIFS(nrES_Date,nrES_PID,$D539,nrES_Code,$F539,nrES_Att,2,nrES_Raw,"&gt;=0",nrES_Date,"&gt;0"),"mm/dd")&amp;" (due "&amp;TEXT($T539,"mm/dd")&amp;")","Retested"))),IF(NOT(ISNUMBER($T539)),"CHECK DATE",IF(TODAY()&gt;$T539,"OVERDUE","Due "&amp;TEXT($T539,"mm/dd")))))))</f>
        <v/>
      </c>
      <c r="V539" s="16" t="n"/>
      <c r="W539" s="16" t="n"/>
      <c r="X539" s="17">
        <f>IF($C539="","",IF(AND($L539&lt;&gt;"",NOT(ISNUMBER($L539))),"RAW SCORE NOT A NUMBER",IF(AND(ISNUMBER($L539),OR($L539&lt;0,$L539&gt;100)),"RAW SCORE OUT OF RANGE",IF(AND($Y539="Unexcused",OR($L539="",NOT(ISNUMBER($L539)),$L539&lt;&gt;0)),"UNEXCUSED ABSENCE MUST RECORD 0",IF(COUNTIF(nrES_RecID,$B539)&gt;1,"DUPLICATE RECORD",IF(N($K539)&gt;2,"ATTEMPT 3+ NOT ALLOWED - policy 300.5 permits one retest per exam; this row records nothing",IF(AND($K539=2,COUNTIFS(nrES_PID,$D539,nrES_Code,$F539,nrES_Att,1)=0),"ATTEMPT 2 WITHOUT ATTEMPT 1",IF(AND($K539=2,$L539=""),"RETEST ROW HAS NO SCORE",IF(AND($H539="Final",$L539&lt;&gt;"",IFERROR(INDEX(nrCKfinalExamElig,MATCH($D539,rngCadetPIDs,0)),"")="No"),"FINAL EXAM AFTER FAILED FINAL PT (500.1.H)",IF(AND($K539=2,ISNUMBER($L539),COUNTIFS(nrES_PID,$D539,nrES_Code,$F539,nrES_Att,1)&gt;0,SUMIFS(nrES_Raw,nrES_PID,$D539,nrES_Code,$F539,nrES_Att,1)&gt;=$J539),"RETEST AFTER A PASSING FIRST ATTEMPT","OK"))))))))))</f>
        <v/>
      </c>
      <c r="Y539" s="16" t="n"/>
    </row>
    <row r="540">
      <c r="B540" s="17">
        <f>IF($C540="","",$D540&amp;"-"&amp;$F540&amp;"-"&amp;$K540)</f>
        <v/>
      </c>
      <c r="C540" s="16" t="n"/>
      <c r="D540" s="17">
        <f>IF($C540="","",IFERROR(INDEX(rngCadetPIDs,MATCH($C540,rngCadetNames,0)),"?"))</f>
        <v/>
      </c>
      <c r="E540" s="17">
        <f>IF($D540="","",IFERROR(INDEX(nrCadetAgency,MATCH($D540,rngCadetPIDs,0)),""))</f>
        <v/>
      </c>
      <c r="F540" s="16" t="n"/>
      <c r="G540" s="17">
        <f>IF($F540="","",IFERROR(INDEX(rngEPname,MATCH($F540,rngEPcode,0)),"?"))</f>
        <v/>
      </c>
      <c r="H540" s="17">
        <f>IF($F540="","",IFERROR(INDEX(rngEPtype,MATCH($F540,rngEPcode,0)),"?"))</f>
        <v/>
      </c>
      <c r="I540" s="17">
        <f>IF($F540="","",IFERROR(INDEX(rngEPseq,MATCH($F540,rngEPcode,0)),""))</f>
        <v/>
      </c>
      <c r="J540" s="17">
        <f>IF($F540="","",IFERROR(INDEX(rngEPpass,MATCH($F540,rngEPcode,0)),cfgPassingScore))</f>
        <v/>
      </c>
      <c r="K540" s="16" t="n"/>
      <c r="L540" s="16" t="n"/>
      <c r="M540" s="17">
        <f>IF($C540="","",IF($L540="","",IF(NOT(ISNUMBER($L540)),$L540,IF(N($K540)&gt;2,"",IF($K540=1,IF(COUNTIFS(nrES_PID,$D540,nrES_Code,$F540,nrES_Att,2,nrES_Raw,"&gt;=0")&gt;0,"",$L540),IF($L540&gt;=$J540,MAX($J540,cfgRetakeRecordedCap),IF(COUNTIFS(nrES_PID,$D540,nrES_Code,$F540,nrES_Att,1)=0,$L540,SUMIFS(nrES_Raw,nrES_PID,$D540,nrES_Code,$F540,nrES_Att,1))))))))</f>
        <v/>
      </c>
      <c r="N540" s="17">
        <f>IF($C540="","",IF($L540="","",IF(NOT(ISNUMBER($L540)),"(not a score)",IF($L540&gt;=$J540,"Yes","No"))))</f>
        <v/>
      </c>
      <c r="O540" s="17">
        <f>IF($C540="","",IF($M540="","",IF(NOT(ISNUMBER($M540)),"(not a score)",IF($M540&gt;=$J540,"Yes","No"))))</f>
        <v/>
      </c>
      <c r="P540" s="17">
        <f>IF($C540="","",IF($K540="","",IF(N($K540)&gt;2,"No",IF(COUNTIFS(nrES_PID,$D540,nrES_Code,$F540,nrES_Att,"&gt;"&amp;$K540,nrES_Att,"&lt;=2",nrES_Raw,"&gt;=0")=0,"Yes","No"))))</f>
        <v/>
      </c>
      <c r="Q540" s="17">
        <f>IF($C540="","",IF($L540="","",IF(AND($K540=1,ISNUMBER($L540),$L540&lt;$J540,COUNTIFS(nrES_PID,$D540,nrES_Code,$F540,nrES_Att,2,nrES_Raw,"&gt;=0")=0),"Yes","No")))</f>
        <v/>
      </c>
      <c r="R540" s="17">
        <f>IF($C540="","",IF($L540="","",IF(AND(N($K540)&gt;=2,ISNUMBER($L540),$L540&lt;$J540),"Yes","No")))</f>
        <v/>
      </c>
      <c r="S540" s="18" t="n"/>
      <c r="T540" s="19">
        <f>IF(OR($C540="",$L540="",$K540&lt;&gt;1,NOT(ISNUMBER($L540)),$L540&gt;=$J540),"",IF($S540="","(enter date)",_xlfn.LET(_xlpm.dn,_xlfn.XLOOKUP($S540,nrCDdate,nrCDnum,"",1),IF(_xlpm.dn="","(after last class day)",_xlfn.LET(_xlpm.dd,_xlfn.XLOOKUP(_xlpm.dn+cfgRetestClassDays,nrCDnum,nrCDdate,""),_xlpm.ok,_xlfn.XLOOKUP(_xlpm.dn+cfgRetestClassDays,nrCDnum,nrCDinsession,"No"),IF(OR(_xlpm.dd="",_xlpm.ok&lt;&gt;"Yes"),"(after last class day)",_xlpm.dd))))))</f>
        <v/>
      </c>
      <c r="U540" s="17">
        <f>IF($C540="","",IF(AND($Y540="Excused",$L540="",N($K540)&lt;=1),"EXCUSED - 1st attempt pending",IF(OR($L540="",$K540&lt;&gt;1,NOT(ISNUMBER($L540)),$L540&gt;=$J540),"",IF(COUNTIFS(nrES_PID,$D540,nrES_Code,$F540,nrES_Att,2,nrES_Raw,"&gt;=0")&gt;0,IF(IFERROR(_xlfn.MINIFS(nrES_Date,nrES_PID,$D540,nrES_Code,$F540,nrES_Att,2,nrES_Raw,"&gt;=0",nrES_Date,"&gt;0"),0)=0,"RETEST UNDATED",IF(NOT(ISNUMBER($T540)),"RETEST DATE UNCHECKED",IF(_xlfn.MINIFS(nrES_Date,nrES_PID,$D540,nrES_Code,$F540,nrES_Att,2,nrES_Raw,"&gt;=0",nrES_Date,"&gt;0")&gt;$T540,"LATE RETEST "&amp;TEXT(_xlfn.MINIFS(nrES_Date,nrES_PID,$D540,nrES_Code,$F540,nrES_Att,2,nrES_Raw,"&gt;=0",nrES_Date,"&gt;0"),"mm/dd")&amp;" (due "&amp;TEXT($T540,"mm/dd")&amp;")","Retested"))),IF(NOT(ISNUMBER($T540)),"CHECK DATE",IF(TODAY()&gt;$T540,"OVERDUE","Due "&amp;TEXT($T540,"mm/dd")))))))</f>
        <v/>
      </c>
      <c r="V540" s="16" t="n"/>
      <c r="W540" s="16" t="n"/>
      <c r="X540" s="17">
        <f>IF($C540="","",IF(AND($L540&lt;&gt;"",NOT(ISNUMBER($L540))),"RAW SCORE NOT A NUMBER",IF(AND(ISNUMBER($L540),OR($L540&lt;0,$L540&gt;100)),"RAW SCORE OUT OF RANGE",IF(AND($Y540="Unexcused",OR($L540="",NOT(ISNUMBER($L540)),$L540&lt;&gt;0)),"UNEXCUSED ABSENCE MUST RECORD 0",IF(COUNTIF(nrES_RecID,$B540)&gt;1,"DUPLICATE RECORD",IF(N($K540)&gt;2,"ATTEMPT 3+ NOT ALLOWED - policy 300.5 permits one retest per exam; this row records nothing",IF(AND($K540=2,COUNTIFS(nrES_PID,$D540,nrES_Code,$F540,nrES_Att,1)=0),"ATTEMPT 2 WITHOUT ATTEMPT 1",IF(AND($K540=2,$L540=""),"RETEST ROW HAS NO SCORE",IF(AND($H540="Final",$L540&lt;&gt;"",IFERROR(INDEX(nrCKfinalExamElig,MATCH($D540,rngCadetPIDs,0)),"")="No"),"FINAL EXAM AFTER FAILED FINAL PT (500.1.H)",IF(AND($K540=2,ISNUMBER($L540),COUNTIFS(nrES_PID,$D540,nrES_Code,$F540,nrES_Att,1)&gt;0,SUMIFS(nrES_Raw,nrES_PID,$D540,nrES_Code,$F540,nrES_Att,1)&gt;=$J540),"RETEST AFTER A PASSING FIRST ATTEMPT","OK"))))))))))</f>
        <v/>
      </c>
      <c r="Y540" s="16" t="n"/>
    </row>
    <row r="541">
      <c r="B541" s="17">
        <f>IF($C541="","",$D541&amp;"-"&amp;$F541&amp;"-"&amp;$K541)</f>
        <v/>
      </c>
      <c r="C541" s="16" t="n"/>
      <c r="D541" s="17">
        <f>IF($C541="","",IFERROR(INDEX(rngCadetPIDs,MATCH($C541,rngCadetNames,0)),"?"))</f>
        <v/>
      </c>
      <c r="E541" s="17">
        <f>IF($D541="","",IFERROR(INDEX(nrCadetAgency,MATCH($D541,rngCadetPIDs,0)),""))</f>
        <v/>
      </c>
      <c r="F541" s="16" t="n"/>
      <c r="G541" s="17">
        <f>IF($F541="","",IFERROR(INDEX(rngEPname,MATCH($F541,rngEPcode,0)),"?"))</f>
        <v/>
      </c>
      <c r="H541" s="17">
        <f>IF($F541="","",IFERROR(INDEX(rngEPtype,MATCH($F541,rngEPcode,0)),"?"))</f>
        <v/>
      </c>
      <c r="I541" s="17">
        <f>IF($F541="","",IFERROR(INDEX(rngEPseq,MATCH($F541,rngEPcode,0)),""))</f>
        <v/>
      </c>
      <c r="J541" s="17">
        <f>IF($F541="","",IFERROR(INDEX(rngEPpass,MATCH($F541,rngEPcode,0)),cfgPassingScore))</f>
        <v/>
      </c>
      <c r="K541" s="16" t="n"/>
      <c r="L541" s="16" t="n"/>
      <c r="M541" s="17">
        <f>IF($C541="","",IF($L541="","",IF(NOT(ISNUMBER($L541)),$L541,IF(N($K541)&gt;2,"",IF($K541=1,IF(COUNTIFS(nrES_PID,$D541,nrES_Code,$F541,nrES_Att,2,nrES_Raw,"&gt;=0")&gt;0,"",$L541),IF($L541&gt;=$J541,MAX($J541,cfgRetakeRecordedCap),IF(COUNTIFS(nrES_PID,$D541,nrES_Code,$F541,nrES_Att,1)=0,$L541,SUMIFS(nrES_Raw,nrES_PID,$D541,nrES_Code,$F541,nrES_Att,1))))))))</f>
        <v/>
      </c>
      <c r="N541" s="17">
        <f>IF($C541="","",IF($L541="","",IF(NOT(ISNUMBER($L541)),"(not a score)",IF($L541&gt;=$J541,"Yes","No"))))</f>
        <v/>
      </c>
      <c r="O541" s="17">
        <f>IF($C541="","",IF($M541="","",IF(NOT(ISNUMBER($M541)),"(not a score)",IF($M541&gt;=$J541,"Yes","No"))))</f>
        <v/>
      </c>
      <c r="P541" s="17">
        <f>IF($C541="","",IF($K541="","",IF(N($K541)&gt;2,"No",IF(COUNTIFS(nrES_PID,$D541,nrES_Code,$F541,nrES_Att,"&gt;"&amp;$K541,nrES_Att,"&lt;=2",nrES_Raw,"&gt;=0")=0,"Yes","No"))))</f>
        <v/>
      </c>
      <c r="Q541" s="17">
        <f>IF($C541="","",IF($L541="","",IF(AND($K541=1,ISNUMBER($L541),$L541&lt;$J541,COUNTIFS(nrES_PID,$D541,nrES_Code,$F541,nrES_Att,2,nrES_Raw,"&gt;=0")=0),"Yes","No")))</f>
        <v/>
      </c>
      <c r="R541" s="17">
        <f>IF($C541="","",IF($L541="","",IF(AND(N($K541)&gt;=2,ISNUMBER($L541),$L541&lt;$J541),"Yes","No")))</f>
        <v/>
      </c>
      <c r="S541" s="18" t="n"/>
      <c r="T541" s="19">
        <f>IF(OR($C541="",$L541="",$K541&lt;&gt;1,NOT(ISNUMBER($L541)),$L541&gt;=$J541),"",IF($S541="","(enter date)",_xlfn.LET(_xlpm.dn,_xlfn.XLOOKUP($S541,nrCDdate,nrCDnum,"",1),IF(_xlpm.dn="","(after last class day)",_xlfn.LET(_xlpm.dd,_xlfn.XLOOKUP(_xlpm.dn+cfgRetestClassDays,nrCDnum,nrCDdate,""),_xlpm.ok,_xlfn.XLOOKUP(_xlpm.dn+cfgRetestClassDays,nrCDnum,nrCDinsession,"No"),IF(OR(_xlpm.dd="",_xlpm.ok&lt;&gt;"Yes"),"(after last class day)",_xlpm.dd))))))</f>
        <v/>
      </c>
      <c r="U541" s="17">
        <f>IF($C541="","",IF(AND($Y541="Excused",$L541="",N($K541)&lt;=1),"EXCUSED - 1st attempt pending",IF(OR($L541="",$K541&lt;&gt;1,NOT(ISNUMBER($L541)),$L541&gt;=$J541),"",IF(COUNTIFS(nrES_PID,$D541,nrES_Code,$F541,nrES_Att,2,nrES_Raw,"&gt;=0")&gt;0,IF(IFERROR(_xlfn.MINIFS(nrES_Date,nrES_PID,$D541,nrES_Code,$F541,nrES_Att,2,nrES_Raw,"&gt;=0",nrES_Date,"&gt;0"),0)=0,"RETEST UNDATED",IF(NOT(ISNUMBER($T541)),"RETEST DATE UNCHECKED",IF(_xlfn.MINIFS(nrES_Date,nrES_PID,$D541,nrES_Code,$F541,nrES_Att,2,nrES_Raw,"&gt;=0",nrES_Date,"&gt;0")&gt;$T541,"LATE RETEST "&amp;TEXT(_xlfn.MINIFS(nrES_Date,nrES_PID,$D541,nrES_Code,$F541,nrES_Att,2,nrES_Raw,"&gt;=0",nrES_Date,"&gt;0"),"mm/dd")&amp;" (due "&amp;TEXT($T541,"mm/dd")&amp;")","Retested"))),IF(NOT(ISNUMBER($T541)),"CHECK DATE",IF(TODAY()&gt;$T541,"OVERDUE","Due "&amp;TEXT($T541,"mm/dd")))))))</f>
        <v/>
      </c>
      <c r="V541" s="16" t="n"/>
      <c r="W541" s="16" t="n"/>
      <c r="X541" s="17">
        <f>IF($C541="","",IF(AND($L541&lt;&gt;"",NOT(ISNUMBER($L541))),"RAW SCORE NOT A NUMBER",IF(AND(ISNUMBER($L541),OR($L541&lt;0,$L541&gt;100)),"RAW SCORE OUT OF RANGE",IF(AND($Y541="Unexcused",OR($L541="",NOT(ISNUMBER($L541)),$L541&lt;&gt;0)),"UNEXCUSED ABSENCE MUST RECORD 0",IF(COUNTIF(nrES_RecID,$B541)&gt;1,"DUPLICATE RECORD",IF(N($K541)&gt;2,"ATTEMPT 3+ NOT ALLOWED - policy 300.5 permits one retest per exam; this row records nothing",IF(AND($K541=2,COUNTIFS(nrES_PID,$D541,nrES_Code,$F541,nrES_Att,1)=0),"ATTEMPT 2 WITHOUT ATTEMPT 1",IF(AND($K541=2,$L541=""),"RETEST ROW HAS NO SCORE",IF(AND($H541="Final",$L541&lt;&gt;"",IFERROR(INDEX(nrCKfinalExamElig,MATCH($D541,rngCadetPIDs,0)),"")="No"),"FINAL EXAM AFTER FAILED FINAL PT (500.1.H)",IF(AND($K541=2,ISNUMBER($L541),COUNTIFS(nrES_PID,$D541,nrES_Code,$F541,nrES_Att,1)&gt;0,SUMIFS(nrES_Raw,nrES_PID,$D541,nrES_Code,$F541,nrES_Att,1)&gt;=$J541),"RETEST AFTER A PASSING FIRST ATTEMPT","OK"))))))))))</f>
        <v/>
      </c>
      <c r="Y541" s="16" t="n"/>
    </row>
    <row r="542">
      <c r="B542" s="17">
        <f>IF($C542="","",$D542&amp;"-"&amp;$F542&amp;"-"&amp;$K542)</f>
        <v/>
      </c>
      <c r="C542" s="16" t="n"/>
      <c r="D542" s="17">
        <f>IF($C542="","",IFERROR(INDEX(rngCadetPIDs,MATCH($C542,rngCadetNames,0)),"?"))</f>
        <v/>
      </c>
      <c r="E542" s="17">
        <f>IF($D542="","",IFERROR(INDEX(nrCadetAgency,MATCH($D542,rngCadetPIDs,0)),""))</f>
        <v/>
      </c>
      <c r="F542" s="16" t="n"/>
      <c r="G542" s="17">
        <f>IF($F542="","",IFERROR(INDEX(rngEPname,MATCH($F542,rngEPcode,0)),"?"))</f>
        <v/>
      </c>
      <c r="H542" s="17">
        <f>IF($F542="","",IFERROR(INDEX(rngEPtype,MATCH($F542,rngEPcode,0)),"?"))</f>
        <v/>
      </c>
      <c r="I542" s="17">
        <f>IF($F542="","",IFERROR(INDEX(rngEPseq,MATCH($F542,rngEPcode,0)),""))</f>
        <v/>
      </c>
      <c r="J542" s="17">
        <f>IF($F542="","",IFERROR(INDEX(rngEPpass,MATCH($F542,rngEPcode,0)),cfgPassingScore))</f>
        <v/>
      </c>
      <c r="K542" s="16" t="n"/>
      <c r="L542" s="16" t="n"/>
      <c r="M542" s="17">
        <f>IF($C542="","",IF($L542="","",IF(NOT(ISNUMBER($L542)),$L542,IF(N($K542)&gt;2,"",IF($K542=1,IF(COUNTIFS(nrES_PID,$D542,nrES_Code,$F542,nrES_Att,2,nrES_Raw,"&gt;=0")&gt;0,"",$L542),IF($L542&gt;=$J542,MAX($J542,cfgRetakeRecordedCap),IF(COUNTIFS(nrES_PID,$D542,nrES_Code,$F542,nrES_Att,1)=0,$L542,SUMIFS(nrES_Raw,nrES_PID,$D542,nrES_Code,$F542,nrES_Att,1))))))))</f>
        <v/>
      </c>
      <c r="N542" s="17">
        <f>IF($C542="","",IF($L542="","",IF(NOT(ISNUMBER($L542)),"(not a score)",IF($L542&gt;=$J542,"Yes","No"))))</f>
        <v/>
      </c>
      <c r="O542" s="17">
        <f>IF($C542="","",IF($M542="","",IF(NOT(ISNUMBER($M542)),"(not a score)",IF($M542&gt;=$J542,"Yes","No"))))</f>
        <v/>
      </c>
      <c r="P542" s="17">
        <f>IF($C542="","",IF($K542="","",IF(N($K542)&gt;2,"No",IF(COUNTIFS(nrES_PID,$D542,nrES_Code,$F542,nrES_Att,"&gt;"&amp;$K542,nrES_Att,"&lt;=2",nrES_Raw,"&gt;=0")=0,"Yes","No"))))</f>
        <v/>
      </c>
      <c r="Q542" s="17">
        <f>IF($C542="","",IF($L542="","",IF(AND($K542=1,ISNUMBER($L542),$L542&lt;$J542,COUNTIFS(nrES_PID,$D542,nrES_Code,$F542,nrES_Att,2,nrES_Raw,"&gt;=0")=0),"Yes","No")))</f>
        <v/>
      </c>
      <c r="R542" s="17">
        <f>IF($C542="","",IF($L542="","",IF(AND(N($K542)&gt;=2,ISNUMBER($L542),$L542&lt;$J542),"Yes","No")))</f>
        <v/>
      </c>
      <c r="S542" s="18" t="n"/>
      <c r="T542" s="19">
        <f>IF(OR($C542="",$L542="",$K542&lt;&gt;1,NOT(ISNUMBER($L542)),$L542&gt;=$J542),"",IF($S542="","(enter date)",_xlfn.LET(_xlpm.dn,_xlfn.XLOOKUP($S542,nrCDdate,nrCDnum,"",1),IF(_xlpm.dn="","(after last class day)",_xlfn.LET(_xlpm.dd,_xlfn.XLOOKUP(_xlpm.dn+cfgRetestClassDays,nrCDnum,nrCDdate,""),_xlpm.ok,_xlfn.XLOOKUP(_xlpm.dn+cfgRetestClassDays,nrCDnum,nrCDinsession,"No"),IF(OR(_xlpm.dd="",_xlpm.ok&lt;&gt;"Yes"),"(after last class day)",_xlpm.dd))))))</f>
        <v/>
      </c>
      <c r="U542" s="17">
        <f>IF($C542="","",IF(AND($Y542="Excused",$L542="",N($K542)&lt;=1),"EXCUSED - 1st attempt pending",IF(OR($L542="",$K542&lt;&gt;1,NOT(ISNUMBER($L542)),$L542&gt;=$J542),"",IF(COUNTIFS(nrES_PID,$D542,nrES_Code,$F542,nrES_Att,2,nrES_Raw,"&gt;=0")&gt;0,IF(IFERROR(_xlfn.MINIFS(nrES_Date,nrES_PID,$D542,nrES_Code,$F542,nrES_Att,2,nrES_Raw,"&gt;=0",nrES_Date,"&gt;0"),0)=0,"RETEST UNDATED",IF(NOT(ISNUMBER($T542)),"RETEST DATE UNCHECKED",IF(_xlfn.MINIFS(nrES_Date,nrES_PID,$D542,nrES_Code,$F542,nrES_Att,2,nrES_Raw,"&gt;=0",nrES_Date,"&gt;0")&gt;$T542,"LATE RETEST "&amp;TEXT(_xlfn.MINIFS(nrES_Date,nrES_PID,$D542,nrES_Code,$F542,nrES_Att,2,nrES_Raw,"&gt;=0",nrES_Date,"&gt;0"),"mm/dd")&amp;" (due "&amp;TEXT($T542,"mm/dd")&amp;")","Retested"))),IF(NOT(ISNUMBER($T542)),"CHECK DATE",IF(TODAY()&gt;$T542,"OVERDUE","Due "&amp;TEXT($T542,"mm/dd")))))))</f>
        <v/>
      </c>
      <c r="V542" s="16" t="n"/>
      <c r="W542" s="16" t="n"/>
      <c r="X542" s="17">
        <f>IF($C542="","",IF(AND($L542&lt;&gt;"",NOT(ISNUMBER($L542))),"RAW SCORE NOT A NUMBER",IF(AND(ISNUMBER($L542),OR($L542&lt;0,$L542&gt;100)),"RAW SCORE OUT OF RANGE",IF(AND($Y542="Unexcused",OR($L542="",NOT(ISNUMBER($L542)),$L542&lt;&gt;0)),"UNEXCUSED ABSENCE MUST RECORD 0",IF(COUNTIF(nrES_RecID,$B542)&gt;1,"DUPLICATE RECORD",IF(N($K542)&gt;2,"ATTEMPT 3+ NOT ALLOWED - policy 300.5 permits one retest per exam; this row records nothing",IF(AND($K542=2,COUNTIFS(nrES_PID,$D542,nrES_Code,$F542,nrES_Att,1)=0),"ATTEMPT 2 WITHOUT ATTEMPT 1",IF(AND($K542=2,$L542=""),"RETEST ROW HAS NO SCORE",IF(AND($H542="Final",$L542&lt;&gt;"",IFERROR(INDEX(nrCKfinalExamElig,MATCH($D542,rngCadetPIDs,0)),"")="No"),"FINAL EXAM AFTER FAILED FINAL PT (500.1.H)",IF(AND($K542=2,ISNUMBER($L542),COUNTIFS(nrES_PID,$D542,nrES_Code,$F542,nrES_Att,1)&gt;0,SUMIFS(nrES_Raw,nrES_PID,$D542,nrES_Code,$F542,nrES_Att,1)&gt;=$J542),"RETEST AFTER A PASSING FIRST ATTEMPT","OK"))))))))))</f>
        <v/>
      </c>
      <c r="Y542" s="16" t="n"/>
    </row>
    <row r="543">
      <c r="B543" s="17">
        <f>IF($C543="","",$D543&amp;"-"&amp;$F543&amp;"-"&amp;$K543)</f>
        <v/>
      </c>
      <c r="C543" s="16" t="n"/>
      <c r="D543" s="17">
        <f>IF($C543="","",IFERROR(INDEX(rngCadetPIDs,MATCH($C543,rngCadetNames,0)),"?"))</f>
        <v/>
      </c>
      <c r="E543" s="17">
        <f>IF($D543="","",IFERROR(INDEX(nrCadetAgency,MATCH($D543,rngCadetPIDs,0)),""))</f>
        <v/>
      </c>
      <c r="F543" s="16" t="n"/>
      <c r="G543" s="17">
        <f>IF($F543="","",IFERROR(INDEX(rngEPname,MATCH($F543,rngEPcode,0)),"?"))</f>
        <v/>
      </c>
      <c r="H543" s="17">
        <f>IF($F543="","",IFERROR(INDEX(rngEPtype,MATCH($F543,rngEPcode,0)),"?"))</f>
        <v/>
      </c>
      <c r="I543" s="17">
        <f>IF($F543="","",IFERROR(INDEX(rngEPseq,MATCH($F543,rngEPcode,0)),""))</f>
        <v/>
      </c>
      <c r="J543" s="17">
        <f>IF($F543="","",IFERROR(INDEX(rngEPpass,MATCH($F543,rngEPcode,0)),cfgPassingScore))</f>
        <v/>
      </c>
      <c r="K543" s="16" t="n"/>
      <c r="L543" s="16" t="n"/>
      <c r="M543" s="17">
        <f>IF($C543="","",IF($L543="","",IF(NOT(ISNUMBER($L543)),$L543,IF(N($K543)&gt;2,"",IF($K543=1,IF(COUNTIFS(nrES_PID,$D543,nrES_Code,$F543,nrES_Att,2,nrES_Raw,"&gt;=0")&gt;0,"",$L543),IF($L543&gt;=$J543,MAX($J543,cfgRetakeRecordedCap),IF(COUNTIFS(nrES_PID,$D543,nrES_Code,$F543,nrES_Att,1)=0,$L543,SUMIFS(nrES_Raw,nrES_PID,$D543,nrES_Code,$F543,nrES_Att,1))))))))</f>
        <v/>
      </c>
      <c r="N543" s="17">
        <f>IF($C543="","",IF($L543="","",IF(NOT(ISNUMBER($L543)),"(not a score)",IF($L543&gt;=$J543,"Yes","No"))))</f>
        <v/>
      </c>
      <c r="O543" s="17">
        <f>IF($C543="","",IF($M543="","",IF(NOT(ISNUMBER($M543)),"(not a score)",IF($M543&gt;=$J543,"Yes","No"))))</f>
        <v/>
      </c>
      <c r="P543" s="17">
        <f>IF($C543="","",IF($K543="","",IF(N($K543)&gt;2,"No",IF(COUNTIFS(nrES_PID,$D543,nrES_Code,$F543,nrES_Att,"&gt;"&amp;$K543,nrES_Att,"&lt;=2",nrES_Raw,"&gt;=0")=0,"Yes","No"))))</f>
        <v/>
      </c>
      <c r="Q543" s="17">
        <f>IF($C543="","",IF($L543="","",IF(AND($K543=1,ISNUMBER($L543),$L543&lt;$J543,COUNTIFS(nrES_PID,$D543,nrES_Code,$F543,nrES_Att,2,nrES_Raw,"&gt;=0")=0),"Yes","No")))</f>
        <v/>
      </c>
      <c r="R543" s="17">
        <f>IF($C543="","",IF($L543="","",IF(AND(N($K543)&gt;=2,ISNUMBER($L543),$L543&lt;$J543),"Yes","No")))</f>
        <v/>
      </c>
      <c r="S543" s="18" t="n"/>
      <c r="T543" s="19">
        <f>IF(OR($C543="",$L543="",$K543&lt;&gt;1,NOT(ISNUMBER($L543)),$L543&gt;=$J543),"",IF($S543="","(enter date)",_xlfn.LET(_xlpm.dn,_xlfn.XLOOKUP($S543,nrCDdate,nrCDnum,"",1),IF(_xlpm.dn="","(after last class day)",_xlfn.LET(_xlpm.dd,_xlfn.XLOOKUP(_xlpm.dn+cfgRetestClassDays,nrCDnum,nrCDdate,""),_xlpm.ok,_xlfn.XLOOKUP(_xlpm.dn+cfgRetestClassDays,nrCDnum,nrCDinsession,"No"),IF(OR(_xlpm.dd="",_xlpm.ok&lt;&gt;"Yes"),"(after last class day)",_xlpm.dd))))))</f>
        <v/>
      </c>
      <c r="U543" s="17">
        <f>IF($C543="","",IF(AND($Y543="Excused",$L543="",N($K543)&lt;=1),"EXCUSED - 1st attempt pending",IF(OR($L543="",$K543&lt;&gt;1,NOT(ISNUMBER($L543)),$L543&gt;=$J543),"",IF(COUNTIFS(nrES_PID,$D543,nrES_Code,$F543,nrES_Att,2,nrES_Raw,"&gt;=0")&gt;0,IF(IFERROR(_xlfn.MINIFS(nrES_Date,nrES_PID,$D543,nrES_Code,$F543,nrES_Att,2,nrES_Raw,"&gt;=0",nrES_Date,"&gt;0"),0)=0,"RETEST UNDATED",IF(NOT(ISNUMBER($T543)),"RETEST DATE UNCHECKED",IF(_xlfn.MINIFS(nrES_Date,nrES_PID,$D543,nrES_Code,$F543,nrES_Att,2,nrES_Raw,"&gt;=0",nrES_Date,"&gt;0")&gt;$T543,"LATE RETEST "&amp;TEXT(_xlfn.MINIFS(nrES_Date,nrES_PID,$D543,nrES_Code,$F543,nrES_Att,2,nrES_Raw,"&gt;=0",nrES_Date,"&gt;0"),"mm/dd")&amp;" (due "&amp;TEXT($T543,"mm/dd")&amp;")","Retested"))),IF(NOT(ISNUMBER($T543)),"CHECK DATE",IF(TODAY()&gt;$T543,"OVERDUE","Due "&amp;TEXT($T543,"mm/dd")))))))</f>
        <v/>
      </c>
      <c r="V543" s="16" t="n"/>
      <c r="W543" s="16" t="n"/>
      <c r="X543" s="17">
        <f>IF($C543="","",IF(AND($L543&lt;&gt;"",NOT(ISNUMBER($L543))),"RAW SCORE NOT A NUMBER",IF(AND(ISNUMBER($L543),OR($L543&lt;0,$L543&gt;100)),"RAW SCORE OUT OF RANGE",IF(AND($Y543="Unexcused",OR($L543="",NOT(ISNUMBER($L543)),$L543&lt;&gt;0)),"UNEXCUSED ABSENCE MUST RECORD 0",IF(COUNTIF(nrES_RecID,$B543)&gt;1,"DUPLICATE RECORD",IF(N($K543)&gt;2,"ATTEMPT 3+ NOT ALLOWED - policy 300.5 permits one retest per exam; this row records nothing",IF(AND($K543=2,COUNTIFS(nrES_PID,$D543,nrES_Code,$F543,nrES_Att,1)=0),"ATTEMPT 2 WITHOUT ATTEMPT 1",IF(AND($K543=2,$L543=""),"RETEST ROW HAS NO SCORE",IF(AND($H543="Final",$L543&lt;&gt;"",IFERROR(INDEX(nrCKfinalExamElig,MATCH($D543,rngCadetPIDs,0)),"")="No"),"FINAL EXAM AFTER FAILED FINAL PT (500.1.H)",IF(AND($K543=2,ISNUMBER($L543),COUNTIFS(nrES_PID,$D543,nrES_Code,$F543,nrES_Att,1)&gt;0,SUMIFS(nrES_Raw,nrES_PID,$D543,nrES_Code,$F543,nrES_Att,1)&gt;=$J543),"RETEST AFTER A PASSING FIRST ATTEMPT","OK"))))))))))</f>
        <v/>
      </c>
      <c r="Y543" s="16" t="n"/>
    </row>
    <row r="544">
      <c r="B544" s="17">
        <f>IF($C544="","",$D544&amp;"-"&amp;$F544&amp;"-"&amp;$K544)</f>
        <v/>
      </c>
      <c r="C544" s="16" t="n"/>
      <c r="D544" s="17">
        <f>IF($C544="","",IFERROR(INDEX(rngCadetPIDs,MATCH($C544,rngCadetNames,0)),"?"))</f>
        <v/>
      </c>
      <c r="E544" s="17">
        <f>IF($D544="","",IFERROR(INDEX(nrCadetAgency,MATCH($D544,rngCadetPIDs,0)),""))</f>
        <v/>
      </c>
      <c r="F544" s="16" t="n"/>
      <c r="G544" s="17">
        <f>IF($F544="","",IFERROR(INDEX(rngEPname,MATCH($F544,rngEPcode,0)),"?"))</f>
        <v/>
      </c>
      <c r="H544" s="17">
        <f>IF($F544="","",IFERROR(INDEX(rngEPtype,MATCH($F544,rngEPcode,0)),"?"))</f>
        <v/>
      </c>
      <c r="I544" s="17">
        <f>IF($F544="","",IFERROR(INDEX(rngEPseq,MATCH($F544,rngEPcode,0)),""))</f>
        <v/>
      </c>
      <c r="J544" s="17">
        <f>IF($F544="","",IFERROR(INDEX(rngEPpass,MATCH($F544,rngEPcode,0)),cfgPassingScore))</f>
        <v/>
      </c>
      <c r="K544" s="16" t="n"/>
      <c r="L544" s="16" t="n"/>
      <c r="M544" s="17">
        <f>IF($C544="","",IF($L544="","",IF(NOT(ISNUMBER($L544)),$L544,IF(N($K544)&gt;2,"",IF($K544=1,IF(COUNTIFS(nrES_PID,$D544,nrES_Code,$F544,nrES_Att,2,nrES_Raw,"&gt;=0")&gt;0,"",$L544),IF($L544&gt;=$J544,MAX($J544,cfgRetakeRecordedCap),IF(COUNTIFS(nrES_PID,$D544,nrES_Code,$F544,nrES_Att,1)=0,$L544,SUMIFS(nrES_Raw,nrES_PID,$D544,nrES_Code,$F544,nrES_Att,1))))))))</f>
        <v/>
      </c>
      <c r="N544" s="17">
        <f>IF($C544="","",IF($L544="","",IF(NOT(ISNUMBER($L544)),"(not a score)",IF($L544&gt;=$J544,"Yes","No"))))</f>
        <v/>
      </c>
      <c r="O544" s="17">
        <f>IF($C544="","",IF($M544="","",IF(NOT(ISNUMBER($M544)),"(not a score)",IF($M544&gt;=$J544,"Yes","No"))))</f>
        <v/>
      </c>
      <c r="P544" s="17">
        <f>IF($C544="","",IF($K544="","",IF(N($K544)&gt;2,"No",IF(COUNTIFS(nrES_PID,$D544,nrES_Code,$F544,nrES_Att,"&gt;"&amp;$K544,nrES_Att,"&lt;=2",nrES_Raw,"&gt;=0")=0,"Yes","No"))))</f>
        <v/>
      </c>
      <c r="Q544" s="17">
        <f>IF($C544="","",IF($L544="","",IF(AND($K544=1,ISNUMBER($L544),$L544&lt;$J544,COUNTIFS(nrES_PID,$D544,nrES_Code,$F544,nrES_Att,2,nrES_Raw,"&gt;=0")=0),"Yes","No")))</f>
        <v/>
      </c>
      <c r="R544" s="17">
        <f>IF($C544="","",IF($L544="","",IF(AND(N($K544)&gt;=2,ISNUMBER($L544),$L544&lt;$J544),"Yes","No")))</f>
        <v/>
      </c>
      <c r="S544" s="18" t="n"/>
      <c r="T544" s="19">
        <f>IF(OR($C544="",$L544="",$K544&lt;&gt;1,NOT(ISNUMBER($L544)),$L544&gt;=$J544),"",IF($S544="","(enter date)",_xlfn.LET(_xlpm.dn,_xlfn.XLOOKUP($S544,nrCDdate,nrCDnum,"",1),IF(_xlpm.dn="","(after last class day)",_xlfn.LET(_xlpm.dd,_xlfn.XLOOKUP(_xlpm.dn+cfgRetestClassDays,nrCDnum,nrCDdate,""),_xlpm.ok,_xlfn.XLOOKUP(_xlpm.dn+cfgRetestClassDays,nrCDnum,nrCDinsession,"No"),IF(OR(_xlpm.dd="",_xlpm.ok&lt;&gt;"Yes"),"(after last class day)",_xlpm.dd))))))</f>
        <v/>
      </c>
      <c r="U544" s="17">
        <f>IF($C544="","",IF(AND($Y544="Excused",$L544="",N($K544)&lt;=1),"EXCUSED - 1st attempt pending",IF(OR($L544="",$K544&lt;&gt;1,NOT(ISNUMBER($L544)),$L544&gt;=$J544),"",IF(COUNTIFS(nrES_PID,$D544,nrES_Code,$F544,nrES_Att,2,nrES_Raw,"&gt;=0")&gt;0,IF(IFERROR(_xlfn.MINIFS(nrES_Date,nrES_PID,$D544,nrES_Code,$F544,nrES_Att,2,nrES_Raw,"&gt;=0",nrES_Date,"&gt;0"),0)=0,"RETEST UNDATED",IF(NOT(ISNUMBER($T544)),"RETEST DATE UNCHECKED",IF(_xlfn.MINIFS(nrES_Date,nrES_PID,$D544,nrES_Code,$F544,nrES_Att,2,nrES_Raw,"&gt;=0",nrES_Date,"&gt;0")&gt;$T544,"LATE RETEST "&amp;TEXT(_xlfn.MINIFS(nrES_Date,nrES_PID,$D544,nrES_Code,$F544,nrES_Att,2,nrES_Raw,"&gt;=0",nrES_Date,"&gt;0"),"mm/dd")&amp;" (due "&amp;TEXT($T544,"mm/dd")&amp;")","Retested"))),IF(NOT(ISNUMBER($T544)),"CHECK DATE",IF(TODAY()&gt;$T544,"OVERDUE","Due "&amp;TEXT($T544,"mm/dd")))))))</f>
        <v/>
      </c>
      <c r="V544" s="16" t="n"/>
      <c r="W544" s="16" t="n"/>
      <c r="X544" s="17">
        <f>IF($C544="","",IF(AND($L544&lt;&gt;"",NOT(ISNUMBER($L544))),"RAW SCORE NOT A NUMBER",IF(AND(ISNUMBER($L544),OR($L544&lt;0,$L544&gt;100)),"RAW SCORE OUT OF RANGE",IF(AND($Y544="Unexcused",OR($L544="",NOT(ISNUMBER($L544)),$L544&lt;&gt;0)),"UNEXCUSED ABSENCE MUST RECORD 0",IF(COUNTIF(nrES_RecID,$B544)&gt;1,"DUPLICATE RECORD",IF(N($K544)&gt;2,"ATTEMPT 3+ NOT ALLOWED - policy 300.5 permits one retest per exam; this row records nothing",IF(AND($K544=2,COUNTIFS(nrES_PID,$D544,nrES_Code,$F544,nrES_Att,1)=0),"ATTEMPT 2 WITHOUT ATTEMPT 1",IF(AND($K544=2,$L544=""),"RETEST ROW HAS NO SCORE",IF(AND($H544="Final",$L544&lt;&gt;"",IFERROR(INDEX(nrCKfinalExamElig,MATCH($D544,rngCadetPIDs,0)),"")="No"),"FINAL EXAM AFTER FAILED FINAL PT (500.1.H)",IF(AND($K544=2,ISNUMBER($L544),COUNTIFS(nrES_PID,$D544,nrES_Code,$F544,nrES_Att,1)&gt;0,SUMIFS(nrES_Raw,nrES_PID,$D544,nrES_Code,$F544,nrES_Att,1)&gt;=$J544),"RETEST AFTER A PASSING FIRST ATTEMPT","OK"))))))))))</f>
        <v/>
      </c>
      <c r="Y544" s="16" t="n"/>
    </row>
    <row r="545">
      <c r="B545" s="17">
        <f>IF($C545="","",$D545&amp;"-"&amp;$F545&amp;"-"&amp;$K545)</f>
        <v/>
      </c>
      <c r="C545" s="16" t="n"/>
      <c r="D545" s="17">
        <f>IF($C545="","",IFERROR(INDEX(rngCadetPIDs,MATCH($C545,rngCadetNames,0)),"?"))</f>
        <v/>
      </c>
      <c r="E545" s="17">
        <f>IF($D545="","",IFERROR(INDEX(nrCadetAgency,MATCH($D545,rngCadetPIDs,0)),""))</f>
        <v/>
      </c>
      <c r="F545" s="16" t="n"/>
      <c r="G545" s="17">
        <f>IF($F545="","",IFERROR(INDEX(rngEPname,MATCH($F545,rngEPcode,0)),"?"))</f>
        <v/>
      </c>
      <c r="H545" s="17">
        <f>IF($F545="","",IFERROR(INDEX(rngEPtype,MATCH($F545,rngEPcode,0)),"?"))</f>
        <v/>
      </c>
      <c r="I545" s="17">
        <f>IF($F545="","",IFERROR(INDEX(rngEPseq,MATCH($F545,rngEPcode,0)),""))</f>
        <v/>
      </c>
      <c r="J545" s="17">
        <f>IF($F545="","",IFERROR(INDEX(rngEPpass,MATCH($F545,rngEPcode,0)),cfgPassingScore))</f>
        <v/>
      </c>
      <c r="K545" s="16" t="n"/>
      <c r="L545" s="16" t="n"/>
      <c r="M545" s="17">
        <f>IF($C545="","",IF($L545="","",IF(NOT(ISNUMBER($L545)),$L545,IF(N($K545)&gt;2,"",IF($K545=1,IF(COUNTIFS(nrES_PID,$D545,nrES_Code,$F545,nrES_Att,2,nrES_Raw,"&gt;=0")&gt;0,"",$L545),IF($L545&gt;=$J545,MAX($J545,cfgRetakeRecordedCap),IF(COUNTIFS(nrES_PID,$D545,nrES_Code,$F545,nrES_Att,1)=0,$L545,SUMIFS(nrES_Raw,nrES_PID,$D545,nrES_Code,$F545,nrES_Att,1))))))))</f>
        <v/>
      </c>
      <c r="N545" s="17">
        <f>IF($C545="","",IF($L545="","",IF(NOT(ISNUMBER($L545)),"(not a score)",IF($L545&gt;=$J545,"Yes","No"))))</f>
        <v/>
      </c>
      <c r="O545" s="17">
        <f>IF($C545="","",IF($M545="","",IF(NOT(ISNUMBER($M545)),"(not a score)",IF($M545&gt;=$J545,"Yes","No"))))</f>
        <v/>
      </c>
      <c r="P545" s="17">
        <f>IF($C545="","",IF($K545="","",IF(N($K545)&gt;2,"No",IF(COUNTIFS(nrES_PID,$D545,nrES_Code,$F545,nrES_Att,"&gt;"&amp;$K545,nrES_Att,"&lt;=2",nrES_Raw,"&gt;=0")=0,"Yes","No"))))</f>
        <v/>
      </c>
      <c r="Q545" s="17">
        <f>IF($C545="","",IF($L545="","",IF(AND($K545=1,ISNUMBER($L545),$L545&lt;$J545,COUNTIFS(nrES_PID,$D545,nrES_Code,$F545,nrES_Att,2,nrES_Raw,"&gt;=0")=0),"Yes","No")))</f>
        <v/>
      </c>
      <c r="R545" s="17">
        <f>IF($C545="","",IF($L545="","",IF(AND(N($K545)&gt;=2,ISNUMBER($L545),$L545&lt;$J545),"Yes","No")))</f>
        <v/>
      </c>
      <c r="S545" s="18" t="n"/>
      <c r="T545" s="19">
        <f>IF(OR($C545="",$L545="",$K545&lt;&gt;1,NOT(ISNUMBER($L545)),$L545&gt;=$J545),"",IF($S545="","(enter date)",_xlfn.LET(_xlpm.dn,_xlfn.XLOOKUP($S545,nrCDdate,nrCDnum,"",1),IF(_xlpm.dn="","(after last class day)",_xlfn.LET(_xlpm.dd,_xlfn.XLOOKUP(_xlpm.dn+cfgRetestClassDays,nrCDnum,nrCDdate,""),_xlpm.ok,_xlfn.XLOOKUP(_xlpm.dn+cfgRetestClassDays,nrCDnum,nrCDinsession,"No"),IF(OR(_xlpm.dd="",_xlpm.ok&lt;&gt;"Yes"),"(after last class day)",_xlpm.dd))))))</f>
        <v/>
      </c>
      <c r="U545" s="17">
        <f>IF($C545="","",IF(AND($Y545="Excused",$L545="",N($K545)&lt;=1),"EXCUSED - 1st attempt pending",IF(OR($L545="",$K545&lt;&gt;1,NOT(ISNUMBER($L545)),$L545&gt;=$J545),"",IF(COUNTIFS(nrES_PID,$D545,nrES_Code,$F545,nrES_Att,2,nrES_Raw,"&gt;=0")&gt;0,IF(IFERROR(_xlfn.MINIFS(nrES_Date,nrES_PID,$D545,nrES_Code,$F545,nrES_Att,2,nrES_Raw,"&gt;=0",nrES_Date,"&gt;0"),0)=0,"RETEST UNDATED",IF(NOT(ISNUMBER($T545)),"RETEST DATE UNCHECKED",IF(_xlfn.MINIFS(nrES_Date,nrES_PID,$D545,nrES_Code,$F545,nrES_Att,2,nrES_Raw,"&gt;=0",nrES_Date,"&gt;0")&gt;$T545,"LATE RETEST "&amp;TEXT(_xlfn.MINIFS(nrES_Date,nrES_PID,$D545,nrES_Code,$F545,nrES_Att,2,nrES_Raw,"&gt;=0",nrES_Date,"&gt;0"),"mm/dd")&amp;" (due "&amp;TEXT($T545,"mm/dd")&amp;")","Retested"))),IF(NOT(ISNUMBER($T545)),"CHECK DATE",IF(TODAY()&gt;$T545,"OVERDUE","Due "&amp;TEXT($T545,"mm/dd")))))))</f>
        <v/>
      </c>
      <c r="V545" s="16" t="n"/>
      <c r="W545" s="16" t="n"/>
      <c r="X545" s="17">
        <f>IF($C545="","",IF(AND($L545&lt;&gt;"",NOT(ISNUMBER($L545))),"RAW SCORE NOT A NUMBER",IF(AND(ISNUMBER($L545),OR($L545&lt;0,$L545&gt;100)),"RAW SCORE OUT OF RANGE",IF(AND($Y545="Unexcused",OR($L545="",NOT(ISNUMBER($L545)),$L545&lt;&gt;0)),"UNEXCUSED ABSENCE MUST RECORD 0",IF(COUNTIF(nrES_RecID,$B545)&gt;1,"DUPLICATE RECORD",IF(N($K545)&gt;2,"ATTEMPT 3+ NOT ALLOWED - policy 300.5 permits one retest per exam; this row records nothing",IF(AND($K545=2,COUNTIFS(nrES_PID,$D545,nrES_Code,$F545,nrES_Att,1)=0),"ATTEMPT 2 WITHOUT ATTEMPT 1",IF(AND($K545=2,$L545=""),"RETEST ROW HAS NO SCORE",IF(AND($H545="Final",$L545&lt;&gt;"",IFERROR(INDEX(nrCKfinalExamElig,MATCH($D545,rngCadetPIDs,0)),"")="No"),"FINAL EXAM AFTER FAILED FINAL PT (500.1.H)",IF(AND($K545=2,ISNUMBER($L545),COUNTIFS(nrES_PID,$D545,nrES_Code,$F545,nrES_Att,1)&gt;0,SUMIFS(nrES_Raw,nrES_PID,$D545,nrES_Code,$F545,nrES_Att,1)&gt;=$J545),"RETEST AFTER A PASSING FIRST ATTEMPT","OK"))))))))))</f>
        <v/>
      </c>
      <c r="Y545" s="16" t="n"/>
    </row>
    <row r="546">
      <c r="B546" s="17">
        <f>IF($C546="","",$D546&amp;"-"&amp;$F546&amp;"-"&amp;$K546)</f>
        <v/>
      </c>
      <c r="C546" s="16" t="n"/>
      <c r="D546" s="17">
        <f>IF($C546="","",IFERROR(INDEX(rngCadetPIDs,MATCH($C546,rngCadetNames,0)),"?"))</f>
        <v/>
      </c>
      <c r="E546" s="17">
        <f>IF($D546="","",IFERROR(INDEX(nrCadetAgency,MATCH($D546,rngCadetPIDs,0)),""))</f>
        <v/>
      </c>
      <c r="F546" s="16" t="n"/>
      <c r="G546" s="17">
        <f>IF($F546="","",IFERROR(INDEX(rngEPname,MATCH($F546,rngEPcode,0)),"?"))</f>
        <v/>
      </c>
      <c r="H546" s="17">
        <f>IF($F546="","",IFERROR(INDEX(rngEPtype,MATCH($F546,rngEPcode,0)),"?"))</f>
        <v/>
      </c>
      <c r="I546" s="17">
        <f>IF($F546="","",IFERROR(INDEX(rngEPseq,MATCH($F546,rngEPcode,0)),""))</f>
        <v/>
      </c>
      <c r="J546" s="17">
        <f>IF($F546="","",IFERROR(INDEX(rngEPpass,MATCH($F546,rngEPcode,0)),cfgPassingScore))</f>
        <v/>
      </c>
      <c r="K546" s="16" t="n"/>
      <c r="L546" s="16" t="n"/>
      <c r="M546" s="17">
        <f>IF($C546="","",IF($L546="","",IF(NOT(ISNUMBER($L546)),$L546,IF(N($K546)&gt;2,"",IF($K546=1,IF(COUNTIFS(nrES_PID,$D546,nrES_Code,$F546,nrES_Att,2,nrES_Raw,"&gt;=0")&gt;0,"",$L546),IF($L546&gt;=$J546,MAX($J546,cfgRetakeRecordedCap),IF(COUNTIFS(nrES_PID,$D546,nrES_Code,$F546,nrES_Att,1)=0,$L546,SUMIFS(nrES_Raw,nrES_PID,$D546,nrES_Code,$F546,nrES_Att,1))))))))</f>
        <v/>
      </c>
      <c r="N546" s="17">
        <f>IF($C546="","",IF($L546="","",IF(NOT(ISNUMBER($L546)),"(not a score)",IF($L546&gt;=$J546,"Yes","No"))))</f>
        <v/>
      </c>
      <c r="O546" s="17">
        <f>IF($C546="","",IF($M546="","",IF(NOT(ISNUMBER($M546)),"(not a score)",IF($M546&gt;=$J546,"Yes","No"))))</f>
        <v/>
      </c>
      <c r="P546" s="17">
        <f>IF($C546="","",IF($K546="","",IF(N($K546)&gt;2,"No",IF(COUNTIFS(nrES_PID,$D546,nrES_Code,$F546,nrES_Att,"&gt;"&amp;$K546,nrES_Att,"&lt;=2",nrES_Raw,"&gt;=0")=0,"Yes","No"))))</f>
        <v/>
      </c>
      <c r="Q546" s="17">
        <f>IF($C546="","",IF($L546="","",IF(AND($K546=1,ISNUMBER($L546),$L546&lt;$J546,COUNTIFS(nrES_PID,$D546,nrES_Code,$F546,nrES_Att,2,nrES_Raw,"&gt;=0")=0),"Yes","No")))</f>
        <v/>
      </c>
      <c r="R546" s="17">
        <f>IF($C546="","",IF($L546="","",IF(AND(N($K546)&gt;=2,ISNUMBER($L546),$L546&lt;$J546),"Yes","No")))</f>
        <v/>
      </c>
      <c r="S546" s="18" t="n"/>
      <c r="T546" s="19">
        <f>IF(OR($C546="",$L546="",$K546&lt;&gt;1,NOT(ISNUMBER($L546)),$L546&gt;=$J546),"",IF($S546="","(enter date)",_xlfn.LET(_xlpm.dn,_xlfn.XLOOKUP($S546,nrCDdate,nrCDnum,"",1),IF(_xlpm.dn="","(after last class day)",_xlfn.LET(_xlpm.dd,_xlfn.XLOOKUP(_xlpm.dn+cfgRetestClassDays,nrCDnum,nrCDdate,""),_xlpm.ok,_xlfn.XLOOKUP(_xlpm.dn+cfgRetestClassDays,nrCDnum,nrCDinsession,"No"),IF(OR(_xlpm.dd="",_xlpm.ok&lt;&gt;"Yes"),"(after last class day)",_xlpm.dd))))))</f>
        <v/>
      </c>
      <c r="U546" s="17">
        <f>IF($C546="","",IF(AND($Y546="Excused",$L546="",N($K546)&lt;=1),"EXCUSED - 1st attempt pending",IF(OR($L546="",$K546&lt;&gt;1,NOT(ISNUMBER($L546)),$L546&gt;=$J546),"",IF(COUNTIFS(nrES_PID,$D546,nrES_Code,$F546,nrES_Att,2,nrES_Raw,"&gt;=0")&gt;0,IF(IFERROR(_xlfn.MINIFS(nrES_Date,nrES_PID,$D546,nrES_Code,$F546,nrES_Att,2,nrES_Raw,"&gt;=0",nrES_Date,"&gt;0"),0)=0,"RETEST UNDATED",IF(NOT(ISNUMBER($T546)),"RETEST DATE UNCHECKED",IF(_xlfn.MINIFS(nrES_Date,nrES_PID,$D546,nrES_Code,$F546,nrES_Att,2,nrES_Raw,"&gt;=0",nrES_Date,"&gt;0")&gt;$T546,"LATE RETEST "&amp;TEXT(_xlfn.MINIFS(nrES_Date,nrES_PID,$D546,nrES_Code,$F546,nrES_Att,2,nrES_Raw,"&gt;=0",nrES_Date,"&gt;0"),"mm/dd")&amp;" (due "&amp;TEXT($T546,"mm/dd")&amp;")","Retested"))),IF(NOT(ISNUMBER($T546)),"CHECK DATE",IF(TODAY()&gt;$T546,"OVERDUE","Due "&amp;TEXT($T546,"mm/dd")))))))</f>
        <v/>
      </c>
      <c r="V546" s="16" t="n"/>
      <c r="W546" s="16" t="n"/>
      <c r="X546" s="17">
        <f>IF($C546="","",IF(AND($L546&lt;&gt;"",NOT(ISNUMBER($L546))),"RAW SCORE NOT A NUMBER",IF(AND(ISNUMBER($L546),OR($L546&lt;0,$L546&gt;100)),"RAW SCORE OUT OF RANGE",IF(AND($Y546="Unexcused",OR($L546="",NOT(ISNUMBER($L546)),$L546&lt;&gt;0)),"UNEXCUSED ABSENCE MUST RECORD 0",IF(COUNTIF(nrES_RecID,$B546)&gt;1,"DUPLICATE RECORD",IF(N($K546)&gt;2,"ATTEMPT 3+ NOT ALLOWED - policy 300.5 permits one retest per exam; this row records nothing",IF(AND($K546=2,COUNTIFS(nrES_PID,$D546,nrES_Code,$F546,nrES_Att,1)=0),"ATTEMPT 2 WITHOUT ATTEMPT 1",IF(AND($K546=2,$L546=""),"RETEST ROW HAS NO SCORE",IF(AND($H546="Final",$L546&lt;&gt;"",IFERROR(INDEX(nrCKfinalExamElig,MATCH($D546,rngCadetPIDs,0)),"")="No"),"FINAL EXAM AFTER FAILED FINAL PT (500.1.H)",IF(AND($K546=2,ISNUMBER($L546),COUNTIFS(nrES_PID,$D546,nrES_Code,$F546,nrES_Att,1)&gt;0,SUMIFS(nrES_Raw,nrES_PID,$D546,nrES_Code,$F546,nrES_Att,1)&gt;=$J546),"RETEST AFTER A PASSING FIRST ATTEMPT","OK"))))))))))</f>
        <v/>
      </c>
      <c r="Y546" s="16" t="n"/>
    </row>
    <row r="547">
      <c r="B547" s="17">
        <f>IF($C547="","",$D547&amp;"-"&amp;$F547&amp;"-"&amp;$K547)</f>
        <v/>
      </c>
      <c r="C547" s="16" t="n"/>
      <c r="D547" s="17">
        <f>IF($C547="","",IFERROR(INDEX(rngCadetPIDs,MATCH($C547,rngCadetNames,0)),"?"))</f>
        <v/>
      </c>
      <c r="E547" s="17">
        <f>IF($D547="","",IFERROR(INDEX(nrCadetAgency,MATCH($D547,rngCadetPIDs,0)),""))</f>
        <v/>
      </c>
      <c r="F547" s="16" t="n"/>
      <c r="G547" s="17">
        <f>IF($F547="","",IFERROR(INDEX(rngEPname,MATCH($F547,rngEPcode,0)),"?"))</f>
        <v/>
      </c>
      <c r="H547" s="17">
        <f>IF($F547="","",IFERROR(INDEX(rngEPtype,MATCH($F547,rngEPcode,0)),"?"))</f>
        <v/>
      </c>
      <c r="I547" s="17">
        <f>IF($F547="","",IFERROR(INDEX(rngEPseq,MATCH($F547,rngEPcode,0)),""))</f>
        <v/>
      </c>
      <c r="J547" s="17">
        <f>IF($F547="","",IFERROR(INDEX(rngEPpass,MATCH($F547,rngEPcode,0)),cfgPassingScore))</f>
        <v/>
      </c>
      <c r="K547" s="16" t="n"/>
      <c r="L547" s="16" t="n"/>
      <c r="M547" s="17">
        <f>IF($C547="","",IF($L547="","",IF(NOT(ISNUMBER($L547)),$L547,IF(N($K547)&gt;2,"",IF($K547=1,IF(COUNTIFS(nrES_PID,$D547,nrES_Code,$F547,nrES_Att,2,nrES_Raw,"&gt;=0")&gt;0,"",$L547),IF($L547&gt;=$J547,MAX($J547,cfgRetakeRecordedCap),IF(COUNTIFS(nrES_PID,$D547,nrES_Code,$F547,nrES_Att,1)=0,$L547,SUMIFS(nrES_Raw,nrES_PID,$D547,nrES_Code,$F547,nrES_Att,1))))))))</f>
        <v/>
      </c>
      <c r="N547" s="17">
        <f>IF($C547="","",IF($L547="","",IF(NOT(ISNUMBER($L547)),"(not a score)",IF($L547&gt;=$J547,"Yes","No"))))</f>
        <v/>
      </c>
      <c r="O547" s="17">
        <f>IF($C547="","",IF($M547="","",IF(NOT(ISNUMBER($M547)),"(not a score)",IF($M547&gt;=$J547,"Yes","No"))))</f>
        <v/>
      </c>
      <c r="P547" s="17">
        <f>IF($C547="","",IF($K547="","",IF(N($K547)&gt;2,"No",IF(COUNTIFS(nrES_PID,$D547,nrES_Code,$F547,nrES_Att,"&gt;"&amp;$K547,nrES_Att,"&lt;=2",nrES_Raw,"&gt;=0")=0,"Yes","No"))))</f>
        <v/>
      </c>
      <c r="Q547" s="17">
        <f>IF($C547="","",IF($L547="","",IF(AND($K547=1,ISNUMBER($L547),$L547&lt;$J547,COUNTIFS(nrES_PID,$D547,nrES_Code,$F547,nrES_Att,2,nrES_Raw,"&gt;=0")=0),"Yes","No")))</f>
        <v/>
      </c>
      <c r="R547" s="17">
        <f>IF($C547="","",IF($L547="","",IF(AND(N($K547)&gt;=2,ISNUMBER($L547),$L547&lt;$J547),"Yes","No")))</f>
        <v/>
      </c>
      <c r="S547" s="18" t="n"/>
      <c r="T547" s="19">
        <f>IF(OR($C547="",$L547="",$K547&lt;&gt;1,NOT(ISNUMBER($L547)),$L547&gt;=$J547),"",IF($S547="","(enter date)",_xlfn.LET(_xlpm.dn,_xlfn.XLOOKUP($S547,nrCDdate,nrCDnum,"",1),IF(_xlpm.dn="","(after last class day)",_xlfn.LET(_xlpm.dd,_xlfn.XLOOKUP(_xlpm.dn+cfgRetestClassDays,nrCDnum,nrCDdate,""),_xlpm.ok,_xlfn.XLOOKUP(_xlpm.dn+cfgRetestClassDays,nrCDnum,nrCDinsession,"No"),IF(OR(_xlpm.dd="",_xlpm.ok&lt;&gt;"Yes"),"(after last class day)",_xlpm.dd))))))</f>
        <v/>
      </c>
      <c r="U547" s="17">
        <f>IF($C547="","",IF(AND($Y547="Excused",$L547="",N($K547)&lt;=1),"EXCUSED - 1st attempt pending",IF(OR($L547="",$K547&lt;&gt;1,NOT(ISNUMBER($L547)),$L547&gt;=$J547),"",IF(COUNTIFS(nrES_PID,$D547,nrES_Code,$F547,nrES_Att,2,nrES_Raw,"&gt;=0")&gt;0,IF(IFERROR(_xlfn.MINIFS(nrES_Date,nrES_PID,$D547,nrES_Code,$F547,nrES_Att,2,nrES_Raw,"&gt;=0",nrES_Date,"&gt;0"),0)=0,"RETEST UNDATED",IF(NOT(ISNUMBER($T547)),"RETEST DATE UNCHECKED",IF(_xlfn.MINIFS(nrES_Date,nrES_PID,$D547,nrES_Code,$F547,nrES_Att,2,nrES_Raw,"&gt;=0",nrES_Date,"&gt;0")&gt;$T547,"LATE RETEST "&amp;TEXT(_xlfn.MINIFS(nrES_Date,nrES_PID,$D547,nrES_Code,$F547,nrES_Att,2,nrES_Raw,"&gt;=0",nrES_Date,"&gt;0"),"mm/dd")&amp;" (due "&amp;TEXT($T547,"mm/dd")&amp;")","Retested"))),IF(NOT(ISNUMBER($T547)),"CHECK DATE",IF(TODAY()&gt;$T547,"OVERDUE","Due "&amp;TEXT($T547,"mm/dd")))))))</f>
        <v/>
      </c>
      <c r="V547" s="16" t="n"/>
      <c r="W547" s="16" t="n"/>
      <c r="X547" s="17">
        <f>IF($C547="","",IF(AND($L547&lt;&gt;"",NOT(ISNUMBER($L547))),"RAW SCORE NOT A NUMBER",IF(AND(ISNUMBER($L547),OR($L547&lt;0,$L547&gt;100)),"RAW SCORE OUT OF RANGE",IF(AND($Y547="Unexcused",OR($L547="",NOT(ISNUMBER($L547)),$L547&lt;&gt;0)),"UNEXCUSED ABSENCE MUST RECORD 0",IF(COUNTIF(nrES_RecID,$B547)&gt;1,"DUPLICATE RECORD",IF(N($K547)&gt;2,"ATTEMPT 3+ NOT ALLOWED - policy 300.5 permits one retest per exam; this row records nothing",IF(AND($K547=2,COUNTIFS(nrES_PID,$D547,nrES_Code,$F547,nrES_Att,1)=0),"ATTEMPT 2 WITHOUT ATTEMPT 1",IF(AND($K547=2,$L547=""),"RETEST ROW HAS NO SCORE",IF(AND($H547="Final",$L547&lt;&gt;"",IFERROR(INDEX(nrCKfinalExamElig,MATCH($D547,rngCadetPIDs,0)),"")="No"),"FINAL EXAM AFTER FAILED FINAL PT (500.1.H)",IF(AND($K547=2,ISNUMBER($L547),COUNTIFS(nrES_PID,$D547,nrES_Code,$F547,nrES_Att,1)&gt;0,SUMIFS(nrES_Raw,nrES_PID,$D547,nrES_Code,$F547,nrES_Att,1)&gt;=$J547),"RETEST AFTER A PASSING FIRST ATTEMPT","OK"))))))))))</f>
        <v/>
      </c>
      <c r="Y547" s="16" t="n"/>
    </row>
    <row r="548">
      <c r="B548" s="17">
        <f>IF($C548="","",$D548&amp;"-"&amp;$F548&amp;"-"&amp;$K548)</f>
        <v/>
      </c>
      <c r="C548" s="16" t="n"/>
      <c r="D548" s="17">
        <f>IF($C548="","",IFERROR(INDEX(rngCadetPIDs,MATCH($C548,rngCadetNames,0)),"?"))</f>
        <v/>
      </c>
      <c r="E548" s="17">
        <f>IF($D548="","",IFERROR(INDEX(nrCadetAgency,MATCH($D548,rngCadetPIDs,0)),""))</f>
        <v/>
      </c>
      <c r="F548" s="16" t="n"/>
      <c r="G548" s="17">
        <f>IF($F548="","",IFERROR(INDEX(rngEPname,MATCH($F548,rngEPcode,0)),"?"))</f>
        <v/>
      </c>
      <c r="H548" s="17">
        <f>IF($F548="","",IFERROR(INDEX(rngEPtype,MATCH($F548,rngEPcode,0)),"?"))</f>
        <v/>
      </c>
      <c r="I548" s="17">
        <f>IF($F548="","",IFERROR(INDEX(rngEPseq,MATCH($F548,rngEPcode,0)),""))</f>
        <v/>
      </c>
      <c r="J548" s="17">
        <f>IF($F548="","",IFERROR(INDEX(rngEPpass,MATCH($F548,rngEPcode,0)),cfgPassingScore))</f>
        <v/>
      </c>
      <c r="K548" s="16" t="n"/>
      <c r="L548" s="16" t="n"/>
      <c r="M548" s="17">
        <f>IF($C548="","",IF($L548="","",IF(NOT(ISNUMBER($L548)),$L548,IF(N($K548)&gt;2,"",IF($K548=1,IF(COUNTIFS(nrES_PID,$D548,nrES_Code,$F548,nrES_Att,2,nrES_Raw,"&gt;=0")&gt;0,"",$L548),IF($L548&gt;=$J548,MAX($J548,cfgRetakeRecordedCap),IF(COUNTIFS(nrES_PID,$D548,nrES_Code,$F548,nrES_Att,1)=0,$L548,SUMIFS(nrES_Raw,nrES_PID,$D548,nrES_Code,$F548,nrES_Att,1))))))))</f>
        <v/>
      </c>
      <c r="N548" s="17">
        <f>IF($C548="","",IF($L548="","",IF(NOT(ISNUMBER($L548)),"(not a score)",IF($L548&gt;=$J548,"Yes","No"))))</f>
        <v/>
      </c>
      <c r="O548" s="17">
        <f>IF($C548="","",IF($M548="","",IF(NOT(ISNUMBER($M548)),"(not a score)",IF($M548&gt;=$J548,"Yes","No"))))</f>
        <v/>
      </c>
      <c r="P548" s="17">
        <f>IF($C548="","",IF($K548="","",IF(N($K548)&gt;2,"No",IF(COUNTIFS(nrES_PID,$D548,nrES_Code,$F548,nrES_Att,"&gt;"&amp;$K548,nrES_Att,"&lt;=2",nrES_Raw,"&gt;=0")=0,"Yes","No"))))</f>
        <v/>
      </c>
      <c r="Q548" s="17">
        <f>IF($C548="","",IF($L548="","",IF(AND($K548=1,ISNUMBER($L548),$L548&lt;$J548,COUNTIFS(nrES_PID,$D548,nrES_Code,$F548,nrES_Att,2,nrES_Raw,"&gt;=0")=0),"Yes","No")))</f>
        <v/>
      </c>
      <c r="R548" s="17">
        <f>IF($C548="","",IF($L548="","",IF(AND(N($K548)&gt;=2,ISNUMBER($L548),$L548&lt;$J548),"Yes","No")))</f>
        <v/>
      </c>
      <c r="S548" s="18" t="n"/>
      <c r="T548" s="19">
        <f>IF(OR($C548="",$L548="",$K548&lt;&gt;1,NOT(ISNUMBER($L548)),$L548&gt;=$J548),"",IF($S548="","(enter date)",_xlfn.LET(_xlpm.dn,_xlfn.XLOOKUP($S548,nrCDdate,nrCDnum,"",1),IF(_xlpm.dn="","(after last class day)",_xlfn.LET(_xlpm.dd,_xlfn.XLOOKUP(_xlpm.dn+cfgRetestClassDays,nrCDnum,nrCDdate,""),_xlpm.ok,_xlfn.XLOOKUP(_xlpm.dn+cfgRetestClassDays,nrCDnum,nrCDinsession,"No"),IF(OR(_xlpm.dd="",_xlpm.ok&lt;&gt;"Yes"),"(after last class day)",_xlpm.dd))))))</f>
        <v/>
      </c>
      <c r="U548" s="17">
        <f>IF($C548="","",IF(AND($Y548="Excused",$L548="",N($K548)&lt;=1),"EXCUSED - 1st attempt pending",IF(OR($L548="",$K548&lt;&gt;1,NOT(ISNUMBER($L548)),$L548&gt;=$J548),"",IF(COUNTIFS(nrES_PID,$D548,nrES_Code,$F548,nrES_Att,2,nrES_Raw,"&gt;=0")&gt;0,IF(IFERROR(_xlfn.MINIFS(nrES_Date,nrES_PID,$D548,nrES_Code,$F548,nrES_Att,2,nrES_Raw,"&gt;=0",nrES_Date,"&gt;0"),0)=0,"RETEST UNDATED",IF(NOT(ISNUMBER($T548)),"RETEST DATE UNCHECKED",IF(_xlfn.MINIFS(nrES_Date,nrES_PID,$D548,nrES_Code,$F548,nrES_Att,2,nrES_Raw,"&gt;=0",nrES_Date,"&gt;0")&gt;$T548,"LATE RETEST "&amp;TEXT(_xlfn.MINIFS(nrES_Date,nrES_PID,$D548,nrES_Code,$F548,nrES_Att,2,nrES_Raw,"&gt;=0",nrES_Date,"&gt;0"),"mm/dd")&amp;" (due "&amp;TEXT($T548,"mm/dd")&amp;")","Retested"))),IF(NOT(ISNUMBER($T548)),"CHECK DATE",IF(TODAY()&gt;$T548,"OVERDUE","Due "&amp;TEXT($T548,"mm/dd")))))))</f>
        <v/>
      </c>
      <c r="V548" s="16" t="n"/>
      <c r="W548" s="16" t="n"/>
      <c r="X548" s="17">
        <f>IF($C548="","",IF(AND($L548&lt;&gt;"",NOT(ISNUMBER($L548))),"RAW SCORE NOT A NUMBER",IF(AND(ISNUMBER($L548),OR($L548&lt;0,$L548&gt;100)),"RAW SCORE OUT OF RANGE",IF(AND($Y548="Unexcused",OR($L548="",NOT(ISNUMBER($L548)),$L548&lt;&gt;0)),"UNEXCUSED ABSENCE MUST RECORD 0",IF(COUNTIF(nrES_RecID,$B548)&gt;1,"DUPLICATE RECORD",IF(N($K548)&gt;2,"ATTEMPT 3+ NOT ALLOWED - policy 300.5 permits one retest per exam; this row records nothing",IF(AND($K548=2,COUNTIFS(nrES_PID,$D548,nrES_Code,$F548,nrES_Att,1)=0),"ATTEMPT 2 WITHOUT ATTEMPT 1",IF(AND($K548=2,$L548=""),"RETEST ROW HAS NO SCORE",IF(AND($H548="Final",$L548&lt;&gt;"",IFERROR(INDEX(nrCKfinalExamElig,MATCH($D548,rngCadetPIDs,0)),"")="No"),"FINAL EXAM AFTER FAILED FINAL PT (500.1.H)",IF(AND($K548=2,ISNUMBER($L548),COUNTIFS(nrES_PID,$D548,nrES_Code,$F548,nrES_Att,1)&gt;0,SUMIFS(nrES_Raw,nrES_PID,$D548,nrES_Code,$F548,nrES_Att,1)&gt;=$J548),"RETEST AFTER A PASSING FIRST ATTEMPT","OK"))))))))))</f>
        <v/>
      </c>
      <c r="Y548" s="16" t="n"/>
    </row>
    <row r="549">
      <c r="B549" s="17">
        <f>IF($C549="","",$D549&amp;"-"&amp;$F549&amp;"-"&amp;$K549)</f>
        <v/>
      </c>
      <c r="C549" s="16" t="n"/>
      <c r="D549" s="17">
        <f>IF($C549="","",IFERROR(INDEX(rngCadetPIDs,MATCH($C549,rngCadetNames,0)),"?"))</f>
        <v/>
      </c>
      <c r="E549" s="17">
        <f>IF($D549="","",IFERROR(INDEX(nrCadetAgency,MATCH($D549,rngCadetPIDs,0)),""))</f>
        <v/>
      </c>
      <c r="F549" s="16" t="n"/>
      <c r="G549" s="17">
        <f>IF($F549="","",IFERROR(INDEX(rngEPname,MATCH($F549,rngEPcode,0)),"?"))</f>
        <v/>
      </c>
      <c r="H549" s="17">
        <f>IF($F549="","",IFERROR(INDEX(rngEPtype,MATCH($F549,rngEPcode,0)),"?"))</f>
        <v/>
      </c>
      <c r="I549" s="17">
        <f>IF($F549="","",IFERROR(INDEX(rngEPseq,MATCH($F549,rngEPcode,0)),""))</f>
        <v/>
      </c>
      <c r="J549" s="17">
        <f>IF($F549="","",IFERROR(INDEX(rngEPpass,MATCH($F549,rngEPcode,0)),cfgPassingScore))</f>
        <v/>
      </c>
      <c r="K549" s="16" t="n"/>
      <c r="L549" s="16" t="n"/>
      <c r="M549" s="17">
        <f>IF($C549="","",IF($L549="","",IF(NOT(ISNUMBER($L549)),$L549,IF(N($K549)&gt;2,"",IF($K549=1,IF(COUNTIFS(nrES_PID,$D549,nrES_Code,$F549,nrES_Att,2,nrES_Raw,"&gt;=0")&gt;0,"",$L549),IF($L549&gt;=$J549,MAX($J549,cfgRetakeRecordedCap),IF(COUNTIFS(nrES_PID,$D549,nrES_Code,$F549,nrES_Att,1)=0,$L549,SUMIFS(nrES_Raw,nrES_PID,$D549,nrES_Code,$F549,nrES_Att,1))))))))</f>
        <v/>
      </c>
      <c r="N549" s="17">
        <f>IF($C549="","",IF($L549="","",IF(NOT(ISNUMBER($L549)),"(not a score)",IF($L549&gt;=$J549,"Yes","No"))))</f>
        <v/>
      </c>
      <c r="O549" s="17">
        <f>IF($C549="","",IF($M549="","",IF(NOT(ISNUMBER($M549)),"(not a score)",IF($M549&gt;=$J549,"Yes","No"))))</f>
        <v/>
      </c>
      <c r="P549" s="17">
        <f>IF($C549="","",IF($K549="","",IF(N($K549)&gt;2,"No",IF(COUNTIFS(nrES_PID,$D549,nrES_Code,$F549,nrES_Att,"&gt;"&amp;$K549,nrES_Att,"&lt;=2",nrES_Raw,"&gt;=0")=0,"Yes","No"))))</f>
        <v/>
      </c>
      <c r="Q549" s="17">
        <f>IF($C549="","",IF($L549="","",IF(AND($K549=1,ISNUMBER($L549),$L549&lt;$J549,COUNTIFS(nrES_PID,$D549,nrES_Code,$F549,nrES_Att,2,nrES_Raw,"&gt;=0")=0),"Yes","No")))</f>
        <v/>
      </c>
      <c r="R549" s="17">
        <f>IF($C549="","",IF($L549="","",IF(AND(N($K549)&gt;=2,ISNUMBER($L549),$L549&lt;$J549),"Yes","No")))</f>
        <v/>
      </c>
      <c r="S549" s="18" t="n"/>
      <c r="T549" s="19">
        <f>IF(OR($C549="",$L549="",$K549&lt;&gt;1,NOT(ISNUMBER($L549)),$L549&gt;=$J549),"",IF($S549="","(enter date)",_xlfn.LET(_xlpm.dn,_xlfn.XLOOKUP($S549,nrCDdate,nrCDnum,"",1),IF(_xlpm.dn="","(after last class day)",_xlfn.LET(_xlpm.dd,_xlfn.XLOOKUP(_xlpm.dn+cfgRetestClassDays,nrCDnum,nrCDdate,""),_xlpm.ok,_xlfn.XLOOKUP(_xlpm.dn+cfgRetestClassDays,nrCDnum,nrCDinsession,"No"),IF(OR(_xlpm.dd="",_xlpm.ok&lt;&gt;"Yes"),"(after last class day)",_xlpm.dd))))))</f>
        <v/>
      </c>
      <c r="U549" s="17">
        <f>IF($C549="","",IF(AND($Y549="Excused",$L549="",N($K549)&lt;=1),"EXCUSED - 1st attempt pending",IF(OR($L549="",$K549&lt;&gt;1,NOT(ISNUMBER($L549)),$L549&gt;=$J549),"",IF(COUNTIFS(nrES_PID,$D549,nrES_Code,$F549,nrES_Att,2,nrES_Raw,"&gt;=0")&gt;0,IF(IFERROR(_xlfn.MINIFS(nrES_Date,nrES_PID,$D549,nrES_Code,$F549,nrES_Att,2,nrES_Raw,"&gt;=0",nrES_Date,"&gt;0"),0)=0,"RETEST UNDATED",IF(NOT(ISNUMBER($T549)),"RETEST DATE UNCHECKED",IF(_xlfn.MINIFS(nrES_Date,nrES_PID,$D549,nrES_Code,$F549,nrES_Att,2,nrES_Raw,"&gt;=0",nrES_Date,"&gt;0")&gt;$T549,"LATE RETEST "&amp;TEXT(_xlfn.MINIFS(nrES_Date,nrES_PID,$D549,nrES_Code,$F549,nrES_Att,2,nrES_Raw,"&gt;=0",nrES_Date,"&gt;0"),"mm/dd")&amp;" (due "&amp;TEXT($T549,"mm/dd")&amp;")","Retested"))),IF(NOT(ISNUMBER($T549)),"CHECK DATE",IF(TODAY()&gt;$T549,"OVERDUE","Due "&amp;TEXT($T549,"mm/dd")))))))</f>
        <v/>
      </c>
      <c r="V549" s="16" t="n"/>
      <c r="W549" s="16" t="n"/>
      <c r="X549" s="17">
        <f>IF($C549="","",IF(AND($L549&lt;&gt;"",NOT(ISNUMBER($L549))),"RAW SCORE NOT A NUMBER",IF(AND(ISNUMBER($L549),OR($L549&lt;0,$L549&gt;100)),"RAW SCORE OUT OF RANGE",IF(AND($Y549="Unexcused",OR($L549="",NOT(ISNUMBER($L549)),$L549&lt;&gt;0)),"UNEXCUSED ABSENCE MUST RECORD 0",IF(COUNTIF(nrES_RecID,$B549)&gt;1,"DUPLICATE RECORD",IF(N($K549)&gt;2,"ATTEMPT 3+ NOT ALLOWED - policy 300.5 permits one retest per exam; this row records nothing",IF(AND($K549=2,COUNTIFS(nrES_PID,$D549,nrES_Code,$F549,nrES_Att,1)=0),"ATTEMPT 2 WITHOUT ATTEMPT 1",IF(AND($K549=2,$L549=""),"RETEST ROW HAS NO SCORE",IF(AND($H549="Final",$L549&lt;&gt;"",IFERROR(INDEX(nrCKfinalExamElig,MATCH($D549,rngCadetPIDs,0)),"")="No"),"FINAL EXAM AFTER FAILED FINAL PT (500.1.H)",IF(AND($K549=2,ISNUMBER($L549),COUNTIFS(nrES_PID,$D549,nrES_Code,$F549,nrES_Att,1)&gt;0,SUMIFS(nrES_Raw,nrES_PID,$D549,nrES_Code,$F549,nrES_Att,1)&gt;=$J549),"RETEST AFTER A PASSING FIRST ATTEMPT","OK"))))))))))</f>
        <v/>
      </c>
      <c r="Y549" s="16" t="n"/>
    </row>
    <row r="550">
      <c r="B550" s="17">
        <f>IF($C550="","",$D550&amp;"-"&amp;$F550&amp;"-"&amp;$K550)</f>
        <v/>
      </c>
      <c r="C550" s="16" t="n"/>
      <c r="D550" s="17">
        <f>IF($C550="","",IFERROR(INDEX(rngCadetPIDs,MATCH($C550,rngCadetNames,0)),"?"))</f>
        <v/>
      </c>
      <c r="E550" s="17">
        <f>IF($D550="","",IFERROR(INDEX(nrCadetAgency,MATCH($D550,rngCadetPIDs,0)),""))</f>
        <v/>
      </c>
      <c r="F550" s="16" t="n"/>
      <c r="G550" s="17">
        <f>IF($F550="","",IFERROR(INDEX(rngEPname,MATCH($F550,rngEPcode,0)),"?"))</f>
        <v/>
      </c>
      <c r="H550" s="17">
        <f>IF($F550="","",IFERROR(INDEX(rngEPtype,MATCH($F550,rngEPcode,0)),"?"))</f>
        <v/>
      </c>
      <c r="I550" s="17">
        <f>IF($F550="","",IFERROR(INDEX(rngEPseq,MATCH($F550,rngEPcode,0)),""))</f>
        <v/>
      </c>
      <c r="J550" s="17">
        <f>IF($F550="","",IFERROR(INDEX(rngEPpass,MATCH($F550,rngEPcode,0)),cfgPassingScore))</f>
        <v/>
      </c>
      <c r="K550" s="16" t="n"/>
      <c r="L550" s="16" t="n"/>
      <c r="M550" s="17">
        <f>IF($C550="","",IF($L550="","",IF(NOT(ISNUMBER($L550)),$L550,IF(N($K550)&gt;2,"",IF($K550=1,IF(COUNTIFS(nrES_PID,$D550,nrES_Code,$F550,nrES_Att,2,nrES_Raw,"&gt;=0")&gt;0,"",$L550),IF($L550&gt;=$J550,MAX($J550,cfgRetakeRecordedCap),IF(COUNTIFS(nrES_PID,$D550,nrES_Code,$F550,nrES_Att,1)=0,$L550,SUMIFS(nrES_Raw,nrES_PID,$D550,nrES_Code,$F550,nrES_Att,1))))))))</f>
        <v/>
      </c>
      <c r="N550" s="17">
        <f>IF($C550="","",IF($L550="","",IF(NOT(ISNUMBER($L550)),"(not a score)",IF($L550&gt;=$J550,"Yes","No"))))</f>
        <v/>
      </c>
      <c r="O550" s="17">
        <f>IF($C550="","",IF($M550="","",IF(NOT(ISNUMBER($M550)),"(not a score)",IF($M550&gt;=$J550,"Yes","No"))))</f>
        <v/>
      </c>
      <c r="P550" s="17">
        <f>IF($C550="","",IF($K550="","",IF(N($K550)&gt;2,"No",IF(COUNTIFS(nrES_PID,$D550,nrES_Code,$F550,nrES_Att,"&gt;"&amp;$K550,nrES_Att,"&lt;=2",nrES_Raw,"&gt;=0")=0,"Yes","No"))))</f>
        <v/>
      </c>
      <c r="Q550" s="17">
        <f>IF($C550="","",IF($L550="","",IF(AND($K550=1,ISNUMBER($L550),$L550&lt;$J550,COUNTIFS(nrES_PID,$D550,nrES_Code,$F550,nrES_Att,2,nrES_Raw,"&gt;=0")=0),"Yes","No")))</f>
        <v/>
      </c>
      <c r="R550" s="17">
        <f>IF($C550="","",IF($L550="","",IF(AND(N($K550)&gt;=2,ISNUMBER($L550),$L550&lt;$J550),"Yes","No")))</f>
        <v/>
      </c>
      <c r="S550" s="18" t="n"/>
      <c r="T550" s="19">
        <f>IF(OR($C550="",$L550="",$K550&lt;&gt;1,NOT(ISNUMBER($L550)),$L550&gt;=$J550),"",IF($S550="","(enter date)",_xlfn.LET(_xlpm.dn,_xlfn.XLOOKUP($S550,nrCDdate,nrCDnum,"",1),IF(_xlpm.dn="","(after last class day)",_xlfn.LET(_xlpm.dd,_xlfn.XLOOKUP(_xlpm.dn+cfgRetestClassDays,nrCDnum,nrCDdate,""),_xlpm.ok,_xlfn.XLOOKUP(_xlpm.dn+cfgRetestClassDays,nrCDnum,nrCDinsession,"No"),IF(OR(_xlpm.dd="",_xlpm.ok&lt;&gt;"Yes"),"(after last class day)",_xlpm.dd))))))</f>
        <v/>
      </c>
      <c r="U550" s="17">
        <f>IF($C550="","",IF(AND($Y550="Excused",$L550="",N($K550)&lt;=1),"EXCUSED - 1st attempt pending",IF(OR($L550="",$K550&lt;&gt;1,NOT(ISNUMBER($L550)),$L550&gt;=$J550),"",IF(COUNTIFS(nrES_PID,$D550,nrES_Code,$F550,nrES_Att,2,nrES_Raw,"&gt;=0")&gt;0,IF(IFERROR(_xlfn.MINIFS(nrES_Date,nrES_PID,$D550,nrES_Code,$F550,nrES_Att,2,nrES_Raw,"&gt;=0",nrES_Date,"&gt;0"),0)=0,"RETEST UNDATED",IF(NOT(ISNUMBER($T550)),"RETEST DATE UNCHECKED",IF(_xlfn.MINIFS(nrES_Date,nrES_PID,$D550,nrES_Code,$F550,nrES_Att,2,nrES_Raw,"&gt;=0",nrES_Date,"&gt;0")&gt;$T550,"LATE RETEST "&amp;TEXT(_xlfn.MINIFS(nrES_Date,nrES_PID,$D550,nrES_Code,$F550,nrES_Att,2,nrES_Raw,"&gt;=0",nrES_Date,"&gt;0"),"mm/dd")&amp;" (due "&amp;TEXT($T550,"mm/dd")&amp;")","Retested"))),IF(NOT(ISNUMBER($T550)),"CHECK DATE",IF(TODAY()&gt;$T550,"OVERDUE","Due "&amp;TEXT($T550,"mm/dd")))))))</f>
        <v/>
      </c>
      <c r="V550" s="16" t="n"/>
      <c r="W550" s="16" t="n"/>
      <c r="X550" s="17">
        <f>IF($C550="","",IF(AND($L550&lt;&gt;"",NOT(ISNUMBER($L550))),"RAW SCORE NOT A NUMBER",IF(AND(ISNUMBER($L550),OR($L550&lt;0,$L550&gt;100)),"RAW SCORE OUT OF RANGE",IF(AND($Y550="Unexcused",OR($L550="",NOT(ISNUMBER($L550)),$L550&lt;&gt;0)),"UNEXCUSED ABSENCE MUST RECORD 0",IF(COUNTIF(nrES_RecID,$B550)&gt;1,"DUPLICATE RECORD",IF(N($K550)&gt;2,"ATTEMPT 3+ NOT ALLOWED - policy 300.5 permits one retest per exam; this row records nothing",IF(AND($K550=2,COUNTIFS(nrES_PID,$D550,nrES_Code,$F550,nrES_Att,1)=0),"ATTEMPT 2 WITHOUT ATTEMPT 1",IF(AND($K550=2,$L550=""),"RETEST ROW HAS NO SCORE",IF(AND($H550="Final",$L550&lt;&gt;"",IFERROR(INDEX(nrCKfinalExamElig,MATCH($D550,rngCadetPIDs,0)),"")="No"),"FINAL EXAM AFTER FAILED FINAL PT (500.1.H)",IF(AND($K550=2,ISNUMBER($L550),COUNTIFS(nrES_PID,$D550,nrES_Code,$F550,nrES_Att,1)&gt;0,SUMIFS(nrES_Raw,nrES_PID,$D550,nrES_Code,$F550,nrES_Att,1)&gt;=$J550),"RETEST AFTER A PASSING FIRST ATTEMPT","OK"))))))))))</f>
        <v/>
      </c>
      <c r="Y550" s="16" t="n"/>
    </row>
    <row r="551">
      <c r="B551" s="17">
        <f>IF($C551="","",$D551&amp;"-"&amp;$F551&amp;"-"&amp;$K551)</f>
        <v/>
      </c>
      <c r="C551" s="16" t="n"/>
      <c r="D551" s="17">
        <f>IF($C551="","",IFERROR(INDEX(rngCadetPIDs,MATCH($C551,rngCadetNames,0)),"?"))</f>
        <v/>
      </c>
      <c r="E551" s="17">
        <f>IF($D551="","",IFERROR(INDEX(nrCadetAgency,MATCH($D551,rngCadetPIDs,0)),""))</f>
        <v/>
      </c>
      <c r="F551" s="16" t="n"/>
      <c r="G551" s="17">
        <f>IF($F551="","",IFERROR(INDEX(rngEPname,MATCH($F551,rngEPcode,0)),"?"))</f>
        <v/>
      </c>
      <c r="H551" s="17">
        <f>IF($F551="","",IFERROR(INDEX(rngEPtype,MATCH($F551,rngEPcode,0)),"?"))</f>
        <v/>
      </c>
      <c r="I551" s="17">
        <f>IF($F551="","",IFERROR(INDEX(rngEPseq,MATCH($F551,rngEPcode,0)),""))</f>
        <v/>
      </c>
      <c r="J551" s="17">
        <f>IF($F551="","",IFERROR(INDEX(rngEPpass,MATCH($F551,rngEPcode,0)),cfgPassingScore))</f>
        <v/>
      </c>
      <c r="K551" s="16" t="n"/>
      <c r="L551" s="16" t="n"/>
      <c r="M551" s="17">
        <f>IF($C551="","",IF($L551="","",IF(NOT(ISNUMBER($L551)),$L551,IF(N($K551)&gt;2,"",IF($K551=1,IF(COUNTIFS(nrES_PID,$D551,nrES_Code,$F551,nrES_Att,2,nrES_Raw,"&gt;=0")&gt;0,"",$L551),IF($L551&gt;=$J551,MAX($J551,cfgRetakeRecordedCap),IF(COUNTIFS(nrES_PID,$D551,nrES_Code,$F551,nrES_Att,1)=0,$L551,SUMIFS(nrES_Raw,nrES_PID,$D551,nrES_Code,$F551,nrES_Att,1))))))))</f>
        <v/>
      </c>
      <c r="N551" s="17">
        <f>IF($C551="","",IF($L551="","",IF(NOT(ISNUMBER($L551)),"(not a score)",IF($L551&gt;=$J551,"Yes","No"))))</f>
        <v/>
      </c>
      <c r="O551" s="17">
        <f>IF($C551="","",IF($M551="","",IF(NOT(ISNUMBER($M551)),"(not a score)",IF($M551&gt;=$J551,"Yes","No"))))</f>
        <v/>
      </c>
      <c r="P551" s="17">
        <f>IF($C551="","",IF($K551="","",IF(N($K551)&gt;2,"No",IF(COUNTIFS(nrES_PID,$D551,nrES_Code,$F551,nrES_Att,"&gt;"&amp;$K551,nrES_Att,"&lt;=2",nrES_Raw,"&gt;=0")=0,"Yes","No"))))</f>
        <v/>
      </c>
      <c r="Q551" s="17">
        <f>IF($C551="","",IF($L551="","",IF(AND($K551=1,ISNUMBER($L551),$L551&lt;$J551,COUNTIFS(nrES_PID,$D551,nrES_Code,$F551,nrES_Att,2,nrES_Raw,"&gt;=0")=0),"Yes","No")))</f>
        <v/>
      </c>
      <c r="R551" s="17">
        <f>IF($C551="","",IF($L551="","",IF(AND(N($K551)&gt;=2,ISNUMBER($L551),$L551&lt;$J551),"Yes","No")))</f>
        <v/>
      </c>
      <c r="S551" s="18" t="n"/>
      <c r="T551" s="19">
        <f>IF(OR($C551="",$L551="",$K551&lt;&gt;1,NOT(ISNUMBER($L551)),$L551&gt;=$J551),"",IF($S551="","(enter date)",_xlfn.LET(_xlpm.dn,_xlfn.XLOOKUP($S551,nrCDdate,nrCDnum,"",1),IF(_xlpm.dn="","(after last class day)",_xlfn.LET(_xlpm.dd,_xlfn.XLOOKUP(_xlpm.dn+cfgRetestClassDays,nrCDnum,nrCDdate,""),_xlpm.ok,_xlfn.XLOOKUP(_xlpm.dn+cfgRetestClassDays,nrCDnum,nrCDinsession,"No"),IF(OR(_xlpm.dd="",_xlpm.ok&lt;&gt;"Yes"),"(after last class day)",_xlpm.dd))))))</f>
        <v/>
      </c>
      <c r="U551" s="17">
        <f>IF($C551="","",IF(AND($Y551="Excused",$L551="",N($K551)&lt;=1),"EXCUSED - 1st attempt pending",IF(OR($L551="",$K551&lt;&gt;1,NOT(ISNUMBER($L551)),$L551&gt;=$J551),"",IF(COUNTIFS(nrES_PID,$D551,nrES_Code,$F551,nrES_Att,2,nrES_Raw,"&gt;=0")&gt;0,IF(IFERROR(_xlfn.MINIFS(nrES_Date,nrES_PID,$D551,nrES_Code,$F551,nrES_Att,2,nrES_Raw,"&gt;=0",nrES_Date,"&gt;0"),0)=0,"RETEST UNDATED",IF(NOT(ISNUMBER($T551)),"RETEST DATE UNCHECKED",IF(_xlfn.MINIFS(nrES_Date,nrES_PID,$D551,nrES_Code,$F551,nrES_Att,2,nrES_Raw,"&gt;=0",nrES_Date,"&gt;0")&gt;$T551,"LATE RETEST "&amp;TEXT(_xlfn.MINIFS(nrES_Date,nrES_PID,$D551,nrES_Code,$F551,nrES_Att,2,nrES_Raw,"&gt;=0",nrES_Date,"&gt;0"),"mm/dd")&amp;" (due "&amp;TEXT($T551,"mm/dd")&amp;")","Retested"))),IF(NOT(ISNUMBER($T551)),"CHECK DATE",IF(TODAY()&gt;$T551,"OVERDUE","Due "&amp;TEXT($T551,"mm/dd")))))))</f>
        <v/>
      </c>
      <c r="V551" s="16" t="n"/>
      <c r="W551" s="16" t="n"/>
      <c r="X551" s="17">
        <f>IF($C551="","",IF(AND($L551&lt;&gt;"",NOT(ISNUMBER($L551))),"RAW SCORE NOT A NUMBER",IF(AND(ISNUMBER($L551),OR($L551&lt;0,$L551&gt;100)),"RAW SCORE OUT OF RANGE",IF(AND($Y551="Unexcused",OR($L551="",NOT(ISNUMBER($L551)),$L551&lt;&gt;0)),"UNEXCUSED ABSENCE MUST RECORD 0",IF(COUNTIF(nrES_RecID,$B551)&gt;1,"DUPLICATE RECORD",IF(N($K551)&gt;2,"ATTEMPT 3+ NOT ALLOWED - policy 300.5 permits one retest per exam; this row records nothing",IF(AND($K551=2,COUNTIFS(nrES_PID,$D551,nrES_Code,$F551,nrES_Att,1)=0),"ATTEMPT 2 WITHOUT ATTEMPT 1",IF(AND($K551=2,$L551=""),"RETEST ROW HAS NO SCORE",IF(AND($H551="Final",$L551&lt;&gt;"",IFERROR(INDEX(nrCKfinalExamElig,MATCH($D551,rngCadetPIDs,0)),"")="No"),"FINAL EXAM AFTER FAILED FINAL PT (500.1.H)",IF(AND($K551=2,ISNUMBER($L551),COUNTIFS(nrES_PID,$D551,nrES_Code,$F551,nrES_Att,1)&gt;0,SUMIFS(nrES_Raw,nrES_PID,$D551,nrES_Code,$F551,nrES_Att,1)&gt;=$J551),"RETEST AFTER A PASSING FIRST ATTEMPT","OK"))))))))))</f>
        <v/>
      </c>
      <c r="Y551" s="16" t="n"/>
    </row>
    <row r="552">
      <c r="B552" s="17">
        <f>IF($C552="","",$D552&amp;"-"&amp;$F552&amp;"-"&amp;$K552)</f>
        <v/>
      </c>
      <c r="C552" s="16" t="n"/>
      <c r="D552" s="17">
        <f>IF($C552="","",IFERROR(INDEX(rngCadetPIDs,MATCH($C552,rngCadetNames,0)),"?"))</f>
        <v/>
      </c>
      <c r="E552" s="17">
        <f>IF($D552="","",IFERROR(INDEX(nrCadetAgency,MATCH($D552,rngCadetPIDs,0)),""))</f>
        <v/>
      </c>
      <c r="F552" s="16" t="n"/>
      <c r="G552" s="17">
        <f>IF($F552="","",IFERROR(INDEX(rngEPname,MATCH($F552,rngEPcode,0)),"?"))</f>
        <v/>
      </c>
      <c r="H552" s="17">
        <f>IF($F552="","",IFERROR(INDEX(rngEPtype,MATCH($F552,rngEPcode,0)),"?"))</f>
        <v/>
      </c>
      <c r="I552" s="17">
        <f>IF($F552="","",IFERROR(INDEX(rngEPseq,MATCH($F552,rngEPcode,0)),""))</f>
        <v/>
      </c>
      <c r="J552" s="17">
        <f>IF($F552="","",IFERROR(INDEX(rngEPpass,MATCH($F552,rngEPcode,0)),cfgPassingScore))</f>
        <v/>
      </c>
      <c r="K552" s="16" t="n"/>
      <c r="L552" s="16" t="n"/>
      <c r="M552" s="17">
        <f>IF($C552="","",IF($L552="","",IF(NOT(ISNUMBER($L552)),$L552,IF(N($K552)&gt;2,"",IF($K552=1,IF(COUNTIFS(nrES_PID,$D552,nrES_Code,$F552,nrES_Att,2,nrES_Raw,"&gt;=0")&gt;0,"",$L552),IF($L552&gt;=$J552,MAX($J552,cfgRetakeRecordedCap),IF(COUNTIFS(nrES_PID,$D552,nrES_Code,$F552,nrES_Att,1)=0,$L552,SUMIFS(nrES_Raw,nrES_PID,$D552,nrES_Code,$F552,nrES_Att,1))))))))</f>
        <v/>
      </c>
      <c r="N552" s="17">
        <f>IF($C552="","",IF($L552="","",IF(NOT(ISNUMBER($L552)),"(not a score)",IF($L552&gt;=$J552,"Yes","No"))))</f>
        <v/>
      </c>
      <c r="O552" s="17">
        <f>IF($C552="","",IF($M552="","",IF(NOT(ISNUMBER($M552)),"(not a score)",IF($M552&gt;=$J552,"Yes","No"))))</f>
        <v/>
      </c>
      <c r="P552" s="17">
        <f>IF($C552="","",IF($K552="","",IF(N($K552)&gt;2,"No",IF(COUNTIFS(nrES_PID,$D552,nrES_Code,$F552,nrES_Att,"&gt;"&amp;$K552,nrES_Att,"&lt;=2",nrES_Raw,"&gt;=0")=0,"Yes","No"))))</f>
        <v/>
      </c>
      <c r="Q552" s="17">
        <f>IF($C552="","",IF($L552="","",IF(AND($K552=1,ISNUMBER($L552),$L552&lt;$J552,COUNTIFS(nrES_PID,$D552,nrES_Code,$F552,nrES_Att,2,nrES_Raw,"&gt;=0")=0),"Yes","No")))</f>
        <v/>
      </c>
      <c r="R552" s="17">
        <f>IF($C552="","",IF($L552="","",IF(AND(N($K552)&gt;=2,ISNUMBER($L552),$L552&lt;$J552),"Yes","No")))</f>
        <v/>
      </c>
      <c r="S552" s="18" t="n"/>
      <c r="T552" s="19">
        <f>IF(OR($C552="",$L552="",$K552&lt;&gt;1,NOT(ISNUMBER($L552)),$L552&gt;=$J552),"",IF($S552="","(enter date)",_xlfn.LET(_xlpm.dn,_xlfn.XLOOKUP($S552,nrCDdate,nrCDnum,"",1),IF(_xlpm.dn="","(after last class day)",_xlfn.LET(_xlpm.dd,_xlfn.XLOOKUP(_xlpm.dn+cfgRetestClassDays,nrCDnum,nrCDdate,""),_xlpm.ok,_xlfn.XLOOKUP(_xlpm.dn+cfgRetestClassDays,nrCDnum,nrCDinsession,"No"),IF(OR(_xlpm.dd="",_xlpm.ok&lt;&gt;"Yes"),"(after last class day)",_xlpm.dd))))))</f>
        <v/>
      </c>
      <c r="U552" s="17">
        <f>IF($C552="","",IF(AND($Y552="Excused",$L552="",N($K552)&lt;=1),"EXCUSED - 1st attempt pending",IF(OR($L552="",$K552&lt;&gt;1,NOT(ISNUMBER($L552)),$L552&gt;=$J552),"",IF(COUNTIFS(nrES_PID,$D552,nrES_Code,$F552,nrES_Att,2,nrES_Raw,"&gt;=0")&gt;0,IF(IFERROR(_xlfn.MINIFS(nrES_Date,nrES_PID,$D552,nrES_Code,$F552,nrES_Att,2,nrES_Raw,"&gt;=0",nrES_Date,"&gt;0"),0)=0,"RETEST UNDATED",IF(NOT(ISNUMBER($T552)),"RETEST DATE UNCHECKED",IF(_xlfn.MINIFS(nrES_Date,nrES_PID,$D552,nrES_Code,$F552,nrES_Att,2,nrES_Raw,"&gt;=0",nrES_Date,"&gt;0")&gt;$T552,"LATE RETEST "&amp;TEXT(_xlfn.MINIFS(nrES_Date,nrES_PID,$D552,nrES_Code,$F552,nrES_Att,2,nrES_Raw,"&gt;=0",nrES_Date,"&gt;0"),"mm/dd")&amp;" (due "&amp;TEXT($T552,"mm/dd")&amp;")","Retested"))),IF(NOT(ISNUMBER($T552)),"CHECK DATE",IF(TODAY()&gt;$T552,"OVERDUE","Due "&amp;TEXT($T552,"mm/dd")))))))</f>
        <v/>
      </c>
      <c r="V552" s="16" t="n"/>
      <c r="W552" s="16" t="n"/>
      <c r="X552" s="17">
        <f>IF($C552="","",IF(AND($L552&lt;&gt;"",NOT(ISNUMBER($L552))),"RAW SCORE NOT A NUMBER",IF(AND(ISNUMBER($L552),OR($L552&lt;0,$L552&gt;100)),"RAW SCORE OUT OF RANGE",IF(AND($Y552="Unexcused",OR($L552="",NOT(ISNUMBER($L552)),$L552&lt;&gt;0)),"UNEXCUSED ABSENCE MUST RECORD 0",IF(COUNTIF(nrES_RecID,$B552)&gt;1,"DUPLICATE RECORD",IF(N($K552)&gt;2,"ATTEMPT 3+ NOT ALLOWED - policy 300.5 permits one retest per exam; this row records nothing",IF(AND($K552=2,COUNTIFS(nrES_PID,$D552,nrES_Code,$F552,nrES_Att,1)=0),"ATTEMPT 2 WITHOUT ATTEMPT 1",IF(AND($K552=2,$L552=""),"RETEST ROW HAS NO SCORE",IF(AND($H552="Final",$L552&lt;&gt;"",IFERROR(INDEX(nrCKfinalExamElig,MATCH($D552,rngCadetPIDs,0)),"")="No"),"FINAL EXAM AFTER FAILED FINAL PT (500.1.H)",IF(AND($K552=2,ISNUMBER($L552),COUNTIFS(nrES_PID,$D552,nrES_Code,$F552,nrES_Att,1)&gt;0,SUMIFS(nrES_Raw,nrES_PID,$D552,nrES_Code,$F552,nrES_Att,1)&gt;=$J552),"RETEST AFTER A PASSING FIRST ATTEMPT","OK"))))))))))</f>
        <v/>
      </c>
      <c r="Y552" s="16" t="n"/>
    </row>
    <row r="553">
      <c r="B553" s="17">
        <f>IF($C553="","",$D553&amp;"-"&amp;$F553&amp;"-"&amp;$K553)</f>
        <v/>
      </c>
      <c r="C553" s="16" t="n"/>
      <c r="D553" s="17">
        <f>IF($C553="","",IFERROR(INDEX(rngCadetPIDs,MATCH($C553,rngCadetNames,0)),"?"))</f>
        <v/>
      </c>
      <c r="E553" s="17">
        <f>IF($D553="","",IFERROR(INDEX(nrCadetAgency,MATCH($D553,rngCadetPIDs,0)),""))</f>
        <v/>
      </c>
      <c r="F553" s="16" t="n"/>
      <c r="G553" s="17">
        <f>IF($F553="","",IFERROR(INDEX(rngEPname,MATCH($F553,rngEPcode,0)),"?"))</f>
        <v/>
      </c>
      <c r="H553" s="17">
        <f>IF($F553="","",IFERROR(INDEX(rngEPtype,MATCH($F553,rngEPcode,0)),"?"))</f>
        <v/>
      </c>
      <c r="I553" s="17">
        <f>IF($F553="","",IFERROR(INDEX(rngEPseq,MATCH($F553,rngEPcode,0)),""))</f>
        <v/>
      </c>
      <c r="J553" s="17">
        <f>IF($F553="","",IFERROR(INDEX(rngEPpass,MATCH($F553,rngEPcode,0)),cfgPassingScore))</f>
        <v/>
      </c>
      <c r="K553" s="16" t="n"/>
      <c r="L553" s="16" t="n"/>
      <c r="M553" s="17">
        <f>IF($C553="","",IF($L553="","",IF(NOT(ISNUMBER($L553)),$L553,IF(N($K553)&gt;2,"",IF($K553=1,IF(COUNTIFS(nrES_PID,$D553,nrES_Code,$F553,nrES_Att,2,nrES_Raw,"&gt;=0")&gt;0,"",$L553),IF($L553&gt;=$J553,MAX($J553,cfgRetakeRecordedCap),IF(COUNTIFS(nrES_PID,$D553,nrES_Code,$F553,nrES_Att,1)=0,$L553,SUMIFS(nrES_Raw,nrES_PID,$D553,nrES_Code,$F553,nrES_Att,1))))))))</f>
        <v/>
      </c>
      <c r="N553" s="17">
        <f>IF($C553="","",IF($L553="","",IF(NOT(ISNUMBER($L553)),"(not a score)",IF($L553&gt;=$J553,"Yes","No"))))</f>
        <v/>
      </c>
      <c r="O553" s="17">
        <f>IF($C553="","",IF($M553="","",IF(NOT(ISNUMBER($M553)),"(not a score)",IF($M553&gt;=$J553,"Yes","No"))))</f>
        <v/>
      </c>
      <c r="P553" s="17">
        <f>IF($C553="","",IF($K553="","",IF(N($K553)&gt;2,"No",IF(COUNTIFS(nrES_PID,$D553,nrES_Code,$F553,nrES_Att,"&gt;"&amp;$K553,nrES_Att,"&lt;=2",nrES_Raw,"&gt;=0")=0,"Yes","No"))))</f>
        <v/>
      </c>
      <c r="Q553" s="17">
        <f>IF($C553="","",IF($L553="","",IF(AND($K553=1,ISNUMBER($L553),$L553&lt;$J553,COUNTIFS(nrES_PID,$D553,nrES_Code,$F553,nrES_Att,2,nrES_Raw,"&gt;=0")=0),"Yes","No")))</f>
        <v/>
      </c>
      <c r="R553" s="17">
        <f>IF($C553="","",IF($L553="","",IF(AND(N($K553)&gt;=2,ISNUMBER($L553),$L553&lt;$J553),"Yes","No")))</f>
        <v/>
      </c>
      <c r="S553" s="18" t="n"/>
      <c r="T553" s="19">
        <f>IF(OR($C553="",$L553="",$K553&lt;&gt;1,NOT(ISNUMBER($L553)),$L553&gt;=$J553),"",IF($S553="","(enter date)",_xlfn.LET(_xlpm.dn,_xlfn.XLOOKUP($S553,nrCDdate,nrCDnum,"",1),IF(_xlpm.dn="","(after last class day)",_xlfn.LET(_xlpm.dd,_xlfn.XLOOKUP(_xlpm.dn+cfgRetestClassDays,nrCDnum,nrCDdate,""),_xlpm.ok,_xlfn.XLOOKUP(_xlpm.dn+cfgRetestClassDays,nrCDnum,nrCDinsession,"No"),IF(OR(_xlpm.dd="",_xlpm.ok&lt;&gt;"Yes"),"(after last class day)",_xlpm.dd))))))</f>
        <v/>
      </c>
      <c r="U553" s="17">
        <f>IF($C553="","",IF(AND($Y553="Excused",$L553="",N($K553)&lt;=1),"EXCUSED - 1st attempt pending",IF(OR($L553="",$K553&lt;&gt;1,NOT(ISNUMBER($L553)),$L553&gt;=$J553),"",IF(COUNTIFS(nrES_PID,$D553,nrES_Code,$F553,nrES_Att,2,nrES_Raw,"&gt;=0")&gt;0,IF(IFERROR(_xlfn.MINIFS(nrES_Date,nrES_PID,$D553,nrES_Code,$F553,nrES_Att,2,nrES_Raw,"&gt;=0",nrES_Date,"&gt;0"),0)=0,"RETEST UNDATED",IF(NOT(ISNUMBER($T553)),"RETEST DATE UNCHECKED",IF(_xlfn.MINIFS(nrES_Date,nrES_PID,$D553,nrES_Code,$F553,nrES_Att,2,nrES_Raw,"&gt;=0",nrES_Date,"&gt;0")&gt;$T553,"LATE RETEST "&amp;TEXT(_xlfn.MINIFS(nrES_Date,nrES_PID,$D553,nrES_Code,$F553,nrES_Att,2,nrES_Raw,"&gt;=0",nrES_Date,"&gt;0"),"mm/dd")&amp;" (due "&amp;TEXT($T553,"mm/dd")&amp;")","Retested"))),IF(NOT(ISNUMBER($T553)),"CHECK DATE",IF(TODAY()&gt;$T553,"OVERDUE","Due "&amp;TEXT($T553,"mm/dd")))))))</f>
        <v/>
      </c>
      <c r="V553" s="16" t="n"/>
      <c r="W553" s="16" t="n"/>
      <c r="X553" s="17">
        <f>IF($C553="","",IF(AND($L553&lt;&gt;"",NOT(ISNUMBER($L553))),"RAW SCORE NOT A NUMBER",IF(AND(ISNUMBER($L553),OR($L553&lt;0,$L553&gt;100)),"RAW SCORE OUT OF RANGE",IF(AND($Y553="Unexcused",OR($L553="",NOT(ISNUMBER($L553)),$L553&lt;&gt;0)),"UNEXCUSED ABSENCE MUST RECORD 0",IF(COUNTIF(nrES_RecID,$B553)&gt;1,"DUPLICATE RECORD",IF(N($K553)&gt;2,"ATTEMPT 3+ NOT ALLOWED - policy 300.5 permits one retest per exam; this row records nothing",IF(AND($K553=2,COUNTIFS(nrES_PID,$D553,nrES_Code,$F553,nrES_Att,1)=0),"ATTEMPT 2 WITHOUT ATTEMPT 1",IF(AND($K553=2,$L553=""),"RETEST ROW HAS NO SCORE",IF(AND($H553="Final",$L553&lt;&gt;"",IFERROR(INDEX(nrCKfinalExamElig,MATCH($D553,rngCadetPIDs,0)),"")="No"),"FINAL EXAM AFTER FAILED FINAL PT (500.1.H)",IF(AND($K553=2,ISNUMBER($L553),COUNTIFS(nrES_PID,$D553,nrES_Code,$F553,nrES_Att,1)&gt;0,SUMIFS(nrES_Raw,nrES_PID,$D553,nrES_Code,$F553,nrES_Att,1)&gt;=$J553),"RETEST AFTER A PASSING FIRST ATTEMPT","OK"))))))))))</f>
        <v/>
      </c>
      <c r="Y553" s="16" t="n"/>
    </row>
    <row r="554">
      <c r="B554" s="17">
        <f>IF($C554="","",$D554&amp;"-"&amp;$F554&amp;"-"&amp;$K554)</f>
        <v/>
      </c>
      <c r="C554" s="16" t="n"/>
      <c r="D554" s="17">
        <f>IF($C554="","",IFERROR(INDEX(rngCadetPIDs,MATCH($C554,rngCadetNames,0)),"?"))</f>
        <v/>
      </c>
      <c r="E554" s="17">
        <f>IF($D554="","",IFERROR(INDEX(nrCadetAgency,MATCH($D554,rngCadetPIDs,0)),""))</f>
        <v/>
      </c>
      <c r="F554" s="16" t="n"/>
      <c r="G554" s="17">
        <f>IF($F554="","",IFERROR(INDEX(rngEPname,MATCH($F554,rngEPcode,0)),"?"))</f>
        <v/>
      </c>
      <c r="H554" s="17">
        <f>IF($F554="","",IFERROR(INDEX(rngEPtype,MATCH($F554,rngEPcode,0)),"?"))</f>
        <v/>
      </c>
      <c r="I554" s="17">
        <f>IF($F554="","",IFERROR(INDEX(rngEPseq,MATCH($F554,rngEPcode,0)),""))</f>
        <v/>
      </c>
      <c r="J554" s="17">
        <f>IF($F554="","",IFERROR(INDEX(rngEPpass,MATCH($F554,rngEPcode,0)),cfgPassingScore))</f>
        <v/>
      </c>
      <c r="K554" s="16" t="n"/>
      <c r="L554" s="16" t="n"/>
      <c r="M554" s="17">
        <f>IF($C554="","",IF($L554="","",IF(NOT(ISNUMBER($L554)),$L554,IF(N($K554)&gt;2,"",IF($K554=1,IF(COUNTIFS(nrES_PID,$D554,nrES_Code,$F554,nrES_Att,2,nrES_Raw,"&gt;=0")&gt;0,"",$L554),IF($L554&gt;=$J554,MAX($J554,cfgRetakeRecordedCap),IF(COUNTIFS(nrES_PID,$D554,nrES_Code,$F554,nrES_Att,1)=0,$L554,SUMIFS(nrES_Raw,nrES_PID,$D554,nrES_Code,$F554,nrES_Att,1))))))))</f>
        <v/>
      </c>
      <c r="N554" s="17">
        <f>IF($C554="","",IF($L554="","",IF(NOT(ISNUMBER($L554)),"(not a score)",IF($L554&gt;=$J554,"Yes","No"))))</f>
        <v/>
      </c>
      <c r="O554" s="17">
        <f>IF($C554="","",IF($M554="","",IF(NOT(ISNUMBER($M554)),"(not a score)",IF($M554&gt;=$J554,"Yes","No"))))</f>
        <v/>
      </c>
      <c r="P554" s="17">
        <f>IF($C554="","",IF($K554="","",IF(N($K554)&gt;2,"No",IF(COUNTIFS(nrES_PID,$D554,nrES_Code,$F554,nrES_Att,"&gt;"&amp;$K554,nrES_Att,"&lt;=2",nrES_Raw,"&gt;=0")=0,"Yes","No"))))</f>
        <v/>
      </c>
      <c r="Q554" s="17">
        <f>IF($C554="","",IF($L554="","",IF(AND($K554=1,ISNUMBER($L554),$L554&lt;$J554,COUNTIFS(nrES_PID,$D554,nrES_Code,$F554,nrES_Att,2,nrES_Raw,"&gt;=0")=0),"Yes","No")))</f>
        <v/>
      </c>
      <c r="R554" s="17">
        <f>IF($C554="","",IF($L554="","",IF(AND(N($K554)&gt;=2,ISNUMBER($L554),$L554&lt;$J554),"Yes","No")))</f>
        <v/>
      </c>
      <c r="S554" s="18" t="n"/>
      <c r="T554" s="19">
        <f>IF(OR($C554="",$L554="",$K554&lt;&gt;1,NOT(ISNUMBER($L554)),$L554&gt;=$J554),"",IF($S554="","(enter date)",_xlfn.LET(_xlpm.dn,_xlfn.XLOOKUP($S554,nrCDdate,nrCDnum,"",1),IF(_xlpm.dn="","(after last class day)",_xlfn.LET(_xlpm.dd,_xlfn.XLOOKUP(_xlpm.dn+cfgRetestClassDays,nrCDnum,nrCDdate,""),_xlpm.ok,_xlfn.XLOOKUP(_xlpm.dn+cfgRetestClassDays,nrCDnum,nrCDinsession,"No"),IF(OR(_xlpm.dd="",_xlpm.ok&lt;&gt;"Yes"),"(after last class day)",_xlpm.dd))))))</f>
        <v/>
      </c>
      <c r="U554" s="17">
        <f>IF($C554="","",IF(AND($Y554="Excused",$L554="",N($K554)&lt;=1),"EXCUSED - 1st attempt pending",IF(OR($L554="",$K554&lt;&gt;1,NOT(ISNUMBER($L554)),$L554&gt;=$J554),"",IF(COUNTIFS(nrES_PID,$D554,nrES_Code,$F554,nrES_Att,2,nrES_Raw,"&gt;=0")&gt;0,IF(IFERROR(_xlfn.MINIFS(nrES_Date,nrES_PID,$D554,nrES_Code,$F554,nrES_Att,2,nrES_Raw,"&gt;=0",nrES_Date,"&gt;0"),0)=0,"RETEST UNDATED",IF(NOT(ISNUMBER($T554)),"RETEST DATE UNCHECKED",IF(_xlfn.MINIFS(nrES_Date,nrES_PID,$D554,nrES_Code,$F554,nrES_Att,2,nrES_Raw,"&gt;=0",nrES_Date,"&gt;0")&gt;$T554,"LATE RETEST "&amp;TEXT(_xlfn.MINIFS(nrES_Date,nrES_PID,$D554,nrES_Code,$F554,nrES_Att,2,nrES_Raw,"&gt;=0",nrES_Date,"&gt;0"),"mm/dd")&amp;" (due "&amp;TEXT($T554,"mm/dd")&amp;")","Retested"))),IF(NOT(ISNUMBER($T554)),"CHECK DATE",IF(TODAY()&gt;$T554,"OVERDUE","Due "&amp;TEXT($T554,"mm/dd")))))))</f>
        <v/>
      </c>
      <c r="V554" s="16" t="n"/>
      <c r="W554" s="16" t="n"/>
      <c r="X554" s="17">
        <f>IF($C554="","",IF(AND($L554&lt;&gt;"",NOT(ISNUMBER($L554))),"RAW SCORE NOT A NUMBER",IF(AND(ISNUMBER($L554),OR($L554&lt;0,$L554&gt;100)),"RAW SCORE OUT OF RANGE",IF(AND($Y554="Unexcused",OR($L554="",NOT(ISNUMBER($L554)),$L554&lt;&gt;0)),"UNEXCUSED ABSENCE MUST RECORD 0",IF(COUNTIF(nrES_RecID,$B554)&gt;1,"DUPLICATE RECORD",IF(N($K554)&gt;2,"ATTEMPT 3+ NOT ALLOWED - policy 300.5 permits one retest per exam; this row records nothing",IF(AND($K554=2,COUNTIFS(nrES_PID,$D554,nrES_Code,$F554,nrES_Att,1)=0),"ATTEMPT 2 WITHOUT ATTEMPT 1",IF(AND($K554=2,$L554=""),"RETEST ROW HAS NO SCORE",IF(AND($H554="Final",$L554&lt;&gt;"",IFERROR(INDEX(nrCKfinalExamElig,MATCH($D554,rngCadetPIDs,0)),"")="No"),"FINAL EXAM AFTER FAILED FINAL PT (500.1.H)",IF(AND($K554=2,ISNUMBER($L554),COUNTIFS(nrES_PID,$D554,nrES_Code,$F554,nrES_Att,1)&gt;0,SUMIFS(nrES_Raw,nrES_PID,$D554,nrES_Code,$F554,nrES_Att,1)&gt;=$J554),"RETEST AFTER A PASSING FIRST ATTEMPT","OK"))))))))))</f>
        <v/>
      </c>
      <c r="Y554" s="16" t="n"/>
    </row>
    <row r="555">
      <c r="B555" s="17">
        <f>IF($C555="","",$D555&amp;"-"&amp;$F555&amp;"-"&amp;$K555)</f>
        <v/>
      </c>
      <c r="C555" s="16" t="n"/>
      <c r="D555" s="17">
        <f>IF($C555="","",IFERROR(INDEX(rngCadetPIDs,MATCH($C555,rngCadetNames,0)),"?"))</f>
        <v/>
      </c>
      <c r="E555" s="17">
        <f>IF($D555="","",IFERROR(INDEX(nrCadetAgency,MATCH($D555,rngCadetPIDs,0)),""))</f>
        <v/>
      </c>
      <c r="F555" s="16" t="n"/>
      <c r="G555" s="17">
        <f>IF($F555="","",IFERROR(INDEX(rngEPname,MATCH($F555,rngEPcode,0)),"?"))</f>
        <v/>
      </c>
      <c r="H555" s="17">
        <f>IF($F555="","",IFERROR(INDEX(rngEPtype,MATCH($F555,rngEPcode,0)),"?"))</f>
        <v/>
      </c>
      <c r="I555" s="17">
        <f>IF($F555="","",IFERROR(INDEX(rngEPseq,MATCH($F555,rngEPcode,0)),""))</f>
        <v/>
      </c>
      <c r="J555" s="17">
        <f>IF($F555="","",IFERROR(INDEX(rngEPpass,MATCH($F555,rngEPcode,0)),cfgPassingScore))</f>
        <v/>
      </c>
      <c r="K555" s="16" t="n"/>
      <c r="L555" s="16" t="n"/>
      <c r="M555" s="17">
        <f>IF($C555="","",IF($L555="","",IF(NOT(ISNUMBER($L555)),$L555,IF(N($K555)&gt;2,"",IF($K555=1,IF(COUNTIFS(nrES_PID,$D555,nrES_Code,$F555,nrES_Att,2,nrES_Raw,"&gt;=0")&gt;0,"",$L555),IF($L555&gt;=$J555,MAX($J555,cfgRetakeRecordedCap),IF(COUNTIFS(nrES_PID,$D555,nrES_Code,$F555,nrES_Att,1)=0,$L555,SUMIFS(nrES_Raw,nrES_PID,$D555,nrES_Code,$F555,nrES_Att,1))))))))</f>
        <v/>
      </c>
      <c r="N555" s="17">
        <f>IF($C555="","",IF($L555="","",IF(NOT(ISNUMBER($L555)),"(not a score)",IF($L555&gt;=$J555,"Yes","No"))))</f>
        <v/>
      </c>
      <c r="O555" s="17">
        <f>IF($C555="","",IF($M555="","",IF(NOT(ISNUMBER($M555)),"(not a score)",IF($M555&gt;=$J555,"Yes","No"))))</f>
        <v/>
      </c>
      <c r="P555" s="17">
        <f>IF($C555="","",IF($K555="","",IF(N($K555)&gt;2,"No",IF(COUNTIFS(nrES_PID,$D555,nrES_Code,$F555,nrES_Att,"&gt;"&amp;$K555,nrES_Att,"&lt;=2",nrES_Raw,"&gt;=0")=0,"Yes","No"))))</f>
        <v/>
      </c>
      <c r="Q555" s="17">
        <f>IF($C555="","",IF($L555="","",IF(AND($K555=1,ISNUMBER($L555),$L555&lt;$J555,COUNTIFS(nrES_PID,$D555,nrES_Code,$F555,nrES_Att,2,nrES_Raw,"&gt;=0")=0),"Yes","No")))</f>
        <v/>
      </c>
      <c r="R555" s="17">
        <f>IF($C555="","",IF($L555="","",IF(AND(N($K555)&gt;=2,ISNUMBER($L555),$L555&lt;$J555),"Yes","No")))</f>
        <v/>
      </c>
      <c r="S555" s="18" t="n"/>
      <c r="T555" s="19">
        <f>IF(OR($C555="",$L555="",$K555&lt;&gt;1,NOT(ISNUMBER($L555)),$L555&gt;=$J555),"",IF($S555="","(enter date)",_xlfn.LET(_xlpm.dn,_xlfn.XLOOKUP($S555,nrCDdate,nrCDnum,"",1),IF(_xlpm.dn="","(after last class day)",_xlfn.LET(_xlpm.dd,_xlfn.XLOOKUP(_xlpm.dn+cfgRetestClassDays,nrCDnum,nrCDdate,""),_xlpm.ok,_xlfn.XLOOKUP(_xlpm.dn+cfgRetestClassDays,nrCDnum,nrCDinsession,"No"),IF(OR(_xlpm.dd="",_xlpm.ok&lt;&gt;"Yes"),"(after last class day)",_xlpm.dd))))))</f>
        <v/>
      </c>
      <c r="U555" s="17">
        <f>IF($C555="","",IF(AND($Y555="Excused",$L555="",N($K555)&lt;=1),"EXCUSED - 1st attempt pending",IF(OR($L555="",$K555&lt;&gt;1,NOT(ISNUMBER($L555)),$L555&gt;=$J555),"",IF(COUNTIFS(nrES_PID,$D555,nrES_Code,$F555,nrES_Att,2,nrES_Raw,"&gt;=0")&gt;0,IF(IFERROR(_xlfn.MINIFS(nrES_Date,nrES_PID,$D555,nrES_Code,$F555,nrES_Att,2,nrES_Raw,"&gt;=0",nrES_Date,"&gt;0"),0)=0,"RETEST UNDATED",IF(NOT(ISNUMBER($T555)),"RETEST DATE UNCHECKED",IF(_xlfn.MINIFS(nrES_Date,nrES_PID,$D555,nrES_Code,$F555,nrES_Att,2,nrES_Raw,"&gt;=0",nrES_Date,"&gt;0")&gt;$T555,"LATE RETEST "&amp;TEXT(_xlfn.MINIFS(nrES_Date,nrES_PID,$D555,nrES_Code,$F555,nrES_Att,2,nrES_Raw,"&gt;=0",nrES_Date,"&gt;0"),"mm/dd")&amp;" (due "&amp;TEXT($T555,"mm/dd")&amp;")","Retested"))),IF(NOT(ISNUMBER($T555)),"CHECK DATE",IF(TODAY()&gt;$T555,"OVERDUE","Due "&amp;TEXT($T555,"mm/dd")))))))</f>
        <v/>
      </c>
      <c r="V555" s="16" t="n"/>
      <c r="W555" s="16" t="n"/>
      <c r="X555" s="17">
        <f>IF($C555="","",IF(AND($L555&lt;&gt;"",NOT(ISNUMBER($L555))),"RAW SCORE NOT A NUMBER",IF(AND(ISNUMBER($L555),OR($L555&lt;0,$L555&gt;100)),"RAW SCORE OUT OF RANGE",IF(AND($Y555="Unexcused",OR($L555="",NOT(ISNUMBER($L555)),$L555&lt;&gt;0)),"UNEXCUSED ABSENCE MUST RECORD 0",IF(COUNTIF(nrES_RecID,$B555)&gt;1,"DUPLICATE RECORD",IF(N($K555)&gt;2,"ATTEMPT 3+ NOT ALLOWED - policy 300.5 permits one retest per exam; this row records nothing",IF(AND($K555=2,COUNTIFS(nrES_PID,$D555,nrES_Code,$F555,nrES_Att,1)=0),"ATTEMPT 2 WITHOUT ATTEMPT 1",IF(AND($K555=2,$L555=""),"RETEST ROW HAS NO SCORE",IF(AND($H555="Final",$L555&lt;&gt;"",IFERROR(INDEX(nrCKfinalExamElig,MATCH($D555,rngCadetPIDs,0)),"")="No"),"FINAL EXAM AFTER FAILED FINAL PT (500.1.H)",IF(AND($K555=2,ISNUMBER($L555),COUNTIFS(nrES_PID,$D555,nrES_Code,$F555,nrES_Att,1)&gt;0,SUMIFS(nrES_Raw,nrES_PID,$D555,nrES_Code,$F555,nrES_Att,1)&gt;=$J555),"RETEST AFTER A PASSING FIRST ATTEMPT","OK"))))))))))</f>
        <v/>
      </c>
      <c r="Y555" s="16" t="n"/>
    </row>
    <row r="556">
      <c r="B556" s="17">
        <f>IF($C556="","",$D556&amp;"-"&amp;$F556&amp;"-"&amp;$K556)</f>
        <v/>
      </c>
      <c r="C556" s="16" t="n"/>
      <c r="D556" s="17">
        <f>IF($C556="","",IFERROR(INDEX(rngCadetPIDs,MATCH($C556,rngCadetNames,0)),"?"))</f>
        <v/>
      </c>
      <c r="E556" s="17">
        <f>IF($D556="","",IFERROR(INDEX(nrCadetAgency,MATCH($D556,rngCadetPIDs,0)),""))</f>
        <v/>
      </c>
      <c r="F556" s="16" t="n"/>
      <c r="G556" s="17">
        <f>IF($F556="","",IFERROR(INDEX(rngEPname,MATCH($F556,rngEPcode,0)),"?"))</f>
        <v/>
      </c>
      <c r="H556" s="17">
        <f>IF($F556="","",IFERROR(INDEX(rngEPtype,MATCH($F556,rngEPcode,0)),"?"))</f>
        <v/>
      </c>
      <c r="I556" s="17">
        <f>IF($F556="","",IFERROR(INDEX(rngEPseq,MATCH($F556,rngEPcode,0)),""))</f>
        <v/>
      </c>
      <c r="J556" s="17">
        <f>IF($F556="","",IFERROR(INDEX(rngEPpass,MATCH($F556,rngEPcode,0)),cfgPassingScore))</f>
        <v/>
      </c>
      <c r="K556" s="16" t="n"/>
      <c r="L556" s="16" t="n"/>
      <c r="M556" s="17">
        <f>IF($C556="","",IF($L556="","",IF(NOT(ISNUMBER($L556)),$L556,IF(N($K556)&gt;2,"",IF($K556=1,IF(COUNTIFS(nrES_PID,$D556,nrES_Code,$F556,nrES_Att,2,nrES_Raw,"&gt;=0")&gt;0,"",$L556),IF($L556&gt;=$J556,MAX($J556,cfgRetakeRecordedCap),IF(COUNTIFS(nrES_PID,$D556,nrES_Code,$F556,nrES_Att,1)=0,$L556,SUMIFS(nrES_Raw,nrES_PID,$D556,nrES_Code,$F556,nrES_Att,1))))))))</f>
        <v/>
      </c>
      <c r="N556" s="17">
        <f>IF($C556="","",IF($L556="","",IF(NOT(ISNUMBER($L556)),"(not a score)",IF($L556&gt;=$J556,"Yes","No"))))</f>
        <v/>
      </c>
      <c r="O556" s="17">
        <f>IF($C556="","",IF($M556="","",IF(NOT(ISNUMBER($M556)),"(not a score)",IF($M556&gt;=$J556,"Yes","No"))))</f>
        <v/>
      </c>
      <c r="P556" s="17">
        <f>IF($C556="","",IF($K556="","",IF(N($K556)&gt;2,"No",IF(COUNTIFS(nrES_PID,$D556,nrES_Code,$F556,nrES_Att,"&gt;"&amp;$K556,nrES_Att,"&lt;=2",nrES_Raw,"&gt;=0")=0,"Yes","No"))))</f>
        <v/>
      </c>
      <c r="Q556" s="17">
        <f>IF($C556="","",IF($L556="","",IF(AND($K556=1,ISNUMBER($L556),$L556&lt;$J556,COUNTIFS(nrES_PID,$D556,nrES_Code,$F556,nrES_Att,2,nrES_Raw,"&gt;=0")=0),"Yes","No")))</f>
        <v/>
      </c>
      <c r="R556" s="17">
        <f>IF($C556="","",IF($L556="","",IF(AND(N($K556)&gt;=2,ISNUMBER($L556),$L556&lt;$J556),"Yes","No")))</f>
        <v/>
      </c>
      <c r="S556" s="18" t="n"/>
      <c r="T556" s="19">
        <f>IF(OR($C556="",$L556="",$K556&lt;&gt;1,NOT(ISNUMBER($L556)),$L556&gt;=$J556),"",IF($S556="","(enter date)",_xlfn.LET(_xlpm.dn,_xlfn.XLOOKUP($S556,nrCDdate,nrCDnum,"",1),IF(_xlpm.dn="","(after last class day)",_xlfn.LET(_xlpm.dd,_xlfn.XLOOKUP(_xlpm.dn+cfgRetestClassDays,nrCDnum,nrCDdate,""),_xlpm.ok,_xlfn.XLOOKUP(_xlpm.dn+cfgRetestClassDays,nrCDnum,nrCDinsession,"No"),IF(OR(_xlpm.dd="",_xlpm.ok&lt;&gt;"Yes"),"(after last class day)",_xlpm.dd))))))</f>
        <v/>
      </c>
      <c r="U556" s="17">
        <f>IF($C556="","",IF(AND($Y556="Excused",$L556="",N($K556)&lt;=1),"EXCUSED - 1st attempt pending",IF(OR($L556="",$K556&lt;&gt;1,NOT(ISNUMBER($L556)),$L556&gt;=$J556),"",IF(COUNTIFS(nrES_PID,$D556,nrES_Code,$F556,nrES_Att,2,nrES_Raw,"&gt;=0")&gt;0,IF(IFERROR(_xlfn.MINIFS(nrES_Date,nrES_PID,$D556,nrES_Code,$F556,nrES_Att,2,nrES_Raw,"&gt;=0",nrES_Date,"&gt;0"),0)=0,"RETEST UNDATED",IF(NOT(ISNUMBER($T556)),"RETEST DATE UNCHECKED",IF(_xlfn.MINIFS(nrES_Date,nrES_PID,$D556,nrES_Code,$F556,nrES_Att,2,nrES_Raw,"&gt;=0",nrES_Date,"&gt;0")&gt;$T556,"LATE RETEST "&amp;TEXT(_xlfn.MINIFS(nrES_Date,nrES_PID,$D556,nrES_Code,$F556,nrES_Att,2,nrES_Raw,"&gt;=0",nrES_Date,"&gt;0"),"mm/dd")&amp;" (due "&amp;TEXT($T556,"mm/dd")&amp;")","Retested"))),IF(NOT(ISNUMBER($T556)),"CHECK DATE",IF(TODAY()&gt;$T556,"OVERDUE","Due "&amp;TEXT($T556,"mm/dd")))))))</f>
        <v/>
      </c>
      <c r="V556" s="16" t="n"/>
      <c r="W556" s="16" t="n"/>
      <c r="X556" s="17">
        <f>IF($C556="","",IF(AND($L556&lt;&gt;"",NOT(ISNUMBER($L556))),"RAW SCORE NOT A NUMBER",IF(AND(ISNUMBER($L556),OR($L556&lt;0,$L556&gt;100)),"RAW SCORE OUT OF RANGE",IF(AND($Y556="Unexcused",OR($L556="",NOT(ISNUMBER($L556)),$L556&lt;&gt;0)),"UNEXCUSED ABSENCE MUST RECORD 0",IF(COUNTIF(nrES_RecID,$B556)&gt;1,"DUPLICATE RECORD",IF(N($K556)&gt;2,"ATTEMPT 3+ NOT ALLOWED - policy 300.5 permits one retest per exam; this row records nothing",IF(AND($K556=2,COUNTIFS(nrES_PID,$D556,nrES_Code,$F556,nrES_Att,1)=0),"ATTEMPT 2 WITHOUT ATTEMPT 1",IF(AND($K556=2,$L556=""),"RETEST ROW HAS NO SCORE",IF(AND($H556="Final",$L556&lt;&gt;"",IFERROR(INDEX(nrCKfinalExamElig,MATCH($D556,rngCadetPIDs,0)),"")="No"),"FINAL EXAM AFTER FAILED FINAL PT (500.1.H)",IF(AND($K556=2,ISNUMBER($L556),COUNTIFS(nrES_PID,$D556,nrES_Code,$F556,nrES_Att,1)&gt;0,SUMIFS(nrES_Raw,nrES_PID,$D556,nrES_Code,$F556,nrES_Att,1)&gt;=$J556),"RETEST AFTER A PASSING FIRST ATTEMPT","OK"))))))))))</f>
        <v/>
      </c>
      <c r="Y556" s="16" t="n"/>
    </row>
    <row r="557">
      <c r="B557" s="17">
        <f>IF($C557="","",$D557&amp;"-"&amp;$F557&amp;"-"&amp;$K557)</f>
        <v/>
      </c>
      <c r="C557" s="16" t="n"/>
      <c r="D557" s="17">
        <f>IF($C557="","",IFERROR(INDEX(rngCadetPIDs,MATCH($C557,rngCadetNames,0)),"?"))</f>
        <v/>
      </c>
      <c r="E557" s="17">
        <f>IF($D557="","",IFERROR(INDEX(nrCadetAgency,MATCH($D557,rngCadetPIDs,0)),""))</f>
        <v/>
      </c>
      <c r="F557" s="16" t="n"/>
      <c r="G557" s="17">
        <f>IF($F557="","",IFERROR(INDEX(rngEPname,MATCH($F557,rngEPcode,0)),"?"))</f>
        <v/>
      </c>
      <c r="H557" s="17">
        <f>IF($F557="","",IFERROR(INDEX(rngEPtype,MATCH($F557,rngEPcode,0)),"?"))</f>
        <v/>
      </c>
      <c r="I557" s="17">
        <f>IF($F557="","",IFERROR(INDEX(rngEPseq,MATCH($F557,rngEPcode,0)),""))</f>
        <v/>
      </c>
      <c r="J557" s="17">
        <f>IF($F557="","",IFERROR(INDEX(rngEPpass,MATCH($F557,rngEPcode,0)),cfgPassingScore))</f>
        <v/>
      </c>
      <c r="K557" s="16" t="n"/>
      <c r="L557" s="16" t="n"/>
      <c r="M557" s="17">
        <f>IF($C557="","",IF($L557="","",IF(NOT(ISNUMBER($L557)),$L557,IF(N($K557)&gt;2,"",IF($K557=1,IF(COUNTIFS(nrES_PID,$D557,nrES_Code,$F557,nrES_Att,2,nrES_Raw,"&gt;=0")&gt;0,"",$L557),IF($L557&gt;=$J557,MAX($J557,cfgRetakeRecordedCap),IF(COUNTIFS(nrES_PID,$D557,nrES_Code,$F557,nrES_Att,1)=0,$L557,SUMIFS(nrES_Raw,nrES_PID,$D557,nrES_Code,$F557,nrES_Att,1))))))))</f>
        <v/>
      </c>
      <c r="N557" s="17">
        <f>IF($C557="","",IF($L557="","",IF(NOT(ISNUMBER($L557)),"(not a score)",IF($L557&gt;=$J557,"Yes","No"))))</f>
        <v/>
      </c>
      <c r="O557" s="17">
        <f>IF($C557="","",IF($M557="","",IF(NOT(ISNUMBER($M557)),"(not a score)",IF($M557&gt;=$J557,"Yes","No"))))</f>
        <v/>
      </c>
      <c r="P557" s="17">
        <f>IF($C557="","",IF($K557="","",IF(N($K557)&gt;2,"No",IF(COUNTIFS(nrES_PID,$D557,nrES_Code,$F557,nrES_Att,"&gt;"&amp;$K557,nrES_Att,"&lt;=2",nrES_Raw,"&gt;=0")=0,"Yes","No"))))</f>
        <v/>
      </c>
      <c r="Q557" s="17">
        <f>IF($C557="","",IF($L557="","",IF(AND($K557=1,ISNUMBER($L557),$L557&lt;$J557,COUNTIFS(nrES_PID,$D557,nrES_Code,$F557,nrES_Att,2,nrES_Raw,"&gt;=0")=0),"Yes","No")))</f>
        <v/>
      </c>
      <c r="R557" s="17">
        <f>IF($C557="","",IF($L557="","",IF(AND(N($K557)&gt;=2,ISNUMBER($L557),$L557&lt;$J557),"Yes","No")))</f>
        <v/>
      </c>
      <c r="S557" s="18" t="n"/>
      <c r="T557" s="19">
        <f>IF(OR($C557="",$L557="",$K557&lt;&gt;1,NOT(ISNUMBER($L557)),$L557&gt;=$J557),"",IF($S557="","(enter date)",_xlfn.LET(_xlpm.dn,_xlfn.XLOOKUP($S557,nrCDdate,nrCDnum,"",1),IF(_xlpm.dn="","(after last class day)",_xlfn.LET(_xlpm.dd,_xlfn.XLOOKUP(_xlpm.dn+cfgRetestClassDays,nrCDnum,nrCDdate,""),_xlpm.ok,_xlfn.XLOOKUP(_xlpm.dn+cfgRetestClassDays,nrCDnum,nrCDinsession,"No"),IF(OR(_xlpm.dd="",_xlpm.ok&lt;&gt;"Yes"),"(after last class day)",_xlpm.dd))))))</f>
        <v/>
      </c>
      <c r="U557" s="17">
        <f>IF($C557="","",IF(AND($Y557="Excused",$L557="",N($K557)&lt;=1),"EXCUSED - 1st attempt pending",IF(OR($L557="",$K557&lt;&gt;1,NOT(ISNUMBER($L557)),$L557&gt;=$J557),"",IF(COUNTIFS(nrES_PID,$D557,nrES_Code,$F557,nrES_Att,2,nrES_Raw,"&gt;=0")&gt;0,IF(IFERROR(_xlfn.MINIFS(nrES_Date,nrES_PID,$D557,nrES_Code,$F557,nrES_Att,2,nrES_Raw,"&gt;=0",nrES_Date,"&gt;0"),0)=0,"RETEST UNDATED",IF(NOT(ISNUMBER($T557)),"RETEST DATE UNCHECKED",IF(_xlfn.MINIFS(nrES_Date,nrES_PID,$D557,nrES_Code,$F557,nrES_Att,2,nrES_Raw,"&gt;=0",nrES_Date,"&gt;0")&gt;$T557,"LATE RETEST "&amp;TEXT(_xlfn.MINIFS(nrES_Date,nrES_PID,$D557,nrES_Code,$F557,nrES_Att,2,nrES_Raw,"&gt;=0",nrES_Date,"&gt;0"),"mm/dd")&amp;" (due "&amp;TEXT($T557,"mm/dd")&amp;")","Retested"))),IF(NOT(ISNUMBER($T557)),"CHECK DATE",IF(TODAY()&gt;$T557,"OVERDUE","Due "&amp;TEXT($T557,"mm/dd")))))))</f>
        <v/>
      </c>
      <c r="V557" s="16" t="n"/>
      <c r="W557" s="16" t="n"/>
      <c r="X557" s="17">
        <f>IF($C557="","",IF(AND($L557&lt;&gt;"",NOT(ISNUMBER($L557))),"RAW SCORE NOT A NUMBER",IF(AND(ISNUMBER($L557),OR($L557&lt;0,$L557&gt;100)),"RAW SCORE OUT OF RANGE",IF(AND($Y557="Unexcused",OR($L557="",NOT(ISNUMBER($L557)),$L557&lt;&gt;0)),"UNEXCUSED ABSENCE MUST RECORD 0",IF(COUNTIF(nrES_RecID,$B557)&gt;1,"DUPLICATE RECORD",IF(N($K557)&gt;2,"ATTEMPT 3+ NOT ALLOWED - policy 300.5 permits one retest per exam; this row records nothing",IF(AND($K557=2,COUNTIFS(nrES_PID,$D557,nrES_Code,$F557,nrES_Att,1)=0),"ATTEMPT 2 WITHOUT ATTEMPT 1",IF(AND($K557=2,$L557=""),"RETEST ROW HAS NO SCORE",IF(AND($H557="Final",$L557&lt;&gt;"",IFERROR(INDEX(nrCKfinalExamElig,MATCH($D557,rngCadetPIDs,0)),"")="No"),"FINAL EXAM AFTER FAILED FINAL PT (500.1.H)",IF(AND($K557=2,ISNUMBER($L557),COUNTIFS(nrES_PID,$D557,nrES_Code,$F557,nrES_Att,1)&gt;0,SUMIFS(nrES_Raw,nrES_PID,$D557,nrES_Code,$F557,nrES_Att,1)&gt;=$J557),"RETEST AFTER A PASSING FIRST ATTEMPT","OK"))))))))))</f>
        <v/>
      </c>
      <c r="Y557" s="16" t="n"/>
    </row>
    <row r="558">
      <c r="B558" s="17">
        <f>IF($C558="","",$D558&amp;"-"&amp;$F558&amp;"-"&amp;$K558)</f>
        <v/>
      </c>
      <c r="C558" s="16" t="n"/>
      <c r="D558" s="17">
        <f>IF($C558="","",IFERROR(INDEX(rngCadetPIDs,MATCH($C558,rngCadetNames,0)),"?"))</f>
        <v/>
      </c>
      <c r="E558" s="17">
        <f>IF($D558="","",IFERROR(INDEX(nrCadetAgency,MATCH($D558,rngCadetPIDs,0)),""))</f>
        <v/>
      </c>
      <c r="F558" s="16" t="n"/>
      <c r="G558" s="17">
        <f>IF($F558="","",IFERROR(INDEX(rngEPname,MATCH($F558,rngEPcode,0)),"?"))</f>
        <v/>
      </c>
      <c r="H558" s="17">
        <f>IF($F558="","",IFERROR(INDEX(rngEPtype,MATCH($F558,rngEPcode,0)),"?"))</f>
        <v/>
      </c>
      <c r="I558" s="17">
        <f>IF($F558="","",IFERROR(INDEX(rngEPseq,MATCH($F558,rngEPcode,0)),""))</f>
        <v/>
      </c>
      <c r="J558" s="17">
        <f>IF($F558="","",IFERROR(INDEX(rngEPpass,MATCH($F558,rngEPcode,0)),cfgPassingScore))</f>
        <v/>
      </c>
      <c r="K558" s="16" t="n"/>
      <c r="L558" s="16" t="n"/>
      <c r="M558" s="17">
        <f>IF($C558="","",IF($L558="","",IF(NOT(ISNUMBER($L558)),$L558,IF(N($K558)&gt;2,"",IF($K558=1,IF(COUNTIFS(nrES_PID,$D558,nrES_Code,$F558,nrES_Att,2,nrES_Raw,"&gt;=0")&gt;0,"",$L558),IF($L558&gt;=$J558,MAX($J558,cfgRetakeRecordedCap),IF(COUNTIFS(nrES_PID,$D558,nrES_Code,$F558,nrES_Att,1)=0,$L558,SUMIFS(nrES_Raw,nrES_PID,$D558,nrES_Code,$F558,nrES_Att,1))))))))</f>
        <v/>
      </c>
      <c r="N558" s="17">
        <f>IF($C558="","",IF($L558="","",IF(NOT(ISNUMBER($L558)),"(not a score)",IF($L558&gt;=$J558,"Yes","No"))))</f>
        <v/>
      </c>
      <c r="O558" s="17">
        <f>IF($C558="","",IF($M558="","",IF(NOT(ISNUMBER($M558)),"(not a score)",IF($M558&gt;=$J558,"Yes","No"))))</f>
        <v/>
      </c>
      <c r="P558" s="17">
        <f>IF($C558="","",IF($K558="","",IF(N($K558)&gt;2,"No",IF(COUNTIFS(nrES_PID,$D558,nrES_Code,$F558,nrES_Att,"&gt;"&amp;$K558,nrES_Att,"&lt;=2",nrES_Raw,"&gt;=0")=0,"Yes","No"))))</f>
        <v/>
      </c>
      <c r="Q558" s="17">
        <f>IF($C558="","",IF($L558="","",IF(AND($K558=1,ISNUMBER($L558),$L558&lt;$J558,COUNTIFS(nrES_PID,$D558,nrES_Code,$F558,nrES_Att,2,nrES_Raw,"&gt;=0")=0),"Yes","No")))</f>
        <v/>
      </c>
      <c r="R558" s="17">
        <f>IF($C558="","",IF($L558="","",IF(AND(N($K558)&gt;=2,ISNUMBER($L558),$L558&lt;$J558),"Yes","No")))</f>
        <v/>
      </c>
      <c r="S558" s="18" t="n"/>
      <c r="T558" s="19">
        <f>IF(OR($C558="",$L558="",$K558&lt;&gt;1,NOT(ISNUMBER($L558)),$L558&gt;=$J558),"",IF($S558="","(enter date)",_xlfn.LET(_xlpm.dn,_xlfn.XLOOKUP($S558,nrCDdate,nrCDnum,"",1),IF(_xlpm.dn="","(after last class day)",_xlfn.LET(_xlpm.dd,_xlfn.XLOOKUP(_xlpm.dn+cfgRetestClassDays,nrCDnum,nrCDdate,""),_xlpm.ok,_xlfn.XLOOKUP(_xlpm.dn+cfgRetestClassDays,nrCDnum,nrCDinsession,"No"),IF(OR(_xlpm.dd="",_xlpm.ok&lt;&gt;"Yes"),"(after last class day)",_xlpm.dd))))))</f>
        <v/>
      </c>
      <c r="U558" s="17">
        <f>IF($C558="","",IF(AND($Y558="Excused",$L558="",N($K558)&lt;=1),"EXCUSED - 1st attempt pending",IF(OR($L558="",$K558&lt;&gt;1,NOT(ISNUMBER($L558)),$L558&gt;=$J558),"",IF(COUNTIFS(nrES_PID,$D558,nrES_Code,$F558,nrES_Att,2,nrES_Raw,"&gt;=0")&gt;0,IF(IFERROR(_xlfn.MINIFS(nrES_Date,nrES_PID,$D558,nrES_Code,$F558,nrES_Att,2,nrES_Raw,"&gt;=0",nrES_Date,"&gt;0"),0)=0,"RETEST UNDATED",IF(NOT(ISNUMBER($T558)),"RETEST DATE UNCHECKED",IF(_xlfn.MINIFS(nrES_Date,nrES_PID,$D558,nrES_Code,$F558,nrES_Att,2,nrES_Raw,"&gt;=0",nrES_Date,"&gt;0")&gt;$T558,"LATE RETEST "&amp;TEXT(_xlfn.MINIFS(nrES_Date,nrES_PID,$D558,nrES_Code,$F558,nrES_Att,2,nrES_Raw,"&gt;=0",nrES_Date,"&gt;0"),"mm/dd")&amp;" (due "&amp;TEXT($T558,"mm/dd")&amp;")","Retested"))),IF(NOT(ISNUMBER($T558)),"CHECK DATE",IF(TODAY()&gt;$T558,"OVERDUE","Due "&amp;TEXT($T558,"mm/dd")))))))</f>
        <v/>
      </c>
      <c r="V558" s="16" t="n"/>
      <c r="W558" s="16" t="n"/>
      <c r="X558" s="17">
        <f>IF($C558="","",IF(AND($L558&lt;&gt;"",NOT(ISNUMBER($L558))),"RAW SCORE NOT A NUMBER",IF(AND(ISNUMBER($L558),OR($L558&lt;0,$L558&gt;100)),"RAW SCORE OUT OF RANGE",IF(AND($Y558="Unexcused",OR($L558="",NOT(ISNUMBER($L558)),$L558&lt;&gt;0)),"UNEXCUSED ABSENCE MUST RECORD 0",IF(COUNTIF(nrES_RecID,$B558)&gt;1,"DUPLICATE RECORD",IF(N($K558)&gt;2,"ATTEMPT 3+ NOT ALLOWED - policy 300.5 permits one retest per exam; this row records nothing",IF(AND($K558=2,COUNTIFS(nrES_PID,$D558,nrES_Code,$F558,nrES_Att,1)=0),"ATTEMPT 2 WITHOUT ATTEMPT 1",IF(AND($K558=2,$L558=""),"RETEST ROW HAS NO SCORE",IF(AND($H558="Final",$L558&lt;&gt;"",IFERROR(INDEX(nrCKfinalExamElig,MATCH($D558,rngCadetPIDs,0)),"")="No"),"FINAL EXAM AFTER FAILED FINAL PT (500.1.H)",IF(AND($K558=2,ISNUMBER($L558),COUNTIFS(nrES_PID,$D558,nrES_Code,$F558,nrES_Att,1)&gt;0,SUMIFS(nrES_Raw,nrES_PID,$D558,nrES_Code,$F558,nrES_Att,1)&gt;=$J558),"RETEST AFTER A PASSING FIRST ATTEMPT","OK"))))))))))</f>
        <v/>
      </c>
      <c r="Y558" s="16" t="n"/>
    </row>
    <row r="559">
      <c r="B559" s="17">
        <f>IF($C559="","",$D559&amp;"-"&amp;$F559&amp;"-"&amp;$K559)</f>
        <v/>
      </c>
      <c r="C559" s="16" t="n"/>
      <c r="D559" s="17">
        <f>IF($C559="","",IFERROR(INDEX(rngCadetPIDs,MATCH($C559,rngCadetNames,0)),"?"))</f>
        <v/>
      </c>
      <c r="E559" s="17">
        <f>IF($D559="","",IFERROR(INDEX(nrCadetAgency,MATCH($D559,rngCadetPIDs,0)),""))</f>
        <v/>
      </c>
      <c r="F559" s="16" t="n"/>
      <c r="G559" s="17">
        <f>IF($F559="","",IFERROR(INDEX(rngEPname,MATCH($F559,rngEPcode,0)),"?"))</f>
        <v/>
      </c>
      <c r="H559" s="17">
        <f>IF($F559="","",IFERROR(INDEX(rngEPtype,MATCH($F559,rngEPcode,0)),"?"))</f>
        <v/>
      </c>
      <c r="I559" s="17">
        <f>IF($F559="","",IFERROR(INDEX(rngEPseq,MATCH($F559,rngEPcode,0)),""))</f>
        <v/>
      </c>
      <c r="J559" s="17">
        <f>IF($F559="","",IFERROR(INDEX(rngEPpass,MATCH($F559,rngEPcode,0)),cfgPassingScore))</f>
        <v/>
      </c>
      <c r="K559" s="16" t="n"/>
      <c r="L559" s="16" t="n"/>
      <c r="M559" s="17">
        <f>IF($C559="","",IF($L559="","",IF(NOT(ISNUMBER($L559)),$L559,IF(N($K559)&gt;2,"",IF($K559=1,IF(COUNTIFS(nrES_PID,$D559,nrES_Code,$F559,nrES_Att,2,nrES_Raw,"&gt;=0")&gt;0,"",$L559),IF($L559&gt;=$J559,MAX($J559,cfgRetakeRecordedCap),IF(COUNTIFS(nrES_PID,$D559,nrES_Code,$F559,nrES_Att,1)=0,$L559,SUMIFS(nrES_Raw,nrES_PID,$D559,nrES_Code,$F559,nrES_Att,1))))))))</f>
        <v/>
      </c>
      <c r="N559" s="17">
        <f>IF($C559="","",IF($L559="","",IF(NOT(ISNUMBER($L559)),"(not a score)",IF($L559&gt;=$J559,"Yes","No"))))</f>
        <v/>
      </c>
      <c r="O559" s="17">
        <f>IF($C559="","",IF($M559="","",IF(NOT(ISNUMBER($M559)),"(not a score)",IF($M559&gt;=$J559,"Yes","No"))))</f>
        <v/>
      </c>
      <c r="P559" s="17">
        <f>IF($C559="","",IF($K559="","",IF(N($K559)&gt;2,"No",IF(COUNTIFS(nrES_PID,$D559,nrES_Code,$F559,nrES_Att,"&gt;"&amp;$K559,nrES_Att,"&lt;=2",nrES_Raw,"&gt;=0")=0,"Yes","No"))))</f>
        <v/>
      </c>
      <c r="Q559" s="17">
        <f>IF($C559="","",IF($L559="","",IF(AND($K559=1,ISNUMBER($L559),$L559&lt;$J559,COUNTIFS(nrES_PID,$D559,nrES_Code,$F559,nrES_Att,2,nrES_Raw,"&gt;=0")=0),"Yes","No")))</f>
        <v/>
      </c>
      <c r="R559" s="17">
        <f>IF($C559="","",IF($L559="","",IF(AND(N($K559)&gt;=2,ISNUMBER($L559),$L559&lt;$J559),"Yes","No")))</f>
        <v/>
      </c>
      <c r="S559" s="18" t="n"/>
      <c r="T559" s="19">
        <f>IF(OR($C559="",$L559="",$K559&lt;&gt;1,NOT(ISNUMBER($L559)),$L559&gt;=$J559),"",IF($S559="","(enter date)",_xlfn.LET(_xlpm.dn,_xlfn.XLOOKUP($S559,nrCDdate,nrCDnum,"",1),IF(_xlpm.dn="","(after last class day)",_xlfn.LET(_xlpm.dd,_xlfn.XLOOKUP(_xlpm.dn+cfgRetestClassDays,nrCDnum,nrCDdate,""),_xlpm.ok,_xlfn.XLOOKUP(_xlpm.dn+cfgRetestClassDays,nrCDnum,nrCDinsession,"No"),IF(OR(_xlpm.dd="",_xlpm.ok&lt;&gt;"Yes"),"(after last class day)",_xlpm.dd))))))</f>
        <v/>
      </c>
      <c r="U559" s="17">
        <f>IF($C559="","",IF(AND($Y559="Excused",$L559="",N($K559)&lt;=1),"EXCUSED - 1st attempt pending",IF(OR($L559="",$K559&lt;&gt;1,NOT(ISNUMBER($L559)),$L559&gt;=$J559),"",IF(COUNTIFS(nrES_PID,$D559,nrES_Code,$F559,nrES_Att,2,nrES_Raw,"&gt;=0")&gt;0,IF(IFERROR(_xlfn.MINIFS(nrES_Date,nrES_PID,$D559,nrES_Code,$F559,nrES_Att,2,nrES_Raw,"&gt;=0",nrES_Date,"&gt;0"),0)=0,"RETEST UNDATED",IF(NOT(ISNUMBER($T559)),"RETEST DATE UNCHECKED",IF(_xlfn.MINIFS(nrES_Date,nrES_PID,$D559,nrES_Code,$F559,nrES_Att,2,nrES_Raw,"&gt;=0",nrES_Date,"&gt;0")&gt;$T559,"LATE RETEST "&amp;TEXT(_xlfn.MINIFS(nrES_Date,nrES_PID,$D559,nrES_Code,$F559,nrES_Att,2,nrES_Raw,"&gt;=0",nrES_Date,"&gt;0"),"mm/dd")&amp;" (due "&amp;TEXT($T559,"mm/dd")&amp;")","Retested"))),IF(NOT(ISNUMBER($T559)),"CHECK DATE",IF(TODAY()&gt;$T559,"OVERDUE","Due "&amp;TEXT($T559,"mm/dd")))))))</f>
        <v/>
      </c>
      <c r="V559" s="16" t="n"/>
      <c r="W559" s="16" t="n"/>
      <c r="X559" s="17">
        <f>IF($C559="","",IF(AND($L559&lt;&gt;"",NOT(ISNUMBER($L559))),"RAW SCORE NOT A NUMBER",IF(AND(ISNUMBER($L559),OR($L559&lt;0,$L559&gt;100)),"RAW SCORE OUT OF RANGE",IF(AND($Y559="Unexcused",OR($L559="",NOT(ISNUMBER($L559)),$L559&lt;&gt;0)),"UNEXCUSED ABSENCE MUST RECORD 0",IF(COUNTIF(nrES_RecID,$B559)&gt;1,"DUPLICATE RECORD",IF(N($K559)&gt;2,"ATTEMPT 3+ NOT ALLOWED - policy 300.5 permits one retest per exam; this row records nothing",IF(AND($K559=2,COUNTIFS(nrES_PID,$D559,nrES_Code,$F559,nrES_Att,1)=0),"ATTEMPT 2 WITHOUT ATTEMPT 1",IF(AND($K559=2,$L559=""),"RETEST ROW HAS NO SCORE",IF(AND($H559="Final",$L559&lt;&gt;"",IFERROR(INDEX(nrCKfinalExamElig,MATCH($D559,rngCadetPIDs,0)),"")="No"),"FINAL EXAM AFTER FAILED FINAL PT (500.1.H)",IF(AND($K559=2,ISNUMBER($L559),COUNTIFS(nrES_PID,$D559,nrES_Code,$F559,nrES_Att,1)&gt;0,SUMIFS(nrES_Raw,nrES_PID,$D559,nrES_Code,$F559,nrES_Att,1)&gt;=$J559),"RETEST AFTER A PASSING FIRST ATTEMPT","OK"))))))))))</f>
        <v/>
      </c>
      <c r="Y559" s="16" t="n"/>
    </row>
    <row r="560">
      <c r="B560" s="17">
        <f>IF($C560="","",$D560&amp;"-"&amp;$F560&amp;"-"&amp;$K560)</f>
        <v/>
      </c>
      <c r="C560" s="16" t="n"/>
      <c r="D560" s="17">
        <f>IF($C560="","",IFERROR(INDEX(rngCadetPIDs,MATCH($C560,rngCadetNames,0)),"?"))</f>
        <v/>
      </c>
      <c r="E560" s="17">
        <f>IF($D560="","",IFERROR(INDEX(nrCadetAgency,MATCH($D560,rngCadetPIDs,0)),""))</f>
        <v/>
      </c>
      <c r="F560" s="16" t="n"/>
      <c r="G560" s="17">
        <f>IF($F560="","",IFERROR(INDEX(rngEPname,MATCH($F560,rngEPcode,0)),"?"))</f>
        <v/>
      </c>
      <c r="H560" s="17">
        <f>IF($F560="","",IFERROR(INDEX(rngEPtype,MATCH($F560,rngEPcode,0)),"?"))</f>
        <v/>
      </c>
      <c r="I560" s="17">
        <f>IF($F560="","",IFERROR(INDEX(rngEPseq,MATCH($F560,rngEPcode,0)),""))</f>
        <v/>
      </c>
      <c r="J560" s="17">
        <f>IF($F560="","",IFERROR(INDEX(rngEPpass,MATCH($F560,rngEPcode,0)),cfgPassingScore))</f>
        <v/>
      </c>
      <c r="K560" s="16" t="n"/>
      <c r="L560" s="16" t="n"/>
      <c r="M560" s="17">
        <f>IF($C560="","",IF($L560="","",IF(NOT(ISNUMBER($L560)),$L560,IF(N($K560)&gt;2,"",IF($K560=1,IF(COUNTIFS(nrES_PID,$D560,nrES_Code,$F560,nrES_Att,2,nrES_Raw,"&gt;=0")&gt;0,"",$L560),IF($L560&gt;=$J560,MAX($J560,cfgRetakeRecordedCap),IF(COUNTIFS(nrES_PID,$D560,nrES_Code,$F560,nrES_Att,1)=0,$L560,SUMIFS(nrES_Raw,nrES_PID,$D560,nrES_Code,$F560,nrES_Att,1))))))))</f>
        <v/>
      </c>
      <c r="N560" s="17">
        <f>IF($C560="","",IF($L560="","",IF(NOT(ISNUMBER($L560)),"(not a score)",IF($L560&gt;=$J560,"Yes","No"))))</f>
        <v/>
      </c>
      <c r="O560" s="17">
        <f>IF($C560="","",IF($M560="","",IF(NOT(ISNUMBER($M560)),"(not a score)",IF($M560&gt;=$J560,"Yes","No"))))</f>
        <v/>
      </c>
      <c r="P560" s="17">
        <f>IF($C560="","",IF($K560="","",IF(N($K560)&gt;2,"No",IF(COUNTIFS(nrES_PID,$D560,nrES_Code,$F560,nrES_Att,"&gt;"&amp;$K560,nrES_Att,"&lt;=2",nrES_Raw,"&gt;=0")=0,"Yes","No"))))</f>
        <v/>
      </c>
      <c r="Q560" s="17">
        <f>IF($C560="","",IF($L560="","",IF(AND($K560=1,ISNUMBER($L560),$L560&lt;$J560,COUNTIFS(nrES_PID,$D560,nrES_Code,$F560,nrES_Att,2,nrES_Raw,"&gt;=0")=0),"Yes","No")))</f>
        <v/>
      </c>
      <c r="R560" s="17">
        <f>IF($C560="","",IF($L560="","",IF(AND(N($K560)&gt;=2,ISNUMBER($L560),$L560&lt;$J560),"Yes","No")))</f>
        <v/>
      </c>
      <c r="S560" s="18" t="n"/>
      <c r="T560" s="19">
        <f>IF(OR($C560="",$L560="",$K560&lt;&gt;1,NOT(ISNUMBER($L560)),$L560&gt;=$J560),"",IF($S560="","(enter date)",_xlfn.LET(_xlpm.dn,_xlfn.XLOOKUP($S560,nrCDdate,nrCDnum,"",1),IF(_xlpm.dn="","(after last class day)",_xlfn.LET(_xlpm.dd,_xlfn.XLOOKUP(_xlpm.dn+cfgRetestClassDays,nrCDnum,nrCDdate,""),_xlpm.ok,_xlfn.XLOOKUP(_xlpm.dn+cfgRetestClassDays,nrCDnum,nrCDinsession,"No"),IF(OR(_xlpm.dd="",_xlpm.ok&lt;&gt;"Yes"),"(after last class day)",_xlpm.dd))))))</f>
        <v/>
      </c>
      <c r="U560" s="17">
        <f>IF($C560="","",IF(AND($Y560="Excused",$L560="",N($K560)&lt;=1),"EXCUSED - 1st attempt pending",IF(OR($L560="",$K560&lt;&gt;1,NOT(ISNUMBER($L560)),$L560&gt;=$J560),"",IF(COUNTIFS(nrES_PID,$D560,nrES_Code,$F560,nrES_Att,2,nrES_Raw,"&gt;=0")&gt;0,IF(IFERROR(_xlfn.MINIFS(nrES_Date,nrES_PID,$D560,nrES_Code,$F560,nrES_Att,2,nrES_Raw,"&gt;=0",nrES_Date,"&gt;0"),0)=0,"RETEST UNDATED",IF(NOT(ISNUMBER($T560)),"RETEST DATE UNCHECKED",IF(_xlfn.MINIFS(nrES_Date,nrES_PID,$D560,nrES_Code,$F560,nrES_Att,2,nrES_Raw,"&gt;=0",nrES_Date,"&gt;0")&gt;$T560,"LATE RETEST "&amp;TEXT(_xlfn.MINIFS(nrES_Date,nrES_PID,$D560,nrES_Code,$F560,nrES_Att,2,nrES_Raw,"&gt;=0",nrES_Date,"&gt;0"),"mm/dd")&amp;" (due "&amp;TEXT($T560,"mm/dd")&amp;")","Retested"))),IF(NOT(ISNUMBER($T560)),"CHECK DATE",IF(TODAY()&gt;$T560,"OVERDUE","Due "&amp;TEXT($T560,"mm/dd")))))))</f>
        <v/>
      </c>
      <c r="V560" s="16" t="n"/>
      <c r="W560" s="16" t="n"/>
      <c r="X560" s="17">
        <f>IF($C560="","",IF(AND($L560&lt;&gt;"",NOT(ISNUMBER($L560))),"RAW SCORE NOT A NUMBER",IF(AND(ISNUMBER($L560),OR($L560&lt;0,$L560&gt;100)),"RAW SCORE OUT OF RANGE",IF(AND($Y560="Unexcused",OR($L560="",NOT(ISNUMBER($L560)),$L560&lt;&gt;0)),"UNEXCUSED ABSENCE MUST RECORD 0",IF(COUNTIF(nrES_RecID,$B560)&gt;1,"DUPLICATE RECORD",IF(N($K560)&gt;2,"ATTEMPT 3+ NOT ALLOWED - policy 300.5 permits one retest per exam; this row records nothing",IF(AND($K560=2,COUNTIFS(nrES_PID,$D560,nrES_Code,$F560,nrES_Att,1)=0),"ATTEMPT 2 WITHOUT ATTEMPT 1",IF(AND($K560=2,$L560=""),"RETEST ROW HAS NO SCORE",IF(AND($H560="Final",$L560&lt;&gt;"",IFERROR(INDEX(nrCKfinalExamElig,MATCH($D560,rngCadetPIDs,0)),"")="No"),"FINAL EXAM AFTER FAILED FINAL PT (500.1.H)",IF(AND($K560=2,ISNUMBER($L560),COUNTIFS(nrES_PID,$D560,nrES_Code,$F560,nrES_Att,1)&gt;0,SUMIFS(nrES_Raw,nrES_PID,$D560,nrES_Code,$F560,nrES_Att,1)&gt;=$J560),"RETEST AFTER A PASSING FIRST ATTEMPT","OK"))))))))))</f>
        <v/>
      </c>
      <c r="Y560" s="16" t="n"/>
    </row>
    <row r="561">
      <c r="B561" s="17">
        <f>IF($C561="","",$D561&amp;"-"&amp;$F561&amp;"-"&amp;$K561)</f>
        <v/>
      </c>
      <c r="C561" s="16" t="n"/>
      <c r="D561" s="17">
        <f>IF($C561="","",IFERROR(INDEX(rngCadetPIDs,MATCH($C561,rngCadetNames,0)),"?"))</f>
        <v/>
      </c>
      <c r="E561" s="17">
        <f>IF($D561="","",IFERROR(INDEX(nrCadetAgency,MATCH($D561,rngCadetPIDs,0)),""))</f>
        <v/>
      </c>
      <c r="F561" s="16" t="n"/>
      <c r="G561" s="17">
        <f>IF($F561="","",IFERROR(INDEX(rngEPname,MATCH($F561,rngEPcode,0)),"?"))</f>
        <v/>
      </c>
      <c r="H561" s="17">
        <f>IF($F561="","",IFERROR(INDEX(rngEPtype,MATCH($F561,rngEPcode,0)),"?"))</f>
        <v/>
      </c>
      <c r="I561" s="17">
        <f>IF($F561="","",IFERROR(INDEX(rngEPseq,MATCH($F561,rngEPcode,0)),""))</f>
        <v/>
      </c>
      <c r="J561" s="17">
        <f>IF($F561="","",IFERROR(INDEX(rngEPpass,MATCH($F561,rngEPcode,0)),cfgPassingScore))</f>
        <v/>
      </c>
      <c r="K561" s="16" t="n"/>
      <c r="L561" s="16" t="n"/>
      <c r="M561" s="17">
        <f>IF($C561="","",IF($L561="","",IF(NOT(ISNUMBER($L561)),$L561,IF(N($K561)&gt;2,"",IF($K561=1,IF(COUNTIFS(nrES_PID,$D561,nrES_Code,$F561,nrES_Att,2,nrES_Raw,"&gt;=0")&gt;0,"",$L561),IF($L561&gt;=$J561,MAX($J561,cfgRetakeRecordedCap),IF(COUNTIFS(nrES_PID,$D561,nrES_Code,$F561,nrES_Att,1)=0,$L561,SUMIFS(nrES_Raw,nrES_PID,$D561,nrES_Code,$F561,nrES_Att,1))))))))</f>
        <v/>
      </c>
      <c r="N561" s="17">
        <f>IF($C561="","",IF($L561="","",IF(NOT(ISNUMBER($L561)),"(not a score)",IF($L561&gt;=$J561,"Yes","No"))))</f>
        <v/>
      </c>
      <c r="O561" s="17">
        <f>IF($C561="","",IF($M561="","",IF(NOT(ISNUMBER($M561)),"(not a score)",IF($M561&gt;=$J561,"Yes","No"))))</f>
        <v/>
      </c>
      <c r="P561" s="17">
        <f>IF($C561="","",IF($K561="","",IF(N($K561)&gt;2,"No",IF(COUNTIFS(nrES_PID,$D561,nrES_Code,$F561,nrES_Att,"&gt;"&amp;$K561,nrES_Att,"&lt;=2",nrES_Raw,"&gt;=0")=0,"Yes","No"))))</f>
        <v/>
      </c>
      <c r="Q561" s="17">
        <f>IF($C561="","",IF($L561="","",IF(AND($K561=1,ISNUMBER($L561),$L561&lt;$J561,COUNTIFS(nrES_PID,$D561,nrES_Code,$F561,nrES_Att,2,nrES_Raw,"&gt;=0")=0),"Yes","No")))</f>
        <v/>
      </c>
      <c r="R561" s="17">
        <f>IF($C561="","",IF($L561="","",IF(AND(N($K561)&gt;=2,ISNUMBER($L561),$L561&lt;$J561),"Yes","No")))</f>
        <v/>
      </c>
      <c r="S561" s="18" t="n"/>
      <c r="T561" s="19">
        <f>IF(OR($C561="",$L561="",$K561&lt;&gt;1,NOT(ISNUMBER($L561)),$L561&gt;=$J561),"",IF($S561="","(enter date)",_xlfn.LET(_xlpm.dn,_xlfn.XLOOKUP($S561,nrCDdate,nrCDnum,"",1),IF(_xlpm.dn="","(after last class day)",_xlfn.LET(_xlpm.dd,_xlfn.XLOOKUP(_xlpm.dn+cfgRetestClassDays,nrCDnum,nrCDdate,""),_xlpm.ok,_xlfn.XLOOKUP(_xlpm.dn+cfgRetestClassDays,nrCDnum,nrCDinsession,"No"),IF(OR(_xlpm.dd="",_xlpm.ok&lt;&gt;"Yes"),"(after last class day)",_xlpm.dd))))))</f>
        <v/>
      </c>
      <c r="U561" s="17">
        <f>IF($C561="","",IF(AND($Y561="Excused",$L561="",N($K561)&lt;=1),"EXCUSED - 1st attempt pending",IF(OR($L561="",$K561&lt;&gt;1,NOT(ISNUMBER($L561)),$L561&gt;=$J561),"",IF(COUNTIFS(nrES_PID,$D561,nrES_Code,$F561,nrES_Att,2,nrES_Raw,"&gt;=0")&gt;0,IF(IFERROR(_xlfn.MINIFS(nrES_Date,nrES_PID,$D561,nrES_Code,$F561,nrES_Att,2,nrES_Raw,"&gt;=0",nrES_Date,"&gt;0"),0)=0,"RETEST UNDATED",IF(NOT(ISNUMBER($T561)),"RETEST DATE UNCHECKED",IF(_xlfn.MINIFS(nrES_Date,nrES_PID,$D561,nrES_Code,$F561,nrES_Att,2,nrES_Raw,"&gt;=0",nrES_Date,"&gt;0")&gt;$T561,"LATE RETEST "&amp;TEXT(_xlfn.MINIFS(nrES_Date,nrES_PID,$D561,nrES_Code,$F561,nrES_Att,2,nrES_Raw,"&gt;=0",nrES_Date,"&gt;0"),"mm/dd")&amp;" (due "&amp;TEXT($T561,"mm/dd")&amp;")","Retested"))),IF(NOT(ISNUMBER($T561)),"CHECK DATE",IF(TODAY()&gt;$T561,"OVERDUE","Due "&amp;TEXT($T561,"mm/dd")))))))</f>
        <v/>
      </c>
      <c r="V561" s="16" t="n"/>
      <c r="W561" s="16" t="n"/>
      <c r="X561" s="17">
        <f>IF($C561="","",IF(AND($L561&lt;&gt;"",NOT(ISNUMBER($L561))),"RAW SCORE NOT A NUMBER",IF(AND(ISNUMBER($L561),OR($L561&lt;0,$L561&gt;100)),"RAW SCORE OUT OF RANGE",IF(AND($Y561="Unexcused",OR($L561="",NOT(ISNUMBER($L561)),$L561&lt;&gt;0)),"UNEXCUSED ABSENCE MUST RECORD 0",IF(COUNTIF(nrES_RecID,$B561)&gt;1,"DUPLICATE RECORD",IF(N($K561)&gt;2,"ATTEMPT 3+ NOT ALLOWED - policy 300.5 permits one retest per exam; this row records nothing",IF(AND($K561=2,COUNTIFS(nrES_PID,$D561,nrES_Code,$F561,nrES_Att,1)=0),"ATTEMPT 2 WITHOUT ATTEMPT 1",IF(AND($K561=2,$L561=""),"RETEST ROW HAS NO SCORE",IF(AND($H561="Final",$L561&lt;&gt;"",IFERROR(INDEX(nrCKfinalExamElig,MATCH($D561,rngCadetPIDs,0)),"")="No"),"FINAL EXAM AFTER FAILED FINAL PT (500.1.H)",IF(AND($K561=2,ISNUMBER($L561),COUNTIFS(nrES_PID,$D561,nrES_Code,$F561,nrES_Att,1)&gt;0,SUMIFS(nrES_Raw,nrES_PID,$D561,nrES_Code,$F561,nrES_Att,1)&gt;=$J561),"RETEST AFTER A PASSING FIRST ATTEMPT","OK"))))))))))</f>
        <v/>
      </c>
      <c r="Y561" s="16" t="n"/>
    </row>
    <row r="562">
      <c r="B562" s="17">
        <f>IF($C562="","",$D562&amp;"-"&amp;$F562&amp;"-"&amp;$K562)</f>
        <v/>
      </c>
      <c r="C562" s="16" t="n"/>
      <c r="D562" s="17">
        <f>IF($C562="","",IFERROR(INDEX(rngCadetPIDs,MATCH($C562,rngCadetNames,0)),"?"))</f>
        <v/>
      </c>
      <c r="E562" s="17">
        <f>IF($D562="","",IFERROR(INDEX(nrCadetAgency,MATCH($D562,rngCadetPIDs,0)),""))</f>
        <v/>
      </c>
      <c r="F562" s="16" t="n"/>
      <c r="G562" s="17">
        <f>IF($F562="","",IFERROR(INDEX(rngEPname,MATCH($F562,rngEPcode,0)),"?"))</f>
        <v/>
      </c>
      <c r="H562" s="17">
        <f>IF($F562="","",IFERROR(INDEX(rngEPtype,MATCH($F562,rngEPcode,0)),"?"))</f>
        <v/>
      </c>
      <c r="I562" s="17">
        <f>IF($F562="","",IFERROR(INDEX(rngEPseq,MATCH($F562,rngEPcode,0)),""))</f>
        <v/>
      </c>
      <c r="J562" s="17">
        <f>IF($F562="","",IFERROR(INDEX(rngEPpass,MATCH($F562,rngEPcode,0)),cfgPassingScore))</f>
        <v/>
      </c>
      <c r="K562" s="16" t="n"/>
      <c r="L562" s="16" t="n"/>
      <c r="M562" s="17">
        <f>IF($C562="","",IF($L562="","",IF(NOT(ISNUMBER($L562)),$L562,IF(N($K562)&gt;2,"",IF($K562=1,IF(COUNTIFS(nrES_PID,$D562,nrES_Code,$F562,nrES_Att,2,nrES_Raw,"&gt;=0")&gt;0,"",$L562),IF($L562&gt;=$J562,MAX($J562,cfgRetakeRecordedCap),IF(COUNTIFS(nrES_PID,$D562,nrES_Code,$F562,nrES_Att,1)=0,$L562,SUMIFS(nrES_Raw,nrES_PID,$D562,nrES_Code,$F562,nrES_Att,1))))))))</f>
        <v/>
      </c>
      <c r="N562" s="17">
        <f>IF($C562="","",IF($L562="","",IF(NOT(ISNUMBER($L562)),"(not a score)",IF($L562&gt;=$J562,"Yes","No"))))</f>
        <v/>
      </c>
      <c r="O562" s="17">
        <f>IF($C562="","",IF($M562="","",IF(NOT(ISNUMBER($M562)),"(not a score)",IF($M562&gt;=$J562,"Yes","No"))))</f>
        <v/>
      </c>
      <c r="P562" s="17">
        <f>IF($C562="","",IF($K562="","",IF(N($K562)&gt;2,"No",IF(COUNTIFS(nrES_PID,$D562,nrES_Code,$F562,nrES_Att,"&gt;"&amp;$K562,nrES_Att,"&lt;=2",nrES_Raw,"&gt;=0")=0,"Yes","No"))))</f>
        <v/>
      </c>
      <c r="Q562" s="17">
        <f>IF($C562="","",IF($L562="","",IF(AND($K562=1,ISNUMBER($L562),$L562&lt;$J562,COUNTIFS(nrES_PID,$D562,nrES_Code,$F562,nrES_Att,2,nrES_Raw,"&gt;=0")=0),"Yes","No")))</f>
        <v/>
      </c>
      <c r="R562" s="17">
        <f>IF($C562="","",IF($L562="","",IF(AND(N($K562)&gt;=2,ISNUMBER($L562),$L562&lt;$J562),"Yes","No")))</f>
        <v/>
      </c>
      <c r="S562" s="18" t="n"/>
      <c r="T562" s="19">
        <f>IF(OR($C562="",$L562="",$K562&lt;&gt;1,NOT(ISNUMBER($L562)),$L562&gt;=$J562),"",IF($S562="","(enter date)",_xlfn.LET(_xlpm.dn,_xlfn.XLOOKUP($S562,nrCDdate,nrCDnum,"",1),IF(_xlpm.dn="","(after last class day)",_xlfn.LET(_xlpm.dd,_xlfn.XLOOKUP(_xlpm.dn+cfgRetestClassDays,nrCDnum,nrCDdate,""),_xlpm.ok,_xlfn.XLOOKUP(_xlpm.dn+cfgRetestClassDays,nrCDnum,nrCDinsession,"No"),IF(OR(_xlpm.dd="",_xlpm.ok&lt;&gt;"Yes"),"(after last class day)",_xlpm.dd))))))</f>
        <v/>
      </c>
      <c r="U562" s="17">
        <f>IF($C562="","",IF(AND($Y562="Excused",$L562="",N($K562)&lt;=1),"EXCUSED - 1st attempt pending",IF(OR($L562="",$K562&lt;&gt;1,NOT(ISNUMBER($L562)),$L562&gt;=$J562),"",IF(COUNTIFS(nrES_PID,$D562,nrES_Code,$F562,nrES_Att,2,nrES_Raw,"&gt;=0")&gt;0,IF(IFERROR(_xlfn.MINIFS(nrES_Date,nrES_PID,$D562,nrES_Code,$F562,nrES_Att,2,nrES_Raw,"&gt;=0",nrES_Date,"&gt;0"),0)=0,"RETEST UNDATED",IF(NOT(ISNUMBER($T562)),"RETEST DATE UNCHECKED",IF(_xlfn.MINIFS(nrES_Date,nrES_PID,$D562,nrES_Code,$F562,nrES_Att,2,nrES_Raw,"&gt;=0",nrES_Date,"&gt;0")&gt;$T562,"LATE RETEST "&amp;TEXT(_xlfn.MINIFS(nrES_Date,nrES_PID,$D562,nrES_Code,$F562,nrES_Att,2,nrES_Raw,"&gt;=0",nrES_Date,"&gt;0"),"mm/dd")&amp;" (due "&amp;TEXT($T562,"mm/dd")&amp;")","Retested"))),IF(NOT(ISNUMBER($T562)),"CHECK DATE",IF(TODAY()&gt;$T562,"OVERDUE","Due "&amp;TEXT($T562,"mm/dd")))))))</f>
        <v/>
      </c>
      <c r="V562" s="16" t="n"/>
      <c r="W562" s="16" t="n"/>
      <c r="X562" s="17">
        <f>IF($C562="","",IF(AND($L562&lt;&gt;"",NOT(ISNUMBER($L562))),"RAW SCORE NOT A NUMBER",IF(AND(ISNUMBER($L562),OR($L562&lt;0,$L562&gt;100)),"RAW SCORE OUT OF RANGE",IF(AND($Y562="Unexcused",OR($L562="",NOT(ISNUMBER($L562)),$L562&lt;&gt;0)),"UNEXCUSED ABSENCE MUST RECORD 0",IF(COUNTIF(nrES_RecID,$B562)&gt;1,"DUPLICATE RECORD",IF(N($K562)&gt;2,"ATTEMPT 3+ NOT ALLOWED - policy 300.5 permits one retest per exam; this row records nothing",IF(AND($K562=2,COUNTIFS(nrES_PID,$D562,nrES_Code,$F562,nrES_Att,1)=0),"ATTEMPT 2 WITHOUT ATTEMPT 1",IF(AND($K562=2,$L562=""),"RETEST ROW HAS NO SCORE",IF(AND($H562="Final",$L562&lt;&gt;"",IFERROR(INDEX(nrCKfinalExamElig,MATCH($D562,rngCadetPIDs,0)),"")="No"),"FINAL EXAM AFTER FAILED FINAL PT (500.1.H)",IF(AND($K562=2,ISNUMBER($L562),COUNTIFS(nrES_PID,$D562,nrES_Code,$F562,nrES_Att,1)&gt;0,SUMIFS(nrES_Raw,nrES_PID,$D562,nrES_Code,$F562,nrES_Att,1)&gt;=$J562),"RETEST AFTER A PASSING FIRST ATTEMPT","OK"))))))))))</f>
        <v/>
      </c>
      <c r="Y562" s="16" t="n"/>
    </row>
    <row r="563">
      <c r="B563" s="17">
        <f>IF($C563="","",$D563&amp;"-"&amp;$F563&amp;"-"&amp;$K563)</f>
        <v/>
      </c>
      <c r="C563" s="16" t="n"/>
      <c r="D563" s="17">
        <f>IF($C563="","",IFERROR(INDEX(rngCadetPIDs,MATCH($C563,rngCadetNames,0)),"?"))</f>
        <v/>
      </c>
      <c r="E563" s="17">
        <f>IF($D563="","",IFERROR(INDEX(nrCadetAgency,MATCH($D563,rngCadetPIDs,0)),""))</f>
        <v/>
      </c>
      <c r="F563" s="16" t="n"/>
      <c r="G563" s="17">
        <f>IF($F563="","",IFERROR(INDEX(rngEPname,MATCH($F563,rngEPcode,0)),"?"))</f>
        <v/>
      </c>
      <c r="H563" s="17">
        <f>IF($F563="","",IFERROR(INDEX(rngEPtype,MATCH($F563,rngEPcode,0)),"?"))</f>
        <v/>
      </c>
      <c r="I563" s="17">
        <f>IF($F563="","",IFERROR(INDEX(rngEPseq,MATCH($F563,rngEPcode,0)),""))</f>
        <v/>
      </c>
      <c r="J563" s="17">
        <f>IF($F563="","",IFERROR(INDEX(rngEPpass,MATCH($F563,rngEPcode,0)),cfgPassingScore))</f>
        <v/>
      </c>
      <c r="K563" s="16" t="n"/>
      <c r="L563" s="16" t="n"/>
      <c r="M563" s="17">
        <f>IF($C563="","",IF($L563="","",IF(NOT(ISNUMBER($L563)),$L563,IF(N($K563)&gt;2,"",IF($K563=1,IF(COUNTIFS(nrES_PID,$D563,nrES_Code,$F563,nrES_Att,2,nrES_Raw,"&gt;=0")&gt;0,"",$L563),IF($L563&gt;=$J563,MAX($J563,cfgRetakeRecordedCap),IF(COUNTIFS(nrES_PID,$D563,nrES_Code,$F563,nrES_Att,1)=0,$L563,SUMIFS(nrES_Raw,nrES_PID,$D563,nrES_Code,$F563,nrES_Att,1))))))))</f>
        <v/>
      </c>
      <c r="N563" s="17">
        <f>IF($C563="","",IF($L563="","",IF(NOT(ISNUMBER($L563)),"(not a score)",IF($L563&gt;=$J563,"Yes","No"))))</f>
        <v/>
      </c>
      <c r="O563" s="17">
        <f>IF($C563="","",IF($M563="","",IF(NOT(ISNUMBER($M563)),"(not a score)",IF($M563&gt;=$J563,"Yes","No"))))</f>
        <v/>
      </c>
      <c r="P563" s="17">
        <f>IF($C563="","",IF($K563="","",IF(N($K563)&gt;2,"No",IF(COUNTIFS(nrES_PID,$D563,nrES_Code,$F563,nrES_Att,"&gt;"&amp;$K563,nrES_Att,"&lt;=2",nrES_Raw,"&gt;=0")=0,"Yes","No"))))</f>
        <v/>
      </c>
      <c r="Q563" s="17">
        <f>IF($C563="","",IF($L563="","",IF(AND($K563=1,ISNUMBER($L563),$L563&lt;$J563,COUNTIFS(nrES_PID,$D563,nrES_Code,$F563,nrES_Att,2,nrES_Raw,"&gt;=0")=0),"Yes","No")))</f>
        <v/>
      </c>
      <c r="R563" s="17">
        <f>IF($C563="","",IF($L563="","",IF(AND(N($K563)&gt;=2,ISNUMBER($L563),$L563&lt;$J563),"Yes","No")))</f>
        <v/>
      </c>
      <c r="S563" s="18" t="n"/>
      <c r="T563" s="19">
        <f>IF(OR($C563="",$L563="",$K563&lt;&gt;1,NOT(ISNUMBER($L563)),$L563&gt;=$J563),"",IF($S563="","(enter date)",_xlfn.LET(_xlpm.dn,_xlfn.XLOOKUP($S563,nrCDdate,nrCDnum,"",1),IF(_xlpm.dn="","(after last class day)",_xlfn.LET(_xlpm.dd,_xlfn.XLOOKUP(_xlpm.dn+cfgRetestClassDays,nrCDnum,nrCDdate,""),_xlpm.ok,_xlfn.XLOOKUP(_xlpm.dn+cfgRetestClassDays,nrCDnum,nrCDinsession,"No"),IF(OR(_xlpm.dd="",_xlpm.ok&lt;&gt;"Yes"),"(after last class day)",_xlpm.dd))))))</f>
        <v/>
      </c>
      <c r="U563" s="17">
        <f>IF($C563="","",IF(AND($Y563="Excused",$L563="",N($K563)&lt;=1),"EXCUSED - 1st attempt pending",IF(OR($L563="",$K563&lt;&gt;1,NOT(ISNUMBER($L563)),$L563&gt;=$J563),"",IF(COUNTIFS(nrES_PID,$D563,nrES_Code,$F563,nrES_Att,2,nrES_Raw,"&gt;=0")&gt;0,IF(IFERROR(_xlfn.MINIFS(nrES_Date,nrES_PID,$D563,nrES_Code,$F563,nrES_Att,2,nrES_Raw,"&gt;=0",nrES_Date,"&gt;0"),0)=0,"RETEST UNDATED",IF(NOT(ISNUMBER($T563)),"RETEST DATE UNCHECKED",IF(_xlfn.MINIFS(nrES_Date,nrES_PID,$D563,nrES_Code,$F563,nrES_Att,2,nrES_Raw,"&gt;=0",nrES_Date,"&gt;0")&gt;$T563,"LATE RETEST "&amp;TEXT(_xlfn.MINIFS(nrES_Date,nrES_PID,$D563,nrES_Code,$F563,nrES_Att,2,nrES_Raw,"&gt;=0",nrES_Date,"&gt;0"),"mm/dd")&amp;" (due "&amp;TEXT($T563,"mm/dd")&amp;")","Retested"))),IF(NOT(ISNUMBER($T563)),"CHECK DATE",IF(TODAY()&gt;$T563,"OVERDUE","Due "&amp;TEXT($T563,"mm/dd")))))))</f>
        <v/>
      </c>
      <c r="V563" s="16" t="n"/>
      <c r="W563" s="16" t="n"/>
      <c r="X563" s="17">
        <f>IF($C563="","",IF(AND($L563&lt;&gt;"",NOT(ISNUMBER($L563))),"RAW SCORE NOT A NUMBER",IF(AND(ISNUMBER($L563),OR($L563&lt;0,$L563&gt;100)),"RAW SCORE OUT OF RANGE",IF(AND($Y563="Unexcused",OR($L563="",NOT(ISNUMBER($L563)),$L563&lt;&gt;0)),"UNEXCUSED ABSENCE MUST RECORD 0",IF(COUNTIF(nrES_RecID,$B563)&gt;1,"DUPLICATE RECORD",IF(N($K563)&gt;2,"ATTEMPT 3+ NOT ALLOWED - policy 300.5 permits one retest per exam; this row records nothing",IF(AND($K563=2,COUNTIFS(nrES_PID,$D563,nrES_Code,$F563,nrES_Att,1)=0),"ATTEMPT 2 WITHOUT ATTEMPT 1",IF(AND($K563=2,$L563=""),"RETEST ROW HAS NO SCORE",IF(AND($H563="Final",$L563&lt;&gt;"",IFERROR(INDEX(nrCKfinalExamElig,MATCH($D563,rngCadetPIDs,0)),"")="No"),"FINAL EXAM AFTER FAILED FINAL PT (500.1.H)",IF(AND($K563=2,ISNUMBER($L563),COUNTIFS(nrES_PID,$D563,nrES_Code,$F563,nrES_Att,1)&gt;0,SUMIFS(nrES_Raw,nrES_PID,$D563,nrES_Code,$F563,nrES_Att,1)&gt;=$J563),"RETEST AFTER A PASSING FIRST ATTEMPT","OK"))))))))))</f>
        <v/>
      </c>
      <c r="Y563" s="16" t="n"/>
    </row>
    <row r="564">
      <c r="B564" s="17">
        <f>IF($C564="","",$D564&amp;"-"&amp;$F564&amp;"-"&amp;$K564)</f>
        <v/>
      </c>
      <c r="C564" s="16" t="n"/>
      <c r="D564" s="17">
        <f>IF($C564="","",IFERROR(INDEX(rngCadetPIDs,MATCH($C564,rngCadetNames,0)),"?"))</f>
        <v/>
      </c>
      <c r="E564" s="17">
        <f>IF($D564="","",IFERROR(INDEX(nrCadetAgency,MATCH($D564,rngCadetPIDs,0)),""))</f>
        <v/>
      </c>
      <c r="F564" s="16" t="n"/>
      <c r="G564" s="17">
        <f>IF($F564="","",IFERROR(INDEX(rngEPname,MATCH($F564,rngEPcode,0)),"?"))</f>
        <v/>
      </c>
      <c r="H564" s="17">
        <f>IF($F564="","",IFERROR(INDEX(rngEPtype,MATCH($F564,rngEPcode,0)),"?"))</f>
        <v/>
      </c>
      <c r="I564" s="17">
        <f>IF($F564="","",IFERROR(INDEX(rngEPseq,MATCH($F564,rngEPcode,0)),""))</f>
        <v/>
      </c>
      <c r="J564" s="17">
        <f>IF($F564="","",IFERROR(INDEX(rngEPpass,MATCH($F564,rngEPcode,0)),cfgPassingScore))</f>
        <v/>
      </c>
      <c r="K564" s="16" t="n"/>
      <c r="L564" s="16" t="n"/>
      <c r="M564" s="17">
        <f>IF($C564="","",IF($L564="","",IF(NOT(ISNUMBER($L564)),$L564,IF(N($K564)&gt;2,"",IF($K564=1,IF(COUNTIFS(nrES_PID,$D564,nrES_Code,$F564,nrES_Att,2,nrES_Raw,"&gt;=0")&gt;0,"",$L564),IF($L564&gt;=$J564,MAX($J564,cfgRetakeRecordedCap),IF(COUNTIFS(nrES_PID,$D564,nrES_Code,$F564,nrES_Att,1)=0,$L564,SUMIFS(nrES_Raw,nrES_PID,$D564,nrES_Code,$F564,nrES_Att,1))))))))</f>
        <v/>
      </c>
      <c r="N564" s="17">
        <f>IF($C564="","",IF($L564="","",IF(NOT(ISNUMBER($L564)),"(not a score)",IF($L564&gt;=$J564,"Yes","No"))))</f>
        <v/>
      </c>
      <c r="O564" s="17">
        <f>IF($C564="","",IF($M564="","",IF(NOT(ISNUMBER($M564)),"(not a score)",IF($M564&gt;=$J564,"Yes","No"))))</f>
        <v/>
      </c>
      <c r="P564" s="17">
        <f>IF($C564="","",IF($K564="","",IF(N($K564)&gt;2,"No",IF(COUNTIFS(nrES_PID,$D564,nrES_Code,$F564,nrES_Att,"&gt;"&amp;$K564,nrES_Att,"&lt;=2",nrES_Raw,"&gt;=0")=0,"Yes","No"))))</f>
        <v/>
      </c>
      <c r="Q564" s="17">
        <f>IF($C564="","",IF($L564="","",IF(AND($K564=1,ISNUMBER($L564),$L564&lt;$J564,COUNTIFS(nrES_PID,$D564,nrES_Code,$F564,nrES_Att,2,nrES_Raw,"&gt;=0")=0),"Yes","No")))</f>
        <v/>
      </c>
      <c r="R564" s="17">
        <f>IF($C564="","",IF($L564="","",IF(AND(N($K564)&gt;=2,ISNUMBER($L564),$L564&lt;$J564),"Yes","No")))</f>
        <v/>
      </c>
      <c r="S564" s="18" t="n"/>
      <c r="T564" s="19">
        <f>IF(OR($C564="",$L564="",$K564&lt;&gt;1,NOT(ISNUMBER($L564)),$L564&gt;=$J564),"",IF($S564="","(enter date)",_xlfn.LET(_xlpm.dn,_xlfn.XLOOKUP($S564,nrCDdate,nrCDnum,"",1),IF(_xlpm.dn="","(after last class day)",_xlfn.LET(_xlpm.dd,_xlfn.XLOOKUP(_xlpm.dn+cfgRetestClassDays,nrCDnum,nrCDdate,""),_xlpm.ok,_xlfn.XLOOKUP(_xlpm.dn+cfgRetestClassDays,nrCDnum,nrCDinsession,"No"),IF(OR(_xlpm.dd="",_xlpm.ok&lt;&gt;"Yes"),"(after last class day)",_xlpm.dd))))))</f>
        <v/>
      </c>
      <c r="U564" s="17">
        <f>IF($C564="","",IF(AND($Y564="Excused",$L564="",N($K564)&lt;=1),"EXCUSED - 1st attempt pending",IF(OR($L564="",$K564&lt;&gt;1,NOT(ISNUMBER($L564)),$L564&gt;=$J564),"",IF(COUNTIFS(nrES_PID,$D564,nrES_Code,$F564,nrES_Att,2,nrES_Raw,"&gt;=0")&gt;0,IF(IFERROR(_xlfn.MINIFS(nrES_Date,nrES_PID,$D564,nrES_Code,$F564,nrES_Att,2,nrES_Raw,"&gt;=0",nrES_Date,"&gt;0"),0)=0,"RETEST UNDATED",IF(NOT(ISNUMBER($T564)),"RETEST DATE UNCHECKED",IF(_xlfn.MINIFS(nrES_Date,nrES_PID,$D564,nrES_Code,$F564,nrES_Att,2,nrES_Raw,"&gt;=0",nrES_Date,"&gt;0")&gt;$T564,"LATE RETEST "&amp;TEXT(_xlfn.MINIFS(nrES_Date,nrES_PID,$D564,nrES_Code,$F564,nrES_Att,2,nrES_Raw,"&gt;=0",nrES_Date,"&gt;0"),"mm/dd")&amp;" (due "&amp;TEXT($T564,"mm/dd")&amp;")","Retested"))),IF(NOT(ISNUMBER($T564)),"CHECK DATE",IF(TODAY()&gt;$T564,"OVERDUE","Due "&amp;TEXT($T564,"mm/dd")))))))</f>
        <v/>
      </c>
      <c r="V564" s="16" t="n"/>
      <c r="W564" s="16" t="n"/>
      <c r="X564" s="17">
        <f>IF($C564="","",IF(AND($L564&lt;&gt;"",NOT(ISNUMBER($L564))),"RAW SCORE NOT A NUMBER",IF(AND(ISNUMBER($L564),OR($L564&lt;0,$L564&gt;100)),"RAW SCORE OUT OF RANGE",IF(AND($Y564="Unexcused",OR($L564="",NOT(ISNUMBER($L564)),$L564&lt;&gt;0)),"UNEXCUSED ABSENCE MUST RECORD 0",IF(COUNTIF(nrES_RecID,$B564)&gt;1,"DUPLICATE RECORD",IF(N($K564)&gt;2,"ATTEMPT 3+ NOT ALLOWED - policy 300.5 permits one retest per exam; this row records nothing",IF(AND($K564=2,COUNTIFS(nrES_PID,$D564,nrES_Code,$F564,nrES_Att,1)=0),"ATTEMPT 2 WITHOUT ATTEMPT 1",IF(AND($K564=2,$L564=""),"RETEST ROW HAS NO SCORE",IF(AND($H564="Final",$L564&lt;&gt;"",IFERROR(INDEX(nrCKfinalExamElig,MATCH($D564,rngCadetPIDs,0)),"")="No"),"FINAL EXAM AFTER FAILED FINAL PT (500.1.H)",IF(AND($K564=2,ISNUMBER($L564),COUNTIFS(nrES_PID,$D564,nrES_Code,$F564,nrES_Att,1)&gt;0,SUMIFS(nrES_Raw,nrES_PID,$D564,nrES_Code,$F564,nrES_Att,1)&gt;=$J564),"RETEST AFTER A PASSING FIRST ATTEMPT","OK"))))))))))</f>
        <v/>
      </c>
      <c r="Y564" s="16" t="n"/>
    </row>
    <row r="565">
      <c r="B565" s="17">
        <f>IF($C565="","",$D565&amp;"-"&amp;$F565&amp;"-"&amp;$K565)</f>
        <v/>
      </c>
      <c r="C565" s="16" t="n"/>
      <c r="D565" s="17">
        <f>IF($C565="","",IFERROR(INDEX(rngCadetPIDs,MATCH($C565,rngCadetNames,0)),"?"))</f>
        <v/>
      </c>
      <c r="E565" s="17">
        <f>IF($D565="","",IFERROR(INDEX(nrCadetAgency,MATCH($D565,rngCadetPIDs,0)),""))</f>
        <v/>
      </c>
      <c r="F565" s="16" t="n"/>
      <c r="G565" s="17">
        <f>IF($F565="","",IFERROR(INDEX(rngEPname,MATCH($F565,rngEPcode,0)),"?"))</f>
        <v/>
      </c>
      <c r="H565" s="17">
        <f>IF($F565="","",IFERROR(INDEX(rngEPtype,MATCH($F565,rngEPcode,0)),"?"))</f>
        <v/>
      </c>
      <c r="I565" s="17">
        <f>IF($F565="","",IFERROR(INDEX(rngEPseq,MATCH($F565,rngEPcode,0)),""))</f>
        <v/>
      </c>
      <c r="J565" s="17">
        <f>IF($F565="","",IFERROR(INDEX(rngEPpass,MATCH($F565,rngEPcode,0)),cfgPassingScore))</f>
        <v/>
      </c>
      <c r="K565" s="16" t="n"/>
      <c r="L565" s="16" t="n"/>
      <c r="M565" s="17">
        <f>IF($C565="","",IF($L565="","",IF(NOT(ISNUMBER($L565)),$L565,IF(N($K565)&gt;2,"",IF($K565=1,IF(COUNTIFS(nrES_PID,$D565,nrES_Code,$F565,nrES_Att,2,nrES_Raw,"&gt;=0")&gt;0,"",$L565),IF($L565&gt;=$J565,MAX($J565,cfgRetakeRecordedCap),IF(COUNTIFS(nrES_PID,$D565,nrES_Code,$F565,nrES_Att,1)=0,$L565,SUMIFS(nrES_Raw,nrES_PID,$D565,nrES_Code,$F565,nrES_Att,1))))))))</f>
        <v/>
      </c>
      <c r="N565" s="17">
        <f>IF($C565="","",IF($L565="","",IF(NOT(ISNUMBER($L565)),"(not a score)",IF($L565&gt;=$J565,"Yes","No"))))</f>
        <v/>
      </c>
      <c r="O565" s="17">
        <f>IF($C565="","",IF($M565="","",IF(NOT(ISNUMBER($M565)),"(not a score)",IF($M565&gt;=$J565,"Yes","No"))))</f>
        <v/>
      </c>
      <c r="P565" s="17">
        <f>IF($C565="","",IF($K565="","",IF(N($K565)&gt;2,"No",IF(COUNTIFS(nrES_PID,$D565,nrES_Code,$F565,nrES_Att,"&gt;"&amp;$K565,nrES_Att,"&lt;=2",nrES_Raw,"&gt;=0")=0,"Yes","No"))))</f>
        <v/>
      </c>
      <c r="Q565" s="17">
        <f>IF($C565="","",IF($L565="","",IF(AND($K565=1,ISNUMBER($L565),$L565&lt;$J565,COUNTIFS(nrES_PID,$D565,nrES_Code,$F565,nrES_Att,2,nrES_Raw,"&gt;=0")=0),"Yes","No")))</f>
        <v/>
      </c>
      <c r="R565" s="17">
        <f>IF($C565="","",IF($L565="","",IF(AND(N($K565)&gt;=2,ISNUMBER($L565),$L565&lt;$J565),"Yes","No")))</f>
        <v/>
      </c>
      <c r="S565" s="18" t="n"/>
      <c r="T565" s="19">
        <f>IF(OR($C565="",$L565="",$K565&lt;&gt;1,NOT(ISNUMBER($L565)),$L565&gt;=$J565),"",IF($S565="","(enter date)",_xlfn.LET(_xlpm.dn,_xlfn.XLOOKUP($S565,nrCDdate,nrCDnum,"",1),IF(_xlpm.dn="","(after last class day)",_xlfn.LET(_xlpm.dd,_xlfn.XLOOKUP(_xlpm.dn+cfgRetestClassDays,nrCDnum,nrCDdate,""),_xlpm.ok,_xlfn.XLOOKUP(_xlpm.dn+cfgRetestClassDays,nrCDnum,nrCDinsession,"No"),IF(OR(_xlpm.dd="",_xlpm.ok&lt;&gt;"Yes"),"(after last class day)",_xlpm.dd))))))</f>
        <v/>
      </c>
      <c r="U565" s="17">
        <f>IF($C565="","",IF(AND($Y565="Excused",$L565="",N($K565)&lt;=1),"EXCUSED - 1st attempt pending",IF(OR($L565="",$K565&lt;&gt;1,NOT(ISNUMBER($L565)),$L565&gt;=$J565),"",IF(COUNTIFS(nrES_PID,$D565,nrES_Code,$F565,nrES_Att,2,nrES_Raw,"&gt;=0")&gt;0,IF(IFERROR(_xlfn.MINIFS(nrES_Date,nrES_PID,$D565,nrES_Code,$F565,nrES_Att,2,nrES_Raw,"&gt;=0",nrES_Date,"&gt;0"),0)=0,"RETEST UNDATED",IF(NOT(ISNUMBER($T565)),"RETEST DATE UNCHECKED",IF(_xlfn.MINIFS(nrES_Date,nrES_PID,$D565,nrES_Code,$F565,nrES_Att,2,nrES_Raw,"&gt;=0",nrES_Date,"&gt;0")&gt;$T565,"LATE RETEST "&amp;TEXT(_xlfn.MINIFS(nrES_Date,nrES_PID,$D565,nrES_Code,$F565,nrES_Att,2,nrES_Raw,"&gt;=0",nrES_Date,"&gt;0"),"mm/dd")&amp;" (due "&amp;TEXT($T565,"mm/dd")&amp;")","Retested"))),IF(NOT(ISNUMBER($T565)),"CHECK DATE",IF(TODAY()&gt;$T565,"OVERDUE","Due "&amp;TEXT($T565,"mm/dd")))))))</f>
        <v/>
      </c>
      <c r="V565" s="16" t="n"/>
      <c r="W565" s="16" t="n"/>
      <c r="X565" s="17">
        <f>IF($C565="","",IF(AND($L565&lt;&gt;"",NOT(ISNUMBER($L565))),"RAW SCORE NOT A NUMBER",IF(AND(ISNUMBER($L565),OR($L565&lt;0,$L565&gt;100)),"RAW SCORE OUT OF RANGE",IF(AND($Y565="Unexcused",OR($L565="",NOT(ISNUMBER($L565)),$L565&lt;&gt;0)),"UNEXCUSED ABSENCE MUST RECORD 0",IF(COUNTIF(nrES_RecID,$B565)&gt;1,"DUPLICATE RECORD",IF(N($K565)&gt;2,"ATTEMPT 3+ NOT ALLOWED - policy 300.5 permits one retest per exam; this row records nothing",IF(AND($K565=2,COUNTIFS(nrES_PID,$D565,nrES_Code,$F565,nrES_Att,1)=0),"ATTEMPT 2 WITHOUT ATTEMPT 1",IF(AND($K565=2,$L565=""),"RETEST ROW HAS NO SCORE",IF(AND($H565="Final",$L565&lt;&gt;"",IFERROR(INDEX(nrCKfinalExamElig,MATCH($D565,rngCadetPIDs,0)),"")="No"),"FINAL EXAM AFTER FAILED FINAL PT (500.1.H)",IF(AND($K565=2,ISNUMBER($L565),COUNTIFS(nrES_PID,$D565,nrES_Code,$F565,nrES_Att,1)&gt;0,SUMIFS(nrES_Raw,nrES_PID,$D565,nrES_Code,$F565,nrES_Att,1)&gt;=$J565),"RETEST AFTER A PASSING FIRST ATTEMPT","OK"))))))))))</f>
        <v/>
      </c>
      <c r="Y565" s="16" t="n"/>
    </row>
    <row r="566">
      <c r="B566" s="17">
        <f>IF($C566="","",$D566&amp;"-"&amp;$F566&amp;"-"&amp;$K566)</f>
        <v/>
      </c>
      <c r="C566" s="16" t="n"/>
      <c r="D566" s="17">
        <f>IF($C566="","",IFERROR(INDEX(rngCadetPIDs,MATCH($C566,rngCadetNames,0)),"?"))</f>
        <v/>
      </c>
      <c r="E566" s="17">
        <f>IF($D566="","",IFERROR(INDEX(nrCadetAgency,MATCH($D566,rngCadetPIDs,0)),""))</f>
        <v/>
      </c>
      <c r="F566" s="16" t="n"/>
      <c r="G566" s="17">
        <f>IF($F566="","",IFERROR(INDEX(rngEPname,MATCH($F566,rngEPcode,0)),"?"))</f>
        <v/>
      </c>
      <c r="H566" s="17">
        <f>IF($F566="","",IFERROR(INDEX(rngEPtype,MATCH($F566,rngEPcode,0)),"?"))</f>
        <v/>
      </c>
      <c r="I566" s="17">
        <f>IF($F566="","",IFERROR(INDEX(rngEPseq,MATCH($F566,rngEPcode,0)),""))</f>
        <v/>
      </c>
      <c r="J566" s="17">
        <f>IF($F566="","",IFERROR(INDEX(rngEPpass,MATCH($F566,rngEPcode,0)),cfgPassingScore))</f>
        <v/>
      </c>
      <c r="K566" s="16" t="n"/>
      <c r="L566" s="16" t="n"/>
      <c r="M566" s="17">
        <f>IF($C566="","",IF($L566="","",IF(NOT(ISNUMBER($L566)),$L566,IF(N($K566)&gt;2,"",IF($K566=1,IF(COUNTIFS(nrES_PID,$D566,nrES_Code,$F566,nrES_Att,2,nrES_Raw,"&gt;=0")&gt;0,"",$L566),IF($L566&gt;=$J566,MAX($J566,cfgRetakeRecordedCap),IF(COUNTIFS(nrES_PID,$D566,nrES_Code,$F566,nrES_Att,1)=0,$L566,SUMIFS(nrES_Raw,nrES_PID,$D566,nrES_Code,$F566,nrES_Att,1))))))))</f>
        <v/>
      </c>
      <c r="N566" s="17">
        <f>IF($C566="","",IF($L566="","",IF(NOT(ISNUMBER($L566)),"(not a score)",IF($L566&gt;=$J566,"Yes","No"))))</f>
        <v/>
      </c>
      <c r="O566" s="17">
        <f>IF($C566="","",IF($M566="","",IF(NOT(ISNUMBER($M566)),"(not a score)",IF($M566&gt;=$J566,"Yes","No"))))</f>
        <v/>
      </c>
      <c r="P566" s="17">
        <f>IF($C566="","",IF($K566="","",IF(N($K566)&gt;2,"No",IF(COUNTIFS(nrES_PID,$D566,nrES_Code,$F566,nrES_Att,"&gt;"&amp;$K566,nrES_Att,"&lt;=2",nrES_Raw,"&gt;=0")=0,"Yes","No"))))</f>
        <v/>
      </c>
      <c r="Q566" s="17">
        <f>IF($C566="","",IF($L566="","",IF(AND($K566=1,ISNUMBER($L566),$L566&lt;$J566,COUNTIFS(nrES_PID,$D566,nrES_Code,$F566,nrES_Att,2,nrES_Raw,"&gt;=0")=0),"Yes","No")))</f>
        <v/>
      </c>
      <c r="R566" s="17">
        <f>IF($C566="","",IF($L566="","",IF(AND(N($K566)&gt;=2,ISNUMBER($L566),$L566&lt;$J566),"Yes","No")))</f>
        <v/>
      </c>
      <c r="S566" s="18" t="n"/>
      <c r="T566" s="19">
        <f>IF(OR($C566="",$L566="",$K566&lt;&gt;1,NOT(ISNUMBER($L566)),$L566&gt;=$J566),"",IF($S566="","(enter date)",_xlfn.LET(_xlpm.dn,_xlfn.XLOOKUP($S566,nrCDdate,nrCDnum,"",1),IF(_xlpm.dn="","(after last class day)",_xlfn.LET(_xlpm.dd,_xlfn.XLOOKUP(_xlpm.dn+cfgRetestClassDays,nrCDnum,nrCDdate,""),_xlpm.ok,_xlfn.XLOOKUP(_xlpm.dn+cfgRetestClassDays,nrCDnum,nrCDinsession,"No"),IF(OR(_xlpm.dd="",_xlpm.ok&lt;&gt;"Yes"),"(after last class day)",_xlpm.dd))))))</f>
        <v/>
      </c>
      <c r="U566" s="17">
        <f>IF($C566="","",IF(AND($Y566="Excused",$L566="",N($K566)&lt;=1),"EXCUSED - 1st attempt pending",IF(OR($L566="",$K566&lt;&gt;1,NOT(ISNUMBER($L566)),$L566&gt;=$J566),"",IF(COUNTIFS(nrES_PID,$D566,nrES_Code,$F566,nrES_Att,2,nrES_Raw,"&gt;=0")&gt;0,IF(IFERROR(_xlfn.MINIFS(nrES_Date,nrES_PID,$D566,nrES_Code,$F566,nrES_Att,2,nrES_Raw,"&gt;=0",nrES_Date,"&gt;0"),0)=0,"RETEST UNDATED",IF(NOT(ISNUMBER($T566)),"RETEST DATE UNCHECKED",IF(_xlfn.MINIFS(nrES_Date,nrES_PID,$D566,nrES_Code,$F566,nrES_Att,2,nrES_Raw,"&gt;=0",nrES_Date,"&gt;0")&gt;$T566,"LATE RETEST "&amp;TEXT(_xlfn.MINIFS(nrES_Date,nrES_PID,$D566,nrES_Code,$F566,nrES_Att,2,nrES_Raw,"&gt;=0",nrES_Date,"&gt;0"),"mm/dd")&amp;" (due "&amp;TEXT($T566,"mm/dd")&amp;")","Retested"))),IF(NOT(ISNUMBER($T566)),"CHECK DATE",IF(TODAY()&gt;$T566,"OVERDUE","Due "&amp;TEXT($T566,"mm/dd")))))))</f>
        <v/>
      </c>
      <c r="V566" s="16" t="n"/>
      <c r="W566" s="16" t="n"/>
      <c r="X566" s="17">
        <f>IF($C566="","",IF(AND($L566&lt;&gt;"",NOT(ISNUMBER($L566))),"RAW SCORE NOT A NUMBER",IF(AND(ISNUMBER($L566),OR($L566&lt;0,$L566&gt;100)),"RAW SCORE OUT OF RANGE",IF(AND($Y566="Unexcused",OR($L566="",NOT(ISNUMBER($L566)),$L566&lt;&gt;0)),"UNEXCUSED ABSENCE MUST RECORD 0",IF(COUNTIF(nrES_RecID,$B566)&gt;1,"DUPLICATE RECORD",IF(N($K566)&gt;2,"ATTEMPT 3+ NOT ALLOWED - policy 300.5 permits one retest per exam; this row records nothing",IF(AND($K566=2,COUNTIFS(nrES_PID,$D566,nrES_Code,$F566,nrES_Att,1)=0),"ATTEMPT 2 WITHOUT ATTEMPT 1",IF(AND($K566=2,$L566=""),"RETEST ROW HAS NO SCORE",IF(AND($H566="Final",$L566&lt;&gt;"",IFERROR(INDEX(nrCKfinalExamElig,MATCH($D566,rngCadetPIDs,0)),"")="No"),"FINAL EXAM AFTER FAILED FINAL PT (500.1.H)",IF(AND($K566=2,ISNUMBER($L566),COUNTIFS(nrES_PID,$D566,nrES_Code,$F566,nrES_Att,1)&gt;0,SUMIFS(nrES_Raw,nrES_PID,$D566,nrES_Code,$F566,nrES_Att,1)&gt;=$J566),"RETEST AFTER A PASSING FIRST ATTEMPT","OK"))))))))))</f>
        <v/>
      </c>
      <c r="Y566" s="16" t="n"/>
    </row>
    <row r="567">
      <c r="B567" s="17">
        <f>IF($C567="","",$D567&amp;"-"&amp;$F567&amp;"-"&amp;$K567)</f>
        <v/>
      </c>
      <c r="C567" s="16" t="n"/>
      <c r="D567" s="17">
        <f>IF($C567="","",IFERROR(INDEX(rngCadetPIDs,MATCH($C567,rngCadetNames,0)),"?"))</f>
        <v/>
      </c>
      <c r="E567" s="17">
        <f>IF($D567="","",IFERROR(INDEX(nrCadetAgency,MATCH($D567,rngCadetPIDs,0)),""))</f>
        <v/>
      </c>
      <c r="F567" s="16" t="n"/>
      <c r="G567" s="17">
        <f>IF($F567="","",IFERROR(INDEX(rngEPname,MATCH($F567,rngEPcode,0)),"?"))</f>
        <v/>
      </c>
      <c r="H567" s="17">
        <f>IF($F567="","",IFERROR(INDEX(rngEPtype,MATCH($F567,rngEPcode,0)),"?"))</f>
        <v/>
      </c>
      <c r="I567" s="17">
        <f>IF($F567="","",IFERROR(INDEX(rngEPseq,MATCH($F567,rngEPcode,0)),""))</f>
        <v/>
      </c>
      <c r="J567" s="17">
        <f>IF($F567="","",IFERROR(INDEX(rngEPpass,MATCH($F567,rngEPcode,0)),cfgPassingScore))</f>
        <v/>
      </c>
      <c r="K567" s="16" t="n"/>
      <c r="L567" s="16" t="n"/>
      <c r="M567" s="17">
        <f>IF($C567="","",IF($L567="","",IF(NOT(ISNUMBER($L567)),$L567,IF(N($K567)&gt;2,"",IF($K567=1,IF(COUNTIFS(nrES_PID,$D567,nrES_Code,$F567,nrES_Att,2,nrES_Raw,"&gt;=0")&gt;0,"",$L567),IF($L567&gt;=$J567,MAX($J567,cfgRetakeRecordedCap),IF(COUNTIFS(nrES_PID,$D567,nrES_Code,$F567,nrES_Att,1)=0,$L567,SUMIFS(nrES_Raw,nrES_PID,$D567,nrES_Code,$F567,nrES_Att,1))))))))</f>
        <v/>
      </c>
      <c r="N567" s="17">
        <f>IF($C567="","",IF($L567="","",IF(NOT(ISNUMBER($L567)),"(not a score)",IF($L567&gt;=$J567,"Yes","No"))))</f>
        <v/>
      </c>
      <c r="O567" s="17">
        <f>IF($C567="","",IF($M567="","",IF(NOT(ISNUMBER($M567)),"(not a score)",IF($M567&gt;=$J567,"Yes","No"))))</f>
        <v/>
      </c>
      <c r="P567" s="17">
        <f>IF($C567="","",IF($K567="","",IF(N($K567)&gt;2,"No",IF(COUNTIFS(nrES_PID,$D567,nrES_Code,$F567,nrES_Att,"&gt;"&amp;$K567,nrES_Att,"&lt;=2",nrES_Raw,"&gt;=0")=0,"Yes","No"))))</f>
        <v/>
      </c>
      <c r="Q567" s="17">
        <f>IF($C567="","",IF($L567="","",IF(AND($K567=1,ISNUMBER($L567),$L567&lt;$J567,COUNTIFS(nrES_PID,$D567,nrES_Code,$F567,nrES_Att,2,nrES_Raw,"&gt;=0")=0),"Yes","No")))</f>
        <v/>
      </c>
      <c r="R567" s="17">
        <f>IF($C567="","",IF($L567="","",IF(AND(N($K567)&gt;=2,ISNUMBER($L567),$L567&lt;$J567),"Yes","No")))</f>
        <v/>
      </c>
      <c r="S567" s="18" t="n"/>
      <c r="T567" s="19">
        <f>IF(OR($C567="",$L567="",$K567&lt;&gt;1,NOT(ISNUMBER($L567)),$L567&gt;=$J567),"",IF($S567="","(enter date)",_xlfn.LET(_xlpm.dn,_xlfn.XLOOKUP($S567,nrCDdate,nrCDnum,"",1),IF(_xlpm.dn="","(after last class day)",_xlfn.LET(_xlpm.dd,_xlfn.XLOOKUP(_xlpm.dn+cfgRetestClassDays,nrCDnum,nrCDdate,""),_xlpm.ok,_xlfn.XLOOKUP(_xlpm.dn+cfgRetestClassDays,nrCDnum,nrCDinsession,"No"),IF(OR(_xlpm.dd="",_xlpm.ok&lt;&gt;"Yes"),"(after last class day)",_xlpm.dd))))))</f>
        <v/>
      </c>
      <c r="U567" s="17">
        <f>IF($C567="","",IF(AND($Y567="Excused",$L567="",N($K567)&lt;=1),"EXCUSED - 1st attempt pending",IF(OR($L567="",$K567&lt;&gt;1,NOT(ISNUMBER($L567)),$L567&gt;=$J567),"",IF(COUNTIFS(nrES_PID,$D567,nrES_Code,$F567,nrES_Att,2,nrES_Raw,"&gt;=0")&gt;0,IF(IFERROR(_xlfn.MINIFS(nrES_Date,nrES_PID,$D567,nrES_Code,$F567,nrES_Att,2,nrES_Raw,"&gt;=0",nrES_Date,"&gt;0"),0)=0,"RETEST UNDATED",IF(NOT(ISNUMBER($T567)),"RETEST DATE UNCHECKED",IF(_xlfn.MINIFS(nrES_Date,nrES_PID,$D567,nrES_Code,$F567,nrES_Att,2,nrES_Raw,"&gt;=0",nrES_Date,"&gt;0")&gt;$T567,"LATE RETEST "&amp;TEXT(_xlfn.MINIFS(nrES_Date,nrES_PID,$D567,nrES_Code,$F567,nrES_Att,2,nrES_Raw,"&gt;=0",nrES_Date,"&gt;0"),"mm/dd")&amp;" (due "&amp;TEXT($T567,"mm/dd")&amp;")","Retested"))),IF(NOT(ISNUMBER($T567)),"CHECK DATE",IF(TODAY()&gt;$T567,"OVERDUE","Due "&amp;TEXT($T567,"mm/dd")))))))</f>
        <v/>
      </c>
      <c r="V567" s="16" t="n"/>
      <c r="W567" s="16" t="n"/>
      <c r="X567" s="17">
        <f>IF($C567="","",IF(AND($L567&lt;&gt;"",NOT(ISNUMBER($L567))),"RAW SCORE NOT A NUMBER",IF(AND(ISNUMBER($L567),OR($L567&lt;0,$L567&gt;100)),"RAW SCORE OUT OF RANGE",IF(AND($Y567="Unexcused",OR($L567="",NOT(ISNUMBER($L567)),$L567&lt;&gt;0)),"UNEXCUSED ABSENCE MUST RECORD 0",IF(COUNTIF(nrES_RecID,$B567)&gt;1,"DUPLICATE RECORD",IF(N($K567)&gt;2,"ATTEMPT 3+ NOT ALLOWED - policy 300.5 permits one retest per exam; this row records nothing",IF(AND($K567=2,COUNTIFS(nrES_PID,$D567,nrES_Code,$F567,nrES_Att,1)=0),"ATTEMPT 2 WITHOUT ATTEMPT 1",IF(AND($K567=2,$L567=""),"RETEST ROW HAS NO SCORE",IF(AND($H567="Final",$L567&lt;&gt;"",IFERROR(INDEX(nrCKfinalExamElig,MATCH($D567,rngCadetPIDs,0)),"")="No"),"FINAL EXAM AFTER FAILED FINAL PT (500.1.H)",IF(AND($K567=2,ISNUMBER($L567),COUNTIFS(nrES_PID,$D567,nrES_Code,$F567,nrES_Att,1)&gt;0,SUMIFS(nrES_Raw,nrES_PID,$D567,nrES_Code,$F567,nrES_Att,1)&gt;=$J567),"RETEST AFTER A PASSING FIRST ATTEMPT","OK"))))))))))</f>
        <v/>
      </c>
      <c r="Y567" s="16" t="n"/>
    </row>
    <row r="568">
      <c r="B568" s="17">
        <f>IF($C568="","",$D568&amp;"-"&amp;$F568&amp;"-"&amp;$K568)</f>
        <v/>
      </c>
      <c r="C568" s="16" t="n"/>
      <c r="D568" s="17">
        <f>IF($C568="","",IFERROR(INDEX(rngCadetPIDs,MATCH($C568,rngCadetNames,0)),"?"))</f>
        <v/>
      </c>
      <c r="E568" s="17">
        <f>IF($D568="","",IFERROR(INDEX(nrCadetAgency,MATCH($D568,rngCadetPIDs,0)),""))</f>
        <v/>
      </c>
      <c r="F568" s="16" t="n"/>
      <c r="G568" s="17">
        <f>IF($F568="","",IFERROR(INDEX(rngEPname,MATCH($F568,rngEPcode,0)),"?"))</f>
        <v/>
      </c>
      <c r="H568" s="17">
        <f>IF($F568="","",IFERROR(INDEX(rngEPtype,MATCH($F568,rngEPcode,0)),"?"))</f>
        <v/>
      </c>
      <c r="I568" s="17">
        <f>IF($F568="","",IFERROR(INDEX(rngEPseq,MATCH($F568,rngEPcode,0)),""))</f>
        <v/>
      </c>
      <c r="J568" s="17">
        <f>IF($F568="","",IFERROR(INDEX(rngEPpass,MATCH($F568,rngEPcode,0)),cfgPassingScore))</f>
        <v/>
      </c>
      <c r="K568" s="16" t="n"/>
      <c r="L568" s="16" t="n"/>
      <c r="M568" s="17">
        <f>IF($C568="","",IF($L568="","",IF(NOT(ISNUMBER($L568)),$L568,IF(N($K568)&gt;2,"",IF($K568=1,IF(COUNTIFS(nrES_PID,$D568,nrES_Code,$F568,nrES_Att,2,nrES_Raw,"&gt;=0")&gt;0,"",$L568),IF($L568&gt;=$J568,MAX($J568,cfgRetakeRecordedCap),IF(COUNTIFS(nrES_PID,$D568,nrES_Code,$F568,nrES_Att,1)=0,$L568,SUMIFS(nrES_Raw,nrES_PID,$D568,nrES_Code,$F568,nrES_Att,1))))))))</f>
        <v/>
      </c>
      <c r="N568" s="17">
        <f>IF($C568="","",IF($L568="","",IF(NOT(ISNUMBER($L568)),"(not a score)",IF($L568&gt;=$J568,"Yes","No"))))</f>
        <v/>
      </c>
      <c r="O568" s="17">
        <f>IF($C568="","",IF($M568="","",IF(NOT(ISNUMBER($M568)),"(not a score)",IF($M568&gt;=$J568,"Yes","No"))))</f>
        <v/>
      </c>
      <c r="P568" s="17">
        <f>IF($C568="","",IF($K568="","",IF(N($K568)&gt;2,"No",IF(COUNTIFS(nrES_PID,$D568,nrES_Code,$F568,nrES_Att,"&gt;"&amp;$K568,nrES_Att,"&lt;=2",nrES_Raw,"&gt;=0")=0,"Yes","No"))))</f>
        <v/>
      </c>
      <c r="Q568" s="17">
        <f>IF($C568="","",IF($L568="","",IF(AND($K568=1,ISNUMBER($L568),$L568&lt;$J568,COUNTIFS(nrES_PID,$D568,nrES_Code,$F568,nrES_Att,2,nrES_Raw,"&gt;=0")=0),"Yes","No")))</f>
        <v/>
      </c>
      <c r="R568" s="17">
        <f>IF($C568="","",IF($L568="","",IF(AND(N($K568)&gt;=2,ISNUMBER($L568),$L568&lt;$J568),"Yes","No")))</f>
        <v/>
      </c>
      <c r="S568" s="18" t="n"/>
      <c r="T568" s="19">
        <f>IF(OR($C568="",$L568="",$K568&lt;&gt;1,NOT(ISNUMBER($L568)),$L568&gt;=$J568),"",IF($S568="","(enter date)",_xlfn.LET(_xlpm.dn,_xlfn.XLOOKUP($S568,nrCDdate,nrCDnum,"",1),IF(_xlpm.dn="","(after last class day)",_xlfn.LET(_xlpm.dd,_xlfn.XLOOKUP(_xlpm.dn+cfgRetestClassDays,nrCDnum,nrCDdate,""),_xlpm.ok,_xlfn.XLOOKUP(_xlpm.dn+cfgRetestClassDays,nrCDnum,nrCDinsession,"No"),IF(OR(_xlpm.dd="",_xlpm.ok&lt;&gt;"Yes"),"(after last class day)",_xlpm.dd))))))</f>
        <v/>
      </c>
      <c r="U568" s="17">
        <f>IF($C568="","",IF(AND($Y568="Excused",$L568="",N($K568)&lt;=1),"EXCUSED - 1st attempt pending",IF(OR($L568="",$K568&lt;&gt;1,NOT(ISNUMBER($L568)),$L568&gt;=$J568),"",IF(COUNTIFS(nrES_PID,$D568,nrES_Code,$F568,nrES_Att,2,nrES_Raw,"&gt;=0")&gt;0,IF(IFERROR(_xlfn.MINIFS(nrES_Date,nrES_PID,$D568,nrES_Code,$F568,nrES_Att,2,nrES_Raw,"&gt;=0",nrES_Date,"&gt;0"),0)=0,"RETEST UNDATED",IF(NOT(ISNUMBER($T568)),"RETEST DATE UNCHECKED",IF(_xlfn.MINIFS(nrES_Date,nrES_PID,$D568,nrES_Code,$F568,nrES_Att,2,nrES_Raw,"&gt;=0",nrES_Date,"&gt;0")&gt;$T568,"LATE RETEST "&amp;TEXT(_xlfn.MINIFS(nrES_Date,nrES_PID,$D568,nrES_Code,$F568,nrES_Att,2,nrES_Raw,"&gt;=0",nrES_Date,"&gt;0"),"mm/dd")&amp;" (due "&amp;TEXT($T568,"mm/dd")&amp;")","Retested"))),IF(NOT(ISNUMBER($T568)),"CHECK DATE",IF(TODAY()&gt;$T568,"OVERDUE","Due "&amp;TEXT($T568,"mm/dd")))))))</f>
        <v/>
      </c>
      <c r="V568" s="16" t="n"/>
      <c r="W568" s="16" t="n"/>
      <c r="X568" s="17">
        <f>IF($C568="","",IF(AND($L568&lt;&gt;"",NOT(ISNUMBER($L568))),"RAW SCORE NOT A NUMBER",IF(AND(ISNUMBER($L568),OR($L568&lt;0,$L568&gt;100)),"RAW SCORE OUT OF RANGE",IF(AND($Y568="Unexcused",OR($L568="",NOT(ISNUMBER($L568)),$L568&lt;&gt;0)),"UNEXCUSED ABSENCE MUST RECORD 0",IF(COUNTIF(nrES_RecID,$B568)&gt;1,"DUPLICATE RECORD",IF(N($K568)&gt;2,"ATTEMPT 3+ NOT ALLOWED - policy 300.5 permits one retest per exam; this row records nothing",IF(AND($K568=2,COUNTIFS(nrES_PID,$D568,nrES_Code,$F568,nrES_Att,1)=0),"ATTEMPT 2 WITHOUT ATTEMPT 1",IF(AND($K568=2,$L568=""),"RETEST ROW HAS NO SCORE",IF(AND($H568="Final",$L568&lt;&gt;"",IFERROR(INDEX(nrCKfinalExamElig,MATCH($D568,rngCadetPIDs,0)),"")="No"),"FINAL EXAM AFTER FAILED FINAL PT (500.1.H)",IF(AND($K568=2,ISNUMBER($L568),COUNTIFS(nrES_PID,$D568,nrES_Code,$F568,nrES_Att,1)&gt;0,SUMIFS(nrES_Raw,nrES_PID,$D568,nrES_Code,$F568,nrES_Att,1)&gt;=$J568),"RETEST AFTER A PASSING FIRST ATTEMPT","OK"))))))))))</f>
        <v/>
      </c>
      <c r="Y568" s="16" t="n"/>
    </row>
    <row r="569">
      <c r="B569" s="17">
        <f>IF($C569="","",$D569&amp;"-"&amp;$F569&amp;"-"&amp;$K569)</f>
        <v/>
      </c>
      <c r="C569" s="16" t="n"/>
      <c r="D569" s="17">
        <f>IF($C569="","",IFERROR(INDEX(rngCadetPIDs,MATCH($C569,rngCadetNames,0)),"?"))</f>
        <v/>
      </c>
      <c r="E569" s="17">
        <f>IF($D569="","",IFERROR(INDEX(nrCadetAgency,MATCH($D569,rngCadetPIDs,0)),""))</f>
        <v/>
      </c>
      <c r="F569" s="16" t="n"/>
      <c r="G569" s="17">
        <f>IF($F569="","",IFERROR(INDEX(rngEPname,MATCH($F569,rngEPcode,0)),"?"))</f>
        <v/>
      </c>
      <c r="H569" s="17">
        <f>IF($F569="","",IFERROR(INDEX(rngEPtype,MATCH($F569,rngEPcode,0)),"?"))</f>
        <v/>
      </c>
      <c r="I569" s="17">
        <f>IF($F569="","",IFERROR(INDEX(rngEPseq,MATCH($F569,rngEPcode,0)),""))</f>
        <v/>
      </c>
      <c r="J569" s="17">
        <f>IF($F569="","",IFERROR(INDEX(rngEPpass,MATCH($F569,rngEPcode,0)),cfgPassingScore))</f>
        <v/>
      </c>
      <c r="K569" s="16" t="n"/>
      <c r="L569" s="16" t="n"/>
      <c r="M569" s="17">
        <f>IF($C569="","",IF($L569="","",IF(NOT(ISNUMBER($L569)),$L569,IF(N($K569)&gt;2,"",IF($K569=1,IF(COUNTIFS(nrES_PID,$D569,nrES_Code,$F569,nrES_Att,2,nrES_Raw,"&gt;=0")&gt;0,"",$L569),IF($L569&gt;=$J569,MAX($J569,cfgRetakeRecordedCap),IF(COUNTIFS(nrES_PID,$D569,nrES_Code,$F569,nrES_Att,1)=0,$L569,SUMIFS(nrES_Raw,nrES_PID,$D569,nrES_Code,$F569,nrES_Att,1))))))))</f>
        <v/>
      </c>
      <c r="N569" s="17">
        <f>IF($C569="","",IF($L569="","",IF(NOT(ISNUMBER($L569)),"(not a score)",IF($L569&gt;=$J569,"Yes","No"))))</f>
        <v/>
      </c>
      <c r="O569" s="17">
        <f>IF($C569="","",IF($M569="","",IF(NOT(ISNUMBER($M569)),"(not a score)",IF($M569&gt;=$J569,"Yes","No"))))</f>
        <v/>
      </c>
      <c r="P569" s="17">
        <f>IF($C569="","",IF($K569="","",IF(N($K569)&gt;2,"No",IF(COUNTIFS(nrES_PID,$D569,nrES_Code,$F569,nrES_Att,"&gt;"&amp;$K569,nrES_Att,"&lt;=2",nrES_Raw,"&gt;=0")=0,"Yes","No"))))</f>
        <v/>
      </c>
      <c r="Q569" s="17">
        <f>IF($C569="","",IF($L569="","",IF(AND($K569=1,ISNUMBER($L569),$L569&lt;$J569,COUNTIFS(nrES_PID,$D569,nrES_Code,$F569,nrES_Att,2,nrES_Raw,"&gt;=0")=0),"Yes","No")))</f>
        <v/>
      </c>
      <c r="R569" s="17">
        <f>IF($C569="","",IF($L569="","",IF(AND(N($K569)&gt;=2,ISNUMBER($L569),$L569&lt;$J569),"Yes","No")))</f>
        <v/>
      </c>
      <c r="S569" s="18" t="n"/>
      <c r="T569" s="19">
        <f>IF(OR($C569="",$L569="",$K569&lt;&gt;1,NOT(ISNUMBER($L569)),$L569&gt;=$J569),"",IF($S569="","(enter date)",_xlfn.LET(_xlpm.dn,_xlfn.XLOOKUP($S569,nrCDdate,nrCDnum,"",1),IF(_xlpm.dn="","(after last class day)",_xlfn.LET(_xlpm.dd,_xlfn.XLOOKUP(_xlpm.dn+cfgRetestClassDays,nrCDnum,nrCDdate,""),_xlpm.ok,_xlfn.XLOOKUP(_xlpm.dn+cfgRetestClassDays,nrCDnum,nrCDinsession,"No"),IF(OR(_xlpm.dd="",_xlpm.ok&lt;&gt;"Yes"),"(after last class day)",_xlpm.dd))))))</f>
        <v/>
      </c>
      <c r="U569" s="17">
        <f>IF($C569="","",IF(AND($Y569="Excused",$L569="",N($K569)&lt;=1),"EXCUSED - 1st attempt pending",IF(OR($L569="",$K569&lt;&gt;1,NOT(ISNUMBER($L569)),$L569&gt;=$J569),"",IF(COUNTIFS(nrES_PID,$D569,nrES_Code,$F569,nrES_Att,2,nrES_Raw,"&gt;=0")&gt;0,IF(IFERROR(_xlfn.MINIFS(nrES_Date,nrES_PID,$D569,nrES_Code,$F569,nrES_Att,2,nrES_Raw,"&gt;=0",nrES_Date,"&gt;0"),0)=0,"RETEST UNDATED",IF(NOT(ISNUMBER($T569)),"RETEST DATE UNCHECKED",IF(_xlfn.MINIFS(nrES_Date,nrES_PID,$D569,nrES_Code,$F569,nrES_Att,2,nrES_Raw,"&gt;=0",nrES_Date,"&gt;0")&gt;$T569,"LATE RETEST "&amp;TEXT(_xlfn.MINIFS(nrES_Date,nrES_PID,$D569,nrES_Code,$F569,nrES_Att,2,nrES_Raw,"&gt;=0",nrES_Date,"&gt;0"),"mm/dd")&amp;" (due "&amp;TEXT($T569,"mm/dd")&amp;")","Retested"))),IF(NOT(ISNUMBER($T569)),"CHECK DATE",IF(TODAY()&gt;$T569,"OVERDUE","Due "&amp;TEXT($T569,"mm/dd")))))))</f>
        <v/>
      </c>
      <c r="V569" s="16" t="n"/>
      <c r="W569" s="16" t="n"/>
      <c r="X569" s="17">
        <f>IF($C569="","",IF(AND($L569&lt;&gt;"",NOT(ISNUMBER($L569))),"RAW SCORE NOT A NUMBER",IF(AND(ISNUMBER($L569),OR($L569&lt;0,$L569&gt;100)),"RAW SCORE OUT OF RANGE",IF(AND($Y569="Unexcused",OR($L569="",NOT(ISNUMBER($L569)),$L569&lt;&gt;0)),"UNEXCUSED ABSENCE MUST RECORD 0",IF(COUNTIF(nrES_RecID,$B569)&gt;1,"DUPLICATE RECORD",IF(N($K569)&gt;2,"ATTEMPT 3+ NOT ALLOWED - policy 300.5 permits one retest per exam; this row records nothing",IF(AND($K569=2,COUNTIFS(nrES_PID,$D569,nrES_Code,$F569,nrES_Att,1)=0),"ATTEMPT 2 WITHOUT ATTEMPT 1",IF(AND($K569=2,$L569=""),"RETEST ROW HAS NO SCORE",IF(AND($H569="Final",$L569&lt;&gt;"",IFERROR(INDEX(nrCKfinalExamElig,MATCH($D569,rngCadetPIDs,0)),"")="No"),"FINAL EXAM AFTER FAILED FINAL PT (500.1.H)",IF(AND($K569=2,ISNUMBER($L569),COUNTIFS(nrES_PID,$D569,nrES_Code,$F569,nrES_Att,1)&gt;0,SUMIFS(nrES_Raw,nrES_PID,$D569,nrES_Code,$F569,nrES_Att,1)&gt;=$J569),"RETEST AFTER A PASSING FIRST ATTEMPT","OK"))))))))))</f>
        <v/>
      </c>
      <c r="Y569" s="16" t="n"/>
    </row>
    <row r="570">
      <c r="B570" s="17">
        <f>IF($C570="","",$D570&amp;"-"&amp;$F570&amp;"-"&amp;$K570)</f>
        <v/>
      </c>
      <c r="C570" s="16" t="n"/>
      <c r="D570" s="17">
        <f>IF($C570="","",IFERROR(INDEX(rngCadetPIDs,MATCH($C570,rngCadetNames,0)),"?"))</f>
        <v/>
      </c>
      <c r="E570" s="17">
        <f>IF($D570="","",IFERROR(INDEX(nrCadetAgency,MATCH($D570,rngCadetPIDs,0)),""))</f>
        <v/>
      </c>
      <c r="F570" s="16" t="n"/>
      <c r="G570" s="17">
        <f>IF($F570="","",IFERROR(INDEX(rngEPname,MATCH($F570,rngEPcode,0)),"?"))</f>
        <v/>
      </c>
      <c r="H570" s="17">
        <f>IF($F570="","",IFERROR(INDEX(rngEPtype,MATCH($F570,rngEPcode,0)),"?"))</f>
        <v/>
      </c>
      <c r="I570" s="17">
        <f>IF($F570="","",IFERROR(INDEX(rngEPseq,MATCH($F570,rngEPcode,0)),""))</f>
        <v/>
      </c>
      <c r="J570" s="17">
        <f>IF($F570="","",IFERROR(INDEX(rngEPpass,MATCH($F570,rngEPcode,0)),cfgPassingScore))</f>
        <v/>
      </c>
      <c r="K570" s="16" t="n"/>
      <c r="L570" s="16" t="n"/>
      <c r="M570" s="17">
        <f>IF($C570="","",IF($L570="","",IF(NOT(ISNUMBER($L570)),$L570,IF(N($K570)&gt;2,"",IF($K570=1,IF(COUNTIFS(nrES_PID,$D570,nrES_Code,$F570,nrES_Att,2,nrES_Raw,"&gt;=0")&gt;0,"",$L570),IF($L570&gt;=$J570,MAX($J570,cfgRetakeRecordedCap),IF(COUNTIFS(nrES_PID,$D570,nrES_Code,$F570,nrES_Att,1)=0,$L570,SUMIFS(nrES_Raw,nrES_PID,$D570,nrES_Code,$F570,nrES_Att,1))))))))</f>
        <v/>
      </c>
      <c r="N570" s="17">
        <f>IF($C570="","",IF($L570="","",IF(NOT(ISNUMBER($L570)),"(not a score)",IF($L570&gt;=$J570,"Yes","No"))))</f>
        <v/>
      </c>
      <c r="O570" s="17">
        <f>IF($C570="","",IF($M570="","",IF(NOT(ISNUMBER($M570)),"(not a score)",IF($M570&gt;=$J570,"Yes","No"))))</f>
        <v/>
      </c>
      <c r="P570" s="17">
        <f>IF($C570="","",IF($K570="","",IF(N($K570)&gt;2,"No",IF(COUNTIFS(nrES_PID,$D570,nrES_Code,$F570,nrES_Att,"&gt;"&amp;$K570,nrES_Att,"&lt;=2",nrES_Raw,"&gt;=0")=0,"Yes","No"))))</f>
        <v/>
      </c>
      <c r="Q570" s="17">
        <f>IF($C570="","",IF($L570="","",IF(AND($K570=1,ISNUMBER($L570),$L570&lt;$J570,COUNTIFS(nrES_PID,$D570,nrES_Code,$F570,nrES_Att,2,nrES_Raw,"&gt;=0")=0),"Yes","No")))</f>
        <v/>
      </c>
      <c r="R570" s="17">
        <f>IF($C570="","",IF($L570="","",IF(AND(N($K570)&gt;=2,ISNUMBER($L570),$L570&lt;$J570),"Yes","No")))</f>
        <v/>
      </c>
      <c r="S570" s="18" t="n"/>
      <c r="T570" s="19">
        <f>IF(OR($C570="",$L570="",$K570&lt;&gt;1,NOT(ISNUMBER($L570)),$L570&gt;=$J570),"",IF($S570="","(enter date)",_xlfn.LET(_xlpm.dn,_xlfn.XLOOKUP($S570,nrCDdate,nrCDnum,"",1),IF(_xlpm.dn="","(after last class day)",_xlfn.LET(_xlpm.dd,_xlfn.XLOOKUP(_xlpm.dn+cfgRetestClassDays,nrCDnum,nrCDdate,""),_xlpm.ok,_xlfn.XLOOKUP(_xlpm.dn+cfgRetestClassDays,nrCDnum,nrCDinsession,"No"),IF(OR(_xlpm.dd="",_xlpm.ok&lt;&gt;"Yes"),"(after last class day)",_xlpm.dd))))))</f>
        <v/>
      </c>
      <c r="U570" s="17">
        <f>IF($C570="","",IF(AND($Y570="Excused",$L570="",N($K570)&lt;=1),"EXCUSED - 1st attempt pending",IF(OR($L570="",$K570&lt;&gt;1,NOT(ISNUMBER($L570)),$L570&gt;=$J570),"",IF(COUNTIFS(nrES_PID,$D570,nrES_Code,$F570,nrES_Att,2,nrES_Raw,"&gt;=0")&gt;0,IF(IFERROR(_xlfn.MINIFS(nrES_Date,nrES_PID,$D570,nrES_Code,$F570,nrES_Att,2,nrES_Raw,"&gt;=0",nrES_Date,"&gt;0"),0)=0,"RETEST UNDATED",IF(NOT(ISNUMBER($T570)),"RETEST DATE UNCHECKED",IF(_xlfn.MINIFS(nrES_Date,nrES_PID,$D570,nrES_Code,$F570,nrES_Att,2,nrES_Raw,"&gt;=0",nrES_Date,"&gt;0")&gt;$T570,"LATE RETEST "&amp;TEXT(_xlfn.MINIFS(nrES_Date,nrES_PID,$D570,nrES_Code,$F570,nrES_Att,2,nrES_Raw,"&gt;=0",nrES_Date,"&gt;0"),"mm/dd")&amp;" (due "&amp;TEXT($T570,"mm/dd")&amp;")","Retested"))),IF(NOT(ISNUMBER($T570)),"CHECK DATE",IF(TODAY()&gt;$T570,"OVERDUE","Due "&amp;TEXT($T570,"mm/dd")))))))</f>
        <v/>
      </c>
      <c r="V570" s="16" t="n"/>
      <c r="W570" s="16" t="n"/>
      <c r="X570" s="17">
        <f>IF($C570="","",IF(AND($L570&lt;&gt;"",NOT(ISNUMBER($L570))),"RAW SCORE NOT A NUMBER",IF(AND(ISNUMBER($L570),OR($L570&lt;0,$L570&gt;100)),"RAW SCORE OUT OF RANGE",IF(AND($Y570="Unexcused",OR($L570="",NOT(ISNUMBER($L570)),$L570&lt;&gt;0)),"UNEXCUSED ABSENCE MUST RECORD 0",IF(COUNTIF(nrES_RecID,$B570)&gt;1,"DUPLICATE RECORD",IF(N($K570)&gt;2,"ATTEMPT 3+ NOT ALLOWED - policy 300.5 permits one retest per exam; this row records nothing",IF(AND($K570=2,COUNTIFS(nrES_PID,$D570,nrES_Code,$F570,nrES_Att,1)=0),"ATTEMPT 2 WITHOUT ATTEMPT 1",IF(AND($K570=2,$L570=""),"RETEST ROW HAS NO SCORE",IF(AND($H570="Final",$L570&lt;&gt;"",IFERROR(INDEX(nrCKfinalExamElig,MATCH($D570,rngCadetPIDs,0)),"")="No"),"FINAL EXAM AFTER FAILED FINAL PT (500.1.H)",IF(AND($K570=2,ISNUMBER($L570),COUNTIFS(nrES_PID,$D570,nrES_Code,$F570,nrES_Att,1)&gt;0,SUMIFS(nrES_Raw,nrES_PID,$D570,nrES_Code,$F570,nrES_Att,1)&gt;=$J570),"RETEST AFTER A PASSING FIRST ATTEMPT","OK"))))))))))</f>
        <v/>
      </c>
      <c r="Y570" s="16" t="n"/>
    </row>
    <row r="571">
      <c r="B571" s="17">
        <f>IF($C571="","",$D571&amp;"-"&amp;$F571&amp;"-"&amp;$K571)</f>
        <v/>
      </c>
      <c r="C571" s="16" t="n"/>
      <c r="D571" s="17">
        <f>IF($C571="","",IFERROR(INDEX(rngCadetPIDs,MATCH($C571,rngCadetNames,0)),"?"))</f>
        <v/>
      </c>
      <c r="E571" s="17">
        <f>IF($D571="","",IFERROR(INDEX(nrCadetAgency,MATCH($D571,rngCadetPIDs,0)),""))</f>
        <v/>
      </c>
      <c r="F571" s="16" t="n"/>
      <c r="G571" s="17">
        <f>IF($F571="","",IFERROR(INDEX(rngEPname,MATCH($F571,rngEPcode,0)),"?"))</f>
        <v/>
      </c>
      <c r="H571" s="17">
        <f>IF($F571="","",IFERROR(INDEX(rngEPtype,MATCH($F571,rngEPcode,0)),"?"))</f>
        <v/>
      </c>
      <c r="I571" s="17">
        <f>IF($F571="","",IFERROR(INDEX(rngEPseq,MATCH($F571,rngEPcode,0)),""))</f>
        <v/>
      </c>
      <c r="J571" s="17">
        <f>IF($F571="","",IFERROR(INDEX(rngEPpass,MATCH($F571,rngEPcode,0)),cfgPassingScore))</f>
        <v/>
      </c>
      <c r="K571" s="16" t="n"/>
      <c r="L571" s="16" t="n"/>
      <c r="M571" s="17">
        <f>IF($C571="","",IF($L571="","",IF(NOT(ISNUMBER($L571)),$L571,IF(N($K571)&gt;2,"",IF($K571=1,IF(COUNTIFS(nrES_PID,$D571,nrES_Code,$F571,nrES_Att,2,nrES_Raw,"&gt;=0")&gt;0,"",$L571),IF($L571&gt;=$J571,MAX($J571,cfgRetakeRecordedCap),IF(COUNTIFS(nrES_PID,$D571,nrES_Code,$F571,nrES_Att,1)=0,$L571,SUMIFS(nrES_Raw,nrES_PID,$D571,nrES_Code,$F571,nrES_Att,1))))))))</f>
        <v/>
      </c>
      <c r="N571" s="17">
        <f>IF($C571="","",IF($L571="","",IF(NOT(ISNUMBER($L571)),"(not a score)",IF($L571&gt;=$J571,"Yes","No"))))</f>
        <v/>
      </c>
      <c r="O571" s="17">
        <f>IF($C571="","",IF($M571="","",IF(NOT(ISNUMBER($M571)),"(not a score)",IF($M571&gt;=$J571,"Yes","No"))))</f>
        <v/>
      </c>
      <c r="P571" s="17">
        <f>IF($C571="","",IF($K571="","",IF(N($K571)&gt;2,"No",IF(COUNTIFS(nrES_PID,$D571,nrES_Code,$F571,nrES_Att,"&gt;"&amp;$K571,nrES_Att,"&lt;=2",nrES_Raw,"&gt;=0")=0,"Yes","No"))))</f>
        <v/>
      </c>
      <c r="Q571" s="17">
        <f>IF($C571="","",IF($L571="","",IF(AND($K571=1,ISNUMBER($L571),$L571&lt;$J571,COUNTIFS(nrES_PID,$D571,nrES_Code,$F571,nrES_Att,2,nrES_Raw,"&gt;=0")=0),"Yes","No")))</f>
        <v/>
      </c>
      <c r="R571" s="17">
        <f>IF($C571="","",IF($L571="","",IF(AND(N($K571)&gt;=2,ISNUMBER($L571),$L571&lt;$J571),"Yes","No")))</f>
        <v/>
      </c>
      <c r="S571" s="18" t="n"/>
      <c r="T571" s="19">
        <f>IF(OR($C571="",$L571="",$K571&lt;&gt;1,NOT(ISNUMBER($L571)),$L571&gt;=$J571),"",IF($S571="","(enter date)",_xlfn.LET(_xlpm.dn,_xlfn.XLOOKUP($S571,nrCDdate,nrCDnum,"",1),IF(_xlpm.dn="","(after last class day)",_xlfn.LET(_xlpm.dd,_xlfn.XLOOKUP(_xlpm.dn+cfgRetestClassDays,nrCDnum,nrCDdate,""),_xlpm.ok,_xlfn.XLOOKUP(_xlpm.dn+cfgRetestClassDays,nrCDnum,nrCDinsession,"No"),IF(OR(_xlpm.dd="",_xlpm.ok&lt;&gt;"Yes"),"(after last class day)",_xlpm.dd))))))</f>
        <v/>
      </c>
      <c r="U571" s="17">
        <f>IF($C571="","",IF(AND($Y571="Excused",$L571="",N($K571)&lt;=1),"EXCUSED - 1st attempt pending",IF(OR($L571="",$K571&lt;&gt;1,NOT(ISNUMBER($L571)),$L571&gt;=$J571),"",IF(COUNTIFS(nrES_PID,$D571,nrES_Code,$F571,nrES_Att,2,nrES_Raw,"&gt;=0")&gt;0,IF(IFERROR(_xlfn.MINIFS(nrES_Date,nrES_PID,$D571,nrES_Code,$F571,nrES_Att,2,nrES_Raw,"&gt;=0",nrES_Date,"&gt;0"),0)=0,"RETEST UNDATED",IF(NOT(ISNUMBER($T571)),"RETEST DATE UNCHECKED",IF(_xlfn.MINIFS(nrES_Date,nrES_PID,$D571,nrES_Code,$F571,nrES_Att,2,nrES_Raw,"&gt;=0",nrES_Date,"&gt;0")&gt;$T571,"LATE RETEST "&amp;TEXT(_xlfn.MINIFS(nrES_Date,nrES_PID,$D571,nrES_Code,$F571,nrES_Att,2,nrES_Raw,"&gt;=0",nrES_Date,"&gt;0"),"mm/dd")&amp;" (due "&amp;TEXT($T571,"mm/dd")&amp;")","Retested"))),IF(NOT(ISNUMBER($T571)),"CHECK DATE",IF(TODAY()&gt;$T571,"OVERDUE","Due "&amp;TEXT($T571,"mm/dd")))))))</f>
        <v/>
      </c>
      <c r="V571" s="16" t="n"/>
      <c r="W571" s="16" t="n"/>
      <c r="X571" s="17">
        <f>IF($C571="","",IF(AND($L571&lt;&gt;"",NOT(ISNUMBER($L571))),"RAW SCORE NOT A NUMBER",IF(AND(ISNUMBER($L571),OR($L571&lt;0,$L571&gt;100)),"RAW SCORE OUT OF RANGE",IF(AND($Y571="Unexcused",OR($L571="",NOT(ISNUMBER($L571)),$L571&lt;&gt;0)),"UNEXCUSED ABSENCE MUST RECORD 0",IF(COUNTIF(nrES_RecID,$B571)&gt;1,"DUPLICATE RECORD",IF(N($K571)&gt;2,"ATTEMPT 3+ NOT ALLOWED - policy 300.5 permits one retest per exam; this row records nothing",IF(AND($K571=2,COUNTIFS(nrES_PID,$D571,nrES_Code,$F571,nrES_Att,1)=0),"ATTEMPT 2 WITHOUT ATTEMPT 1",IF(AND($K571=2,$L571=""),"RETEST ROW HAS NO SCORE",IF(AND($H571="Final",$L571&lt;&gt;"",IFERROR(INDEX(nrCKfinalExamElig,MATCH($D571,rngCadetPIDs,0)),"")="No"),"FINAL EXAM AFTER FAILED FINAL PT (500.1.H)",IF(AND($K571=2,ISNUMBER($L571),COUNTIFS(nrES_PID,$D571,nrES_Code,$F571,nrES_Att,1)&gt;0,SUMIFS(nrES_Raw,nrES_PID,$D571,nrES_Code,$F571,nrES_Att,1)&gt;=$J571),"RETEST AFTER A PASSING FIRST ATTEMPT","OK"))))))))))</f>
        <v/>
      </c>
      <c r="Y571" s="16" t="n"/>
    </row>
    <row r="572">
      <c r="B572" s="17">
        <f>IF($C572="","",$D572&amp;"-"&amp;$F572&amp;"-"&amp;$K572)</f>
        <v/>
      </c>
      <c r="C572" s="16" t="n"/>
      <c r="D572" s="17">
        <f>IF($C572="","",IFERROR(INDEX(rngCadetPIDs,MATCH($C572,rngCadetNames,0)),"?"))</f>
        <v/>
      </c>
      <c r="E572" s="17">
        <f>IF($D572="","",IFERROR(INDEX(nrCadetAgency,MATCH($D572,rngCadetPIDs,0)),""))</f>
        <v/>
      </c>
      <c r="F572" s="16" t="n"/>
      <c r="G572" s="17">
        <f>IF($F572="","",IFERROR(INDEX(rngEPname,MATCH($F572,rngEPcode,0)),"?"))</f>
        <v/>
      </c>
      <c r="H572" s="17">
        <f>IF($F572="","",IFERROR(INDEX(rngEPtype,MATCH($F572,rngEPcode,0)),"?"))</f>
        <v/>
      </c>
      <c r="I572" s="17">
        <f>IF($F572="","",IFERROR(INDEX(rngEPseq,MATCH($F572,rngEPcode,0)),""))</f>
        <v/>
      </c>
      <c r="J572" s="17">
        <f>IF($F572="","",IFERROR(INDEX(rngEPpass,MATCH($F572,rngEPcode,0)),cfgPassingScore))</f>
        <v/>
      </c>
      <c r="K572" s="16" t="n"/>
      <c r="L572" s="16" t="n"/>
      <c r="M572" s="17">
        <f>IF($C572="","",IF($L572="","",IF(NOT(ISNUMBER($L572)),$L572,IF(N($K572)&gt;2,"",IF($K572=1,IF(COUNTIFS(nrES_PID,$D572,nrES_Code,$F572,nrES_Att,2,nrES_Raw,"&gt;=0")&gt;0,"",$L572),IF($L572&gt;=$J572,MAX($J572,cfgRetakeRecordedCap),IF(COUNTIFS(nrES_PID,$D572,nrES_Code,$F572,nrES_Att,1)=0,$L572,SUMIFS(nrES_Raw,nrES_PID,$D572,nrES_Code,$F572,nrES_Att,1))))))))</f>
        <v/>
      </c>
      <c r="N572" s="17">
        <f>IF($C572="","",IF($L572="","",IF(NOT(ISNUMBER($L572)),"(not a score)",IF($L572&gt;=$J572,"Yes","No"))))</f>
        <v/>
      </c>
      <c r="O572" s="17">
        <f>IF($C572="","",IF($M572="","",IF(NOT(ISNUMBER($M572)),"(not a score)",IF($M572&gt;=$J572,"Yes","No"))))</f>
        <v/>
      </c>
      <c r="P572" s="17">
        <f>IF($C572="","",IF($K572="","",IF(N($K572)&gt;2,"No",IF(COUNTIFS(nrES_PID,$D572,nrES_Code,$F572,nrES_Att,"&gt;"&amp;$K572,nrES_Att,"&lt;=2",nrES_Raw,"&gt;=0")=0,"Yes","No"))))</f>
        <v/>
      </c>
      <c r="Q572" s="17">
        <f>IF($C572="","",IF($L572="","",IF(AND($K572=1,ISNUMBER($L572),$L572&lt;$J572,COUNTIFS(nrES_PID,$D572,nrES_Code,$F572,nrES_Att,2,nrES_Raw,"&gt;=0")=0),"Yes","No")))</f>
        <v/>
      </c>
      <c r="R572" s="17">
        <f>IF($C572="","",IF($L572="","",IF(AND(N($K572)&gt;=2,ISNUMBER($L572),$L572&lt;$J572),"Yes","No")))</f>
        <v/>
      </c>
      <c r="S572" s="18" t="n"/>
      <c r="T572" s="19">
        <f>IF(OR($C572="",$L572="",$K572&lt;&gt;1,NOT(ISNUMBER($L572)),$L572&gt;=$J572),"",IF($S572="","(enter date)",_xlfn.LET(_xlpm.dn,_xlfn.XLOOKUP($S572,nrCDdate,nrCDnum,"",1),IF(_xlpm.dn="","(after last class day)",_xlfn.LET(_xlpm.dd,_xlfn.XLOOKUP(_xlpm.dn+cfgRetestClassDays,nrCDnum,nrCDdate,""),_xlpm.ok,_xlfn.XLOOKUP(_xlpm.dn+cfgRetestClassDays,nrCDnum,nrCDinsession,"No"),IF(OR(_xlpm.dd="",_xlpm.ok&lt;&gt;"Yes"),"(after last class day)",_xlpm.dd))))))</f>
        <v/>
      </c>
      <c r="U572" s="17">
        <f>IF($C572="","",IF(AND($Y572="Excused",$L572="",N($K572)&lt;=1),"EXCUSED - 1st attempt pending",IF(OR($L572="",$K572&lt;&gt;1,NOT(ISNUMBER($L572)),$L572&gt;=$J572),"",IF(COUNTIFS(nrES_PID,$D572,nrES_Code,$F572,nrES_Att,2,nrES_Raw,"&gt;=0")&gt;0,IF(IFERROR(_xlfn.MINIFS(nrES_Date,nrES_PID,$D572,nrES_Code,$F572,nrES_Att,2,nrES_Raw,"&gt;=0",nrES_Date,"&gt;0"),0)=0,"RETEST UNDATED",IF(NOT(ISNUMBER($T572)),"RETEST DATE UNCHECKED",IF(_xlfn.MINIFS(nrES_Date,nrES_PID,$D572,nrES_Code,$F572,nrES_Att,2,nrES_Raw,"&gt;=0",nrES_Date,"&gt;0")&gt;$T572,"LATE RETEST "&amp;TEXT(_xlfn.MINIFS(nrES_Date,nrES_PID,$D572,nrES_Code,$F572,nrES_Att,2,nrES_Raw,"&gt;=0",nrES_Date,"&gt;0"),"mm/dd")&amp;" (due "&amp;TEXT($T572,"mm/dd")&amp;")","Retested"))),IF(NOT(ISNUMBER($T572)),"CHECK DATE",IF(TODAY()&gt;$T572,"OVERDUE","Due "&amp;TEXT($T572,"mm/dd")))))))</f>
        <v/>
      </c>
      <c r="V572" s="16" t="n"/>
      <c r="W572" s="16" t="n"/>
      <c r="X572" s="17">
        <f>IF($C572="","",IF(AND($L572&lt;&gt;"",NOT(ISNUMBER($L572))),"RAW SCORE NOT A NUMBER",IF(AND(ISNUMBER($L572),OR($L572&lt;0,$L572&gt;100)),"RAW SCORE OUT OF RANGE",IF(AND($Y572="Unexcused",OR($L572="",NOT(ISNUMBER($L572)),$L572&lt;&gt;0)),"UNEXCUSED ABSENCE MUST RECORD 0",IF(COUNTIF(nrES_RecID,$B572)&gt;1,"DUPLICATE RECORD",IF(N($K572)&gt;2,"ATTEMPT 3+ NOT ALLOWED - policy 300.5 permits one retest per exam; this row records nothing",IF(AND($K572=2,COUNTIFS(nrES_PID,$D572,nrES_Code,$F572,nrES_Att,1)=0),"ATTEMPT 2 WITHOUT ATTEMPT 1",IF(AND($K572=2,$L572=""),"RETEST ROW HAS NO SCORE",IF(AND($H572="Final",$L572&lt;&gt;"",IFERROR(INDEX(nrCKfinalExamElig,MATCH($D572,rngCadetPIDs,0)),"")="No"),"FINAL EXAM AFTER FAILED FINAL PT (500.1.H)",IF(AND($K572=2,ISNUMBER($L572),COUNTIFS(nrES_PID,$D572,nrES_Code,$F572,nrES_Att,1)&gt;0,SUMIFS(nrES_Raw,nrES_PID,$D572,nrES_Code,$F572,nrES_Att,1)&gt;=$J572),"RETEST AFTER A PASSING FIRST ATTEMPT","OK"))))))))))</f>
        <v/>
      </c>
      <c r="Y572" s="16" t="n"/>
    </row>
    <row r="573">
      <c r="B573" s="17">
        <f>IF($C573="","",$D573&amp;"-"&amp;$F573&amp;"-"&amp;$K573)</f>
        <v/>
      </c>
      <c r="C573" s="16" t="n"/>
      <c r="D573" s="17">
        <f>IF($C573="","",IFERROR(INDEX(rngCadetPIDs,MATCH($C573,rngCadetNames,0)),"?"))</f>
        <v/>
      </c>
      <c r="E573" s="17">
        <f>IF($D573="","",IFERROR(INDEX(nrCadetAgency,MATCH($D573,rngCadetPIDs,0)),""))</f>
        <v/>
      </c>
      <c r="F573" s="16" t="n"/>
      <c r="G573" s="17">
        <f>IF($F573="","",IFERROR(INDEX(rngEPname,MATCH($F573,rngEPcode,0)),"?"))</f>
        <v/>
      </c>
      <c r="H573" s="17">
        <f>IF($F573="","",IFERROR(INDEX(rngEPtype,MATCH($F573,rngEPcode,0)),"?"))</f>
        <v/>
      </c>
      <c r="I573" s="17">
        <f>IF($F573="","",IFERROR(INDEX(rngEPseq,MATCH($F573,rngEPcode,0)),""))</f>
        <v/>
      </c>
      <c r="J573" s="17">
        <f>IF($F573="","",IFERROR(INDEX(rngEPpass,MATCH($F573,rngEPcode,0)),cfgPassingScore))</f>
        <v/>
      </c>
      <c r="K573" s="16" t="n"/>
      <c r="L573" s="16" t="n"/>
      <c r="M573" s="17">
        <f>IF($C573="","",IF($L573="","",IF(NOT(ISNUMBER($L573)),$L573,IF(N($K573)&gt;2,"",IF($K573=1,IF(COUNTIFS(nrES_PID,$D573,nrES_Code,$F573,nrES_Att,2,nrES_Raw,"&gt;=0")&gt;0,"",$L573),IF($L573&gt;=$J573,MAX($J573,cfgRetakeRecordedCap),IF(COUNTIFS(nrES_PID,$D573,nrES_Code,$F573,nrES_Att,1)=0,$L573,SUMIFS(nrES_Raw,nrES_PID,$D573,nrES_Code,$F573,nrES_Att,1))))))))</f>
        <v/>
      </c>
      <c r="N573" s="17">
        <f>IF($C573="","",IF($L573="","",IF(NOT(ISNUMBER($L573)),"(not a score)",IF($L573&gt;=$J573,"Yes","No"))))</f>
        <v/>
      </c>
      <c r="O573" s="17">
        <f>IF($C573="","",IF($M573="","",IF(NOT(ISNUMBER($M573)),"(not a score)",IF($M573&gt;=$J573,"Yes","No"))))</f>
        <v/>
      </c>
      <c r="P573" s="17">
        <f>IF($C573="","",IF($K573="","",IF(N($K573)&gt;2,"No",IF(COUNTIFS(nrES_PID,$D573,nrES_Code,$F573,nrES_Att,"&gt;"&amp;$K573,nrES_Att,"&lt;=2",nrES_Raw,"&gt;=0")=0,"Yes","No"))))</f>
        <v/>
      </c>
      <c r="Q573" s="17">
        <f>IF($C573="","",IF($L573="","",IF(AND($K573=1,ISNUMBER($L573),$L573&lt;$J573,COUNTIFS(nrES_PID,$D573,nrES_Code,$F573,nrES_Att,2,nrES_Raw,"&gt;=0")=0),"Yes","No")))</f>
        <v/>
      </c>
      <c r="R573" s="17">
        <f>IF($C573="","",IF($L573="","",IF(AND(N($K573)&gt;=2,ISNUMBER($L573),$L573&lt;$J573),"Yes","No")))</f>
        <v/>
      </c>
      <c r="S573" s="18" t="n"/>
      <c r="T573" s="19">
        <f>IF(OR($C573="",$L573="",$K573&lt;&gt;1,NOT(ISNUMBER($L573)),$L573&gt;=$J573),"",IF($S573="","(enter date)",_xlfn.LET(_xlpm.dn,_xlfn.XLOOKUP($S573,nrCDdate,nrCDnum,"",1),IF(_xlpm.dn="","(after last class day)",_xlfn.LET(_xlpm.dd,_xlfn.XLOOKUP(_xlpm.dn+cfgRetestClassDays,nrCDnum,nrCDdate,""),_xlpm.ok,_xlfn.XLOOKUP(_xlpm.dn+cfgRetestClassDays,nrCDnum,nrCDinsession,"No"),IF(OR(_xlpm.dd="",_xlpm.ok&lt;&gt;"Yes"),"(after last class day)",_xlpm.dd))))))</f>
        <v/>
      </c>
      <c r="U573" s="17">
        <f>IF($C573="","",IF(AND($Y573="Excused",$L573="",N($K573)&lt;=1),"EXCUSED - 1st attempt pending",IF(OR($L573="",$K573&lt;&gt;1,NOT(ISNUMBER($L573)),$L573&gt;=$J573),"",IF(COUNTIFS(nrES_PID,$D573,nrES_Code,$F573,nrES_Att,2,nrES_Raw,"&gt;=0")&gt;0,IF(IFERROR(_xlfn.MINIFS(nrES_Date,nrES_PID,$D573,nrES_Code,$F573,nrES_Att,2,nrES_Raw,"&gt;=0",nrES_Date,"&gt;0"),0)=0,"RETEST UNDATED",IF(NOT(ISNUMBER($T573)),"RETEST DATE UNCHECKED",IF(_xlfn.MINIFS(nrES_Date,nrES_PID,$D573,nrES_Code,$F573,nrES_Att,2,nrES_Raw,"&gt;=0",nrES_Date,"&gt;0")&gt;$T573,"LATE RETEST "&amp;TEXT(_xlfn.MINIFS(nrES_Date,nrES_PID,$D573,nrES_Code,$F573,nrES_Att,2,nrES_Raw,"&gt;=0",nrES_Date,"&gt;0"),"mm/dd")&amp;" (due "&amp;TEXT($T573,"mm/dd")&amp;")","Retested"))),IF(NOT(ISNUMBER($T573)),"CHECK DATE",IF(TODAY()&gt;$T573,"OVERDUE","Due "&amp;TEXT($T573,"mm/dd")))))))</f>
        <v/>
      </c>
      <c r="V573" s="16" t="n"/>
      <c r="W573" s="16" t="n"/>
      <c r="X573" s="17">
        <f>IF($C573="","",IF(AND($L573&lt;&gt;"",NOT(ISNUMBER($L573))),"RAW SCORE NOT A NUMBER",IF(AND(ISNUMBER($L573),OR($L573&lt;0,$L573&gt;100)),"RAW SCORE OUT OF RANGE",IF(AND($Y573="Unexcused",OR($L573="",NOT(ISNUMBER($L573)),$L573&lt;&gt;0)),"UNEXCUSED ABSENCE MUST RECORD 0",IF(COUNTIF(nrES_RecID,$B573)&gt;1,"DUPLICATE RECORD",IF(N($K573)&gt;2,"ATTEMPT 3+ NOT ALLOWED - policy 300.5 permits one retest per exam; this row records nothing",IF(AND($K573=2,COUNTIFS(nrES_PID,$D573,nrES_Code,$F573,nrES_Att,1)=0),"ATTEMPT 2 WITHOUT ATTEMPT 1",IF(AND($K573=2,$L573=""),"RETEST ROW HAS NO SCORE",IF(AND($H573="Final",$L573&lt;&gt;"",IFERROR(INDEX(nrCKfinalExamElig,MATCH($D573,rngCadetPIDs,0)),"")="No"),"FINAL EXAM AFTER FAILED FINAL PT (500.1.H)",IF(AND($K573=2,ISNUMBER($L573),COUNTIFS(nrES_PID,$D573,nrES_Code,$F573,nrES_Att,1)&gt;0,SUMIFS(nrES_Raw,nrES_PID,$D573,nrES_Code,$F573,nrES_Att,1)&gt;=$J573),"RETEST AFTER A PASSING FIRST ATTEMPT","OK"))))))))))</f>
        <v/>
      </c>
      <c r="Y573" s="16" t="n"/>
    </row>
    <row r="574">
      <c r="B574" s="17">
        <f>IF($C574="","",$D574&amp;"-"&amp;$F574&amp;"-"&amp;$K574)</f>
        <v/>
      </c>
      <c r="C574" s="16" t="n"/>
      <c r="D574" s="17">
        <f>IF($C574="","",IFERROR(INDEX(rngCadetPIDs,MATCH($C574,rngCadetNames,0)),"?"))</f>
        <v/>
      </c>
      <c r="E574" s="17">
        <f>IF($D574="","",IFERROR(INDEX(nrCadetAgency,MATCH($D574,rngCadetPIDs,0)),""))</f>
        <v/>
      </c>
      <c r="F574" s="16" t="n"/>
      <c r="G574" s="17">
        <f>IF($F574="","",IFERROR(INDEX(rngEPname,MATCH($F574,rngEPcode,0)),"?"))</f>
        <v/>
      </c>
      <c r="H574" s="17">
        <f>IF($F574="","",IFERROR(INDEX(rngEPtype,MATCH($F574,rngEPcode,0)),"?"))</f>
        <v/>
      </c>
      <c r="I574" s="17">
        <f>IF($F574="","",IFERROR(INDEX(rngEPseq,MATCH($F574,rngEPcode,0)),""))</f>
        <v/>
      </c>
      <c r="J574" s="17">
        <f>IF($F574="","",IFERROR(INDEX(rngEPpass,MATCH($F574,rngEPcode,0)),cfgPassingScore))</f>
        <v/>
      </c>
      <c r="K574" s="16" t="n"/>
      <c r="L574" s="16" t="n"/>
      <c r="M574" s="17">
        <f>IF($C574="","",IF($L574="","",IF(NOT(ISNUMBER($L574)),$L574,IF(N($K574)&gt;2,"",IF($K574=1,IF(COUNTIFS(nrES_PID,$D574,nrES_Code,$F574,nrES_Att,2,nrES_Raw,"&gt;=0")&gt;0,"",$L574),IF($L574&gt;=$J574,MAX($J574,cfgRetakeRecordedCap),IF(COUNTIFS(nrES_PID,$D574,nrES_Code,$F574,nrES_Att,1)=0,$L574,SUMIFS(nrES_Raw,nrES_PID,$D574,nrES_Code,$F574,nrES_Att,1))))))))</f>
        <v/>
      </c>
      <c r="N574" s="17">
        <f>IF($C574="","",IF($L574="","",IF(NOT(ISNUMBER($L574)),"(not a score)",IF($L574&gt;=$J574,"Yes","No"))))</f>
        <v/>
      </c>
      <c r="O574" s="17">
        <f>IF($C574="","",IF($M574="","",IF(NOT(ISNUMBER($M574)),"(not a score)",IF($M574&gt;=$J574,"Yes","No"))))</f>
        <v/>
      </c>
      <c r="P574" s="17">
        <f>IF($C574="","",IF($K574="","",IF(N($K574)&gt;2,"No",IF(COUNTIFS(nrES_PID,$D574,nrES_Code,$F574,nrES_Att,"&gt;"&amp;$K574,nrES_Att,"&lt;=2",nrES_Raw,"&gt;=0")=0,"Yes","No"))))</f>
        <v/>
      </c>
      <c r="Q574" s="17">
        <f>IF($C574="","",IF($L574="","",IF(AND($K574=1,ISNUMBER($L574),$L574&lt;$J574,COUNTIFS(nrES_PID,$D574,nrES_Code,$F574,nrES_Att,2,nrES_Raw,"&gt;=0")=0),"Yes","No")))</f>
        <v/>
      </c>
      <c r="R574" s="17">
        <f>IF($C574="","",IF($L574="","",IF(AND(N($K574)&gt;=2,ISNUMBER($L574),$L574&lt;$J574),"Yes","No")))</f>
        <v/>
      </c>
      <c r="S574" s="18" t="n"/>
      <c r="T574" s="19">
        <f>IF(OR($C574="",$L574="",$K574&lt;&gt;1,NOT(ISNUMBER($L574)),$L574&gt;=$J574),"",IF($S574="","(enter date)",_xlfn.LET(_xlpm.dn,_xlfn.XLOOKUP($S574,nrCDdate,nrCDnum,"",1),IF(_xlpm.dn="","(after last class day)",_xlfn.LET(_xlpm.dd,_xlfn.XLOOKUP(_xlpm.dn+cfgRetestClassDays,nrCDnum,nrCDdate,""),_xlpm.ok,_xlfn.XLOOKUP(_xlpm.dn+cfgRetestClassDays,nrCDnum,nrCDinsession,"No"),IF(OR(_xlpm.dd="",_xlpm.ok&lt;&gt;"Yes"),"(after last class day)",_xlpm.dd))))))</f>
        <v/>
      </c>
      <c r="U574" s="17">
        <f>IF($C574="","",IF(AND($Y574="Excused",$L574="",N($K574)&lt;=1),"EXCUSED - 1st attempt pending",IF(OR($L574="",$K574&lt;&gt;1,NOT(ISNUMBER($L574)),$L574&gt;=$J574),"",IF(COUNTIFS(nrES_PID,$D574,nrES_Code,$F574,nrES_Att,2,nrES_Raw,"&gt;=0")&gt;0,IF(IFERROR(_xlfn.MINIFS(nrES_Date,nrES_PID,$D574,nrES_Code,$F574,nrES_Att,2,nrES_Raw,"&gt;=0",nrES_Date,"&gt;0"),0)=0,"RETEST UNDATED",IF(NOT(ISNUMBER($T574)),"RETEST DATE UNCHECKED",IF(_xlfn.MINIFS(nrES_Date,nrES_PID,$D574,nrES_Code,$F574,nrES_Att,2,nrES_Raw,"&gt;=0",nrES_Date,"&gt;0")&gt;$T574,"LATE RETEST "&amp;TEXT(_xlfn.MINIFS(nrES_Date,nrES_PID,$D574,nrES_Code,$F574,nrES_Att,2,nrES_Raw,"&gt;=0",nrES_Date,"&gt;0"),"mm/dd")&amp;" (due "&amp;TEXT($T574,"mm/dd")&amp;")","Retested"))),IF(NOT(ISNUMBER($T574)),"CHECK DATE",IF(TODAY()&gt;$T574,"OVERDUE","Due "&amp;TEXT($T574,"mm/dd")))))))</f>
        <v/>
      </c>
      <c r="V574" s="16" t="n"/>
      <c r="W574" s="16" t="n"/>
      <c r="X574" s="17">
        <f>IF($C574="","",IF(AND($L574&lt;&gt;"",NOT(ISNUMBER($L574))),"RAW SCORE NOT A NUMBER",IF(AND(ISNUMBER($L574),OR($L574&lt;0,$L574&gt;100)),"RAW SCORE OUT OF RANGE",IF(AND($Y574="Unexcused",OR($L574="",NOT(ISNUMBER($L574)),$L574&lt;&gt;0)),"UNEXCUSED ABSENCE MUST RECORD 0",IF(COUNTIF(nrES_RecID,$B574)&gt;1,"DUPLICATE RECORD",IF(N($K574)&gt;2,"ATTEMPT 3+ NOT ALLOWED - policy 300.5 permits one retest per exam; this row records nothing",IF(AND($K574=2,COUNTIFS(nrES_PID,$D574,nrES_Code,$F574,nrES_Att,1)=0),"ATTEMPT 2 WITHOUT ATTEMPT 1",IF(AND($K574=2,$L574=""),"RETEST ROW HAS NO SCORE",IF(AND($H574="Final",$L574&lt;&gt;"",IFERROR(INDEX(nrCKfinalExamElig,MATCH($D574,rngCadetPIDs,0)),"")="No"),"FINAL EXAM AFTER FAILED FINAL PT (500.1.H)",IF(AND($K574=2,ISNUMBER($L574),COUNTIFS(nrES_PID,$D574,nrES_Code,$F574,nrES_Att,1)&gt;0,SUMIFS(nrES_Raw,nrES_PID,$D574,nrES_Code,$F574,nrES_Att,1)&gt;=$J574),"RETEST AFTER A PASSING FIRST ATTEMPT","OK"))))))))))</f>
        <v/>
      </c>
      <c r="Y574" s="16" t="n"/>
    </row>
    <row r="575">
      <c r="B575" s="17">
        <f>IF($C575="","",$D575&amp;"-"&amp;$F575&amp;"-"&amp;$K575)</f>
        <v/>
      </c>
      <c r="C575" s="16" t="n"/>
      <c r="D575" s="17">
        <f>IF($C575="","",IFERROR(INDEX(rngCadetPIDs,MATCH($C575,rngCadetNames,0)),"?"))</f>
        <v/>
      </c>
      <c r="E575" s="17">
        <f>IF($D575="","",IFERROR(INDEX(nrCadetAgency,MATCH($D575,rngCadetPIDs,0)),""))</f>
        <v/>
      </c>
      <c r="F575" s="16" t="n"/>
      <c r="G575" s="17">
        <f>IF($F575="","",IFERROR(INDEX(rngEPname,MATCH($F575,rngEPcode,0)),"?"))</f>
        <v/>
      </c>
      <c r="H575" s="17">
        <f>IF($F575="","",IFERROR(INDEX(rngEPtype,MATCH($F575,rngEPcode,0)),"?"))</f>
        <v/>
      </c>
      <c r="I575" s="17">
        <f>IF($F575="","",IFERROR(INDEX(rngEPseq,MATCH($F575,rngEPcode,0)),""))</f>
        <v/>
      </c>
      <c r="J575" s="17">
        <f>IF($F575="","",IFERROR(INDEX(rngEPpass,MATCH($F575,rngEPcode,0)),cfgPassingScore))</f>
        <v/>
      </c>
      <c r="K575" s="16" t="n"/>
      <c r="L575" s="16" t="n"/>
      <c r="M575" s="17">
        <f>IF($C575="","",IF($L575="","",IF(NOT(ISNUMBER($L575)),$L575,IF(N($K575)&gt;2,"",IF($K575=1,IF(COUNTIFS(nrES_PID,$D575,nrES_Code,$F575,nrES_Att,2,nrES_Raw,"&gt;=0")&gt;0,"",$L575),IF($L575&gt;=$J575,MAX($J575,cfgRetakeRecordedCap),IF(COUNTIFS(nrES_PID,$D575,nrES_Code,$F575,nrES_Att,1)=0,$L575,SUMIFS(nrES_Raw,nrES_PID,$D575,nrES_Code,$F575,nrES_Att,1))))))))</f>
        <v/>
      </c>
      <c r="N575" s="17">
        <f>IF($C575="","",IF($L575="","",IF(NOT(ISNUMBER($L575)),"(not a score)",IF($L575&gt;=$J575,"Yes","No"))))</f>
        <v/>
      </c>
      <c r="O575" s="17">
        <f>IF($C575="","",IF($M575="","",IF(NOT(ISNUMBER($M575)),"(not a score)",IF($M575&gt;=$J575,"Yes","No"))))</f>
        <v/>
      </c>
      <c r="P575" s="17">
        <f>IF($C575="","",IF($K575="","",IF(N($K575)&gt;2,"No",IF(COUNTIFS(nrES_PID,$D575,nrES_Code,$F575,nrES_Att,"&gt;"&amp;$K575,nrES_Att,"&lt;=2",nrES_Raw,"&gt;=0")=0,"Yes","No"))))</f>
        <v/>
      </c>
      <c r="Q575" s="17">
        <f>IF($C575="","",IF($L575="","",IF(AND($K575=1,ISNUMBER($L575),$L575&lt;$J575,COUNTIFS(nrES_PID,$D575,nrES_Code,$F575,nrES_Att,2,nrES_Raw,"&gt;=0")=0),"Yes","No")))</f>
        <v/>
      </c>
      <c r="R575" s="17">
        <f>IF($C575="","",IF($L575="","",IF(AND(N($K575)&gt;=2,ISNUMBER($L575),$L575&lt;$J575),"Yes","No")))</f>
        <v/>
      </c>
      <c r="S575" s="18" t="n"/>
      <c r="T575" s="19">
        <f>IF(OR($C575="",$L575="",$K575&lt;&gt;1,NOT(ISNUMBER($L575)),$L575&gt;=$J575),"",IF($S575="","(enter date)",_xlfn.LET(_xlpm.dn,_xlfn.XLOOKUP($S575,nrCDdate,nrCDnum,"",1),IF(_xlpm.dn="","(after last class day)",_xlfn.LET(_xlpm.dd,_xlfn.XLOOKUP(_xlpm.dn+cfgRetestClassDays,nrCDnum,nrCDdate,""),_xlpm.ok,_xlfn.XLOOKUP(_xlpm.dn+cfgRetestClassDays,nrCDnum,nrCDinsession,"No"),IF(OR(_xlpm.dd="",_xlpm.ok&lt;&gt;"Yes"),"(after last class day)",_xlpm.dd))))))</f>
        <v/>
      </c>
      <c r="U575" s="17">
        <f>IF($C575="","",IF(AND($Y575="Excused",$L575="",N($K575)&lt;=1),"EXCUSED - 1st attempt pending",IF(OR($L575="",$K575&lt;&gt;1,NOT(ISNUMBER($L575)),$L575&gt;=$J575),"",IF(COUNTIFS(nrES_PID,$D575,nrES_Code,$F575,nrES_Att,2,nrES_Raw,"&gt;=0")&gt;0,IF(IFERROR(_xlfn.MINIFS(nrES_Date,nrES_PID,$D575,nrES_Code,$F575,nrES_Att,2,nrES_Raw,"&gt;=0",nrES_Date,"&gt;0"),0)=0,"RETEST UNDATED",IF(NOT(ISNUMBER($T575)),"RETEST DATE UNCHECKED",IF(_xlfn.MINIFS(nrES_Date,nrES_PID,$D575,nrES_Code,$F575,nrES_Att,2,nrES_Raw,"&gt;=0",nrES_Date,"&gt;0")&gt;$T575,"LATE RETEST "&amp;TEXT(_xlfn.MINIFS(nrES_Date,nrES_PID,$D575,nrES_Code,$F575,nrES_Att,2,nrES_Raw,"&gt;=0",nrES_Date,"&gt;0"),"mm/dd")&amp;" (due "&amp;TEXT($T575,"mm/dd")&amp;")","Retested"))),IF(NOT(ISNUMBER($T575)),"CHECK DATE",IF(TODAY()&gt;$T575,"OVERDUE","Due "&amp;TEXT($T575,"mm/dd")))))))</f>
        <v/>
      </c>
      <c r="V575" s="16" t="n"/>
      <c r="W575" s="16" t="n"/>
      <c r="X575" s="17">
        <f>IF($C575="","",IF(AND($L575&lt;&gt;"",NOT(ISNUMBER($L575))),"RAW SCORE NOT A NUMBER",IF(AND(ISNUMBER($L575),OR($L575&lt;0,$L575&gt;100)),"RAW SCORE OUT OF RANGE",IF(AND($Y575="Unexcused",OR($L575="",NOT(ISNUMBER($L575)),$L575&lt;&gt;0)),"UNEXCUSED ABSENCE MUST RECORD 0",IF(COUNTIF(nrES_RecID,$B575)&gt;1,"DUPLICATE RECORD",IF(N($K575)&gt;2,"ATTEMPT 3+ NOT ALLOWED - policy 300.5 permits one retest per exam; this row records nothing",IF(AND($K575=2,COUNTIFS(nrES_PID,$D575,nrES_Code,$F575,nrES_Att,1)=0),"ATTEMPT 2 WITHOUT ATTEMPT 1",IF(AND($K575=2,$L575=""),"RETEST ROW HAS NO SCORE",IF(AND($H575="Final",$L575&lt;&gt;"",IFERROR(INDEX(nrCKfinalExamElig,MATCH($D575,rngCadetPIDs,0)),"")="No"),"FINAL EXAM AFTER FAILED FINAL PT (500.1.H)",IF(AND($K575=2,ISNUMBER($L575),COUNTIFS(nrES_PID,$D575,nrES_Code,$F575,nrES_Att,1)&gt;0,SUMIFS(nrES_Raw,nrES_PID,$D575,nrES_Code,$F575,nrES_Att,1)&gt;=$J575),"RETEST AFTER A PASSING FIRST ATTEMPT","OK"))))))))))</f>
        <v/>
      </c>
      <c r="Y575" s="16" t="n"/>
    </row>
    <row r="576">
      <c r="B576" s="17">
        <f>IF($C576="","",$D576&amp;"-"&amp;$F576&amp;"-"&amp;$K576)</f>
        <v/>
      </c>
      <c r="C576" s="16" t="n"/>
      <c r="D576" s="17">
        <f>IF($C576="","",IFERROR(INDEX(rngCadetPIDs,MATCH($C576,rngCadetNames,0)),"?"))</f>
        <v/>
      </c>
      <c r="E576" s="17">
        <f>IF($D576="","",IFERROR(INDEX(nrCadetAgency,MATCH($D576,rngCadetPIDs,0)),""))</f>
        <v/>
      </c>
      <c r="F576" s="16" t="n"/>
      <c r="G576" s="17">
        <f>IF($F576="","",IFERROR(INDEX(rngEPname,MATCH($F576,rngEPcode,0)),"?"))</f>
        <v/>
      </c>
      <c r="H576" s="17">
        <f>IF($F576="","",IFERROR(INDEX(rngEPtype,MATCH($F576,rngEPcode,0)),"?"))</f>
        <v/>
      </c>
      <c r="I576" s="17">
        <f>IF($F576="","",IFERROR(INDEX(rngEPseq,MATCH($F576,rngEPcode,0)),""))</f>
        <v/>
      </c>
      <c r="J576" s="17">
        <f>IF($F576="","",IFERROR(INDEX(rngEPpass,MATCH($F576,rngEPcode,0)),cfgPassingScore))</f>
        <v/>
      </c>
      <c r="K576" s="16" t="n"/>
      <c r="L576" s="16" t="n"/>
      <c r="M576" s="17">
        <f>IF($C576="","",IF($L576="","",IF(NOT(ISNUMBER($L576)),$L576,IF(N($K576)&gt;2,"",IF($K576=1,IF(COUNTIFS(nrES_PID,$D576,nrES_Code,$F576,nrES_Att,2,nrES_Raw,"&gt;=0")&gt;0,"",$L576),IF($L576&gt;=$J576,MAX($J576,cfgRetakeRecordedCap),IF(COUNTIFS(nrES_PID,$D576,nrES_Code,$F576,nrES_Att,1)=0,$L576,SUMIFS(nrES_Raw,nrES_PID,$D576,nrES_Code,$F576,nrES_Att,1))))))))</f>
        <v/>
      </c>
      <c r="N576" s="17">
        <f>IF($C576="","",IF($L576="","",IF(NOT(ISNUMBER($L576)),"(not a score)",IF($L576&gt;=$J576,"Yes","No"))))</f>
        <v/>
      </c>
      <c r="O576" s="17">
        <f>IF($C576="","",IF($M576="","",IF(NOT(ISNUMBER($M576)),"(not a score)",IF($M576&gt;=$J576,"Yes","No"))))</f>
        <v/>
      </c>
      <c r="P576" s="17">
        <f>IF($C576="","",IF($K576="","",IF(N($K576)&gt;2,"No",IF(COUNTIFS(nrES_PID,$D576,nrES_Code,$F576,nrES_Att,"&gt;"&amp;$K576,nrES_Att,"&lt;=2",nrES_Raw,"&gt;=0")=0,"Yes","No"))))</f>
        <v/>
      </c>
      <c r="Q576" s="17">
        <f>IF($C576="","",IF($L576="","",IF(AND($K576=1,ISNUMBER($L576),$L576&lt;$J576,COUNTIFS(nrES_PID,$D576,nrES_Code,$F576,nrES_Att,2,nrES_Raw,"&gt;=0")=0),"Yes","No")))</f>
        <v/>
      </c>
      <c r="R576" s="17">
        <f>IF($C576="","",IF($L576="","",IF(AND(N($K576)&gt;=2,ISNUMBER($L576),$L576&lt;$J576),"Yes","No")))</f>
        <v/>
      </c>
      <c r="S576" s="18" t="n"/>
      <c r="T576" s="19">
        <f>IF(OR($C576="",$L576="",$K576&lt;&gt;1,NOT(ISNUMBER($L576)),$L576&gt;=$J576),"",IF($S576="","(enter date)",_xlfn.LET(_xlpm.dn,_xlfn.XLOOKUP($S576,nrCDdate,nrCDnum,"",1),IF(_xlpm.dn="","(after last class day)",_xlfn.LET(_xlpm.dd,_xlfn.XLOOKUP(_xlpm.dn+cfgRetestClassDays,nrCDnum,nrCDdate,""),_xlpm.ok,_xlfn.XLOOKUP(_xlpm.dn+cfgRetestClassDays,nrCDnum,nrCDinsession,"No"),IF(OR(_xlpm.dd="",_xlpm.ok&lt;&gt;"Yes"),"(after last class day)",_xlpm.dd))))))</f>
        <v/>
      </c>
      <c r="U576" s="17">
        <f>IF($C576="","",IF(AND($Y576="Excused",$L576="",N($K576)&lt;=1),"EXCUSED - 1st attempt pending",IF(OR($L576="",$K576&lt;&gt;1,NOT(ISNUMBER($L576)),$L576&gt;=$J576),"",IF(COUNTIFS(nrES_PID,$D576,nrES_Code,$F576,nrES_Att,2,nrES_Raw,"&gt;=0")&gt;0,IF(IFERROR(_xlfn.MINIFS(nrES_Date,nrES_PID,$D576,nrES_Code,$F576,nrES_Att,2,nrES_Raw,"&gt;=0",nrES_Date,"&gt;0"),0)=0,"RETEST UNDATED",IF(NOT(ISNUMBER($T576)),"RETEST DATE UNCHECKED",IF(_xlfn.MINIFS(nrES_Date,nrES_PID,$D576,nrES_Code,$F576,nrES_Att,2,nrES_Raw,"&gt;=0",nrES_Date,"&gt;0")&gt;$T576,"LATE RETEST "&amp;TEXT(_xlfn.MINIFS(nrES_Date,nrES_PID,$D576,nrES_Code,$F576,nrES_Att,2,nrES_Raw,"&gt;=0",nrES_Date,"&gt;0"),"mm/dd")&amp;" (due "&amp;TEXT($T576,"mm/dd")&amp;")","Retested"))),IF(NOT(ISNUMBER($T576)),"CHECK DATE",IF(TODAY()&gt;$T576,"OVERDUE","Due "&amp;TEXT($T576,"mm/dd")))))))</f>
        <v/>
      </c>
      <c r="V576" s="16" t="n"/>
      <c r="W576" s="16" t="n"/>
      <c r="X576" s="17">
        <f>IF($C576="","",IF(AND($L576&lt;&gt;"",NOT(ISNUMBER($L576))),"RAW SCORE NOT A NUMBER",IF(AND(ISNUMBER($L576),OR($L576&lt;0,$L576&gt;100)),"RAW SCORE OUT OF RANGE",IF(AND($Y576="Unexcused",OR($L576="",NOT(ISNUMBER($L576)),$L576&lt;&gt;0)),"UNEXCUSED ABSENCE MUST RECORD 0",IF(COUNTIF(nrES_RecID,$B576)&gt;1,"DUPLICATE RECORD",IF(N($K576)&gt;2,"ATTEMPT 3+ NOT ALLOWED - policy 300.5 permits one retest per exam; this row records nothing",IF(AND($K576=2,COUNTIFS(nrES_PID,$D576,nrES_Code,$F576,nrES_Att,1)=0),"ATTEMPT 2 WITHOUT ATTEMPT 1",IF(AND($K576=2,$L576=""),"RETEST ROW HAS NO SCORE",IF(AND($H576="Final",$L576&lt;&gt;"",IFERROR(INDEX(nrCKfinalExamElig,MATCH($D576,rngCadetPIDs,0)),"")="No"),"FINAL EXAM AFTER FAILED FINAL PT (500.1.H)",IF(AND($K576=2,ISNUMBER($L576),COUNTIFS(nrES_PID,$D576,nrES_Code,$F576,nrES_Att,1)&gt;0,SUMIFS(nrES_Raw,nrES_PID,$D576,nrES_Code,$F576,nrES_Att,1)&gt;=$J576),"RETEST AFTER A PASSING FIRST ATTEMPT","OK"))))))))))</f>
        <v/>
      </c>
      <c r="Y576" s="16" t="n"/>
    </row>
    <row r="577">
      <c r="B577" s="17">
        <f>IF($C577="","",$D577&amp;"-"&amp;$F577&amp;"-"&amp;$K577)</f>
        <v/>
      </c>
      <c r="C577" s="16" t="n"/>
      <c r="D577" s="17">
        <f>IF($C577="","",IFERROR(INDEX(rngCadetPIDs,MATCH($C577,rngCadetNames,0)),"?"))</f>
        <v/>
      </c>
      <c r="E577" s="17">
        <f>IF($D577="","",IFERROR(INDEX(nrCadetAgency,MATCH($D577,rngCadetPIDs,0)),""))</f>
        <v/>
      </c>
      <c r="F577" s="16" t="n"/>
      <c r="G577" s="17">
        <f>IF($F577="","",IFERROR(INDEX(rngEPname,MATCH($F577,rngEPcode,0)),"?"))</f>
        <v/>
      </c>
      <c r="H577" s="17">
        <f>IF($F577="","",IFERROR(INDEX(rngEPtype,MATCH($F577,rngEPcode,0)),"?"))</f>
        <v/>
      </c>
      <c r="I577" s="17">
        <f>IF($F577="","",IFERROR(INDEX(rngEPseq,MATCH($F577,rngEPcode,0)),""))</f>
        <v/>
      </c>
      <c r="J577" s="17">
        <f>IF($F577="","",IFERROR(INDEX(rngEPpass,MATCH($F577,rngEPcode,0)),cfgPassingScore))</f>
        <v/>
      </c>
      <c r="K577" s="16" t="n"/>
      <c r="L577" s="16" t="n"/>
      <c r="M577" s="17">
        <f>IF($C577="","",IF($L577="","",IF(NOT(ISNUMBER($L577)),$L577,IF(N($K577)&gt;2,"",IF($K577=1,IF(COUNTIFS(nrES_PID,$D577,nrES_Code,$F577,nrES_Att,2,nrES_Raw,"&gt;=0")&gt;0,"",$L577),IF($L577&gt;=$J577,MAX($J577,cfgRetakeRecordedCap),IF(COUNTIFS(nrES_PID,$D577,nrES_Code,$F577,nrES_Att,1)=0,$L577,SUMIFS(nrES_Raw,nrES_PID,$D577,nrES_Code,$F577,nrES_Att,1))))))))</f>
        <v/>
      </c>
      <c r="N577" s="17">
        <f>IF($C577="","",IF($L577="","",IF(NOT(ISNUMBER($L577)),"(not a score)",IF($L577&gt;=$J577,"Yes","No"))))</f>
        <v/>
      </c>
      <c r="O577" s="17">
        <f>IF($C577="","",IF($M577="","",IF(NOT(ISNUMBER($M577)),"(not a score)",IF($M577&gt;=$J577,"Yes","No"))))</f>
        <v/>
      </c>
      <c r="P577" s="17">
        <f>IF($C577="","",IF($K577="","",IF(N($K577)&gt;2,"No",IF(COUNTIFS(nrES_PID,$D577,nrES_Code,$F577,nrES_Att,"&gt;"&amp;$K577,nrES_Att,"&lt;=2",nrES_Raw,"&gt;=0")=0,"Yes","No"))))</f>
        <v/>
      </c>
      <c r="Q577" s="17">
        <f>IF($C577="","",IF($L577="","",IF(AND($K577=1,ISNUMBER($L577),$L577&lt;$J577,COUNTIFS(nrES_PID,$D577,nrES_Code,$F577,nrES_Att,2,nrES_Raw,"&gt;=0")=0),"Yes","No")))</f>
        <v/>
      </c>
      <c r="R577" s="17">
        <f>IF($C577="","",IF($L577="","",IF(AND(N($K577)&gt;=2,ISNUMBER($L577),$L577&lt;$J577),"Yes","No")))</f>
        <v/>
      </c>
      <c r="S577" s="18" t="n"/>
      <c r="T577" s="19">
        <f>IF(OR($C577="",$L577="",$K577&lt;&gt;1,NOT(ISNUMBER($L577)),$L577&gt;=$J577),"",IF($S577="","(enter date)",_xlfn.LET(_xlpm.dn,_xlfn.XLOOKUP($S577,nrCDdate,nrCDnum,"",1),IF(_xlpm.dn="","(after last class day)",_xlfn.LET(_xlpm.dd,_xlfn.XLOOKUP(_xlpm.dn+cfgRetestClassDays,nrCDnum,nrCDdate,""),_xlpm.ok,_xlfn.XLOOKUP(_xlpm.dn+cfgRetestClassDays,nrCDnum,nrCDinsession,"No"),IF(OR(_xlpm.dd="",_xlpm.ok&lt;&gt;"Yes"),"(after last class day)",_xlpm.dd))))))</f>
        <v/>
      </c>
      <c r="U577" s="17">
        <f>IF($C577="","",IF(AND($Y577="Excused",$L577="",N($K577)&lt;=1),"EXCUSED - 1st attempt pending",IF(OR($L577="",$K577&lt;&gt;1,NOT(ISNUMBER($L577)),$L577&gt;=$J577),"",IF(COUNTIFS(nrES_PID,$D577,nrES_Code,$F577,nrES_Att,2,nrES_Raw,"&gt;=0")&gt;0,IF(IFERROR(_xlfn.MINIFS(nrES_Date,nrES_PID,$D577,nrES_Code,$F577,nrES_Att,2,nrES_Raw,"&gt;=0",nrES_Date,"&gt;0"),0)=0,"RETEST UNDATED",IF(NOT(ISNUMBER($T577)),"RETEST DATE UNCHECKED",IF(_xlfn.MINIFS(nrES_Date,nrES_PID,$D577,nrES_Code,$F577,nrES_Att,2,nrES_Raw,"&gt;=0",nrES_Date,"&gt;0")&gt;$T577,"LATE RETEST "&amp;TEXT(_xlfn.MINIFS(nrES_Date,nrES_PID,$D577,nrES_Code,$F577,nrES_Att,2,nrES_Raw,"&gt;=0",nrES_Date,"&gt;0"),"mm/dd")&amp;" (due "&amp;TEXT($T577,"mm/dd")&amp;")","Retested"))),IF(NOT(ISNUMBER($T577)),"CHECK DATE",IF(TODAY()&gt;$T577,"OVERDUE","Due "&amp;TEXT($T577,"mm/dd")))))))</f>
        <v/>
      </c>
      <c r="V577" s="16" t="n"/>
      <c r="W577" s="16" t="n"/>
      <c r="X577" s="17">
        <f>IF($C577="","",IF(AND($L577&lt;&gt;"",NOT(ISNUMBER($L577))),"RAW SCORE NOT A NUMBER",IF(AND(ISNUMBER($L577),OR($L577&lt;0,$L577&gt;100)),"RAW SCORE OUT OF RANGE",IF(AND($Y577="Unexcused",OR($L577="",NOT(ISNUMBER($L577)),$L577&lt;&gt;0)),"UNEXCUSED ABSENCE MUST RECORD 0",IF(COUNTIF(nrES_RecID,$B577)&gt;1,"DUPLICATE RECORD",IF(N($K577)&gt;2,"ATTEMPT 3+ NOT ALLOWED - policy 300.5 permits one retest per exam; this row records nothing",IF(AND($K577=2,COUNTIFS(nrES_PID,$D577,nrES_Code,$F577,nrES_Att,1)=0),"ATTEMPT 2 WITHOUT ATTEMPT 1",IF(AND($K577=2,$L577=""),"RETEST ROW HAS NO SCORE",IF(AND($H577="Final",$L577&lt;&gt;"",IFERROR(INDEX(nrCKfinalExamElig,MATCH($D577,rngCadetPIDs,0)),"")="No"),"FINAL EXAM AFTER FAILED FINAL PT (500.1.H)",IF(AND($K577=2,ISNUMBER($L577),COUNTIFS(nrES_PID,$D577,nrES_Code,$F577,nrES_Att,1)&gt;0,SUMIFS(nrES_Raw,nrES_PID,$D577,nrES_Code,$F577,nrES_Att,1)&gt;=$J577),"RETEST AFTER A PASSING FIRST ATTEMPT","OK"))))))))))</f>
        <v/>
      </c>
      <c r="Y577" s="16" t="n"/>
    </row>
    <row r="578">
      <c r="B578" s="17">
        <f>IF($C578="","",$D578&amp;"-"&amp;$F578&amp;"-"&amp;$K578)</f>
        <v/>
      </c>
      <c r="C578" s="16" t="n"/>
      <c r="D578" s="17">
        <f>IF($C578="","",IFERROR(INDEX(rngCadetPIDs,MATCH($C578,rngCadetNames,0)),"?"))</f>
        <v/>
      </c>
      <c r="E578" s="17">
        <f>IF($D578="","",IFERROR(INDEX(nrCadetAgency,MATCH($D578,rngCadetPIDs,0)),""))</f>
        <v/>
      </c>
      <c r="F578" s="16" t="n"/>
      <c r="G578" s="17">
        <f>IF($F578="","",IFERROR(INDEX(rngEPname,MATCH($F578,rngEPcode,0)),"?"))</f>
        <v/>
      </c>
      <c r="H578" s="17">
        <f>IF($F578="","",IFERROR(INDEX(rngEPtype,MATCH($F578,rngEPcode,0)),"?"))</f>
        <v/>
      </c>
      <c r="I578" s="17">
        <f>IF($F578="","",IFERROR(INDEX(rngEPseq,MATCH($F578,rngEPcode,0)),""))</f>
        <v/>
      </c>
      <c r="J578" s="17">
        <f>IF($F578="","",IFERROR(INDEX(rngEPpass,MATCH($F578,rngEPcode,0)),cfgPassingScore))</f>
        <v/>
      </c>
      <c r="K578" s="16" t="n"/>
      <c r="L578" s="16" t="n"/>
      <c r="M578" s="17">
        <f>IF($C578="","",IF($L578="","",IF(NOT(ISNUMBER($L578)),$L578,IF(N($K578)&gt;2,"",IF($K578=1,IF(COUNTIFS(nrES_PID,$D578,nrES_Code,$F578,nrES_Att,2,nrES_Raw,"&gt;=0")&gt;0,"",$L578),IF($L578&gt;=$J578,MAX($J578,cfgRetakeRecordedCap),IF(COUNTIFS(nrES_PID,$D578,nrES_Code,$F578,nrES_Att,1)=0,$L578,SUMIFS(nrES_Raw,nrES_PID,$D578,nrES_Code,$F578,nrES_Att,1))))))))</f>
        <v/>
      </c>
      <c r="N578" s="17">
        <f>IF($C578="","",IF($L578="","",IF(NOT(ISNUMBER($L578)),"(not a score)",IF($L578&gt;=$J578,"Yes","No"))))</f>
        <v/>
      </c>
      <c r="O578" s="17">
        <f>IF($C578="","",IF($M578="","",IF(NOT(ISNUMBER($M578)),"(not a score)",IF($M578&gt;=$J578,"Yes","No"))))</f>
        <v/>
      </c>
      <c r="P578" s="17">
        <f>IF($C578="","",IF($K578="","",IF(N($K578)&gt;2,"No",IF(COUNTIFS(nrES_PID,$D578,nrES_Code,$F578,nrES_Att,"&gt;"&amp;$K578,nrES_Att,"&lt;=2",nrES_Raw,"&gt;=0")=0,"Yes","No"))))</f>
        <v/>
      </c>
      <c r="Q578" s="17">
        <f>IF($C578="","",IF($L578="","",IF(AND($K578=1,ISNUMBER($L578),$L578&lt;$J578,COUNTIFS(nrES_PID,$D578,nrES_Code,$F578,nrES_Att,2,nrES_Raw,"&gt;=0")=0),"Yes","No")))</f>
        <v/>
      </c>
      <c r="R578" s="17">
        <f>IF($C578="","",IF($L578="","",IF(AND(N($K578)&gt;=2,ISNUMBER($L578),$L578&lt;$J578),"Yes","No")))</f>
        <v/>
      </c>
      <c r="S578" s="18" t="n"/>
      <c r="T578" s="19">
        <f>IF(OR($C578="",$L578="",$K578&lt;&gt;1,NOT(ISNUMBER($L578)),$L578&gt;=$J578),"",IF($S578="","(enter date)",_xlfn.LET(_xlpm.dn,_xlfn.XLOOKUP($S578,nrCDdate,nrCDnum,"",1),IF(_xlpm.dn="","(after last class day)",_xlfn.LET(_xlpm.dd,_xlfn.XLOOKUP(_xlpm.dn+cfgRetestClassDays,nrCDnum,nrCDdate,""),_xlpm.ok,_xlfn.XLOOKUP(_xlpm.dn+cfgRetestClassDays,nrCDnum,nrCDinsession,"No"),IF(OR(_xlpm.dd="",_xlpm.ok&lt;&gt;"Yes"),"(after last class day)",_xlpm.dd))))))</f>
        <v/>
      </c>
      <c r="U578" s="17">
        <f>IF($C578="","",IF(AND($Y578="Excused",$L578="",N($K578)&lt;=1),"EXCUSED - 1st attempt pending",IF(OR($L578="",$K578&lt;&gt;1,NOT(ISNUMBER($L578)),$L578&gt;=$J578),"",IF(COUNTIFS(nrES_PID,$D578,nrES_Code,$F578,nrES_Att,2,nrES_Raw,"&gt;=0")&gt;0,IF(IFERROR(_xlfn.MINIFS(nrES_Date,nrES_PID,$D578,nrES_Code,$F578,nrES_Att,2,nrES_Raw,"&gt;=0",nrES_Date,"&gt;0"),0)=0,"RETEST UNDATED",IF(NOT(ISNUMBER($T578)),"RETEST DATE UNCHECKED",IF(_xlfn.MINIFS(nrES_Date,nrES_PID,$D578,nrES_Code,$F578,nrES_Att,2,nrES_Raw,"&gt;=0",nrES_Date,"&gt;0")&gt;$T578,"LATE RETEST "&amp;TEXT(_xlfn.MINIFS(nrES_Date,nrES_PID,$D578,nrES_Code,$F578,nrES_Att,2,nrES_Raw,"&gt;=0",nrES_Date,"&gt;0"),"mm/dd")&amp;" (due "&amp;TEXT($T578,"mm/dd")&amp;")","Retested"))),IF(NOT(ISNUMBER($T578)),"CHECK DATE",IF(TODAY()&gt;$T578,"OVERDUE","Due "&amp;TEXT($T578,"mm/dd")))))))</f>
        <v/>
      </c>
      <c r="V578" s="16" t="n"/>
      <c r="W578" s="16" t="n"/>
      <c r="X578" s="17">
        <f>IF($C578="","",IF(AND($L578&lt;&gt;"",NOT(ISNUMBER($L578))),"RAW SCORE NOT A NUMBER",IF(AND(ISNUMBER($L578),OR($L578&lt;0,$L578&gt;100)),"RAW SCORE OUT OF RANGE",IF(AND($Y578="Unexcused",OR($L578="",NOT(ISNUMBER($L578)),$L578&lt;&gt;0)),"UNEXCUSED ABSENCE MUST RECORD 0",IF(COUNTIF(nrES_RecID,$B578)&gt;1,"DUPLICATE RECORD",IF(N($K578)&gt;2,"ATTEMPT 3+ NOT ALLOWED - policy 300.5 permits one retest per exam; this row records nothing",IF(AND($K578=2,COUNTIFS(nrES_PID,$D578,nrES_Code,$F578,nrES_Att,1)=0),"ATTEMPT 2 WITHOUT ATTEMPT 1",IF(AND($K578=2,$L578=""),"RETEST ROW HAS NO SCORE",IF(AND($H578="Final",$L578&lt;&gt;"",IFERROR(INDEX(nrCKfinalExamElig,MATCH($D578,rngCadetPIDs,0)),"")="No"),"FINAL EXAM AFTER FAILED FINAL PT (500.1.H)",IF(AND($K578=2,ISNUMBER($L578),COUNTIFS(nrES_PID,$D578,nrES_Code,$F578,nrES_Att,1)&gt;0,SUMIFS(nrES_Raw,nrES_PID,$D578,nrES_Code,$F578,nrES_Att,1)&gt;=$J578),"RETEST AFTER A PASSING FIRST ATTEMPT","OK"))))))))))</f>
        <v/>
      </c>
      <c r="Y578" s="16" t="n"/>
    </row>
    <row r="579">
      <c r="B579" s="17">
        <f>IF($C579="","",$D579&amp;"-"&amp;$F579&amp;"-"&amp;$K579)</f>
        <v/>
      </c>
      <c r="C579" s="16" t="n"/>
      <c r="D579" s="17">
        <f>IF($C579="","",IFERROR(INDEX(rngCadetPIDs,MATCH($C579,rngCadetNames,0)),"?"))</f>
        <v/>
      </c>
      <c r="E579" s="17">
        <f>IF($D579="","",IFERROR(INDEX(nrCadetAgency,MATCH($D579,rngCadetPIDs,0)),""))</f>
        <v/>
      </c>
      <c r="F579" s="16" t="n"/>
      <c r="G579" s="17">
        <f>IF($F579="","",IFERROR(INDEX(rngEPname,MATCH($F579,rngEPcode,0)),"?"))</f>
        <v/>
      </c>
      <c r="H579" s="17">
        <f>IF($F579="","",IFERROR(INDEX(rngEPtype,MATCH($F579,rngEPcode,0)),"?"))</f>
        <v/>
      </c>
      <c r="I579" s="17">
        <f>IF($F579="","",IFERROR(INDEX(rngEPseq,MATCH($F579,rngEPcode,0)),""))</f>
        <v/>
      </c>
      <c r="J579" s="17">
        <f>IF($F579="","",IFERROR(INDEX(rngEPpass,MATCH($F579,rngEPcode,0)),cfgPassingScore))</f>
        <v/>
      </c>
      <c r="K579" s="16" t="n"/>
      <c r="L579" s="16" t="n"/>
      <c r="M579" s="17">
        <f>IF($C579="","",IF($L579="","",IF(NOT(ISNUMBER($L579)),$L579,IF(N($K579)&gt;2,"",IF($K579=1,IF(COUNTIFS(nrES_PID,$D579,nrES_Code,$F579,nrES_Att,2,nrES_Raw,"&gt;=0")&gt;0,"",$L579),IF($L579&gt;=$J579,MAX($J579,cfgRetakeRecordedCap),IF(COUNTIFS(nrES_PID,$D579,nrES_Code,$F579,nrES_Att,1)=0,$L579,SUMIFS(nrES_Raw,nrES_PID,$D579,nrES_Code,$F579,nrES_Att,1))))))))</f>
        <v/>
      </c>
      <c r="N579" s="17">
        <f>IF($C579="","",IF($L579="","",IF(NOT(ISNUMBER($L579)),"(not a score)",IF($L579&gt;=$J579,"Yes","No"))))</f>
        <v/>
      </c>
      <c r="O579" s="17">
        <f>IF($C579="","",IF($M579="","",IF(NOT(ISNUMBER($M579)),"(not a score)",IF($M579&gt;=$J579,"Yes","No"))))</f>
        <v/>
      </c>
      <c r="P579" s="17">
        <f>IF($C579="","",IF($K579="","",IF(N($K579)&gt;2,"No",IF(COUNTIFS(nrES_PID,$D579,nrES_Code,$F579,nrES_Att,"&gt;"&amp;$K579,nrES_Att,"&lt;=2",nrES_Raw,"&gt;=0")=0,"Yes","No"))))</f>
        <v/>
      </c>
      <c r="Q579" s="17">
        <f>IF($C579="","",IF($L579="","",IF(AND($K579=1,ISNUMBER($L579),$L579&lt;$J579,COUNTIFS(nrES_PID,$D579,nrES_Code,$F579,nrES_Att,2,nrES_Raw,"&gt;=0")=0),"Yes","No")))</f>
        <v/>
      </c>
      <c r="R579" s="17">
        <f>IF($C579="","",IF($L579="","",IF(AND(N($K579)&gt;=2,ISNUMBER($L579),$L579&lt;$J579),"Yes","No")))</f>
        <v/>
      </c>
      <c r="S579" s="18" t="n"/>
      <c r="T579" s="19">
        <f>IF(OR($C579="",$L579="",$K579&lt;&gt;1,NOT(ISNUMBER($L579)),$L579&gt;=$J579),"",IF($S579="","(enter date)",_xlfn.LET(_xlpm.dn,_xlfn.XLOOKUP($S579,nrCDdate,nrCDnum,"",1),IF(_xlpm.dn="","(after last class day)",_xlfn.LET(_xlpm.dd,_xlfn.XLOOKUP(_xlpm.dn+cfgRetestClassDays,nrCDnum,nrCDdate,""),_xlpm.ok,_xlfn.XLOOKUP(_xlpm.dn+cfgRetestClassDays,nrCDnum,nrCDinsession,"No"),IF(OR(_xlpm.dd="",_xlpm.ok&lt;&gt;"Yes"),"(after last class day)",_xlpm.dd))))))</f>
        <v/>
      </c>
      <c r="U579" s="17">
        <f>IF($C579="","",IF(AND($Y579="Excused",$L579="",N($K579)&lt;=1),"EXCUSED - 1st attempt pending",IF(OR($L579="",$K579&lt;&gt;1,NOT(ISNUMBER($L579)),$L579&gt;=$J579),"",IF(COUNTIFS(nrES_PID,$D579,nrES_Code,$F579,nrES_Att,2,nrES_Raw,"&gt;=0")&gt;0,IF(IFERROR(_xlfn.MINIFS(nrES_Date,nrES_PID,$D579,nrES_Code,$F579,nrES_Att,2,nrES_Raw,"&gt;=0",nrES_Date,"&gt;0"),0)=0,"RETEST UNDATED",IF(NOT(ISNUMBER($T579)),"RETEST DATE UNCHECKED",IF(_xlfn.MINIFS(nrES_Date,nrES_PID,$D579,nrES_Code,$F579,nrES_Att,2,nrES_Raw,"&gt;=0",nrES_Date,"&gt;0")&gt;$T579,"LATE RETEST "&amp;TEXT(_xlfn.MINIFS(nrES_Date,nrES_PID,$D579,nrES_Code,$F579,nrES_Att,2,nrES_Raw,"&gt;=0",nrES_Date,"&gt;0"),"mm/dd")&amp;" (due "&amp;TEXT($T579,"mm/dd")&amp;")","Retested"))),IF(NOT(ISNUMBER($T579)),"CHECK DATE",IF(TODAY()&gt;$T579,"OVERDUE","Due "&amp;TEXT($T579,"mm/dd")))))))</f>
        <v/>
      </c>
      <c r="V579" s="16" t="n"/>
      <c r="W579" s="16" t="n"/>
      <c r="X579" s="17">
        <f>IF($C579="","",IF(AND($L579&lt;&gt;"",NOT(ISNUMBER($L579))),"RAW SCORE NOT A NUMBER",IF(AND(ISNUMBER($L579),OR($L579&lt;0,$L579&gt;100)),"RAW SCORE OUT OF RANGE",IF(AND($Y579="Unexcused",OR($L579="",NOT(ISNUMBER($L579)),$L579&lt;&gt;0)),"UNEXCUSED ABSENCE MUST RECORD 0",IF(COUNTIF(nrES_RecID,$B579)&gt;1,"DUPLICATE RECORD",IF(N($K579)&gt;2,"ATTEMPT 3+ NOT ALLOWED - policy 300.5 permits one retest per exam; this row records nothing",IF(AND($K579=2,COUNTIFS(nrES_PID,$D579,nrES_Code,$F579,nrES_Att,1)=0),"ATTEMPT 2 WITHOUT ATTEMPT 1",IF(AND($K579=2,$L579=""),"RETEST ROW HAS NO SCORE",IF(AND($H579="Final",$L579&lt;&gt;"",IFERROR(INDEX(nrCKfinalExamElig,MATCH($D579,rngCadetPIDs,0)),"")="No"),"FINAL EXAM AFTER FAILED FINAL PT (500.1.H)",IF(AND($K579=2,ISNUMBER($L579),COUNTIFS(nrES_PID,$D579,nrES_Code,$F579,nrES_Att,1)&gt;0,SUMIFS(nrES_Raw,nrES_PID,$D579,nrES_Code,$F579,nrES_Att,1)&gt;=$J579),"RETEST AFTER A PASSING FIRST ATTEMPT","OK"))))))))))</f>
        <v/>
      </c>
      <c r="Y579" s="16" t="n"/>
    </row>
    <row r="580">
      <c r="B580" s="17">
        <f>IF($C580="","",$D580&amp;"-"&amp;$F580&amp;"-"&amp;$K580)</f>
        <v/>
      </c>
      <c r="C580" s="16" t="n"/>
      <c r="D580" s="17">
        <f>IF($C580="","",IFERROR(INDEX(rngCadetPIDs,MATCH($C580,rngCadetNames,0)),"?"))</f>
        <v/>
      </c>
      <c r="E580" s="17">
        <f>IF($D580="","",IFERROR(INDEX(nrCadetAgency,MATCH($D580,rngCadetPIDs,0)),""))</f>
        <v/>
      </c>
      <c r="F580" s="16" t="n"/>
      <c r="G580" s="17">
        <f>IF($F580="","",IFERROR(INDEX(rngEPname,MATCH($F580,rngEPcode,0)),"?"))</f>
        <v/>
      </c>
      <c r="H580" s="17">
        <f>IF($F580="","",IFERROR(INDEX(rngEPtype,MATCH($F580,rngEPcode,0)),"?"))</f>
        <v/>
      </c>
      <c r="I580" s="17">
        <f>IF($F580="","",IFERROR(INDEX(rngEPseq,MATCH($F580,rngEPcode,0)),""))</f>
        <v/>
      </c>
      <c r="J580" s="17">
        <f>IF($F580="","",IFERROR(INDEX(rngEPpass,MATCH($F580,rngEPcode,0)),cfgPassingScore))</f>
        <v/>
      </c>
      <c r="K580" s="16" t="n"/>
      <c r="L580" s="16" t="n"/>
      <c r="M580" s="17">
        <f>IF($C580="","",IF($L580="","",IF(NOT(ISNUMBER($L580)),$L580,IF(N($K580)&gt;2,"",IF($K580=1,IF(COUNTIFS(nrES_PID,$D580,nrES_Code,$F580,nrES_Att,2,nrES_Raw,"&gt;=0")&gt;0,"",$L580),IF($L580&gt;=$J580,MAX($J580,cfgRetakeRecordedCap),IF(COUNTIFS(nrES_PID,$D580,nrES_Code,$F580,nrES_Att,1)=0,$L580,SUMIFS(nrES_Raw,nrES_PID,$D580,nrES_Code,$F580,nrES_Att,1))))))))</f>
        <v/>
      </c>
      <c r="N580" s="17">
        <f>IF($C580="","",IF($L580="","",IF(NOT(ISNUMBER($L580)),"(not a score)",IF($L580&gt;=$J580,"Yes","No"))))</f>
        <v/>
      </c>
      <c r="O580" s="17">
        <f>IF($C580="","",IF($M580="","",IF(NOT(ISNUMBER($M580)),"(not a score)",IF($M580&gt;=$J580,"Yes","No"))))</f>
        <v/>
      </c>
      <c r="P580" s="17">
        <f>IF($C580="","",IF($K580="","",IF(N($K580)&gt;2,"No",IF(COUNTIFS(nrES_PID,$D580,nrES_Code,$F580,nrES_Att,"&gt;"&amp;$K580,nrES_Att,"&lt;=2",nrES_Raw,"&gt;=0")=0,"Yes","No"))))</f>
        <v/>
      </c>
      <c r="Q580" s="17">
        <f>IF($C580="","",IF($L580="","",IF(AND($K580=1,ISNUMBER($L580),$L580&lt;$J580,COUNTIFS(nrES_PID,$D580,nrES_Code,$F580,nrES_Att,2,nrES_Raw,"&gt;=0")=0),"Yes","No")))</f>
        <v/>
      </c>
      <c r="R580" s="17">
        <f>IF($C580="","",IF($L580="","",IF(AND(N($K580)&gt;=2,ISNUMBER($L580),$L580&lt;$J580),"Yes","No")))</f>
        <v/>
      </c>
      <c r="S580" s="18" t="n"/>
      <c r="T580" s="19">
        <f>IF(OR($C580="",$L580="",$K580&lt;&gt;1,NOT(ISNUMBER($L580)),$L580&gt;=$J580),"",IF($S580="","(enter date)",_xlfn.LET(_xlpm.dn,_xlfn.XLOOKUP($S580,nrCDdate,nrCDnum,"",1),IF(_xlpm.dn="","(after last class day)",_xlfn.LET(_xlpm.dd,_xlfn.XLOOKUP(_xlpm.dn+cfgRetestClassDays,nrCDnum,nrCDdate,""),_xlpm.ok,_xlfn.XLOOKUP(_xlpm.dn+cfgRetestClassDays,nrCDnum,nrCDinsession,"No"),IF(OR(_xlpm.dd="",_xlpm.ok&lt;&gt;"Yes"),"(after last class day)",_xlpm.dd))))))</f>
        <v/>
      </c>
      <c r="U580" s="17">
        <f>IF($C580="","",IF(AND($Y580="Excused",$L580="",N($K580)&lt;=1),"EXCUSED - 1st attempt pending",IF(OR($L580="",$K580&lt;&gt;1,NOT(ISNUMBER($L580)),$L580&gt;=$J580),"",IF(COUNTIFS(nrES_PID,$D580,nrES_Code,$F580,nrES_Att,2,nrES_Raw,"&gt;=0")&gt;0,IF(IFERROR(_xlfn.MINIFS(nrES_Date,nrES_PID,$D580,nrES_Code,$F580,nrES_Att,2,nrES_Raw,"&gt;=0",nrES_Date,"&gt;0"),0)=0,"RETEST UNDATED",IF(NOT(ISNUMBER($T580)),"RETEST DATE UNCHECKED",IF(_xlfn.MINIFS(nrES_Date,nrES_PID,$D580,nrES_Code,$F580,nrES_Att,2,nrES_Raw,"&gt;=0",nrES_Date,"&gt;0")&gt;$T580,"LATE RETEST "&amp;TEXT(_xlfn.MINIFS(nrES_Date,nrES_PID,$D580,nrES_Code,$F580,nrES_Att,2,nrES_Raw,"&gt;=0",nrES_Date,"&gt;0"),"mm/dd")&amp;" (due "&amp;TEXT($T580,"mm/dd")&amp;")","Retested"))),IF(NOT(ISNUMBER($T580)),"CHECK DATE",IF(TODAY()&gt;$T580,"OVERDUE","Due "&amp;TEXT($T580,"mm/dd")))))))</f>
        <v/>
      </c>
      <c r="V580" s="16" t="n"/>
      <c r="W580" s="16" t="n"/>
      <c r="X580" s="17">
        <f>IF($C580="","",IF(AND($L580&lt;&gt;"",NOT(ISNUMBER($L580))),"RAW SCORE NOT A NUMBER",IF(AND(ISNUMBER($L580),OR($L580&lt;0,$L580&gt;100)),"RAW SCORE OUT OF RANGE",IF(AND($Y580="Unexcused",OR($L580="",NOT(ISNUMBER($L580)),$L580&lt;&gt;0)),"UNEXCUSED ABSENCE MUST RECORD 0",IF(COUNTIF(nrES_RecID,$B580)&gt;1,"DUPLICATE RECORD",IF(N($K580)&gt;2,"ATTEMPT 3+ NOT ALLOWED - policy 300.5 permits one retest per exam; this row records nothing",IF(AND($K580=2,COUNTIFS(nrES_PID,$D580,nrES_Code,$F580,nrES_Att,1)=0),"ATTEMPT 2 WITHOUT ATTEMPT 1",IF(AND($K580=2,$L580=""),"RETEST ROW HAS NO SCORE",IF(AND($H580="Final",$L580&lt;&gt;"",IFERROR(INDEX(nrCKfinalExamElig,MATCH($D580,rngCadetPIDs,0)),"")="No"),"FINAL EXAM AFTER FAILED FINAL PT (500.1.H)",IF(AND($K580=2,ISNUMBER($L580),COUNTIFS(nrES_PID,$D580,nrES_Code,$F580,nrES_Att,1)&gt;0,SUMIFS(nrES_Raw,nrES_PID,$D580,nrES_Code,$F580,nrES_Att,1)&gt;=$J580),"RETEST AFTER A PASSING FIRST ATTEMPT","OK"))))))))))</f>
        <v/>
      </c>
      <c r="Y580" s="16" t="n"/>
    </row>
    <row r="581">
      <c r="B581" s="17">
        <f>IF($C581="","",$D581&amp;"-"&amp;$F581&amp;"-"&amp;$K581)</f>
        <v/>
      </c>
      <c r="C581" s="16" t="n"/>
      <c r="D581" s="17">
        <f>IF($C581="","",IFERROR(INDEX(rngCadetPIDs,MATCH($C581,rngCadetNames,0)),"?"))</f>
        <v/>
      </c>
      <c r="E581" s="17">
        <f>IF($D581="","",IFERROR(INDEX(nrCadetAgency,MATCH($D581,rngCadetPIDs,0)),""))</f>
        <v/>
      </c>
      <c r="F581" s="16" t="n"/>
      <c r="G581" s="17">
        <f>IF($F581="","",IFERROR(INDEX(rngEPname,MATCH($F581,rngEPcode,0)),"?"))</f>
        <v/>
      </c>
      <c r="H581" s="17">
        <f>IF($F581="","",IFERROR(INDEX(rngEPtype,MATCH($F581,rngEPcode,0)),"?"))</f>
        <v/>
      </c>
      <c r="I581" s="17">
        <f>IF($F581="","",IFERROR(INDEX(rngEPseq,MATCH($F581,rngEPcode,0)),""))</f>
        <v/>
      </c>
      <c r="J581" s="17">
        <f>IF($F581="","",IFERROR(INDEX(rngEPpass,MATCH($F581,rngEPcode,0)),cfgPassingScore))</f>
        <v/>
      </c>
      <c r="K581" s="16" t="n"/>
      <c r="L581" s="16" t="n"/>
      <c r="M581" s="17">
        <f>IF($C581="","",IF($L581="","",IF(NOT(ISNUMBER($L581)),$L581,IF(N($K581)&gt;2,"",IF($K581=1,IF(COUNTIFS(nrES_PID,$D581,nrES_Code,$F581,nrES_Att,2,nrES_Raw,"&gt;=0")&gt;0,"",$L581),IF($L581&gt;=$J581,MAX($J581,cfgRetakeRecordedCap),IF(COUNTIFS(nrES_PID,$D581,nrES_Code,$F581,nrES_Att,1)=0,$L581,SUMIFS(nrES_Raw,nrES_PID,$D581,nrES_Code,$F581,nrES_Att,1))))))))</f>
        <v/>
      </c>
      <c r="N581" s="17">
        <f>IF($C581="","",IF($L581="","",IF(NOT(ISNUMBER($L581)),"(not a score)",IF($L581&gt;=$J581,"Yes","No"))))</f>
        <v/>
      </c>
      <c r="O581" s="17">
        <f>IF($C581="","",IF($M581="","",IF(NOT(ISNUMBER($M581)),"(not a score)",IF($M581&gt;=$J581,"Yes","No"))))</f>
        <v/>
      </c>
      <c r="P581" s="17">
        <f>IF($C581="","",IF($K581="","",IF(N($K581)&gt;2,"No",IF(COUNTIFS(nrES_PID,$D581,nrES_Code,$F581,nrES_Att,"&gt;"&amp;$K581,nrES_Att,"&lt;=2",nrES_Raw,"&gt;=0")=0,"Yes","No"))))</f>
        <v/>
      </c>
      <c r="Q581" s="17">
        <f>IF($C581="","",IF($L581="","",IF(AND($K581=1,ISNUMBER($L581),$L581&lt;$J581,COUNTIFS(nrES_PID,$D581,nrES_Code,$F581,nrES_Att,2,nrES_Raw,"&gt;=0")=0),"Yes","No")))</f>
        <v/>
      </c>
      <c r="R581" s="17">
        <f>IF($C581="","",IF($L581="","",IF(AND(N($K581)&gt;=2,ISNUMBER($L581),$L581&lt;$J581),"Yes","No")))</f>
        <v/>
      </c>
      <c r="S581" s="18" t="n"/>
      <c r="T581" s="19">
        <f>IF(OR($C581="",$L581="",$K581&lt;&gt;1,NOT(ISNUMBER($L581)),$L581&gt;=$J581),"",IF($S581="","(enter date)",_xlfn.LET(_xlpm.dn,_xlfn.XLOOKUP($S581,nrCDdate,nrCDnum,"",1),IF(_xlpm.dn="","(after last class day)",_xlfn.LET(_xlpm.dd,_xlfn.XLOOKUP(_xlpm.dn+cfgRetestClassDays,nrCDnum,nrCDdate,""),_xlpm.ok,_xlfn.XLOOKUP(_xlpm.dn+cfgRetestClassDays,nrCDnum,nrCDinsession,"No"),IF(OR(_xlpm.dd="",_xlpm.ok&lt;&gt;"Yes"),"(after last class day)",_xlpm.dd))))))</f>
        <v/>
      </c>
      <c r="U581" s="17">
        <f>IF($C581="","",IF(AND($Y581="Excused",$L581="",N($K581)&lt;=1),"EXCUSED - 1st attempt pending",IF(OR($L581="",$K581&lt;&gt;1,NOT(ISNUMBER($L581)),$L581&gt;=$J581),"",IF(COUNTIFS(nrES_PID,$D581,nrES_Code,$F581,nrES_Att,2,nrES_Raw,"&gt;=0")&gt;0,IF(IFERROR(_xlfn.MINIFS(nrES_Date,nrES_PID,$D581,nrES_Code,$F581,nrES_Att,2,nrES_Raw,"&gt;=0",nrES_Date,"&gt;0"),0)=0,"RETEST UNDATED",IF(NOT(ISNUMBER($T581)),"RETEST DATE UNCHECKED",IF(_xlfn.MINIFS(nrES_Date,nrES_PID,$D581,nrES_Code,$F581,nrES_Att,2,nrES_Raw,"&gt;=0",nrES_Date,"&gt;0")&gt;$T581,"LATE RETEST "&amp;TEXT(_xlfn.MINIFS(nrES_Date,nrES_PID,$D581,nrES_Code,$F581,nrES_Att,2,nrES_Raw,"&gt;=0",nrES_Date,"&gt;0"),"mm/dd")&amp;" (due "&amp;TEXT($T581,"mm/dd")&amp;")","Retested"))),IF(NOT(ISNUMBER($T581)),"CHECK DATE",IF(TODAY()&gt;$T581,"OVERDUE","Due "&amp;TEXT($T581,"mm/dd")))))))</f>
        <v/>
      </c>
      <c r="V581" s="16" t="n"/>
      <c r="W581" s="16" t="n"/>
      <c r="X581" s="17">
        <f>IF($C581="","",IF(AND($L581&lt;&gt;"",NOT(ISNUMBER($L581))),"RAW SCORE NOT A NUMBER",IF(AND(ISNUMBER($L581),OR($L581&lt;0,$L581&gt;100)),"RAW SCORE OUT OF RANGE",IF(AND($Y581="Unexcused",OR($L581="",NOT(ISNUMBER($L581)),$L581&lt;&gt;0)),"UNEXCUSED ABSENCE MUST RECORD 0",IF(COUNTIF(nrES_RecID,$B581)&gt;1,"DUPLICATE RECORD",IF(N($K581)&gt;2,"ATTEMPT 3+ NOT ALLOWED - policy 300.5 permits one retest per exam; this row records nothing",IF(AND($K581=2,COUNTIFS(nrES_PID,$D581,nrES_Code,$F581,nrES_Att,1)=0),"ATTEMPT 2 WITHOUT ATTEMPT 1",IF(AND($K581=2,$L581=""),"RETEST ROW HAS NO SCORE",IF(AND($H581="Final",$L581&lt;&gt;"",IFERROR(INDEX(nrCKfinalExamElig,MATCH($D581,rngCadetPIDs,0)),"")="No"),"FINAL EXAM AFTER FAILED FINAL PT (500.1.H)",IF(AND($K581=2,ISNUMBER($L581),COUNTIFS(nrES_PID,$D581,nrES_Code,$F581,nrES_Att,1)&gt;0,SUMIFS(nrES_Raw,nrES_PID,$D581,nrES_Code,$F581,nrES_Att,1)&gt;=$J581),"RETEST AFTER A PASSING FIRST ATTEMPT","OK"))))))))))</f>
        <v/>
      </c>
      <c r="Y581" s="16" t="n"/>
    </row>
    <row r="582">
      <c r="B582" s="17">
        <f>IF($C582="","",$D582&amp;"-"&amp;$F582&amp;"-"&amp;$K582)</f>
        <v/>
      </c>
      <c r="C582" s="16" t="n"/>
      <c r="D582" s="17">
        <f>IF($C582="","",IFERROR(INDEX(rngCadetPIDs,MATCH($C582,rngCadetNames,0)),"?"))</f>
        <v/>
      </c>
      <c r="E582" s="17">
        <f>IF($D582="","",IFERROR(INDEX(nrCadetAgency,MATCH($D582,rngCadetPIDs,0)),""))</f>
        <v/>
      </c>
      <c r="F582" s="16" t="n"/>
      <c r="G582" s="17">
        <f>IF($F582="","",IFERROR(INDEX(rngEPname,MATCH($F582,rngEPcode,0)),"?"))</f>
        <v/>
      </c>
      <c r="H582" s="17">
        <f>IF($F582="","",IFERROR(INDEX(rngEPtype,MATCH($F582,rngEPcode,0)),"?"))</f>
        <v/>
      </c>
      <c r="I582" s="17">
        <f>IF($F582="","",IFERROR(INDEX(rngEPseq,MATCH($F582,rngEPcode,0)),""))</f>
        <v/>
      </c>
      <c r="J582" s="17">
        <f>IF($F582="","",IFERROR(INDEX(rngEPpass,MATCH($F582,rngEPcode,0)),cfgPassingScore))</f>
        <v/>
      </c>
      <c r="K582" s="16" t="n"/>
      <c r="L582" s="16" t="n"/>
      <c r="M582" s="17">
        <f>IF($C582="","",IF($L582="","",IF(NOT(ISNUMBER($L582)),$L582,IF(N($K582)&gt;2,"",IF($K582=1,IF(COUNTIFS(nrES_PID,$D582,nrES_Code,$F582,nrES_Att,2,nrES_Raw,"&gt;=0")&gt;0,"",$L582),IF($L582&gt;=$J582,MAX($J582,cfgRetakeRecordedCap),IF(COUNTIFS(nrES_PID,$D582,nrES_Code,$F582,nrES_Att,1)=0,$L582,SUMIFS(nrES_Raw,nrES_PID,$D582,nrES_Code,$F582,nrES_Att,1))))))))</f>
        <v/>
      </c>
      <c r="N582" s="17">
        <f>IF($C582="","",IF($L582="","",IF(NOT(ISNUMBER($L582)),"(not a score)",IF($L582&gt;=$J582,"Yes","No"))))</f>
        <v/>
      </c>
      <c r="O582" s="17">
        <f>IF($C582="","",IF($M582="","",IF(NOT(ISNUMBER($M582)),"(not a score)",IF($M582&gt;=$J582,"Yes","No"))))</f>
        <v/>
      </c>
      <c r="P582" s="17">
        <f>IF($C582="","",IF($K582="","",IF(N($K582)&gt;2,"No",IF(COUNTIFS(nrES_PID,$D582,nrES_Code,$F582,nrES_Att,"&gt;"&amp;$K582,nrES_Att,"&lt;=2",nrES_Raw,"&gt;=0")=0,"Yes","No"))))</f>
        <v/>
      </c>
      <c r="Q582" s="17">
        <f>IF($C582="","",IF($L582="","",IF(AND($K582=1,ISNUMBER($L582),$L582&lt;$J582,COUNTIFS(nrES_PID,$D582,nrES_Code,$F582,nrES_Att,2,nrES_Raw,"&gt;=0")=0),"Yes","No")))</f>
        <v/>
      </c>
      <c r="R582" s="17">
        <f>IF($C582="","",IF($L582="","",IF(AND(N($K582)&gt;=2,ISNUMBER($L582),$L582&lt;$J582),"Yes","No")))</f>
        <v/>
      </c>
      <c r="S582" s="18" t="n"/>
      <c r="T582" s="19">
        <f>IF(OR($C582="",$L582="",$K582&lt;&gt;1,NOT(ISNUMBER($L582)),$L582&gt;=$J582),"",IF($S582="","(enter date)",_xlfn.LET(_xlpm.dn,_xlfn.XLOOKUP($S582,nrCDdate,nrCDnum,"",1),IF(_xlpm.dn="","(after last class day)",_xlfn.LET(_xlpm.dd,_xlfn.XLOOKUP(_xlpm.dn+cfgRetestClassDays,nrCDnum,nrCDdate,""),_xlpm.ok,_xlfn.XLOOKUP(_xlpm.dn+cfgRetestClassDays,nrCDnum,nrCDinsession,"No"),IF(OR(_xlpm.dd="",_xlpm.ok&lt;&gt;"Yes"),"(after last class day)",_xlpm.dd))))))</f>
        <v/>
      </c>
      <c r="U582" s="17">
        <f>IF($C582="","",IF(AND($Y582="Excused",$L582="",N($K582)&lt;=1),"EXCUSED - 1st attempt pending",IF(OR($L582="",$K582&lt;&gt;1,NOT(ISNUMBER($L582)),$L582&gt;=$J582),"",IF(COUNTIFS(nrES_PID,$D582,nrES_Code,$F582,nrES_Att,2,nrES_Raw,"&gt;=0")&gt;0,IF(IFERROR(_xlfn.MINIFS(nrES_Date,nrES_PID,$D582,nrES_Code,$F582,nrES_Att,2,nrES_Raw,"&gt;=0",nrES_Date,"&gt;0"),0)=0,"RETEST UNDATED",IF(NOT(ISNUMBER($T582)),"RETEST DATE UNCHECKED",IF(_xlfn.MINIFS(nrES_Date,nrES_PID,$D582,nrES_Code,$F582,nrES_Att,2,nrES_Raw,"&gt;=0",nrES_Date,"&gt;0")&gt;$T582,"LATE RETEST "&amp;TEXT(_xlfn.MINIFS(nrES_Date,nrES_PID,$D582,nrES_Code,$F582,nrES_Att,2,nrES_Raw,"&gt;=0",nrES_Date,"&gt;0"),"mm/dd")&amp;" (due "&amp;TEXT($T582,"mm/dd")&amp;")","Retested"))),IF(NOT(ISNUMBER($T582)),"CHECK DATE",IF(TODAY()&gt;$T582,"OVERDUE","Due "&amp;TEXT($T582,"mm/dd")))))))</f>
        <v/>
      </c>
      <c r="V582" s="16" t="n"/>
      <c r="W582" s="16" t="n"/>
      <c r="X582" s="17">
        <f>IF($C582="","",IF(AND($L582&lt;&gt;"",NOT(ISNUMBER($L582))),"RAW SCORE NOT A NUMBER",IF(AND(ISNUMBER($L582),OR($L582&lt;0,$L582&gt;100)),"RAW SCORE OUT OF RANGE",IF(AND($Y582="Unexcused",OR($L582="",NOT(ISNUMBER($L582)),$L582&lt;&gt;0)),"UNEXCUSED ABSENCE MUST RECORD 0",IF(COUNTIF(nrES_RecID,$B582)&gt;1,"DUPLICATE RECORD",IF(N($K582)&gt;2,"ATTEMPT 3+ NOT ALLOWED - policy 300.5 permits one retest per exam; this row records nothing",IF(AND($K582=2,COUNTIFS(nrES_PID,$D582,nrES_Code,$F582,nrES_Att,1)=0),"ATTEMPT 2 WITHOUT ATTEMPT 1",IF(AND($K582=2,$L582=""),"RETEST ROW HAS NO SCORE",IF(AND($H582="Final",$L582&lt;&gt;"",IFERROR(INDEX(nrCKfinalExamElig,MATCH($D582,rngCadetPIDs,0)),"")="No"),"FINAL EXAM AFTER FAILED FINAL PT (500.1.H)",IF(AND($K582=2,ISNUMBER($L582),COUNTIFS(nrES_PID,$D582,nrES_Code,$F582,nrES_Att,1)&gt;0,SUMIFS(nrES_Raw,nrES_PID,$D582,nrES_Code,$F582,nrES_Att,1)&gt;=$J582),"RETEST AFTER A PASSING FIRST ATTEMPT","OK"))))))))))</f>
        <v/>
      </c>
      <c r="Y582" s="16" t="n"/>
    </row>
    <row r="583">
      <c r="B583" s="17">
        <f>IF($C583="","",$D583&amp;"-"&amp;$F583&amp;"-"&amp;$K583)</f>
        <v/>
      </c>
      <c r="C583" s="16" t="n"/>
      <c r="D583" s="17">
        <f>IF($C583="","",IFERROR(INDEX(rngCadetPIDs,MATCH($C583,rngCadetNames,0)),"?"))</f>
        <v/>
      </c>
      <c r="E583" s="17">
        <f>IF($D583="","",IFERROR(INDEX(nrCadetAgency,MATCH($D583,rngCadetPIDs,0)),""))</f>
        <v/>
      </c>
      <c r="F583" s="16" t="n"/>
      <c r="G583" s="17">
        <f>IF($F583="","",IFERROR(INDEX(rngEPname,MATCH($F583,rngEPcode,0)),"?"))</f>
        <v/>
      </c>
      <c r="H583" s="17">
        <f>IF($F583="","",IFERROR(INDEX(rngEPtype,MATCH($F583,rngEPcode,0)),"?"))</f>
        <v/>
      </c>
      <c r="I583" s="17">
        <f>IF($F583="","",IFERROR(INDEX(rngEPseq,MATCH($F583,rngEPcode,0)),""))</f>
        <v/>
      </c>
      <c r="J583" s="17">
        <f>IF($F583="","",IFERROR(INDEX(rngEPpass,MATCH($F583,rngEPcode,0)),cfgPassingScore))</f>
        <v/>
      </c>
      <c r="K583" s="16" t="n"/>
      <c r="L583" s="16" t="n"/>
      <c r="M583" s="17">
        <f>IF($C583="","",IF($L583="","",IF(NOT(ISNUMBER($L583)),$L583,IF(N($K583)&gt;2,"",IF($K583=1,IF(COUNTIFS(nrES_PID,$D583,nrES_Code,$F583,nrES_Att,2,nrES_Raw,"&gt;=0")&gt;0,"",$L583),IF($L583&gt;=$J583,MAX($J583,cfgRetakeRecordedCap),IF(COUNTIFS(nrES_PID,$D583,nrES_Code,$F583,nrES_Att,1)=0,$L583,SUMIFS(nrES_Raw,nrES_PID,$D583,nrES_Code,$F583,nrES_Att,1))))))))</f>
        <v/>
      </c>
      <c r="N583" s="17">
        <f>IF($C583="","",IF($L583="","",IF(NOT(ISNUMBER($L583)),"(not a score)",IF($L583&gt;=$J583,"Yes","No"))))</f>
        <v/>
      </c>
      <c r="O583" s="17">
        <f>IF($C583="","",IF($M583="","",IF(NOT(ISNUMBER($M583)),"(not a score)",IF($M583&gt;=$J583,"Yes","No"))))</f>
        <v/>
      </c>
      <c r="P583" s="17">
        <f>IF($C583="","",IF($K583="","",IF(N($K583)&gt;2,"No",IF(COUNTIFS(nrES_PID,$D583,nrES_Code,$F583,nrES_Att,"&gt;"&amp;$K583,nrES_Att,"&lt;=2",nrES_Raw,"&gt;=0")=0,"Yes","No"))))</f>
        <v/>
      </c>
      <c r="Q583" s="17">
        <f>IF($C583="","",IF($L583="","",IF(AND($K583=1,ISNUMBER($L583),$L583&lt;$J583,COUNTIFS(nrES_PID,$D583,nrES_Code,$F583,nrES_Att,2,nrES_Raw,"&gt;=0")=0),"Yes","No")))</f>
        <v/>
      </c>
      <c r="R583" s="17">
        <f>IF($C583="","",IF($L583="","",IF(AND(N($K583)&gt;=2,ISNUMBER($L583),$L583&lt;$J583),"Yes","No")))</f>
        <v/>
      </c>
      <c r="S583" s="18" t="n"/>
      <c r="T583" s="19">
        <f>IF(OR($C583="",$L583="",$K583&lt;&gt;1,NOT(ISNUMBER($L583)),$L583&gt;=$J583),"",IF($S583="","(enter date)",_xlfn.LET(_xlpm.dn,_xlfn.XLOOKUP($S583,nrCDdate,nrCDnum,"",1),IF(_xlpm.dn="","(after last class day)",_xlfn.LET(_xlpm.dd,_xlfn.XLOOKUP(_xlpm.dn+cfgRetestClassDays,nrCDnum,nrCDdate,""),_xlpm.ok,_xlfn.XLOOKUP(_xlpm.dn+cfgRetestClassDays,nrCDnum,nrCDinsession,"No"),IF(OR(_xlpm.dd="",_xlpm.ok&lt;&gt;"Yes"),"(after last class day)",_xlpm.dd))))))</f>
        <v/>
      </c>
      <c r="U583" s="17">
        <f>IF($C583="","",IF(AND($Y583="Excused",$L583="",N($K583)&lt;=1),"EXCUSED - 1st attempt pending",IF(OR($L583="",$K583&lt;&gt;1,NOT(ISNUMBER($L583)),$L583&gt;=$J583),"",IF(COUNTIFS(nrES_PID,$D583,nrES_Code,$F583,nrES_Att,2,nrES_Raw,"&gt;=0")&gt;0,IF(IFERROR(_xlfn.MINIFS(nrES_Date,nrES_PID,$D583,nrES_Code,$F583,nrES_Att,2,nrES_Raw,"&gt;=0",nrES_Date,"&gt;0"),0)=0,"RETEST UNDATED",IF(NOT(ISNUMBER($T583)),"RETEST DATE UNCHECKED",IF(_xlfn.MINIFS(nrES_Date,nrES_PID,$D583,nrES_Code,$F583,nrES_Att,2,nrES_Raw,"&gt;=0",nrES_Date,"&gt;0")&gt;$T583,"LATE RETEST "&amp;TEXT(_xlfn.MINIFS(nrES_Date,nrES_PID,$D583,nrES_Code,$F583,nrES_Att,2,nrES_Raw,"&gt;=0",nrES_Date,"&gt;0"),"mm/dd")&amp;" (due "&amp;TEXT($T583,"mm/dd")&amp;")","Retested"))),IF(NOT(ISNUMBER($T583)),"CHECK DATE",IF(TODAY()&gt;$T583,"OVERDUE","Due "&amp;TEXT($T583,"mm/dd")))))))</f>
        <v/>
      </c>
      <c r="V583" s="16" t="n"/>
      <c r="W583" s="16" t="n"/>
      <c r="X583" s="17">
        <f>IF($C583="","",IF(AND($L583&lt;&gt;"",NOT(ISNUMBER($L583))),"RAW SCORE NOT A NUMBER",IF(AND(ISNUMBER($L583),OR($L583&lt;0,$L583&gt;100)),"RAW SCORE OUT OF RANGE",IF(AND($Y583="Unexcused",OR($L583="",NOT(ISNUMBER($L583)),$L583&lt;&gt;0)),"UNEXCUSED ABSENCE MUST RECORD 0",IF(COUNTIF(nrES_RecID,$B583)&gt;1,"DUPLICATE RECORD",IF(N($K583)&gt;2,"ATTEMPT 3+ NOT ALLOWED - policy 300.5 permits one retest per exam; this row records nothing",IF(AND($K583=2,COUNTIFS(nrES_PID,$D583,nrES_Code,$F583,nrES_Att,1)=0),"ATTEMPT 2 WITHOUT ATTEMPT 1",IF(AND($K583=2,$L583=""),"RETEST ROW HAS NO SCORE",IF(AND($H583="Final",$L583&lt;&gt;"",IFERROR(INDEX(nrCKfinalExamElig,MATCH($D583,rngCadetPIDs,0)),"")="No"),"FINAL EXAM AFTER FAILED FINAL PT (500.1.H)",IF(AND($K583=2,ISNUMBER($L583),COUNTIFS(nrES_PID,$D583,nrES_Code,$F583,nrES_Att,1)&gt;0,SUMIFS(nrES_Raw,nrES_PID,$D583,nrES_Code,$F583,nrES_Att,1)&gt;=$J583),"RETEST AFTER A PASSING FIRST ATTEMPT","OK"))))))))))</f>
        <v/>
      </c>
      <c r="Y583" s="16" t="n"/>
    </row>
    <row r="584">
      <c r="B584" s="17">
        <f>IF($C584="","",$D584&amp;"-"&amp;$F584&amp;"-"&amp;$K584)</f>
        <v/>
      </c>
      <c r="C584" s="16" t="n"/>
      <c r="D584" s="17">
        <f>IF($C584="","",IFERROR(INDEX(rngCadetPIDs,MATCH($C584,rngCadetNames,0)),"?"))</f>
        <v/>
      </c>
      <c r="E584" s="17">
        <f>IF($D584="","",IFERROR(INDEX(nrCadetAgency,MATCH($D584,rngCadetPIDs,0)),""))</f>
        <v/>
      </c>
      <c r="F584" s="16" t="n"/>
      <c r="G584" s="17">
        <f>IF($F584="","",IFERROR(INDEX(rngEPname,MATCH($F584,rngEPcode,0)),"?"))</f>
        <v/>
      </c>
      <c r="H584" s="17">
        <f>IF($F584="","",IFERROR(INDEX(rngEPtype,MATCH($F584,rngEPcode,0)),"?"))</f>
        <v/>
      </c>
      <c r="I584" s="17">
        <f>IF($F584="","",IFERROR(INDEX(rngEPseq,MATCH($F584,rngEPcode,0)),""))</f>
        <v/>
      </c>
      <c r="J584" s="17">
        <f>IF($F584="","",IFERROR(INDEX(rngEPpass,MATCH($F584,rngEPcode,0)),cfgPassingScore))</f>
        <v/>
      </c>
      <c r="K584" s="16" t="n"/>
      <c r="L584" s="16" t="n"/>
      <c r="M584" s="17">
        <f>IF($C584="","",IF($L584="","",IF(NOT(ISNUMBER($L584)),$L584,IF(N($K584)&gt;2,"",IF($K584=1,IF(COUNTIFS(nrES_PID,$D584,nrES_Code,$F584,nrES_Att,2,nrES_Raw,"&gt;=0")&gt;0,"",$L584),IF($L584&gt;=$J584,MAX($J584,cfgRetakeRecordedCap),IF(COUNTIFS(nrES_PID,$D584,nrES_Code,$F584,nrES_Att,1)=0,$L584,SUMIFS(nrES_Raw,nrES_PID,$D584,nrES_Code,$F584,nrES_Att,1))))))))</f>
        <v/>
      </c>
      <c r="N584" s="17">
        <f>IF($C584="","",IF($L584="","",IF(NOT(ISNUMBER($L584)),"(not a score)",IF($L584&gt;=$J584,"Yes","No"))))</f>
        <v/>
      </c>
      <c r="O584" s="17">
        <f>IF($C584="","",IF($M584="","",IF(NOT(ISNUMBER($M584)),"(not a score)",IF($M584&gt;=$J584,"Yes","No"))))</f>
        <v/>
      </c>
      <c r="P584" s="17">
        <f>IF($C584="","",IF($K584="","",IF(N($K584)&gt;2,"No",IF(COUNTIFS(nrES_PID,$D584,nrES_Code,$F584,nrES_Att,"&gt;"&amp;$K584,nrES_Att,"&lt;=2",nrES_Raw,"&gt;=0")=0,"Yes","No"))))</f>
        <v/>
      </c>
      <c r="Q584" s="17">
        <f>IF($C584="","",IF($L584="","",IF(AND($K584=1,ISNUMBER($L584),$L584&lt;$J584,COUNTIFS(nrES_PID,$D584,nrES_Code,$F584,nrES_Att,2,nrES_Raw,"&gt;=0")=0),"Yes","No")))</f>
        <v/>
      </c>
      <c r="R584" s="17">
        <f>IF($C584="","",IF($L584="","",IF(AND(N($K584)&gt;=2,ISNUMBER($L584),$L584&lt;$J584),"Yes","No")))</f>
        <v/>
      </c>
      <c r="S584" s="18" t="n"/>
      <c r="T584" s="19">
        <f>IF(OR($C584="",$L584="",$K584&lt;&gt;1,NOT(ISNUMBER($L584)),$L584&gt;=$J584),"",IF($S584="","(enter date)",_xlfn.LET(_xlpm.dn,_xlfn.XLOOKUP($S584,nrCDdate,nrCDnum,"",1),IF(_xlpm.dn="","(after last class day)",_xlfn.LET(_xlpm.dd,_xlfn.XLOOKUP(_xlpm.dn+cfgRetestClassDays,nrCDnum,nrCDdate,""),_xlpm.ok,_xlfn.XLOOKUP(_xlpm.dn+cfgRetestClassDays,nrCDnum,nrCDinsession,"No"),IF(OR(_xlpm.dd="",_xlpm.ok&lt;&gt;"Yes"),"(after last class day)",_xlpm.dd))))))</f>
        <v/>
      </c>
      <c r="U584" s="17">
        <f>IF($C584="","",IF(AND($Y584="Excused",$L584="",N($K584)&lt;=1),"EXCUSED - 1st attempt pending",IF(OR($L584="",$K584&lt;&gt;1,NOT(ISNUMBER($L584)),$L584&gt;=$J584),"",IF(COUNTIFS(nrES_PID,$D584,nrES_Code,$F584,nrES_Att,2,nrES_Raw,"&gt;=0")&gt;0,IF(IFERROR(_xlfn.MINIFS(nrES_Date,nrES_PID,$D584,nrES_Code,$F584,nrES_Att,2,nrES_Raw,"&gt;=0",nrES_Date,"&gt;0"),0)=0,"RETEST UNDATED",IF(NOT(ISNUMBER($T584)),"RETEST DATE UNCHECKED",IF(_xlfn.MINIFS(nrES_Date,nrES_PID,$D584,nrES_Code,$F584,nrES_Att,2,nrES_Raw,"&gt;=0",nrES_Date,"&gt;0")&gt;$T584,"LATE RETEST "&amp;TEXT(_xlfn.MINIFS(nrES_Date,nrES_PID,$D584,nrES_Code,$F584,nrES_Att,2,nrES_Raw,"&gt;=0",nrES_Date,"&gt;0"),"mm/dd")&amp;" (due "&amp;TEXT($T584,"mm/dd")&amp;")","Retested"))),IF(NOT(ISNUMBER($T584)),"CHECK DATE",IF(TODAY()&gt;$T584,"OVERDUE","Due "&amp;TEXT($T584,"mm/dd")))))))</f>
        <v/>
      </c>
      <c r="V584" s="16" t="n"/>
      <c r="W584" s="16" t="n"/>
      <c r="X584" s="17">
        <f>IF($C584="","",IF(AND($L584&lt;&gt;"",NOT(ISNUMBER($L584))),"RAW SCORE NOT A NUMBER",IF(AND(ISNUMBER($L584),OR($L584&lt;0,$L584&gt;100)),"RAW SCORE OUT OF RANGE",IF(AND($Y584="Unexcused",OR($L584="",NOT(ISNUMBER($L584)),$L584&lt;&gt;0)),"UNEXCUSED ABSENCE MUST RECORD 0",IF(COUNTIF(nrES_RecID,$B584)&gt;1,"DUPLICATE RECORD",IF(N($K584)&gt;2,"ATTEMPT 3+ NOT ALLOWED - policy 300.5 permits one retest per exam; this row records nothing",IF(AND($K584=2,COUNTIFS(nrES_PID,$D584,nrES_Code,$F584,nrES_Att,1)=0),"ATTEMPT 2 WITHOUT ATTEMPT 1",IF(AND($K584=2,$L584=""),"RETEST ROW HAS NO SCORE",IF(AND($H584="Final",$L584&lt;&gt;"",IFERROR(INDEX(nrCKfinalExamElig,MATCH($D584,rngCadetPIDs,0)),"")="No"),"FINAL EXAM AFTER FAILED FINAL PT (500.1.H)",IF(AND($K584=2,ISNUMBER($L584),COUNTIFS(nrES_PID,$D584,nrES_Code,$F584,nrES_Att,1)&gt;0,SUMIFS(nrES_Raw,nrES_PID,$D584,nrES_Code,$F584,nrES_Att,1)&gt;=$J584),"RETEST AFTER A PASSING FIRST ATTEMPT","OK"))))))))))</f>
        <v/>
      </c>
      <c r="Y584" s="16" t="n"/>
    </row>
    <row r="585">
      <c r="B585" s="17">
        <f>IF($C585="","",$D585&amp;"-"&amp;$F585&amp;"-"&amp;$K585)</f>
        <v/>
      </c>
      <c r="C585" s="16" t="n"/>
      <c r="D585" s="17">
        <f>IF($C585="","",IFERROR(INDEX(rngCadetPIDs,MATCH($C585,rngCadetNames,0)),"?"))</f>
        <v/>
      </c>
      <c r="E585" s="17">
        <f>IF($D585="","",IFERROR(INDEX(nrCadetAgency,MATCH($D585,rngCadetPIDs,0)),""))</f>
        <v/>
      </c>
      <c r="F585" s="16" t="n"/>
      <c r="G585" s="17">
        <f>IF($F585="","",IFERROR(INDEX(rngEPname,MATCH($F585,rngEPcode,0)),"?"))</f>
        <v/>
      </c>
      <c r="H585" s="17">
        <f>IF($F585="","",IFERROR(INDEX(rngEPtype,MATCH($F585,rngEPcode,0)),"?"))</f>
        <v/>
      </c>
      <c r="I585" s="17">
        <f>IF($F585="","",IFERROR(INDEX(rngEPseq,MATCH($F585,rngEPcode,0)),""))</f>
        <v/>
      </c>
      <c r="J585" s="17">
        <f>IF($F585="","",IFERROR(INDEX(rngEPpass,MATCH($F585,rngEPcode,0)),cfgPassingScore))</f>
        <v/>
      </c>
      <c r="K585" s="16" t="n"/>
      <c r="L585" s="16" t="n"/>
      <c r="M585" s="17">
        <f>IF($C585="","",IF($L585="","",IF(NOT(ISNUMBER($L585)),$L585,IF(N($K585)&gt;2,"",IF($K585=1,IF(COUNTIFS(nrES_PID,$D585,nrES_Code,$F585,nrES_Att,2,nrES_Raw,"&gt;=0")&gt;0,"",$L585),IF($L585&gt;=$J585,MAX($J585,cfgRetakeRecordedCap),IF(COUNTIFS(nrES_PID,$D585,nrES_Code,$F585,nrES_Att,1)=0,$L585,SUMIFS(nrES_Raw,nrES_PID,$D585,nrES_Code,$F585,nrES_Att,1))))))))</f>
        <v/>
      </c>
      <c r="N585" s="17">
        <f>IF($C585="","",IF($L585="","",IF(NOT(ISNUMBER($L585)),"(not a score)",IF($L585&gt;=$J585,"Yes","No"))))</f>
        <v/>
      </c>
      <c r="O585" s="17">
        <f>IF($C585="","",IF($M585="","",IF(NOT(ISNUMBER($M585)),"(not a score)",IF($M585&gt;=$J585,"Yes","No"))))</f>
        <v/>
      </c>
      <c r="P585" s="17">
        <f>IF($C585="","",IF($K585="","",IF(N($K585)&gt;2,"No",IF(COUNTIFS(nrES_PID,$D585,nrES_Code,$F585,nrES_Att,"&gt;"&amp;$K585,nrES_Att,"&lt;=2",nrES_Raw,"&gt;=0")=0,"Yes","No"))))</f>
        <v/>
      </c>
      <c r="Q585" s="17">
        <f>IF($C585="","",IF($L585="","",IF(AND($K585=1,ISNUMBER($L585),$L585&lt;$J585,COUNTIFS(nrES_PID,$D585,nrES_Code,$F585,nrES_Att,2,nrES_Raw,"&gt;=0")=0),"Yes","No")))</f>
        <v/>
      </c>
      <c r="R585" s="17">
        <f>IF($C585="","",IF($L585="","",IF(AND(N($K585)&gt;=2,ISNUMBER($L585),$L585&lt;$J585),"Yes","No")))</f>
        <v/>
      </c>
      <c r="S585" s="18" t="n"/>
      <c r="T585" s="19">
        <f>IF(OR($C585="",$L585="",$K585&lt;&gt;1,NOT(ISNUMBER($L585)),$L585&gt;=$J585),"",IF($S585="","(enter date)",_xlfn.LET(_xlpm.dn,_xlfn.XLOOKUP($S585,nrCDdate,nrCDnum,"",1),IF(_xlpm.dn="","(after last class day)",_xlfn.LET(_xlpm.dd,_xlfn.XLOOKUP(_xlpm.dn+cfgRetestClassDays,nrCDnum,nrCDdate,""),_xlpm.ok,_xlfn.XLOOKUP(_xlpm.dn+cfgRetestClassDays,nrCDnum,nrCDinsession,"No"),IF(OR(_xlpm.dd="",_xlpm.ok&lt;&gt;"Yes"),"(after last class day)",_xlpm.dd))))))</f>
        <v/>
      </c>
      <c r="U585" s="17">
        <f>IF($C585="","",IF(AND($Y585="Excused",$L585="",N($K585)&lt;=1),"EXCUSED - 1st attempt pending",IF(OR($L585="",$K585&lt;&gt;1,NOT(ISNUMBER($L585)),$L585&gt;=$J585),"",IF(COUNTIFS(nrES_PID,$D585,nrES_Code,$F585,nrES_Att,2,nrES_Raw,"&gt;=0")&gt;0,IF(IFERROR(_xlfn.MINIFS(nrES_Date,nrES_PID,$D585,nrES_Code,$F585,nrES_Att,2,nrES_Raw,"&gt;=0",nrES_Date,"&gt;0"),0)=0,"RETEST UNDATED",IF(NOT(ISNUMBER($T585)),"RETEST DATE UNCHECKED",IF(_xlfn.MINIFS(nrES_Date,nrES_PID,$D585,nrES_Code,$F585,nrES_Att,2,nrES_Raw,"&gt;=0",nrES_Date,"&gt;0")&gt;$T585,"LATE RETEST "&amp;TEXT(_xlfn.MINIFS(nrES_Date,nrES_PID,$D585,nrES_Code,$F585,nrES_Att,2,nrES_Raw,"&gt;=0",nrES_Date,"&gt;0"),"mm/dd")&amp;" (due "&amp;TEXT($T585,"mm/dd")&amp;")","Retested"))),IF(NOT(ISNUMBER($T585)),"CHECK DATE",IF(TODAY()&gt;$T585,"OVERDUE","Due "&amp;TEXT($T585,"mm/dd")))))))</f>
        <v/>
      </c>
      <c r="V585" s="16" t="n"/>
      <c r="W585" s="16" t="n"/>
      <c r="X585" s="17">
        <f>IF($C585="","",IF(AND($L585&lt;&gt;"",NOT(ISNUMBER($L585))),"RAW SCORE NOT A NUMBER",IF(AND(ISNUMBER($L585),OR($L585&lt;0,$L585&gt;100)),"RAW SCORE OUT OF RANGE",IF(AND($Y585="Unexcused",OR($L585="",NOT(ISNUMBER($L585)),$L585&lt;&gt;0)),"UNEXCUSED ABSENCE MUST RECORD 0",IF(COUNTIF(nrES_RecID,$B585)&gt;1,"DUPLICATE RECORD",IF(N($K585)&gt;2,"ATTEMPT 3+ NOT ALLOWED - policy 300.5 permits one retest per exam; this row records nothing",IF(AND($K585=2,COUNTIFS(nrES_PID,$D585,nrES_Code,$F585,nrES_Att,1)=0),"ATTEMPT 2 WITHOUT ATTEMPT 1",IF(AND($K585=2,$L585=""),"RETEST ROW HAS NO SCORE",IF(AND($H585="Final",$L585&lt;&gt;"",IFERROR(INDEX(nrCKfinalExamElig,MATCH($D585,rngCadetPIDs,0)),"")="No"),"FINAL EXAM AFTER FAILED FINAL PT (500.1.H)",IF(AND($K585=2,ISNUMBER($L585),COUNTIFS(nrES_PID,$D585,nrES_Code,$F585,nrES_Att,1)&gt;0,SUMIFS(nrES_Raw,nrES_PID,$D585,nrES_Code,$F585,nrES_Att,1)&gt;=$J585),"RETEST AFTER A PASSING FIRST ATTEMPT","OK"))))))))))</f>
        <v/>
      </c>
      <c r="Y585" s="16" t="n"/>
    </row>
    <row r="586">
      <c r="B586" s="17">
        <f>IF($C586="","",$D586&amp;"-"&amp;$F586&amp;"-"&amp;$K586)</f>
        <v/>
      </c>
      <c r="C586" s="16" t="n"/>
      <c r="D586" s="17">
        <f>IF($C586="","",IFERROR(INDEX(rngCadetPIDs,MATCH($C586,rngCadetNames,0)),"?"))</f>
        <v/>
      </c>
      <c r="E586" s="17">
        <f>IF($D586="","",IFERROR(INDEX(nrCadetAgency,MATCH($D586,rngCadetPIDs,0)),""))</f>
        <v/>
      </c>
      <c r="F586" s="16" t="n"/>
      <c r="G586" s="17">
        <f>IF($F586="","",IFERROR(INDEX(rngEPname,MATCH($F586,rngEPcode,0)),"?"))</f>
        <v/>
      </c>
      <c r="H586" s="17">
        <f>IF($F586="","",IFERROR(INDEX(rngEPtype,MATCH($F586,rngEPcode,0)),"?"))</f>
        <v/>
      </c>
      <c r="I586" s="17">
        <f>IF($F586="","",IFERROR(INDEX(rngEPseq,MATCH($F586,rngEPcode,0)),""))</f>
        <v/>
      </c>
      <c r="J586" s="17">
        <f>IF($F586="","",IFERROR(INDEX(rngEPpass,MATCH($F586,rngEPcode,0)),cfgPassingScore))</f>
        <v/>
      </c>
      <c r="K586" s="16" t="n"/>
      <c r="L586" s="16" t="n"/>
      <c r="M586" s="17">
        <f>IF($C586="","",IF($L586="","",IF(NOT(ISNUMBER($L586)),$L586,IF(N($K586)&gt;2,"",IF($K586=1,IF(COUNTIFS(nrES_PID,$D586,nrES_Code,$F586,nrES_Att,2,nrES_Raw,"&gt;=0")&gt;0,"",$L586),IF($L586&gt;=$J586,MAX($J586,cfgRetakeRecordedCap),IF(COUNTIFS(nrES_PID,$D586,nrES_Code,$F586,nrES_Att,1)=0,$L586,SUMIFS(nrES_Raw,nrES_PID,$D586,nrES_Code,$F586,nrES_Att,1))))))))</f>
        <v/>
      </c>
      <c r="N586" s="17">
        <f>IF($C586="","",IF($L586="","",IF(NOT(ISNUMBER($L586)),"(not a score)",IF($L586&gt;=$J586,"Yes","No"))))</f>
        <v/>
      </c>
      <c r="O586" s="17">
        <f>IF($C586="","",IF($M586="","",IF(NOT(ISNUMBER($M586)),"(not a score)",IF($M586&gt;=$J586,"Yes","No"))))</f>
        <v/>
      </c>
      <c r="P586" s="17">
        <f>IF($C586="","",IF($K586="","",IF(N($K586)&gt;2,"No",IF(COUNTIFS(nrES_PID,$D586,nrES_Code,$F586,nrES_Att,"&gt;"&amp;$K586,nrES_Att,"&lt;=2",nrES_Raw,"&gt;=0")=0,"Yes","No"))))</f>
        <v/>
      </c>
      <c r="Q586" s="17">
        <f>IF($C586="","",IF($L586="","",IF(AND($K586=1,ISNUMBER($L586),$L586&lt;$J586,COUNTIFS(nrES_PID,$D586,nrES_Code,$F586,nrES_Att,2,nrES_Raw,"&gt;=0")=0),"Yes","No")))</f>
        <v/>
      </c>
      <c r="R586" s="17">
        <f>IF($C586="","",IF($L586="","",IF(AND(N($K586)&gt;=2,ISNUMBER($L586),$L586&lt;$J586),"Yes","No")))</f>
        <v/>
      </c>
      <c r="S586" s="18" t="n"/>
      <c r="T586" s="19">
        <f>IF(OR($C586="",$L586="",$K586&lt;&gt;1,NOT(ISNUMBER($L586)),$L586&gt;=$J586),"",IF($S586="","(enter date)",_xlfn.LET(_xlpm.dn,_xlfn.XLOOKUP($S586,nrCDdate,nrCDnum,"",1),IF(_xlpm.dn="","(after last class day)",_xlfn.LET(_xlpm.dd,_xlfn.XLOOKUP(_xlpm.dn+cfgRetestClassDays,nrCDnum,nrCDdate,""),_xlpm.ok,_xlfn.XLOOKUP(_xlpm.dn+cfgRetestClassDays,nrCDnum,nrCDinsession,"No"),IF(OR(_xlpm.dd="",_xlpm.ok&lt;&gt;"Yes"),"(after last class day)",_xlpm.dd))))))</f>
        <v/>
      </c>
      <c r="U586" s="17">
        <f>IF($C586="","",IF(AND($Y586="Excused",$L586="",N($K586)&lt;=1),"EXCUSED - 1st attempt pending",IF(OR($L586="",$K586&lt;&gt;1,NOT(ISNUMBER($L586)),$L586&gt;=$J586),"",IF(COUNTIFS(nrES_PID,$D586,nrES_Code,$F586,nrES_Att,2,nrES_Raw,"&gt;=0")&gt;0,IF(IFERROR(_xlfn.MINIFS(nrES_Date,nrES_PID,$D586,nrES_Code,$F586,nrES_Att,2,nrES_Raw,"&gt;=0",nrES_Date,"&gt;0"),0)=0,"RETEST UNDATED",IF(NOT(ISNUMBER($T586)),"RETEST DATE UNCHECKED",IF(_xlfn.MINIFS(nrES_Date,nrES_PID,$D586,nrES_Code,$F586,nrES_Att,2,nrES_Raw,"&gt;=0",nrES_Date,"&gt;0")&gt;$T586,"LATE RETEST "&amp;TEXT(_xlfn.MINIFS(nrES_Date,nrES_PID,$D586,nrES_Code,$F586,nrES_Att,2,nrES_Raw,"&gt;=0",nrES_Date,"&gt;0"),"mm/dd")&amp;" (due "&amp;TEXT($T586,"mm/dd")&amp;")","Retested"))),IF(NOT(ISNUMBER($T586)),"CHECK DATE",IF(TODAY()&gt;$T586,"OVERDUE","Due "&amp;TEXT($T586,"mm/dd")))))))</f>
        <v/>
      </c>
      <c r="V586" s="16" t="n"/>
      <c r="W586" s="16" t="n"/>
      <c r="X586" s="17">
        <f>IF($C586="","",IF(AND($L586&lt;&gt;"",NOT(ISNUMBER($L586))),"RAW SCORE NOT A NUMBER",IF(AND(ISNUMBER($L586),OR($L586&lt;0,$L586&gt;100)),"RAW SCORE OUT OF RANGE",IF(AND($Y586="Unexcused",OR($L586="",NOT(ISNUMBER($L586)),$L586&lt;&gt;0)),"UNEXCUSED ABSENCE MUST RECORD 0",IF(COUNTIF(nrES_RecID,$B586)&gt;1,"DUPLICATE RECORD",IF(N($K586)&gt;2,"ATTEMPT 3+ NOT ALLOWED - policy 300.5 permits one retest per exam; this row records nothing",IF(AND($K586=2,COUNTIFS(nrES_PID,$D586,nrES_Code,$F586,nrES_Att,1)=0),"ATTEMPT 2 WITHOUT ATTEMPT 1",IF(AND($K586=2,$L586=""),"RETEST ROW HAS NO SCORE",IF(AND($H586="Final",$L586&lt;&gt;"",IFERROR(INDEX(nrCKfinalExamElig,MATCH($D586,rngCadetPIDs,0)),"")="No"),"FINAL EXAM AFTER FAILED FINAL PT (500.1.H)",IF(AND($K586=2,ISNUMBER($L586),COUNTIFS(nrES_PID,$D586,nrES_Code,$F586,nrES_Att,1)&gt;0,SUMIFS(nrES_Raw,nrES_PID,$D586,nrES_Code,$F586,nrES_Att,1)&gt;=$J586),"RETEST AFTER A PASSING FIRST ATTEMPT","OK"))))))))))</f>
        <v/>
      </c>
      <c r="Y586" s="16" t="n"/>
    </row>
    <row r="587">
      <c r="B587" s="17">
        <f>IF($C587="","",$D587&amp;"-"&amp;$F587&amp;"-"&amp;$K587)</f>
        <v/>
      </c>
      <c r="C587" s="16" t="n"/>
      <c r="D587" s="17">
        <f>IF($C587="","",IFERROR(INDEX(rngCadetPIDs,MATCH($C587,rngCadetNames,0)),"?"))</f>
        <v/>
      </c>
      <c r="E587" s="17">
        <f>IF($D587="","",IFERROR(INDEX(nrCadetAgency,MATCH($D587,rngCadetPIDs,0)),""))</f>
        <v/>
      </c>
      <c r="F587" s="16" t="n"/>
      <c r="G587" s="17">
        <f>IF($F587="","",IFERROR(INDEX(rngEPname,MATCH($F587,rngEPcode,0)),"?"))</f>
        <v/>
      </c>
      <c r="H587" s="17">
        <f>IF($F587="","",IFERROR(INDEX(rngEPtype,MATCH($F587,rngEPcode,0)),"?"))</f>
        <v/>
      </c>
      <c r="I587" s="17">
        <f>IF($F587="","",IFERROR(INDEX(rngEPseq,MATCH($F587,rngEPcode,0)),""))</f>
        <v/>
      </c>
      <c r="J587" s="17">
        <f>IF($F587="","",IFERROR(INDEX(rngEPpass,MATCH($F587,rngEPcode,0)),cfgPassingScore))</f>
        <v/>
      </c>
      <c r="K587" s="16" t="n"/>
      <c r="L587" s="16" t="n"/>
      <c r="M587" s="17">
        <f>IF($C587="","",IF($L587="","",IF(NOT(ISNUMBER($L587)),$L587,IF(N($K587)&gt;2,"",IF($K587=1,IF(COUNTIFS(nrES_PID,$D587,nrES_Code,$F587,nrES_Att,2,nrES_Raw,"&gt;=0")&gt;0,"",$L587),IF($L587&gt;=$J587,MAX($J587,cfgRetakeRecordedCap),IF(COUNTIFS(nrES_PID,$D587,nrES_Code,$F587,nrES_Att,1)=0,$L587,SUMIFS(nrES_Raw,nrES_PID,$D587,nrES_Code,$F587,nrES_Att,1))))))))</f>
        <v/>
      </c>
      <c r="N587" s="17">
        <f>IF($C587="","",IF($L587="","",IF(NOT(ISNUMBER($L587)),"(not a score)",IF($L587&gt;=$J587,"Yes","No"))))</f>
        <v/>
      </c>
      <c r="O587" s="17">
        <f>IF($C587="","",IF($M587="","",IF(NOT(ISNUMBER($M587)),"(not a score)",IF($M587&gt;=$J587,"Yes","No"))))</f>
        <v/>
      </c>
      <c r="P587" s="17">
        <f>IF($C587="","",IF($K587="","",IF(N($K587)&gt;2,"No",IF(COUNTIFS(nrES_PID,$D587,nrES_Code,$F587,nrES_Att,"&gt;"&amp;$K587,nrES_Att,"&lt;=2",nrES_Raw,"&gt;=0")=0,"Yes","No"))))</f>
        <v/>
      </c>
      <c r="Q587" s="17">
        <f>IF($C587="","",IF($L587="","",IF(AND($K587=1,ISNUMBER($L587),$L587&lt;$J587,COUNTIFS(nrES_PID,$D587,nrES_Code,$F587,nrES_Att,2,nrES_Raw,"&gt;=0")=0),"Yes","No")))</f>
        <v/>
      </c>
      <c r="R587" s="17">
        <f>IF($C587="","",IF($L587="","",IF(AND(N($K587)&gt;=2,ISNUMBER($L587),$L587&lt;$J587),"Yes","No")))</f>
        <v/>
      </c>
      <c r="S587" s="18" t="n"/>
      <c r="T587" s="19">
        <f>IF(OR($C587="",$L587="",$K587&lt;&gt;1,NOT(ISNUMBER($L587)),$L587&gt;=$J587),"",IF($S587="","(enter date)",_xlfn.LET(_xlpm.dn,_xlfn.XLOOKUP($S587,nrCDdate,nrCDnum,"",1),IF(_xlpm.dn="","(after last class day)",_xlfn.LET(_xlpm.dd,_xlfn.XLOOKUP(_xlpm.dn+cfgRetestClassDays,nrCDnum,nrCDdate,""),_xlpm.ok,_xlfn.XLOOKUP(_xlpm.dn+cfgRetestClassDays,nrCDnum,nrCDinsession,"No"),IF(OR(_xlpm.dd="",_xlpm.ok&lt;&gt;"Yes"),"(after last class day)",_xlpm.dd))))))</f>
        <v/>
      </c>
      <c r="U587" s="17">
        <f>IF($C587="","",IF(AND($Y587="Excused",$L587="",N($K587)&lt;=1),"EXCUSED - 1st attempt pending",IF(OR($L587="",$K587&lt;&gt;1,NOT(ISNUMBER($L587)),$L587&gt;=$J587),"",IF(COUNTIFS(nrES_PID,$D587,nrES_Code,$F587,nrES_Att,2,nrES_Raw,"&gt;=0")&gt;0,IF(IFERROR(_xlfn.MINIFS(nrES_Date,nrES_PID,$D587,nrES_Code,$F587,nrES_Att,2,nrES_Raw,"&gt;=0",nrES_Date,"&gt;0"),0)=0,"RETEST UNDATED",IF(NOT(ISNUMBER($T587)),"RETEST DATE UNCHECKED",IF(_xlfn.MINIFS(nrES_Date,nrES_PID,$D587,nrES_Code,$F587,nrES_Att,2,nrES_Raw,"&gt;=0",nrES_Date,"&gt;0")&gt;$T587,"LATE RETEST "&amp;TEXT(_xlfn.MINIFS(nrES_Date,nrES_PID,$D587,nrES_Code,$F587,nrES_Att,2,nrES_Raw,"&gt;=0",nrES_Date,"&gt;0"),"mm/dd")&amp;" (due "&amp;TEXT($T587,"mm/dd")&amp;")","Retested"))),IF(NOT(ISNUMBER($T587)),"CHECK DATE",IF(TODAY()&gt;$T587,"OVERDUE","Due "&amp;TEXT($T587,"mm/dd")))))))</f>
        <v/>
      </c>
      <c r="V587" s="16" t="n"/>
      <c r="W587" s="16" t="n"/>
      <c r="X587" s="17">
        <f>IF($C587="","",IF(AND($L587&lt;&gt;"",NOT(ISNUMBER($L587))),"RAW SCORE NOT A NUMBER",IF(AND(ISNUMBER($L587),OR($L587&lt;0,$L587&gt;100)),"RAW SCORE OUT OF RANGE",IF(AND($Y587="Unexcused",OR($L587="",NOT(ISNUMBER($L587)),$L587&lt;&gt;0)),"UNEXCUSED ABSENCE MUST RECORD 0",IF(COUNTIF(nrES_RecID,$B587)&gt;1,"DUPLICATE RECORD",IF(N($K587)&gt;2,"ATTEMPT 3+ NOT ALLOWED - policy 300.5 permits one retest per exam; this row records nothing",IF(AND($K587=2,COUNTIFS(nrES_PID,$D587,nrES_Code,$F587,nrES_Att,1)=0),"ATTEMPT 2 WITHOUT ATTEMPT 1",IF(AND($K587=2,$L587=""),"RETEST ROW HAS NO SCORE",IF(AND($H587="Final",$L587&lt;&gt;"",IFERROR(INDEX(nrCKfinalExamElig,MATCH($D587,rngCadetPIDs,0)),"")="No"),"FINAL EXAM AFTER FAILED FINAL PT (500.1.H)",IF(AND($K587=2,ISNUMBER($L587),COUNTIFS(nrES_PID,$D587,nrES_Code,$F587,nrES_Att,1)&gt;0,SUMIFS(nrES_Raw,nrES_PID,$D587,nrES_Code,$F587,nrES_Att,1)&gt;=$J587),"RETEST AFTER A PASSING FIRST ATTEMPT","OK"))))))))))</f>
        <v/>
      </c>
      <c r="Y587" s="16" t="n"/>
    </row>
    <row r="588">
      <c r="B588" s="17">
        <f>IF($C588="","",$D588&amp;"-"&amp;$F588&amp;"-"&amp;$K588)</f>
        <v/>
      </c>
      <c r="C588" s="16" t="n"/>
      <c r="D588" s="17">
        <f>IF($C588="","",IFERROR(INDEX(rngCadetPIDs,MATCH($C588,rngCadetNames,0)),"?"))</f>
        <v/>
      </c>
      <c r="E588" s="17">
        <f>IF($D588="","",IFERROR(INDEX(nrCadetAgency,MATCH($D588,rngCadetPIDs,0)),""))</f>
        <v/>
      </c>
      <c r="F588" s="16" t="n"/>
      <c r="G588" s="17">
        <f>IF($F588="","",IFERROR(INDEX(rngEPname,MATCH($F588,rngEPcode,0)),"?"))</f>
        <v/>
      </c>
      <c r="H588" s="17">
        <f>IF($F588="","",IFERROR(INDEX(rngEPtype,MATCH($F588,rngEPcode,0)),"?"))</f>
        <v/>
      </c>
      <c r="I588" s="17">
        <f>IF($F588="","",IFERROR(INDEX(rngEPseq,MATCH($F588,rngEPcode,0)),""))</f>
        <v/>
      </c>
      <c r="J588" s="17">
        <f>IF($F588="","",IFERROR(INDEX(rngEPpass,MATCH($F588,rngEPcode,0)),cfgPassingScore))</f>
        <v/>
      </c>
      <c r="K588" s="16" t="n"/>
      <c r="L588" s="16" t="n"/>
      <c r="M588" s="17">
        <f>IF($C588="","",IF($L588="","",IF(NOT(ISNUMBER($L588)),$L588,IF(N($K588)&gt;2,"",IF($K588=1,IF(COUNTIFS(nrES_PID,$D588,nrES_Code,$F588,nrES_Att,2,nrES_Raw,"&gt;=0")&gt;0,"",$L588),IF($L588&gt;=$J588,MAX($J588,cfgRetakeRecordedCap),IF(COUNTIFS(nrES_PID,$D588,nrES_Code,$F588,nrES_Att,1)=0,$L588,SUMIFS(nrES_Raw,nrES_PID,$D588,nrES_Code,$F588,nrES_Att,1))))))))</f>
        <v/>
      </c>
      <c r="N588" s="17">
        <f>IF($C588="","",IF($L588="","",IF(NOT(ISNUMBER($L588)),"(not a score)",IF($L588&gt;=$J588,"Yes","No"))))</f>
        <v/>
      </c>
      <c r="O588" s="17">
        <f>IF($C588="","",IF($M588="","",IF(NOT(ISNUMBER($M588)),"(not a score)",IF($M588&gt;=$J588,"Yes","No"))))</f>
        <v/>
      </c>
      <c r="P588" s="17">
        <f>IF($C588="","",IF($K588="","",IF(N($K588)&gt;2,"No",IF(COUNTIFS(nrES_PID,$D588,nrES_Code,$F588,nrES_Att,"&gt;"&amp;$K588,nrES_Att,"&lt;=2",nrES_Raw,"&gt;=0")=0,"Yes","No"))))</f>
        <v/>
      </c>
      <c r="Q588" s="17">
        <f>IF($C588="","",IF($L588="","",IF(AND($K588=1,ISNUMBER($L588),$L588&lt;$J588,COUNTIFS(nrES_PID,$D588,nrES_Code,$F588,nrES_Att,2,nrES_Raw,"&gt;=0")=0),"Yes","No")))</f>
        <v/>
      </c>
      <c r="R588" s="17">
        <f>IF($C588="","",IF($L588="","",IF(AND(N($K588)&gt;=2,ISNUMBER($L588),$L588&lt;$J588),"Yes","No")))</f>
        <v/>
      </c>
      <c r="S588" s="18" t="n"/>
      <c r="T588" s="19">
        <f>IF(OR($C588="",$L588="",$K588&lt;&gt;1,NOT(ISNUMBER($L588)),$L588&gt;=$J588),"",IF($S588="","(enter date)",_xlfn.LET(_xlpm.dn,_xlfn.XLOOKUP($S588,nrCDdate,nrCDnum,"",1),IF(_xlpm.dn="","(after last class day)",_xlfn.LET(_xlpm.dd,_xlfn.XLOOKUP(_xlpm.dn+cfgRetestClassDays,nrCDnum,nrCDdate,""),_xlpm.ok,_xlfn.XLOOKUP(_xlpm.dn+cfgRetestClassDays,nrCDnum,nrCDinsession,"No"),IF(OR(_xlpm.dd="",_xlpm.ok&lt;&gt;"Yes"),"(after last class day)",_xlpm.dd))))))</f>
        <v/>
      </c>
      <c r="U588" s="17">
        <f>IF($C588="","",IF(AND($Y588="Excused",$L588="",N($K588)&lt;=1),"EXCUSED - 1st attempt pending",IF(OR($L588="",$K588&lt;&gt;1,NOT(ISNUMBER($L588)),$L588&gt;=$J588),"",IF(COUNTIFS(nrES_PID,$D588,nrES_Code,$F588,nrES_Att,2,nrES_Raw,"&gt;=0")&gt;0,IF(IFERROR(_xlfn.MINIFS(nrES_Date,nrES_PID,$D588,nrES_Code,$F588,nrES_Att,2,nrES_Raw,"&gt;=0",nrES_Date,"&gt;0"),0)=0,"RETEST UNDATED",IF(NOT(ISNUMBER($T588)),"RETEST DATE UNCHECKED",IF(_xlfn.MINIFS(nrES_Date,nrES_PID,$D588,nrES_Code,$F588,nrES_Att,2,nrES_Raw,"&gt;=0",nrES_Date,"&gt;0")&gt;$T588,"LATE RETEST "&amp;TEXT(_xlfn.MINIFS(nrES_Date,nrES_PID,$D588,nrES_Code,$F588,nrES_Att,2,nrES_Raw,"&gt;=0",nrES_Date,"&gt;0"),"mm/dd")&amp;" (due "&amp;TEXT($T588,"mm/dd")&amp;")","Retested"))),IF(NOT(ISNUMBER($T588)),"CHECK DATE",IF(TODAY()&gt;$T588,"OVERDUE","Due "&amp;TEXT($T588,"mm/dd")))))))</f>
        <v/>
      </c>
      <c r="V588" s="16" t="n"/>
      <c r="W588" s="16" t="n"/>
      <c r="X588" s="17">
        <f>IF($C588="","",IF(AND($L588&lt;&gt;"",NOT(ISNUMBER($L588))),"RAW SCORE NOT A NUMBER",IF(AND(ISNUMBER($L588),OR($L588&lt;0,$L588&gt;100)),"RAW SCORE OUT OF RANGE",IF(AND($Y588="Unexcused",OR($L588="",NOT(ISNUMBER($L588)),$L588&lt;&gt;0)),"UNEXCUSED ABSENCE MUST RECORD 0",IF(COUNTIF(nrES_RecID,$B588)&gt;1,"DUPLICATE RECORD",IF(N($K588)&gt;2,"ATTEMPT 3+ NOT ALLOWED - policy 300.5 permits one retest per exam; this row records nothing",IF(AND($K588=2,COUNTIFS(nrES_PID,$D588,nrES_Code,$F588,nrES_Att,1)=0),"ATTEMPT 2 WITHOUT ATTEMPT 1",IF(AND($K588=2,$L588=""),"RETEST ROW HAS NO SCORE",IF(AND($H588="Final",$L588&lt;&gt;"",IFERROR(INDEX(nrCKfinalExamElig,MATCH($D588,rngCadetPIDs,0)),"")="No"),"FINAL EXAM AFTER FAILED FINAL PT (500.1.H)",IF(AND($K588=2,ISNUMBER($L588),COUNTIFS(nrES_PID,$D588,nrES_Code,$F588,nrES_Att,1)&gt;0,SUMIFS(nrES_Raw,nrES_PID,$D588,nrES_Code,$F588,nrES_Att,1)&gt;=$J588),"RETEST AFTER A PASSING FIRST ATTEMPT","OK"))))))))))</f>
        <v/>
      </c>
      <c r="Y588" s="16" t="n"/>
    </row>
    <row r="589">
      <c r="B589" s="17">
        <f>IF($C589="","",$D589&amp;"-"&amp;$F589&amp;"-"&amp;$K589)</f>
        <v/>
      </c>
      <c r="C589" s="16" t="n"/>
      <c r="D589" s="17">
        <f>IF($C589="","",IFERROR(INDEX(rngCadetPIDs,MATCH($C589,rngCadetNames,0)),"?"))</f>
        <v/>
      </c>
      <c r="E589" s="17">
        <f>IF($D589="","",IFERROR(INDEX(nrCadetAgency,MATCH($D589,rngCadetPIDs,0)),""))</f>
        <v/>
      </c>
      <c r="F589" s="16" t="n"/>
      <c r="G589" s="17">
        <f>IF($F589="","",IFERROR(INDEX(rngEPname,MATCH($F589,rngEPcode,0)),"?"))</f>
        <v/>
      </c>
      <c r="H589" s="17">
        <f>IF($F589="","",IFERROR(INDEX(rngEPtype,MATCH($F589,rngEPcode,0)),"?"))</f>
        <v/>
      </c>
      <c r="I589" s="17">
        <f>IF($F589="","",IFERROR(INDEX(rngEPseq,MATCH($F589,rngEPcode,0)),""))</f>
        <v/>
      </c>
      <c r="J589" s="17">
        <f>IF($F589="","",IFERROR(INDEX(rngEPpass,MATCH($F589,rngEPcode,0)),cfgPassingScore))</f>
        <v/>
      </c>
      <c r="K589" s="16" t="n"/>
      <c r="L589" s="16" t="n"/>
      <c r="M589" s="17">
        <f>IF($C589="","",IF($L589="","",IF(NOT(ISNUMBER($L589)),$L589,IF(N($K589)&gt;2,"",IF($K589=1,IF(COUNTIFS(nrES_PID,$D589,nrES_Code,$F589,nrES_Att,2,nrES_Raw,"&gt;=0")&gt;0,"",$L589),IF($L589&gt;=$J589,MAX($J589,cfgRetakeRecordedCap),IF(COUNTIFS(nrES_PID,$D589,nrES_Code,$F589,nrES_Att,1)=0,$L589,SUMIFS(nrES_Raw,nrES_PID,$D589,nrES_Code,$F589,nrES_Att,1))))))))</f>
        <v/>
      </c>
      <c r="N589" s="17">
        <f>IF($C589="","",IF($L589="","",IF(NOT(ISNUMBER($L589)),"(not a score)",IF($L589&gt;=$J589,"Yes","No"))))</f>
        <v/>
      </c>
      <c r="O589" s="17">
        <f>IF($C589="","",IF($M589="","",IF(NOT(ISNUMBER($M589)),"(not a score)",IF($M589&gt;=$J589,"Yes","No"))))</f>
        <v/>
      </c>
      <c r="P589" s="17">
        <f>IF($C589="","",IF($K589="","",IF(N($K589)&gt;2,"No",IF(COUNTIFS(nrES_PID,$D589,nrES_Code,$F589,nrES_Att,"&gt;"&amp;$K589,nrES_Att,"&lt;=2",nrES_Raw,"&gt;=0")=0,"Yes","No"))))</f>
        <v/>
      </c>
      <c r="Q589" s="17">
        <f>IF($C589="","",IF($L589="","",IF(AND($K589=1,ISNUMBER($L589),$L589&lt;$J589,COUNTIFS(nrES_PID,$D589,nrES_Code,$F589,nrES_Att,2,nrES_Raw,"&gt;=0")=0),"Yes","No")))</f>
        <v/>
      </c>
      <c r="R589" s="17">
        <f>IF($C589="","",IF($L589="","",IF(AND(N($K589)&gt;=2,ISNUMBER($L589),$L589&lt;$J589),"Yes","No")))</f>
        <v/>
      </c>
      <c r="S589" s="18" t="n"/>
      <c r="T589" s="19">
        <f>IF(OR($C589="",$L589="",$K589&lt;&gt;1,NOT(ISNUMBER($L589)),$L589&gt;=$J589),"",IF($S589="","(enter date)",_xlfn.LET(_xlpm.dn,_xlfn.XLOOKUP($S589,nrCDdate,nrCDnum,"",1),IF(_xlpm.dn="","(after last class day)",_xlfn.LET(_xlpm.dd,_xlfn.XLOOKUP(_xlpm.dn+cfgRetestClassDays,nrCDnum,nrCDdate,""),_xlpm.ok,_xlfn.XLOOKUP(_xlpm.dn+cfgRetestClassDays,nrCDnum,nrCDinsession,"No"),IF(OR(_xlpm.dd="",_xlpm.ok&lt;&gt;"Yes"),"(after last class day)",_xlpm.dd))))))</f>
        <v/>
      </c>
      <c r="U589" s="17">
        <f>IF($C589="","",IF(AND($Y589="Excused",$L589="",N($K589)&lt;=1),"EXCUSED - 1st attempt pending",IF(OR($L589="",$K589&lt;&gt;1,NOT(ISNUMBER($L589)),$L589&gt;=$J589),"",IF(COUNTIFS(nrES_PID,$D589,nrES_Code,$F589,nrES_Att,2,nrES_Raw,"&gt;=0")&gt;0,IF(IFERROR(_xlfn.MINIFS(nrES_Date,nrES_PID,$D589,nrES_Code,$F589,nrES_Att,2,nrES_Raw,"&gt;=0",nrES_Date,"&gt;0"),0)=0,"RETEST UNDATED",IF(NOT(ISNUMBER($T589)),"RETEST DATE UNCHECKED",IF(_xlfn.MINIFS(nrES_Date,nrES_PID,$D589,nrES_Code,$F589,nrES_Att,2,nrES_Raw,"&gt;=0",nrES_Date,"&gt;0")&gt;$T589,"LATE RETEST "&amp;TEXT(_xlfn.MINIFS(nrES_Date,nrES_PID,$D589,nrES_Code,$F589,nrES_Att,2,nrES_Raw,"&gt;=0",nrES_Date,"&gt;0"),"mm/dd")&amp;" (due "&amp;TEXT($T589,"mm/dd")&amp;")","Retested"))),IF(NOT(ISNUMBER($T589)),"CHECK DATE",IF(TODAY()&gt;$T589,"OVERDUE","Due "&amp;TEXT($T589,"mm/dd")))))))</f>
        <v/>
      </c>
      <c r="V589" s="16" t="n"/>
      <c r="W589" s="16" t="n"/>
      <c r="X589" s="17">
        <f>IF($C589="","",IF(AND($L589&lt;&gt;"",NOT(ISNUMBER($L589))),"RAW SCORE NOT A NUMBER",IF(AND(ISNUMBER($L589),OR($L589&lt;0,$L589&gt;100)),"RAW SCORE OUT OF RANGE",IF(AND($Y589="Unexcused",OR($L589="",NOT(ISNUMBER($L589)),$L589&lt;&gt;0)),"UNEXCUSED ABSENCE MUST RECORD 0",IF(COUNTIF(nrES_RecID,$B589)&gt;1,"DUPLICATE RECORD",IF(N($K589)&gt;2,"ATTEMPT 3+ NOT ALLOWED - policy 300.5 permits one retest per exam; this row records nothing",IF(AND($K589=2,COUNTIFS(nrES_PID,$D589,nrES_Code,$F589,nrES_Att,1)=0),"ATTEMPT 2 WITHOUT ATTEMPT 1",IF(AND($K589=2,$L589=""),"RETEST ROW HAS NO SCORE",IF(AND($H589="Final",$L589&lt;&gt;"",IFERROR(INDEX(nrCKfinalExamElig,MATCH($D589,rngCadetPIDs,0)),"")="No"),"FINAL EXAM AFTER FAILED FINAL PT (500.1.H)",IF(AND($K589=2,ISNUMBER($L589),COUNTIFS(nrES_PID,$D589,nrES_Code,$F589,nrES_Att,1)&gt;0,SUMIFS(nrES_Raw,nrES_PID,$D589,nrES_Code,$F589,nrES_Att,1)&gt;=$J589),"RETEST AFTER A PASSING FIRST ATTEMPT","OK"))))))))))</f>
        <v/>
      </c>
      <c r="Y589" s="16" t="n"/>
    </row>
    <row r="590">
      <c r="B590" s="17">
        <f>IF($C590="","",$D590&amp;"-"&amp;$F590&amp;"-"&amp;$K590)</f>
        <v/>
      </c>
      <c r="C590" s="16" t="n"/>
      <c r="D590" s="17">
        <f>IF($C590="","",IFERROR(INDEX(rngCadetPIDs,MATCH($C590,rngCadetNames,0)),"?"))</f>
        <v/>
      </c>
      <c r="E590" s="17">
        <f>IF($D590="","",IFERROR(INDEX(nrCadetAgency,MATCH($D590,rngCadetPIDs,0)),""))</f>
        <v/>
      </c>
      <c r="F590" s="16" t="n"/>
      <c r="G590" s="17">
        <f>IF($F590="","",IFERROR(INDEX(rngEPname,MATCH($F590,rngEPcode,0)),"?"))</f>
        <v/>
      </c>
      <c r="H590" s="17">
        <f>IF($F590="","",IFERROR(INDEX(rngEPtype,MATCH($F590,rngEPcode,0)),"?"))</f>
        <v/>
      </c>
      <c r="I590" s="17">
        <f>IF($F590="","",IFERROR(INDEX(rngEPseq,MATCH($F590,rngEPcode,0)),""))</f>
        <v/>
      </c>
      <c r="J590" s="17">
        <f>IF($F590="","",IFERROR(INDEX(rngEPpass,MATCH($F590,rngEPcode,0)),cfgPassingScore))</f>
        <v/>
      </c>
      <c r="K590" s="16" t="n"/>
      <c r="L590" s="16" t="n"/>
      <c r="M590" s="17">
        <f>IF($C590="","",IF($L590="","",IF(NOT(ISNUMBER($L590)),$L590,IF(N($K590)&gt;2,"",IF($K590=1,IF(COUNTIFS(nrES_PID,$D590,nrES_Code,$F590,nrES_Att,2,nrES_Raw,"&gt;=0")&gt;0,"",$L590),IF($L590&gt;=$J590,MAX($J590,cfgRetakeRecordedCap),IF(COUNTIFS(nrES_PID,$D590,nrES_Code,$F590,nrES_Att,1)=0,$L590,SUMIFS(nrES_Raw,nrES_PID,$D590,nrES_Code,$F590,nrES_Att,1))))))))</f>
        <v/>
      </c>
      <c r="N590" s="17">
        <f>IF($C590="","",IF($L590="","",IF(NOT(ISNUMBER($L590)),"(not a score)",IF($L590&gt;=$J590,"Yes","No"))))</f>
        <v/>
      </c>
      <c r="O590" s="17">
        <f>IF($C590="","",IF($M590="","",IF(NOT(ISNUMBER($M590)),"(not a score)",IF($M590&gt;=$J590,"Yes","No"))))</f>
        <v/>
      </c>
      <c r="P590" s="17">
        <f>IF($C590="","",IF($K590="","",IF(N($K590)&gt;2,"No",IF(COUNTIFS(nrES_PID,$D590,nrES_Code,$F590,nrES_Att,"&gt;"&amp;$K590,nrES_Att,"&lt;=2",nrES_Raw,"&gt;=0")=0,"Yes","No"))))</f>
        <v/>
      </c>
      <c r="Q590" s="17">
        <f>IF($C590="","",IF($L590="","",IF(AND($K590=1,ISNUMBER($L590),$L590&lt;$J590,COUNTIFS(nrES_PID,$D590,nrES_Code,$F590,nrES_Att,2,nrES_Raw,"&gt;=0")=0),"Yes","No")))</f>
        <v/>
      </c>
      <c r="R590" s="17">
        <f>IF($C590="","",IF($L590="","",IF(AND(N($K590)&gt;=2,ISNUMBER($L590),$L590&lt;$J590),"Yes","No")))</f>
        <v/>
      </c>
      <c r="S590" s="18" t="n"/>
      <c r="T590" s="19">
        <f>IF(OR($C590="",$L590="",$K590&lt;&gt;1,NOT(ISNUMBER($L590)),$L590&gt;=$J590),"",IF($S590="","(enter date)",_xlfn.LET(_xlpm.dn,_xlfn.XLOOKUP($S590,nrCDdate,nrCDnum,"",1),IF(_xlpm.dn="","(after last class day)",_xlfn.LET(_xlpm.dd,_xlfn.XLOOKUP(_xlpm.dn+cfgRetestClassDays,nrCDnum,nrCDdate,""),_xlpm.ok,_xlfn.XLOOKUP(_xlpm.dn+cfgRetestClassDays,nrCDnum,nrCDinsession,"No"),IF(OR(_xlpm.dd="",_xlpm.ok&lt;&gt;"Yes"),"(after last class day)",_xlpm.dd))))))</f>
        <v/>
      </c>
      <c r="U590" s="17">
        <f>IF($C590="","",IF(AND($Y590="Excused",$L590="",N($K590)&lt;=1),"EXCUSED - 1st attempt pending",IF(OR($L590="",$K590&lt;&gt;1,NOT(ISNUMBER($L590)),$L590&gt;=$J590),"",IF(COUNTIFS(nrES_PID,$D590,nrES_Code,$F590,nrES_Att,2,nrES_Raw,"&gt;=0")&gt;0,IF(IFERROR(_xlfn.MINIFS(nrES_Date,nrES_PID,$D590,nrES_Code,$F590,nrES_Att,2,nrES_Raw,"&gt;=0",nrES_Date,"&gt;0"),0)=0,"RETEST UNDATED",IF(NOT(ISNUMBER($T590)),"RETEST DATE UNCHECKED",IF(_xlfn.MINIFS(nrES_Date,nrES_PID,$D590,nrES_Code,$F590,nrES_Att,2,nrES_Raw,"&gt;=0",nrES_Date,"&gt;0")&gt;$T590,"LATE RETEST "&amp;TEXT(_xlfn.MINIFS(nrES_Date,nrES_PID,$D590,nrES_Code,$F590,nrES_Att,2,nrES_Raw,"&gt;=0",nrES_Date,"&gt;0"),"mm/dd")&amp;" (due "&amp;TEXT($T590,"mm/dd")&amp;")","Retested"))),IF(NOT(ISNUMBER($T590)),"CHECK DATE",IF(TODAY()&gt;$T590,"OVERDUE","Due "&amp;TEXT($T590,"mm/dd")))))))</f>
        <v/>
      </c>
      <c r="V590" s="16" t="n"/>
      <c r="W590" s="16" t="n"/>
      <c r="X590" s="17">
        <f>IF($C590="","",IF(AND($L590&lt;&gt;"",NOT(ISNUMBER($L590))),"RAW SCORE NOT A NUMBER",IF(AND(ISNUMBER($L590),OR($L590&lt;0,$L590&gt;100)),"RAW SCORE OUT OF RANGE",IF(AND($Y590="Unexcused",OR($L590="",NOT(ISNUMBER($L590)),$L590&lt;&gt;0)),"UNEXCUSED ABSENCE MUST RECORD 0",IF(COUNTIF(nrES_RecID,$B590)&gt;1,"DUPLICATE RECORD",IF(N($K590)&gt;2,"ATTEMPT 3+ NOT ALLOWED - policy 300.5 permits one retest per exam; this row records nothing",IF(AND($K590=2,COUNTIFS(nrES_PID,$D590,nrES_Code,$F590,nrES_Att,1)=0),"ATTEMPT 2 WITHOUT ATTEMPT 1",IF(AND($K590=2,$L590=""),"RETEST ROW HAS NO SCORE",IF(AND($H590="Final",$L590&lt;&gt;"",IFERROR(INDEX(nrCKfinalExamElig,MATCH($D590,rngCadetPIDs,0)),"")="No"),"FINAL EXAM AFTER FAILED FINAL PT (500.1.H)",IF(AND($K590=2,ISNUMBER($L590),COUNTIFS(nrES_PID,$D590,nrES_Code,$F590,nrES_Att,1)&gt;0,SUMIFS(nrES_Raw,nrES_PID,$D590,nrES_Code,$F590,nrES_Att,1)&gt;=$J590),"RETEST AFTER A PASSING FIRST ATTEMPT","OK"))))))))))</f>
        <v/>
      </c>
      <c r="Y590" s="16" t="n"/>
    </row>
    <row r="591">
      <c r="B591" s="17">
        <f>IF($C591="","",$D591&amp;"-"&amp;$F591&amp;"-"&amp;$K591)</f>
        <v/>
      </c>
      <c r="C591" s="16" t="n"/>
      <c r="D591" s="17">
        <f>IF($C591="","",IFERROR(INDEX(rngCadetPIDs,MATCH($C591,rngCadetNames,0)),"?"))</f>
        <v/>
      </c>
      <c r="E591" s="17">
        <f>IF($D591="","",IFERROR(INDEX(nrCadetAgency,MATCH($D591,rngCadetPIDs,0)),""))</f>
        <v/>
      </c>
      <c r="F591" s="16" t="n"/>
      <c r="G591" s="17">
        <f>IF($F591="","",IFERROR(INDEX(rngEPname,MATCH($F591,rngEPcode,0)),"?"))</f>
        <v/>
      </c>
      <c r="H591" s="17">
        <f>IF($F591="","",IFERROR(INDEX(rngEPtype,MATCH($F591,rngEPcode,0)),"?"))</f>
        <v/>
      </c>
      <c r="I591" s="17">
        <f>IF($F591="","",IFERROR(INDEX(rngEPseq,MATCH($F591,rngEPcode,0)),""))</f>
        <v/>
      </c>
      <c r="J591" s="17">
        <f>IF($F591="","",IFERROR(INDEX(rngEPpass,MATCH($F591,rngEPcode,0)),cfgPassingScore))</f>
        <v/>
      </c>
      <c r="K591" s="16" t="n"/>
      <c r="L591" s="16" t="n"/>
      <c r="M591" s="17">
        <f>IF($C591="","",IF($L591="","",IF(NOT(ISNUMBER($L591)),$L591,IF(N($K591)&gt;2,"",IF($K591=1,IF(COUNTIFS(nrES_PID,$D591,nrES_Code,$F591,nrES_Att,2,nrES_Raw,"&gt;=0")&gt;0,"",$L591),IF($L591&gt;=$J591,MAX($J591,cfgRetakeRecordedCap),IF(COUNTIFS(nrES_PID,$D591,nrES_Code,$F591,nrES_Att,1)=0,$L591,SUMIFS(nrES_Raw,nrES_PID,$D591,nrES_Code,$F591,nrES_Att,1))))))))</f>
        <v/>
      </c>
      <c r="N591" s="17">
        <f>IF($C591="","",IF($L591="","",IF(NOT(ISNUMBER($L591)),"(not a score)",IF($L591&gt;=$J591,"Yes","No"))))</f>
        <v/>
      </c>
      <c r="O591" s="17">
        <f>IF($C591="","",IF($M591="","",IF(NOT(ISNUMBER($M591)),"(not a score)",IF($M591&gt;=$J591,"Yes","No"))))</f>
        <v/>
      </c>
      <c r="P591" s="17">
        <f>IF($C591="","",IF($K591="","",IF(N($K591)&gt;2,"No",IF(COUNTIFS(nrES_PID,$D591,nrES_Code,$F591,nrES_Att,"&gt;"&amp;$K591,nrES_Att,"&lt;=2",nrES_Raw,"&gt;=0")=0,"Yes","No"))))</f>
        <v/>
      </c>
      <c r="Q591" s="17">
        <f>IF($C591="","",IF($L591="","",IF(AND($K591=1,ISNUMBER($L591),$L591&lt;$J591,COUNTIFS(nrES_PID,$D591,nrES_Code,$F591,nrES_Att,2,nrES_Raw,"&gt;=0")=0),"Yes","No")))</f>
        <v/>
      </c>
      <c r="R591" s="17">
        <f>IF($C591="","",IF($L591="","",IF(AND(N($K591)&gt;=2,ISNUMBER($L591),$L591&lt;$J591),"Yes","No")))</f>
        <v/>
      </c>
      <c r="S591" s="18" t="n"/>
      <c r="T591" s="19">
        <f>IF(OR($C591="",$L591="",$K591&lt;&gt;1,NOT(ISNUMBER($L591)),$L591&gt;=$J591),"",IF($S591="","(enter date)",_xlfn.LET(_xlpm.dn,_xlfn.XLOOKUP($S591,nrCDdate,nrCDnum,"",1),IF(_xlpm.dn="","(after last class day)",_xlfn.LET(_xlpm.dd,_xlfn.XLOOKUP(_xlpm.dn+cfgRetestClassDays,nrCDnum,nrCDdate,""),_xlpm.ok,_xlfn.XLOOKUP(_xlpm.dn+cfgRetestClassDays,nrCDnum,nrCDinsession,"No"),IF(OR(_xlpm.dd="",_xlpm.ok&lt;&gt;"Yes"),"(after last class day)",_xlpm.dd))))))</f>
        <v/>
      </c>
      <c r="U591" s="17">
        <f>IF($C591="","",IF(AND($Y591="Excused",$L591="",N($K591)&lt;=1),"EXCUSED - 1st attempt pending",IF(OR($L591="",$K591&lt;&gt;1,NOT(ISNUMBER($L591)),$L591&gt;=$J591),"",IF(COUNTIFS(nrES_PID,$D591,nrES_Code,$F591,nrES_Att,2,nrES_Raw,"&gt;=0")&gt;0,IF(IFERROR(_xlfn.MINIFS(nrES_Date,nrES_PID,$D591,nrES_Code,$F591,nrES_Att,2,nrES_Raw,"&gt;=0",nrES_Date,"&gt;0"),0)=0,"RETEST UNDATED",IF(NOT(ISNUMBER($T591)),"RETEST DATE UNCHECKED",IF(_xlfn.MINIFS(nrES_Date,nrES_PID,$D591,nrES_Code,$F591,nrES_Att,2,nrES_Raw,"&gt;=0",nrES_Date,"&gt;0")&gt;$T591,"LATE RETEST "&amp;TEXT(_xlfn.MINIFS(nrES_Date,nrES_PID,$D591,nrES_Code,$F591,nrES_Att,2,nrES_Raw,"&gt;=0",nrES_Date,"&gt;0"),"mm/dd")&amp;" (due "&amp;TEXT($T591,"mm/dd")&amp;")","Retested"))),IF(NOT(ISNUMBER($T591)),"CHECK DATE",IF(TODAY()&gt;$T591,"OVERDUE","Due "&amp;TEXT($T591,"mm/dd")))))))</f>
        <v/>
      </c>
      <c r="V591" s="16" t="n"/>
      <c r="W591" s="16" t="n"/>
      <c r="X591" s="17">
        <f>IF($C591="","",IF(AND($L591&lt;&gt;"",NOT(ISNUMBER($L591))),"RAW SCORE NOT A NUMBER",IF(AND(ISNUMBER($L591),OR($L591&lt;0,$L591&gt;100)),"RAW SCORE OUT OF RANGE",IF(AND($Y591="Unexcused",OR($L591="",NOT(ISNUMBER($L591)),$L591&lt;&gt;0)),"UNEXCUSED ABSENCE MUST RECORD 0",IF(COUNTIF(nrES_RecID,$B591)&gt;1,"DUPLICATE RECORD",IF(N($K591)&gt;2,"ATTEMPT 3+ NOT ALLOWED - policy 300.5 permits one retest per exam; this row records nothing",IF(AND($K591=2,COUNTIFS(nrES_PID,$D591,nrES_Code,$F591,nrES_Att,1)=0),"ATTEMPT 2 WITHOUT ATTEMPT 1",IF(AND($K591=2,$L591=""),"RETEST ROW HAS NO SCORE",IF(AND($H591="Final",$L591&lt;&gt;"",IFERROR(INDEX(nrCKfinalExamElig,MATCH($D591,rngCadetPIDs,0)),"")="No"),"FINAL EXAM AFTER FAILED FINAL PT (500.1.H)",IF(AND($K591=2,ISNUMBER($L591),COUNTIFS(nrES_PID,$D591,nrES_Code,$F591,nrES_Att,1)&gt;0,SUMIFS(nrES_Raw,nrES_PID,$D591,nrES_Code,$F591,nrES_Att,1)&gt;=$J591),"RETEST AFTER A PASSING FIRST ATTEMPT","OK"))))))))))</f>
        <v/>
      </c>
      <c r="Y591" s="16" t="n"/>
    </row>
    <row r="592">
      <c r="B592" s="17">
        <f>IF($C592="","",$D592&amp;"-"&amp;$F592&amp;"-"&amp;$K592)</f>
        <v/>
      </c>
      <c r="C592" s="16" t="n"/>
      <c r="D592" s="17">
        <f>IF($C592="","",IFERROR(INDEX(rngCadetPIDs,MATCH($C592,rngCadetNames,0)),"?"))</f>
        <v/>
      </c>
      <c r="E592" s="17">
        <f>IF($D592="","",IFERROR(INDEX(nrCadetAgency,MATCH($D592,rngCadetPIDs,0)),""))</f>
        <v/>
      </c>
      <c r="F592" s="16" t="n"/>
      <c r="G592" s="17">
        <f>IF($F592="","",IFERROR(INDEX(rngEPname,MATCH($F592,rngEPcode,0)),"?"))</f>
        <v/>
      </c>
      <c r="H592" s="17">
        <f>IF($F592="","",IFERROR(INDEX(rngEPtype,MATCH($F592,rngEPcode,0)),"?"))</f>
        <v/>
      </c>
      <c r="I592" s="17">
        <f>IF($F592="","",IFERROR(INDEX(rngEPseq,MATCH($F592,rngEPcode,0)),""))</f>
        <v/>
      </c>
      <c r="J592" s="17">
        <f>IF($F592="","",IFERROR(INDEX(rngEPpass,MATCH($F592,rngEPcode,0)),cfgPassingScore))</f>
        <v/>
      </c>
      <c r="K592" s="16" t="n"/>
      <c r="L592" s="16" t="n"/>
      <c r="M592" s="17">
        <f>IF($C592="","",IF($L592="","",IF(NOT(ISNUMBER($L592)),$L592,IF(N($K592)&gt;2,"",IF($K592=1,IF(COUNTIFS(nrES_PID,$D592,nrES_Code,$F592,nrES_Att,2,nrES_Raw,"&gt;=0")&gt;0,"",$L592),IF($L592&gt;=$J592,MAX($J592,cfgRetakeRecordedCap),IF(COUNTIFS(nrES_PID,$D592,nrES_Code,$F592,nrES_Att,1)=0,$L592,SUMIFS(nrES_Raw,nrES_PID,$D592,nrES_Code,$F592,nrES_Att,1))))))))</f>
        <v/>
      </c>
      <c r="N592" s="17">
        <f>IF($C592="","",IF($L592="","",IF(NOT(ISNUMBER($L592)),"(not a score)",IF($L592&gt;=$J592,"Yes","No"))))</f>
        <v/>
      </c>
      <c r="O592" s="17">
        <f>IF($C592="","",IF($M592="","",IF(NOT(ISNUMBER($M592)),"(not a score)",IF($M592&gt;=$J592,"Yes","No"))))</f>
        <v/>
      </c>
      <c r="P592" s="17">
        <f>IF($C592="","",IF($K592="","",IF(N($K592)&gt;2,"No",IF(COUNTIFS(nrES_PID,$D592,nrES_Code,$F592,nrES_Att,"&gt;"&amp;$K592,nrES_Att,"&lt;=2",nrES_Raw,"&gt;=0")=0,"Yes","No"))))</f>
        <v/>
      </c>
      <c r="Q592" s="17">
        <f>IF($C592="","",IF($L592="","",IF(AND($K592=1,ISNUMBER($L592),$L592&lt;$J592,COUNTIFS(nrES_PID,$D592,nrES_Code,$F592,nrES_Att,2,nrES_Raw,"&gt;=0")=0),"Yes","No")))</f>
        <v/>
      </c>
      <c r="R592" s="17">
        <f>IF($C592="","",IF($L592="","",IF(AND(N($K592)&gt;=2,ISNUMBER($L592),$L592&lt;$J592),"Yes","No")))</f>
        <v/>
      </c>
      <c r="S592" s="18" t="n"/>
      <c r="T592" s="19">
        <f>IF(OR($C592="",$L592="",$K592&lt;&gt;1,NOT(ISNUMBER($L592)),$L592&gt;=$J592),"",IF($S592="","(enter date)",_xlfn.LET(_xlpm.dn,_xlfn.XLOOKUP($S592,nrCDdate,nrCDnum,"",1),IF(_xlpm.dn="","(after last class day)",_xlfn.LET(_xlpm.dd,_xlfn.XLOOKUP(_xlpm.dn+cfgRetestClassDays,nrCDnum,nrCDdate,""),_xlpm.ok,_xlfn.XLOOKUP(_xlpm.dn+cfgRetestClassDays,nrCDnum,nrCDinsession,"No"),IF(OR(_xlpm.dd="",_xlpm.ok&lt;&gt;"Yes"),"(after last class day)",_xlpm.dd))))))</f>
        <v/>
      </c>
      <c r="U592" s="17">
        <f>IF($C592="","",IF(AND($Y592="Excused",$L592="",N($K592)&lt;=1),"EXCUSED - 1st attempt pending",IF(OR($L592="",$K592&lt;&gt;1,NOT(ISNUMBER($L592)),$L592&gt;=$J592),"",IF(COUNTIFS(nrES_PID,$D592,nrES_Code,$F592,nrES_Att,2,nrES_Raw,"&gt;=0")&gt;0,IF(IFERROR(_xlfn.MINIFS(nrES_Date,nrES_PID,$D592,nrES_Code,$F592,nrES_Att,2,nrES_Raw,"&gt;=0",nrES_Date,"&gt;0"),0)=0,"RETEST UNDATED",IF(NOT(ISNUMBER($T592)),"RETEST DATE UNCHECKED",IF(_xlfn.MINIFS(nrES_Date,nrES_PID,$D592,nrES_Code,$F592,nrES_Att,2,nrES_Raw,"&gt;=0",nrES_Date,"&gt;0")&gt;$T592,"LATE RETEST "&amp;TEXT(_xlfn.MINIFS(nrES_Date,nrES_PID,$D592,nrES_Code,$F592,nrES_Att,2,nrES_Raw,"&gt;=0",nrES_Date,"&gt;0"),"mm/dd")&amp;" (due "&amp;TEXT($T592,"mm/dd")&amp;")","Retested"))),IF(NOT(ISNUMBER($T592)),"CHECK DATE",IF(TODAY()&gt;$T592,"OVERDUE","Due "&amp;TEXT($T592,"mm/dd")))))))</f>
        <v/>
      </c>
      <c r="V592" s="16" t="n"/>
      <c r="W592" s="16" t="n"/>
      <c r="X592" s="17">
        <f>IF($C592="","",IF(AND($L592&lt;&gt;"",NOT(ISNUMBER($L592))),"RAW SCORE NOT A NUMBER",IF(AND(ISNUMBER($L592),OR($L592&lt;0,$L592&gt;100)),"RAW SCORE OUT OF RANGE",IF(AND($Y592="Unexcused",OR($L592="",NOT(ISNUMBER($L592)),$L592&lt;&gt;0)),"UNEXCUSED ABSENCE MUST RECORD 0",IF(COUNTIF(nrES_RecID,$B592)&gt;1,"DUPLICATE RECORD",IF(N($K592)&gt;2,"ATTEMPT 3+ NOT ALLOWED - policy 300.5 permits one retest per exam; this row records nothing",IF(AND($K592=2,COUNTIFS(nrES_PID,$D592,nrES_Code,$F592,nrES_Att,1)=0),"ATTEMPT 2 WITHOUT ATTEMPT 1",IF(AND($K592=2,$L592=""),"RETEST ROW HAS NO SCORE",IF(AND($H592="Final",$L592&lt;&gt;"",IFERROR(INDEX(nrCKfinalExamElig,MATCH($D592,rngCadetPIDs,0)),"")="No"),"FINAL EXAM AFTER FAILED FINAL PT (500.1.H)",IF(AND($K592=2,ISNUMBER($L592),COUNTIFS(nrES_PID,$D592,nrES_Code,$F592,nrES_Att,1)&gt;0,SUMIFS(nrES_Raw,nrES_PID,$D592,nrES_Code,$F592,nrES_Att,1)&gt;=$J592),"RETEST AFTER A PASSING FIRST ATTEMPT","OK"))))))))))</f>
        <v/>
      </c>
      <c r="Y592" s="16" t="n"/>
    </row>
    <row r="593">
      <c r="B593" s="17">
        <f>IF($C593="","",$D593&amp;"-"&amp;$F593&amp;"-"&amp;$K593)</f>
        <v/>
      </c>
      <c r="C593" s="16" t="n"/>
      <c r="D593" s="17">
        <f>IF($C593="","",IFERROR(INDEX(rngCadetPIDs,MATCH($C593,rngCadetNames,0)),"?"))</f>
        <v/>
      </c>
      <c r="E593" s="17">
        <f>IF($D593="","",IFERROR(INDEX(nrCadetAgency,MATCH($D593,rngCadetPIDs,0)),""))</f>
        <v/>
      </c>
      <c r="F593" s="16" t="n"/>
      <c r="G593" s="17">
        <f>IF($F593="","",IFERROR(INDEX(rngEPname,MATCH($F593,rngEPcode,0)),"?"))</f>
        <v/>
      </c>
      <c r="H593" s="17">
        <f>IF($F593="","",IFERROR(INDEX(rngEPtype,MATCH($F593,rngEPcode,0)),"?"))</f>
        <v/>
      </c>
      <c r="I593" s="17">
        <f>IF($F593="","",IFERROR(INDEX(rngEPseq,MATCH($F593,rngEPcode,0)),""))</f>
        <v/>
      </c>
      <c r="J593" s="17">
        <f>IF($F593="","",IFERROR(INDEX(rngEPpass,MATCH($F593,rngEPcode,0)),cfgPassingScore))</f>
        <v/>
      </c>
      <c r="K593" s="16" t="n"/>
      <c r="L593" s="16" t="n"/>
      <c r="M593" s="17">
        <f>IF($C593="","",IF($L593="","",IF(NOT(ISNUMBER($L593)),$L593,IF(N($K593)&gt;2,"",IF($K593=1,IF(COUNTIFS(nrES_PID,$D593,nrES_Code,$F593,nrES_Att,2,nrES_Raw,"&gt;=0")&gt;0,"",$L593),IF($L593&gt;=$J593,MAX($J593,cfgRetakeRecordedCap),IF(COUNTIFS(nrES_PID,$D593,nrES_Code,$F593,nrES_Att,1)=0,$L593,SUMIFS(nrES_Raw,nrES_PID,$D593,nrES_Code,$F593,nrES_Att,1))))))))</f>
        <v/>
      </c>
      <c r="N593" s="17">
        <f>IF($C593="","",IF($L593="","",IF(NOT(ISNUMBER($L593)),"(not a score)",IF($L593&gt;=$J593,"Yes","No"))))</f>
        <v/>
      </c>
      <c r="O593" s="17">
        <f>IF($C593="","",IF($M593="","",IF(NOT(ISNUMBER($M593)),"(not a score)",IF($M593&gt;=$J593,"Yes","No"))))</f>
        <v/>
      </c>
      <c r="P593" s="17">
        <f>IF($C593="","",IF($K593="","",IF(N($K593)&gt;2,"No",IF(COUNTIFS(nrES_PID,$D593,nrES_Code,$F593,nrES_Att,"&gt;"&amp;$K593,nrES_Att,"&lt;=2",nrES_Raw,"&gt;=0")=0,"Yes","No"))))</f>
        <v/>
      </c>
      <c r="Q593" s="17">
        <f>IF($C593="","",IF($L593="","",IF(AND($K593=1,ISNUMBER($L593),$L593&lt;$J593,COUNTIFS(nrES_PID,$D593,nrES_Code,$F593,nrES_Att,2,nrES_Raw,"&gt;=0")=0),"Yes","No")))</f>
        <v/>
      </c>
      <c r="R593" s="17">
        <f>IF($C593="","",IF($L593="","",IF(AND(N($K593)&gt;=2,ISNUMBER($L593),$L593&lt;$J593),"Yes","No")))</f>
        <v/>
      </c>
      <c r="S593" s="18" t="n"/>
      <c r="T593" s="19">
        <f>IF(OR($C593="",$L593="",$K593&lt;&gt;1,NOT(ISNUMBER($L593)),$L593&gt;=$J593),"",IF($S593="","(enter date)",_xlfn.LET(_xlpm.dn,_xlfn.XLOOKUP($S593,nrCDdate,nrCDnum,"",1),IF(_xlpm.dn="","(after last class day)",_xlfn.LET(_xlpm.dd,_xlfn.XLOOKUP(_xlpm.dn+cfgRetestClassDays,nrCDnum,nrCDdate,""),_xlpm.ok,_xlfn.XLOOKUP(_xlpm.dn+cfgRetestClassDays,nrCDnum,nrCDinsession,"No"),IF(OR(_xlpm.dd="",_xlpm.ok&lt;&gt;"Yes"),"(after last class day)",_xlpm.dd))))))</f>
        <v/>
      </c>
      <c r="U593" s="17">
        <f>IF($C593="","",IF(AND($Y593="Excused",$L593="",N($K593)&lt;=1),"EXCUSED - 1st attempt pending",IF(OR($L593="",$K593&lt;&gt;1,NOT(ISNUMBER($L593)),$L593&gt;=$J593),"",IF(COUNTIFS(nrES_PID,$D593,nrES_Code,$F593,nrES_Att,2,nrES_Raw,"&gt;=0")&gt;0,IF(IFERROR(_xlfn.MINIFS(nrES_Date,nrES_PID,$D593,nrES_Code,$F593,nrES_Att,2,nrES_Raw,"&gt;=0",nrES_Date,"&gt;0"),0)=0,"RETEST UNDATED",IF(NOT(ISNUMBER($T593)),"RETEST DATE UNCHECKED",IF(_xlfn.MINIFS(nrES_Date,nrES_PID,$D593,nrES_Code,$F593,nrES_Att,2,nrES_Raw,"&gt;=0",nrES_Date,"&gt;0")&gt;$T593,"LATE RETEST "&amp;TEXT(_xlfn.MINIFS(nrES_Date,nrES_PID,$D593,nrES_Code,$F593,nrES_Att,2,nrES_Raw,"&gt;=0",nrES_Date,"&gt;0"),"mm/dd")&amp;" (due "&amp;TEXT($T593,"mm/dd")&amp;")","Retested"))),IF(NOT(ISNUMBER($T593)),"CHECK DATE",IF(TODAY()&gt;$T593,"OVERDUE","Due "&amp;TEXT($T593,"mm/dd")))))))</f>
        <v/>
      </c>
      <c r="V593" s="16" t="n"/>
      <c r="W593" s="16" t="n"/>
      <c r="X593" s="17">
        <f>IF($C593="","",IF(AND($L593&lt;&gt;"",NOT(ISNUMBER($L593))),"RAW SCORE NOT A NUMBER",IF(AND(ISNUMBER($L593),OR($L593&lt;0,$L593&gt;100)),"RAW SCORE OUT OF RANGE",IF(AND($Y593="Unexcused",OR($L593="",NOT(ISNUMBER($L593)),$L593&lt;&gt;0)),"UNEXCUSED ABSENCE MUST RECORD 0",IF(COUNTIF(nrES_RecID,$B593)&gt;1,"DUPLICATE RECORD",IF(N($K593)&gt;2,"ATTEMPT 3+ NOT ALLOWED - policy 300.5 permits one retest per exam; this row records nothing",IF(AND($K593=2,COUNTIFS(nrES_PID,$D593,nrES_Code,$F593,nrES_Att,1)=0),"ATTEMPT 2 WITHOUT ATTEMPT 1",IF(AND($K593=2,$L593=""),"RETEST ROW HAS NO SCORE",IF(AND($H593="Final",$L593&lt;&gt;"",IFERROR(INDEX(nrCKfinalExamElig,MATCH($D593,rngCadetPIDs,0)),"")="No"),"FINAL EXAM AFTER FAILED FINAL PT (500.1.H)",IF(AND($K593=2,ISNUMBER($L593),COUNTIFS(nrES_PID,$D593,nrES_Code,$F593,nrES_Att,1)&gt;0,SUMIFS(nrES_Raw,nrES_PID,$D593,nrES_Code,$F593,nrES_Att,1)&gt;=$J593),"RETEST AFTER A PASSING FIRST ATTEMPT","OK"))))))))))</f>
        <v/>
      </c>
      <c r="Y593" s="16" t="n"/>
    </row>
    <row r="594">
      <c r="B594" s="17">
        <f>IF($C594="","",$D594&amp;"-"&amp;$F594&amp;"-"&amp;$K594)</f>
        <v/>
      </c>
      <c r="C594" s="16" t="n"/>
      <c r="D594" s="17">
        <f>IF($C594="","",IFERROR(INDEX(rngCadetPIDs,MATCH($C594,rngCadetNames,0)),"?"))</f>
        <v/>
      </c>
      <c r="E594" s="17">
        <f>IF($D594="","",IFERROR(INDEX(nrCadetAgency,MATCH($D594,rngCadetPIDs,0)),""))</f>
        <v/>
      </c>
      <c r="F594" s="16" t="n"/>
      <c r="G594" s="17">
        <f>IF($F594="","",IFERROR(INDEX(rngEPname,MATCH($F594,rngEPcode,0)),"?"))</f>
        <v/>
      </c>
      <c r="H594" s="17">
        <f>IF($F594="","",IFERROR(INDEX(rngEPtype,MATCH($F594,rngEPcode,0)),"?"))</f>
        <v/>
      </c>
      <c r="I594" s="17">
        <f>IF($F594="","",IFERROR(INDEX(rngEPseq,MATCH($F594,rngEPcode,0)),""))</f>
        <v/>
      </c>
      <c r="J594" s="17">
        <f>IF($F594="","",IFERROR(INDEX(rngEPpass,MATCH($F594,rngEPcode,0)),cfgPassingScore))</f>
        <v/>
      </c>
      <c r="K594" s="16" t="n"/>
      <c r="L594" s="16" t="n"/>
      <c r="M594" s="17">
        <f>IF($C594="","",IF($L594="","",IF(NOT(ISNUMBER($L594)),$L594,IF(N($K594)&gt;2,"",IF($K594=1,IF(COUNTIFS(nrES_PID,$D594,nrES_Code,$F594,nrES_Att,2,nrES_Raw,"&gt;=0")&gt;0,"",$L594),IF($L594&gt;=$J594,MAX($J594,cfgRetakeRecordedCap),IF(COUNTIFS(nrES_PID,$D594,nrES_Code,$F594,nrES_Att,1)=0,$L594,SUMIFS(nrES_Raw,nrES_PID,$D594,nrES_Code,$F594,nrES_Att,1))))))))</f>
        <v/>
      </c>
      <c r="N594" s="17">
        <f>IF($C594="","",IF($L594="","",IF(NOT(ISNUMBER($L594)),"(not a score)",IF($L594&gt;=$J594,"Yes","No"))))</f>
        <v/>
      </c>
      <c r="O594" s="17">
        <f>IF($C594="","",IF($M594="","",IF(NOT(ISNUMBER($M594)),"(not a score)",IF($M594&gt;=$J594,"Yes","No"))))</f>
        <v/>
      </c>
      <c r="P594" s="17">
        <f>IF($C594="","",IF($K594="","",IF(N($K594)&gt;2,"No",IF(COUNTIFS(nrES_PID,$D594,nrES_Code,$F594,nrES_Att,"&gt;"&amp;$K594,nrES_Att,"&lt;=2",nrES_Raw,"&gt;=0")=0,"Yes","No"))))</f>
        <v/>
      </c>
      <c r="Q594" s="17">
        <f>IF($C594="","",IF($L594="","",IF(AND($K594=1,ISNUMBER($L594),$L594&lt;$J594,COUNTIFS(nrES_PID,$D594,nrES_Code,$F594,nrES_Att,2,nrES_Raw,"&gt;=0")=0),"Yes","No")))</f>
        <v/>
      </c>
      <c r="R594" s="17">
        <f>IF($C594="","",IF($L594="","",IF(AND(N($K594)&gt;=2,ISNUMBER($L594),$L594&lt;$J594),"Yes","No")))</f>
        <v/>
      </c>
      <c r="S594" s="18" t="n"/>
      <c r="T594" s="19">
        <f>IF(OR($C594="",$L594="",$K594&lt;&gt;1,NOT(ISNUMBER($L594)),$L594&gt;=$J594),"",IF($S594="","(enter date)",_xlfn.LET(_xlpm.dn,_xlfn.XLOOKUP($S594,nrCDdate,nrCDnum,"",1),IF(_xlpm.dn="","(after last class day)",_xlfn.LET(_xlpm.dd,_xlfn.XLOOKUP(_xlpm.dn+cfgRetestClassDays,nrCDnum,nrCDdate,""),_xlpm.ok,_xlfn.XLOOKUP(_xlpm.dn+cfgRetestClassDays,nrCDnum,nrCDinsession,"No"),IF(OR(_xlpm.dd="",_xlpm.ok&lt;&gt;"Yes"),"(after last class day)",_xlpm.dd))))))</f>
        <v/>
      </c>
      <c r="U594" s="17">
        <f>IF($C594="","",IF(AND($Y594="Excused",$L594="",N($K594)&lt;=1),"EXCUSED - 1st attempt pending",IF(OR($L594="",$K594&lt;&gt;1,NOT(ISNUMBER($L594)),$L594&gt;=$J594),"",IF(COUNTIFS(nrES_PID,$D594,nrES_Code,$F594,nrES_Att,2,nrES_Raw,"&gt;=0")&gt;0,IF(IFERROR(_xlfn.MINIFS(nrES_Date,nrES_PID,$D594,nrES_Code,$F594,nrES_Att,2,nrES_Raw,"&gt;=0",nrES_Date,"&gt;0"),0)=0,"RETEST UNDATED",IF(NOT(ISNUMBER($T594)),"RETEST DATE UNCHECKED",IF(_xlfn.MINIFS(nrES_Date,nrES_PID,$D594,nrES_Code,$F594,nrES_Att,2,nrES_Raw,"&gt;=0",nrES_Date,"&gt;0")&gt;$T594,"LATE RETEST "&amp;TEXT(_xlfn.MINIFS(nrES_Date,nrES_PID,$D594,nrES_Code,$F594,nrES_Att,2,nrES_Raw,"&gt;=0",nrES_Date,"&gt;0"),"mm/dd")&amp;" (due "&amp;TEXT($T594,"mm/dd")&amp;")","Retested"))),IF(NOT(ISNUMBER($T594)),"CHECK DATE",IF(TODAY()&gt;$T594,"OVERDUE","Due "&amp;TEXT($T594,"mm/dd")))))))</f>
        <v/>
      </c>
      <c r="V594" s="16" t="n"/>
      <c r="W594" s="16" t="n"/>
      <c r="X594" s="17">
        <f>IF($C594="","",IF(AND($L594&lt;&gt;"",NOT(ISNUMBER($L594))),"RAW SCORE NOT A NUMBER",IF(AND(ISNUMBER($L594),OR($L594&lt;0,$L594&gt;100)),"RAW SCORE OUT OF RANGE",IF(AND($Y594="Unexcused",OR($L594="",NOT(ISNUMBER($L594)),$L594&lt;&gt;0)),"UNEXCUSED ABSENCE MUST RECORD 0",IF(COUNTIF(nrES_RecID,$B594)&gt;1,"DUPLICATE RECORD",IF(N($K594)&gt;2,"ATTEMPT 3+ NOT ALLOWED - policy 300.5 permits one retest per exam; this row records nothing",IF(AND($K594=2,COUNTIFS(nrES_PID,$D594,nrES_Code,$F594,nrES_Att,1)=0),"ATTEMPT 2 WITHOUT ATTEMPT 1",IF(AND($K594=2,$L594=""),"RETEST ROW HAS NO SCORE",IF(AND($H594="Final",$L594&lt;&gt;"",IFERROR(INDEX(nrCKfinalExamElig,MATCH($D594,rngCadetPIDs,0)),"")="No"),"FINAL EXAM AFTER FAILED FINAL PT (500.1.H)",IF(AND($K594=2,ISNUMBER($L594),COUNTIFS(nrES_PID,$D594,nrES_Code,$F594,nrES_Att,1)&gt;0,SUMIFS(nrES_Raw,nrES_PID,$D594,nrES_Code,$F594,nrES_Att,1)&gt;=$J594),"RETEST AFTER A PASSING FIRST ATTEMPT","OK"))))))))))</f>
        <v/>
      </c>
      <c r="Y594" s="16" t="n"/>
    </row>
    <row r="595">
      <c r="B595" s="17">
        <f>IF($C595="","",$D595&amp;"-"&amp;$F595&amp;"-"&amp;$K595)</f>
        <v/>
      </c>
      <c r="C595" s="16" t="n"/>
      <c r="D595" s="17">
        <f>IF($C595="","",IFERROR(INDEX(rngCadetPIDs,MATCH($C595,rngCadetNames,0)),"?"))</f>
        <v/>
      </c>
      <c r="E595" s="17">
        <f>IF($D595="","",IFERROR(INDEX(nrCadetAgency,MATCH($D595,rngCadetPIDs,0)),""))</f>
        <v/>
      </c>
      <c r="F595" s="16" t="n"/>
      <c r="G595" s="17">
        <f>IF($F595="","",IFERROR(INDEX(rngEPname,MATCH($F595,rngEPcode,0)),"?"))</f>
        <v/>
      </c>
      <c r="H595" s="17">
        <f>IF($F595="","",IFERROR(INDEX(rngEPtype,MATCH($F595,rngEPcode,0)),"?"))</f>
        <v/>
      </c>
      <c r="I595" s="17">
        <f>IF($F595="","",IFERROR(INDEX(rngEPseq,MATCH($F595,rngEPcode,0)),""))</f>
        <v/>
      </c>
      <c r="J595" s="17">
        <f>IF($F595="","",IFERROR(INDEX(rngEPpass,MATCH($F595,rngEPcode,0)),cfgPassingScore))</f>
        <v/>
      </c>
      <c r="K595" s="16" t="n"/>
      <c r="L595" s="16" t="n"/>
      <c r="M595" s="17">
        <f>IF($C595="","",IF($L595="","",IF(NOT(ISNUMBER($L595)),$L595,IF(N($K595)&gt;2,"",IF($K595=1,IF(COUNTIFS(nrES_PID,$D595,nrES_Code,$F595,nrES_Att,2,nrES_Raw,"&gt;=0")&gt;0,"",$L595),IF($L595&gt;=$J595,MAX($J595,cfgRetakeRecordedCap),IF(COUNTIFS(nrES_PID,$D595,nrES_Code,$F595,nrES_Att,1)=0,$L595,SUMIFS(nrES_Raw,nrES_PID,$D595,nrES_Code,$F595,nrES_Att,1))))))))</f>
        <v/>
      </c>
      <c r="N595" s="17">
        <f>IF($C595="","",IF($L595="","",IF(NOT(ISNUMBER($L595)),"(not a score)",IF($L595&gt;=$J595,"Yes","No"))))</f>
        <v/>
      </c>
      <c r="O595" s="17">
        <f>IF($C595="","",IF($M595="","",IF(NOT(ISNUMBER($M595)),"(not a score)",IF($M595&gt;=$J595,"Yes","No"))))</f>
        <v/>
      </c>
      <c r="P595" s="17">
        <f>IF($C595="","",IF($K595="","",IF(N($K595)&gt;2,"No",IF(COUNTIFS(nrES_PID,$D595,nrES_Code,$F595,nrES_Att,"&gt;"&amp;$K595,nrES_Att,"&lt;=2",nrES_Raw,"&gt;=0")=0,"Yes","No"))))</f>
        <v/>
      </c>
      <c r="Q595" s="17">
        <f>IF($C595="","",IF($L595="","",IF(AND($K595=1,ISNUMBER($L595),$L595&lt;$J595,COUNTIFS(nrES_PID,$D595,nrES_Code,$F595,nrES_Att,2,nrES_Raw,"&gt;=0")=0),"Yes","No")))</f>
        <v/>
      </c>
      <c r="R595" s="17">
        <f>IF($C595="","",IF($L595="","",IF(AND(N($K595)&gt;=2,ISNUMBER($L595),$L595&lt;$J595),"Yes","No")))</f>
        <v/>
      </c>
      <c r="S595" s="18" t="n"/>
      <c r="T595" s="19">
        <f>IF(OR($C595="",$L595="",$K595&lt;&gt;1,NOT(ISNUMBER($L595)),$L595&gt;=$J595),"",IF($S595="","(enter date)",_xlfn.LET(_xlpm.dn,_xlfn.XLOOKUP($S595,nrCDdate,nrCDnum,"",1),IF(_xlpm.dn="","(after last class day)",_xlfn.LET(_xlpm.dd,_xlfn.XLOOKUP(_xlpm.dn+cfgRetestClassDays,nrCDnum,nrCDdate,""),_xlpm.ok,_xlfn.XLOOKUP(_xlpm.dn+cfgRetestClassDays,nrCDnum,nrCDinsession,"No"),IF(OR(_xlpm.dd="",_xlpm.ok&lt;&gt;"Yes"),"(after last class day)",_xlpm.dd))))))</f>
        <v/>
      </c>
      <c r="U595" s="17">
        <f>IF($C595="","",IF(AND($Y595="Excused",$L595="",N($K595)&lt;=1),"EXCUSED - 1st attempt pending",IF(OR($L595="",$K595&lt;&gt;1,NOT(ISNUMBER($L595)),$L595&gt;=$J595),"",IF(COUNTIFS(nrES_PID,$D595,nrES_Code,$F595,nrES_Att,2,nrES_Raw,"&gt;=0")&gt;0,IF(IFERROR(_xlfn.MINIFS(nrES_Date,nrES_PID,$D595,nrES_Code,$F595,nrES_Att,2,nrES_Raw,"&gt;=0",nrES_Date,"&gt;0"),0)=0,"RETEST UNDATED",IF(NOT(ISNUMBER($T595)),"RETEST DATE UNCHECKED",IF(_xlfn.MINIFS(nrES_Date,nrES_PID,$D595,nrES_Code,$F595,nrES_Att,2,nrES_Raw,"&gt;=0",nrES_Date,"&gt;0")&gt;$T595,"LATE RETEST "&amp;TEXT(_xlfn.MINIFS(nrES_Date,nrES_PID,$D595,nrES_Code,$F595,nrES_Att,2,nrES_Raw,"&gt;=0",nrES_Date,"&gt;0"),"mm/dd")&amp;" (due "&amp;TEXT($T595,"mm/dd")&amp;")","Retested"))),IF(NOT(ISNUMBER($T595)),"CHECK DATE",IF(TODAY()&gt;$T595,"OVERDUE","Due "&amp;TEXT($T595,"mm/dd")))))))</f>
        <v/>
      </c>
      <c r="V595" s="16" t="n"/>
      <c r="W595" s="16" t="n"/>
      <c r="X595" s="17">
        <f>IF($C595="","",IF(AND($L595&lt;&gt;"",NOT(ISNUMBER($L595))),"RAW SCORE NOT A NUMBER",IF(AND(ISNUMBER($L595),OR($L595&lt;0,$L595&gt;100)),"RAW SCORE OUT OF RANGE",IF(AND($Y595="Unexcused",OR($L595="",NOT(ISNUMBER($L595)),$L595&lt;&gt;0)),"UNEXCUSED ABSENCE MUST RECORD 0",IF(COUNTIF(nrES_RecID,$B595)&gt;1,"DUPLICATE RECORD",IF(N($K595)&gt;2,"ATTEMPT 3+ NOT ALLOWED - policy 300.5 permits one retest per exam; this row records nothing",IF(AND($K595=2,COUNTIFS(nrES_PID,$D595,nrES_Code,$F595,nrES_Att,1)=0),"ATTEMPT 2 WITHOUT ATTEMPT 1",IF(AND($K595=2,$L595=""),"RETEST ROW HAS NO SCORE",IF(AND($H595="Final",$L595&lt;&gt;"",IFERROR(INDEX(nrCKfinalExamElig,MATCH($D595,rngCadetPIDs,0)),"")="No"),"FINAL EXAM AFTER FAILED FINAL PT (500.1.H)",IF(AND($K595=2,ISNUMBER($L595),COUNTIFS(nrES_PID,$D595,nrES_Code,$F595,nrES_Att,1)&gt;0,SUMIFS(nrES_Raw,nrES_PID,$D595,nrES_Code,$F595,nrES_Att,1)&gt;=$J595),"RETEST AFTER A PASSING FIRST ATTEMPT","OK"))))))))))</f>
        <v/>
      </c>
      <c r="Y595" s="16" t="n"/>
    </row>
    <row r="596">
      <c r="B596" s="17">
        <f>IF($C596="","",$D596&amp;"-"&amp;$F596&amp;"-"&amp;$K596)</f>
        <v/>
      </c>
      <c r="C596" s="16" t="n"/>
      <c r="D596" s="17">
        <f>IF($C596="","",IFERROR(INDEX(rngCadetPIDs,MATCH($C596,rngCadetNames,0)),"?"))</f>
        <v/>
      </c>
      <c r="E596" s="17">
        <f>IF($D596="","",IFERROR(INDEX(nrCadetAgency,MATCH($D596,rngCadetPIDs,0)),""))</f>
        <v/>
      </c>
      <c r="F596" s="16" t="n"/>
      <c r="G596" s="17">
        <f>IF($F596="","",IFERROR(INDEX(rngEPname,MATCH($F596,rngEPcode,0)),"?"))</f>
        <v/>
      </c>
      <c r="H596" s="17">
        <f>IF($F596="","",IFERROR(INDEX(rngEPtype,MATCH($F596,rngEPcode,0)),"?"))</f>
        <v/>
      </c>
      <c r="I596" s="17">
        <f>IF($F596="","",IFERROR(INDEX(rngEPseq,MATCH($F596,rngEPcode,0)),""))</f>
        <v/>
      </c>
      <c r="J596" s="17">
        <f>IF($F596="","",IFERROR(INDEX(rngEPpass,MATCH($F596,rngEPcode,0)),cfgPassingScore))</f>
        <v/>
      </c>
      <c r="K596" s="16" t="n"/>
      <c r="L596" s="16" t="n"/>
      <c r="M596" s="17">
        <f>IF($C596="","",IF($L596="","",IF(NOT(ISNUMBER($L596)),$L596,IF(N($K596)&gt;2,"",IF($K596=1,IF(COUNTIFS(nrES_PID,$D596,nrES_Code,$F596,nrES_Att,2,nrES_Raw,"&gt;=0")&gt;0,"",$L596),IF($L596&gt;=$J596,MAX($J596,cfgRetakeRecordedCap),IF(COUNTIFS(nrES_PID,$D596,nrES_Code,$F596,nrES_Att,1)=0,$L596,SUMIFS(nrES_Raw,nrES_PID,$D596,nrES_Code,$F596,nrES_Att,1))))))))</f>
        <v/>
      </c>
      <c r="N596" s="17">
        <f>IF($C596="","",IF($L596="","",IF(NOT(ISNUMBER($L596)),"(not a score)",IF($L596&gt;=$J596,"Yes","No"))))</f>
        <v/>
      </c>
      <c r="O596" s="17">
        <f>IF($C596="","",IF($M596="","",IF(NOT(ISNUMBER($M596)),"(not a score)",IF($M596&gt;=$J596,"Yes","No"))))</f>
        <v/>
      </c>
      <c r="P596" s="17">
        <f>IF($C596="","",IF($K596="","",IF(N($K596)&gt;2,"No",IF(COUNTIFS(nrES_PID,$D596,nrES_Code,$F596,nrES_Att,"&gt;"&amp;$K596,nrES_Att,"&lt;=2",nrES_Raw,"&gt;=0")=0,"Yes","No"))))</f>
        <v/>
      </c>
      <c r="Q596" s="17">
        <f>IF($C596="","",IF($L596="","",IF(AND($K596=1,ISNUMBER($L596),$L596&lt;$J596,COUNTIFS(nrES_PID,$D596,nrES_Code,$F596,nrES_Att,2,nrES_Raw,"&gt;=0")=0),"Yes","No")))</f>
        <v/>
      </c>
      <c r="R596" s="17">
        <f>IF($C596="","",IF($L596="","",IF(AND(N($K596)&gt;=2,ISNUMBER($L596),$L596&lt;$J596),"Yes","No")))</f>
        <v/>
      </c>
      <c r="S596" s="18" t="n"/>
      <c r="T596" s="19">
        <f>IF(OR($C596="",$L596="",$K596&lt;&gt;1,NOT(ISNUMBER($L596)),$L596&gt;=$J596),"",IF($S596="","(enter date)",_xlfn.LET(_xlpm.dn,_xlfn.XLOOKUP($S596,nrCDdate,nrCDnum,"",1),IF(_xlpm.dn="","(after last class day)",_xlfn.LET(_xlpm.dd,_xlfn.XLOOKUP(_xlpm.dn+cfgRetestClassDays,nrCDnum,nrCDdate,""),_xlpm.ok,_xlfn.XLOOKUP(_xlpm.dn+cfgRetestClassDays,nrCDnum,nrCDinsession,"No"),IF(OR(_xlpm.dd="",_xlpm.ok&lt;&gt;"Yes"),"(after last class day)",_xlpm.dd))))))</f>
        <v/>
      </c>
      <c r="U596" s="17">
        <f>IF($C596="","",IF(AND($Y596="Excused",$L596="",N($K596)&lt;=1),"EXCUSED - 1st attempt pending",IF(OR($L596="",$K596&lt;&gt;1,NOT(ISNUMBER($L596)),$L596&gt;=$J596),"",IF(COUNTIFS(nrES_PID,$D596,nrES_Code,$F596,nrES_Att,2,nrES_Raw,"&gt;=0")&gt;0,IF(IFERROR(_xlfn.MINIFS(nrES_Date,nrES_PID,$D596,nrES_Code,$F596,nrES_Att,2,nrES_Raw,"&gt;=0",nrES_Date,"&gt;0"),0)=0,"RETEST UNDATED",IF(NOT(ISNUMBER($T596)),"RETEST DATE UNCHECKED",IF(_xlfn.MINIFS(nrES_Date,nrES_PID,$D596,nrES_Code,$F596,nrES_Att,2,nrES_Raw,"&gt;=0",nrES_Date,"&gt;0")&gt;$T596,"LATE RETEST "&amp;TEXT(_xlfn.MINIFS(nrES_Date,nrES_PID,$D596,nrES_Code,$F596,nrES_Att,2,nrES_Raw,"&gt;=0",nrES_Date,"&gt;0"),"mm/dd")&amp;" (due "&amp;TEXT($T596,"mm/dd")&amp;")","Retested"))),IF(NOT(ISNUMBER($T596)),"CHECK DATE",IF(TODAY()&gt;$T596,"OVERDUE","Due "&amp;TEXT($T596,"mm/dd")))))))</f>
        <v/>
      </c>
      <c r="V596" s="16" t="n"/>
      <c r="W596" s="16" t="n"/>
      <c r="X596" s="17">
        <f>IF($C596="","",IF(AND($L596&lt;&gt;"",NOT(ISNUMBER($L596))),"RAW SCORE NOT A NUMBER",IF(AND(ISNUMBER($L596),OR($L596&lt;0,$L596&gt;100)),"RAW SCORE OUT OF RANGE",IF(AND($Y596="Unexcused",OR($L596="",NOT(ISNUMBER($L596)),$L596&lt;&gt;0)),"UNEXCUSED ABSENCE MUST RECORD 0",IF(COUNTIF(nrES_RecID,$B596)&gt;1,"DUPLICATE RECORD",IF(N($K596)&gt;2,"ATTEMPT 3+ NOT ALLOWED - policy 300.5 permits one retest per exam; this row records nothing",IF(AND($K596=2,COUNTIFS(nrES_PID,$D596,nrES_Code,$F596,nrES_Att,1)=0),"ATTEMPT 2 WITHOUT ATTEMPT 1",IF(AND($K596=2,$L596=""),"RETEST ROW HAS NO SCORE",IF(AND($H596="Final",$L596&lt;&gt;"",IFERROR(INDEX(nrCKfinalExamElig,MATCH($D596,rngCadetPIDs,0)),"")="No"),"FINAL EXAM AFTER FAILED FINAL PT (500.1.H)",IF(AND($K596=2,ISNUMBER($L596),COUNTIFS(nrES_PID,$D596,nrES_Code,$F596,nrES_Att,1)&gt;0,SUMIFS(nrES_Raw,nrES_PID,$D596,nrES_Code,$F596,nrES_Att,1)&gt;=$J596),"RETEST AFTER A PASSING FIRST ATTEMPT","OK"))))))))))</f>
        <v/>
      </c>
      <c r="Y596" s="16" t="n"/>
    </row>
    <row r="597">
      <c r="B597" s="17">
        <f>IF($C597="","",$D597&amp;"-"&amp;$F597&amp;"-"&amp;$K597)</f>
        <v/>
      </c>
      <c r="C597" s="16" t="n"/>
      <c r="D597" s="17">
        <f>IF($C597="","",IFERROR(INDEX(rngCadetPIDs,MATCH($C597,rngCadetNames,0)),"?"))</f>
        <v/>
      </c>
      <c r="E597" s="17">
        <f>IF($D597="","",IFERROR(INDEX(nrCadetAgency,MATCH($D597,rngCadetPIDs,0)),""))</f>
        <v/>
      </c>
      <c r="F597" s="16" t="n"/>
      <c r="G597" s="17">
        <f>IF($F597="","",IFERROR(INDEX(rngEPname,MATCH($F597,rngEPcode,0)),"?"))</f>
        <v/>
      </c>
      <c r="H597" s="17">
        <f>IF($F597="","",IFERROR(INDEX(rngEPtype,MATCH($F597,rngEPcode,0)),"?"))</f>
        <v/>
      </c>
      <c r="I597" s="17">
        <f>IF($F597="","",IFERROR(INDEX(rngEPseq,MATCH($F597,rngEPcode,0)),""))</f>
        <v/>
      </c>
      <c r="J597" s="17">
        <f>IF($F597="","",IFERROR(INDEX(rngEPpass,MATCH($F597,rngEPcode,0)),cfgPassingScore))</f>
        <v/>
      </c>
      <c r="K597" s="16" t="n"/>
      <c r="L597" s="16" t="n"/>
      <c r="M597" s="17">
        <f>IF($C597="","",IF($L597="","",IF(NOT(ISNUMBER($L597)),$L597,IF(N($K597)&gt;2,"",IF($K597=1,IF(COUNTIFS(nrES_PID,$D597,nrES_Code,$F597,nrES_Att,2,nrES_Raw,"&gt;=0")&gt;0,"",$L597),IF($L597&gt;=$J597,MAX($J597,cfgRetakeRecordedCap),IF(COUNTIFS(nrES_PID,$D597,nrES_Code,$F597,nrES_Att,1)=0,$L597,SUMIFS(nrES_Raw,nrES_PID,$D597,nrES_Code,$F597,nrES_Att,1))))))))</f>
        <v/>
      </c>
      <c r="N597" s="17">
        <f>IF($C597="","",IF($L597="","",IF(NOT(ISNUMBER($L597)),"(not a score)",IF($L597&gt;=$J597,"Yes","No"))))</f>
        <v/>
      </c>
      <c r="O597" s="17">
        <f>IF($C597="","",IF($M597="","",IF(NOT(ISNUMBER($M597)),"(not a score)",IF($M597&gt;=$J597,"Yes","No"))))</f>
        <v/>
      </c>
      <c r="P597" s="17">
        <f>IF($C597="","",IF($K597="","",IF(N($K597)&gt;2,"No",IF(COUNTIFS(nrES_PID,$D597,nrES_Code,$F597,nrES_Att,"&gt;"&amp;$K597,nrES_Att,"&lt;=2",nrES_Raw,"&gt;=0")=0,"Yes","No"))))</f>
        <v/>
      </c>
      <c r="Q597" s="17">
        <f>IF($C597="","",IF($L597="","",IF(AND($K597=1,ISNUMBER($L597),$L597&lt;$J597,COUNTIFS(nrES_PID,$D597,nrES_Code,$F597,nrES_Att,2,nrES_Raw,"&gt;=0")=0),"Yes","No")))</f>
        <v/>
      </c>
      <c r="R597" s="17">
        <f>IF($C597="","",IF($L597="","",IF(AND(N($K597)&gt;=2,ISNUMBER($L597),$L597&lt;$J597),"Yes","No")))</f>
        <v/>
      </c>
      <c r="S597" s="18" t="n"/>
      <c r="T597" s="19">
        <f>IF(OR($C597="",$L597="",$K597&lt;&gt;1,NOT(ISNUMBER($L597)),$L597&gt;=$J597),"",IF($S597="","(enter date)",_xlfn.LET(_xlpm.dn,_xlfn.XLOOKUP($S597,nrCDdate,nrCDnum,"",1),IF(_xlpm.dn="","(after last class day)",_xlfn.LET(_xlpm.dd,_xlfn.XLOOKUP(_xlpm.dn+cfgRetestClassDays,nrCDnum,nrCDdate,""),_xlpm.ok,_xlfn.XLOOKUP(_xlpm.dn+cfgRetestClassDays,nrCDnum,nrCDinsession,"No"),IF(OR(_xlpm.dd="",_xlpm.ok&lt;&gt;"Yes"),"(after last class day)",_xlpm.dd))))))</f>
        <v/>
      </c>
      <c r="U597" s="17">
        <f>IF($C597="","",IF(AND($Y597="Excused",$L597="",N($K597)&lt;=1),"EXCUSED - 1st attempt pending",IF(OR($L597="",$K597&lt;&gt;1,NOT(ISNUMBER($L597)),$L597&gt;=$J597),"",IF(COUNTIFS(nrES_PID,$D597,nrES_Code,$F597,nrES_Att,2,nrES_Raw,"&gt;=0")&gt;0,IF(IFERROR(_xlfn.MINIFS(nrES_Date,nrES_PID,$D597,nrES_Code,$F597,nrES_Att,2,nrES_Raw,"&gt;=0",nrES_Date,"&gt;0"),0)=0,"RETEST UNDATED",IF(NOT(ISNUMBER($T597)),"RETEST DATE UNCHECKED",IF(_xlfn.MINIFS(nrES_Date,nrES_PID,$D597,nrES_Code,$F597,nrES_Att,2,nrES_Raw,"&gt;=0",nrES_Date,"&gt;0")&gt;$T597,"LATE RETEST "&amp;TEXT(_xlfn.MINIFS(nrES_Date,nrES_PID,$D597,nrES_Code,$F597,nrES_Att,2,nrES_Raw,"&gt;=0",nrES_Date,"&gt;0"),"mm/dd")&amp;" (due "&amp;TEXT($T597,"mm/dd")&amp;")","Retested"))),IF(NOT(ISNUMBER($T597)),"CHECK DATE",IF(TODAY()&gt;$T597,"OVERDUE","Due "&amp;TEXT($T597,"mm/dd")))))))</f>
        <v/>
      </c>
      <c r="V597" s="16" t="n"/>
      <c r="W597" s="16" t="n"/>
      <c r="X597" s="17">
        <f>IF($C597="","",IF(AND($L597&lt;&gt;"",NOT(ISNUMBER($L597))),"RAW SCORE NOT A NUMBER",IF(AND(ISNUMBER($L597),OR($L597&lt;0,$L597&gt;100)),"RAW SCORE OUT OF RANGE",IF(AND($Y597="Unexcused",OR($L597="",NOT(ISNUMBER($L597)),$L597&lt;&gt;0)),"UNEXCUSED ABSENCE MUST RECORD 0",IF(COUNTIF(nrES_RecID,$B597)&gt;1,"DUPLICATE RECORD",IF(N($K597)&gt;2,"ATTEMPT 3+ NOT ALLOWED - policy 300.5 permits one retest per exam; this row records nothing",IF(AND($K597=2,COUNTIFS(nrES_PID,$D597,nrES_Code,$F597,nrES_Att,1)=0),"ATTEMPT 2 WITHOUT ATTEMPT 1",IF(AND($K597=2,$L597=""),"RETEST ROW HAS NO SCORE",IF(AND($H597="Final",$L597&lt;&gt;"",IFERROR(INDEX(nrCKfinalExamElig,MATCH($D597,rngCadetPIDs,0)),"")="No"),"FINAL EXAM AFTER FAILED FINAL PT (500.1.H)",IF(AND($K597=2,ISNUMBER($L597),COUNTIFS(nrES_PID,$D597,nrES_Code,$F597,nrES_Att,1)&gt;0,SUMIFS(nrES_Raw,nrES_PID,$D597,nrES_Code,$F597,nrES_Att,1)&gt;=$J597),"RETEST AFTER A PASSING FIRST ATTEMPT","OK"))))))))))</f>
        <v/>
      </c>
      <c r="Y597" s="16" t="n"/>
    </row>
    <row r="598">
      <c r="B598" s="17">
        <f>IF($C598="","",$D598&amp;"-"&amp;$F598&amp;"-"&amp;$K598)</f>
        <v/>
      </c>
      <c r="C598" s="16" t="n"/>
      <c r="D598" s="17">
        <f>IF($C598="","",IFERROR(INDEX(rngCadetPIDs,MATCH($C598,rngCadetNames,0)),"?"))</f>
        <v/>
      </c>
      <c r="E598" s="17">
        <f>IF($D598="","",IFERROR(INDEX(nrCadetAgency,MATCH($D598,rngCadetPIDs,0)),""))</f>
        <v/>
      </c>
      <c r="F598" s="16" t="n"/>
      <c r="G598" s="17">
        <f>IF($F598="","",IFERROR(INDEX(rngEPname,MATCH($F598,rngEPcode,0)),"?"))</f>
        <v/>
      </c>
      <c r="H598" s="17">
        <f>IF($F598="","",IFERROR(INDEX(rngEPtype,MATCH($F598,rngEPcode,0)),"?"))</f>
        <v/>
      </c>
      <c r="I598" s="17">
        <f>IF($F598="","",IFERROR(INDEX(rngEPseq,MATCH($F598,rngEPcode,0)),""))</f>
        <v/>
      </c>
      <c r="J598" s="17">
        <f>IF($F598="","",IFERROR(INDEX(rngEPpass,MATCH($F598,rngEPcode,0)),cfgPassingScore))</f>
        <v/>
      </c>
      <c r="K598" s="16" t="n"/>
      <c r="L598" s="16" t="n"/>
      <c r="M598" s="17">
        <f>IF($C598="","",IF($L598="","",IF(NOT(ISNUMBER($L598)),$L598,IF(N($K598)&gt;2,"",IF($K598=1,IF(COUNTIFS(nrES_PID,$D598,nrES_Code,$F598,nrES_Att,2,nrES_Raw,"&gt;=0")&gt;0,"",$L598),IF($L598&gt;=$J598,MAX($J598,cfgRetakeRecordedCap),IF(COUNTIFS(nrES_PID,$D598,nrES_Code,$F598,nrES_Att,1)=0,$L598,SUMIFS(nrES_Raw,nrES_PID,$D598,nrES_Code,$F598,nrES_Att,1))))))))</f>
        <v/>
      </c>
      <c r="N598" s="17">
        <f>IF($C598="","",IF($L598="","",IF(NOT(ISNUMBER($L598)),"(not a score)",IF($L598&gt;=$J598,"Yes","No"))))</f>
        <v/>
      </c>
      <c r="O598" s="17">
        <f>IF($C598="","",IF($M598="","",IF(NOT(ISNUMBER($M598)),"(not a score)",IF($M598&gt;=$J598,"Yes","No"))))</f>
        <v/>
      </c>
      <c r="P598" s="17">
        <f>IF($C598="","",IF($K598="","",IF(N($K598)&gt;2,"No",IF(COUNTIFS(nrES_PID,$D598,nrES_Code,$F598,nrES_Att,"&gt;"&amp;$K598,nrES_Att,"&lt;=2",nrES_Raw,"&gt;=0")=0,"Yes","No"))))</f>
        <v/>
      </c>
      <c r="Q598" s="17">
        <f>IF($C598="","",IF($L598="","",IF(AND($K598=1,ISNUMBER($L598),$L598&lt;$J598,COUNTIFS(nrES_PID,$D598,nrES_Code,$F598,nrES_Att,2,nrES_Raw,"&gt;=0")=0),"Yes","No")))</f>
        <v/>
      </c>
      <c r="R598" s="17">
        <f>IF($C598="","",IF($L598="","",IF(AND(N($K598)&gt;=2,ISNUMBER($L598),$L598&lt;$J598),"Yes","No")))</f>
        <v/>
      </c>
      <c r="S598" s="18" t="n"/>
      <c r="T598" s="19">
        <f>IF(OR($C598="",$L598="",$K598&lt;&gt;1,NOT(ISNUMBER($L598)),$L598&gt;=$J598),"",IF($S598="","(enter date)",_xlfn.LET(_xlpm.dn,_xlfn.XLOOKUP($S598,nrCDdate,nrCDnum,"",1),IF(_xlpm.dn="","(after last class day)",_xlfn.LET(_xlpm.dd,_xlfn.XLOOKUP(_xlpm.dn+cfgRetestClassDays,nrCDnum,nrCDdate,""),_xlpm.ok,_xlfn.XLOOKUP(_xlpm.dn+cfgRetestClassDays,nrCDnum,nrCDinsession,"No"),IF(OR(_xlpm.dd="",_xlpm.ok&lt;&gt;"Yes"),"(after last class day)",_xlpm.dd))))))</f>
        <v/>
      </c>
      <c r="U598" s="17">
        <f>IF($C598="","",IF(AND($Y598="Excused",$L598="",N($K598)&lt;=1),"EXCUSED - 1st attempt pending",IF(OR($L598="",$K598&lt;&gt;1,NOT(ISNUMBER($L598)),$L598&gt;=$J598),"",IF(COUNTIFS(nrES_PID,$D598,nrES_Code,$F598,nrES_Att,2,nrES_Raw,"&gt;=0")&gt;0,IF(IFERROR(_xlfn.MINIFS(nrES_Date,nrES_PID,$D598,nrES_Code,$F598,nrES_Att,2,nrES_Raw,"&gt;=0",nrES_Date,"&gt;0"),0)=0,"RETEST UNDATED",IF(NOT(ISNUMBER($T598)),"RETEST DATE UNCHECKED",IF(_xlfn.MINIFS(nrES_Date,nrES_PID,$D598,nrES_Code,$F598,nrES_Att,2,nrES_Raw,"&gt;=0",nrES_Date,"&gt;0")&gt;$T598,"LATE RETEST "&amp;TEXT(_xlfn.MINIFS(nrES_Date,nrES_PID,$D598,nrES_Code,$F598,nrES_Att,2,nrES_Raw,"&gt;=0",nrES_Date,"&gt;0"),"mm/dd")&amp;" (due "&amp;TEXT($T598,"mm/dd")&amp;")","Retested"))),IF(NOT(ISNUMBER($T598)),"CHECK DATE",IF(TODAY()&gt;$T598,"OVERDUE","Due "&amp;TEXT($T598,"mm/dd")))))))</f>
        <v/>
      </c>
      <c r="V598" s="16" t="n"/>
      <c r="W598" s="16" t="n"/>
      <c r="X598" s="17">
        <f>IF($C598="","",IF(AND($L598&lt;&gt;"",NOT(ISNUMBER($L598))),"RAW SCORE NOT A NUMBER",IF(AND(ISNUMBER($L598),OR($L598&lt;0,$L598&gt;100)),"RAW SCORE OUT OF RANGE",IF(AND($Y598="Unexcused",OR($L598="",NOT(ISNUMBER($L598)),$L598&lt;&gt;0)),"UNEXCUSED ABSENCE MUST RECORD 0",IF(COUNTIF(nrES_RecID,$B598)&gt;1,"DUPLICATE RECORD",IF(N($K598)&gt;2,"ATTEMPT 3+ NOT ALLOWED - policy 300.5 permits one retest per exam; this row records nothing",IF(AND($K598=2,COUNTIFS(nrES_PID,$D598,nrES_Code,$F598,nrES_Att,1)=0),"ATTEMPT 2 WITHOUT ATTEMPT 1",IF(AND($K598=2,$L598=""),"RETEST ROW HAS NO SCORE",IF(AND($H598="Final",$L598&lt;&gt;"",IFERROR(INDEX(nrCKfinalExamElig,MATCH($D598,rngCadetPIDs,0)),"")="No"),"FINAL EXAM AFTER FAILED FINAL PT (500.1.H)",IF(AND($K598=2,ISNUMBER($L598),COUNTIFS(nrES_PID,$D598,nrES_Code,$F598,nrES_Att,1)&gt;0,SUMIFS(nrES_Raw,nrES_PID,$D598,nrES_Code,$F598,nrES_Att,1)&gt;=$J598),"RETEST AFTER A PASSING FIRST ATTEMPT","OK"))))))))))</f>
        <v/>
      </c>
      <c r="Y598" s="16" t="n"/>
    </row>
    <row r="599">
      <c r="B599" s="17">
        <f>IF($C599="","",$D599&amp;"-"&amp;$F599&amp;"-"&amp;$K599)</f>
        <v/>
      </c>
      <c r="C599" s="16" t="n"/>
      <c r="D599" s="17">
        <f>IF($C599="","",IFERROR(INDEX(rngCadetPIDs,MATCH($C599,rngCadetNames,0)),"?"))</f>
        <v/>
      </c>
      <c r="E599" s="17">
        <f>IF($D599="","",IFERROR(INDEX(nrCadetAgency,MATCH($D599,rngCadetPIDs,0)),""))</f>
        <v/>
      </c>
      <c r="F599" s="16" t="n"/>
      <c r="G599" s="17">
        <f>IF($F599="","",IFERROR(INDEX(rngEPname,MATCH($F599,rngEPcode,0)),"?"))</f>
        <v/>
      </c>
      <c r="H599" s="17">
        <f>IF($F599="","",IFERROR(INDEX(rngEPtype,MATCH($F599,rngEPcode,0)),"?"))</f>
        <v/>
      </c>
      <c r="I599" s="17">
        <f>IF($F599="","",IFERROR(INDEX(rngEPseq,MATCH($F599,rngEPcode,0)),""))</f>
        <v/>
      </c>
      <c r="J599" s="17">
        <f>IF($F599="","",IFERROR(INDEX(rngEPpass,MATCH($F599,rngEPcode,0)),cfgPassingScore))</f>
        <v/>
      </c>
      <c r="K599" s="16" t="n"/>
      <c r="L599" s="16" t="n"/>
      <c r="M599" s="17">
        <f>IF($C599="","",IF($L599="","",IF(NOT(ISNUMBER($L599)),$L599,IF(N($K599)&gt;2,"",IF($K599=1,IF(COUNTIFS(nrES_PID,$D599,nrES_Code,$F599,nrES_Att,2,nrES_Raw,"&gt;=0")&gt;0,"",$L599),IF($L599&gt;=$J599,MAX($J599,cfgRetakeRecordedCap),IF(COUNTIFS(nrES_PID,$D599,nrES_Code,$F599,nrES_Att,1)=0,$L599,SUMIFS(nrES_Raw,nrES_PID,$D599,nrES_Code,$F599,nrES_Att,1))))))))</f>
        <v/>
      </c>
      <c r="N599" s="17">
        <f>IF($C599="","",IF($L599="","",IF(NOT(ISNUMBER($L599)),"(not a score)",IF($L599&gt;=$J599,"Yes","No"))))</f>
        <v/>
      </c>
      <c r="O599" s="17">
        <f>IF($C599="","",IF($M599="","",IF(NOT(ISNUMBER($M599)),"(not a score)",IF($M599&gt;=$J599,"Yes","No"))))</f>
        <v/>
      </c>
      <c r="P599" s="17">
        <f>IF($C599="","",IF($K599="","",IF(N($K599)&gt;2,"No",IF(COUNTIFS(nrES_PID,$D599,nrES_Code,$F599,nrES_Att,"&gt;"&amp;$K599,nrES_Att,"&lt;=2",nrES_Raw,"&gt;=0")=0,"Yes","No"))))</f>
        <v/>
      </c>
      <c r="Q599" s="17">
        <f>IF($C599="","",IF($L599="","",IF(AND($K599=1,ISNUMBER($L599),$L599&lt;$J599,COUNTIFS(nrES_PID,$D599,nrES_Code,$F599,nrES_Att,2,nrES_Raw,"&gt;=0")=0),"Yes","No")))</f>
        <v/>
      </c>
      <c r="R599" s="17">
        <f>IF($C599="","",IF($L599="","",IF(AND(N($K599)&gt;=2,ISNUMBER($L599),$L599&lt;$J599),"Yes","No")))</f>
        <v/>
      </c>
      <c r="S599" s="18" t="n"/>
      <c r="T599" s="19">
        <f>IF(OR($C599="",$L599="",$K599&lt;&gt;1,NOT(ISNUMBER($L599)),$L599&gt;=$J599),"",IF($S599="","(enter date)",_xlfn.LET(_xlpm.dn,_xlfn.XLOOKUP($S599,nrCDdate,nrCDnum,"",1),IF(_xlpm.dn="","(after last class day)",_xlfn.LET(_xlpm.dd,_xlfn.XLOOKUP(_xlpm.dn+cfgRetestClassDays,nrCDnum,nrCDdate,""),_xlpm.ok,_xlfn.XLOOKUP(_xlpm.dn+cfgRetestClassDays,nrCDnum,nrCDinsession,"No"),IF(OR(_xlpm.dd="",_xlpm.ok&lt;&gt;"Yes"),"(after last class day)",_xlpm.dd))))))</f>
        <v/>
      </c>
      <c r="U599" s="17">
        <f>IF($C599="","",IF(AND($Y599="Excused",$L599="",N($K599)&lt;=1),"EXCUSED - 1st attempt pending",IF(OR($L599="",$K599&lt;&gt;1,NOT(ISNUMBER($L599)),$L599&gt;=$J599),"",IF(COUNTIFS(nrES_PID,$D599,nrES_Code,$F599,nrES_Att,2,nrES_Raw,"&gt;=0")&gt;0,IF(IFERROR(_xlfn.MINIFS(nrES_Date,nrES_PID,$D599,nrES_Code,$F599,nrES_Att,2,nrES_Raw,"&gt;=0",nrES_Date,"&gt;0"),0)=0,"RETEST UNDATED",IF(NOT(ISNUMBER($T599)),"RETEST DATE UNCHECKED",IF(_xlfn.MINIFS(nrES_Date,nrES_PID,$D599,nrES_Code,$F599,nrES_Att,2,nrES_Raw,"&gt;=0",nrES_Date,"&gt;0")&gt;$T599,"LATE RETEST "&amp;TEXT(_xlfn.MINIFS(nrES_Date,nrES_PID,$D599,nrES_Code,$F599,nrES_Att,2,nrES_Raw,"&gt;=0",nrES_Date,"&gt;0"),"mm/dd")&amp;" (due "&amp;TEXT($T599,"mm/dd")&amp;")","Retested"))),IF(NOT(ISNUMBER($T599)),"CHECK DATE",IF(TODAY()&gt;$T599,"OVERDUE","Due "&amp;TEXT($T599,"mm/dd")))))))</f>
        <v/>
      </c>
      <c r="V599" s="16" t="n"/>
      <c r="W599" s="16" t="n"/>
      <c r="X599" s="17">
        <f>IF($C599="","",IF(AND($L599&lt;&gt;"",NOT(ISNUMBER($L599))),"RAW SCORE NOT A NUMBER",IF(AND(ISNUMBER($L599),OR($L599&lt;0,$L599&gt;100)),"RAW SCORE OUT OF RANGE",IF(AND($Y599="Unexcused",OR($L599="",NOT(ISNUMBER($L599)),$L599&lt;&gt;0)),"UNEXCUSED ABSENCE MUST RECORD 0",IF(COUNTIF(nrES_RecID,$B599)&gt;1,"DUPLICATE RECORD",IF(N($K599)&gt;2,"ATTEMPT 3+ NOT ALLOWED - policy 300.5 permits one retest per exam; this row records nothing",IF(AND($K599=2,COUNTIFS(nrES_PID,$D599,nrES_Code,$F599,nrES_Att,1)=0),"ATTEMPT 2 WITHOUT ATTEMPT 1",IF(AND($K599=2,$L599=""),"RETEST ROW HAS NO SCORE",IF(AND($H599="Final",$L599&lt;&gt;"",IFERROR(INDEX(nrCKfinalExamElig,MATCH($D599,rngCadetPIDs,0)),"")="No"),"FINAL EXAM AFTER FAILED FINAL PT (500.1.H)",IF(AND($K599=2,ISNUMBER($L599),COUNTIFS(nrES_PID,$D599,nrES_Code,$F599,nrES_Att,1)&gt;0,SUMIFS(nrES_Raw,nrES_PID,$D599,nrES_Code,$F599,nrES_Att,1)&gt;=$J599),"RETEST AFTER A PASSING FIRST ATTEMPT","OK"))))))))))</f>
        <v/>
      </c>
      <c r="Y599" s="16" t="n"/>
    </row>
    <row r="600">
      <c r="B600" s="17">
        <f>IF($C600="","",$D600&amp;"-"&amp;$F600&amp;"-"&amp;$K600)</f>
        <v/>
      </c>
      <c r="C600" s="16" t="n"/>
      <c r="D600" s="17">
        <f>IF($C600="","",IFERROR(INDEX(rngCadetPIDs,MATCH($C600,rngCadetNames,0)),"?"))</f>
        <v/>
      </c>
      <c r="E600" s="17">
        <f>IF($D600="","",IFERROR(INDEX(nrCadetAgency,MATCH($D600,rngCadetPIDs,0)),""))</f>
        <v/>
      </c>
      <c r="F600" s="16" t="n"/>
      <c r="G600" s="17">
        <f>IF($F600="","",IFERROR(INDEX(rngEPname,MATCH($F600,rngEPcode,0)),"?"))</f>
        <v/>
      </c>
      <c r="H600" s="17">
        <f>IF($F600="","",IFERROR(INDEX(rngEPtype,MATCH($F600,rngEPcode,0)),"?"))</f>
        <v/>
      </c>
      <c r="I600" s="17">
        <f>IF($F600="","",IFERROR(INDEX(rngEPseq,MATCH($F600,rngEPcode,0)),""))</f>
        <v/>
      </c>
      <c r="J600" s="17">
        <f>IF($F600="","",IFERROR(INDEX(rngEPpass,MATCH($F600,rngEPcode,0)),cfgPassingScore))</f>
        <v/>
      </c>
      <c r="K600" s="16" t="n"/>
      <c r="L600" s="16" t="n"/>
      <c r="M600" s="17">
        <f>IF($C600="","",IF($L600="","",IF(NOT(ISNUMBER($L600)),$L600,IF(N($K600)&gt;2,"",IF($K600=1,IF(COUNTIFS(nrES_PID,$D600,nrES_Code,$F600,nrES_Att,2,nrES_Raw,"&gt;=0")&gt;0,"",$L600),IF($L600&gt;=$J600,MAX($J600,cfgRetakeRecordedCap),IF(COUNTIFS(nrES_PID,$D600,nrES_Code,$F600,nrES_Att,1)=0,$L600,SUMIFS(nrES_Raw,nrES_PID,$D600,nrES_Code,$F600,nrES_Att,1))))))))</f>
        <v/>
      </c>
      <c r="N600" s="17">
        <f>IF($C600="","",IF($L600="","",IF(NOT(ISNUMBER($L600)),"(not a score)",IF($L600&gt;=$J600,"Yes","No"))))</f>
        <v/>
      </c>
      <c r="O600" s="17">
        <f>IF($C600="","",IF($M600="","",IF(NOT(ISNUMBER($M600)),"(not a score)",IF($M600&gt;=$J600,"Yes","No"))))</f>
        <v/>
      </c>
      <c r="P600" s="17">
        <f>IF($C600="","",IF($K600="","",IF(N($K600)&gt;2,"No",IF(COUNTIFS(nrES_PID,$D600,nrES_Code,$F600,nrES_Att,"&gt;"&amp;$K600,nrES_Att,"&lt;=2",nrES_Raw,"&gt;=0")=0,"Yes","No"))))</f>
        <v/>
      </c>
      <c r="Q600" s="17">
        <f>IF($C600="","",IF($L600="","",IF(AND($K600=1,ISNUMBER($L600),$L600&lt;$J600,COUNTIFS(nrES_PID,$D600,nrES_Code,$F600,nrES_Att,2,nrES_Raw,"&gt;=0")=0),"Yes","No")))</f>
        <v/>
      </c>
      <c r="R600" s="17">
        <f>IF($C600="","",IF($L600="","",IF(AND(N($K600)&gt;=2,ISNUMBER($L600),$L600&lt;$J600),"Yes","No")))</f>
        <v/>
      </c>
      <c r="S600" s="18" t="n"/>
      <c r="T600" s="19">
        <f>IF(OR($C600="",$L600="",$K600&lt;&gt;1,NOT(ISNUMBER($L600)),$L600&gt;=$J600),"",IF($S600="","(enter date)",_xlfn.LET(_xlpm.dn,_xlfn.XLOOKUP($S600,nrCDdate,nrCDnum,"",1),IF(_xlpm.dn="","(after last class day)",_xlfn.LET(_xlpm.dd,_xlfn.XLOOKUP(_xlpm.dn+cfgRetestClassDays,nrCDnum,nrCDdate,""),_xlpm.ok,_xlfn.XLOOKUP(_xlpm.dn+cfgRetestClassDays,nrCDnum,nrCDinsession,"No"),IF(OR(_xlpm.dd="",_xlpm.ok&lt;&gt;"Yes"),"(after last class day)",_xlpm.dd))))))</f>
        <v/>
      </c>
      <c r="U600" s="17">
        <f>IF($C600="","",IF(AND($Y600="Excused",$L600="",N($K600)&lt;=1),"EXCUSED - 1st attempt pending",IF(OR($L600="",$K600&lt;&gt;1,NOT(ISNUMBER($L600)),$L600&gt;=$J600),"",IF(COUNTIFS(nrES_PID,$D600,nrES_Code,$F600,nrES_Att,2,nrES_Raw,"&gt;=0")&gt;0,IF(IFERROR(_xlfn.MINIFS(nrES_Date,nrES_PID,$D600,nrES_Code,$F600,nrES_Att,2,nrES_Raw,"&gt;=0",nrES_Date,"&gt;0"),0)=0,"RETEST UNDATED",IF(NOT(ISNUMBER($T600)),"RETEST DATE UNCHECKED",IF(_xlfn.MINIFS(nrES_Date,nrES_PID,$D600,nrES_Code,$F600,nrES_Att,2,nrES_Raw,"&gt;=0",nrES_Date,"&gt;0")&gt;$T600,"LATE RETEST "&amp;TEXT(_xlfn.MINIFS(nrES_Date,nrES_PID,$D600,nrES_Code,$F600,nrES_Att,2,nrES_Raw,"&gt;=0",nrES_Date,"&gt;0"),"mm/dd")&amp;" (due "&amp;TEXT($T600,"mm/dd")&amp;")","Retested"))),IF(NOT(ISNUMBER($T600)),"CHECK DATE",IF(TODAY()&gt;$T600,"OVERDUE","Due "&amp;TEXT($T600,"mm/dd")))))))</f>
        <v/>
      </c>
      <c r="V600" s="16" t="n"/>
      <c r="W600" s="16" t="n"/>
      <c r="X600" s="17">
        <f>IF($C600="","",IF(AND($L600&lt;&gt;"",NOT(ISNUMBER($L600))),"RAW SCORE NOT A NUMBER",IF(AND(ISNUMBER($L600),OR($L600&lt;0,$L600&gt;100)),"RAW SCORE OUT OF RANGE",IF(AND($Y600="Unexcused",OR($L600="",NOT(ISNUMBER($L600)),$L600&lt;&gt;0)),"UNEXCUSED ABSENCE MUST RECORD 0",IF(COUNTIF(nrES_RecID,$B600)&gt;1,"DUPLICATE RECORD",IF(N($K600)&gt;2,"ATTEMPT 3+ NOT ALLOWED - policy 300.5 permits one retest per exam; this row records nothing",IF(AND($K600=2,COUNTIFS(nrES_PID,$D600,nrES_Code,$F600,nrES_Att,1)=0),"ATTEMPT 2 WITHOUT ATTEMPT 1",IF(AND($K600=2,$L600=""),"RETEST ROW HAS NO SCORE",IF(AND($H600="Final",$L600&lt;&gt;"",IFERROR(INDEX(nrCKfinalExamElig,MATCH($D600,rngCadetPIDs,0)),"")="No"),"FINAL EXAM AFTER FAILED FINAL PT (500.1.H)",IF(AND($K600=2,ISNUMBER($L600),COUNTIFS(nrES_PID,$D600,nrES_Code,$F600,nrES_Att,1)&gt;0,SUMIFS(nrES_Raw,nrES_PID,$D600,nrES_Code,$F600,nrES_Att,1)&gt;=$J600),"RETEST AFTER A PASSING FIRST ATTEMPT","OK"))))))))))</f>
        <v/>
      </c>
      <c r="Y600" s="16" t="n"/>
    </row>
    <row r="601">
      <c r="B601" s="17">
        <f>IF($C601="","",$D601&amp;"-"&amp;$F601&amp;"-"&amp;$K601)</f>
        <v/>
      </c>
      <c r="C601" s="16" t="n"/>
      <c r="D601" s="17">
        <f>IF($C601="","",IFERROR(INDEX(rngCadetPIDs,MATCH($C601,rngCadetNames,0)),"?"))</f>
        <v/>
      </c>
      <c r="E601" s="17">
        <f>IF($D601="","",IFERROR(INDEX(nrCadetAgency,MATCH($D601,rngCadetPIDs,0)),""))</f>
        <v/>
      </c>
      <c r="F601" s="16" t="n"/>
      <c r="G601" s="17">
        <f>IF($F601="","",IFERROR(INDEX(rngEPname,MATCH($F601,rngEPcode,0)),"?"))</f>
        <v/>
      </c>
      <c r="H601" s="17">
        <f>IF($F601="","",IFERROR(INDEX(rngEPtype,MATCH($F601,rngEPcode,0)),"?"))</f>
        <v/>
      </c>
      <c r="I601" s="17">
        <f>IF($F601="","",IFERROR(INDEX(rngEPseq,MATCH($F601,rngEPcode,0)),""))</f>
        <v/>
      </c>
      <c r="J601" s="17">
        <f>IF($F601="","",IFERROR(INDEX(rngEPpass,MATCH($F601,rngEPcode,0)),cfgPassingScore))</f>
        <v/>
      </c>
      <c r="K601" s="16" t="n"/>
      <c r="L601" s="16" t="n"/>
      <c r="M601" s="17">
        <f>IF($C601="","",IF($L601="","",IF(NOT(ISNUMBER($L601)),$L601,IF(N($K601)&gt;2,"",IF($K601=1,IF(COUNTIFS(nrES_PID,$D601,nrES_Code,$F601,nrES_Att,2,nrES_Raw,"&gt;=0")&gt;0,"",$L601),IF($L601&gt;=$J601,MAX($J601,cfgRetakeRecordedCap),IF(COUNTIFS(nrES_PID,$D601,nrES_Code,$F601,nrES_Att,1)=0,$L601,SUMIFS(nrES_Raw,nrES_PID,$D601,nrES_Code,$F601,nrES_Att,1))))))))</f>
        <v/>
      </c>
      <c r="N601" s="17">
        <f>IF($C601="","",IF($L601="","",IF(NOT(ISNUMBER($L601)),"(not a score)",IF($L601&gt;=$J601,"Yes","No"))))</f>
        <v/>
      </c>
      <c r="O601" s="17">
        <f>IF($C601="","",IF($M601="","",IF(NOT(ISNUMBER($M601)),"(not a score)",IF($M601&gt;=$J601,"Yes","No"))))</f>
        <v/>
      </c>
      <c r="P601" s="17">
        <f>IF($C601="","",IF($K601="","",IF(N($K601)&gt;2,"No",IF(COUNTIFS(nrES_PID,$D601,nrES_Code,$F601,nrES_Att,"&gt;"&amp;$K601,nrES_Att,"&lt;=2",nrES_Raw,"&gt;=0")=0,"Yes","No"))))</f>
        <v/>
      </c>
      <c r="Q601" s="17">
        <f>IF($C601="","",IF($L601="","",IF(AND($K601=1,ISNUMBER($L601),$L601&lt;$J601,COUNTIFS(nrES_PID,$D601,nrES_Code,$F601,nrES_Att,2,nrES_Raw,"&gt;=0")=0),"Yes","No")))</f>
        <v/>
      </c>
      <c r="R601" s="17">
        <f>IF($C601="","",IF($L601="","",IF(AND(N($K601)&gt;=2,ISNUMBER($L601),$L601&lt;$J601),"Yes","No")))</f>
        <v/>
      </c>
      <c r="S601" s="18" t="n"/>
      <c r="T601" s="19">
        <f>IF(OR($C601="",$L601="",$K601&lt;&gt;1,NOT(ISNUMBER($L601)),$L601&gt;=$J601),"",IF($S601="","(enter date)",_xlfn.LET(_xlpm.dn,_xlfn.XLOOKUP($S601,nrCDdate,nrCDnum,"",1),IF(_xlpm.dn="","(after last class day)",_xlfn.LET(_xlpm.dd,_xlfn.XLOOKUP(_xlpm.dn+cfgRetestClassDays,nrCDnum,nrCDdate,""),_xlpm.ok,_xlfn.XLOOKUP(_xlpm.dn+cfgRetestClassDays,nrCDnum,nrCDinsession,"No"),IF(OR(_xlpm.dd="",_xlpm.ok&lt;&gt;"Yes"),"(after last class day)",_xlpm.dd))))))</f>
        <v/>
      </c>
      <c r="U601" s="17">
        <f>IF($C601="","",IF(AND($Y601="Excused",$L601="",N($K601)&lt;=1),"EXCUSED - 1st attempt pending",IF(OR($L601="",$K601&lt;&gt;1,NOT(ISNUMBER($L601)),$L601&gt;=$J601),"",IF(COUNTIFS(nrES_PID,$D601,nrES_Code,$F601,nrES_Att,2,nrES_Raw,"&gt;=0")&gt;0,IF(IFERROR(_xlfn.MINIFS(nrES_Date,nrES_PID,$D601,nrES_Code,$F601,nrES_Att,2,nrES_Raw,"&gt;=0",nrES_Date,"&gt;0"),0)=0,"RETEST UNDATED",IF(NOT(ISNUMBER($T601)),"RETEST DATE UNCHECKED",IF(_xlfn.MINIFS(nrES_Date,nrES_PID,$D601,nrES_Code,$F601,nrES_Att,2,nrES_Raw,"&gt;=0",nrES_Date,"&gt;0")&gt;$T601,"LATE RETEST "&amp;TEXT(_xlfn.MINIFS(nrES_Date,nrES_PID,$D601,nrES_Code,$F601,nrES_Att,2,nrES_Raw,"&gt;=0",nrES_Date,"&gt;0"),"mm/dd")&amp;" (due "&amp;TEXT($T601,"mm/dd")&amp;")","Retested"))),IF(NOT(ISNUMBER($T601)),"CHECK DATE",IF(TODAY()&gt;$T601,"OVERDUE","Due "&amp;TEXT($T601,"mm/dd")))))))</f>
        <v/>
      </c>
      <c r="V601" s="16" t="n"/>
      <c r="W601" s="16" t="n"/>
      <c r="X601" s="17">
        <f>IF($C601="","",IF(AND($L601&lt;&gt;"",NOT(ISNUMBER($L601))),"RAW SCORE NOT A NUMBER",IF(AND(ISNUMBER($L601),OR($L601&lt;0,$L601&gt;100)),"RAW SCORE OUT OF RANGE",IF(AND($Y601="Unexcused",OR($L601="",NOT(ISNUMBER($L601)),$L601&lt;&gt;0)),"UNEXCUSED ABSENCE MUST RECORD 0",IF(COUNTIF(nrES_RecID,$B601)&gt;1,"DUPLICATE RECORD",IF(N($K601)&gt;2,"ATTEMPT 3+ NOT ALLOWED - policy 300.5 permits one retest per exam; this row records nothing",IF(AND($K601=2,COUNTIFS(nrES_PID,$D601,nrES_Code,$F601,nrES_Att,1)=0),"ATTEMPT 2 WITHOUT ATTEMPT 1",IF(AND($K601=2,$L601=""),"RETEST ROW HAS NO SCORE",IF(AND($H601="Final",$L601&lt;&gt;"",IFERROR(INDEX(nrCKfinalExamElig,MATCH($D601,rngCadetPIDs,0)),"")="No"),"FINAL EXAM AFTER FAILED FINAL PT (500.1.H)",IF(AND($K601=2,ISNUMBER($L601),COUNTIFS(nrES_PID,$D601,nrES_Code,$F601,nrES_Att,1)&gt;0,SUMIFS(nrES_Raw,nrES_PID,$D601,nrES_Code,$F601,nrES_Att,1)&gt;=$J601),"RETEST AFTER A PASSING FIRST ATTEMPT","OK"))))))))))</f>
        <v/>
      </c>
      <c r="Y601" s="16" t="n"/>
    </row>
    <row r="602">
      <c r="B602" s="17">
        <f>IF($C602="","",$D602&amp;"-"&amp;$F602&amp;"-"&amp;$K602)</f>
        <v/>
      </c>
      <c r="C602" s="16" t="n"/>
      <c r="D602" s="17">
        <f>IF($C602="","",IFERROR(INDEX(rngCadetPIDs,MATCH($C602,rngCadetNames,0)),"?"))</f>
        <v/>
      </c>
      <c r="E602" s="17">
        <f>IF($D602="","",IFERROR(INDEX(nrCadetAgency,MATCH($D602,rngCadetPIDs,0)),""))</f>
        <v/>
      </c>
      <c r="F602" s="16" t="n"/>
      <c r="G602" s="17">
        <f>IF($F602="","",IFERROR(INDEX(rngEPname,MATCH($F602,rngEPcode,0)),"?"))</f>
        <v/>
      </c>
      <c r="H602" s="17">
        <f>IF($F602="","",IFERROR(INDEX(rngEPtype,MATCH($F602,rngEPcode,0)),"?"))</f>
        <v/>
      </c>
      <c r="I602" s="17">
        <f>IF($F602="","",IFERROR(INDEX(rngEPseq,MATCH($F602,rngEPcode,0)),""))</f>
        <v/>
      </c>
      <c r="J602" s="17">
        <f>IF($F602="","",IFERROR(INDEX(rngEPpass,MATCH($F602,rngEPcode,0)),cfgPassingScore))</f>
        <v/>
      </c>
      <c r="K602" s="16" t="n"/>
      <c r="L602" s="16" t="n"/>
      <c r="M602" s="17">
        <f>IF($C602="","",IF($L602="","",IF(NOT(ISNUMBER($L602)),$L602,IF(N($K602)&gt;2,"",IF($K602=1,IF(COUNTIFS(nrES_PID,$D602,nrES_Code,$F602,nrES_Att,2,nrES_Raw,"&gt;=0")&gt;0,"",$L602),IF($L602&gt;=$J602,MAX($J602,cfgRetakeRecordedCap),IF(COUNTIFS(nrES_PID,$D602,nrES_Code,$F602,nrES_Att,1)=0,$L602,SUMIFS(nrES_Raw,nrES_PID,$D602,nrES_Code,$F602,nrES_Att,1))))))))</f>
        <v/>
      </c>
      <c r="N602" s="17">
        <f>IF($C602="","",IF($L602="","",IF(NOT(ISNUMBER($L602)),"(not a score)",IF($L602&gt;=$J602,"Yes","No"))))</f>
        <v/>
      </c>
      <c r="O602" s="17">
        <f>IF($C602="","",IF($M602="","",IF(NOT(ISNUMBER($M602)),"(not a score)",IF($M602&gt;=$J602,"Yes","No"))))</f>
        <v/>
      </c>
      <c r="P602" s="17">
        <f>IF($C602="","",IF($K602="","",IF(N($K602)&gt;2,"No",IF(COUNTIFS(nrES_PID,$D602,nrES_Code,$F602,nrES_Att,"&gt;"&amp;$K602,nrES_Att,"&lt;=2",nrES_Raw,"&gt;=0")=0,"Yes","No"))))</f>
        <v/>
      </c>
      <c r="Q602" s="17">
        <f>IF($C602="","",IF($L602="","",IF(AND($K602=1,ISNUMBER($L602),$L602&lt;$J602,COUNTIFS(nrES_PID,$D602,nrES_Code,$F602,nrES_Att,2,nrES_Raw,"&gt;=0")=0),"Yes","No")))</f>
        <v/>
      </c>
      <c r="R602" s="17">
        <f>IF($C602="","",IF($L602="","",IF(AND(N($K602)&gt;=2,ISNUMBER($L602),$L602&lt;$J602),"Yes","No")))</f>
        <v/>
      </c>
      <c r="S602" s="18" t="n"/>
      <c r="T602" s="19">
        <f>IF(OR($C602="",$L602="",$K602&lt;&gt;1,NOT(ISNUMBER($L602)),$L602&gt;=$J602),"",IF($S602="","(enter date)",_xlfn.LET(_xlpm.dn,_xlfn.XLOOKUP($S602,nrCDdate,nrCDnum,"",1),IF(_xlpm.dn="","(after last class day)",_xlfn.LET(_xlpm.dd,_xlfn.XLOOKUP(_xlpm.dn+cfgRetestClassDays,nrCDnum,nrCDdate,""),_xlpm.ok,_xlfn.XLOOKUP(_xlpm.dn+cfgRetestClassDays,nrCDnum,nrCDinsession,"No"),IF(OR(_xlpm.dd="",_xlpm.ok&lt;&gt;"Yes"),"(after last class day)",_xlpm.dd))))))</f>
        <v/>
      </c>
      <c r="U602" s="17">
        <f>IF($C602="","",IF(AND($Y602="Excused",$L602="",N($K602)&lt;=1),"EXCUSED - 1st attempt pending",IF(OR($L602="",$K602&lt;&gt;1,NOT(ISNUMBER($L602)),$L602&gt;=$J602),"",IF(COUNTIFS(nrES_PID,$D602,nrES_Code,$F602,nrES_Att,2,nrES_Raw,"&gt;=0")&gt;0,IF(IFERROR(_xlfn.MINIFS(nrES_Date,nrES_PID,$D602,nrES_Code,$F602,nrES_Att,2,nrES_Raw,"&gt;=0",nrES_Date,"&gt;0"),0)=0,"RETEST UNDATED",IF(NOT(ISNUMBER($T602)),"RETEST DATE UNCHECKED",IF(_xlfn.MINIFS(nrES_Date,nrES_PID,$D602,nrES_Code,$F602,nrES_Att,2,nrES_Raw,"&gt;=0",nrES_Date,"&gt;0")&gt;$T602,"LATE RETEST "&amp;TEXT(_xlfn.MINIFS(nrES_Date,nrES_PID,$D602,nrES_Code,$F602,nrES_Att,2,nrES_Raw,"&gt;=0",nrES_Date,"&gt;0"),"mm/dd")&amp;" (due "&amp;TEXT($T602,"mm/dd")&amp;")","Retested"))),IF(NOT(ISNUMBER($T602)),"CHECK DATE",IF(TODAY()&gt;$T602,"OVERDUE","Due "&amp;TEXT($T602,"mm/dd")))))))</f>
        <v/>
      </c>
      <c r="V602" s="16" t="n"/>
      <c r="W602" s="16" t="n"/>
      <c r="X602" s="17">
        <f>IF($C602="","",IF(AND($L602&lt;&gt;"",NOT(ISNUMBER($L602))),"RAW SCORE NOT A NUMBER",IF(AND(ISNUMBER($L602),OR($L602&lt;0,$L602&gt;100)),"RAW SCORE OUT OF RANGE",IF(AND($Y602="Unexcused",OR($L602="",NOT(ISNUMBER($L602)),$L602&lt;&gt;0)),"UNEXCUSED ABSENCE MUST RECORD 0",IF(COUNTIF(nrES_RecID,$B602)&gt;1,"DUPLICATE RECORD",IF(N($K602)&gt;2,"ATTEMPT 3+ NOT ALLOWED - policy 300.5 permits one retest per exam; this row records nothing",IF(AND($K602=2,COUNTIFS(nrES_PID,$D602,nrES_Code,$F602,nrES_Att,1)=0),"ATTEMPT 2 WITHOUT ATTEMPT 1",IF(AND($K602=2,$L602=""),"RETEST ROW HAS NO SCORE",IF(AND($H602="Final",$L602&lt;&gt;"",IFERROR(INDEX(nrCKfinalExamElig,MATCH($D602,rngCadetPIDs,0)),"")="No"),"FINAL EXAM AFTER FAILED FINAL PT (500.1.H)",IF(AND($K602=2,ISNUMBER($L602),COUNTIFS(nrES_PID,$D602,nrES_Code,$F602,nrES_Att,1)&gt;0,SUMIFS(nrES_Raw,nrES_PID,$D602,nrES_Code,$F602,nrES_Att,1)&gt;=$J602),"RETEST AFTER A PASSING FIRST ATTEMPT","OK"))))))))))</f>
        <v/>
      </c>
      <c r="Y602" s="16" t="n"/>
    </row>
    <row r="603">
      <c r="B603" s="17">
        <f>IF($C603="","",$D603&amp;"-"&amp;$F603&amp;"-"&amp;$K603)</f>
        <v/>
      </c>
      <c r="C603" s="16" t="n"/>
      <c r="D603" s="17">
        <f>IF($C603="","",IFERROR(INDEX(rngCadetPIDs,MATCH($C603,rngCadetNames,0)),"?"))</f>
        <v/>
      </c>
      <c r="E603" s="17">
        <f>IF($D603="","",IFERROR(INDEX(nrCadetAgency,MATCH($D603,rngCadetPIDs,0)),""))</f>
        <v/>
      </c>
      <c r="F603" s="16" t="n"/>
      <c r="G603" s="17">
        <f>IF($F603="","",IFERROR(INDEX(rngEPname,MATCH($F603,rngEPcode,0)),"?"))</f>
        <v/>
      </c>
      <c r="H603" s="17">
        <f>IF($F603="","",IFERROR(INDEX(rngEPtype,MATCH($F603,rngEPcode,0)),"?"))</f>
        <v/>
      </c>
      <c r="I603" s="17">
        <f>IF($F603="","",IFERROR(INDEX(rngEPseq,MATCH($F603,rngEPcode,0)),""))</f>
        <v/>
      </c>
      <c r="J603" s="17">
        <f>IF($F603="","",IFERROR(INDEX(rngEPpass,MATCH($F603,rngEPcode,0)),cfgPassingScore))</f>
        <v/>
      </c>
      <c r="K603" s="16" t="n"/>
      <c r="L603" s="16" t="n"/>
      <c r="M603" s="17">
        <f>IF($C603="","",IF($L603="","",IF(NOT(ISNUMBER($L603)),$L603,IF(N($K603)&gt;2,"",IF($K603=1,IF(COUNTIFS(nrES_PID,$D603,nrES_Code,$F603,nrES_Att,2,nrES_Raw,"&gt;=0")&gt;0,"",$L603),IF($L603&gt;=$J603,MAX($J603,cfgRetakeRecordedCap),IF(COUNTIFS(nrES_PID,$D603,nrES_Code,$F603,nrES_Att,1)=0,$L603,SUMIFS(nrES_Raw,nrES_PID,$D603,nrES_Code,$F603,nrES_Att,1))))))))</f>
        <v/>
      </c>
      <c r="N603" s="17">
        <f>IF($C603="","",IF($L603="","",IF(NOT(ISNUMBER($L603)),"(not a score)",IF($L603&gt;=$J603,"Yes","No"))))</f>
        <v/>
      </c>
      <c r="O603" s="17">
        <f>IF($C603="","",IF($M603="","",IF(NOT(ISNUMBER($M603)),"(not a score)",IF($M603&gt;=$J603,"Yes","No"))))</f>
        <v/>
      </c>
      <c r="P603" s="17">
        <f>IF($C603="","",IF($K603="","",IF(N($K603)&gt;2,"No",IF(COUNTIFS(nrES_PID,$D603,nrES_Code,$F603,nrES_Att,"&gt;"&amp;$K603,nrES_Att,"&lt;=2",nrES_Raw,"&gt;=0")=0,"Yes","No"))))</f>
        <v/>
      </c>
      <c r="Q603" s="17">
        <f>IF($C603="","",IF($L603="","",IF(AND($K603=1,ISNUMBER($L603),$L603&lt;$J603,COUNTIFS(nrES_PID,$D603,nrES_Code,$F603,nrES_Att,2,nrES_Raw,"&gt;=0")=0),"Yes","No")))</f>
        <v/>
      </c>
      <c r="R603" s="17">
        <f>IF($C603="","",IF($L603="","",IF(AND(N($K603)&gt;=2,ISNUMBER($L603),$L603&lt;$J603),"Yes","No")))</f>
        <v/>
      </c>
      <c r="S603" s="18" t="n"/>
      <c r="T603" s="19">
        <f>IF(OR($C603="",$L603="",$K603&lt;&gt;1,NOT(ISNUMBER($L603)),$L603&gt;=$J603),"",IF($S603="","(enter date)",_xlfn.LET(_xlpm.dn,_xlfn.XLOOKUP($S603,nrCDdate,nrCDnum,"",1),IF(_xlpm.dn="","(after last class day)",_xlfn.LET(_xlpm.dd,_xlfn.XLOOKUP(_xlpm.dn+cfgRetestClassDays,nrCDnum,nrCDdate,""),_xlpm.ok,_xlfn.XLOOKUP(_xlpm.dn+cfgRetestClassDays,nrCDnum,nrCDinsession,"No"),IF(OR(_xlpm.dd="",_xlpm.ok&lt;&gt;"Yes"),"(after last class day)",_xlpm.dd))))))</f>
        <v/>
      </c>
      <c r="U603" s="17">
        <f>IF($C603="","",IF(AND($Y603="Excused",$L603="",N($K603)&lt;=1),"EXCUSED - 1st attempt pending",IF(OR($L603="",$K603&lt;&gt;1,NOT(ISNUMBER($L603)),$L603&gt;=$J603),"",IF(COUNTIFS(nrES_PID,$D603,nrES_Code,$F603,nrES_Att,2,nrES_Raw,"&gt;=0")&gt;0,IF(IFERROR(_xlfn.MINIFS(nrES_Date,nrES_PID,$D603,nrES_Code,$F603,nrES_Att,2,nrES_Raw,"&gt;=0",nrES_Date,"&gt;0"),0)=0,"RETEST UNDATED",IF(NOT(ISNUMBER($T603)),"RETEST DATE UNCHECKED",IF(_xlfn.MINIFS(nrES_Date,nrES_PID,$D603,nrES_Code,$F603,nrES_Att,2,nrES_Raw,"&gt;=0",nrES_Date,"&gt;0")&gt;$T603,"LATE RETEST "&amp;TEXT(_xlfn.MINIFS(nrES_Date,nrES_PID,$D603,nrES_Code,$F603,nrES_Att,2,nrES_Raw,"&gt;=0",nrES_Date,"&gt;0"),"mm/dd")&amp;" (due "&amp;TEXT($T603,"mm/dd")&amp;")","Retested"))),IF(NOT(ISNUMBER($T603)),"CHECK DATE",IF(TODAY()&gt;$T603,"OVERDUE","Due "&amp;TEXT($T603,"mm/dd")))))))</f>
        <v/>
      </c>
      <c r="V603" s="16" t="n"/>
      <c r="W603" s="16" t="n"/>
      <c r="X603" s="17">
        <f>IF($C603="","",IF(AND($L603&lt;&gt;"",NOT(ISNUMBER($L603))),"RAW SCORE NOT A NUMBER",IF(AND(ISNUMBER($L603),OR($L603&lt;0,$L603&gt;100)),"RAW SCORE OUT OF RANGE",IF(AND($Y603="Unexcused",OR($L603="",NOT(ISNUMBER($L603)),$L603&lt;&gt;0)),"UNEXCUSED ABSENCE MUST RECORD 0",IF(COUNTIF(nrES_RecID,$B603)&gt;1,"DUPLICATE RECORD",IF(N($K603)&gt;2,"ATTEMPT 3+ NOT ALLOWED - policy 300.5 permits one retest per exam; this row records nothing",IF(AND($K603=2,COUNTIFS(nrES_PID,$D603,nrES_Code,$F603,nrES_Att,1)=0),"ATTEMPT 2 WITHOUT ATTEMPT 1",IF(AND($K603=2,$L603=""),"RETEST ROW HAS NO SCORE",IF(AND($H603="Final",$L603&lt;&gt;"",IFERROR(INDEX(nrCKfinalExamElig,MATCH($D603,rngCadetPIDs,0)),"")="No"),"FINAL EXAM AFTER FAILED FINAL PT (500.1.H)",IF(AND($K603=2,ISNUMBER($L603),COUNTIFS(nrES_PID,$D603,nrES_Code,$F603,nrES_Att,1)&gt;0,SUMIFS(nrES_Raw,nrES_PID,$D603,nrES_Code,$F603,nrES_Att,1)&gt;=$J603),"RETEST AFTER A PASSING FIRST ATTEMPT","OK"))))))))))</f>
        <v/>
      </c>
      <c r="Y603" s="16" t="n"/>
    </row>
    <row r="604">
      <c r="B604" s="17">
        <f>IF($C604="","",$D604&amp;"-"&amp;$F604&amp;"-"&amp;$K604)</f>
        <v/>
      </c>
      <c r="C604" s="16" t="n"/>
      <c r="D604" s="17">
        <f>IF($C604="","",IFERROR(INDEX(rngCadetPIDs,MATCH($C604,rngCadetNames,0)),"?"))</f>
        <v/>
      </c>
      <c r="E604" s="17">
        <f>IF($D604="","",IFERROR(INDEX(nrCadetAgency,MATCH($D604,rngCadetPIDs,0)),""))</f>
        <v/>
      </c>
      <c r="F604" s="16" t="n"/>
      <c r="G604" s="17">
        <f>IF($F604="","",IFERROR(INDEX(rngEPname,MATCH($F604,rngEPcode,0)),"?"))</f>
        <v/>
      </c>
      <c r="H604" s="17">
        <f>IF($F604="","",IFERROR(INDEX(rngEPtype,MATCH($F604,rngEPcode,0)),"?"))</f>
        <v/>
      </c>
      <c r="I604" s="17">
        <f>IF($F604="","",IFERROR(INDEX(rngEPseq,MATCH($F604,rngEPcode,0)),""))</f>
        <v/>
      </c>
      <c r="J604" s="17">
        <f>IF($F604="","",IFERROR(INDEX(rngEPpass,MATCH($F604,rngEPcode,0)),cfgPassingScore))</f>
        <v/>
      </c>
      <c r="K604" s="16" t="n"/>
      <c r="L604" s="16" t="n"/>
      <c r="M604" s="17">
        <f>IF($C604="","",IF($L604="","",IF(NOT(ISNUMBER($L604)),$L604,IF(N($K604)&gt;2,"",IF($K604=1,IF(COUNTIFS(nrES_PID,$D604,nrES_Code,$F604,nrES_Att,2,nrES_Raw,"&gt;=0")&gt;0,"",$L604),IF($L604&gt;=$J604,MAX($J604,cfgRetakeRecordedCap),IF(COUNTIFS(nrES_PID,$D604,nrES_Code,$F604,nrES_Att,1)=0,$L604,SUMIFS(nrES_Raw,nrES_PID,$D604,nrES_Code,$F604,nrES_Att,1))))))))</f>
        <v/>
      </c>
      <c r="N604" s="17">
        <f>IF($C604="","",IF($L604="","",IF(NOT(ISNUMBER($L604)),"(not a score)",IF($L604&gt;=$J604,"Yes","No"))))</f>
        <v/>
      </c>
      <c r="O604" s="17">
        <f>IF($C604="","",IF($M604="","",IF(NOT(ISNUMBER($M604)),"(not a score)",IF($M604&gt;=$J604,"Yes","No"))))</f>
        <v/>
      </c>
      <c r="P604" s="17">
        <f>IF($C604="","",IF($K604="","",IF(N($K604)&gt;2,"No",IF(COUNTIFS(nrES_PID,$D604,nrES_Code,$F604,nrES_Att,"&gt;"&amp;$K604,nrES_Att,"&lt;=2",nrES_Raw,"&gt;=0")=0,"Yes","No"))))</f>
        <v/>
      </c>
      <c r="Q604" s="17">
        <f>IF($C604="","",IF($L604="","",IF(AND($K604=1,ISNUMBER($L604),$L604&lt;$J604,COUNTIFS(nrES_PID,$D604,nrES_Code,$F604,nrES_Att,2,nrES_Raw,"&gt;=0")=0),"Yes","No")))</f>
        <v/>
      </c>
      <c r="R604" s="17">
        <f>IF($C604="","",IF($L604="","",IF(AND(N($K604)&gt;=2,ISNUMBER($L604),$L604&lt;$J604),"Yes","No")))</f>
        <v/>
      </c>
      <c r="S604" s="18" t="n"/>
      <c r="T604" s="19">
        <f>IF(OR($C604="",$L604="",$K604&lt;&gt;1,NOT(ISNUMBER($L604)),$L604&gt;=$J604),"",IF($S604="","(enter date)",_xlfn.LET(_xlpm.dn,_xlfn.XLOOKUP($S604,nrCDdate,nrCDnum,"",1),IF(_xlpm.dn="","(after last class day)",_xlfn.LET(_xlpm.dd,_xlfn.XLOOKUP(_xlpm.dn+cfgRetestClassDays,nrCDnum,nrCDdate,""),_xlpm.ok,_xlfn.XLOOKUP(_xlpm.dn+cfgRetestClassDays,nrCDnum,nrCDinsession,"No"),IF(OR(_xlpm.dd="",_xlpm.ok&lt;&gt;"Yes"),"(after last class day)",_xlpm.dd))))))</f>
        <v/>
      </c>
      <c r="U604" s="17">
        <f>IF($C604="","",IF(AND($Y604="Excused",$L604="",N($K604)&lt;=1),"EXCUSED - 1st attempt pending",IF(OR($L604="",$K604&lt;&gt;1,NOT(ISNUMBER($L604)),$L604&gt;=$J604),"",IF(COUNTIFS(nrES_PID,$D604,nrES_Code,$F604,nrES_Att,2,nrES_Raw,"&gt;=0")&gt;0,IF(IFERROR(_xlfn.MINIFS(nrES_Date,nrES_PID,$D604,nrES_Code,$F604,nrES_Att,2,nrES_Raw,"&gt;=0",nrES_Date,"&gt;0"),0)=0,"RETEST UNDATED",IF(NOT(ISNUMBER($T604)),"RETEST DATE UNCHECKED",IF(_xlfn.MINIFS(nrES_Date,nrES_PID,$D604,nrES_Code,$F604,nrES_Att,2,nrES_Raw,"&gt;=0",nrES_Date,"&gt;0")&gt;$T604,"LATE RETEST "&amp;TEXT(_xlfn.MINIFS(nrES_Date,nrES_PID,$D604,nrES_Code,$F604,nrES_Att,2,nrES_Raw,"&gt;=0",nrES_Date,"&gt;0"),"mm/dd")&amp;" (due "&amp;TEXT($T604,"mm/dd")&amp;")","Retested"))),IF(NOT(ISNUMBER($T604)),"CHECK DATE",IF(TODAY()&gt;$T604,"OVERDUE","Due "&amp;TEXT($T604,"mm/dd")))))))</f>
        <v/>
      </c>
      <c r="V604" s="16" t="n"/>
      <c r="W604" s="16" t="n"/>
      <c r="X604" s="17">
        <f>IF($C604="","",IF(AND($L604&lt;&gt;"",NOT(ISNUMBER($L604))),"RAW SCORE NOT A NUMBER",IF(AND(ISNUMBER($L604),OR($L604&lt;0,$L604&gt;100)),"RAW SCORE OUT OF RANGE",IF(AND($Y604="Unexcused",OR($L604="",NOT(ISNUMBER($L604)),$L604&lt;&gt;0)),"UNEXCUSED ABSENCE MUST RECORD 0",IF(COUNTIF(nrES_RecID,$B604)&gt;1,"DUPLICATE RECORD",IF(N($K604)&gt;2,"ATTEMPT 3+ NOT ALLOWED - policy 300.5 permits one retest per exam; this row records nothing",IF(AND($K604=2,COUNTIFS(nrES_PID,$D604,nrES_Code,$F604,nrES_Att,1)=0),"ATTEMPT 2 WITHOUT ATTEMPT 1",IF(AND($K604=2,$L604=""),"RETEST ROW HAS NO SCORE",IF(AND($H604="Final",$L604&lt;&gt;"",IFERROR(INDEX(nrCKfinalExamElig,MATCH($D604,rngCadetPIDs,0)),"")="No"),"FINAL EXAM AFTER FAILED FINAL PT (500.1.H)",IF(AND($K604=2,ISNUMBER($L604),COUNTIFS(nrES_PID,$D604,nrES_Code,$F604,nrES_Att,1)&gt;0,SUMIFS(nrES_Raw,nrES_PID,$D604,nrES_Code,$F604,nrES_Att,1)&gt;=$J604),"RETEST AFTER A PASSING FIRST ATTEMPT","OK"))))))))))</f>
        <v/>
      </c>
      <c r="Y604" s="16" t="n"/>
    </row>
    <row r="605">
      <c r="B605" s="17">
        <f>IF($C605="","",$D605&amp;"-"&amp;$F605&amp;"-"&amp;$K605)</f>
        <v/>
      </c>
      <c r="C605" s="16" t="n"/>
      <c r="D605" s="17">
        <f>IF($C605="","",IFERROR(INDEX(rngCadetPIDs,MATCH($C605,rngCadetNames,0)),"?"))</f>
        <v/>
      </c>
      <c r="E605" s="17">
        <f>IF($D605="","",IFERROR(INDEX(nrCadetAgency,MATCH($D605,rngCadetPIDs,0)),""))</f>
        <v/>
      </c>
      <c r="F605" s="16" t="n"/>
      <c r="G605" s="17">
        <f>IF($F605="","",IFERROR(INDEX(rngEPname,MATCH($F605,rngEPcode,0)),"?"))</f>
        <v/>
      </c>
      <c r="H605" s="17">
        <f>IF($F605="","",IFERROR(INDEX(rngEPtype,MATCH($F605,rngEPcode,0)),"?"))</f>
        <v/>
      </c>
      <c r="I605" s="17">
        <f>IF($F605="","",IFERROR(INDEX(rngEPseq,MATCH($F605,rngEPcode,0)),""))</f>
        <v/>
      </c>
      <c r="J605" s="17">
        <f>IF($F605="","",IFERROR(INDEX(rngEPpass,MATCH($F605,rngEPcode,0)),cfgPassingScore))</f>
        <v/>
      </c>
      <c r="K605" s="16" t="n"/>
      <c r="L605" s="16" t="n"/>
      <c r="M605" s="17">
        <f>IF($C605="","",IF($L605="","",IF(NOT(ISNUMBER($L605)),$L605,IF(N($K605)&gt;2,"",IF($K605=1,IF(COUNTIFS(nrES_PID,$D605,nrES_Code,$F605,nrES_Att,2,nrES_Raw,"&gt;=0")&gt;0,"",$L605),IF($L605&gt;=$J605,MAX($J605,cfgRetakeRecordedCap),IF(COUNTIFS(nrES_PID,$D605,nrES_Code,$F605,nrES_Att,1)=0,$L605,SUMIFS(nrES_Raw,nrES_PID,$D605,nrES_Code,$F605,nrES_Att,1))))))))</f>
        <v/>
      </c>
      <c r="N605" s="17">
        <f>IF($C605="","",IF($L605="","",IF(NOT(ISNUMBER($L605)),"(not a score)",IF($L605&gt;=$J605,"Yes","No"))))</f>
        <v/>
      </c>
      <c r="O605" s="17">
        <f>IF($C605="","",IF($M605="","",IF(NOT(ISNUMBER($M605)),"(not a score)",IF($M605&gt;=$J605,"Yes","No"))))</f>
        <v/>
      </c>
      <c r="P605" s="17">
        <f>IF($C605="","",IF($K605="","",IF(N($K605)&gt;2,"No",IF(COUNTIFS(nrES_PID,$D605,nrES_Code,$F605,nrES_Att,"&gt;"&amp;$K605,nrES_Att,"&lt;=2",nrES_Raw,"&gt;=0")=0,"Yes","No"))))</f>
        <v/>
      </c>
      <c r="Q605" s="17">
        <f>IF($C605="","",IF($L605="","",IF(AND($K605=1,ISNUMBER($L605),$L605&lt;$J605,COUNTIFS(nrES_PID,$D605,nrES_Code,$F605,nrES_Att,2,nrES_Raw,"&gt;=0")=0),"Yes","No")))</f>
        <v/>
      </c>
      <c r="R605" s="17">
        <f>IF($C605="","",IF($L605="","",IF(AND(N($K605)&gt;=2,ISNUMBER($L605),$L605&lt;$J605),"Yes","No")))</f>
        <v/>
      </c>
      <c r="S605" s="18" t="n"/>
      <c r="T605" s="19">
        <f>IF(OR($C605="",$L605="",$K605&lt;&gt;1,NOT(ISNUMBER($L605)),$L605&gt;=$J605),"",IF($S605="","(enter date)",_xlfn.LET(_xlpm.dn,_xlfn.XLOOKUP($S605,nrCDdate,nrCDnum,"",1),IF(_xlpm.dn="","(after last class day)",_xlfn.LET(_xlpm.dd,_xlfn.XLOOKUP(_xlpm.dn+cfgRetestClassDays,nrCDnum,nrCDdate,""),_xlpm.ok,_xlfn.XLOOKUP(_xlpm.dn+cfgRetestClassDays,nrCDnum,nrCDinsession,"No"),IF(OR(_xlpm.dd="",_xlpm.ok&lt;&gt;"Yes"),"(after last class day)",_xlpm.dd))))))</f>
        <v/>
      </c>
      <c r="U605" s="17">
        <f>IF($C605="","",IF(AND($Y605="Excused",$L605="",N($K605)&lt;=1),"EXCUSED - 1st attempt pending",IF(OR($L605="",$K605&lt;&gt;1,NOT(ISNUMBER($L605)),$L605&gt;=$J605),"",IF(COUNTIFS(nrES_PID,$D605,nrES_Code,$F605,nrES_Att,2,nrES_Raw,"&gt;=0")&gt;0,IF(IFERROR(_xlfn.MINIFS(nrES_Date,nrES_PID,$D605,nrES_Code,$F605,nrES_Att,2,nrES_Raw,"&gt;=0",nrES_Date,"&gt;0"),0)=0,"RETEST UNDATED",IF(NOT(ISNUMBER($T605)),"RETEST DATE UNCHECKED",IF(_xlfn.MINIFS(nrES_Date,nrES_PID,$D605,nrES_Code,$F605,nrES_Att,2,nrES_Raw,"&gt;=0",nrES_Date,"&gt;0")&gt;$T605,"LATE RETEST "&amp;TEXT(_xlfn.MINIFS(nrES_Date,nrES_PID,$D605,nrES_Code,$F605,nrES_Att,2,nrES_Raw,"&gt;=0",nrES_Date,"&gt;0"),"mm/dd")&amp;" (due "&amp;TEXT($T605,"mm/dd")&amp;")","Retested"))),IF(NOT(ISNUMBER($T605)),"CHECK DATE",IF(TODAY()&gt;$T605,"OVERDUE","Due "&amp;TEXT($T605,"mm/dd")))))))</f>
        <v/>
      </c>
      <c r="V605" s="16" t="n"/>
      <c r="W605" s="16" t="n"/>
      <c r="X605" s="17">
        <f>IF($C605="","",IF(AND($L605&lt;&gt;"",NOT(ISNUMBER($L605))),"RAW SCORE NOT A NUMBER",IF(AND(ISNUMBER($L605),OR($L605&lt;0,$L605&gt;100)),"RAW SCORE OUT OF RANGE",IF(AND($Y605="Unexcused",OR($L605="",NOT(ISNUMBER($L605)),$L605&lt;&gt;0)),"UNEXCUSED ABSENCE MUST RECORD 0",IF(COUNTIF(nrES_RecID,$B605)&gt;1,"DUPLICATE RECORD",IF(N($K605)&gt;2,"ATTEMPT 3+ NOT ALLOWED - policy 300.5 permits one retest per exam; this row records nothing",IF(AND($K605=2,COUNTIFS(nrES_PID,$D605,nrES_Code,$F605,nrES_Att,1)=0),"ATTEMPT 2 WITHOUT ATTEMPT 1",IF(AND($K605=2,$L605=""),"RETEST ROW HAS NO SCORE",IF(AND($H605="Final",$L605&lt;&gt;"",IFERROR(INDEX(nrCKfinalExamElig,MATCH($D605,rngCadetPIDs,0)),"")="No"),"FINAL EXAM AFTER FAILED FINAL PT (500.1.H)",IF(AND($K605=2,ISNUMBER($L605),COUNTIFS(nrES_PID,$D605,nrES_Code,$F605,nrES_Att,1)&gt;0,SUMIFS(nrES_Raw,nrES_PID,$D605,nrES_Code,$F605,nrES_Att,1)&gt;=$J605),"RETEST AFTER A PASSING FIRST ATTEMPT","OK"))))))))))</f>
        <v/>
      </c>
      <c r="Y605" s="16" t="n"/>
    </row>
    <row r="606">
      <c r="B606" s="17">
        <f>IF($C606="","",$D606&amp;"-"&amp;$F606&amp;"-"&amp;$K606)</f>
        <v/>
      </c>
      <c r="C606" s="16" t="n"/>
      <c r="D606" s="17">
        <f>IF($C606="","",IFERROR(INDEX(rngCadetPIDs,MATCH($C606,rngCadetNames,0)),"?"))</f>
        <v/>
      </c>
      <c r="E606" s="17">
        <f>IF($D606="","",IFERROR(INDEX(nrCadetAgency,MATCH($D606,rngCadetPIDs,0)),""))</f>
        <v/>
      </c>
      <c r="F606" s="16" t="n"/>
      <c r="G606" s="17">
        <f>IF($F606="","",IFERROR(INDEX(rngEPname,MATCH($F606,rngEPcode,0)),"?"))</f>
        <v/>
      </c>
      <c r="H606" s="17">
        <f>IF($F606="","",IFERROR(INDEX(rngEPtype,MATCH($F606,rngEPcode,0)),"?"))</f>
        <v/>
      </c>
      <c r="I606" s="17">
        <f>IF($F606="","",IFERROR(INDEX(rngEPseq,MATCH($F606,rngEPcode,0)),""))</f>
        <v/>
      </c>
      <c r="J606" s="17">
        <f>IF($F606="","",IFERROR(INDEX(rngEPpass,MATCH($F606,rngEPcode,0)),cfgPassingScore))</f>
        <v/>
      </c>
      <c r="K606" s="16" t="n"/>
      <c r="L606" s="16" t="n"/>
      <c r="M606" s="17">
        <f>IF($C606="","",IF($L606="","",IF(NOT(ISNUMBER($L606)),$L606,IF(N($K606)&gt;2,"",IF($K606=1,IF(COUNTIFS(nrES_PID,$D606,nrES_Code,$F606,nrES_Att,2,nrES_Raw,"&gt;=0")&gt;0,"",$L606),IF($L606&gt;=$J606,MAX($J606,cfgRetakeRecordedCap),IF(COUNTIFS(nrES_PID,$D606,nrES_Code,$F606,nrES_Att,1)=0,$L606,SUMIFS(nrES_Raw,nrES_PID,$D606,nrES_Code,$F606,nrES_Att,1))))))))</f>
        <v/>
      </c>
      <c r="N606" s="17">
        <f>IF($C606="","",IF($L606="","",IF(NOT(ISNUMBER($L606)),"(not a score)",IF($L606&gt;=$J606,"Yes","No"))))</f>
        <v/>
      </c>
      <c r="O606" s="17">
        <f>IF($C606="","",IF($M606="","",IF(NOT(ISNUMBER($M606)),"(not a score)",IF($M606&gt;=$J606,"Yes","No"))))</f>
        <v/>
      </c>
      <c r="P606" s="17">
        <f>IF($C606="","",IF($K606="","",IF(N($K606)&gt;2,"No",IF(COUNTIFS(nrES_PID,$D606,nrES_Code,$F606,nrES_Att,"&gt;"&amp;$K606,nrES_Att,"&lt;=2",nrES_Raw,"&gt;=0")=0,"Yes","No"))))</f>
        <v/>
      </c>
      <c r="Q606" s="17">
        <f>IF($C606="","",IF($L606="","",IF(AND($K606=1,ISNUMBER($L606),$L606&lt;$J606,COUNTIFS(nrES_PID,$D606,nrES_Code,$F606,nrES_Att,2,nrES_Raw,"&gt;=0")=0),"Yes","No")))</f>
        <v/>
      </c>
      <c r="R606" s="17">
        <f>IF($C606="","",IF($L606="","",IF(AND(N($K606)&gt;=2,ISNUMBER($L606),$L606&lt;$J606),"Yes","No")))</f>
        <v/>
      </c>
      <c r="S606" s="18" t="n"/>
      <c r="T606" s="19">
        <f>IF(OR($C606="",$L606="",$K606&lt;&gt;1,NOT(ISNUMBER($L606)),$L606&gt;=$J606),"",IF($S606="","(enter date)",_xlfn.LET(_xlpm.dn,_xlfn.XLOOKUP($S606,nrCDdate,nrCDnum,"",1),IF(_xlpm.dn="","(after last class day)",_xlfn.LET(_xlpm.dd,_xlfn.XLOOKUP(_xlpm.dn+cfgRetestClassDays,nrCDnum,nrCDdate,""),_xlpm.ok,_xlfn.XLOOKUP(_xlpm.dn+cfgRetestClassDays,nrCDnum,nrCDinsession,"No"),IF(OR(_xlpm.dd="",_xlpm.ok&lt;&gt;"Yes"),"(after last class day)",_xlpm.dd))))))</f>
        <v/>
      </c>
      <c r="U606" s="17">
        <f>IF($C606="","",IF(AND($Y606="Excused",$L606="",N($K606)&lt;=1),"EXCUSED - 1st attempt pending",IF(OR($L606="",$K606&lt;&gt;1,NOT(ISNUMBER($L606)),$L606&gt;=$J606),"",IF(COUNTIFS(nrES_PID,$D606,nrES_Code,$F606,nrES_Att,2,nrES_Raw,"&gt;=0")&gt;0,IF(IFERROR(_xlfn.MINIFS(nrES_Date,nrES_PID,$D606,nrES_Code,$F606,nrES_Att,2,nrES_Raw,"&gt;=0",nrES_Date,"&gt;0"),0)=0,"RETEST UNDATED",IF(NOT(ISNUMBER($T606)),"RETEST DATE UNCHECKED",IF(_xlfn.MINIFS(nrES_Date,nrES_PID,$D606,nrES_Code,$F606,nrES_Att,2,nrES_Raw,"&gt;=0",nrES_Date,"&gt;0")&gt;$T606,"LATE RETEST "&amp;TEXT(_xlfn.MINIFS(nrES_Date,nrES_PID,$D606,nrES_Code,$F606,nrES_Att,2,nrES_Raw,"&gt;=0",nrES_Date,"&gt;0"),"mm/dd")&amp;" (due "&amp;TEXT($T606,"mm/dd")&amp;")","Retested"))),IF(NOT(ISNUMBER($T606)),"CHECK DATE",IF(TODAY()&gt;$T606,"OVERDUE","Due "&amp;TEXT($T606,"mm/dd")))))))</f>
        <v/>
      </c>
      <c r="V606" s="16" t="n"/>
      <c r="W606" s="16" t="n"/>
      <c r="X606" s="17">
        <f>IF($C606="","",IF(AND($L606&lt;&gt;"",NOT(ISNUMBER($L606))),"RAW SCORE NOT A NUMBER",IF(AND(ISNUMBER($L606),OR($L606&lt;0,$L606&gt;100)),"RAW SCORE OUT OF RANGE",IF(AND($Y606="Unexcused",OR($L606="",NOT(ISNUMBER($L606)),$L606&lt;&gt;0)),"UNEXCUSED ABSENCE MUST RECORD 0",IF(COUNTIF(nrES_RecID,$B606)&gt;1,"DUPLICATE RECORD",IF(N($K606)&gt;2,"ATTEMPT 3+ NOT ALLOWED - policy 300.5 permits one retest per exam; this row records nothing",IF(AND($K606=2,COUNTIFS(nrES_PID,$D606,nrES_Code,$F606,nrES_Att,1)=0),"ATTEMPT 2 WITHOUT ATTEMPT 1",IF(AND($K606=2,$L606=""),"RETEST ROW HAS NO SCORE",IF(AND($H606="Final",$L606&lt;&gt;"",IFERROR(INDEX(nrCKfinalExamElig,MATCH($D606,rngCadetPIDs,0)),"")="No"),"FINAL EXAM AFTER FAILED FINAL PT (500.1.H)",IF(AND($K606=2,ISNUMBER($L606),COUNTIFS(nrES_PID,$D606,nrES_Code,$F606,nrES_Att,1)&gt;0,SUMIFS(nrES_Raw,nrES_PID,$D606,nrES_Code,$F606,nrES_Att,1)&gt;=$J606),"RETEST AFTER A PASSING FIRST ATTEMPT","OK"))))))))))</f>
        <v/>
      </c>
      <c r="Y606" s="16" t="n"/>
    </row>
    <row r="607">
      <c r="B607" s="17">
        <f>IF($C607="","",$D607&amp;"-"&amp;$F607&amp;"-"&amp;$K607)</f>
        <v/>
      </c>
      <c r="C607" s="16" t="n"/>
      <c r="D607" s="17">
        <f>IF($C607="","",IFERROR(INDEX(rngCadetPIDs,MATCH($C607,rngCadetNames,0)),"?"))</f>
        <v/>
      </c>
      <c r="E607" s="17">
        <f>IF($D607="","",IFERROR(INDEX(nrCadetAgency,MATCH($D607,rngCadetPIDs,0)),""))</f>
        <v/>
      </c>
      <c r="F607" s="16" t="n"/>
      <c r="G607" s="17">
        <f>IF($F607="","",IFERROR(INDEX(rngEPname,MATCH($F607,rngEPcode,0)),"?"))</f>
        <v/>
      </c>
      <c r="H607" s="17">
        <f>IF($F607="","",IFERROR(INDEX(rngEPtype,MATCH($F607,rngEPcode,0)),"?"))</f>
        <v/>
      </c>
      <c r="I607" s="17">
        <f>IF($F607="","",IFERROR(INDEX(rngEPseq,MATCH($F607,rngEPcode,0)),""))</f>
        <v/>
      </c>
      <c r="J607" s="17">
        <f>IF($F607="","",IFERROR(INDEX(rngEPpass,MATCH($F607,rngEPcode,0)),cfgPassingScore))</f>
        <v/>
      </c>
      <c r="K607" s="16" t="n"/>
      <c r="L607" s="16" t="n"/>
      <c r="M607" s="17">
        <f>IF($C607="","",IF($L607="","",IF(NOT(ISNUMBER($L607)),$L607,IF(N($K607)&gt;2,"",IF($K607=1,IF(COUNTIFS(nrES_PID,$D607,nrES_Code,$F607,nrES_Att,2,nrES_Raw,"&gt;=0")&gt;0,"",$L607),IF($L607&gt;=$J607,MAX($J607,cfgRetakeRecordedCap),IF(COUNTIFS(nrES_PID,$D607,nrES_Code,$F607,nrES_Att,1)=0,$L607,SUMIFS(nrES_Raw,nrES_PID,$D607,nrES_Code,$F607,nrES_Att,1))))))))</f>
        <v/>
      </c>
      <c r="N607" s="17">
        <f>IF($C607="","",IF($L607="","",IF(NOT(ISNUMBER($L607)),"(not a score)",IF($L607&gt;=$J607,"Yes","No"))))</f>
        <v/>
      </c>
      <c r="O607" s="17">
        <f>IF($C607="","",IF($M607="","",IF(NOT(ISNUMBER($M607)),"(not a score)",IF($M607&gt;=$J607,"Yes","No"))))</f>
        <v/>
      </c>
      <c r="P607" s="17">
        <f>IF($C607="","",IF($K607="","",IF(N($K607)&gt;2,"No",IF(COUNTIFS(nrES_PID,$D607,nrES_Code,$F607,nrES_Att,"&gt;"&amp;$K607,nrES_Att,"&lt;=2",nrES_Raw,"&gt;=0")=0,"Yes","No"))))</f>
        <v/>
      </c>
      <c r="Q607" s="17">
        <f>IF($C607="","",IF($L607="","",IF(AND($K607=1,ISNUMBER($L607),$L607&lt;$J607,COUNTIFS(nrES_PID,$D607,nrES_Code,$F607,nrES_Att,2,nrES_Raw,"&gt;=0")=0),"Yes","No")))</f>
        <v/>
      </c>
      <c r="R607" s="17">
        <f>IF($C607="","",IF($L607="","",IF(AND(N($K607)&gt;=2,ISNUMBER($L607),$L607&lt;$J607),"Yes","No")))</f>
        <v/>
      </c>
      <c r="S607" s="18" t="n"/>
      <c r="T607" s="19">
        <f>IF(OR($C607="",$L607="",$K607&lt;&gt;1,NOT(ISNUMBER($L607)),$L607&gt;=$J607),"",IF($S607="","(enter date)",_xlfn.LET(_xlpm.dn,_xlfn.XLOOKUP($S607,nrCDdate,nrCDnum,"",1),IF(_xlpm.dn="","(after last class day)",_xlfn.LET(_xlpm.dd,_xlfn.XLOOKUP(_xlpm.dn+cfgRetestClassDays,nrCDnum,nrCDdate,""),_xlpm.ok,_xlfn.XLOOKUP(_xlpm.dn+cfgRetestClassDays,nrCDnum,nrCDinsession,"No"),IF(OR(_xlpm.dd="",_xlpm.ok&lt;&gt;"Yes"),"(after last class day)",_xlpm.dd))))))</f>
        <v/>
      </c>
      <c r="U607" s="17">
        <f>IF($C607="","",IF(AND($Y607="Excused",$L607="",N($K607)&lt;=1),"EXCUSED - 1st attempt pending",IF(OR($L607="",$K607&lt;&gt;1,NOT(ISNUMBER($L607)),$L607&gt;=$J607),"",IF(COUNTIFS(nrES_PID,$D607,nrES_Code,$F607,nrES_Att,2,nrES_Raw,"&gt;=0")&gt;0,IF(IFERROR(_xlfn.MINIFS(nrES_Date,nrES_PID,$D607,nrES_Code,$F607,nrES_Att,2,nrES_Raw,"&gt;=0",nrES_Date,"&gt;0"),0)=0,"RETEST UNDATED",IF(NOT(ISNUMBER($T607)),"RETEST DATE UNCHECKED",IF(_xlfn.MINIFS(nrES_Date,nrES_PID,$D607,nrES_Code,$F607,nrES_Att,2,nrES_Raw,"&gt;=0",nrES_Date,"&gt;0")&gt;$T607,"LATE RETEST "&amp;TEXT(_xlfn.MINIFS(nrES_Date,nrES_PID,$D607,nrES_Code,$F607,nrES_Att,2,nrES_Raw,"&gt;=0",nrES_Date,"&gt;0"),"mm/dd")&amp;" (due "&amp;TEXT($T607,"mm/dd")&amp;")","Retested"))),IF(NOT(ISNUMBER($T607)),"CHECK DATE",IF(TODAY()&gt;$T607,"OVERDUE","Due "&amp;TEXT($T607,"mm/dd")))))))</f>
        <v/>
      </c>
      <c r="V607" s="16" t="n"/>
      <c r="W607" s="16" t="n"/>
      <c r="X607" s="17">
        <f>IF($C607="","",IF(AND($L607&lt;&gt;"",NOT(ISNUMBER($L607))),"RAW SCORE NOT A NUMBER",IF(AND(ISNUMBER($L607),OR($L607&lt;0,$L607&gt;100)),"RAW SCORE OUT OF RANGE",IF(AND($Y607="Unexcused",OR($L607="",NOT(ISNUMBER($L607)),$L607&lt;&gt;0)),"UNEXCUSED ABSENCE MUST RECORD 0",IF(COUNTIF(nrES_RecID,$B607)&gt;1,"DUPLICATE RECORD",IF(N($K607)&gt;2,"ATTEMPT 3+ NOT ALLOWED - policy 300.5 permits one retest per exam; this row records nothing",IF(AND($K607=2,COUNTIFS(nrES_PID,$D607,nrES_Code,$F607,nrES_Att,1)=0),"ATTEMPT 2 WITHOUT ATTEMPT 1",IF(AND($K607=2,$L607=""),"RETEST ROW HAS NO SCORE",IF(AND($H607="Final",$L607&lt;&gt;"",IFERROR(INDEX(nrCKfinalExamElig,MATCH($D607,rngCadetPIDs,0)),"")="No"),"FINAL EXAM AFTER FAILED FINAL PT (500.1.H)",IF(AND($K607=2,ISNUMBER($L607),COUNTIFS(nrES_PID,$D607,nrES_Code,$F607,nrES_Att,1)&gt;0,SUMIFS(nrES_Raw,nrES_PID,$D607,nrES_Code,$F607,nrES_Att,1)&gt;=$J607),"RETEST AFTER A PASSING FIRST ATTEMPT","OK"))))))))))</f>
        <v/>
      </c>
      <c r="Y607" s="16" t="n"/>
    </row>
    <row r="608">
      <c r="B608" s="17">
        <f>IF($C608="","",$D608&amp;"-"&amp;$F608&amp;"-"&amp;$K608)</f>
        <v/>
      </c>
      <c r="C608" s="16" t="n"/>
      <c r="D608" s="17">
        <f>IF($C608="","",IFERROR(INDEX(rngCadetPIDs,MATCH($C608,rngCadetNames,0)),"?"))</f>
        <v/>
      </c>
      <c r="E608" s="17">
        <f>IF($D608="","",IFERROR(INDEX(nrCadetAgency,MATCH($D608,rngCadetPIDs,0)),""))</f>
        <v/>
      </c>
      <c r="F608" s="16" t="n"/>
      <c r="G608" s="17">
        <f>IF($F608="","",IFERROR(INDEX(rngEPname,MATCH($F608,rngEPcode,0)),"?"))</f>
        <v/>
      </c>
      <c r="H608" s="17">
        <f>IF($F608="","",IFERROR(INDEX(rngEPtype,MATCH($F608,rngEPcode,0)),"?"))</f>
        <v/>
      </c>
      <c r="I608" s="17">
        <f>IF($F608="","",IFERROR(INDEX(rngEPseq,MATCH($F608,rngEPcode,0)),""))</f>
        <v/>
      </c>
      <c r="J608" s="17">
        <f>IF($F608="","",IFERROR(INDEX(rngEPpass,MATCH($F608,rngEPcode,0)),cfgPassingScore))</f>
        <v/>
      </c>
      <c r="K608" s="16" t="n"/>
      <c r="L608" s="16" t="n"/>
      <c r="M608" s="17">
        <f>IF($C608="","",IF($L608="","",IF(NOT(ISNUMBER($L608)),$L608,IF(N($K608)&gt;2,"",IF($K608=1,IF(COUNTIFS(nrES_PID,$D608,nrES_Code,$F608,nrES_Att,2,nrES_Raw,"&gt;=0")&gt;0,"",$L608),IF($L608&gt;=$J608,MAX($J608,cfgRetakeRecordedCap),IF(COUNTIFS(nrES_PID,$D608,nrES_Code,$F608,nrES_Att,1)=0,$L608,SUMIFS(nrES_Raw,nrES_PID,$D608,nrES_Code,$F608,nrES_Att,1))))))))</f>
        <v/>
      </c>
      <c r="N608" s="17">
        <f>IF($C608="","",IF($L608="","",IF(NOT(ISNUMBER($L608)),"(not a score)",IF($L608&gt;=$J608,"Yes","No"))))</f>
        <v/>
      </c>
      <c r="O608" s="17">
        <f>IF($C608="","",IF($M608="","",IF(NOT(ISNUMBER($M608)),"(not a score)",IF($M608&gt;=$J608,"Yes","No"))))</f>
        <v/>
      </c>
      <c r="P608" s="17">
        <f>IF($C608="","",IF($K608="","",IF(N($K608)&gt;2,"No",IF(COUNTIFS(nrES_PID,$D608,nrES_Code,$F608,nrES_Att,"&gt;"&amp;$K608,nrES_Att,"&lt;=2",nrES_Raw,"&gt;=0")=0,"Yes","No"))))</f>
        <v/>
      </c>
      <c r="Q608" s="17">
        <f>IF($C608="","",IF($L608="","",IF(AND($K608=1,ISNUMBER($L608),$L608&lt;$J608,COUNTIFS(nrES_PID,$D608,nrES_Code,$F608,nrES_Att,2,nrES_Raw,"&gt;=0")=0),"Yes","No")))</f>
        <v/>
      </c>
      <c r="R608" s="17">
        <f>IF($C608="","",IF($L608="","",IF(AND(N($K608)&gt;=2,ISNUMBER($L608),$L608&lt;$J608),"Yes","No")))</f>
        <v/>
      </c>
      <c r="S608" s="18" t="n"/>
      <c r="T608" s="19">
        <f>IF(OR($C608="",$L608="",$K608&lt;&gt;1,NOT(ISNUMBER($L608)),$L608&gt;=$J608),"",IF($S608="","(enter date)",_xlfn.LET(_xlpm.dn,_xlfn.XLOOKUP($S608,nrCDdate,nrCDnum,"",1),IF(_xlpm.dn="","(after last class day)",_xlfn.LET(_xlpm.dd,_xlfn.XLOOKUP(_xlpm.dn+cfgRetestClassDays,nrCDnum,nrCDdate,""),_xlpm.ok,_xlfn.XLOOKUP(_xlpm.dn+cfgRetestClassDays,nrCDnum,nrCDinsession,"No"),IF(OR(_xlpm.dd="",_xlpm.ok&lt;&gt;"Yes"),"(after last class day)",_xlpm.dd))))))</f>
        <v/>
      </c>
      <c r="U608" s="17">
        <f>IF($C608="","",IF(AND($Y608="Excused",$L608="",N($K608)&lt;=1),"EXCUSED - 1st attempt pending",IF(OR($L608="",$K608&lt;&gt;1,NOT(ISNUMBER($L608)),$L608&gt;=$J608),"",IF(COUNTIFS(nrES_PID,$D608,nrES_Code,$F608,nrES_Att,2,nrES_Raw,"&gt;=0")&gt;0,IF(IFERROR(_xlfn.MINIFS(nrES_Date,nrES_PID,$D608,nrES_Code,$F608,nrES_Att,2,nrES_Raw,"&gt;=0",nrES_Date,"&gt;0"),0)=0,"RETEST UNDATED",IF(NOT(ISNUMBER($T608)),"RETEST DATE UNCHECKED",IF(_xlfn.MINIFS(nrES_Date,nrES_PID,$D608,nrES_Code,$F608,nrES_Att,2,nrES_Raw,"&gt;=0",nrES_Date,"&gt;0")&gt;$T608,"LATE RETEST "&amp;TEXT(_xlfn.MINIFS(nrES_Date,nrES_PID,$D608,nrES_Code,$F608,nrES_Att,2,nrES_Raw,"&gt;=0",nrES_Date,"&gt;0"),"mm/dd")&amp;" (due "&amp;TEXT($T608,"mm/dd")&amp;")","Retested"))),IF(NOT(ISNUMBER($T608)),"CHECK DATE",IF(TODAY()&gt;$T608,"OVERDUE","Due "&amp;TEXT($T608,"mm/dd")))))))</f>
        <v/>
      </c>
      <c r="V608" s="16" t="n"/>
      <c r="W608" s="16" t="n"/>
      <c r="X608" s="17">
        <f>IF($C608="","",IF(AND($L608&lt;&gt;"",NOT(ISNUMBER($L608))),"RAW SCORE NOT A NUMBER",IF(AND(ISNUMBER($L608),OR($L608&lt;0,$L608&gt;100)),"RAW SCORE OUT OF RANGE",IF(AND($Y608="Unexcused",OR($L608="",NOT(ISNUMBER($L608)),$L608&lt;&gt;0)),"UNEXCUSED ABSENCE MUST RECORD 0",IF(COUNTIF(nrES_RecID,$B608)&gt;1,"DUPLICATE RECORD",IF(N($K608)&gt;2,"ATTEMPT 3+ NOT ALLOWED - policy 300.5 permits one retest per exam; this row records nothing",IF(AND($K608=2,COUNTIFS(nrES_PID,$D608,nrES_Code,$F608,nrES_Att,1)=0),"ATTEMPT 2 WITHOUT ATTEMPT 1",IF(AND($K608=2,$L608=""),"RETEST ROW HAS NO SCORE",IF(AND($H608="Final",$L608&lt;&gt;"",IFERROR(INDEX(nrCKfinalExamElig,MATCH($D608,rngCadetPIDs,0)),"")="No"),"FINAL EXAM AFTER FAILED FINAL PT (500.1.H)",IF(AND($K608=2,ISNUMBER($L608),COUNTIFS(nrES_PID,$D608,nrES_Code,$F608,nrES_Att,1)&gt;0,SUMIFS(nrES_Raw,nrES_PID,$D608,nrES_Code,$F608,nrES_Att,1)&gt;=$J608),"RETEST AFTER A PASSING FIRST ATTEMPT","OK"))))))))))</f>
        <v/>
      </c>
      <c r="Y608" s="16" t="n"/>
    </row>
    <row r="609">
      <c r="B609" s="17">
        <f>IF($C609="","",$D609&amp;"-"&amp;$F609&amp;"-"&amp;$K609)</f>
        <v/>
      </c>
      <c r="C609" s="16" t="n"/>
      <c r="D609" s="17">
        <f>IF($C609="","",IFERROR(INDEX(rngCadetPIDs,MATCH($C609,rngCadetNames,0)),"?"))</f>
        <v/>
      </c>
      <c r="E609" s="17">
        <f>IF($D609="","",IFERROR(INDEX(nrCadetAgency,MATCH($D609,rngCadetPIDs,0)),""))</f>
        <v/>
      </c>
      <c r="F609" s="16" t="n"/>
      <c r="G609" s="17">
        <f>IF($F609="","",IFERROR(INDEX(rngEPname,MATCH($F609,rngEPcode,0)),"?"))</f>
        <v/>
      </c>
      <c r="H609" s="17">
        <f>IF($F609="","",IFERROR(INDEX(rngEPtype,MATCH($F609,rngEPcode,0)),"?"))</f>
        <v/>
      </c>
      <c r="I609" s="17">
        <f>IF($F609="","",IFERROR(INDEX(rngEPseq,MATCH($F609,rngEPcode,0)),""))</f>
        <v/>
      </c>
      <c r="J609" s="17">
        <f>IF($F609="","",IFERROR(INDEX(rngEPpass,MATCH($F609,rngEPcode,0)),cfgPassingScore))</f>
        <v/>
      </c>
      <c r="K609" s="16" t="n"/>
      <c r="L609" s="16" t="n"/>
      <c r="M609" s="17">
        <f>IF($C609="","",IF($L609="","",IF(NOT(ISNUMBER($L609)),$L609,IF(N($K609)&gt;2,"",IF($K609=1,IF(COUNTIFS(nrES_PID,$D609,nrES_Code,$F609,nrES_Att,2,nrES_Raw,"&gt;=0")&gt;0,"",$L609),IF($L609&gt;=$J609,MAX($J609,cfgRetakeRecordedCap),IF(COUNTIFS(nrES_PID,$D609,nrES_Code,$F609,nrES_Att,1)=0,$L609,SUMIFS(nrES_Raw,nrES_PID,$D609,nrES_Code,$F609,nrES_Att,1))))))))</f>
        <v/>
      </c>
      <c r="N609" s="17">
        <f>IF($C609="","",IF($L609="","",IF(NOT(ISNUMBER($L609)),"(not a score)",IF($L609&gt;=$J609,"Yes","No"))))</f>
        <v/>
      </c>
      <c r="O609" s="17">
        <f>IF($C609="","",IF($M609="","",IF(NOT(ISNUMBER($M609)),"(not a score)",IF($M609&gt;=$J609,"Yes","No"))))</f>
        <v/>
      </c>
      <c r="P609" s="17">
        <f>IF($C609="","",IF($K609="","",IF(N($K609)&gt;2,"No",IF(COUNTIFS(nrES_PID,$D609,nrES_Code,$F609,nrES_Att,"&gt;"&amp;$K609,nrES_Att,"&lt;=2",nrES_Raw,"&gt;=0")=0,"Yes","No"))))</f>
        <v/>
      </c>
      <c r="Q609" s="17">
        <f>IF($C609="","",IF($L609="","",IF(AND($K609=1,ISNUMBER($L609),$L609&lt;$J609,COUNTIFS(nrES_PID,$D609,nrES_Code,$F609,nrES_Att,2,nrES_Raw,"&gt;=0")=0),"Yes","No")))</f>
        <v/>
      </c>
      <c r="R609" s="17">
        <f>IF($C609="","",IF($L609="","",IF(AND(N($K609)&gt;=2,ISNUMBER($L609),$L609&lt;$J609),"Yes","No")))</f>
        <v/>
      </c>
      <c r="S609" s="18" t="n"/>
      <c r="T609" s="19">
        <f>IF(OR($C609="",$L609="",$K609&lt;&gt;1,NOT(ISNUMBER($L609)),$L609&gt;=$J609),"",IF($S609="","(enter date)",_xlfn.LET(_xlpm.dn,_xlfn.XLOOKUP($S609,nrCDdate,nrCDnum,"",1),IF(_xlpm.dn="","(after last class day)",_xlfn.LET(_xlpm.dd,_xlfn.XLOOKUP(_xlpm.dn+cfgRetestClassDays,nrCDnum,nrCDdate,""),_xlpm.ok,_xlfn.XLOOKUP(_xlpm.dn+cfgRetestClassDays,nrCDnum,nrCDinsession,"No"),IF(OR(_xlpm.dd="",_xlpm.ok&lt;&gt;"Yes"),"(after last class day)",_xlpm.dd))))))</f>
        <v/>
      </c>
      <c r="U609" s="17">
        <f>IF($C609="","",IF(AND($Y609="Excused",$L609="",N($K609)&lt;=1),"EXCUSED - 1st attempt pending",IF(OR($L609="",$K609&lt;&gt;1,NOT(ISNUMBER($L609)),$L609&gt;=$J609),"",IF(COUNTIFS(nrES_PID,$D609,nrES_Code,$F609,nrES_Att,2,nrES_Raw,"&gt;=0")&gt;0,IF(IFERROR(_xlfn.MINIFS(nrES_Date,nrES_PID,$D609,nrES_Code,$F609,nrES_Att,2,nrES_Raw,"&gt;=0",nrES_Date,"&gt;0"),0)=0,"RETEST UNDATED",IF(NOT(ISNUMBER($T609)),"RETEST DATE UNCHECKED",IF(_xlfn.MINIFS(nrES_Date,nrES_PID,$D609,nrES_Code,$F609,nrES_Att,2,nrES_Raw,"&gt;=0",nrES_Date,"&gt;0")&gt;$T609,"LATE RETEST "&amp;TEXT(_xlfn.MINIFS(nrES_Date,nrES_PID,$D609,nrES_Code,$F609,nrES_Att,2,nrES_Raw,"&gt;=0",nrES_Date,"&gt;0"),"mm/dd")&amp;" (due "&amp;TEXT($T609,"mm/dd")&amp;")","Retested"))),IF(NOT(ISNUMBER($T609)),"CHECK DATE",IF(TODAY()&gt;$T609,"OVERDUE","Due "&amp;TEXT($T609,"mm/dd")))))))</f>
        <v/>
      </c>
      <c r="V609" s="16" t="n"/>
      <c r="W609" s="16" t="n"/>
      <c r="X609" s="17">
        <f>IF($C609="","",IF(AND($L609&lt;&gt;"",NOT(ISNUMBER($L609))),"RAW SCORE NOT A NUMBER",IF(AND(ISNUMBER($L609),OR($L609&lt;0,$L609&gt;100)),"RAW SCORE OUT OF RANGE",IF(AND($Y609="Unexcused",OR($L609="",NOT(ISNUMBER($L609)),$L609&lt;&gt;0)),"UNEXCUSED ABSENCE MUST RECORD 0",IF(COUNTIF(nrES_RecID,$B609)&gt;1,"DUPLICATE RECORD",IF(N($K609)&gt;2,"ATTEMPT 3+ NOT ALLOWED - policy 300.5 permits one retest per exam; this row records nothing",IF(AND($K609=2,COUNTIFS(nrES_PID,$D609,nrES_Code,$F609,nrES_Att,1)=0),"ATTEMPT 2 WITHOUT ATTEMPT 1",IF(AND($K609=2,$L609=""),"RETEST ROW HAS NO SCORE",IF(AND($H609="Final",$L609&lt;&gt;"",IFERROR(INDEX(nrCKfinalExamElig,MATCH($D609,rngCadetPIDs,0)),"")="No"),"FINAL EXAM AFTER FAILED FINAL PT (500.1.H)",IF(AND($K609=2,ISNUMBER($L609),COUNTIFS(nrES_PID,$D609,nrES_Code,$F609,nrES_Att,1)&gt;0,SUMIFS(nrES_Raw,nrES_PID,$D609,nrES_Code,$F609,nrES_Att,1)&gt;=$J609),"RETEST AFTER A PASSING FIRST ATTEMPT","OK"))))))))))</f>
        <v/>
      </c>
      <c r="Y609" s="16" t="n"/>
    </row>
    <row r="610">
      <c r="B610" s="17">
        <f>IF($C610="","",$D610&amp;"-"&amp;$F610&amp;"-"&amp;$K610)</f>
        <v/>
      </c>
      <c r="C610" s="16" t="n"/>
      <c r="D610" s="17">
        <f>IF($C610="","",IFERROR(INDEX(rngCadetPIDs,MATCH($C610,rngCadetNames,0)),"?"))</f>
        <v/>
      </c>
      <c r="E610" s="17">
        <f>IF($D610="","",IFERROR(INDEX(nrCadetAgency,MATCH($D610,rngCadetPIDs,0)),""))</f>
        <v/>
      </c>
      <c r="F610" s="16" t="n"/>
      <c r="G610" s="17">
        <f>IF($F610="","",IFERROR(INDEX(rngEPname,MATCH($F610,rngEPcode,0)),"?"))</f>
        <v/>
      </c>
      <c r="H610" s="17">
        <f>IF($F610="","",IFERROR(INDEX(rngEPtype,MATCH($F610,rngEPcode,0)),"?"))</f>
        <v/>
      </c>
      <c r="I610" s="17">
        <f>IF($F610="","",IFERROR(INDEX(rngEPseq,MATCH($F610,rngEPcode,0)),""))</f>
        <v/>
      </c>
      <c r="J610" s="17">
        <f>IF($F610="","",IFERROR(INDEX(rngEPpass,MATCH($F610,rngEPcode,0)),cfgPassingScore))</f>
        <v/>
      </c>
      <c r="K610" s="16" t="n"/>
      <c r="L610" s="16" t="n"/>
      <c r="M610" s="17">
        <f>IF($C610="","",IF($L610="","",IF(NOT(ISNUMBER($L610)),$L610,IF(N($K610)&gt;2,"",IF($K610=1,IF(COUNTIFS(nrES_PID,$D610,nrES_Code,$F610,nrES_Att,2,nrES_Raw,"&gt;=0")&gt;0,"",$L610),IF($L610&gt;=$J610,MAX($J610,cfgRetakeRecordedCap),IF(COUNTIFS(nrES_PID,$D610,nrES_Code,$F610,nrES_Att,1)=0,$L610,SUMIFS(nrES_Raw,nrES_PID,$D610,nrES_Code,$F610,nrES_Att,1))))))))</f>
        <v/>
      </c>
      <c r="N610" s="17">
        <f>IF($C610="","",IF($L610="","",IF(NOT(ISNUMBER($L610)),"(not a score)",IF($L610&gt;=$J610,"Yes","No"))))</f>
        <v/>
      </c>
      <c r="O610" s="17">
        <f>IF($C610="","",IF($M610="","",IF(NOT(ISNUMBER($M610)),"(not a score)",IF($M610&gt;=$J610,"Yes","No"))))</f>
        <v/>
      </c>
      <c r="P610" s="17">
        <f>IF($C610="","",IF($K610="","",IF(N($K610)&gt;2,"No",IF(COUNTIFS(nrES_PID,$D610,nrES_Code,$F610,nrES_Att,"&gt;"&amp;$K610,nrES_Att,"&lt;=2",nrES_Raw,"&gt;=0")=0,"Yes","No"))))</f>
        <v/>
      </c>
      <c r="Q610" s="17">
        <f>IF($C610="","",IF($L610="","",IF(AND($K610=1,ISNUMBER($L610),$L610&lt;$J610,COUNTIFS(nrES_PID,$D610,nrES_Code,$F610,nrES_Att,2,nrES_Raw,"&gt;=0")=0),"Yes","No")))</f>
        <v/>
      </c>
      <c r="R610" s="17">
        <f>IF($C610="","",IF($L610="","",IF(AND(N($K610)&gt;=2,ISNUMBER($L610),$L610&lt;$J610),"Yes","No")))</f>
        <v/>
      </c>
      <c r="S610" s="18" t="n"/>
      <c r="T610" s="19">
        <f>IF(OR($C610="",$L610="",$K610&lt;&gt;1,NOT(ISNUMBER($L610)),$L610&gt;=$J610),"",IF($S610="","(enter date)",_xlfn.LET(_xlpm.dn,_xlfn.XLOOKUP($S610,nrCDdate,nrCDnum,"",1),IF(_xlpm.dn="","(after last class day)",_xlfn.LET(_xlpm.dd,_xlfn.XLOOKUP(_xlpm.dn+cfgRetestClassDays,nrCDnum,nrCDdate,""),_xlpm.ok,_xlfn.XLOOKUP(_xlpm.dn+cfgRetestClassDays,nrCDnum,nrCDinsession,"No"),IF(OR(_xlpm.dd="",_xlpm.ok&lt;&gt;"Yes"),"(after last class day)",_xlpm.dd))))))</f>
        <v/>
      </c>
      <c r="U610" s="17">
        <f>IF($C610="","",IF(AND($Y610="Excused",$L610="",N($K610)&lt;=1),"EXCUSED - 1st attempt pending",IF(OR($L610="",$K610&lt;&gt;1,NOT(ISNUMBER($L610)),$L610&gt;=$J610),"",IF(COUNTIFS(nrES_PID,$D610,nrES_Code,$F610,nrES_Att,2,nrES_Raw,"&gt;=0")&gt;0,IF(IFERROR(_xlfn.MINIFS(nrES_Date,nrES_PID,$D610,nrES_Code,$F610,nrES_Att,2,nrES_Raw,"&gt;=0",nrES_Date,"&gt;0"),0)=0,"RETEST UNDATED",IF(NOT(ISNUMBER($T610)),"RETEST DATE UNCHECKED",IF(_xlfn.MINIFS(nrES_Date,nrES_PID,$D610,nrES_Code,$F610,nrES_Att,2,nrES_Raw,"&gt;=0",nrES_Date,"&gt;0")&gt;$T610,"LATE RETEST "&amp;TEXT(_xlfn.MINIFS(nrES_Date,nrES_PID,$D610,nrES_Code,$F610,nrES_Att,2,nrES_Raw,"&gt;=0",nrES_Date,"&gt;0"),"mm/dd")&amp;" (due "&amp;TEXT($T610,"mm/dd")&amp;")","Retested"))),IF(NOT(ISNUMBER($T610)),"CHECK DATE",IF(TODAY()&gt;$T610,"OVERDUE","Due "&amp;TEXT($T610,"mm/dd")))))))</f>
        <v/>
      </c>
      <c r="V610" s="16" t="n"/>
      <c r="W610" s="16" t="n"/>
      <c r="X610" s="17">
        <f>IF($C610="","",IF(AND($L610&lt;&gt;"",NOT(ISNUMBER($L610))),"RAW SCORE NOT A NUMBER",IF(AND(ISNUMBER($L610),OR($L610&lt;0,$L610&gt;100)),"RAW SCORE OUT OF RANGE",IF(AND($Y610="Unexcused",OR($L610="",NOT(ISNUMBER($L610)),$L610&lt;&gt;0)),"UNEXCUSED ABSENCE MUST RECORD 0",IF(COUNTIF(nrES_RecID,$B610)&gt;1,"DUPLICATE RECORD",IF(N($K610)&gt;2,"ATTEMPT 3+ NOT ALLOWED - policy 300.5 permits one retest per exam; this row records nothing",IF(AND($K610=2,COUNTIFS(nrES_PID,$D610,nrES_Code,$F610,nrES_Att,1)=0),"ATTEMPT 2 WITHOUT ATTEMPT 1",IF(AND($K610=2,$L610=""),"RETEST ROW HAS NO SCORE",IF(AND($H610="Final",$L610&lt;&gt;"",IFERROR(INDEX(nrCKfinalExamElig,MATCH($D610,rngCadetPIDs,0)),"")="No"),"FINAL EXAM AFTER FAILED FINAL PT (500.1.H)",IF(AND($K610=2,ISNUMBER($L610),COUNTIFS(nrES_PID,$D610,nrES_Code,$F610,nrES_Att,1)&gt;0,SUMIFS(nrES_Raw,nrES_PID,$D610,nrES_Code,$F610,nrES_Att,1)&gt;=$J610),"RETEST AFTER A PASSING FIRST ATTEMPT","OK"))))))))))</f>
        <v/>
      </c>
      <c r="Y610" s="16" t="n"/>
    </row>
    <row r="611">
      <c r="B611" s="17">
        <f>IF($C611="","",$D611&amp;"-"&amp;$F611&amp;"-"&amp;$K611)</f>
        <v/>
      </c>
      <c r="C611" s="16" t="n"/>
      <c r="D611" s="17">
        <f>IF($C611="","",IFERROR(INDEX(rngCadetPIDs,MATCH($C611,rngCadetNames,0)),"?"))</f>
        <v/>
      </c>
      <c r="E611" s="17">
        <f>IF($D611="","",IFERROR(INDEX(nrCadetAgency,MATCH($D611,rngCadetPIDs,0)),""))</f>
        <v/>
      </c>
      <c r="F611" s="16" t="n"/>
      <c r="G611" s="17">
        <f>IF($F611="","",IFERROR(INDEX(rngEPname,MATCH($F611,rngEPcode,0)),"?"))</f>
        <v/>
      </c>
      <c r="H611" s="17">
        <f>IF($F611="","",IFERROR(INDEX(rngEPtype,MATCH($F611,rngEPcode,0)),"?"))</f>
        <v/>
      </c>
      <c r="I611" s="17">
        <f>IF($F611="","",IFERROR(INDEX(rngEPseq,MATCH($F611,rngEPcode,0)),""))</f>
        <v/>
      </c>
      <c r="J611" s="17">
        <f>IF($F611="","",IFERROR(INDEX(rngEPpass,MATCH($F611,rngEPcode,0)),cfgPassingScore))</f>
        <v/>
      </c>
      <c r="K611" s="16" t="n"/>
      <c r="L611" s="16" t="n"/>
      <c r="M611" s="17">
        <f>IF($C611="","",IF($L611="","",IF(NOT(ISNUMBER($L611)),$L611,IF(N($K611)&gt;2,"",IF($K611=1,IF(COUNTIFS(nrES_PID,$D611,nrES_Code,$F611,nrES_Att,2,nrES_Raw,"&gt;=0")&gt;0,"",$L611),IF($L611&gt;=$J611,MAX($J611,cfgRetakeRecordedCap),IF(COUNTIFS(nrES_PID,$D611,nrES_Code,$F611,nrES_Att,1)=0,$L611,SUMIFS(nrES_Raw,nrES_PID,$D611,nrES_Code,$F611,nrES_Att,1))))))))</f>
        <v/>
      </c>
      <c r="N611" s="17">
        <f>IF($C611="","",IF($L611="","",IF(NOT(ISNUMBER($L611)),"(not a score)",IF($L611&gt;=$J611,"Yes","No"))))</f>
        <v/>
      </c>
      <c r="O611" s="17">
        <f>IF($C611="","",IF($M611="","",IF(NOT(ISNUMBER($M611)),"(not a score)",IF($M611&gt;=$J611,"Yes","No"))))</f>
        <v/>
      </c>
      <c r="P611" s="17">
        <f>IF($C611="","",IF($K611="","",IF(N($K611)&gt;2,"No",IF(COUNTIFS(nrES_PID,$D611,nrES_Code,$F611,nrES_Att,"&gt;"&amp;$K611,nrES_Att,"&lt;=2",nrES_Raw,"&gt;=0")=0,"Yes","No"))))</f>
        <v/>
      </c>
      <c r="Q611" s="17">
        <f>IF($C611="","",IF($L611="","",IF(AND($K611=1,ISNUMBER($L611),$L611&lt;$J611,COUNTIFS(nrES_PID,$D611,nrES_Code,$F611,nrES_Att,2,nrES_Raw,"&gt;=0")=0),"Yes","No")))</f>
        <v/>
      </c>
      <c r="R611" s="17">
        <f>IF($C611="","",IF($L611="","",IF(AND(N($K611)&gt;=2,ISNUMBER($L611),$L611&lt;$J611),"Yes","No")))</f>
        <v/>
      </c>
      <c r="S611" s="18" t="n"/>
      <c r="T611" s="19">
        <f>IF(OR($C611="",$L611="",$K611&lt;&gt;1,NOT(ISNUMBER($L611)),$L611&gt;=$J611),"",IF($S611="","(enter date)",_xlfn.LET(_xlpm.dn,_xlfn.XLOOKUP($S611,nrCDdate,nrCDnum,"",1),IF(_xlpm.dn="","(after last class day)",_xlfn.LET(_xlpm.dd,_xlfn.XLOOKUP(_xlpm.dn+cfgRetestClassDays,nrCDnum,nrCDdate,""),_xlpm.ok,_xlfn.XLOOKUP(_xlpm.dn+cfgRetestClassDays,nrCDnum,nrCDinsession,"No"),IF(OR(_xlpm.dd="",_xlpm.ok&lt;&gt;"Yes"),"(after last class day)",_xlpm.dd))))))</f>
        <v/>
      </c>
      <c r="U611" s="17">
        <f>IF($C611="","",IF(AND($Y611="Excused",$L611="",N($K611)&lt;=1),"EXCUSED - 1st attempt pending",IF(OR($L611="",$K611&lt;&gt;1,NOT(ISNUMBER($L611)),$L611&gt;=$J611),"",IF(COUNTIFS(nrES_PID,$D611,nrES_Code,$F611,nrES_Att,2,nrES_Raw,"&gt;=0")&gt;0,IF(IFERROR(_xlfn.MINIFS(nrES_Date,nrES_PID,$D611,nrES_Code,$F611,nrES_Att,2,nrES_Raw,"&gt;=0",nrES_Date,"&gt;0"),0)=0,"RETEST UNDATED",IF(NOT(ISNUMBER($T611)),"RETEST DATE UNCHECKED",IF(_xlfn.MINIFS(nrES_Date,nrES_PID,$D611,nrES_Code,$F611,nrES_Att,2,nrES_Raw,"&gt;=0",nrES_Date,"&gt;0")&gt;$T611,"LATE RETEST "&amp;TEXT(_xlfn.MINIFS(nrES_Date,nrES_PID,$D611,nrES_Code,$F611,nrES_Att,2,nrES_Raw,"&gt;=0",nrES_Date,"&gt;0"),"mm/dd")&amp;" (due "&amp;TEXT($T611,"mm/dd")&amp;")","Retested"))),IF(NOT(ISNUMBER($T611)),"CHECK DATE",IF(TODAY()&gt;$T611,"OVERDUE","Due "&amp;TEXT($T611,"mm/dd")))))))</f>
        <v/>
      </c>
      <c r="V611" s="16" t="n"/>
      <c r="W611" s="16" t="n"/>
      <c r="X611" s="17">
        <f>IF($C611="","",IF(AND($L611&lt;&gt;"",NOT(ISNUMBER($L611))),"RAW SCORE NOT A NUMBER",IF(AND(ISNUMBER($L611),OR($L611&lt;0,$L611&gt;100)),"RAW SCORE OUT OF RANGE",IF(AND($Y611="Unexcused",OR($L611="",NOT(ISNUMBER($L611)),$L611&lt;&gt;0)),"UNEXCUSED ABSENCE MUST RECORD 0",IF(COUNTIF(nrES_RecID,$B611)&gt;1,"DUPLICATE RECORD",IF(N($K611)&gt;2,"ATTEMPT 3+ NOT ALLOWED - policy 300.5 permits one retest per exam; this row records nothing",IF(AND($K611=2,COUNTIFS(nrES_PID,$D611,nrES_Code,$F611,nrES_Att,1)=0),"ATTEMPT 2 WITHOUT ATTEMPT 1",IF(AND($K611=2,$L611=""),"RETEST ROW HAS NO SCORE",IF(AND($H611="Final",$L611&lt;&gt;"",IFERROR(INDEX(nrCKfinalExamElig,MATCH($D611,rngCadetPIDs,0)),"")="No"),"FINAL EXAM AFTER FAILED FINAL PT (500.1.H)",IF(AND($K611=2,ISNUMBER($L611),COUNTIFS(nrES_PID,$D611,nrES_Code,$F611,nrES_Att,1)&gt;0,SUMIFS(nrES_Raw,nrES_PID,$D611,nrES_Code,$F611,nrES_Att,1)&gt;=$J611),"RETEST AFTER A PASSING FIRST ATTEMPT","OK"))))))))))</f>
        <v/>
      </c>
      <c r="Y611" s="16" t="n"/>
    </row>
    <row r="612">
      <c r="B612" s="17">
        <f>IF($C612="","",$D612&amp;"-"&amp;$F612&amp;"-"&amp;$K612)</f>
        <v/>
      </c>
      <c r="C612" s="16" t="n"/>
      <c r="D612" s="17">
        <f>IF($C612="","",IFERROR(INDEX(rngCadetPIDs,MATCH($C612,rngCadetNames,0)),"?"))</f>
        <v/>
      </c>
      <c r="E612" s="17">
        <f>IF($D612="","",IFERROR(INDEX(nrCadetAgency,MATCH($D612,rngCadetPIDs,0)),""))</f>
        <v/>
      </c>
      <c r="F612" s="16" t="n"/>
      <c r="G612" s="17">
        <f>IF($F612="","",IFERROR(INDEX(rngEPname,MATCH($F612,rngEPcode,0)),"?"))</f>
        <v/>
      </c>
      <c r="H612" s="17">
        <f>IF($F612="","",IFERROR(INDEX(rngEPtype,MATCH($F612,rngEPcode,0)),"?"))</f>
        <v/>
      </c>
      <c r="I612" s="17">
        <f>IF($F612="","",IFERROR(INDEX(rngEPseq,MATCH($F612,rngEPcode,0)),""))</f>
        <v/>
      </c>
      <c r="J612" s="17">
        <f>IF($F612="","",IFERROR(INDEX(rngEPpass,MATCH($F612,rngEPcode,0)),cfgPassingScore))</f>
        <v/>
      </c>
      <c r="K612" s="16" t="n"/>
      <c r="L612" s="16" t="n"/>
      <c r="M612" s="17">
        <f>IF($C612="","",IF($L612="","",IF(NOT(ISNUMBER($L612)),$L612,IF(N($K612)&gt;2,"",IF($K612=1,IF(COUNTIFS(nrES_PID,$D612,nrES_Code,$F612,nrES_Att,2,nrES_Raw,"&gt;=0")&gt;0,"",$L612),IF($L612&gt;=$J612,MAX($J612,cfgRetakeRecordedCap),IF(COUNTIFS(nrES_PID,$D612,nrES_Code,$F612,nrES_Att,1)=0,$L612,SUMIFS(nrES_Raw,nrES_PID,$D612,nrES_Code,$F612,nrES_Att,1))))))))</f>
        <v/>
      </c>
      <c r="N612" s="17">
        <f>IF($C612="","",IF($L612="","",IF(NOT(ISNUMBER($L612)),"(not a score)",IF($L612&gt;=$J612,"Yes","No"))))</f>
        <v/>
      </c>
      <c r="O612" s="17">
        <f>IF($C612="","",IF($M612="","",IF(NOT(ISNUMBER($M612)),"(not a score)",IF($M612&gt;=$J612,"Yes","No"))))</f>
        <v/>
      </c>
      <c r="P612" s="17">
        <f>IF($C612="","",IF($K612="","",IF(N($K612)&gt;2,"No",IF(COUNTIFS(nrES_PID,$D612,nrES_Code,$F612,nrES_Att,"&gt;"&amp;$K612,nrES_Att,"&lt;=2",nrES_Raw,"&gt;=0")=0,"Yes","No"))))</f>
        <v/>
      </c>
      <c r="Q612" s="17">
        <f>IF($C612="","",IF($L612="","",IF(AND($K612=1,ISNUMBER($L612),$L612&lt;$J612,COUNTIFS(nrES_PID,$D612,nrES_Code,$F612,nrES_Att,2,nrES_Raw,"&gt;=0")=0),"Yes","No")))</f>
        <v/>
      </c>
      <c r="R612" s="17">
        <f>IF($C612="","",IF($L612="","",IF(AND(N($K612)&gt;=2,ISNUMBER($L612),$L612&lt;$J612),"Yes","No")))</f>
        <v/>
      </c>
      <c r="S612" s="18" t="n"/>
      <c r="T612" s="19">
        <f>IF(OR($C612="",$L612="",$K612&lt;&gt;1,NOT(ISNUMBER($L612)),$L612&gt;=$J612),"",IF($S612="","(enter date)",_xlfn.LET(_xlpm.dn,_xlfn.XLOOKUP($S612,nrCDdate,nrCDnum,"",1),IF(_xlpm.dn="","(after last class day)",_xlfn.LET(_xlpm.dd,_xlfn.XLOOKUP(_xlpm.dn+cfgRetestClassDays,nrCDnum,nrCDdate,""),_xlpm.ok,_xlfn.XLOOKUP(_xlpm.dn+cfgRetestClassDays,nrCDnum,nrCDinsession,"No"),IF(OR(_xlpm.dd="",_xlpm.ok&lt;&gt;"Yes"),"(after last class day)",_xlpm.dd))))))</f>
        <v/>
      </c>
      <c r="U612" s="17">
        <f>IF($C612="","",IF(AND($Y612="Excused",$L612="",N($K612)&lt;=1),"EXCUSED - 1st attempt pending",IF(OR($L612="",$K612&lt;&gt;1,NOT(ISNUMBER($L612)),$L612&gt;=$J612),"",IF(COUNTIFS(nrES_PID,$D612,nrES_Code,$F612,nrES_Att,2,nrES_Raw,"&gt;=0")&gt;0,IF(IFERROR(_xlfn.MINIFS(nrES_Date,nrES_PID,$D612,nrES_Code,$F612,nrES_Att,2,nrES_Raw,"&gt;=0",nrES_Date,"&gt;0"),0)=0,"RETEST UNDATED",IF(NOT(ISNUMBER($T612)),"RETEST DATE UNCHECKED",IF(_xlfn.MINIFS(nrES_Date,nrES_PID,$D612,nrES_Code,$F612,nrES_Att,2,nrES_Raw,"&gt;=0",nrES_Date,"&gt;0")&gt;$T612,"LATE RETEST "&amp;TEXT(_xlfn.MINIFS(nrES_Date,nrES_PID,$D612,nrES_Code,$F612,nrES_Att,2,nrES_Raw,"&gt;=0",nrES_Date,"&gt;0"),"mm/dd")&amp;" (due "&amp;TEXT($T612,"mm/dd")&amp;")","Retested"))),IF(NOT(ISNUMBER($T612)),"CHECK DATE",IF(TODAY()&gt;$T612,"OVERDUE","Due "&amp;TEXT($T612,"mm/dd")))))))</f>
        <v/>
      </c>
      <c r="V612" s="16" t="n"/>
      <c r="W612" s="16" t="n"/>
      <c r="X612" s="17">
        <f>IF($C612="","",IF(AND($L612&lt;&gt;"",NOT(ISNUMBER($L612))),"RAW SCORE NOT A NUMBER",IF(AND(ISNUMBER($L612),OR($L612&lt;0,$L612&gt;100)),"RAW SCORE OUT OF RANGE",IF(AND($Y612="Unexcused",OR($L612="",NOT(ISNUMBER($L612)),$L612&lt;&gt;0)),"UNEXCUSED ABSENCE MUST RECORD 0",IF(COUNTIF(nrES_RecID,$B612)&gt;1,"DUPLICATE RECORD",IF(N($K612)&gt;2,"ATTEMPT 3+ NOT ALLOWED - policy 300.5 permits one retest per exam; this row records nothing",IF(AND($K612=2,COUNTIFS(nrES_PID,$D612,nrES_Code,$F612,nrES_Att,1)=0),"ATTEMPT 2 WITHOUT ATTEMPT 1",IF(AND($K612=2,$L612=""),"RETEST ROW HAS NO SCORE",IF(AND($H612="Final",$L612&lt;&gt;"",IFERROR(INDEX(nrCKfinalExamElig,MATCH($D612,rngCadetPIDs,0)),"")="No"),"FINAL EXAM AFTER FAILED FINAL PT (500.1.H)",IF(AND($K612=2,ISNUMBER($L612),COUNTIFS(nrES_PID,$D612,nrES_Code,$F612,nrES_Att,1)&gt;0,SUMIFS(nrES_Raw,nrES_PID,$D612,nrES_Code,$F612,nrES_Att,1)&gt;=$J612),"RETEST AFTER A PASSING FIRST ATTEMPT","OK"))))))))))</f>
        <v/>
      </c>
      <c r="Y612" s="16" t="n"/>
    </row>
    <row r="613">
      <c r="B613" s="17">
        <f>IF($C613="","",$D613&amp;"-"&amp;$F613&amp;"-"&amp;$K613)</f>
        <v/>
      </c>
      <c r="C613" s="16" t="n"/>
      <c r="D613" s="17">
        <f>IF($C613="","",IFERROR(INDEX(rngCadetPIDs,MATCH($C613,rngCadetNames,0)),"?"))</f>
        <v/>
      </c>
      <c r="E613" s="17">
        <f>IF($D613="","",IFERROR(INDEX(nrCadetAgency,MATCH($D613,rngCadetPIDs,0)),""))</f>
        <v/>
      </c>
      <c r="F613" s="16" t="n"/>
      <c r="G613" s="17">
        <f>IF($F613="","",IFERROR(INDEX(rngEPname,MATCH($F613,rngEPcode,0)),"?"))</f>
        <v/>
      </c>
      <c r="H613" s="17">
        <f>IF($F613="","",IFERROR(INDEX(rngEPtype,MATCH($F613,rngEPcode,0)),"?"))</f>
        <v/>
      </c>
      <c r="I613" s="17">
        <f>IF($F613="","",IFERROR(INDEX(rngEPseq,MATCH($F613,rngEPcode,0)),""))</f>
        <v/>
      </c>
      <c r="J613" s="17">
        <f>IF($F613="","",IFERROR(INDEX(rngEPpass,MATCH($F613,rngEPcode,0)),cfgPassingScore))</f>
        <v/>
      </c>
      <c r="K613" s="16" t="n"/>
      <c r="L613" s="16" t="n"/>
      <c r="M613" s="17">
        <f>IF($C613="","",IF($L613="","",IF(NOT(ISNUMBER($L613)),$L613,IF(N($K613)&gt;2,"",IF($K613=1,IF(COUNTIFS(nrES_PID,$D613,nrES_Code,$F613,nrES_Att,2,nrES_Raw,"&gt;=0")&gt;0,"",$L613),IF($L613&gt;=$J613,MAX($J613,cfgRetakeRecordedCap),IF(COUNTIFS(nrES_PID,$D613,nrES_Code,$F613,nrES_Att,1)=0,$L613,SUMIFS(nrES_Raw,nrES_PID,$D613,nrES_Code,$F613,nrES_Att,1))))))))</f>
        <v/>
      </c>
      <c r="N613" s="17">
        <f>IF($C613="","",IF($L613="","",IF(NOT(ISNUMBER($L613)),"(not a score)",IF($L613&gt;=$J613,"Yes","No"))))</f>
        <v/>
      </c>
      <c r="O613" s="17">
        <f>IF($C613="","",IF($M613="","",IF(NOT(ISNUMBER($M613)),"(not a score)",IF($M613&gt;=$J613,"Yes","No"))))</f>
        <v/>
      </c>
      <c r="P613" s="17">
        <f>IF($C613="","",IF($K613="","",IF(N($K613)&gt;2,"No",IF(COUNTIFS(nrES_PID,$D613,nrES_Code,$F613,nrES_Att,"&gt;"&amp;$K613,nrES_Att,"&lt;=2",nrES_Raw,"&gt;=0")=0,"Yes","No"))))</f>
        <v/>
      </c>
      <c r="Q613" s="17">
        <f>IF($C613="","",IF($L613="","",IF(AND($K613=1,ISNUMBER($L613),$L613&lt;$J613,COUNTIFS(nrES_PID,$D613,nrES_Code,$F613,nrES_Att,2,nrES_Raw,"&gt;=0")=0),"Yes","No")))</f>
        <v/>
      </c>
      <c r="R613" s="17">
        <f>IF($C613="","",IF($L613="","",IF(AND(N($K613)&gt;=2,ISNUMBER($L613),$L613&lt;$J613),"Yes","No")))</f>
        <v/>
      </c>
      <c r="S613" s="18" t="n"/>
      <c r="T613" s="19">
        <f>IF(OR($C613="",$L613="",$K613&lt;&gt;1,NOT(ISNUMBER($L613)),$L613&gt;=$J613),"",IF($S613="","(enter date)",_xlfn.LET(_xlpm.dn,_xlfn.XLOOKUP($S613,nrCDdate,nrCDnum,"",1),IF(_xlpm.dn="","(after last class day)",_xlfn.LET(_xlpm.dd,_xlfn.XLOOKUP(_xlpm.dn+cfgRetestClassDays,nrCDnum,nrCDdate,""),_xlpm.ok,_xlfn.XLOOKUP(_xlpm.dn+cfgRetestClassDays,nrCDnum,nrCDinsession,"No"),IF(OR(_xlpm.dd="",_xlpm.ok&lt;&gt;"Yes"),"(after last class day)",_xlpm.dd))))))</f>
        <v/>
      </c>
      <c r="U613" s="17">
        <f>IF($C613="","",IF(AND($Y613="Excused",$L613="",N($K613)&lt;=1),"EXCUSED - 1st attempt pending",IF(OR($L613="",$K613&lt;&gt;1,NOT(ISNUMBER($L613)),$L613&gt;=$J613),"",IF(COUNTIFS(nrES_PID,$D613,nrES_Code,$F613,nrES_Att,2,nrES_Raw,"&gt;=0")&gt;0,IF(IFERROR(_xlfn.MINIFS(nrES_Date,nrES_PID,$D613,nrES_Code,$F613,nrES_Att,2,nrES_Raw,"&gt;=0",nrES_Date,"&gt;0"),0)=0,"RETEST UNDATED",IF(NOT(ISNUMBER($T613)),"RETEST DATE UNCHECKED",IF(_xlfn.MINIFS(nrES_Date,nrES_PID,$D613,nrES_Code,$F613,nrES_Att,2,nrES_Raw,"&gt;=0",nrES_Date,"&gt;0")&gt;$T613,"LATE RETEST "&amp;TEXT(_xlfn.MINIFS(nrES_Date,nrES_PID,$D613,nrES_Code,$F613,nrES_Att,2,nrES_Raw,"&gt;=0",nrES_Date,"&gt;0"),"mm/dd")&amp;" (due "&amp;TEXT($T613,"mm/dd")&amp;")","Retested"))),IF(NOT(ISNUMBER($T613)),"CHECK DATE",IF(TODAY()&gt;$T613,"OVERDUE","Due "&amp;TEXT($T613,"mm/dd")))))))</f>
        <v/>
      </c>
      <c r="V613" s="16" t="n"/>
      <c r="W613" s="16" t="n"/>
      <c r="X613" s="17">
        <f>IF($C613="","",IF(AND($L613&lt;&gt;"",NOT(ISNUMBER($L613))),"RAW SCORE NOT A NUMBER",IF(AND(ISNUMBER($L613),OR($L613&lt;0,$L613&gt;100)),"RAW SCORE OUT OF RANGE",IF(AND($Y613="Unexcused",OR($L613="",NOT(ISNUMBER($L613)),$L613&lt;&gt;0)),"UNEXCUSED ABSENCE MUST RECORD 0",IF(COUNTIF(nrES_RecID,$B613)&gt;1,"DUPLICATE RECORD",IF(N($K613)&gt;2,"ATTEMPT 3+ NOT ALLOWED - policy 300.5 permits one retest per exam; this row records nothing",IF(AND($K613=2,COUNTIFS(nrES_PID,$D613,nrES_Code,$F613,nrES_Att,1)=0),"ATTEMPT 2 WITHOUT ATTEMPT 1",IF(AND($K613=2,$L613=""),"RETEST ROW HAS NO SCORE",IF(AND($H613="Final",$L613&lt;&gt;"",IFERROR(INDEX(nrCKfinalExamElig,MATCH($D613,rngCadetPIDs,0)),"")="No"),"FINAL EXAM AFTER FAILED FINAL PT (500.1.H)",IF(AND($K613=2,ISNUMBER($L613),COUNTIFS(nrES_PID,$D613,nrES_Code,$F613,nrES_Att,1)&gt;0,SUMIFS(nrES_Raw,nrES_PID,$D613,nrES_Code,$F613,nrES_Att,1)&gt;=$J613),"RETEST AFTER A PASSING FIRST ATTEMPT","OK"))))))))))</f>
        <v/>
      </c>
      <c r="Y613" s="16" t="n"/>
    </row>
    <row r="614">
      <c r="B614" s="17">
        <f>IF($C614="","",$D614&amp;"-"&amp;$F614&amp;"-"&amp;$K614)</f>
        <v/>
      </c>
      <c r="C614" s="16" t="n"/>
      <c r="D614" s="17">
        <f>IF($C614="","",IFERROR(INDEX(rngCadetPIDs,MATCH($C614,rngCadetNames,0)),"?"))</f>
        <v/>
      </c>
      <c r="E614" s="17">
        <f>IF($D614="","",IFERROR(INDEX(nrCadetAgency,MATCH($D614,rngCadetPIDs,0)),""))</f>
        <v/>
      </c>
      <c r="F614" s="16" t="n"/>
      <c r="G614" s="17">
        <f>IF($F614="","",IFERROR(INDEX(rngEPname,MATCH($F614,rngEPcode,0)),"?"))</f>
        <v/>
      </c>
      <c r="H614" s="17">
        <f>IF($F614="","",IFERROR(INDEX(rngEPtype,MATCH($F614,rngEPcode,0)),"?"))</f>
        <v/>
      </c>
      <c r="I614" s="17">
        <f>IF($F614="","",IFERROR(INDEX(rngEPseq,MATCH($F614,rngEPcode,0)),""))</f>
        <v/>
      </c>
      <c r="J614" s="17">
        <f>IF($F614="","",IFERROR(INDEX(rngEPpass,MATCH($F614,rngEPcode,0)),cfgPassingScore))</f>
        <v/>
      </c>
      <c r="K614" s="16" t="n"/>
      <c r="L614" s="16" t="n"/>
      <c r="M614" s="17">
        <f>IF($C614="","",IF($L614="","",IF(NOT(ISNUMBER($L614)),$L614,IF(N($K614)&gt;2,"",IF($K614=1,IF(COUNTIFS(nrES_PID,$D614,nrES_Code,$F614,nrES_Att,2,nrES_Raw,"&gt;=0")&gt;0,"",$L614),IF($L614&gt;=$J614,MAX($J614,cfgRetakeRecordedCap),IF(COUNTIFS(nrES_PID,$D614,nrES_Code,$F614,nrES_Att,1)=0,$L614,SUMIFS(nrES_Raw,nrES_PID,$D614,nrES_Code,$F614,nrES_Att,1))))))))</f>
        <v/>
      </c>
      <c r="N614" s="17">
        <f>IF($C614="","",IF($L614="","",IF(NOT(ISNUMBER($L614)),"(not a score)",IF($L614&gt;=$J614,"Yes","No"))))</f>
        <v/>
      </c>
      <c r="O614" s="17">
        <f>IF($C614="","",IF($M614="","",IF(NOT(ISNUMBER($M614)),"(not a score)",IF($M614&gt;=$J614,"Yes","No"))))</f>
        <v/>
      </c>
      <c r="P614" s="17">
        <f>IF($C614="","",IF($K614="","",IF(N($K614)&gt;2,"No",IF(COUNTIFS(nrES_PID,$D614,nrES_Code,$F614,nrES_Att,"&gt;"&amp;$K614,nrES_Att,"&lt;=2",nrES_Raw,"&gt;=0")=0,"Yes","No"))))</f>
        <v/>
      </c>
      <c r="Q614" s="17">
        <f>IF($C614="","",IF($L614="","",IF(AND($K614=1,ISNUMBER($L614),$L614&lt;$J614,COUNTIFS(nrES_PID,$D614,nrES_Code,$F614,nrES_Att,2,nrES_Raw,"&gt;=0")=0),"Yes","No")))</f>
        <v/>
      </c>
      <c r="R614" s="17">
        <f>IF($C614="","",IF($L614="","",IF(AND(N($K614)&gt;=2,ISNUMBER($L614),$L614&lt;$J614),"Yes","No")))</f>
        <v/>
      </c>
      <c r="S614" s="18" t="n"/>
      <c r="T614" s="19">
        <f>IF(OR($C614="",$L614="",$K614&lt;&gt;1,NOT(ISNUMBER($L614)),$L614&gt;=$J614),"",IF($S614="","(enter date)",_xlfn.LET(_xlpm.dn,_xlfn.XLOOKUP($S614,nrCDdate,nrCDnum,"",1),IF(_xlpm.dn="","(after last class day)",_xlfn.LET(_xlpm.dd,_xlfn.XLOOKUP(_xlpm.dn+cfgRetestClassDays,nrCDnum,nrCDdate,""),_xlpm.ok,_xlfn.XLOOKUP(_xlpm.dn+cfgRetestClassDays,nrCDnum,nrCDinsession,"No"),IF(OR(_xlpm.dd="",_xlpm.ok&lt;&gt;"Yes"),"(after last class day)",_xlpm.dd))))))</f>
        <v/>
      </c>
      <c r="U614" s="17">
        <f>IF($C614="","",IF(AND($Y614="Excused",$L614="",N($K614)&lt;=1),"EXCUSED - 1st attempt pending",IF(OR($L614="",$K614&lt;&gt;1,NOT(ISNUMBER($L614)),$L614&gt;=$J614),"",IF(COUNTIFS(nrES_PID,$D614,nrES_Code,$F614,nrES_Att,2,nrES_Raw,"&gt;=0")&gt;0,IF(IFERROR(_xlfn.MINIFS(nrES_Date,nrES_PID,$D614,nrES_Code,$F614,nrES_Att,2,nrES_Raw,"&gt;=0",nrES_Date,"&gt;0"),0)=0,"RETEST UNDATED",IF(NOT(ISNUMBER($T614)),"RETEST DATE UNCHECKED",IF(_xlfn.MINIFS(nrES_Date,nrES_PID,$D614,nrES_Code,$F614,nrES_Att,2,nrES_Raw,"&gt;=0",nrES_Date,"&gt;0")&gt;$T614,"LATE RETEST "&amp;TEXT(_xlfn.MINIFS(nrES_Date,nrES_PID,$D614,nrES_Code,$F614,nrES_Att,2,nrES_Raw,"&gt;=0",nrES_Date,"&gt;0"),"mm/dd")&amp;" (due "&amp;TEXT($T614,"mm/dd")&amp;")","Retested"))),IF(NOT(ISNUMBER($T614)),"CHECK DATE",IF(TODAY()&gt;$T614,"OVERDUE","Due "&amp;TEXT($T614,"mm/dd")))))))</f>
        <v/>
      </c>
      <c r="V614" s="16" t="n"/>
      <c r="W614" s="16" t="n"/>
      <c r="X614" s="17">
        <f>IF($C614="","",IF(AND($L614&lt;&gt;"",NOT(ISNUMBER($L614))),"RAW SCORE NOT A NUMBER",IF(AND(ISNUMBER($L614),OR($L614&lt;0,$L614&gt;100)),"RAW SCORE OUT OF RANGE",IF(AND($Y614="Unexcused",OR($L614="",NOT(ISNUMBER($L614)),$L614&lt;&gt;0)),"UNEXCUSED ABSENCE MUST RECORD 0",IF(COUNTIF(nrES_RecID,$B614)&gt;1,"DUPLICATE RECORD",IF(N($K614)&gt;2,"ATTEMPT 3+ NOT ALLOWED - policy 300.5 permits one retest per exam; this row records nothing",IF(AND($K614=2,COUNTIFS(nrES_PID,$D614,nrES_Code,$F614,nrES_Att,1)=0),"ATTEMPT 2 WITHOUT ATTEMPT 1",IF(AND($K614=2,$L614=""),"RETEST ROW HAS NO SCORE",IF(AND($H614="Final",$L614&lt;&gt;"",IFERROR(INDEX(nrCKfinalExamElig,MATCH($D614,rngCadetPIDs,0)),"")="No"),"FINAL EXAM AFTER FAILED FINAL PT (500.1.H)",IF(AND($K614=2,ISNUMBER($L614),COUNTIFS(nrES_PID,$D614,nrES_Code,$F614,nrES_Att,1)&gt;0,SUMIFS(nrES_Raw,nrES_PID,$D614,nrES_Code,$F614,nrES_Att,1)&gt;=$J614),"RETEST AFTER A PASSING FIRST ATTEMPT","OK"))))))))))</f>
        <v/>
      </c>
      <c r="Y614" s="16" t="n"/>
    </row>
    <row r="615">
      <c r="B615" s="17">
        <f>IF($C615="","",$D615&amp;"-"&amp;$F615&amp;"-"&amp;$K615)</f>
        <v/>
      </c>
      <c r="C615" s="16" t="n"/>
      <c r="D615" s="17">
        <f>IF($C615="","",IFERROR(INDEX(rngCadetPIDs,MATCH($C615,rngCadetNames,0)),"?"))</f>
        <v/>
      </c>
      <c r="E615" s="17">
        <f>IF($D615="","",IFERROR(INDEX(nrCadetAgency,MATCH($D615,rngCadetPIDs,0)),""))</f>
        <v/>
      </c>
      <c r="F615" s="16" t="n"/>
      <c r="G615" s="17">
        <f>IF($F615="","",IFERROR(INDEX(rngEPname,MATCH($F615,rngEPcode,0)),"?"))</f>
        <v/>
      </c>
      <c r="H615" s="17">
        <f>IF($F615="","",IFERROR(INDEX(rngEPtype,MATCH($F615,rngEPcode,0)),"?"))</f>
        <v/>
      </c>
      <c r="I615" s="17">
        <f>IF($F615="","",IFERROR(INDEX(rngEPseq,MATCH($F615,rngEPcode,0)),""))</f>
        <v/>
      </c>
      <c r="J615" s="17">
        <f>IF($F615="","",IFERROR(INDEX(rngEPpass,MATCH($F615,rngEPcode,0)),cfgPassingScore))</f>
        <v/>
      </c>
      <c r="K615" s="16" t="n"/>
      <c r="L615" s="16" t="n"/>
      <c r="M615" s="17">
        <f>IF($C615="","",IF($L615="","",IF(NOT(ISNUMBER($L615)),$L615,IF(N($K615)&gt;2,"",IF($K615=1,IF(COUNTIFS(nrES_PID,$D615,nrES_Code,$F615,nrES_Att,2,nrES_Raw,"&gt;=0")&gt;0,"",$L615),IF($L615&gt;=$J615,MAX($J615,cfgRetakeRecordedCap),IF(COUNTIFS(nrES_PID,$D615,nrES_Code,$F615,nrES_Att,1)=0,$L615,SUMIFS(nrES_Raw,nrES_PID,$D615,nrES_Code,$F615,nrES_Att,1))))))))</f>
        <v/>
      </c>
      <c r="N615" s="17">
        <f>IF($C615="","",IF($L615="","",IF(NOT(ISNUMBER($L615)),"(not a score)",IF($L615&gt;=$J615,"Yes","No"))))</f>
        <v/>
      </c>
      <c r="O615" s="17">
        <f>IF($C615="","",IF($M615="","",IF(NOT(ISNUMBER($M615)),"(not a score)",IF($M615&gt;=$J615,"Yes","No"))))</f>
        <v/>
      </c>
      <c r="P615" s="17">
        <f>IF($C615="","",IF($K615="","",IF(N($K615)&gt;2,"No",IF(COUNTIFS(nrES_PID,$D615,nrES_Code,$F615,nrES_Att,"&gt;"&amp;$K615,nrES_Att,"&lt;=2",nrES_Raw,"&gt;=0")=0,"Yes","No"))))</f>
        <v/>
      </c>
      <c r="Q615" s="17">
        <f>IF($C615="","",IF($L615="","",IF(AND($K615=1,ISNUMBER($L615),$L615&lt;$J615,COUNTIFS(nrES_PID,$D615,nrES_Code,$F615,nrES_Att,2,nrES_Raw,"&gt;=0")=0),"Yes","No")))</f>
        <v/>
      </c>
      <c r="R615" s="17">
        <f>IF($C615="","",IF($L615="","",IF(AND(N($K615)&gt;=2,ISNUMBER($L615),$L615&lt;$J615),"Yes","No")))</f>
        <v/>
      </c>
      <c r="S615" s="18" t="n"/>
      <c r="T615" s="19">
        <f>IF(OR($C615="",$L615="",$K615&lt;&gt;1,NOT(ISNUMBER($L615)),$L615&gt;=$J615),"",IF($S615="","(enter date)",_xlfn.LET(_xlpm.dn,_xlfn.XLOOKUP($S615,nrCDdate,nrCDnum,"",1),IF(_xlpm.dn="","(after last class day)",_xlfn.LET(_xlpm.dd,_xlfn.XLOOKUP(_xlpm.dn+cfgRetestClassDays,nrCDnum,nrCDdate,""),_xlpm.ok,_xlfn.XLOOKUP(_xlpm.dn+cfgRetestClassDays,nrCDnum,nrCDinsession,"No"),IF(OR(_xlpm.dd="",_xlpm.ok&lt;&gt;"Yes"),"(after last class day)",_xlpm.dd))))))</f>
        <v/>
      </c>
      <c r="U615" s="17">
        <f>IF($C615="","",IF(AND($Y615="Excused",$L615="",N($K615)&lt;=1),"EXCUSED - 1st attempt pending",IF(OR($L615="",$K615&lt;&gt;1,NOT(ISNUMBER($L615)),$L615&gt;=$J615),"",IF(COUNTIFS(nrES_PID,$D615,nrES_Code,$F615,nrES_Att,2,nrES_Raw,"&gt;=0")&gt;0,IF(IFERROR(_xlfn.MINIFS(nrES_Date,nrES_PID,$D615,nrES_Code,$F615,nrES_Att,2,nrES_Raw,"&gt;=0",nrES_Date,"&gt;0"),0)=0,"RETEST UNDATED",IF(NOT(ISNUMBER($T615)),"RETEST DATE UNCHECKED",IF(_xlfn.MINIFS(nrES_Date,nrES_PID,$D615,nrES_Code,$F615,nrES_Att,2,nrES_Raw,"&gt;=0",nrES_Date,"&gt;0")&gt;$T615,"LATE RETEST "&amp;TEXT(_xlfn.MINIFS(nrES_Date,nrES_PID,$D615,nrES_Code,$F615,nrES_Att,2,nrES_Raw,"&gt;=0",nrES_Date,"&gt;0"),"mm/dd")&amp;" (due "&amp;TEXT($T615,"mm/dd")&amp;")","Retested"))),IF(NOT(ISNUMBER($T615)),"CHECK DATE",IF(TODAY()&gt;$T615,"OVERDUE","Due "&amp;TEXT($T615,"mm/dd")))))))</f>
        <v/>
      </c>
      <c r="V615" s="16" t="n"/>
      <c r="W615" s="16" t="n"/>
      <c r="X615" s="17">
        <f>IF($C615="","",IF(AND($L615&lt;&gt;"",NOT(ISNUMBER($L615))),"RAW SCORE NOT A NUMBER",IF(AND(ISNUMBER($L615),OR($L615&lt;0,$L615&gt;100)),"RAW SCORE OUT OF RANGE",IF(AND($Y615="Unexcused",OR($L615="",NOT(ISNUMBER($L615)),$L615&lt;&gt;0)),"UNEXCUSED ABSENCE MUST RECORD 0",IF(COUNTIF(nrES_RecID,$B615)&gt;1,"DUPLICATE RECORD",IF(N($K615)&gt;2,"ATTEMPT 3+ NOT ALLOWED - policy 300.5 permits one retest per exam; this row records nothing",IF(AND($K615=2,COUNTIFS(nrES_PID,$D615,nrES_Code,$F615,nrES_Att,1)=0),"ATTEMPT 2 WITHOUT ATTEMPT 1",IF(AND($K615=2,$L615=""),"RETEST ROW HAS NO SCORE",IF(AND($H615="Final",$L615&lt;&gt;"",IFERROR(INDEX(nrCKfinalExamElig,MATCH($D615,rngCadetPIDs,0)),"")="No"),"FINAL EXAM AFTER FAILED FINAL PT (500.1.H)",IF(AND($K615=2,ISNUMBER($L615),COUNTIFS(nrES_PID,$D615,nrES_Code,$F615,nrES_Att,1)&gt;0,SUMIFS(nrES_Raw,nrES_PID,$D615,nrES_Code,$F615,nrES_Att,1)&gt;=$J615),"RETEST AFTER A PASSING FIRST ATTEMPT","OK"))))))))))</f>
        <v/>
      </c>
      <c r="Y615" s="16" t="n"/>
    </row>
    <row r="616">
      <c r="B616" s="17">
        <f>IF($C616="","",$D616&amp;"-"&amp;$F616&amp;"-"&amp;$K616)</f>
        <v/>
      </c>
      <c r="C616" s="16" t="n"/>
      <c r="D616" s="17">
        <f>IF($C616="","",IFERROR(INDEX(rngCadetPIDs,MATCH($C616,rngCadetNames,0)),"?"))</f>
        <v/>
      </c>
      <c r="E616" s="17">
        <f>IF($D616="","",IFERROR(INDEX(nrCadetAgency,MATCH($D616,rngCadetPIDs,0)),""))</f>
        <v/>
      </c>
      <c r="F616" s="16" t="n"/>
      <c r="G616" s="17">
        <f>IF($F616="","",IFERROR(INDEX(rngEPname,MATCH($F616,rngEPcode,0)),"?"))</f>
        <v/>
      </c>
      <c r="H616" s="17">
        <f>IF($F616="","",IFERROR(INDEX(rngEPtype,MATCH($F616,rngEPcode,0)),"?"))</f>
        <v/>
      </c>
      <c r="I616" s="17">
        <f>IF($F616="","",IFERROR(INDEX(rngEPseq,MATCH($F616,rngEPcode,0)),""))</f>
        <v/>
      </c>
      <c r="J616" s="17">
        <f>IF($F616="","",IFERROR(INDEX(rngEPpass,MATCH($F616,rngEPcode,0)),cfgPassingScore))</f>
        <v/>
      </c>
      <c r="K616" s="16" t="n"/>
      <c r="L616" s="16" t="n"/>
      <c r="M616" s="17">
        <f>IF($C616="","",IF($L616="","",IF(NOT(ISNUMBER($L616)),$L616,IF(N($K616)&gt;2,"",IF($K616=1,IF(COUNTIFS(nrES_PID,$D616,nrES_Code,$F616,nrES_Att,2,nrES_Raw,"&gt;=0")&gt;0,"",$L616),IF($L616&gt;=$J616,MAX($J616,cfgRetakeRecordedCap),IF(COUNTIFS(nrES_PID,$D616,nrES_Code,$F616,nrES_Att,1)=0,$L616,SUMIFS(nrES_Raw,nrES_PID,$D616,nrES_Code,$F616,nrES_Att,1))))))))</f>
        <v/>
      </c>
      <c r="N616" s="17">
        <f>IF($C616="","",IF($L616="","",IF(NOT(ISNUMBER($L616)),"(not a score)",IF($L616&gt;=$J616,"Yes","No"))))</f>
        <v/>
      </c>
      <c r="O616" s="17">
        <f>IF($C616="","",IF($M616="","",IF(NOT(ISNUMBER($M616)),"(not a score)",IF($M616&gt;=$J616,"Yes","No"))))</f>
        <v/>
      </c>
      <c r="P616" s="17">
        <f>IF($C616="","",IF($K616="","",IF(N($K616)&gt;2,"No",IF(COUNTIFS(nrES_PID,$D616,nrES_Code,$F616,nrES_Att,"&gt;"&amp;$K616,nrES_Att,"&lt;=2",nrES_Raw,"&gt;=0")=0,"Yes","No"))))</f>
        <v/>
      </c>
      <c r="Q616" s="17">
        <f>IF($C616="","",IF($L616="","",IF(AND($K616=1,ISNUMBER($L616),$L616&lt;$J616,COUNTIFS(nrES_PID,$D616,nrES_Code,$F616,nrES_Att,2,nrES_Raw,"&gt;=0")=0),"Yes","No")))</f>
        <v/>
      </c>
      <c r="R616" s="17">
        <f>IF($C616="","",IF($L616="","",IF(AND(N($K616)&gt;=2,ISNUMBER($L616),$L616&lt;$J616),"Yes","No")))</f>
        <v/>
      </c>
      <c r="S616" s="18" t="n"/>
      <c r="T616" s="19">
        <f>IF(OR($C616="",$L616="",$K616&lt;&gt;1,NOT(ISNUMBER($L616)),$L616&gt;=$J616),"",IF($S616="","(enter date)",_xlfn.LET(_xlpm.dn,_xlfn.XLOOKUP($S616,nrCDdate,nrCDnum,"",1),IF(_xlpm.dn="","(after last class day)",_xlfn.LET(_xlpm.dd,_xlfn.XLOOKUP(_xlpm.dn+cfgRetestClassDays,nrCDnum,nrCDdate,""),_xlpm.ok,_xlfn.XLOOKUP(_xlpm.dn+cfgRetestClassDays,nrCDnum,nrCDinsession,"No"),IF(OR(_xlpm.dd="",_xlpm.ok&lt;&gt;"Yes"),"(after last class day)",_xlpm.dd))))))</f>
        <v/>
      </c>
      <c r="U616" s="17">
        <f>IF($C616="","",IF(AND($Y616="Excused",$L616="",N($K616)&lt;=1),"EXCUSED - 1st attempt pending",IF(OR($L616="",$K616&lt;&gt;1,NOT(ISNUMBER($L616)),$L616&gt;=$J616),"",IF(COUNTIFS(nrES_PID,$D616,nrES_Code,$F616,nrES_Att,2,nrES_Raw,"&gt;=0")&gt;0,IF(IFERROR(_xlfn.MINIFS(nrES_Date,nrES_PID,$D616,nrES_Code,$F616,nrES_Att,2,nrES_Raw,"&gt;=0",nrES_Date,"&gt;0"),0)=0,"RETEST UNDATED",IF(NOT(ISNUMBER($T616)),"RETEST DATE UNCHECKED",IF(_xlfn.MINIFS(nrES_Date,nrES_PID,$D616,nrES_Code,$F616,nrES_Att,2,nrES_Raw,"&gt;=0",nrES_Date,"&gt;0")&gt;$T616,"LATE RETEST "&amp;TEXT(_xlfn.MINIFS(nrES_Date,nrES_PID,$D616,nrES_Code,$F616,nrES_Att,2,nrES_Raw,"&gt;=0",nrES_Date,"&gt;0"),"mm/dd")&amp;" (due "&amp;TEXT($T616,"mm/dd")&amp;")","Retested"))),IF(NOT(ISNUMBER($T616)),"CHECK DATE",IF(TODAY()&gt;$T616,"OVERDUE","Due "&amp;TEXT($T616,"mm/dd")))))))</f>
        <v/>
      </c>
      <c r="V616" s="16" t="n"/>
      <c r="W616" s="16" t="n"/>
      <c r="X616" s="17">
        <f>IF($C616="","",IF(AND($L616&lt;&gt;"",NOT(ISNUMBER($L616))),"RAW SCORE NOT A NUMBER",IF(AND(ISNUMBER($L616),OR($L616&lt;0,$L616&gt;100)),"RAW SCORE OUT OF RANGE",IF(AND($Y616="Unexcused",OR($L616="",NOT(ISNUMBER($L616)),$L616&lt;&gt;0)),"UNEXCUSED ABSENCE MUST RECORD 0",IF(COUNTIF(nrES_RecID,$B616)&gt;1,"DUPLICATE RECORD",IF(N($K616)&gt;2,"ATTEMPT 3+ NOT ALLOWED - policy 300.5 permits one retest per exam; this row records nothing",IF(AND($K616=2,COUNTIFS(nrES_PID,$D616,nrES_Code,$F616,nrES_Att,1)=0),"ATTEMPT 2 WITHOUT ATTEMPT 1",IF(AND($K616=2,$L616=""),"RETEST ROW HAS NO SCORE",IF(AND($H616="Final",$L616&lt;&gt;"",IFERROR(INDEX(nrCKfinalExamElig,MATCH($D616,rngCadetPIDs,0)),"")="No"),"FINAL EXAM AFTER FAILED FINAL PT (500.1.H)",IF(AND($K616=2,ISNUMBER($L616),COUNTIFS(nrES_PID,$D616,nrES_Code,$F616,nrES_Att,1)&gt;0,SUMIFS(nrES_Raw,nrES_PID,$D616,nrES_Code,$F616,nrES_Att,1)&gt;=$J616),"RETEST AFTER A PASSING FIRST ATTEMPT","OK"))))))))))</f>
        <v/>
      </c>
      <c r="Y616" s="16" t="n"/>
    </row>
    <row r="617">
      <c r="B617" s="17">
        <f>IF($C617="","",$D617&amp;"-"&amp;$F617&amp;"-"&amp;$K617)</f>
        <v/>
      </c>
      <c r="C617" s="16" t="n"/>
      <c r="D617" s="17">
        <f>IF($C617="","",IFERROR(INDEX(rngCadetPIDs,MATCH($C617,rngCadetNames,0)),"?"))</f>
        <v/>
      </c>
      <c r="E617" s="17">
        <f>IF($D617="","",IFERROR(INDEX(nrCadetAgency,MATCH($D617,rngCadetPIDs,0)),""))</f>
        <v/>
      </c>
      <c r="F617" s="16" t="n"/>
      <c r="G617" s="17">
        <f>IF($F617="","",IFERROR(INDEX(rngEPname,MATCH($F617,rngEPcode,0)),"?"))</f>
        <v/>
      </c>
      <c r="H617" s="17">
        <f>IF($F617="","",IFERROR(INDEX(rngEPtype,MATCH($F617,rngEPcode,0)),"?"))</f>
        <v/>
      </c>
      <c r="I617" s="17">
        <f>IF($F617="","",IFERROR(INDEX(rngEPseq,MATCH($F617,rngEPcode,0)),""))</f>
        <v/>
      </c>
      <c r="J617" s="17">
        <f>IF($F617="","",IFERROR(INDEX(rngEPpass,MATCH($F617,rngEPcode,0)),cfgPassingScore))</f>
        <v/>
      </c>
      <c r="K617" s="16" t="n"/>
      <c r="L617" s="16" t="n"/>
      <c r="M617" s="17">
        <f>IF($C617="","",IF($L617="","",IF(NOT(ISNUMBER($L617)),$L617,IF(N($K617)&gt;2,"",IF($K617=1,IF(COUNTIFS(nrES_PID,$D617,nrES_Code,$F617,nrES_Att,2,nrES_Raw,"&gt;=0")&gt;0,"",$L617),IF($L617&gt;=$J617,MAX($J617,cfgRetakeRecordedCap),IF(COUNTIFS(nrES_PID,$D617,nrES_Code,$F617,nrES_Att,1)=0,$L617,SUMIFS(nrES_Raw,nrES_PID,$D617,nrES_Code,$F617,nrES_Att,1))))))))</f>
        <v/>
      </c>
      <c r="N617" s="17">
        <f>IF($C617="","",IF($L617="","",IF(NOT(ISNUMBER($L617)),"(not a score)",IF($L617&gt;=$J617,"Yes","No"))))</f>
        <v/>
      </c>
      <c r="O617" s="17">
        <f>IF($C617="","",IF($M617="","",IF(NOT(ISNUMBER($M617)),"(not a score)",IF($M617&gt;=$J617,"Yes","No"))))</f>
        <v/>
      </c>
      <c r="P617" s="17">
        <f>IF($C617="","",IF($K617="","",IF(N($K617)&gt;2,"No",IF(COUNTIFS(nrES_PID,$D617,nrES_Code,$F617,nrES_Att,"&gt;"&amp;$K617,nrES_Att,"&lt;=2",nrES_Raw,"&gt;=0")=0,"Yes","No"))))</f>
        <v/>
      </c>
      <c r="Q617" s="17">
        <f>IF($C617="","",IF($L617="","",IF(AND($K617=1,ISNUMBER($L617),$L617&lt;$J617,COUNTIFS(nrES_PID,$D617,nrES_Code,$F617,nrES_Att,2,nrES_Raw,"&gt;=0")=0),"Yes","No")))</f>
        <v/>
      </c>
      <c r="R617" s="17">
        <f>IF($C617="","",IF($L617="","",IF(AND(N($K617)&gt;=2,ISNUMBER($L617),$L617&lt;$J617),"Yes","No")))</f>
        <v/>
      </c>
      <c r="S617" s="18" t="n"/>
      <c r="T617" s="19">
        <f>IF(OR($C617="",$L617="",$K617&lt;&gt;1,NOT(ISNUMBER($L617)),$L617&gt;=$J617),"",IF($S617="","(enter date)",_xlfn.LET(_xlpm.dn,_xlfn.XLOOKUP($S617,nrCDdate,nrCDnum,"",1),IF(_xlpm.dn="","(after last class day)",_xlfn.LET(_xlpm.dd,_xlfn.XLOOKUP(_xlpm.dn+cfgRetestClassDays,nrCDnum,nrCDdate,""),_xlpm.ok,_xlfn.XLOOKUP(_xlpm.dn+cfgRetestClassDays,nrCDnum,nrCDinsession,"No"),IF(OR(_xlpm.dd="",_xlpm.ok&lt;&gt;"Yes"),"(after last class day)",_xlpm.dd))))))</f>
        <v/>
      </c>
      <c r="U617" s="17">
        <f>IF($C617="","",IF(AND($Y617="Excused",$L617="",N($K617)&lt;=1),"EXCUSED - 1st attempt pending",IF(OR($L617="",$K617&lt;&gt;1,NOT(ISNUMBER($L617)),$L617&gt;=$J617),"",IF(COUNTIFS(nrES_PID,$D617,nrES_Code,$F617,nrES_Att,2,nrES_Raw,"&gt;=0")&gt;0,IF(IFERROR(_xlfn.MINIFS(nrES_Date,nrES_PID,$D617,nrES_Code,$F617,nrES_Att,2,nrES_Raw,"&gt;=0",nrES_Date,"&gt;0"),0)=0,"RETEST UNDATED",IF(NOT(ISNUMBER($T617)),"RETEST DATE UNCHECKED",IF(_xlfn.MINIFS(nrES_Date,nrES_PID,$D617,nrES_Code,$F617,nrES_Att,2,nrES_Raw,"&gt;=0",nrES_Date,"&gt;0")&gt;$T617,"LATE RETEST "&amp;TEXT(_xlfn.MINIFS(nrES_Date,nrES_PID,$D617,nrES_Code,$F617,nrES_Att,2,nrES_Raw,"&gt;=0",nrES_Date,"&gt;0"),"mm/dd")&amp;" (due "&amp;TEXT($T617,"mm/dd")&amp;")","Retested"))),IF(NOT(ISNUMBER($T617)),"CHECK DATE",IF(TODAY()&gt;$T617,"OVERDUE","Due "&amp;TEXT($T617,"mm/dd")))))))</f>
        <v/>
      </c>
      <c r="V617" s="16" t="n"/>
      <c r="W617" s="16" t="n"/>
      <c r="X617" s="17">
        <f>IF($C617="","",IF(AND($L617&lt;&gt;"",NOT(ISNUMBER($L617))),"RAW SCORE NOT A NUMBER",IF(AND(ISNUMBER($L617),OR($L617&lt;0,$L617&gt;100)),"RAW SCORE OUT OF RANGE",IF(AND($Y617="Unexcused",OR($L617="",NOT(ISNUMBER($L617)),$L617&lt;&gt;0)),"UNEXCUSED ABSENCE MUST RECORD 0",IF(COUNTIF(nrES_RecID,$B617)&gt;1,"DUPLICATE RECORD",IF(N($K617)&gt;2,"ATTEMPT 3+ NOT ALLOWED - policy 300.5 permits one retest per exam; this row records nothing",IF(AND($K617=2,COUNTIFS(nrES_PID,$D617,nrES_Code,$F617,nrES_Att,1)=0),"ATTEMPT 2 WITHOUT ATTEMPT 1",IF(AND($K617=2,$L617=""),"RETEST ROW HAS NO SCORE",IF(AND($H617="Final",$L617&lt;&gt;"",IFERROR(INDEX(nrCKfinalExamElig,MATCH($D617,rngCadetPIDs,0)),"")="No"),"FINAL EXAM AFTER FAILED FINAL PT (500.1.H)",IF(AND($K617=2,ISNUMBER($L617),COUNTIFS(nrES_PID,$D617,nrES_Code,$F617,nrES_Att,1)&gt;0,SUMIFS(nrES_Raw,nrES_PID,$D617,nrES_Code,$F617,nrES_Att,1)&gt;=$J617),"RETEST AFTER A PASSING FIRST ATTEMPT","OK"))))))))))</f>
        <v/>
      </c>
      <c r="Y617" s="16" t="n"/>
    </row>
    <row r="618">
      <c r="B618" s="17">
        <f>IF($C618="","",$D618&amp;"-"&amp;$F618&amp;"-"&amp;$K618)</f>
        <v/>
      </c>
      <c r="C618" s="16" t="n"/>
      <c r="D618" s="17">
        <f>IF($C618="","",IFERROR(INDEX(rngCadetPIDs,MATCH($C618,rngCadetNames,0)),"?"))</f>
        <v/>
      </c>
      <c r="E618" s="17">
        <f>IF($D618="","",IFERROR(INDEX(nrCadetAgency,MATCH($D618,rngCadetPIDs,0)),""))</f>
        <v/>
      </c>
      <c r="F618" s="16" t="n"/>
      <c r="G618" s="17">
        <f>IF($F618="","",IFERROR(INDEX(rngEPname,MATCH($F618,rngEPcode,0)),"?"))</f>
        <v/>
      </c>
      <c r="H618" s="17">
        <f>IF($F618="","",IFERROR(INDEX(rngEPtype,MATCH($F618,rngEPcode,0)),"?"))</f>
        <v/>
      </c>
      <c r="I618" s="17">
        <f>IF($F618="","",IFERROR(INDEX(rngEPseq,MATCH($F618,rngEPcode,0)),""))</f>
        <v/>
      </c>
      <c r="J618" s="17">
        <f>IF($F618="","",IFERROR(INDEX(rngEPpass,MATCH($F618,rngEPcode,0)),cfgPassingScore))</f>
        <v/>
      </c>
      <c r="K618" s="16" t="n"/>
      <c r="L618" s="16" t="n"/>
      <c r="M618" s="17">
        <f>IF($C618="","",IF($L618="","",IF(NOT(ISNUMBER($L618)),$L618,IF(N($K618)&gt;2,"",IF($K618=1,IF(COUNTIFS(nrES_PID,$D618,nrES_Code,$F618,nrES_Att,2,nrES_Raw,"&gt;=0")&gt;0,"",$L618),IF($L618&gt;=$J618,MAX($J618,cfgRetakeRecordedCap),IF(COUNTIFS(nrES_PID,$D618,nrES_Code,$F618,nrES_Att,1)=0,$L618,SUMIFS(nrES_Raw,nrES_PID,$D618,nrES_Code,$F618,nrES_Att,1))))))))</f>
        <v/>
      </c>
      <c r="N618" s="17">
        <f>IF($C618="","",IF($L618="","",IF(NOT(ISNUMBER($L618)),"(not a score)",IF($L618&gt;=$J618,"Yes","No"))))</f>
        <v/>
      </c>
      <c r="O618" s="17">
        <f>IF($C618="","",IF($M618="","",IF(NOT(ISNUMBER($M618)),"(not a score)",IF($M618&gt;=$J618,"Yes","No"))))</f>
        <v/>
      </c>
      <c r="P618" s="17">
        <f>IF($C618="","",IF($K618="","",IF(N($K618)&gt;2,"No",IF(COUNTIFS(nrES_PID,$D618,nrES_Code,$F618,nrES_Att,"&gt;"&amp;$K618,nrES_Att,"&lt;=2",nrES_Raw,"&gt;=0")=0,"Yes","No"))))</f>
        <v/>
      </c>
      <c r="Q618" s="17">
        <f>IF($C618="","",IF($L618="","",IF(AND($K618=1,ISNUMBER($L618),$L618&lt;$J618,COUNTIFS(nrES_PID,$D618,nrES_Code,$F618,nrES_Att,2,nrES_Raw,"&gt;=0")=0),"Yes","No")))</f>
        <v/>
      </c>
      <c r="R618" s="17">
        <f>IF($C618="","",IF($L618="","",IF(AND(N($K618)&gt;=2,ISNUMBER($L618),$L618&lt;$J618),"Yes","No")))</f>
        <v/>
      </c>
      <c r="S618" s="18" t="n"/>
      <c r="T618" s="19">
        <f>IF(OR($C618="",$L618="",$K618&lt;&gt;1,NOT(ISNUMBER($L618)),$L618&gt;=$J618),"",IF($S618="","(enter date)",_xlfn.LET(_xlpm.dn,_xlfn.XLOOKUP($S618,nrCDdate,nrCDnum,"",1),IF(_xlpm.dn="","(after last class day)",_xlfn.LET(_xlpm.dd,_xlfn.XLOOKUP(_xlpm.dn+cfgRetestClassDays,nrCDnum,nrCDdate,""),_xlpm.ok,_xlfn.XLOOKUP(_xlpm.dn+cfgRetestClassDays,nrCDnum,nrCDinsession,"No"),IF(OR(_xlpm.dd="",_xlpm.ok&lt;&gt;"Yes"),"(after last class day)",_xlpm.dd))))))</f>
        <v/>
      </c>
      <c r="U618" s="17">
        <f>IF($C618="","",IF(AND($Y618="Excused",$L618="",N($K618)&lt;=1),"EXCUSED - 1st attempt pending",IF(OR($L618="",$K618&lt;&gt;1,NOT(ISNUMBER($L618)),$L618&gt;=$J618),"",IF(COUNTIFS(nrES_PID,$D618,nrES_Code,$F618,nrES_Att,2,nrES_Raw,"&gt;=0")&gt;0,IF(IFERROR(_xlfn.MINIFS(nrES_Date,nrES_PID,$D618,nrES_Code,$F618,nrES_Att,2,nrES_Raw,"&gt;=0",nrES_Date,"&gt;0"),0)=0,"RETEST UNDATED",IF(NOT(ISNUMBER($T618)),"RETEST DATE UNCHECKED",IF(_xlfn.MINIFS(nrES_Date,nrES_PID,$D618,nrES_Code,$F618,nrES_Att,2,nrES_Raw,"&gt;=0",nrES_Date,"&gt;0")&gt;$T618,"LATE RETEST "&amp;TEXT(_xlfn.MINIFS(nrES_Date,nrES_PID,$D618,nrES_Code,$F618,nrES_Att,2,nrES_Raw,"&gt;=0",nrES_Date,"&gt;0"),"mm/dd")&amp;" (due "&amp;TEXT($T618,"mm/dd")&amp;")","Retested"))),IF(NOT(ISNUMBER($T618)),"CHECK DATE",IF(TODAY()&gt;$T618,"OVERDUE","Due "&amp;TEXT($T618,"mm/dd")))))))</f>
        <v/>
      </c>
      <c r="V618" s="16" t="n"/>
      <c r="W618" s="16" t="n"/>
      <c r="X618" s="17">
        <f>IF($C618="","",IF(AND($L618&lt;&gt;"",NOT(ISNUMBER($L618))),"RAW SCORE NOT A NUMBER",IF(AND(ISNUMBER($L618),OR($L618&lt;0,$L618&gt;100)),"RAW SCORE OUT OF RANGE",IF(AND($Y618="Unexcused",OR($L618="",NOT(ISNUMBER($L618)),$L618&lt;&gt;0)),"UNEXCUSED ABSENCE MUST RECORD 0",IF(COUNTIF(nrES_RecID,$B618)&gt;1,"DUPLICATE RECORD",IF(N($K618)&gt;2,"ATTEMPT 3+ NOT ALLOWED - policy 300.5 permits one retest per exam; this row records nothing",IF(AND($K618=2,COUNTIFS(nrES_PID,$D618,nrES_Code,$F618,nrES_Att,1)=0),"ATTEMPT 2 WITHOUT ATTEMPT 1",IF(AND($K618=2,$L618=""),"RETEST ROW HAS NO SCORE",IF(AND($H618="Final",$L618&lt;&gt;"",IFERROR(INDEX(nrCKfinalExamElig,MATCH($D618,rngCadetPIDs,0)),"")="No"),"FINAL EXAM AFTER FAILED FINAL PT (500.1.H)",IF(AND($K618=2,ISNUMBER($L618),COUNTIFS(nrES_PID,$D618,nrES_Code,$F618,nrES_Att,1)&gt;0,SUMIFS(nrES_Raw,nrES_PID,$D618,nrES_Code,$F618,nrES_Att,1)&gt;=$J618),"RETEST AFTER A PASSING FIRST ATTEMPT","OK"))))))))))</f>
        <v/>
      </c>
      <c r="Y618" s="16" t="n"/>
    </row>
    <row r="619">
      <c r="B619" s="17">
        <f>IF($C619="","",$D619&amp;"-"&amp;$F619&amp;"-"&amp;$K619)</f>
        <v/>
      </c>
      <c r="C619" s="16" t="n"/>
      <c r="D619" s="17">
        <f>IF($C619="","",IFERROR(INDEX(rngCadetPIDs,MATCH($C619,rngCadetNames,0)),"?"))</f>
        <v/>
      </c>
      <c r="E619" s="17">
        <f>IF($D619="","",IFERROR(INDEX(nrCadetAgency,MATCH($D619,rngCadetPIDs,0)),""))</f>
        <v/>
      </c>
      <c r="F619" s="16" t="n"/>
      <c r="G619" s="17">
        <f>IF($F619="","",IFERROR(INDEX(rngEPname,MATCH($F619,rngEPcode,0)),"?"))</f>
        <v/>
      </c>
      <c r="H619" s="17">
        <f>IF($F619="","",IFERROR(INDEX(rngEPtype,MATCH($F619,rngEPcode,0)),"?"))</f>
        <v/>
      </c>
      <c r="I619" s="17">
        <f>IF($F619="","",IFERROR(INDEX(rngEPseq,MATCH($F619,rngEPcode,0)),""))</f>
        <v/>
      </c>
      <c r="J619" s="17">
        <f>IF($F619="","",IFERROR(INDEX(rngEPpass,MATCH($F619,rngEPcode,0)),cfgPassingScore))</f>
        <v/>
      </c>
      <c r="K619" s="16" t="n"/>
      <c r="L619" s="16" t="n"/>
      <c r="M619" s="17">
        <f>IF($C619="","",IF($L619="","",IF(NOT(ISNUMBER($L619)),$L619,IF(N($K619)&gt;2,"",IF($K619=1,IF(COUNTIFS(nrES_PID,$D619,nrES_Code,$F619,nrES_Att,2,nrES_Raw,"&gt;=0")&gt;0,"",$L619),IF($L619&gt;=$J619,MAX($J619,cfgRetakeRecordedCap),IF(COUNTIFS(nrES_PID,$D619,nrES_Code,$F619,nrES_Att,1)=0,$L619,SUMIFS(nrES_Raw,nrES_PID,$D619,nrES_Code,$F619,nrES_Att,1))))))))</f>
        <v/>
      </c>
      <c r="N619" s="17">
        <f>IF($C619="","",IF($L619="","",IF(NOT(ISNUMBER($L619)),"(not a score)",IF($L619&gt;=$J619,"Yes","No"))))</f>
        <v/>
      </c>
      <c r="O619" s="17">
        <f>IF($C619="","",IF($M619="","",IF(NOT(ISNUMBER($M619)),"(not a score)",IF($M619&gt;=$J619,"Yes","No"))))</f>
        <v/>
      </c>
      <c r="P619" s="17">
        <f>IF($C619="","",IF($K619="","",IF(N($K619)&gt;2,"No",IF(COUNTIFS(nrES_PID,$D619,nrES_Code,$F619,nrES_Att,"&gt;"&amp;$K619,nrES_Att,"&lt;=2",nrES_Raw,"&gt;=0")=0,"Yes","No"))))</f>
        <v/>
      </c>
      <c r="Q619" s="17">
        <f>IF($C619="","",IF($L619="","",IF(AND($K619=1,ISNUMBER($L619),$L619&lt;$J619,COUNTIFS(nrES_PID,$D619,nrES_Code,$F619,nrES_Att,2,nrES_Raw,"&gt;=0")=0),"Yes","No")))</f>
        <v/>
      </c>
      <c r="R619" s="17">
        <f>IF($C619="","",IF($L619="","",IF(AND(N($K619)&gt;=2,ISNUMBER($L619),$L619&lt;$J619),"Yes","No")))</f>
        <v/>
      </c>
      <c r="S619" s="18" t="n"/>
      <c r="T619" s="19">
        <f>IF(OR($C619="",$L619="",$K619&lt;&gt;1,NOT(ISNUMBER($L619)),$L619&gt;=$J619),"",IF($S619="","(enter date)",_xlfn.LET(_xlpm.dn,_xlfn.XLOOKUP($S619,nrCDdate,nrCDnum,"",1),IF(_xlpm.dn="","(after last class day)",_xlfn.LET(_xlpm.dd,_xlfn.XLOOKUP(_xlpm.dn+cfgRetestClassDays,nrCDnum,nrCDdate,""),_xlpm.ok,_xlfn.XLOOKUP(_xlpm.dn+cfgRetestClassDays,nrCDnum,nrCDinsession,"No"),IF(OR(_xlpm.dd="",_xlpm.ok&lt;&gt;"Yes"),"(after last class day)",_xlpm.dd))))))</f>
        <v/>
      </c>
      <c r="U619" s="17">
        <f>IF($C619="","",IF(AND($Y619="Excused",$L619="",N($K619)&lt;=1),"EXCUSED - 1st attempt pending",IF(OR($L619="",$K619&lt;&gt;1,NOT(ISNUMBER($L619)),$L619&gt;=$J619),"",IF(COUNTIFS(nrES_PID,$D619,nrES_Code,$F619,nrES_Att,2,nrES_Raw,"&gt;=0")&gt;0,IF(IFERROR(_xlfn.MINIFS(nrES_Date,nrES_PID,$D619,nrES_Code,$F619,nrES_Att,2,nrES_Raw,"&gt;=0",nrES_Date,"&gt;0"),0)=0,"RETEST UNDATED",IF(NOT(ISNUMBER($T619)),"RETEST DATE UNCHECKED",IF(_xlfn.MINIFS(nrES_Date,nrES_PID,$D619,nrES_Code,$F619,nrES_Att,2,nrES_Raw,"&gt;=0",nrES_Date,"&gt;0")&gt;$T619,"LATE RETEST "&amp;TEXT(_xlfn.MINIFS(nrES_Date,nrES_PID,$D619,nrES_Code,$F619,nrES_Att,2,nrES_Raw,"&gt;=0",nrES_Date,"&gt;0"),"mm/dd")&amp;" (due "&amp;TEXT($T619,"mm/dd")&amp;")","Retested"))),IF(NOT(ISNUMBER($T619)),"CHECK DATE",IF(TODAY()&gt;$T619,"OVERDUE","Due "&amp;TEXT($T619,"mm/dd")))))))</f>
        <v/>
      </c>
      <c r="V619" s="16" t="n"/>
      <c r="W619" s="16" t="n"/>
      <c r="X619" s="17">
        <f>IF($C619="","",IF(AND($L619&lt;&gt;"",NOT(ISNUMBER($L619))),"RAW SCORE NOT A NUMBER",IF(AND(ISNUMBER($L619),OR($L619&lt;0,$L619&gt;100)),"RAW SCORE OUT OF RANGE",IF(AND($Y619="Unexcused",OR($L619="",NOT(ISNUMBER($L619)),$L619&lt;&gt;0)),"UNEXCUSED ABSENCE MUST RECORD 0",IF(COUNTIF(nrES_RecID,$B619)&gt;1,"DUPLICATE RECORD",IF(N($K619)&gt;2,"ATTEMPT 3+ NOT ALLOWED - policy 300.5 permits one retest per exam; this row records nothing",IF(AND($K619=2,COUNTIFS(nrES_PID,$D619,nrES_Code,$F619,nrES_Att,1)=0),"ATTEMPT 2 WITHOUT ATTEMPT 1",IF(AND($K619=2,$L619=""),"RETEST ROW HAS NO SCORE",IF(AND($H619="Final",$L619&lt;&gt;"",IFERROR(INDEX(nrCKfinalExamElig,MATCH($D619,rngCadetPIDs,0)),"")="No"),"FINAL EXAM AFTER FAILED FINAL PT (500.1.H)",IF(AND($K619=2,ISNUMBER($L619),COUNTIFS(nrES_PID,$D619,nrES_Code,$F619,nrES_Att,1)&gt;0,SUMIFS(nrES_Raw,nrES_PID,$D619,nrES_Code,$F619,nrES_Att,1)&gt;=$J619),"RETEST AFTER A PASSING FIRST ATTEMPT","OK"))))))))))</f>
        <v/>
      </c>
      <c r="Y619" s="16" t="n"/>
    </row>
    <row r="620">
      <c r="B620" s="17">
        <f>IF($C620="","",$D620&amp;"-"&amp;$F620&amp;"-"&amp;$K620)</f>
        <v/>
      </c>
      <c r="C620" s="16" t="n"/>
      <c r="D620" s="17">
        <f>IF($C620="","",IFERROR(INDEX(rngCadetPIDs,MATCH($C620,rngCadetNames,0)),"?"))</f>
        <v/>
      </c>
      <c r="E620" s="17">
        <f>IF($D620="","",IFERROR(INDEX(nrCadetAgency,MATCH($D620,rngCadetPIDs,0)),""))</f>
        <v/>
      </c>
      <c r="F620" s="16" t="n"/>
      <c r="G620" s="17">
        <f>IF($F620="","",IFERROR(INDEX(rngEPname,MATCH($F620,rngEPcode,0)),"?"))</f>
        <v/>
      </c>
      <c r="H620" s="17">
        <f>IF($F620="","",IFERROR(INDEX(rngEPtype,MATCH($F620,rngEPcode,0)),"?"))</f>
        <v/>
      </c>
      <c r="I620" s="17">
        <f>IF($F620="","",IFERROR(INDEX(rngEPseq,MATCH($F620,rngEPcode,0)),""))</f>
        <v/>
      </c>
      <c r="J620" s="17">
        <f>IF($F620="","",IFERROR(INDEX(rngEPpass,MATCH($F620,rngEPcode,0)),cfgPassingScore))</f>
        <v/>
      </c>
      <c r="K620" s="16" t="n"/>
      <c r="L620" s="16" t="n"/>
      <c r="M620" s="17">
        <f>IF($C620="","",IF($L620="","",IF(NOT(ISNUMBER($L620)),$L620,IF(N($K620)&gt;2,"",IF($K620=1,IF(COUNTIFS(nrES_PID,$D620,nrES_Code,$F620,nrES_Att,2,nrES_Raw,"&gt;=0")&gt;0,"",$L620),IF($L620&gt;=$J620,MAX($J620,cfgRetakeRecordedCap),IF(COUNTIFS(nrES_PID,$D620,nrES_Code,$F620,nrES_Att,1)=0,$L620,SUMIFS(nrES_Raw,nrES_PID,$D620,nrES_Code,$F620,nrES_Att,1))))))))</f>
        <v/>
      </c>
      <c r="N620" s="17">
        <f>IF($C620="","",IF($L620="","",IF(NOT(ISNUMBER($L620)),"(not a score)",IF($L620&gt;=$J620,"Yes","No"))))</f>
        <v/>
      </c>
      <c r="O620" s="17">
        <f>IF($C620="","",IF($M620="","",IF(NOT(ISNUMBER($M620)),"(not a score)",IF($M620&gt;=$J620,"Yes","No"))))</f>
        <v/>
      </c>
      <c r="P620" s="17">
        <f>IF($C620="","",IF($K620="","",IF(N($K620)&gt;2,"No",IF(COUNTIFS(nrES_PID,$D620,nrES_Code,$F620,nrES_Att,"&gt;"&amp;$K620,nrES_Att,"&lt;=2",nrES_Raw,"&gt;=0")=0,"Yes","No"))))</f>
        <v/>
      </c>
      <c r="Q620" s="17">
        <f>IF($C620="","",IF($L620="","",IF(AND($K620=1,ISNUMBER($L620),$L620&lt;$J620,COUNTIFS(nrES_PID,$D620,nrES_Code,$F620,nrES_Att,2,nrES_Raw,"&gt;=0")=0),"Yes","No")))</f>
        <v/>
      </c>
      <c r="R620" s="17">
        <f>IF($C620="","",IF($L620="","",IF(AND(N($K620)&gt;=2,ISNUMBER($L620),$L620&lt;$J620),"Yes","No")))</f>
        <v/>
      </c>
      <c r="S620" s="18" t="n"/>
      <c r="T620" s="19">
        <f>IF(OR($C620="",$L620="",$K620&lt;&gt;1,NOT(ISNUMBER($L620)),$L620&gt;=$J620),"",IF($S620="","(enter date)",_xlfn.LET(_xlpm.dn,_xlfn.XLOOKUP($S620,nrCDdate,nrCDnum,"",1),IF(_xlpm.dn="","(after last class day)",_xlfn.LET(_xlpm.dd,_xlfn.XLOOKUP(_xlpm.dn+cfgRetestClassDays,nrCDnum,nrCDdate,""),_xlpm.ok,_xlfn.XLOOKUP(_xlpm.dn+cfgRetestClassDays,nrCDnum,nrCDinsession,"No"),IF(OR(_xlpm.dd="",_xlpm.ok&lt;&gt;"Yes"),"(after last class day)",_xlpm.dd))))))</f>
        <v/>
      </c>
      <c r="U620" s="17">
        <f>IF($C620="","",IF(AND($Y620="Excused",$L620="",N($K620)&lt;=1),"EXCUSED - 1st attempt pending",IF(OR($L620="",$K620&lt;&gt;1,NOT(ISNUMBER($L620)),$L620&gt;=$J620),"",IF(COUNTIFS(nrES_PID,$D620,nrES_Code,$F620,nrES_Att,2,nrES_Raw,"&gt;=0")&gt;0,IF(IFERROR(_xlfn.MINIFS(nrES_Date,nrES_PID,$D620,nrES_Code,$F620,nrES_Att,2,nrES_Raw,"&gt;=0",nrES_Date,"&gt;0"),0)=0,"RETEST UNDATED",IF(NOT(ISNUMBER($T620)),"RETEST DATE UNCHECKED",IF(_xlfn.MINIFS(nrES_Date,nrES_PID,$D620,nrES_Code,$F620,nrES_Att,2,nrES_Raw,"&gt;=0",nrES_Date,"&gt;0")&gt;$T620,"LATE RETEST "&amp;TEXT(_xlfn.MINIFS(nrES_Date,nrES_PID,$D620,nrES_Code,$F620,nrES_Att,2,nrES_Raw,"&gt;=0",nrES_Date,"&gt;0"),"mm/dd")&amp;" (due "&amp;TEXT($T620,"mm/dd")&amp;")","Retested"))),IF(NOT(ISNUMBER($T620)),"CHECK DATE",IF(TODAY()&gt;$T620,"OVERDUE","Due "&amp;TEXT($T620,"mm/dd")))))))</f>
        <v/>
      </c>
      <c r="V620" s="16" t="n"/>
      <c r="W620" s="16" t="n"/>
      <c r="X620" s="17">
        <f>IF($C620="","",IF(AND($L620&lt;&gt;"",NOT(ISNUMBER($L620))),"RAW SCORE NOT A NUMBER",IF(AND(ISNUMBER($L620),OR($L620&lt;0,$L620&gt;100)),"RAW SCORE OUT OF RANGE",IF(AND($Y620="Unexcused",OR($L620="",NOT(ISNUMBER($L620)),$L620&lt;&gt;0)),"UNEXCUSED ABSENCE MUST RECORD 0",IF(COUNTIF(nrES_RecID,$B620)&gt;1,"DUPLICATE RECORD",IF(N($K620)&gt;2,"ATTEMPT 3+ NOT ALLOWED - policy 300.5 permits one retest per exam; this row records nothing",IF(AND($K620=2,COUNTIFS(nrES_PID,$D620,nrES_Code,$F620,nrES_Att,1)=0),"ATTEMPT 2 WITHOUT ATTEMPT 1",IF(AND($K620=2,$L620=""),"RETEST ROW HAS NO SCORE",IF(AND($H620="Final",$L620&lt;&gt;"",IFERROR(INDEX(nrCKfinalExamElig,MATCH($D620,rngCadetPIDs,0)),"")="No"),"FINAL EXAM AFTER FAILED FINAL PT (500.1.H)",IF(AND($K620=2,ISNUMBER($L620),COUNTIFS(nrES_PID,$D620,nrES_Code,$F620,nrES_Att,1)&gt;0,SUMIFS(nrES_Raw,nrES_PID,$D620,nrES_Code,$F620,nrES_Att,1)&gt;=$J620),"RETEST AFTER A PASSING FIRST ATTEMPT","OK"))))))))))</f>
        <v/>
      </c>
      <c r="Y620" s="16" t="n"/>
    </row>
    <row r="621">
      <c r="B621" s="17">
        <f>IF($C621="","",$D621&amp;"-"&amp;$F621&amp;"-"&amp;$K621)</f>
        <v/>
      </c>
      <c r="C621" s="16" t="n"/>
      <c r="D621" s="17">
        <f>IF($C621="","",IFERROR(INDEX(rngCadetPIDs,MATCH($C621,rngCadetNames,0)),"?"))</f>
        <v/>
      </c>
      <c r="E621" s="17">
        <f>IF($D621="","",IFERROR(INDEX(nrCadetAgency,MATCH($D621,rngCadetPIDs,0)),""))</f>
        <v/>
      </c>
      <c r="F621" s="16" t="n"/>
      <c r="G621" s="17">
        <f>IF($F621="","",IFERROR(INDEX(rngEPname,MATCH($F621,rngEPcode,0)),"?"))</f>
        <v/>
      </c>
      <c r="H621" s="17">
        <f>IF($F621="","",IFERROR(INDEX(rngEPtype,MATCH($F621,rngEPcode,0)),"?"))</f>
        <v/>
      </c>
      <c r="I621" s="17">
        <f>IF($F621="","",IFERROR(INDEX(rngEPseq,MATCH($F621,rngEPcode,0)),""))</f>
        <v/>
      </c>
      <c r="J621" s="17">
        <f>IF($F621="","",IFERROR(INDEX(rngEPpass,MATCH($F621,rngEPcode,0)),cfgPassingScore))</f>
        <v/>
      </c>
      <c r="K621" s="16" t="n"/>
      <c r="L621" s="16" t="n"/>
      <c r="M621" s="17">
        <f>IF($C621="","",IF($L621="","",IF(NOT(ISNUMBER($L621)),$L621,IF(N($K621)&gt;2,"",IF($K621=1,IF(COUNTIFS(nrES_PID,$D621,nrES_Code,$F621,nrES_Att,2,nrES_Raw,"&gt;=0")&gt;0,"",$L621),IF($L621&gt;=$J621,MAX($J621,cfgRetakeRecordedCap),IF(COUNTIFS(nrES_PID,$D621,nrES_Code,$F621,nrES_Att,1)=0,$L621,SUMIFS(nrES_Raw,nrES_PID,$D621,nrES_Code,$F621,nrES_Att,1))))))))</f>
        <v/>
      </c>
      <c r="N621" s="17">
        <f>IF($C621="","",IF($L621="","",IF(NOT(ISNUMBER($L621)),"(not a score)",IF($L621&gt;=$J621,"Yes","No"))))</f>
        <v/>
      </c>
      <c r="O621" s="17">
        <f>IF($C621="","",IF($M621="","",IF(NOT(ISNUMBER($M621)),"(not a score)",IF($M621&gt;=$J621,"Yes","No"))))</f>
        <v/>
      </c>
      <c r="P621" s="17">
        <f>IF($C621="","",IF($K621="","",IF(N($K621)&gt;2,"No",IF(COUNTIFS(nrES_PID,$D621,nrES_Code,$F621,nrES_Att,"&gt;"&amp;$K621,nrES_Att,"&lt;=2",nrES_Raw,"&gt;=0")=0,"Yes","No"))))</f>
        <v/>
      </c>
      <c r="Q621" s="17">
        <f>IF($C621="","",IF($L621="","",IF(AND($K621=1,ISNUMBER($L621),$L621&lt;$J621,COUNTIFS(nrES_PID,$D621,nrES_Code,$F621,nrES_Att,2,nrES_Raw,"&gt;=0")=0),"Yes","No")))</f>
        <v/>
      </c>
      <c r="R621" s="17">
        <f>IF($C621="","",IF($L621="","",IF(AND(N($K621)&gt;=2,ISNUMBER($L621),$L621&lt;$J621),"Yes","No")))</f>
        <v/>
      </c>
      <c r="S621" s="18" t="n"/>
      <c r="T621" s="19">
        <f>IF(OR($C621="",$L621="",$K621&lt;&gt;1,NOT(ISNUMBER($L621)),$L621&gt;=$J621),"",IF($S621="","(enter date)",_xlfn.LET(_xlpm.dn,_xlfn.XLOOKUP($S621,nrCDdate,nrCDnum,"",1),IF(_xlpm.dn="","(after last class day)",_xlfn.LET(_xlpm.dd,_xlfn.XLOOKUP(_xlpm.dn+cfgRetestClassDays,nrCDnum,nrCDdate,""),_xlpm.ok,_xlfn.XLOOKUP(_xlpm.dn+cfgRetestClassDays,nrCDnum,nrCDinsession,"No"),IF(OR(_xlpm.dd="",_xlpm.ok&lt;&gt;"Yes"),"(after last class day)",_xlpm.dd))))))</f>
        <v/>
      </c>
      <c r="U621" s="17">
        <f>IF($C621="","",IF(AND($Y621="Excused",$L621="",N($K621)&lt;=1),"EXCUSED - 1st attempt pending",IF(OR($L621="",$K621&lt;&gt;1,NOT(ISNUMBER($L621)),$L621&gt;=$J621),"",IF(COUNTIFS(nrES_PID,$D621,nrES_Code,$F621,nrES_Att,2,nrES_Raw,"&gt;=0")&gt;0,IF(IFERROR(_xlfn.MINIFS(nrES_Date,nrES_PID,$D621,nrES_Code,$F621,nrES_Att,2,nrES_Raw,"&gt;=0",nrES_Date,"&gt;0"),0)=0,"RETEST UNDATED",IF(NOT(ISNUMBER($T621)),"RETEST DATE UNCHECKED",IF(_xlfn.MINIFS(nrES_Date,nrES_PID,$D621,nrES_Code,$F621,nrES_Att,2,nrES_Raw,"&gt;=0",nrES_Date,"&gt;0")&gt;$T621,"LATE RETEST "&amp;TEXT(_xlfn.MINIFS(nrES_Date,nrES_PID,$D621,nrES_Code,$F621,nrES_Att,2,nrES_Raw,"&gt;=0",nrES_Date,"&gt;0"),"mm/dd")&amp;" (due "&amp;TEXT($T621,"mm/dd")&amp;")","Retested"))),IF(NOT(ISNUMBER($T621)),"CHECK DATE",IF(TODAY()&gt;$T621,"OVERDUE","Due "&amp;TEXT($T621,"mm/dd")))))))</f>
        <v/>
      </c>
      <c r="V621" s="16" t="n"/>
      <c r="W621" s="16" t="n"/>
      <c r="X621" s="17">
        <f>IF($C621="","",IF(AND($L621&lt;&gt;"",NOT(ISNUMBER($L621))),"RAW SCORE NOT A NUMBER",IF(AND(ISNUMBER($L621),OR($L621&lt;0,$L621&gt;100)),"RAW SCORE OUT OF RANGE",IF(AND($Y621="Unexcused",OR($L621="",NOT(ISNUMBER($L621)),$L621&lt;&gt;0)),"UNEXCUSED ABSENCE MUST RECORD 0",IF(COUNTIF(nrES_RecID,$B621)&gt;1,"DUPLICATE RECORD",IF(N($K621)&gt;2,"ATTEMPT 3+ NOT ALLOWED - policy 300.5 permits one retest per exam; this row records nothing",IF(AND($K621=2,COUNTIFS(nrES_PID,$D621,nrES_Code,$F621,nrES_Att,1)=0),"ATTEMPT 2 WITHOUT ATTEMPT 1",IF(AND($K621=2,$L621=""),"RETEST ROW HAS NO SCORE",IF(AND($H621="Final",$L621&lt;&gt;"",IFERROR(INDEX(nrCKfinalExamElig,MATCH($D621,rngCadetPIDs,0)),"")="No"),"FINAL EXAM AFTER FAILED FINAL PT (500.1.H)",IF(AND($K621=2,ISNUMBER($L621),COUNTIFS(nrES_PID,$D621,nrES_Code,$F621,nrES_Att,1)&gt;0,SUMIFS(nrES_Raw,nrES_PID,$D621,nrES_Code,$F621,nrES_Att,1)&gt;=$J621),"RETEST AFTER A PASSING FIRST ATTEMPT","OK"))))))))))</f>
        <v/>
      </c>
      <c r="Y621" s="16" t="n"/>
    </row>
    <row r="622">
      <c r="B622" s="17">
        <f>IF($C622="","",$D622&amp;"-"&amp;$F622&amp;"-"&amp;$K622)</f>
        <v/>
      </c>
      <c r="C622" s="16" t="n"/>
      <c r="D622" s="17">
        <f>IF($C622="","",IFERROR(INDEX(rngCadetPIDs,MATCH($C622,rngCadetNames,0)),"?"))</f>
        <v/>
      </c>
      <c r="E622" s="17">
        <f>IF($D622="","",IFERROR(INDEX(nrCadetAgency,MATCH($D622,rngCadetPIDs,0)),""))</f>
        <v/>
      </c>
      <c r="F622" s="16" t="n"/>
      <c r="G622" s="17">
        <f>IF($F622="","",IFERROR(INDEX(rngEPname,MATCH($F622,rngEPcode,0)),"?"))</f>
        <v/>
      </c>
      <c r="H622" s="17">
        <f>IF($F622="","",IFERROR(INDEX(rngEPtype,MATCH($F622,rngEPcode,0)),"?"))</f>
        <v/>
      </c>
      <c r="I622" s="17">
        <f>IF($F622="","",IFERROR(INDEX(rngEPseq,MATCH($F622,rngEPcode,0)),""))</f>
        <v/>
      </c>
      <c r="J622" s="17">
        <f>IF($F622="","",IFERROR(INDEX(rngEPpass,MATCH($F622,rngEPcode,0)),cfgPassingScore))</f>
        <v/>
      </c>
      <c r="K622" s="16" t="n"/>
      <c r="L622" s="16" t="n"/>
      <c r="M622" s="17">
        <f>IF($C622="","",IF($L622="","",IF(NOT(ISNUMBER($L622)),$L622,IF(N($K622)&gt;2,"",IF($K622=1,IF(COUNTIFS(nrES_PID,$D622,nrES_Code,$F622,nrES_Att,2,nrES_Raw,"&gt;=0")&gt;0,"",$L622),IF($L622&gt;=$J622,MAX($J622,cfgRetakeRecordedCap),IF(COUNTIFS(nrES_PID,$D622,nrES_Code,$F622,nrES_Att,1)=0,$L622,SUMIFS(nrES_Raw,nrES_PID,$D622,nrES_Code,$F622,nrES_Att,1))))))))</f>
        <v/>
      </c>
      <c r="N622" s="17">
        <f>IF($C622="","",IF($L622="","",IF(NOT(ISNUMBER($L622)),"(not a score)",IF($L622&gt;=$J622,"Yes","No"))))</f>
        <v/>
      </c>
      <c r="O622" s="17">
        <f>IF($C622="","",IF($M622="","",IF(NOT(ISNUMBER($M622)),"(not a score)",IF($M622&gt;=$J622,"Yes","No"))))</f>
        <v/>
      </c>
      <c r="P622" s="17">
        <f>IF($C622="","",IF($K622="","",IF(N($K622)&gt;2,"No",IF(COUNTIFS(nrES_PID,$D622,nrES_Code,$F622,nrES_Att,"&gt;"&amp;$K622,nrES_Att,"&lt;=2",nrES_Raw,"&gt;=0")=0,"Yes","No"))))</f>
        <v/>
      </c>
      <c r="Q622" s="17">
        <f>IF($C622="","",IF($L622="","",IF(AND($K622=1,ISNUMBER($L622),$L622&lt;$J622,COUNTIFS(nrES_PID,$D622,nrES_Code,$F622,nrES_Att,2,nrES_Raw,"&gt;=0")=0),"Yes","No")))</f>
        <v/>
      </c>
      <c r="R622" s="17">
        <f>IF($C622="","",IF($L622="","",IF(AND(N($K622)&gt;=2,ISNUMBER($L622),$L622&lt;$J622),"Yes","No")))</f>
        <v/>
      </c>
      <c r="S622" s="18" t="n"/>
      <c r="T622" s="19">
        <f>IF(OR($C622="",$L622="",$K622&lt;&gt;1,NOT(ISNUMBER($L622)),$L622&gt;=$J622),"",IF($S622="","(enter date)",_xlfn.LET(_xlpm.dn,_xlfn.XLOOKUP($S622,nrCDdate,nrCDnum,"",1),IF(_xlpm.dn="","(after last class day)",_xlfn.LET(_xlpm.dd,_xlfn.XLOOKUP(_xlpm.dn+cfgRetestClassDays,nrCDnum,nrCDdate,""),_xlpm.ok,_xlfn.XLOOKUP(_xlpm.dn+cfgRetestClassDays,nrCDnum,nrCDinsession,"No"),IF(OR(_xlpm.dd="",_xlpm.ok&lt;&gt;"Yes"),"(after last class day)",_xlpm.dd))))))</f>
        <v/>
      </c>
      <c r="U622" s="17">
        <f>IF($C622="","",IF(AND($Y622="Excused",$L622="",N($K622)&lt;=1),"EXCUSED - 1st attempt pending",IF(OR($L622="",$K622&lt;&gt;1,NOT(ISNUMBER($L622)),$L622&gt;=$J622),"",IF(COUNTIFS(nrES_PID,$D622,nrES_Code,$F622,nrES_Att,2,nrES_Raw,"&gt;=0")&gt;0,IF(IFERROR(_xlfn.MINIFS(nrES_Date,nrES_PID,$D622,nrES_Code,$F622,nrES_Att,2,nrES_Raw,"&gt;=0",nrES_Date,"&gt;0"),0)=0,"RETEST UNDATED",IF(NOT(ISNUMBER($T622)),"RETEST DATE UNCHECKED",IF(_xlfn.MINIFS(nrES_Date,nrES_PID,$D622,nrES_Code,$F622,nrES_Att,2,nrES_Raw,"&gt;=0",nrES_Date,"&gt;0")&gt;$T622,"LATE RETEST "&amp;TEXT(_xlfn.MINIFS(nrES_Date,nrES_PID,$D622,nrES_Code,$F622,nrES_Att,2,nrES_Raw,"&gt;=0",nrES_Date,"&gt;0"),"mm/dd")&amp;" (due "&amp;TEXT($T622,"mm/dd")&amp;")","Retested"))),IF(NOT(ISNUMBER($T622)),"CHECK DATE",IF(TODAY()&gt;$T622,"OVERDUE","Due "&amp;TEXT($T622,"mm/dd")))))))</f>
        <v/>
      </c>
      <c r="V622" s="16" t="n"/>
      <c r="W622" s="16" t="n"/>
      <c r="X622" s="17">
        <f>IF($C622="","",IF(AND($L622&lt;&gt;"",NOT(ISNUMBER($L622))),"RAW SCORE NOT A NUMBER",IF(AND(ISNUMBER($L622),OR($L622&lt;0,$L622&gt;100)),"RAW SCORE OUT OF RANGE",IF(AND($Y622="Unexcused",OR($L622="",NOT(ISNUMBER($L622)),$L622&lt;&gt;0)),"UNEXCUSED ABSENCE MUST RECORD 0",IF(COUNTIF(nrES_RecID,$B622)&gt;1,"DUPLICATE RECORD",IF(N($K622)&gt;2,"ATTEMPT 3+ NOT ALLOWED - policy 300.5 permits one retest per exam; this row records nothing",IF(AND($K622=2,COUNTIFS(nrES_PID,$D622,nrES_Code,$F622,nrES_Att,1)=0),"ATTEMPT 2 WITHOUT ATTEMPT 1",IF(AND($K622=2,$L622=""),"RETEST ROW HAS NO SCORE",IF(AND($H622="Final",$L622&lt;&gt;"",IFERROR(INDEX(nrCKfinalExamElig,MATCH($D622,rngCadetPIDs,0)),"")="No"),"FINAL EXAM AFTER FAILED FINAL PT (500.1.H)",IF(AND($K622=2,ISNUMBER($L622),COUNTIFS(nrES_PID,$D622,nrES_Code,$F622,nrES_Att,1)&gt;0,SUMIFS(nrES_Raw,nrES_PID,$D622,nrES_Code,$F622,nrES_Att,1)&gt;=$J622),"RETEST AFTER A PASSING FIRST ATTEMPT","OK"))))))))))</f>
        <v/>
      </c>
      <c r="Y622" s="16" t="n"/>
    </row>
    <row r="623">
      <c r="B623" s="17">
        <f>IF($C623="","",$D623&amp;"-"&amp;$F623&amp;"-"&amp;$K623)</f>
        <v/>
      </c>
      <c r="C623" s="16" t="n"/>
      <c r="D623" s="17">
        <f>IF($C623="","",IFERROR(INDEX(rngCadetPIDs,MATCH($C623,rngCadetNames,0)),"?"))</f>
        <v/>
      </c>
      <c r="E623" s="17">
        <f>IF($D623="","",IFERROR(INDEX(nrCadetAgency,MATCH($D623,rngCadetPIDs,0)),""))</f>
        <v/>
      </c>
      <c r="F623" s="16" t="n"/>
      <c r="G623" s="17">
        <f>IF($F623="","",IFERROR(INDEX(rngEPname,MATCH($F623,rngEPcode,0)),"?"))</f>
        <v/>
      </c>
      <c r="H623" s="17">
        <f>IF($F623="","",IFERROR(INDEX(rngEPtype,MATCH($F623,rngEPcode,0)),"?"))</f>
        <v/>
      </c>
      <c r="I623" s="17">
        <f>IF($F623="","",IFERROR(INDEX(rngEPseq,MATCH($F623,rngEPcode,0)),""))</f>
        <v/>
      </c>
      <c r="J623" s="17">
        <f>IF($F623="","",IFERROR(INDEX(rngEPpass,MATCH($F623,rngEPcode,0)),cfgPassingScore))</f>
        <v/>
      </c>
      <c r="K623" s="16" t="n"/>
      <c r="L623" s="16" t="n"/>
      <c r="M623" s="17">
        <f>IF($C623="","",IF($L623="","",IF(NOT(ISNUMBER($L623)),$L623,IF(N($K623)&gt;2,"",IF($K623=1,IF(COUNTIFS(nrES_PID,$D623,nrES_Code,$F623,nrES_Att,2,nrES_Raw,"&gt;=0")&gt;0,"",$L623),IF($L623&gt;=$J623,MAX($J623,cfgRetakeRecordedCap),IF(COUNTIFS(nrES_PID,$D623,nrES_Code,$F623,nrES_Att,1)=0,$L623,SUMIFS(nrES_Raw,nrES_PID,$D623,nrES_Code,$F623,nrES_Att,1))))))))</f>
        <v/>
      </c>
      <c r="N623" s="17">
        <f>IF($C623="","",IF($L623="","",IF(NOT(ISNUMBER($L623)),"(not a score)",IF($L623&gt;=$J623,"Yes","No"))))</f>
        <v/>
      </c>
      <c r="O623" s="17">
        <f>IF($C623="","",IF($M623="","",IF(NOT(ISNUMBER($M623)),"(not a score)",IF($M623&gt;=$J623,"Yes","No"))))</f>
        <v/>
      </c>
      <c r="P623" s="17">
        <f>IF($C623="","",IF($K623="","",IF(N($K623)&gt;2,"No",IF(COUNTIFS(nrES_PID,$D623,nrES_Code,$F623,nrES_Att,"&gt;"&amp;$K623,nrES_Att,"&lt;=2",nrES_Raw,"&gt;=0")=0,"Yes","No"))))</f>
        <v/>
      </c>
      <c r="Q623" s="17">
        <f>IF($C623="","",IF($L623="","",IF(AND($K623=1,ISNUMBER($L623),$L623&lt;$J623,COUNTIFS(nrES_PID,$D623,nrES_Code,$F623,nrES_Att,2,nrES_Raw,"&gt;=0")=0),"Yes","No")))</f>
        <v/>
      </c>
      <c r="R623" s="17">
        <f>IF($C623="","",IF($L623="","",IF(AND(N($K623)&gt;=2,ISNUMBER($L623),$L623&lt;$J623),"Yes","No")))</f>
        <v/>
      </c>
      <c r="S623" s="18" t="n"/>
      <c r="T623" s="19">
        <f>IF(OR($C623="",$L623="",$K623&lt;&gt;1,NOT(ISNUMBER($L623)),$L623&gt;=$J623),"",IF($S623="","(enter date)",_xlfn.LET(_xlpm.dn,_xlfn.XLOOKUP($S623,nrCDdate,nrCDnum,"",1),IF(_xlpm.dn="","(after last class day)",_xlfn.LET(_xlpm.dd,_xlfn.XLOOKUP(_xlpm.dn+cfgRetestClassDays,nrCDnum,nrCDdate,""),_xlpm.ok,_xlfn.XLOOKUP(_xlpm.dn+cfgRetestClassDays,nrCDnum,nrCDinsession,"No"),IF(OR(_xlpm.dd="",_xlpm.ok&lt;&gt;"Yes"),"(after last class day)",_xlpm.dd))))))</f>
        <v/>
      </c>
      <c r="U623" s="17">
        <f>IF($C623="","",IF(AND($Y623="Excused",$L623="",N($K623)&lt;=1),"EXCUSED - 1st attempt pending",IF(OR($L623="",$K623&lt;&gt;1,NOT(ISNUMBER($L623)),$L623&gt;=$J623),"",IF(COUNTIFS(nrES_PID,$D623,nrES_Code,$F623,nrES_Att,2,nrES_Raw,"&gt;=0")&gt;0,IF(IFERROR(_xlfn.MINIFS(nrES_Date,nrES_PID,$D623,nrES_Code,$F623,nrES_Att,2,nrES_Raw,"&gt;=0",nrES_Date,"&gt;0"),0)=0,"RETEST UNDATED",IF(NOT(ISNUMBER($T623)),"RETEST DATE UNCHECKED",IF(_xlfn.MINIFS(nrES_Date,nrES_PID,$D623,nrES_Code,$F623,nrES_Att,2,nrES_Raw,"&gt;=0",nrES_Date,"&gt;0")&gt;$T623,"LATE RETEST "&amp;TEXT(_xlfn.MINIFS(nrES_Date,nrES_PID,$D623,nrES_Code,$F623,nrES_Att,2,nrES_Raw,"&gt;=0",nrES_Date,"&gt;0"),"mm/dd")&amp;" (due "&amp;TEXT($T623,"mm/dd")&amp;")","Retested"))),IF(NOT(ISNUMBER($T623)),"CHECK DATE",IF(TODAY()&gt;$T623,"OVERDUE","Due "&amp;TEXT($T623,"mm/dd")))))))</f>
        <v/>
      </c>
      <c r="V623" s="16" t="n"/>
      <c r="W623" s="16" t="n"/>
      <c r="X623" s="17">
        <f>IF($C623="","",IF(AND($L623&lt;&gt;"",NOT(ISNUMBER($L623))),"RAW SCORE NOT A NUMBER",IF(AND(ISNUMBER($L623),OR($L623&lt;0,$L623&gt;100)),"RAW SCORE OUT OF RANGE",IF(AND($Y623="Unexcused",OR($L623="",NOT(ISNUMBER($L623)),$L623&lt;&gt;0)),"UNEXCUSED ABSENCE MUST RECORD 0",IF(COUNTIF(nrES_RecID,$B623)&gt;1,"DUPLICATE RECORD",IF(N($K623)&gt;2,"ATTEMPT 3+ NOT ALLOWED - policy 300.5 permits one retest per exam; this row records nothing",IF(AND($K623=2,COUNTIFS(nrES_PID,$D623,nrES_Code,$F623,nrES_Att,1)=0),"ATTEMPT 2 WITHOUT ATTEMPT 1",IF(AND($K623=2,$L623=""),"RETEST ROW HAS NO SCORE",IF(AND($H623="Final",$L623&lt;&gt;"",IFERROR(INDEX(nrCKfinalExamElig,MATCH($D623,rngCadetPIDs,0)),"")="No"),"FINAL EXAM AFTER FAILED FINAL PT (500.1.H)",IF(AND($K623=2,ISNUMBER($L623),COUNTIFS(nrES_PID,$D623,nrES_Code,$F623,nrES_Att,1)&gt;0,SUMIFS(nrES_Raw,nrES_PID,$D623,nrES_Code,$F623,nrES_Att,1)&gt;=$J623),"RETEST AFTER A PASSING FIRST ATTEMPT","OK"))))))))))</f>
        <v/>
      </c>
      <c r="Y623" s="16" t="n"/>
    </row>
    <row r="624">
      <c r="B624" s="17">
        <f>IF($C624="","",$D624&amp;"-"&amp;$F624&amp;"-"&amp;$K624)</f>
        <v/>
      </c>
      <c r="C624" s="16" t="n"/>
      <c r="D624" s="17">
        <f>IF($C624="","",IFERROR(INDEX(rngCadetPIDs,MATCH($C624,rngCadetNames,0)),"?"))</f>
        <v/>
      </c>
      <c r="E624" s="17">
        <f>IF($D624="","",IFERROR(INDEX(nrCadetAgency,MATCH($D624,rngCadetPIDs,0)),""))</f>
        <v/>
      </c>
      <c r="F624" s="16" t="n"/>
      <c r="G624" s="17">
        <f>IF($F624="","",IFERROR(INDEX(rngEPname,MATCH($F624,rngEPcode,0)),"?"))</f>
        <v/>
      </c>
      <c r="H624" s="17">
        <f>IF($F624="","",IFERROR(INDEX(rngEPtype,MATCH($F624,rngEPcode,0)),"?"))</f>
        <v/>
      </c>
      <c r="I624" s="17">
        <f>IF($F624="","",IFERROR(INDEX(rngEPseq,MATCH($F624,rngEPcode,0)),""))</f>
        <v/>
      </c>
      <c r="J624" s="17">
        <f>IF($F624="","",IFERROR(INDEX(rngEPpass,MATCH($F624,rngEPcode,0)),cfgPassingScore))</f>
        <v/>
      </c>
      <c r="K624" s="16" t="n"/>
      <c r="L624" s="16" t="n"/>
      <c r="M624" s="17">
        <f>IF($C624="","",IF($L624="","",IF(NOT(ISNUMBER($L624)),$L624,IF(N($K624)&gt;2,"",IF($K624=1,IF(COUNTIFS(nrES_PID,$D624,nrES_Code,$F624,nrES_Att,2,nrES_Raw,"&gt;=0")&gt;0,"",$L624),IF($L624&gt;=$J624,MAX($J624,cfgRetakeRecordedCap),IF(COUNTIFS(nrES_PID,$D624,nrES_Code,$F624,nrES_Att,1)=0,$L624,SUMIFS(nrES_Raw,nrES_PID,$D624,nrES_Code,$F624,nrES_Att,1))))))))</f>
        <v/>
      </c>
      <c r="N624" s="17">
        <f>IF($C624="","",IF($L624="","",IF(NOT(ISNUMBER($L624)),"(not a score)",IF($L624&gt;=$J624,"Yes","No"))))</f>
        <v/>
      </c>
      <c r="O624" s="17">
        <f>IF($C624="","",IF($M624="","",IF(NOT(ISNUMBER($M624)),"(not a score)",IF($M624&gt;=$J624,"Yes","No"))))</f>
        <v/>
      </c>
      <c r="P624" s="17">
        <f>IF($C624="","",IF($K624="","",IF(N($K624)&gt;2,"No",IF(COUNTIFS(nrES_PID,$D624,nrES_Code,$F624,nrES_Att,"&gt;"&amp;$K624,nrES_Att,"&lt;=2",nrES_Raw,"&gt;=0")=0,"Yes","No"))))</f>
        <v/>
      </c>
      <c r="Q624" s="17">
        <f>IF($C624="","",IF($L624="","",IF(AND($K624=1,ISNUMBER($L624),$L624&lt;$J624,COUNTIFS(nrES_PID,$D624,nrES_Code,$F624,nrES_Att,2,nrES_Raw,"&gt;=0")=0),"Yes","No")))</f>
        <v/>
      </c>
      <c r="R624" s="17">
        <f>IF($C624="","",IF($L624="","",IF(AND(N($K624)&gt;=2,ISNUMBER($L624),$L624&lt;$J624),"Yes","No")))</f>
        <v/>
      </c>
      <c r="S624" s="18" t="n"/>
      <c r="T624" s="19">
        <f>IF(OR($C624="",$L624="",$K624&lt;&gt;1,NOT(ISNUMBER($L624)),$L624&gt;=$J624),"",IF($S624="","(enter date)",_xlfn.LET(_xlpm.dn,_xlfn.XLOOKUP($S624,nrCDdate,nrCDnum,"",1),IF(_xlpm.dn="","(after last class day)",_xlfn.LET(_xlpm.dd,_xlfn.XLOOKUP(_xlpm.dn+cfgRetestClassDays,nrCDnum,nrCDdate,""),_xlpm.ok,_xlfn.XLOOKUP(_xlpm.dn+cfgRetestClassDays,nrCDnum,nrCDinsession,"No"),IF(OR(_xlpm.dd="",_xlpm.ok&lt;&gt;"Yes"),"(after last class day)",_xlpm.dd))))))</f>
        <v/>
      </c>
      <c r="U624" s="17">
        <f>IF($C624="","",IF(AND($Y624="Excused",$L624="",N($K624)&lt;=1),"EXCUSED - 1st attempt pending",IF(OR($L624="",$K624&lt;&gt;1,NOT(ISNUMBER($L624)),$L624&gt;=$J624),"",IF(COUNTIFS(nrES_PID,$D624,nrES_Code,$F624,nrES_Att,2,nrES_Raw,"&gt;=0")&gt;0,IF(IFERROR(_xlfn.MINIFS(nrES_Date,nrES_PID,$D624,nrES_Code,$F624,nrES_Att,2,nrES_Raw,"&gt;=0",nrES_Date,"&gt;0"),0)=0,"RETEST UNDATED",IF(NOT(ISNUMBER($T624)),"RETEST DATE UNCHECKED",IF(_xlfn.MINIFS(nrES_Date,nrES_PID,$D624,nrES_Code,$F624,nrES_Att,2,nrES_Raw,"&gt;=0",nrES_Date,"&gt;0")&gt;$T624,"LATE RETEST "&amp;TEXT(_xlfn.MINIFS(nrES_Date,nrES_PID,$D624,nrES_Code,$F624,nrES_Att,2,nrES_Raw,"&gt;=0",nrES_Date,"&gt;0"),"mm/dd")&amp;" (due "&amp;TEXT($T624,"mm/dd")&amp;")","Retested"))),IF(NOT(ISNUMBER($T624)),"CHECK DATE",IF(TODAY()&gt;$T624,"OVERDUE","Due "&amp;TEXT($T624,"mm/dd")))))))</f>
        <v/>
      </c>
      <c r="V624" s="16" t="n"/>
      <c r="W624" s="16" t="n"/>
      <c r="X624" s="17">
        <f>IF($C624="","",IF(AND($L624&lt;&gt;"",NOT(ISNUMBER($L624))),"RAW SCORE NOT A NUMBER",IF(AND(ISNUMBER($L624),OR($L624&lt;0,$L624&gt;100)),"RAW SCORE OUT OF RANGE",IF(AND($Y624="Unexcused",OR($L624="",NOT(ISNUMBER($L624)),$L624&lt;&gt;0)),"UNEXCUSED ABSENCE MUST RECORD 0",IF(COUNTIF(nrES_RecID,$B624)&gt;1,"DUPLICATE RECORD",IF(N($K624)&gt;2,"ATTEMPT 3+ NOT ALLOWED - policy 300.5 permits one retest per exam; this row records nothing",IF(AND($K624=2,COUNTIFS(nrES_PID,$D624,nrES_Code,$F624,nrES_Att,1)=0),"ATTEMPT 2 WITHOUT ATTEMPT 1",IF(AND($K624=2,$L624=""),"RETEST ROW HAS NO SCORE",IF(AND($H624="Final",$L624&lt;&gt;"",IFERROR(INDEX(nrCKfinalExamElig,MATCH($D624,rngCadetPIDs,0)),"")="No"),"FINAL EXAM AFTER FAILED FINAL PT (500.1.H)",IF(AND($K624=2,ISNUMBER($L624),COUNTIFS(nrES_PID,$D624,nrES_Code,$F624,nrES_Att,1)&gt;0,SUMIFS(nrES_Raw,nrES_PID,$D624,nrES_Code,$F624,nrES_Att,1)&gt;=$J624),"RETEST AFTER A PASSING FIRST ATTEMPT","OK"))))))))))</f>
        <v/>
      </c>
      <c r="Y624" s="16" t="n"/>
    </row>
    <row r="625">
      <c r="B625" s="17">
        <f>IF($C625="","",$D625&amp;"-"&amp;$F625&amp;"-"&amp;$K625)</f>
        <v/>
      </c>
      <c r="C625" s="16" t="n"/>
      <c r="D625" s="17">
        <f>IF($C625="","",IFERROR(INDEX(rngCadetPIDs,MATCH($C625,rngCadetNames,0)),"?"))</f>
        <v/>
      </c>
      <c r="E625" s="17">
        <f>IF($D625="","",IFERROR(INDEX(nrCadetAgency,MATCH($D625,rngCadetPIDs,0)),""))</f>
        <v/>
      </c>
      <c r="F625" s="16" t="n"/>
      <c r="G625" s="17">
        <f>IF($F625="","",IFERROR(INDEX(rngEPname,MATCH($F625,rngEPcode,0)),"?"))</f>
        <v/>
      </c>
      <c r="H625" s="17">
        <f>IF($F625="","",IFERROR(INDEX(rngEPtype,MATCH($F625,rngEPcode,0)),"?"))</f>
        <v/>
      </c>
      <c r="I625" s="17">
        <f>IF($F625="","",IFERROR(INDEX(rngEPseq,MATCH($F625,rngEPcode,0)),""))</f>
        <v/>
      </c>
      <c r="J625" s="17">
        <f>IF($F625="","",IFERROR(INDEX(rngEPpass,MATCH($F625,rngEPcode,0)),cfgPassingScore))</f>
        <v/>
      </c>
      <c r="K625" s="16" t="n"/>
      <c r="L625" s="16" t="n"/>
      <c r="M625" s="17">
        <f>IF($C625="","",IF($L625="","",IF(NOT(ISNUMBER($L625)),$L625,IF(N($K625)&gt;2,"",IF($K625=1,IF(COUNTIFS(nrES_PID,$D625,nrES_Code,$F625,nrES_Att,2,nrES_Raw,"&gt;=0")&gt;0,"",$L625),IF($L625&gt;=$J625,MAX($J625,cfgRetakeRecordedCap),IF(COUNTIFS(nrES_PID,$D625,nrES_Code,$F625,nrES_Att,1)=0,$L625,SUMIFS(nrES_Raw,nrES_PID,$D625,nrES_Code,$F625,nrES_Att,1))))))))</f>
        <v/>
      </c>
      <c r="N625" s="17">
        <f>IF($C625="","",IF($L625="","",IF(NOT(ISNUMBER($L625)),"(not a score)",IF($L625&gt;=$J625,"Yes","No"))))</f>
        <v/>
      </c>
      <c r="O625" s="17">
        <f>IF($C625="","",IF($M625="","",IF(NOT(ISNUMBER($M625)),"(not a score)",IF($M625&gt;=$J625,"Yes","No"))))</f>
        <v/>
      </c>
      <c r="P625" s="17">
        <f>IF($C625="","",IF($K625="","",IF(N($K625)&gt;2,"No",IF(COUNTIFS(nrES_PID,$D625,nrES_Code,$F625,nrES_Att,"&gt;"&amp;$K625,nrES_Att,"&lt;=2",nrES_Raw,"&gt;=0")=0,"Yes","No"))))</f>
        <v/>
      </c>
      <c r="Q625" s="17">
        <f>IF($C625="","",IF($L625="","",IF(AND($K625=1,ISNUMBER($L625),$L625&lt;$J625,COUNTIFS(nrES_PID,$D625,nrES_Code,$F625,nrES_Att,2,nrES_Raw,"&gt;=0")=0),"Yes","No")))</f>
        <v/>
      </c>
      <c r="R625" s="17">
        <f>IF($C625="","",IF($L625="","",IF(AND(N($K625)&gt;=2,ISNUMBER($L625),$L625&lt;$J625),"Yes","No")))</f>
        <v/>
      </c>
      <c r="S625" s="18" t="n"/>
      <c r="T625" s="19">
        <f>IF(OR($C625="",$L625="",$K625&lt;&gt;1,NOT(ISNUMBER($L625)),$L625&gt;=$J625),"",IF($S625="","(enter date)",_xlfn.LET(_xlpm.dn,_xlfn.XLOOKUP($S625,nrCDdate,nrCDnum,"",1),IF(_xlpm.dn="","(after last class day)",_xlfn.LET(_xlpm.dd,_xlfn.XLOOKUP(_xlpm.dn+cfgRetestClassDays,nrCDnum,nrCDdate,""),_xlpm.ok,_xlfn.XLOOKUP(_xlpm.dn+cfgRetestClassDays,nrCDnum,nrCDinsession,"No"),IF(OR(_xlpm.dd="",_xlpm.ok&lt;&gt;"Yes"),"(after last class day)",_xlpm.dd))))))</f>
        <v/>
      </c>
      <c r="U625" s="17">
        <f>IF($C625="","",IF(AND($Y625="Excused",$L625="",N($K625)&lt;=1),"EXCUSED - 1st attempt pending",IF(OR($L625="",$K625&lt;&gt;1,NOT(ISNUMBER($L625)),$L625&gt;=$J625),"",IF(COUNTIFS(nrES_PID,$D625,nrES_Code,$F625,nrES_Att,2,nrES_Raw,"&gt;=0")&gt;0,IF(IFERROR(_xlfn.MINIFS(nrES_Date,nrES_PID,$D625,nrES_Code,$F625,nrES_Att,2,nrES_Raw,"&gt;=0",nrES_Date,"&gt;0"),0)=0,"RETEST UNDATED",IF(NOT(ISNUMBER($T625)),"RETEST DATE UNCHECKED",IF(_xlfn.MINIFS(nrES_Date,nrES_PID,$D625,nrES_Code,$F625,nrES_Att,2,nrES_Raw,"&gt;=0",nrES_Date,"&gt;0")&gt;$T625,"LATE RETEST "&amp;TEXT(_xlfn.MINIFS(nrES_Date,nrES_PID,$D625,nrES_Code,$F625,nrES_Att,2,nrES_Raw,"&gt;=0",nrES_Date,"&gt;0"),"mm/dd")&amp;" (due "&amp;TEXT($T625,"mm/dd")&amp;")","Retested"))),IF(NOT(ISNUMBER($T625)),"CHECK DATE",IF(TODAY()&gt;$T625,"OVERDUE","Due "&amp;TEXT($T625,"mm/dd")))))))</f>
        <v/>
      </c>
      <c r="V625" s="16" t="n"/>
      <c r="W625" s="16" t="n"/>
      <c r="X625" s="17">
        <f>IF($C625="","",IF(AND($L625&lt;&gt;"",NOT(ISNUMBER($L625))),"RAW SCORE NOT A NUMBER",IF(AND(ISNUMBER($L625),OR($L625&lt;0,$L625&gt;100)),"RAW SCORE OUT OF RANGE",IF(AND($Y625="Unexcused",OR($L625="",NOT(ISNUMBER($L625)),$L625&lt;&gt;0)),"UNEXCUSED ABSENCE MUST RECORD 0",IF(COUNTIF(nrES_RecID,$B625)&gt;1,"DUPLICATE RECORD",IF(N($K625)&gt;2,"ATTEMPT 3+ NOT ALLOWED - policy 300.5 permits one retest per exam; this row records nothing",IF(AND($K625=2,COUNTIFS(nrES_PID,$D625,nrES_Code,$F625,nrES_Att,1)=0),"ATTEMPT 2 WITHOUT ATTEMPT 1",IF(AND($K625=2,$L625=""),"RETEST ROW HAS NO SCORE",IF(AND($H625="Final",$L625&lt;&gt;"",IFERROR(INDEX(nrCKfinalExamElig,MATCH($D625,rngCadetPIDs,0)),"")="No"),"FINAL EXAM AFTER FAILED FINAL PT (500.1.H)",IF(AND($K625=2,ISNUMBER($L625),COUNTIFS(nrES_PID,$D625,nrES_Code,$F625,nrES_Att,1)&gt;0,SUMIFS(nrES_Raw,nrES_PID,$D625,nrES_Code,$F625,nrES_Att,1)&gt;=$J625),"RETEST AFTER A PASSING FIRST ATTEMPT","OK"))))))))))</f>
        <v/>
      </c>
      <c r="Y625" s="16" t="n"/>
    </row>
    <row r="626">
      <c r="B626" s="17">
        <f>IF($C626="","",$D626&amp;"-"&amp;$F626&amp;"-"&amp;$K626)</f>
        <v/>
      </c>
      <c r="C626" s="16" t="n"/>
      <c r="D626" s="17">
        <f>IF($C626="","",IFERROR(INDEX(rngCadetPIDs,MATCH($C626,rngCadetNames,0)),"?"))</f>
        <v/>
      </c>
      <c r="E626" s="17">
        <f>IF($D626="","",IFERROR(INDEX(nrCadetAgency,MATCH($D626,rngCadetPIDs,0)),""))</f>
        <v/>
      </c>
      <c r="F626" s="16" t="n"/>
      <c r="G626" s="17">
        <f>IF($F626="","",IFERROR(INDEX(rngEPname,MATCH($F626,rngEPcode,0)),"?"))</f>
        <v/>
      </c>
      <c r="H626" s="17">
        <f>IF($F626="","",IFERROR(INDEX(rngEPtype,MATCH($F626,rngEPcode,0)),"?"))</f>
        <v/>
      </c>
      <c r="I626" s="17">
        <f>IF($F626="","",IFERROR(INDEX(rngEPseq,MATCH($F626,rngEPcode,0)),""))</f>
        <v/>
      </c>
      <c r="J626" s="17">
        <f>IF($F626="","",IFERROR(INDEX(rngEPpass,MATCH($F626,rngEPcode,0)),cfgPassingScore))</f>
        <v/>
      </c>
      <c r="K626" s="16" t="n"/>
      <c r="L626" s="16" t="n"/>
      <c r="M626" s="17">
        <f>IF($C626="","",IF($L626="","",IF(NOT(ISNUMBER($L626)),$L626,IF(N($K626)&gt;2,"",IF($K626=1,IF(COUNTIFS(nrES_PID,$D626,nrES_Code,$F626,nrES_Att,2,nrES_Raw,"&gt;=0")&gt;0,"",$L626),IF($L626&gt;=$J626,MAX($J626,cfgRetakeRecordedCap),IF(COUNTIFS(nrES_PID,$D626,nrES_Code,$F626,nrES_Att,1)=0,$L626,SUMIFS(nrES_Raw,nrES_PID,$D626,nrES_Code,$F626,nrES_Att,1))))))))</f>
        <v/>
      </c>
      <c r="N626" s="17">
        <f>IF($C626="","",IF($L626="","",IF(NOT(ISNUMBER($L626)),"(not a score)",IF($L626&gt;=$J626,"Yes","No"))))</f>
        <v/>
      </c>
      <c r="O626" s="17">
        <f>IF($C626="","",IF($M626="","",IF(NOT(ISNUMBER($M626)),"(not a score)",IF($M626&gt;=$J626,"Yes","No"))))</f>
        <v/>
      </c>
      <c r="P626" s="17">
        <f>IF($C626="","",IF($K626="","",IF(N($K626)&gt;2,"No",IF(COUNTIFS(nrES_PID,$D626,nrES_Code,$F626,nrES_Att,"&gt;"&amp;$K626,nrES_Att,"&lt;=2",nrES_Raw,"&gt;=0")=0,"Yes","No"))))</f>
        <v/>
      </c>
      <c r="Q626" s="17">
        <f>IF($C626="","",IF($L626="","",IF(AND($K626=1,ISNUMBER($L626),$L626&lt;$J626,COUNTIFS(nrES_PID,$D626,nrES_Code,$F626,nrES_Att,2,nrES_Raw,"&gt;=0")=0),"Yes","No")))</f>
        <v/>
      </c>
      <c r="R626" s="17">
        <f>IF($C626="","",IF($L626="","",IF(AND(N($K626)&gt;=2,ISNUMBER($L626),$L626&lt;$J626),"Yes","No")))</f>
        <v/>
      </c>
      <c r="S626" s="18" t="n"/>
      <c r="T626" s="19">
        <f>IF(OR($C626="",$L626="",$K626&lt;&gt;1,NOT(ISNUMBER($L626)),$L626&gt;=$J626),"",IF($S626="","(enter date)",_xlfn.LET(_xlpm.dn,_xlfn.XLOOKUP($S626,nrCDdate,nrCDnum,"",1),IF(_xlpm.dn="","(after last class day)",_xlfn.LET(_xlpm.dd,_xlfn.XLOOKUP(_xlpm.dn+cfgRetestClassDays,nrCDnum,nrCDdate,""),_xlpm.ok,_xlfn.XLOOKUP(_xlpm.dn+cfgRetestClassDays,nrCDnum,nrCDinsession,"No"),IF(OR(_xlpm.dd="",_xlpm.ok&lt;&gt;"Yes"),"(after last class day)",_xlpm.dd))))))</f>
        <v/>
      </c>
      <c r="U626" s="17">
        <f>IF($C626="","",IF(AND($Y626="Excused",$L626="",N($K626)&lt;=1),"EXCUSED - 1st attempt pending",IF(OR($L626="",$K626&lt;&gt;1,NOT(ISNUMBER($L626)),$L626&gt;=$J626),"",IF(COUNTIFS(nrES_PID,$D626,nrES_Code,$F626,nrES_Att,2,nrES_Raw,"&gt;=0")&gt;0,IF(IFERROR(_xlfn.MINIFS(nrES_Date,nrES_PID,$D626,nrES_Code,$F626,nrES_Att,2,nrES_Raw,"&gt;=0",nrES_Date,"&gt;0"),0)=0,"RETEST UNDATED",IF(NOT(ISNUMBER($T626)),"RETEST DATE UNCHECKED",IF(_xlfn.MINIFS(nrES_Date,nrES_PID,$D626,nrES_Code,$F626,nrES_Att,2,nrES_Raw,"&gt;=0",nrES_Date,"&gt;0")&gt;$T626,"LATE RETEST "&amp;TEXT(_xlfn.MINIFS(nrES_Date,nrES_PID,$D626,nrES_Code,$F626,nrES_Att,2,nrES_Raw,"&gt;=0",nrES_Date,"&gt;0"),"mm/dd")&amp;" (due "&amp;TEXT($T626,"mm/dd")&amp;")","Retested"))),IF(NOT(ISNUMBER($T626)),"CHECK DATE",IF(TODAY()&gt;$T626,"OVERDUE","Due "&amp;TEXT($T626,"mm/dd")))))))</f>
        <v/>
      </c>
      <c r="V626" s="16" t="n"/>
      <c r="W626" s="16" t="n"/>
      <c r="X626" s="17">
        <f>IF($C626="","",IF(AND($L626&lt;&gt;"",NOT(ISNUMBER($L626))),"RAW SCORE NOT A NUMBER",IF(AND(ISNUMBER($L626),OR($L626&lt;0,$L626&gt;100)),"RAW SCORE OUT OF RANGE",IF(AND($Y626="Unexcused",OR($L626="",NOT(ISNUMBER($L626)),$L626&lt;&gt;0)),"UNEXCUSED ABSENCE MUST RECORD 0",IF(COUNTIF(nrES_RecID,$B626)&gt;1,"DUPLICATE RECORD",IF(N($K626)&gt;2,"ATTEMPT 3+ NOT ALLOWED - policy 300.5 permits one retest per exam; this row records nothing",IF(AND($K626=2,COUNTIFS(nrES_PID,$D626,nrES_Code,$F626,nrES_Att,1)=0),"ATTEMPT 2 WITHOUT ATTEMPT 1",IF(AND($K626=2,$L626=""),"RETEST ROW HAS NO SCORE",IF(AND($H626="Final",$L626&lt;&gt;"",IFERROR(INDEX(nrCKfinalExamElig,MATCH($D626,rngCadetPIDs,0)),"")="No"),"FINAL EXAM AFTER FAILED FINAL PT (500.1.H)",IF(AND($K626=2,ISNUMBER($L626),COUNTIFS(nrES_PID,$D626,nrES_Code,$F626,nrES_Att,1)&gt;0,SUMIFS(nrES_Raw,nrES_PID,$D626,nrES_Code,$F626,nrES_Att,1)&gt;=$J626),"RETEST AFTER A PASSING FIRST ATTEMPT","OK"))))))))))</f>
        <v/>
      </c>
      <c r="Y626" s="16" t="n"/>
    </row>
    <row r="627">
      <c r="B627" s="17">
        <f>IF($C627="","",$D627&amp;"-"&amp;$F627&amp;"-"&amp;$K627)</f>
        <v/>
      </c>
      <c r="C627" s="16" t="n"/>
      <c r="D627" s="17">
        <f>IF($C627="","",IFERROR(INDEX(rngCadetPIDs,MATCH($C627,rngCadetNames,0)),"?"))</f>
        <v/>
      </c>
      <c r="E627" s="17">
        <f>IF($D627="","",IFERROR(INDEX(nrCadetAgency,MATCH($D627,rngCadetPIDs,0)),""))</f>
        <v/>
      </c>
      <c r="F627" s="16" t="n"/>
      <c r="G627" s="17">
        <f>IF($F627="","",IFERROR(INDEX(rngEPname,MATCH($F627,rngEPcode,0)),"?"))</f>
        <v/>
      </c>
      <c r="H627" s="17">
        <f>IF($F627="","",IFERROR(INDEX(rngEPtype,MATCH($F627,rngEPcode,0)),"?"))</f>
        <v/>
      </c>
      <c r="I627" s="17">
        <f>IF($F627="","",IFERROR(INDEX(rngEPseq,MATCH($F627,rngEPcode,0)),""))</f>
        <v/>
      </c>
      <c r="J627" s="17">
        <f>IF($F627="","",IFERROR(INDEX(rngEPpass,MATCH($F627,rngEPcode,0)),cfgPassingScore))</f>
        <v/>
      </c>
      <c r="K627" s="16" t="n"/>
      <c r="L627" s="16" t="n"/>
      <c r="M627" s="17">
        <f>IF($C627="","",IF($L627="","",IF(NOT(ISNUMBER($L627)),$L627,IF(N($K627)&gt;2,"",IF($K627=1,IF(COUNTIFS(nrES_PID,$D627,nrES_Code,$F627,nrES_Att,2,nrES_Raw,"&gt;=0")&gt;0,"",$L627),IF($L627&gt;=$J627,MAX($J627,cfgRetakeRecordedCap),IF(COUNTIFS(nrES_PID,$D627,nrES_Code,$F627,nrES_Att,1)=0,$L627,SUMIFS(nrES_Raw,nrES_PID,$D627,nrES_Code,$F627,nrES_Att,1))))))))</f>
        <v/>
      </c>
      <c r="N627" s="17">
        <f>IF($C627="","",IF($L627="","",IF(NOT(ISNUMBER($L627)),"(not a score)",IF($L627&gt;=$J627,"Yes","No"))))</f>
        <v/>
      </c>
      <c r="O627" s="17">
        <f>IF($C627="","",IF($M627="","",IF(NOT(ISNUMBER($M627)),"(not a score)",IF($M627&gt;=$J627,"Yes","No"))))</f>
        <v/>
      </c>
      <c r="P627" s="17">
        <f>IF($C627="","",IF($K627="","",IF(N($K627)&gt;2,"No",IF(COUNTIFS(nrES_PID,$D627,nrES_Code,$F627,nrES_Att,"&gt;"&amp;$K627,nrES_Att,"&lt;=2",nrES_Raw,"&gt;=0")=0,"Yes","No"))))</f>
        <v/>
      </c>
      <c r="Q627" s="17">
        <f>IF($C627="","",IF($L627="","",IF(AND($K627=1,ISNUMBER($L627),$L627&lt;$J627,COUNTIFS(nrES_PID,$D627,nrES_Code,$F627,nrES_Att,2,nrES_Raw,"&gt;=0")=0),"Yes","No")))</f>
        <v/>
      </c>
      <c r="R627" s="17">
        <f>IF($C627="","",IF($L627="","",IF(AND(N($K627)&gt;=2,ISNUMBER($L627),$L627&lt;$J627),"Yes","No")))</f>
        <v/>
      </c>
      <c r="S627" s="18" t="n"/>
      <c r="T627" s="19">
        <f>IF(OR($C627="",$L627="",$K627&lt;&gt;1,NOT(ISNUMBER($L627)),$L627&gt;=$J627),"",IF($S627="","(enter date)",_xlfn.LET(_xlpm.dn,_xlfn.XLOOKUP($S627,nrCDdate,nrCDnum,"",1),IF(_xlpm.dn="","(after last class day)",_xlfn.LET(_xlpm.dd,_xlfn.XLOOKUP(_xlpm.dn+cfgRetestClassDays,nrCDnum,nrCDdate,""),_xlpm.ok,_xlfn.XLOOKUP(_xlpm.dn+cfgRetestClassDays,nrCDnum,nrCDinsession,"No"),IF(OR(_xlpm.dd="",_xlpm.ok&lt;&gt;"Yes"),"(after last class day)",_xlpm.dd))))))</f>
        <v/>
      </c>
      <c r="U627" s="17">
        <f>IF($C627="","",IF(AND($Y627="Excused",$L627="",N($K627)&lt;=1),"EXCUSED - 1st attempt pending",IF(OR($L627="",$K627&lt;&gt;1,NOT(ISNUMBER($L627)),$L627&gt;=$J627),"",IF(COUNTIFS(nrES_PID,$D627,nrES_Code,$F627,nrES_Att,2,nrES_Raw,"&gt;=0")&gt;0,IF(IFERROR(_xlfn.MINIFS(nrES_Date,nrES_PID,$D627,nrES_Code,$F627,nrES_Att,2,nrES_Raw,"&gt;=0",nrES_Date,"&gt;0"),0)=0,"RETEST UNDATED",IF(NOT(ISNUMBER($T627)),"RETEST DATE UNCHECKED",IF(_xlfn.MINIFS(nrES_Date,nrES_PID,$D627,nrES_Code,$F627,nrES_Att,2,nrES_Raw,"&gt;=0",nrES_Date,"&gt;0")&gt;$T627,"LATE RETEST "&amp;TEXT(_xlfn.MINIFS(nrES_Date,nrES_PID,$D627,nrES_Code,$F627,nrES_Att,2,nrES_Raw,"&gt;=0",nrES_Date,"&gt;0"),"mm/dd")&amp;" (due "&amp;TEXT($T627,"mm/dd")&amp;")","Retested"))),IF(NOT(ISNUMBER($T627)),"CHECK DATE",IF(TODAY()&gt;$T627,"OVERDUE","Due "&amp;TEXT($T627,"mm/dd")))))))</f>
        <v/>
      </c>
      <c r="V627" s="16" t="n"/>
      <c r="W627" s="16" t="n"/>
      <c r="X627" s="17">
        <f>IF($C627="","",IF(AND($L627&lt;&gt;"",NOT(ISNUMBER($L627))),"RAW SCORE NOT A NUMBER",IF(AND(ISNUMBER($L627),OR($L627&lt;0,$L627&gt;100)),"RAW SCORE OUT OF RANGE",IF(AND($Y627="Unexcused",OR($L627="",NOT(ISNUMBER($L627)),$L627&lt;&gt;0)),"UNEXCUSED ABSENCE MUST RECORD 0",IF(COUNTIF(nrES_RecID,$B627)&gt;1,"DUPLICATE RECORD",IF(N($K627)&gt;2,"ATTEMPT 3+ NOT ALLOWED - policy 300.5 permits one retest per exam; this row records nothing",IF(AND($K627=2,COUNTIFS(nrES_PID,$D627,nrES_Code,$F627,nrES_Att,1)=0),"ATTEMPT 2 WITHOUT ATTEMPT 1",IF(AND($K627=2,$L627=""),"RETEST ROW HAS NO SCORE",IF(AND($H627="Final",$L627&lt;&gt;"",IFERROR(INDEX(nrCKfinalExamElig,MATCH($D627,rngCadetPIDs,0)),"")="No"),"FINAL EXAM AFTER FAILED FINAL PT (500.1.H)",IF(AND($K627=2,ISNUMBER($L627),COUNTIFS(nrES_PID,$D627,nrES_Code,$F627,nrES_Att,1)&gt;0,SUMIFS(nrES_Raw,nrES_PID,$D627,nrES_Code,$F627,nrES_Att,1)&gt;=$J627),"RETEST AFTER A PASSING FIRST ATTEMPT","OK"))))))))))</f>
        <v/>
      </c>
      <c r="Y627" s="16" t="n"/>
    </row>
    <row r="628">
      <c r="B628" s="17">
        <f>IF($C628="","",$D628&amp;"-"&amp;$F628&amp;"-"&amp;$K628)</f>
        <v/>
      </c>
      <c r="C628" s="16" t="n"/>
      <c r="D628" s="17">
        <f>IF($C628="","",IFERROR(INDEX(rngCadetPIDs,MATCH($C628,rngCadetNames,0)),"?"))</f>
        <v/>
      </c>
      <c r="E628" s="17">
        <f>IF($D628="","",IFERROR(INDEX(nrCadetAgency,MATCH($D628,rngCadetPIDs,0)),""))</f>
        <v/>
      </c>
      <c r="F628" s="16" t="n"/>
      <c r="G628" s="17">
        <f>IF($F628="","",IFERROR(INDEX(rngEPname,MATCH($F628,rngEPcode,0)),"?"))</f>
        <v/>
      </c>
      <c r="H628" s="17">
        <f>IF($F628="","",IFERROR(INDEX(rngEPtype,MATCH($F628,rngEPcode,0)),"?"))</f>
        <v/>
      </c>
      <c r="I628" s="17">
        <f>IF($F628="","",IFERROR(INDEX(rngEPseq,MATCH($F628,rngEPcode,0)),""))</f>
        <v/>
      </c>
      <c r="J628" s="17">
        <f>IF($F628="","",IFERROR(INDEX(rngEPpass,MATCH($F628,rngEPcode,0)),cfgPassingScore))</f>
        <v/>
      </c>
      <c r="K628" s="16" t="n"/>
      <c r="L628" s="16" t="n"/>
      <c r="M628" s="17">
        <f>IF($C628="","",IF($L628="","",IF(NOT(ISNUMBER($L628)),$L628,IF(N($K628)&gt;2,"",IF($K628=1,IF(COUNTIFS(nrES_PID,$D628,nrES_Code,$F628,nrES_Att,2,nrES_Raw,"&gt;=0")&gt;0,"",$L628),IF($L628&gt;=$J628,MAX($J628,cfgRetakeRecordedCap),IF(COUNTIFS(nrES_PID,$D628,nrES_Code,$F628,nrES_Att,1)=0,$L628,SUMIFS(nrES_Raw,nrES_PID,$D628,nrES_Code,$F628,nrES_Att,1))))))))</f>
        <v/>
      </c>
      <c r="N628" s="17">
        <f>IF($C628="","",IF($L628="","",IF(NOT(ISNUMBER($L628)),"(not a score)",IF($L628&gt;=$J628,"Yes","No"))))</f>
        <v/>
      </c>
      <c r="O628" s="17">
        <f>IF($C628="","",IF($M628="","",IF(NOT(ISNUMBER($M628)),"(not a score)",IF($M628&gt;=$J628,"Yes","No"))))</f>
        <v/>
      </c>
      <c r="P628" s="17">
        <f>IF($C628="","",IF($K628="","",IF(N($K628)&gt;2,"No",IF(COUNTIFS(nrES_PID,$D628,nrES_Code,$F628,nrES_Att,"&gt;"&amp;$K628,nrES_Att,"&lt;=2",nrES_Raw,"&gt;=0")=0,"Yes","No"))))</f>
        <v/>
      </c>
      <c r="Q628" s="17">
        <f>IF($C628="","",IF($L628="","",IF(AND($K628=1,ISNUMBER($L628),$L628&lt;$J628,COUNTIFS(nrES_PID,$D628,nrES_Code,$F628,nrES_Att,2,nrES_Raw,"&gt;=0")=0),"Yes","No")))</f>
        <v/>
      </c>
      <c r="R628" s="17">
        <f>IF($C628="","",IF($L628="","",IF(AND(N($K628)&gt;=2,ISNUMBER($L628),$L628&lt;$J628),"Yes","No")))</f>
        <v/>
      </c>
      <c r="S628" s="18" t="n"/>
      <c r="T628" s="19">
        <f>IF(OR($C628="",$L628="",$K628&lt;&gt;1,NOT(ISNUMBER($L628)),$L628&gt;=$J628),"",IF($S628="","(enter date)",_xlfn.LET(_xlpm.dn,_xlfn.XLOOKUP($S628,nrCDdate,nrCDnum,"",1),IF(_xlpm.dn="","(after last class day)",_xlfn.LET(_xlpm.dd,_xlfn.XLOOKUP(_xlpm.dn+cfgRetestClassDays,nrCDnum,nrCDdate,""),_xlpm.ok,_xlfn.XLOOKUP(_xlpm.dn+cfgRetestClassDays,nrCDnum,nrCDinsession,"No"),IF(OR(_xlpm.dd="",_xlpm.ok&lt;&gt;"Yes"),"(after last class day)",_xlpm.dd))))))</f>
        <v/>
      </c>
      <c r="U628" s="17">
        <f>IF($C628="","",IF(AND($Y628="Excused",$L628="",N($K628)&lt;=1),"EXCUSED - 1st attempt pending",IF(OR($L628="",$K628&lt;&gt;1,NOT(ISNUMBER($L628)),$L628&gt;=$J628),"",IF(COUNTIFS(nrES_PID,$D628,nrES_Code,$F628,nrES_Att,2,nrES_Raw,"&gt;=0")&gt;0,IF(IFERROR(_xlfn.MINIFS(nrES_Date,nrES_PID,$D628,nrES_Code,$F628,nrES_Att,2,nrES_Raw,"&gt;=0",nrES_Date,"&gt;0"),0)=0,"RETEST UNDATED",IF(NOT(ISNUMBER($T628)),"RETEST DATE UNCHECKED",IF(_xlfn.MINIFS(nrES_Date,nrES_PID,$D628,nrES_Code,$F628,nrES_Att,2,nrES_Raw,"&gt;=0",nrES_Date,"&gt;0")&gt;$T628,"LATE RETEST "&amp;TEXT(_xlfn.MINIFS(nrES_Date,nrES_PID,$D628,nrES_Code,$F628,nrES_Att,2,nrES_Raw,"&gt;=0",nrES_Date,"&gt;0"),"mm/dd")&amp;" (due "&amp;TEXT($T628,"mm/dd")&amp;")","Retested"))),IF(NOT(ISNUMBER($T628)),"CHECK DATE",IF(TODAY()&gt;$T628,"OVERDUE","Due "&amp;TEXT($T628,"mm/dd")))))))</f>
        <v/>
      </c>
      <c r="V628" s="16" t="n"/>
      <c r="W628" s="16" t="n"/>
      <c r="X628" s="17">
        <f>IF($C628="","",IF(AND($L628&lt;&gt;"",NOT(ISNUMBER($L628))),"RAW SCORE NOT A NUMBER",IF(AND(ISNUMBER($L628),OR($L628&lt;0,$L628&gt;100)),"RAW SCORE OUT OF RANGE",IF(AND($Y628="Unexcused",OR($L628="",NOT(ISNUMBER($L628)),$L628&lt;&gt;0)),"UNEXCUSED ABSENCE MUST RECORD 0",IF(COUNTIF(nrES_RecID,$B628)&gt;1,"DUPLICATE RECORD",IF(N($K628)&gt;2,"ATTEMPT 3+ NOT ALLOWED - policy 300.5 permits one retest per exam; this row records nothing",IF(AND($K628=2,COUNTIFS(nrES_PID,$D628,nrES_Code,$F628,nrES_Att,1)=0),"ATTEMPT 2 WITHOUT ATTEMPT 1",IF(AND($K628=2,$L628=""),"RETEST ROW HAS NO SCORE",IF(AND($H628="Final",$L628&lt;&gt;"",IFERROR(INDEX(nrCKfinalExamElig,MATCH($D628,rngCadetPIDs,0)),"")="No"),"FINAL EXAM AFTER FAILED FINAL PT (500.1.H)",IF(AND($K628=2,ISNUMBER($L628),COUNTIFS(nrES_PID,$D628,nrES_Code,$F628,nrES_Att,1)&gt;0,SUMIFS(nrES_Raw,nrES_PID,$D628,nrES_Code,$F628,nrES_Att,1)&gt;=$J628),"RETEST AFTER A PASSING FIRST ATTEMPT","OK"))))))))))</f>
        <v/>
      </c>
      <c r="Y628" s="16" t="n"/>
    </row>
    <row r="629">
      <c r="B629" s="17">
        <f>IF($C629="","",$D629&amp;"-"&amp;$F629&amp;"-"&amp;$K629)</f>
        <v/>
      </c>
      <c r="C629" s="16" t="n"/>
      <c r="D629" s="17">
        <f>IF($C629="","",IFERROR(INDEX(rngCadetPIDs,MATCH($C629,rngCadetNames,0)),"?"))</f>
        <v/>
      </c>
      <c r="E629" s="17">
        <f>IF($D629="","",IFERROR(INDEX(nrCadetAgency,MATCH($D629,rngCadetPIDs,0)),""))</f>
        <v/>
      </c>
      <c r="F629" s="16" t="n"/>
      <c r="G629" s="17">
        <f>IF($F629="","",IFERROR(INDEX(rngEPname,MATCH($F629,rngEPcode,0)),"?"))</f>
        <v/>
      </c>
      <c r="H629" s="17">
        <f>IF($F629="","",IFERROR(INDEX(rngEPtype,MATCH($F629,rngEPcode,0)),"?"))</f>
        <v/>
      </c>
      <c r="I629" s="17">
        <f>IF($F629="","",IFERROR(INDEX(rngEPseq,MATCH($F629,rngEPcode,0)),""))</f>
        <v/>
      </c>
      <c r="J629" s="17">
        <f>IF($F629="","",IFERROR(INDEX(rngEPpass,MATCH($F629,rngEPcode,0)),cfgPassingScore))</f>
        <v/>
      </c>
      <c r="K629" s="16" t="n"/>
      <c r="L629" s="16" t="n"/>
      <c r="M629" s="17">
        <f>IF($C629="","",IF($L629="","",IF(NOT(ISNUMBER($L629)),$L629,IF(N($K629)&gt;2,"",IF($K629=1,IF(COUNTIFS(nrES_PID,$D629,nrES_Code,$F629,nrES_Att,2,nrES_Raw,"&gt;=0")&gt;0,"",$L629),IF($L629&gt;=$J629,MAX($J629,cfgRetakeRecordedCap),IF(COUNTIFS(nrES_PID,$D629,nrES_Code,$F629,nrES_Att,1)=0,$L629,SUMIFS(nrES_Raw,nrES_PID,$D629,nrES_Code,$F629,nrES_Att,1))))))))</f>
        <v/>
      </c>
      <c r="N629" s="17">
        <f>IF($C629="","",IF($L629="","",IF(NOT(ISNUMBER($L629)),"(not a score)",IF($L629&gt;=$J629,"Yes","No"))))</f>
        <v/>
      </c>
      <c r="O629" s="17">
        <f>IF($C629="","",IF($M629="","",IF(NOT(ISNUMBER($M629)),"(not a score)",IF($M629&gt;=$J629,"Yes","No"))))</f>
        <v/>
      </c>
      <c r="P629" s="17">
        <f>IF($C629="","",IF($K629="","",IF(N($K629)&gt;2,"No",IF(COUNTIFS(nrES_PID,$D629,nrES_Code,$F629,nrES_Att,"&gt;"&amp;$K629,nrES_Att,"&lt;=2",nrES_Raw,"&gt;=0")=0,"Yes","No"))))</f>
        <v/>
      </c>
      <c r="Q629" s="17">
        <f>IF($C629="","",IF($L629="","",IF(AND($K629=1,ISNUMBER($L629),$L629&lt;$J629,COUNTIFS(nrES_PID,$D629,nrES_Code,$F629,nrES_Att,2,nrES_Raw,"&gt;=0")=0),"Yes","No")))</f>
        <v/>
      </c>
      <c r="R629" s="17">
        <f>IF($C629="","",IF($L629="","",IF(AND(N($K629)&gt;=2,ISNUMBER($L629),$L629&lt;$J629),"Yes","No")))</f>
        <v/>
      </c>
      <c r="S629" s="18" t="n"/>
      <c r="T629" s="19">
        <f>IF(OR($C629="",$L629="",$K629&lt;&gt;1,NOT(ISNUMBER($L629)),$L629&gt;=$J629),"",IF($S629="","(enter date)",_xlfn.LET(_xlpm.dn,_xlfn.XLOOKUP($S629,nrCDdate,nrCDnum,"",1),IF(_xlpm.dn="","(after last class day)",_xlfn.LET(_xlpm.dd,_xlfn.XLOOKUP(_xlpm.dn+cfgRetestClassDays,nrCDnum,nrCDdate,""),_xlpm.ok,_xlfn.XLOOKUP(_xlpm.dn+cfgRetestClassDays,nrCDnum,nrCDinsession,"No"),IF(OR(_xlpm.dd="",_xlpm.ok&lt;&gt;"Yes"),"(after last class day)",_xlpm.dd))))))</f>
        <v/>
      </c>
      <c r="U629" s="17">
        <f>IF($C629="","",IF(AND($Y629="Excused",$L629="",N($K629)&lt;=1),"EXCUSED - 1st attempt pending",IF(OR($L629="",$K629&lt;&gt;1,NOT(ISNUMBER($L629)),$L629&gt;=$J629),"",IF(COUNTIFS(nrES_PID,$D629,nrES_Code,$F629,nrES_Att,2,nrES_Raw,"&gt;=0")&gt;0,IF(IFERROR(_xlfn.MINIFS(nrES_Date,nrES_PID,$D629,nrES_Code,$F629,nrES_Att,2,nrES_Raw,"&gt;=0",nrES_Date,"&gt;0"),0)=0,"RETEST UNDATED",IF(NOT(ISNUMBER($T629)),"RETEST DATE UNCHECKED",IF(_xlfn.MINIFS(nrES_Date,nrES_PID,$D629,nrES_Code,$F629,nrES_Att,2,nrES_Raw,"&gt;=0",nrES_Date,"&gt;0")&gt;$T629,"LATE RETEST "&amp;TEXT(_xlfn.MINIFS(nrES_Date,nrES_PID,$D629,nrES_Code,$F629,nrES_Att,2,nrES_Raw,"&gt;=0",nrES_Date,"&gt;0"),"mm/dd")&amp;" (due "&amp;TEXT($T629,"mm/dd")&amp;")","Retested"))),IF(NOT(ISNUMBER($T629)),"CHECK DATE",IF(TODAY()&gt;$T629,"OVERDUE","Due "&amp;TEXT($T629,"mm/dd")))))))</f>
        <v/>
      </c>
      <c r="V629" s="16" t="n"/>
      <c r="W629" s="16" t="n"/>
      <c r="X629" s="17">
        <f>IF($C629="","",IF(AND($L629&lt;&gt;"",NOT(ISNUMBER($L629))),"RAW SCORE NOT A NUMBER",IF(AND(ISNUMBER($L629),OR($L629&lt;0,$L629&gt;100)),"RAW SCORE OUT OF RANGE",IF(AND($Y629="Unexcused",OR($L629="",NOT(ISNUMBER($L629)),$L629&lt;&gt;0)),"UNEXCUSED ABSENCE MUST RECORD 0",IF(COUNTIF(nrES_RecID,$B629)&gt;1,"DUPLICATE RECORD",IF(N($K629)&gt;2,"ATTEMPT 3+ NOT ALLOWED - policy 300.5 permits one retest per exam; this row records nothing",IF(AND($K629=2,COUNTIFS(nrES_PID,$D629,nrES_Code,$F629,nrES_Att,1)=0),"ATTEMPT 2 WITHOUT ATTEMPT 1",IF(AND($K629=2,$L629=""),"RETEST ROW HAS NO SCORE",IF(AND($H629="Final",$L629&lt;&gt;"",IFERROR(INDEX(nrCKfinalExamElig,MATCH($D629,rngCadetPIDs,0)),"")="No"),"FINAL EXAM AFTER FAILED FINAL PT (500.1.H)",IF(AND($K629=2,ISNUMBER($L629),COUNTIFS(nrES_PID,$D629,nrES_Code,$F629,nrES_Att,1)&gt;0,SUMIFS(nrES_Raw,nrES_PID,$D629,nrES_Code,$F629,nrES_Att,1)&gt;=$J629),"RETEST AFTER A PASSING FIRST ATTEMPT","OK"))))))))))</f>
        <v/>
      </c>
      <c r="Y629" s="16" t="n"/>
    </row>
    <row r="630">
      <c r="B630" s="17">
        <f>IF($C630="","",$D630&amp;"-"&amp;$F630&amp;"-"&amp;$K630)</f>
        <v/>
      </c>
      <c r="C630" s="16" t="n"/>
      <c r="D630" s="17">
        <f>IF($C630="","",IFERROR(INDEX(rngCadetPIDs,MATCH($C630,rngCadetNames,0)),"?"))</f>
        <v/>
      </c>
      <c r="E630" s="17">
        <f>IF($D630="","",IFERROR(INDEX(nrCadetAgency,MATCH($D630,rngCadetPIDs,0)),""))</f>
        <v/>
      </c>
      <c r="F630" s="16" t="n"/>
      <c r="G630" s="17">
        <f>IF($F630="","",IFERROR(INDEX(rngEPname,MATCH($F630,rngEPcode,0)),"?"))</f>
        <v/>
      </c>
      <c r="H630" s="17">
        <f>IF($F630="","",IFERROR(INDEX(rngEPtype,MATCH($F630,rngEPcode,0)),"?"))</f>
        <v/>
      </c>
      <c r="I630" s="17">
        <f>IF($F630="","",IFERROR(INDEX(rngEPseq,MATCH($F630,rngEPcode,0)),""))</f>
        <v/>
      </c>
      <c r="J630" s="17">
        <f>IF($F630="","",IFERROR(INDEX(rngEPpass,MATCH($F630,rngEPcode,0)),cfgPassingScore))</f>
        <v/>
      </c>
      <c r="K630" s="16" t="n"/>
      <c r="L630" s="16" t="n"/>
      <c r="M630" s="17">
        <f>IF($C630="","",IF($L630="","",IF(NOT(ISNUMBER($L630)),$L630,IF(N($K630)&gt;2,"",IF($K630=1,IF(COUNTIFS(nrES_PID,$D630,nrES_Code,$F630,nrES_Att,2,nrES_Raw,"&gt;=0")&gt;0,"",$L630),IF($L630&gt;=$J630,MAX($J630,cfgRetakeRecordedCap),IF(COUNTIFS(nrES_PID,$D630,nrES_Code,$F630,nrES_Att,1)=0,$L630,SUMIFS(nrES_Raw,nrES_PID,$D630,nrES_Code,$F630,nrES_Att,1))))))))</f>
        <v/>
      </c>
      <c r="N630" s="17">
        <f>IF($C630="","",IF($L630="","",IF(NOT(ISNUMBER($L630)),"(not a score)",IF($L630&gt;=$J630,"Yes","No"))))</f>
        <v/>
      </c>
      <c r="O630" s="17">
        <f>IF($C630="","",IF($M630="","",IF(NOT(ISNUMBER($M630)),"(not a score)",IF($M630&gt;=$J630,"Yes","No"))))</f>
        <v/>
      </c>
      <c r="P630" s="17">
        <f>IF($C630="","",IF($K630="","",IF(N($K630)&gt;2,"No",IF(COUNTIFS(nrES_PID,$D630,nrES_Code,$F630,nrES_Att,"&gt;"&amp;$K630,nrES_Att,"&lt;=2",nrES_Raw,"&gt;=0")=0,"Yes","No"))))</f>
        <v/>
      </c>
      <c r="Q630" s="17">
        <f>IF($C630="","",IF($L630="","",IF(AND($K630=1,ISNUMBER($L630),$L630&lt;$J630,COUNTIFS(nrES_PID,$D630,nrES_Code,$F630,nrES_Att,2,nrES_Raw,"&gt;=0")=0),"Yes","No")))</f>
        <v/>
      </c>
      <c r="R630" s="17">
        <f>IF($C630="","",IF($L630="","",IF(AND(N($K630)&gt;=2,ISNUMBER($L630),$L630&lt;$J630),"Yes","No")))</f>
        <v/>
      </c>
      <c r="S630" s="18" t="n"/>
      <c r="T630" s="19">
        <f>IF(OR($C630="",$L630="",$K630&lt;&gt;1,NOT(ISNUMBER($L630)),$L630&gt;=$J630),"",IF($S630="","(enter date)",_xlfn.LET(_xlpm.dn,_xlfn.XLOOKUP($S630,nrCDdate,nrCDnum,"",1),IF(_xlpm.dn="","(after last class day)",_xlfn.LET(_xlpm.dd,_xlfn.XLOOKUP(_xlpm.dn+cfgRetestClassDays,nrCDnum,nrCDdate,""),_xlpm.ok,_xlfn.XLOOKUP(_xlpm.dn+cfgRetestClassDays,nrCDnum,nrCDinsession,"No"),IF(OR(_xlpm.dd="",_xlpm.ok&lt;&gt;"Yes"),"(after last class day)",_xlpm.dd))))))</f>
        <v/>
      </c>
      <c r="U630" s="17">
        <f>IF($C630="","",IF(AND($Y630="Excused",$L630="",N($K630)&lt;=1),"EXCUSED - 1st attempt pending",IF(OR($L630="",$K630&lt;&gt;1,NOT(ISNUMBER($L630)),$L630&gt;=$J630),"",IF(COUNTIFS(nrES_PID,$D630,nrES_Code,$F630,nrES_Att,2,nrES_Raw,"&gt;=0")&gt;0,IF(IFERROR(_xlfn.MINIFS(nrES_Date,nrES_PID,$D630,nrES_Code,$F630,nrES_Att,2,nrES_Raw,"&gt;=0",nrES_Date,"&gt;0"),0)=0,"RETEST UNDATED",IF(NOT(ISNUMBER($T630)),"RETEST DATE UNCHECKED",IF(_xlfn.MINIFS(nrES_Date,nrES_PID,$D630,nrES_Code,$F630,nrES_Att,2,nrES_Raw,"&gt;=0",nrES_Date,"&gt;0")&gt;$T630,"LATE RETEST "&amp;TEXT(_xlfn.MINIFS(nrES_Date,nrES_PID,$D630,nrES_Code,$F630,nrES_Att,2,nrES_Raw,"&gt;=0",nrES_Date,"&gt;0"),"mm/dd")&amp;" (due "&amp;TEXT($T630,"mm/dd")&amp;")","Retested"))),IF(NOT(ISNUMBER($T630)),"CHECK DATE",IF(TODAY()&gt;$T630,"OVERDUE","Due "&amp;TEXT($T630,"mm/dd")))))))</f>
        <v/>
      </c>
      <c r="V630" s="16" t="n"/>
      <c r="W630" s="16" t="n"/>
      <c r="X630" s="17">
        <f>IF($C630="","",IF(AND($L630&lt;&gt;"",NOT(ISNUMBER($L630))),"RAW SCORE NOT A NUMBER",IF(AND(ISNUMBER($L630),OR($L630&lt;0,$L630&gt;100)),"RAW SCORE OUT OF RANGE",IF(AND($Y630="Unexcused",OR($L630="",NOT(ISNUMBER($L630)),$L630&lt;&gt;0)),"UNEXCUSED ABSENCE MUST RECORD 0",IF(COUNTIF(nrES_RecID,$B630)&gt;1,"DUPLICATE RECORD",IF(N($K630)&gt;2,"ATTEMPT 3+ NOT ALLOWED - policy 300.5 permits one retest per exam; this row records nothing",IF(AND($K630=2,COUNTIFS(nrES_PID,$D630,nrES_Code,$F630,nrES_Att,1)=0),"ATTEMPT 2 WITHOUT ATTEMPT 1",IF(AND($K630=2,$L630=""),"RETEST ROW HAS NO SCORE",IF(AND($H630="Final",$L630&lt;&gt;"",IFERROR(INDEX(nrCKfinalExamElig,MATCH($D630,rngCadetPIDs,0)),"")="No"),"FINAL EXAM AFTER FAILED FINAL PT (500.1.H)",IF(AND($K630=2,ISNUMBER($L630),COUNTIFS(nrES_PID,$D630,nrES_Code,$F630,nrES_Att,1)&gt;0,SUMIFS(nrES_Raw,nrES_PID,$D630,nrES_Code,$F630,nrES_Att,1)&gt;=$J630),"RETEST AFTER A PASSING FIRST ATTEMPT","OK"))))))))))</f>
        <v/>
      </c>
      <c r="Y630" s="16" t="n"/>
    </row>
    <row r="631">
      <c r="B631" s="17">
        <f>IF($C631="","",$D631&amp;"-"&amp;$F631&amp;"-"&amp;$K631)</f>
        <v/>
      </c>
      <c r="C631" s="16" t="n"/>
      <c r="D631" s="17">
        <f>IF($C631="","",IFERROR(INDEX(rngCadetPIDs,MATCH($C631,rngCadetNames,0)),"?"))</f>
        <v/>
      </c>
      <c r="E631" s="17">
        <f>IF($D631="","",IFERROR(INDEX(nrCadetAgency,MATCH($D631,rngCadetPIDs,0)),""))</f>
        <v/>
      </c>
      <c r="F631" s="16" t="n"/>
      <c r="G631" s="17">
        <f>IF($F631="","",IFERROR(INDEX(rngEPname,MATCH($F631,rngEPcode,0)),"?"))</f>
        <v/>
      </c>
      <c r="H631" s="17">
        <f>IF($F631="","",IFERROR(INDEX(rngEPtype,MATCH($F631,rngEPcode,0)),"?"))</f>
        <v/>
      </c>
      <c r="I631" s="17">
        <f>IF($F631="","",IFERROR(INDEX(rngEPseq,MATCH($F631,rngEPcode,0)),""))</f>
        <v/>
      </c>
      <c r="J631" s="17">
        <f>IF($F631="","",IFERROR(INDEX(rngEPpass,MATCH($F631,rngEPcode,0)),cfgPassingScore))</f>
        <v/>
      </c>
      <c r="K631" s="16" t="n"/>
      <c r="L631" s="16" t="n"/>
      <c r="M631" s="17">
        <f>IF($C631="","",IF($L631="","",IF(NOT(ISNUMBER($L631)),$L631,IF(N($K631)&gt;2,"",IF($K631=1,IF(COUNTIFS(nrES_PID,$D631,nrES_Code,$F631,nrES_Att,2,nrES_Raw,"&gt;=0")&gt;0,"",$L631),IF($L631&gt;=$J631,MAX($J631,cfgRetakeRecordedCap),IF(COUNTIFS(nrES_PID,$D631,nrES_Code,$F631,nrES_Att,1)=0,$L631,SUMIFS(nrES_Raw,nrES_PID,$D631,nrES_Code,$F631,nrES_Att,1))))))))</f>
        <v/>
      </c>
      <c r="N631" s="17">
        <f>IF($C631="","",IF($L631="","",IF(NOT(ISNUMBER($L631)),"(not a score)",IF($L631&gt;=$J631,"Yes","No"))))</f>
        <v/>
      </c>
      <c r="O631" s="17">
        <f>IF($C631="","",IF($M631="","",IF(NOT(ISNUMBER($M631)),"(not a score)",IF($M631&gt;=$J631,"Yes","No"))))</f>
        <v/>
      </c>
      <c r="P631" s="17">
        <f>IF($C631="","",IF($K631="","",IF(N($K631)&gt;2,"No",IF(COUNTIFS(nrES_PID,$D631,nrES_Code,$F631,nrES_Att,"&gt;"&amp;$K631,nrES_Att,"&lt;=2",nrES_Raw,"&gt;=0")=0,"Yes","No"))))</f>
        <v/>
      </c>
      <c r="Q631" s="17">
        <f>IF($C631="","",IF($L631="","",IF(AND($K631=1,ISNUMBER($L631),$L631&lt;$J631,COUNTIFS(nrES_PID,$D631,nrES_Code,$F631,nrES_Att,2,nrES_Raw,"&gt;=0")=0),"Yes","No")))</f>
        <v/>
      </c>
      <c r="R631" s="17">
        <f>IF($C631="","",IF($L631="","",IF(AND(N($K631)&gt;=2,ISNUMBER($L631),$L631&lt;$J631),"Yes","No")))</f>
        <v/>
      </c>
      <c r="S631" s="18" t="n"/>
      <c r="T631" s="19">
        <f>IF(OR($C631="",$L631="",$K631&lt;&gt;1,NOT(ISNUMBER($L631)),$L631&gt;=$J631),"",IF($S631="","(enter date)",_xlfn.LET(_xlpm.dn,_xlfn.XLOOKUP($S631,nrCDdate,nrCDnum,"",1),IF(_xlpm.dn="","(after last class day)",_xlfn.LET(_xlpm.dd,_xlfn.XLOOKUP(_xlpm.dn+cfgRetestClassDays,nrCDnum,nrCDdate,""),_xlpm.ok,_xlfn.XLOOKUP(_xlpm.dn+cfgRetestClassDays,nrCDnum,nrCDinsession,"No"),IF(OR(_xlpm.dd="",_xlpm.ok&lt;&gt;"Yes"),"(after last class day)",_xlpm.dd))))))</f>
        <v/>
      </c>
      <c r="U631" s="17">
        <f>IF($C631="","",IF(AND($Y631="Excused",$L631="",N($K631)&lt;=1),"EXCUSED - 1st attempt pending",IF(OR($L631="",$K631&lt;&gt;1,NOT(ISNUMBER($L631)),$L631&gt;=$J631),"",IF(COUNTIFS(nrES_PID,$D631,nrES_Code,$F631,nrES_Att,2,nrES_Raw,"&gt;=0")&gt;0,IF(IFERROR(_xlfn.MINIFS(nrES_Date,nrES_PID,$D631,nrES_Code,$F631,nrES_Att,2,nrES_Raw,"&gt;=0",nrES_Date,"&gt;0"),0)=0,"RETEST UNDATED",IF(NOT(ISNUMBER($T631)),"RETEST DATE UNCHECKED",IF(_xlfn.MINIFS(nrES_Date,nrES_PID,$D631,nrES_Code,$F631,nrES_Att,2,nrES_Raw,"&gt;=0",nrES_Date,"&gt;0")&gt;$T631,"LATE RETEST "&amp;TEXT(_xlfn.MINIFS(nrES_Date,nrES_PID,$D631,nrES_Code,$F631,nrES_Att,2,nrES_Raw,"&gt;=0",nrES_Date,"&gt;0"),"mm/dd")&amp;" (due "&amp;TEXT($T631,"mm/dd")&amp;")","Retested"))),IF(NOT(ISNUMBER($T631)),"CHECK DATE",IF(TODAY()&gt;$T631,"OVERDUE","Due "&amp;TEXT($T631,"mm/dd")))))))</f>
        <v/>
      </c>
      <c r="V631" s="16" t="n"/>
      <c r="W631" s="16" t="n"/>
      <c r="X631" s="17">
        <f>IF($C631="","",IF(AND($L631&lt;&gt;"",NOT(ISNUMBER($L631))),"RAW SCORE NOT A NUMBER",IF(AND(ISNUMBER($L631),OR($L631&lt;0,$L631&gt;100)),"RAW SCORE OUT OF RANGE",IF(AND($Y631="Unexcused",OR($L631="",NOT(ISNUMBER($L631)),$L631&lt;&gt;0)),"UNEXCUSED ABSENCE MUST RECORD 0",IF(COUNTIF(nrES_RecID,$B631)&gt;1,"DUPLICATE RECORD",IF(N($K631)&gt;2,"ATTEMPT 3+ NOT ALLOWED - policy 300.5 permits one retest per exam; this row records nothing",IF(AND($K631=2,COUNTIFS(nrES_PID,$D631,nrES_Code,$F631,nrES_Att,1)=0),"ATTEMPT 2 WITHOUT ATTEMPT 1",IF(AND($K631=2,$L631=""),"RETEST ROW HAS NO SCORE",IF(AND($H631="Final",$L631&lt;&gt;"",IFERROR(INDEX(nrCKfinalExamElig,MATCH($D631,rngCadetPIDs,0)),"")="No"),"FINAL EXAM AFTER FAILED FINAL PT (500.1.H)",IF(AND($K631=2,ISNUMBER($L631),COUNTIFS(nrES_PID,$D631,nrES_Code,$F631,nrES_Att,1)&gt;0,SUMIFS(nrES_Raw,nrES_PID,$D631,nrES_Code,$F631,nrES_Att,1)&gt;=$J631),"RETEST AFTER A PASSING FIRST ATTEMPT","OK"))))))))))</f>
        <v/>
      </c>
      <c r="Y631" s="16" t="n"/>
    </row>
    <row r="632">
      <c r="B632" s="17">
        <f>IF($C632="","",$D632&amp;"-"&amp;$F632&amp;"-"&amp;$K632)</f>
        <v/>
      </c>
      <c r="C632" s="16" t="n"/>
      <c r="D632" s="17">
        <f>IF($C632="","",IFERROR(INDEX(rngCadetPIDs,MATCH($C632,rngCadetNames,0)),"?"))</f>
        <v/>
      </c>
      <c r="E632" s="17">
        <f>IF($D632="","",IFERROR(INDEX(nrCadetAgency,MATCH($D632,rngCadetPIDs,0)),""))</f>
        <v/>
      </c>
      <c r="F632" s="16" t="n"/>
      <c r="G632" s="17">
        <f>IF($F632="","",IFERROR(INDEX(rngEPname,MATCH($F632,rngEPcode,0)),"?"))</f>
        <v/>
      </c>
      <c r="H632" s="17">
        <f>IF($F632="","",IFERROR(INDEX(rngEPtype,MATCH($F632,rngEPcode,0)),"?"))</f>
        <v/>
      </c>
      <c r="I632" s="17">
        <f>IF($F632="","",IFERROR(INDEX(rngEPseq,MATCH($F632,rngEPcode,0)),""))</f>
        <v/>
      </c>
      <c r="J632" s="17">
        <f>IF($F632="","",IFERROR(INDEX(rngEPpass,MATCH($F632,rngEPcode,0)),cfgPassingScore))</f>
        <v/>
      </c>
      <c r="K632" s="16" t="n"/>
      <c r="L632" s="16" t="n"/>
      <c r="M632" s="17">
        <f>IF($C632="","",IF($L632="","",IF(NOT(ISNUMBER($L632)),$L632,IF(N($K632)&gt;2,"",IF($K632=1,IF(COUNTIFS(nrES_PID,$D632,nrES_Code,$F632,nrES_Att,2,nrES_Raw,"&gt;=0")&gt;0,"",$L632),IF($L632&gt;=$J632,MAX($J632,cfgRetakeRecordedCap),IF(COUNTIFS(nrES_PID,$D632,nrES_Code,$F632,nrES_Att,1)=0,$L632,SUMIFS(nrES_Raw,nrES_PID,$D632,nrES_Code,$F632,nrES_Att,1))))))))</f>
        <v/>
      </c>
      <c r="N632" s="17">
        <f>IF($C632="","",IF($L632="","",IF(NOT(ISNUMBER($L632)),"(not a score)",IF($L632&gt;=$J632,"Yes","No"))))</f>
        <v/>
      </c>
      <c r="O632" s="17">
        <f>IF($C632="","",IF($M632="","",IF(NOT(ISNUMBER($M632)),"(not a score)",IF($M632&gt;=$J632,"Yes","No"))))</f>
        <v/>
      </c>
      <c r="P632" s="17">
        <f>IF($C632="","",IF($K632="","",IF(N($K632)&gt;2,"No",IF(COUNTIFS(nrES_PID,$D632,nrES_Code,$F632,nrES_Att,"&gt;"&amp;$K632,nrES_Att,"&lt;=2",nrES_Raw,"&gt;=0")=0,"Yes","No"))))</f>
        <v/>
      </c>
      <c r="Q632" s="17">
        <f>IF($C632="","",IF($L632="","",IF(AND($K632=1,ISNUMBER($L632),$L632&lt;$J632,COUNTIFS(nrES_PID,$D632,nrES_Code,$F632,nrES_Att,2,nrES_Raw,"&gt;=0")=0),"Yes","No")))</f>
        <v/>
      </c>
      <c r="R632" s="17">
        <f>IF($C632="","",IF($L632="","",IF(AND(N($K632)&gt;=2,ISNUMBER($L632),$L632&lt;$J632),"Yes","No")))</f>
        <v/>
      </c>
      <c r="S632" s="18" t="n"/>
      <c r="T632" s="19">
        <f>IF(OR($C632="",$L632="",$K632&lt;&gt;1,NOT(ISNUMBER($L632)),$L632&gt;=$J632),"",IF($S632="","(enter date)",_xlfn.LET(_xlpm.dn,_xlfn.XLOOKUP($S632,nrCDdate,nrCDnum,"",1),IF(_xlpm.dn="","(after last class day)",_xlfn.LET(_xlpm.dd,_xlfn.XLOOKUP(_xlpm.dn+cfgRetestClassDays,nrCDnum,nrCDdate,""),_xlpm.ok,_xlfn.XLOOKUP(_xlpm.dn+cfgRetestClassDays,nrCDnum,nrCDinsession,"No"),IF(OR(_xlpm.dd="",_xlpm.ok&lt;&gt;"Yes"),"(after last class day)",_xlpm.dd))))))</f>
        <v/>
      </c>
      <c r="U632" s="17">
        <f>IF($C632="","",IF(AND($Y632="Excused",$L632="",N($K632)&lt;=1),"EXCUSED - 1st attempt pending",IF(OR($L632="",$K632&lt;&gt;1,NOT(ISNUMBER($L632)),$L632&gt;=$J632),"",IF(COUNTIFS(nrES_PID,$D632,nrES_Code,$F632,nrES_Att,2,nrES_Raw,"&gt;=0")&gt;0,IF(IFERROR(_xlfn.MINIFS(nrES_Date,nrES_PID,$D632,nrES_Code,$F632,nrES_Att,2,nrES_Raw,"&gt;=0",nrES_Date,"&gt;0"),0)=0,"RETEST UNDATED",IF(NOT(ISNUMBER($T632)),"RETEST DATE UNCHECKED",IF(_xlfn.MINIFS(nrES_Date,nrES_PID,$D632,nrES_Code,$F632,nrES_Att,2,nrES_Raw,"&gt;=0",nrES_Date,"&gt;0")&gt;$T632,"LATE RETEST "&amp;TEXT(_xlfn.MINIFS(nrES_Date,nrES_PID,$D632,nrES_Code,$F632,nrES_Att,2,nrES_Raw,"&gt;=0",nrES_Date,"&gt;0"),"mm/dd")&amp;" (due "&amp;TEXT($T632,"mm/dd")&amp;")","Retested"))),IF(NOT(ISNUMBER($T632)),"CHECK DATE",IF(TODAY()&gt;$T632,"OVERDUE","Due "&amp;TEXT($T632,"mm/dd")))))))</f>
        <v/>
      </c>
      <c r="V632" s="16" t="n"/>
      <c r="W632" s="16" t="n"/>
      <c r="X632" s="17">
        <f>IF($C632="","",IF(AND($L632&lt;&gt;"",NOT(ISNUMBER($L632))),"RAW SCORE NOT A NUMBER",IF(AND(ISNUMBER($L632),OR($L632&lt;0,$L632&gt;100)),"RAW SCORE OUT OF RANGE",IF(AND($Y632="Unexcused",OR($L632="",NOT(ISNUMBER($L632)),$L632&lt;&gt;0)),"UNEXCUSED ABSENCE MUST RECORD 0",IF(COUNTIF(nrES_RecID,$B632)&gt;1,"DUPLICATE RECORD",IF(N($K632)&gt;2,"ATTEMPT 3+ NOT ALLOWED - policy 300.5 permits one retest per exam; this row records nothing",IF(AND($K632=2,COUNTIFS(nrES_PID,$D632,nrES_Code,$F632,nrES_Att,1)=0),"ATTEMPT 2 WITHOUT ATTEMPT 1",IF(AND($K632=2,$L632=""),"RETEST ROW HAS NO SCORE",IF(AND($H632="Final",$L632&lt;&gt;"",IFERROR(INDEX(nrCKfinalExamElig,MATCH($D632,rngCadetPIDs,0)),"")="No"),"FINAL EXAM AFTER FAILED FINAL PT (500.1.H)",IF(AND($K632=2,ISNUMBER($L632),COUNTIFS(nrES_PID,$D632,nrES_Code,$F632,nrES_Att,1)&gt;0,SUMIFS(nrES_Raw,nrES_PID,$D632,nrES_Code,$F632,nrES_Att,1)&gt;=$J632),"RETEST AFTER A PASSING FIRST ATTEMPT","OK"))))))))))</f>
        <v/>
      </c>
      <c r="Y632" s="16" t="n"/>
    </row>
    <row r="633">
      <c r="B633" s="17">
        <f>IF($C633="","",$D633&amp;"-"&amp;$F633&amp;"-"&amp;$K633)</f>
        <v/>
      </c>
      <c r="C633" s="16" t="n"/>
      <c r="D633" s="17">
        <f>IF($C633="","",IFERROR(INDEX(rngCadetPIDs,MATCH($C633,rngCadetNames,0)),"?"))</f>
        <v/>
      </c>
      <c r="E633" s="17">
        <f>IF($D633="","",IFERROR(INDEX(nrCadetAgency,MATCH($D633,rngCadetPIDs,0)),""))</f>
        <v/>
      </c>
      <c r="F633" s="16" t="n"/>
      <c r="G633" s="17">
        <f>IF($F633="","",IFERROR(INDEX(rngEPname,MATCH($F633,rngEPcode,0)),"?"))</f>
        <v/>
      </c>
      <c r="H633" s="17">
        <f>IF($F633="","",IFERROR(INDEX(rngEPtype,MATCH($F633,rngEPcode,0)),"?"))</f>
        <v/>
      </c>
      <c r="I633" s="17">
        <f>IF($F633="","",IFERROR(INDEX(rngEPseq,MATCH($F633,rngEPcode,0)),""))</f>
        <v/>
      </c>
      <c r="J633" s="17">
        <f>IF($F633="","",IFERROR(INDEX(rngEPpass,MATCH($F633,rngEPcode,0)),cfgPassingScore))</f>
        <v/>
      </c>
      <c r="K633" s="16" t="n"/>
      <c r="L633" s="16" t="n"/>
      <c r="M633" s="17">
        <f>IF($C633="","",IF($L633="","",IF(NOT(ISNUMBER($L633)),$L633,IF(N($K633)&gt;2,"",IF($K633=1,IF(COUNTIFS(nrES_PID,$D633,nrES_Code,$F633,nrES_Att,2,nrES_Raw,"&gt;=0")&gt;0,"",$L633),IF($L633&gt;=$J633,MAX($J633,cfgRetakeRecordedCap),IF(COUNTIFS(nrES_PID,$D633,nrES_Code,$F633,nrES_Att,1)=0,$L633,SUMIFS(nrES_Raw,nrES_PID,$D633,nrES_Code,$F633,nrES_Att,1))))))))</f>
        <v/>
      </c>
      <c r="N633" s="17">
        <f>IF($C633="","",IF($L633="","",IF(NOT(ISNUMBER($L633)),"(not a score)",IF($L633&gt;=$J633,"Yes","No"))))</f>
        <v/>
      </c>
      <c r="O633" s="17">
        <f>IF($C633="","",IF($M633="","",IF(NOT(ISNUMBER($M633)),"(not a score)",IF($M633&gt;=$J633,"Yes","No"))))</f>
        <v/>
      </c>
      <c r="P633" s="17">
        <f>IF($C633="","",IF($K633="","",IF(N($K633)&gt;2,"No",IF(COUNTIFS(nrES_PID,$D633,nrES_Code,$F633,nrES_Att,"&gt;"&amp;$K633,nrES_Att,"&lt;=2",nrES_Raw,"&gt;=0")=0,"Yes","No"))))</f>
        <v/>
      </c>
      <c r="Q633" s="17">
        <f>IF($C633="","",IF($L633="","",IF(AND($K633=1,ISNUMBER($L633),$L633&lt;$J633,COUNTIFS(nrES_PID,$D633,nrES_Code,$F633,nrES_Att,2,nrES_Raw,"&gt;=0")=0),"Yes","No")))</f>
        <v/>
      </c>
      <c r="R633" s="17">
        <f>IF($C633="","",IF($L633="","",IF(AND(N($K633)&gt;=2,ISNUMBER($L633),$L633&lt;$J633),"Yes","No")))</f>
        <v/>
      </c>
      <c r="S633" s="18" t="n"/>
      <c r="T633" s="19">
        <f>IF(OR($C633="",$L633="",$K633&lt;&gt;1,NOT(ISNUMBER($L633)),$L633&gt;=$J633),"",IF($S633="","(enter date)",_xlfn.LET(_xlpm.dn,_xlfn.XLOOKUP($S633,nrCDdate,nrCDnum,"",1),IF(_xlpm.dn="","(after last class day)",_xlfn.LET(_xlpm.dd,_xlfn.XLOOKUP(_xlpm.dn+cfgRetestClassDays,nrCDnum,nrCDdate,""),_xlpm.ok,_xlfn.XLOOKUP(_xlpm.dn+cfgRetestClassDays,nrCDnum,nrCDinsession,"No"),IF(OR(_xlpm.dd="",_xlpm.ok&lt;&gt;"Yes"),"(after last class day)",_xlpm.dd))))))</f>
        <v/>
      </c>
      <c r="U633" s="17">
        <f>IF($C633="","",IF(AND($Y633="Excused",$L633="",N($K633)&lt;=1),"EXCUSED - 1st attempt pending",IF(OR($L633="",$K633&lt;&gt;1,NOT(ISNUMBER($L633)),$L633&gt;=$J633),"",IF(COUNTIFS(nrES_PID,$D633,nrES_Code,$F633,nrES_Att,2,nrES_Raw,"&gt;=0")&gt;0,IF(IFERROR(_xlfn.MINIFS(nrES_Date,nrES_PID,$D633,nrES_Code,$F633,nrES_Att,2,nrES_Raw,"&gt;=0",nrES_Date,"&gt;0"),0)=0,"RETEST UNDATED",IF(NOT(ISNUMBER($T633)),"RETEST DATE UNCHECKED",IF(_xlfn.MINIFS(nrES_Date,nrES_PID,$D633,nrES_Code,$F633,nrES_Att,2,nrES_Raw,"&gt;=0",nrES_Date,"&gt;0")&gt;$T633,"LATE RETEST "&amp;TEXT(_xlfn.MINIFS(nrES_Date,nrES_PID,$D633,nrES_Code,$F633,nrES_Att,2,nrES_Raw,"&gt;=0",nrES_Date,"&gt;0"),"mm/dd")&amp;" (due "&amp;TEXT($T633,"mm/dd")&amp;")","Retested"))),IF(NOT(ISNUMBER($T633)),"CHECK DATE",IF(TODAY()&gt;$T633,"OVERDUE","Due "&amp;TEXT($T633,"mm/dd")))))))</f>
        <v/>
      </c>
      <c r="V633" s="16" t="n"/>
      <c r="W633" s="16" t="n"/>
      <c r="X633" s="17">
        <f>IF($C633="","",IF(AND($L633&lt;&gt;"",NOT(ISNUMBER($L633))),"RAW SCORE NOT A NUMBER",IF(AND(ISNUMBER($L633),OR($L633&lt;0,$L633&gt;100)),"RAW SCORE OUT OF RANGE",IF(AND($Y633="Unexcused",OR($L633="",NOT(ISNUMBER($L633)),$L633&lt;&gt;0)),"UNEXCUSED ABSENCE MUST RECORD 0",IF(COUNTIF(nrES_RecID,$B633)&gt;1,"DUPLICATE RECORD",IF(N($K633)&gt;2,"ATTEMPT 3+ NOT ALLOWED - policy 300.5 permits one retest per exam; this row records nothing",IF(AND($K633=2,COUNTIFS(nrES_PID,$D633,nrES_Code,$F633,nrES_Att,1)=0),"ATTEMPT 2 WITHOUT ATTEMPT 1",IF(AND($K633=2,$L633=""),"RETEST ROW HAS NO SCORE",IF(AND($H633="Final",$L633&lt;&gt;"",IFERROR(INDEX(nrCKfinalExamElig,MATCH($D633,rngCadetPIDs,0)),"")="No"),"FINAL EXAM AFTER FAILED FINAL PT (500.1.H)",IF(AND($K633=2,ISNUMBER($L633),COUNTIFS(nrES_PID,$D633,nrES_Code,$F633,nrES_Att,1)&gt;0,SUMIFS(nrES_Raw,nrES_PID,$D633,nrES_Code,$F633,nrES_Att,1)&gt;=$J633),"RETEST AFTER A PASSING FIRST ATTEMPT","OK"))))))))))</f>
        <v/>
      </c>
      <c r="Y633" s="16" t="n"/>
    </row>
    <row r="634">
      <c r="B634" s="17">
        <f>IF($C634="","",$D634&amp;"-"&amp;$F634&amp;"-"&amp;$K634)</f>
        <v/>
      </c>
      <c r="C634" s="16" t="n"/>
      <c r="D634" s="17">
        <f>IF($C634="","",IFERROR(INDEX(rngCadetPIDs,MATCH($C634,rngCadetNames,0)),"?"))</f>
        <v/>
      </c>
      <c r="E634" s="17">
        <f>IF($D634="","",IFERROR(INDEX(nrCadetAgency,MATCH($D634,rngCadetPIDs,0)),""))</f>
        <v/>
      </c>
      <c r="F634" s="16" t="n"/>
      <c r="G634" s="17">
        <f>IF($F634="","",IFERROR(INDEX(rngEPname,MATCH($F634,rngEPcode,0)),"?"))</f>
        <v/>
      </c>
      <c r="H634" s="17">
        <f>IF($F634="","",IFERROR(INDEX(rngEPtype,MATCH($F634,rngEPcode,0)),"?"))</f>
        <v/>
      </c>
      <c r="I634" s="17">
        <f>IF($F634="","",IFERROR(INDEX(rngEPseq,MATCH($F634,rngEPcode,0)),""))</f>
        <v/>
      </c>
      <c r="J634" s="17">
        <f>IF($F634="","",IFERROR(INDEX(rngEPpass,MATCH($F634,rngEPcode,0)),cfgPassingScore))</f>
        <v/>
      </c>
      <c r="K634" s="16" t="n"/>
      <c r="L634" s="16" t="n"/>
      <c r="M634" s="17">
        <f>IF($C634="","",IF($L634="","",IF(NOT(ISNUMBER($L634)),$L634,IF(N($K634)&gt;2,"",IF($K634=1,IF(COUNTIFS(nrES_PID,$D634,nrES_Code,$F634,nrES_Att,2,nrES_Raw,"&gt;=0")&gt;0,"",$L634),IF($L634&gt;=$J634,MAX($J634,cfgRetakeRecordedCap),IF(COUNTIFS(nrES_PID,$D634,nrES_Code,$F634,nrES_Att,1)=0,$L634,SUMIFS(nrES_Raw,nrES_PID,$D634,nrES_Code,$F634,nrES_Att,1))))))))</f>
        <v/>
      </c>
      <c r="N634" s="17">
        <f>IF($C634="","",IF($L634="","",IF(NOT(ISNUMBER($L634)),"(not a score)",IF($L634&gt;=$J634,"Yes","No"))))</f>
        <v/>
      </c>
      <c r="O634" s="17">
        <f>IF($C634="","",IF($M634="","",IF(NOT(ISNUMBER($M634)),"(not a score)",IF($M634&gt;=$J634,"Yes","No"))))</f>
        <v/>
      </c>
      <c r="P634" s="17">
        <f>IF($C634="","",IF($K634="","",IF(N($K634)&gt;2,"No",IF(COUNTIFS(nrES_PID,$D634,nrES_Code,$F634,nrES_Att,"&gt;"&amp;$K634,nrES_Att,"&lt;=2",nrES_Raw,"&gt;=0")=0,"Yes","No"))))</f>
        <v/>
      </c>
      <c r="Q634" s="17">
        <f>IF($C634="","",IF($L634="","",IF(AND($K634=1,ISNUMBER($L634),$L634&lt;$J634,COUNTIFS(nrES_PID,$D634,nrES_Code,$F634,nrES_Att,2,nrES_Raw,"&gt;=0")=0),"Yes","No")))</f>
        <v/>
      </c>
      <c r="R634" s="17">
        <f>IF($C634="","",IF($L634="","",IF(AND(N($K634)&gt;=2,ISNUMBER($L634),$L634&lt;$J634),"Yes","No")))</f>
        <v/>
      </c>
      <c r="S634" s="18" t="n"/>
      <c r="T634" s="19">
        <f>IF(OR($C634="",$L634="",$K634&lt;&gt;1,NOT(ISNUMBER($L634)),$L634&gt;=$J634),"",IF($S634="","(enter date)",_xlfn.LET(_xlpm.dn,_xlfn.XLOOKUP($S634,nrCDdate,nrCDnum,"",1),IF(_xlpm.dn="","(after last class day)",_xlfn.LET(_xlpm.dd,_xlfn.XLOOKUP(_xlpm.dn+cfgRetestClassDays,nrCDnum,nrCDdate,""),_xlpm.ok,_xlfn.XLOOKUP(_xlpm.dn+cfgRetestClassDays,nrCDnum,nrCDinsession,"No"),IF(OR(_xlpm.dd="",_xlpm.ok&lt;&gt;"Yes"),"(after last class day)",_xlpm.dd))))))</f>
        <v/>
      </c>
      <c r="U634" s="17">
        <f>IF($C634="","",IF(AND($Y634="Excused",$L634="",N($K634)&lt;=1),"EXCUSED - 1st attempt pending",IF(OR($L634="",$K634&lt;&gt;1,NOT(ISNUMBER($L634)),$L634&gt;=$J634),"",IF(COUNTIFS(nrES_PID,$D634,nrES_Code,$F634,nrES_Att,2,nrES_Raw,"&gt;=0")&gt;0,IF(IFERROR(_xlfn.MINIFS(nrES_Date,nrES_PID,$D634,nrES_Code,$F634,nrES_Att,2,nrES_Raw,"&gt;=0",nrES_Date,"&gt;0"),0)=0,"RETEST UNDATED",IF(NOT(ISNUMBER($T634)),"RETEST DATE UNCHECKED",IF(_xlfn.MINIFS(nrES_Date,nrES_PID,$D634,nrES_Code,$F634,nrES_Att,2,nrES_Raw,"&gt;=0",nrES_Date,"&gt;0")&gt;$T634,"LATE RETEST "&amp;TEXT(_xlfn.MINIFS(nrES_Date,nrES_PID,$D634,nrES_Code,$F634,nrES_Att,2,nrES_Raw,"&gt;=0",nrES_Date,"&gt;0"),"mm/dd")&amp;" (due "&amp;TEXT($T634,"mm/dd")&amp;")","Retested"))),IF(NOT(ISNUMBER($T634)),"CHECK DATE",IF(TODAY()&gt;$T634,"OVERDUE","Due "&amp;TEXT($T634,"mm/dd")))))))</f>
        <v/>
      </c>
      <c r="V634" s="16" t="n"/>
      <c r="W634" s="16" t="n"/>
      <c r="X634" s="17">
        <f>IF($C634="","",IF(AND($L634&lt;&gt;"",NOT(ISNUMBER($L634))),"RAW SCORE NOT A NUMBER",IF(AND(ISNUMBER($L634),OR($L634&lt;0,$L634&gt;100)),"RAW SCORE OUT OF RANGE",IF(AND($Y634="Unexcused",OR($L634="",NOT(ISNUMBER($L634)),$L634&lt;&gt;0)),"UNEXCUSED ABSENCE MUST RECORD 0",IF(COUNTIF(nrES_RecID,$B634)&gt;1,"DUPLICATE RECORD",IF(N($K634)&gt;2,"ATTEMPT 3+ NOT ALLOWED - policy 300.5 permits one retest per exam; this row records nothing",IF(AND($K634=2,COUNTIFS(nrES_PID,$D634,nrES_Code,$F634,nrES_Att,1)=0),"ATTEMPT 2 WITHOUT ATTEMPT 1",IF(AND($K634=2,$L634=""),"RETEST ROW HAS NO SCORE",IF(AND($H634="Final",$L634&lt;&gt;"",IFERROR(INDEX(nrCKfinalExamElig,MATCH($D634,rngCadetPIDs,0)),"")="No"),"FINAL EXAM AFTER FAILED FINAL PT (500.1.H)",IF(AND($K634=2,ISNUMBER($L634),COUNTIFS(nrES_PID,$D634,nrES_Code,$F634,nrES_Att,1)&gt;0,SUMIFS(nrES_Raw,nrES_PID,$D634,nrES_Code,$F634,nrES_Att,1)&gt;=$J634),"RETEST AFTER A PASSING FIRST ATTEMPT","OK"))))))))))</f>
        <v/>
      </c>
      <c r="Y634" s="16" t="n"/>
    </row>
    <row r="635">
      <c r="B635" s="17">
        <f>IF($C635="","",$D635&amp;"-"&amp;$F635&amp;"-"&amp;$K635)</f>
        <v/>
      </c>
      <c r="C635" s="16" t="n"/>
      <c r="D635" s="17">
        <f>IF($C635="","",IFERROR(INDEX(rngCadetPIDs,MATCH($C635,rngCadetNames,0)),"?"))</f>
        <v/>
      </c>
      <c r="E635" s="17">
        <f>IF($D635="","",IFERROR(INDEX(nrCadetAgency,MATCH($D635,rngCadetPIDs,0)),""))</f>
        <v/>
      </c>
      <c r="F635" s="16" t="n"/>
      <c r="G635" s="17">
        <f>IF($F635="","",IFERROR(INDEX(rngEPname,MATCH($F635,rngEPcode,0)),"?"))</f>
        <v/>
      </c>
      <c r="H635" s="17">
        <f>IF($F635="","",IFERROR(INDEX(rngEPtype,MATCH($F635,rngEPcode,0)),"?"))</f>
        <v/>
      </c>
      <c r="I635" s="17">
        <f>IF($F635="","",IFERROR(INDEX(rngEPseq,MATCH($F635,rngEPcode,0)),""))</f>
        <v/>
      </c>
      <c r="J635" s="17">
        <f>IF($F635="","",IFERROR(INDEX(rngEPpass,MATCH($F635,rngEPcode,0)),cfgPassingScore))</f>
        <v/>
      </c>
      <c r="K635" s="16" t="n"/>
      <c r="L635" s="16" t="n"/>
      <c r="M635" s="17">
        <f>IF($C635="","",IF($L635="","",IF(NOT(ISNUMBER($L635)),$L635,IF(N($K635)&gt;2,"",IF($K635=1,IF(COUNTIFS(nrES_PID,$D635,nrES_Code,$F635,nrES_Att,2,nrES_Raw,"&gt;=0")&gt;0,"",$L635),IF($L635&gt;=$J635,MAX($J635,cfgRetakeRecordedCap),IF(COUNTIFS(nrES_PID,$D635,nrES_Code,$F635,nrES_Att,1)=0,$L635,SUMIFS(nrES_Raw,nrES_PID,$D635,nrES_Code,$F635,nrES_Att,1))))))))</f>
        <v/>
      </c>
      <c r="N635" s="17">
        <f>IF($C635="","",IF($L635="","",IF(NOT(ISNUMBER($L635)),"(not a score)",IF($L635&gt;=$J635,"Yes","No"))))</f>
        <v/>
      </c>
      <c r="O635" s="17">
        <f>IF($C635="","",IF($M635="","",IF(NOT(ISNUMBER($M635)),"(not a score)",IF($M635&gt;=$J635,"Yes","No"))))</f>
        <v/>
      </c>
      <c r="P635" s="17">
        <f>IF($C635="","",IF($K635="","",IF(N($K635)&gt;2,"No",IF(COUNTIFS(nrES_PID,$D635,nrES_Code,$F635,nrES_Att,"&gt;"&amp;$K635,nrES_Att,"&lt;=2",nrES_Raw,"&gt;=0")=0,"Yes","No"))))</f>
        <v/>
      </c>
      <c r="Q635" s="17">
        <f>IF($C635="","",IF($L635="","",IF(AND($K635=1,ISNUMBER($L635),$L635&lt;$J635,COUNTIFS(nrES_PID,$D635,nrES_Code,$F635,nrES_Att,2,nrES_Raw,"&gt;=0")=0),"Yes","No")))</f>
        <v/>
      </c>
      <c r="R635" s="17">
        <f>IF($C635="","",IF($L635="","",IF(AND(N($K635)&gt;=2,ISNUMBER($L635),$L635&lt;$J635),"Yes","No")))</f>
        <v/>
      </c>
      <c r="S635" s="18" t="n"/>
      <c r="T635" s="19">
        <f>IF(OR($C635="",$L635="",$K635&lt;&gt;1,NOT(ISNUMBER($L635)),$L635&gt;=$J635),"",IF($S635="","(enter date)",_xlfn.LET(_xlpm.dn,_xlfn.XLOOKUP($S635,nrCDdate,nrCDnum,"",1),IF(_xlpm.dn="","(after last class day)",_xlfn.LET(_xlpm.dd,_xlfn.XLOOKUP(_xlpm.dn+cfgRetestClassDays,nrCDnum,nrCDdate,""),_xlpm.ok,_xlfn.XLOOKUP(_xlpm.dn+cfgRetestClassDays,nrCDnum,nrCDinsession,"No"),IF(OR(_xlpm.dd="",_xlpm.ok&lt;&gt;"Yes"),"(after last class day)",_xlpm.dd))))))</f>
        <v/>
      </c>
      <c r="U635" s="17">
        <f>IF($C635="","",IF(AND($Y635="Excused",$L635="",N($K635)&lt;=1),"EXCUSED - 1st attempt pending",IF(OR($L635="",$K635&lt;&gt;1,NOT(ISNUMBER($L635)),$L635&gt;=$J635),"",IF(COUNTIFS(nrES_PID,$D635,nrES_Code,$F635,nrES_Att,2,nrES_Raw,"&gt;=0")&gt;0,IF(IFERROR(_xlfn.MINIFS(nrES_Date,nrES_PID,$D635,nrES_Code,$F635,nrES_Att,2,nrES_Raw,"&gt;=0",nrES_Date,"&gt;0"),0)=0,"RETEST UNDATED",IF(NOT(ISNUMBER($T635)),"RETEST DATE UNCHECKED",IF(_xlfn.MINIFS(nrES_Date,nrES_PID,$D635,nrES_Code,$F635,nrES_Att,2,nrES_Raw,"&gt;=0",nrES_Date,"&gt;0")&gt;$T635,"LATE RETEST "&amp;TEXT(_xlfn.MINIFS(nrES_Date,nrES_PID,$D635,nrES_Code,$F635,nrES_Att,2,nrES_Raw,"&gt;=0",nrES_Date,"&gt;0"),"mm/dd")&amp;" (due "&amp;TEXT($T635,"mm/dd")&amp;")","Retested"))),IF(NOT(ISNUMBER($T635)),"CHECK DATE",IF(TODAY()&gt;$T635,"OVERDUE","Due "&amp;TEXT($T635,"mm/dd")))))))</f>
        <v/>
      </c>
      <c r="V635" s="16" t="n"/>
      <c r="W635" s="16" t="n"/>
      <c r="X635" s="17">
        <f>IF($C635="","",IF(AND($L635&lt;&gt;"",NOT(ISNUMBER($L635))),"RAW SCORE NOT A NUMBER",IF(AND(ISNUMBER($L635),OR($L635&lt;0,$L635&gt;100)),"RAW SCORE OUT OF RANGE",IF(AND($Y635="Unexcused",OR($L635="",NOT(ISNUMBER($L635)),$L635&lt;&gt;0)),"UNEXCUSED ABSENCE MUST RECORD 0",IF(COUNTIF(nrES_RecID,$B635)&gt;1,"DUPLICATE RECORD",IF(N($K635)&gt;2,"ATTEMPT 3+ NOT ALLOWED - policy 300.5 permits one retest per exam; this row records nothing",IF(AND($K635=2,COUNTIFS(nrES_PID,$D635,nrES_Code,$F635,nrES_Att,1)=0),"ATTEMPT 2 WITHOUT ATTEMPT 1",IF(AND($K635=2,$L635=""),"RETEST ROW HAS NO SCORE",IF(AND($H635="Final",$L635&lt;&gt;"",IFERROR(INDEX(nrCKfinalExamElig,MATCH($D635,rngCadetPIDs,0)),"")="No"),"FINAL EXAM AFTER FAILED FINAL PT (500.1.H)",IF(AND($K635=2,ISNUMBER($L635),COUNTIFS(nrES_PID,$D635,nrES_Code,$F635,nrES_Att,1)&gt;0,SUMIFS(nrES_Raw,nrES_PID,$D635,nrES_Code,$F635,nrES_Att,1)&gt;=$J635),"RETEST AFTER A PASSING FIRST ATTEMPT","OK"))))))))))</f>
        <v/>
      </c>
      <c r="Y635" s="16" t="n"/>
    </row>
    <row r="636">
      <c r="B636" s="17">
        <f>IF($C636="","",$D636&amp;"-"&amp;$F636&amp;"-"&amp;$K636)</f>
        <v/>
      </c>
      <c r="C636" s="16" t="n"/>
      <c r="D636" s="17">
        <f>IF($C636="","",IFERROR(INDEX(rngCadetPIDs,MATCH($C636,rngCadetNames,0)),"?"))</f>
        <v/>
      </c>
      <c r="E636" s="17">
        <f>IF($D636="","",IFERROR(INDEX(nrCadetAgency,MATCH($D636,rngCadetPIDs,0)),""))</f>
        <v/>
      </c>
      <c r="F636" s="16" t="n"/>
      <c r="G636" s="17">
        <f>IF($F636="","",IFERROR(INDEX(rngEPname,MATCH($F636,rngEPcode,0)),"?"))</f>
        <v/>
      </c>
      <c r="H636" s="17">
        <f>IF($F636="","",IFERROR(INDEX(rngEPtype,MATCH($F636,rngEPcode,0)),"?"))</f>
        <v/>
      </c>
      <c r="I636" s="17">
        <f>IF($F636="","",IFERROR(INDEX(rngEPseq,MATCH($F636,rngEPcode,0)),""))</f>
        <v/>
      </c>
      <c r="J636" s="17">
        <f>IF($F636="","",IFERROR(INDEX(rngEPpass,MATCH($F636,rngEPcode,0)),cfgPassingScore))</f>
        <v/>
      </c>
      <c r="K636" s="16" t="n"/>
      <c r="L636" s="16" t="n"/>
      <c r="M636" s="17">
        <f>IF($C636="","",IF($L636="","",IF(NOT(ISNUMBER($L636)),$L636,IF(N($K636)&gt;2,"",IF($K636=1,IF(COUNTIFS(nrES_PID,$D636,nrES_Code,$F636,nrES_Att,2,nrES_Raw,"&gt;=0")&gt;0,"",$L636),IF($L636&gt;=$J636,MAX($J636,cfgRetakeRecordedCap),IF(COUNTIFS(nrES_PID,$D636,nrES_Code,$F636,nrES_Att,1)=0,$L636,SUMIFS(nrES_Raw,nrES_PID,$D636,nrES_Code,$F636,nrES_Att,1))))))))</f>
        <v/>
      </c>
      <c r="N636" s="17">
        <f>IF($C636="","",IF($L636="","",IF(NOT(ISNUMBER($L636)),"(not a score)",IF($L636&gt;=$J636,"Yes","No"))))</f>
        <v/>
      </c>
      <c r="O636" s="17">
        <f>IF($C636="","",IF($M636="","",IF(NOT(ISNUMBER($M636)),"(not a score)",IF($M636&gt;=$J636,"Yes","No"))))</f>
        <v/>
      </c>
      <c r="P636" s="17">
        <f>IF($C636="","",IF($K636="","",IF(N($K636)&gt;2,"No",IF(COUNTIFS(nrES_PID,$D636,nrES_Code,$F636,nrES_Att,"&gt;"&amp;$K636,nrES_Att,"&lt;=2",nrES_Raw,"&gt;=0")=0,"Yes","No"))))</f>
        <v/>
      </c>
      <c r="Q636" s="17">
        <f>IF($C636="","",IF($L636="","",IF(AND($K636=1,ISNUMBER($L636),$L636&lt;$J636,COUNTIFS(nrES_PID,$D636,nrES_Code,$F636,nrES_Att,2,nrES_Raw,"&gt;=0")=0),"Yes","No")))</f>
        <v/>
      </c>
      <c r="R636" s="17">
        <f>IF($C636="","",IF($L636="","",IF(AND(N($K636)&gt;=2,ISNUMBER($L636),$L636&lt;$J636),"Yes","No")))</f>
        <v/>
      </c>
      <c r="S636" s="18" t="n"/>
      <c r="T636" s="19">
        <f>IF(OR($C636="",$L636="",$K636&lt;&gt;1,NOT(ISNUMBER($L636)),$L636&gt;=$J636),"",IF($S636="","(enter date)",_xlfn.LET(_xlpm.dn,_xlfn.XLOOKUP($S636,nrCDdate,nrCDnum,"",1),IF(_xlpm.dn="","(after last class day)",_xlfn.LET(_xlpm.dd,_xlfn.XLOOKUP(_xlpm.dn+cfgRetestClassDays,nrCDnum,nrCDdate,""),_xlpm.ok,_xlfn.XLOOKUP(_xlpm.dn+cfgRetestClassDays,nrCDnum,nrCDinsession,"No"),IF(OR(_xlpm.dd="",_xlpm.ok&lt;&gt;"Yes"),"(after last class day)",_xlpm.dd))))))</f>
        <v/>
      </c>
      <c r="U636" s="17">
        <f>IF($C636="","",IF(AND($Y636="Excused",$L636="",N($K636)&lt;=1),"EXCUSED - 1st attempt pending",IF(OR($L636="",$K636&lt;&gt;1,NOT(ISNUMBER($L636)),$L636&gt;=$J636),"",IF(COUNTIFS(nrES_PID,$D636,nrES_Code,$F636,nrES_Att,2,nrES_Raw,"&gt;=0")&gt;0,IF(IFERROR(_xlfn.MINIFS(nrES_Date,nrES_PID,$D636,nrES_Code,$F636,nrES_Att,2,nrES_Raw,"&gt;=0",nrES_Date,"&gt;0"),0)=0,"RETEST UNDATED",IF(NOT(ISNUMBER($T636)),"RETEST DATE UNCHECKED",IF(_xlfn.MINIFS(nrES_Date,nrES_PID,$D636,nrES_Code,$F636,nrES_Att,2,nrES_Raw,"&gt;=0",nrES_Date,"&gt;0")&gt;$T636,"LATE RETEST "&amp;TEXT(_xlfn.MINIFS(nrES_Date,nrES_PID,$D636,nrES_Code,$F636,nrES_Att,2,nrES_Raw,"&gt;=0",nrES_Date,"&gt;0"),"mm/dd")&amp;" (due "&amp;TEXT($T636,"mm/dd")&amp;")","Retested"))),IF(NOT(ISNUMBER($T636)),"CHECK DATE",IF(TODAY()&gt;$T636,"OVERDUE","Due "&amp;TEXT($T636,"mm/dd")))))))</f>
        <v/>
      </c>
      <c r="V636" s="16" t="n"/>
      <c r="W636" s="16" t="n"/>
      <c r="X636" s="17">
        <f>IF($C636="","",IF(AND($L636&lt;&gt;"",NOT(ISNUMBER($L636))),"RAW SCORE NOT A NUMBER",IF(AND(ISNUMBER($L636),OR($L636&lt;0,$L636&gt;100)),"RAW SCORE OUT OF RANGE",IF(AND($Y636="Unexcused",OR($L636="",NOT(ISNUMBER($L636)),$L636&lt;&gt;0)),"UNEXCUSED ABSENCE MUST RECORD 0",IF(COUNTIF(nrES_RecID,$B636)&gt;1,"DUPLICATE RECORD",IF(N($K636)&gt;2,"ATTEMPT 3+ NOT ALLOWED - policy 300.5 permits one retest per exam; this row records nothing",IF(AND($K636=2,COUNTIFS(nrES_PID,$D636,nrES_Code,$F636,nrES_Att,1)=0),"ATTEMPT 2 WITHOUT ATTEMPT 1",IF(AND($K636=2,$L636=""),"RETEST ROW HAS NO SCORE",IF(AND($H636="Final",$L636&lt;&gt;"",IFERROR(INDEX(nrCKfinalExamElig,MATCH($D636,rngCadetPIDs,0)),"")="No"),"FINAL EXAM AFTER FAILED FINAL PT (500.1.H)",IF(AND($K636=2,ISNUMBER($L636),COUNTIFS(nrES_PID,$D636,nrES_Code,$F636,nrES_Att,1)&gt;0,SUMIFS(nrES_Raw,nrES_PID,$D636,nrES_Code,$F636,nrES_Att,1)&gt;=$J636),"RETEST AFTER A PASSING FIRST ATTEMPT","OK"))))))))))</f>
        <v/>
      </c>
      <c r="Y636" s="16" t="n"/>
    </row>
    <row r="637">
      <c r="B637" s="17">
        <f>IF($C637="","",$D637&amp;"-"&amp;$F637&amp;"-"&amp;$K637)</f>
        <v/>
      </c>
      <c r="C637" s="16" t="n"/>
      <c r="D637" s="17">
        <f>IF($C637="","",IFERROR(INDEX(rngCadetPIDs,MATCH($C637,rngCadetNames,0)),"?"))</f>
        <v/>
      </c>
      <c r="E637" s="17">
        <f>IF($D637="","",IFERROR(INDEX(nrCadetAgency,MATCH($D637,rngCadetPIDs,0)),""))</f>
        <v/>
      </c>
      <c r="F637" s="16" t="n"/>
      <c r="G637" s="17">
        <f>IF($F637="","",IFERROR(INDEX(rngEPname,MATCH($F637,rngEPcode,0)),"?"))</f>
        <v/>
      </c>
      <c r="H637" s="17">
        <f>IF($F637="","",IFERROR(INDEX(rngEPtype,MATCH($F637,rngEPcode,0)),"?"))</f>
        <v/>
      </c>
      <c r="I637" s="17">
        <f>IF($F637="","",IFERROR(INDEX(rngEPseq,MATCH($F637,rngEPcode,0)),""))</f>
        <v/>
      </c>
      <c r="J637" s="17">
        <f>IF($F637="","",IFERROR(INDEX(rngEPpass,MATCH($F637,rngEPcode,0)),cfgPassingScore))</f>
        <v/>
      </c>
      <c r="K637" s="16" t="n"/>
      <c r="L637" s="16" t="n"/>
      <c r="M637" s="17">
        <f>IF($C637="","",IF($L637="","",IF(NOT(ISNUMBER($L637)),$L637,IF(N($K637)&gt;2,"",IF($K637=1,IF(COUNTIFS(nrES_PID,$D637,nrES_Code,$F637,nrES_Att,2,nrES_Raw,"&gt;=0")&gt;0,"",$L637),IF($L637&gt;=$J637,MAX($J637,cfgRetakeRecordedCap),IF(COUNTIFS(nrES_PID,$D637,nrES_Code,$F637,nrES_Att,1)=0,$L637,SUMIFS(nrES_Raw,nrES_PID,$D637,nrES_Code,$F637,nrES_Att,1))))))))</f>
        <v/>
      </c>
      <c r="N637" s="17">
        <f>IF($C637="","",IF($L637="","",IF(NOT(ISNUMBER($L637)),"(not a score)",IF($L637&gt;=$J637,"Yes","No"))))</f>
        <v/>
      </c>
      <c r="O637" s="17">
        <f>IF($C637="","",IF($M637="","",IF(NOT(ISNUMBER($M637)),"(not a score)",IF($M637&gt;=$J637,"Yes","No"))))</f>
        <v/>
      </c>
      <c r="P637" s="17">
        <f>IF($C637="","",IF($K637="","",IF(N($K637)&gt;2,"No",IF(COUNTIFS(nrES_PID,$D637,nrES_Code,$F637,nrES_Att,"&gt;"&amp;$K637,nrES_Att,"&lt;=2",nrES_Raw,"&gt;=0")=0,"Yes","No"))))</f>
        <v/>
      </c>
      <c r="Q637" s="17">
        <f>IF($C637="","",IF($L637="","",IF(AND($K637=1,ISNUMBER($L637),$L637&lt;$J637,COUNTIFS(nrES_PID,$D637,nrES_Code,$F637,nrES_Att,2,nrES_Raw,"&gt;=0")=0),"Yes","No")))</f>
        <v/>
      </c>
      <c r="R637" s="17">
        <f>IF($C637="","",IF($L637="","",IF(AND(N($K637)&gt;=2,ISNUMBER($L637),$L637&lt;$J637),"Yes","No")))</f>
        <v/>
      </c>
      <c r="S637" s="18" t="n"/>
      <c r="T637" s="19">
        <f>IF(OR($C637="",$L637="",$K637&lt;&gt;1,NOT(ISNUMBER($L637)),$L637&gt;=$J637),"",IF($S637="","(enter date)",_xlfn.LET(_xlpm.dn,_xlfn.XLOOKUP($S637,nrCDdate,nrCDnum,"",1),IF(_xlpm.dn="","(after last class day)",_xlfn.LET(_xlpm.dd,_xlfn.XLOOKUP(_xlpm.dn+cfgRetestClassDays,nrCDnum,nrCDdate,""),_xlpm.ok,_xlfn.XLOOKUP(_xlpm.dn+cfgRetestClassDays,nrCDnum,nrCDinsession,"No"),IF(OR(_xlpm.dd="",_xlpm.ok&lt;&gt;"Yes"),"(after last class day)",_xlpm.dd))))))</f>
        <v/>
      </c>
      <c r="U637" s="17">
        <f>IF($C637="","",IF(AND($Y637="Excused",$L637="",N($K637)&lt;=1),"EXCUSED - 1st attempt pending",IF(OR($L637="",$K637&lt;&gt;1,NOT(ISNUMBER($L637)),$L637&gt;=$J637),"",IF(COUNTIFS(nrES_PID,$D637,nrES_Code,$F637,nrES_Att,2,nrES_Raw,"&gt;=0")&gt;0,IF(IFERROR(_xlfn.MINIFS(nrES_Date,nrES_PID,$D637,nrES_Code,$F637,nrES_Att,2,nrES_Raw,"&gt;=0",nrES_Date,"&gt;0"),0)=0,"RETEST UNDATED",IF(NOT(ISNUMBER($T637)),"RETEST DATE UNCHECKED",IF(_xlfn.MINIFS(nrES_Date,nrES_PID,$D637,nrES_Code,$F637,nrES_Att,2,nrES_Raw,"&gt;=0",nrES_Date,"&gt;0")&gt;$T637,"LATE RETEST "&amp;TEXT(_xlfn.MINIFS(nrES_Date,nrES_PID,$D637,nrES_Code,$F637,nrES_Att,2,nrES_Raw,"&gt;=0",nrES_Date,"&gt;0"),"mm/dd")&amp;" (due "&amp;TEXT($T637,"mm/dd")&amp;")","Retested"))),IF(NOT(ISNUMBER($T637)),"CHECK DATE",IF(TODAY()&gt;$T637,"OVERDUE","Due "&amp;TEXT($T637,"mm/dd")))))))</f>
        <v/>
      </c>
      <c r="V637" s="16" t="n"/>
      <c r="W637" s="16" t="n"/>
      <c r="X637" s="17">
        <f>IF($C637="","",IF(AND($L637&lt;&gt;"",NOT(ISNUMBER($L637))),"RAW SCORE NOT A NUMBER",IF(AND(ISNUMBER($L637),OR($L637&lt;0,$L637&gt;100)),"RAW SCORE OUT OF RANGE",IF(AND($Y637="Unexcused",OR($L637="",NOT(ISNUMBER($L637)),$L637&lt;&gt;0)),"UNEXCUSED ABSENCE MUST RECORD 0",IF(COUNTIF(nrES_RecID,$B637)&gt;1,"DUPLICATE RECORD",IF(N($K637)&gt;2,"ATTEMPT 3+ NOT ALLOWED - policy 300.5 permits one retest per exam; this row records nothing",IF(AND($K637=2,COUNTIFS(nrES_PID,$D637,nrES_Code,$F637,nrES_Att,1)=0),"ATTEMPT 2 WITHOUT ATTEMPT 1",IF(AND($K637=2,$L637=""),"RETEST ROW HAS NO SCORE",IF(AND($H637="Final",$L637&lt;&gt;"",IFERROR(INDEX(nrCKfinalExamElig,MATCH($D637,rngCadetPIDs,0)),"")="No"),"FINAL EXAM AFTER FAILED FINAL PT (500.1.H)",IF(AND($K637=2,ISNUMBER($L637),COUNTIFS(nrES_PID,$D637,nrES_Code,$F637,nrES_Att,1)&gt;0,SUMIFS(nrES_Raw,nrES_PID,$D637,nrES_Code,$F637,nrES_Att,1)&gt;=$J637),"RETEST AFTER A PASSING FIRST ATTEMPT","OK"))))))))))</f>
        <v/>
      </c>
      <c r="Y637" s="16" t="n"/>
    </row>
    <row r="638">
      <c r="B638" s="17">
        <f>IF($C638="","",$D638&amp;"-"&amp;$F638&amp;"-"&amp;$K638)</f>
        <v/>
      </c>
      <c r="C638" s="16" t="n"/>
      <c r="D638" s="17">
        <f>IF($C638="","",IFERROR(INDEX(rngCadetPIDs,MATCH($C638,rngCadetNames,0)),"?"))</f>
        <v/>
      </c>
      <c r="E638" s="17">
        <f>IF($D638="","",IFERROR(INDEX(nrCadetAgency,MATCH($D638,rngCadetPIDs,0)),""))</f>
        <v/>
      </c>
      <c r="F638" s="16" t="n"/>
      <c r="G638" s="17">
        <f>IF($F638="","",IFERROR(INDEX(rngEPname,MATCH($F638,rngEPcode,0)),"?"))</f>
        <v/>
      </c>
      <c r="H638" s="17">
        <f>IF($F638="","",IFERROR(INDEX(rngEPtype,MATCH($F638,rngEPcode,0)),"?"))</f>
        <v/>
      </c>
      <c r="I638" s="17">
        <f>IF($F638="","",IFERROR(INDEX(rngEPseq,MATCH($F638,rngEPcode,0)),""))</f>
        <v/>
      </c>
      <c r="J638" s="17">
        <f>IF($F638="","",IFERROR(INDEX(rngEPpass,MATCH($F638,rngEPcode,0)),cfgPassingScore))</f>
        <v/>
      </c>
      <c r="K638" s="16" t="n"/>
      <c r="L638" s="16" t="n"/>
      <c r="M638" s="17">
        <f>IF($C638="","",IF($L638="","",IF(NOT(ISNUMBER($L638)),$L638,IF(N($K638)&gt;2,"",IF($K638=1,IF(COUNTIFS(nrES_PID,$D638,nrES_Code,$F638,nrES_Att,2,nrES_Raw,"&gt;=0")&gt;0,"",$L638),IF($L638&gt;=$J638,MAX($J638,cfgRetakeRecordedCap),IF(COUNTIFS(nrES_PID,$D638,nrES_Code,$F638,nrES_Att,1)=0,$L638,SUMIFS(nrES_Raw,nrES_PID,$D638,nrES_Code,$F638,nrES_Att,1))))))))</f>
        <v/>
      </c>
      <c r="N638" s="17">
        <f>IF($C638="","",IF($L638="","",IF(NOT(ISNUMBER($L638)),"(not a score)",IF($L638&gt;=$J638,"Yes","No"))))</f>
        <v/>
      </c>
      <c r="O638" s="17">
        <f>IF($C638="","",IF($M638="","",IF(NOT(ISNUMBER($M638)),"(not a score)",IF($M638&gt;=$J638,"Yes","No"))))</f>
        <v/>
      </c>
      <c r="P638" s="17">
        <f>IF($C638="","",IF($K638="","",IF(N($K638)&gt;2,"No",IF(COUNTIFS(nrES_PID,$D638,nrES_Code,$F638,nrES_Att,"&gt;"&amp;$K638,nrES_Att,"&lt;=2",nrES_Raw,"&gt;=0")=0,"Yes","No"))))</f>
        <v/>
      </c>
      <c r="Q638" s="17">
        <f>IF($C638="","",IF($L638="","",IF(AND($K638=1,ISNUMBER($L638),$L638&lt;$J638,COUNTIFS(nrES_PID,$D638,nrES_Code,$F638,nrES_Att,2,nrES_Raw,"&gt;=0")=0),"Yes","No")))</f>
        <v/>
      </c>
      <c r="R638" s="17">
        <f>IF($C638="","",IF($L638="","",IF(AND(N($K638)&gt;=2,ISNUMBER($L638),$L638&lt;$J638),"Yes","No")))</f>
        <v/>
      </c>
      <c r="S638" s="18" t="n"/>
      <c r="T638" s="19">
        <f>IF(OR($C638="",$L638="",$K638&lt;&gt;1,NOT(ISNUMBER($L638)),$L638&gt;=$J638),"",IF($S638="","(enter date)",_xlfn.LET(_xlpm.dn,_xlfn.XLOOKUP($S638,nrCDdate,nrCDnum,"",1),IF(_xlpm.dn="","(after last class day)",_xlfn.LET(_xlpm.dd,_xlfn.XLOOKUP(_xlpm.dn+cfgRetestClassDays,nrCDnum,nrCDdate,""),_xlpm.ok,_xlfn.XLOOKUP(_xlpm.dn+cfgRetestClassDays,nrCDnum,nrCDinsession,"No"),IF(OR(_xlpm.dd="",_xlpm.ok&lt;&gt;"Yes"),"(after last class day)",_xlpm.dd))))))</f>
        <v/>
      </c>
      <c r="U638" s="17">
        <f>IF($C638="","",IF(AND($Y638="Excused",$L638="",N($K638)&lt;=1),"EXCUSED - 1st attempt pending",IF(OR($L638="",$K638&lt;&gt;1,NOT(ISNUMBER($L638)),$L638&gt;=$J638),"",IF(COUNTIFS(nrES_PID,$D638,nrES_Code,$F638,nrES_Att,2,nrES_Raw,"&gt;=0")&gt;0,IF(IFERROR(_xlfn.MINIFS(nrES_Date,nrES_PID,$D638,nrES_Code,$F638,nrES_Att,2,nrES_Raw,"&gt;=0",nrES_Date,"&gt;0"),0)=0,"RETEST UNDATED",IF(NOT(ISNUMBER($T638)),"RETEST DATE UNCHECKED",IF(_xlfn.MINIFS(nrES_Date,nrES_PID,$D638,nrES_Code,$F638,nrES_Att,2,nrES_Raw,"&gt;=0",nrES_Date,"&gt;0")&gt;$T638,"LATE RETEST "&amp;TEXT(_xlfn.MINIFS(nrES_Date,nrES_PID,$D638,nrES_Code,$F638,nrES_Att,2,nrES_Raw,"&gt;=0",nrES_Date,"&gt;0"),"mm/dd")&amp;" (due "&amp;TEXT($T638,"mm/dd")&amp;")","Retested"))),IF(NOT(ISNUMBER($T638)),"CHECK DATE",IF(TODAY()&gt;$T638,"OVERDUE","Due "&amp;TEXT($T638,"mm/dd")))))))</f>
        <v/>
      </c>
      <c r="V638" s="16" t="n"/>
      <c r="W638" s="16" t="n"/>
      <c r="X638" s="17">
        <f>IF($C638="","",IF(AND($L638&lt;&gt;"",NOT(ISNUMBER($L638))),"RAW SCORE NOT A NUMBER",IF(AND(ISNUMBER($L638),OR($L638&lt;0,$L638&gt;100)),"RAW SCORE OUT OF RANGE",IF(AND($Y638="Unexcused",OR($L638="",NOT(ISNUMBER($L638)),$L638&lt;&gt;0)),"UNEXCUSED ABSENCE MUST RECORD 0",IF(COUNTIF(nrES_RecID,$B638)&gt;1,"DUPLICATE RECORD",IF(N($K638)&gt;2,"ATTEMPT 3+ NOT ALLOWED - policy 300.5 permits one retest per exam; this row records nothing",IF(AND($K638=2,COUNTIFS(nrES_PID,$D638,nrES_Code,$F638,nrES_Att,1)=0),"ATTEMPT 2 WITHOUT ATTEMPT 1",IF(AND($K638=2,$L638=""),"RETEST ROW HAS NO SCORE",IF(AND($H638="Final",$L638&lt;&gt;"",IFERROR(INDEX(nrCKfinalExamElig,MATCH($D638,rngCadetPIDs,0)),"")="No"),"FINAL EXAM AFTER FAILED FINAL PT (500.1.H)",IF(AND($K638=2,ISNUMBER($L638),COUNTIFS(nrES_PID,$D638,nrES_Code,$F638,nrES_Att,1)&gt;0,SUMIFS(nrES_Raw,nrES_PID,$D638,nrES_Code,$F638,nrES_Att,1)&gt;=$J638),"RETEST AFTER A PASSING FIRST ATTEMPT","OK"))))))))))</f>
        <v/>
      </c>
      <c r="Y638" s="16" t="n"/>
    </row>
    <row r="639">
      <c r="B639" s="17">
        <f>IF($C639="","",$D639&amp;"-"&amp;$F639&amp;"-"&amp;$K639)</f>
        <v/>
      </c>
      <c r="C639" s="16" t="n"/>
      <c r="D639" s="17">
        <f>IF($C639="","",IFERROR(INDEX(rngCadetPIDs,MATCH($C639,rngCadetNames,0)),"?"))</f>
        <v/>
      </c>
      <c r="E639" s="17">
        <f>IF($D639="","",IFERROR(INDEX(nrCadetAgency,MATCH($D639,rngCadetPIDs,0)),""))</f>
        <v/>
      </c>
      <c r="F639" s="16" t="n"/>
      <c r="G639" s="17">
        <f>IF($F639="","",IFERROR(INDEX(rngEPname,MATCH($F639,rngEPcode,0)),"?"))</f>
        <v/>
      </c>
      <c r="H639" s="17">
        <f>IF($F639="","",IFERROR(INDEX(rngEPtype,MATCH($F639,rngEPcode,0)),"?"))</f>
        <v/>
      </c>
      <c r="I639" s="17">
        <f>IF($F639="","",IFERROR(INDEX(rngEPseq,MATCH($F639,rngEPcode,0)),""))</f>
        <v/>
      </c>
      <c r="J639" s="17">
        <f>IF($F639="","",IFERROR(INDEX(rngEPpass,MATCH($F639,rngEPcode,0)),cfgPassingScore))</f>
        <v/>
      </c>
      <c r="K639" s="16" t="n"/>
      <c r="L639" s="16" t="n"/>
      <c r="M639" s="17">
        <f>IF($C639="","",IF($L639="","",IF(NOT(ISNUMBER($L639)),$L639,IF(N($K639)&gt;2,"",IF($K639=1,IF(COUNTIFS(nrES_PID,$D639,nrES_Code,$F639,nrES_Att,2,nrES_Raw,"&gt;=0")&gt;0,"",$L639),IF($L639&gt;=$J639,MAX($J639,cfgRetakeRecordedCap),IF(COUNTIFS(nrES_PID,$D639,nrES_Code,$F639,nrES_Att,1)=0,$L639,SUMIFS(nrES_Raw,nrES_PID,$D639,nrES_Code,$F639,nrES_Att,1))))))))</f>
        <v/>
      </c>
      <c r="N639" s="17">
        <f>IF($C639="","",IF($L639="","",IF(NOT(ISNUMBER($L639)),"(not a score)",IF($L639&gt;=$J639,"Yes","No"))))</f>
        <v/>
      </c>
      <c r="O639" s="17">
        <f>IF($C639="","",IF($M639="","",IF(NOT(ISNUMBER($M639)),"(not a score)",IF($M639&gt;=$J639,"Yes","No"))))</f>
        <v/>
      </c>
      <c r="P639" s="17">
        <f>IF($C639="","",IF($K639="","",IF(N($K639)&gt;2,"No",IF(COUNTIFS(nrES_PID,$D639,nrES_Code,$F639,nrES_Att,"&gt;"&amp;$K639,nrES_Att,"&lt;=2",nrES_Raw,"&gt;=0")=0,"Yes","No"))))</f>
        <v/>
      </c>
      <c r="Q639" s="17">
        <f>IF($C639="","",IF($L639="","",IF(AND($K639=1,ISNUMBER($L639),$L639&lt;$J639,COUNTIFS(nrES_PID,$D639,nrES_Code,$F639,nrES_Att,2,nrES_Raw,"&gt;=0")=0),"Yes","No")))</f>
        <v/>
      </c>
      <c r="R639" s="17">
        <f>IF($C639="","",IF($L639="","",IF(AND(N($K639)&gt;=2,ISNUMBER($L639),$L639&lt;$J639),"Yes","No")))</f>
        <v/>
      </c>
      <c r="S639" s="18" t="n"/>
      <c r="T639" s="19">
        <f>IF(OR($C639="",$L639="",$K639&lt;&gt;1,NOT(ISNUMBER($L639)),$L639&gt;=$J639),"",IF($S639="","(enter date)",_xlfn.LET(_xlpm.dn,_xlfn.XLOOKUP($S639,nrCDdate,nrCDnum,"",1),IF(_xlpm.dn="","(after last class day)",_xlfn.LET(_xlpm.dd,_xlfn.XLOOKUP(_xlpm.dn+cfgRetestClassDays,nrCDnum,nrCDdate,""),_xlpm.ok,_xlfn.XLOOKUP(_xlpm.dn+cfgRetestClassDays,nrCDnum,nrCDinsession,"No"),IF(OR(_xlpm.dd="",_xlpm.ok&lt;&gt;"Yes"),"(after last class day)",_xlpm.dd))))))</f>
        <v/>
      </c>
      <c r="U639" s="17">
        <f>IF($C639="","",IF(AND($Y639="Excused",$L639="",N($K639)&lt;=1),"EXCUSED - 1st attempt pending",IF(OR($L639="",$K639&lt;&gt;1,NOT(ISNUMBER($L639)),$L639&gt;=$J639),"",IF(COUNTIFS(nrES_PID,$D639,nrES_Code,$F639,nrES_Att,2,nrES_Raw,"&gt;=0")&gt;0,IF(IFERROR(_xlfn.MINIFS(nrES_Date,nrES_PID,$D639,nrES_Code,$F639,nrES_Att,2,nrES_Raw,"&gt;=0",nrES_Date,"&gt;0"),0)=0,"RETEST UNDATED",IF(NOT(ISNUMBER($T639)),"RETEST DATE UNCHECKED",IF(_xlfn.MINIFS(nrES_Date,nrES_PID,$D639,nrES_Code,$F639,nrES_Att,2,nrES_Raw,"&gt;=0",nrES_Date,"&gt;0")&gt;$T639,"LATE RETEST "&amp;TEXT(_xlfn.MINIFS(nrES_Date,nrES_PID,$D639,nrES_Code,$F639,nrES_Att,2,nrES_Raw,"&gt;=0",nrES_Date,"&gt;0"),"mm/dd")&amp;" (due "&amp;TEXT($T639,"mm/dd")&amp;")","Retested"))),IF(NOT(ISNUMBER($T639)),"CHECK DATE",IF(TODAY()&gt;$T639,"OVERDUE","Due "&amp;TEXT($T639,"mm/dd")))))))</f>
        <v/>
      </c>
      <c r="V639" s="16" t="n"/>
      <c r="W639" s="16" t="n"/>
      <c r="X639" s="17">
        <f>IF($C639="","",IF(AND($L639&lt;&gt;"",NOT(ISNUMBER($L639))),"RAW SCORE NOT A NUMBER",IF(AND(ISNUMBER($L639),OR($L639&lt;0,$L639&gt;100)),"RAW SCORE OUT OF RANGE",IF(AND($Y639="Unexcused",OR($L639="",NOT(ISNUMBER($L639)),$L639&lt;&gt;0)),"UNEXCUSED ABSENCE MUST RECORD 0",IF(COUNTIF(nrES_RecID,$B639)&gt;1,"DUPLICATE RECORD",IF(N($K639)&gt;2,"ATTEMPT 3+ NOT ALLOWED - policy 300.5 permits one retest per exam; this row records nothing",IF(AND($K639=2,COUNTIFS(nrES_PID,$D639,nrES_Code,$F639,nrES_Att,1)=0),"ATTEMPT 2 WITHOUT ATTEMPT 1",IF(AND($K639=2,$L639=""),"RETEST ROW HAS NO SCORE",IF(AND($H639="Final",$L639&lt;&gt;"",IFERROR(INDEX(nrCKfinalExamElig,MATCH($D639,rngCadetPIDs,0)),"")="No"),"FINAL EXAM AFTER FAILED FINAL PT (500.1.H)",IF(AND($K639=2,ISNUMBER($L639),COUNTIFS(nrES_PID,$D639,nrES_Code,$F639,nrES_Att,1)&gt;0,SUMIFS(nrES_Raw,nrES_PID,$D639,nrES_Code,$F639,nrES_Att,1)&gt;=$J639),"RETEST AFTER A PASSING FIRST ATTEMPT","OK"))))))))))</f>
        <v/>
      </c>
      <c r="Y639" s="16" t="n"/>
    </row>
    <row r="640">
      <c r="B640" s="17">
        <f>IF($C640="","",$D640&amp;"-"&amp;$F640&amp;"-"&amp;$K640)</f>
        <v/>
      </c>
      <c r="C640" s="16" t="n"/>
      <c r="D640" s="17">
        <f>IF($C640="","",IFERROR(INDEX(rngCadetPIDs,MATCH($C640,rngCadetNames,0)),"?"))</f>
        <v/>
      </c>
      <c r="E640" s="17">
        <f>IF($D640="","",IFERROR(INDEX(nrCadetAgency,MATCH($D640,rngCadetPIDs,0)),""))</f>
        <v/>
      </c>
      <c r="F640" s="16" t="n"/>
      <c r="G640" s="17">
        <f>IF($F640="","",IFERROR(INDEX(rngEPname,MATCH($F640,rngEPcode,0)),"?"))</f>
        <v/>
      </c>
      <c r="H640" s="17">
        <f>IF($F640="","",IFERROR(INDEX(rngEPtype,MATCH($F640,rngEPcode,0)),"?"))</f>
        <v/>
      </c>
      <c r="I640" s="17">
        <f>IF($F640="","",IFERROR(INDEX(rngEPseq,MATCH($F640,rngEPcode,0)),""))</f>
        <v/>
      </c>
      <c r="J640" s="17">
        <f>IF($F640="","",IFERROR(INDEX(rngEPpass,MATCH($F640,rngEPcode,0)),cfgPassingScore))</f>
        <v/>
      </c>
      <c r="K640" s="16" t="n"/>
      <c r="L640" s="16" t="n"/>
      <c r="M640" s="17">
        <f>IF($C640="","",IF($L640="","",IF(NOT(ISNUMBER($L640)),$L640,IF(N($K640)&gt;2,"",IF($K640=1,IF(COUNTIFS(nrES_PID,$D640,nrES_Code,$F640,nrES_Att,2,nrES_Raw,"&gt;=0")&gt;0,"",$L640),IF($L640&gt;=$J640,MAX($J640,cfgRetakeRecordedCap),IF(COUNTIFS(nrES_PID,$D640,nrES_Code,$F640,nrES_Att,1)=0,$L640,SUMIFS(nrES_Raw,nrES_PID,$D640,nrES_Code,$F640,nrES_Att,1))))))))</f>
        <v/>
      </c>
      <c r="N640" s="17">
        <f>IF($C640="","",IF($L640="","",IF(NOT(ISNUMBER($L640)),"(not a score)",IF($L640&gt;=$J640,"Yes","No"))))</f>
        <v/>
      </c>
      <c r="O640" s="17">
        <f>IF($C640="","",IF($M640="","",IF(NOT(ISNUMBER($M640)),"(not a score)",IF($M640&gt;=$J640,"Yes","No"))))</f>
        <v/>
      </c>
      <c r="P640" s="17">
        <f>IF($C640="","",IF($K640="","",IF(N($K640)&gt;2,"No",IF(COUNTIFS(nrES_PID,$D640,nrES_Code,$F640,nrES_Att,"&gt;"&amp;$K640,nrES_Att,"&lt;=2",nrES_Raw,"&gt;=0")=0,"Yes","No"))))</f>
        <v/>
      </c>
      <c r="Q640" s="17">
        <f>IF($C640="","",IF($L640="","",IF(AND($K640=1,ISNUMBER($L640),$L640&lt;$J640,COUNTIFS(nrES_PID,$D640,nrES_Code,$F640,nrES_Att,2,nrES_Raw,"&gt;=0")=0),"Yes","No")))</f>
        <v/>
      </c>
      <c r="R640" s="17">
        <f>IF($C640="","",IF($L640="","",IF(AND(N($K640)&gt;=2,ISNUMBER($L640),$L640&lt;$J640),"Yes","No")))</f>
        <v/>
      </c>
      <c r="S640" s="18" t="n"/>
      <c r="T640" s="19">
        <f>IF(OR($C640="",$L640="",$K640&lt;&gt;1,NOT(ISNUMBER($L640)),$L640&gt;=$J640),"",IF($S640="","(enter date)",_xlfn.LET(_xlpm.dn,_xlfn.XLOOKUP($S640,nrCDdate,nrCDnum,"",1),IF(_xlpm.dn="","(after last class day)",_xlfn.LET(_xlpm.dd,_xlfn.XLOOKUP(_xlpm.dn+cfgRetestClassDays,nrCDnum,nrCDdate,""),_xlpm.ok,_xlfn.XLOOKUP(_xlpm.dn+cfgRetestClassDays,nrCDnum,nrCDinsession,"No"),IF(OR(_xlpm.dd="",_xlpm.ok&lt;&gt;"Yes"),"(after last class day)",_xlpm.dd))))))</f>
        <v/>
      </c>
      <c r="U640" s="17">
        <f>IF($C640="","",IF(AND($Y640="Excused",$L640="",N($K640)&lt;=1),"EXCUSED - 1st attempt pending",IF(OR($L640="",$K640&lt;&gt;1,NOT(ISNUMBER($L640)),$L640&gt;=$J640),"",IF(COUNTIFS(nrES_PID,$D640,nrES_Code,$F640,nrES_Att,2,nrES_Raw,"&gt;=0")&gt;0,IF(IFERROR(_xlfn.MINIFS(nrES_Date,nrES_PID,$D640,nrES_Code,$F640,nrES_Att,2,nrES_Raw,"&gt;=0",nrES_Date,"&gt;0"),0)=0,"RETEST UNDATED",IF(NOT(ISNUMBER($T640)),"RETEST DATE UNCHECKED",IF(_xlfn.MINIFS(nrES_Date,nrES_PID,$D640,nrES_Code,$F640,nrES_Att,2,nrES_Raw,"&gt;=0",nrES_Date,"&gt;0")&gt;$T640,"LATE RETEST "&amp;TEXT(_xlfn.MINIFS(nrES_Date,nrES_PID,$D640,nrES_Code,$F640,nrES_Att,2,nrES_Raw,"&gt;=0",nrES_Date,"&gt;0"),"mm/dd")&amp;" (due "&amp;TEXT($T640,"mm/dd")&amp;")","Retested"))),IF(NOT(ISNUMBER($T640)),"CHECK DATE",IF(TODAY()&gt;$T640,"OVERDUE","Due "&amp;TEXT($T640,"mm/dd")))))))</f>
        <v/>
      </c>
      <c r="V640" s="16" t="n"/>
      <c r="W640" s="16" t="n"/>
      <c r="X640" s="17">
        <f>IF($C640="","",IF(AND($L640&lt;&gt;"",NOT(ISNUMBER($L640))),"RAW SCORE NOT A NUMBER",IF(AND(ISNUMBER($L640),OR($L640&lt;0,$L640&gt;100)),"RAW SCORE OUT OF RANGE",IF(AND($Y640="Unexcused",OR($L640="",NOT(ISNUMBER($L640)),$L640&lt;&gt;0)),"UNEXCUSED ABSENCE MUST RECORD 0",IF(COUNTIF(nrES_RecID,$B640)&gt;1,"DUPLICATE RECORD",IF(N($K640)&gt;2,"ATTEMPT 3+ NOT ALLOWED - policy 300.5 permits one retest per exam; this row records nothing",IF(AND($K640=2,COUNTIFS(nrES_PID,$D640,nrES_Code,$F640,nrES_Att,1)=0),"ATTEMPT 2 WITHOUT ATTEMPT 1",IF(AND($K640=2,$L640=""),"RETEST ROW HAS NO SCORE",IF(AND($H640="Final",$L640&lt;&gt;"",IFERROR(INDEX(nrCKfinalExamElig,MATCH($D640,rngCadetPIDs,0)),"")="No"),"FINAL EXAM AFTER FAILED FINAL PT (500.1.H)",IF(AND($K640=2,ISNUMBER($L640),COUNTIFS(nrES_PID,$D640,nrES_Code,$F640,nrES_Att,1)&gt;0,SUMIFS(nrES_Raw,nrES_PID,$D640,nrES_Code,$F640,nrES_Att,1)&gt;=$J640),"RETEST AFTER A PASSING FIRST ATTEMPT","OK"))))))))))</f>
        <v/>
      </c>
      <c r="Y640" s="16" t="n"/>
    </row>
    <row r="641">
      <c r="B641" s="17">
        <f>IF($C641="","",$D641&amp;"-"&amp;$F641&amp;"-"&amp;$K641)</f>
        <v/>
      </c>
      <c r="C641" s="16" t="n"/>
      <c r="D641" s="17">
        <f>IF($C641="","",IFERROR(INDEX(rngCadetPIDs,MATCH($C641,rngCadetNames,0)),"?"))</f>
        <v/>
      </c>
      <c r="E641" s="17">
        <f>IF($D641="","",IFERROR(INDEX(nrCadetAgency,MATCH($D641,rngCadetPIDs,0)),""))</f>
        <v/>
      </c>
      <c r="F641" s="16" t="n"/>
      <c r="G641" s="17">
        <f>IF($F641="","",IFERROR(INDEX(rngEPname,MATCH($F641,rngEPcode,0)),"?"))</f>
        <v/>
      </c>
      <c r="H641" s="17">
        <f>IF($F641="","",IFERROR(INDEX(rngEPtype,MATCH($F641,rngEPcode,0)),"?"))</f>
        <v/>
      </c>
      <c r="I641" s="17">
        <f>IF($F641="","",IFERROR(INDEX(rngEPseq,MATCH($F641,rngEPcode,0)),""))</f>
        <v/>
      </c>
      <c r="J641" s="17">
        <f>IF($F641="","",IFERROR(INDEX(rngEPpass,MATCH($F641,rngEPcode,0)),cfgPassingScore))</f>
        <v/>
      </c>
      <c r="K641" s="16" t="n"/>
      <c r="L641" s="16" t="n"/>
      <c r="M641" s="17">
        <f>IF($C641="","",IF($L641="","",IF(NOT(ISNUMBER($L641)),$L641,IF(N($K641)&gt;2,"",IF($K641=1,IF(COUNTIFS(nrES_PID,$D641,nrES_Code,$F641,nrES_Att,2,nrES_Raw,"&gt;=0")&gt;0,"",$L641),IF($L641&gt;=$J641,MAX($J641,cfgRetakeRecordedCap),IF(COUNTIFS(nrES_PID,$D641,nrES_Code,$F641,nrES_Att,1)=0,$L641,SUMIFS(nrES_Raw,nrES_PID,$D641,nrES_Code,$F641,nrES_Att,1))))))))</f>
        <v/>
      </c>
      <c r="N641" s="17">
        <f>IF($C641="","",IF($L641="","",IF(NOT(ISNUMBER($L641)),"(not a score)",IF($L641&gt;=$J641,"Yes","No"))))</f>
        <v/>
      </c>
      <c r="O641" s="17">
        <f>IF($C641="","",IF($M641="","",IF(NOT(ISNUMBER($M641)),"(not a score)",IF($M641&gt;=$J641,"Yes","No"))))</f>
        <v/>
      </c>
      <c r="P641" s="17">
        <f>IF($C641="","",IF($K641="","",IF(N($K641)&gt;2,"No",IF(COUNTIFS(nrES_PID,$D641,nrES_Code,$F641,nrES_Att,"&gt;"&amp;$K641,nrES_Att,"&lt;=2",nrES_Raw,"&gt;=0")=0,"Yes","No"))))</f>
        <v/>
      </c>
      <c r="Q641" s="17">
        <f>IF($C641="","",IF($L641="","",IF(AND($K641=1,ISNUMBER($L641),$L641&lt;$J641,COUNTIFS(nrES_PID,$D641,nrES_Code,$F641,nrES_Att,2,nrES_Raw,"&gt;=0")=0),"Yes","No")))</f>
        <v/>
      </c>
      <c r="R641" s="17">
        <f>IF($C641="","",IF($L641="","",IF(AND(N($K641)&gt;=2,ISNUMBER($L641),$L641&lt;$J641),"Yes","No")))</f>
        <v/>
      </c>
      <c r="S641" s="18" t="n"/>
      <c r="T641" s="19">
        <f>IF(OR($C641="",$L641="",$K641&lt;&gt;1,NOT(ISNUMBER($L641)),$L641&gt;=$J641),"",IF($S641="","(enter date)",_xlfn.LET(_xlpm.dn,_xlfn.XLOOKUP($S641,nrCDdate,nrCDnum,"",1),IF(_xlpm.dn="","(after last class day)",_xlfn.LET(_xlpm.dd,_xlfn.XLOOKUP(_xlpm.dn+cfgRetestClassDays,nrCDnum,nrCDdate,""),_xlpm.ok,_xlfn.XLOOKUP(_xlpm.dn+cfgRetestClassDays,nrCDnum,nrCDinsession,"No"),IF(OR(_xlpm.dd="",_xlpm.ok&lt;&gt;"Yes"),"(after last class day)",_xlpm.dd))))))</f>
        <v/>
      </c>
      <c r="U641" s="17">
        <f>IF($C641="","",IF(AND($Y641="Excused",$L641="",N($K641)&lt;=1),"EXCUSED - 1st attempt pending",IF(OR($L641="",$K641&lt;&gt;1,NOT(ISNUMBER($L641)),$L641&gt;=$J641),"",IF(COUNTIFS(nrES_PID,$D641,nrES_Code,$F641,nrES_Att,2,nrES_Raw,"&gt;=0")&gt;0,IF(IFERROR(_xlfn.MINIFS(nrES_Date,nrES_PID,$D641,nrES_Code,$F641,nrES_Att,2,nrES_Raw,"&gt;=0",nrES_Date,"&gt;0"),0)=0,"RETEST UNDATED",IF(NOT(ISNUMBER($T641)),"RETEST DATE UNCHECKED",IF(_xlfn.MINIFS(nrES_Date,nrES_PID,$D641,nrES_Code,$F641,nrES_Att,2,nrES_Raw,"&gt;=0",nrES_Date,"&gt;0")&gt;$T641,"LATE RETEST "&amp;TEXT(_xlfn.MINIFS(nrES_Date,nrES_PID,$D641,nrES_Code,$F641,nrES_Att,2,nrES_Raw,"&gt;=0",nrES_Date,"&gt;0"),"mm/dd")&amp;" (due "&amp;TEXT($T641,"mm/dd")&amp;")","Retested"))),IF(NOT(ISNUMBER($T641)),"CHECK DATE",IF(TODAY()&gt;$T641,"OVERDUE","Due "&amp;TEXT($T641,"mm/dd")))))))</f>
        <v/>
      </c>
      <c r="V641" s="16" t="n"/>
      <c r="W641" s="16" t="n"/>
      <c r="X641" s="17">
        <f>IF($C641="","",IF(AND($L641&lt;&gt;"",NOT(ISNUMBER($L641))),"RAW SCORE NOT A NUMBER",IF(AND(ISNUMBER($L641),OR($L641&lt;0,$L641&gt;100)),"RAW SCORE OUT OF RANGE",IF(AND($Y641="Unexcused",OR($L641="",NOT(ISNUMBER($L641)),$L641&lt;&gt;0)),"UNEXCUSED ABSENCE MUST RECORD 0",IF(COUNTIF(nrES_RecID,$B641)&gt;1,"DUPLICATE RECORD",IF(N($K641)&gt;2,"ATTEMPT 3+ NOT ALLOWED - policy 300.5 permits one retest per exam; this row records nothing",IF(AND($K641=2,COUNTIFS(nrES_PID,$D641,nrES_Code,$F641,nrES_Att,1)=0),"ATTEMPT 2 WITHOUT ATTEMPT 1",IF(AND($K641=2,$L641=""),"RETEST ROW HAS NO SCORE",IF(AND($H641="Final",$L641&lt;&gt;"",IFERROR(INDEX(nrCKfinalExamElig,MATCH($D641,rngCadetPIDs,0)),"")="No"),"FINAL EXAM AFTER FAILED FINAL PT (500.1.H)",IF(AND($K641=2,ISNUMBER($L641),COUNTIFS(nrES_PID,$D641,nrES_Code,$F641,nrES_Att,1)&gt;0,SUMIFS(nrES_Raw,nrES_PID,$D641,nrES_Code,$F641,nrES_Att,1)&gt;=$J641),"RETEST AFTER A PASSING FIRST ATTEMPT","OK"))))))))))</f>
        <v/>
      </c>
      <c r="Y641" s="16" t="n"/>
    </row>
    <row r="642">
      <c r="B642" s="17">
        <f>IF($C642="","",$D642&amp;"-"&amp;$F642&amp;"-"&amp;$K642)</f>
        <v/>
      </c>
      <c r="C642" s="16" t="n"/>
      <c r="D642" s="17">
        <f>IF($C642="","",IFERROR(INDEX(rngCadetPIDs,MATCH($C642,rngCadetNames,0)),"?"))</f>
        <v/>
      </c>
      <c r="E642" s="17">
        <f>IF($D642="","",IFERROR(INDEX(nrCadetAgency,MATCH($D642,rngCadetPIDs,0)),""))</f>
        <v/>
      </c>
      <c r="F642" s="16" t="n"/>
      <c r="G642" s="17">
        <f>IF($F642="","",IFERROR(INDEX(rngEPname,MATCH($F642,rngEPcode,0)),"?"))</f>
        <v/>
      </c>
      <c r="H642" s="17">
        <f>IF($F642="","",IFERROR(INDEX(rngEPtype,MATCH($F642,rngEPcode,0)),"?"))</f>
        <v/>
      </c>
      <c r="I642" s="17">
        <f>IF($F642="","",IFERROR(INDEX(rngEPseq,MATCH($F642,rngEPcode,0)),""))</f>
        <v/>
      </c>
      <c r="J642" s="17">
        <f>IF($F642="","",IFERROR(INDEX(rngEPpass,MATCH($F642,rngEPcode,0)),cfgPassingScore))</f>
        <v/>
      </c>
      <c r="K642" s="16" t="n"/>
      <c r="L642" s="16" t="n"/>
      <c r="M642" s="17">
        <f>IF($C642="","",IF($L642="","",IF(NOT(ISNUMBER($L642)),$L642,IF(N($K642)&gt;2,"",IF($K642=1,IF(COUNTIFS(nrES_PID,$D642,nrES_Code,$F642,nrES_Att,2,nrES_Raw,"&gt;=0")&gt;0,"",$L642),IF($L642&gt;=$J642,MAX($J642,cfgRetakeRecordedCap),IF(COUNTIFS(nrES_PID,$D642,nrES_Code,$F642,nrES_Att,1)=0,$L642,SUMIFS(nrES_Raw,nrES_PID,$D642,nrES_Code,$F642,nrES_Att,1))))))))</f>
        <v/>
      </c>
      <c r="N642" s="17">
        <f>IF($C642="","",IF($L642="","",IF(NOT(ISNUMBER($L642)),"(not a score)",IF($L642&gt;=$J642,"Yes","No"))))</f>
        <v/>
      </c>
      <c r="O642" s="17">
        <f>IF($C642="","",IF($M642="","",IF(NOT(ISNUMBER($M642)),"(not a score)",IF($M642&gt;=$J642,"Yes","No"))))</f>
        <v/>
      </c>
      <c r="P642" s="17">
        <f>IF($C642="","",IF($K642="","",IF(N($K642)&gt;2,"No",IF(COUNTIFS(nrES_PID,$D642,nrES_Code,$F642,nrES_Att,"&gt;"&amp;$K642,nrES_Att,"&lt;=2",nrES_Raw,"&gt;=0")=0,"Yes","No"))))</f>
        <v/>
      </c>
      <c r="Q642" s="17">
        <f>IF($C642="","",IF($L642="","",IF(AND($K642=1,ISNUMBER($L642),$L642&lt;$J642,COUNTIFS(nrES_PID,$D642,nrES_Code,$F642,nrES_Att,2,nrES_Raw,"&gt;=0")=0),"Yes","No")))</f>
        <v/>
      </c>
      <c r="R642" s="17">
        <f>IF($C642="","",IF($L642="","",IF(AND(N($K642)&gt;=2,ISNUMBER($L642),$L642&lt;$J642),"Yes","No")))</f>
        <v/>
      </c>
      <c r="S642" s="18" t="n"/>
      <c r="T642" s="19">
        <f>IF(OR($C642="",$L642="",$K642&lt;&gt;1,NOT(ISNUMBER($L642)),$L642&gt;=$J642),"",IF($S642="","(enter date)",_xlfn.LET(_xlpm.dn,_xlfn.XLOOKUP($S642,nrCDdate,nrCDnum,"",1),IF(_xlpm.dn="","(after last class day)",_xlfn.LET(_xlpm.dd,_xlfn.XLOOKUP(_xlpm.dn+cfgRetestClassDays,nrCDnum,nrCDdate,""),_xlpm.ok,_xlfn.XLOOKUP(_xlpm.dn+cfgRetestClassDays,nrCDnum,nrCDinsession,"No"),IF(OR(_xlpm.dd="",_xlpm.ok&lt;&gt;"Yes"),"(after last class day)",_xlpm.dd))))))</f>
        <v/>
      </c>
      <c r="U642" s="17">
        <f>IF($C642="","",IF(AND($Y642="Excused",$L642="",N($K642)&lt;=1),"EXCUSED - 1st attempt pending",IF(OR($L642="",$K642&lt;&gt;1,NOT(ISNUMBER($L642)),$L642&gt;=$J642),"",IF(COUNTIFS(nrES_PID,$D642,nrES_Code,$F642,nrES_Att,2,nrES_Raw,"&gt;=0")&gt;0,IF(IFERROR(_xlfn.MINIFS(nrES_Date,nrES_PID,$D642,nrES_Code,$F642,nrES_Att,2,nrES_Raw,"&gt;=0",nrES_Date,"&gt;0"),0)=0,"RETEST UNDATED",IF(NOT(ISNUMBER($T642)),"RETEST DATE UNCHECKED",IF(_xlfn.MINIFS(nrES_Date,nrES_PID,$D642,nrES_Code,$F642,nrES_Att,2,nrES_Raw,"&gt;=0",nrES_Date,"&gt;0")&gt;$T642,"LATE RETEST "&amp;TEXT(_xlfn.MINIFS(nrES_Date,nrES_PID,$D642,nrES_Code,$F642,nrES_Att,2,nrES_Raw,"&gt;=0",nrES_Date,"&gt;0"),"mm/dd")&amp;" (due "&amp;TEXT($T642,"mm/dd")&amp;")","Retested"))),IF(NOT(ISNUMBER($T642)),"CHECK DATE",IF(TODAY()&gt;$T642,"OVERDUE","Due "&amp;TEXT($T642,"mm/dd")))))))</f>
        <v/>
      </c>
      <c r="V642" s="16" t="n"/>
      <c r="W642" s="16" t="n"/>
      <c r="X642" s="17">
        <f>IF($C642="","",IF(AND($L642&lt;&gt;"",NOT(ISNUMBER($L642))),"RAW SCORE NOT A NUMBER",IF(AND(ISNUMBER($L642),OR($L642&lt;0,$L642&gt;100)),"RAW SCORE OUT OF RANGE",IF(AND($Y642="Unexcused",OR($L642="",NOT(ISNUMBER($L642)),$L642&lt;&gt;0)),"UNEXCUSED ABSENCE MUST RECORD 0",IF(COUNTIF(nrES_RecID,$B642)&gt;1,"DUPLICATE RECORD",IF(N($K642)&gt;2,"ATTEMPT 3+ NOT ALLOWED - policy 300.5 permits one retest per exam; this row records nothing",IF(AND($K642=2,COUNTIFS(nrES_PID,$D642,nrES_Code,$F642,nrES_Att,1)=0),"ATTEMPT 2 WITHOUT ATTEMPT 1",IF(AND($K642=2,$L642=""),"RETEST ROW HAS NO SCORE",IF(AND($H642="Final",$L642&lt;&gt;"",IFERROR(INDEX(nrCKfinalExamElig,MATCH($D642,rngCadetPIDs,0)),"")="No"),"FINAL EXAM AFTER FAILED FINAL PT (500.1.H)",IF(AND($K642=2,ISNUMBER($L642),COUNTIFS(nrES_PID,$D642,nrES_Code,$F642,nrES_Att,1)&gt;0,SUMIFS(nrES_Raw,nrES_PID,$D642,nrES_Code,$F642,nrES_Att,1)&gt;=$J642),"RETEST AFTER A PASSING FIRST ATTEMPT","OK"))))))))))</f>
        <v/>
      </c>
      <c r="Y642" s="16" t="n"/>
    </row>
    <row r="643">
      <c r="B643" s="17">
        <f>IF($C643="","",$D643&amp;"-"&amp;$F643&amp;"-"&amp;$K643)</f>
        <v/>
      </c>
      <c r="C643" s="16" t="n"/>
      <c r="D643" s="17">
        <f>IF($C643="","",IFERROR(INDEX(rngCadetPIDs,MATCH($C643,rngCadetNames,0)),"?"))</f>
        <v/>
      </c>
      <c r="E643" s="17">
        <f>IF($D643="","",IFERROR(INDEX(nrCadetAgency,MATCH($D643,rngCadetPIDs,0)),""))</f>
        <v/>
      </c>
      <c r="F643" s="16" t="n"/>
      <c r="G643" s="17">
        <f>IF($F643="","",IFERROR(INDEX(rngEPname,MATCH($F643,rngEPcode,0)),"?"))</f>
        <v/>
      </c>
      <c r="H643" s="17">
        <f>IF($F643="","",IFERROR(INDEX(rngEPtype,MATCH($F643,rngEPcode,0)),"?"))</f>
        <v/>
      </c>
      <c r="I643" s="17">
        <f>IF($F643="","",IFERROR(INDEX(rngEPseq,MATCH($F643,rngEPcode,0)),""))</f>
        <v/>
      </c>
      <c r="J643" s="17">
        <f>IF($F643="","",IFERROR(INDEX(rngEPpass,MATCH($F643,rngEPcode,0)),cfgPassingScore))</f>
        <v/>
      </c>
      <c r="K643" s="16" t="n"/>
      <c r="L643" s="16" t="n"/>
      <c r="M643" s="17">
        <f>IF($C643="","",IF($L643="","",IF(NOT(ISNUMBER($L643)),$L643,IF(N($K643)&gt;2,"",IF($K643=1,IF(COUNTIFS(nrES_PID,$D643,nrES_Code,$F643,nrES_Att,2,nrES_Raw,"&gt;=0")&gt;0,"",$L643),IF($L643&gt;=$J643,MAX($J643,cfgRetakeRecordedCap),IF(COUNTIFS(nrES_PID,$D643,nrES_Code,$F643,nrES_Att,1)=0,$L643,SUMIFS(nrES_Raw,nrES_PID,$D643,nrES_Code,$F643,nrES_Att,1))))))))</f>
        <v/>
      </c>
      <c r="N643" s="17">
        <f>IF($C643="","",IF($L643="","",IF(NOT(ISNUMBER($L643)),"(not a score)",IF($L643&gt;=$J643,"Yes","No"))))</f>
        <v/>
      </c>
      <c r="O643" s="17">
        <f>IF($C643="","",IF($M643="","",IF(NOT(ISNUMBER($M643)),"(not a score)",IF($M643&gt;=$J643,"Yes","No"))))</f>
        <v/>
      </c>
      <c r="P643" s="17">
        <f>IF($C643="","",IF($K643="","",IF(N($K643)&gt;2,"No",IF(COUNTIFS(nrES_PID,$D643,nrES_Code,$F643,nrES_Att,"&gt;"&amp;$K643,nrES_Att,"&lt;=2",nrES_Raw,"&gt;=0")=0,"Yes","No"))))</f>
        <v/>
      </c>
      <c r="Q643" s="17">
        <f>IF($C643="","",IF($L643="","",IF(AND($K643=1,ISNUMBER($L643),$L643&lt;$J643,COUNTIFS(nrES_PID,$D643,nrES_Code,$F643,nrES_Att,2,nrES_Raw,"&gt;=0")=0),"Yes","No")))</f>
        <v/>
      </c>
      <c r="R643" s="17">
        <f>IF($C643="","",IF($L643="","",IF(AND(N($K643)&gt;=2,ISNUMBER($L643),$L643&lt;$J643),"Yes","No")))</f>
        <v/>
      </c>
      <c r="S643" s="18" t="n"/>
      <c r="T643" s="19">
        <f>IF(OR($C643="",$L643="",$K643&lt;&gt;1,NOT(ISNUMBER($L643)),$L643&gt;=$J643),"",IF($S643="","(enter date)",_xlfn.LET(_xlpm.dn,_xlfn.XLOOKUP($S643,nrCDdate,nrCDnum,"",1),IF(_xlpm.dn="","(after last class day)",_xlfn.LET(_xlpm.dd,_xlfn.XLOOKUP(_xlpm.dn+cfgRetestClassDays,nrCDnum,nrCDdate,""),_xlpm.ok,_xlfn.XLOOKUP(_xlpm.dn+cfgRetestClassDays,nrCDnum,nrCDinsession,"No"),IF(OR(_xlpm.dd="",_xlpm.ok&lt;&gt;"Yes"),"(after last class day)",_xlpm.dd))))))</f>
        <v/>
      </c>
      <c r="U643" s="17">
        <f>IF($C643="","",IF(AND($Y643="Excused",$L643="",N($K643)&lt;=1),"EXCUSED - 1st attempt pending",IF(OR($L643="",$K643&lt;&gt;1,NOT(ISNUMBER($L643)),$L643&gt;=$J643),"",IF(COUNTIFS(nrES_PID,$D643,nrES_Code,$F643,nrES_Att,2,nrES_Raw,"&gt;=0")&gt;0,IF(IFERROR(_xlfn.MINIFS(nrES_Date,nrES_PID,$D643,nrES_Code,$F643,nrES_Att,2,nrES_Raw,"&gt;=0",nrES_Date,"&gt;0"),0)=0,"RETEST UNDATED",IF(NOT(ISNUMBER($T643)),"RETEST DATE UNCHECKED",IF(_xlfn.MINIFS(nrES_Date,nrES_PID,$D643,nrES_Code,$F643,nrES_Att,2,nrES_Raw,"&gt;=0",nrES_Date,"&gt;0")&gt;$T643,"LATE RETEST "&amp;TEXT(_xlfn.MINIFS(nrES_Date,nrES_PID,$D643,nrES_Code,$F643,nrES_Att,2,nrES_Raw,"&gt;=0",nrES_Date,"&gt;0"),"mm/dd")&amp;" (due "&amp;TEXT($T643,"mm/dd")&amp;")","Retested"))),IF(NOT(ISNUMBER($T643)),"CHECK DATE",IF(TODAY()&gt;$T643,"OVERDUE","Due "&amp;TEXT($T643,"mm/dd")))))))</f>
        <v/>
      </c>
      <c r="V643" s="16" t="n"/>
      <c r="W643" s="16" t="n"/>
      <c r="X643" s="17">
        <f>IF($C643="","",IF(AND($L643&lt;&gt;"",NOT(ISNUMBER($L643))),"RAW SCORE NOT A NUMBER",IF(AND(ISNUMBER($L643),OR($L643&lt;0,$L643&gt;100)),"RAW SCORE OUT OF RANGE",IF(AND($Y643="Unexcused",OR($L643="",NOT(ISNUMBER($L643)),$L643&lt;&gt;0)),"UNEXCUSED ABSENCE MUST RECORD 0",IF(COUNTIF(nrES_RecID,$B643)&gt;1,"DUPLICATE RECORD",IF(N($K643)&gt;2,"ATTEMPT 3+ NOT ALLOWED - policy 300.5 permits one retest per exam; this row records nothing",IF(AND($K643=2,COUNTIFS(nrES_PID,$D643,nrES_Code,$F643,nrES_Att,1)=0),"ATTEMPT 2 WITHOUT ATTEMPT 1",IF(AND($K643=2,$L643=""),"RETEST ROW HAS NO SCORE",IF(AND($H643="Final",$L643&lt;&gt;"",IFERROR(INDEX(nrCKfinalExamElig,MATCH($D643,rngCadetPIDs,0)),"")="No"),"FINAL EXAM AFTER FAILED FINAL PT (500.1.H)",IF(AND($K643=2,ISNUMBER($L643),COUNTIFS(nrES_PID,$D643,nrES_Code,$F643,nrES_Att,1)&gt;0,SUMIFS(nrES_Raw,nrES_PID,$D643,nrES_Code,$F643,nrES_Att,1)&gt;=$J643),"RETEST AFTER A PASSING FIRST ATTEMPT","OK"))))))))))</f>
        <v/>
      </c>
      <c r="Y643" s="16" t="n"/>
    </row>
    <row r="644">
      <c r="B644" s="17">
        <f>IF($C644="","",$D644&amp;"-"&amp;$F644&amp;"-"&amp;$K644)</f>
        <v/>
      </c>
      <c r="C644" s="16" t="n"/>
      <c r="D644" s="17">
        <f>IF($C644="","",IFERROR(INDEX(rngCadetPIDs,MATCH($C644,rngCadetNames,0)),"?"))</f>
        <v/>
      </c>
      <c r="E644" s="17">
        <f>IF($D644="","",IFERROR(INDEX(nrCadetAgency,MATCH($D644,rngCadetPIDs,0)),""))</f>
        <v/>
      </c>
      <c r="F644" s="16" t="n"/>
      <c r="G644" s="17">
        <f>IF($F644="","",IFERROR(INDEX(rngEPname,MATCH($F644,rngEPcode,0)),"?"))</f>
        <v/>
      </c>
      <c r="H644" s="17">
        <f>IF($F644="","",IFERROR(INDEX(rngEPtype,MATCH($F644,rngEPcode,0)),"?"))</f>
        <v/>
      </c>
      <c r="I644" s="17">
        <f>IF($F644="","",IFERROR(INDEX(rngEPseq,MATCH($F644,rngEPcode,0)),""))</f>
        <v/>
      </c>
      <c r="J644" s="17">
        <f>IF($F644="","",IFERROR(INDEX(rngEPpass,MATCH($F644,rngEPcode,0)),cfgPassingScore))</f>
        <v/>
      </c>
      <c r="K644" s="16" t="n"/>
      <c r="L644" s="16" t="n"/>
      <c r="M644" s="17">
        <f>IF($C644="","",IF($L644="","",IF(NOT(ISNUMBER($L644)),$L644,IF(N($K644)&gt;2,"",IF($K644=1,IF(COUNTIFS(nrES_PID,$D644,nrES_Code,$F644,nrES_Att,2,nrES_Raw,"&gt;=0")&gt;0,"",$L644),IF($L644&gt;=$J644,MAX($J644,cfgRetakeRecordedCap),IF(COUNTIFS(nrES_PID,$D644,nrES_Code,$F644,nrES_Att,1)=0,$L644,SUMIFS(nrES_Raw,nrES_PID,$D644,nrES_Code,$F644,nrES_Att,1))))))))</f>
        <v/>
      </c>
      <c r="N644" s="17">
        <f>IF($C644="","",IF($L644="","",IF(NOT(ISNUMBER($L644)),"(not a score)",IF($L644&gt;=$J644,"Yes","No"))))</f>
        <v/>
      </c>
      <c r="O644" s="17">
        <f>IF($C644="","",IF($M644="","",IF(NOT(ISNUMBER($M644)),"(not a score)",IF($M644&gt;=$J644,"Yes","No"))))</f>
        <v/>
      </c>
      <c r="P644" s="17">
        <f>IF($C644="","",IF($K644="","",IF(N($K644)&gt;2,"No",IF(COUNTIFS(nrES_PID,$D644,nrES_Code,$F644,nrES_Att,"&gt;"&amp;$K644,nrES_Att,"&lt;=2",nrES_Raw,"&gt;=0")=0,"Yes","No"))))</f>
        <v/>
      </c>
      <c r="Q644" s="17">
        <f>IF($C644="","",IF($L644="","",IF(AND($K644=1,ISNUMBER($L644),$L644&lt;$J644,COUNTIFS(nrES_PID,$D644,nrES_Code,$F644,nrES_Att,2,nrES_Raw,"&gt;=0")=0),"Yes","No")))</f>
        <v/>
      </c>
      <c r="R644" s="17">
        <f>IF($C644="","",IF($L644="","",IF(AND(N($K644)&gt;=2,ISNUMBER($L644),$L644&lt;$J644),"Yes","No")))</f>
        <v/>
      </c>
      <c r="S644" s="18" t="n"/>
      <c r="T644" s="19">
        <f>IF(OR($C644="",$L644="",$K644&lt;&gt;1,NOT(ISNUMBER($L644)),$L644&gt;=$J644),"",IF($S644="","(enter date)",_xlfn.LET(_xlpm.dn,_xlfn.XLOOKUP($S644,nrCDdate,nrCDnum,"",1),IF(_xlpm.dn="","(after last class day)",_xlfn.LET(_xlpm.dd,_xlfn.XLOOKUP(_xlpm.dn+cfgRetestClassDays,nrCDnum,nrCDdate,""),_xlpm.ok,_xlfn.XLOOKUP(_xlpm.dn+cfgRetestClassDays,nrCDnum,nrCDinsession,"No"),IF(OR(_xlpm.dd="",_xlpm.ok&lt;&gt;"Yes"),"(after last class day)",_xlpm.dd))))))</f>
        <v/>
      </c>
      <c r="U644" s="17">
        <f>IF($C644="","",IF(AND($Y644="Excused",$L644="",N($K644)&lt;=1),"EXCUSED - 1st attempt pending",IF(OR($L644="",$K644&lt;&gt;1,NOT(ISNUMBER($L644)),$L644&gt;=$J644),"",IF(COUNTIFS(nrES_PID,$D644,nrES_Code,$F644,nrES_Att,2,nrES_Raw,"&gt;=0")&gt;0,IF(IFERROR(_xlfn.MINIFS(nrES_Date,nrES_PID,$D644,nrES_Code,$F644,nrES_Att,2,nrES_Raw,"&gt;=0",nrES_Date,"&gt;0"),0)=0,"RETEST UNDATED",IF(NOT(ISNUMBER($T644)),"RETEST DATE UNCHECKED",IF(_xlfn.MINIFS(nrES_Date,nrES_PID,$D644,nrES_Code,$F644,nrES_Att,2,nrES_Raw,"&gt;=0",nrES_Date,"&gt;0")&gt;$T644,"LATE RETEST "&amp;TEXT(_xlfn.MINIFS(nrES_Date,nrES_PID,$D644,nrES_Code,$F644,nrES_Att,2,nrES_Raw,"&gt;=0",nrES_Date,"&gt;0"),"mm/dd")&amp;" (due "&amp;TEXT($T644,"mm/dd")&amp;")","Retested"))),IF(NOT(ISNUMBER($T644)),"CHECK DATE",IF(TODAY()&gt;$T644,"OVERDUE","Due "&amp;TEXT($T644,"mm/dd")))))))</f>
        <v/>
      </c>
      <c r="V644" s="16" t="n"/>
      <c r="W644" s="16" t="n"/>
      <c r="X644" s="17">
        <f>IF($C644="","",IF(AND($L644&lt;&gt;"",NOT(ISNUMBER($L644))),"RAW SCORE NOT A NUMBER",IF(AND(ISNUMBER($L644),OR($L644&lt;0,$L644&gt;100)),"RAW SCORE OUT OF RANGE",IF(AND($Y644="Unexcused",OR($L644="",NOT(ISNUMBER($L644)),$L644&lt;&gt;0)),"UNEXCUSED ABSENCE MUST RECORD 0",IF(COUNTIF(nrES_RecID,$B644)&gt;1,"DUPLICATE RECORD",IF(N($K644)&gt;2,"ATTEMPT 3+ NOT ALLOWED - policy 300.5 permits one retest per exam; this row records nothing",IF(AND($K644=2,COUNTIFS(nrES_PID,$D644,nrES_Code,$F644,nrES_Att,1)=0),"ATTEMPT 2 WITHOUT ATTEMPT 1",IF(AND($K644=2,$L644=""),"RETEST ROW HAS NO SCORE",IF(AND($H644="Final",$L644&lt;&gt;"",IFERROR(INDEX(nrCKfinalExamElig,MATCH($D644,rngCadetPIDs,0)),"")="No"),"FINAL EXAM AFTER FAILED FINAL PT (500.1.H)",IF(AND($K644=2,ISNUMBER($L644),COUNTIFS(nrES_PID,$D644,nrES_Code,$F644,nrES_Att,1)&gt;0,SUMIFS(nrES_Raw,nrES_PID,$D644,nrES_Code,$F644,nrES_Att,1)&gt;=$J644),"RETEST AFTER A PASSING FIRST ATTEMPT","OK"))))))))))</f>
        <v/>
      </c>
      <c r="Y644" s="16" t="n"/>
    </row>
    <row r="645">
      <c r="B645" s="17">
        <f>IF($C645="","",$D645&amp;"-"&amp;$F645&amp;"-"&amp;$K645)</f>
        <v/>
      </c>
      <c r="C645" s="16" t="n"/>
      <c r="D645" s="17">
        <f>IF($C645="","",IFERROR(INDEX(rngCadetPIDs,MATCH($C645,rngCadetNames,0)),"?"))</f>
        <v/>
      </c>
      <c r="E645" s="17">
        <f>IF($D645="","",IFERROR(INDEX(nrCadetAgency,MATCH($D645,rngCadetPIDs,0)),""))</f>
        <v/>
      </c>
      <c r="F645" s="16" t="n"/>
      <c r="G645" s="17">
        <f>IF($F645="","",IFERROR(INDEX(rngEPname,MATCH($F645,rngEPcode,0)),"?"))</f>
        <v/>
      </c>
      <c r="H645" s="17">
        <f>IF($F645="","",IFERROR(INDEX(rngEPtype,MATCH($F645,rngEPcode,0)),"?"))</f>
        <v/>
      </c>
      <c r="I645" s="17">
        <f>IF($F645="","",IFERROR(INDEX(rngEPseq,MATCH($F645,rngEPcode,0)),""))</f>
        <v/>
      </c>
      <c r="J645" s="17">
        <f>IF($F645="","",IFERROR(INDEX(rngEPpass,MATCH($F645,rngEPcode,0)),cfgPassingScore))</f>
        <v/>
      </c>
      <c r="K645" s="16" t="n"/>
      <c r="L645" s="16" t="n"/>
      <c r="M645" s="17">
        <f>IF($C645="","",IF($L645="","",IF(NOT(ISNUMBER($L645)),$L645,IF(N($K645)&gt;2,"",IF($K645=1,IF(COUNTIFS(nrES_PID,$D645,nrES_Code,$F645,nrES_Att,2,nrES_Raw,"&gt;=0")&gt;0,"",$L645),IF($L645&gt;=$J645,MAX($J645,cfgRetakeRecordedCap),IF(COUNTIFS(nrES_PID,$D645,nrES_Code,$F645,nrES_Att,1)=0,$L645,SUMIFS(nrES_Raw,nrES_PID,$D645,nrES_Code,$F645,nrES_Att,1))))))))</f>
        <v/>
      </c>
      <c r="N645" s="17">
        <f>IF($C645="","",IF($L645="","",IF(NOT(ISNUMBER($L645)),"(not a score)",IF($L645&gt;=$J645,"Yes","No"))))</f>
        <v/>
      </c>
      <c r="O645" s="17">
        <f>IF($C645="","",IF($M645="","",IF(NOT(ISNUMBER($M645)),"(not a score)",IF($M645&gt;=$J645,"Yes","No"))))</f>
        <v/>
      </c>
      <c r="P645" s="17">
        <f>IF($C645="","",IF($K645="","",IF(N($K645)&gt;2,"No",IF(COUNTIFS(nrES_PID,$D645,nrES_Code,$F645,nrES_Att,"&gt;"&amp;$K645,nrES_Att,"&lt;=2",nrES_Raw,"&gt;=0")=0,"Yes","No"))))</f>
        <v/>
      </c>
      <c r="Q645" s="17">
        <f>IF($C645="","",IF($L645="","",IF(AND($K645=1,ISNUMBER($L645),$L645&lt;$J645,COUNTIFS(nrES_PID,$D645,nrES_Code,$F645,nrES_Att,2,nrES_Raw,"&gt;=0")=0),"Yes","No")))</f>
        <v/>
      </c>
      <c r="R645" s="17">
        <f>IF($C645="","",IF($L645="","",IF(AND(N($K645)&gt;=2,ISNUMBER($L645),$L645&lt;$J645),"Yes","No")))</f>
        <v/>
      </c>
      <c r="S645" s="18" t="n"/>
      <c r="T645" s="19">
        <f>IF(OR($C645="",$L645="",$K645&lt;&gt;1,NOT(ISNUMBER($L645)),$L645&gt;=$J645),"",IF($S645="","(enter date)",_xlfn.LET(_xlpm.dn,_xlfn.XLOOKUP($S645,nrCDdate,nrCDnum,"",1),IF(_xlpm.dn="","(after last class day)",_xlfn.LET(_xlpm.dd,_xlfn.XLOOKUP(_xlpm.dn+cfgRetestClassDays,nrCDnum,nrCDdate,""),_xlpm.ok,_xlfn.XLOOKUP(_xlpm.dn+cfgRetestClassDays,nrCDnum,nrCDinsession,"No"),IF(OR(_xlpm.dd="",_xlpm.ok&lt;&gt;"Yes"),"(after last class day)",_xlpm.dd))))))</f>
        <v/>
      </c>
      <c r="U645" s="17">
        <f>IF($C645="","",IF(AND($Y645="Excused",$L645="",N($K645)&lt;=1),"EXCUSED - 1st attempt pending",IF(OR($L645="",$K645&lt;&gt;1,NOT(ISNUMBER($L645)),$L645&gt;=$J645),"",IF(COUNTIFS(nrES_PID,$D645,nrES_Code,$F645,nrES_Att,2,nrES_Raw,"&gt;=0")&gt;0,IF(IFERROR(_xlfn.MINIFS(nrES_Date,nrES_PID,$D645,nrES_Code,$F645,nrES_Att,2,nrES_Raw,"&gt;=0",nrES_Date,"&gt;0"),0)=0,"RETEST UNDATED",IF(NOT(ISNUMBER($T645)),"RETEST DATE UNCHECKED",IF(_xlfn.MINIFS(nrES_Date,nrES_PID,$D645,nrES_Code,$F645,nrES_Att,2,nrES_Raw,"&gt;=0",nrES_Date,"&gt;0")&gt;$T645,"LATE RETEST "&amp;TEXT(_xlfn.MINIFS(nrES_Date,nrES_PID,$D645,nrES_Code,$F645,nrES_Att,2,nrES_Raw,"&gt;=0",nrES_Date,"&gt;0"),"mm/dd")&amp;" (due "&amp;TEXT($T645,"mm/dd")&amp;")","Retested"))),IF(NOT(ISNUMBER($T645)),"CHECK DATE",IF(TODAY()&gt;$T645,"OVERDUE","Due "&amp;TEXT($T645,"mm/dd")))))))</f>
        <v/>
      </c>
      <c r="V645" s="16" t="n"/>
      <c r="W645" s="16" t="n"/>
      <c r="X645" s="17">
        <f>IF($C645="","",IF(AND($L645&lt;&gt;"",NOT(ISNUMBER($L645))),"RAW SCORE NOT A NUMBER",IF(AND(ISNUMBER($L645),OR($L645&lt;0,$L645&gt;100)),"RAW SCORE OUT OF RANGE",IF(AND($Y645="Unexcused",OR($L645="",NOT(ISNUMBER($L645)),$L645&lt;&gt;0)),"UNEXCUSED ABSENCE MUST RECORD 0",IF(COUNTIF(nrES_RecID,$B645)&gt;1,"DUPLICATE RECORD",IF(N($K645)&gt;2,"ATTEMPT 3+ NOT ALLOWED - policy 300.5 permits one retest per exam; this row records nothing",IF(AND($K645=2,COUNTIFS(nrES_PID,$D645,nrES_Code,$F645,nrES_Att,1)=0),"ATTEMPT 2 WITHOUT ATTEMPT 1",IF(AND($K645=2,$L645=""),"RETEST ROW HAS NO SCORE",IF(AND($H645="Final",$L645&lt;&gt;"",IFERROR(INDEX(nrCKfinalExamElig,MATCH($D645,rngCadetPIDs,0)),"")="No"),"FINAL EXAM AFTER FAILED FINAL PT (500.1.H)",IF(AND($K645=2,ISNUMBER($L645),COUNTIFS(nrES_PID,$D645,nrES_Code,$F645,nrES_Att,1)&gt;0,SUMIFS(nrES_Raw,nrES_PID,$D645,nrES_Code,$F645,nrES_Att,1)&gt;=$J645),"RETEST AFTER A PASSING FIRST ATTEMPT","OK"))))))))))</f>
        <v/>
      </c>
      <c r="Y645" s="16" t="n"/>
    </row>
    <row r="646">
      <c r="B646" s="17">
        <f>IF($C646="","",$D646&amp;"-"&amp;$F646&amp;"-"&amp;$K646)</f>
        <v/>
      </c>
      <c r="C646" s="16" t="n"/>
      <c r="D646" s="17">
        <f>IF($C646="","",IFERROR(INDEX(rngCadetPIDs,MATCH($C646,rngCadetNames,0)),"?"))</f>
        <v/>
      </c>
      <c r="E646" s="17">
        <f>IF($D646="","",IFERROR(INDEX(nrCadetAgency,MATCH($D646,rngCadetPIDs,0)),""))</f>
        <v/>
      </c>
      <c r="F646" s="16" t="n"/>
      <c r="G646" s="17">
        <f>IF($F646="","",IFERROR(INDEX(rngEPname,MATCH($F646,rngEPcode,0)),"?"))</f>
        <v/>
      </c>
      <c r="H646" s="17">
        <f>IF($F646="","",IFERROR(INDEX(rngEPtype,MATCH($F646,rngEPcode,0)),"?"))</f>
        <v/>
      </c>
      <c r="I646" s="17">
        <f>IF($F646="","",IFERROR(INDEX(rngEPseq,MATCH($F646,rngEPcode,0)),""))</f>
        <v/>
      </c>
      <c r="J646" s="17">
        <f>IF($F646="","",IFERROR(INDEX(rngEPpass,MATCH($F646,rngEPcode,0)),cfgPassingScore))</f>
        <v/>
      </c>
      <c r="K646" s="16" t="n"/>
      <c r="L646" s="16" t="n"/>
      <c r="M646" s="17">
        <f>IF($C646="","",IF($L646="","",IF(NOT(ISNUMBER($L646)),$L646,IF(N($K646)&gt;2,"",IF($K646=1,IF(COUNTIFS(nrES_PID,$D646,nrES_Code,$F646,nrES_Att,2,nrES_Raw,"&gt;=0")&gt;0,"",$L646),IF($L646&gt;=$J646,MAX($J646,cfgRetakeRecordedCap),IF(COUNTIFS(nrES_PID,$D646,nrES_Code,$F646,nrES_Att,1)=0,$L646,SUMIFS(nrES_Raw,nrES_PID,$D646,nrES_Code,$F646,nrES_Att,1))))))))</f>
        <v/>
      </c>
      <c r="N646" s="17">
        <f>IF($C646="","",IF($L646="","",IF(NOT(ISNUMBER($L646)),"(not a score)",IF($L646&gt;=$J646,"Yes","No"))))</f>
        <v/>
      </c>
      <c r="O646" s="17">
        <f>IF($C646="","",IF($M646="","",IF(NOT(ISNUMBER($M646)),"(not a score)",IF($M646&gt;=$J646,"Yes","No"))))</f>
        <v/>
      </c>
      <c r="P646" s="17">
        <f>IF($C646="","",IF($K646="","",IF(N($K646)&gt;2,"No",IF(COUNTIFS(nrES_PID,$D646,nrES_Code,$F646,nrES_Att,"&gt;"&amp;$K646,nrES_Att,"&lt;=2",nrES_Raw,"&gt;=0")=0,"Yes","No"))))</f>
        <v/>
      </c>
      <c r="Q646" s="17">
        <f>IF($C646="","",IF($L646="","",IF(AND($K646=1,ISNUMBER($L646),$L646&lt;$J646,COUNTIFS(nrES_PID,$D646,nrES_Code,$F646,nrES_Att,2,nrES_Raw,"&gt;=0")=0),"Yes","No")))</f>
        <v/>
      </c>
      <c r="R646" s="17">
        <f>IF($C646="","",IF($L646="","",IF(AND(N($K646)&gt;=2,ISNUMBER($L646),$L646&lt;$J646),"Yes","No")))</f>
        <v/>
      </c>
      <c r="S646" s="18" t="n"/>
      <c r="T646" s="19">
        <f>IF(OR($C646="",$L646="",$K646&lt;&gt;1,NOT(ISNUMBER($L646)),$L646&gt;=$J646),"",IF($S646="","(enter date)",_xlfn.LET(_xlpm.dn,_xlfn.XLOOKUP($S646,nrCDdate,nrCDnum,"",1),IF(_xlpm.dn="","(after last class day)",_xlfn.LET(_xlpm.dd,_xlfn.XLOOKUP(_xlpm.dn+cfgRetestClassDays,nrCDnum,nrCDdate,""),_xlpm.ok,_xlfn.XLOOKUP(_xlpm.dn+cfgRetestClassDays,nrCDnum,nrCDinsession,"No"),IF(OR(_xlpm.dd="",_xlpm.ok&lt;&gt;"Yes"),"(after last class day)",_xlpm.dd))))))</f>
        <v/>
      </c>
      <c r="U646" s="17">
        <f>IF($C646="","",IF(AND($Y646="Excused",$L646="",N($K646)&lt;=1),"EXCUSED - 1st attempt pending",IF(OR($L646="",$K646&lt;&gt;1,NOT(ISNUMBER($L646)),$L646&gt;=$J646),"",IF(COUNTIFS(nrES_PID,$D646,nrES_Code,$F646,nrES_Att,2,nrES_Raw,"&gt;=0")&gt;0,IF(IFERROR(_xlfn.MINIFS(nrES_Date,nrES_PID,$D646,nrES_Code,$F646,nrES_Att,2,nrES_Raw,"&gt;=0",nrES_Date,"&gt;0"),0)=0,"RETEST UNDATED",IF(NOT(ISNUMBER($T646)),"RETEST DATE UNCHECKED",IF(_xlfn.MINIFS(nrES_Date,nrES_PID,$D646,nrES_Code,$F646,nrES_Att,2,nrES_Raw,"&gt;=0",nrES_Date,"&gt;0")&gt;$T646,"LATE RETEST "&amp;TEXT(_xlfn.MINIFS(nrES_Date,nrES_PID,$D646,nrES_Code,$F646,nrES_Att,2,nrES_Raw,"&gt;=0",nrES_Date,"&gt;0"),"mm/dd")&amp;" (due "&amp;TEXT($T646,"mm/dd")&amp;")","Retested"))),IF(NOT(ISNUMBER($T646)),"CHECK DATE",IF(TODAY()&gt;$T646,"OVERDUE","Due "&amp;TEXT($T646,"mm/dd")))))))</f>
        <v/>
      </c>
      <c r="V646" s="16" t="n"/>
      <c r="W646" s="16" t="n"/>
      <c r="X646" s="17">
        <f>IF($C646="","",IF(AND($L646&lt;&gt;"",NOT(ISNUMBER($L646))),"RAW SCORE NOT A NUMBER",IF(AND(ISNUMBER($L646),OR($L646&lt;0,$L646&gt;100)),"RAW SCORE OUT OF RANGE",IF(AND($Y646="Unexcused",OR($L646="",NOT(ISNUMBER($L646)),$L646&lt;&gt;0)),"UNEXCUSED ABSENCE MUST RECORD 0",IF(COUNTIF(nrES_RecID,$B646)&gt;1,"DUPLICATE RECORD",IF(N($K646)&gt;2,"ATTEMPT 3+ NOT ALLOWED - policy 300.5 permits one retest per exam; this row records nothing",IF(AND($K646=2,COUNTIFS(nrES_PID,$D646,nrES_Code,$F646,nrES_Att,1)=0),"ATTEMPT 2 WITHOUT ATTEMPT 1",IF(AND($K646=2,$L646=""),"RETEST ROW HAS NO SCORE",IF(AND($H646="Final",$L646&lt;&gt;"",IFERROR(INDEX(nrCKfinalExamElig,MATCH($D646,rngCadetPIDs,0)),"")="No"),"FINAL EXAM AFTER FAILED FINAL PT (500.1.H)",IF(AND($K646=2,ISNUMBER($L646),COUNTIFS(nrES_PID,$D646,nrES_Code,$F646,nrES_Att,1)&gt;0,SUMIFS(nrES_Raw,nrES_PID,$D646,nrES_Code,$F646,nrES_Att,1)&gt;=$J646),"RETEST AFTER A PASSING FIRST ATTEMPT","OK"))))))))))</f>
        <v/>
      </c>
      <c r="Y646" s="16" t="n"/>
    </row>
    <row r="647">
      <c r="B647" s="17">
        <f>IF($C647="","",$D647&amp;"-"&amp;$F647&amp;"-"&amp;$K647)</f>
        <v/>
      </c>
      <c r="C647" s="16" t="n"/>
      <c r="D647" s="17">
        <f>IF($C647="","",IFERROR(INDEX(rngCadetPIDs,MATCH($C647,rngCadetNames,0)),"?"))</f>
        <v/>
      </c>
      <c r="E647" s="17">
        <f>IF($D647="","",IFERROR(INDEX(nrCadetAgency,MATCH($D647,rngCadetPIDs,0)),""))</f>
        <v/>
      </c>
      <c r="F647" s="16" t="n"/>
      <c r="G647" s="17">
        <f>IF($F647="","",IFERROR(INDEX(rngEPname,MATCH($F647,rngEPcode,0)),"?"))</f>
        <v/>
      </c>
      <c r="H647" s="17">
        <f>IF($F647="","",IFERROR(INDEX(rngEPtype,MATCH($F647,rngEPcode,0)),"?"))</f>
        <v/>
      </c>
      <c r="I647" s="17">
        <f>IF($F647="","",IFERROR(INDEX(rngEPseq,MATCH($F647,rngEPcode,0)),""))</f>
        <v/>
      </c>
      <c r="J647" s="17">
        <f>IF($F647="","",IFERROR(INDEX(rngEPpass,MATCH($F647,rngEPcode,0)),cfgPassingScore))</f>
        <v/>
      </c>
      <c r="K647" s="16" t="n"/>
      <c r="L647" s="16" t="n"/>
      <c r="M647" s="17">
        <f>IF($C647="","",IF($L647="","",IF(NOT(ISNUMBER($L647)),$L647,IF(N($K647)&gt;2,"",IF($K647=1,IF(COUNTIFS(nrES_PID,$D647,nrES_Code,$F647,nrES_Att,2,nrES_Raw,"&gt;=0")&gt;0,"",$L647),IF($L647&gt;=$J647,MAX($J647,cfgRetakeRecordedCap),IF(COUNTIFS(nrES_PID,$D647,nrES_Code,$F647,nrES_Att,1)=0,$L647,SUMIFS(nrES_Raw,nrES_PID,$D647,nrES_Code,$F647,nrES_Att,1))))))))</f>
        <v/>
      </c>
      <c r="N647" s="17">
        <f>IF($C647="","",IF($L647="","",IF(NOT(ISNUMBER($L647)),"(not a score)",IF($L647&gt;=$J647,"Yes","No"))))</f>
        <v/>
      </c>
      <c r="O647" s="17">
        <f>IF($C647="","",IF($M647="","",IF(NOT(ISNUMBER($M647)),"(not a score)",IF($M647&gt;=$J647,"Yes","No"))))</f>
        <v/>
      </c>
      <c r="P647" s="17">
        <f>IF($C647="","",IF($K647="","",IF(N($K647)&gt;2,"No",IF(COUNTIFS(nrES_PID,$D647,nrES_Code,$F647,nrES_Att,"&gt;"&amp;$K647,nrES_Att,"&lt;=2",nrES_Raw,"&gt;=0")=0,"Yes","No"))))</f>
        <v/>
      </c>
      <c r="Q647" s="17">
        <f>IF($C647="","",IF($L647="","",IF(AND($K647=1,ISNUMBER($L647),$L647&lt;$J647,COUNTIFS(nrES_PID,$D647,nrES_Code,$F647,nrES_Att,2,nrES_Raw,"&gt;=0")=0),"Yes","No")))</f>
        <v/>
      </c>
      <c r="R647" s="17">
        <f>IF($C647="","",IF($L647="","",IF(AND(N($K647)&gt;=2,ISNUMBER($L647),$L647&lt;$J647),"Yes","No")))</f>
        <v/>
      </c>
      <c r="S647" s="18" t="n"/>
      <c r="T647" s="19">
        <f>IF(OR($C647="",$L647="",$K647&lt;&gt;1,NOT(ISNUMBER($L647)),$L647&gt;=$J647),"",IF($S647="","(enter date)",_xlfn.LET(_xlpm.dn,_xlfn.XLOOKUP($S647,nrCDdate,nrCDnum,"",1),IF(_xlpm.dn="","(after last class day)",_xlfn.LET(_xlpm.dd,_xlfn.XLOOKUP(_xlpm.dn+cfgRetestClassDays,nrCDnum,nrCDdate,""),_xlpm.ok,_xlfn.XLOOKUP(_xlpm.dn+cfgRetestClassDays,nrCDnum,nrCDinsession,"No"),IF(OR(_xlpm.dd="",_xlpm.ok&lt;&gt;"Yes"),"(after last class day)",_xlpm.dd))))))</f>
        <v/>
      </c>
      <c r="U647" s="17">
        <f>IF($C647="","",IF(AND($Y647="Excused",$L647="",N($K647)&lt;=1),"EXCUSED - 1st attempt pending",IF(OR($L647="",$K647&lt;&gt;1,NOT(ISNUMBER($L647)),$L647&gt;=$J647),"",IF(COUNTIFS(nrES_PID,$D647,nrES_Code,$F647,nrES_Att,2,nrES_Raw,"&gt;=0")&gt;0,IF(IFERROR(_xlfn.MINIFS(nrES_Date,nrES_PID,$D647,nrES_Code,$F647,nrES_Att,2,nrES_Raw,"&gt;=0",nrES_Date,"&gt;0"),0)=0,"RETEST UNDATED",IF(NOT(ISNUMBER($T647)),"RETEST DATE UNCHECKED",IF(_xlfn.MINIFS(nrES_Date,nrES_PID,$D647,nrES_Code,$F647,nrES_Att,2,nrES_Raw,"&gt;=0",nrES_Date,"&gt;0")&gt;$T647,"LATE RETEST "&amp;TEXT(_xlfn.MINIFS(nrES_Date,nrES_PID,$D647,nrES_Code,$F647,nrES_Att,2,nrES_Raw,"&gt;=0",nrES_Date,"&gt;0"),"mm/dd")&amp;" (due "&amp;TEXT($T647,"mm/dd")&amp;")","Retested"))),IF(NOT(ISNUMBER($T647)),"CHECK DATE",IF(TODAY()&gt;$T647,"OVERDUE","Due "&amp;TEXT($T647,"mm/dd")))))))</f>
        <v/>
      </c>
      <c r="V647" s="16" t="n"/>
      <c r="W647" s="16" t="n"/>
      <c r="X647" s="17">
        <f>IF($C647="","",IF(AND($L647&lt;&gt;"",NOT(ISNUMBER($L647))),"RAW SCORE NOT A NUMBER",IF(AND(ISNUMBER($L647),OR($L647&lt;0,$L647&gt;100)),"RAW SCORE OUT OF RANGE",IF(AND($Y647="Unexcused",OR($L647="",NOT(ISNUMBER($L647)),$L647&lt;&gt;0)),"UNEXCUSED ABSENCE MUST RECORD 0",IF(COUNTIF(nrES_RecID,$B647)&gt;1,"DUPLICATE RECORD",IF(N($K647)&gt;2,"ATTEMPT 3+ NOT ALLOWED - policy 300.5 permits one retest per exam; this row records nothing",IF(AND($K647=2,COUNTIFS(nrES_PID,$D647,nrES_Code,$F647,nrES_Att,1)=0),"ATTEMPT 2 WITHOUT ATTEMPT 1",IF(AND($K647=2,$L647=""),"RETEST ROW HAS NO SCORE",IF(AND($H647="Final",$L647&lt;&gt;"",IFERROR(INDEX(nrCKfinalExamElig,MATCH($D647,rngCadetPIDs,0)),"")="No"),"FINAL EXAM AFTER FAILED FINAL PT (500.1.H)",IF(AND($K647=2,ISNUMBER($L647),COUNTIFS(nrES_PID,$D647,nrES_Code,$F647,nrES_Att,1)&gt;0,SUMIFS(nrES_Raw,nrES_PID,$D647,nrES_Code,$F647,nrES_Att,1)&gt;=$J647),"RETEST AFTER A PASSING FIRST ATTEMPT","OK"))))))))))</f>
        <v/>
      </c>
      <c r="Y647" s="16" t="n"/>
    </row>
    <row r="648">
      <c r="B648" s="17">
        <f>IF($C648="","",$D648&amp;"-"&amp;$F648&amp;"-"&amp;$K648)</f>
        <v/>
      </c>
      <c r="C648" s="16" t="n"/>
      <c r="D648" s="17">
        <f>IF($C648="","",IFERROR(INDEX(rngCadetPIDs,MATCH($C648,rngCadetNames,0)),"?"))</f>
        <v/>
      </c>
      <c r="E648" s="17">
        <f>IF($D648="","",IFERROR(INDEX(nrCadetAgency,MATCH($D648,rngCadetPIDs,0)),""))</f>
        <v/>
      </c>
      <c r="F648" s="16" t="n"/>
      <c r="G648" s="17">
        <f>IF($F648="","",IFERROR(INDEX(rngEPname,MATCH($F648,rngEPcode,0)),"?"))</f>
        <v/>
      </c>
      <c r="H648" s="17">
        <f>IF($F648="","",IFERROR(INDEX(rngEPtype,MATCH($F648,rngEPcode,0)),"?"))</f>
        <v/>
      </c>
      <c r="I648" s="17">
        <f>IF($F648="","",IFERROR(INDEX(rngEPseq,MATCH($F648,rngEPcode,0)),""))</f>
        <v/>
      </c>
      <c r="J648" s="17">
        <f>IF($F648="","",IFERROR(INDEX(rngEPpass,MATCH($F648,rngEPcode,0)),cfgPassingScore))</f>
        <v/>
      </c>
      <c r="K648" s="16" t="n"/>
      <c r="L648" s="16" t="n"/>
      <c r="M648" s="17">
        <f>IF($C648="","",IF($L648="","",IF(NOT(ISNUMBER($L648)),$L648,IF(N($K648)&gt;2,"",IF($K648=1,IF(COUNTIFS(nrES_PID,$D648,nrES_Code,$F648,nrES_Att,2,nrES_Raw,"&gt;=0")&gt;0,"",$L648),IF($L648&gt;=$J648,MAX($J648,cfgRetakeRecordedCap),IF(COUNTIFS(nrES_PID,$D648,nrES_Code,$F648,nrES_Att,1)=0,$L648,SUMIFS(nrES_Raw,nrES_PID,$D648,nrES_Code,$F648,nrES_Att,1))))))))</f>
        <v/>
      </c>
      <c r="N648" s="17">
        <f>IF($C648="","",IF($L648="","",IF(NOT(ISNUMBER($L648)),"(not a score)",IF($L648&gt;=$J648,"Yes","No"))))</f>
        <v/>
      </c>
      <c r="O648" s="17">
        <f>IF($C648="","",IF($M648="","",IF(NOT(ISNUMBER($M648)),"(not a score)",IF($M648&gt;=$J648,"Yes","No"))))</f>
        <v/>
      </c>
      <c r="P648" s="17">
        <f>IF($C648="","",IF($K648="","",IF(N($K648)&gt;2,"No",IF(COUNTIFS(nrES_PID,$D648,nrES_Code,$F648,nrES_Att,"&gt;"&amp;$K648,nrES_Att,"&lt;=2",nrES_Raw,"&gt;=0")=0,"Yes","No"))))</f>
        <v/>
      </c>
      <c r="Q648" s="17">
        <f>IF($C648="","",IF($L648="","",IF(AND($K648=1,ISNUMBER($L648),$L648&lt;$J648,COUNTIFS(nrES_PID,$D648,nrES_Code,$F648,nrES_Att,2,nrES_Raw,"&gt;=0")=0),"Yes","No")))</f>
        <v/>
      </c>
      <c r="R648" s="17">
        <f>IF($C648="","",IF($L648="","",IF(AND(N($K648)&gt;=2,ISNUMBER($L648),$L648&lt;$J648),"Yes","No")))</f>
        <v/>
      </c>
      <c r="S648" s="18" t="n"/>
      <c r="T648" s="19">
        <f>IF(OR($C648="",$L648="",$K648&lt;&gt;1,NOT(ISNUMBER($L648)),$L648&gt;=$J648),"",IF($S648="","(enter date)",_xlfn.LET(_xlpm.dn,_xlfn.XLOOKUP($S648,nrCDdate,nrCDnum,"",1),IF(_xlpm.dn="","(after last class day)",_xlfn.LET(_xlpm.dd,_xlfn.XLOOKUP(_xlpm.dn+cfgRetestClassDays,nrCDnum,nrCDdate,""),_xlpm.ok,_xlfn.XLOOKUP(_xlpm.dn+cfgRetestClassDays,nrCDnum,nrCDinsession,"No"),IF(OR(_xlpm.dd="",_xlpm.ok&lt;&gt;"Yes"),"(after last class day)",_xlpm.dd))))))</f>
        <v/>
      </c>
      <c r="U648" s="17">
        <f>IF($C648="","",IF(AND($Y648="Excused",$L648="",N($K648)&lt;=1),"EXCUSED - 1st attempt pending",IF(OR($L648="",$K648&lt;&gt;1,NOT(ISNUMBER($L648)),$L648&gt;=$J648),"",IF(COUNTIFS(nrES_PID,$D648,nrES_Code,$F648,nrES_Att,2,nrES_Raw,"&gt;=0")&gt;0,IF(IFERROR(_xlfn.MINIFS(nrES_Date,nrES_PID,$D648,nrES_Code,$F648,nrES_Att,2,nrES_Raw,"&gt;=0",nrES_Date,"&gt;0"),0)=0,"RETEST UNDATED",IF(NOT(ISNUMBER($T648)),"RETEST DATE UNCHECKED",IF(_xlfn.MINIFS(nrES_Date,nrES_PID,$D648,nrES_Code,$F648,nrES_Att,2,nrES_Raw,"&gt;=0",nrES_Date,"&gt;0")&gt;$T648,"LATE RETEST "&amp;TEXT(_xlfn.MINIFS(nrES_Date,nrES_PID,$D648,nrES_Code,$F648,nrES_Att,2,nrES_Raw,"&gt;=0",nrES_Date,"&gt;0"),"mm/dd")&amp;" (due "&amp;TEXT($T648,"mm/dd")&amp;")","Retested"))),IF(NOT(ISNUMBER($T648)),"CHECK DATE",IF(TODAY()&gt;$T648,"OVERDUE","Due "&amp;TEXT($T648,"mm/dd")))))))</f>
        <v/>
      </c>
      <c r="V648" s="16" t="n"/>
      <c r="W648" s="16" t="n"/>
      <c r="X648" s="17">
        <f>IF($C648="","",IF(AND($L648&lt;&gt;"",NOT(ISNUMBER($L648))),"RAW SCORE NOT A NUMBER",IF(AND(ISNUMBER($L648),OR($L648&lt;0,$L648&gt;100)),"RAW SCORE OUT OF RANGE",IF(AND($Y648="Unexcused",OR($L648="",NOT(ISNUMBER($L648)),$L648&lt;&gt;0)),"UNEXCUSED ABSENCE MUST RECORD 0",IF(COUNTIF(nrES_RecID,$B648)&gt;1,"DUPLICATE RECORD",IF(N($K648)&gt;2,"ATTEMPT 3+ NOT ALLOWED - policy 300.5 permits one retest per exam; this row records nothing",IF(AND($K648=2,COUNTIFS(nrES_PID,$D648,nrES_Code,$F648,nrES_Att,1)=0),"ATTEMPT 2 WITHOUT ATTEMPT 1",IF(AND($K648=2,$L648=""),"RETEST ROW HAS NO SCORE",IF(AND($H648="Final",$L648&lt;&gt;"",IFERROR(INDEX(nrCKfinalExamElig,MATCH($D648,rngCadetPIDs,0)),"")="No"),"FINAL EXAM AFTER FAILED FINAL PT (500.1.H)",IF(AND($K648=2,ISNUMBER($L648),COUNTIFS(nrES_PID,$D648,nrES_Code,$F648,nrES_Att,1)&gt;0,SUMIFS(nrES_Raw,nrES_PID,$D648,nrES_Code,$F648,nrES_Att,1)&gt;=$J648),"RETEST AFTER A PASSING FIRST ATTEMPT","OK"))))))))))</f>
        <v/>
      </c>
      <c r="Y648" s="16" t="n"/>
    </row>
    <row r="649">
      <c r="B649" s="17">
        <f>IF($C649="","",$D649&amp;"-"&amp;$F649&amp;"-"&amp;$K649)</f>
        <v/>
      </c>
      <c r="C649" s="16" t="n"/>
      <c r="D649" s="17">
        <f>IF($C649="","",IFERROR(INDEX(rngCadetPIDs,MATCH($C649,rngCadetNames,0)),"?"))</f>
        <v/>
      </c>
      <c r="E649" s="17">
        <f>IF($D649="","",IFERROR(INDEX(nrCadetAgency,MATCH($D649,rngCadetPIDs,0)),""))</f>
        <v/>
      </c>
      <c r="F649" s="16" t="n"/>
      <c r="G649" s="17">
        <f>IF($F649="","",IFERROR(INDEX(rngEPname,MATCH($F649,rngEPcode,0)),"?"))</f>
        <v/>
      </c>
      <c r="H649" s="17">
        <f>IF($F649="","",IFERROR(INDEX(rngEPtype,MATCH($F649,rngEPcode,0)),"?"))</f>
        <v/>
      </c>
      <c r="I649" s="17">
        <f>IF($F649="","",IFERROR(INDEX(rngEPseq,MATCH($F649,rngEPcode,0)),""))</f>
        <v/>
      </c>
      <c r="J649" s="17">
        <f>IF($F649="","",IFERROR(INDEX(rngEPpass,MATCH($F649,rngEPcode,0)),cfgPassingScore))</f>
        <v/>
      </c>
      <c r="K649" s="16" t="n"/>
      <c r="L649" s="16" t="n"/>
      <c r="M649" s="17">
        <f>IF($C649="","",IF($L649="","",IF(NOT(ISNUMBER($L649)),$L649,IF(N($K649)&gt;2,"",IF($K649=1,IF(COUNTIFS(nrES_PID,$D649,nrES_Code,$F649,nrES_Att,2,nrES_Raw,"&gt;=0")&gt;0,"",$L649),IF($L649&gt;=$J649,MAX($J649,cfgRetakeRecordedCap),IF(COUNTIFS(nrES_PID,$D649,nrES_Code,$F649,nrES_Att,1)=0,$L649,SUMIFS(nrES_Raw,nrES_PID,$D649,nrES_Code,$F649,nrES_Att,1))))))))</f>
        <v/>
      </c>
      <c r="N649" s="17">
        <f>IF($C649="","",IF($L649="","",IF(NOT(ISNUMBER($L649)),"(not a score)",IF($L649&gt;=$J649,"Yes","No"))))</f>
        <v/>
      </c>
      <c r="O649" s="17">
        <f>IF($C649="","",IF($M649="","",IF(NOT(ISNUMBER($M649)),"(not a score)",IF($M649&gt;=$J649,"Yes","No"))))</f>
        <v/>
      </c>
      <c r="P649" s="17">
        <f>IF($C649="","",IF($K649="","",IF(N($K649)&gt;2,"No",IF(COUNTIFS(nrES_PID,$D649,nrES_Code,$F649,nrES_Att,"&gt;"&amp;$K649,nrES_Att,"&lt;=2",nrES_Raw,"&gt;=0")=0,"Yes","No"))))</f>
        <v/>
      </c>
      <c r="Q649" s="17">
        <f>IF($C649="","",IF($L649="","",IF(AND($K649=1,ISNUMBER($L649),$L649&lt;$J649,COUNTIFS(nrES_PID,$D649,nrES_Code,$F649,nrES_Att,2,nrES_Raw,"&gt;=0")=0),"Yes","No")))</f>
        <v/>
      </c>
      <c r="R649" s="17">
        <f>IF($C649="","",IF($L649="","",IF(AND(N($K649)&gt;=2,ISNUMBER($L649),$L649&lt;$J649),"Yes","No")))</f>
        <v/>
      </c>
      <c r="S649" s="18" t="n"/>
      <c r="T649" s="19">
        <f>IF(OR($C649="",$L649="",$K649&lt;&gt;1,NOT(ISNUMBER($L649)),$L649&gt;=$J649),"",IF($S649="","(enter date)",_xlfn.LET(_xlpm.dn,_xlfn.XLOOKUP($S649,nrCDdate,nrCDnum,"",1),IF(_xlpm.dn="","(after last class day)",_xlfn.LET(_xlpm.dd,_xlfn.XLOOKUP(_xlpm.dn+cfgRetestClassDays,nrCDnum,nrCDdate,""),_xlpm.ok,_xlfn.XLOOKUP(_xlpm.dn+cfgRetestClassDays,nrCDnum,nrCDinsession,"No"),IF(OR(_xlpm.dd="",_xlpm.ok&lt;&gt;"Yes"),"(after last class day)",_xlpm.dd))))))</f>
        <v/>
      </c>
      <c r="U649" s="17">
        <f>IF($C649="","",IF(AND($Y649="Excused",$L649="",N($K649)&lt;=1),"EXCUSED - 1st attempt pending",IF(OR($L649="",$K649&lt;&gt;1,NOT(ISNUMBER($L649)),$L649&gt;=$J649),"",IF(COUNTIFS(nrES_PID,$D649,nrES_Code,$F649,nrES_Att,2,nrES_Raw,"&gt;=0")&gt;0,IF(IFERROR(_xlfn.MINIFS(nrES_Date,nrES_PID,$D649,nrES_Code,$F649,nrES_Att,2,nrES_Raw,"&gt;=0",nrES_Date,"&gt;0"),0)=0,"RETEST UNDATED",IF(NOT(ISNUMBER($T649)),"RETEST DATE UNCHECKED",IF(_xlfn.MINIFS(nrES_Date,nrES_PID,$D649,nrES_Code,$F649,nrES_Att,2,nrES_Raw,"&gt;=0",nrES_Date,"&gt;0")&gt;$T649,"LATE RETEST "&amp;TEXT(_xlfn.MINIFS(nrES_Date,nrES_PID,$D649,nrES_Code,$F649,nrES_Att,2,nrES_Raw,"&gt;=0",nrES_Date,"&gt;0"),"mm/dd")&amp;" (due "&amp;TEXT($T649,"mm/dd")&amp;")","Retested"))),IF(NOT(ISNUMBER($T649)),"CHECK DATE",IF(TODAY()&gt;$T649,"OVERDUE","Due "&amp;TEXT($T649,"mm/dd")))))))</f>
        <v/>
      </c>
      <c r="V649" s="16" t="n"/>
      <c r="W649" s="16" t="n"/>
      <c r="X649" s="17">
        <f>IF($C649="","",IF(AND($L649&lt;&gt;"",NOT(ISNUMBER($L649))),"RAW SCORE NOT A NUMBER",IF(AND(ISNUMBER($L649),OR($L649&lt;0,$L649&gt;100)),"RAW SCORE OUT OF RANGE",IF(AND($Y649="Unexcused",OR($L649="",NOT(ISNUMBER($L649)),$L649&lt;&gt;0)),"UNEXCUSED ABSENCE MUST RECORD 0",IF(COUNTIF(nrES_RecID,$B649)&gt;1,"DUPLICATE RECORD",IF(N($K649)&gt;2,"ATTEMPT 3+ NOT ALLOWED - policy 300.5 permits one retest per exam; this row records nothing",IF(AND($K649=2,COUNTIFS(nrES_PID,$D649,nrES_Code,$F649,nrES_Att,1)=0),"ATTEMPT 2 WITHOUT ATTEMPT 1",IF(AND($K649=2,$L649=""),"RETEST ROW HAS NO SCORE",IF(AND($H649="Final",$L649&lt;&gt;"",IFERROR(INDEX(nrCKfinalExamElig,MATCH($D649,rngCadetPIDs,0)),"")="No"),"FINAL EXAM AFTER FAILED FINAL PT (500.1.H)",IF(AND($K649=2,ISNUMBER($L649),COUNTIFS(nrES_PID,$D649,nrES_Code,$F649,nrES_Att,1)&gt;0,SUMIFS(nrES_Raw,nrES_PID,$D649,nrES_Code,$F649,nrES_Att,1)&gt;=$J649),"RETEST AFTER A PASSING FIRST ATTEMPT","OK"))))))))))</f>
        <v/>
      </c>
      <c r="Y649" s="16" t="n"/>
    </row>
    <row r="650">
      <c r="B650" s="17">
        <f>IF($C650="","",$D650&amp;"-"&amp;$F650&amp;"-"&amp;$K650)</f>
        <v/>
      </c>
      <c r="C650" s="16" t="n"/>
      <c r="D650" s="17">
        <f>IF($C650="","",IFERROR(INDEX(rngCadetPIDs,MATCH($C650,rngCadetNames,0)),"?"))</f>
        <v/>
      </c>
      <c r="E650" s="17">
        <f>IF($D650="","",IFERROR(INDEX(nrCadetAgency,MATCH($D650,rngCadetPIDs,0)),""))</f>
        <v/>
      </c>
      <c r="F650" s="16" t="n"/>
      <c r="G650" s="17">
        <f>IF($F650="","",IFERROR(INDEX(rngEPname,MATCH($F650,rngEPcode,0)),"?"))</f>
        <v/>
      </c>
      <c r="H650" s="17">
        <f>IF($F650="","",IFERROR(INDEX(rngEPtype,MATCH($F650,rngEPcode,0)),"?"))</f>
        <v/>
      </c>
      <c r="I650" s="17">
        <f>IF($F650="","",IFERROR(INDEX(rngEPseq,MATCH($F650,rngEPcode,0)),""))</f>
        <v/>
      </c>
      <c r="J650" s="17">
        <f>IF($F650="","",IFERROR(INDEX(rngEPpass,MATCH($F650,rngEPcode,0)),cfgPassingScore))</f>
        <v/>
      </c>
      <c r="K650" s="16" t="n"/>
      <c r="L650" s="16" t="n"/>
      <c r="M650" s="17">
        <f>IF($C650="","",IF($L650="","",IF(NOT(ISNUMBER($L650)),$L650,IF(N($K650)&gt;2,"",IF($K650=1,IF(COUNTIFS(nrES_PID,$D650,nrES_Code,$F650,nrES_Att,2,nrES_Raw,"&gt;=0")&gt;0,"",$L650),IF($L650&gt;=$J650,MAX($J650,cfgRetakeRecordedCap),IF(COUNTIFS(nrES_PID,$D650,nrES_Code,$F650,nrES_Att,1)=0,$L650,SUMIFS(nrES_Raw,nrES_PID,$D650,nrES_Code,$F650,nrES_Att,1))))))))</f>
        <v/>
      </c>
      <c r="N650" s="17">
        <f>IF($C650="","",IF($L650="","",IF(NOT(ISNUMBER($L650)),"(not a score)",IF($L650&gt;=$J650,"Yes","No"))))</f>
        <v/>
      </c>
      <c r="O650" s="17">
        <f>IF($C650="","",IF($M650="","",IF(NOT(ISNUMBER($M650)),"(not a score)",IF($M650&gt;=$J650,"Yes","No"))))</f>
        <v/>
      </c>
      <c r="P650" s="17">
        <f>IF($C650="","",IF($K650="","",IF(N($K650)&gt;2,"No",IF(COUNTIFS(nrES_PID,$D650,nrES_Code,$F650,nrES_Att,"&gt;"&amp;$K650,nrES_Att,"&lt;=2",nrES_Raw,"&gt;=0")=0,"Yes","No"))))</f>
        <v/>
      </c>
      <c r="Q650" s="17">
        <f>IF($C650="","",IF($L650="","",IF(AND($K650=1,ISNUMBER($L650),$L650&lt;$J650,COUNTIFS(nrES_PID,$D650,nrES_Code,$F650,nrES_Att,2,nrES_Raw,"&gt;=0")=0),"Yes","No")))</f>
        <v/>
      </c>
      <c r="R650" s="17">
        <f>IF($C650="","",IF($L650="","",IF(AND(N($K650)&gt;=2,ISNUMBER($L650),$L650&lt;$J650),"Yes","No")))</f>
        <v/>
      </c>
      <c r="S650" s="18" t="n"/>
      <c r="T650" s="19">
        <f>IF(OR($C650="",$L650="",$K650&lt;&gt;1,NOT(ISNUMBER($L650)),$L650&gt;=$J650),"",IF($S650="","(enter date)",_xlfn.LET(_xlpm.dn,_xlfn.XLOOKUP($S650,nrCDdate,nrCDnum,"",1),IF(_xlpm.dn="","(after last class day)",_xlfn.LET(_xlpm.dd,_xlfn.XLOOKUP(_xlpm.dn+cfgRetestClassDays,nrCDnum,nrCDdate,""),_xlpm.ok,_xlfn.XLOOKUP(_xlpm.dn+cfgRetestClassDays,nrCDnum,nrCDinsession,"No"),IF(OR(_xlpm.dd="",_xlpm.ok&lt;&gt;"Yes"),"(after last class day)",_xlpm.dd))))))</f>
        <v/>
      </c>
      <c r="U650" s="17">
        <f>IF($C650="","",IF(AND($Y650="Excused",$L650="",N($K650)&lt;=1),"EXCUSED - 1st attempt pending",IF(OR($L650="",$K650&lt;&gt;1,NOT(ISNUMBER($L650)),$L650&gt;=$J650),"",IF(COUNTIFS(nrES_PID,$D650,nrES_Code,$F650,nrES_Att,2,nrES_Raw,"&gt;=0")&gt;0,IF(IFERROR(_xlfn.MINIFS(nrES_Date,nrES_PID,$D650,nrES_Code,$F650,nrES_Att,2,nrES_Raw,"&gt;=0",nrES_Date,"&gt;0"),0)=0,"RETEST UNDATED",IF(NOT(ISNUMBER($T650)),"RETEST DATE UNCHECKED",IF(_xlfn.MINIFS(nrES_Date,nrES_PID,$D650,nrES_Code,$F650,nrES_Att,2,nrES_Raw,"&gt;=0",nrES_Date,"&gt;0")&gt;$T650,"LATE RETEST "&amp;TEXT(_xlfn.MINIFS(nrES_Date,nrES_PID,$D650,nrES_Code,$F650,nrES_Att,2,nrES_Raw,"&gt;=0",nrES_Date,"&gt;0"),"mm/dd")&amp;" (due "&amp;TEXT($T650,"mm/dd")&amp;")","Retested"))),IF(NOT(ISNUMBER($T650)),"CHECK DATE",IF(TODAY()&gt;$T650,"OVERDUE","Due "&amp;TEXT($T650,"mm/dd")))))))</f>
        <v/>
      </c>
      <c r="V650" s="16" t="n"/>
      <c r="W650" s="16" t="n"/>
      <c r="X650" s="17">
        <f>IF($C650="","",IF(AND($L650&lt;&gt;"",NOT(ISNUMBER($L650))),"RAW SCORE NOT A NUMBER",IF(AND(ISNUMBER($L650),OR($L650&lt;0,$L650&gt;100)),"RAW SCORE OUT OF RANGE",IF(AND($Y650="Unexcused",OR($L650="",NOT(ISNUMBER($L650)),$L650&lt;&gt;0)),"UNEXCUSED ABSENCE MUST RECORD 0",IF(COUNTIF(nrES_RecID,$B650)&gt;1,"DUPLICATE RECORD",IF(N($K650)&gt;2,"ATTEMPT 3+ NOT ALLOWED - policy 300.5 permits one retest per exam; this row records nothing",IF(AND($K650=2,COUNTIFS(nrES_PID,$D650,nrES_Code,$F650,nrES_Att,1)=0),"ATTEMPT 2 WITHOUT ATTEMPT 1",IF(AND($K650=2,$L650=""),"RETEST ROW HAS NO SCORE",IF(AND($H650="Final",$L650&lt;&gt;"",IFERROR(INDEX(nrCKfinalExamElig,MATCH($D650,rngCadetPIDs,0)),"")="No"),"FINAL EXAM AFTER FAILED FINAL PT (500.1.H)",IF(AND($K650=2,ISNUMBER($L650),COUNTIFS(nrES_PID,$D650,nrES_Code,$F650,nrES_Att,1)&gt;0,SUMIFS(nrES_Raw,nrES_PID,$D650,nrES_Code,$F650,nrES_Att,1)&gt;=$J650),"RETEST AFTER A PASSING FIRST ATTEMPT","OK"))))))))))</f>
        <v/>
      </c>
      <c r="Y650" s="16" t="n"/>
    </row>
    <row r="651">
      <c r="B651" s="17">
        <f>IF($C651="","",$D651&amp;"-"&amp;$F651&amp;"-"&amp;$K651)</f>
        <v/>
      </c>
      <c r="C651" s="16" t="n"/>
      <c r="D651" s="17">
        <f>IF($C651="","",IFERROR(INDEX(rngCadetPIDs,MATCH($C651,rngCadetNames,0)),"?"))</f>
        <v/>
      </c>
      <c r="E651" s="17">
        <f>IF($D651="","",IFERROR(INDEX(nrCadetAgency,MATCH($D651,rngCadetPIDs,0)),""))</f>
        <v/>
      </c>
      <c r="F651" s="16" t="n"/>
      <c r="G651" s="17">
        <f>IF($F651="","",IFERROR(INDEX(rngEPname,MATCH($F651,rngEPcode,0)),"?"))</f>
        <v/>
      </c>
      <c r="H651" s="17">
        <f>IF($F651="","",IFERROR(INDEX(rngEPtype,MATCH($F651,rngEPcode,0)),"?"))</f>
        <v/>
      </c>
      <c r="I651" s="17">
        <f>IF($F651="","",IFERROR(INDEX(rngEPseq,MATCH($F651,rngEPcode,0)),""))</f>
        <v/>
      </c>
      <c r="J651" s="17">
        <f>IF($F651="","",IFERROR(INDEX(rngEPpass,MATCH($F651,rngEPcode,0)),cfgPassingScore))</f>
        <v/>
      </c>
      <c r="K651" s="16" t="n"/>
      <c r="L651" s="16" t="n"/>
      <c r="M651" s="17">
        <f>IF($C651="","",IF($L651="","",IF(NOT(ISNUMBER($L651)),$L651,IF(N($K651)&gt;2,"",IF($K651=1,IF(COUNTIFS(nrES_PID,$D651,nrES_Code,$F651,nrES_Att,2,nrES_Raw,"&gt;=0")&gt;0,"",$L651),IF($L651&gt;=$J651,MAX($J651,cfgRetakeRecordedCap),IF(COUNTIFS(nrES_PID,$D651,nrES_Code,$F651,nrES_Att,1)=0,$L651,SUMIFS(nrES_Raw,nrES_PID,$D651,nrES_Code,$F651,nrES_Att,1))))))))</f>
        <v/>
      </c>
      <c r="N651" s="17">
        <f>IF($C651="","",IF($L651="","",IF(NOT(ISNUMBER($L651)),"(not a score)",IF($L651&gt;=$J651,"Yes","No"))))</f>
        <v/>
      </c>
      <c r="O651" s="17">
        <f>IF($C651="","",IF($M651="","",IF(NOT(ISNUMBER($M651)),"(not a score)",IF($M651&gt;=$J651,"Yes","No"))))</f>
        <v/>
      </c>
      <c r="P651" s="17">
        <f>IF($C651="","",IF($K651="","",IF(N($K651)&gt;2,"No",IF(COUNTIFS(nrES_PID,$D651,nrES_Code,$F651,nrES_Att,"&gt;"&amp;$K651,nrES_Att,"&lt;=2",nrES_Raw,"&gt;=0")=0,"Yes","No"))))</f>
        <v/>
      </c>
      <c r="Q651" s="17">
        <f>IF($C651="","",IF($L651="","",IF(AND($K651=1,ISNUMBER($L651),$L651&lt;$J651,COUNTIFS(nrES_PID,$D651,nrES_Code,$F651,nrES_Att,2,nrES_Raw,"&gt;=0")=0),"Yes","No")))</f>
        <v/>
      </c>
      <c r="R651" s="17">
        <f>IF($C651="","",IF($L651="","",IF(AND(N($K651)&gt;=2,ISNUMBER($L651),$L651&lt;$J651),"Yes","No")))</f>
        <v/>
      </c>
      <c r="S651" s="18" t="n"/>
      <c r="T651" s="19">
        <f>IF(OR($C651="",$L651="",$K651&lt;&gt;1,NOT(ISNUMBER($L651)),$L651&gt;=$J651),"",IF($S651="","(enter date)",_xlfn.LET(_xlpm.dn,_xlfn.XLOOKUP($S651,nrCDdate,nrCDnum,"",1),IF(_xlpm.dn="","(after last class day)",_xlfn.LET(_xlpm.dd,_xlfn.XLOOKUP(_xlpm.dn+cfgRetestClassDays,nrCDnum,nrCDdate,""),_xlpm.ok,_xlfn.XLOOKUP(_xlpm.dn+cfgRetestClassDays,nrCDnum,nrCDinsession,"No"),IF(OR(_xlpm.dd="",_xlpm.ok&lt;&gt;"Yes"),"(after last class day)",_xlpm.dd))))))</f>
        <v/>
      </c>
      <c r="U651" s="17">
        <f>IF($C651="","",IF(AND($Y651="Excused",$L651="",N($K651)&lt;=1),"EXCUSED - 1st attempt pending",IF(OR($L651="",$K651&lt;&gt;1,NOT(ISNUMBER($L651)),$L651&gt;=$J651),"",IF(COUNTIFS(nrES_PID,$D651,nrES_Code,$F651,nrES_Att,2,nrES_Raw,"&gt;=0")&gt;0,IF(IFERROR(_xlfn.MINIFS(nrES_Date,nrES_PID,$D651,nrES_Code,$F651,nrES_Att,2,nrES_Raw,"&gt;=0",nrES_Date,"&gt;0"),0)=0,"RETEST UNDATED",IF(NOT(ISNUMBER($T651)),"RETEST DATE UNCHECKED",IF(_xlfn.MINIFS(nrES_Date,nrES_PID,$D651,nrES_Code,$F651,nrES_Att,2,nrES_Raw,"&gt;=0",nrES_Date,"&gt;0")&gt;$T651,"LATE RETEST "&amp;TEXT(_xlfn.MINIFS(nrES_Date,nrES_PID,$D651,nrES_Code,$F651,nrES_Att,2,nrES_Raw,"&gt;=0",nrES_Date,"&gt;0"),"mm/dd")&amp;" (due "&amp;TEXT($T651,"mm/dd")&amp;")","Retested"))),IF(NOT(ISNUMBER($T651)),"CHECK DATE",IF(TODAY()&gt;$T651,"OVERDUE","Due "&amp;TEXT($T651,"mm/dd")))))))</f>
        <v/>
      </c>
      <c r="V651" s="16" t="n"/>
      <c r="W651" s="16" t="n"/>
      <c r="X651" s="17">
        <f>IF($C651="","",IF(AND($L651&lt;&gt;"",NOT(ISNUMBER($L651))),"RAW SCORE NOT A NUMBER",IF(AND(ISNUMBER($L651),OR($L651&lt;0,$L651&gt;100)),"RAW SCORE OUT OF RANGE",IF(AND($Y651="Unexcused",OR($L651="",NOT(ISNUMBER($L651)),$L651&lt;&gt;0)),"UNEXCUSED ABSENCE MUST RECORD 0",IF(COUNTIF(nrES_RecID,$B651)&gt;1,"DUPLICATE RECORD",IF(N($K651)&gt;2,"ATTEMPT 3+ NOT ALLOWED - policy 300.5 permits one retest per exam; this row records nothing",IF(AND($K651=2,COUNTIFS(nrES_PID,$D651,nrES_Code,$F651,nrES_Att,1)=0),"ATTEMPT 2 WITHOUT ATTEMPT 1",IF(AND($K651=2,$L651=""),"RETEST ROW HAS NO SCORE",IF(AND($H651="Final",$L651&lt;&gt;"",IFERROR(INDEX(nrCKfinalExamElig,MATCH($D651,rngCadetPIDs,0)),"")="No"),"FINAL EXAM AFTER FAILED FINAL PT (500.1.H)",IF(AND($K651=2,ISNUMBER($L651),COUNTIFS(nrES_PID,$D651,nrES_Code,$F651,nrES_Att,1)&gt;0,SUMIFS(nrES_Raw,nrES_PID,$D651,nrES_Code,$F651,nrES_Att,1)&gt;=$J651),"RETEST AFTER A PASSING FIRST ATTEMPT","OK"))))))))))</f>
        <v/>
      </c>
      <c r="Y651" s="16" t="n"/>
    </row>
    <row r="652">
      <c r="B652" s="17">
        <f>IF($C652="","",$D652&amp;"-"&amp;$F652&amp;"-"&amp;$K652)</f>
        <v/>
      </c>
      <c r="C652" s="16" t="n"/>
      <c r="D652" s="17">
        <f>IF($C652="","",IFERROR(INDEX(rngCadetPIDs,MATCH($C652,rngCadetNames,0)),"?"))</f>
        <v/>
      </c>
      <c r="E652" s="17">
        <f>IF($D652="","",IFERROR(INDEX(nrCadetAgency,MATCH($D652,rngCadetPIDs,0)),""))</f>
        <v/>
      </c>
      <c r="F652" s="16" t="n"/>
      <c r="G652" s="17">
        <f>IF($F652="","",IFERROR(INDEX(rngEPname,MATCH($F652,rngEPcode,0)),"?"))</f>
        <v/>
      </c>
      <c r="H652" s="17">
        <f>IF($F652="","",IFERROR(INDEX(rngEPtype,MATCH($F652,rngEPcode,0)),"?"))</f>
        <v/>
      </c>
      <c r="I652" s="17">
        <f>IF($F652="","",IFERROR(INDEX(rngEPseq,MATCH($F652,rngEPcode,0)),""))</f>
        <v/>
      </c>
      <c r="J652" s="17">
        <f>IF($F652="","",IFERROR(INDEX(rngEPpass,MATCH($F652,rngEPcode,0)),cfgPassingScore))</f>
        <v/>
      </c>
      <c r="K652" s="16" t="n"/>
      <c r="L652" s="16" t="n"/>
      <c r="M652" s="17">
        <f>IF($C652="","",IF($L652="","",IF(NOT(ISNUMBER($L652)),$L652,IF(N($K652)&gt;2,"",IF($K652=1,IF(COUNTIFS(nrES_PID,$D652,nrES_Code,$F652,nrES_Att,2,nrES_Raw,"&gt;=0")&gt;0,"",$L652),IF($L652&gt;=$J652,MAX($J652,cfgRetakeRecordedCap),IF(COUNTIFS(nrES_PID,$D652,nrES_Code,$F652,nrES_Att,1)=0,$L652,SUMIFS(nrES_Raw,nrES_PID,$D652,nrES_Code,$F652,nrES_Att,1))))))))</f>
        <v/>
      </c>
      <c r="N652" s="17">
        <f>IF($C652="","",IF($L652="","",IF(NOT(ISNUMBER($L652)),"(not a score)",IF($L652&gt;=$J652,"Yes","No"))))</f>
        <v/>
      </c>
      <c r="O652" s="17">
        <f>IF($C652="","",IF($M652="","",IF(NOT(ISNUMBER($M652)),"(not a score)",IF($M652&gt;=$J652,"Yes","No"))))</f>
        <v/>
      </c>
      <c r="P652" s="17">
        <f>IF($C652="","",IF($K652="","",IF(N($K652)&gt;2,"No",IF(COUNTIFS(nrES_PID,$D652,nrES_Code,$F652,nrES_Att,"&gt;"&amp;$K652,nrES_Att,"&lt;=2",nrES_Raw,"&gt;=0")=0,"Yes","No"))))</f>
        <v/>
      </c>
      <c r="Q652" s="17">
        <f>IF($C652="","",IF($L652="","",IF(AND($K652=1,ISNUMBER($L652),$L652&lt;$J652,COUNTIFS(nrES_PID,$D652,nrES_Code,$F652,nrES_Att,2,nrES_Raw,"&gt;=0")=0),"Yes","No")))</f>
        <v/>
      </c>
      <c r="R652" s="17">
        <f>IF($C652="","",IF($L652="","",IF(AND(N($K652)&gt;=2,ISNUMBER($L652),$L652&lt;$J652),"Yes","No")))</f>
        <v/>
      </c>
      <c r="S652" s="18" t="n"/>
      <c r="T652" s="19">
        <f>IF(OR($C652="",$L652="",$K652&lt;&gt;1,NOT(ISNUMBER($L652)),$L652&gt;=$J652),"",IF($S652="","(enter date)",_xlfn.LET(_xlpm.dn,_xlfn.XLOOKUP($S652,nrCDdate,nrCDnum,"",1),IF(_xlpm.dn="","(after last class day)",_xlfn.LET(_xlpm.dd,_xlfn.XLOOKUP(_xlpm.dn+cfgRetestClassDays,nrCDnum,nrCDdate,""),_xlpm.ok,_xlfn.XLOOKUP(_xlpm.dn+cfgRetestClassDays,nrCDnum,nrCDinsession,"No"),IF(OR(_xlpm.dd="",_xlpm.ok&lt;&gt;"Yes"),"(after last class day)",_xlpm.dd))))))</f>
        <v/>
      </c>
      <c r="U652" s="17">
        <f>IF($C652="","",IF(AND($Y652="Excused",$L652="",N($K652)&lt;=1),"EXCUSED - 1st attempt pending",IF(OR($L652="",$K652&lt;&gt;1,NOT(ISNUMBER($L652)),$L652&gt;=$J652),"",IF(COUNTIFS(nrES_PID,$D652,nrES_Code,$F652,nrES_Att,2,nrES_Raw,"&gt;=0")&gt;0,IF(IFERROR(_xlfn.MINIFS(nrES_Date,nrES_PID,$D652,nrES_Code,$F652,nrES_Att,2,nrES_Raw,"&gt;=0",nrES_Date,"&gt;0"),0)=0,"RETEST UNDATED",IF(NOT(ISNUMBER($T652)),"RETEST DATE UNCHECKED",IF(_xlfn.MINIFS(nrES_Date,nrES_PID,$D652,nrES_Code,$F652,nrES_Att,2,nrES_Raw,"&gt;=0",nrES_Date,"&gt;0")&gt;$T652,"LATE RETEST "&amp;TEXT(_xlfn.MINIFS(nrES_Date,nrES_PID,$D652,nrES_Code,$F652,nrES_Att,2,nrES_Raw,"&gt;=0",nrES_Date,"&gt;0"),"mm/dd")&amp;" (due "&amp;TEXT($T652,"mm/dd")&amp;")","Retested"))),IF(NOT(ISNUMBER($T652)),"CHECK DATE",IF(TODAY()&gt;$T652,"OVERDUE","Due "&amp;TEXT($T652,"mm/dd")))))))</f>
        <v/>
      </c>
      <c r="V652" s="16" t="n"/>
      <c r="W652" s="16" t="n"/>
      <c r="X652" s="17">
        <f>IF($C652="","",IF(AND($L652&lt;&gt;"",NOT(ISNUMBER($L652))),"RAW SCORE NOT A NUMBER",IF(AND(ISNUMBER($L652),OR($L652&lt;0,$L652&gt;100)),"RAW SCORE OUT OF RANGE",IF(AND($Y652="Unexcused",OR($L652="",NOT(ISNUMBER($L652)),$L652&lt;&gt;0)),"UNEXCUSED ABSENCE MUST RECORD 0",IF(COUNTIF(nrES_RecID,$B652)&gt;1,"DUPLICATE RECORD",IF(N($K652)&gt;2,"ATTEMPT 3+ NOT ALLOWED - policy 300.5 permits one retest per exam; this row records nothing",IF(AND($K652=2,COUNTIFS(nrES_PID,$D652,nrES_Code,$F652,nrES_Att,1)=0),"ATTEMPT 2 WITHOUT ATTEMPT 1",IF(AND($K652=2,$L652=""),"RETEST ROW HAS NO SCORE",IF(AND($H652="Final",$L652&lt;&gt;"",IFERROR(INDEX(nrCKfinalExamElig,MATCH($D652,rngCadetPIDs,0)),"")="No"),"FINAL EXAM AFTER FAILED FINAL PT (500.1.H)",IF(AND($K652=2,ISNUMBER($L652),COUNTIFS(nrES_PID,$D652,nrES_Code,$F652,nrES_Att,1)&gt;0,SUMIFS(nrES_Raw,nrES_PID,$D652,nrES_Code,$F652,nrES_Att,1)&gt;=$J652),"RETEST AFTER A PASSING FIRST ATTEMPT","OK"))))))))))</f>
        <v/>
      </c>
      <c r="Y652" s="16" t="n"/>
    </row>
    <row r="653">
      <c r="B653" s="17">
        <f>IF($C653="","",$D653&amp;"-"&amp;$F653&amp;"-"&amp;$K653)</f>
        <v/>
      </c>
      <c r="C653" s="16" t="n"/>
      <c r="D653" s="17">
        <f>IF($C653="","",IFERROR(INDEX(rngCadetPIDs,MATCH($C653,rngCadetNames,0)),"?"))</f>
        <v/>
      </c>
      <c r="E653" s="17">
        <f>IF($D653="","",IFERROR(INDEX(nrCadetAgency,MATCH($D653,rngCadetPIDs,0)),""))</f>
        <v/>
      </c>
      <c r="F653" s="16" t="n"/>
      <c r="G653" s="17">
        <f>IF($F653="","",IFERROR(INDEX(rngEPname,MATCH($F653,rngEPcode,0)),"?"))</f>
        <v/>
      </c>
      <c r="H653" s="17">
        <f>IF($F653="","",IFERROR(INDEX(rngEPtype,MATCH($F653,rngEPcode,0)),"?"))</f>
        <v/>
      </c>
      <c r="I653" s="17">
        <f>IF($F653="","",IFERROR(INDEX(rngEPseq,MATCH($F653,rngEPcode,0)),""))</f>
        <v/>
      </c>
      <c r="J653" s="17">
        <f>IF($F653="","",IFERROR(INDEX(rngEPpass,MATCH($F653,rngEPcode,0)),cfgPassingScore))</f>
        <v/>
      </c>
      <c r="K653" s="16" t="n"/>
      <c r="L653" s="16" t="n"/>
      <c r="M653" s="17">
        <f>IF($C653="","",IF($L653="","",IF(NOT(ISNUMBER($L653)),$L653,IF(N($K653)&gt;2,"",IF($K653=1,IF(COUNTIFS(nrES_PID,$D653,nrES_Code,$F653,nrES_Att,2,nrES_Raw,"&gt;=0")&gt;0,"",$L653),IF($L653&gt;=$J653,MAX($J653,cfgRetakeRecordedCap),IF(COUNTIFS(nrES_PID,$D653,nrES_Code,$F653,nrES_Att,1)=0,$L653,SUMIFS(nrES_Raw,nrES_PID,$D653,nrES_Code,$F653,nrES_Att,1))))))))</f>
        <v/>
      </c>
      <c r="N653" s="17">
        <f>IF($C653="","",IF($L653="","",IF(NOT(ISNUMBER($L653)),"(not a score)",IF($L653&gt;=$J653,"Yes","No"))))</f>
        <v/>
      </c>
      <c r="O653" s="17">
        <f>IF($C653="","",IF($M653="","",IF(NOT(ISNUMBER($M653)),"(not a score)",IF($M653&gt;=$J653,"Yes","No"))))</f>
        <v/>
      </c>
      <c r="P653" s="17">
        <f>IF($C653="","",IF($K653="","",IF(N($K653)&gt;2,"No",IF(COUNTIFS(nrES_PID,$D653,nrES_Code,$F653,nrES_Att,"&gt;"&amp;$K653,nrES_Att,"&lt;=2",nrES_Raw,"&gt;=0")=0,"Yes","No"))))</f>
        <v/>
      </c>
      <c r="Q653" s="17">
        <f>IF($C653="","",IF($L653="","",IF(AND($K653=1,ISNUMBER($L653),$L653&lt;$J653,COUNTIFS(nrES_PID,$D653,nrES_Code,$F653,nrES_Att,2,nrES_Raw,"&gt;=0")=0),"Yes","No")))</f>
        <v/>
      </c>
      <c r="R653" s="17">
        <f>IF($C653="","",IF($L653="","",IF(AND(N($K653)&gt;=2,ISNUMBER($L653),$L653&lt;$J653),"Yes","No")))</f>
        <v/>
      </c>
      <c r="S653" s="18" t="n"/>
      <c r="T653" s="19">
        <f>IF(OR($C653="",$L653="",$K653&lt;&gt;1,NOT(ISNUMBER($L653)),$L653&gt;=$J653),"",IF($S653="","(enter date)",_xlfn.LET(_xlpm.dn,_xlfn.XLOOKUP($S653,nrCDdate,nrCDnum,"",1),IF(_xlpm.dn="","(after last class day)",_xlfn.LET(_xlpm.dd,_xlfn.XLOOKUP(_xlpm.dn+cfgRetestClassDays,nrCDnum,nrCDdate,""),_xlpm.ok,_xlfn.XLOOKUP(_xlpm.dn+cfgRetestClassDays,nrCDnum,nrCDinsession,"No"),IF(OR(_xlpm.dd="",_xlpm.ok&lt;&gt;"Yes"),"(after last class day)",_xlpm.dd))))))</f>
        <v/>
      </c>
      <c r="U653" s="17">
        <f>IF($C653="","",IF(AND($Y653="Excused",$L653="",N($K653)&lt;=1),"EXCUSED - 1st attempt pending",IF(OR($L653="",$K653&lt;&gt;1,NOT(ISNUMBER($L653)),$L653&gt;=$J653),"",IF(COUNTIFS(nrES_PID,$D653,nrES_Code,$F653,nrES_Att,2,nrES_Raw,"&gt;=0")&gt;0,IF(IFERROR(_xlfn.MINIFS(nrES_Date,nrES_PID,$D653,nrES_Code,$F653,nrES_Att,2,nrES_Raw,"&gt;=0",nrES_Date,"&gt;0"),0)=0,"RETEST UNDATED",IF(NOT(ISNUMBER($T653)),"RETEST DATE UNCHECKED",IF(_xlfn.MINIFS(nrES_Date,nrES_PID,$D653,nrES_Code,$F653,nrES_Att,2,nrES_Raw,"&gt;=0",nrES_Date,"&gt;0")&gt;$T653,"LATE RETEST "&amp;TEXT(_xlfn.MINIFS(nrES_Date,nrES_PID,$D653,nrES_Code,$F653,nrES_Att,2,nrES_Raw,"&gt;=0",nrES_Date,"&gt;0"),"mm/dd")&amp;" (due "&amp;TEXT($T653,"mm/dd")&amp;")","Retested"))),IF(NOT(ISNUMBER($T653)),"CHECK DATE",IF(TODAY()&gt;$T653,"OVERDUE","Due "&amp;TEXT($T653,"mm/dd")))))))</f>
        <v/>
      </c>
      <c r="V653" s="16" t="n"/>
      <c r="W653" s="16" t="n"/>
      <c r="X653" s="17">
        <f>IF($C653="","",IF(AND($L653&lt;&gt;"",NOT(ISNUMBER($L653))),"RAW SCORE NOT A NUMBER",IF(AND(ISNUMBER($L653),OR($L653&lt;0,$L653&gt;100)),"RAW SCORE OUT OF RANGE",IF(AND($Y653="Unexcused",OR($L653="",NOT(ISNUMBER($L653)),$L653&lt;&gt;0)),"UNEXCUSED ABSENCE MUST RECORD 0",IF(COUNTIF(nrES_RecID,$B653)&gt;1,"DUPLICATE RECORD",IF(N($K653)&gt;2,"ATTEMPT 3+ NOT ALLOWED - policy 300.5 permits one retest per exam; this row records nothing",IF(AND($K653=2,COUNTIFS(nrES_PID,$D653,nrES_Code,$F653,nrES_Att,1)=0),"ATTEMPT 2 WITHOUT ATTEMPT 1",IF(AND($K653=2,$L653=""),"RETEST ROW HAS NO SCORE",IF(AND($H653="Final",$L653&lt;&gt;"",IFERROR(INDEX(nrCKfinalExamElig,MATCH($D653,rngCadetPIDs,0)),"")="No"),"FINAL EXAM AFTER FAILED FINAL PT (500.1.H)",IF(AND($K653=2,ISNUMBER($L653),COUNTIFS(nrES_PID,$D653,nrES_Code,$F653,nrES_Att,1)&gt;0,SUMIFS(nrES_Raw,nrES_PID,$D653,nrES_Code,$F653,nrES_Att,1)&gt;=$J653),"RETEST AFTER A PASSING FIRST ATTEMPT","OK"))))))))))</f>
        <v/>
      </c>
      <c r="Y653" s="16" t="n"/>
    </row>
    <row r="654">
      <c r="B654" s="17">
        <f>IF($C654="","",$D654&amp;"-"&amp;$F654&amp;"-"&amp;$K654)</f>
        <v/>
      </c>
      <c r="C654" s="16" t="n"/>
      <c r="D654" s="17">
        <f>IF($C654="","",IFERROR(INDEX(rngCadetPIDs,MATCH($C654,rngCadetNames,0)),"?"))</f>
        <v/>
      </c>
      <c r="E654" s="17">
        <f>IF($D654="","",IFERROR(INDEX(nrCadetAgency,MATCH($D654,rngCadetPIDs,0)),""))</f>
        <v/>
      </c>
      <c r="F654" s="16" t="n"/>
      <c r="G654" s="17">
        <f>IF($F654="","",IFERROR(INDEX(rngEPname,MATCH($F654,rngEPcode,0)),"?"))</f>
        <v/>
      </c>
      <c r="H654" s="17">
        <f>IF($F654="","",IFERROR(INDEX(rngEPtype,MATCH($F654,rngEPcode,0)),"?"))</f>
        <v/>
      </c>
      <c r="I654" s="17">
        <f>IF($F654="","",IFERROR(INDEX(rngEPseq,MATCH($F654,rngEPcode,0)),""))</f>
        <v/>
      </c>
      <c r="J654" s="17">
        <f>IF($F654="","",IFERROR(INDEX(rngEPpass,MATCH($F654,rngEPcode,0)),cfgPassingScore))</f>
        <v/>
      </c>
      <c r="K654" s="16" t="n"/>
      <c r="L654" s="16" t="n"/>
      <c r="M654" s="17">
        <f>IF($C654="","",IF($L654="","",IF(NOT(ISNUMBER($L654)),$L654,IF(N($K654)&gt;2,"",IF($K654=1,IF(COUNTIFS(nrES_PID,$D654,nrES_Code,$F654,nrES_Att,2,nrES_Raw,"&gt;=0")&gt;0,"",$L654),IF($L654&gt;=$J654,MAX($J654,cfgRetakeRecordedCap),IF(COUNTIFS(nrES_PID,$D654,nrES_Code,$F654,nrES_Att,1)=0,$L654,SUMIFS(nrES_Raw,nrES_PID,$D654,nrES_Code,$F654,nrES_Att,1))))))))</f>
        <v/>
      </c>
      <c r="N654" s="17">
        <f>IF($C654="","",IF($L654="","",IF(NOT(ISNUMBER($L654)),"(not a score)",IF($L654&gt;=$J654,"Yes","No"))))</f>
        <v/>
      </c>
      <c r="O654" s="17">
        <f>IF($C654="","",IF($M654="","",IF(NOT(ISNUMBER($M654)),"(not a score)",IF($M654&gt;=$J654,"Yes","No"))))</f>
        <v/>
      </c>
      <c r="P654" s="17">
        <f>IF($C654="","",IF($K654="","",IF(N($K654)&gt;2,"No",IF(COUNTIFS(nrES_PID,$D654,nrES_Code,$F654,nrES_Att,"&gt;"&amp;$K654,nrES_Att,"&lt;=2",nrES_Raw,"&gt;=0")=0,"Yes","No"))))</f>
        <v/>
      </c>
      <c r="Q654" s="17">
        <f>IF($C654="","",IF($L654="","",IF(AND($K654=1,ISNUMBER($L654),$L654&lt;$J654,COUNTIFS(nrES_PID,$D654,nrES_Code,$F654,nrES_Att,2,nrES_Raw,"&gt;=0")=0),"Yes","No")))</f>
        <v/>
      </c>
      <c r="R654" s="17">
        <f>IF($C654="","",IF($L654="","",IF(AND(N($K654)&gt;=2,ISNUMBER($L654),$L654&lt;$J654),"Yes","No")))</f>
        <v/>
      </c>
      <c r="S654" s="18" t="n"/>
      <c r="T654" s="19">
        <f>IF(OR($C654="",$L654="",$K654&lt;&gt;1,NOT(ISNUMBER($L654)),$L654&gt;=$J654),"",IF($S654="","(enter date)",_xlfn.LET(_xlpm.dn,_xlfn.XLOOKUP($S654,nrCDdate,nrCDnum,"",1),IF(_xlpm.dn="","(after last class day)",_xlfn.LET(_xlpm.dd,_xlfn.XLOOKUP(_xlpm.dn+cfgRetestClassDays,nrCDnum,nrCDdate,""),_xlpm.ok,_xlfn.XLOOKUP(_xlpm.dn+cfgRetestClassDays,nrCDnum,nrCDinsession,"No"),IF(OR(_xlpm.dd="",_xlpm.ok&lt;&gt;"Yes"),"(after last class day)",_xlpm.dd))))))</f>
        <v/>
      </c>
      <c r="U654" s="17">
        <f>IF($C654="","",IF(AND($Y654="Excused",$L654="",N($K654)&lt;=1),"EXCUSED - 1st attempt pending",IF(OR($L654="",$K654&lt;&gt;1,NOT(ISNUMBER($L654)),$L654&gt;=$J654),"",IF(COUNTIFS(nrES_PID,$D654,nrES_Code,$F654,nrES_Att,2,nrES_Raw,"&gt;=0")&gt;0,IF(IFERROR(_xlfn.MINIFS(nrES_Date,nrES_PID,$D654,nrES_Code,$F654,nrES_Att,2,nrES_Raw,"&gt;=0",nrES_Date,"&gt;0"),0)=0,"RETEST UNDATED",IF(NOT(ISNUMBER($T654)),"RETEST DATE UNCHECKED",IF(_xlfn.MINIFS(nrES_Date,nrES_PID,$D654,nrES_Code,$F654,nrES_Att,2,nrES_Raw,"&gt;=0",nrES_Date,"&gt;0")&gt;$T654,"LATE RETEST "&amp;TEXT(_xlfn.MINIFS(nrES_Date,nrES_PID,$D654,nrES_Code,$F654,nrES_Att,2,nrES_Raw,"&gt;=0",nrES_Date,"&gt;0"),"mm/dd")&amp;" (due "&amp;TEXT($T654,"mm/dd")&amp;")","Retested"))),IF(NOT(ISNUMBER($T654)),"CHECK DATE",IF(TODAY()&gt;$T654,"OVERDUE","Due "&amp;TEXT($T654,"mm/dd")))))))</f>
        <v/>
      </c>
      <c r="V654" s="16" t="n"/>
      <c r="W654" s="16" t="n"/>
      <c r="X654" s="17">
        <f>IF($C654="","",IF(AND($L654&lt;&gt;"",NOT(ISNUMBER($L654))),"RAW SCORE NOT A NUMBER",IF(AND(ISNUMBER($L654),OR($L654&lt;0,$L654&gt;100)),"RAW SCORE OUT OF RANGE",IF(AND($Y654="Unexcused",OR($L654="",NOT(ISNUMBER($L654)),$L654&lt;&gt;0)),"UNEXCUSED ABSENCE MUST RECORD 0",IF(COUNTIF(nrES_RecID,$B654)&gt;1,"DUPLICATE RECORD",IF(N($K654)&gt;2,"ATTEMPT 3+ NOT ALLOWED - policy 300.5 permits one retest per exam; this row records nothing",IF(AND($K654=2,COUNTIFS(nrES_PID,$D654,nrES_Code,$F654,nrES_Att,1)=0),"ATTEMPT 2 WITHOUT ATTEMPT 1",IF(AND($K654=2,$L654=""),"RETEST ROW HAS NO SCORE",IF(AND($H654="Final",$L654&lt;&gt;"",IFERROR(INDEX(nrCKfinalExamElig,MATCH($D654,rngCadetPIDs,0)),"")="No"),"FINAL EXAM AFTER FAILED FINAL PT (500.1.H)",IF(AND($K654=2,ISNUMBER($L654),COUNTIFS(nrES_PID,$D654,nrES_Code,$F654,nrES_Att,1)&gt;0,SUMIFS(nrES_Raw,nrES_PID,$D654,nrES_Code,$F654,nrES_Att,1)&gt;=$J654),"RETEST AFTER A PASSING FIRST ATTEMPT","OK"))))))))))</f>
        <v/>
      </c>
      <c r="Y654" s="16" t="n"/>
    </row>
    <row r="655">
      <c r="B655" s="17">
        <f>IF($C655="","",$D655&amp;"-"&amp;$F655&amp;"-"&amp;$K655)</f>
        <v/>
      </c>
      <c r="C655" s="16" t="n"/>
      <c r="D655" s="17">
        <f>IF($C655="","",IFERROR(INDEX(rngCadetPIDs,MATCH($C655,rngCadetNames,0)),"?"))</f>
        <v/>
      </c>
      <c r="E655" s="17">
        <f>IF($D655="","",IFERROR(INDEX(nrCadetAgency,MATCH($D655,rngCadetPIDs,0)),""))</f>
        <v/>
      </c>
      <c r="F655" s="16" t="n"/>
      <c r="G655" s="17">
        <f>IF($F655="","",IFERROR(INDEX(rngEPname,MATCH($F655,rngEPcode,0)),"?"))</f>
        <v/>
      </c>
      <c r="H655" s="17">
        <f>IF($F655="","",IFERROR(INDEX(rngEPtype,MATCH($F655,rngEPcode,0)),"?"))</f>
        <v/>
      </c>
      <c r="I655" s="17">
        <f>IF($F655="","",IFERROR(INDEX(rngEPseq,MATCH($F655,rngEPcode,0)),""))</f>
        <v/>
      </c>
      <c r="J655" s="17">
        <f>IF($F655="","",IFERROR(INDEX(rngEPpass,MATCH($F655,rngEPcode,0)),cfgPassingScore))</f>
        <v/>
      </c>
      <c r="K655" s="16" t="n"/>
      <c r="L655" s="16" t="n"/>
      <c r="M655" s="17">
        <f>IF($C655="","",IF($L655="","",IF(NOT(ISNUMBER($L655)),$L655,IF(N($K655)&gt;2,"",IF($K655=1,IF(COUNTIFS(nrES_PID,$D655,nrES_Code,$F655,nrES_Att,2,nrES_Raw,"&gt;=0")&gt;0,"",$L655),IF($L655&gt;=$J655,MAX($J655,cfgRetakeRecordedCap),IF(COUNTIFS(nrES_PID,$D655,nrES_Code,$F655,nrES_Att,1)=0,$L655,SUMIFS(nrES_Raw,nrES_PID,$D655,nrES_Code,$F655,nrES_Att,1))))))))</f>
        <v/>
      </c>
      <c r="N655" s="17">
        <f>IF($C655="","",IF($L655="","",IF(NOT(ISNUMBER($L655)),"(not a score)",IF($L655&gt;=$J655,"Yes","No"))))</f>
        <v/>
      </c>
      <c r="O655" s="17">
        <f>IF($C655="","",IF($M655="","",IF(NOT(ISNUMBER($M655)),"(not a score)",IF($M655&gt;=$J655,"Yes","No"))))</f>
        <v/>
      </c>
      <c r="P655" s="17">
        <f>IF($C655="","",IF($K655="","",IF(N($K655)&gt;2,"No",IF(COUNTIFS(nrES_PID,$D655,nrES_Code,$F655,nrES_Att,"&gt;"&amp;$K655,nrES_Att,"&lt;=2",nrES_Raw,"&gt;=0")=0,"Yes","No"))))</f>
        <v/>
      </c>
      <c r="Q655" s="17">
        <f>IF($C655="","",IF($L655="","",IF(AND($K655=1,ISNUMBER($L655),$L655&lt;$J655,COUNTIFS(nrES_PID,$D655,nrES_Code,$F655,nrES_Att,2,nrES_Raw,"&gt;=0")=0),"Yes","No")))</f>
        <v/>
      </c>
      <c r="R655" s="17">
        <f>IF($C655="","",IF($L655="","",IF(AND(N($K655)&gt;=2,ISNUMBER($L655),$L655&lt;$J655),"Yes","No")))</f>
        <v/>
      </c>
      <c r="S655" s="18" t="n"/>
      <c r="T655" s="19">
        <f>IF(OR($C655="",$L655="",$K655&lt;&gt;1,NOT(ISNUMBER($L655)),$L655&gt;=$J655),"",IF($S655="","(enter date)",_xlfn.LET(_xlpm.dn,_xlfn.XLOOKUP($S655,nrCDdate,nrCDnum,"",1),IF(_xlpm.dn="","(after last class day)",_xlfn.LET(_xlpm.dd,_xlfn.XLOOKUP(_xlpm.dn+cfgRetestClassDays,nrCDnum,nrCDdate,""),_xlpm.ok,_xlfn.XLOOKUP(_xlpm.dn+cfgRetestClassDays,nrCDnum,nrCDinsession,"No"),IF(OR(_xlpm.dd="",_xlpm.ok&lt;&gt;"Yes"),"(after last class day)",_xlpm.dd))))))</f>
        <v/>
      </c>
      <c r="U655" s="17">
        <f>IF($C655="","",IF(AND($Y655="Excused",$L655="",N($K655)&lt;=1),"EXCUSED - 1st attempt pending",IF(OR($L655="",$K655&lt;&gt;1,NOT(ISNUMBER($L655)),$L655&gt;=$J655),"",IF(COUNTIFS(nrES_PID,$D655,nrES_Code,$F655,nrES_Att,2,nrES_Raw,"&gt;=0")&gt;0,IF(IFERROR(_xlfn.MINIFS(nrES_Date,nrES_PID,$D655,nrES_Code,$F655,nrES_Att,2,nrES_Raw,"&gt;=0",nrES_Date,"&gt;0"),0)=0,"RETEST UNDATED",IF(NOT(ISNUMBER($T655)),"RETEST DATE UNCHECKED",IF(_xlfn.MINIFS(nrES_Date,nrES_PID,$D655,nrES_Code,$F655,nrES_Att,2,nrES_Raw,"&gt;=0",nrES_Date,"&gt;0")&gt;$T655,"LATE RETEST "&amp;TEXT(_xlfn.MINIFS(nrES_Date,nrES_PID,$D655,nrES_Code,$F655,nrES_Att,2,nrES_Raw,"&gt;=0",nrES_Date,"&gt;0"),"mm/dd")&amp;" (due "&amp;TEXT($T655,"mm/dd")&amp;")","Retested"))),IF(NOT(ISNUMBER($T655)),"CHECK DATE",IF(TODAY()&gt;$T655,"OVERDUE","Due "&amp;TEXT($T655,"mm/dd")))))))</f>
        <v/>
      </c>
      <c r="V655" s="16" t="n"/>
      <c r="W655" s="16" t="n"/>
      <c r="X655" s="17">
        <f>IF($C655="","",IF(AND($L655&lt;&gt;"",NOT(ISNUMBER($L655))),"RAW SCORE NOT A NUMBER",IF(AND(ISNUMBER($L655),OR($L655&lt;0,$L655&gt;100)),"RAW SCORE OUT OF RANGE",IF(AND($Y655="Unexcused",OR($L655="",NOT(ISNUMBER($L655)),$L655&lt;&gt;0)),"UNEXCUSED ABSENCE MUST RECORD 0",IF(COUNTIF(nrES_RecID,$B655)&gt;1,"DUPLICATE RECORD",IF(N($K655)&gt;2,"ATTEMPT 3+ NOT ALLOWED - policy 300.5 permits one retest per exam; this row records nothing",IF(AND($K655=2,COUNTIFS(nrES_PID,$D655,nrES_Code,$F655,nrES_Att,1)=0),"ATTEMPT 2 WITHOUT ATTEMPT 1",IF(AND($K655=2,$L655=""),"RETEST ROW HAS NO SCORE",IF(AND($H655="Final",$L655&lt;&gt;"",IFERROR(INDEX(nrCKfinalExamElig,MATCH($D655,rngCadetPIDs,0)),"")="No"),"FINAL EXAM AFTER FAILED FINAL PT (500.1.H)",IF(AND($K655=2,ISNUMBER($L655),COUNTIFS(nrES_PID,$D655,nrES_Code,$F655,nrES_Att,1)&gt;0,SUMIFS(nrES_Raw,nrES_PID,$D655,nrES_Code,$F655,nrES_Att,1)&gt;=$J655),"RETEST AFTER A PASSING FIRST ATTEMPT","OK"))))))))))</f>
        <v/>
      </c>
      <c r="Y655" s="16" t="n"/>
    </row>
    <row r="656">
      <c r="B656" s="17">
        <f>IF($C656="","",$D656&amp;"-"&amp;$F656&amp;"-"&amp;$K656)</f>
        <v/>
      </c>
      <c r="C656" s="16" t="n"/>
      <c r="D656" s="17">
        <f>IF($C656="","",IFERROR(INDEX(rngCadetPIDs,MATCH($C656,rngCadetNames,0)),"?"))</f>
        <v/>
      </c>
      <c r="E656" s="17">
        <f>IF($D656="","",IFERROR(INDEX(nrCadetAgency,MATCH($D656,rngCadetPIDs,0)),""))</f>
        <v/>
      </c>
      <c r="F656" s="16" t="n"/>
      <c r="G656" s="17">
        <f>IF($F656="","",IFERROR(INDEX(rngEPname,MATCH($F656,rngEPcode,0)),"?"))</f>
        <v/>
      </c>
      <c r="H656" s="17">
        <f>IF($F656="","",IFERROR(INDEX(rngEPtype,MATCH($F656,rngEPcode,0)),"?"))</f>
        <v/>
      </c>
      <c r="I656" s="17">
        <f>IF($F656="","",IFERROR(INDEX(rngEPseq,MATCH($F656,rngEPcode,0)),""))</f>
        <v/>
      </c>
      <c r="J656" s="17">
        <f>IF($F656="","",IFERROR(INDEX(rngEPpass,MATCH($F656,rngEPcode,0)),cfgPassingScore))</f>
        <v/>
      </c>
      <c r="K656" s="16" t="n"/>
      <c r="L656" s="16" t="n"/>
      <c r="M656" s="17">
        <f>IF($C656="","",IF($L656="","",IF(NOT(ISNUMBER($L656)),$L656,IF(N($K656)&gt;2,"",IF($K656=1,IF(COUNTIFS(nrES_PID,$D656,nrES_Code,$F656,nrES_Att,2,nrES_Raw,"&gt;=0")&gt;0,"",$L656),IF($L656&gt;=$J656,MAX($J656,cfgRetakeRecordedCap),IF(COUNTIFS(nrES_PID,$D656,nrES_Code,$F656,nrES_Att,1)=0,$L656,SUMIFS(nrES_Raw,nrES_PID,$D656,nrES_Code,$F656,nrES_Att,1))))))))</f>
        <v/>
      </c>
      <c r="N656" s="17">
        <f>IF($C656="","",IF($L656="","",IF(NOT(ISNUMBER($L656)),"(not a score)",IF($L656&gt;=$J656,"Yes","No"))))</f>
        <v/>
      </c>
      <c r="O656" s="17">
        <f>IF($C656="","",IF($M656="","",IF(NOT(ISNUMBER($M656)),"(not a score)",IF($M656&gt;=$J656,"Yes","No"))))</f>
        <v/>
      </c>
      <c r="P656" s="17">
        <f>IF($C656="","",IF($K656="","",IF(N($K656)&gt;2,"No",IF(COUNTIFS(nrES_PID,$D656,nrES_Code,$F656,nrES_Att,"&gt;"&amp;$K656,nrES_Att,"&lt;=2",nrES_Raw,"&gt;=0")=0,"Yes","No"))))</f>
        <v/>
      </c>
      <c r="Q656" s="17">
        <f>IF($C656="","",IF($L656="","",IF(AND($K656=1,ISNUMBER($L656),$L656&lt;$J656,COUNTIFS(nrES_PID,$D656,nrES_Code,$F656,nrES_Att,2,nrES_Raw,"&gt;=0")=0),"Yes","No")))</f>
        <v/>
      </c>
      <c r="R656" s="17">
        <f>IF($C656="","",IF($L656="","",IF(AND(N($K656)&gt;=2,ISNUMBER($L656),$L656&lt;$J656),"Yes","No")))</f>
        <v/>
      </c>
      <c r="S656" s="18" t="n"/>
      <c r="T656" s="19">
        <f>IF(OR($C656="",$L656="",$K656&lt;&gt;1,NOT(ISNUMBER($L656)),$L656&gt;=$J656),"",IF($S656="","(enter date)",_xlfn.LET(_xlpm.dn,_xlfn.XLOOKUP($S656,nrCDdate,nrCDnum,"",1),IF(_xlpm.dn="","(after last class day)",_xlfn.LET(_xlpm.dd,_xlfn.XLOOKUP(_xlpm.dn+cfgRetestClassDays,nrCDnum,nrCDdate,""),_xlpm.ok,_xlfn.XLOOKUP(_xlpm.dn+cfgRetestClassDays,nrCDnum,nrCDinsession,"No"),IF(OR(_xlpm.dd="",_xlpm.ok&lt;&gt;"Yes"),"(after last class day)",_xlpm.dd))))))</f>
        <v/>
      </c>
      <c r="U656" s="17">
        <f>IF($C656="","",IF(AND($Y656="Excused",$L656="",N($K656)&lt;=1),"EXCUSED - 1st attempt pending",IF(OR($L656="",$K656&lt;&gt;1,NOT(ISNUMBER($L656)),$L656&gt;=$J656),"",IF(COUNTIFS(nrES_PID,$D656,nrES_Code,$F656,nrES_Att,2,nrES_Raw,"&gt;=0")&gt;0,IF(IFERROR(_xlfn.MINIFS(nrES_Date,nrES_PID,$D656,nrES_Code,$F656,nrES_Att,2,nrES_Raw,"&gt;=0",nrES_Date,"&gt;0"),0)=0,"RETEST UNDATED",IF(NOT(ISNUMBER($T656)),"RETEST DATE UNCHECKED",IF(_xlfn.MINIFS(nrES_Date,nrES_PID,$D656,nrES_Code,$F656,nrES_Att,2,nrES_Raw,"&gt;=0",nrES_Date,"&gt;0")&gt;$T656,"LATE RETEST "&amp;TEXT(_xlfn.MINIFS(nrES_Date,nrES_PID,$D656,nrES_Code,$F656,nrES_Att,2,nrES_Raw,"&gt;=0",nrES_Date,"&gt;0"),"mm/dd")&amp;" (due "&amp;TEXT($T656,"mm/dd")&amp;")","Retested"))),IF(NOT(ISNUMBER($T656)),"CHECK DATE",IF(TODAY()&gt;$T656,"OVERDUE","Due "&amp;TEXT($T656,"mm/dd")))))))</f>
        <v/>
      </c>
      <c r="V656" s="16" t="n"/>
      <c r="W656" s="16" t="n"/>
      <c r="X656" s="17">
        <f>IF($C656="","",IF(AND($L656&lt;&gt;"",NOT(ISNUMBER($L656))),"RAW SCORE NOT A NUMBER",IF(AND(ISNUMBER($L656),OR($L656&lt;0,$L656&gt;100)),"RAW SCORE OUT OF RANGE",IF(AND($Y656="Unexcused",OR($L656="",NOT(ISNUMBER($L656)),$L656&lt;&gt;0)),"UNEXCUSED ABSENCE MUST RECORD 0",IF(COUNTIF(nrES_RecID,$B656)&gt;1,"DUPLICATE RECORD",IF(N($K656)&gt;2,"ATTEMPT 3+ NOT ALLOWED - policy 300.5 permits one retest per exam; this row records nothing",IF(AND($K656=2,COUNTIFS(nrES_PID,$D656,nrES_Code,$F656,nrES_Att,1)=0),"ATTEMPT 2 WITHOUT ATTEMPT 1",IF(AND($K656=2,$L656=""),"RETEST ROW HAS NO SCORE",IF(AND($H656="Final",$L656&lt;&gt;"",IFERROR(INDEX(nrCKfinalExamElig,MATCH($D656,rngCadetPIDs,0)),"")="No"),"FINAL EXAM AFTER FAILED FINAL PT (500.1.H)",IF(AND($K656=2,ISNUMBER($L656),COUNTIFS(nrES_PID,$D656,nrES_Code,$F656,nrES_Att,1)&gt;0,SUMIFS(nrES_Raw,nrES_PID,$D656,nrES_Code,$F656,nrES_Att,1)&gt;=$J656),"RETEST AFTER A PASSING FIRST ATTEMPT","OK"))))))))))</f>
        <v/>
      </c>
      <c r="Y656" s="16" t="n"/>
    </row>
    <row r="657">
      <c r="B657" s="17">
        <f>IF($C657="","",$D657&amp;"-"&amp;$F657&amp;"-"&amp;$K657)</f>
        <v/>
      </c>
      <c r="C657" s="16" t="n"/>
      <c r="D657" s="17">
        <f>IF($C657="","",IFERROR(INDEX(rngCadetPIDs,MATCH($C657,rngCadetNames,0)),"?"))</f>
        <v/>
      </c>
      <c r="E657" s="17">
        <f>IF($D657="","",IFERROR(INDEX(nrCadetAgency,MATCH($D657,rngCadetPIDs,0)),""))</f>
        <v/>
      </c>
      <c r="F657" s="16" t="n"/>
      <c r="G657" s="17">
        <f>IF($F657="","",IFERROR(INDEX(rngEPname,MATCH($F657,rngEPcode,0)),"?"))</f>
        <v/>
      </c>
      <c r="H657" s="17">
        <f>IF($F657="","",IFERROR(INDEX(rngEPtype,MATCH($F657,rngEPcode,0)),"?"))</f>
        <v/>
      </c>
      <c r="I657" s="17">
        <f>IF($F657="","",IFERROR(INDEX(rngEPseq,MATCH($F657,rngEPcode,0)),""))</f>
        <v/>
      </c>
      <c r="J657" s="17">
        <f>IF($F657="","",IFERROR(INDEX(rngEPpass,MATCH($F657,rngEPcode,0)),cfgPassingScore))</f>
        <v/>
      </c>
      <c r="K657" s="16" t="n"/>
      <c r="L657" s="16" t="n"/>
      <c r="M657" s="17">
        <f>IF($C657="","",IF($L657="","",IF(NOT(ISNUMBER($L657)),$L657,IF(N($K657)&gt;2,"",IF($K657=1,IF(COUNTIFS(nrES_PID,$D657,nrES_Code,$F657,nrES_Att,2,nrES_Raw,"&gt;=0")&gt;0,"",$L657),IF($L657&gt;=$J657,MAX($J657,cfgRetakeRecordedCap),IF(COUNTIFS(nrES_PID,$D657,nrES_Code,$F657,nrES_Att,1)=0,$L657,SUMIFS(nrES_Raw,nrES_PID,$D657,nrES_Code,$F657,nrES_Att,1))))))))</f>
        <v/>
      </c>
      <c r="N657" s="17">
        <f>IF($C657="","",IF($L657="","",IF(NOT(ISNUMBER($L657)),"(not a score)",IF($L657&gt;=$J657,"Yes","No"))))</f>
        <v/>
      </c>
      <c r="O657" s="17">
        <f>IF($C657="","",IF($M657="","",IF(NOT(ISNUMBER($M657)),"(not a score)",IF($M657&gt;=$J657,"Yes","No"))))</f>
        <v/>
      </c>
      <c r="P657" s="17">
        <f>IF($C657="","",IF($K657="","",IF(N($K657)&gt;2,"No",IF(COUNTIFS(nrES_PID,$D657,nrES_Code,$F657,nrES_Att,"&gt;"&amp;$K657,nrES_Att,"&lt;=2",nrES_Raw,"&gt;=0")=0,"Yes","No"))))</f>
        <v/>
      </c>
      <c r="Q657" s="17">
        <f>IF($C657="","",IF($L657="","",IF(AND($K657=1,ISNUMBER($L657),$L657&lt;$J657,COUNTIFS(nrES_PID,$D657,nrES_Code,$F657,nrES_Att,2,nrES_Raw,"&gt;=0")=0),"Yes","No")))</f>
        <v/>
      </c>
      <c r="R657" s="17">
        <f>IF($C657="","",IF($L657="","",IF(AND(N($K657)&gt;=2,ISNUMBER($L657),$L657&lt;$J657),"Yes","No")))</f>
        <v/>
      </c>
      <c r="S657" s="18" t="n"/>
      <c r="T657" s="19">
        <f>IF(OR($C657="",$L657="",$K657&lt;&gt;1,NOT(ISNUMBER($L657)),$L657&gt;=$J657),"",IF($S657="","(enter date)",_xlfn.LET(_xlpm.dn,_xlfn.XLOOKUP($S657,nrCDdate,nrCDnum,"",1),IF(_xlpm.dn="","(after last class day)",_xlfn.LET(_xlpm.dd,_xlfn.XLOOKUP(_xlpm.dn+cfgRetestClassDays,nrCDnum,nrCDdate,""),_xlpm.ok,_xlfn.XLOOKUP(_xlpm.dn+cfgRetestClassDays,nrCDnum,nrCDinsession,"No"),IF(OR(_xlpm.dd="",_xlpm.ok&lt;&gt;"Yes"),"(after last class day)",_xlpm.dd))))))</f>
        <v/>
      </c>
      <c r="U657" s="17">
        <f>IF($C657="","",IF(AND($Y657="Excused",$L657="",N($K657)&lt;=1),"EXCUSED - 1st attempt pending",IF(OR($L657="",$K657&lt;&gt;1,NOT(ISNUMBER($L657)),$L657&gt;=$J657),"",IF(COUNTIFS(nrES_PID,$D657,nrES_Code,$F657,nrES_Att,2,nrES_Raw,"&gt;=0")&gt;0,IF(IFERROR(_xlfn.MINIFS(nrES_Date,nrES_PID,$D657,nrES_Code,$F657,nrES_Att,2,nrES_Raw,"&gt;=0",nrES_Date,"&gt;0"),0)=0,"RETEST UNDATED",IF(NOT(ISNUMBER($T657)),"RETEST DATE UNCHECKED",IF(_xlfn.MINIFS(nrES_Date,nrES_PID,$D657,nrES_Code,$F657,nrES_Att,2,nrES_Raw,"&gt;=0",nrES_Date,"&gt;0")&gt;$T657,"LATE RETEST "&amp;TEXT(_xlfn.MINIFS(nrES_Date,nrES_PID,$D657,nrES_Code,$F657,nrES_Att,2,nrES_Raw,"&gt;=0",nrES_Date,"&gt;0"),"mm/dd")&amp;" (due "&amp;TEXT($T657,"mm/dd")&amp;")","Retested"))),IF(NOT(ISNUMBER($T657)),"CHECK DATE",IF(TODAY()&gt;$T657,"OVERDUE","Due "&amp;TEXT($T657,"mm/dd")))))))</f>
        <v/>
      </c>
      <c r="V657" s="16" t="n"/>
      <c r="W657" s="16" t="n"/>
      <c r="X657" s="17">
        <f>IF($C657="","",IF(AND($L657&lt;&gt;"",NOT(ISNUMBER($L657))),"RAW SCORE NOT A NUMBER",IF(AND(ISNUMBER($L657),OR($L657&lt;0,$L657&gt;100)),"RAW SCORE OUT OF RANGE",IF(AND($Y657="Unexcused",OR($L657="",NOT(ISNUMBER($L657)),$L657&lt;&gt;0)),"UNEXCUSED ABSENCE MUST RECORD 0",IF(COUNTIF(nrES_RecID,$B657)&gt;1,"DUPLICATE RECORD",IF(N($K657)&gt;2,"ATTEMPT 3+ NOT ALLOWED - policy 300.5 permits one retest per exam; this row records nothing",IF(AND($K657=2,COUNTIFS(nrES_PID,$D657,nrES_Code,$F657,nrES_Att,1)=0),"ATTEMPT 2 WITHOUT ATTEMPT 1",IF(AND($K657=2,$L657=""),"RETEST ROW HAS NO SCORE",IF(AND($H657="Final",$L657&lt;&gt;"",IFERROR(INDEX(nrCKfinalExamElig,MATCH($D657,rngCadetPIDs,0)),"")="No"),"FINAL EXAM AFTER FAILED FINAL PT (500.1.H)",IF(AND($K657=2,ISNUMBER($L657),COUNTIFS(nrES_PID,$D657,nrES_Code,$F657,nrES_Att,1)&gt;0,SUMIFS(nrES_Raw,nrES_PID,$D657,nrES_Code,$F657,nrES_Att,1)&gt;=$J657),"RETEST AFTER A PASSING FIRST ATTEMPT","OK"))))))))))</f>
        <v/>
      </c>
      <c r="Y657" s="16" t="n"/>
    </row>
    <row r="658">
      <c r="B658" s="17">
        <f>IF($C658="","",$D658&amp;"-"&amp;$F658&amp;"-"&amp;$K658)</f>
        <v/>
      </c>
      <c r="C658" s="16" t="n"/>
      <c r="D658" s="17">
        <f>IF($C658="","",IFERROR(INDEX(rngCadetPIDs,MATCH($C658,rngCadetNames,0)),"?"))</f>
        <v/>
      </c>
      <c r="E658" s="17">
        <f>IF($D658="","",IFERROR(INDEX(nrCadetAgency,MATCH($D658,rngCadetPIDs,0)),""))</f>
        <v/>
      </c>
      <c r="F658" s="16" t="n"/>
      <c r="G658" s="17">
        <f>IF($F658="","",IFERROR(INDEX(rngEPname,MATCH($F658,rngEPcode,0)),"?"))</f>
        <v/>
      </c>
      <c r="H658" s="17">
        <f>IF($F658="","",IFERROR(INDEX(rngEPtype,MATCH($F658,rngEPcode,0)),"?"))</f>
        <v/>
      </c>
      <c r="I658" s="17">
        <f>IF($F658="","",IFERROR(INDEX(rngEPseq,MATCH($F658,rngEPcode,0)),""))</f>
        <v/>
      </c>
      <c r="J658" s="17">
        <f>IF($F658="","",IFERROR(INDEX(rngEPpass,MATCH($F658,rngEPcode,0)),cfgPassingScore))</f>
        <v/>
      </c>
      <c r="K658" s="16" t="n"/>
      <c r="L658" s="16" t="n"/>
      <c r="M658" s="17">
        <f>IF($C658="","",IF($L658="","",IF(NOT(ISNUMBER($L658)),$L658,IF(N($K658)&gt;2,"",IF($K658=1,IF(COUNTIFS(nrES_PID,$D658,nrES_Code,$F658,nrES_Att,2,nrES_Raw,"&gt;=0")&gt;0,"",$L658),IF($L658&gt;=$J658,MAX($J658,cfgRetakeRecordedCap),IF(COUNTIFS(nrES_PID,$D658,nrES_Code,$F658,nrES_Att,1)=0,$L658,SUMIFS(nrES_Raw,nrES_PID,$D658,nrES_Code,$F658,nrES_Att,1))))))))</f>
        <v/>
      </c>
      <c r="N658" s="17">
        <f>IF($C658="","",IF($L658="","",IF(NOT(ISNUMBER($L658)),"(not a score)",IF($L658&gt;=$J658,"Yes","No"))))</f>
        <v/>
      </c>
      <c r="O658" s="17">
        <f>IF($C658="","",IF($M658="","",IF(NOT(ISNUMBER($M658)),"(not a score)",IF($M658&gt;=$J658,"Yes","No"))))</f>
        <v/>
      </c>
      <c r="P658" s="17">
        <f>IF($C658="","",IF($K658="","",IF(N($K658)&gt;2,"No",IF(COUNTIFS(nrES_PID,$D658,nrES_Code,$F658,nrES_Att,"&gt;"&amp;$K658,nrES_Att,"&lt;=2",nrES_Raw,"&gt;=0")=0,"Yes","No"))))</f>
        <v/>
      </c>
      <c r="Q658" s="17">
        <f>IF($C658="","",IF($L658="","",IF(AND($K658=1,ISNUMBER($L658),$L658&lt;$J658,COUNTIFS(nrES_PID,$D658,nrES_Code,$F658,nrES_Att,2,nrES_Raw,"&gt;=0")=0),"Yes","No")))</f>
        <v/>
      </c>
      <c r="R658" s="17">
        <f>IF($C658="","",IF($L658="","",IF(AND(N($K658)&gt;=2,ISNUMBER($L658),$L658&lt;$J658),"Yes","No")))</f>
        <v/>
      </c>
      <c r="S658" s="18" t="n"/>
      <c r="T658" s="19">
        <f>IF(OR($C658="",$L658="",$K658&lt;&gt;1,NOT(ISNUMBER($L658)),$L658&gt;=$J658),"",IF($S658="","(enter date)",_xlfn.LET(_xlpm.dn,_xlfn.XLOOKUP($S658,nrCDdate,nrCDnum,"",1),IF(_xlpm.dn="","(after last class day)",_xlfn.LET(_xlpm.dd,_xlfn.XLOOKUP(_xlpm.dn+cfgRetestClassDays,nrCDnum,nrCDdate,""),_xlpm.ok,_xlfn.XLOOKUP(_xlpm.dn+cfgRetestClassDays,nrCDnum,nrCDinsession,"No"),IF(OR(_xlpm.dd="",_xlpm.ok&lt;&gt;"Yes"),"(after last class day)",_xlpm.dd))))))</f>
        <v/>
      </c>
      <c r="U658" s="17">
        <f>IF($C658="","",IF(AND($Y658="Excused",$L658="",N($K658)&lt;=1),"EXCUSED - 1st attempt pending",IF(OR($L658="",$K658&lt;&gt;1,NOT(ISNUMBER($L658)),$L658&gt;=$J658),"",IF(COUNTIFS(nrES_PID,$D658,nrES_Code,$F658,nrES_Att,2,nrES_Raw,"&gt;=0")&gt;0,IF(IFERROR(_xlfn.MINIFS(nrES_Date,nrES_PID,$D658,nrES_Code,$F658,nrES_Att,2,nrES_Raw,"&gt;=0",nrES_Date,"&gt;0"),0)=0,"RETEST UNDATED",IF(NOT(ISNUMBER($T658)),"RETEST DATE UNCHECKED",IF(_xlfn.MINIFS(nrES_Date,nrES_PID,$D658,nrES_Code,$F658,nrES_Att,2,nrES_Raw,"&gt;=0",nrES_Date,"&gt;0")&gt;$T658,"LATE RETEST "&amp;TEXT(_xlfn.MINIFS(nrES_Date,nrES_PID,$D658,nrES_Code,$F658,nrES_Att,2,nrES_Raw,"&gt;=0",nrES_Date,"&gt;0"),"mm/dd")&amp;" (due "&amp;TEXT($T658,"mm/dd")&amp;")","Retested"))),IF(NOT(ISNUMBER($T658)),"CHECK DATE",IF(TODAY()&gt;$T658,"OVERDUE","Due "&amp;TEXT($T658,"mm/dd")))))))</f>
        <v/>
      </c>
      <c r="V658" s="16" t="n"/>
      <c r="W658" s="16" t="n"/>
      <c r="X658" s="17">
        <f>IF($C658="","",IF(AND($L658&lt;&gt;"",NOT(ISNUMBER($L658))),"RAW SCORE NOT A NUMBER",IF(AND(ISNUMBER($L658),OR($L658&lt;0,$L658&gt;100)),"RAW SCORE OUT OF RANGE",IF(AND($Y658="Unexcused",OR($L658="",NOT(ISNUMBER($L658)),$L658&lt;&gt;0)),"UNEXCUSED ABSENCE MUST RECORD 0",IF(COUNTIF(nrES_RecID,$B658)&gt;1,"DUPLICATE RECORD",IF(N($K658)&gt;2,"ATTEMPT 3+ NOT ALLOWED - policy 300.5 permits one retest per exam; this row records nothing",IF(AND($K658=2,COUNTIFS(nrES_PID,$D658,nrES_Code,$F658,nrES_Att,1)=0),"ATTEMPT 2 WITHOUT ATTEMPT 1",IF(AND($K658=2,$L658=""),"RETEST ROW HAS NO SCORE",IF(AND($H658="Final",$L658&lt;&gt;"",IFERROR(INDEX(nrCKfinalExamElig,MATCH($D658,rngCadetPIDs,0)),"")="No"),"FINAL EXAM AFTER FAILED FINAL PT (500.1.H)",IF(AND($K658=2,ISNUMBER($L658),COUNTIFS(nrES_PID,$D658,nrES_Code,$F658,nrES_Att,1)&gt;0,SUMIFS(nrES_Raw,nrES_PID,$D658,nrES_Code,$F658,nrES_Att,1)&gt;=$J658),"RETEST AFTER A PASSING FIRST ATTEMPT","OK"))))))))))</f>
        <v/>
      </c>
      <c r="Y658" s="16" t="n"/>
    </row>
    <row r="659">
      <c r="B659" s="17">
        <f>IF($C659="","",$D659&amp;"-"&amp;$F659&amp;"-"&amp;$K659)</f>
        <v/>
      </c>
      <c r="C659" s="16" t="n"/>
      <c r="D659" s="17">
        <f>IF($C659="","",IFERROR(INDEX(rngCadetPIDs,MATCH($C659,rngCadetNames,0)),"?"))</f>
        <v/>
      </c>
      <c r="E659" s="17">
        <f>IF($D659="","",IFERROR(INDEX(nrCadetAgency,MATCH($D659,rngCadetPIDs,0)),""))</f>
        <v/>
      </c>
      <c r="F659" s="16" t="n"/>
      <c r="G659" s="17">
        <f>IF($F659="","",IFERROR(INDEX(rngEPname,MATCH($F659,rngEPcode,0)),"?"))</f>
        <v/>
      </c>
      <c r="H659" s="17">
        <f>IF($F659="","",IFERROR(INDEX(rngEPtype,MATCH($F659,rngEPcode,0)),"?"))</f>
        <v/>
      </c>
      <c r="I659" s="17">
        <f>IF($F659="","",IFERROR(INDEX(rngEPseq,MATCH($F659,rngEPcode,0)),""))</f>
        <v/>
      </c>
      <c r="J659" s="17">
        <f>IF($F659="","",IFERROR(INDEX(rngEPpass,MATCH($F659,rngEPcode,0)),cfgPassingScore))</f>
        <v/>
      </c>
      <c r="K659" s="16" t="n"/>
      <c r="L659" s="16" t="n"/>
      <c r="M659" s="17">
        <f>IF($C659="","",IF($L659="","",IF(NOT(ISNUMBER($L659)),$L659,IF(N($K659)&gt;2,"",IF($K659=1,IF(COUNTIFS(nrES_PID,$D659,nrES_Code,$F659,nrES_Att,2,nrES_Raw,"&gt;=0")&gt;0,"",$L659),IF($L659&gt;=$J659,MAX($J659,cfgRetakeRecordedCap),IF(COUNTIFS(nrES_PID,$D659,nrES_Code,$F659,nrES_Att,1)=0,$L659,SUMIFS(nrES_Raw,nrES_PID,$D659,nrES_Code,$F659,nrES_Att,1))))))))</f>
        <v/>
      </c>
      <c r="N659" s="17">
        <f>IF($C659="","",IF($L659="","",IF(NOT(ISNUMBER($L659)),"(not a score)",IF($L659&gt;=$J659,"Yes","No"))))</f>
        <v/>
      </c>
      <c r="O659" s="17">
        <f>IF($C659="","",IF($M659="","",IF(NOT(ISNUMBER($M659)),"(not a score)",IF($M659&gt;=$J659,"Yes","No"))))</f>
        <v/>
      </c>
      <c r="P659" s="17">
        <f>IF($C659="","",IF($K659="","",IF(N($K659)&gt;2,"No",IF(COUNTIFS(nrES_PID,$D659,nrES_Code,$F659,nrES_Att,"&gt;"&amp;$K659,nrES_Att,"&lt;=2",nrES_Raw,"&gt;=0")=0,"Yes","No"))))</f>
        <v/>
      </c>
      <c r="Q659" s="17">
        <f>IF($C659="","",IF($L659="","",IF(AND($K659=1,ISNUMBER($L659),$L659&lt;$J659,COUNTIFS(nrES_PID,$D659,nrES_Code,$F659,nrES_Att,2,nrES_Raw,"&gt;=0")=0),"Yes","No")))</f>
        <v/>
      </c>
      <c r="R659" s="17">
        <f>IF($C659="","",IF($L659="","",IF(AND(N($K659)&gt;=2,ISNUMBER($L659),$L659&lt;$J659),"Yes","No")))</f>
        <v/>
      </c>
      <c r="S659" s="18" t="n"/>
      <c r="T659" s="19">
        <f>IF(OR($C659="",$L659="",$K659&lt;&gt;1,NOT(ISNUMBER($L659)),$L659&gt;=$J659),"",IF($S659="","(enter date)",_xlfn.LET(_xlpm.dn,_xlfn.XLOOKUP($S659,nrCDdate,nrCDnum,"",1),IF(_xlpm.dn="","(after last class day)",_xlfn.LET(_xlpm.dd,_xlfn.XLOOKUP(_xlpm.dn+cfgRetestClassDays,nrCDnum,nrCDdate,""),_xlpm.ok,_xlfn.XLOOKUP(_xlpm.dn+cfgRetestClassDays,nrCDnum,nrCDinsession,"No"),IF(OR(_xlpm.dd="",_xlpm.ok&lt;&gt;"Yes"),"(after last class day)",_xlpm.dd))))))</f>
        <v/>
      </c>
      <c r="U659" s="17">
        <f>IF($C659="","",IF(AND($Y659="Excused",$L659="",N($K659)&lt;=1),"EXCUSED - 1st attempt pending",IF(OR($L659="",$K659&lt;&gt;1,NOT(ISNUMBER($L659)),$L659&gt;=$J659),"",IF(COUNTIFS(nrES_PID,$D659,nrES_Code,$F659,nrES_Att,2,nrES_Raw,"&gt;=0")&gt;0,IF(IFERROR(_xlfn.MINIFS(nrES_Date,nrES_PID,$D659,nrES_Code,$F659,nrES_Att,2,nrES_Raw,"&gt;=0",nrES_Date,"&gt;0"),0)=0,"RETEST UNDATED",IF(NOT(ISNUMBER($T659)),"RETEST DATE UNCHECKED",IF(_xlfn.MINIFS(nrES_Date,nrES_PID,$D659,nrES_Code,$F659,nrES_Att,2,nrES_Raw,"&gt;=0",nrES_Date,"&gt;0")&gt;$T659,"LATE RETEST "&amp;TEXT(_xlfn.MINIFS(nrES_Date,nrES_PID,$D659,nrES_Code,$F659,nrES_Att,2,nrES_Raw,"&gt;=0",nrES_Date,"&gt;0"),"mm/dd")&amp;" (due "&amp;TEXT($T659,"mm/dd")&amp;")","Retested"))),IF(NOT(ISNUMBER($T659)),"CHECK DATE",IF(TODAY()&gt;$T659,"OVERDUE","Due "&amp;TEXT($T659,"mm/dd")))))))</f>
        <v/>
      </c>
      <c r="V659" s="16" t="n"/>
      <c r="W659" s="16" t="n"/>
      <c r="X659" s="17">
        <f>IF($C659="","",IF(AND($L659&lt;&gt;"",NOT(ISNUMBER($L659))),"RAW SCORE NOT A NUMBER",IF(AND(ISNUMBER($L659),OR($L659&lt;0,$L659&gt;100)),"RAW SCORE OUT OF RANGE",IF(AND($Y659="Unexcused",OR($L659="",NOT(ISNUMBER($L659)),$L659&lt;&gt;0)),"UNEXCUSED ABSENCE MUST RECORD 0",IF(COUNTIF(nrES_RecID,$B659)&gt;1,"DUPLICATE RECORD",IF(N($K659)&gt;2,"ATTEMPT 3+ NOT ALLOWED - policy 300.5 permits one retest per exam; this row records nothing",IF(AND($K659=2,COUNTIFS(nrES_PID,$D659,nrES_Code,$F659,nrES_Att,1)=0),"ATTEMPT 2 WITHOUT ATTEMPT 1",IF(AND($K659=2,$L659=""),"RETEST ROW HAS NO SCORE",IF(AND($H659="Final",$L659&lt;&gt;"",IFERROR(INDEX(nrCKfinalExamElig,MATCH($D659,rngCadetPIDs,0)),"")="No"),"FINAL EXAM AFTER FAILED FINAL PT (500.1.H)",IF(AND($K659=2,ISNUMBER($L659),COUNTIFS(nrES_PID,$D659,nrES_Code,$F659,nrES_Att,1)&gt;0,SUMIFS(nrES_Raw,nrES_PID,$D659,nrES_Code,$F659,nrES_Att,1)&gt;=$J659),"RETEST AFTER A PASSING FIRST ATTEMPT","OK"))))))))))</f>
        <v/>
      </c>
      <c r="Y659" s="16" t="n"/>
    </row>
    <row r="660">
      <c r="B660" s="17">
        <f>IF($C660="","",$D660&amp;"-"&amp;$F660&amp;"-"&amp;$K660)</f>
        <v/>
      </c>
      <c r="C660" s="16" t="n"/>
      <c r="D660" s="17">
        <f>IF($C660="","",IFERROR(INDEX(rngCadetPIDs,MATCH($C660,rngCadetNames,0)),"?"))</f>
        <v/>
      </c>
      <c r="E660" s="17">
        <f>IF($D660="","",IFERROR(INDEX(nrCadetAgency,MATCH($D660,rngCadetPIDs,0)),""))</f>
        <v/>
      </c>
      <c r="F660" s="16" t="n"/>
      <c r="G660" s="17">
        <f>IF($F660="","",IFERROR(INDEX(rngEPname,MATCH($F660,rngEPcode,0)),"?"))</f>
        <v/>
      </c>
      <c r="H660" s="17">
        <f>IF($F660="","",IFERROR(INDEX(rngEPtype,MATCH($F660,rngEPcode,0)),"?"))</f>
        <v/>
      </c>
      <c r="I660" s="17">
        <f>IF($F660="","",IFERROR(INDEX(rngEPseq,MATCH($F660,rngEPcode,0)),""))</f>
        <v/>
      </c>
      <c r="J660" s="17">
        <f>IF($F660="","",IFERROR(INDEX(rngEPpass,MATCH($F660,rngEPcode,0)),cfgPassingScore))</f>
        <v/>
      </c>
      <c r="K660" s="16" t="n"/>
      <c r="L660" s="16" t="n"/>
      <c r="M660" s="17">
        <f>IF($C660="","",IF($L660="","",IF(NOT(ISNUMBER($L660)),$L660,IF(N($K660)&gt;2,"",IF($K660=1,IF(COUNTIFS(nrES_PID,$D660,nrES_Code,$F660,nrES_Att,2,nrES_Raw,"&gt;=0")&gt;0,"",$L660),IF($L660&gt;=$J660,MAX($J660,cfgRetakeRecordedCap),IF(COUNTIFS(nrES_PID,$D660,nrES_Code,$F660,nrES_Att,1)=0,$L660,SUMIFS(nrES_Raw,nrES_PID,$D660,nrES_Code,$F660,nrES_Att,1))))))))</f>
        <v/>
      </c>
      <c r="N660" s="17">
        <f>IF($C660="","",IF($L660="","",IF(NOT(ISNUMBER($L660)),"(not a score)",IF($L660&gt;=$J660,"Yes","No"))))</f>
        <v/>
      </c>
      <c r="O660" s="17">
        <f>IF($C660="","",IF($M660="","",IF(NOT(ISNUMBER($M660)),"(not a score)",IF($M660&gt;=$J660,"Yes","No"))))</f>
        <v/>
      </c>
      <c r="P660" s="17">
        <f>IF($C660="","",IF($K660="","",IF(N($K660)&gt;2,"No",IF(COUNTIFS(nrES_PID,$D660,nrES_Code,$F660,nrES_Att,"&gt;"&amp;$K660,nrES_Att,"&lt;=2",nrES_Raw,"&gt;=0")=0,"Yes","No"))))</f>
        <v/>
      </c>
      <c r="Q660" s="17">
        <f>IF($C660="","",IF($L660="","",IF(AND($K660=1,ISNUMBER($L660),$L660&lt;$J660,COUNTIFS(nrES_PID,$D660,nrES_Code,$F660,nrES_Att,2,nrES_Raw,"&gt;=0")=0),"Yes","No")))</f>
        <v/>
      </c>
      <c r="R660" s="17">
        <f>IF($C660="","",IF($L660="","",IF(AND(N($K660)&gt;=2,ISNUMBER($L660),$L660&lt;$J660),"Yes","No")))</f>
        <v/>
      </c>
      <c r="S660" s="18" t="n"/>
      <c r="T660" s="19">
        <f>IF(OR($C660="",$L660="",$K660&lt;&gt;1,NOT(ISNUMBER($L660)),$L660&gt;=$J660),"",IF($S660="","(enter date)",_xlfn.LET(_xlpm.dn,_xlfn.XLOOKUP($S660,nrCDdate,nrCDnum,"",1),IF(_xlpm.dn="","(after last class day)",_xlfn.LET(_xlpm.dd,_xlfn.XLOOKUP(_xlpm.dn+cfgRetestClassDays,nrCDnum,nrCDdate,""),_xlpm.ok,_xlfn.XLOOKUP(_xlpm.dn+cfgRetestClassDays,nrCDnum,nrCDinsession,"No"),IF(OR(_xlpm.dd="",_xlpm.ok&lt;&gt;"Yes"),"(after last class day)",_xlpm.dd))))))</f>
        <v/>
      </c>
      <c r="U660" s="17">
        <f>IF($C660="","",IF(AND($Y660="Excused",$L660="",N($K660)&lt;=1),"EXCUSED - 1st attempt pending",IF(OR($L660="",$K660&lt;&gt;1,NOT(ISNUMBER($L660)),$L660&gt;=$J660),"",IF(COUNTIFS(nrES_PID,$D660,nrES_Code,$F660,nrES_Att,2,nrES_Raw,"&gt;=0")&gt;0,IF(IFERROR(_xlfn.MINIFS(nrES_Date,nrES_PID,$D660,nrES_Code,$F660,nrES_Att,2,nrES_Raw,"&gt;=0",nrES_Date,"&gt;0"),0)=0,"RETEST UNDATED",IF(NOT(ISNUMBER($T660)),"RETEST DATE UNCHECKED",IF(_xlfn.MINIFS(nrES_Date,nrES_PID,$D660,nrES_Code,$F660,nrES_Att,2,nrES_Raw,"&gt;=0",nrES_Date,"&gt;0")&gt;$T660,"LATE RETEST "&amp;TEXT(_xlfn.MINIFS(nrES_Date,nrES_PID,$D660,nrES_Code,$F660,nrES_Att,2,nrES_Raw,"&gt;=0",nrES_Date,"&gt;0"),"mm/dd")&amp;" (due "&amp;TEXT($T660,"mm/dd")&amp;")","Retested"))),IF(NOT(ISNUMBER($T660)),"CHECK DATE",IF(TODAY()&gt;$T660,"OVERDUE","Due "&amp;TEXT($T660,"mm/dd")))))))</f>
        <v/>
      </c>
      <c r="V660" s="16" t="n"/>
      <c r="W660" s="16" t="n"/>
      <c r="X660" s="17">
        <f>IF($C660="","",IF(AND($L660&lt;&gt;"",NOT(ISNUMBER($L660))),"RAW SCORE NOT A NUMBER",IF(AND(ISNUMBER($L660),OR($L660&lt;0,$L660&gt;100)),"RAW SCORE OUT OF RANGE",IF(AND($Y660="Unexcused",OR($L660="",NOT(ISNUMBER($L660)),$L660&lt;&gt;0)),"UNEXCUSED ABSENCE MUST RECORD 0",IF(COUNTIF(nrES_RecID,$B660)&gt;1,"DUPLICATE RECORD",IF(N($K660)&gt;2,"ATTEMPT 3+ NOT ALLOWED - policy 300.5 permits one retest per exam; this row records nothing",IF(AND($K660=2,COUNTIFS(nrES_PID,$D660,nrES_Code,$F660,nrES_Att,1)=0),"ATTEMPT 2 WITHOUT ATTEMPT 1",IF(AND($K660=2,$L660=""),"RETEST ROW HAS NO SCORE",IF(AND($H660="Final",$L660&lt;&gt;"",IFERROR(INDEX(nrCKfinalExamElig,MATCH($D660,rngCadetPIDs,0)),"")="No"),"FINAL EXAM AFTER FAILED FINAL PT (500.1.H)",IF(AND($K660=2,ISNUMBER($L660),COUNTIFS(nrES_PID,$D660,nrES_Code,$F660,nrES_Att,1)&gt;0,SUMIFS(nrES_Raw,nrES_PID,$D660,nrES_Code,$F660,nrES_Att,1)&gt;=$J660),"RETEST AFTER A PASSING FIRST ATTEMPT","OK"))))))))))</f>
        <v/>
      </c>
      <c r="Y660" s="16" t="n"/>
    </row>
    <row r="661">
      <c r="B661" s="17">
        <f>IF($C661="","",$D661&amp;"-"&amp;$F661&amp;"-"&amp;$K661)</f>
        <v/>
      </c>
      <c r="C661" s="16" t="n"/>
      <c r="D661" s="17">
        <f>IF($C661="","",IFERROR(INDEX(rngCadetPIDs,MATCH($C661,rngCadetNames,0)),"?"))</f>
        <v/>
      </c>
      <c r="E661" s="17">
        <f>IF($D661="","",IFERROR(INDEX(nrCadetAgency,MATCH($D661,rngCadetPIDs,0)),""))</f>
        <v/>
      </c>
      <c r="F661" s="16" t="n"/>
      <c r="G661" s="17">
        <f>IF($F661="","",IFERROR(INDEX(rngEPname,MATCH($F661,rngEPcode,0)),"?"))</f>
        <v/>
      </c>
      <c r="H661" s="17">
        <f>IF($F661="","",IFERROR(INDEX(rngEPtype,MATCH($F661,rngEPcode,0)),"?"))</f>
        <v/>
      </c>
      <c r="I661" s="17">
        <f>IF($F661="","",IFERROR(INDEX(rngEPseq,MATCH($F661,rngEPcode,0)),""))</f>
        <v/>
      </c>
      <c r="J661" s="17">
        <f>IF($F661="","",IFERROR(INDEX(rngEPpass,MATCH($F661,rngEPcode,0)),cfgPassingScore))</f>
        <v/>
      </c>
      <c r="K661" s="16" t="n"/>
      <c r="L661" s="16" t="n"/>
      <c r="M661" s="17">
        <f>IF($C661="","",IF($L661="","",IF(NOT(ISNUMBER($L661)),$L661,IF(N($K661)&gt;2,"",IF($K661=1,IF(COUNTIFS(nrES_PID,$D661,nrES_Code,$F661,nrES_Att,2,nrES_Raw,"&gt;=0")&gt;0,"",$L661),IF($L661&gt;=$J661,MAX($J661,cfgRetakeRecordedCap),IF(COUNTIFS(nrES_PID,$D661,nrES_Code,$F661,nrES_Att,1)=0,$L661,SUMIFS(nrES_Raw,nrES_PID,$D661,nrES_Code,$F661,nrES_Att,1))))))))</f>
        <v/>
      </c>
      <c r="N661" s="17">
        <f>IF($C661="","",IF($L661="","",IF(NOT(ISNUMBER($L661)),"(not a score)",IF($L661&gt;=$J661,"Yes","No"))))</f>
        <v/>
      </c>
      <c r="O661" s="17">
        <f>IF($C661="","",IF($M661="","",IF(NOT(ISNUMBER($M661)),"(not a score)",IF($M661&gt;=$J661,"Yes","No"))))</f>
        <v/>
      </c>
      <c r="P661" s="17">
        <f>IF($C661="","",IF($K661="","",IF(N($K661)&gt;2,"No",IF(COUNTIFS(nrES_PID,$D661,nrES_Code,$F661,nrES_Att,"&gt;"&amp;$K661,nrES_Att,"&lt;=2",nrES_Raw,"&gt;=0")=0,"Yes","No"))))</f>
        <v/>
      </c>
      <c r="Q661" s="17">
        <f>IF($C661="","",IF($L661="","",IF(AND($K661=1,ISNUMBER($L661),$L661&lt;$J661,COUNTIFS(nrES_PID,$D661,nrES_Code,$F661,nrES_Att,2,nrES_Raw,"&gt;=0")=0),"Yes","No")))</f>
        <v/>
      </c>
      <c r="R661" s="17">
        <f>IF($C661="","",IF($L661="","",IF(AND(N($K661)&gt;=2,ISNUMBER($L661),$L661&lt;$J661),"Yes","No")))</f>
        <v/>
      </c>
      <c r="S661" s="18" t="n"/>
      <c r="T661" s="19">
        <f>IF(OR($C661="",$L661="",$K661&lt;&gt;1,NOT(ISNUMBER($L661)),$L661&gt;=$J661),"",IF($S661="","(enter date)",_xlfn.LET(_xlpm.dn,_xlfn.XLOOKUP($S661,nrCDdate,nrCDnum,"",1),IF(_xlpm.dn="","(after last class day)",_xlfn.LET(_xlpm.dd,_xlfn.XLOOKUP(_xlpm.dn+cfgRetestClassDays,nrCDnum,nrCDdate,""),_xlpm.ok,_xlfn.XLOOKUP(_xlpm.dn+cfgRetestClassDays,nrCDnum,nrCDinsession,"No"),IF(OR(_xlpm.dd="",_xlpm.ok&lt;&gt;"Yes"),"(after last class day)",_xlpm.dd))))))</f>
        <v/>
      </c>
      <c r="U661" s="17">
        <f>IF($C661="","",IF(AND($Y661="Excused",$L661="",N($K661)&lt;=1),"EXCUSED - 1st attempt pending",IF(OR($L661="",$K661&lt;&gt;1,NOT(ISNUMBER($L661)),$L661&gt;=$J661),"",IF(COUNTIFS(nrES_PID,$D661,nrES_Code,$F661,nrES_Att,2,nrES_Raw,"&gt;=0")&gt;0,IF(IFERROR(_xlfn.MINIFS(nrES_Date,nrES_PID,$D661,nrES_Code,$F661,nrES_Att,2,nrES_Raw,"&gt;=0",nrES_Date,"&gt;0"),0)=0,"RETEST UNDATED",IF(NOT(ISNUMBER($T661)),"RETEST DATE UNCHECKED",IF(_xlfn.MINIFS(nrES_Date,nrES_PID,$D661,nrES_Code,$F661,nrES_Att,2,nrES_Raw,"&gt;=0",nrES_Date,"&gt;0")&gt;$T661,"LATE RETEST "&amp;TEXT(_xlfn.MINIFS(nrES_Date,nrES_PID,$D661,nrES_Code,$F661,nrES_Att,2,nrES_Raw,"&gt;=0",nrES_Date,"&gt;0"),"mm/dd")&amp;" (due "&amp;TEXT($T661,"mm/dd")&amp;")","Retested"))),IF(NOT(ISNUMBER($T661)),"CHECK DATE",IF(TODAY()&gt;$T661,"OVERDUE","Due "&amp;TEXT($T661,"mm/dd")))))))</f>
        <v/>
      </c>
      <c r="V661" s="16" t="n"/>
      <c r="W661" s="16" t="n"/>
      <c r="X661" s="17">
        <f>IF($C661="","",IF(AND($L661&lt;&gt;"",NOT(ISNUMBER($L661))),"RAW SCORE NOT A NUMBER",IF(AND(ISNUMBER($L661),OR($L661&lt;0,$L661&gt;100)),"RAW SCORE OUT OF RANGE",IF(AND($Y661="Unexcused",OR($L661="",NOT(ISNUMBER($L661)),$L661&lt;&gt;0)),"UNEXCUSED ABSENCE MUST RECORD 0",IF(COUNTIF(nrES_RecID,$B661)&gt;1,"DUPLICATE RECORD",IF(N($K661)&gt;2,"ATTEMPT 3+ NOT ALLOWED - policy 300.5 permits one retest per exam; this row records nothing",IF(AND($K661=2,COUNTIFS(nrES_PID,$D661,nrES_Code,$F661,nrES_Att,1)=0),"ATTEMPT 2 WITHOUT ATTEMPT 1",IF(AND($K661=2,$L661=""),"RETEST ROW HAS NO SCORE",IF(AND($H661="Final",$L661&lt;&gt;"",IFERROR(INDEX(nrCKfinalExamElig,MATCH($D661,rngCadetPIDs,0)),"")="No"),"FINAL EXAM AFTER FAILED FINAL PT (500.1.H)",IF(AND($K661=2,ISNUMBER($L661),COUNTIFS(nrES_PID,$D661,nrES_Code,$F661,nrES_Att,1)&gt;0,SUMIFS(nrES_Raw,nrES_PID,$D661,nrES_Code,$F661,nrES_Att,1)&gt;=$J661),"RETEST AFTER A PASSING FIRST ATTEMPT","OK"))))))))))</f>
        <v/>
      </c>
      <c r="Y661" s="16" t="n"/>
    </row>
    <row r="662">
      <c r="B662" s="17">
        <f>IF($C662="","",$D662&amp;"-"&amp;$F662&amp;"-"&amp;$K662)</f>
        <v/>
      </c>
      <c r="C662" s="16" t="n"/>
      <c r="D662" s="17">
        <f>IF($C662="","",IFERROR(INDEX(rngCadetPIDs,MATCH($C662,rngCadetNames,0)),"?"))</f>
        <v/>
      </c>
      <c r="E662" s="17">
        <f>IF($D662="","",IFERROR(INDEX(nrCadetAgency,MATCH($D662,rngCadetPIDs,0)),""))</f>
        <v/>
      </c>
      <c r="F662" s="16" t="n"/>
      <c r="G662" s="17">
        <f>IF($F662="","",IFERROR(INDEX(rngEPname,MATCH($F662,rngEPcode,0)),"?"))</f>
        <v/>
      </c>
      <c r="H662" s="17">
        <f>IF($F662="","",IFERROR(INDEX(rngEPtype,MATCH($F662,rngEPcode,0)),"?"))</f>
        <v/>
      </c>
      <c r="I662" s="17">
        <f>IF($F662="","",IFERROR(INDEX(rngEPseq,MATCH($F662,rngEPcode,0)),""))</f>
        <v/>
      </c>
      <c r="J662" s="17">
        <f>IF($F662="","",IFERROR(INDEX(rngEPpass,MATCH($F662,rngEPcode,0)),cfgPassingScore))</f>
        <v/>
      </c>
      <c r="K662" s="16" t="n"/>
      <c r="L662" s="16" t="n"/>
      <c r="M662" s="17">
        <f>IF($C662="","",IF($L662="","",IF(NOT(ISNUMBER($L662)),$L662,IF(N($K662)&gt;2,"",IF($K662=1,IF(COUNTIFS(nrES_PID,$D662,nrES_Code,$F662,nrES_Att,2,nrES_Raw,"&gt;=0")&gt;0,"",$L662),IF($L662&gt;=$J662,MAX($J662,cfgRetakeRecordedCap),IF(COUNTIFS(nrES_PID,$D662,nrES_Code,$F662,nrES_Att,1)=0,$L662,SUMIFS(nrES_Raw,nrES_PID,$D662,nrES_Code,$F662,nrES_Att,1))))))))</f>
        <v/>
      </c>
      <c r="N662" s="17">
        <f>IF($C662="","",IF($L662="","",IF(NOT(ISNUMBER($L662)),"(not a score)",IF($L662&gt;=$J662,"Yes","No"))))</f>
        <v/>
      </c>
      <c r="O662" s="17">
        <f>IF($C662="","",IF($M662="","",IF(NOT(ISNUMBER($M662)),"(not a score)",IF($M662&gt;=$J662,"Yes","No"))))</f>
        <v/>
      </c>
      <c r="P662" s="17">
        <f>IF($C662="","",IF($K662="","",IF(N($K662)&gt;2,"No",IF(COUNTIFS(nrES_PID,$D662,nrES_Code,$F662,nrES_Att,"&gt;"&amp;$K662,nrES_Att,"&lt;=2",nrES_Raw,"&gt;=0")=0,"Yes","No"))))</f>
        <v/>
      </c>
      <c r="Q662" s="17">
        <f>IF($C662="","",IF($L662="","",IF(AND($K662=1,ISNUMBER($L662),$L662&lt;$J662,COUNTIFS(nrES_PID,$D662,nrES_Code,$F662,nrES_Att,2,nrES_Raw,"&gt;=0")=0),"Yes","No")))</f>
        <v/>
      </c>
      <c r="R662" s="17">
        <f>IF($C662="","",IF($L662="","",IF(AND(N($K662)&gt;=2,ISNUMBER($L662),$L662&lt;$J662),"Yes","No")))</f>
        <v/>
      </c>
      <c r="S662" s="18" t="n"/>
      <c r="T662" s="19">
        <f>IF(OR($C662="",$L662="",$K662&lt;&gt;1,NOT(ISNUMBER($L662)),$L662&gt;=$J662),"",IF($S662="","(enter date)",_xlfn.LET(_xlpm.dn,_xlfn.XLOOKUP($S662,nrCDdate,nrCDnum,"",1),IF(_xlpm.dn="","(after last class day)",_xlfn.LET(_xlpm.dd,_xlfn.XLOOKUP(_xlpm.dn+cfgRetestClassDays,nrCDnum,nrCDdate,""),_xlpm.ok,_xlfn.XLOOKUP(_xlpm.dn+cfgRetestClassDays,nrCDnum,nrCDinsession,"No"),IF(OR(_xlpm.dd="",_xlpm.ok&lt;&gt;"Yes"),"(after last class day)",_xlpm.dd))))))</f>
        <v/>
      </c>
      <c r="U662" s="17">
        <f>IF($C662="","",IF(AND($Y662="Excused",$L662="",N($K662)&lt;=1),"EXCUSED - 1st attempt pending",IF(OR($L662="",$K662&lt;&gt;1,NOT(ISNUMBER($L662)),$L662&gt;=$J662),"",IF(COUNTIFS(nrES_PID,$D662,nrES_Code,$F662,nrES_Att,2,nrES_Raw,"&gt;=0")&gt;0,IF(IFERROR(_xlfn.MINIFS(nrES_Date,nrES_PID,$D662,nrES_Code,$F662,nrES_Att,2,nrES_Raw,"&gt;=0",nrES_Date,"&gt;0"),0)=0,"RETEST UNDATED",IF(NOT(ISNUMBER($T662)),"RETEST DATE UNCHECKED",IF(_xlfn.MINIFS(nrES_Date,nrES_PID,$D662,nrES_Code,$F662,nrES_Att,2,nrES_Raw,"&gt;=0",nrES_Date,"&gt;0")&gt;$T662,"LATE RETEST "&amp;TEXT(_xlfn.MINIFS(nrES_Date,nrES_PID,$D662,nrES_Code,$F662,nrES_Att,2,nrES_Raw,"&gt;=0",nrES_Date,"&gt;0"),"mm/dd")&amp;" (due "&amp;TEXT($T662,"mm/dd")&amp;")","Retested"))),IF(NOT(ISNUMBER($T662)),"CHECK DATE",IF(TODAY()&gt;$T662,"OVERDUE","Due "&amp;TEXT($T662,"mm/dd")))))))</f>
        <v/>
      </c>
      <c r="V662" s="16" t="n"/>
      <c r="W662" s="16" t="n"/>
      <c r="X662" s="17">
        <f>IF($C662="","",IF(AND($L662&lt;&gt;"",NOT(ISNUMBER($L662))),"RAW SCORE NOT A NUMBER",IF(AND(ISNUMBER($L662),OR($L662&lt;0,$L662&gt;100)),"RAW SCORE OUT OF RANGE",IF(AND($Y662="Unexcused",OR($L662="",NOT(ISNUMBER($L662)),$L662&lt;&gt;0)),"UNEXCUSED ABSENCE MUST RECORD 0",IF(COUNTIF(nrES_RecID,$B662)&gt;1,"DUPLICATE RECORD",IF(N($K662)&gt;2,"ATTEMPT 3+ NOT ALLOWED - policy 300.5 permits one retest per exam; this row records nothing",IF(AND($K662=2,COUNTIFS(nrES_PID,$D662,nrES_Code,$F662,nrES_Att,1)=0),"ATTEMPT 2 WITHOUT ATTEMPT 1",IF(AND($K662=2,$L662=""),"RETEST ROW HAS NO SCORE",IF(AND($H662="Final",$L662&lt;&gt;"",IFERROR(INDEX(nrCKfinalExamElig,MATCH($D662,rngCadetPIDs,0)),"")="No"),"FINAL EXAM AFTER FAILED FINAL PT (500.1.H)",IF(AND($K662=2,ISNUMBER($L662),COUNTIFS(nrES_PID,$D662,nrES_Code,$F662,nrES_Att,1)&gt;0,SUMIFS(nrES_Raw,nrES_PID,$D662,nrES_Code,$F662,nrES_Att,1)&gt;=$J662),"RETEST AFTER A PASSING FIRST ATTEMPT","OK"))))))))))</f>
        <v/>
      </c>
      <c r="Y662" s="16" t="n"/>
    </row>
    <row r="663">
      <c r="B663" s="17">
        <f>IF($C663="","",$D663&amp;"-"&amp;$F663&amp;"-"&amp;$K663)</f>
        <v/>
      </c>
      <c r="C663" s="16" t="n"/>
      <c r="D663" s="17">
        <f>IF($C663="","",IFERROR(INDEX(rngCadetPIDs,MATCH($C663,rngCadetNames,0)),"?"))</f>
        <v/>
      </c>
      <c r="E663" s="17">
        <f>IF($D663="","",IFERROR(INDEX(nrCadetAgency,MATCH($D663,rngCadetPIDs,0)),""))</f>
        <v/>
      </c>
      <c r="F663" s="16" t="n"/>
      <c r="G663" s="17">
        <f>IF($F663="","",IFERROR(INDEX(rngEPname,MATCH($F663,rngEPcode,0)),"?"))</f>
        <v/>
      </c>
      <c r="H663" s="17">
        <f>IF($F663="","",IFERROR(INDEX(rngEPtype,MATCH($F663,rngEPcode,0)),"?"))</f>
        <v/>
      </c>
      <c r="I663" s="17">
        <f>IF($F663="","",IFERROR(INDEX(rngEPseq,MATCH($F663,rngEPcode,0)),""))</f>
        <v/>
      </c>
      <c r="J663" s="17">
        <f>IF($F663="","",IFERROR(INDEX(rngEPpass,MATCH($F663,rngEPcode,0)),cfgPassingScore))</f>
        <v/>
      </c>
      <c r="K663" s="16" t="n"/>
      <c r="L663" s="16" t="n"/>
      <c r="M663" s="17">
        <f>IF($C663="","",IF($L663="","",IF(NOT(ISNUMBER($L663)),$L663,IF(N($K663)&gt;2,"",IF($K663=1,IF(COUNTIFS(nrES_PID,$D663,nrES_Code,$F663,nrES_Att,2,nrES_Raw,"&gt;=0")&gt;0,"",$L663),IF($L663&gt;=$J663,MAX($J663,cfgRetakeRecordedCap),IF(COUNTIFS(nrES_PID,$D663,nrES_Code,$F663,nrES_Att,1)=0,$L663,SUMIFS(nrES_Raw,nrES_PID,$D663,nrES_Code,$F663,nrES_Att,1))))))))</f>
        <v/>
      </c>
      <c r="N663" s="17">
        <f>IF($C663="","",IF($L663="","",IF(NOT(ISNUMBER($L663)),"(not a score)",IF($L663&gt;=$J663,"Yes","No"))))</f>
        <v/>
      </c>
      <c r="O663" s="17">
        <f>IF($C663="","",IF($M663="","",IF(NOT(ISNUMBER($M663)),"(not a score)",IF($M663&gt;=$J663,"Yes","No"))))</f>
        <v/>
      </c>
      <c r="P663" s="17">
        <f>IF($C663="","",IF($K663="","",IF(N($K663)&gt;2,"No",IF(COUNTIFS(nrES_PID,$D663,nrES_Code,$F663,nrES_Att,"&gt;"&amp;$K663,nrES_Att,"&lt;=2",nrES_Raw,"&gt;=0")=0,"Yes","No"))))</f>
        <v/>
      </c>
      <c r="Q663" s="17">
        <f>IF($C663="","",IF($L663="","",IF(AND($K663=1,ISNUMBER($L663),$L663&lt;$J663,COUNTIFS(nrES_PID,$D663,nrES_Code,$F663,nrES_Att,2,nrES_Raw,"&gt;=0")=0),"Yes","No")))</f>
        <v/>
      </c>
      <c r="R663" s="17">
        <f>IF($C663="","",IF($L663="","",IF(AND(N($K663)&gt;=2,ISNUMBER($L663),$L663&lt;$J663),"Yes","No")))</f>
        <v/>
      </c>
      <c r="S663" s="18" t="n"/>
      <c r="T663" s="19">
        <f>IF(OR($C663="",$L663="",$K663&lt;&gt;1,NOT(ISNUMBER($L663)),$L663&gt;=$J663),"",IF($S663="","(enter date)",_xlfn.LET(_xlpm.dn,_xlfn.XLOOKUP($S663,nrCDdate,nrCDnum,"",1),IF(_xlpm.dn="","(after last class day)",_xlfn.LET(_xlpm.dd,_xlfn.XLOOKUP(_xlpm.dn+cfgRetestClassDays,nrCDnum,nrCDdate,""),_xlpm.ok,_xlfn.XLOOKUP(_xlpm.dn+cfgRetestClassDays,nrCDnum,nrCDinsession,"No"),IF(OR(_xlpm.dd="",_xlpm.ok&lt;&gt;"Yes"),"(after last class day)",_xlpm.dd))))))</f>
        <v/>
      </c>
      <c r="U663" s="17">
        <f>IF($C663="","",IF(AND($Y663="Excused",$L663="",N($K663)&lt;=1),"EXCUSED - 1st attempt pending",IF(OR($L663="",$K663&lt;&gt;1,NOT(ISNUMBER($L663)),$L663&gt;=$J663),"",IF(COUNTIFS(nrES_PID,$D663,nrES_Code,$F663,nrES_Att,2,nrES_Raw,"&gt;=0")&gt;0,IF(IFERROR(_xlfn.MINIFS(nrES_Date,nrES_PID,$D663,nrES_Code,$F663,nrES_Att,2,nrES_Raw,"&gt;=0",nrES_Date,"&gt;0"),0)=0,"RETEST UNDATED",IF(NOT(ISNUMBER($T663)),"RETEST DATE UNCHECKED",IF(_xlfn.MINIFS(nrES_Date,nrES_PID,$D663,nrES_Code,$F663,nrES_Att,2,nrES_Raw,"&gt;=0",nrES_Date,"&gt;0")&gt;$T663,"LATE RETEST "&amp;TEXT(_xlfn.MINIFS(nrES_Date,nrES_PID,$D663,nrES_Code,$F663,nrES_Att,2,nrES_Raw,"&gt;=0",nrES_Date,"&gt;0"),"mm/dd")&amp;" (due "&amp;TEXT($T663,"mm/dd")&amp;")","Retested"))),IF(NOT(ISNUMBER($T663)),"CHECK DATE",IF(TODAY()&gt;$T663,"OVERDUE","Due "&amp;TEXT($T663,"mm/dd")))))))</f>
        <v/>
      </c>
      <c r="V663" s="16" t="n"/>
      <c r="W663" s="16" t="n"/>
      <c r="X663" s="17">
        <f>IF($C663="","",IF(AND($L663&lt;&gt;"",NOT(ISNUMBER($L663))),"RAW SCORE NOT A NUMBER",IF(AND(ISNUMBER($L663),OR($L663&lt;0,$L663&gt;100)),"RAW SCORE OUT OF RANGE",IF(AND($Y663="Unexcused",OR($L663="",NOT(ISNUMBER($L663)),$L663&lt;&gt;0)),"UNEXCUSED ABSENCE MUST RECORD 0",IF(COUNTIF(nrES_RecID,$B663)&gt;1,"DUPLICATE RECORD",IF(N($K663)&gt;2,"ATTEMPT 3+ NOT ALLOWED - policy 300.5 permits one retest per exam; this row records nothing",IF(AND($K663=2,COUNTIFS(nrES_PID,$D663,nrES_Code,$F663,nrES_Att,1)=0),"ATTEMPT 2 WITHOUT ATTEMPT 1",IF(AND($K663=2,$L663=""),"RETEST ROW HAS NO SCORE",IF(AND($H663="Final",$L663&lt;&gt;"",IFERROR(INDEX(nrCKfinalExamElig,MATCH($D663,rngCadetPIDs,0)),"")="No"),"FINAL EXAM AFTER FAILED FINAL PT (500.1.H)",IF(AND($K663=2,ISNUMBER($L663),COUNTIFS(nrES_PID,$D663,nrES_Code,$F663,nrES_Att,1)&gt;0,SUMIFS(nrES_Raw,nrES_PID,$D663,nrES_Code,$F663,nrES_Att,1)&gt;=$J663),"RETEST AFTER A PASSING FIRST ATTEMPT","OK"))))))))))</f>
        <v/>
      </c>
      <c r="Y663" s="16" t="n"/>
    </row>
    <row r="664">
      <c r="B664" s="17">
        <f>IF($C664="","",$D664&amp;"-"&amp;$F664&amp;"-"&amp;$K664)</f>
        <v/>
      </c>
      <c r="C664" s="16" t="n"/>
      <c r="D664" s="17">
        <f>IF($C664="","",IFERROR(INDEX(rngCadetPIDs,MATCH($C664,rngCadetNames,0)),"?"))</f>
        <v/>
      </c>
      <c r="E664" s="17">
        <f>IF($D664="","",IFERROR(INDEX(nrCadetAgency,MATCH($D664,rngCadetPIDs,0)),""))</f>
        <v/>
      </c>
      <c r="F664" s="16" t="n"/>
      <c r="G664" s="17">
        <f>IF($F664="","",IFERROR(INDEX(rngEPname,MATCH($F664,rngEPcode,0)),"?"))</f>
        <v/>
      </c>
      <c r="H664" s="17">
        <f>IF($F664="","",IFERROR(INDEX(rngEPtype,MATCH($F664,rngEPcode,0)),"?"))</f>
        <v/>
      </c>
      <c r="I664" s="17">
        <f>IF($F664="","",IFERROR(INDEX(rngEPseq,MATCH($F664,rngEPcode,0)),""))</f>
        <v/>
      </c>
      <c r="J664" s="17">
        <f>IF($F664="","",IFERROR(INDEX(rngEPpass,MATCH($F664,rngEPcode,0)),cfgPassingScore))</f>
        <v/>
      </c>
      <c r="K664" s="16" t="n"/>
      <c r="L664" s="16" t="n"/>
      <c r="M664" s="17">
        <f>IF($C664="","",IF($L664="","",IF(NOT(ISNUMBER($L664)),$L664,IF(N($K664)&gt;2,"",IF($K664=1,IF(COUNTIFS(nrES_PID,$D664,nrES_Code,$F664,nrES_Att,2,nrES_Raw,"&gt;=0")&gt;0,"",$L664),IF($L664&gt;=$J664,MAX($J664,cfgRetakeRecordedCap),IF(COUNTIFS(nrES_PID,$D664,nrES_Code,$F664,nrES_Att,1)=0,$L664,SUMIFS(nrES_Raw,nrES_PID,$D664,nrES_Code,$F664,nrES_Att,1))))))))</f>
        <v/>
      </c>
      <c r="N664" s="17">
        <f>IF($C664="","",IF($L664="","",IF(NOT(ISNUMBER($L664)),"(not a score)",IF($L664&gt;=$J664,"Yes","No"))))</f>
        <v/>
      </c>
      <c r="O664" s="17">
        <f>IF($C664="","",IF($M664="","",IF(NOT(ISNUMBER($M664)),"(not a score)",IF($M664&gt;=$J664,"Yes","No"))))</f>
        <v/>
      </c>
      <c r="P664" s="17">
        <f>IF($C664="","",IF($K664="","",IF(N($K664)&gt;2,"No",IF(COUNTIFS(nrES_PID,$D664,nrES_Code,$F664,nrES_Att,"&gt;"&amp;$K664,nrES_Att,"&lt;=2",nrES_Raw,"&gt;=0")=0,"Yes","No"))))</f>
        <v/>
      </c>
      <c r="Q664" s="17">
        <f>IF($C664="","",IF($L664="","",IF(AND($K664=1,ISNUMBER($L664),$L664&lt;$J664,COUNTIFS(nrES_PID,$D664,nrES_Code,$F664,nrES_Att,2,nrES_Raw,"&gt;=0")=0),"Yes","No")))</f>
        <v/>
      </c>
      <c r="R664" s="17">
        <f>IF($C664="","",IF($L664="","",IF(AND(N($K664)&gt;=2,ISNUMBER($L664),$L664&lt;$J664),"Yes","No")))</f>
        <v/>
      </c>
      <c r="S664" s="18" t="n"/>
      <c r="T664" s="19">
        <f>IF(OR($C664="",$L664="",$K664&lt;&gt;1,NOT(ISNUMBER($L664)),$L664&gt;=$J664),"",IF($S664="","(enter date)",_xlfn.LET(_xlpm.dn,_xlfn.XLOOKUP($S664,nrCDdate,nrCDnum,"",1),IF(_xlpm.dn="","(after last class day)",_xlfn.LET(_xlpm.dd,_xlfn.XLOOKUP(_xlpm.dn+cfgRetestClassDays,nrCDnum,nrCDdate,""),_xlpm.ok,_xlfn.XLOOKUP(_xlpm.dn+cfgRetestClassDays,nrCDnum,nrCDinsession,"No"),IF(OR(_xlpm.dd="",_xlpm.ok&lt;&gt;"Yes"),"(after last class day)",_xlpm.dd))))))</f>
        <v/>
      </c>
      <c r="U664" s="17">
        <f>IF($C664="","",IF(AND($Y664="Excused",$L664="",N($K664)&lt;=1),"EXCUSED - 1st attempt pending",IF(OR($L664="",$K664&lt;&gt;1,NOT(ISNUMBER($L664)),$L664&gt;=$J664),"",IF(COUNTIFS(nrES_PID,$D664,nrES_Code,$F664,nrES_Att,2,nrES_Raw,"&gt;=0")&gt;0,IF(IFERROR(_xlfn.MINIFS(nrES_Date,nrES_PID,$D664,nrES_Code,$F664,nrES_Att,2,nrES_Raw,"&gt;=0",nrES_Date,"&gt;0"),0)=0,"RETEST UNDATED",IF(NOT(ISNUMBER($T664)),"RETEST DATE UNCHECKED",IF(_xlfn.MINIFS(nrES_Date,nrES_PID,$D664,nrES_Code,$F664,nrES_Att,2,nrES_Raw,"&gt;=0",nrES_Date,"&gt;0")&gt;$T664,"LATE RETEST "&amp;TEXT(_xlfn.MINIFS(nrES_Date,nrES_PID,$D664,nrES_Code,$F664,nrES_Att,2,nrES_Raw,"&gt;=0",nrES_Date,"&gt;0"),"mm/dd")&amp;" (due "&amp;TEXT($T664,"mm/dd")&amp;")","Retested"))),IF(NOT(ISNUMBER($T664)),"CHECK DATE",IF(TODAY()&gt;$T664,"OVERDUE","Due "&amp;TEXT($T664,"mm/dd")))))))</f>
        <v/>
      </c>
      <c r="V664" s="16" t="n"/>
      <c r="W664" s="16" t="n"/>
      <c r="X664" s="17">
        <f>IF($C664="","",IF(AND($L664&lt;&gt;"",NOT(ISNUMBER($L664))),"RAW SCORE NOT A NUMBER",IF(AND(ISNUMBER($L664),OR($L664&lt;0,$L664&gt;100)),"RAW SCORE OUT OF RANGE",IF(AND($Y664="Unexcused",OR($L664="",NOT(ISNUMBER($L664)),$L664&lt;&gt;0)),"UNEXCUSED ABSENCE MUST RECORD 0",IF(COUNTIF(nrES_RecID,$B664)&gt;1,"DUPLICATE RECORD",IF(N($K664)&gt;2,"ATTEMPT 3+ NOT ALLOWED - policy 300.5 permits one retest per exam; this row records nothing",IF(AND($K664=2,COUNTIFS(nrES_PID,$D664,nrES_Code,$F664,nrES_Att,1)=0),"ATTEMPT 2 WITHOUT ATTEMPT 1",IF(AND($K664=2,$L664=""),"RETEST ROW HAS NO SCORE",IF(AND($H664="Final",$L664&lt;&gt;"",IFERROR(INDEX(nrCKfinalExamElig,MATCH($D664,rngCadetPIDs,0)),"")="No"),"FINAL EXAM AFTER FAILED FINAL PT (500.1.H)",IF(AND($K664=2,ISNUMBER($L664),COUNTIFS(nrES_PID,$D664,nrES_Code,$F664,nrES_Att,1)&gt;0,SUMIFS(nrES_Raw,nrES_PID,$D664,nrES_Code,$F664,nrES_Att,1)&gt;=$J664),"RETEST AFTER A PASSING FIRST ATTEMPT","OK"))))))))))</f>
        <v/>
      </c>
      <c r="Y664" s="16" t="n"/>
    </row>
    <row r="665">
      <c r="B665" s="17">
        <f>IF($C665="","",$D665&amp;"-"&amp;$F665&amp;"-"&amp;$K665)</f>
        <v/>
      </c>
      <c r="C665" s="16" t="n"/>
      <c r="D665" s="17">
        <f>IF($C665="","",IFERROR(INDEX(rngCadetPIDs,MATCH($C665,rngCadetNames,0)),"?"))</f>
        <v/>
      </c>
      <c r="E665" s="17">
        <f>IF($D665="","",IFERROR(INDEX(nrCadetAgency,MATCH($D665,rngCadetPIDs,0)),""))</f>
        <v/>
      </c>
      <c r="F665" s="16" t="n"/>
      <c r="G665" s="17">
        <f>IF($F665="","",IFERROR(INDEX(rngEPname,MATCH($F665,rngEPcode,0)),"?"))</f>
        <v/>
      </c>
      <c r="H665" s="17">
        <f>IF($F665="","",IFERROR(INDEX(rngEPtype,MATCH($F665,rngEPcode,0)),"?"))</f>
        <v/>
      </c>
      <c r="I665" s="17">
        <f>IF($F665="","",IFERROR(INDEX(rngEPseq,MATCH($F665,rngEPcode,0)),""))</f>
        <v/>
      </c>
      <c r="J665" s="17">
        <f>IF($F665="","",IFERROR(INDEX(rngEPpass,MATCH($F665,rngEPcode,0)),cfgPassingScore))</f>
        <v/>
      </c>
      <c r="K665" s="16" t="n"/>
      <c r="L665" s="16" t="n"/>
      <c r="M665" s="17">
        <f>IF($C665="","",IF($L665="","",IF(NOT(ISNUMBER($L665)),$L665,IF(N($K665)&gt;2,"",IF($K665=1,IF(COUNTIFS(nrES_PID,$D665,nrES_Code,$F665,nrES_Att,2,nrES_Raw,"&gt;=0")&gt;0,"",$L665),IF($L665&gt;=$J665,MAX($J665,cfgRetakeRecordedCap),IF(COUNTIFS(nrES_PID,$D665,nrES_Code,$F665,nrES_Att,1)=0,$L665,SUMIFS(nrES_Raw,nrES_PID,$D665,nrES_Code,$F665,nrES_Att,1))))))))</f>
        <v/>
      </c>
      <c r="N665" s="17">
        <f>IF($C665="","",IF($L665="","",IF(NOT(ISNUMBER($L665)),"(not a score)",IF($L665&gt;=$J665,"Yes","No"))))</f>
        <v/>
      </c>
      <c r="O665" s="17">
        <f>IF($C665="","",IF($M665="","",IF(NOT(ISNUMBER($M665)),"(not a score)",IF($M665&gt;=$J665,"Yes","No"))))</f>
        <v/>
      </c>
      <c r="P665" s="17">
        <f>IF($C665="","",IF($K665="","",IF(N($K665)&gt;2,"No",IF(COUNTIFS(nrES_PID,$D665,nrES_Code,$F665,nrES_Att,"&gt;"&amp;$K665,nrES_Att,"&lt;=2",nrES_Raw,"&gt;=0")=0,"Yes","No"))))</f>
        <v/>
      </c>
      <c r="Q665" s="17">
        <f>IF($C665="","",IF($L665="","",IF(AND($K665=1,ISNUMBER($L665),$L665&lt;$J665,COUNTIFS(nrES_PID,$D665,nrES_Code,$F665,nrES_Att,2,nrES_Raw,"&gt;=0")=0),"Yes","No")))</f>
        <v/>
      </c>
      <c r="R665" s="17">
        <f>IF($C665="","",IF($L665="","",IF(AND(N($K665)&gt;=2,ISNUMBER($L665),$L665&lt;$J665),"Yes","No")))</f>
        <v/>
      </c>
      <c r="S665" s="18" t="n"/>
      <c r="T665" s="19">
        <f>IF(OR($C665="",$L665="",$K665&lt;&gt;1,NOT(ISNUMBER($L665)),$L665&gt;=$J665),"",IF($S665="","(enter date)",_xlfn.LET(_xlpm.dn,_xlfn.XLOOKUP($S665,nrCDdate,nrCDnum,"",1),IF(_xlpm.dn="","(after last class day)",_xlfn.LET(_xlpm.dd,_xlfn.XLOOKUP(_xlpm.dn+cfgRetestClassDays,nrCDnum,nrCDdate,""),_xlpm.ok,_xlfn.XLOOKUP(_xlpm.dn+cfgRetestClassDays,nrCDnum,nrCDinsession,"No"),IF(OR(_xlpm.dd="",_xlpm.ok&lt;&gt;"Yes"),"(after last class day)",_xlpm.dd))))))</f>
        <v/>
      </c>
      <c r="U665" s="17">
        <f>IF($C665="","",IF(AND($Y665="Excused",$L665="",N($K665)&lt;=1),"EXCUSED - 1st attempt pending",IF(OR($L665="",$K665&lt;&gt;1,NOT(ISNUMBER($L665)),$L665&gt;=$J665),"",IF(COUNTIFS(nrES_PID,$D665,nrES_Code,$F665,nrES_Att,2,nrES_Raw,"&gt;=0")&gt;0,IF(IFERROR(_xlfn.MINIFS(nrES_Date,nrES_PID,$D665,nrES_Code,$F665,nrES_Att,2,nrES_Raw,"&gt;=0",nrES_Date,"&gt;0"),0)=0,"RETEST UNDATED",IF(NOT(ISNUMBER($T665)),"RETEST DATE UNCHECKED",IF(_xlfn.MINIFS(nrES_Date,nrES_PID,$D665,nrES_Code,$F665,nrES_Att,2,nrES_Raw,"&gt;=0",nrES_Date,"&gt;0")&gt;$T665,"LATE RETEST "&amp;TEXT(_xlfn.MINIFS(nrES_Date,nrES_PID,$D665,nrES_Code,$F665,nrES_Att,2,nrES_Raw,"&gt;=0",nrES_Date,"&gt;0"),"mm/dd")&amp;" (due "&amp;TEXT($T665,"mm/dd")&amp;")","Retested"))),IF(NOT(ISNUMBER($T665)),"CHECK DATE",IF(TODAY()&gt;$T665,"OVERDUE","Due "&amp;TEXT($T665,"mm/dd")))))))</f>
        <v/>
      </c>
      <c r="V665" s="16" t="n"/>
      <c r="W665" s="16" t="n"/>
      <c r="X665" s="17">
        <f>IF($C665="","",IF(AND($L665&lt;&gt;"",NOT(ISNUMBER($L665))),"RAW SCORE NOT A NUMBER",IF(AND(ISNUMBER($L665),OR($L665&lt;0,$L665&gt;100)),"RAW SCORE OUT OF RANGE",IF(AND($Y665="Unexcused",OR($L665="",NOT(ISNUMBER($L665)),$L665&lt;&gt;0)),"UNEXCUSED ABSENCE MUST RECORD 0",IF(COUNTIF(nrES_RecID,$B665)&gt;1,"DUPLICATE RECORD",IF(N($K665)&gt;2,"ATTEMPT 3+ NOT ALLOWED - policy 300.5 permits one retest per exam; this row records nothing",IF(AND($K665=2,COUNTIFS(nrES_PID,$D665,nrES_Code,$F665,nrES_Att,1)=0),"ATTEMPT 2 WITHOUT ATTEMPT 1",IF(AND($K665=2,$L665=""),"RETEST ROW HAS NO SCORE",IF(AND($H665="Final",$L665&lt;&gt;"",IFERROR(INDEX(nrCKfinalExamElig,MATCH($D665,rngCadetPIDs,0)),"")="No"),"FINAL EXAM AFTER FAILED FINAL PT (500.1.H)",IF(AND($K665=2,ISNUMBER($L665),COUNTIFS(nrES_PID,$D665,nrES_Code,$F665,nrES_Att,1)&gt;0,SUMIFS(nrES_Raw,nrES_PID,$D665,nrES_Code,$F665,nrES_Att,1)&gt;=$J665),"RETEST AFTER A PASSING FIRST ATTEMPT","OK"))))))))))</f>
        <v/>
      </c>
      <c r="Y665" s="16" t="n"/>
    </row>
    <row r="666">
      <c r="B666" s="17">
        <f>IF($C666="","",$D666&amp;"-"&amp;$F666&amp;"-"&amp;$K666)</f>
        <v/>
      </c>
      <c r="C666" s="16" t="n"/>
      <c r="D666" s="17">
        <f>IF($C666="","",IFERROR(INDEX(rngCadetPIDs,MATCH($C666,rngCadetNames,0)),"?"))</f>
        <v/>
      </c>
      <c r="E666" s="17">
        <f>IF($D666="","",IFERROR(INDEX(nrCadetAgency,MATCH($D666,rngCadetPIDs,0)),""))</f>
        <v/>
      </c>
      <c r="F666" s="16" t="n"/>
      <c r="G666" s="17">
        <f>IF($F666="","",IFERROR(INDEX(rngEPname,MATCH($F666,rngEPcode,0)),"?"))</f>
        <v/>
      </c>
      <c r="H666" s="17">
        <f>IF($F666="","",IFERROR(INDEX(rngEPtype,MATCH($F666,rngEPcode,0)),"?"))</f>
        <v/>
      </c>
      <c r="I666" s="17">
        <f>IF($F666="","",IFERROR(INDEX(rngEPseq,MATCH($F666,rngEPcode,0)),""))</f>
        <v/>
      </c>
      <c r="J666" s="17">
        <f>IF($F666="","",IFERROR(INDEX(rngEPpass,MATCH($F666,rngEPcode,0)),cfgPassingScore))</f>
        <v/>
      </c>
      <c r="K666" s="16" t="n"/>
      <c r="L666" s="16" t="n"/>
      <c r="M666" s="17">
        <f>IF($C666="","",IF($L666="","",IF(NOT(ISNUMBER($L666)),$L666,IF(N($K666)&gt;2,"",IF($K666=1,IF(COUNTIFS(nrES_PID,$D666,nrES_Code,$F666,nrES_Att,2,nrES_Raw,"&gt;=0")&gt;0,"",$L666),IF($L666&gt;=$J666,MAX($J666,cfgRetakeRecordedCap),IF(COUNTIFS(nrES_PID,$D666,nrES_Code,$F666,nrES_Att,1)=0,$L666,SUMIFS(nrES_Raw,nrES_PID,$D666,nrES_Code,$F666,nrES_Att,1))))))))</f>
        <v/>
      </c>
      <c r="N666" s="17">
        <f>IF($C666="","",IF($L666="","",IF(NOT(ISNUMBER($L666)),"(not a score)",IF($L666&gt;=$J666,"Yes","No"))))</f>
        <v/>
      </c>
      <c r="O666" s="17">
        <f>IF($C666="","",IF($M666="","",IF(NOT(ISNUMBER($M666)),"(not a score)",IF($M666&gt;=$J666,"Yes","No"))))</f>
        <v/>
      </c>
      <c r="P666" s="17">
        <f>IF($C666="","",IF($K666="","",IF(N($K666)&gt;2,"No",IF(COUNTIFS(nrES_PID,$D666,nrES_Code,$F666,nrES_Att,"&gt;"&amp;$K666,nrES_Att,"&lt;=2",nrES_Raw,"&gt;=0")=0,"Yes","No"))))</f>
        <v/>
      </c>
      <c r="Q666" s="17">
        <f>IF($C666="","",IF($L666="","",IF(AND($K666=1,ISNUMBER($L666),$L666&lt;$J666,COUNTIFS(nrES_PID,$D666,nrES_Code,$F666,nrES_Att,2,nrES_Raw,"&gt;=0")=0),"Yes","No")))</f>
        <v/>
      </c>
      <c r="R666" s="17">
        <f>IF($C666="","",IF($L666="","",IF(AND(N($K666)&gt;=2,ISNUMBER($L666),$L666&lt;$J666),"Yes","No")))</f>
        <v/>
      </c>
      <c r="S666" s="18" t="n"/>
      <c r="T666" s="19">
        <f>IF(OR($C666="",$L666="",$K666&lt;&gt;1,NOT(ISNUMBER($L666)),$L666&gt;=$J666),"",IF($S666="","(enter date)",_xlfn.LET(_xlpm.dn,_xlfn.XLOOKUP($S666,nrCDdate,nrCDnum,"",1),IF(_xlpm.dn="","(after last class day)",_xlfn.LET(_xlpm.dd,_xlfn.XLOOKUP(_xlpm.dn+cfgRetestClassDays,nrCDnum,nrCDdate,""),_xlpm.ok,_xlfn.XLOOKUP(_xlpm.dn+cfgRetestClassDays,nrCDnum,nrCDinsession,"No"),IF(OR(_xlpm.dd="",_xlpm.ok&lt;&gt;"Yes"),"(after last class day)",_xlpm.dd))))))</f>
        <v/>
      </c>
      <c r="U666" s="17">
        <f>IF($C666="","",IF(AND($Y666="Excused",$L666="",N($K666)&lt;=1),"EXCUSED - 1st attempt pending",IF(OR($L666="",$K666&lt;&gt;1,NOT(ISNUMBER($L666)),$L666&gt;=$J666),"",IF(COUNTIFS(nrES_PID,$D666,nrES_Code,$F666,nrES_Att,2,nrES_Raw,"&gt;=0")&gt;0,IF(IFERROR(_xlfn.MINIFS(nrES_Date,nrES_PID,$D666,nrES_Code,$F666,nrES_Att,2,nrES_Raw,"&gt;=0",nrES_Date,"&gt;0"),0)=0,"RETEST UNDATED",IF(NOT(ISNUMBER($T666)),"RETEST DATE UNCHECKED",IF(_xlfn.MINIFS(nrES_Date,nrES_PID,$D666,nrES_Code,$F666,nrES_Att,2,nrES_Raw,"&gt;=0",nrES_Date,"&gt;0")&gt;$T666,"LATE RETEST "&amp;TEXT(_xlfn.MINIFS(nrES_Date,nrES_PID,$D666,nrES_Code,$F666,nrES_Att,2,nrES_Raw,"&gt;=0",nrES_Date,"&gt;0"),"mm/dd")&amp;" (due "&amp;TEXT($T666,"mm/dd")&amp;")","Retested"))),IF(NOT(ISNUMBER($T666)),"CHECK DATE",IF(TODAY()&gt;$T666,"OVERDUE","Due "&amp;TEXT($T666,"mm/dd")))))))</f>
        <v/>
      </c>
      <c r="V666" s="16" t="n"/>
      <c r="W666" s="16" t="n"/>
      <c r="X666" s="17">
        <f>IF($C666="","",IF(AND($L666&lt;&gt;"",NOT(ISNUMBER($L666))),"RAW SCORE NOT A NUMBER",IF(AND(ISNUMBER($L666),OR($L666&lt;0,$L666&gt;100)),"RAW SCORE OUT OF RANGE",IF(AND($Y666="Unexcused",OR($L666="",NOT(ISNUMBER($L666)),$L666&lt;&gt;0)),"UNEXCUSED ABSENCE MUST RECORD 0",IF(COUNTIF(nrES_RecID,$B666)&gt;1,"DUPLICATE RECORD",IF(N($K666)&gt;2,"ATTEMPT 3+ NOT ALLOWED - policy 300.5 permits one retest per exam; this row records nothing",IF(AND($K666=2,COUNTIFS(nrES_PID,$D666,nrES_Code,$F666,nrES_Att,1)=0),"ATTEMPT 2 WITHOUT ATTEMPT 1",IF(AND($K666=2,$L666=""),"RETEST ROW HAS NO SCORE",IF(AND($H666="Final",$L666&lt;&gt;"",IFERROR(INDEX(nrCKfinalExamElig,MATCH($D666,rngCadetPIDs,0)),"")="No"),"FINAL EXAM AFTER FAILED FINAL PT (500.1.H)",IF(AND($K666=2,ISNUMBER($L666),COUNTIFS(nrES_PID,$D666,nrES_Code,$F666,nrES_Att,1)&gt;0,SUMIFS(nrES_Raw,nrES_PID,$D666,nrES_Code,$F666,nrES_Att,1)&gt;=$J666),"RETEST AFTER A PASSING FIRST ATTEMPT","OK"))))))))))</f>
        <v/>
      </c>
      <c r="Y666" s="16" t="n"/>
    </row>
    <row r="667">
      <c r="B667" s="17">
        <f>IF($C667="","",$D667&amp;"-"&amp;$F667&amp;"-"&amp;$K667)</f>
        <v/>
      </c>
      <c r="C667" s="16" t="n"/>
      <c r="D667" s="17">
        <f>IF($C667="","",IFERROR(INDEX(rngCadetPIDs,MATCH($C667,rngCadetNames,0)),"?"))</f>
        <v/>
      </c>
      <c r="E667" s="17">
        <f>IF($D667="","",IFERROR(INDEX(nrCadetAgency,MATCH($D667,rngCadetPIDs,0)),""))</f>
        <v/>
      </c>
      <c r="F667" s="16" t="n"/>
      <c r="G667" s="17">
        <f>IF($F667="","",IFERROR(INDEX(rngEPname,MATCH($F667,rngEPcode,0)),"?"))</f>
        <v/>
      </c>
      <c r="H667" s="17">
        <f>IF($F667="","",IFERROR(INDEX(rngEPtype,MATCH($F667,rngEPcode,0)),"?"))</f>
        <v/>
      </c>
      <c r="I667" s="17">
        <f>IF($F667="","",IFERROR(INDEX(rngEPseq,MATCH($F667,rngEPcode,0)),""))</f>
        <v/>
      </c>
      <c r="J667" s="17">
        <f>IF($F667="","",IFERROR(INDEX(rngEPpass,MATCH($F667,rngEPcode,0)),cfgPassingScore))</f>
        <v/>
      </c>
      <c r="K667" s="16" t="n"/>
      <c r="L667" s="16" t="n"/>
      <c r="M667" s="17">
        <f>IF($C667="","",IF($L667="","",IF(NOT(ISNUMBER($L667)),$L667,IF(N($K667)&gt;2,"",IF($K667=1,IF(COUNTIFS(nrES_PID,$D667,nrES_Code,$F667,nrES_Att,2,nrES_Raw,"&gt;=0")&gt;0,"",$L667),IF($L667&gt;=$J667,MAX($J667,cfgRetakeRecordedCap),IF(COUNTIFS(nrES_PID,$D667,nrES_Code,$F667,nrES_Att,1)=0,$L667,SUMIFS(nrES_Raw,nrES_PID,$D667,nrES_Code,$F667,nrES_Att,1))))))))</f>
        <v/>
      </c>
      <c r="N667" s="17">
        <f>IF($C667="","",IF($L667="","",IF(NOT(ISNUMBER($L667)),"(not a score)",IF($L667&gt;=$J667,"Yes","No"))))</f>
        <v/>
      </c>
      <c r="O667" s="17">
        <f>IF($C667="","",IF($M667="","",IF(NOT(ISNUMBER($M667)),"(not a score)",IF($M667&gt;=$J667,"Yes","No"))))</f>
        <v/>
      </c>
      <c r="P667" s="17">
        <f>IF($C667="","",IF($K667="","",IF(N($K667)&gt;2,"No",IF(COUNTIFS(nrES_PID,$D667,nrES_Code,$F667,nrES_Att,"&gt;"&amp;$K667,nrES_Att,"&lt;=2",nrES_Raw,"&gt;=0")=0,"Yes","No"))))</f>
        <v/>
      </c>
      <c r="Q667" s="17">
        <f>IF($C667="","",IF($L667="","",IF(AND($K667=1,ISNUMBER($L667),$L667&lt;$J667,COUNTIFS(nrES_PID,$D667,nrES_Code,$F667,nrES_Att,2,nrES_Raw,"&gt;=0")=0),"Yes","No")))</f>
        <v/>
      </c>
      <c r="R667" s="17">
        <f>IF($C667="","",IF($L667="","",IF(AND(N($K667)&gt;=2,ISNUMBER($L667),$L667&lt;$J667),"Yes","No")))</f>
        <v/>
      </c>
      <c r="S667" s="18" t="n"/>
      <c r="T667" s="19">
        <f>IF(OR($C667="",$L667="",$K667&lt;&gt;1,NOT(ISNUMBER($L667)),$L667&gt;=$J667),"",IF($S667="","(enter date)",_xlfn.LET(_xlpm.dn,_xlfn.XLOOKUP($S667,nrCDdate,nrCDnum,"",1),IF(_xlpm.dn="","(after last class day)",_xlfn.LET(_xlpm.dd,_xlfn.XLOOKUP(_xlpm.dn+cfgRetestClassDays,nrCDnum,nrCDdate,""),_xlpm.ok,_xlfn.XLOOKUP(_xlpm.dn+cfgRetestClassDays,nrCDnum,nrCDinsession,"No"),IF(OR(_xlpm.dd="",_xlpm.ok&lt;&gt;"Yes"),"(after last class day)",_xlpm.dd))))))</f>
        <v/>
      </c>
      <c r="U667" s="17">
        <f>IF($C667="","",IF(AND($Y667="Excused",$L667="",N($K667)&lt;=1),"EXCUSED - 1st attempt pending",IF(OR($L667="",$K667&lt;&gt;1,NOT(ISNUMBER($L667)),$L667&gt;=$J667),"",IF(COUNTIFS(nrES_PID,$D667,nrES_Code,$F667,nrES_Att,2,nrES_Raw,"&gt;=0")&gt;0,IF(IFERROR(_xlfn.MINIFS(nrES_Date,nrES_PID,$D667,nrES_Code,$F667,nrES_Att,2,nrES_Raw,"&gt;=0",nrES_Date,"&gt;0"),0)=0,"RETEST UNDATED",IF(NOT(ISNUMBER($T667)),"RETEST DATE UNCHECKED",IF(_xlfn.MINIFS(nrES_Date,nrES_PID,$D667,nrES_Code,$F667,nrES_Att,2,nrES_Raw,"&gt;=0",nrES_Date,"&gt;0")&gt;$T667,"LATE RETEST "&amp;TEXT(_xlfn.MINIFS(nrES_Date,nrES_PID,$D667,nrES_Code,$F667,nrES_Att,2,nrES_Raw,"&gt;=0",nrES_Date,"&gt;0"),"mm/dd")&amp;" (due "&amp;TEXT($T667,"mm/dd")&amp;")","Retested"))),IF(NOT(ISNUMBER($T667)),"CHECK DATE",IF(TODAY()&gt;$T667,"OVERDUE","Due "&amp;TEXT($T667,"mm/dd")))))))</f>
        <v/>
      </c>
      <c r="V667" s="16" t="n"/>
      <c r="W667" s="16" t="n"/>
      <c r="X667" s="17">
        <f>IF($C667="","",IF(AND($L667&lt;&gt;"",NOT(ISNUMBER($L667))),"RAW SCORE NOT A NUMBER",IF(AND(ISNUMBER($L667),OR($L667&lt;0,$L667&gt;100)),"RAW SCORE OUT OF RANGE",IF(AND($Y667="Unexcused",OR($L667="",NOT(ISNUMBER($L667)),$L667&lt;&gt;0)),"UNEXCUSED ABSENCE MUST RECORD 0",IF(COUNTIF(nrES_RecID,$B667)&gt;1,"DUPLICATE RECORD",IF(N($K667)&gt;2,"ATTEMPT 3+ NOT ALLOWED - policy 300.5 permits one retest per exam; this row records nothing",IF(AND($K667=2,COUNTIFS(nrES_PID,$D667,nrES_Code,$F667,nrES_Att,1)=0),"ATTEMPT 2 WITHOUT ATTEMPT 1",IF(AND($K667=2,$L667=""),"RETEST ROW HAS NO SCORE",IF(AND($H667="Final",$L667&lt;&gt;"",IFERROR(INDEX(nrCKfinalExamElig,MATCH($D667,rngCadetPIDs,0)),"")="No"),"FINAL EXAM AFTER FAILED FINAL PT (500.1.H)",IF(AND($K667=2,ISNUMBER($L667),COUNTIFS(nrES_PID,$D667,nrES_Code,$F667,nrES_Att,1)&gt;0,SUMIFS(nrES_Raw,nrES_PID,$D667,nrES_Code,$F667,nrES_Att,1)&gt;=$J667),"RETEST AFTER A PASSING FIRST ATTEMPT","OK"))))))))))</f>
        <v/>
      </c>
      <c r="Y667" s="16" t="n"/>
    </row>
    <row r="668">
      <c r="B668" s="17">
        <f>IF($C668="","",$D668&amp;"-"&amp;$F668&amp;"-"&amp;$K668)</f>
        <v/>
      </c>
      <c r="C668" s="16" t="n"/>
      <c r="D668" s="17">
        <f>IF($C668="","",IFERROR(INDEX(rngCadetPIDs,MATCH($C668,rngCadetNames,0)),"?"))</f>
        <v/>
      </c>
      <c r="E668" s="17">
        <f>IF($D668="","",IFERROR(INDEX(nrCadetAgency,MATCH($D668,rngCadetPIDs,0)),""))</f>
        <v/>
      </c>
      <c r="F668" s="16" t="n"/>
      <c r="G668" s="17">
        <f>IF($F668="","",IFERROR(INDEX(rngEPname,MATCH($F668,rngEPcode,0)),"?"))</f>
        <v/>
      </c>
      <c r="H668" s="17">
        <f>IF($F668="","",IFERROR(INDEX(rngEPtype,MATCH($F668,rngEPcode,0)),"?"))</f>
        <v/>
      </c>
      <c r="I668" s="17">
        <f>IF($F668="","",IFERROR(INDEX(rngEPseq,MATCH($F668,rngEPcode,0)),""))</f>
        <v/>
      </c>
      <c r="J668" s="17">
        <f>IF($F668="","",IFERROR(INDEX(rngEPpass,MATCH($F668,rngEPcode,0)),cfgPassingScore))</f>
        <v/>
      </c>
      <c r="K668" s="16" t="n"/>
      <c r="L668" s="16" t="n"/>
      <c r="M668" s="17">
        <f>IF($C668="","",IF($L668="","",IF(NOT(ISNUMBER($L668)),$L668,IF(N($K668)&gt;2,"",IF($K668=1,IF(COUNTIFS(nrES_PID,$D668,nrES_Code,$F668,nrES_Att,2,nrES_Raw,"&gt;=0")&gt;0,"",$L668),IF($L668&gt;=$J668,MAX($J668,cfgRetakeRecordedCap),IF(COUNTIFS(nrES_PID,$D668,nrES_Code,$F668,nrES_Att,1)=0,$L668,SUMIFS(nrES_Raw,nrES_PID,$D668,nrES_Code,$F668,nrES_Att,1))))))))</f>
        <v/>
      </c>
      <c r="N668" s="17">
        <f>IF($C668="","",IF($L668="","",IF(NOT(ISNUMBER($L668)),"(not a score)",IF($L668&gt;=$J668,"Yes","No"))))</f>
        <v/>
      </c>
      <c r="O668" s="17">
        <f>IF($C668="","",IF($M668="","",IF(NOT(ISNUMBER($M668)),"(not a score)",IF($M668&gt;=$J668,"Yes","No"))))</f>
        <v/>
      </c>
      <c r="P668" s="17">
        <f>IF($C668="","",IF($K668="","",IF(N($K668)&gt;2,"No",IF(COUNTIFS(nrES_PID,$D668,nrES_Code,$F668,nrES_Att,"&gt;"&amp;$K668,nrES_Att,"&lt;=2",nrES_Raw,"&gt;=0")=0,"Yes","No"))))</f>
        <v/>
      </c>
      <c r="Q668" s="17">
        <f>IF($C668="","",IF($L668="","",IF(AND($K668=1,ISNUMBER($L668),$L668&lt;$J668,COUNTIFS(nrES_PID,$D668,nrES_Code,$F668,nrES_Att,2,nrES_Raw,"&gt;=0")=0),"Yes","No")))</f>
        <v/>
      </c>
      <c r="R668" s="17">
        <f>IF($C668="","",IF($L668="","",IF(AND(N($K668)&gt;=2,ISNUMBER($L668),$L668&lt;$J668),"Yes","No")))</f>
        <v/>
      </c>
      <c r="S668" s="18" t="n"/>
      <c r="T668" s="19">
        <f>IF(OR($C668="",$L668="",$K668&lt;&gt;1,NOT(ISNUMBER($L668)),$L668&gt;=$J668),"",IF($S668="","(enter date)",_xlfn.LET(_xlpm.dn,_xlfn.XLOOKUP($S668,nrCDdate,nrCDnum,"",1),IF(_xlpm.dn="","(after last class day)",_xlfn.LET(_xlpm.dd,_xlfn.XLOOKUP(_xlpm.dn+cfgRetestClassDays,nrCDnum,nrCDdate,""),_xlpm.ok,_xlfn.XLOOKUP(_xlpm.dn+cfgRetestClassDays,nrCDnum,nrCDinsession,"No"),IF(OR(_xlpm.dd="",_xlpm.ok&lt;&gt;"Yes"),"(after last class day)",_xlpm.dd))))))</f>
        <v/>
      </c>
      <c r="U668" s="17">
        <f>IF($C668="","",IF(AND($Y668="Excused",$L668="",N($K668)&lt;=1),"EXCUSED - 1st attempt pending",IF(OR($L668="",$K668&lt;&gt;1,NOT(ISNUMBER($L668)),$L668&gt;=$J668),"",IF(COUNTIFS(nrES_PID,$D668,nrES_Code,$F668,nrES_Att,2,nrES_Raw,"&gt;=0")&gt;0,IF(IFERROR(_xlfn.MINIFS(nrES_Date,nrES_PID,$D668,nrES_Code,$F668,nrES_Att,2,nrES_Raw,"&gt;=0",nrES_Date,"&gt;0"),0)=0,"RETEST UNDATED",IF(NOT(ISNUMBER($T668)),"RETEST DATE UNCHECKED",IF(_xlfn.MINIFS(nrES_Date,nrES_PID,$D668,nrES_Code,$F668,nrES_Att,2,nrES_Raw,"&gt;=0",nrES_Date,"&gt;0")&gt;$T668,"LATE RETEST "&amp;TEXT(_xlfn.MINIFS(nrES_Date,nrES_PID,$D668,nrES_Code,$F668,nrES_Att,2,nrES_Raw,"&gt;=0",nrES_Date,"&gt;0"),"mm/dd")&amp;" (due "&amp;TEXT($T668,"mm/dd")&amp;")","Retested"))),IF(NOT(ISNUMBER($T668)),"CHECK DATE",IF(TODAY()&gt;$T668,"OVERDUE","Due "&amp;TEXT($T668,"mm/dd")))))))</f>
        <v/>
      </c>
      <c r="V668" s="16" t="n"/>
      <c r="W668" s="16" t="n"/>
      <c r="X668" s="17">
        <f>IF($C668="","",IF(AND($L668&lt;&gt;"",NOT(ISNUMBER($L668))),"RAW SCORE NOT A NUMBER",IF(AND(ISNUMBER($L668),OR($L668&lt;0,$L668&gt;100)),"RAW SCORE OUT OF RANGE",IF(AND($Y668="Unexcused",OR($L668="",NOT(ISNUMBER($L668)),$L668&lt;&gt;0)),"UNEXCUSED ABSENCE MUST RECORD 0",IF(COUNTIF(nrES_RecID,$B668)&gt;1,"DUPLICATE RECORD",IF(N($K668)&gt;2,"ATTEMPT 3+ NOT ALLOWED - policy 300.5 permits one retest per exam; this row records nothing",IF(AND($K668=2,COUNTIFS(nrES_PID,$D668,nrES_Code,$F668,nrES_Att,1)=0),"ATTEMPT 2 WITHOUT ATTEMPT 1",IF(AND($K668=2,$L668=""),"RETEST ROW HAS NO SCORE",IF(AND($H668="Final",$L668&lt;&gt;"",IFERROR(INDEX(nrCKfinalExamElig,MATCH($D668,rngCadetPIDs,0)),"")="No"),"FINAL EXAM AFTER FAILED FINAL PT (500.1.H)",IF(AND($K668=2,ISNUMBER($L668),COUNTIFS(nrES_PID,$D668,nrES_Code,$F668,nrES_Att,1)&gt;0,SUMIFS(nrES_Raw,nrES_PID,$D668,nrES_Code,$F668,nrES_Att,1)&gt;=$J668),"RETEST AFTER A PASSING FIRST ATTEMPT","OK"))))))))))</f>
        <v/>
      </c>
      <c r="Y668" s="16" t="n"/>
    </row>
    <row r="669">
      <c r="B669" s="17">
        <f>IF($C669="","",$D669&amp;"-"&amp;$F669&amp;"-"&amp;$K669)</f>
        <v/>
      </c>
      <c r="C669" s="16" t="n"/>
      <c r="D669" s="17">
        <f>IF($C669="","",IFERROR(INDEX(rngCadetPIDs,MATCH($C669,rngCadetNames,0)),"?"))</f>
        <v/>
      </c>
      <c r="E669" s="17">
        <f>IF($D669="","",IFERROR(INDEX(nrCadetAgency,MATCH($D669,rngCadetPIDs,0)),""))</f>
        <v/>
      </c>
      <c r="F669" s="16" t="n"/>
      <c r="G669" s="17">
        <f>IF($F669="","",IFERROR(INDEX(rngEPname,MATCH($F669,rngEPcode,0)),"?"))</f>
        <v/>
      </c>
      <c r="H669" s="17">
        <f>IF($F669="","",IFERROR(INDEX(rngEPtype,MATCH($F669,rngEPcode,0)),"?"))</f>
        <v/>
      </c>
      <c r="I669" s="17">
        <f>IF($F669="","",IFERROR(INDEX(rngEPseq,MATCH($F669,rngEPcode,0)),""))</f>
        <v/>
      </c>
      <c r="J669" s="17">
        <f>IF($F669="","",IFERROR(INDEX(rngEPpass,MATCH($F669,rngEPcode,0)),cfgPassingScore))</f>
        <v/>
      </c>
      <c r="K669" s="16" t="n"/>
      <c r="L669" s="16" t="n"/>
      <c r="M669" s="17">
        <f>IF($C669="","",IF($L669="","",IF(NOT(ISNUMBER($L669)),$L669,IF(N($K669)&gt;2,"",IF($K669=1,IF(COUNTIFS(nrES_PID,$D669,nrES_Code,$F669,nrES_Att,2,nrES_Raw,"&gt;=0")&gt;0,"",$L669),IF($L669&gt;=$J669,MAX($J669,cfgRetakeRecordedCap),IF(COUNTIFS(nrES_PID,$D669,nrES_Code,$F669,nrES_Att,1)=0,$L669,SUMIFS(nrES_Raw,nrES_PID,$D669,nrES_Code,$F669,nrES_Att,1))))))))</f>
        <v/>
      </c>
      <c r="N669" s="17">
        <f>IF($C669="","",IF($L669="","",IF(NOT(ISNUMBER($L669)),"(not a score)",IF($L669&gt;=$J669,"Yes","No"))))</f>
        <v/>
      </c>
      <c r="O669" s="17">
        <f>IF($C669="","",IF($M669="","",IF(NOT(ISNUMBER($M669)),"(not a score)",IF($M669&gt;=$J669,"Yes","No"))))</f>
        <v/>
      </c>
      <c r="P669" s="17">
        <f>IF($C669="","",IF($K669="","",IF(N($K669)&gt;2,"No",IF(COUNTIFS(nrES_PID,$D669,nrES_Code,$F669,nrES_Att,"&gt;"&amp;$K669,nrES_Att,"&lt;=2",nrES_Raw,"&gt;=0")=0,"Yes","No"))))</f>
        <v/>
      </c>
      <c r="Q669" s="17">
        <f>IF($C669="","",IF($L669="","",IF(AND($K669=1,ISNUMBER($L669),$L669&lt;$J669,COUNTIFS(nrES_PID,$D669,nrES_Code,$F669,nrES_Att,2,nrES_Raw,"&gt;=0")=0),"Yes","No")))</f>
        <v/>
      </c>
      <c r="R669" s="17">
        <f>IF($C669="","",IF($L669="","",IF(AND(N($K669)&gt;=2,ISNUMBER($L669),$L669&lt;$J669),"Yes","No")))</f>
        <v/>
      </c>
      <c r="S669" s="18" t="n"/>
      <c r="T669" s="19">
        <f>IF(OR($C669="",$L669="",$K669&lt;&gt;1,NOT(ISNUMBER($L669)),$L669&gt;=$J669),"",IF($S669="","(enter date)",_xlfn.LET(_xlpm.dn,_xlfn.XLOOKUP($S669,nrCDdate,nrCDnum,"",1),IF(_xlpm.dn="","(after last class day)",_xlfn.LET(_xlpm.dd,_xlfn.XLOOKUP(_xlpm.dn+cfgRetestClassDays,nrCDnum,nrCDdate,""),_xlpm.ok,_xlfn.XLOOKUP(_xlpm.dn+cfgRetestClassDays,nrCDnum,nrCDinsession,"No"),IF(OR(_xlpm.dd="",_xlpm.ok&lt;&gt;"Yes"),"(after last class day)",_xlpm.dd))))))</f>
        <v/>
      </c>
      <c r="U669" s="17">
        <f>IF($C669="","",IF(AND($Y669="Excused",$L669="",N($K669)&lt;=1),"EXCUSED - 1st attempt pending",IF(OR($L669="",$K669&lt;&gt;1,NOT(ISNUMBER($L669)),$L669&gt;=$J669),"",IF(COUNTIFS(nrES_PID,$D669,nrES_Code,$F669,nrES_Att,2,nrES_Raw,"&gt;=0")&gt;0,IF(IFERROR(_xlfn.MINIFS(nrES_Date,nrES_PID,$D669,nrES_Code,$F669,nrES_Att,2,nrES_Raw,"&gt;=0",nrES_Date,"&gt;0"),0)=0,"RETEST UNDATED",IF(NOT(ISNUMBER($T669)),"RETEST DATE UNCHECKED",IF(_xlfn.MINIFS(nrES_Date,nrES_PID,$D669,nrES_Code,$F669,nrES_Att,2,nrES_Raw,"&gt;=0",nrES_Date,"&gt;0")&gt;$T669,"LATE RETEST "&amp;TEXT(_xlfn.MINIFS(nrES_Date,nrES_PID,$D669,nrES_Code,$F669,nrES_Att,2,nrES_Raw,"&gt;=0",nrES_Date,"&gt;0"),"mm/dd")&amp;" (due "&amp;TEXT($T669,"mm/dd")&amp;")","Retested"))),IF(NOT(ISNUMBER($T669)),"CHECK DATE",IF(TODAY()&gt;$T669,"OVERDUE","Due "&amp;TEXT($T669,"mm/dd")))))))</f>
        <v/>
      </c>
      <c r="V669" s="16" t="n"/>
      <c r="W669" s="16" t="n"/>
      <c r="X669" s="17">
        <f>IF($C669="","",IF(AND($L669&lt;&gt;"",NOT(ISNUMBER($L669))),"RAW SCORE NOT A NUMBER",IF(AND(ISNUMBER($L669),OR($L669&lt;0,$L669&gt;100)),"RAW SCORE OUT OF RANGE",IF(AND($Y669="Unexcused",OR($L669="",NOT(ISNUMBER($L669)),$L669&lt;&gt;0)),"UNEXCUSED ABSENCE MUST RECORD 0",IF(COUNTIF(nrES_RecID,$B669)&gt;1,"DUPLICATE RECORD",IF(N($K669)&gt;2,"ATTEMPT 3+ NOT ALLOWED - policy 300.5 permits one retest per exam; this row records nothing",IF(AND($K669=2,COUNTIFS(nrES_PID,$D669,nrES_Code,$F669,nrES_Att,1)=0),"ATTEMPT 2 WITHOUT ATTEMPT 1",IF(AND($K669=2,$L669=""),"RETEST ROW HAS NO SCORE",IF(AND($H669="Final",$L669&lt;&gt;"",IFERROR(INDEX(nrCKfinalExamElig,MATCH($D669,rngCadetPIDs,0)),"")="No"),"FINAL EXAM AFTER FAILED FINAL PT (500.1.H)",IF(AND($K669=2,ISNUMBER($L669),COUNTIFS(nrES_PID,$D669,nrES_Code,$F669,nrES_Att,1)&gt;0,SUMIFS(nrES_Raw,nrES_PID,$D669,nrES_Code,$F669,nrES_Att,1)&gt;=$J669),"RETEST AFTER A PASSING FIRST ATTEMPT","OK"))))))))))</f>
        <v/>
      </c>
      <c r="Y669" s="16" t="n"/>
    </row>
    <row r="670">
      <c r="B670" s="17">
        <f>IF($C670="","",$D670&amp;"-"&amp;$F670&amp;"-"&amp;$K670)</f>
        <v/>
      </c>
      <c r="C670" s="16" t="n"/>
      <c r="D670" s="17">
        <f>IF($C670="","",IFERROR(INDEX(rngCadetPIDs,MATCH($C670,rngCadetNames,0)),"?"))</f>
        <v/>
      </c>
      <c r="E670" s="17">
        <f>IF($D670="","",IFERROR(INDEX(nrCadetAgency,MATCH($D670,rngCadetPIDs,0)),""))</f>
        <v/>
      </c>
      <c r="F670" s="16" t="n"/>
      <c r="G670" s="17">
        <f>IF($F670="","",IFERROR(INDEX(rngEPname,MATCH($F670,rngEPcode,0)),"?"))</f>
        <v/>
      </c>
      <c r="H670" s="17">
        <f>IF($F670="","",IFERROR(INDEX(rngEPtype,MATCH($F670,rngEPcode,0)),"?"))</f>
        <v/>
      </c>
      <c r="I670" s="17">
        <f>IF($F670="","",IFERROR(INDEX(rngEPseq,MATCH($F670,rngEPcode,0)),""))</f>
        <v/>
      </c>
      <c r="J670" s="17">
        <f>IF($F670="","",IFERROR(INDEX(rngEPpass,MATCH($F670,rngEPcode,0)),cfgPassingScore))</f>
        <v/>
      </c>
      <c r="K670" s="16" t="n"/>
      <c r="L670" s="16" t="n"/>
      <c r="M670" s="17">
        <f>IF($C670="","",IF($L670="","",IF(NOT(ISNUMBER($L670)),$L670,IF(N($K670)&gt;2,"",IF($K670=1,IF(COUNTIFS(nrES_PID,$D670,nrES_Code,$F670,nrES_Att,2,nrES_Raw,"&gt;=0")&gt;0,"",$L670),IF($L670&gt;=$J670,MAX($J670,cfgRetakeRecordedCap),IF(COUNTIFS(nrES_PID,$D670,nrES_Code,$F670,nrES_Att,1)=0,$L670,SUMIFS(nrES_Raw,nrES_PID,$D670,nrES_Code,$F670,nrES_Att,1))))))))</f>
        <v/>
      </c>
      <c r="N670" s="17">
        <f>IF($C670="","",IF($L670="","",IF(NOT(ISNUMBER($L670)),"(not a score)",IF($L670&gt;=$J670,"Yes","No"))))</f>
        <v/>
      </c>
      <c r="O670" s="17">
        <f>IF($C670="","",IF($M670="","",IF(NOT(ISNUMBER($M670)),"(not a score)",IF($M670&gt;=$J670,"Yes","No"))))</f>
        <v/>
      </c>
      <c r="P670" s="17">
        <f>IF($C670="","",IF($K670="","",IF(N($K670)&gt;2,"No",IF(COUNTIFS(nrES_PID,$D670,nrES_Code,$F670,nrES_Att,"&gt;"&amp;$K670,nrES_Att,"&lt;=2",nrES_Raw,"&gt;=0")=0,"Yes","No"))))</f>
        <v/>
      </c>
      <c r="Q670" s="17">
        <f>IF($C670="","",IF($L670="","",IF(AND($K670=1,ISNUMBER($L670),$L670&lt;$J670,COUNTIFS(nrES_PID,$D670,nrES_Code,$F670,nrES_Att,2,nrES_Raw,"&gt;=0")=0),"Yes","No")))</f>
        <v/>
      </c>
      <c r="R670" s="17">
        <f>IF($C670="","",IF($L670="","",IF(AND(N($K670)&gt;=2,ISNUMBER($L670),$L670&lt;$J670),"Yes","No")))</f>
        <v/>
      </c>
      <c r="S670" s="18" t="n"/>
      <c r="T670" s="19">
        <f>IF(OR($C670="",$L670="",$K670&lt;&gt;1,NOT(ISNUMBER($L670)),$L670&gt;=$J670),"",IF($S670="","(enter date)",_xlfn.LET(_xlpm.dn,_xlfn.XLOOKUP($S670,nrCDdate,nrCDnum,"",1),IF(_xlpm.dn="","(after last class day)",_xlfn.LET(_xlpm.dd,_xlfn.XLOOKUP(_xlpm.dn+cfgRetestClassDays,nrCDnum,nrCDdate,""),_xlpm.ok,_xlfn.XLOOKUP(_xlpm.dn+cfgRetestClassDays,nrCDnum,nrCDinsession,"No"),IF(OR(_xlpm.dd="",_xlpm.ok&lt;&gt;"Yes"),"(after last class day)",_xlpm.dd))))))</f>
        <v/>
      </c>
      <c r="U670" s="17">
        <f>IF($C670="","",IF(AND($Y670="Excused",$L670="",N($K670)&lt;=1),"EXCUSED - 1st attempt pending",IF(OR($L670="",$K670&lt;&gt;1,NOT(ISNUMBER($L670)),$L670&gt;=$J670),"",IF(COUNTIFS(nrES_PID,$D670,nrES_Code,$F670,nrES_Att,2,nrES_Raw,"&gt;=0")&gt;0,IF(IFERROR(_xlfn.MINIFS(nrES_Date,nrES_PID,$D670,nrES_Code,$F670,nrES_Att,2,nrES_Raw,"&gt;=0",nrES_Date,"&gt;0"),0)=0,"RETEST UNDATED",IF(NOT(ISNUMBER($T670)),"RETEST DATE UNCHECKED",IF(_xlfn.MINIFS(nrES_Date,nrES_PID,$D670,nrES_Code,$F670,nrES_Att,2,nrES_Raw,"&gt;=0",nrES_Date,"&gt;0")&gt;$T670,"LATE RETEST "&amp;TEXT(_xlfn.MINIFS(nrES_Date,nrES_PID,$D670,nrES_Code,$F670,nrES_Att,2,nrES_Raw,"&gt;=0",nrES_Date,"&gt;0"),"mm/dd")&amp;" (due "&amp;TEXT($T670,"mm/dd")&amp;")","Retested"))),IF(NOT(ISNUMBER($T670)),"CHECK DATE",IF(TODAY()&gt;$T670,"OVERDUE","Due "&amp;TEXT($T670,"mm/dd")))))))</f>
        <v/>
      </c>
      <c r="V670" s="16" t="n"/>
      <c r="W670" s="16" t="n"/>
      <c r="X670" s="17">
        <f>IF($C670="","",IF(AND($L670&lt;&gt;"",NOT(ISNUMBER($L670))),"RAW SCORE NOT A NUMBER",IF(AND(ISNUMBER($L670),OR($L670&lt;0,$L670&gt;100)),"RAW SCORE OUT OF RANGE",IF(AND($Y670="Unexcused",OR($L670="",NOT(ISNUMBER($L670)),$L670&lt;&gt;0)),"UNEXCUSED ABSENCE MUST RECORD 0",IF(COUNTIF(nrES_RecID,$B670)&gt;1,"DUPLICATE RECORD",IF(N($K670)&gt;2,"ATTEMPT 3+ NOT ALLOWED - policy 300.5 permits one retest per exam; this row records nothing",IF(AND($K670=2,COUNTIFS(nrES_PID,$D670,nrES_Code,$F670,nrES_Att,1)=0),"ATTEMPT 2 WITHOUT ATTEMPT 1",IF(AND($K670=2,$L670=""),"RETEST ROW HAS NO SCORE",IF(AND($H670="Final",$L670&lt;&gt;"",IFERROR(INDEX(nrCKfinalExamElig,MATCH($D670,rngCadetPIDs,0)),"")="No"),"FINAL EXAM AFTER FAILED FINAL PT (500.1.H)",IF(AND($K670=2,ISNUMBER($L670),COUNTIFS(nrES_PID,$D670,nrES_Code,$F670,nrES_Att,1)&gt;0,SUMIFS(nrES_Raw,nrES_PID,$D670,nrES_Code,$F670,nrES_Att,1)&gt;=$J670),"RETEST AFTER A PASSING FIRST ATTEMPT","OK"))))))))))</f>
        <v/>
      </c>
      <c r="Y670" s="16" t="n"/>
    </row>
    <row r="671">
      <c r="B671" s="17">
        <f>IF($C671="","",$D671&amp;"-"&amp;$F671&amp;"-"&amp;$K671)</f>
        <v/>
      </c>
      <c r="C671" s="16" t="n"/>
      <c r="D671" s="17">
        <f>IF($C671="","",IFERROR(INDEX(rngCadetPIDs,MATCH($C671,rngCadetNames,0)),"?"))</f>
        <v/>
      </c>
      <c r="E671" s="17">
        <f>IF($D671="","",IFERROR(INDEX(nrCadetAgency,MATCH($D671,rngCadetPIDs,0)),""))</f>
        <v/>
      </c>
      <c r="F671" s="16" t="n"/>
      <c r="G671" s="17">
        <f>IF($F671="","",IFERROR(INDEX(rngEPname,MATCH($F671,rngEPcode,0)),"?"))</f>
        <v/>
      </c>
      <c r="H671" s="17">
        <f>IF($F671="","",IFERROR(INDEX(rngEPtype,MATCH($F671,rngEPcode,0)),"?"))</f>
        <v/>
      </c>
      <c r="I671" s="17">
        <f>IF($F671="","",IFERROR(INDEX(rngEPseq,MATCH($F671,rngEPcode,0)),""))</f>
        <v/>
      </c>
      <c r="J671" s="17">
        <f>IF($F671="","",IFERROR(INDEX(rngEPpass,MATCH($F671,rngEPcode,0)),cfgPassingScore))</f>
        <v/>
      </c>
      <c r="K671" s="16" t="n"/>
      <c r="L671" s="16" t="n"/>
      <c r="M671" s="17">
        <f>IF($C671="","",IF($L671="","",IF(NOT(ISNUMBER($L671)),$L671,IF(N($K671)&gt;2,"",IF($K671=1,IF(COUNTIFS(nrES_PID,$D671,nrES_Code,$F671,nrES_Att,2,nrES_Raw,"&gt;=0")&gt;0,"",$L671),IF($L671&gt;=$J671,MAX($J671,cfgRetakeRecordedCap),IF(COUNTIFS(nrES_PID,$D671,nrES_Code,$F671,nrES_Att,1)=0,$L671,SUMIFS(nrES_Raw,nrES_PID,$D671,nrES_Code,$F671,nrES_Att,1))))))))</f>
        <v/>
      </c>
      <c r="N671" s="17">
        <f>IF($C671="","",IF($L671="","",IF(NOT(ISNUMBER($L671)),"(not a score)",IF($L671&gt;=$J671,"Yes","No"))))</f>
        <v/>
      </c>
      <c r="O671" s="17">
        <f>IF($C671="","",IF($M671="","",IF(NOT(ISNUMBER($M671)),"(not a score)",IF($M671&gt;=$J671,"Yes","No"))))</f>
        <v/>
      </c>
      <c r="P671" s="17">
        <f>IF($C671="","",IF($K671="","",IF(N($K671)&gt;2,"No",IF(COUNTIFS(nrES_PID,$D671,nrES_Code,$F671,nrES_Att,"&gt;"&amp;$K671,nrES_Att,"&lt;=2",nrES_Raw,"&gt;=0")=0,"Yes","No"))))</f>
        <v/>
      </c>
      <c r="Q671" s="17">
        <f>IF($C671="","",IF($L671="","",IF(AND($K671=1,ISNUMBER($L671),$L671&lt;$J671,COUNTIFS(nrES_PID,$D671,nrES_Code,$F671,nrES_Att,2,nrES_Raw,"&gt;=0")=0),"Yes","No")))</f>
        <v/>
      </c>
      <c r="R671" s="17">
        <f>IF($C671="","",IF($L671="","",IF(AND(N($K671)&gt;=2,ISNUMBER($L671),$L671&lt;$J671),"Yes","No")))</f>
        <v/>
      </c>
      <c r="S671" s="18" t="n"/>
      <c r="T671" s="19">
        <f>IF(OR($C671="",$L671="",$K671&lt;&gt;1,NOT(ISNUMBER($L671)),$L671&gt;=$J671),"",IF($S671="","(enter date)",_xlfn.LET(_xlpm.dn,_xlfn.XLOOKUP($S671,nrCDdate,nrCDnum,"",1),IF(_xlpm.dn="","(after last class day)",_xlfn.LET(_xlpm.dd,_xlfn.XLOOKUP(_xlpm.dn+cfgRetestClassDays,nrCDnum,nrCDdate,""),_xlpm.ok,_xlfn.XLOOKUP(_xlpm.dn+cfgRetestClassDays,nrCDnum,nrCDinsession,"No"),IF(OR(_xlpm.dd="",_xlpm.ok&lt;&gt;"Yes"),"(after last class day)",_xlpm.dd))))))</f>
        <v/>
      </c>
      <c r="U671" s="17">
        <f>IF($C671="","",IF(AND($Y671="Excused",$L671="",N($K671)&lt;=1),"EXCUSED - 1st attempt pending",IF(OR($L671="",$K671&lt;&gt;1,NOT(ISNUMBER($L671)),$L671&gt;=$J671),"",IF(COUNTIFS(nrES_PID,$D671,nrES_Code,$F671,nrES_Att,2,nrES_Raw,"&gt;=0")&gt;0,IF(IFERROR(_xlfn.MINIFS(nrES_Date,nrES_PID,$D671,nrES_Code,$F671,nrES_Att,2,nrES_Raw,"&gt;=0",nrES_Date,"&gt;0"),0)=0,"RETEST UNDATED",IF(NOT(ISNUMBER($T671)),"RETEST DATE UNCHECKED",IF(_xlfn.MINIFS(nrES_Date,nrES_PID,$D671,nrES_Code,$F671,nrES_Att,2,nrES_Raw,"&gt;=0",nrES_Date,"&gt;0")&gt;$T671,"LATE RETEST "&amp;TEXT(_xlfn.MINIFS(nrES_Date,nrES_PID,$D671,nrES_Code,$F671,nrES_Att,2,nrES_Raw,"&gt;=0",nrES_Date,"&gt;0"),"mm/dd")&amp;" (due "&amp;TEXT($T671,"mm/dd")&amp;")","Retested"))),IF(NOT(ISNUMBER($T671)),"CHECK DATE",IF(TODAY()&gt;$T671,"OVERDUE","Due "&amp;TEXT($T671,"mm/dd")))))))</f>
        <v/>
      </c>
      <c r="V671" s="16" t="n"/>
      <c r="W671" s="16" t="n"/>
      <c r="X671" s="17">
        <f>IF($C671="","",IF(AND($L671&lt;&gt;"",NOT(ISNUMBER($L671))),"RAW SCORE NOT A NUMBER",IF(AND(ISNUMBER($L671),OR($L671&lt;0,$L671&gt;100)),"RAW SCORE OUT OF RANGE",IF(AND($Y671="Unexcused",OR($L671="",NOT(ISNUMBER($L671)),$L671&lt;&gt;0)),"UNEXCUSED ABSENCE MUST RECORD 0",IF(COUNTIF(nrES_RecID,$B671)&gt;1,"DUPLICATE RECORD",IF(N($K671)&gt;2,"ATTEMPT 3+ NOT ALLOWED - policy 300.5 permits one retest per exam; this row records nothing",IF(AND($K671=2,COUNTIFS(nrES_PID,$D671,nrES_Code,$F671,nrES_Att,1)=0),"ATTEMPT 2 WITHOUT ATTEMPT 1",IF(AND($K671=2,$L671=""),"RETEST ROW HAS NO SCORE",IF(AND($H671="Final",$L671&lt;&gt;"",IFERROR(INDEX(nrCKfinalExamElig,MATCH($D671,rngCadetPIDs,0)),"")="No"),"FINAL EXAM AFTER FAILED FINAL PT (500.1.H)",IF(AND($K671=2,ISNUMBER($L671),COUNTIFS(nrES_PID,$D671,nrES_Code,$F671,nrES_Att,1)&gt;0,SUMIFS(nrES_Raw,nrES_PID,$D671,nrES_Code,$F671,nrES_Att,1)&gt;=$J671),"RETEST AFTER A PASSING FIRST ATTEMPT","OK"))))))))))</f>
        <v/>
      </c>
      <c r="Y671" s="16" t="n"/>
    </row>
    <row r="672">
      <c r="B672" s="17">
        <f>IF($C672="","",$D672&amp;"-"&amp;$F672&amp;"-"&amp;$K672)</f>
        <v/>
      </c>
      <c r="C672" s="16" t="n"/>
      <c r="D672" s="17">
        <f>IF($C672="","",IFERROR(INDEX(rngCadetPIDs,MATCH($C672,rngCadetNames,0)),"?"))</f>
        <v/>
      </c>
      <c r="E672" s="17">
        <f>IF($D672="","",IFERROR(INDEX(nrCadetAgency,MATCH($D672,rngCadetPIDs,0)),""))</f>
        <v/>
      </c>
      <c r="F672" s="16" t="n"/>
      <c r="G672" s="17">
        <f>IF($F672="","",IFERROR(INDEX(rngEPname,MATCH($F672,rngEPcode,0)),"?"))</f>
        <v/>
      </c>
      <c r="H672" s="17">
        <f>IF($F672="","",IFERROR(INDEX(rngEPtype,MATCH($F672,rngEPcode,0)),"?"))</f>
        <v/>
      </c>
      <c r="I672" s="17">
        <f>IF($F672="","",IFERROR(INDEX(rngEPseq,MATCH($F672,rngEPcode,0)),""))</f>
        <v/>
      </c>
      <c r="J672" s="17">
        <f>IF($F672="","",IFERROR(INDEX(rngEPpass,MATCH($F672,rngEPcode,0)),cfgPassingScore))</f>
        <v/>
      </c>
      <c r="K672" s="16" t="n"/>
      <c r="L672" s="16" t="n"/>
      <c r="M672" s="17">
        <f>IF($C672="","",IF($L672="","",IF(NOT(ISNUMBER($L672)),$L672,IF(N($K672)&gt;2,"",IF($K672=1,IF(COUNTIFS(nrES_PID,$D672,nrES_Code,$F672,nrES_Att,2,nrES_Raw,"&gt;=0")&gt;0,"",$L672),IF($L672&gt;=$J672,MAX($J672,cfgRetakeRecordedCap),IF(COUNTIFS(nrES_PID,$D672,nrES_Code,$F672,nrES_Att,1)=0,$L672,SUMIFS(nrES_Raw,nrES_PID,$D672,nrES_Code,$F672,nrES_Att,1))))))))</f>
        <v/>
      </c>
      <c r="N672" s="17">
        <f>IF($C672="","",IF($L672="","",IF(NOT(ISNUMBER($L672)),"(not a score)",IF($L672&gt;=$J672,"Yes","No"))))</f>
        <v/>
      </c>
      <c r="O672" s="17">
        <f>IF($C672="","",IF($M672="","",IF(NOT(ISNUMBER($M672)),"(not a score)",IF($M672&gt;=$J672,"Yes","No"))))</f>
        <v/>
      </c>
      <c r="P672" s="17">
        <f>IF($C672="","",IF($K672="","",IF(N($K672)&gt;2,"No",IF(COUNTIFS(nrES_PID,$D672,nrES_Code,$F672,nrES_Att,"&gt;"&amp;$K672,nrES_Att,"&lt;=2",nrES_Raw,"&gt;=0")=0,"Yes","No"))))</f>
        <v/>
      </c>
      <c r="Q672" s="17">
        <f>IF($C672="","",IF($L672="","",IF(AND($K672=1,ISNUMBER($L672),$L672&lt;$J672,COUNTIFS(nrES_PID,$D672,nrES_Code,$F672,nrES_Att,2,nrES_Raw,"&gt;=0")=0),"Yes","No")))</f>
        <v/>
      </c>
      <c r="R672" s="17">
        <f>IF($C672="","",IF($L672="","",IF(AND(N($K672)&gt;=2,ISNUMBER($L672),$L672&lt;$J672),"Yes","No")))</f>
        <v/>
      </c>
      <c r="S672" s="18" t="n"/>
      <c r="T672" s="19">
        <f>IF(OR($C672="",$L672="",$K672&lt;&gt;1,NOT(ISNUMBER($L672)),$L672&gt;=$J672),"",IF($S672="","(enter date)",_xlfn.LET(_xlpm.dn,_xlfn.XLOOKUP($S672,nrCDdate,nrCDnum,"",1),IF(_xlpm.dn="","(after last class day)",_xlfn.LET(_xlpm.dd,_xlfn.XLOOKUP(_xlpm.dn+cfgRetestClassDays,nrCDnum,nrCDdate,""),_xlpm.ok,_xlfn.XLOOKUP(_xlpm.dn+cfgRetestClassDays,nrCDnum,nrCDinsession,"No"),IF(OR(_xlpm.dd="",_xlpm.ok&lt;&gt;"Yes"),"(after last class day)",_xlpm.dd))))))</f>
        <v/>
      </c>
      <c r="U672" s="17">
        <f>IF($C672="","",IF(AND($Y672="Excused",$L672="",N($K672)&lt;=1),"EXCUSED - 1st attempt pending",IF(OR($L672="",$K672&lt;&gt;1,NOT(ISNUMBER($L672)),$L672&gt;=$J672),"",IF(COUNTIFS(nrES_PID,$D672,nrES_Code,$F672,nrES_Att,2,nrES_Raw,"&gt;=0")&gt;0,IF(IFERROR(_xlfn.MINIFS(nrES_Date,nrES_PID,$D672,nrES_Code,$F672,nrES_Att,2,nrES_Raw,"&gt;=0",nrES_Date,"&gt;0"),0)=0,"RETEST UNDATED",IF(NOT(ISNUMBER($T672)),"RETEST DATE UNCHECKED",IF(_xlfn.MINIFS(nrES_Date,nrES_PID,$D672,nrES_Code,$F672,nrES_Att,2,nrES_Raw,"&gt;=0",nrES_Date,"&gt;0")&gt;$T672,"LATE RETEST "&amp;TEXT(_xlfn.MINIFS(nrES_Date,nrES_PID,$D672,nrES_Code,$F672,nrES_Att,2,nrES_Raw,"&gt;=0",nrES_Date,"&gt;0"),"mm/dd")&amp;" (due "&amp;TEXT($T672,"mm/dd")&amp;")","Retested"))),IF(NOT(ISNUMBER($T672)),"CHECK DATE",IF(TODAY()&gt;$T672,"OVERDUE","Due "&amp;TEXT($T672,"mm/dd")))))))</f>
        <v/>
      </c>
      <c r="V672" s="16" t="n"/>
      <c r="W672" s="16" t="n"/>
      <c r="X672" s="17">
        <f>IF($C672="","",IF(AND($L672&lt;&gt;"",NOT(ISNUMBER($L672))),"RAW SCORE NOT A NUMBER",IF(AND(ISNUMBER($L672),OR($L672&lt;0,$L672&gt;100)),"RAW SCORE OUT OF RANGE",IF(AND($Y672="Unexcused",OR($L672="",NOT(ISNUMBER($L672)),$L672&lt;&gt;0)),"UNEXCUSED ABSENCE MUST RECORD 0",IF(COUNTIF(nrES_RecID,$B672)&gt;1,"DUPLICATE RECORD",IF(N($K672)&gt;2,"ATTEMPT 3+ NOT ALLOWED - policy 300.5 permits one retest per exam; this row records nothing",IF(AND($K672=2,COUNTIFS(nrES_PID,$D672,nrES_Code,$F672,nrES_Att,1)=0),"ATTEMPT 2 WITHOUT ATTEMPT 1",IF(AND($K672=2,$L672=""),"RETEST ROW HAS NO SCORE",IF(AND($H672="Final",$L672&lt;&gt;"",IFERROR(INDEX(nrCKfinalExamElig,MATCH($D672,rngCadetPIDs,0)),"")="No"),"FINAL EXAM AFTER FAILED FINAL PT (500.1.H)",IF(AND($K672=2,ISNUMBER($L672),COUNTIFS(nrES_PID,$D672,nrES_Code,$F672,nrES_Att,1)&gt;0,SUMIFS(nrES_Raw,nrES_PID,$D672,nrES_Code,$F672,nrES_Att,1)&gt;=$J672),"RETEST AFTER A PASSING FIRST ATTEMPT","OK"))))))))))</f>
        <v/>
      </c>
      <c r="Y672" s="16" t="n"/>
    </row>
    <row r="673">
      <c r="B673" s="17">
        <f>IF($C673="","",$D673&amp;"-"&amp;$F673&amp;"-"&amp;$K673)</f>
        <v/>
      </c>
      <c r="C673" s="16" t="n"/>
      <c r="D673" s="17">
        <f>IF($C673="","",IFERROR(INDEX(rngCadetPIDs,MATCH($C673,rngCadetNames,0)),"?"))</f>
        <v/>
      </c>
      <c r="E673" s="17">
        <f>IF($D673="","",IFERROR(INDEX(nrCadetAgency,MATCH($D673,rngCadetPIDs,0)),""))</f>
        <v/>
      </c>
      <c r="F673" s="16" t="n"/>
      <c r="G673" s="17">
        <f>IF($F673="","",IFERROR(INDEX(rngEPname,MATCH($F673,rngEPcode,0)),"?"))</f>
        <v/>
      </c>
      <c r="H673" s="17">
        <f>IF($F673="","",IFERROR(INDEX(rngEPtype,MATCH($F673,rngEPcode,0)),"?"))</f>
        <v/>
      </c>
      <c r="I673" s="17">
        <f>IF($F673="","",IFERROR(INDEX(rngEPseq,MATCH($F673,rngEPcode,0)),""))</f>
        <v/>
      </c>
      <c r="J673" s="17">
        <f>IF($F673="","",IFERROR(INDEX(rngEPpass,MATCH($F673,rngEPcode,0)),cfgPassingScore))</f>
        <v/>
      </c>
      <c r="K673" s="16" t="n"/>
      <c r="L673" s="16" t="n"/>
      <c r="M673" s="17">
        <f>IF($C673="","",IF($L673="","",IF(NOT(ISNUMBER($L673)),$L673,IF(N($K673)&gt;2,"",IF($K673=1,IF(COUNTIFS(nrES_PID,$D673,nrES_Code,$F673,nrES_Att,2,nrES_Raw,"&gt;=0")&gt;0,"",$L673),IF($L673&gt;=$J673,MAX($J673,cfgRetakeRecordedCap),IF(COUNTIFS(nrES_PID,$D673,nrES_Code,$F673,nrES_Att,1)=0,$L673,SUMIFS(nrES_Raw,nrES_PID,$D673,nrES_Code,$F673,nrES_Att,1))))))))</f>
        <v/>
      </c>
      <c r="N673" s="17">
        <f>IF($C673="","",IF($L673="","",IF(NOT(ISNUMBER($L673)),"(not a score)",IF($L673&gt;=$J673,"Yes","No"))))</f>
        <v/>
      </c>
      <c r="O673" s="17">
        <f>IF($C673="","",IF($M673="","",IF(NOT(ISNUMBER($M673)),"(not a score)",IF($M673&gt;=$J673,"Yes","No"))))</f>
        <v/>
      </c>
      <c r="P673" s="17">
        <f>IF($C673="","",IF($K673="","",IF(N($K673)&gt;2,"No",IF(COUNTIFS(nrES_PID,$D673,nrES_Code,$F673,nrES_Att,"&gt;"&amp;$K673,nrES_Att,"&lt;=2",nrES_Raw,"&gt;=0")=0,"Yes","No"))))</f>
        <v/>
      </c>
      <c r="Q673" s="17">
        <f>IF($C673="","",IF($L673="","",IF(AND($K673=1,ISNUMBER($L673),$L673&lt;$J673,COUNTIFS(nrES_PID,$D673,nrES_Code,$F673,nrES_Att,2,nrES_Raw,"&gt;=0")=0),"Yes","No")))</f>
        <v/>
      </c>
      <c r="R673" s="17">
        <f>IF($C673="","",IF($L673="","",IF(AND(N($K673)&gt;=2,ISNUMBER($L673),$L673&lt;$J673),"Yes","No")))</f>
        <v/>
      </c>
      <c r="S673" s="18" t="n"/>
      <c r="T673" s="19">
        <f>IF(OR($C673="",$L673="",$K673&lt;&gt;1,NOT(ISNUMBER($L673)),$L673&gt;=$J673),"",IF($S673="","(enter date)",_xlfn.LET(_xlpm.dn,_xlfn.XLOOKUP($S673,nrCDdate,nrCDnum,"",1),IF(_xlpm.dn="","(after last class day)",_xlfn.LET(_xlpm.dd,_xlfn.XLOOKUP(_xlpm.dn+cfgRetestClassDays,nrCDnum,nrCDdate,""),_xlpm.ok,_xlfn.XLOOKUP(_xlpm.dn+cfgRetestClassDays,nrCDnum,nrCDinsession,"No"),IF(OR(_xlpm.dd="",_xlpm.ok&lt;&gt;"Yes"),"(after last class day)",_xlpm.dd))))))</f>
        <v/>
      </c>
      <c r="U673" s="17">
        <f>IF($C673="","",IF(AND($Y673="Excused",$L673="",N($K673)&lt;=1),"EXCUSED - 1st attempt pending",IF(OR($L673="",$K673&lt;&gt;1,NOT(ISNUMBER($L673)),$L673&gt;=$J673),"",IF(COUNTIFS(nrES_PID,$D673,nrES_Code,$F673,nrES_Att,2,nrES_Raw,"&gt;=0")&gt;0,IF(IFERROR(_xlfn.MINIFS(nrES_Date,nrES_PID,$D673,nrES_Code,$F673,nrES_Att,2,nrES_Raw,"&gt;=0",nrES_Date,"&gt;0"),0)=0,"RETEST UNDATED",IF(NOT(ISNUMBER($T673)),"RETEST DATE UNCHECKED",IF(_xlfn.MINIFS(nrES_Date,nrES_PID,$D673,nrES_Code,$F673,nrES_Att,2,nrES_Raw,"&gt;=0",nrES_Date,"&gt;0")&gt;$T673,"LATE RETEST "&amp;TEXT(_xlfn.MINIFS(nrES_Date,nrES_PID,$D673,nrES_Code,$F673,nrES_Att,2,nrES_Raw,"&gt;=0",nrES_Date,"&gt;0"),"mm/dd")&amp;" (due "&amp;TEXT($T673,"mm/dd")&amp;")","Retested"))),IF(NOT(ISNUMBER($T673)),"CHECK DATE",IF(TODAY()&gt;$T673,"OVERDUE","Due "&amp;TEXT($T673,"mm/dd")))))))</f>
        <v/>
      </c>
      <c r="V673" s="16" t="n"/>
      <c r="W673" s="16" t="n"/>
      <c r="X673" s="17">
        <f>IF($C673="","",IF(AND($L673&lt;&gt;"",NOT(ISNUMBER($L673))),"RAW SCORE NOT A NUMBER",IF(AND(ISNUMBER($L673),OR($L673&lt;0,$L673&gt;100)),"RAW SCORE OUT OF RANGE",IF(AND($Y673="Unexcused",OR($L673="",NOT(ISNUMBER($L673)),$L673&lt;&gt;0)),"UNEXCUSED ABSENCE MUST RECORD 0",IF(COUNTIF(nrES_RecID,$B673)&gt;1,"DUPLICATE RECORD",IF(N($K673)&gt;2,"ATTEMPT 3+ NOT ALLOWED - policy 300.5 permits one retest per exam; this row records nothing",IF(AND($K673=2,COUNTIFS(nrES_PID,$D673,nrES_Code,$F673,nrES_Att,1)=0),"ATTEMPT 2 WITHOUT ATTEMPT 1",IF(AND($K673=2,$L673=""),"RETEST ROW HAS NO SCORE",IF(AND($H673="Final",$L673&lt;&gt;"",IFERROR(INDEX(nrCKfinalExamElig,MATCH($D673,rngCadetPIDs,0)),"")="No"),"FINAL EXAM AFTER FAILED FINAL PT (500.1.H)",IF(AND($K673=2,ISNUMBER($L673),COUNTIFS(nrES_PID,$D673,nrES_Code,$F673,nrES_Att,1)&gt;0,SUMIFS(nrES_Raw,nrES_PID,$D673,nrES_Code,$F673,nrES_Att,1)&gt;=$J673),"RETEST AFTER A PASSING FIRST ATTEMPT","OK"))))))))))</f>
        <v/>
      </c>
      <c r="Y673" s="16" t="n"/>
    </row>
    <row r="674">
      <c r="B674" s="17">
        <f>IF($C674="","",$D674&amp;"-"&amp;$F674&amp;"-"&amp;$K674)</f>
        <v/>
      </c>
      <c r="C674" s="16" t="n"/>
      <c r="D674" s="17">
        <f>IF($C674="","",IFERROR(INDEX(rngCadetPIDs,MATCH($C674,rngCadetNames,0)),"?"))</f>
        <v/>
      </c>
      <c r="E674" s="17">
        <f>IF($D674="","",IFERROR(INDEX(nrCadetAgency,MATCH($D674,rngCadetPIDs,0)),""))</f>
        <v/>
      </c>
      <c r="F674" s="16" t="n"/>
      <c r="G674" s="17">
        <f>IF($F674="","",IFERROR(INDEX(rngEPname,MATCH($F674,rngEPcode,0)),"?"))</f>
        <v/>
      </c>
      <c r="H674" s="17">
        <f>IF($F674="","",IFERROR(INDEX(rngEPtype,MATCH($F674,rngEPcode,0)),"?"))</f>
        <v/>
      </c>
      <c r="I674" s="17">
        <f>IF($F674="","",IFERROR(INDEX(rngEPseq,MATCH($F674,rngEPcode,0)),""))</f>
        <v/>
      </c>
      <c r="J674" s="17">
        <f>IF($F674="","",IFERROR(INDEX(rngEPpass,MATCH($F674,rngEPcode,0)),cfgPassingScore))</f>
        <v/>
      </c>
      <c r="K674" s="16" t="n"/>
      <c r="L674" s="16" t="n"/>
      <c r="M674" s="17">
        <f>IF($C674="","",IF($L674="","",IF(NOT(ISNUMBER($L674)),$L674,IF(N($K674)&gt;2,"",IF($K674=1,IF(COUNTIFS(nrES_PID,$D674,nrES_Code,$F674,nrES_Att,2,nrES_Raw,"&gt;=0")&gt;0,"",$L674),IF($L674&gt;=$J674,MAX($J674,cfgRetakeRecordedCap),IF(COUNTIFS(nrES_PID,$D674,nrES_Code,$F674,nrES_Att,1)=0,$L674,SUMIFS(nrES_Raw,nrES_PID,$D674,nrES_Code,$F674,nrES_Att,1))))))))</f>
        <v/>
      </c>
      <c r="N674" s="17">
        <f>IF($C674="","",IF($L674="","",IF(NOT(ISNUMBER($L674)),"(not a score)",IF($L674&gt;=$J674,"Yes","No"))))</f>
        <v/>
      </c>
      <c r="O674" s="17">
        <f>IF($C674="","",IF($M674="","",IF(NOT(ISNUMBER($M674)),"(not a score)",IF($M674&gt;=$J674,"Yes","No"))))</f>
        <v/>
      </c>
      <c r="P674" s="17">
        <f>IF($C674="","",IF($K674="","",IF(N($K674)&gt;2,"No",IF(COUNTIFS(nrES_PID,$D674,nrES_Code,$F674,nrES_Att,"&gt;"&amp;$K674,nrES_Att,"&lt;=2",nrES_Raw,"&gt;=0")=0,"Yes","No"))))</f>
        <v/>
      </c>
      <c r="Q674" s="17">
        <f>IF($C674="","",IF($L674="","",IF(AND($K674=1,ISNUMBER($L674),$L674&lt;$J674,COUNTIFS(nrES_PID,$D674,nrES_Code,$F674,nrES_Att,2,nrES_Raw,"&gt;=0")=0),"Yes","No")))</f>
        <v/>
      </c>
      <c r="R674" s="17">
        <f>IF($C674="","",IF($L674="","",IF(AND(N($K674)&gt;=2,ISNUMBER($L674),$L674&lt;$J674),"Yes","No")))</f>
        <v/>
      </c>
      <c r="S674" s="18" t="n"/>
      <c r="T674" s="19">
        <f>IF(OR($C674="",$L674="",$K674&lt;&gt;1,NOT(ISNUMBER($L674)),$L674&gt;=$J674),"",IF($S674="","(enter date)",_xlfn.LET(_xlpm.dn,_xlfn.XLOOKUP($S674,nrCDdate,nrCDnum,"",1),IF(_xlpm.dn="","(after last class day)",_xlfn.LET(_xlpm.dd,_xlfn.XLOOKUP(_xlpm.dn+cfgRetestClassDays,nrCDnum,nrCDdate,""),_xlpm.ok,_xlfn.XLOOKUP(_xlpm.dn+cfgRetestClassDays,nrCDnum,nrCDinsession,"No"),IF(OR(_xlpm.dd="",_xlpm.ok&lt;&gt;"Yes"),"(after last class day)",_xlpm.dd))))))</f>
        <v/>
      </c>
      <c r="U674" s="17">
        <f>IF($C674="","",IF(AND($Y674="Excused",$L674="",N($K674)&lt;=1),"EXCUSED - 1st attempt pending",IF(OR($L674="",$K674&lt;&gt;1,NOT(ISNUMBER($L674)),$L674&gt;=$J674),"",IF(COUNTIFS(nrES_PID,$D674,nrES_Code,$F674,nrES_Att,2,nrES_Raw,"&gt;=0")&gt;0,IF(IFERROR(_xlfn.MINIFS(nrES_Date,nrES_PID,$D674,nrES_Code,$F674,nrES_Att,2,nrES_Raw,"&gt;=0",nrES_Date,"&gt;0"),0)=0,"RETEST UNDATED",IF(NOT(ISNUMBER($T674)),"RETEST DATE UNCHECKED",IF(_xlfn.MINIFS(nrES_Date,nrES_PID,$D674,nrES_Code,$F674,nrES_Att,2,nrES_Raw,"&gt;=0",nrES_Date,"&gt;0")&gt;$T674,"LATE RETEST "&amp;TEXT(_xlfn.MINIFS(nrES_Date,nrES_PID,$D674,nrES_Code,$F674,nrES_Att,2,nrES_Raw,"&gt;=0",nrES_Date,"&gt;0"),"mm/dd")&amp;" (due "&amp;TEXT($T674,"mm/dd")&amp;")","Retested"))),IF(NOT(ISNUMBER($T674)),"CHECK DATE",IF(TODAY()&gt;$T674,"OVERDUE","Due "&amp;TEXT($T674,"mm/dd")))))))</f>
        <v/>
      </c>
      <c r="V674" s="16" t="n"/>
      <c r="W674" s="16" t="n"/>
      <c r="X674" s="17">
        <f>IF($C674="","",IF(AND($L674&lt;&gt;"",NOT(ISNUMBER($L674))),"RAW SCORE NOT A NUMBER",IF(AND(ISNUMBER($L674),OR($L674&lt;0,$L674&gt;100)),"RAW SCORE OUT OF RANGE",IF(AND($Y674="Unexcused",OR($L674="",NOT(ISNUMBER($L674)),$L674&lt;&gt;0)),"UNEXCUSED ABSENCE MUST RECORD 0",IF(COUNTIF(nrES_RecID,$B674)&gt;1,"DUPLICATE RECORD",IF(N($K674)&gt;2,"ATTEMPT 3+ NOT ALLOWED - policy 300.5 permits one retest per exam; this row records nothing",IF(AND($K674=2,COUNTIFS(nrES_PID,$D674,nrES_Code,$F674,nrES_Att,1)=0),"ATTEMPT 2 WITHOUT ATTEMPT 1",IF(AND($K674=2,$L674=""),"RETEST ROW HAS NO SCORE",IF(AND($H674="Final",$L674&lt;&gt;"",IFERROR(INDEX(nrCKfinalExamElig,MATCH($D674,rngCadetPIDs,0)),"")="No"),"FINAL EXAM AFTER FAILED FINAL PT (500.1.H)",IF(AND($K674=2,ISNUMBER($L674),COUNTIFS(nrES_PID,$D674,nrES_Code,$F674,nrES_Att,1)&gt;0,SUMIFS(nrES_Raw,nrES_PID,$D674,nrES_Code,$F674,nrES_Att,1)&gt;=$J674),"RETEST AFTER A PASSING FIRST ATTEMPT","OK"))))))))))</f>
        <v/>
      </c>
      <c r="Y674" s="16" t="n"/>
    </row>
    <row r="675">
      <c r="B675" s="17">
        <f>IF($C675="","",$D675&amp;"-"&amp;$F675&amp;"-"&amp;$K675)</f>
        <v/>
      </c>
      <c r="C675" s="16" t="n"/>
      <c r="D675" s="17">
        <f>IF($C675="","",IFERROR(INDEX(rngCadetPIDs,MATCH($C675,rngCadetNames,0)),"?"))</f>
        <v/>
      </c>
      <c r="E675" s="17">
        <f>IF($D675="","",IFERROR(INDEX(nrCadetAgency,MATCH($D675,rngCadetPIDs,0)),""))</f>
        <v/>
      </c>
      <c r="F675" s="16" t="n"/>
      <c r="G675" s="17">
        <f>IF($F675="","",IFERROR(INDEX(rngEPname,MATCH($F675,rngEPcode,0)),"?"))</f>
        <v/>
      </c>
      <c r="H675" s="17">
        <f>IF($F675="","",IFERROR(INDEX(rngEPtype,MATCH($F675,rngEPcode,0)),"?"))</f>
        <v/>
      </c>
      <c r="I675" s="17">
        <f>IF($F675="","",IFERROR(INDEX(rngEPseq,MATCH($F675,rngEPcode,0)),""))</f>
        <v/>
      </c>
      <c r="J675" s="17">
        <f>IF($F675="","",IFERROR(INDEX(rngEPpass,MATCH($F675,rngEPcode,0)),cfgPassingScore))</f>
        <v/>
      </c>
      <c r="K675" s="16" t="n"/>
      <c r="L675" s="16" t="n"/>
      <c r="M675" s="17">
        <f>IF($C675="","",IF($L675="","",IF(NOT(ISNUMBER($L675)),$L675,IF(N($K675)&gt;2,"",IF($K675=1,IF(COUNTIFS(nrES_PID,$D675,nrES_Code,$F675,nrES_Att,2,nrES_Raw,"&gt;=0")&gt;0,"",$L675),IF($L675&gt;=$J675,MAX($J675,cfgRetakeRecordedCap),IF(COUNTIFS(nrES_PID,$D675,nrES_Code,$F675,nrES_Att,1)=0,$L675,SUMIFS(nrES_Raw,nrES_PID,$D675,nrES_Code,$F675,nrES_Att,1))))))))</f>
        <v/>
      </c>
      <c r="N675" s="17">
        <f>IF($C675="","",IF($L675="","",IF(NOT(ISNUMBER($L675)),"(not a score)",IF($L675&gt;=$J675,"Yes","No"))))</f>
        <v/>
      </c>
      <c r="O675" s="17">
        <f>IF($C675="","",IF($M675="","",IF(NOT(ISNUMBER($M675)),"(not a score)",IF($M675&gt;=$J675,"Yes","No"))))</f>
        <v/>
      </c>
      <c r="P675" s="17">
        <f>IF($C675="","",IF($K675="","",IF(N($K675)&gt;2,"No",IF(COUNTIFS(nrES_PID,$D675,nrES_Code,$F675,nrES_Att,"&gt;"&amp;$K675,nrES_Att,"&lt;=2",nrES_Raw,"&gt;=0")=0,"Yes","No"))))</f>
        <v/>
      </c>
      <c r="Q675" s="17">
        <f>IF($C675="","",IF($L675="","",IF(AND($K675=1,ISNUMBER($L675),$L675&lt;$J675,COUNTIFS(nrES_PID,$D675,nrES_Code,$F675,nrES_Att,2,nrES_Raw,"&gt;=0")=0),"Yes","No")))</f>
        <v/>
      </c>
      <c r="R675" s="17">
        <f>IF($C675="","",IF($L675="","",IF(AND(N($K675)&gt;=2,ISNUMBER($L675),$L675&lt;$J675),"Yes","No")))</f>
        <v/>
      </c>
      <c r="S675" s="18" t="n"/>
      <c r="T675" s="19">
        <f>IF(OR($C675="",$L675="",$K675&lt;&gt;1,NOT(ISNUMBER($L675)),$L675&gt;=$J675),"",IF($S675="","(enter date)",_xlfn.LET(_xlpm.dn,_xlfn.XLOOKUP($S675,nrCDdate,nrCDnum,"",1),IF(_xlpm.dn="","(after last class day)",_xlfn.LET(_xlpm.dd,_xlfn.XLOOKUP(_xlpm.dn+cfgRetestClassDays,nrCDnum,nrCDdate,""),_xlpm.ok,_xlfn.XLOOKUP(_xlpm.dn+cfgRetestClassDays,nrCDnum,nrCDinsession,"No"),IF(OR(_xlpm.dd="",_xlpm.ok&lt;&gt;"Yes"),"(after last class day)",_xlpm.dd))))))</f>
        <v/>
      </c>
      <c r="U675" s="17">
        <f>IF($C675="","",IF(AND($Y675="Excused",$L675="",N($K675)&lt;=1),"EXCUSED - 1st attempt pending",IF(OR($L675="",$K675&lt;&gt;1,NOT(ISNUMBER($L675)),$L675&gt;=$J675),"",IF(COUNTIFS(nrES_PID,$D675,nrES_Code,$F675,nrES_Att,2,nrES_Raw,"&gt;=0")&gt;0,IF(IFERROR(_xlfn.MINIFS(nrES_Date,nrES_PID,$D675,nrES_Code,$F675,nrES_Att,2,nrES_Raw,"&gt;=0",nrES_Date,"&gt;0"),0)=0,"RETEST UNDATED",IF(NOT(ISNUMBER($T675)),"RETEST DATE UNCHECKED",IF(_xlfn.MINIFS(nrES_Date,nrES_PID,$D675,nrES_Code,$F675,nrES_Att,2,nrES_Raw,"&gt;=0",nrES_Date,"&gt;0")&gt;$T675,"LATE RETEST "&amp;TEXT(_xlfn.MINIFS(nrES_Date,nrES_PID,$D675,nrES_Code,$F675,nrES_Att,2,nrES_Raw,"&gt;=0",nrES_Date,"&gt;0"),"mm/dd")&amp;" (due "&amp;TEXT($T675,"mm/dd")&amp;")","Retested"))),IF(NOT(ISNUMBER($T675)),"CHECK DATE",IF(TODAY()&gt;$T675,"OVERDUE","Due "&amp;TEXT($T675,"mm/dd")))))))</f>
        <v/>
      </c>
      <c r="V675" s="16" t="n"/>
      <c r="W675" s="16" t="n"/>
      <c r="X675" s="17">
        <f>IF($C675="","",IF(AND($L675&lt;&gt;"",NOT(ISNUMBER($L675))),"RAW SCORE NOT A NUMBER",IF(AND(ISNUMBER($L675),OR($L675&lt;0,$L675&gt;100)),"RAW SCORE OUT OF RANGE",IF(AND($Y675="Unexcused",OR($L675="",NOT(ISNUMBER($L675)),$L675&lt;&gt;0)),"UNEXCUSED ABSENCE MUST RECORD 0",IF(COUNTIF(nrES_RecID,$B675)&gt;1,"DUPLICATE RECORD",IF(N($K675)&gt;2,"ATTEMPT 3+ NOT ALLOWED - policy 300.5 permits one retest per exam; this row records nothing",IF(AND($K675=2,COUNTIFS(nrES_PID,$D675,nrES_Code,$F675,nrES_Att,1)=0),"ATTEMPT 2 WITHOUT ATTEMPT 1",IF(AND($K675=2,$L675=""),"RETEST ROW HAS NO SCORE",IF(AND($H675="Final",$L675&lt;&gt;"",IFERROR(INDEX(nrCKfinalExamElig,MATCH($D675,rngCadetPIDs,0)),"")="No"),"FINAL EXAM AFTER FAILED FINAL PT (500.1.H)",IF(AND($K675=2,ISNUMBER($L675),COUNTIFS(nrES_PID,$D675,nrES_Code,$F675,nrES_Att,1)&gt;0,SUMIFS(nrES_Raw,nrES_PID,$D675,nrES_Code,$F675,nrES_Att,1)&gt;=$J675),"RETEST AFTER A PASSING FIRST ATTEMPT","OK"))))))))))</f>
        <v/>
      </c>
      <c r="Y675" s="16" t="n"/>
    </row>
    <row r="676">
      <c r="B676" s="17">
        <f>IF($C676="","",$D676&amp;"-"&amp;$F676&amp;"-"&amp;$K676)</f>
        <v/>
      </c>
      <c r="C676" s="16" t="n"/>
      <c r="D676" s="17">
        <f>IF($C676="","",IFERROR(INDEX(rngCadetPIDs,MATCH($C676,rngCadetNames,0)),"?"))</f>
        <v/>
      </c>
      <c r="E676" s="17">
        <f>IF($D676="","",IFERROR(INDEX(nrCadetAgency,MATCH($D676,rngCadetPIDs,0)),""))</f>
        <v/>
      </c>
      <c r="F676" s="16" t="n"/>
      <c r="G676" s="17">
        <f>IF($F676="","",IFERROR(INDEX(rngEPname,MATCH($F676,rngEPcode,0)),"?"))</f>
        <v/>
      </c>
      <c r="H676" s="17">
        <f>IF($F676="","",IFERROR(INDEX(rngEPtype,MATCH($F676,rngEPcode,0)),"?"))</f>
        <v/>
      </c>
      <c r="I676" s="17">
        <f>IF($F676="","",IFERROR(INDEX(rngEPseq,MATCH($F676,rngEPcode,0)),""))</f>
        <v/>
      </c>
      <c r="J676" s="17">
        <f>IF($F676="","",IFERROR(INDEX(rngEPpass,MATCH($F676,rngEPcode,0)),cfgPassingScore))</f>
        <v/>
      </c>
      <c r="K676" s="16" t="n"/>
      <c r="L676" s="16" t="n"/>
      <c r="M676" s="17">
        <f>IF($C676="","",IF($L676="","",IF(NOT(ISNUMBER($L676)),$L676,IF(N($K676)&gt;2,"",IF($K676=1,IF(COUNTIFS(nrES_PID,$D676,nrES_Code,$F676,nrES_Att,2,nrES_Raw,"&gt;=0")&gt;0,"",$L676),IF($L676&gt;=$J676,MAX($J676,cfgRetakeRecordedCap),IF(COUNTIFS(nrES_PID,$D676,nrES_Code,$F676,nrES_Att,1)=0,$L676,SUMIFS(nrES_Raw,nrES_PID,$D676,nrES_Code,$F676,nrES_Att,1))))))))</f>
        <v/>
      </c>
      <c r="N676" s="17">
        <f>IF($C676="","",IF($L676="","",IF(NOT(ISNUMBER($L676)),"(not a score)",IF($L676&gt;=$J676,"Yes","No"))))</f>
        <v/>
      </c>
      <c r="O676" s="17">
        <f>IF($C676="","",IF($M676="","",IF(NOT(ISNUMBER($M676)),"(not a score)",IF($M676&gt;=$J676,"Yes","No"))))</f>
        <v/>
      </c>
      <c r="P676" s="17">
        <f>IF($C676="","",IF($K676="","",IF(N($K676)&gt;2,"No",IF(COUNTIFS(nrES_PID,$D676,nrES_Code,$F676,nrES_Att,"&gt;"&amp;$K676,nrES_Att,"&lt;=2",nrES_Raw,"&gt;=0")=0,"Yes","No"))))</f>
        <v/>
      </c>
      <c r="Q676" s="17">
        <f>IF($C676="","",IF($L676="","",IF(AND($K676=1,ISNUMBER($L676),$L676&lt;$J676,COUNTIFS(nrES_PID,$D676,nrES_Code,$F676,nrES_Att,2,nrES_Raw,"&gt;=0")=0),"Yes","No")))</f>
        <v/>
      </c>
      <c r="R676" s="17">
        <f>IF($C676="","",IF($L676="","",IF(AND(N($K676)&gt;=2,ISNUMBER($L676),$L676&lt;$J676),"Yes","No")))</f>
        <v/>
      </c>
      <c r="S676" s="18" t="n"/>
      <c r="T676" s="19">
        <f>IF(OR($C676="",$L676="",$K676&lt;&gt;1,NOT(ISNUMBER($L676)),$L676&gt;=$J676),"",IF($S676="","(enter date)",_xlfn.LET(_xlpm.dn,_xlfn.XLOOKUP($S676,nrCDdate,nrCDnum,"",1),IF(_xlpm.dn="","(after last class day)",_xlfn.LET(_xlpm.dd,_xlfn.XLOOKUP(_xlpm.dn+cfgRetestClassDays,nrCDnum,nrCDdate,""),_xlpm.ok,_xlfn.XLOOKUP(_xlpm.dn+cfgRetestClassDays,nrCDnum,nrCDinsession,"No"),IF(OR(_xlpm.dd="",_xlpm.ok&lt;&gt;"Yes"),"(after last class day)",_xlpm.dd))))))</f>
        <v/>
      </c>
      <c r="U676" s="17">
        <f>IF($C676="","",IF(AND($Y676="Excused",$L676="",N($K676)&lt;=1),"EXCUSED - 1st attempt pending",IF(OR($L676="",$K676&lt;&gt;1,NOT(ISNUMBER($L676)),$L676&gt;=$J676),"",IF(COUNTIFS(nrES_PID,$D676,nrES_Code,$F676,nrES_Att,2,nrES_Raw,"&gt;=0")&gt;0,IF(IFERROR(_xlfn.MINIFS(nrES_Date,nrES_PID,$D676,nrES_Code,$F676,nrES_Att,2,nrES_Raw,"&gt;=0",nrES_Date,"&gt;0"),0)=0,"RETEST UNDATED",IF(NOT(ISNUMBER($T676)),"RETEST DATE UNCHECKED",IF(_xlfn.MINIFS(nrES_Date,nrES_PID,$D676,nrES_Code,$F676,nrES_Att,2,nrES_Raw,"&gt;=0",nrES_Date,"&gt;0")&gt;$T676,"LATE RETEST "&amp;TEXT(_xlfn.MINIFS(nrES_Date,nrES_PID,$D676,nrES_Code,$F676,nrES_Att,2,nrES_Raw,"&gt;=0",nrES_Date,"&gt;0"),"mm/dd")&amp;" (due "&amp;TEXT($T676,"mm/dd")&amp;")","Retested"))),IF(NOT(ISNUMBER($T676)),"CHECK DATE",IF(TODAY()&gt;$T676,"OVERDUE","Due "&amp;TEXT($T676,"mm/dd")))))))</f>
        <v/>
      </c>
      <c r="V676" s="16" t="n"/>
      <c r="W676" s="16" t="n"/>
      <c r="X676" s="17">
        <f>IF($C676="","",IF(AND($L676&lt;&gt;"",NOT(ISNUMBER($L676))),"RAW SCORE NOT A NUMBER",IF(AND(ISNUMBER($L676),OR($L676&lt;0,$L676&gt;100)),"RAW SCORE OUT OF RANGE",IF(AND($Y676="Unexcused",OR($L676="",NOT(ISNUMBER($L676)),$L676&lt;&gt;0)),"UNEXCUSED ABSENCE MUST RECORD 0",IF(COUNTIF(nrES_RecID,$B676)&gt;1,"DUPLICATE RECORD",IF(N($K676)&gt;2,"ATTEMPT 3+ NOT ALLOWED - policy 300.5 permits one retest per exam; this row records nothing",IF(AND($K676=2,COUNTIFS(nrES_PID,$D676,nrES_Code,$F676,nrES_Att,1)=0),"ATTEMPT 2 WITHOUT ATTEMPT 1",IF(AND($K676=2,$L676=""),"RETEST ROW HAS NO SCORE",IF(AND($H676="Final",$L676&lt;&gt;"",IFERROR(INDEX(nrCKfinalExamElig,MATCH($D676,rngCadetPIDs,0)),"")="No"),"FINAL EXAM AFTER FAILED FINAL PT (500.1.H)",IF(AND($K676=2,ISNUMBER($L676),COUNTIFS(nrES_PID,$D676,nrES_Code,$F676,nrES_Att,1)&gt;0,SUMIFS(nrES_Raw,nrES_PID,$D676,nrES_Code,$F676,nrES_Att,1)&gt;=$J676),"RETEST AFTER A PASSING FIRST ATTEMPT","OK"))))))))))</f>
        <v/>
      </c>
      <c r="Y676" s="16" t="n"/>
    </row>
    <row r="677">
      <c r="B677" s="17">
        <f>IF($C677="","",$D677&amp;"-"&amp;$F677&amp;"-"&amp;$K677)</f>
        <v/>
      </c>
      <c r="C677" s="16" t="n"/>
      <c r="D677" s="17">
        <f>IF($C677="","",IFERROR(INDEX(rngCadetPIDs,MATCH($C677,rngCadetNames,0)),"?"))</f>
        <v/>
      </c>
      <c r="E677" s="17">
        <f>IF($D677="","",IFERROR(INDEX(nrCadetAgency,MATCH($D677,rngCadetPIDs,0)),""))</f>
        <v/>
      </c>
      <c r="F677" s="16" t="n"/>
      <c r="G677" s="17">
        <f>IF($F677="","",IFERROR(INDEX(rngEPname,MATCH($F677,rngEPcode,0)),"?"))</f>
        <v/>
      </c>
      <c r="H677" s="17">
        <f>IF($F677="","",IFERROR(INDEX(rngEPtype,MATCH($F677,rngEPcode,0)),"?"))</f>
        <v/>
      </c>
      <c r="I677" s="17">
        <f>IF($F677="","",IFERROR(INDEX(rngEPseq,MATCH($F677,rngEPcode,0)),""))</f>
        <v/>
      </c>
      <c r="J677" s="17">
        <f>IF($F677="","",IFERROR(INDEX(rngEPpass,MATCH($F677,rngEPcode,0)),cfgPassingScore))</f>
        <v/>
      </c>
      <c r="K677" s="16" t="n"/>
      <c r="L677" s="16" t="n"/>
      <c r="M677" s="17">
        <f>IF($C677="","",IF($L677="","",IF(NOT(ISNUMBER($L677)),$L677,IF(N($K677)&gt;2,"",IF($K677=1,IF(COUNTIFS(nrES_PID,$D677,nrES_Code,$F677,nrES_Att,2,nrES_Raw,"&gt;=0")&gt;0,"",$L677),IF($L677&gt;=$J677,MAX($J677,cfgRetakeRecordedCap),IF(COUNTIFS(nrES_PID,$D677,nrES_Code,$F677,nrES_Att,1)=0,$L677,SUMIFS(nrES_Raw,nrES_PID,$D677,nrES_Code,$F677,nrES_Att,1))))))))</f>
        <v/>
      </c>
      <c r="N677" s="17">
        <f>IF($C677="","",IF($L677="","",IF(NOT(ISNUMBER($L677)),"(not a score)",IF($L677&gt;=$J677,"Yes","No"))))</f>
        <v/>
      </c>
      <c r="O677" s="17">
        <f>IF($C677="","",IF($M677="","",IF(NOT(ISNUMBER($M677)),"(not a score)",IF($M677&gt;=$J677,"Yes","No"))))</f>
        <v/>
      </c>
      <c r="P677" s="17">
        <f>IF($C677="","",IF($K677="","",IF(N($K677)&gt;2,"No",IF(COUNTIFS(nrES_PID,$D677,nrES_Code,$F677,nrES_Att,"&gt;"&amp;$K677,nrES_Att,"&lt;=2",nrES_Raw,"&gt;=0")=0,"Yes","No"))))</f>
        <v/>
      </c>
      <c r="Q677" s="17">
        <f>IF($C677="","",IF($L677="","",IF(AND($K677=1,ISNUMBER($L677),$L677&lt;$J677,COUNTIFS(nrES_PID,$D677,nrES_Code,$F677,nrES_Att,2,nrES_Raw,"&gt;=0")=0),"Yes","No")))</f>
        <v/>
      </c>
      <c r="R677" s="17">
        <f>IF($C677="","",IF($L677="","",IF(AND(N($K677)&gt;=2,ISNUMBER($L677),$L677&lt;$J677),"Yes","No")))</f>
        <v/>
      </c>
      <c r="S677" s="18" t="n"/>
      <c r="T677" s="19">
        <f>IF(OR($C677="",$L677="",$K677&lt;&gt;1,NOT(ISNUMBER($L677)),$L677&gt;=$J677),"",IF($S677="","(enter date)",_xlfn.LET(_xlpm.dn,_xlfn.XLOOKUP($S677,nrCDdate,nrCDnum,"",1),IF(_xlpm.dn="","(after last class day)",_xlfn.LET(_xlpm.dd,_xlfn.XLOOKUP(_xlpm.dn+cfgRetestClassDays,nrCDnum,nrCDdate,""),_xlpm.ok,_xlfn.XLOOKUP(_xlpm.dn+cfgRetestClassDays,nrCDnum,nrCDinsession,"No"),IF(OR(_xlpm.dd="",_xlpm.ok&lt;&gt;"Yes"),"(after last class day)",_xlpm.dd))))))</f>
        <v/>
      </c>
      <c r="U677" s="17">
        <f>IF($C677="","",IF(AND($Y677="Excused",$L677="",N($K677)&lt;=1),"EXCUSED - 1st attempt pending",IF(OR($L677="",$K677&lt;&gt;1,NOT(ISNUMBER($L677)),$L677&gt;=$J677),"",IF(COUNTIFS(nrES_PID,$D677,nrES_Code,$F677,nrES_Att,2,nrES_Raw,"&gt;=0")&gt;0,IF(IFERROR(_xlfn.MINIFS(nrES_Date,nrES_PID,$D677,nrES_Code,$F677,nrES_Att,2,nrES_Raw,"&gt;=0",nrES_Date,"&gt;0"),0)=0,"RETEST UNDATED",IF(NOT(ISNUMBER($T677)),"RETEST DATE UNCHECKED",IF(_xlfn.MINIFS(nrES_Date,nrES_PID,$D677,nrES_Code,$F677,nrES_Att,2,nrES_Raw,"&gt;=0",nrES_Date,"&gt;0")&gt;$T677,"LATE RETEST "&amp;TEXT(_xlfn.MINIFS(nrES_Date,nrES_PID,$D677,nrES_Code,$F677,nrES_Att,2,nrES_Raw,"&gt;=0",nrES_Date,"&gt;0"),"mm/dd")&amp;" (due "&amp;TEXT($T677,"mm/dd")&amp;")","Retested"))),IF(NOT(ISNUMBER($T677)),"CHECK DATE",IF(TODAY()&gt;$T677,"OVERDUE","Due "&amp;TEXT($T677,"mm/dd")))))))</f>
        <v/>
      </c>
      <c r="V677" s="16" t="n"/>
      <c r="W677" s="16" t="n"/>
      <c r="X677" s="17">
        <f>IF($C677="","",IF(AND($L677&lt;&gt;"",NOT(ISNUMBER($L677))),"RAW SCORE NOT A NUMBER",IF(AND(ISNUMBER($L677),OR($L677&lt;0,$L677&gt;100)),"RAW SCORE OUT OF RANGE",IF(AND($Y677="Unexcused",OR($L677="",NOT(ISNUMBER($L677)),$L677&lt;&gt;0)),"UNEXCUSED ABSENCE MUST RECORD 0",IF(COUNTIF(nrES_RecID,$B677)&gt;1,"DUPLICATE RECORD",IF(N($K677)&gt;2,"ATTEMPT 3+ NOT ALLOWED - policy 300.5 permits one retest per exam; this row records nothing",IF(AND($K677=2,COUNTIFS(nrES_PID,$D677,nrES_Code,$F677,nrES_Att,1)=0),"ATTEMPT 2 WITHOUT ATTEMPT 1",IF(AND($K677=2,$L677=""),"RETEST ROW HAS NO SCORE",IF(AND($H677="Final",$L677&lt;&gt;"",IFERROR(INDEX(nrCKfinalExamElig,MATCH($D677,rngCadetPIDs,0)),"")="No"),"FINAL EXAM AFTER FAILED FINAL PT (500.1.H)",IF(AND($K677=2,ISNUMBER($L677),COUNTIFS(nrES_PID,$D677,nrES_Code,$F677,nrES_Att,1)&gt;0,SUMIFS(nrES_Raw,nrES_PID,$D677,nrES_Code,$F677,nrES_Att,1)&gt;=$J677),"RETEST AFTER A PASSING FIRST ATTEMPT","OK"))))))))))</f>
        <v/>
      </c>
      <c r="Y677" s="16" t="n"/>
    </row>
    <row r="678">
      <c r="B678" s="17">
        <f>IF($C678="","",$D678&amp;"-"&amp;$F678&amp;"-"&amp;$K678)</f>
        <v/>
      </c>
      <c r="C678" s="16" t="n"/>
      <c r="D678" s="17">
        <f>IF($C678="","",IFERROR(INDEX(rngCadetPIDs,MATCH($C678,rngCadetNames,0)),"?"))</f>
        <v/>
      </c>
      <c r="E678" s="17">
        <f>IF($D678="","",IFERROR(INDEX(nrCadetAgency,MATCH($D678,rngCadetPIDs,0)),""))</f>
        <v/>
      </c>
      <c r="F678" s="16" t="n"/>
      <c r="G678" s="17">
        <f>IF($F678="","",IFERROR(INDEX(rngEPname,MATCH($F678,rngEPcode,0)),"?"))</f>
        <v/>
      </c>
      <c r="H678" s="17">
        <f>IF($F678="","",IFERROR(INDEX(rngEPtype,MATCH($F678,rngEPcode,0)),"?"))</f>
        <v/>
      </c>
      <c r="I678" s="17">
        <f>IF($F678="","",IFERROR(INDEX(rngEPseq,MATCH($F678,rngEPcode,0)),""))</f>
        <v/>
      </c>
      <c r="J678" s="17">
        <f>IF($F678="","",IFERROR(INDEX(rngEPpass,MATCH($F678,rngEPcode,0)),cfgPassingScore))</f>
        <v/>
      </c>
      <c r="K678" s="16" t="n"/>
      <c r="L678" s="16" t="n"/>
      <c r="M678" s="17">
        <f>IF($C678="","",IF($L678="","",IF(NOT(ISNUMBER($L678)),$L678,IF(N($K678)&gt;2,"",IF($K678=1,IF(COUNTIFS(nrES_PID,$D678,nrES_Code,$F678,nrES_Att,2,nrES_Raw,"&gt;=0")&gt;0,"",$L678),IF($L678&gt;=$J678,MAX($J678,cfgRetakeRecordedCap),IF(COUNTIFS(nrES_PID,$D678,nrES_Code,$F678,nrES_Att,1)=0,$L678,SUMIFS(nrES_Raw,nrES_PID,$D678,nrES_Code,$F678,nrES_Att,1))))))))</f>
        <v/>
      </c>
      <c r="N678" s="17">
        <f>IF($C678="","",IF($L678="","",IF(NOT(ISNUMBER($L678)),"(not a score)",IF($L678&gt;=$J678,"Yes","No"))))</f>
        <v/>
      </c>
      <c r="O678" s="17">
        <f>IF($C678="","",IF($M678="","",IF(NOT(ISNUMBER($M678)),"(not a score)",IF($M678&gt;=$J678,"Yes","No"))))</f>
        <v/>
      </c>
      <c r="P678" s="17">
        <f>IF($C678="","",IF($K678="","",IF(N($K678)&gt;2,"No",IF(COUNTIFS(nrES_PID,$D678,nrES_Code,$F678,nrES_Att,"&gt;"&amp;$K678,nrES_Att,"&lt;=2",nrES_Raw,"&gt;=0")=0,"Yes","No"))))</f>
        <v/>
      </c>
      <c r="Q678" s="17">
        <f>IF($C678="","",IF($L678="","",IF(AND($K678=1,ISNUMBER($L678),$L678&lt;$J678,COUNTIFS(nrES_PID,$D678,nrES_Code,$F678,nrES_Att,2,nrES_Raw,"&gt;=0")=0),"Yes","No")))</f>
        <v/>
      </c>
      <c r="R678" s="17">
        <f>IF($C678="","",IF($L678="","",IF(AND(N($K678)&gt;=2,ISNUMBER($L678),$L678&lt;$J678),"Yes","No")))</f>
        <v/>
      </c>
      <c r="S678" s="18" t="n"/>
      <c r="T678" s="19">
        <f>IF(OR($C678="",$L678="",$K678&lt;&gt;1,NOT(ISNUMBER($L678)),$L678&gt;=$J678),"",IF($S678="","(enter date)",_xlfn.LET(_xlpm.dn,_xlfn.XLOOKUP($S678,nrCDdate,nrCDnum,"",1),IF(_xlpm.dn="","(after last class day)",_xlfn.LET(_xlpm.dd,_xlfn.XLOOKUP(_xlpm.dn+cfgRetestClassDays,nrCDnum,nrCDdate,""),_xlpm.ok,_xlfn.XLOOKUP(_xlpm.dn+cfgRetestClassDays,nrCDnum,nrCDinsession,"No"),IF(OR(_xlpm.dd="",_xlpm.ok&lt;&gt;"Yes"),"(after last class day)",_xlpm.dd))))))</f>
        <v/>
      </c>
      <c r="U678" s="17">
        <f>IF($C678="","",IF(AND($Y678="Excused",$L678="",N($K678)&lt;=1),"EXCUSED - 1st attempt pending",IF(OR($L678="",$K678&lt;&gt;1,NOT(ISNUMBER($L678)),$L678&gt;=$J678),"",IF(COUNTIFS(nrES_PID,$D678,nrES_Code,$F678,nrES_Att,2,nrES_Raw,"&gt;=0")&gt;0,IF(IFERROR(_xlfn.MINIFS(nrES_Date,nrES_PID,$D678,nrES_Code,$F678,nrES_Att,2,nrES_Raw,"&gt;=0",nrES_Date,"&gt;0"),0)=0,"RETEST UNDATED",IF(NOT(ISNUMBER($T678)),"RETEST DATE UNCHECKED",IF(_xlfn.MINIFS(nrES_Date,nrES_PID,$D678,nrES_Code,$F678,nrES_Att,2,nrES_Raw,"&gt;=0",nrES_Date,"&gt;0")&gt;$T678,"LATE RETEST "&amp;TEXT(_xlfn.MINIFS(nrES_Date,nrES_PID,$D678,nrES_Code,$F678,nrES_Att,2,nrES_Raw,"&gt;=0",nrES_Date,"&gt;0"),"mm/dd")&amp;" (due "&amp;TEXT($T678,"mm/dd")&amp;")","Retested"))),IF(NOT(ISNUMBER($T678)),"CHECK DATE",IF(TODAY()&gt;$T678,"OVERDUE","Due "&amp;TEXT($T678,"mm/dd")))))))</f>
        <v/>
      </c>
      <c r="V678" s="16" t="n"/>
      <c r="W678" s="16" t="n"/>
      <c r="X678" s="17">
        <f>IF($C678="","",IF(AND($L678&lt;&gt;"",NOT(ISNUMBER($L678))),"RAW SCORE NOT A NUMBER",IF(AND(ISNUMBER($L678),OR($L678&lt;0,$L678&gt;100)),"RAW SCORE OUT OF RANGE",IF(AND($Y678="Unexcused",OR($L678="",NOT(ISNUMBER($L678)),$L678&lt;&gt;0)),"UNEXCUSED ABSENCE MUST RECORD 0",IF(COUNTIF(nrES_RecID,$B678)&gt;1,"DUPLICATE RECORD",IF(N($K678)&gt;2,"ATTEMPT 3+ NOT ALLOWED - policy 300.5 permits one retest per exam; this row records nothing",IF(AND($K678=2,COUNTIFS(nrES_PID,$D678,nrES_Code,$F678,nrES_Att,1)=0),"ATTEMPT 2 WITHOUT ATTEMPT 1",IF(AND($K678=2,$L678=""),"RETEST ROW HAS NO SCORE",IF(AND($H678="Final",$L678&lt;&gt;"",IFERROR(INDEX(nrCKfinalExamElig,MATCH($D678,rngCadetPIDs,0)),"")="No"),"FINAL EXAM AFTER FAILED FINAL PT (500.1.H)",IF(AND($K678=2,ISNUMBER($L678),COUNTIFS(nrES_PID,$D678,nrES_Code,$F678,nrES_Att,1)&gt;0,SUMIFS(nrES_Raw,nrES_PID,$D678,nrES_Code,$F678,nrES_Att,1)&gt;=$J678),"RETEST AFTER A PASSING FIRST ATTEMPT","OK"))))))))))</f>
        <v/>
      </c>
      <c r="Y678" s="16" t="n"/>
    </row>
    <row r="679">
      <c r="B679" s="17">
        <f>IF($C679="","",$D679&amp;"-"&amp;$F679&amp;"-"&amp;$K679)</f>
        <v/>
      </c>
      <c r="C679" s="16" t="n"/>
      <c r="D679" s="17">
        <f>IF($C679="","",IFERROR(INDEX(rngCadetPIDs,MATCH($C679,rngCadetNames,0)),"?"))</f>
        <v/>
      </c>
      <c r="E679" s="17">
        <f>IF($D679="","",IFERROR(INDEX(nrCadetAgency,MATCH($D679,rngCadetPIDs,0)),""))</f>
        <v/>
      </c>
      <c r="F679" s="16" t="n"/>
      <c r="G679" s="17">
        <f>IF($F679="","",IFERROR(INDEX(rngEPname,MATCH($F679,rngEPcode,0)),"?"))</f>
        <v/>
      </c>
      <c r="H679" s="17">
        <f>IF($F679="","",IFERROR(INDEX(rngEPtype,MATCH($F679,rngEPcode,0)),"?"))</f>
        <v/>
      </c>
      <c r="I679" s="17">
        <f>IF($F679="","",IFERROR(INDEX(rngEPseq,MATCH($F679,rngEPcode,0)),""))</f>
        <v/>
      </c>
      <c r="J679" s="17">
        <f>IF($F679="","",IFERROR(INDEX(rngEPpass,MATCH($F679,rngEPcode,0)),cfgPassingScore))</f>
        <v/>
      </c>
      <c r="K679" s="16" t="n"/>
      <c r="L679" s="16" t="n"/>
      <c r="M679" s="17">
        <f>IF($C679="","",IF($L679="","",IF(NOT(ISNUMBER($L679)),$L679,IF(N($K679)&gt;2,"",IF($K679=1,IF(COUNTIFS(nrES_PID,$D679,nrES_Code,$F679,nrES_Att,2,nrES_Raw,"&gt;=0")&gt;0,"",$L679),IF($L679&gt;=$J679,MAX($J679,cfgRetakeRecordedCap),IF(COUNTIFS(nrES_PID,$D679,nrES_Code,$F679,nrES_Att,1)=0,$L679,SUMIFS(nrES_Raw,nrES_PID,$D679,nrES_Code,$F679,nrES_Att,1))))))))</f>
        <v/>
      </c>
      <c r="N679" s="17">
        <f>IF($C679="","",IF($L679="","",IF(NOT(ISNUMBER($L679)),"(not a score)",IF($L679&gt;=$J679,"Yes","No"))))</f>
        <v/>
      </c>
      <c r="O679" s="17">
        <f>IF($C679="","",IF($M679="","",IF(NOT(ISNUMBER($M679)),"(not a score)",IF($M679&gt;=$J679,"Yes","No"))))</f>
        <v/>
      </c>
      <c r="P679" s="17">
        <f>IF($C679="","",IF($K679="","",IF(N($K679)&gt;2,"No",IF(COUNTIFS(nrES_PID,$D679,nrES_Code,$F679,nrES_Att,"&gt;"&amp;$K679,nrES_Att,"&lt;=2",nrES_Raw,"&gt;=0")=0,"Yes","No"))))</f>
        <v/>
      </c>
      <c r="Q679" s="17">
        <f>IF($C679="","",IF($L679="","",IF(AND($K679=1,ISNUMBER($L679),$L679&lt;$J679,COUNTIFS(nrES_PID,$D679,nrES_Code,$F679,nrES_Att,2,nrES_Raw,"&gt;=0")=0),"Yes","No")))</f>
        <v/>
      </c>
      <c r="R679" s="17">
        <f>IF($C679="","",IF($L679="","",IF(AND(N($K679)&gt;=2,ISNUMBER($L679),$L679&lt;$J679),"Yes","No")))</f>
        <v/>
      </c>
      <c r="S679" s="18" t="n"/>
      <c r="T679" s="19">
        <f>IF(OR($C679="",$L679="",$K679&lt;&gt;1,NOT(ISNUMBER($L679)),$L679&gt;=$J679),"",IF($S679="","(enter date)",_xlfn.LET(_xlpm.dn,_xlfn.XLOOKUP($S679,nrCDdate,nrCDnum,"",1),IF(_xlpm.dn="","(after last class day)",_xlfn.LET(_xlpm.dd,_xlfn.XLOOKUP(_xlpm.dn+cfgRetestClassDays,nrCDnum,nrCDdate,""),_xlpm.ok,_xlfn.XLOOKUP(_xlpm.dn+cfgRetestClassDays,nrCDnum,nrCDinsession,"No"),IF(OR(_xlpm.dd="",_xlpm.ok&lt;&gt;"Yes"),"(after last class day)",_xlpm.dd))))))</f>
        <v/>
      </c>
      <c r="U679" s="17">
        <f>IF($C679="","",IF(AND($Y679="Excused",$L679="",N($K679)&lt;=1),"EXCUSED - 1st attempt pending",IF(OR($L679="",$K679&lt;&gt;1,NOT(ISNUMBER($L679)),$L679&gt;=$J679),"",IF(COUNTIFS(nrES_PID,$D679,nrES_Code,$F679,nrES_Att,2,nrES_Raw,"&gt;=0")&gt;0,IF(IFERROR(_xlfn.MINIFS(nrES_Date,nrES_PID,$D679,nrES_Code,$F679,nrES_Att,2,nrES_Raw,"&gt;=0",nrES_Date,"&gt;0"),0)=0,"RETEST UNDATED",IF(NOT(ISNUMBER($T679)),"RETEST DATE UNCHECKED",IF(_xlfn.MINIFS(nrES_Date,nrES_PID,$D679,nrES_Code,$F679,nrES_Att,2,nrES_Raw,"&gt;=0",nrES_Date,"&gt;0")&gt;$T679,"LATE RETEST "&amp;TEXT(_xlfn.MINIFS(nrES_Date,nrES_PID,$D679,nrES_Code,$F679,nrES_Att,2,nrES_Raw,"&gt;=0",nrES_Date,"&gt;0"),"mm/dd")&amp;" (due "&amp;TEXT($T679,"mm/dd")&amp;")","Retested"))),IF(NOT(ISNUMBER($T679)),"CHECK DATE",IF(TODAY()&gt;$T679,"OVERDUE","Due "&amp;TEXT($T679,"mm/dd")))))))</f>
        <v/>
      </c>
      <c r="V679" s="16" t="n"/>
      <c r="W679" s="16" t="n"/>
      <c r="X679" s="17">
        <f>IF($C679="","",IF(AND($L679&lt;&gt;"",NOT(ISNUMBER($L679))),"RAW SCORE NOT A NUMBER",IF(AND(ISNUMBER($L679),OR($L679&lt;0,$L679&gt;100)),"RAW SCORE OUT OF RANGE",IF(AND($Y679="Unexcused",OR($L679="",NOT(ISNUMBER($L679)),$L679&lt;&gt;0)),"UNEXCUSED ABSENCE MUST RECORD 0",IF(COUNTIF(nrES_RecID,$B679)&gt;1,"DUPLICATE RECORD",IF(N($K679)&gt;2,"ATTEMPT 3+ NOT ALLOWED - policy 300.5 permits one retest per exam; this row records nothing",IF(AND($K679=2,COUNTIFS(nrES_PID,$D679,nrES_Code,$F679,nrES_Att,1)=0),"ATTEMPT 2 WITHOUT ATTEMPT 1",IF(AND($K679=2,$L679=""),"RETEST ROW HAS NO SCORE",IF(AND($H679="Final",$L679&lt;&gt;"",IFERROR(INDEX(nrCKfinalExamElig,MATCH($D679,rngCadetPIDs,0)),"")="No"),"FINAL EXAM AFTER FAILED FINAL PT (500.1.H)",IF(AND($K679=2,ISNUMBER($L679),COUNTIFS(nrES_PID,$D679,nrES_Code,$F679,nrES_Att,1)&gt;0,SUMIFS(nrES_Raw,nrES_PID,$D679,nrES_Code,$F679,nrES_Att,1)&gt;=$J679),"RETEST AFTER A PASSING FIRST ATTEMPT","OK"))))))))))</f>
        <v/>
      </c>
      <c r="Y679" s="16" t="n"/>
    </row>
    <row r="680">
      <c r="B680" s="17">
        <f>IF($C680="","",$D680&amp;"-"&amp;$F680&amp;"-"&amp;$K680)</f>
        <v/>
      </c>
      <c r="C680" s="16" t="n"/>
      <c r="D680" s="17">
        <f>IF($C680="","",IFERROR(INDEX(rngCadetPIDs,MATCH($C680,rngCadetNames,0)),"?"))</f>
        <v/>
      </c>
      <c r="E680" s="17">
        <f>IF($D680="","",IFERROR(INDEX(nrCadetAgency,MATCH($D680,rngCadetPIDs,0)),""))</f>
        <v/>
      </c>
      <c r="F680" s="16" t="n"/>
      <c r="G680" s="17">
        <f>IF($F680="","",IFERROR(INDEX(rngEPname,MATCH($F680,rngEPcode,0)),"?"))</f>
        <v/>
      </c>
      <c r="H680" s="17">
        <f>IF($F680="","",IFERROR(INDEX(rngEPtype,MATCH($F680,rngEPcode,0)),"?"))</f>
        <v/>
      </c>
      <c r="I680" s="17">
        <f>IF($F680="","",IFERROR(INDEX(rngEPseq,MATCH($F680,rngEPcode,0)),""))</f>
        <v/>
      </c>
      <c r="J680" s="17">
        <f>IF($F680="","",IFERROR(INDEX(rngEPpass,MATCH($F680,rngEPcode,0)),cfgPassingScore))</f>
        <v/>
      </c>
      <c r="K680" s="16" t="n"/>
      <c r="L680" s="16" t="n"/>
      <c r="M680" s="17">
        <f>IF($C680="","",IF($L680="","",IF(NOT(ISNUMBER($L680)),$L680,IF(N($K680)&gt;2,"",IF($K680=1,IF(COUNTIFS(nrES_PID,$D680,nrES_Code,$F680,nrES_Att,2,nrES_Raw,"&gt;=0")&gt;0,"",$L680),IF($L680&gt;=$J680,MAX($J680,cfgRetakeRecordedCap),IF(COUNTIFS(nrES_PID,$D680,nrES_Code,$F680,nrES_Att,1)=0,$L680,SUMIFS(nrES_Raw,nrES_PID,$D680,nrES_Code,$F680,nrES_Att,1))))))))</f>
        <v/>
      </c>
      <c r="N680" s="17">
        <f>IF($C680="","",IF($L680="","",IF(NOT(ISNUMBER($L680)),"(not a score)",IF($L680&gt;=$J680,"Yes","No"))))</f>
        <v/>
      </c>
      <c r="O680" s="17">
        <f>IF($C680="","",IF($M680="","",IF(NOT(ISNUMBER($M680)),"(not a score)",IF($M680&gt;=$J680,"Yes","No"))))</f>
        <v/>
      </c>
      <c r="P680" s="17">
        <f>IF($C680="","",IF($K680="","",IF(N($K680)&gt;2,"No",IF(COUNTIFS(nrES_PID,$D680,nrES_Code,$F680,nrES_Att,"&gt;"&amp;$K680,nrES_Att,"&lt;=2",nrES_Raw,"&gt;=0")=0,"Yes","No"))))</f>
        <v/>
      </c>
      <c r="Q680" s="17">
        <f>IF($C680="","",IF($L680="","",IF(AND($K680=1,ISNUMBER($L680),$L680&lt;$J680,COUNTIFS(nrES_PID,$D680,nrES_Code,$F680,nrES_Att,2,nrES_Raw,"&gt;=0")=0),"Yes","No")))</f>
        <v/>
      </c>
      <c r="R680" s="17">
        <f>IF($C680="","",IF($L680="","",IF(AND(N($K680)&gt;=2,ISNUMBER($L680),$L680&lt;$J680),"Yes","No")))</f>
        <v/>
      </c>
      <c r="S680" s="18" t="n"/>
      <c r="T680" s="19">
        <f>IF(OR($C680="",$L680="",$K680&lt;&gt;1,NOT(ISNUMBER($L680)),$L680&gt;=$J680),"",IF($S680="","(enter date)",_xlfn.LET(_xlpm.dn,_xlfn.XLOOKUP($S680,nrCDdate,nrCDnum,"",1),IF(_xlpm.dn="","(after last class day)",_xlfn.LET(_xlpm.dd,_xlfn.XLOOKUP(_xlpm.dn+cfgRetestClassDays,nrCDnum,nrCDdate,""),_xlpm.ok,_xlfn.XLOOKUP(_xlpm.dn+cfgRetestClassDays,nrCDnum,nrCDinsession,"No"),IF(OR(_xlpm.dd="",_xlpm.ok&lt;&gt;"Yes"),"(after last class day)",_xlpm.dd))))))</f>
        <v/>
      </c>
      <c r="U680" s="17">
        <f>IF($C680="","",IF(AND($Y680="Excused",$L680="",N($K680)&lt;=1),"EXCUSED - 1st attempt pending",IF(OR($L680="",$K680&lt;&gt;1,NOT(ISNUMBER($L680)),$L680&gt;=$J680),"",IF(COUNTIFS(nrES_PID,$D680,nrES_Code,$F680,nrES_Att,2,nrES_Raw,"&gt;=0")&gt;0,IF(IFERROR(_xlfn.MINIFS(nrES_Date,nrES_PID,$D680,nrES_Code,$F680,nrES_Att,2,nrES_Raw,"&gt;=0",nrES_Date,"&gt;0"),0)=0,"RETEST UNDATED",IF(NOT(ISNUMBER($T680)),"RETEST DATE UNCHECKED",IF(_xlfn.MINIFS(nrES_Date,nrES_PID,$D680,nrES_Code,$F680,nrES_Att,2,nrES_Raw,"&gt;=0",nrES_Date,"&gt;0")&gt;$T680,"LATE RETEST "&amp;TEXT(_xlfn.MINIFS(nrES_Date,nrES_PID,$D680,nrES_Code,$F680,nrES_Att,2,nrES_Raw,"&gt;=0",nrES_Date,"&gt;0"),"mm/dd")&amp;" (due "&amp;TEXT($T680,"mm/dd")&amp;")","Retested"))),IF(NOT(ISNUMBER($T680)),"CHECK DATE",IF(TODAY()&gt;$T680,"OVERDUE","Due "&amp;TEXT($T680,"mm/dd")))))))</f>
        <v/>
      </c>
      <c r="V680" s="16" t="n"/>
      <c r="W680" s="16" t="n"/>
      <c r="X680" s="17">
        <f>IF($C680="","",IF(AND($L680&lt;&gt;"",NOT(ISNUMBER($L680))),"RAW SCORE NOT A NUMBER",IF(AND(ISNUMBER($L680),OR($L680&lt;0,$L680&gt;100)),"RAW SCORE OUT OF RANGE",IF(AND($Y680="Unexcused",OR($L680="",NOT(ISNUMBER($L680)),$L680&lt;&gt;0)),"UNEXCUSED ABSENCE MUST RECORD 0",IF(COUNTIF(nrES_RecID,$B680)&gt;1,"DUPLICATE RECORD",IF(N($K680)&gt;2,"ATTEMPT 3+ NOT ALLOWED - policy 300.5 permits one retest per exam; this row records nothing",IF(AND($K680=2,COUNTIFS(nrES_PID,$D680,nrES_Code,$F680,nrES_Att,1)=0),"ATTEMPT 2 WITHOUT ATTEMPT 1",IF(AND($K680=2,$L680=""),"RETEST ROW HAS NO SCORE",IF(AND($H680="Final",$L680&lt;&gt;"",IFERROR(INDEX(nrCKfinalExamElig,MATCH($D680,rngCadetPIDs,0)),"")="No"),"FINAL EXAM AFTER FAILED FINAL PT (500.1.H)",IF(AND($K680=2,ISNUMBER($L680),COUNTIFS(nrES_PID,$D680,nrES_Code,$F680,nrES_Att,1)&gt;0,SUMIFS(nrES_Raw,nrES_PID,$D680,nrES_Code,$F680,nrES_Att,1)&gt;=$J680),"RETEST AFTER A PASSING FIRST ATTEMPT","OK"))))))))))</f>
        <v/>
      </c>
      <c r="Y680" s="16" t="n"/>
    </row>
    <row r="681">
      <c r="B681" s="17">
        <f>IF($C681="","",$D681&amp;"-"&amp;$F681&amp;"-"&amp;$K681)</f>
        <v/>
      </c>
      <c r="C681" s="16" t="n"/>
      <c r="D681" s="17">
        <f>IF($C681="","",IFERROR(INDEX(rngCadetPIDs,MATCH($C681,rngCadetNames,0)),"?"))</f>
        <v/>
      </c>
      <c r="E681" s="17">
        <f>IF($D681="","",IFERROR(INDEX(nrCadetAgency,MATCH($D681,rngCadetPIDs,0)),""))</f>
        <v/>
      </c>
      <c r="F681" s="16" t="n"/>
      <c r="G681" s="17">
        <f>IF($F681="","",IFERROR(INDEX(rngEPname,MATCH($F681,rngEPcode,0)),"?"))</f>
        <v/>
      </c>
      <c r="H681" s="17">
        <f>IF($F681="","",IFERROR(INDEX(rngEPtype,MATCH($F681,rngEPcode,0)),"?"))</f>
        <v/>
      </c>
      <c r="I681" s="17">
        <f>IF($F681="","",IFERROR(INDEX(rngEPseq,MATCH($F681,rngEPcode,0)),""))</f>
        <v/>
      </c>
      <c r="J681" s="17">
        <f>IF($F681="","",IFERROR(INDEX(rngEPpass,MATCH($F681,rngEPcode,0)),cfgPassingScore))</f>
        <v/>
      </c>
      <c r="K681" s="16" t="n"/>
      <c r="L681" s="16" t="n"/>
      <c r="M681" s="17">
        <f>IF($C681="","",IF($L681="","",IF(NOT(ISNUMBER($L681)),$L681,IF(N($K681)&gt;2,"",IF($K681=1,IF(COUNTIFS(nrES_PID,$D681,nrES_Code,$F681,nrES_Att,2,nrES_Raw,"&gt;=0")&gt;0,"",$L681),IF($L681&gt;=$J681,MAX($J681,cfgRetakeRecordedCap),IF(COUNTIFS(nrES_PID,$D681,nrES_Code,$F681,nrES_Att,1)=0,$L681,SUMIFS(nrES_Raw,nrES_PID,$D681,nrES_Code,$F681,nrES_Att,1))))))))</f>
        <v/>
      </c>
      <c r="N681" s="17">
        <f>IF($C681="","",IF($L681="","",IF(NOT(ISNUMBER($L681)),"(not a score)",IF($L681&gt;=$J681,"Yes","No"))))</f>
        <v/>
      </c>
      <c r="O681" s="17">
        <f>IF($C681="","",IF($M681="","",IF(NOT(ISNUMBER($M681)),"(not a score)",IF($M681&gt;=$J681,"Yes","No"))))</f>
        <v/>
      </c>
      <c r="P681" s="17">
        <f>IF($C681="","",IF($K681="","",IF(N($K681)&gt;2,"No",IF(COUNTIFS(nrES_PID,$D681,nrES_Code,$F681,nrES_Att,"&gt;"&amp;$K681,nrES_Att,"&lt;=2",nrES_Raw,"&gt;=0")=0,"Yes","No"))))</f>
        <v/>
      </c>
      <c r="Q681" s="17">
        <f>IF($C681="","",IF($L681="","",IF(AND($K681=1,ISNUMBER($L681),$L681&lt;$J681,COUNTIFS(nrES_PID,$D681,nrES_Code,$F681,nrES_Att,2,nrES_Raw,"&gt;=0")=0),"Yes","No")))</f>
        <v/>
      </c>
      <c r="R681" s="17">
        <f>IF($C681="","",IF($L681="","",IF(AND(N($K681)&gt;=2,ISNUMBER($L681),$L681&lt;$J681),"Yes","No")))</f>
        <v/>
      </c>
      <c r="S681" s="18" t="n"/>
      <c r="T681" s="19">
        <f>IF(OR($C681="",$L681="",$K681&lt;&gt;1,NOT(ISNUMBER($L681)),$L681&gt;=$J681),"",IF($S681="","(enter date)",_xlfn.LET(_xlpm.dn,_xlfn.XLOOKUP($S681,nrCDdate,nrCDnum,"",1),IF(_xlpm.dn="","(after last class day)",_xlfn.LET(_xlpm.dd,_xlfn.XLOOKUP(_xlpm.dn+cfgRetestClassDays,nrCDnum,nrCDdate,""),_xlpm.ok,_xlfn.XLOOKUP(_xlpm.dn+cfgRetestClassDays,nrCDnum,nrCDinsession,"No"),IF(OR(_xlpm.dd="",_xlpm.ok&lt;&gt;"Yes"),"(after last class day)",_xlpm.dd))))))</f>
        <v/>
      </c>
      <c r="U681" s="17">
        <f>IF($C681="","",IF(AND($Y681="Excused",$L681="",N($K681)&lt;=1),"EXCUSED - 1st attempt pending",IF(OR($L681="",$K681&lt;&gt;1,NOT(ISNUMBER($L681)),$L681&gt;=$J681),"",IF(COUNTIFS(nrES_PID,$D681,nrES_Code,$F681,nrES_Att,2,nrES_Raw,"&gt;=0")&gt;0,IF(IFERROR(_xlfn.MINIFS(nrES_Date,nrES_PID,$D681,nrES_Code,$F681,nrES_Att,2,nrES_Raw,"&gt;=0",nrES_Date,"&gt;0"),0)=0,"RETEST UNDATED",IF(NOT(ISNUMBER($T681)),"RETEST DATE UNCHECKED",IF(_xlfn.MINIFS(nrES_Date,nrES_PID,$D681,nrES_Code,$F681,nrES_Att,2,nrES_Raw,"&gt;=0",nrES_Date,"&gt;0")&gt;$T681,"LATE RETEST "&amp;TEXT(_xlfn.MINIFS(nrES_Date,nrES_PID,$D681,nrES_Code,$F681,nrES_Att,2,nrES_Raw,"&gt;=0",nrES_Date,"&gt;0"),"mm/dd")&amp;" (due "&amp;TEXT($T681,"mm/dd")&amp;")","Retested"))),IF(NOT(ISNUMBER($T681)),"CHECK DATE",IF(TODAY()&gt;$T681,"OVERDUE","Due "&amp;TEXT($T681,"mm/dd")))))))</f>
        <v/>
      </c>
      <c r="V681" s="16" t="n"/>
      <c r="W681" s="16" t="n"/>
      <c r="X681" s="17">
        <f>IF($C681="","",IF(AND($L681&lt;&gt;"",NOT(ISNUMBER($L681))),"RAW SCORE NOT A NUMBER",IF(AND(ISNUMBER($L681),OR($L681&lt;0,$L681&gt;100)),"RAW SCORE OUT OF RANGE",IF(AND($Y681="Unexcused",OR($L681="",NOT(ISNUMBER($L681)),$L681&lt;&gt;0)),"UNEXCUSED ABSENCE MUST RECORD 0",IF(COUNTIF(nrES_RecID,$B681)&gt;1,"DUPLICATE RECORD",IF(N($K681)&gt;2,"ATTEMPT 3+ NOT ALLOWED - policy 300.5 permits one retest per exam; this row records nothing",IF(AND($K681=2,COUNTIFS(nrES_PID,$D681,nrES_Code,$F681,nrES_Att,1)=0),"ATTEMPT 2 WITHOUT ATTEMPT 1",IF(AND($K681=2,$L681=""),"RETEST ROW HAS NO SCORE",IF(AND($H681="Final",$L681&lt;&gt;"",IFERROR(INDEX(nrCKfinalExamElig,MATCH($D681,rngCadetPIDs,0)),"")="No"),"FINAL EXAM AFTER FAILED FINAL PT (500.1.H)",IF(AND($K681=2,ISNUMBER($L681),COUNTIFS(nrES_PID,$D681,nrES_Code,$F681,nrES_Att,1)&gt;0,SUMIFS(nrES_Raw,nrES_PID,$D681,nrES_Code,$F681,nrES_Att,1)&gt;=$J681),"RETEST AFTER A PASSING FIRST ATTEMPT","OK"))))))))))</f>
        <v/>
      </c>
      <c r="Y681" s="16" t="n"/>
    </row>
    <row r="682">
      <c r="B682" s="17">
        <f>IF($C682="","",$D682&amp;"-"&amp;$F682&amp;"-"&amp;$K682)</f>
        <v/>
      </c>
      <c r="C682" s="16" t="n"/>
      <c r="D682" s="17">
        <f>IF($C682="","",IFERROR(INDEX(rngCadetPIDs,MATCH($C682,rngCadetNames,0)),"?"))</f>
        <v/>
      </c>
      <c r="E682" s="17">
        <f>IF($D682="","",IFERROR(INDEX(nrCadetAgency,MATCH($D682,rngCadetPIDs,0)),""))</f>
        <v/>
      </c>
      <c r="F682" s="16" t="n"/>
      <c r="G682" s="17">
        <f>IF($F682="","",IFERROR(INDEX(rngEPname,MATCH($F682,rngEPcode,0)),"?"))</f>
        <v/>
      </c>
      <c r="H682" s="17">
        <f>IF($F682="","",IFERROR(INDEX(rngEPtype,MATCH($F682,rngEPcode,0)),"?"))</f>
        <v/>
      </c>
      <c r="I682" s="17">
        <f>IF($F682="","",IFERROR(INDEX(rngEPseq,MATCH($F682,rngEPcode,0)),""))</f>
        <v/>
      </c>
      <c r="J682" s="17">
        <f>IF($F682="","",IFERROR(INDEX(rngEPpass,MATCH($F682,rngEPcode,0)),cfgPassingScore))</f>
        <v/>
      </c>
      <c r="K682" s="16" t="n"/>
      <c r="L682" s="16" t="n"/>
      <c r="M682" s="17">
        <f>IF($C682="","",IF($L682="","",IF(NOT(ISNUMBER($L682)),$L682,IF(N($K682)&gt;2,"",IF($K682=1,IF(COUNTIFS(nrES_PID,$D682,nrES_Code,$F682,nrES_Att,2,nrES_Raw,"&gt;=0")&gt;0,"",$L682),IF($L682&gt;=$J682,MAX($J682,cfgRetakeRecordedCap),IF(COUNTIFS(nrES_PID,$D682,nrES_Code,$F682,nrES_Att,1)=0,$L682,SUMIFS(nrES_Raw,nrES_PID,$D682,nrES_Code,$F682,nrES_Att,1))))))))</f>
        <v/>
      </c>
      <c r="N682" s="17">
        <f>IF($C682="","",IF($L682="","",IF(NOT(ISNUMBER($L682)),"(not a score)",IF($L682&gt;=$J682,"Yes","No"))))</f>
        <v/>
      </c>
      <c r="O682" s="17">
        <f>IF($C682="","",IF($M682="","",IF(NOT(ISNUMBER($M682)),"(not a score)",IF($M682&gt;=$J682,"Yes","No"))))</f>
        <v/>
      </c>
      <c r="P682" s="17">
        <f>IF($C682="","",IF($K682="","",IF(N($K682)&gt;2,"No",IF(COUNTIFS(nrES_PID,$D682,nrES_Code,$F682,nrES_Att,"&gt;"&amp;$K682,nrES_Att,"&lt;=2",nrES_Raw,"&gt;=0")=0,"Yes","No"))))</f>
        <v/>
      </c>
      <c r="Q682" s="17">
        <f>IF($C682="","",IF($L682="","",IF(AND($K682=1,ISNUMBER($L682),$L682&lt;$J682,COUNTIFS(nrES_PID,$D682,nrES_Code,$F682,nrES_Att,2,nrES_Raw,"&gt;=0")=0),"Yes","No")))</f>
        <v/>
      </c>
      <c r="R682" s="17">
        <f>IF($C682="","",IF($L682="","",IF(AND(N($K682)&gt;=2,ISNUMBER($L682),$L682&lt;$J682),"Yes","No")))</f>
        <v/>
      </c>
      <c r="S682" s="18" t="n"/>
      <c r="T682" s="19">
        <f>IF(OR($C682="",$L682="",$K682&lt;&gt;1,NOT(ISNUMBER($L682)),$L682&gt;=$J682),"",IF($S682="","(enter date)",_xlfn.LET(_xlpm.dn,_xlfn.XLOOKUP($S682,nrCDdate,nrCDnum,"",1),IF(_xlpm.dn="","(after last class day)",_xlfn.LET(_xlpm.dd,_xlfn.XLOOKUP(_xlpm.dn+cfgRetestClassDays,nrCDnum,nrCDdate,""),_xlpm.ok,_xlfn.XLOOKUP(_xlpm.dn+cfgRetestClassDays,nrCDnum,nrCDinsession,"No"),IF(OR(_xlpm.dd="",_xlpm.ok&lt;&gt;"Yes"),"(after last class day)",_xlpm.dd))))))</f>
        <v/>
      </c>
      <c r="U682" s="17">
        <f>IF($C682="","",IF(AND($Y682="Excused",$L682="",N($K682)&lt;=1),"EXCUSED - 1st attempt pending",IF(OR($L682="",$K682&lt;&gt;1,NOT(ISNUMBER($L682)),$L682&gt;=$J682),"",IF(COUNTIFS(nrES_PID,$D682,nrES_Code,$F682,nrES_Att,2,nrES_Raw,"&gt;=0")&gt;0,IF(IFERROR(_xlfn.MINIFS(nrES_Date,nrES_PID,$D682,nrES_Code,$F682,nrES_Att,2,nrES_Raw,"&gt;=0",nrES_Date,"&gt;0"),0)=0,"RETEST UNDATED",IF(NOT(ISNUMBER($T682)),"RETEST DATE UNCHECKED",IF(_xlfn.MINIFS(nrES_Date,nrES_PID,$D682,nrES_Code,$F682,nrES_Att,2,nrES_Raw,"&gt;=0",nrES_Date,"&gt;0")&gt;$T682,"LATE RETEST "&amp;TEXT(_xlfn.MINIFS(nrES_Date,nrES_PID,$D682,nrES_Code,$F682,nrES_Att,2,nrES_Raw,"&gt;=0",nrES_Date,"&gt;0"),"mm/dd")&amp;" (due "&amp;TEXT($T682,"mm/dd")&amp;")","Retested"))),IF(NOT(ISNUMBER($T682)),"CHECK DATE",IF(TODAY()&gt;$T682,"OVERDUE","Due "&amp;TEXT($T682,"mm/dd")))))))</f>
        <v/>
      </c>
      <c r="V682" s="16" t="n"/>
      <c r="W682" s="16" t="n"/>
      <c r="X682" s="17">
        <f>IF($C682="","",IF(AND($L682&lt;&gt;"",NOT(ISNUMBER($L682))),"RAW SCORE NOT A NUMBER",IF(AND(ISNUMBER($L682),OR($L682&lt;0,$L682&gt;100)),"RAW SCORE OUT OF RANGE",IF(AND($Y682="Unexcused",OR($L682="",NOT(ISNUMBER($L682)),$L682&lt;&gt;0)),"UNEXCUSED ABSENCE MUST RECORD 0",IF(COUNTIF(nrES_RecID,$B682)&gt;1,"DUPLICATE RECORD",IF(N($K682)&gt;2,"ATTEMPT 3+ NOT ALLOWED - policy 300.5 permits one retest per exam; this row records nothing",IF(AND($K682=2,COUNTIFS(nrES_PID,$D682,nrES_Code,$F682,nrES_Att,1)=0),"ATTEMPT 2 WITHOUT ATTEMPT 1",IF(AND($K682=2,$L682=""),"RETEST ROW HAS NO SCORE",IF(AND($H682="Final",$L682&lt;&gt;"",IFERROR(INDEX(nrCKfinalExamElig,MATCH($D682,rngCadetPIDs,0)),"")="No"),"FINAL EXAM AFTER FAILED FINAL PT (500.1.H)",IF(AND($K682=2,ISNUMBER($L682),COUNTIFS(nrES_PID,$D682,nrES_Code,$F682,nrES_Att,1)&gt;0,SUMIFS(nrES_Raw,nrES_PID,$D682,nrES_Code,$F682,nrES_Att,1)&gt;=$J682),"RETEST AFTER A PASSING FIRST ATTEMPT","OK"))))))))))</f>
        <v/>
      </c>
      <c r="Y682" s="16" t="n"/>
    </row>
    <row r="683">
      <c r="B683" s="17">
        <f>IF($C683="","",$D683&amp;"-"&amp;$F683&amp;"-"&amp;$K683)</f>
        <v/>
      </c>
      <c r="C683" s="16" t="n"/>
      <c r="D683" s="17">
        <f>IF($C683="","",IFERROR(INDEX(rngCadetPIDs,MATCH($C683,rngCadetNames,0)),"?"))</f>
        <v/>
      </c>
      <c r="E683" s="17">
        <f>IF($D683="","",IFERROR(INDEX(nrCadetAgency,MATCH($D683,rngCadetPIDs,0)),""))</f>
        <v/>
      </c>
      <c r="F683" s="16" t="n"/>
      <c r="G683" s="17">
        <f>IF($F683="","",IFERROR(INDEX(rngEPname,MATCH($F683,rngEPcode,0)),"?"))</f>
        <v/>
      </c>
      <c r="H683" s="17">
        <f>IF($F683="","",IFERROR(INDEX(rngEPtype,MATCH($F683,rngEPcode,0)),"?"))</f>
        <v/>
      </c>
      <c r="I683" s="17">
        <f>IF($F683="","",IFERROR(INDEX(rngEPseq,MATCH($F683,rngEPcode,0)),""))</f>
        <v/>
      </c>
      <c r="J683" s="17">
        <f>IF($F683="","",IFERROR(INDEX(rngEPpass,MATCH($F683,rngEPcode,0)),cfgPassingScore))</f>
        <v/>
      </c>
      <c r="K683" s="16" t="n"/>
      <c r="L683" s="16" t="n"/>
      <c r="M683" s="17">
        <f>IF($C683="","",IF($L683="","",IF(NOT(ISNUMBER($L683)),$L683,IF(N($K683)&gt;2,"",IF($K683=1,IF(COUNTIFS(nrES_PID,$D683,nrES_Code,$F683,nrES_Att,2,nrES_Raw,"&gt;=0")&gt;0,"",$L683),IF($L683&gt;=$J683,MAX($J683,cfgRetakeRecordedCap),IF(COUNTIFS(nrES_PID,$D683,nrES_Code,$F683,nrES_Att,1)=0,$L683,SUMIFS(nrES_Raw,nrES_PID,$D683,nrES_Code,$F683,nrES_Att,1))))))))</f>
        <v/>
      </c>
      <c r="N683" s="17">
        <f>IF($C683="","",IF($L683="","",IF(NOT(ISNUMBER($L683)),"(not a score)",IF($L683&gt;=$J683,"Yes","No"))))</f>
        <v/>
      </c>
      <c r="O683" s="17">
        <f>IF($C683="","",IF($M683="","",IF(NOT(ISNUMBER($M683)),"(not a score)",IF($M683&gt;=$J683,"Yes","No"))))</f>
        <v/>
      </c>
      <c r="P683" s="17">
        <f>IF($C683="","",IF($K683="","",IF(N($K683)&gt;2,"No",IF(COUNTIFS(nrES_PID,$D683,nrES_Code,$F683,nrES_Att,"&gt;"&amp;$K683,nrES_Att,"&lt;=2",nrES_Raw,"&gt;=0")=0,"Yes","No"))))</f>
        <v/>
      </c>
      <c r="Q683" s="17">
        <f>IF($C683="","",IF($L683="","",IF(AND($K683=1,ISNUMBER($L683),$L683&lt;$J683,COUNTIFS(nrES_PID,$D683,nrES_Code,$F683,nrES_Att,2,nrES_Raw,"&gt;=0")=0),"Yes","No")))</f>
        <v/>
      </c>
      <c r="R683" s="17">
        <f>IF($C683="","",IF($L683="","",IF(AND(N($K683)&gt;=2,ISNUMBER($L683),$L683&lt;$J683),"Yes","No")))</f>
        <v/>
      </c>
      <c r="S683" s="18" t="n"/>
      <c r="T683" s="19">
        <f>IF(OR($C683="",$L683="",$K683&lt;&gt;1,NOT(ISNUMBER($L683)),$L683&gt;=$J683),"",IF($S683="","(enter date)",_xlfn.LET(_xlpm.dn,_xlfn.XLOOKUP($S683,nrCDdate,nrCDnum,"",1),IF(_xlpm.dn="","(after last class day)",_xlfn.LET(_xlpm.dd,_xlfn.XLOOKUP(_xlpm.dn+cfgRetestClassDays,nrCDnum,nrCDdate,""),_xlpm.ok,_xlfn.XLOOKUP(_xlpm.dn+cfgRetestClassDays,nrCDnum,nrCDinsession,"No"),IF(OR(_xlpm.dd="",_xlpm.ok&lt;&gt;"Yes"),"(after last class day)",_xlpm.dd))))))</f>
        <v/>
      </c>
      <c r="U683" s="17">
        <f>IF($C683="","",IF(AND($Y683="Excused",$L683="",N($K683)&lt;=1),"EXCUSED - 1st attempt pending",IF(OR($L683="",$K683&lt;&gt;1,NOT(ISNUMBER($L683)),$L683&gt;=$J683),"",IF(COUNTIFS(nrES_PID,$D683,nrES_Code,$F683,nrES_Att,2,nrES_Raw,"&gt;=0")&gt;0,IF(IFERROR(_xlfn.MINIFS(nrES_Date,nrES_PID,$D683,nrES_Code,$F683,nrES_Att,2,nrES_Raw,"&gt;=0",nrES_Date,"&gt;0"),0)=0,"RETEST UNDATED",IF(NOT(ISNUMBER($T683)),"RETEST DATE UNCHECKED",IF(_xlfn.MINIFS(nrES_Date,nrES_PID,$D683,nrES_Code,$F683,nrES_Att,2,nrES_Raw,"&gt;=0",nrES_Date,"&gt;0")&gt;$T683,"LATE RETEST "&amp;TEXT(_xlfn.MINIFS(nrES_Date,nrES_PID,$D683,nrES_Code,$F683,nrES_Att,2,nrES_Raw,"&gt;=0",nrES_Date,"&gt;0"),"mm/dd")&amp;" (due "&amp;TEXT($T683,"mm/dd")&amp;")","Retested"))),IF(NOT(ISNUMBER($T683)),"CHECK DATE",IF(TODAY()&gt;$T683,"OVERDUE","Due "&amp;TEXT($T683,"mm/dd")))))))</f>
        <v/>
      </c>
      <c r="V683" s="16" t="n"/>
      <c r="W683" s="16" t="n"/>
      <c r="X683" s="17">
        <f>IF($C683="","",IF(AND($L683&lt;&gt;"",NOT(ISNUMBER($L683))),"RAW SCORE NOT A NUMBER",IF(AND(ISNUMBER($L683),OR($L683&lt;0,$L683&gt;100)),"RAW SCORE OUT OF RANGE",IF(AND($Y683="Unexcused",OR($L683="",NOT(ISNUMBER($L683)),$L683&lt;&gt;0)),"UNEXCUSED ABSENCE MUST RECORD 0",IF(COUNTIF(nrES_RecID,$B683)&gt;1,"DUPLICATE RECORD",IF(N($K683)&gt;2,"ATTEMPT 3+ NOT ALLOWED - policy 300.5 permits one retest per exam; this row records nothing",IF(AND($K683=2,COUNTIFS(nrES_PID,$D683,nrES_Code,$F683,nrES_Att,1)=0),"ATTEMPT 2 WITHOUT ATTEMPT 1",IF(AND($K683=2,$L683=""),"RETEST ROW HAS NO SCORE",IF(AND($H683="Final",$L683&lt;&gt;"",IFERROR(INDEX(nrCKfinalExamElig,MATCH($D683,rngCadetPIDs,0)),"")="No"),"FINAL EXAM AFTER FAILED FINAL PT (500.1.H)",IF(AND($K683=2,ISNUMBER($L683),COUNTIFS(nrES_PID,$D683,nrES_Code,$F683,nrES_Att,1)&gt;0,SUMIFS(nrES_Raw,nrES_PID,$D683,nrES_Code,$F683,nrES_Att,1)&gt;=$J683),"RETEST AFTER A PASSING FIRST ATTEMPT","OK"))))))))))</f>
        <v/>
      </c>
      <c r="Y683" s="16" t="n"/>
    </row>
    <row r="684">
      <c r="B684" s="17">
        <f>IF($C684="","",$D684&amp;"-"&amp;$F684&amp;"-"&amp;$K684)</f>
        <v/>
      </c>
      <c r="C684" s="16" t="n"/>
      <c r="D684" s="17">
        <f>IF($C684="","",IFERROR(INDEX(rngCadetPIDs,MATCH($C684,rngCadetNames,0)),"?"))</f>
        <v/>
      </c>
      <c r="E684" s="17">
        <f>IF($D684="","",IFERROR(INDEX(nrCadetAgency,MATCH($D684,rngCadetPIDs,0)),""))</f>
        <v/>
      </c>
      <c r="F684" s="16" t="n"/>
      <c r="G684" s="17">
        <f>IF($F684="","",IFERROR(INDEX(rngEPname,MATCH($F684,rngEPcode,0)),"?"))</f>
        <v/>
      </c>
      <c r="H684" s="17">
        <f>IF($F684="","",IFERROR(INDEX(rngEPtype,MATCH($F684,rngEPcode,0)),"?"))</f>
        <v/>
      </c>
      <c r="I684" s="17">
        <f>IF($F684="","",IFERROR(INDEX(rngEPseq,MATCH($F684,rngEPcode,0)),""))</f>
        <v/>
      </c>
      <c r="J684" s="17">
        <f>IF($F684="","",IFERROR(INDEX(rngEPpass,MATCH($F684,rngEPcode,0)),cfgPassingScore))</f>
        <v/>
      </c>
      <c r="K684" s="16" t="n"/>
      <c r="L684" s="16" t="n"/>
      <c r="M684" s="17">
        <f>IF($C684="","",IF($L684="","",IF(NOT(ISNUMBER($L684)),$L684,IF(N($K684)&gt;2,"",IF($K684=1,IF(COUNTIFS(nrES_PID,$D684,nrES_Code,$F684,nrES_Att,2,nrES_Raw,"&gt;=0")&gt;0,"",$L684),IF($L684&gt;=$J684,MAX($J684,cfgRetakeRecordedCap),IF(COUNTIFS(nrES_PID,$D684,nrES_Code,$F684,nrES_Att,1)=0,$L684,SUMIFS(nrES_Raw,nrES_PID,$D684,nrES_Code,$F684,nrES_Att,1))))))))</f>
        <v/>
      </c>
      <c r="N684" s="17">
        <f>IF($C684="","",IF($L684="","",IF(NOT(ISNUMBER($L684)),"(not a score)",IF($L684&gt;=$J684,"Yes","No"))))</f>
        <v/>
      </c>
      <c r="O684" s="17">
        <f>IF($C684="","",IF($M684="","",IF(NOT(ISNUMBER($M684)),"(not a score)",IF($M684&gt;=$J684,"Yes","No"))))</f>
        <v/>
      </c>
      <c r="P684" s="17">
        <f>IF($C684="","",IF($K684="","",IF(N($K684)&gt;2,"No",IF(COUNTIFS(nrES_PID,$D684,nrES_Code,$F684,nrES_Att,"&gt;"&amp;$K684,nrES_Att,"&lt;=2",nrES_Raw,"&gt;=0")=0,"Yes","No"))))</f>
        <v/>
      </c>
      <c r="Q684" s="17">
        <f>IF($C684="","",IF($L684="","",IF(AND($K684=1,ISNUMBER($L684),$L684&lt;$J684,COUNTIFS(nrES_PID,$D684,nrES_Code,$F684,nrES_Att,2,nrES_Raw,"&gt;=0")=0),"Yes","No")))</f>
        <v/>
      </c>
      <c r="R684" s="17">
        <f>IF($C684="","",IF($L684="","",IF(AND(N($K684)&gt;=2,ISNUMBER($L684),$L684&lt;$J684),"Yes","No")))</f>
        <v/>
      </c>
      <c r="S684" s="18" t="n"/>
      <c r="T684" s="19">
        <f>IF(OR($C684="",$L684="",$K684&lt;&gt;1,NOT(ISNUMBER($L684)),$L684&gt;=$J684),"",IF($S684="","(enter date)",_xlfn.LET(_xlpm.dn,_xlfn.XLOOKUP($S684,nrCDdate,nrCDnum,"",1),IF(_xlpm.dn="","(after last class day)",_xlfn.LET(_xlpm.dd,_xlfn.XLOOKUP(_xlpm.dn+cfgRetestClassDays,nrCDnum,nrCDdate,""),_xlpm.ok,_xlfn.XLOOKUP(_xlpm.dn+cfgRetestClassDays,nrCDnum,nrCDinsession,"No"),IF(OR(_xlpm.dd="",_xlpm.ok&lt;&gt;"Yes"),"(after last class day)",_xlpm.dd))))))</f>
        <v/>
      </c>
      <c r="U684" s="17">
        <f>IF($C684="","",IF(AND($Y684="Excused",$L684="",N($K684)&lt;=1),"EXCUSED - 1st attempt pending",IF(OR($L684="",$K684&lt;&gt;1,NOT(ISNUMBER($L684)),$L684&gt;=$J684),"",IF(COUNTIFS(nrES_PID,$D684,nrES_Code,$F684,nrES_Att,2,nrES_Raw,"&gt;=0")&gt;0,IF(IFERROR(_xlfn.MINIFS(nrES_Date,nrES_PID,$D684,nrES_Code,$F684,nrES_Att,2,nrES_Raw,"&gt;=0",nrES_Date,"&gt;0"),0)=0,"RETEST UNDATED",IF(NOT(ISNUMBER($T684)),"RETEST DATE UNCHECKED",IF(_xlfn.MINIFS(nrES_Date,nrES_PID,$D684,nrES_Code,$F684,nrES_Att,2,nrES_Raw,"&gt;=0",nrES_Date,"&gt;0")&gt;$T684,"LATE RETEST "&amp;TEXT(_xlfn.MINIFS(nrES_Date,nrES_PID,$D684,nrES_Code,$F684,nrES_Att,2,nrES_Raw,"&gt;=0",nrES_Date,"&gt;0"),"mm/dd")&amp;" (due "&amp;TEXT($T684,"mm/dd")&amp;")","Retested"))),IF(NOT(ISNUMBER($T684)),"CHECK DATE",IF(TODAY()&gt;$T684,"OVERDUE","Due "&amp;TEXT($T684,"mm/dd")))))))</f>
        <v/>
      </c>
      <c r="V684" s="16" t="n"/>
      <c r="W684" s="16" t="n"/>
      <c r="X684" s="17">
        <f>IF($C684="","",IF(AND($L684&lt;&gt;"",NOT(ISNUMBER($L684))),"RAW SCORE NOT A NUMBER",IF(AND(ISNUMBER($L684),OR($L684&lt;0,$L684&gt;100)),"RAW SCORE OUT OF RANGE",IF(AND($Y684="Unexcused",OR($L684="",NOT(ISNUMBER($L684)),$L684&lt;&gt;0)),"UNEXCUSED ABSENCE MUST RECORD 0",IF(COUNTIF(nrES_RecID,$B684)&gt;1,"DUPLICATE RECORD",IF(N($K684)&gt;2,"ATTEMPT 3+ NOT ALLOWED - policy 300.5 permits one retest per exam; this row records nothing",IF(AND($K684=2,COUNTIFS(nrES_PID,$D684,nrES_Code,$F684,nrES_Att,1)=0),"ATTEMPT 2 WITHOUT ATTEMPT 1",IF(AND($K684=2,$L684=""),"RETEST ROW HAS NO SCORE",IF(AND($H684="Final",$L684&lt;&gt;"",IFERROR(INDEX(nrCKfinalExamElig,MATCH($D684,rngCadetPIDs,0)),"")="No"),"FINAL EXAM AFTER FAILED FINAL PT (500.1.H)",IF(AND($K684=2,ISNUMBER($L684),COUNTIFS(nrES_PID,$D684,nrES_Code,$F684,nrES_Att,1)&gt;0,SUMIFS(nrES_Raw,nrES_PID,$D684,nrES_Code,$F684,nrES_Att,1)&gt;=$J684),"RETEST AFTER A PASSING FIRST ATTEMPT","OK"))))))))))</f>
        <v/>
      </c>
      <c r="Y684" s="16" t="n"/>
    </row>
    <row r="685">
      <c r="B685" s="17">
        <f>IF($C685="","",$D685&amp;"-"&amp;$F685&amp;"-"&amp;$K685)</f>
        <v/>
      </c>
      <c r="C685" s="16" t="n"/>
      <c r="D685" s="17">
        <f>IF($C685="","",IFERROR(INDEX(rngCadetPIDs,MATCH($C685,rngCadetNames,0)),"?"))</f>
        <v/>
      </c>
      <c r="E685" s="17">
        <f>IF($D685="","",IFERROR(INDEX(nrCadetAgency,MATCH($D685,rngCadetPIDs,0)),""))</f>
        <v/>
      </c>
      <c r="F685" s="16" t="n"/>
      <c r="G685" s="17">
        <f>IF($F685="","",IFERROR(INDEX(rngEPname,MATCH($F685,rngEPcode,0)),"?"))</f>
        <v/>
      </c>
      <c r="H685" s="17">
        <f>IF($F685="","",IFERROR(INDEX(rngEPtype,MATCH($F685,rngEPcode,0)),"?"))</f>
        <v/>
      </c>
      <c r="I685" s="17">
        <f>IF($F685="","",IFERROR(INDEX(rngEPseq,MATCH($F685,rngEPcode,0)),""))</f>
        <v/>
      </c>
      <c r="J685" s="17">
        <f>IF($F685="","",IFERROR(INDEX(rngEPpass,MATCH($F685,rngEPcode,0)),cfgPassingScore))</f>
        <v/>
      </c>
      <c r="K685" s="16" t="n"/>
      <c r="L685" s="16" t="n"/>
      <c r="M685" s="17">
        <f>IF($C685="","",IF($L685="","",IF(NOT(ISNUMBER($L685)),$L685,IF(N($K685)&gt;2,"",IF($K685=1,IF(COUNTIFS(nrES_PID,$D685,nrES_Code,$F685,nrES_Att,2,nrES_Raw,"&gt;=0")&gt;0,"",$L685),IF($L685&gt;=$J685,MAX($J685,cfgRetakeRecordedCap),IF(COUNTIFS(nrES_PID,$D685,nrES_Code,$F685,nrES_Att,1)=0,$L685,SUMIFS(nrES_Raw,nrES_PID,$D685,nrES_Code,$F685,nrES_Att,1))))))))</f>
        <v/>
      </c>
      <c r="N685" s="17">
        <f>IF($C685="","",IF($L685="","",IF(NOT(ISNUMBER($L685)),"(not a score)",IF($L685&gt;=$J685,"Yes","No"))))</f>
        <v/>
      </c>
      <c r="O685" s="17">
        <f>IF($C685="","",IF($M685="","",IF(NOT(ISNUMBER($M685)),"(not a score)",IF($M685&gt;=$J685,"Yes","No"))))</f>
        <v/>
      </c>
      <c r="P685" s="17">
        <f>IF($C685="","",IF($K685="","",IF(N($K685)&gt;2,"No",IF(COUNTIFS(nrES_PID,$D685,nrES_Code,$F685,nrES_Att,"&gt;"&amp;$K685,nrES_Att,"&lt;=2",nrES_Raw,"&gt;=0")=0,"Yes","No"))))</f>
        <v/>
      </c>
      <c r="Q685" s="17">
        <f>IF($C685="","",IF($L685="","",IF(AND($K685=1,ISNUMBER($L685),$L685&lt;$J685,COUNTIFS(nrES_PID,$D685,nrES_Code,$F685,nrES_Att,2,nrES_Raw,"&gt;=0")=0),"Yes","No")))</f>
        <v/>
      </c>
      <c r="R685" s="17">
        <f>IF($C685="","",IF($L685="","",IF(AND(N($K685)&gt;=2,ISNUMBER($L685),$L685&lt;$J685),"Yes","No")))</f>
        <v/>
      </c>
      <c r="S685" s="18" t="n"/>
      <c r="T685" s="19">
        <f>IF(OR($C685="",$L685="",$K685&lt;&gt;1,NOT(ISNUMBER($L685)),$L685&gt;=$J685),"",IF($S685="","(enter date)",_xlfn.LET(_xlpm.dn,_xlfn.XLOOKUP($S685,nrCDdate,nrCDnum,"",1),IF(_xlpm.dn="","(after last class day)",_xlfn.LET(_xlpm.dd,_xlfn.XLOOKUP(_xlpm.dn+cfgRetestClassDays,nrCDnum,nrCDdate,""),_xlpm.ok,_xlfn.XLOOKUP(_xlpm.dn+cfgRetestClassDays,nrCDnum,nrCDinsession,"No"),IF(OR(_xlpm.dd="",_xlpm.ok&lt;&gt;"Yes"),"(after last class day)",_xlpm.dd))))))</f>
        <v/>
      </c>
      <c r="U685" s="17">
        <f>IF($C685="","",IF(AND($Y685="Excused",$L685="",N($K685)&lt;=1),"EXCUSED - 1st attempt pending",IF(OR($L685="",$K685&lt;&gt;1,NOT(ISNUMBER($L685)),$L685&gt;=$J685),"",IF(COUNTIFS(nrES_PID,$D685,nrES_Code,$F685,nrES_Att,2,nrES_Raw,"&gt;=0")&gt;0,IF(IFERROR(_xlfn.MINIFS(nrES_Date,nrES_PID,$D685,nrES_Code,$F685,nrES_Att,2,nrES_Raw,"&gt;=0",nrES_Date,"&gt;0"),0)=0,"RETEST UNDATED",IF(NOT(ISNUMBER($T685)),"RETEST DATE UNCHECKED",IF(_xlfn.MINIFS(nrES_Date,nrES_PID,$D685,nrES_Code,$F685,nrES_Att,2,nrES_Raw,"&gt;=0",nrES_Date,"&gt;0")&gt;$T685,"LATE RETEST "&amp;TEXT(_xlfn.MINIFS(nrES_Date,nrES_PID,$D685,nrES_Code,$F685,nrES_Att,2,nrES_Raw,"&gt;=0",nrES_Date,"&gt;0"),"mm/dd")&amp;" (due "&amp;TEXT($T685,"mm/dd")&amp;")","Retested"))),IF(NOT(ISNUMBER($T685)),"CHECK DATE",IF(TODAY()&gt;$T685,"OVERDUE","Due "&amp;TEXT($T685,"mm/dd")))))))</f>
        <v/>
      </c>
      <c r="V685" s="16" t="n"/>
      <c r="W685" s="16" t="n"/>
      <c r="X685" s="17">
        <f>IF($C685="","",IF(AND($L685&lt;&gt;"",NOT(ISNUMBER($L685))),"RAW SCORE NOT A NUMBER",IF(AND(ISNUMBER($L685),OR($L685&lt;0,$L685&gt;100)),"RAW SCORE OUT OF RANGE",IF(AND($Y685="Unexcused",OR($L685="",NOT(ISNUMBER($L685)),$L685&lt;&gt;0)),"UNEXCUSED ABSENCE MUST RECORD 0",IF(COUNTIF(nrES_RecID,$B685)&gt;1,"DUPLICATE RECORD",IF(N($K685)&gt;2,"ATTEMPT 3+ NOT ALLOWED - policy 300.5 permits one retest per exam; this row records nothing",IF(AND($K685=2,COUNTIFS(nrES_PID,$D685,nrES_Code,$F685,nrES_Att,1)=0),"ATTEMPT 2 WITHOUT ATTEMPT 1",IF(AND($K685=2,$L685=""),"RETEST ROW HAS NO SCORE",IF(AND($H685="Final",$L685&lt;&gt;"",IFERROR(INDEX(nrCKfinalExamElig,MATCH($D685,rngCadetPIDs,0)),"")="No"),"FINAL EXAM AFTER FAILED FINAL PT (500.1.H)",IF(AND($K685=2,ISNUMBER($L685),COUNTIFS(nrES_PID,$D685,nrES_Code,$F685,nrES_Att,1)&gt;0,SUMIFS(nrES_Raw,nrES_PID,$D685,nrES_Code,$F685,nrES_Att,1)&gt;=$J685),"RETEST AFTER A PASSING FIRST ATTEMPT","OK"))))))))))</f>
        <v/>
      </c>
      <c r="Y685" s="16" t="n"/>
    </row>
    <row r="686">
      <c r="B686" s="17">
        <f>IF($C686="","",$D686&amp;"-"&amp;$F686&amp;"-"&amp;$K686)</f>
        <v/>
      </c>
      <c r="C686" s="16" t="n"/>
      <c r="D686" s="17">
        <f>IF($C686="","",IFERROR(INDEX(rngCadetPIDs,MATCH($C686,rngCadetNames,0)),"?"))</f>
        <v/>
      </c>
      <c r="E686" s="17">
        <f>IF($D686="","",IFERROR(INDEX(nrCadetAgency,MATCH($D686,rngCadetPIDs,0)),""))</f>
        <v/>
      </c>
      <c r="F686" s="16" t="n"/>
      <c r="G686" s="17">
        <f>IF($F686="","",IFERROR(INDEX(rngEPname,MATCH($F686,rngEPcode,0)),"?"))</f>
        <v/>
      </c>
      <c r="H686" s="17">
        <f>IF($F686="","",IFERROR(INDEX(rngEPtype,MATCH($F686,rngEPcode,0)),"?"))</f>
        <v/>
      </c>
      <c r="I686" s="17">
        <f>IF($F686="","",IFERROR(INDEX(rngEPseq,MATCH($F686,rngEPcode,0)),""))</f>
        <v/>
      </c>
      <c r="J686" s="17">
        <f>IF($F686="","",IFERROR(INDEX(rngEPpass,MATCH($F686,rngEPcode,0)),cfgPassingScore))</f>
        <v/>
      </c>
      <c r="K686" s="16" t="n"/>
      <c r="L686" s="16" t="n"/>
      <c r="M686" s="17">
        <f>IF($C686="","",IF($L686="","",IF(NOT(ISNUMBER($L686)),$L686,IF(N($K686)&gt;2,"",IF($K686=1,IF(COUNTIFS(nrES_PID,$D686,nrES_Code,$F686,nrES_Att,2,nrES_Raw,"&gt;=0")&gt;0,"",$L686),IF($L686&gt;=$J686,MAX($J686,cfgRetakeRecordedCap),IF(COUNTIFS(nrES_PID,$D686,nrES_Code,$F686,nrES_Att,1)=0,$L686,SUMIFS(nrES_Raw,nrES_PID,$D686,nrES_Code,$F686,nrES_Att,1))))))))</f>
        <v/>
      </c>
      <c r="N686" s="17">
        <f>IF($C686="","",IF($L686="","",IF(NOT(ISNUMBER($L686)),"(not a score)",IF($L686&gt;=$J686,"Yes","No"))))</f>
        <v/>
      </c>
      <c r="O686" s="17">
        <f>IF($C686="","",IF($M686="","",IF(NOT(ISNUMBER($M686)),"(not a score)",IF($M686&gt;=$J686,"Yes","No"))))</f>
        <v/>
      </c>
      <c r="P686" s="17">
        <f>IF($C686="","",IF($K686="","",IF(N($K686)&gt;2,"No",IF(COUNTIFS(nrES_PID,$D686,nrES_Code,$F686,nrES_Att,"&gt;"&amp;$K686,nrES_Att,"&lt;=2",nrES_Raw,"&gt;=0")=0,"Yes","No"))))</f>
        <v/>
      </c>
      <c r="Q686" s="17">
        <f>IF($C686="","",IF($L686="","",IF(AND($K686=1,ISNUMBER($L686),$L686&lt;$J686,COUNTIFS(nrES_PID,$D686,nrES_Code,$F686,nrES_Att,2,nrES_Raw,"&gt;=0")=0),"Yes","No")))</f>
        <v/>
      </c>
      <c r="R686" s="17">
        <f>IF($C686="","",IF($L686="","",IF(AND(N($K686)&gt;=2,ISNUMBER($L686),$L686&lt;$J686),"Yes","No")))</f>
        <v/>
      </c>
      <c r="S686" s="18" t="n"/>
      <c r="T686" s="19">
        <f>IF(OR($C686="",$L686="",$K686&lt;&gt;1,NOT(ISNUMBER($L686)),$L686&gt;=$J686),"",IF($S686="","(enter date)",_xlfn.LET(_xlpm.dn,_xlfn.XLOOKUP($S686,nrCDdate,nrCDnum,"",1),IF(_xlpm.dn="","(after last class day)",_xlfn.LET(_xlpm.dd,_xlfn.XLOOKUP(_xlpm.dn+cfgRetestClassDays,nrCDnum,nrCDdate,""),_xlpm.ok,_xlfn.XLOOKUP(_xlpm.dn+cfgRetestClassDays,nrCDnum,nrCDinsession,"No"),IF(OR(_xlpm.dd="",_xlpm.ok&lt;&gt;"Yes"),"(after last class day)",_xlpm.dd))))))</f>
        <v/>
      </c>
      <c r="U686" s="17">
        <f>IF($C686="","",IF(AND($Y686="Excused",$L686="",N($K686)&lt;=1),"EXCUSED - 1st attempt pending",IF(OR($L686="",$K686&lt;&gt;1,NOT(ISNUMBER($L686)),$L686&gt;=$J686),"",IF(COUNTIFS(nrES_PID,$D686,nrES_Code,$F686,nrES_Att,2,nrES_Raw,"&gt;=0")&gt;0,IF(IFERROR(_xlfn.MINIFS(nrES_Date,nrES_PID,$D686,nrES_Code,$F686,nrES_Att,2,nrES_Raw,"&gt;=0",nrES_Date,"&gt;0"),0)=0,"RETEST UNDATED",IF(NOT(ISNUMBER($T686)),"RETEST DATE UNCHECKED",IF(_xlfn.MINIFS(nrES_Date,nrES_PID,$D686,nrES_Code,$F686,nrES_Att,2,nrES_Raw,"&gt;=0",nrES_Date,"&gt;0")&gt;$T686,"LATE RETEST "&amp;TEXT(_xlfn.MINIFS(nrES_Date,nrES_PID,$D686,nrES_Code,$F686,nrES_Att,2,nrES_Raw,"&gt;=0",nrES_Date,"&gt;0"),"mm/dd")&amp;" (due "&amp;TEXT($T686,"mm/dd")&amp;")","Retested"))),IF(NOT(ISNUMBER($T686)),"CHECK DATE",IF(TODAY()&gt;$T686,"OVERDUE","Due "&amp;TEXT($T686,"mm/dd")))))))</f>
        <v/>
      </c>
      <c r="V686" s="16" t="n"/>
      <c r="W686" s="16" t="n"/>
      <c r="X686" s="17">
        <f>IF($C686="","",IF(AND($L686&lt;&gt;"",NOT(ISNUMBER($L686))),"RAW SCORE NOT A NUMBER",IF(AND(ISNUMBER($L686),OR($L686&lt;0,$L686&gt;100)),"RAW SCORE OUT OF RANGE",IF(AND($Y686="Unexcused",OR($L686="",NOT(ISNUMBER($L686)),$L686&lt;&gt;0)),"UNEXCUSED ABSENCE MUST RECORD 0",IF(COUNTIF(nrES_RecID,$B686)&gt;1,"DUPLICATE RECORD",IF(N($K686)&gt;2,"ATTEMPT 3+ NOT ALLOWED - policy 300.5 permits one retest per exam; this row records nothing",IF(AND($K686=2,COUNTIFS(nrES_PID,$D686,nrES_Code,$F686,nrES_Att,1)=0),"ATTEMPT 2 WITHOUT ATTEMPT 1",IF(AND($K686=2,$L686=""),"RETEST ROW HAS NO SCORE",IF(AND($H686="Final",$L686&lt;&gt;"",IFERROR(INDEX(nrCKfinalExamElig,MATCH($D686,rngCadetPIDs,0)),"")="No"),"FINAL EXAM AFTER FAILED FINAL PT (500.1.H)",IF(AND($K686=2,ISNUMBER($L686),COUNTIFS(nrES_PID,$D686,nrES_Code,$F686,nrES_Att,1)&gt;0,SUMIFS(nrES_Raw,nrES_PID,$D686,nrES_Code,$F686,nrES_Att,1)&gt;=$J686),"RETEST AFTER A PASSING FIRST ATTEMPT","OK"))))))))))</f>
        <v/>
      </c>
      <c r="Y686" s="16" t="n"/>
    </row>
    <row r="687">
      <c r="B687" s="17">
        <f>IF($C687="","",$D687&amp;"-"&amp;$F687&amp;"-"&amp;$K687)</f>
        <v/>
      </c>
      <c r="C687" s="16" t="n"/>
      <c r="D687" s="17">
        <f>IF($C687="","",IFERROR(INDEX(rngCadetPIDs,MATCH($C687,rngCadetNames,0)),"?"))</f>
        <v/>
      </c>
      <c r="E687" s="17">
        <f>IF($D687="","",IFERROR(INDEX(nrCadetAgency,MATCH($D687,rngCadetPIDs,0)),""))</f>
        <v/>
      </c>
      <c r="F687" s="16" t="n"/>
      <c r="G687" s="17">
        <f>IF($F687="","",IFERROR(INDEX(rngEPname,MATCH($F687,rngEPcode,0)),"?"))</f>
        <v/>
      </c>
      <c r="H687" s="17">
        <f>IF($F687="","",IFERROR(INDEX(rngEPtype,MATCH($F687,rngEPcode,0)),"?"))</f>
        <v/>
      </c>
      <c r="I687" s="17">
        <f>IF($F687="","",IFERROR(INDEX(rngEPseq,MATCH($F687,rngEPcode,0)),""))</f>
        <v/>
      </c>
      <c r="J687" s="17">
        <f>IF($F687="","",IFERROR(INDEX(rngEPpass,MATCH($F687,rngEPcode,0)),cfgPassingScore))</f>
        <v/>
      </c>
      <c r="K687" s="16" t="n"/>
      <c r="L687" s="16" t="n"/>
      <c r="M687" s="17">
        <f>IF($C687="","",IF($L687="","",IF(NOT(ISNUMBER($L687)),$L687,IF(N($K687)&gt;2,"",IF($K687=1,IF(COUNTIFS(nrES_PID,$D687,nrES_Code,$F687,nrES_Att,2,nrES_Raw,"&gt;=0")&gt;0,"",$L687),IF($L687&gt;=$J687,MAX($J687,cfgRetakeRecordedCap),IF(COUNTIFS(nrES_PID,$D687,nrES_Code,$F687,nrES_Att,1)=0,$L687,SUMIFS(nrES_Raw,nrES_PID,$D687,nrES_Code,$F687,nrES_Att,1))))))))</f>
        <v/>
      </c>
      <c r="N687" s="17">
        <f>IF($C687="","",IF($L687="","",IF(NOT(ISNUMBER($L687)),"(not a score)",IF($L687&gt;=$J687,"Yes","No"))))</f>
        <v/>
      </c>
      <c r="O687" s="17">
        <f>IF($C687="","",IF($M687="","",IF(NOT(ISNUMBER($M687)),"(not a score)",IF($M687&gt;=$J687,"Yes","No"))))</f>
        <v/>
      </c>
      <c r="P687" s="17">
        <f>IF($C687="","",IF($K687="","",IF(N($K687)&gt;2,"No",IF(COUNTIFS(nrES_PID,$D687,nrES_Code,$F687,nrES_Att,"&gt;"&amp;$K687,nrES_Att,"&lt;=2",nrES_Raw,"&gt;=0")=0,"Yes","No"))))</f>
        <v/>
      </c>
      <c r="Q687" s="17">
        <f>IF($C687="","",IF($L687="","",IF(AND($K687=1,ISNUMBER($L687),$L687&lt;$J687,COUNTIFS(nrES_PID,$D687,nrES_Code,$F687,nrES_Att,2,nrES_Raw,"&gt;=0")=0),"Yes","No")))</f>
        <v/>
      </c>
      <c r="R687" s="17">
        <f>IF($C687="","",IF($L687="","",IF(AND(N($K687)&gt;=2,ISNUMBER($L687),$L687&lt;$J687),"Yes","No")))</f>
        <v/>
      </c>
      <c r="S687" s="18" t="n"/>
      <c r="T687" s="19">
        <f>IF(OR($C687="",$L687="",$K687&lt;&gt;1,NOT(ISNUMBER($L687)),$L687&gt;=$J687),"",IF($S687="","(enter date)",_xlfn.LET(_xlpm.dn,_xlfn.XLOOKUP($S687,nrCDdate,nrCDnum,"",1),IF(_xlpm.dn="","(after last class day)",_xlfn.LET(_xlpm.dd,_xlfn.XLOOKUP(_xlpm.dn+cfgRetestClassDays,nrCDnum,nrCDdate,""),_xlpm.ok,_xlfn.XLOOKUP(_xlpm.dn+cfgRetestClassDays,nrCDnum,nrCDinsession,"No"),IF(OR(_xlpm.dd="",_xlpm.ok&lt;&gt;"Yes"),"(after last class day)",_xlpm.dd))))))</f>
        <v/>
      </c>
      <c r="U687" s="17">
        <f>IF($C687="","",IF(AND($Y687="Excused",$L687="",N($K687)&lt;=1),"EXCUSED - 1st attempt pending",IF(OR($L687="",$K687&lt;&gt;1,NOT(ISNUMBER($L687)),$L687&gt;=$J687),"",IF(COUNTIFS(nrES_PID,$D687,nrES_Code,$F687,nrES_Att,2,nrES_Raw,"&gt;=0")&gt;0,IF(IFERROR(_xlfn.MINIFS(nrES_Date,nrES_PID,$D687,nrES_Code,$F687,nrES_Att,2,nrES_Raw,"&gt;=0",nrES_Date,"&gt;0"),0)=0,"RETEST UNDATED",IF(NOT(ISNUMBER($T687)),"RETEST DATE UNCHECKED",IF(_xlfn.MINIFS(nrES_Date,nrES_PID,$D687,nrES_Code,$F687,nrES_Att,2,nrES_Raw,"&gt;=0",nrES_Date,"&gt;0")&gt;$T687,"LATE RETEST "&amp;TEXT(_xlfn.MINIFS(nrES_Date,nrES_PID,$D687,nrES_Code,$F687,nrES_Att,2,nrES_Raw,"&gt;=0",nrES_Date,"&gt;0"),"mm/dd")&amp;" (due "&amp;TEXT($T687,"mm/dd")&amp;")","Retested"))),IF(NOT(ISNUMBER($T687)),"CHECK DATE",IF(TODAY()&gt;$T687,"OVERDUE","Due "&amp;TEXT($T687,"mm/dd")))))))</f>
        <v/>
      </c>
      <c r="V687" s="16" t="n"/>
      <c r="W687" s="16" t="n"/>
      <c r="X687" s="17">
        <f>IF($C687="","",IF(AND($L687&lt;&gt;"",NOT(ISNUMBER($L687))),"RAW SCORE NOT A NUMBER",IF(AND(ISNUMBER($L687),OR($L687&lt;0,$L687&gt;100)),"RAW SCORE OUT OF RANGE",IF(AND($Y687="Unexcused",OR($L687="",NOT(ISNUMBER($L687)),$L687&lt;&gt;0)),"UNEXCUSED ABSENCE MUST RECORD 0",IF(COUNTIF(nrES_RecID,$B687)&gt;1,"DUPLICATE RECORD",IF(N($K687)&gt;2,"ATTEMPT 3+ NOT ALLOWED - policy 300.5 permits one retest per exam; this row records nothing",IF(AND($K687=2,COUNTIFS(nrES_PID,$D687,nrES_Code,$F687,nrES_Att,1)=0),"ATTEMPT 2 WITHOUT ATTEMPT 1",IF(AND($K687=2,$L687=""),"RETEST ROW HAS NO SCORE",IF(AND($H687="Final",$L687&lt;&gt;"",IFERROR(INDEX(nrCKfinalExamElig,MATCH($D687,rngCadetPIDs,0)),"")="No"),"FINAL EXAM AFTER FAILED FINAL PT (500.1.H)",IF(AND($K687=2,ISNUMBER($L687),COUNTIFS(nrES_PID,$D687,nrES_Code,$F687,nrES_Att,1)&gt;0,SUMIFS(nrES_Raw,nrES_PID,$D687,nrES_Code,$F687,nrES_Att,1)&gt;=$J687),"RETEST AFTER A PASSING FIRST ATTEMPT","OK"))))))))))</f>
        <v/>
      </c>
      <c r="Y687" s="16" t="n"/>
    </row>
    <row r="688">
      <c r="B688" s="17">
        <f>IF($C688="","",$D688&amp;"-"&amp;$F688&amp;"-"&amp;$K688)</f>
        <v/>
      </c>
      <c r="C688" s="16" t="n"/>
      <c r="D688" s="17">
        <f>IF($C688="","",IFERROR(INDEX(rngCadetPIDs,MATCH($C688,rngCadetNames,0)),"?"))</f>
        <v/>
      </c>
      <c r="E688" s="17">
        <f>IF($D688="","",IFERROR(INDEX(nrCadetAgency,MATCH($D688,rngCadetPIDs,0)),""))</f>
        <v/>
      </c>
      <c r="F688" s="16" t="n"/>
      <c r="G688" s="17">
        <f>IF($F688="","",IFERROR(INDEX(rngEPname,MATCH($F688,rngEPcode,0)),"?"))</f>
        <v/>
      </c>
      <c r="H688" s="17">
        <f>IF($F688="","",IFERROR(INDEX(rngEPtype,MATCH($F688,rngEPcode,0)),"?"))</f>
        <v/>
      </c>
      <c r="I688" s="17">
        <f>IF($F688="","",IFERROR(INDEX(rngEPseq,MATCH($F688,rngEPcode,0)),""))</f>
        <v/>
      </c>
      <c r="J688" s="17">
        <f>IF($F688="","",IFERROR(INDEX(rngEPpass,MATCH($F688,rngEPcode,0)),cfgPassingScore))</f>
        <v/>
      </c>
      <c r="K688" s="16" t="n"/>
      <c r="L688" s="16" t="n"/>
      <c r="M688" s="17">
        <f>IF($C688="","",IF($L688="","",IF(NOT(ISNUMBER($L688)),$L688,IF(N($K688)&gt;2,"",IF($K688=1,IF(COUNTIFS(nrES_PID,$D688,nrES_Code,$F688,nrES_Att,2,nrES_Raw,"&gt;=0")&gt;0,"",$L688),IF($L688&gt;=$J688,MAX($J688,cfgRetakeRecordedCap),IF(COUNTIFS(nrES_PID,$D688,nrES_Code,$F688,nrES_Att,1)=0,$L688,SUMIFS(nrES_Raw,nrES_PID,$D688,nrES_Code,$F688,nrES_Att,1))))))))</f>
        <v/>
      </c>
      <c r="N688" s="17">
        <f>IF($C688="","",IF($L688="","",IF(NOT(ISNUMBER($L688)),"(not a score)",IF($L688&gt;=$J688,"Yes","No"))))</f>
        <v/>
      </c>
      <c r="O688" s="17">
        <f>IF($C688="","",IF($M688="","",IF(NOT(ISNUMBER($M688)),"(not a score)",IF($M688&gt;=$J688,"Yes","No"))))</f>
        <v/>
      </c>
      <c r="P688" s="17">
        <f>IF($C688="","",IF($K688="","",IF(N($K688)&gt;2,"No",IF(COUNTIFS(nrES_PID,$D688,nrES_Code,$F688,nrES_Att,"&gt;"&amp;$K688,nrES_Att,"&lt;=2",nrES_Raw,"&gt;=0")=0,"Yes","No"))))</f>
        <v/>
      </c>
      <c r="Q688" s="17">
        <f>IF($C688="","",IF($L688="","",IF(AND($K688=1,ISNUMBER($L688),$L688&lt;$J688,COUNTIFS(nrES_PID,$D688,nrES_Code,$F688,nrES_Att,2,nrES_Raw,"&gt;=0")=0),"Yes","No")))</f>
        <v/>
      </c>
      <c r="R688" s="17">
        <f>IF($C688="","",IF($L688="","",IF(AND(N($K688)&gt;=2,ISNUMBER($L688),$L688&lt;$J688),"Yes","No")))</f>
        <v/>
      </c>
      <c r="S688" s="18" t="n"/>
      <c r="T688" s="19">
        <f>IF(OR($C688="",$L688="",$K688&lt;&gt;1,NOT(ISNUMBER($L688)),$L688&gt;=$J688),"",IF($S688="","(enter date)",_xlfn.LET(_xlpm.dn,_xlfn.XLOOKUP($S688,nrCDdate,nrCDnum,"",1),IF(_xlpm.dn="","(after last class day)",_xlfn.LET(_xlpm.dd,_xlfn.XLOOKUP(_xlpm.dn+cfgRetestClassDays,nrCDnum,nrCDdate,""),_xlpm.ok,_xlfn.XLOOKUP(_xlpm.dn+cfgRetestClassDays,nrCDnum,nrCDinsession,"No"),IF(OR(_xlpm.dd="",_xlpm.ok&lt;&gt;"Yes"),"(after last class day)",_xlpm.dd))))))</f>
        <v/>
      </c>
      <c r="U688" s="17">
        <f>IF($C688="","",IF(AND($Y688="Excused",$L688="",N($K688)&lt;=1),"EXCUSED - 1st attempt pending",IF(OR($L688="",$K688&lt;&gt;1,NOT(ISNUMBER($L688)),$L688&gt;=$J688),"",IF(COUNTIFS(nrES_PID,$D688,nrES_Code,$F688,nrES_Att,2,nrES_Raw,"&gt;=0")&gt;0,IF(IFERROR(_xlfn.MINIFS(nrES_Date,nrES_PID,$D688,nrES_Code,$F688,nrES_Att,2,nrES_Raw,"&gt;=0",nrES_Date,"&gt;0"),0)=0,"RETEST UNDATED",IF(NOT(ISNUMBER($T688)),"RETEST DATE UNCHECKED",IF(_xlfn.MINIFS(nrES_Date,nrES_PID,$D688,nrES_Code,$F688,nrES_Att,2,nrES_Raw,"&gt;=0",nrES_Date,"&gt;0")&gt;$T688,"LATE RETEST "&amp;TEXT(_xlfn.MINIFS(nrES_Date,nrES_PID,$D688,nrES_Code,$F688,nrES_Att,2,nrES_Raw,"&gt;=0",nrES_Date,"&gt;0"),"mm/dd")&amp;" (due "&amp;TEXT($T688,"mm/dd")&amp;")","Retested"))),IF(NOT(ISNUMBER($T688)),"CHECK DATE",IF(TODAY()&gt;$T688,"OVERDUE","Due "&amp;TEXT($T688,"mm/dd")))))))</f>
        <v/>
      </c>
      <c r="V688" s="16" t="n"/>
      <c r="W688" s="16" t="n"/>
      <c r="X688" s="17">
        <f>IF($C688="","",IF(AND($L688&lt;&gt;"",NOT(ISNUMBER($L688))),"RAW SCORE NOT A NUMBER",IF(AND(ISNUMBER($L688),OR($L688&lt;0,$L688&gt;100)),"RAW SCORE OUT OF RANGE",IF(AND($Y688="Unexcused",OR($L688="",NOT(ISNUMBER($L688)),$L688&lt;&gt;0)),"UNEXCUSED ABSENCE MUST RECORD 0",IF(COUNTIF(nrES_RecID,$B688)&gt;1,"DUPLICATE RECORD",IF(N($K688)&gt;2,"ATTEMPT 3+ NOT ALLOWED - policy 300.5 permits one retest per exam; this row records nothing",IF(AND($K688=2,COUNTIFS(nrES_PID,$D688,nrES_Code,$F688,nrES_Att,1)=0),"ATTEMPT 2 WITHOUT ATTEMPT 1",IF(AND($K688=2,$L688=""),"RETEST ROW HAS NO SCORE",IF(AND($H688="Final",$L688&lt;&gt;"",IFERROR(INDEX(nrCKfinalExamElig,MATCH($D688,rngCadetPIDs,0)),"")="No"),"FINAL EXAM AFTER FAILED FINAL PT (500.1.H)",IF(AND($K688=2,ISNUMBER($L688),COUNTIFS(nrES_PID,$D688,nrES_Code,$F688,nrES_Att,1)&gt;0,SUMIFS(nrES_Raw,nrES_PID,$D688,nrES_Code,$F688,nrES_Att,1)&gt;=$J688),"RETEST AFTER A PASSING FIRST ATTEMPT","OK"))))))))))</f>
        <v/>
      </c>
      <c r="Y688" s="16" t="n"/>
    </row>
    <row r="689">
      <c r="B689" s="17">
        <f>IF($C689="","",$D689&amp;"-"&amp;$F689&amp;"-"&amp;$K689)</f>
        <v/>
      </c>
      <c r="C689" s="16" t="n"/>
      <c r="D689" s="17">
        <f>IF($C689="","",IFERROR(INDEX(rngCadetPIDs,MATCH($C689,rngCadetNames,0)),"?"))</f>
        <v/>
      </c>
      <c r="E689" s="17">
        <f>IF($D689="","",IFERROR(INDEX(nrCadetAgency,MATCH($D689,rngCadetPIDs,0)),""))</f>
        <v/>
      </c>
      <c r="F689" s="16" t="n"/>
      <c r="G689" s="17">
        <f>IF($F689="","",IFERROR(INDEX(rngEPname,MATCH($F689,rngEPcode,0)),"?"))</f>
        <v/>
      </c>
      <c r="H689" s="17">
        <f>IF($F689="","",IFERROR(INDEX(rngEPtype,MATCH($F689,rngEPcode,0)),"?"))</f>
        <v/>
      </c>
      <c r="I689" s="17">
        <f>IF($F689="","",IFERROR(INDEX(rngEPseq,MATCH($F689,rngEPcode,0)),""))</f>
        <v/>
      </c>
      <c r="J689" s="17">
        <f>IF($F689="","",IFERROR(INDEX(rngEPpass,MATCH($F689,rngEPcode,0)),cfgPassingScore))</f>
        <v/>
      </c>
      <c r="K689" s="16" t="n"/>
      <c r="L689" s="16" t="n"/>
      <c r="M689" s="17">
        <f>IF($C689="","",IF($L689="","",IF(NOT(ISNUMBER($L689)),$L689,IF(N($K689)&gt;2,"",IF($K689=1,IF(COUNTIFS(nrES_PID,$D689,nrES_Code,$F689,nrES_Att,2,nrES_Raw,"&gt;=0")&gt;0,"",$L689),IF($L689&gt;=$J689,MAX($J689,cfgRetakeRecordedCap),IF(COUNTIFS(nrES_PID,$D689,nrES_Code,$F689,nrES_Att,1)=0,$L689,SUMIFS(nrES_Raw,nrES_PID,$D689,nrES_Code,$F689,nrES_Att,1))))))))</f>
        <v/>
      </c>
      <c r="N689" s="17">
        <f>IF($C689="","",IF($L689="","",IF(NOT(ISNUMBER($L689)),"(not a score)",IF($L689&gt;=$J689,"Yes","No"))))</f>
        <v/>
      </c>
      <c r="O689" s="17">
        <f>IF($C689="","",IF($M689="","",IF(NOT(ISNUMBER($M689)),"(not a score)",IF($M689&gt;=$J689,"Yes","No"))))</f>
        <v/>
      </c>
      <c r="P689" s="17">
        <f>IF($C689="","",IF($K689="","",IF(N($K689)&gt;2,"No",IF(COUNTIFS(nrES_PID,$D689,nrES_Code,$F689,nrES_Att,"&gt;"&amp;$K689,nrES_Att,"&lt;=2",nrES_Raw,"&gt;=0")=0,"Yes","No"))))</f>
        <v/>
      </c>
      <c r="Q689" s="17">
        <f>IF($C689="","",IF($L689="","",IF(AND($K689=1,ISNUMBER($L689),$L689&lt;$J689,COUNTIFS(nrES_PID,$D689,nrES_Code,$F689,nrES_Att,2,nrES_Raw,"&gt;=0")=0),"Yes","No")))</f>
        <v/>
      </c>
      <c r="R689" s="17">
        <f>IF($C689="","",IF($L689="","",IF(AND(N($K689)&gt;=2,ISNUMBER($L689),$L689&lt;$J689),"Yes","No")))</f>
        <v/>
      </c>
      <c r="S689" s="18" t="n"/>
      <c r="T689" s="19">
        <f>IF(OR($C689="",$L689="",$K689&lt;&gt;1,NOT(ISNUMBER($L689)),$L689&gt;=$J689),"",IF($S689="","(enter date)",_xlfn.LET(_xlpm.dn,_xlfn.XLOOKUP($S689,nrCDdate,nrCDnum,"",1),IF(_xlpm.dn="","(after last class day)",_xlfn.LET(_xlpm.dd,_xlfn.XLOOKUP(_xlpm.dn+cfgRetestClassDays,nrCDnum,nrCDdate,""),_xlpm.ok,_xlfn.XLOOKUP(_xlpm.dn+cfgRetestClassDays,nrCDnum,nrCDinsession,"No"),IF(OR(_xlpm.dd="",_xlpm.ok&lt;&gt;"Yes"),"(after last class day)",_xlpm.dd))))))</f>
        <v/>
      </c>
      <c r="U689" s="17">
        <f>IF($C689="","",IF(AND($Y689="Excused",$L689="",N($K689)&lt;=1),"EXCUSED - 1st attempt pending",IF(OR($L689="",$K689&lt;&gt;1,NOT(ISNUMBER($L689)),$L689&gt;=$J689),"",IF(COUNTIFS(nrES_PID,$D689,nrES_Code,$F689,nrES_Att,2,nrES_Raw,"&gt;=0")&gt;0,IF(IFERROR(_xlfn.MINIFS(nrES_Date,nrES_PID,$D689,nrES_Code,$F689,nrES_Att,2,nrES_Raw,"&gt;=0",nrES_Date,"&gt;0"),0)=0,"RETEST UNDATED",IF(NOT(ISNUMBER($T689)),"RETEST DATE UNCHECKED",IF(_xlfn.MINIFS(nrES_Date,nrES_PID,$D689,nrES_Code,$F689,nrES_Att,2,nrES_Raw,"&gt;=0",nrES_Date,"&gt;0")&gt;$T689,"LATE RETEST "&amp;TEXT(_xlfn.MINIFS(nrES_Date,nrES_PID,$D689,nrES_Code,$F689,nrES_Att,2,nrES_Raw,"&gt;=0",nrES_Date,"&gt;0"),"mm/dd")&amp;" (due "&amp;TEXT($T689,"mm/dd")&amp;")","Retested"))),IF(NOT(ISNUMBER($T689)),"CHECK DATE",IF(TODAY()&gt;$T689,"OVERDUE","Due "&amp;TEXT($T689,"mm/dd")))))))</f>
        <v/>
      </c>
      <c r="V689" s="16" t="n"/>
      <c r="W689" s="16" t="n"/>
      <c r="X689" s="17">
        <f>IF($C689="","",IF(AND($L689&lt;&gt;"",NOT(ISNUMBER($L689))),"RAW SCORE NOT A NUMBER",IF(AND(ISNUMBER($L689),OR($L689&lt;0,$L689&gt;100)),"RAW SCORE OUT OF RANGE",IF(AND($Y689="Unexcused",OR($L689="",NOT(ISNUMBER($L689)),$L689&lt;&gt;0)),"UNEXCUSED ABSENCE MUST RECORD 0",IF(COUNTIF(nrES_RecID,$B689)&gt;1,"DUPLICATE RECORD",IF(N($K689)&gt;2,"ATTEMPT 3+ NOT ALLOWED - policy 300.5 permits one retest per exam; this row records nothing",IF(AND($K689=2,COUNTIFS(nrES_PID,$D689,nrES_Code,$F689,nrES_Att,1)=0),"ATTEMPT 2 WITHOUT ATTEMPT 1",IF(AND($K689=2,$L689=""),"RETEST ROW HAS NO SCORE",IF(AND($H689="Final",$L689&lt;&gt;"",IFERROR(INDEX(nrCKfinalExamElig,MATCH($D689,rngCadetPIDs,0)),"")="No"),"FINAL EXAM AFTER FAILED FINAL PT (500.1.H)",IF(AND($K689=2,ISNUMBER($L689),COUNTIFS(nrES_PID,$D689,nrES_Code,$F689,nrES_Att,1)&gt;0,SUMIFS(nrES_Raw,nrES_PID,$D689,nrES_Code,$F689,nrES_Att,1)&gt;=$J689),"RETEST AFTER A PASSING FIRST ATTEMPT","OK"))))))))))</f>
        <v/>
      </c>
      <c r="Y689" s="16" t="n"/>
    </row>
    <row r="690">
      <c r="B690" s="17">
        <f>IF($C690="","",$D690&amp;"-"&amp;$F690&amp;"-"&amp;$K690)</f>
        <v/>
      </c>
      <c r="C690" s="16" t="n"/>
      <c r="D690" s="17">
        <f>IF($C690="","",IFERROR(INDEX(rngCadetPIDs,MATCH($C690,rngCadetNames,0)),"?"))</f>
        <v/>
      </c>
      <c r="E690" s="17">
        <f>IF($D690="","",IFERROR(INDEX(nrCadetAgency,MATCH($D690,rngCadetPIDs,0)),""))</f>
        <v/>
      </c>
      <c r="F690" s="16" t="n"/>
      <c r="G690" s="17">
        <f>IF($F690="","",IFERROR(INDEX(rngEPname,MATCH($F690,rngEPcode,0)),"?"))</f>
        <v/>
      </c>
      <c r="H690" s="17">
        <f>IF($F690="","",IFERROR(INDEX(rngEPtype,MATCH($F690,rngEPcode,0)),"?"))</f>
        <v/>
      </c>
      <c r="I690" s="17">
        <f>IF($F690="","",IFERROR(INDEX(rngEPseq,MATCH($F690,rngEPcode,0)),""))</f>
        <v/>
      </c>
      <c r="J690" s="17">
        <f>IF($F690="","",IFERROR(INDEX(rngEPpass,MATCH($F690,rngEPcode,0)),cfgPassingScore))</f>
        <v/>
      </c>
      <c r="K690" s="16" t="n"/>
      <c r="L690" s="16" t="n"/>
      <c r="M690" s="17">
        <f>IF($C690="","",IF($L690="","",IF(NOT(ISNUMBER($L690)),$L690,IF(N($K690)&gt;2,"",IF($K690=1,IF(COUNTIFS(nrES_PID,$D690,nrES_Code,$F690,nrES_Att,2,nrES_Raw,"&gt;=0")&gt;0,"",$L690),IF($L690&gt;=$J690,MAX($J690,cfgRetakeRecordedCap),IF(COUNTIFS(nrES_PID,$D690,nrES_Code,$F690,nrES_Att,1)=0,$L690,SUMIFS(nrES_Raw,nrES_PID,$D690,nrES_Code,$F690,nrES_Att,1))))))))</f>
        <v/>
      </c>
      <c r="N690" s="17">
        <f>IF($C690="","",IF($L690="","",IF(NOT(ISNUMBER($L690)),"(not a score)",IF($L690&gt;=$J690,"Yes","No"))))</f>
        <v/>
      </c>
      <c r="O690" s="17">
        <f>IF($C690="","",IF($M690="","",IF(NOT(ISNUMBER($M690)),"(not a score)",IF($M690&gt;=$J690,"Yes","No"))))</f>
        <v/>
      </c>
      <c r="P690" s="17">
        <f>IF($C690="","",IF($K690="","",IF(N($K690)&gt;2,"No",IF(COUNTIFS(nrES_PID,$D690,nrES_Code,$F690,nrES_Att,"&gt;"&amp;$K690,nrES_Att,"&lt;=2",nrES_Raw,"&gt;=0")=0,"Yes","No"))))</f>
        <v/>
      </c>
      <c r="Q690" s="17">
        <f>IF($C690="","",IF($L690="","",IF(AND($K690=1,ISNUMBER($L690),$L690&lt;$J690,COUNTIFS(nrES_PID,$D690,nrES_Code,$F690,nrES_Att,2,nrES_Raw,"&gt;=0")=0),"Yes","No")))</f>
        <v/>
      </c>
      <c r="R690" s="17">
        <f>IF($C690="","",IF($L690="","",IF(AND(N($K690)&gt;=2,ISNUMBER($L690),$L690&lt;$J690),"Yes","No")))</f>
        <v/>
      </c>
      <c r="S690" s="18" t="n"/>
      <c r="T690" s="19">
        <f>IF(OR($C690="",$L690="",$K690&lt;&gt;1,NOT(ISNUMBER($L690)),$L690&gt;=$J690),"",IF($S690="","(enter date)",_xlfn.LET(_xlpm.dn,_xlfn.XLOOKUP($S690,nrCDdate,nrCDnum,"",1),IF(_xlpm.dn="","(after last class day)",_xlfn.LET(_xlpm.dd,_xlfn.XLOOKUP(_xlpm.dn+cfgRetestClassDays,nrCDnum,nrCDdate,""),_xlpm.ok,_xlfn.XLOOKUP(_xlpm.dn+cfgRetestClassDays,nrCDnum,nrCDinsession,"No"),IF(OR(_xlpm.dd="",_xlpm.ok&lt;&gt;"Yes"),"(after last class day)",_xlpm.dd))))))</f>
        <v/>
      </c>
      <c r="U690" s="17">
        <f>IF($C690="","",IF(AND($Y690="Excused",$L690="",N($K690)&lt;=1),"EXCUSED - 1st attempt pending",IF(OR($L690="",$K690&lt;&gt;1,NOT(ISNUMBER($L690)),$L690&gt;=$J690),"",IF(COUNTIFS(nrES_PID,$D690,nrES_Code,$F690,nrES_Att,2,nrES_Raw,"&gt;=0")&gt;0,IF(IFERROR(_xlfn.MINIFS(nrES_Date,nrES_PID,$D690,nrES_Code,$F690,nrES_Att,2,nrES_Raw,"&gt;=0",nrES_Date,"&gt;0"),0)=0,"RETEST UNDATED",IF(NOT(ISNUMBER($T690)),"RETEST DATE UNCHECKED",IF(_xlfn.MINIFS(nrES_Date,nrES_PID,$D690,nrES_Code,$F690,nrES_Att,2,nrES_Raw,"&gt;=0",nrES_Date,"&gt;0")&gt;$T690,"LATE RETEST "&amp;TEXT(_xlfn.MINIFS(nrES_Date,nrES_PID,$D690,nrES_Code,$F690,nrES_Att,2,nrES_Raw,"&gt;=0",nrES_Date,"&gt;0"),"mm/dd")&amp;" (due "&amp;TEXT($T690,"mm/dd")&amp;")","Retested"))),IF(NOT(ISNUMBER($T690)),"CHECK DATE",IF(TODAY()&gt;$T690,"OVERDUE","Due "&amp;TEXT($T690,"mm/dd")))))))</f>
        <v/>
      </c>
      <c r="V690" s="16" t="n"/>
      <c r="W690" s="16" t="n"/>
      <c r="X690" s="17">
        <f>IF($C690="","",IF(AND($L690&lt;&gt;"",NOT(ISNUMBER($L690))),"RAW SCORE NOT A NUMBER",IF(AND(ISNUMBER($L690),OR($L690&lt;0,$L690&gt;100)),"RAW SCORE OUT OF RANGE",IF(AND($Y690="Unexcused",OR($L690="",NOT(ISNUMBER($L690)),$L690&lt;&gt;0)),"UNEXCUSED ABSENCE MUST RECORD 0",IF(COUNTIF(nrES_RecID,$B690)&gt;1,"DUPLICATE RECORD",IF(N($K690)&gt;2,"ATTEMPT 3+ NOT ALLOWED - policy 300.5 permits one retest per exam; this row records nothing",IF(AND($K690=2,COUNTIFS(nrES_PID,$D690,nrES_Code,$F690,nrES_Att,1)=0),"ATTEMPT 2 WITHOUT ATTEMPT 1",IF(AND($K690=2,$L690=""),"RETEST ROW HAS NO SCORE",IF(AND($H690="Final",$L690&lt;&gt;"",IFERROR(INDEX(nrCKfinalExamElig,MATCH($D690,rngCadetPIDs,0)),"")="No"),"FINAL EXAM AFTER FAILED FINAL PT (500.1.H)",IF(AND($K690=2,ISNUMBER($L690),COUNTIFS(nrES_PID,$D690,nrES_Code,$F690,nrES_Att,1)&gt;0,SUMIFS(nrES_Raw,nrES_PID,$D690,nrES_Code,$F690,nrES_Att,1)&gt;=$J690),"RETEST AFTER A PASSING FIRST ATTEMPT","OK"))))))))))</f>
        <v/>
      </c>
      <c r="Y690" s="16" t="n"/>
    </row>
    <row r="691">
      <c r="B691" s="17">
        <f>IF($C691="","",$D691&amp;"-"&amp;$F691&amp;"-"&amp;$K691)</f>
        <v/>
      </c>
      <c r="C691" s="16" t="n"/>
      <c r="D691" s="17">
        <f>IF($C691="","",IFERROR(INDEX(rngCadetPIDs,MATCH($C691,rngCadetNames,0)),"?"))</f>
        <v/>
      </c>
      <c r="E691" s="17">
        <f>IF($D691="","",IFERROR(INDEX(nrCadetAgency,MATCH($D691,rngCadetPIDs,0)),""))</f>
        <v/>
      </c>
      <c r="F691" s="16" t="n"/>
      <c r="G691" s="17">
        <f>IF($F691="","",IFERROR(INDEX(rngEPname,MATCH($F691,rngEPcode,0)),"?"))</f>
        <v/>
      </c>
      <c r="H691" s="17">
        <f>IF($F691="","",IFERROR(INDEX(rngEPtype,MATCH($F691,rngEPcode,0)),"?"))</f>
        <v/>
      </c>
      <c r="I691" s="17">
        <f>IF($F691="","",IFERROR(INDEX(rngEPseq,MATCH($F691,rngEPcode,0)),""))</f>
        <v/>
      </c>
      <c r="J691" s="17">
        <f>IF($F691="","",IFERROR(INDEX(rngEPpass,MATCH($F691,rngEPcode,0)),cfgPassingScore))</f>
        <v/>
      </c>
      <c r="K691" s="16" t="n"/>
      <c r="L691" s="16" t="n"/>
      <c r="M691" s="17">
        <f>IF($C691="","",IF($L691="","",IF(NOT(ISNUMBER($L691)),$L691,IF(N($K691)&gt;2,"",IF($K691=1,IF(COUNTIFS(nrES_PID,$D691,nrES_Code,$F691,nrES_Att,2,nrES_Raw,"&gt;=0")&gt;0,"",$L691),IF($L691&gt;=$J691,MAX($J691,cfgRetakeRecordedCap),IF(COUNTIFS(nrES_PID,$D691,nrES_Code,$F691,nrES_Att,1)=0,$L691,SUMIFS(nrES_Raw,nrES_PID,$D691,nrES_Code,$F691,nrES_Att,1))))))))</f>
        <v/>
      </c>
      <c r="N691" s="17">
        <f>IF($C691="","",IF($L691="","",IF(NOT(ISNUMBER($L691)),"(not a score)",IF($L691&gt;=$J691,"Yes","No"))))</f>
        <v/>
      </c>
      <c r="O691" s="17">
        <f>IF($C691="","",IF($M691="","",IF(NOT(ISNUMBER($M691)),"(not a score)",IF($M691&gt;=$J691,"Yes","No"))))</f>
        <v/>
      </c>
      <c r="P691" s="17">
        <f>IF($C691="","",IF($K691="","",IF(N($K691)&gt;2,"No",IF(COUNTIFS(nrES_PID,$D691,nrES_Code,$F691,nrES_Att,"&gt;"&amp;$K691,nrES_Att,"&lt;=2",nrES_Raw,"&gt;=0")=0,"Yes","No"))))</f>
        <v/>
      </c>
      <c r="Q691" s="17">
        <f>IF($C691="","",IF($L691="","",IF(AND($K691=1,ISNUMBER($L691),$L691&lt;$J691,COUNTIFS(nrES_PID,$D691,nrES_Code,$F691,nrES_Att,2,nrES_Raw,"&gt;=0")=0),"Yes","No")))</f>
        <v/>
      </c>
      <c r="R691" s="17">
        <f>IF($C691="","",IF($L691="","",IF(AND(N($K691)&gt;=2,ISNUMBER($L691),$L691&lt;$J691),"Yes","No")))</f>
        <v/>
      </c>
      <c r="S691" s="18" t="n"/>
      <c r="T691" s="19">
        <f>IF(OR($C691="",$L691="",$K691&lt;&gt;1,NOT(ISNUMBER($L691)),$L691&gt;=$J691),"",IF($S691="","(enter date)",_xlfn.LET(_xlpm.dn,_xlfn.XLOOKUP($S691,nrCDdate,nrCDnum,"",1),IF(_xlpm.dn="","(after last class day)",_xlfn.LET(_xlpm.dd,_xlfn.XLOOKUP(_xlpm.dn+cfgRetestClassDays,nrCDnum,nrCDdate,""),_xlpm.ok,_xlfn.XLOOKUP(_xlpm.dn+cfgRetestClassDays,nrCDnum,nrCDinsession,"No"),IF(OR(_xlpm.dd="",_xlpm.ok&lt;&gt;"Yes"),"(after last class day)",_xlpm.dd))))))</f>
        <v/>
      </c>
      <c r="U691" s="17">
        <f>IF($C691="","",IF(AND($Y691="Excused",$L691="",N($K691)&lt;=1),"EXCUSED - 1st attempt pending",IF(OR($L691="",$K691&lt;&gt;1,NOT(ISNUMBER($L691)),$L691&gt;=$J691),"",IF(COUNTIFS(nrES_PID,$D691,nrES_Code,$F691,nrES_Att,2,nrES_Raw,"&gt;=0")&gt;0,IF(IFERROR(_xlfn.MINIFS(nrES_Date,nrES_PID,$D691,nrES_Code,$F691,nrES_Att,2,nrES_Raw,"&gt;=0",nrES_Date,"&gt;0"),0)=0,"RETEST UNDATED",IF(NOT(ISNUMBER($T691)),"RETEST DATE UNCHECKED",IF(_xlfn.MINIFS(nrES_Date,nrES_PID,$D691,nrES_Code,$F691,nrES_Att,2,nrES_Raw,"&gt;=0",nrES_Date,"&gt;0")&gt;$T691,"LATE RETEST "&amp;TEXT(_xlfn.MINIFS(nrES_Date,nrES_PID,$D691,nrES_Code,$F691,nrES_Att,2,nrES_Raw,"&gt;=0",nrES_Date,"&gt;0"),"mm/dd")&amp;" (due "&amp;TEXT($T691,"mm/dd")&amp;")","Retested"))),IF(NOT(ISNUMBER($T691)),"CHECK DATE",IF(TODAY()&gt;$T691,"OVERDUE","Due "&amp;TEXT($T691,"mm/dd")))))))</f>
        <v/>
      </c>
      <c r="V691" s="16" t="n"/>
      <c r="W691" s="16" t="n"/>
      <c r="X691" s="17">
        <f>IF($C691="","",IF(AND($L691&lt;&gt;"",NOT(ISNUMBER($L691))),"RAW SCORE NOT A NUMBER",IF(AND(ISNUMBER($L691),OR($L691&lt;0,$L691&gt;100)),"RAW SCORE OUT OF RANGE",IF(AND($Y691="Unexcused",OR($L691="",NOT(ISNUMBER($L691)),$L691&lt;&gt;0)),"UNEXCUSED ABSENCE MUST RECORD 0",IF(COUNTIF(nrES_RecID,$B691)&gt;1,"DUPLICATE RECORD",IF(N($K691)&gt;2,"ATTEMPT 3+ NOT ALLOWED - policy 300.5 permits one retest per exam; this row records nothing",IF(AND($K691=2,COUNTIFS(nrES_PID,$D691,nrES_Code,$F691,nrES_Att,1)=0),"ATTEMPT 2 WITHOUT ATTEMPT 1",IF(AND($K691=2,$L691=""),"RETEST ROW HAS NO SCORE",IF(AND($H691="Final",$L691&lt;&gt;"",IFERROR(INDEX(nrCKfinalExamElig,MATCH($D691,rngCadetPIDs,0)),"")="No"),"FINAL EXAM AFTER FAILED FINAL PT (500.1.H)",IF(AND($K691=2,ISNUMBER($L691),COUNTIFS(nrES_PID,$D691,nrES_Code,$F691,nrES_Att,1)&gt;0,SUMIFS(nrES_Raw,nrES_PID,$D691,nrES_Code,$F691,nrES_Att,1)&gt;=$J691),"RETEST AFTER A PASSING FIRST ATTEMPT","OK"))))))))))</f>
        <v/>
      </c>
      <c r="Y691" s="16" t="n"/>
    </row>
    <row r="692">
      <c r="B692" s="17">
        <f>IF($C692="","",$D692&amp;"-"&amp;$F692&amp;"-"&amp;$K692)</f>
        <v/>
      </c>
      <c r="C692" s="16" t="n"/>
      <c r="D692" s="17">
        <f>IF($C692="","",IFERROR(INDEX(rngCadetPIDs,MATCH($C692,rngCadetNames,0)),"?"))</f>
        <v/>
      </c>
      <c r="E692" s="17">
        <f>IF($D692="","",IFERROR(INDEX(nrCadetAgency,MATCH($D692,rngCadetPIDs,0)),""))</f>
        <v/>
      </c>
      <c r="F692" s="16" t="n"/>
      <c r="G692" s="17">
        <f>IF($F692="","",IFERROR(INDEX(rngEPname,MATCH($F692,rngEPcode,0)),"?"))</f>
        <v/>
      </c>
      <c r="H692" s="17">
        <f>IF($F692="","",IFERROR(INDEX(rngEPtype,MATCH($F692,rngEPcode,0)),"?"))</f>
        <v/>
      </c>
      <c r="I692" s="17">
        <f>IF($F692="","",IFERROR(INDEX(rngEPseq,MATCH($F692,rngEPcode,0)),""))</f>
        <v/>
      </c>
      <c r="J692" s="17">
        <f>IF($F692="","",IFERROR(INDEX(rngEPpass,MATCH($F692,rngEPcode,0)),cfgPassingScore))</f>
        <v/>
      </c>
      <c r="K692" s="16" t="n"/>
      <c r="L692" s="16" t="n"/>
      <c r="M692" s="17">
        <f>IF($C692="","",IF($L692="","",IF(NOT(ISNUMBER($L692)),$L692,IF(N($K692)&gt;2,"",IF($K692=1,IF(COUNTIFS(nrES_PID,$D692,nrES_Code,$F692,nrES_Att,2,nrES_Raw,"&gt;=0")&gt;0,"",$L692),IF($L692&gt;=$J692,MAX($J692,cfgRetakeRecordedCap),IF(COUNTIFS(nrES_PID,$D692,nrES_Code,$F692,nrES_Att,1)=0,$L692,SUMIFS(nrES_Raw,nrES_PID,$D692,nrES_Code,$F692,nrES_Att,1))))))))</f>
        <v/>
      </c>
      <c r="N692" s="17">
        <f>IF($C692="","",IF($L692="","",IF(NOT(ISNUMBER($L692)),"(not a score)",IF($L692&gt;=$J692,"Yes","No"))))</f>
        <v/>
      </c>
      <c r="O692" s="17">
        <f>IF($C692="","",IF($M692="","",IF(NOT(ISNUMBER($M692)),"(not a score)",IF($M692&gt;=$J692,"Yes","No"))))</f>
        <v/>
      </c>
      <c r="P692" s="17">
        <f>IF($C692="","",IF($K692="","",IF(N($K692)&gt;2,"No",IF(COUNTIFS(nrES_PID,$D692,nrES_Code,$F692,nrES_Att,"&gt;"&amp;$K692,nrES_Att,"&lt;=2",nrES_Raw,"&gt;=0")=0,"Yes","No"))))</f>
        <v/>
      </c>
      <c r="Q692" s="17">
        <f>IF($C692="","",IF($L692="","",IF(AND($K692=1,ISNUMBER($L692),$L692&lt;$J692,COUNTIFS(nrES_PID,$D692,nrES_Code,$F692,nrES_Att,2,nrES_Raw,"&gt;=0")=0),"Yes","No")))</f>
        <v/>
      </c>
      <c r="R692" s="17">
        <f>IF($C692="","",IF($L692="","",IF(AND(N($K692)&gt;=2,ISNUMBER($L692),$L692&lt;$J692),"Yes","No")))</f>
        <v/>
      </c>
      <c r="S692" s="18" t="n"/>
      <c r="T692" s="19">
        <f>IF(OR($C692="",$L692="",$K692&lt;&gt;1,NOT(ISNUMBER($L692)),$L692&gt;=$J692),"",IF($S692="","(enter date)",_xlfn.LET(_xlpm.dn,_xlfn.XLOOKUP($S692,nrCDdate,nrCDnum,"",1),IF(_xlpm.dn="","(after last class day)",_xlfn.LET(_xlpm.dd,_xlfn.XLOOKUP(_xlpm.dn+cfgRetestClassDays,nrCDnum,nrCDdate,""),_xlpm.ok,_xlfn.XLOOKUP(_xlpm.dn+cfgRetestClassDays,nrCDnum,nrCDinsession,"No"),IF(OR(_xlpm.dd="",_xlpm.ok&lt;&gt;"Yes"),"(after last class day)",_xlpm.dd))))))</f>
        <v/>
      </c>
      <c r="U692" s="17">
        <f>IF($C692="","",IF(AND($Y692="Excused",$L692="",N($K692)&lt;=1),"EXCUSED - 1st attempt pending",IF(OR($L692="",$K692&lt;&gt;1,NOT(ISNUMBER($L692)),$L692&gt;=$J692),"",IF(COUNTIFS(nrES_PID,$D692,nrES_Code,$F692,nrES_Att,2,nrES_Raw,"&gt;=0")&gt;0,IF(IFERROR(_xlfn.MINIFS(nrES_Date,nrES_PID,$D692,nrES_Code,$F692,nrES_Att,2,nrES_Raw,"&gt;=0",nrES_Date,"&gt;0"),0)=0,"RETEST UNDATED",IF(NOT(ISNUMBER($T692)),"RETEST DATE UNCHECKED",IF(_xlfn.MINIFS(nrES_Date,nrES_PID,$D692,nrES_Code,$F692,nrES_Att,2,nrES_Raw,"&gt;=0",nrES_Date,"&gt;0")&gt;$T692,"LATE RETEST "&amp;TEXT(_xlfn.MINIFS(nrES_Date,nrES_PID,$D692,nrES_Code,$F692,nrES_Att,2,nrES_Raw,"&gt;=0",nrES_Date,"&gt;0"),"mm/dd")&amp;" (due "&amp;TEXT($T692,"mm/dd")&amp;")","Retested"))),IF(NOT(ISNUMBER($T692)),"CHECK DATE",IF(TODAY()&gt;$T692,"OVERDUE","Due "&amp;TEXT($T692,"mm/dd")))))))</f>
        <v/>
      </c>
      <c r="V692" s="16" t="n"/>
      <c r="W692" s="16" t="n"/>
      <c r="X692" s="17">
        <f>IF($C692="","",IF(AND($L692&lt;&gt;"",NOT(ISNUMBER($L692))),"RAW SCORE NOT A NUMBER",IF(AND(ISNUMBER($L692),OR($L692&lt;0,$L692&gt;100)),"RAW SCORE OUT OF RANGE",IF(AND($Y692="Unexcused",OR($L692="",NOT(ISNUMBER($L692)),$L692&lt;&gt;0)),"UNEXCUSED ABSENCE MUST RECORD 0",IF(COUNTIF(nrES_RecID,$B692)&gt;1,"DUPLICATE RECORD",IF(N($K692)&gt;2,"ATTEMPT 3+ NOT ALLOWED - policy 300.5 permits one retest per exam; this row records nothing",IF(AND($K692=2,COUNTIFS(nrES_PID,$D692,nrES_Code,$F692,nrES_Att,1)=0),"ATTEMPT 2 WITHOUT ATTEMPT 1",IF(AND($K692=2,$L692=""),"RETEST ROW HAS NO SCORE",IF(AND($H692="Final",$L692&lt;&gt;"",IFERROR(INDEX(nrCKfinalExamElig,MATCH($D692,rngCadetPIDs,0)),"")="No"),"FINAL EXAM AFTER FAILED FINAL PT (500.1.H)",IF(AND($K692=2,ISNUMBER($L692),COUNTIFS(nrES_PID,$D692,nrES_Code,$F692,nrES_Att,1)&gt;0,SUMIFS(nrES_Raw,nrES_PID,$D692,nrES_Code,$F692,nrES_Att,1)&gt;=$J692),"RETEST AFTER A PASSING FIRST ATTEMPT","OK"))))))))))</f>
        <v/>
      </c>
      <c r="Y692" s="16" t="n"/>
    </row>
    <row r="693">
      <c r="B693" s="17">
        <f>IF($C693="","",$D693&amp;"-"&amp;$F693&amp;"-"&amp;$K693)</f>
        <v/>
      </c>
      <c r="C693" s="16" t="n"/>
      <c r="D693" s="17">
        <f>IF($C693="","",IFERROR(INDEX(rngCadetPIDs,MATCH($C693,rngCadetNames,0)),"?"))</f>
        <v/>
      </c>
      <c r="E693" s="17">
        <f>IF($D693="","",IFERROR(INDEX(nrCadetAgency,MATCH($D693,rngCadetPIDs,0)),""))</f>
        <v/>
      </c>
      <c r="F693" s="16" t="n"/>
      <c r="G693" s="17">
        <f>IF($F693="","",IFERROR(INDEX(rngEPname,MATCH($F693,rngEPcode,0)),"?"))</f>
        <v/>
      </c>
      <c r="H693" s="17">
        <f>IF($F693="","",IFERROR(INDEX(rngEPtype,MATCH($F693,rngEPcode,0)),"?"))</f>
        <v/>
      </c>
      <c r="I693" s="17">
        <f>IF($F693="","",IFERROR(INDEX(rngEPseq,MATCH($F693,rngEPcode,0)),""))</f>
        <v/>
      </c>
      <c r="J693" s="17">
        <f>IF($F693="","",IFERROR(INDEX(rngEPpass,MATCH($F693,rngEPcode,0)),cfgPassingScore))</f>
        <v/>
      </c>
      <c r="K693" s="16" t="n"/>
      <c r="L693" s="16" t="n"/>
      <c r="M693" s="17">
        <f>IF($C693="","",IF($L693="","",IF(NOT(ISNUMBER($L693)),$L693,IF(N($K693)&gt;2,"",IF($K693=1,IF(COUNTIFS(nrES_PID,$D693,nrES_Code,$F693,nrES_Att,2,nrES_Raw,"&gt;=0")&gt;0,"",$L693),IF($L693&gt;=$J693,MAX($J693,cfgRetakeRecordedCap),IF(COUNTIFS(nrES_PID,$D693,nrES_Code,$F693,nrES_Att,1)=0,$L693,SUMIFS(nrES_Raw,nrES_PID,$D693,nrES_Code,$F693,nrES_Att,1))))))))</f>
        <v/>
      </c>
      <c r="N693" s="17">
        <f>IF($C693="","",IF($L693="","",IF(NOT(ISNUMBER($L693)),"(not a score)",IF($L693&gt;=$J693,"Yes","No"))))</f>
        <v/>
      </c>
      <c r="O693" s="17">
        <f>IF($C693="","",IF($M693="","",IF(NOT(ISNUMBER($M693)),"(not a score)",IF($M693&gt;=$J693,"Yes","No"))))</f>
        <v/>
      </c>
      <c r="P693" s="17">
        <f>IF($C693="","",IF($K693="","",IF(N($K693)&gt;2,"No",IF(COUNTIFS(nrES_PID,$D693,nrES_Code,$F693,nrES_Att,"&gt;"&amp;$K693,nrES_Att,"&lt;=2",nrES_Raw,"&gt;=0")=0,"Yes","No"))))</f>
        <v/>
      </c>
      <c r="Q693" s="17">
        <f>IF($C693="","",IF($L693="","",IF(AND($K693=1,ISNUMBER($L693),$L693&lt;$J693,COUNTIFS(nrES_PID,$D693,nrES_Code,$F693,nrES_Att,2,nrES_Raw,"&gt;=0")=0),"Yes","No")))</f>
        <v/>
      </c>
      <c r="R693" s="17">
        <f>IF($C693="","",IF($L693="","",IF(AND(N($K693)&gt;=2,ISNUMBER($L693),$L693&lt;$J693),"Yes","No")))</f>
        <v/>
      </c>
      <c r="S693" s="18" t="n"/>
      <c r="T693" s="19">
        <f>IF(OR($C693="",$L693="",$K693&lt;&gt;1,NOT(ISNUMBER($L693)),$L693&gt;=$J693),"",IF($S693="","(enter date)",_xlfn.LET(_xlpm.dn,_xlfn.XLOOKUP($S693,nrCDdate,nrCDnum,"",1),IF(_xlpm.dn="","(after last class day)",_xlfn.LET(_xlpm.dd,_xlfn.XLOOKUP(_xlpm.dn+cfgRetestClassDays,nrCDnum,nrCDdate,""),_xlpm.ok,_xlfn.XLOOKUP(_xlpm.dn+cfgRetestClassDays,nrCDnum,nrCDinsession,"No"),IF(OR(_xlpm.dd="",_xlpm.ok&lt;&gt;"Yes"),"(after last class day)",_xlpm.dd))))))</f>
        <v/>
      </c>
      <c r="U693" s="17">
        <f>IF($C693="","",IF(AND($Y693="Excused",$L693="",N($K693)&lt;=1),"EXCUSED - 1st attempt pending",IF(OR($L693="",$K693&lt;&gt;1,NOT(ISNUMBER($L693)),$L693&gt;=$J693),"",IF(COUNTIFS(nrES_PID,$D693,nrES_Code,$F693,nrES_Att,2,nrES_Raw,"&gt;=0")&gt;0,IF(IFERROR(_xlfn.MINIFS(nrES_Date,nrES_PID,$D693,nrES_Code,$F693,nrES_Att,2,nrES_Raw,"&gt;=0",nrES_Date,"&gt;0"),0)=0,"RETEST UNDATED",IF(NOT(ISNUMBER($T693)),"RETEST DATE UNCHECKED",IF(_xlfn.MINIFS(nrES_Date,nrES_PID,$D693,nrES_Code,$F693,nrES_Att,2,nrES_Raw,"&gt;=0",nrES_Date,"&gt;0")&gt;$T693,"LATE RETEST "&amp;TEXT(_xlfn.MINIFS(nrES_Date,nrES_PID,$D693,nrES_Code,$F693,nrES_Att,2,nrES_Raw,"&gt;=0",nrES_Date,"&gt;0"),"mm/dd")&amp;" (due "&amp;TEXT($T693,"mm/dd")&amp;")","Retested"))),IF(NOT(ISNUMBER($T693)),"CHECK DATE",IF(TODAY()&gt;$T693,"OVERDUE","Due "&amp;TEXT($T693,"mm/dd")))))))</f>
        <v/>
      </c>
      <c r="V693" s="16" t="n"/>
      <c r="W693" s="16" t="n"/>
      <c r="X693" s="17">
        <f>IF($C693="","",IF(AND($L693&lt;&gt;"",NOT(ISNUMBER($L693))),"RAW SCORE NOT A NUMBER",IF(AND(ISNUMBER($L693),OR($L693&lt;0,$L693&gt;100)),"RAW SCORE OUT OF RANGE",IF(AND($Y693="Unexcused",OR($L693="",NOT(ISNUMBER($L693)),$L693&lt;&gt;0)),"UNEXCUSED ABSENCE MUST RECORD 0",IF(COUNTIF(nrES_RecID,$B693)&gt;1,"DUPLICATE RECORD",IF(N($K693)&gt;2,"ATTEMPT 3+ NOT ALLOWED - policy 300.5 permits one retest per exam; this row records nothing",IF(AND($K693=2,COUNTIFS(nrES_PID,$D693,nrES_Code,$F693,nrES_Att,1)=0),"ATTEMPT 2 WITHOUT ATTEMPT 1",IF(AND($K693=2,$L693=""),"RETEST ROW HAS NO SCORE",IF(AND($H693="Final",$L693&lt;&gt;"",IFERROR(INDEX(nrCKfinalExamElig,MATCH($D693,rngCadetPIDs,0)),"")="No"),"FINAL EXAM AFTER FAILED FINAL PT (500.1.H)",IF(AND($K693=2,ISNUMBER($L693),COUNTIFS(nrES_PID,$D693,nrES_Code,$F693,nrES_Att,1)&gt;0,SUMIFS(nrES_Raw,nrES_PID,$D693,nrES_Code,$F693,nrES_Att,1)&gt;=$J693),"RETEST AFTER A PASSING FIRST ATTEMPT","OK"))))))))))</f>
        <v/>
      </c>
      <c r="Y693" s="16" t="n"/>
    </row>
    <row r="694">
      <c r="B694" s="17">
        <f>IF($C694="","",$D694&amp;"-"&amp;$F694&amp;"-"&amp;$K694)</f>
        <v/>
      </c>
      <c r="C694" s="16" t="n"/>
      <c r="D694" s="17">
        <f>IF($C694="","",IFERROR(INDEX(rngCadetPIDs,MATCH($C694,rngCadetNames,0)),"?"))</f>
        <v/>
      </c>
      <c r="E694" s="17">
        <f>IF($D694="","",IFERROR(INDEX(nrCadetAgency,MATCH($D694,rngCadetPIDs,0)),""))</f>
        <v/>
      </c>
      <c r="F694" s="16" t="n"/>
      <c r="G694" s="17">
        <f>IF($F694="","",IFERROR(INDEX(rngEPname,MATCH($F694,rngEPcode,0)),"?"))</f>
        <v/>
      </c>
      <c r="H694" s="17">
        <f>IF($F694="","",IFERROR(INDEX(rngEPtype,MATCH($F694,rngEPcode,0)),"?"))</f>
        <v/>
      </c>
      <c r="I694" s="17">
        <f>IF($F694="","",IFERROR(INDEX(rngEPseq,MATCH($F694,rngEPcode,0)),""))</f>
        <v/>
      </c>
      <c r="J694" s="17">
        <f>IF($F694="","",IFERROR(INDEX(rngEPpass,MATCH($F694,rngEPcode,0)),cfgPassingScore))</f>
        <v/>
      </c>
      <c r="K694" s="16" t="n"/>
      <c r="L694" s="16" t="n"/>
      <c r="M694" s="17">
        <f>IF($C694="","",IF($L694="","",IF(NOT(ISNUMBER($L694)),$L694,IF(N($K694)&gt;2,"",IF($K694=1,IF(COUNTIFS(nrES_PID,$D694,nrES_Code,$F694,nrES_Att,2,nrES_Raw,"&gt;=0")&gt;0,"",$L694),IF($L694&gt;=$J694,MAX($J694,cfgRetakeRecordedCap),IF(COUNTIFS(nrES_PID,$D694,nrES_Code,$F694,nrES_Att,1)=0,$L694,SUMIFS(nrES_Raw,nrES_PID,$D694,nrES_Code,$F694,nrES_Att,1))))))))</f>
        <v/>
      </c>
      <c r="N694" s="17">
        <f>IF($C694="","",IF($L694="","",IF(NOT(ISNUMBER($L694)),"(not a score)",IF($L694&gt;=$J694,"Yes","No"))))</f>
        <v/>
      </c>
      <c r="O694" s="17">
        <f>IF($C694="","",IF($M694="","",IF(NOT(ISNUMBER($M694)),"(not a score)",IF($M694&gt;=$J694,"Yes","No"))))</f>
        <v/>
      </c>
      <c r="P694" s="17">
        <f>IF($C694="","",IF($K694="","",IF(N($K694)&gt;2,"No",IF(COUNTIFS(nrES_PID,$D694,nrES_Code,$F694,nrES_Att,"&gt;"&amp;$K694,nrES_Att,"&lt;=2",nrES_Raw,"&gt;=0")=0,"Yes","No"))))</f>
        <v/>
      </c>
      <c r="Q694" s="17">
        <f>IF($C694="","",IF($L694="","",IF(AND($K694=1,ISNUMBER($L694),$L694&lt;$J694,COUNTIFS(nrES_PID,$D694,nrES_Code,$F694,nrES_Att,2,nrES_Raw,"&gt;=0")=0),"Yes","No")))</f>
        <v/>
      </c>
      <c r="R694" s="17">
        <f>IF($C694="","",IF($L694="","",IF(AND(N($K694)&gt;=2,ISNUMBER($L694),$L694&lt;$J694),"Yes","No")))</f>
        <v/>
      </c>
      <c r="S694" s="18" t="n"/>
      <c r="T694" s="19">
        <f>IF(OR($C694="",$L694="",$K694&lt;&gt;1,NOT(ISNUMBER($L694)),$L694&gt;=$J694),"",IF($S694="","(enter date)",_xlfn.LET(_xlpm.dn,_xlfn.XLOOKUP($S694,nrCDdate,nrCDnum,"",1),IF(_xlpm.dn="","(after last class day)",_xlfn.LET(_xlpm.dd,_xlfn.XLOOKUP(_xlpm.dn+cfgRetestClassDays,nrCDnum,nrCDdate,""),_xlpm.ok,_xlfn.XLOOKUP(_xlpm.dn+cfgRetestClassDays,nrCDnum,nrCDinsession,"No"),IF(OR(_xlpm.dd="",_xlpm.ok&lt;&gt;"Yes"),"(after last class day)",_xlpm.dd))))))</f>
        <v/>
      </c>
      <c r="U694" s="17">
        <f>IF($C694="","",IF(AND($Y694="Excused",$L694="",N($K694)&lt;=1),"EXCUSED - 1st attempt pending",IF(OR($L694="",$K694&lt;&gt;1,NOT(ISNUMBER($L694)),$L694&gt;=$J694),"",IF(COUNTIFS(nrES_PID,$D694,nrES_Code,$F694,nrES_Att,2,nrES_Raw,"&gt;=0")&gt;0,IF(IFERROR(_xlfn.MINIFS(nrES_Date,nrES_PID,$D694,nrES_Code,$F694,nrES_Att,2,nrES_Raw,"&gt;=0",nrES_Date,"&gt;0"),0)=0,"RETEST UNDATED",IF(NOT(ISNUMBER($T694)),"RETEST DATE UNCHECKED",IF(_xlfn.MINIFS(nrES_Date,nrES_PID,$D694,nrES_Code,$F694,nrES_Att,2,nrES_Raw,"&gt;=0",nrES_Date,"&gt;0")&gt;$T694,"LATE RETEST "&amp;TEXT(_xlfn.MINIFS(nrES_Date,nrES_PID,$D694,nrES_Code,$F694,nrES_Att,2,nrES_Raw,"&gt;=0",nrES_Date,"&gt;0"),"mm/dd")&amp;" (due "&amp;TEXT($T694,"mm/dd")&amp;")","Retested"))),IF(NOT(ISNUMBER($T694)),"CHECK DATE",IF(TODAY()&gt;$T694,"OVERDUE","Due "&amp;TEXT($T694,"mm/dd")))))))</f>
        <v/>
      </c>
      <c r="V694" s="16" t="n"/>
      <c r="W694" s="16" t="n"/>
      <c r="X694" s="17">
        <f>IF($C694="","",IF(AND($L694&lt;&gt;"",NOT(ISNUMBER($L694))),"RAW SCORE NOT A NUMBER",IF(AND(ISNUMBER($L694),OR($L694&lt;0,$L694&gt;100)),"RAW SCORE OUT OF RANGE",IF(AND($Y694="Unexcused",OR($L694="",NOT(ISNUMBER($L694)),$L694&lt;&gt;0)),"UNEXCUSED ABSENCE MUST RECORD 0",IF(COUNTIF(nrES_RecID,$B694)&gt;1,"DUPLICATE RECORD",IF(N($K694)&gt;2,"ATTEMPT 3+ NOT ALLOWED - policy 300.5 permits one retest per exam; this row records nothing",IF(AND($K694=2,COUNTIFS(nrES_PID,$D694,nrES_Code,$F694,nrES_Att,1)=0),"ATTEMPT 2 WITHOUT ATTEMPT 1",IF(AND($K694=2,$L694=""),"RETEST ROW HAS NO SCORE",IF(AND($H694="Final",$L694&lt;&gt;"",IFERROR(INDEX(nrCKfinalExamElig,MATCH($D694,rngCadetPIDs,0)),"")="No"),"FINAL EXAM AFTER FAILED FINAL PT (500.1.H)",IF(AND($K694=2,ISNUMBER($L694),COUNTIFS(nrES_PID,$D694,nrES_Code,$F694,nrES_Att,1)&gt;0,SUMIFS(nrES_Raw,nrES_PID,$D694,nrES_Code,$F694,nrES_Att,1)&gt;=$J694),"RETEST AFTER A PASSING FIRST ATTEMPT","OK"))))))))))</f>
        <v/>
      </c>
      <c r="Y694" s="16" t="n"/>
    </row>
    <row r="695">
      <c r="B695" s="17">
        <f>IF($C695="","",$D695&amp;"-"&amp;$F695&amp;"-"&amp;$K695)</f>
        <v/>
      </c>
      <c r="C695" s="16" t="n"/>
      <c r="D695" s="17">
        <f>IF($C695="","",IFERROR(INDEX(rngCadetPIDs,MATCH($C695,rngCadetNames,0)),"?"))</f>
        <v/>
      </c>
      <c r="E695" s="17">
        <f>IF($D695="","",IFERROR(INDEX(nrCadetAgency,MATCH($D695,rngCadetPIDs,0)),""))</f>
        <v/>
      </c>
      <c r="F695" s="16" t="n"/>
      <c r="G695" s="17">
        <f>IF($F695="","",IFERROR(INDEX(rngEPname,MATCH($F695,rngEPcode,0)),"?"))</f>
        <v/>
      </c>
      <c r="H695" s="17">
        <f>IF($F695="","",IFERROR(INDEX(rngEPtype,MATCH($F695,rngEPcode,0)),"?"))</f>
        <v/>
      </c>
      <c r="I695" s="17">
        <f>IF($F695="","",IFERROR(INDEX(rngEPseq,MATCH($F695,rngEPcode,0)),""))</f>
        <v/>
      </c>
      <c r="J695" s="17">
        <f>IF($F695="","",IFERROR(INDEX(rngEPpass,MATCH($F695,rngEPcode,0)),cfgPassingScore))</f>
        <v/>
      </c>
      <c r="K695" s="16" t="n"/>
      <c r="L695" s="16" t="n"/>
      <c r="M695" s="17">
        <f>IF($C695="","",IF($L695="","",IF(NOT(ISNUMBER($L695)),$L695,IF(N($K695)&gt;2,"",IF($K695=1,IF(COUNTIFS(nrES_PID,$D695,nrES_Code,$F695,nrES_Att,2,nrES_Raw,"&gt;=0")&gt;0,"",$L695),IF($L695&gt;=$J695,MAX($J695,cfgRetakeRecordedCap),IF(COUNTIFS(nrES_PID,$D695,nrES_Code,$F695,nrES_Att,1)=0,$L695,SUMIFS(nrES_Raw,nrES_PID,$D695,nrES_Code,$F695,nrES_Att,1))))))))</f>
        <v/>
      </c>
      <c r="N695" s="17">
        <f>IF($C695="","",IF($L695="","",IF(NOT(ISNUMBER($L695)),"(not a score)",IF($L695&gt;=$J695,"Yes","No"))))</f>
        <v/>
      </c>
      <c r="O695" s="17">
        <f>IF($C695="","",IF($M695="","",IF(NOT(ISNUMBER($M695)),"(not a score)",IF($M695&gt;=$J695,"Yes","No"))))</f>
        <v/>
      </c>
      <c r="P695" s="17">
        <f>IF($C695="","",IF($K695="","",IF(N($K695)&gt;2,"No",IF(COUNTIFS(nrES_PID,$D695,nrES_Code,$F695,nrES_Att,"&gt;"&amp;$K695,nrES_Att,"&lt;=2",nrES_Raw,"&gt;=0")=0,"Yes","No"))))</f>
        <v/>
      </c>
      <c r="Q695" s="17">
        <f>IF($C695="","",IF($L695="","",IF(AND($K695=1,ISNUMBER($L695),$L695&lt;$J695,COUNTIFS(nrES_PID,$D695,nrES_Code,$F695,nrES_Att,2,nrES_Raw,"&gt;=0")=0),"Yes","No")))</f>
        <v/>
      </c>
      <c r="R695" s="17">
        <f>IF($C695="","",IF($L695="","",IF(AND(N($K695)&gt;=2,ISNUMBER($L695),$L695&lt;$J695),"Yes","No")))</f>
        <v/>
      </c>
      <c r="S695" s="18" t="n"/>
      <c r="T695" s="19">
        <f>IF(OR($C695="",$L695="",$K695&lt;&gt;1,NOT(ISNUMBER($L695)),$L695&gt;=$J695),"",IF($S695="","(enter date)",_xlfn.LET(_xlpm.dn,_xlfn.XLOOKUP($S695,nrCDdate,nrCDnum,"",1),IF(_xlpm.dn="","(after last class day)",_xlfn.LET(_xlpm.dd,_xlfn.XLOOKUP(_xlpm.dn+cfgRetestClassDays,nrCDnum,nrCDdate,""),_xlpm.ok,_xlfn.XLOOKUP(_xlpm.dn+cfgRetestClassDays,nrCDnum,nrCDinsession,"No"),IF(OR(_xlpm.dd="",_xlpm.ok&lt;&gt;"Yes"),"(after last class day)",_xlpm.dd))))))</f>
        <v/>
      </c>
      <c r="U695" s="17">
        <f>IF($C695="","",IF(AND($Y695="Excused",$L695="",N($K695)&lt;=1),"EXCUSED - 1st attempt pending",IF(OR($L695="",$K695&lt;&gt;1,NOT(ISNUMBER($L695)),$L695&gt;=$J695),"",IF(COUNTIFS(nrES_PID,$D695,nrES_Code,$F695,nrES_Att,2,nrES_Raw,"&gt;=0")&gt;0,IF(IFERROR(_xlfn.MINIFS(nrES_Date,nrES_PID,$D695,nrES_Code,$F695,nrES_Att,2,nrES_Raw,"&gt;=0",nrES_Date,"&gt;0"),0)=0,"RETEST UNDATED",IF(NOT(ISNUMBER($T695)),"RETEST DATE UNCHECKED",IF(_xlfn.MINIFS(nrES_Date,nrES_PID,$D695,nrES_Code,$F695,nrES_Att,2,nrES_Raw,"&gt;=0",nrES_Date,"&gt;0")&gt;$T695,"LATE RETEST "&amp;TEXT(_xlfn.MINIFS(nrES_Date,nrES_PID,$D695,nrES_Code,$F695,nrES_Att,2,nrES_Raw,"&gt;=0",nrES_Date,"&gt;0"),"mm/dd")&amp;" (due "&amp;TEXT($T695,"mm/dd")&amp;")","Retested"))),IF(NOT(ISNUMBER($T695)),"CHECK DATE",IF(TODAY()&gt;$T695,"OVERDUE","Due "&amp;TEXT($T695,"mm/dd")))))))</f>
        <v/>
      </c>
      <c r="V695" s="16" t="n"/>
      <c r="W695" s="16" t="n"/>
      <c r="X695" s="17">
        <f>IF($C695="","",IF(AND($L695&lt;&gt;"",NOT(ISNUMBER($L695))),"RAW SCORE NOT A NUMBER",IF(AND(ISNUMBER($L695),OR($L695&lt;0,$L695&gt;100)),"RAW SCORE OUT OF RANGE",IF(AND($Y695="Unexcused",OR($L695="",NOT(ISNUMBER($L695)),$L695&lt;&gt;0)),"UNEXCUSED ABSENCE MUST RECORD 0",IF(COUNTIF(nrES_RecID,$B695)&gt;1,"DUPLICATE RECORD",IF(N($K695)&gt;2,"ATTEMPT 3+ NOT ALLOWED - policy 300.5 permits one retest per exam; this row records nothing",IF(AND($K695=2,COUNTIFS(nrES_PID,$D695,nrES_Code,$F695,nrES_Att,1)=0),"ATTEMPT 2 WITHOUT ATTEMPT 1",IF(AND($K695=2,$L695=""),"RETEST ROW HAS NO SCORE",IF(AND($H695="Final",$L695&lt;&gt;"",IFERROR(INDEX(nrCKfinalExamElig,MATCH($D695,rngCadetPIDs,0)),"")="No"),"FINAL EXAM AFTER FAILED FINAL PT (500.1.H)",IF(AND($K695=2,ISNUMBER($L695),COUNTIFS(nrES_PID,$D695,nrES_Code,$F695,nrES_Att,1)&gt;0,SUMIFS(nrES_Raw,nrES_PID,$D695,nrES_Code,$F695,nrES_Att,1)&gt;=$J695),"RETEST AFTER A PASSING FIRST ATTEMPT","OK"))))))))))</f>
        <v/>
      </c>
      <c r="Y695" s="16" t="n"/>
    </row>
    <row r="696">
      <c r="B696" s="17">
        <f>IF($C696="","",$D696&amp;"-"&amp;$F696&amp;"-"&amp;$K696)</f>
        <v/>
      </c>
      <c r="C696" s="16" t="n"/>
      <c r="D696" s="17">
        <f>IF($C696="","",IFERROR(INDEX(rngCadetPIDs,MATCH($C696,rngCadetNames,0)),"?"))</f>
        <v/>
      </c>
      <c r="E696" s="17">
        <f>IF($D696="","",IFERROR(INDEX(nrCadetAgency,MATCH($D696,rngCadetPIDs,0)),""))</f>
        <v/>
      </c>
      <c r="F696" s="16" t="n"/>
      <c r="G696" s="17">
        <f>IF($F696="","",IFERROR(INDEX(rngEPname,MATCH($F696,rngEPcode,0)),"?"))</f>
        <v/>
      </c>
      <c r="H696" s="17">
        <f>IF($F696="","",IFERROR(INDEX(rngEPtype,MATCH($F696,rngEPcode,0)),"?"))</f>
        <v/>
      </c>
      <c r="I696" s="17">
        <f>IF($F696="","",IFERROR(INDEX(rngEPseq,MATCH($F696,rngEPcode,0)),""))</f>
        <v/>
      </c>
      <c r="J696" s="17">
        <f>IF($F696="","",IFERROR(INDEX(rngEPpass,MATCH($F696,rngEPcode,0)),cfgPassingScore))</f>
        <v/>
      </c>
      <c r="K696" s="16" t="n"/>
      <c r="L696" s="16" t="n"/>
      <c r="M696" s="17">
        <f>IF($C696="","",IF($L696="","",IF(NOT(ISNUMBER($L696)),$L696,IF(N($K696)&gt;2,"",IF($K696=1,IF(COUNTIFS(nrES_PID,$D696,nrES_Code,$F696,nrES_Att,2,nrES_Raw,"&gt;=0")&gt;0,"",$L696),IF($L696&gt;=$J696,MAX($J696,cfgRetakeRecordedCap),IF(COUNTIFS(nrES_PID,$D696,nrES_Code,$F696,nrES_Att,1)=0,$L696,SUMIFS(nrES_Raw,nrES_PID,$D696,nrES_Code,$F696,nrES_Att,1))))))))</f>
        <v/>
      </c>
      <c r="N696" s="17">
        <f>IF($C696="","",IF($L696="","",IF(NOT(ISNUMBER($L696)),"(not a score)",IF($L696&gt;=$J696,"Yes","No"))))</f>
        <v/>
      </c>
      <c r="O696" s="17">
        <f>IF($C696="","",IF($M696="","",IF(NOT(ISNUMBER($M696)),"(not a score)",IF($M696&gt;=$J696,"Yes","No"))))</f>
        <v/>
      </c>
      <c r="P696" s="17">
        <f>IF($C696="","",IF($K696="","",IF(N($K696)&gt;2,"No",IF(COUNTIFS(nrES_PID,$D696,nrES_Code,$F696,nrES_Att,"&gt;"&amp;$K696,nrES_Att,"&lt;=2",nrES_Raw,"&gt;=0")=0,"Yes","No"))))</f>
        <v/>
      </c>
      <c r="Q696" s="17">
        <f>IF($C696="","",IF($L696="","",IF(AND($K696=1,ISNUMBER($L696),$L696&lt;$J696,COUNTIFS(nrES_PID,$D696,nrES_Code,$F696,nrES_Att,2,nrES_Raw,"&gt;=0")=0),"Yes","No")))</f>
        <v/>
      </c>
      <c r="R696" s="17">
        <f>IF($C696="","",IF($L696="","",IF(AND(N($K696)&gt;=2,ISNUMBER($L696),$L696&lt;$J696),"Yes","No")))</f>
        <v/>
      </c>
      <c r="S696" s="18" t="n"/>
      <c r="T696" s="19">
        <f>IF(OR($C696="",$L696="",$K696&lt;&gt;1,NOT(ISNUMBER($L696)),$L696&gt;=$J696),"",IF($S696="","(enter date)",_xlfn.LET(_xlpm.dn,_xlfn.XLOOKUP($S696,nrCDdate,nrCDnum,"",1),IF(_xlpm.dn="","(after last class day)",_xlfn.LET(_xlpm.dd,_xlfn.XLOOKUP(_xlpm.dn+cfgRetestClassDays,nrCDnum,nrCDdate,""),_xlpm.ok,_xlfn.XLOOKUP(_xlpm.dn+cfgRetestClassDays,nrCDnum,nrCDinsession,"No"),IF(OR(_xlpm.dd="",_xlpm.ok&lt;&gt;"Yes"),"(after last class day)",_xlpm.dd))))))</f>
        <v/>
      </c>
      <c r="U696" s="17">
        <f>IF($C696="","",IF(AND($Y696="Excused",$L696="",N($K696)&lt;=1),"EXCUSED - 1st attempt pending",IF(OR($L696="",$K696&lt;&gt;1,NOT(ISNUMBER($L696)),$L696&gt;=$J696),"",IF(COUNTIFS(nrES_PID,$D696,nrES_Code,$F696,nrES_Att,2,nrES_Raw,"&gt;=0")&gt;0,IF(IFERROR(_xlfn.MINIFS(nrES_Date,nrES_PID,$D696,nrES_Code,$F696,nrES_Att,2,nrES_Raw,"&gt;=0",nrES_Date,"&gt;0"),0)=0,"RETEST UNDATED",IF(NOT(ISNUMBER($T696)),"RETEST DATE UNCHECKED",IF(_xlfn.MINIFS(nrES_Date,nrES_PID,$D696,nrES_Code,$F696,nrES_Att,2,nrES_Raw,"&gt;=0",nrES_Date,"&gt;0")&gt;$T696,"LATE RETEST "&amp;TEXT(_xlfn.MINIFS(nrES_Date,nrES_PID,$D696,nrES_Code,$F696,nrES_Att,2,nrES_Raw,"&gt;=0",nrES_Date,"&gt;0"),"mm/dd")&amp;" (due "&amp;TEXT($T696,"mm/dd")&amp;")","Retested"))),IF(NOT(ISNUMBER($T696)),"CHECK DATE",IF(TODAY()&gt;$T696,"OVERDUE","Due "&amp;TEXT($T696,"mm/dd")))))))</f>
        <v/>
      </c>
      <c r="V696" s="16" t="n"/>
      <c r="W696" s="16" t="n"/>
      <c r="X696" s="17">
        <f>IF($C696="","",IF(AND($L696&lt;&gt;"",NOT(ISNUMBER($L696))),"RAW SCORE NOT A NUMBER",IF(AND(ISNUMBER($L696),OR($L696&lt;0,$L696&gt;100)),"RAW SCORE OUT OF RANGE",IF(AND($Y696="Unexcused",OR($L696="",NOT(ISNUMBER($L696)),$L696&lt;&gt;0)),"UNEXCUSED ABSENCE MUST RECORD 0",IF(COUNTIF(nrES_RecID,$B696)&gt;1,"DUPLICATE RECORD",IF(N($K696)&gt;2,"ATTEMPT 3+ NOT ALLOWED - policy 300.5 permits one retest per exam; this row records nothing",IF(AND($K696=2,COUNTIFS(nrES_PID,$D696,nrES_Code,$F696,nrES_Att,1)=0),"ATTEMPT 2 WITHOUT ATTEMPT 1",IF(AND($K696=2,$L696=""),"RETEST ROW HAS NO SCORE",IF(AND($H696="Final",$L696&lt;&gt;"",IFERROR(INDEX(nrCKfinalExamElig,MATCH($D696,rngCadetPIDs,0)),"")="No"),"FINAL EXAM AFTER FAILED FINAL PT (500.1.H)",IF(AND($K696=2,ISNUMBER($L696),COUNTIFS(nrES_PID,$D696,nrES_Code,$F696,nrES_Att,1)&gt;0,SUMIFS(nrES_Raw,nrES_PID,$D696,nrES_Code,$F696,nrES_Att,1)&gt;=$J696),"RETEST AFTER A PASSING FIRST ATTEMPT","OK"))))))))))</f>
        <v/>
      </c>
      <c r="Y696" s="16" t="n"/>
    </row>
    <row r="697">
      <c r="B697" s="17">
        <f>IF($C697="","",$D697&amp;"-"&amp;$F697&amp;"-"&amp;$K697)</f>
        <v/>
      </c>
      <c r="C697" s="16" t="n"/>
      <c r="D697" s="17">
        <f>IF($C697="","",IFERROR(INDEX(rngCadetPIDs,MATCH($C697,rngCadetNames,0)),"?"))</f>
        <v/>
      </c>
      <c r="E697" s="17">
        <f>IF($D697="","",IFERROR(INDEX(nrCadetAgency,MATCH($D697,rngCadetPIDs,0)),""))</f>
        <v/>
      </c>
      <c r="F697" s="16" t="n"/>
      <c r="G697" s="17">
        <f>IF($F697="","",IFERROR(INDEX(rngEPname,MATCH($F697,rngEPcode,0)),"?"))</f>
        <v/>
      </c>
      <c r="H697" s="17">
        <f>IF($F697="","",IFERROR(INDEX(rngEPtype,MATCH($F697,rngEPcode,0)),"?"))</f>
        <v/>
      </c>
      <c r="I697" s="17">
        <f>IF($F697="","",IFERROR(INDEX(rngEPseq,MATCH($F697,rngEPcode,0)),""))</f>
        <v/>
      </c>
      <c r="J697" s="17">
        <f>IF($F697="","",IFERROR(INDEX(rngEPpass,MATCH($F697,rngEPcode,0)),cfgPassingScore))</f>
        <v/>
      </c>
      <c r="K697" s="16" t="n"/>
      <c r="L697" s="16" t="n"/>
      <c r="M697" s="17">
        <f>IF($C697="","",IF($L697="","",IF(NOT(ISNUMBER($L697)),$L697,IF(N($K697)&gt;2,"",IF($K697=1,IF(COUNTIFS(nrES_PID,$D697,nrES_Code,$F697,nrES_Att,2,nrES_Raw,"&gt;=0")&gt;0,"",$L697),IF($L697&gt;=$J697,MAX($J697,cfgRetakeRecordedCap),IF(COUNTIFS(nrES_PID,$D697,nrES_Code,$F697,nrES_Att,1)=0,$L697,SUMIFS(nrES_Raw,nrES_PID,$D697,nrES_Code,$F697,nrES_Att,1))))))))</f>
        <v/>
      </c>
      <c r="N697" s="17">
        <f>IF($C697="","",IF($L697="","",IF(NOT(ISNUMBER($L697)),"(not a score)",IF($L697&gt;=$J697,"Yes","No"))))</f>
        <v/>
      </c>
      <c r="O697" s="17">
        <f>IF($C697="","",IF($M697="","",IF(NOT(ISNUMBER($M697)),"(not a score)",IF($M697&gt;=$J697,"Yes","No"))))</f>
        <v/>
      </c>
      <c r="P697" s="17">
        <f>IF($C697="","",IF($K697="","",IF(N($K697)&gt;2,"No",IF(COUNTIFS(nrES_PID,$D697,nrES_Code,$F697,nrES_Att,"&gt;"&amp;$K697,nrES_Att,"&lt;=2",nrES_Raw,"&gt;=0")=0,"Yes","No"))))</f>
        <v/>
      </c>
      <c r="Q697" s="17">
        <f>IF($C697="","",IF($L697="","",IF(AND($K697=1,ISNUMBER($L697),$L697&lt;$J697,COUNTIFS(nrES_PID,$D697,nrES_Code,$F697,nrES_Att,2,nrES_Raw,"&gt;=0")=0),"Yes","No")))</f>
        <v/>
      </c>
      <c r="R697" s="17">
        <f>IF($C697="","",IF($L697="","",IF(AND(N($K697)&gt;=2,ISNUMBER($L697),$L697&lt;$J697),"Yes","No")))</f>
        <v/>
      </c>
      <c r="S697" s="18" t="n"/>
      <c r="T697" s="19">
        <f>IF(OR($C697="",$L697="",$K697&lt;&gt;1,NOT(ISNUMBER($L697)),$L697&gt;=$J697),"",IF($S697="","(enter date)",_xlfn.LET(_xlpm.dn,_xlfn.XLOOKUP($S697,nrCDdate,nrCDnum,"",1),IF(_xlpm.dn="","(after last class day)",_xlfn.LET(_xlpm.dd,_xlfn.XLOOKUP(_xlpm.dn+cfgRetestClassDays,nrCDnum,nrCDdate,""),_xlpm.ok,_xlfn.XLOOKUP(_xlpm.dn+cfgRetestClassDays,nrCDnum,nrCDinsession,"No"),IF(OR(_xlpm.dd="",_xlpm.ok&lt;&gt;"Yes"),"(after last class day)",_xlpm.dd))))))</f>
        <v/>
      </c>
      <c r="U697" s="17">
        <f>IF($C697="","",IF(AND($Y697="Excused",$L697="",N($K697)&lt;=1),"EXCUSED - 1st attempt pending",IF(OR($L697="",$K697&lt;&gt;1,NOT(ISNUMBER($L697)),$L697&gt;=$J697),"",IF(COUNTIFS(nrES_PID,$D697,nrES_Code,$F697,nrES_Att,2,nrES_Raw,"&gt;=0")&gt;0,IF(IFERROR(_xlfn.MINIFS(nrES_Date,nrES_PID,$D697,nrES_Code,$F697,nrES_Att,2,nrES_Raw,"&gt;=0",nrES_Date,"&gt;0"),0)=0,"RETEST UNDATED",IF(NOT(ISNUMBER($T697)),"RETEST DATE UNCHECKED",IF(_xlfn.MINIFS(nrES_Date,nrES_PID,$D697,nrES_Code,$F697,nrES_Att,2,nrES_Raw,"&gt;=0",nrES_Date,"&gt;0")&gt;$T697,"LATE RETEST "&amp;TEXT(_xlfn.MINIFS(nrES_Date,nrES_PID,$D697,nrES_Code,$F697,nrES_Att,2,nrES_Raw,"&gt;=0",nrES_Date,"&gt;0"),"mm/dd")&amp;" (due "&amp;TEXT($T697,"mm/dd")&amp;")","Retested"))),IF(NOT(ISNUMBER($T697)),"CHECK DATE",IF(TODAY()&gt;$T697,"OVERDUE","Due "&amp;TEXT($T697,"mm/dd")))))))</f>
        <v/>
      </c>
      <c r="V697" s="16" t="n"/>
      <c r="W697" s="16" t="n"/>
      <c r="X697" s="17">
        <f>IF($C697="","",IF(AND($L697&lt;&gt;"",NOT(ISNUMBER($L697))),"RAW SCORE NOT A NUMBER",IF(AND(ISNUMBER($L697),OR($L697&lt;0,$L697&gt;100)),"RAW SCORE OUT OF RANGE",IF(AND($Y697="Unexcused",OR($L697="",NOT(ISNUMBER($L697)),$L697&lt;&gt;0)),"UNEXCUSED ABSENCE MUST RECORD 0",IF(COUNTIF(nrES_RecID,$B697)&gt;1,"DUPLICATE RECORD",IF(N($K697)&gt;2,"ATTEMPT 3+ NOT ALLOWED - policy 300.5 permits one retest per exam; this row records nothing",IF(AND($K697=2,COUNTIFS(nrES_PID,$D697,nrES_Code,$F697,nrES_Att,1)=0),"ATTEMPT 2 WITHOUT ATTEMPT 1",IF(AND($K697=2,$L697=""),"RETEST ROW HAS NO SCORE",IF(AND($H697="Final",$L697&lt;&gt;"",IFERROR(INDEX(nrCKfinalExamElig,MATCH($D697,rngCadetPIDs,0)),"")="No"),"FINAL EXAM AFTER FAILED FINAL PT (500.1.H)",IF(AND($K697=2,ISNUMBER($L697),COUNTIFS(nrES_PID,$D697,nrES_Code,$F697,nrES_Att,1)&gt;0,SUMIFS(nrES_Raw,nrES_PID,$D697,nrES_Code,$F697,nrES_Att,1)&gt;=$J697),"RETEST AFTER A PASSING FIRST ATTEMPT","OK"))))))))))</f>
        <v/>
      </c>
      <c r="Y697" s="16" t="n"/>
    </row>
    <row r="698">
      <c r="B698" s="17">
        <f>IF($C698="","",$D698&amp;"-"&amp;$F698&amp;"-"&amp;$K698)</f>
        <v/>
      </c>
      <c r="C698" s="16" t="n"/>
      <c r="D698" s="17">
        <f>IF($C698="","",IFERROR(INDEX(rngCadetPIDs,MATCH($C698,rngCadetNames,0)),"?"))</f>
        <v/>
      </c>
      <c r="E698" s="17">
        <f>IF($D698="","",IFERROR(INDEX(nrCadetAgency,MATCH($D698,rngCadetPIDs,0)),""))</f>
        <v/>
      </c>
      <c r="F698" s="16" t="n"/>
      <c r="G698" s="17">
        <f>IF($F698="","",IFERROR(INDEX(rngEPname,MATCH($F698,rngEPcode,0)),"?"))</f>
        <v/>
      </c>
      <c r="H698" s="17">
        <f>IF($F698="","",IFERROR(INDEX(rngEPtype,MATCH($F698,rngEPcode,0)),"?"))</f>
        <v/>
      </c>
      <c r="I698" s="17">
        <f>IF($F698="","",IFERROR(INDEX(rngEPseq,MATCH($F698,rngEPcode,0)),""))</f>
        <v/>
      </c>
      <c r="J698" s="17">
        <f>IF($F698="","",IFERROR(INDEX(rngEPpass,MATCH($F698,rngEPcode,0)),cfgPassingScore))</f>
        <v/>
      </c>
      <c r="K698" s="16" t="n"/>
      <c r="L698" s="16" t="n"/>
      <c r="M698" s="17">
        <f>IF($C698="","",IF($L698="","",IF(NOT(ISNUMBER($L698)),$L698,IF(N($K698)&gt;2,"",IF($K698=1,IF(COUNTIFS(nrES_PID,$D698,nrES_Code,$F698,nrES_Att,2,nrES_Raw,"&gt;=0")&gt;0,"",$L698),IF($L698&gt;=$J698,MAX($J698,cfgRetakeRecordedCap),IF(COUNTIFS(nrES_PID,$D698,nrES_Code,$F698,nrES_Att,1)=0,$L698,SUMIFS(nrES_Raw,nrES_PID,$D698,nrES_Code,$F698,nrES_Att,1))))))))</f>
        <v/>
      </c>
      <c r="N698" s="17">
        <f>IF($C698="","",IF($L698="","",IF(NOT(ISNUMBER($L698)),"(not a score)",IF($L698&gt;=$J698,"Yes","No"))))</f>
        <v/>
      </c>
      <c r="O698" s="17">
        <f>IF($C698="","",IF($M698="","",IF(NOT(ISNUMBER($M698)),"(not a score)",IF($M698&gt;=$J698,"Yes","No"))))</f>
        <v/>
      </c>
      <c r="P698" s="17">
        <f>IF($C698="","",IF($K698="","",IF(N($K698)&gt;2,"No",IF(COUNTIFS(nrES_PID,$D698,nrES_Code,$F698,nrES_Att,"&gt;"&amp;$K698,nrES_Att,"&lt;=2",nrES_Raw,"&gt;=0")=0,"Yes","No"))))</f>
        <v/>
      </c>
      <c r="Q698" s="17">
        <f>IF($C698="","",IF($L698="","",IF(AND($K698=1,ISNUMBER($L698),$L698&lt;$J698,COUNTIFS(nrES_PID,$D698,nrES_Code,$F698,nrES_Att,2,nrES_Raw,"&gt;=0")=0),"Yes","No")))</f>
        <v/>
      </c>
      <c r="R698" s="17">
        <f>IF($C698="","",IF($L698="","",IF(AND(N($K698)&gt;=2,ISNUMBER($L698),$L698&lt;$J698),"Yes","No")))</f>
        <v/>
      </c>
      <c r="S698" s="18" t="n"/>
      <c r="T698" s="19">
        <f>IF(OR($C698="",$L698="",$K698&lt;&gt;1,NOT(ISNUMBER($L698)),$L698&gt;=$J698),"",IF($S698="","(enter date)",_xlfn.LET(_xlpm.dn,_xlfn.XLOOKUP($S698,nrCDdate,nrCDnum,"",1),IF(_xlpm.dn="","(after last class day)",_xlfn.LET(_xlpm.dd,_xlfn.XLOOKUP(_xlpm.dn+cfgRetestClassDays,nrCDnum,nrCDdate,""),_xlpm.ok,_xlfn.XLOOKUP(_xlpm.dn+cfgRetestClassDays,nrCDnum,nrCDinsession,"No"),IF(OR(_xlpm.dd="",_xlpm.ok&lt;&gt;"Yes"),"(after last class day)",_xlpm.dd))))))</f>
        <v/>
      </c>
      <c r="U698" s="17">
        <f>IF($C698="","",IF(AND($Y698="Excused",$L698="",N($K698)&lt;=1),"EXCUSED - 1st attempt pending",IF(OR($L698="",$K698&lt;&gt;1,NOT(ISNUMBER($L698)),$L698&gt;=$J698),"",IF(COUNTIFS(nrES_PID,$D698,nrES_Code,$F698,nrES_Att,2,nrES_Raw,"&gt;=0")&gt;0,IF(IFERROR(_xlfn.MINIFS(nrES_Date,nrES_PID,$D698,nrES_Code,$F698,nrES_Att,2,nrES_Raw,"&gt;=0",nrES_Date,"&gt;0"),0)=0,"RETEST UNDATED",IF(NOT(ISNUMBER($T698)),"RETEST DATE UNCHECKED",IF(_xlfn.MINIFS(nrES_Date,nrES_PID,$D698,nrES_Code,$F698,nrES_Att,2,nrES_Raw,"&gt;=0",nrES_Date,"&gt;0")&gt;$T698,"LATE RETEST "&amp;TEXT(_xlfn.MINIFS(nrES_Date,nrES_PID,$D698,nrES_Code,$F698,nrES_Att,2,nrES_Raw,"&gt;=0",nrES_Date,"&gt;0"),"mm/dd")&amp;" (due "&amp;TEXT($T698,"mm/dd")&amp;")","Retested"))),IF(NOT(ISNUMBER($T698)),"CHECK DATE",IF(TODAY()&gt;$T698,"OVERDUE","Due "&amp;TEXT($T698,"mm/dd")))))))</f>
        <v/>
      </c>
      <c r="V698" s="16" t="n"/>
      <c r="W698" s="16" t="n"/>
      <c r="X698" s="17">
        <f>IF($C698="","",IF(AND($L698&lt;&gt;"",NOT(ISNUMBER($L698))),"RAW SCORE NOT A NUMBER",IF(AND(ISNUMBER($L698),OR($L698&lt;0,$L698&gt;100)),"RAW SCORE OUT OF RANGE",IF(AND($Y698="Unexcused",OR($L698="",NOT(ISNUMBER($L698)),$L698&lt;&gt;0)),"UNEXCUSED ABSENCE MUST RECORD 0",IF(COUNTIF(nrES_RecID,$B698)&gt;1,"DUPLICATE RECORD",IF(N($K698)&gt;2,"ATTEMPT 3+ NOT ALLOWED - policy 300.5 permits one retest per exam; this row records nothing",IF(AND($K698=2,COUNTIFS(nrES_PID,$D698,nrES_Code,$F698,nrES_Att,1)=0),"ATTEMPT 2 WITHOUT ATTEMPT 1",IF(AND($K698=2,$L698=""),"RETEST ROW HAS NO SCORE",IF(AND($H698="Final",$L698&lt;&gt;"",IFERROR(INDEX(nrCKfinalExamElig,MATCH($D698,rngCadetPIDs,0)),"")="No"),"FINAL EXAM AFTER FAILED FINAL PT (500.1.H)",IF(AND($K698=2,ISNUMBER($L698),COUNTIFS(nrES_PID,$D698,nrES_Code,$F698,nrES_Att,1)&gt;0,SUMIFS(nrES_Raw,nrES_PID,$D698,nrES_Code,$F698,nrES_Att,1)&gt;=$J698),"RETEST AFTER A PASSING FIRST ATTEMPT","OK"))))))))))</f>
        <v/>
      </c>
      <c r="Y698" s="16" t="n"/>
    </row>
    <row r="699">
      <c r="B699" s="17">
        <f>IF($C699="","",$D699&amp;"-"&amp;$F699&amp;"-"&amp;$K699)</f>
        <v/>
      </c>
      <c r="C699" s="16" t="n"/>
      <c r="D699" s="17">
        <f>IF($C699="","",IFERROR(INDEX(rngCadetPIDs,MATCH($C699,rngCadetNames,0)),"?"))</f>
        <v/>
      </c>
      <c r="E699" s="17">
        <f>IF($D699="","",IFERROR(INDEX(nrCadetAgency,MATCH($D699,rngCadetPIDs,0)),""))</f>
        <v/>
      </c>
      <c r="F699" s="16" t="n"/>
      <c r="G699" s="17">
        <f>IF($F699="","",IFERROR(INDEX(rngEPname,MATCH($F699,rngEPcode,0)),"?"))</f>
        <v/>
      </c>
      <c r="H699" s="17">
        <f>IF($F699="","",IFERROR(INDEX(rngEPtype,MATCH($F699,rngEPcode,0)),"?"))</f>
        <v/>
      </c>
      <c r="I699" s="17">
        <f>IF($F699="","",IFERROR(INDEX(rngEPseq,MATCH($F699,rngEPcode,0)),""))</f>
        <v/>
      </c>
      <c r="J699" s="17">
        <f>IF($F699="","",IFERROR(INDEX(rngEPpass,MATCH($F699,rngEPcode,0)),cfgPassingScore))</f>
        <v/>
      </c>
      <c r="K699" s="16" t="n"/>
      <c r="L699" s="16" t="n"/>
      <c r="M699" s="17">
        <f>IF($C699="","",IF($L699="","",IF(NOT(ISNUMBER($L699)),$L699,IF(N($K699)&gt;2,"",IF($K699=1,IF(COUNTIFS(nrES_PID,$D699,nrES_Code,$F699,nrES_Att,2,nrES_Raw,"&gt;=0")&gt;0,"",$L699),IF($L699&gt;=$J699,MAX($J699,cfgRetakeRecordedCap),IF(COUNTIFS(nrES_PID,$D699,nrES_Code,$F699,nrES_Att,1)=0,$L699,SUMIFS(nrES_Raw,nrES_PID,$D699,nrES_Code,$F699,nrES_Att,1))))))))</f>
        <v/>
      </c>
      <c r="N699" s="17">
        <f>IF($C699="","",IF($L699="","",IF(NOT(ISNUMBER($L699)),"(not a score)",IF($L699&gt;=$J699,"Yes","No"))))</f>
        <v/>
      </c>
      <c r="O699" s="17">
        <f>IF($C699="","",IF($M699="","",IF(NOT(ISNUMBER($M699)),"(not a score)",IF($M699&gt;=$J699,"Yes","No"))))</f>
        <v/>
      </c>
      <c r="P699" s="17">
        <f>IF($C699="","",IF($K699="","",IF(N($K699)&gt;2,"No",IF(COUNTIFS(nrES_PID,$D699,nrES_Code,$F699,nrES_Att,"&gt;"&amp;$K699,nrES_Att,"&lt;=2",nrES_Raw,"&gt;=0")=0,"Yes","No"))))</f>
        <v/>
      </c>
      <c r="Q699" s="17">
        <f>IF($C699="","",IF($L699="","",IF(AND($K699=1,ISNUMBER($L699),$L699&lt;$J699,COUNTIFS(nrES_PID,$D699,nrES_Code,$F699,nrES_Att,2,nrES_Raw,"&gt;=0")=0),"Yes","No")))</f>
        <v/>
      </c>
      <c r="R699" s="17">
        <f>IF($C699="","",IF($L699="","",IF(AND(N($K699)&gt;=2,ISNUMBER($L699),$L699&lt;$J699),"Yes","No")))</f>
        <v/>
      </c>
      <c r="S699" s="18" t="n"/>
      <c r="T699" s="19">
        <f>IF(OR($C699="",$L699="",$K699&lt;&gt;1,NOT(ISNUMBER($L699)),$L699&gt;=$J699),"",IF($S699="","(enter date)",_xlfn.LET(_xlpm.dn,_xlfn.XLOOKUP($S699,nrCDdate,nrCDnum,"",1),IF(_xlpm.dn="","(after last class day)",_xlfn.LET(_xlpm.dd,_xlfn.XLOOKUP(_xlpm.dn+cfgRetestClassDays,nrCDnum,nrCDdate,""),_xlpm.ok,_xlfn.XLOOKUP(_xlpm.dn+cfgRetestClassDays,nrCDnum,nrCDinsession,"No"),IF(OR(_xlpm.dd="",_xlpm.ok&lt;&gt;"Yes"),"(after last class day)",_xlpm.dd))))))</f>
        <v/>
      </c>
      <c r="U699" s="17">
        <f>IF($C699="","",IF(AND($Y699="Excused",$L699="",N($K699)&lt;=1),"EXCUSED - 1st attempt pending",IF(OR($L699="",$K699&lt;&gt;1,NOT(ISNUMBER($L699)),$L699&gt;=$J699),"",IF(COUNTIFS(nrES_PID,$D699,nrES_Code,$F699,nrES_Att,2,nrES_Raw,"&gt;=0")&gt;0,IF(IFERROR(_xlfn.MINIFS(nrES_Date,nrES_PID,$D699,nrES_Code,$F699,nrES_Att,2,nrES_Raw,"&gt;=0",nrES_Date,"&gt;0"),0)=0,"RETEST UNDATED",IF(NOT(ISNUMBER($T699)),"RETEST DATE UNCHECKED",IF(_xlfn.MINIFS(nrES_Date,nrES_PID,$D699,nrES_Code,$F699,nrES_Att,2,nrES_Raw,"&gt;=0",nrES_Date,"&gt;0")&gt;$T699,"LATE RETEST "&amp;TEXT(_xlfn.MINIFS(nrES_Date,nrES_PID,$D699,nrES_Code,$F699,nrES_Att,2,nrES_Raw,"&gt;=0",nrES_Date,"&gt;0"),"mm/dd")&amp;" (due "&amp;TEXT($T699,"mm/dd")&amp;")","Retested"))),IF(NOT(ISNUMBER($T699)),"CHECK DATE",IF(TODAY()&gt;$T699,"OVERDUE","Due "&amp;TEXT($T699,"mm/dd")))))))</f>
        <v/>
      </c>
      <c r="V699" s="16" t="n"/>
      <c r="W699" s="16" t="n"/>
      <c r="X699" s="17">
        <f>IF($C699="","",IF(AND($L699&lt;&gt;"",NOT(ISNUMBER($L699))),"RAW SCORE NOT A NUMBER",IF(AND(ISNUMBER($L699),OR($L699&lt;0,$L699&gt;100)),"RAW SCORE OUT OF RANGE",IF(AND($Y699="Unexcused",OR($L699="",NOT(ISNUMBER($L699)),$L699&lt;&gt;0)),"UNEXCUSED ABSENCE MUST RECORD 0",IF(COUNTIF(nrES_RecID,$B699)&gt;1,"DUPLICATE RECORD",IF(N($K699)&gt;2,"ATTEMPT 3+ NOT ALLOWED - policy 300.5 permits one retest per exam; this row records nothing",IF(AND($K699=2,COUNTIFS(nrES_PID,$D699,nrES_Code,$F699,nrES_Att,1)=0),"ATTEMPT 2 WITHOUT ATTEMPT 1",IF(AND($K699=2,$L699=""),"RETEST ROW HAS NO SCORE",IF(AND($H699="Final",$L699&lt;&gt;"",IFERROR(INDEX(nrCKfinalExamElig,MATCH($D699,rngCadetPIDs,0)),"")="No"),"FINAL EXAM AFTER FAILED FINAL PT (500.1.H)",IF(AND($K699=2,ISNUMBER($L699),COUNTIFS(nrES_PID,$D699,nrES_Code,$F699,nrES_Att,1)&gt;0,SUMIFS(nrES_Raw,nrES_PID,$D699,nrES_Code,$F699,nrES_Att,1)&gt;=$J699),"RETEST AFTER A PASSING FIRST ATTEMPT","OK"))))))))))</f>
        <v/>
      </c>
      <c r="Y699" s="16" t="n"/>
    </row>
    <row r="700">
      <c r="B700" s="17">
        <f>IF($C700="","",$D700&amp;"-"&amp;$F700&amp;"-"&amp;$K700)</f>
        <v/>
      </c>
      <c r="C700" s="16" t="n"/>
      <c r="D700" s="17">
        <f>IF($C700="","",IFERROR(INDEX(rngCadetPIDs,MATCH($C700,rngCadetNames,0)),"?"))</f>
        <v/>
      </c>
      <c r="E700" s="17">
        <f>IF($D700="","",IFERROR(INDEX(nrCadetAgency,MATCH($D700,rngCadetPIDs,0)),""))</f>
        <v/>
      </c>
      <c r="F700" s="16" t="n"/>
      <c r="G700" s="17">
        <f>IF($F700="","",IFERROR(INDEX(rngEPname,MATCH($F700,rngEPcode,0)),"?"))</f>
        <v/>
      </c>
      <c r="H700" s="17">
        <f>IF($F700="","",IFERROR(INDEX(rngEPtype,MATCH($F700,rngEPcode,0)),"?"))</f>
        <v/>
      </c>
      <c r="I700" s="17">
        <f>IF($F700="","",IFERROR(INDEX(rngEPseq,MATCH($F700,rngEPcode,0)),""))</f>
        <v/>
      </c>
      <c r="J700" s="17">
        <f>IF($F700="","",IFERROR(INDEX(rngEPpass,MATCH($F700,rngEPcode,0)),cfgPassingScore))</f>
        <v/>
      </c>
      <c r="K700" s="16" t="n"/>
      <c r="L700" s="16" t="n"/>
      <c r="M700" s="17">
        <f>IF($C700="","",IF($L700="","",IF(NOT(ISNUMBER($L700)),$L700,IF(N($K700)&gt;2,"",IF($K700=1,IF(COUNTIFS(nrES_PID,$D700,nrES_Code,$F700,nrES_Att,2,nrES_Raw,"&gt;=0")&gt;0,"",$L700),IF($L700&gt;=$J700,MAX($J700,cfgRetakeRecordedCap),IF(COUNTIFS(nrES_PID,$D700,nrES_Code,$F700,nrES_Att,1)=0,$L700,SUMIFS(nrES_Raw,nrES_PID,$D700,nrES_Code,$F700,nrES_Att,1))))))))</f>
        <v/>
      </c>
      <c r="N700" s="17">
        <f>IF($C700="","",IF($L700="","",IF(NOT(ISNUMBER($L700)),"(not a score)",IF($L700&gt;=$J700,"Yes","No"))))</f>
        <v/>
      </c>
      <c r="O700" s="17">
        <f>IF($C700="","",IF($M700="","",IF(NOT(ISNUMBER($M700)),"(not a score)",IF($M700&gt;=$J700,"Yes","No"))))</f>
        <v/>
      </c>
      <c r="P700" s="17">
        <f>IF($C700="","",IF($K700="","",IF(N($K700)&gt;2,"No",IF(COUNTIFS(nrES_PID,$D700,nrES_Code,$F700,nrES_Att,"&gt;"&amp;$K700,nrES_Att,"&lt;=2",nrES_Raw,"&gt;=0")=0,"Yes","No"))))</f>
        <v/>
      </c>
      <c r="Q700" s="17">
        <f>IF($C700="","",IF($L700="","",IF(AND($K700=1,ISNUMBER($L700),$L700&lt;$J700,COUNTIFS(nrES_PID,$D700,nrES_Code,$F700,nrES_Att,2,nrES_Raw,"&gt;=0")=0),"Yes","No")))</f>
        <v/>
      </c>
      <c r="R700" s="17">
        <f>IF($C700="","",IF($L700="","",IF(AND(N($K700)&gt;=2,ISNUMBER($L700),$L700&lt;$J700),"Yes","No")))</f>
        <v/>
      </c>
      <c r="S700" s="18" t="n"/>
      <c r="T700" s="19">
        <f>IF(OR($C700="",$L700="",$K700&lt;&gt;1,NOT(ISNUMBER($L700)),$L700&gt;=$J700),"",IF($S700="","(enter date)",_xlfn.LET(_xlpm.dn,_xlfn.XLOOKUP($S700,nrCDdate,nrCDnum,"",1),IF(_xlpm.dn="","(after last class day)",_xlfn.LET(_xlpm.dd,_xlfn.XLOOKUP(_xlpm.dn+cfgRetestClassDays,nrCDnum,nrCDdate,""),_xlpm.ok,_xlfn.XLOOKUP(_xlpm.dn+cfgRetestClassDays,nrCDnum,nrCDinsession,"No"),IF(OR(_xlpm.dd="",_xlpm.ok&lt;&gt;"Yes"),"(after last class day)",_xlpm.dd))))))</f>
        <v/>
      </c>
      <c r="U700" s="17">
        <f>IF($C700="","",IF(AND($Y700="Excused",$L700="",N($K700)&lt;=1),"EXCUSED - 1st attempt pending",IF(OR($L700="",$K700&lt;&gt;1,NOT(ISNUMBER($L700)),$L700&gt;=$J700),"",IF(COUNTIFS(nrES_PID,$D700,nrES_Code,$F700,nrES_Att,2,nrES_Raw,"&gt;=0")&gt;0,IF(IFERROR(_xlfn.MINIFS(nrES_Date,nrES_PID,$D700,nrES_Code,$F700,nrES_Att,2,nrES_Raw,"&gt;=0",nrES_Date,"&gt;0"),0)=0,"RETEST UNDATED",IF(NOT(ISNUMBER($T700)),"RETEST DATE UNCHECKED",IF(_xlfn.MINIFS(nrES_Date,nrES_PID,$D700,nrES_Code,$F700,nrES_Att,2,nrES_Raw,"&gt;=0",nrES_Date,"&gt;0")&gt;$T700,"LATE RETEST "&amp;TEXT(_xlfn.MINIFS(nrES_Date,nrES_PID,$D700,nrES_Code,$F700,nrES_Att,2,nrES_Raw,"&gt;=0",nrES_Date,"&gt;0"),"mm/dd")&amp;" (due "&amp;TEXT($T700,"mm/dd")&amp;")","Retested"))),IF(NOT(ISNUMBER($T700)),"CHECK DATE",IF(TODAY()&gt;$T700,"OVERDUE","Due "&amp;TEXT($T700,"mm/dd")))))))</f>
        <v/>
      </c>
      <c r="V700" s="16" t="n"/>
      <c r="W700" s="16" t="n"/>
      <c r="X700" s="17">
        <f>IF($C700="","",IF(AND($L700&lt;&gt;"",NOT(ISNUMBER($L700))),"RAW SCORE NOT A NUMBER",IF(AND(ISNUMBER($L700),OR($L700&lt;0,$L700&gt;100)),"RAW SCORE OUT OF RANGE",IF(AND($Y700="Unexcused",OR($L700="",NOT(ISNUMBER($L700)),$L700&lt;&gt;0)),"UNEXCUSED ABSENCE MUST RECORD 0",IF(COUNTIF(nrES_RecID,$B700)&gt;1,"DUPLICATE RECORD",IF(N($K700)&gt;2,"ATTEMPT 3+ NOT ALLOWED - policy 300.5 permits one retest per exam; this row records nothing",IF(AND($K700=2,COUNTIFS(nrES_PID,$D700,nrES_Code,$F700,nrES_Att,1)=0),"ATTEMPT 2 WITHOUT ATTEMPT 1",IF(AND($K700=2,$L700=""),"RETEST ROW HAS NO SCORE",IF(AND($H700="Final",$L700&lt;&gt;"",IFERROR(INDEX(nrCKfinalExamElig,MATCH($D700,rngCadetPIDs,0)),"")="No"),"FINAL EXAM AFTER FAILED FINAL PT (500.1.H)",IF(AND($K700=2,ISNUMBER($L700),COUNTIFS(nrES_PID,$D700,nrES_Code,$F700,nrES_Att,1)&gt;0,SUMIFS(nrES_Raw,nrES_PID,$D700,nrES_Code,$F700,nrES_Att,1)&gt;=$J700),"RETEST AFTER A PASSING FIRST ATTEMPT","OK"))))))))))</f>
        <v/>
      </c>
      <c r="Y700" s="16" t="n"/>
    </row>
    <row r="701">
      <c r="B701" s="17">
        <f>IF($C701="","",$D701&amp;"-"&amp;$F701&amp;"-"&amp;$K701)</f>
        <v/>
      </c>
      <c r="C701" s="16" t="n"/>
      <c r="D701" s="17">
        <f>IF($C701="","",IFERROR(INDEX(rngCadetPIDs,MATCH($C701,rngCadetNames,0)),"?"))</f>
        <v/>
      </c>
      <c r="E701" s="17">
        <f>IF($D701="","",IFERROR(INDEX(nrCadetAgency,MATCH($D701,rngCadetPIDs,0)),""))</f>
        <v/>
      </c>
      <c r="F701" s="16" t="n"/>
      <c r="G701" s="17">
        <f>IF($F701="","",IFERROR(INDEX(rngEPname,MATCH($F701,rngEPcode,0)),"?"))</f>
        <v/>
      </c>
      <c r="H701" s="17">
        <f>IF($F701="","",IFERROR(INDEX(rngEPtype,MATCH($F701,rngEPcode,0)),"?"))</f>
        <v/>
      </c>
      <c r="I701" s="17">
        <f>IF($F701="","",IFERROR(INDEX(rngEPseq,MATCH($F701,rngEPcode,0)),""))</f>
        <v/>
      </c>
      <c r="J701" s="17">
        <f>IF($F701="","",IFERROR(INDEX(rngEPpass,MATCH($F701,rngEPcode,0)),cfgPassingScore))</f>
        <v/>
      </c>
      <c r="K701" s="16" t="n"/>
      <c r="L701" s="16" t="n"/>
      <c r="M701" s="17">
        <f>IF($C701="","",IF($L701="","",IF(NOT(ISNUMBER($L701)),$L701,IF(N($K701)&gt;2,"",IF($K701=1,IF(COUNTIFS(nrES_PID,$D701,nrES_Code,$F701,nrES_Att,2,nrES_Raw,"&gt;=0")&gt;0,"",$L701),IF($L701&gt;=$J701,MAX($J701,cfgRetakeRecordedCap),IF(COUNTIFS(nrES_PID,$D701,nrES_Code,$F701,nrES_Att,1)=0,$L701,SUMIFS(nrES_Raw,nrES_PID,$D701,nrES_Code,$F701,nrES_Att,1))))))))</f>
        <v/>
      </c>
      <c r="N701" s="17">
        <f>IF($C701="","",IF($L701="","",IF(NOT(ISNUMBER($L701)),"(not a score)",IF($L701&gt;=$J701,"Yes","No"))))</f>
        <v/>
      </c>
      <c r="O701" s="17">
        <f>IF($C701="","",IF($M701="","",IF(NOT(ISNUMBER($M701)),"(not a score)",IF($M701&gt;=$J701,"Yes","No"))))</f>
        <v/>
      </c>
      <c r="P701" s="17">
        <f>IF($C701="","",IF($K701="","",IF(N($K701)&gt;2,"No",IF(COUNTIFS(nrES_PID,$D701,nrES_Code,$F701,nrES_Att,"&gt;"&amp;$K701,nrES_Att,"&lt;=2",nrES_Raw,"&gt;=0")=0,"Yes","No"))))</f>
        <v/>
      </c>
      <c r="Q701" s="17">
        <f>IF($C701="","",IF($L701="","",IF(AND($K701=1,ISNUMBER($L701),$L701&lt;$J701,COUNTIFS(nrES_PID,$D701,nrES_Code,$F701,nrES_Att,2,nrES_Raw,"&gt;=0")=0),"Yes","No")))</f>
        <v/>
      </c>
      <c r="R701" s="17">
        <f>IF($C701="","",IF($L701="","",IF(AND(N($K701)&gt;=2,ISNUMBER($L701),$L701&lt;$J701),"Yes","No")))</f>
        <v/>
      </c>
      <c r="S701" s="18" t="n"/>
      <c r="T701" s="19">
        <f>IF(OR($C701="",$L701="",$K701&lt;&gt;1,NOT(ISNUMBER($L701)),$L701&gt;=$J701),"",IF($S701="","(enter date)",_xlfn.LET(_xlpm.dn,_xlfn.XLOOKUP($S701,nrCDdate,nrCDnum,"",1),IF(_xlpm.dn="","(after last class day)",_xlfn.LET(_xlpm.dd,_xlfn.XLOOKUP(_xlpm.dn+cfgRetestClassDays,nrCDnum,nrCDdate,""),_xlpm.ok,_xlfn.XLOOKUP(_xlpm.dn+cfgRetestClassDays,nrCDnum,nrCDinsession,"No"),IF(OR(_xlpm.dd="",_xlpm.ok&lt;&gt;"Yes"),"(after last class day)",_xlpm.dd))))))</f>
        <v/>
      </c>
      <c r="U701" s="17">
        <f>IF($C701="","",IF(AND($Y701="Excused",$L701="",N($K701)&lt;=1),"EXCUSED - 1st attempt pending",IF(OR($L701="",$K701&lt;&gt;1,NOT(ISNUMBER($L701)),$L701&gt;=$J701),"",IF(COUNTIFS(nrES_PID,$D701,nrES_Code,$F701,nrES_Att,2,nrES_Raw,"&gt;=0")&gt;0,IF(IFERROR(_xlfn.MINIFS(nrES_Date,nrES_PID,$D701,nrES_Code,$F701,nrES_Att,2,nrES_Raw,"&gt;=0",nrES_Date,"&gt;0"),0)=0,"RETEST UNDATED",IF(NOT(ISNUMBER($T701)),"RETEST DATE UNCHECKED",IF(_xlfn.MINIFS(nrES_Date,nrES_PID,$D701,nrES_Code,$F701,nrES_Att,2,nrES_Raw,"&gt;=0",nrES_Date,"&gt;0")&gt;$T701,"LATE RETEST "&amp;TEXT(_xlfn.MINIFS(nrES_Date,nrES_PID,$D701,nrES_Code,$F701,nrES_Att,2,nrES_Raw,"&gt;=0",nrES_Date,"&gt;0"),"mm/dd")&amp;" (due "&amp;TEXT($T701,"mm/dd")&amp;")","Retested"))),IF(NOT(ISNUMBER($T701)),"CHECK DATE",IF(TODAY()&gt;$T701,"OVERDUE","Due "&amp;TEXT($T701,"mm/dd")))))))</f>
        <v/>
      </c>
      <c r="V701" s="16" t="n"/>
      <c r="W701" s="16" t="n"/>
      <c r="X701" s="17">
        <f>IF($C701="","",IF(AND($L701&lt;&gt;"",NOT(ISNUMBER($L701))),"RAW SCORE NOT A NUMBER",IF(AND(ISNUMBER($L701),OR($L701&lt;0,$L701&gt;100)),"RAW SCORE OUT OF RANGE",IF(AND($Y701="Unexcused",OR($L701="",NOT(ISNUMBER($L701)),$L701&lt;&gt;0)),"UNEXCUSED ABSENCE MUST RECORD 0",IF(COUNTIF(nrES_RecID,$B701)&gt;1,"DUPLICATE RECORD",IF(N($K701)&gt;2,"ATTEMPT 3+ NOT ALLOWED - policy 300.5 permits one retest per exam; this row records nothing",IF(AND($K701=2,COUNTIFS(nrES_PID,$D701,nrES_Code,$F701,nrES_Att,1)=0),"ATTEMPT 2 WITHOUT ATTEMPT 1",IF(AND($K701=2,$L701=""),"RETEST ROW HAS NO SCORE",IF(AND($H701="Final",$L701&lt;&gt;"",IFERROR(INDEX(nrCKfinalExamElig,MATCH($D701,rngCadetPIDs,0)),"")="No"),"FINAL EXAM AFTER FAILED FINAL PT (500.1.H)",IF(AND($K701=2,ISNUMBER($L701),COUNTIFS(nrES_PID,$D701,nrES_Code,$F701,nrES_Att,1)&gt;0,SUMIFS(nrES_Raw,nrES_PID,$D701,nrES_Code,$F701,nrES_Att,1)&gt;=$J701),"RETEST AFTER A PASSING FIRST ATTEMPT","OK"))))))))))</f>
        <v/>
      </c>
      <c r="Y701" s="16" t="n"/>
    </row>
    <row r="702">
      <c r="B702" s="17">
        <f>IF($C702="","",$D702&amp;"-"&amp;$F702&amp;"-"&amp;$K702)</f>
        <v/>
      </c>
      <c r="C702" s="16" t="n"/>
      <c r="D702" s="17">
        <f>IF($C702="","",IFERROR(INDEX(rngCadetPIDs,MATCH($C702,rngCadetNames,0)),"?"))</f>
        <v/>
      </c>
      <c r="E702" s="17">
        <f>IF($D702="","",IFERROR(INDEX(nrCadetAgency,MATCH($D702,rngCadetPIDs,0)),""))</f>
        <v/>
      </c>
      <c r="F702" s="16" t="n"/>
      <c r="G702" s="17">
        <f>IF($F702="","",IFERROR(INDEX(rngEPname,MATCH($F702,rngEPcode,0)),"?"))</f>
        <v/>
      </c>
      <c r="H702" s="17">
        <f>IF($F702="","",IFERROR(INDEX(rngEPtype,MATCH($F702,rngEPcode,0)),"?"))</f>
        <v/>
      </c>
      <c r="I702" s="17">
        <f>IF($F702="","",IFERROR(INDEX(rngEPseq,MATCH($F702,rngEPcode,0)),""))</f>
        <v/>
      </c>
      <c r="J702" s="17">
        <f>IF($F702="","",IFERROR(INDEX(rngEPpass,MATCH($F702,rngEPcode,0)),cfgPassingScore))</f>
        <v/>
      </c>
      <c r="K702" s="16" t="n"/>
      <c r="L702" s="16" t="n"/>
      <c r="M702" s="17">
        <f>IF($C702="","",IF($L702="","",IF(NOT(ISNUMBER($L702)),$L702,IF(N($K702)&gt;2,"",IF($K702=1,IF(COUNTIFS(nrES_PID,$D702,nrES_Code,$F702,nrES_Att,2,nrES_Raw,"&gt;=0")&gt;0,"",$L702),IF($L702&gt;=$J702,MAX($J702,cfgRetakeRecordedCap),IF(COUNTIFS(nrES_PID,$D702,nrES_Code,$F702,nrES_Att,1)=0,$L702,SUMIFS(nrES_Raw,nrES_PID,$D702,nrES_Code,$F702,nrES_Att,1))))))))</f>
        <v/>
      </c>
      <c r="N702" s="17">
        <f>IF($C702="","",IF($L702="","",IF(NOT(ISNUMBER($L702)),"(not a score)",IF($L702&gt;=$J702,"Yes","No"))))</f>
        <v/>
      </c>
      <c r="O702" s="17">
        <f>IF($C702="","",IF($M702="","",IF(NOT(ISNUMBER($M702)),"(not a score)",IF($M702&gt;=$J702,"Yes","No"))))</f>
        <v/>
      </c>
      <c r="P702" s="17">
        <f>IF($C702="","",IF($K702="","",IF(N($K702)&gt;2,"No",IF(COUNTIFS(nrES_PID,$D702,nrES_Code,$F702,nrES_Att,"&gt;"&amp;$K702,nrES_Att,"&lt;=2",nrES_Raw,"&gt;=0")=0,"Yes","No"))))</f>
        <v/>
      </c>
      <c r="Q702" s="17">
        <f>IF($C702="","",IF($L702="","",IF(AND($K702=1,ISNUMBER($L702),$L702&lt;$J702,COUNTIFS(nrES_PID,$D702,nrES_Code,$F702,nrES_Att,2,nrES_Raw,"&gt;=0")=0),"Yes","No")))</f>
        <v/>
      </c>
      <c r="R702" s="17">
        <f>IF($C702="","",IF($L702="","",IF(AND(N($K702)&gt;=2,ISNUMBER($L702),$L702&lt;$J702),"Yes","No")))</f>
        <v/>
      </c>
      <c r="S702" s="18" t="n"/>
      <c r="T702" s="19">
        <f>IF(OR($C702="",$L702="",$K702&lt;&gt;1,NOT(ISNUMBER($L702)),$L702&gt;=$J702),"",IF($S702="","(enter date)",_xlfn.LET(_xlpm.dn,_xlfn.XLOOKUP($S702,nrCDdate,nrCDnum,"",1),IF(_xlpm.dn="","(after last class day)",_xlfn.LET(_xlpm.dd,_xlfn.XLOOKUP(_xlpm.dn+cfgRetestClassDays,nrCDnum,nrCDdate,""),_xlpm.ok,_xlfn.XLOOKUP(_xlpm.dn+cfgRetestClassDays,nrCDnum,nrCDinsession,"No"),IF(OR(_xlpm.dd="",_xlpm.ok&lt;&gt;"Yes"),"(after last class day)",_xlpm.dd))))))</f>
        <v/>
      </c>
      <c r="U702" s="17">
        <f>IF($C702="","",IF(AND($Y702="Excused",$L702="",N($K702)&lt;=1),"EXCUSED - 1st attempt pending",IF(OR($L702="",$K702&lt;&gt;1,NOT(ISNUMBER($L702)),$L702&gt;=$J702),"",IF(COUNTIFS(nrES_PID,$D702,nrES_Code,$F702,nrES_Att,2,nrES_Raw,"&gt;=0")&gt;0,IF(IFERROR(_xlfn.MINIFS(nrES_Date,nrES_PID,$D702,nrES_Code,$F702,nrES_Att,2,nrES_Raw,"&gt;=0",nrES_Date,"&gt;0"),0)=0,"RETEST UNDATED",IF(NOT(ISNUMBER($T702)),"RETEST DATE UNCHECKED",IF(_xlfn.MINIFS(nrES_Date,nrES_PID,$D702,nrES_Code,$F702,nrES_Att,2,nrES_Raw,"&gt;=0",nrES_Date,"&gt;0")&gt;$T702,"LATE RETEST "&amp;TEXT(_xlfn.MINIFS(nrES_Date,nrES_PID,$D702,nrES_Code,$F702,nrES_Att,2,nrES_Raw,"&gt;=0",nrES_Date,"&gt;0"),"mm/dd")&amp;" (due "&amp;TEXT($T702,"mm/dd")&amp;")","Retested"))),IF(NOT(ISNUMBER($T702)),"CHECK DATE",IF(TODAY()&gt;$T702,"OVERDUE","Due "&amp;TEXT($T702,"mm/dd")))))))</f>
        <v/>
      </c>
      <c r="V702" s="16" t="n"/>
      <c r="W702" s="16" t="n"/>
      <c r="X702" s="17">
        <f>IF($C702="","",IF(AND($L702&lt;&gt;"",NOT(ISNUMBER($L702))),"RAW SCORE NOT A NUMBER",IF(AND(ISNUMBER($L702),OR($L702&lt;0,$L702&gt;100)),"RAW SCORE OUT OF RANGE",IF(AND($Y702="Unexcused",OR($L702="",NOT(ISNUMBER($L702)),$L702&lt;&gt;0)),"UNEXCUSED ABSENCE MUST RECORD 0",IF(COUNTIF(nrES_RecID,$B702)&gt;1,"DUPLICATE RECORD",IF(N($K702)&gt;2,"ATTEMPT 3+ NOT ALLOWED - policy 300.5 permits one retest per exam; this row records nothing",IF(AND($K702=2,COUNTIFS(nrES_PID,$D702,nrES_Code,$F702,nrES_Att,1)=0),"ATTEMPT 2 WITHOUT ATTEMPT 1",IF(AND($K702=2,$L702=""),"RETEST ROW HAS NO SCORE",IF(AND($H702="Final",$L702&lt;&gt;"",IFERROR(INDEX(nrCKfinalExamElig,MATCH($D702,rngCadetPIDs,0)),"")="No"),"FINAL EXAM AFTER FAILED FINAL PT (500.1.H)",IF(AND($K702=2,ISNUMBER($L702),COUNTIFS(nrES_PID,$D702,nrES_Code,$F702,nrES_Att,1)&gt;0,SUMIFS(nrES_Raw,nrES_PID,$D702,nrES_Code,$F702,nrES_Att,1)&gt;=$J702),"RETEST AFTER A PASSING FIRST ATTEMPT","OK"))))))))))</f>
        <v/>
      </c>
      <c r="Y702" s="16" t="n"/>
    </row>
    <row r="703">
      <c r="B703" s="17">
        <f>IF($C703="","",$D703&amp;"-"&amp;$F703&amp;"-"&amp;$K703)</f>
        <v/>
      </c>
      <c r="C703" s="16" t="n"/>
      <c r="D703" s="17">
        <f>IF($C703="","",IFERROR(INDEX(rngCadetPIDs,MATCH($C703,rngCadetNames,0)),"?"))</f>
        <v/>
      </c>
      <c r="E703" s="17">
        <f>IF($D703="","",IFERROR(INDEX(nrCadetAgency,MATCH($D703,rngCadetPIDs,0)),""))</f>
        <v/>
      </c>
      <c r="F703" s="16" t="n"/>
      <c r="G703" s="17">
        <f>IF($F703="","",IFERROR(INDEX(rngEPname,MATCH($F703,rngEPcode,0)),"?"))</f>
        <v/>
      </c>
      <c r="H703" s="17">
        <f>IF($F703="","",IFERROR(INDEX(rngEPtype,MATCH($F703,rngEPcode,0)),"?"))</f>
        <v/>
      </c>
      <c r="I703" s="17">
        <f>IF($F703="","",IFERROR(INDEX(rngEPseq,MATCH($F703,rngEPcode,0)),""))</f>
        <v/>
      </c>
      <c r="J703" s="17">
        <f>IF($F703="","",IFERROR(INDEX(rngEPpass,MATCH($F703,rngEPcode,0)),cfgPassingScore))</f>
        <v/>
      </c>
      <c r="K703" s="16" t="n"/>
      <c r="L703" s="16" t="n"/>
      <c r="M703" s="17">
        <f>IF($C703="","",IF($L703="","",IF(NOT(ISNUMBER($L703)),$L703,IF(N($K703)&gt;2,"",IF($K703=1,IF(COUNTIFS(nrES_PID,$D703,nrES_Code,$F703,nrES_Att,2,nrES_Raw,"&gt;=0")&gt;0,"",$L703),IF($L703&gt;=$J703,MAX($J703,cfgRetakeRecordedCap),IF(COUNTIFS(nrES_PID,$D703,nrES_Code,$F703,nrES_Att,1)=0,$L703,SUMIFS(nrES_Raw,nrES_PID,$D703,nrES_Code,$F703,nrES_Att,1))))))))</f>
        <v/>
      </c>
      <c r="N703" s="17">
        <f>IF($C703="","",IF($L703="","",IF(NOT(ISNUMBER($L703)),"(not a score)",IF($L703&gt;=$J703,"Yes","No"))))</f>
        <v/>
      </c>
      <c r="O703" s="17">
        <f>IF($C703="","",IF($M703="","",IF(NOT(ISNUMBER($M703)),"(not a score)",IF($M703&gt;=$J703,"Yes","No"))))</f>
        <v/>
      </c>
      <c r="P703" s="17">
        <f>IF($C703="","",IF($K703="","",IF(N($K703)&gt;2,"No",IF(COUNTIFS(nrES_PID,$D703,nrES_Code,$F703,nrES_Att,"&gt;"&amp;$K703,nrES_Att,"&lt;=2",nrES_Raw,"&gt;=0")=0,"Yes","No"))))</f>
        <v/>
      </c>
      <c r="Q703" s="17">
        <f>IF($C703="","",IF($L703="","",IF(AND($K703=1,ISNUMBER($L703),$L703&lt;$J703,COUNTIFS(nrES_PID,$D703,nrES_Code,$F703,nrES_Att,2,nrES_Raw,"&gt;=0")=0),"Yes","No")))</f>
        <v/>
      </c>
      <c r="R703" s="17">
        <f>IF($C703="","",IF($L703="","",IF(AND(N($K703)&gt;=2,ISNUMBER($L703),$L703&lt;$J703),"Yes","No")))</f>
        <v/>
      </c>
      <c r="S703" s="18" t="n"/>
      <c r="T703" s="19">
        <f>IF(OR($C703="",$L703="",$K703&lt;&gt;1,NOT(ISNUMBER($L703)),$L703&gt;=$J703),"",IF($S703="","(enter date)",_xlfn.LET(_xlpm.dn,_xlfn.XLOOKUP($S703,nrCDdate,nrCDnum,"",1),IF(_xlpm.dn="","(after last class day)",_xlfn.LET(_xlpm.dd,_xlfn.XLOOKUP(_xlpm.dn+cfgRetestClassDays,nrCDnum,nrCDdate,""),_xlpm.ok,_xlfn.XLOOKUP(_xlpm.dn+cfgRetestClassDays,nrCDnum,nrCDinsession,"No"),IF(OR(_xlpm.dd="",_xlpm.ok&lt;&gt;"Yes"),"(after last class day)",_xlpm.dd))))))</f>
        <v/>
      </c>
      <c r="U703" s="17">
        <f>IF($C703="","",IF(AND($Y703="Excused",$L703="",N($K703)&lt;=1),"EXCUSED - 1st attempt pending",IF(OR($L703="",$K703&lt;&gt;1,NOT(ISNUMBER($L703)),$L703&gt;=$J703),"",IF(COUNTIFS(nrES_PID,$D703,nrES_Code,$F703,nrES_Att,2,nrES_Raw,"&gt;=0")&gt;0,IF(IFERROR(_xlfn.MINIFS(nrES_Date,nrES_PID,$D703,nrES_Code,$F703,nrES_Att,2,nrES_Raw,"&gt;=0",nrES_Date,"&gt;0"),0)=0,"RETEST UNDATED",IF(NOT(ISNUMBER($T703)),"RETEST DATE UNCHECKED",IF(_xlfn.MINIFS(nrES_Date,nrES_PID,$D703,nrES_Code,$F703,nrES_Att,2,nrES_Raw,"&gt;=0",nrES_Date,"&gt;0")&gt;$T703,"LATE RETEST "&amp;TEXT(_xlfn.MINIFS(nrES_Date,nrES_PID,$D703,nrES_Code,$F703,nrES_Att,2,nrES_Raw,"&gt;=0",nrES_Date,"&gt;0"),"mm/dd")&amp;" (due "&amp;TEXT($T703,"mm/dd")&amp;")","Retested"))),IF(NOT(ISNUMBER($T703)),"CHECK DATE",IF(TODAY()&gt;$T703,"OVERDUE","Due "&amp;TEXT($T703,"mm/dd")))))))</f>
        <v/>
      </c>
      <c r="V703" s="16" t="n"/>
      <c r="W703" s="16" t="n"/>
      <c r="X703" s="17">
        <f>IF($C703="","",IF(AND($L703&lt;&gt;"",NOT(ISNUMBER($L703))),"RAW SCORE NOT A NUMBER",IF(AND(ISNUMBER($L703),OR($L703&lt;0,$L703&gt;100)),"RAW SCORE OUT OF RANGE",IF(AND($Y703="Unexcused",OR($L703="",NOT(ISNUMBER($L703)),$L703&lt;&gt;0)),"UNEXCUSED ABSENCE MUST RECORD 0",IF(COUNTIF(nrES_RecID,$B703)&gt;1,"DUPLICATE RECORD",IF(N($K703)&gt;2,"ATTEMPT 3+ NOT ALLOWED - policy 300.5 permits one retest per exam; this row records nothing",IF(AND($K703=2,COUNTIFS(nrES_PID,$D703,nrES_Code,$F703,nrES_Att,1)=0),"ATTEMPT 2 WITHOUT ATTEMPT 1",IF(AND($K703=2,$L703=""),"RETEST ROW HAS NO SCORE",IF(AND($H703="Final",$L703&lt;&gt;"",IFERROR(INDEX(nrCKfinalExamElig,MATCH($D703,rngCadetPIDs,0)),"")="No"),"FINAL EXAM AFTER FAILED FINAL PT (500.1.H)",IF(AND($K703=2,ISNUMBER($L703),COUNTIFS(nrES_PID,$D703,nrES_Code,$F703,nrES_Att,1)&gt;0,SUMIFS(nrES_Raw,nrES_PID,$D703,nrES_Code,$F703,nrES_Att,1)&gt;=$J703),"RETEST AFTER A PASSING FIRST ATTEMPT","OK"))))))))))</f>
        <v/>
      </c>
      <c r="Y703" s="16" t="n"/>
    </row>
    <row r="704">
      <c r="B704" s="17">
        <f>IF($C704="","",$D704&amp;"-"&amp;$F704&amp;"-"&amp;$K704)</f>
        <v/>
      </c>
      <c r="C704" s="16" t="n"/>
      <c r="D704" s="17">
        <f>IF($C704="","",IFERROR(INDEX(rngCadetPIDs,MATCH($C704,rngCadetNames,0)),"?"))</f>
        <v/>
      </c>
      <c r="E704" s="17">
        <f>IF($D704="","",IFERROR(INDEX(nrCadetAgency,MATCH($D704,rngCadetPIDs,0)),""))</f>
        <v/>
      </c>
      <c r="F704" s="16" t="n"/>
      <c r="G704" s="17">
        <f>IF($F704="","",IFERROR(INDEX(rngEPname,MATCH($F704,rngEPcode,0)),"?"))</f>
        <v/>
      </c>
      <c r="H704" s="17">
        <f>IF($F704="","",IFERROR(INDEX(rngEPtype,MATCH($F704,rngEPcode,0)),"?"))</f>
        <v/>
      </c>
      <c r="I704" s="17">
        <f>IF($F704="","",IFERROR(INDEX(rngEPseq,MATCH($F704,rngEPcode,0)),""))</f>
        <v/>
      </c>
      <c r="J704" s="17">
        <f>IF($F704="","",IFERROR(INDEX(rngEPpass,MATCH($F704,rngEPcode,0)),cfgPassingScore))</f>
        <v/>
      </c>
      <c r="K704" s="16" t="n"/>
      <c r="L704" s="16" t="n"/>
      <c r="M704" s="17">
        <f>IF($C704="","",IF($L704="","",IF(NOT(ISNUMBER($L704)),$L704,IF(N($K704)&gt;2,"",IF($K704=1,IF(COUNTIFS(nrES_PID,$D704,nrES_Code,$F704,nrES_Att,2,nrES_Raw,"&gt;=0")&gt;0,"",$L704),IF($L704&gt;=$J704,MAX($J704,cfgRetakeRecordedCap),IF(COUNTIFS(nrES_PID,$D704,nrES_Code,$F704,nrES_Att,1)=0,$L704,SUMIFS(nrES_Raw,nrES_PID,$D704,nrES_Code,$F704,nrES_Att,1))))))))</f>
        <v/>
      </c>
      <c r="N704" s="17">
        <f>IF($C704="","",IF($L704="","",IF(NOT(ISNUMBER($L704)),"(not a score)",IF($L704&gt;=$J704,"Yes","No"))))</f>
        <v/>
      </c>
      <c r="O704" s="17">
        <f>IF($C704="","",IF($M704="","",IF(NOT(ISNUMBER($M704)),"(not a score)",IF($M704&gt;=$J704,"Yes","No"))))</f>
        <v/>
      </c>
      <c r="P704" s="17">
        <f>IF($C704="","",IF($K704="","",IF(N($K704)&gt;2,"No",IF(COUNTIFS(nrES_PID,$D704,nrES_Code,$F704,nrES_Att,"&gt;"&amp;$K704,nrES_Att,"&lt;=2",nrES_Raw,"&gt;=0")=0,"Yes","No"))))</f>
        <v/>
      </c>
      <c r="Q704" s="17">
        <f>IF($C704="","",IF($L704="","",IF(AND($K704=1,ISNUMBER($L704),$L704&lt;$J704,COUNTIFS(nrES_PID,$D704,nrES_Code,$F704,nrES_Att,2,nrES_Raw,"&gt;=0")=0),"Yes","No")))</f>
        <v/>
      </c>
      <c r="R704" s="17">
        <f>IF($C704="","",IF($L704="","",IF(AND(N($K704)&gt;=2,ISNUMBER($L704),$L704&lt;$J704),"Yes","No")))</f>
        <v/>
      </c>
      <c r="S704" s="18" t="n"/>
      <c r="T704" s="19">
        <f>IF(OR($C704="",$L704="",$K704&lt;&gt;1,NOT(ISNUMBER($L704)),$L704&gt;=$J704),"",IF($S704="","(enter date)",_xlfn.LET(_xlpm.dn,_xlfn.XLOOKUP($S704,nrCDdate,nrCDnum,"",1),IF(_xlpm.dn="","(after last class day)",_xlfn.LET(_xlpm.dd,_xlfn.XLOOKUP(_xlpm.dn+cfgRetestClassDays,nrCDnum,nrCDdate,""),_xlpm.ok,_xlfn.XLOOKUP(_xlpm.dn+cfgRetestClassDays,nrCDnum,nrCDinsession,"No"),IF(OR(_xlpm.dd="",_xlpm.ok&lt;&gt;"Yes"),"(after last class day)",_xlpm.dd))))))</f>
        <v/>
      </c>
      <c r="U704" s="17">
        <f>IF($C704="","",IF(AND($Y704="Excused",$L704="",N($K704)&lt;=1),"EXCUSED - 1st attempt pending",IF(OR($L704="",$K704&lt;&gt;1,NOT(ISNUMBER($L704)),$L704&gt;=$J704),"",IF(COUNTIFS(nrES_PID,$D704,nrES_Code,$F704,nrES_Att,2,nrES_Raw,"&gt;=0")&gt;0,IF(IFERROR(_xlfn.MINIFS(nrES_Date,nrES_PID,$D704,nrES_Code,$F704,nrES_Att,2,nrES_Raw,"&gt;=0",nrES_Date,"&gt;0"),0)=0,"RETEST UNDATED",IF(NOT(ISNUMBER($T704)),"RETEST DATE UNCHECKED",IF(_xlfn.MINIFS(nrES_Date,nrES_PID,$D704,nrES_Code,$F704,nrES_Att,2,nrES_Raw,"&gt;=0",nrES_Date,"&gt;0")&gt;$T704,"LATE RETEST "&amp;TEXT(_xlfn.MINIFS(nrES_Date,nrES_PID,$D704,nrES_Code,$F704,nrES_Att,2,nrES_Raw,"&gt;=0",nrES_Date,"&gt;0"),"mm/dd")&amp;" (due "&amp;TEXT($T704,"mm/dd")&amp;")","Retested"))),IF(NOT(ISNUMBER($T704)),"CHECK DATE",IF(TODAY()&gt;$T704,"OVERDUE","Due "&amp;TEXT($T704,"mm/dd")))))))</f>
        <v/>
      </c>
      <c r="V704" s="16" t="n"/>
      <c r="W704" s="16" t="n"/>
      <c r="X704" s="17">
        <f>IF($C704="","",IF(AND($L704&lt;&gt;"",NOT(ISNUMBER($L704))),"RAW SCORE NOT A NUMBER",IF(AND(ISNUMBER($L704),OR($L704&lt;0,$L704&gt;100)),"RAW SCORE OUT OF RANGE",IF(AND($Y704="Unexcused",OR($L704="",NOT(ISNUMBER($L704)),$L704&lt;&gt;0)),"UNEXCUSED ABSENCE MUST RECORD 0",IF(COUNTIF(nrES_RecID,$B704)&gt;1,"DUPLICATE RECORD",IF(N($K704)&gt;2,"ATTEMPT 3+ NOT ALLOWED - policy 300.5 permits one retest per exam; this row records nothing",IF(AND($K704=2,COUNTIFS(nrES_PID,$D704,nrES_Code,$F704,nrES_Att,1)=0),"ATTEMPT 2 WITHOUT ATTEMPT 1",IF(AND($K704=2,$L704=""),"RETEST ROW HAS NO SCORE",IF(AND($H704="Final",$L704&lt;&gt;"",IFERROR(INDEX(nrCKfinalExamElig,MATCH($D704,rngCadetPIDs,0)),"")="No"),"FINAL EXAM AFTER FAILED FINAL PT (500.1.H)",IF(AND($K704=2,ISNUMBER($L704),COUNTIFS(nrES_PID,$D704,nrES_Code,$F704,nrES_Att,1)&gt;0,SUMIFS(nrES_Raw,nrES_PID,$D704,nrES_Code,$F704,nrES_Att,1)&gt;=$J704),"RETEST AFTER A PASSING FIRST ATTEMPT","OK"))))))))))</f>
        <v/>
      </c>
      <c r="Y704" s="16" t="n"/>
    </row>
    <row r="705">
      <c r="B705" s="17">
        <f>IF($C705="","",$D705&amp;"-"&amp;$F705&amp;"-"&amp;$K705)</f>
        <v/>
      </c>
      <c r="C705" s="16" t="n"/>
      <c r="D705" s="17">
        <f>IF($C705="","",IFERROR(INDEX(rngCadetPIDs,MATCH($C705,rngCadetNames,0)),"?"))</f>
        <v/>
      </c>
      <c r="E705" s="17">
        <f>IF($D705="","",IFERROR(INDEX(nrCadetAgency,MATCH($D705,rngCadetPIDs,0)),""))</f>
        <v/>
      </c>
      <c r="F705" s="16" t="n"/>
      <c r="G705" s="17">
        <f>IF($F705="","",IFERROR(INDEX(rngEPname,MATCH($F705,rngEPcode,0)),"?"))</f>
        <v/>
      </c>
      <c r="H705" s="17">
        <f>IF($F705="","",IFERROR(INDEX(rngEPtype,MATCH($F705,rngEPcode,0)),"?"))</f>
        <v/>
      </c>
      <c r="I705" s="17">
        <f>IF($F705="","",IFERROR(INDEX(rngEPseq,MATCH($F705,rngEPcode,0)),""))</f>
        <v/>
      </c>
      <c r="J705" s="17">
        <f>IF($F705="","",IFERROR(INDEX(rngEPpass,MATCH($F705,rngEPcode,0)),cfgPassingScore))</f>
        <v/>
      </c>
      <c r="K705" s="16" t="n"/>
      <c r="L705" s="16" t="n"/>
      <c r="M705" s="17">
        <f>IF($C705="","",IF($L705="","",IF(NOT(ISNUMBER($L705)),$L705,IF(N($K705)&gt;2,"",IF($K705=1,IF(COUNTIFS(nrES_PID,$D705,nrES_Code,$F705,nrES_Att,2,nrES_Raw,"&gt;=0")&gt;0,"",$L705),IF($L705&gt;=$J705,MAX($J705,cfgRetakeRecordedCap),IF(COUNTIFS(nrES_PID,$D705,nrES_Code,$F705,nrES_Att,1)=0,$L705,SUMIFS(nrES_Raw,nrES_PID,$D705,nrES_Code,$F705,nrES_Att,1))))))))</f>
        <v/>
      </c>
      <c r="N705" s="17">
        <f>IF($C705="","",IF($L705="","",IF(NOT(ISNUMBER($L705)),"(not a score)",IF($L705&gt;=$J705,"Yes","No"))))</f>
        <v/>
      </c>
      <c r="O705" s="17">
        <f>IF($C705="","",IF($M705="","",IF(NOT(ISNUMBER($M705)),"(not a score)",IF($M705&gt;=$J705,"Yes","No"))))</f>
        <v/>
      </c>
      <c r="P705" s="17">
        <f>IF($C705="","",IF($K705="","",IF(N($K705)&gt;2,"No",IF(COUNTIFS(nrES_PID,$D705,nrES_Code,$F705,nrES_Att,"&gt;"&amp;$K705,nrES_Att,"&lt;=2",nrES_Raw,"&gt;=0")=0,"Yes","No"))))</f>
        <v/>
      </c>
      <c r="Q705" s="17">
        <f>IF($C705="","",IF($L705="","",IF(AND($K705=1,ISNUMBER($L705),$L705&lt;$J705,COUNTIFS(nrES_PID,$D705,nrES_Code,$F705,nrES_Att,2,nrES_Raw,"&gt;=0")=0),"Yes","No")))</f>
        <v/>
      </c>
      <c r="R705" s="17">
        <f>IF($C705="","",IF($L705="","",IF(AND(N($K705)&gt;=2,ISNUMBER($L705),$L705&lt;$J705),"Yes","No")))</f>
        <v/>
      </c>
      <c r="S705" s="18" t="n"/>
      <c r="T705" s="19">
        <f>IF(OR($C705="",$L705="",$K705&lt;&gt;1,NOT(ISNUMBER($L705)),$L705&gt;=$J705),"",IF($S705="","(enter date)",_xlfn.LET(_xlpm.dn,_xlfn.XLOOKUP($S705,nrCDdate,nrCDnum,"",1),IF(_xlpm.dn="","(after last class day)",_xlfn.LET(_xlpm.dd,_xlfn.XLOOKUP(_xlpm.dn+cfgRetestClassDays,nrCDnum,nrCDdate,""),_xlpm.ok,_xlfn.XLOOKUP(_xlpm.dn+cfgRetestClassDays,nrCDnum,nrCDinsession,"No"),IF(OR(_xlpm.dd="",_xlpm.ok&lt;&gt;"Yes"),"(after last class day)",_xlpm.dd))))))</f>
        <v/>
      </c>
      <c r="U705" s="17">
        <f>IF($C705="","",IF(AND($Y705="Excused",$L705="",N($K705)&lt;=1),"EXCUSED - 1st attempt pending",IF(OR($L705="",$K705&lt;&gt;1,NOT(ISNUMBER($L705)),$L705&gt;=$J705),"",IF(COUNTIFS(nrES_PID,$D705,nrES_Code,$F705,nrES_Att,2,nrES_Raw,"&gt;=0")&gt;0,IF(IFERROR(_xlfn.MINIFS(nrES_Date,nrES_PID,$D705,nrES_Code,$F705,nrES_Att,2,nrES_Raw,"&gt;=0",nrES_Date,"&gt;0"),0)=0,"RETEST UNDATED",IF(NOT(ISNUMBER($T705)),"RETEST DATE UNCHECKED",IF(_xlfn.MINIFS(nrES_Date,nrES_PID,$D705,nrES_Code,$F705,nrES_Att,2,nrES_Raw,"&gt;=0",nrES_Date,"&gt;0")&gt;$T705,"LATE RETEST "&amp;TEXT(_xlfn.MINIFS(nrES_Date,nrES_PID,$D705,nrES_Code,$F705,nrES_Att,2,nrES_Raw,"&gt;=0",nrES_Date,"&gt;0"),"mm/dd")&amp;" (due "&amp;TEXT($T705,"mm/dd")&amp;")","Retested"))),IF(NOT(ISNUMBER($T705)),"CHECK DATE",IF(TODAY()&gt;$T705,"OVERDUE","Due "&amp;TEXT($T705,"mm/dd")))))))</f>
        <v/>
      </c>
      <c r="V705" s="16" t="n"/>
      <c r="W705" s="16" t="n"/>
      <c r="X705" s="17">
        <f>IF($C705="","",IF(AND($L705&lt;&gt;"",NOT(ISNUMBER($L705))),"RAW SCORE NOT A NUMBER",IF(AND(ISNUMBER($L705),OR($L705&lt;0,$L705&gt;100)),"RAW SCORE OUT OF RANGE",IF(AND($Y705="Unexcused",OR($L705="",NOT(ISNUMBER($L705)),$L705&lt;&gt;0)),"UNEXCUSED ABSENCE MUST RECORD 0",IF(COUNTIF(nrES_RecID,$B705)&gt;1,"DUPLICATE RECORD",IF(N($K705)&gt;2,"ATTEMPT 3+ NOT ALLOWED - policy 300.5 permits one retest per exam; this row records nothing",IF(AND($K705=2,COUNTIFS(nrES_PID,$D705,nrES_Code,$F705,nrES_Att,1)=0),"ATTEMPT 2 WITHOUT ATTEMPT 1",IF(AND($K705=2,$L705=""),"RETEST ROW HAS NO SCORE",IF(AND($H705="Final",$L705&lt;&gt;"",IFERROR(INDEX(nrCKfinalExamElig,MATCH($D705,rngCadetPIDs,0)),"")="No"),"FINAL EXAM AFTER FAILED FINAL PT (500.1.H)",IF(AND($K705=2,ISNUMBER($L705),COUNTIFS(nrES_PID,$D705,nrES_Code,$F705,nrES_Att,1)&gt;0,SUMIFS(nrES_Raw,nrES_PID,$D705,nrES_Code,$F705,nrES_Att,1)&gt;=$J705),"RETEST AFTER A PASSING FIRST ATTEMPT","OK"))))))))))</f>
        <v/>
      </c>
      <c r="Y705" s="16" t="n"/>
    </row>
    <row r="706">
      <c r="B706" s="17">
        <f>IF($C706="","",$D706&amp;"-"&amp;$F706&amp;"-"&amp;$K706)</f>
        <v/>
      </c>
      <c r="C706" s="16" t="n"/>
      <c r="D706" s="17">
        <f>IF($C706="","",IFERROR(INDEX(rngCadetPIDs,MATCH($C706,rngCadetNames,0)),"?"))</f>
        <v/>
      </c>
      <c r="E706" s="17">
        <f>IF($D706="","",IFERROR(INDEX(nrCadetAgency,MATCH($D706,rngCadetPIDs,0)),""))</f>
        <v/>
      </c>
      <c r="F706" s="16" t="n"/>
      <c r="G706" s="17">
        <f>IF($F706="","",IFERROR(INDEX(rngEPname,MATCH($F706,rngEPcode,0)),"?"))</f>
        <v/>
      </c>
      <c r="H706" s="17">
        <f>IF($F706="","",IFERROR(INDEX(rngEPtype,MATCH($F706,rngEPcode,0)),"?"))</f>
        <v/>
      </c>
      <c r="I706" s="17">
        <f>IF($F706="","",IFERROR(INDEX(rngEPseq,MATCH($F706,rngEPcode,0)),""))</f>
        <v/>
      </c>
      <c r="J706" s="17">
        <f>IF($F706="","",IFERROR(INDEX(rngEPpass,MATCH($F706,rngEPcode,0)),cfgPassingScore))</f>
        <v/>
      </c>
      <c r="K706" s="16" t="n"/>
      <c r="L706" s="16" t="n"/>
      <c r="M706" s="17">
        <f>IF($C706="","",IF($L706="","",IF(NOT(ISNUMBER($L706)),$L706,IF(N($K706)&gt;2,"",IF($K706=1,IF(COUNTIFS(nrES_PID,$D706,nrES_Code,$F706,nrES_Att,2,nrES_Raw,"&gt;=0")&gt;0,"",$L706),IF($L706&gt;=$J706,MAX($J706,cfgRetakeRecordedCap),IF(COUNTIFS(nrES_PID,$D706,nrES_Code,$F706,nrES_Att,1)=0,$L706,SUMIFS(nrES_Raw,nrES_PID,$D706,nrES_Code,$F706,nrES_Att,1))))))))</f>
        <v/>
      </c>
      <c r="N706" s="17">
        <f>IF($C706="","",IF($L706="","",IF(NOT(ISNUMBER($L706)),"(not a score)",IF($L706&gt;=$J706,"Yes","No"))))</f>
        <v/>
      </c>
      <c r="O706" s="17">
        <f>IF($C706="","",IF($M706="","",IF(NOT(ISNUMBER($M706)),"(not a score)",IF($M706&gt;=$J706,"Yes","No"))))</f>
        <v/>
      </c>
      <c r="P706" s="17">
        <f>IF($C706="","",IF($K706="","",IF(N($K706)&gt;2,"No",IF(COUNTIFS(nrES_PID,$D706,nrES_Code,$F706,nrES_Att,"&gt;"&amp;$K706,nrES_Att,"&lt;=2",nrES_Raw,"&gt;=0")=0,"Yes","No"))))</f>
        <v/>
      </c>
      <c r="Q706" s="17">
        <f>IF($C706="","",IF($L706="","",IF(AND($K706=1,ISNUMBER($L706),$L706&lt;$J706,COUNTIFS(nrES_PID,$D706,nrES_Code,$F706,nrES_Att,2,nrES_Raw,"&gt;=0")=0),"Yes","No")))</f>
        <v/>
      </c>
      <c r="R706" s="17">
        <f>IF($C706="","",IF($L706="","",IF(AND(N($K706)&gt;=2,ISNUMBER($L706),$L706&lt;$J706),"Yes","No")))</f>
        <v/>
      </c>
      <c r="S706" s="18" t="n"/>
      <c r="T706" s="19">
        <f>IF(OR($C706="",$L706="",$K706&lt;&gt;1,NOT(ISNUMBER($L706)),$L706&gt;=$J706),"",IF($S706="","(enter date)",_xlfn.LET(_xlpm.dn,_xlfn.XLOOKUP($S706,nrCDdate,nrCDnum,"",1),IF(_xlpm.dn="","(after last class day)",_xlfn.LET(_xlpm.dd,_xlfn.XLOOKUP(_xlpm.dn+cfgRetestClassDays,nrCDnum,nrCDdate,""),_xlpm.ok,_xlfn.XLOOKUP(_xlpm.dn+cfgRetestClassDays,nrCDnum,nrCDinsession,"No"),IF(OR(_xlpm.dd="",_xlpm.ok&lt;&gt;"Yes"),"(after last class day)",_xlpm.dd))))))</f>
        <v/>
      </c>
      <c r="U706" s="17">
        <f>IF($C706="","",IF(AND($Y706="Excused",$L706="",N($K706)&lt;=1),"EXCUSED - 1st attempt pending",IF(OR($L706="",$K706&lt;&gt;1,NOT(ISNUMBER($L706)),$L706&gt;=$J706),"",IF(COUNTIFS(nrES_PID,$D706,nrES_Code,$F706,nrES_Att,2,nrES_Raw,"&gt;=0")&gt;0,IF(IFERROR(_xlfn.MINIFS(nrES_Date,nrES_PID,$D706,nrES_Code,$F706,nrES_Att,2,nrES_Raw,"&gt;=0",nrES_Date,"&gt;0"),0)=0,"RETEST UNDATED",IF(NOT(ISNUMBER($T706)),"RETEST DATE UNCHECKED",IF(_xlfn.MINIFS(nrES_Date,nrES_PID,$D706,nrES_Code,$F706,nrES_Att,2,nrES_Raw,"&gt;=0",nrES_Date,"&gt;0")&gt;$T706,"LATE RETEST "&amp;TEXT(_xlfn.MINIFS(nrES_Date,nrES_PID,$D706,nrES_Code,$F706,nrES_Att,2,nrES_Raw,"&gt;=0",nrES_Date,"&gt;0"),"mm/dd")&amp;" (due "&amp;TEXT($T706,"mm/dd")&amp;")","Retested"))),IF(NOT(ISNUMBER($T706)),"CHECK DATE",IF(TODAY()&gt;$T706,"OVERDUE","Due "&amp;TEXT($T706,"mm/dd")))))))</f>
        <v/>
      </c>
      <c r="V706" s="16" t="n"/>
      <c r="W706" s="16" t="n"/>
      <c r="X706" s="17">
        <f>IF($C706="","",IF(AND($L706&lt;&gt;"",NOT(ISNUMBER($L706))),"RAW SCORE NOT A NUMBER",IF(AND(ISNUMBER($L706),OR($L706&lt;0,$L706&gt;100)),"RAW SCORE OUT OF RANGE",IF(AND($Y706="Unexcused",OR($L706="",NOT(ISNUMBER($L706)),$L706&lt;&gt;0)),"UNEXCUSED ABSENCE MUST RECORD 0",IF(COUNTIF(nrES_RecID,$B706)&gt;1,"DUPLICATE RECORD",IF(N($K706)&gt;2,"ATTEMPT 3+ NOT ALLOWED - policy 300.5 permits one retest per exam; this row records nothing",IF(AND($K706=2,COUNTIFS(nrES_PID,$D706,nrES_Code,$F706,nrES_Att,1)=0),"ATTEMPT 2 WITHOUT ATTEMPT 1",IF(AND($K706=2,$L706=""),"RETEST ROW HAS NO SCORE",IF(AND($H706="Final",$L706&lt;&gt;"",IFERROR(INDEX(nrCKfinalExamElig,MATCH($D706,rngCadetPIDs,0)),"")="No"),"FINAL EXAM AFTER FAILED FINAL PT (500.1.H)",IF(AND($K706=2,ISNUMBER($L706),COUNTIFS(nrES_PID,$D706,nrES_Code,$F706,nrES_Att,1)&gt;0,SUMIFS(nrES_Raw,nrES_PID,$D706,nrES_Code,$F706,nrES_Att,1)&gt;=$J706),"RETEST AFTER A PASSING FIRST ATTEMPT","OK"))))))))))</f>
        <v/>
      </c>
      <c r="Y706" s="16" t="n"/>
    </row>
    <row r="707">
      <c r="B707" s="17">
        <f>IF($C707="","",$D707&amp;"-"&amp;$F707&amp;"-"&amp;$K707)</f>
        <v/>
      </c>
      <c r="C707" s="16" t="n"/>
      <c r="D707" s="17">
        <f>IF($C707="","",IFERROR(INDEX(rngCadetPIDs,MATCH($C707,rngCadetNames,0)),"?"))</f>
        <v/>
      </c>
      <c r="E707" s="17">
        <f>IF($D707="","",IFERROR(INDEX(nrCadetAgency,MATCH($D707,rngCadetPIDs,0)),""))</f>
        <v/>
      </c>
      <c r="F707" s="16" t="n"/>
      <c r="G707" s="17">
        <f>IF($F707="","",IFERROR(INDEX(rngEPname,MATCH($F707,rngEPcode,0)),"?"))</f>
        <v/>
      </c>
      <c r="H707" s="17">
        <f>IF($F707="","",IFERROR(INDEX(rngEPtype,MATCH($F707,rngEPcode,0)),"?"))</f>
        <v/>
      </c>
      <c r="I707" s="17">
        <f>IF($F707="","",IFERROR(INDEX(rngEPseq,MATCH($F707,rngEPcode,0)),""))</f>
        <v/>
      </c>
      <c r="J707" s="17">
        <f>IF($F707="","",IFERROR(INDEX(rngEPpass,MATCH($F707,rngEPcode,0)),cfgPassingScore))</f>
        <v/>
      </c>
      <c r="K707" s="16" t="n"/>
      <c r="L707" s="16" t="n"/>
      <c r="M707" s="17">
        <f>IF($C707="","",IF($L707="","",IF(NOT(ISNUMBER($L707)),$L707,IF(N($K707)&gt;2,"",IF($K707=1,IF(COUNTIFS(nrES_PID,$D707,nrES_Code,$F707,nrES_Att,2,nrES_Raw,"&gt;=0")&gt;0,"",$L707),IF($L707&gt;=$J707,MAX($J707,cfgRetakeRecordedCap),IF(COUNTIFS(nrES_PID,$D707,nrES_Code,$F707,nrES_Att,1)=0,$L707,SUMIFS(nrES_Raw,nrES_PID,$D707,nrES_Code,$F707,nrES_Att,1))))))))</f>
        <v/>
      </c>
      <c r="N707" s="17">
        <f>IF($C707="","",IF($L707="","",IF(NOT(ISNUMBER($L707)),"(not a score)",IF($L707&gt;=$J707,"Yes","No"))))</f>
        <v/>
      </c>
      <c r="O707" s="17">
        <f>IF($C707="","",IF($M707="","",IF(NOT(ISNUMBER($M707)),"(not a score)",IF($M707&gt;=$J707,"Yes","No"))))</f>
        <v/>
      </c>
      <c r="P707" s="17">
        <f>IF($C707="","",IF($K707="","",IF(N($K707)&gt;2,"No",IF(COUNTIFS(nrES_PID,$D707,nrES_Code,$F707,nrES_Att,"&gt;"&amp;$K707,nrES_Att,"&lt;=2",nrES_Raw,"&gt;=0")=0,"Yes","No"))))</f>
        <v/>
      </c>
      <c r="Q707" s="17">
        <f>IF($C707="","",IF($L707="","",IF(AND($K707=1,ISNUMBER($L707),$L707&lt;$J707,COUNTIFS(nrES_PID,$D707,nrES_Code,$F707,nrES_Att,2,nrES_Raw,"&gt;=0")=0),"Yes","No")))</f>
        <v/>
      </c>
      <c r="R707" s="17">
        <f>IF($C707="","",IF($L707="","",IF(AND(N($K707)&gt;=2,ISNUMBER($L707),$L707&lt;$J707),"Yes","No")))</f>
        <v/>
      </c>
      <c r="S707" s="18" t="n"/>
      <c r="T707" s="19">
        <f>IF(OR($C707="",$L707="",$K707&lt;&gt;1,NOT(ISNUMBER($L707)),$L707&gt;=$J707),"",IF($S707="","(enter date)",_xlfn.LET(_xlpm.dn,_xlfn.XLOOKUP($S707,nrCDdate,nrCDnum,"",1),IF(_xlpm.dn="","(after last class day)",_xlfn.LET(_xlpm.dd,_xlfn.XLOOKUP(_xlpm.dn+cfgRetestClassDays,nrCDnum,nrCDdate,""),_xlpm.ok,_xlfn.XLOOKUP(_xlpm.dn+cfgRetestClassDays,nrCDnum,nrCDinsession,"No"),IF(OR(_xlpm.dd="",_xlpm.ok&lt;&gt;"Yes"),"(after last class day)",_xlpm.dd))))))</f>
        <v/>
      </c>
      <c r="U707" s="17">
        <f>IF($C707="","",IF(AND($Y707="Excused",$L707="",N($K707)&lt;=1),"EXCUSED - 1st attempt pending",IF(OR($L707="",$K707&lt;&gt;1,NOT(ISNUMBER($L707)),$L707&gt;=$J707),"",IF(COUNTIFS(nrES_PID,$D707,nrES_Code,$F707,nrES_Att,2,nrES_Raw,"&gt;=0")&gt;0,IF(IFERROR(_xlfn.MINIFS(nrES_Date,nrES_PID,$D707,nrES_Code,$F707,nrES_Att,2,nrES_Raw,"&gt;=0",nrES_Date,"&gt;0"),0)=0,"RETEST UNDATED",IF(NOT(ISNUMBER($T707)),"RETEST DATE UNCHECKED",IF(_xlfn.MINIFS(nrES_Date,nrES_PID,$D707,nrES_Code,$F707,nrES_Att,2,nrES_Raw,"&gt;=0",nrES_Date,"&gt;0")&gt;$T707,"LATE RETEST "&amp;TEXT(_xlfn.MINIFS(nrES_Date,nrES_PID,$D707,nrES_Code,$F707,nrES_Att,2,nrES_Raw,"&gt;=0",nrES_Date,"&gt;0"),"mm/dd")&amp;" (due "&amp;TEXT($T707,"mm/dd")&amp;")","Retested"))),IF(NOT(ISNUMBER($T707)),"CHECK DATE",IF(TODAY()&gt;$T707,"OVERDUE","Due "&amp;TEXT($T707,"mm/dd")))))))</f>
        <v/>
      </c>
      <c r="V707" s="16" t="n"/>
      <c r="W707" s="16" t="n"/>
      <c r="X707" s="17">
        <f>IF($C707="","",IF(AND($L707&lt;&gt;"",NOT(ISNUMBER($L707))),"RAW SCORE NOT A NUMBER",IF(AND(ISNUMBER($L707),OR($L707&lt;0,$L707&gt;100)),"RAW SCORE OUT OF RANGE",IF(AND($Y707="Unexcused",OR($L707="",NOT(ISNUMBER($L707)),$L707&lt;&gt;0)),"UNEXCUSED ABSENCE MUST RECORD 0",IF(COUNTIF(nrES_RecID,$B707)&gt;1,"DUPLICATE RECORD",IF(N($K707)&gt;2,"ATTEMPT 3+ NOT ALLOWED - policy 300.5 permits one retest per exam; this row records nothing",IF(AND($K707=2,COUNTIFS(nrES_PID,$D707,nrES_Code,$F707,nrES_Att,1)=0),"ATTEMPT 2 WITHOUT ATTEMPT 1",IF(AND($K707=2,$L707=""),"RETEST ROW HAS NO SCORE",IF(AND($H707="Final",$L707&lt;&gt;"",IFERROR(INDEX(nrCKfinalExamElig,MATCH($D707,rngCadetPIDs,0)),"")="No"),"FINAL EXAM AFTER FAILED FINAL PT (500.1.H)",IF(AND($K707=2,ISNUMBER($L707),COUNTIFS(nrES_PID,$D707,nrES_Code,$F707,nrES_Att,1)&gt;0,SUMIFS(nrES_Raw,nrES_PID,$D707,nrES_Code,$F707,nrES_Att,1)&gt;=$J707),"RETEST AFTER A PASSING FIRST ATTEMPT","OK"))))))))))</f>
        <v/>
      </c>
      <c r="Y707" s="16" t="n"/>
    </row>
    <row r="708">
      <c r="B708" s="17">
        <f>IF($C708="","",$D708&amp;"-"&amp;$F708&amp;"-"&amp;$K708)</f>
        <v/>
      </c>
      <c r="C708" s="16" t="n"/>
      <c r="D708" s="17">
        <f>IF($C708="","",IFERROR(INDEX(rngCadetPIDs,MATCH($C708,rngCadetNames,0)),"?"))</f>
        <v/>
      </c>
      <c r="E708" s="17">
        <f>IF($D708="","",IFERROR(INDEX(nrCadetAgency,MATCH($D708,rngCadetPIDs,0)),""))</f>
        <v/>
      </c>
      <c r="F708" s="16" t="n"/>
      <c r="G708" s="17">
        <f>IF($F708="","",IFERROR(INDEX(rngEPname,MATCH($F708,rngEPcode,0)),"?"))</f>
        <v/>
      </c>
      <c r="H708" s="17">
        <f>IF($F708="","",IFERROR(INDEX(rngEPtype,MATCH($F708,rngEPcode,0)),"?"))</f>
        <v/>
      </c>
      <c r="I708" s="17">
        <f>IF($F708="","",IFERROR(INDEX(rngEPseq,MATCH($F708,rngEPcode,0)),""))</f>
        <v/>
      </c>
      <c r="J708" s="17">
        <f>IF($F708="","",IFERROR(INDEX(rngEPpass,MATCH($F708,rngEPcode,0)),cfgPassingScore))</f>
        <v/>
      </c>
      <c r="K708" s="16" t="n"/>
      <c r="L708" s="16" t="n"/>
      <c r="M708" s="17">
        <f>IF($C708="","",IF($L708="","",IF(NOT(ISNUMBER($L708)),$L708,IF(N($K708)&gt;2,"",IF($K708=1,IF(COUNTIFS(nrES_PID,$D708,nrES_Code,$F708,nrES_Att,2,nrES_Raw,"&gt;=0")&gt;0,"",$L708),IF($L708&gt;=$J708,MAX($J708,cfgRetakeRecordedCap),IF(COUNTIFS(nrES_PID,$D708,nrES_Code,$F708,nrES_Att,1)=0,$L708,SUMIFS(nrES_Raw,nrES_PID,$D708,nrES_Code,$F708,nrES_Att,1))))))))</f>
        <v/>
      </c>
      <c r="N708" s="17">
        <f>IF($C708="","",IF($L708="","",IF(NOT(ISNUMBER($L708)),"(not a score)",IF($L708&gt;=$J708,"Yes","No"))))</f>
        <v/>
      </c>
      <c r="O708" s="17">
        <f>IF($C708="","",IF($M708="","",IF(NOT(ISNUMBER($M708)),"(not a score)",IF($M708&gt;=$J708,"Yes","No"))))</f>
        <v/>
      </c>
      <c r="P708" s="17">
        <f>IF($C708="","",IF($K708="","",IF(N($K708)&gt;2,"No",IF(COUNTIFS(nrES_PID,$D708,nrES_Code,$F708,nrES_Att,"&gt;"&amp;$K708,nrES_Att,"&lt;=2",nrES_Raw,"&gt;=0")=0,"Yes","No"))))</f>
        <v/>
      </c>
      <c r="Q708" s="17">
        <f>IF($C708="","",IF($L708="","",IF(AND($K708=1,ISNUMBER($L708),$L708&lt;$J708,COUNTIFS(nrES_PID,$D708,nrES_Code,$F708,nrES_Att,2,nrES_Raw,"&gt;=0")=0),"Yes","No")))</f>
        <v/>
      </c>
      <c r="R708" s="17">
        <f>IF($C708="","",IF($L708="","",IF(AND(N($K708)&gt;=2,ISNUMBER($L708),$L708&lt;$J708),"Yes","No")))</f>
        <v/>
      </c>
      <c r="S708" s="18" t="n"/>
      <c r="T708" s="19">
        <f>IF(OR($C708="",$L708="",$K708&lt;&gt;1,NOT(ISNUMBER($L708)),$L708&gt;=$J708),"",IF($S708="","(enter date)",_xlfn.LET(_xlpm.dn,_xlfn.XLOOKUP($S708,nrCDdate,nrCDnum,"",1),IF(_xlpm.dn="","(after last class day)",_xlfn.LET(_xlpm.dd,_xlfn.XLOOKUP(_xlpm.dn+cfgRetestClassDays,nrCDnum,nrCDdate,""),_xlpm.ok,_xlfn.XLOOKUP(_xlpm.dn+cfgRetestClassDays,nrCDnum,nrCDinsession,"No"),IF(OR(_xlpm.dd="",_xlpm.ok&lt;&gt;"Yes"),"(after last class day)",_xlpm.dd))))))</f>
        <v/>
      </c>
      <c r="U708" s="17">
        <f>IF($C708="","",IF(AND($Y708="Excused",$L708="",N($K708)&lt;=1),"EXCUSED - 1st attempt pending",IF(OR($L708="",$K708&lt;&gt;1,NOT(ISNUMBER($L708)),$L708&gt;=$J708),"",IF(COUNTIFS(nrES_PID,$D708,nrES_Code,$F708,nrES_Att,2,nrES_Raw,"&gt;=0")&gt;0,IF(IFERROR(_xlfn.MINIFS(nrES_Date,nrES_PID,$D708,nrES_Code,$F708,nrES_Att,2,nrES_Raw,"&gt;=0",nrES_Date,"&gt;0"),0)=0,"RETEST UNDATED",IF(NOT(ISNUMBER($T708)),"RETEST DATE UNCHECKED",IF(_xlfn.MINIFS(nrES_Date,nrES_PID,$D708,nrES_Code,$F708,nrES_Att,2,nrES_Raw,"&gt;=0",nrES_Date,"&gt;0")&gt;$T708,"LATE RETEST "&amp;TEXT(_xlfn.MINIFS(nrES_Date,nrES_PID,$D708,nrES_Code,$F708,nrES_Att,2,nrES_Raw,"&gt;=0",nrES_Date,"&gt;0"),"mm/dd")&amp;" (due "&amp;TEXT($T708,"mm/dd")&amp;")","Retested"))),IF(NOT(ISNUMBER($T708)),"CHECK DATE",IF(TODAY()&gt;$T708,"OVERDUE","Due "&amp;TEXT($T708,"mm/dd")))))))</f>
        <v/>
      </c>
      <c r="V708" s="16" t="n"/>
      <c r="W708" s="16" t="n"/>
      <c r="X708" s="17">
        <f>IF($C708="","",IF(AND($L708&lt;&gt;"",NOT(ISNUMBER($L708))),"RAW SCORE NOT A NUMBER",IF(AND(ISNUMBER($L708),OR($L708&lt;0,$L708&gt;100)),"RAW SCORE OUT OF RANGE",IF(AND($Y708="Unexcused",OR($L708="",NOT(ISNUMBER($L708)),$L708&lt;&gt;0)),"UNEXCUSED ABSENCE MUST RECORD 0",IF(COUNTIF(nrES_RecID,$B708)&gt;1,"DUPLICATE RECORD",IF(N($K708)&gt;2,"ATTEMPT 3+ NOT ALLOWED - policy 300.5 permits one retest per exam; this row records nothing",IF(AND($K708=2,COUNTIFS(nrES_PID,$D708,nrES_Code,$F708,nrES_Att,1)=0),"ATTEMPT 2 WITHOUT ATTEMPT 1",IF(AND($K708=2,$L708=""),"RETEST ROW HAS NO SCORE",IF(AND($H708="Final",$L708&lt;&gt;"",IFERROR(INDEX(nrCKfinalExamElig,MATCH($D708,rngCadetPIDs,0)),"")="No"),"FINAL EXAM AFTER FAILED FINAL PT (500.1.H)",IF(AND($K708=2,ISNUMBER($L708),COUNTIFS(nrES_PID,$D708,nrES_Code,$F708,nrES_Att,1)&gt;0,SUMIFS(nrES_Raw,nrES_PID,$D708,nrES_Code,$F708,nrES_Att,1)&gt;=$J708),"RETEST AFTER A PASSING FIRST ATTEMPT","OK"))))))))))</f>
        <v/>
      </c>
      <c r="Y708" s="16" t="n"/>
    </row>
    <row r="709">
      <c r="B709" s="17">
        <f>IF($C709="","",$D709&amp;"-"&amp;$F709&amp;"-"&amp;$K709)</f>
        <v/>
      </c>
      <c r="C709" s="16" t="n"/>
      <c r="D709" s="17">
        <f>IF($C709="","",IFERROR(INDEX(rngCadetPIDs,MATCH($C709,rngCadetNames,0)),"?"))</f>
        <v/>
      </c>
      <c r="E709" s="17">
        <f>IF($D709="","",IFERROR(INDEX(nrCadetAgency,MATCH($D709,rngCadetPIDs,0)),""))</f>
        <v/>
      </c>
      <c r="F709" s="16" t="n"/>
      <c r="G709" s="17">
        <f>IF($F709="","",IFERROR(INDEX(rngEPname,MATCH($F709,rngEPcode,0)),"?"))</f>
        <v/>
      </c>
      <c r="H709" s="17">
        <f>IF($F709="","",IFERROR(INDEX(rngEPtype,MATCH($F709,rngEPcode,0)),"?"))</f>
        <v/>
      </c>
      <c r="I709" s="17">
        <f>IF($F709="","",IFERROR(INDEX(rngEPseq,MATCH($F709,rngEPcode,0)),""))</f>
        <v/>
      </c>
      <c r="J709" s="17">
        <f>IF($F709="","",IFERROR(INDEX(rngEPpass,MATCH($F709,rngEPcode,0)),cfgPassingScore))</f>
        <v/>
      </c>
      <c r="K709" s="16" t="n"/>
      <c r="L709" s="16" t="n"/>
      <c r="M709" s="17">
        <f>IF($C709="","",IF($L709="","",IF(NOT(ISNUMBER($L709)),$L709,IF(N($K709)&gt;2,"",IF($K709=1,IF(COUNTIFS(nrES_PID,$D709,nrES_Code,$F709,nrES_Att,2,nrES_Raw,"&gt;=0")&gt;0,"",$L709),IF($L709&gt;=$J709,MAX($J709,cfgRetakeRecordedCap),IF(COUNTIFS(nrES_PID,$D709,nrES_Code,$F709,nrES_Att,1)=0,$L709,SUMIFS(nrES_Raw,nrES_PID,$D709,nrES_Code,$F709,nrES_Att,1))))))))</f>
        <v/>
      </c>
      <c r="N709" s="17">
        <f>IF($C709="","",IF($L709="","",IF(NOT(ISNUMBER($L709)),"(not a score)",IF($L709&gt;=$J709,"Yes","No"))))</f>
        <v/>
      </c>
      <c r="O709" s="17">
        <f>IF($C709="","",IF($M709="","",IF(NOT(ISNUMBER($M709)),"(not a score)",IF($M709&gt;=$J709,"Yes","No"))))</f>
        <v/>
      </c>
      <c r="P709" s="17">
        <f>IF($C709="","",IF($K709="","",IF(N($K709)&gt;2,"No",IF(COUNTIFS(nrES_PID,$D709,nrES_Code,$F709,nrES_Att,"&gt;"&amp;$K709,nrES_Att,"&lt;=2",nrES_Raw,"&gt;=0")=0,"Yes","No"))))</f>
        <v/>
      </c>
      <c r="Q709" s="17">
        <f>IF($C709="","",IF($L709="","",IF(AND($K709=1,ISNUMBER($L709),$L709&lt;$J709,COUNTIFS(nrES_PID,$D709,nrES_Code,$F709,nrES_Att,2,nrES_Raw,"&gt;=0")=0),"Yes","No")))</f>
        <v/>
      </c>
      <c r="R709" s="17">
        <f>IF($C709="","",IF($L709="","",IF(AND(N($K709)&gt;=2,ISNUMBER($L709),$L709&lt;$J709),"Yes","No")))</f>
        <v/>
      </c>
      <c r="S709" s="18" t="n"/>
      <c r="T709" s="19">
        <f>IF(OR($C709="",$L709="",$K709&lt;&gt;1,NOT(ISNUMBER($L709)),$L709&gt;=$J709),"",IF($S709="","(enter date)",_xlfn.LET(_xlpm.dn,_xlfn.XLOOKUP($S709,nrCDdate,nrCDnum,"",1),IF(_xlpm.dn="","(after last class day)",_xlfn.LET(_xlpm.dd,_xlfn.XLOOKUP(_xlpm.dn+cfgRetestClassDays,nrCDnum,nrCDdate,""),_xlpm.ok,_xlfn.XLOOKUP(_xlpm.dn+cfgRetestClassDays,nrCDnum,nrCDinsession,"No"),IF(OR(_xlpm.dd="",_xlpm.ok&lt;&gt;"Yes"),"(after last class day)",_xlpm.dd))))))</f>
        <v/>
      </c>
      <c r="U709" s="17">
        <f>IF($C709="","",IF(AND($Y709="Excused",$L709="",N($K709)&lt;=1),"EXCUSED - 1st attempt pending",IF(OR($L709="",$K709&lt;&gt;1,NOT(ISNUMBER($L709)),$L709&gt;=$J709),"",IF(COUNTIFS(nrES_PID,$D709,nrES_Code,$F709,nrES_Att,2,nrES_Raw,"&gt;=0")&gt;0,IF(IFERROR(_xlfn.MINIFS(nrES_Date,nrES_PID,$D709,nrES_Code,$F709,nrES_Att,2,nrES_Raw,"&gt;=0",nrES_Date,"&gt;0"),0)=0,"RETEST UNDATED",IF(NOT(ISNUMBER($T709)),"RETEST DATE UNCHECKED",IF(_xlfn.MINIFS(nrES_Date,nrES_PID,$D709,nrES_Code,$F709,nrES_Att,2,nrES_Raw,"&gt;=0",nrES_Date,"&gt;0")&gt;$T709,"LATE RETEST "&amp;TEXT(_xlfn.MINIFS(nrES_Date,nrES_PID,$D709,nrES_Code,$F709,nrES_Att,2,nrES_Raw,"&gt;=0",nrES_Date,"&gt;0"),"mm/dd")&amp;" (due "&amp;TEXT($T709,"mm/dd")&amp;")","Retested"))),IF(NOT(ISNUMBER($T709)),"CHECK DATE",IF(TODAY()&gt;$T709,"OVERDUE","Due "&amp;TEXT($T709,"mm/dd")))))))</f>
        <v/>
      </c>
      <c r="V709" s="16" t="n"/>
      <c r="W709" s="16" t="n"/>
      <c r="X709" s="17">
        <f>IF($C709="","",IF(AND($L709&lt;&gt;"",NOT(ISNUMBER($L709))),"RAW SCORE NOT A NUMBER",IF(AND(ISNUMBER($L709),OR($L709&lt;0,$L709&gt;100)),"RAW SCORE OUT OF RANGE",IF(AND($Y709="Unexcused",OR($L709="",NOT(ISNUMBER($L709)),$L709&lt;&gt;0)),"UNEXCUSED ABSENCE MUST RECORD 0",IF(COUNTIF(nrES_RecID,$B709)&gt;1,"DUPLICATE RECORD",IF(N($K709)&gt;2,"ATTEMPT 3+ NOT ALLOWED - policy 300.5 permits one retest per exam; this row records nothing",IF(AND($K709=2,COUNTIFS(nrES_PID,$D709,nrES_Code,$F709,nrES_Att,1)=0),"ATTEMPT 2 WITHOUT ATTEMPT 1",IF(AND($K709=2,$L709=""),"RETEST ROW HAS NO SCORE",IF(AND($H709="Final",$L709&lt;&gt;"",IFERROR(INDEX(nrCKfinalExamElig,MATCH($D709,rngCadetPIDs,0)),"")="No"),"FINAL EXAM AFTER FAILED FINAL PT (500.1.H)",IF(AND($K709=2,ISNUMBER($L709),COUNTIFS(nrES_PID,$D709,nrES_Code,$F709,nrES_Att,1)&gt;0,SUMIFS(nrES_Raw,nrES_PID,$D709,nrES_Code,$F709,nrES_Att,1)&gt;=$J709),"RETEST AFTER A PASSING FIRST ATTEMPT","OK"))))))))))</f>
        <v/>
      </c>
      <c r="Y709" s="16" t="n"/>
    </row>
    <row r="710">
      <c r="B710" s="17">
        <f>IF($C710="","",$D710&amp;"-"&amp;$F710&amp;"-"&amp;$K710)</f>
        <v/>
      </c>
      <c r="C710" s="16" t="n"/>
      <c r="D710" s="17">
        <f>IF($C710="","",IFERROR(INDEX(rngCadetPIDs,MATCH($C710,rngCadetNames,0)),"?"))</f>
        <v/>
      </c>
      <c r="E710" s="17">
        <f>IF($D710="","",IFERROR(INDEX(nrCadetAgency,MATCH($D710,rngCadetPIDs,0)),""))</f>
        <v/>
      </c>
      <c r="F710" s="16" t="n"/>
      <c r="G710" s="17">
        <f>IF($F710="","",IFERROR(INDEX(rngEPname,MATCH($F710,rngEPcode,0)),"?"))</f>
        <v/>
      </c>
      <c r="H710" s="17">
        <f>IF($F710="","",IFERROR(INDEX(rngEPtype,MATCH($F710,rngEPcode,0)),"?"))</f>
        <v/>
      </c>
      <c r="I710" s="17">
        <f>IF($F710="","",IFERROR(INDEX(rngEPseq,MATCH($F710,rngEPcode,0)),""))</f>
        <v/>
      </c>
      <c r="J710" s="17">
        <f>IF($F710="","",IFERROR(INDEX(rngEPpass,MATCH($F710,rngEPcode,0)),cfgPassingScore))</f>
        <v/>
      </c>
      <c r="K710" s="16" t="n"/>
      <c r="L710" s="16" t="n"/>
      <c r="M710" s="17">
        <f>IF($C710="","",IF($L710="","",IF(NOT(ISNUMBER($L710)),$L710,IF(N($K710)&gt;2,"",IF($K710=1,IF(COUNTIFS(nrES_PID,$D710,nrES_Code,$F710,nrES_Att,2,nrES_Raw,"&gt;=0")&gt;0,"",$L710),IF($L710&gt;=$J710,MAX($J710,cfgRetakeRecordedCap),IF(COUNTIFS(nrES_PID,$D710,nrES_Code,$F710,nrES_Att,1)=0,$L710,SUMIFS(nrES_Raw,nrES_PID,$D710,nrES_Code,$F710,nrES_Att,1))))))))</f>
        <v/>
      </c>
      <c r="N710" s="17">
        <f>IF($C710="","",IF($L710="","",IF(NOT(ISNUMBER($L710)),"(not a score)",IF($L710&gt;=$J710,"Yes","No"))))</f>
        <v/>
      </c>
      <c r="O710" s="17">
        <f>IF($C710="","",IF($M710="","",IF(NOT(ISNUMBER($M710)),"(not a score)",IF($M710&gt;=$J710,"Yes","No"))))</f>
        <v/>
      </c>
      <c r="P710" s="17">
        <f>IF($C710="","",IF($K710="","",IF(N($K710)&gt;2,"No",IF(COUNTIFS(nrES_PID,$D710,nrES_Code,$F710,nrES_Att,"&gt;"&amp;$K710,nrES_Att,"&lt;=2",nrES_Raw,"&gt;=0")=0,"Yes","No"))))</f>
        <v/>
      </c>
      <c r="Q710" s="17">
        <f>IF($C710="","",IF($L710="","",IF(AND($K710=1,ISNUMBER($L710),$L710&lt;$J710,COUNTIFS(nrES_PID,$D710,nrES_Code,$F710,nrES_Att,2,nrES_Raw,"&gt;=0")=0),"Yes","No")))</f>
        <v/>
      </c>
      <c r="R710" s="17">
        <f>IF($C710="","",IF($L710="","",IF(AND(N($K710)&gt;=2,ISNUMBER($L710),$L710&lt;$J710),"Yes","No")))</f>
        <v/>
      </c>
      <c r="S710" s="18" t="n"/>
      <c r="T710" s="19">
        <f>IF(OR($C710="",$L710="",$K710&lt;&gt;1,NOT(ISNUMBER($L710)),$L710&gt;=$J710),"",IF($S710="","(enter date)",_xlfn.LET(_xlpm.dn,_xlfn.XLOOKUP($S710,nrCDdate,nrCDnum,"",1),IF(_xlpm.dn="","(after last class day)",_xlfn.LET(_xlpm.dd,_xlfn.XLOOKUP(_xlpm.dn+cfgRetestClassDays,nrCDnum,nrCDdate,""),_xlpm.ok,_xlfn.XLOOKUP(_xlpm.dn+cfgRetestClassDays,nrCDnum,nrCDinsession,"No"),IF(OR(_xlpm.dd="",_xlpm.ok&lt;&gt;"Yes"),"(after last class day)",_xlpm.dd))))))</f>
        <v/>
      </c>
      <c r="U710" s="17">
        <f>IF($C710="","",IF(AND($Y710="Excused",$L710="",N($K710)&lt;=1),"EXCUSED - 1st attempt pending",IF(OR($L710="",$K710&lt;&gt;1,NOT(ISNUMBER($L710)),$L710&gt;=$J710),"",IF(COUNTIFS(nrES_PID,$D710,nrES_Code,$F710,nrES_Att,2,nrES_Raw,"&gt;=0")&gt;0,IF(IFERROR(_xlfn.MINIFS(nrES_Date,nrES_PID,$D710,nrES_Code,$F710,nrES_Att,2,nrES_Raw,"&gt;=0",nrES_Date,"&gt;0"),0)=0,"RETEST UNDATED",IF(NOT(ISNUMBER($T710)),"RETEST DATE UNCHECKED",IF(_xlfn.MINIFS(nrES_Date,nrES_PID,$D710,nrES_Code,$F710,nrES_Att,2,nrES_Raw,"&gt;=0",nrES_Date,"&gt;0")&gt;$T710,"LATE RETEST "&amp;TEXT(_xlfn.MINIFS(nrES_Date,nrES_PID,$D710,nrES_Code,$F710,nrES_Att,2,nrES_Raw,"&gt;=0",nrES_Date,"&gt;0"),"mm/dd")&amp;" (due "&amp;TEXT($T710,"mm/dd")&amp;")","Retested"))),IF(NOT(ISNUMBER($T710)),"CHECK DATE",IF(TODAY()&gt;$T710,"OVERDUE","Due "&amp;TEXT($T710,"mm/dd")))))))</f>
        <v/>
      </c>
      <c r="V710" s="16" t="n"/>
      <c r="W710" s="16" t="n"/>
      <c r="X710" s="17">
        <f>IF($C710="","",IF(AND($L710&lt;&gt;"",NOT(ISNUMBER($L710))),"RAW SCORE NOT A NUMBER",IF(AND(ISNUMBER($L710),OR($L710&lt;0,$L710&gt;100)),"RAW SCORE OUT OF RANGE",IF(AND($Y710="Unexcused",OR($L710="",NOT(ISNUMBER($L710)),$L710&lt;&gt;0)),"UNEXCUSED ABSENCE MUST RECORD 0",IF(COUNTIF(nrES_RecID,$B710)&gt;1,"DUPLICATE RECORD",IF(N($K710)&gt;2,"ATTEMPT 3+ NOT ALLOWED - policy 300.5 permits one retest per exam; this row records nothing",IF(AND($K710=2,COUNTIFS(nrES_PID,$D710,nrES_Code,$F710,nrES_Att,1)=0),"ATTEMPT 2 WITHOUT ATTEMPT 1",IF(AND($K710=2,$L710=""),"RETEST ROW HAS NO SCORE",IF(AND($H710="Final",$L710&lt;&gt;"",IFERROR(INDEX(nrCKfinalExamElig,MATCH($D710,rngCadetPIDs,0)),"")="No"),"FINAL EXAM AFTER FAILED FINAL PT (500.1.H)",IF(AND($K710=2,ISNUMBER($L710),COUNTIFS(nrES_PID,$D710,nrES_Code,$F710,nrES_Att,1)&gt;0,SUMIFS(nrES_Raw,nrES_PID,$D710,nrES_Code,$F710,nrES_Att,1)&gt;=$J710),"RETEST AFTER A PASSING FIRST ATTEMPT","OK"))))))))))</f>
        <v/>
      </c>
      <c r="Y710" s="16" t="n"/>
    </row>
    <row r="711">
      <c r="B711" s="17">
        <f>IF($C711="","",$D711&amp;"-"&amp;$F711&amp;"-"&amp;$K711)</f>
        <v/>
      </c>
      <c r="C711" s="16" t="n"/>
      <c r="D711" s="17">
        <f>IF($C711="","",IFERROR(INDEX(rngCadetPIDs,MATCH($C711,rngCadetNames,0)),"?"))</f>
        <v/>
      </c>
      <c r="E711" s="17">
        <f>IF($D711="","",IFERROR(INDEX(nrCadetAgency,MATCH($D711,rngCadetPIDs,0)),""))</f>
        <v/>
      </c>
      <c r="F711" s="16" t="n"/>
      <c r="G711" s="17">
        <f>IF($F711="","",IFERROR(INDEX(rngEPname,MATCH($F711,rngEPcode,0)),"?"))</f>
        <v/>
      </c>
      <c r="H711" s="17">
        <f>IF($F711="","",IFERROR(INDEX(rngEPtype,MATCH($F711,rngEPcode,0)),"?"))</f>
        <v/>
      </c>
      <c r="I711" s="17">
        <f>IF($F711="","",IFERROR(INDEX(rngEPseq,MATCH($F711,rngEPcode,0)),""))</f>
        <v/>
      </c>
      <c r="J711" s="17">
        <f>IF($F711="","",IFERROR(INDEX(rngEPpass,MATCH($F711,rngEPcode,0)),cfgPassingScore))</f>
        <v/>
      </c>
      <c r="K711" s="16" t="n"/>
      <c r="L711" s="16" t="n"/>
      <c r="M711" s="17">
        <f>IF($C711="","",IF($L711="","",IF(NOT(ISNUMBER($L711)),$L711,IF(N($K711)&gt;2,"",IF($K711=1,IF(COUNTIFS(nrES_PID,$D711,nrES_Code,$F711,nrES_Att,2,nrES_Raw,"&gt;=0")&gt;0,"",$L711),IF($L711&gt;=$J711,MAX($J711,cfgRetakeRecordedCap),IF(COUNTIFS(nrES_PID,$D711,nrES_Code,$F711,nrES_Att,1)=0,$L711,SUMIFS(nrES_Raw,nrES_PID,$D711,nrES_Code,$F711,nrES_Att,1))))))))</f>
        <v/>
      </c>
      <c r="N711" s="17">
        <f>IF($C711="","",IF($L711="","",IF(NOT(ISNUMBER($L711)),"(not a score)",IF($L711&gt;=$J711,"Yes","No"))))</f>
        <v/>
      </c>
      <c r="O711" s="17">
        <f>IF($C711="","",IF($M711="","",IF(NOT(ISNUMBER($M711)),"(not a score)",IF($M711&gt;=$J711,"Yes","No"))))</f>
        <v/>
      </c>
      <c r="P711" s="17">
        <f>IF($C711="","",IF($K711="","",IF(N($K711)&gt;2,"No",IF(COUNTIFS(nrES_PID,$D711,nrES_Code,$F711,nrES_Att,"&gt;"&amp;$K711,nrES_Att,"&lt;=2",nrES_Raw,"&gt;=0")=0,"Yes","No"))))</f>
        <v/>
      </c>
      <c r="Q711" s="17">
        <f>IF($C711="","",IF($L711="","",IF(AND($K711=1,ISNUMBER($L711),$L711&lt;$J711,COUNTIFS(nrES_PID,$D711,nrES_Code,$F711,nrES_Att,2,nrES_Raw,"&gt;=0")=0),"Yes","No")))</f>
        <v/>
      </c>
      <c r="R711" s="17">
        <f>IF($C711="","",IF($L711="","",IF(AND(N($K711)&gt;=2,ISNUMBER($L711),$L711&lt;$J711),"Yes","No")))</f>
        <v/>
      </c>
      <c r="S711" s="18" t="n"/>
      <c r="T711" s="19">
        <f>IF(OR($C711="",$L711="",$K711&lt;&gt;1,NOT(ISNUMBER($L711)),$L711&gt;=$J711),"",IF($S711="","(enter date)",_xlfn.LET(_xlpm.dn,_xlfn.XLOOKUP($S711,nrCDdate,nrCDnum,"",1),IF(_xlpm.dn="","(after last class day)",_xlfn.LET(_xlpm.dd,_xlfn.XLOOKUP(_xlpm.dn+cfgRetestClassDays,nrCDnum,nrCDdate,""),_xlpm.ok,_xlfn.XLOOKUP(_xlpm.dn+cfgRetestClassDays,nrCDnum,nrCDinsession,"No"),IF(OR(_xlpm.dd="",_xlpm.ok&lt;&gt;"Yes"),"(after last class day)",_xlpm.dd))))))</f>
        <v/>
      </c>
      <c r="U711" s="17">
        <f>IF($C711="","",IF(AND($Y711="Excused",$L711="",N($K711)&lt;=1),"EXCUSED - 1st attempt pending",IF(OR($L711="",$K711&lt;&gt;1,NOT(ISNUMBER($L711)),$L711&gt;=$J711),"",IF(COUNTIFS(nrES_PID,$D711,nrES_Code,$F711,nrES_Att,2,nrES_Raw,"&gt;=0")&gt;0,IF(IFERROR(_xlfn.MINIFS(nrES_Date,nrES_PID,$D711,nrES_Code,$F711,nrES_Att,2,nrES_Raw,"&gt;=0",nrES_Date,"&gt;0"),0)=0,"RETEST UNDATED",IF(NOT(ISNUMBER($T711)),"RETEST DATE UNCHECKED",IF(_xlfn.MINIFS(nrES_Date,nrES_PID,$D711,nrES_Code,$F711,nrES_Att,2,nrES_Raw,"&gt;=0",nrES_Date,"&gt;0")&gt;$T711,"LATE RETEST "&amp;TEXT(_xlfn.MINIFS(nrES_Date,nrES_PID,$D711,nrES_Code,$F711,nrES_Att,2,nrES_Raw,"&gt;=0",nrES_Date,"&gt;0"),"mm/dd")&amp;" (due "&amp;TEXT($T711,"mm/dd")&amp;")","Retested"))),IF(NOT(ISNUMBER($T711)),"CHECK DATE",IF(TODAY()&gt;$T711,"OVERDUE","Due "&amp;TEXT($T711,"mm/dd")))))))</f>
        <v/>
      </c>
      <c r="V711" s="16" t="n"/>
      <c r="W711" s="16" t="n"/>
      <c r="X711" s="17">
        <f>IF($C711="","",IF(AND($L711&lt;&gt;"",NOT(ISNUMBER($L711))),"RAW SCORE NOT A NUMBER",IF(AND(ISNUMBER($L711),OR($L711&lt;0,$L711&gt;100)),"RAW SCORE OUT OF RANGE",IF(AND($Y711="Unexcused",OR($L711="",NOT(ISNUMBER($L711)),$L711&lt;&gt;0)),"UNEXCUSED ABSENCE MUST RECORD 0",IF(COUNTIF(nrES_RecID,$B711)&gt;1,"DUPLICATE RECORD",IF(N($K711)&gt;2,"ATTEMPT 3+ NOT ALLOWED - policy 300.5 permits one retest per exam; this row records nothing",IF(AND($K711=2,COUNTIFS(nrES_PID,$D711,nrES_Code,$F711,nrES_Att,1)=0),"ATTEMPT 2 WITHOUT ATTEMPT 1",IF(AND($K711=2,$L711=""),"RETEST ROW HAS NO SCORE",IF(AND($H711="Final",$L711&lt;&gt;"",IFERROR(INDEX(nrCKfinalExamElig,MATCH($D711,rngCadetPIDs,0)),"")="No"),"FINAL EXAM AFTER FAILED FINAL PT (500.1.H)",IF(AND($K711=2,ISNUMBER($L711),COUNTIFS(nrES_PID,$D711,nrES_Code,$F711,nrES_Att,1)&gt;0,SUMIFS(nrES_Raw,nrES_PID,$D711,nrES_Code,$F711,nrES_Att,1)&gt;=$J711),"RETEST AFTER A PASSING FIRST ATTEMPT","OK"))))))))))</f>
        <v/>
      </c>
      <c r="Y711" s="16" t="n"/>
    </row>
    <row r="712">
      <c r="B712" s="17">
        <f>IF($C712="","",$D712&amp;"-"&amp;$F712&amp;"-"&amp;$K712)</f>
        <v/>
      </c>
      <c r="C712" s="16" t="n"/>
      <c r="D712" s="17">
        <f>IF($C712="","",IFERROR(INDEX(rngCadetPIDs,MATCH($C712,rngCadetNames,0)),"?"))</f>
        <v/>
      </c>
      <c r="E712" s="17">
        <f>IF($D712="","",IFERROR(INDEX(nrCadetAgency,MATCH($D712,rngCadetPIDs,0)),""))</f>
        <v/>
      </c>
      <c r="F712" s="16" t="n"/>
      <c r="G712" s="17">
        <f>IF($F712="","",IFERROR(INDEX(rngEPname,MATCH($F712,rngEPcode,0)),"?"))</f>
        <v/>
      </c>
      <c r="H712" s="17">
        <f>IF($F712="","",IFERROR(INDEX(rngEPtype,MATCH($F712,rngEPcode,0)),"?"))</f>
        <v/>
      </c>
      <c r="I712" s="17">
        <f>IF($F712="","",IFERROR(INDEX(rngEPseq,MATCH($F712,rngEPcode,0)),""))</f>
        <v/>
      </c>
      <c r="J712" s="17">
        <f>IF($F712="","",IFERROR(INDEX(rngEPpass,MATCH($F712,rngEPcode,0)),cfgPassingScore))</f>
        <v/>
      </c>
      <c r="K712" s="16" t="n"/>
      <c r="L712" s="16" t="n"/>
      <c r="M712" s="17">
        <f>IF($C712="","",IF($L712="","",IF(NOT(ISNUMBER($L712)),$L712,IF(N($K712)&gt;2,"",IF($K712=1,IF(COUNTIFS(nrES_PID,$D712,nrES_Code,$F712,nrES_Att,2,nrES_Raw,"&gt;=0")&gt;0,"",$L712),IF($L712&gt;=$J712,MAX($J712,cfgRetakeRecordedCap),IF(COUNTIFS(nrES_PID,$D712,nrES_Code,$F712,nrES_Att,1)=0,$L712,SUMIFS(nrES_Raw,nrES_PID,$D712,nrES_Code,$F712,nrES_Att,1))))))))</f>
        <v/>
      </c>
      <c r="N712" s="17">
        <f>IF($C712="","",IF($L712="","",IF(NOT(ISNUMBER($L712)),"(not a score)",IF($L712&gt;=$J712,"Yes","No"))))</f>
        <v/>
      </c>
      <c r="O712" s="17">
        <f>IF($C712="","",IF($M712="","",IF(NOT(ISNUMBER($M712)),"(not a score)",IF($M712&gt;=$J712,"Yes","No"))))</f>
        <v/>
      </c>
      <c r="P712" s="17">
        <f>IF($C712="","",IF($K712="","",IF(N($K712)&gt;2,"No",IF(COUNTIFS(nrES_PID,$D712,nrES_Code,$F712,nrES_Att,"&gt;"&amp;$K712,nrES_Att,"&lt;=2",nrES_Raw,"&gt;=0")=0,"Yes","No"))))</f>
        <v/>
      </c>
      <c r="Q712" s="17">
        <f>IF($C712="","",IF($L712="","",IF(AND($K712=1,ISNUMBER($L712),$L712&lt;$J712,COUNTIFS(nrES_PID,$D712,nrES_Code,$F712,nrES_Att,2,nrES_Raw,"&gt;=0")=0),"Yes","No")))</f>
        <v/>
      </c>
      <c r="R712" s="17">
        <f>IF($C712="","",IF($L712="","",IF(AND(N($K712)&gt;=2,ISNUMBER($L712),$L712&lt;$J712),"Yes","No")))</f>
        <v/>
      </c>
      <c r="S712" s="18" t="n"/>
      <c r="T712" s="19">
        <f>IF(OR($C712="",$L712="",$K712&lt;&gt;1,NOT(ISNUMBER($L712)),$L712&gt;=$J712),"",IF($S712="","(enter date)",_xlfn.LET(_xlpm.dn,_xlfn.XLOOKUP($S712,nrCDdate,nrCDnum,"",1),IF(_xlpm.dn="","(after last class day)",_xlfn.LET(_xlpm.dd,_xlfn.XLOOKUP(_xlpm.dn+cfgRetestClassDays,nrCDnum,nrCDdate,""),_xlpm.ok,_xlfn.XLOOKUP(_xlpm.dn+cfgRetestClassDays,nrCDnum,nrCDinsession,"No"),IF(OR(_xlpm.dd="",_xlpm.ok&lt;&gt;"Yes"),"(after last class day)",_xlpm.dd))))))</f>
        <v/>
      </c>
      <c r="U712" s="17">
        <f>IF($C712="","",IF(AND($Y712="Excused",$L712="",N($K712)&lt;=1),"EXCUSED - 1st attempt pending",IF(OR($L712="",$K712&lt;&gt;1,NOT(ISNUMBER($L712)),$L712&gt;=$J712),"",IF(COUNTIFS(nrES_PID,$D712,nrES_Code,$F712,nrES_Att,2,nrES_Raw,"&gt;=0")&gt;0,IF(IFERROR(_xlfn.MINIFS(nrES_Date,nrES_PID,$D712,nrES_Code,$F712,nrES_Att,2,nrES_Raw,"&gt;=0",nrES_Date,"&gt;0"),0)=0,"RETEST UNDATED",IF(NOT(ISNUMBER($T712)),"RETEST DATE UNCHECKED",IF(_xlfn.MINIFS(nrES_Date,nrES_PID,$D712,nrES_Code,$F712,nrES_Att,2,nrES_Raw,"&gt;=0",nrES_Date,"&gt;0")&gt;$T712,"LATE RETEST "&amp;TEXT(_xlfn.MINIFS(nrES_Date,nrES_PID,$D712,nrES_Code,$F712,nrES_Att,2,nrES_Raw,"&gt;=0",nrES_Date,"&gt;0"),"mm/dd")&amp;" (due "&amp;TEXT($T712,"mm/dd")&amp;")","Retested"))),IF(NOT(ISNUMBER($T712)),"CHECK DATE",IF(TODAY()&gt;$T712,"OVERDUE","Due "&amp;TEXT($T712,"mm/dd")))))))</f>
        <v/>
      </c>
      <c r="V712" s="16" t="n"/>
      <c r="W712" s="16" t="n"/>
      <c r="X712" s="17">
        <f>IF($C712="","",IF(AND($L712&lt;&gt;"",NOT(ISNUMBER($L712))),"RAW SCORE NOT A NUMBER",IF(AND(ISNUMBER($L712),OR($L712&lt;0,$L712&gt;100)),"RAW SCORE OUT OF RANGE",IF(AND($Y712="Unexcused",OR($L712="",NOT(ISNUMBER($L712)),$L712&lt;&gt;0)),"UNEXCUSED ABSENCE MUST RECORD 0",IF(COUNTIF(nrES_RecID,$B712)&gt;1,"DUPLICATE RECORD",IF(N($K712)&gt;2,"ATTEMPT 3+ NOT ALLOWED - policy 300.5 permits one retest per exam; this row records nothing",IF(AND($K712=2,COUNTIFS(nrES_PID,$D712,nrES_Code,$F712,nrES_Att,1)=0),"ATTEMPT 2 WITHOUT ATTEMPT 1",IF(AND($K712=2,$L712=""),"RETEST ROW HAS NO SCORE",IF(AND($H712="Final",$L712&lt;&gt;"",IFERROR(INDEX(nrCKfinalExamElig,MATCH($D712,rngCadetPIDs,0)),"")="No"),"FINAL EXAM AFTER FAILED FINAL PT (500.1.H)",IF(AND($K712=2,ISNUMBER($L712),COUNTIFS(nrES_PID,$D712,nrES_Code,$F712,nrES_Att,1)&gt;0,SUMIFS(nrES_Raw,nrES_PID,$D712,nrES_Code,$F712,nrES_Att,1)&gt;=$J712),"RETEST AFTER A PASSING FIRST ATTEMPT","OK"))))))))))</f>
        <v/>
      </c>
      <c r="Y712" s="16" t="n"/>
    </row>
    <row r="713">
      <c r="B713" s="17">
        <f>IF($C713="","",$D713&amp;"-"&amp;$F713&amp;"-"&amp;$K713)</f>
        <v/>
      </c>
      <c r="C713" s="16" t="n"/>
      <c r="D713" s="17">
        <f>IF($C713="","",IFERROR(INDEX(rngCadetPIDs,MATCH($C713,rngCadetNames,0)),"?"))</f>
        <v/>
      </c>
      <c r="E713" s="17">
        <f>IF($D713="","",IFERROR(INDEX(nrCadetAgency,MATCH($D713,rngCadetPIDs,0)),""))</f>
        <v/>
      </c>
      <c r="F713" s="16" t="n"/>
      <c r="G713" s="17">
        <f>IF($F713="","",IFERROR(INDEX(rngEPname,MATCH($F713,rngEPcode,0)),"?"))</f>
        <v/>
      </c>
      <c r="H713" s="17">
        <f>IF($F713="","",IFERROR(INDEX(rngEPtype,MATCH($F713,rngEPcode,0)),"?"))</f>
        <v/>
      </c>
      <c r="I713" s="17">
        <f>IF($F713="","",IFERROR(INDEX(rngEPseq,MATCH($F713,rngEPcode,0)),""))</f>
        <v/>
      </c>
      <c r="J713" s="17">
        <f>IF($F713="","",IFERROR(INDEX(rngEPpass,MATCH($F713,rngEPcode,0)),cfgPassingScore))</f>
        <v/>
      </c>
      <c r="K713" s="16" t="n"/>
      <c r="L713" s="16" t="n"/>
      <c r="M713" s="17">
        <f>IF($C713="","",IF($L713="","",IF(NOT(ISNUMBER($L713)),$L713,IF(N($K713)&gt;2,"",IF($K713=1,IF(COUNTIFS(nrES_PID,$D713,nrES_Code,$F713,nrES_Att,2,nrES_Raw,"&gt;=0")&gt;0,"",$L713),IF($L713&gt;=$J713,MAX($J713,cfgRetakeRecordedCap),IF(COUNTIFS(nrES_PID,$D713,nrES_Code,$F713,nrES_Att,1)=0,$L713,SUMIFS(nrES_Raw,nrES_PID,$D713,nrES_Code,$F713,nrES_Att,1))))))))</f>
        <v/>
      </c>
      <c r="N713" s="17">
        <f>IF($C713="","",IF($L713="","",IF(NOT(ISNUMBER($L713)),"(not a score)",IF($L713&gt;=$J713,"Yes","No"))))</f>
        <v/>
      </c>
      <c r="O713" s="17">
        <f>IF($C713="","",IF($M713="","",IF(NOT(ISNUMBER($M713)),"(not a score)",IF($M713&gt;=$J713,"Yes","No"))))</f>
        <v/>
      </c>
      <c r="P713" s="17">
        <f>IF($C713="","",IF($K713="","",IF(N($K713)&gt;2,"No",IF(COUNTIFS(nrES_PID,$D713,nrES_Code,$F713,nrES_Att,"&gt;"&amp;$K713,nrES_Att,"&lt;=2",nrES_Raw,"&gt;=0")=0,"Yes","No"))))</f>
        <v/>
      </c>
      <c r="Q713" s="17">
        <f>IF($C713="","",IF($L713="","",IF(AND($K713=1,ISNUMBER($L713),$L713&lt;$J713,COUNTIFS(nrES_PID,$D713,nrES_Code,$F713,nrES_Att,2,nrES_Raw,"&gt;=0")=0),"Yes","No")))</f>
        <v/>
      </c>
      <c r="R713" s="17">
        <f>IF($C713="","",IF($L713="","",IF(AND(N($K713)&gt;=2,ISNUMBER($L713),$L713&lt;$J713),"Yes","No")))</f>
        <v/>
      </c>
      <c r="S713" s="18" t="n"/>
      <c r="T713" s="19">
        <f>IF(OR($C713="",$L713="",$K713&lt;&gt;1,NOT(ISNUMBER($L713)),$L713&gt;=$J713),"",IF($S713="","(enter date)",_xlfn.LET(_xlpm.dn,_xlfn.XLOOKUP($S713,nrCDdate,nrCDnum,"",1),IF(_xlpm.dn="","(after last class day)",_xlfn.LET(_xlpm.dd,_xlfn.XLOOKUP(_xlpm.dn+cfgRetestClassDays,nrCDnum,nrCDdate,""),_xlpm.ok,_xlfn.XLOOKUP(_xlpm.dn+cfgRetestClassDays,nrCDnum,nrCDinsession,"No"),IF(OR(_xlpm.dd="",_xlpm.ok&lt;&gt;"Yes"),"(after last class day)",_xlpm.dd))))))</f>
        <v/>
      </c>
      <c r="U713" s="17">
        <f>IF($C713="","",IF(AND($Y713="Excused",$L713="",N($K713)&lt;=1),"EXCUSED - 1st attempt pending",IF(OR($L713="",$K713&lt;&gt;1,NOT(ISNUMBER($L713)),$L713&gt;=$J713),"",IF(COUNTIFS(nrES_PID,$D713,nrES_Code,$F713,nrES_Att,2,nrES_Raw,"&gt;=0")&gt;0,IF(IFERROR(_xlfn.MINIFS(nrES_Date,nrES_PID,$D713,nrES_Code,$F713,nrES_Att,2,nrES_Raw,"&gt;=0",nrES_Date,"&gt;0"),0)=0,"RETEST UNDATED",IF(NOT(ISNUMBER($T713)),"RETEST DATE UNCHECKED",IF(_xlfn.MINIFS(nrES_Date,nrES_PID,$D713,nrES_Code,$F713,nrES_Att,2,nrES_Raw,"&gt;=0",nrES_Date,"&gt;0")&gt;$T713,"LATE RETEST "&amp;TEXT(_xlfn.MINIFS(nrES_Date,nrES_PID,$D713,nrES_Code,$F713,nrES_Att,2,nrES_Raw,"&gt;=0",nrES_Date,"&gt;0"),"mm/dd")&amp;" (due "&amp;TEXT($T713,"mm/dd")&amp;")","Retested"))),IF(NOT(ISNUMBER($T713)),"CHECK DATE",IF(TODAY()&gt;$T713,"OVERDUE","Due "&amp;TEXT($T713,"mm/dd")))))))</f>
        <v/>
      </c>
      <c r="V713" s="16" t="n"/>
      <c r="W713" s="16" t="n"/>
      <c r="X713" s="17">
        <f>IF($C713="","",IF(AND($L713&lt;&gt;"",NOT(ISNUMBER($L713))),"RAW SCORE NOT A NUMBER",IF(AND(ISNUMBER($L713),OR($L713&lt;0,$L713&gt;100)),"RAW SCORE OUT OF RANGE",IF(AND($Y713="Unexcused",OR($L713="",NOT(ISNUMBER($L713)),$L713&lt;&gt;0)),"UNEXCUSED ABSENCE MUST RECORD 0",IF(COUNTIF(nrES_RecID,$B713)&gt;1,"DUPLICATE RECORD",IF(N($K713)&gt;2,"ATTEMPT 3+ NOT ALLOWED - policy 300.5 permits one retest per exam; this row records nothing",IF(AND($K713=2,COUNTIFS(nrES_PID,$D713,nrES_Code,$F713,nrES_Att,1)=0),"ATTEMPT 2 WITHOUT ATTEMPT 1",IF(AND($K713=2,$L713=""),"RETEST ROW HAS NO SCORE",IF(AND($H713="Final",$L713&lt;&gt;"",IFERROR(INDEX(nrCKfinalExamElig,MATCH($D713,rngCadetPIDs,0)),"")="No"),"FINAL EXAM AFTER FAILED FINAL PT (500.1.H)",IF(AND($K713=2,ISNUMBER($L713),COUNTIFS(nrES_PID,$D713,nrES_Code,$F713,nrES_Att,1)&gt;0,SUMIFS(nrES_Raw,nrES_PID,$D713,nrES_Code,$F713,nrES_Att,1)&gt;=$J713),"RETEST AFTER A PASSING FIRST ATTEMPT","OK"))))))))))</f>
        <v/>
      </c>
      <c r="Y713" s="16" t="n"/>
    </row>
    <row r="714">
      <c r="B714" s="17">
        <f>IF($C714="","",$D714&amp;"-"&amp;$F714&amp;"-"&amp;$K714)</f>
        <v/>
      </c>
      <c r="C714" s="16" t="n"/>
      <c r="D714" s="17">
        <f>IF($C714="","",IFERROR(INDEX(rngCadetPIDs,MATCH($C714,rngCadetNames,0)),"?"))</f>
        <v/>
      </c>
      <c r="E714" s="17">
        <f>IF($D714="","",IFERROR(INDEX(nrCadetAgency,MATCH($D714,rngCadetPIDs,0)),""))</f>
        <v/>
      </c>
      <c r="F714" s="16" t="n"/>
      <c r="G714" s="17">
        <f>IF($F714="","",IFERROR(INDEX(rngEPname,MATCH($F714,rngEPcode,0)),"?"))</f>
        <v/>
      </c>
      <c r="H714" s="17">
        <f>IF($F714="","",IFERROR(INDEX(rngEPtype,MATCH($F714,rngEPcode,0)),"?"))</f>
        <v/>
      </c>
      <c r="I714" s="17">
        <f>IF($F714="","",IFERROR(INDEX(rngEPseq,MATCH($F714,rngEPcode,0)),""))</f>
        <v/>
      </c>
      <c r="J714" s="17">
        <f>IF($F714="","",IFERROR(INDEX(rngEPpass,MATCH($F714,rngEPcode,0)),cfgPassingScore))</f>
        <v/>
      </c>
      <c r="K714" s="16" t="n"/>
      <c r="L714" s="16" t="n"/>
      <c r="M714" s="17">
        <f>IF($C714="","",IF($L714="","",IF(NOT(ISNUMBER($L714)),$L714,IF(N($K714)&gt;2,"",IF($K714=1,IF(COUNTIFS(nrES_PID,$D714,nrES_Code,$F714,nrES_Att,2,nrES_Raw,"&gt;=0")&gt;0,"",$L714),IF($L714&gt;=$J714,MAX($J714,cfgRetakeRecordedCap),IF(COUNTIFS(nrES_PID,$D714,nrES_Code,$F714,nrES_Att,1)=0,$L714,SUMIFS(nrES_Raw,nrES_PID,$D714,nrES_Code,$F714,nrES_Att,1))))))))</f>
        <v/>
      </c>
      <c r="N714" s="17">
        <f>IF($C714="","",IF($L714="","",IF(NOT(ISNUMBER($L714)),"(not a score)",IF($L714&gt;=$J714,"Yes","No"))))</f>
        <v/>
      </c>
      <c r="O714" s="17">
        <f>IF($C714="","",IF($M714="","",IF(NOT(ISNUMBER($M714)),"(not a score)",IF($M714&gt;=$J714,"Yes","No"))))</f>
        <v/>
      </c>
      <c r="P714" s="17">
        <f>IF($C714="","",IF($K714="","",IF(N($K714)&gt;2,"No",IF(COUNTIFS(nrES_PID,$D714,nrES_Code,$F714,nrES_Att,"&gt;"&amp;$K714,nrES_Att,"&lt;=2",nrES_Raw,"&gt;=0")=0,"Yes","No"))))</f>
        <v/>
      </c>
      <c r="Q714" s="17">
        <f>IF($C714="","",IF($L714="","",IF(AND($K714=1,ISNUMBER($L714),$L714&lt;$J714,COUNTIFS(nrES_PID,$D714,nrES_Code,$F714,nrES_Att,2,nrES_Raw,"&gt;=0")=0),"Yes","No")))</f>
        <v/>
      </c>
      <c r="R714" s="17">
        <f>IF($C714="","",IF($L714="","",IF(AND(N($K714)&gt;=2,ISNUMBER($L714),$L714&lt;$J714),"Yes","No")))</f>
        <v/>
      </c>
      <c r="S714" s="18" t="n"/>
      <c r="T714" s="19">
        <f>IF(OR($C714="",$L714="",$K714&lt;&gt;1,NOT(ISNUMBER($L714)),$L714&gt;=$J714),"",IF($S714="","(enter date)",_xlfn.LET(_xlpm.dn,_xlfn.XLOOKUP($S714,nrCDdate,nrCDnum,"",1),IF(_xlpm.dn="","(after last class day)",_xlfn.LET(_xlpm.dd,_xlfn.XLOOKUP(_xlpm.dn+cfgRetestClassDays,nrCDnum,nrCDdate,""),_xlpm.ok,_xlfn.XLOOKUP(_xlpm.dn+cfgRetestClassDays,nrCDnum,nrCDinsession,"No"),IF(OR(_xlpm.dd="",_xlpm.ok&lt;&gt;"Yes"),"(after last class day)",_xlpm.dd))))))</f>
        <v/>
      </c>
      <c r="U714" s="17">
        <f>IF($C714="","",IF(AND($Y714="Excused",$L714="",N($K714)&lt;=1),"EXCUSED - 1st attempt pending",IF(OR($L714="",$K714&lt;&gt;1,NOT(ISNUMBER($L714)),$L714&gt;=$J714),"",IF(COUNTIFS(nrES_PID,$D714,nrES_Code,$F714,nrES_Att,2,nrES_Raw,"&gt;=0")&gt;0,IF(IFERROR(_xlfn.MINIFS(nrES_Date,nrES_PID,$D714,nrES_Code,$F714,nrES_Att,2,nrES_Raw,"&gt;=0",nrES_Date,"&gt;0"),0)=0,"RETEST UNDATED",IF(NOT(ISNUMBER($T714)),"RETEST DATE UNCHECKED",IF(_xlfn.MINIFS(nrES_Date,nrES_PID,$D714,nrES_Code,$F714,nrES_Att,2,nrES_Raw,"&gt;=0",nrES_Date,"&gt;0")&gt;$T714,"LATE RETEST "&amp;TEXT(_xlfn.MINIFS(nrES_Date,nrES_PID,$D714,nrES_Code,$F714,nrES_Att,2,nrES_Raw,"&gt;=0",nrES_Date,"&gt;0"),"mm/dd")&amp;" (due "&amp;TEXT($T714,"mm/dd")&amp;")","Retested"))),IF(NOT(ISNUMBER($T714)),"CHECK DATE",IF(TODAY()&gt;$T714,"OVERDUE","Due "&amp;TEXT($T714,"mm/dd")))))))</f>
        <v/>
      </c>
      <c r="V714" s="16" t="n"/>
      <c r="W714" s="16" t="n"/>
      <c r="X714" s="17">
        <f>IF($C714="","",IF(AND($L714&lt;&gt;"",NOT(ISNUMBER($L714))),"RAW SCORE NOT A NUMBER",IF(AND(ISNUMBER($L714),OR($L714&lt;0,$L714&gt;100)),"RAW SCORE OUT OF RANGE",IF(AND($Y714="Unexcused",OR($L714="",NOT(ISNUMBER($L714)),$L714&lt;&gt;0)),"UNEXCUSED ABSENCE MUST RECORD 0",IF(COUNTIF(nrES_RecID,$B714)&gt;1,"DUPLICATE RECORD",IF(N($K714)&gt;2,"ATTEMPT 3+ NOT ALLOWED - policy 300.5 permits one retest per exam; this row records nothing",IF(AND($K714=2,COUNTIFS(nrES_PID,$D714,nrES_Code,$F714,nrES_Att,1)=0),"ATTEMPT 2 WITHOUT ATTEMPT 1",IF(AND($K714=2,$L714=""),"RETEST ROW HAS NO SCORE",IF(AND($H714="Final",$L714&lt;&gt;"",IFERROR(INDEX(nrCKfinalExamElig,MATCH($D714,rngCadetPIDs,0)),"")="No"),"FINAL EXAM AFTER FAILED FINAL PT (500.1.H)",IF(AND($K714=2,ISNUMBER($L714),COUNTIFS(nrES_PID,$D714,nrES_Code,$F714,nrES_Att,1)&gt;0,SUMIFS(nrES_Raw,nrES_PID,$D714,nrES_Code,$F714,nrES_Att,1)&gt;=$J714),"RETEST AFTER A PASSING FIRST ATTEMPT","OK"))))))))))</f>
        <v/>
      </c>
      <c r="Y714" s="16" t="n"/>
    </row>
    <row r="715">
      <c r="B715" s="17">
        <f>IF($C715="","",$D715&amp;"-"&amp;$F715&amp;"-"&amp;$K715)</f>
        <v/>
      </c>
      <c r="C715" s="16" t="n"/>
      <c r="D715" s="17">
        <f>IF($C715="","",IFERROR(INDEX(rngCadetPIDs,MATCH($C715,rngCadetNames,0)),"?"))</f>
        <v/>
      </c>
      <c r="E715" s="17">
        <f>IF($D715="","",IFERROR(INDEX(nrCadetAgency,MATCH($D715,rngCadetPIDs,0)),""))</f>
        <v/>
      </c>
      <c r="F715" s="16" t="n"/>
      <c r="G715" s="17">
        <f>IF($F715="","",IFERROR(INDEX(rngEPname,MATCH($F715,rngEPcode,0)),"?"))</f>
        <v/>
      </c>
      <c r="H715" s="17">
        <f>IF($F715="","",IFERROR(INDEX(rngEPtype,MATCH($F715,rngEPcode,0)),"?"))</f>
        <v/>
      </c>
      <c r="I715" s="17">
        <f>IF($F715="","",IFERROR(INDEX(rngEPseq,MATCH($F715,rngEPcode,0)),""))</f>
        <v/>
      </c>
      <c r="J715" s="17">
        <f>IF($F715="","",IFERROR(INDEX(rngEPpass,MATCH($F715,rngEPcode,0)),cfgPassingScore))</f>
        <v/>
      </c>
      <c r="K715" s="16" t="n"/>
      <c r="L715" s="16" t="n"/>
      <c r="M715" s="17">
        <f>IF($C715="","",IF($L715="","",IF(NOT(ISNUMBER($L715)),$L715,IF(N($K715)&gt;2,"",IF($K715=1,IF(COUNTIFS(nrES_PID,$D715,nrES_Code,$F715,nrES_Att,2,nrES_Raw,"&gt;=0")&gt;0,"",$L715),IF($L715&gt;=$J715,MAX($J715,cfgRetakeRecordedCap),IF(COUNTIFS(nrES_PID,$D715,nrES_Code,$F715,nrES_Att,1)=0,$L715,SUMIFS(nrES_Raw,nrES_PID,$D715,nrES_Code,$F715,nrES_Att,1))))))))</f>
        <v/>
      </c>
      <c r="N715" s="17">
        <f>IF($C715="","",IF($L715="","",IF(NOT(ISNUMBER($L715)),"(not a score)",IF($L715&gt;=$J715,"Yes","No"))))</f>
        <v/>
      </c>
      <c r="O715" s="17">
        <f>IF($C715="","",IF($M715="","",IF(NOT(ISNUMBER($M715)),"(not a score)",IF($M715&gt;=$J715,"Yes","No"))))</f>
        <v/>
      </c>
      <c r="P715" s="17">
        <f>IF($C715="","",IF($K715="","",IF(N($K715)&gt;2,"No",IF(COUNTIFS(nrES_PID,$D715,nrES_Code,$F715,nrES_Att,"&gt;"&amp;$K715,nrES_Att,"&lt;=2",nrES_Raw,"&gt;=0")=0,"Yes","No"))))</f>
        <v/>
      </c>
      <c r="Q715" s="17">
        <f>IF($C715="","",IF($L715="","",IF(AND($K715=1,ISNUMBER($L715),$L715&lt;$J715,COUNTIFS(nrES_PID,$D715,nrES_Code,$F715,nrES_Att,2,nrES_Raw,"&gt;=0")=0),"Yes","No")))</f>
        <v/>
      </c>
      <c r="R715" s="17">
        <f>IF($C715="","",IF($L715="","",IF(AND(N($K715)&gt;=2,ISNUMBER($L715),$L715&lt;$J715),"Yes","No")))</f>
        <v/>
      </c>
      <c r="S715" s="18" t="n"/>
      <c r="T715" s="19">
        <f>IF(OR($C715="",$L715="",$K715&lt;&gt;1,NOT(ISNUMBER($L715)),$L715&gt;=$J715),"",IF($S715="","(enter date)",_xlfn.LET(_xlpm.dn,_xlfn.XLOOKUP($S715,nrCDdate,nrCDnum,"",1),IF(_xlpm.dn="","(after last class day)",_xlfn.LET(_xlpm.dd,_xlfn.XLOOKUP(_xlpm.dn+cfgRetestClassDays,nrCDnum,nrCDdate,""),_xlpm.ok,_xlfn.XLOOKUP(_xlpm.dn+cfgRetestClassDays,nrCDnum,nrCDinsession,"No"),IF(OR(_xlpm.dd="",_xlpm.ok&lt;&gt;"Yes"),"(after last class day)",_xlpm.dd))))))</f>
        <v/>
      </c>
      <c r="U715" s="17">
        <f>IF($C715="","",IF(AND($Y715="Excused",$L715="",N($K715)&lt;=1),"EXCUSED - 1st attempt pending",IF(OR($L715="",$K715&lt;&gt;1,NOT(ISNUMBER($L715)),$L715&gt;=$J715),"",IF(COUNTIFS(nrES_PID,$D715,nrES_Code,$F715,nrES_Att,2,nrES_Raw,"&gt;=0")&gt;0,IF(IFERROR(_xlfn.MINIFS(nrES_Date,nrES_PID,$D715,nrES_Code,$F715,nrES_Att,2,nrES_Raw,"&gt;=0",nrES_Date,"&gt;0"),0)=0,"RETEST UNDATED",IF(NOT(ISNUMBER($T715)),"RETEST DATE UNCHECKED",IF(_xlfn.MINIFS(nrES_Date,nrES_PID,$D715,nrES_Code,$F715,nrES_Att,2,nrES_Raw,"&gt;=0",nrES_Date,"&gt;0")&gt;$T715,"LATE RETEST "&amp;TEXT(_xlfn.MINIFS(nrES_Date,nrES_PID,$D715,nrES_Code,$F715,nrES_Att,2,nrES_Raw,"&gt;=0",nrES_Date,"&gt;0"),"mm/dd")&amp;" (due "&amp;TEXT($T715,"mm/dd")&amp;")","Retested"))),IF(NOT(ISNUMBER($T715)),"CHECK DATE",IF(TODAY()&gt;$T715,"OVERDUE","Due "&amp;TEXT($T715,"mm/dd")))))))</f>
        <v/>
      </c>
      <c r="V715" s="16" t="n"/>
      <c r="W715" s="16" t="n"/>
      <c r="X715" s="17">
        <f>IF($C715="","",IF(AND($L715&lt;&gt;"",NOT(ISNUMBER($L715))),"RAW SCORE NOT A NUMBER",IF(AND(ISNUMBER($L715),OR($L715&lt;0,$L715&gt;100)),"RAW SCORE OUT OF RANGE",IF(AND($Y715="Unexcused",OR($L715="",NOT(ISNUMBER($L715)),$L715&lt;&gt;0)),"UNEXCUSED ABSENCE MUST RECORD 0",IF(COUNTIF(nrES_RecID,$B715)&gt;1,"DUPLICATE RECORD",IF(N($K715)&gt;2,"ATTEMPT 3+ NOT ALLOWED - policy 300.5 permits one retest per exam; this row records nothing",IF(AND($K715=2,COUNTIFS(nrES_PID,$D715,nrES_Code,$F715,nrES_Att,1)=0),"ATTEMPT 2 WITHOUT ATTEMPT 1",IF(AND($K715=2,$L715=""),"RETEST ROW HAS NO SCORE",IF(AND($H715="Final",$L715&lt;&gt;"",IFERROR(INDEX(nrCKfinalExamElig,MATCH($D715,rngCadetPIDs,0)),"")="No"),"FINAL EXAM AFTER FAILED FINAL PT (500.1.H)",IF(AND($K715=2,ISNUMBER($L715),COUNTIFS(nrES_PID,$D715,nrES_Code,$F715,nrES_Att,1)&gt;0,SUMIFS(nrES_Raw,nrES_PID,$D715,nrES_Code,$F715,nrES_Att,1)&gt;=$J715),"RETEST AFTER A PASSING FIRST ATTEMPT","OK"))))))))))</f>
        <v/>
      </c>
      <c r="Y715" s="16" t="n"/>
    </row>
    <row r="716">
      <c r="B716" s="17">
        <f>IF($C716="","",$D716&amp;"-"&amp;$F716&amp;"-"&amp;$K716)</f>
        <v/>
      </c>
      <c r="C716" s="16" t="n"/>
      <c r="D716" s="17">
        <f>IF($C716="","",IFERROR(INDEX(rngCadetPIDs,MATCH($C716,rngCadetNames,0)),"?"))</f>
        <v/>
      </c>
      <c r="E716" s="17">
        <f>IF($D716="","",IFERROR(INDEX(nrCadetAgency,MATCH($D716,rngCadetPIDs,0)),""))</f>
        <v/>
      </c>
      <c r="F716" s="16" t="n"/>
      <c r="G716" s="17">
        <f>IF($F716="","",IFERROR(INDEX(rngEPname,MATCH($F716,rngEPcode,0)),"?"))</f>
        <v/>
      </c>
      <c r="H716" s="17">
        <f>IF($F716="","",IFERROR(INDEX(rngEPtype,MATCH($F716,rngEPcode,0)),"?"))</f>
        <v/>
      </c>
      <c r="I716" s="17">
        <f>IF($F716="","",IFERROR(INDEX(rngEPseq,MATCH($F716,rngEPcode,0)),""))</f>
        <v/>
      </c>
      <c r="J716" s="17">
        <f>IF($F716="","",IFERROR(INDEX(rngEPpass,MATCH($F716,rngEPcode,0)),cfgPassingScore))</f>
        <v/>
      </c>
      <c r="K716" s="16" t="n"/>
      <c r="L716" s="16" t="n"/>
      <c r="M716" s="17">
        <f>IF($C716="","",IF($L716="","",IF(NOT(ISNUMBER($L716)),$L716,IF(N($K716)&gt;2,"",IF($K716=1,IF(COUNTIFS(nrES_PID,$D716,nrES_Code,$F716,nrES_Att,2,nrES_Raw,"&gt;=0")&gt;0,"",$L716),IF($L716&gt;=$J716,MAX($J716,cfgRetakeRecordedCap),IF(COUNTIFS(nrES_PID,$D716,nrES_Code,$F716,nrES_Att,1)=0,$L716,SUMIFS(nrES_Raw,nrES_PID,$D716,nrES_Code,$F716,nrES_Att,1))))))))</f>
        <v/>
      </c>
      <c r="N716" s="17">
        <f>IF($C716="","",IF($L716="","",IF(NOT(ISNUMBER($L716)),"(not a score)",IF($L716&gt;=$J716,"Yes","No"))))</f>
        <v/>
      </c>
      <c r="O716" s="17">
        <f>IF($C716="","",IF($M716="","",IF(NOT(ISNUMBER($M716)),"(not a score)",IF($M716&gt;=$J716,"Yes","No"))))</f>
        <v/>
      </c>
      <c r="P716" s="17">
        <f>IF($C716="","",IF($K716="","",IF(N($K716)&gt;2,"No",IF(COUNTIFS(nrES_PID,$D716,nrES_Code,$F716,nrES_Att,"&gt;"&amp;$K716,nrES_Att,"&lt;=2",nrES_Raw,"&gt;=0")=0,"Yes","No"))))</f>
        <v/>
      </c>
      <c r="Q716" s="17">
        <f>IF($C716="","",IF($L716="","",IF(AND($K716=1,ISNUMBER($L716),$L716&lt;$J716,COUNTIFS(nrES_PID,$D716,nrES_Code,$F716,nrES_Att,2,nrES_Raw,"&gt;=0")=0),"Yes","No")))</f>
        <v/>
      </c>
      <c r="R716" s="17">
        <f>IF($C716="","",IF($L716="","",IF(AND(N($K716)&gt;=2,ISNUMBER($L716),$L716&lt;$J716),"Yes","No")))</f>
        <v/>
      </c>
      <c r="S716" s="18" t="n"/>
      <c r="T716" s="19">
        <f>IF(OR($C716="",$L716="",$K716&lt;&gt;1,NOT(ISNUMBER($L716)),$L716&gt;=$J716),"",IF($S716="","(enter date)",_xlfn.LET(_xlpm.dn,_xlfn.XLOOKUP($S716,nrCDdate,nrCDnum,"",1),IF(_xlpm.dn="","(after last class day)",_xlfn.LET(_xlpm.dd,_xlfn.XLOOKUP(_xlpm.dn+cfgRetestClassDays,nrCDnum,nrCDdate,""),_xlpm.ok,_xlfn.XLOOKUP(_xlpm.dn+cfgRetestClassDays,nrCDnum,nrCDinsession,"No"),IF(OR(_xlpm.dd="",_xlpm.ok&lt;&gt;"Yes"),"(after last class day)",_xlpm.dd))))))</f>
        <v/>
      </c>
      <c r="U716" s="17">
        <f>IF($C716="","",IF(AND($Y716="Excused",$L716="",N($K716)&lt;=1),"EXCUSED - 1st attempt pending",IF(OR($L716="",$K716&lt;&gt;1,NOT(ISNUMBER($L716)),$L716&gt;=$J716),"",IF(COUNTIFS(nrES_PID,$D716,nrES_Code,$F716,nrES_Att,2,nrES_Raw,"&gt;=0")&gt;0,IF(IFERROR(_xlfn.MINIFS(nrES_Date,nrES_PID,$D716,nrES_Code,$F716,nrES_Att,2,nrES_Raw,"&gt;=0",nrES_Date,"&gt;0"),0)=0,"RETEST UNDATED",IF(NOT(ISNUMBER($T716)),"RETEST DATE UNCHECKED",IF(_xlfn.MINIFS(nrES_Date,nrES_PID,$D716,nrES_Code,$F716,nrES_Att,2,nrES_Raw,"&gt;=0",nrES_Date,"&gt;0")&gt;$T716,"LATE RETEST "&amp;TEXT(_xlfn.MINIFS(nrES_Date,nrES_PID,$D716,nrES_Code,$F716,nrES_Att,2,nrES_Raw,"&gt;=0",nrES_Date,"&gt;0"),"mm/dd")&amp;" (due "&amp;TEXT($T716,"mm/dd")&amp;")","Retested"))),IF(NOT(ISNUMBER($T716)),"CHECK DATE",IF(TODAY()&gt;$T716,"OVERDUE","Due "&amp;TEXT($T716,"mm/dd")))))))</f>
        <v/>
      </c>
      <c r="V716" s="16" t="n"/>
      <c r="W716" s="16" t="n"/>
      <c r="X716" s="17">
        <f>IF($C716="","",IF(AND($L716&lt;&gt;"",NOT(ISNUMBER($L716))),"RAW SCORE NOT A NUMBER",IF(AND(ISNUMBER($L716),OR($L716&lt;0,$L716&gt;100)),"RAW SCORE OUT OF RANGE",IF(AND($Y716="Unexcused",OR($L716="",NOT(ISNUMBER($L716)),$L716&lt;&gt;0)),"UNEXCUSED ABSENCE MUST RECORD 0",IF(COUNTIF(nrES_RecID,$B716)&gt;1,"DUPLICATE RECORD",IF(N($K716)&gt;2,"ATTEMPT 3+ NOT ALLOWED - policy 300.5 permits one retest per exam; this row records nothing",IF(AND($K716=2,COUNTIFS(nrES_PID,$D716,nrES_Code,$F716,nrES_Att,1)=0),"ATTEMPT 2 WITHOUT ATTEMPT 1",IF(AND($K716=2,$L716=""),"RETEST ROW HAS NO SCORE",IF(AND($H716="Final",$L716&lt;&gt;"",IFERROR(INDEX(nrCKfinalExamElig,MATCH($D716,rngCadetPIDs,0)),"")="No"),"FINAL EXAM AFTER FAILED FINAL PT (500.1.H)",IF(AND($K716=2,ISNUMBER($L716),COUNTIFS(nrES_PID,$D716,nrES_Code,$F716,nrES_Att,1)&gt;0,SUMIFS(nrES_Raw,nrES_PID,$D716,nrES_Code,$F716,nrES_Att,1)&gt;=$J716),"RETEST AFTER A PASSING FIRST ATTEMPT","OK"))))))))))</f>
        <v/>
      </c>
      <c r="Y716" s="16" t="n"/>
    </row>
    <row r="717">
      <c r="B717" s="17">
        <f>IF($C717="","",$D717&amp;"-"&amp;$F717&amp;"-"&amp;$K717)</f>
        <v/>
      </c>
      <c r="C717" s="16" t="n"/>
      <c r="D717" s="17">
        <f>IF($C717="","",IFERROR(INDEX(rngCadetPIDs,MATCH($C717,rngCadetNames,0)),"?"))</f>
        <v/>
      </c>
      <c r="E717" s="17">
        <f>IF($D717="","",IFERROR(INDEX(nrCadetAgency,MATCH($D717,rngCadetPIDs,0)),""))</f>
        <v/>
      </c>
      <c r="F717" s="16" t="n"/>
      <c r="G717" s="17">
        <f>IF($F717="","",IFERROR(INDEX(rngEPname,MATCH($F717,rngEPcode,0)),"?"))</f>
        <v/>
      </c>
      <c r="H717" s="17">
        <f>IF($F717="","",IFERROR(INDEX(rngEPtype,MATCH($F717,rngEPcode,0)),"?"))</f>
        <v/>
      </c>
      <c r="I717" s="17">
        <f>IF($F717="","",IFERROR(INDEX(rngEPseq,MATCH($F717,rngEPcode,0)),""))</f>
        <v/>
      </c>
      <c r="J717" s="17">
        <f>IF($F717="","",IFERROR(INDEX(rngEPpass,MATCH($F717,rngEPcode,0)),cfgPassingScore))</f>
        <v/>
      </c>
      <c r="K717" s="16" t="n"/>
      <c r="L717" s="16" t="n"/>
      <c r="M717" s="17">
        <f>IF($C717="","",IF($L717="","",IF(NOT(ISNUMBER($L717)),$L717,IF(N($K717)&gt;2,"",IF($K717=1,IF(COUNTIFS(nrES_PID,$D717,nrES_Code,$F717,nrES_Att,2,nrES_Raw,"&gt;=0")&gt;0,"",$L717),IF($L717&gt;=$J717,MAX($J717,cfgRetakeRecordedCap),IF(COUNTIFS(nrES_PID,$D717,nrES_Code,$F717,nrES_Att,1)=0,$L717,SUMIFS(nrES_Raw,nrES_PID,$D717,nrES_Code,$F717,nrES_Att,1))))))))</f>
        <v/>
      </c>
      <c r="N717" s="17">
        <f>IF($C717="","",IF($L717="","",IF(NOT(ISNUMBER($L717)),"(not a score)",IF($L717&gt;=$J717,"Yes","No"))))</f>
        <v/>
      </c>
      <c r="O717" s="17">
        <f>IF($C717="","",IF($M717="","",IF(NOT(ISNUMBER($M717)),"(not a score)",IF($M717&gt;=$J717,"Yes","No"))))</f>
        <v/>
      </c>
      <c r="P717" s="17">
        <f>IF($C717="","",IF($K717="","",IF(N($K717)&gt;2,"No",IF(COUNTIFS(nrES_PID,$D717,nrES_Code,$F717,nrES_Att,"&gt;"&amp;$K717,nrES_Att,"&lt;=2",nrES_Raw,"&gt;=0")=0,"Yes","No"))))</f>
        <v/>
      </c>
      <c r="Q717" s="17">
        <f>IF($C717="","",IF($L717="","",IF(AND($K717=1,ISNUMBER($L717),$L717&lt;$J717,COUNTIFS(nrES_PID,$D717,nrES_Code,$F717,nrES_Att,2,nrES_Raw,"&gt;=0")=0),"Yes","No")))</f>
        <v/>
      </c>
      <c r="R717" s="17">
        <f>IF($C717="","",IF($L717="","",IF(AND(N($K717)&gt;=2,ISNUMBER($L717),$L717&lt;$J717),"Yes","No")))</f>
        <v/>
      </c>
      <c r="S717" s="18" t="n"/>
      <c r="T717" s="19">
        <f>IF(OR($C717="",$L717="",$K717&lt;&gt;1,NOT(ISNUMBER($L717)),$L717&gt;=$J717),"",IF($S717="","(enter date)",_xlfn.LET(_xlpm.dn,_xlfn.XLOOKUP($S717,nrCDdate,nrCDnum,"",1),IF(_xlpm.dn="","(after last class day)",_xlfn.LET(_xlpm.dd,_xlfn.XLOOKUP(_xlpm.dn+cfgRetestClassDays,nrCDnum,nrCDdate,""),_xlpm.ok,_xlfn.XLOOKUP(_xlpm.dn+cfgRetestClassDays,nrCDnum,nrCDinsession,"No"),IF(OR(_xlpm.dd="",_xlpm.ok&lt;&gt;"Yes"),"(after last class day)",_xlpm.dd))))))</f>
        <v/>
      </c>
      <c r="U717" s="17">
        <f>IF($C717="","",IF(AND($Y717="Excused",$L717="",N($K717)&lt;=1),"EXCUSED - 1st attempt pending",IF(OR($L717="",$K717&lt;&gt;1,NOT(ISNUMBER($L717)),$L717&gt;=$J717),"",IF(COUNTIFS(nrES_PID,$D717,nrES_Code,$F717,nrES_Att,2,nrES_Raw,"&gt;=0")&gt;0,IF(IFERROR(_xlfn.MINIFS(nrES_Date,nrES_PID,$D717,nrES_Code,$F717,nrES_Att,2,nrES_Raw,"&gt;=0",nrES_Date,"&gt;0"),0)=0,"RETEST UNDATED",IF(NOT(ISNUMBER($T717)),"RETEST DATE UNCHECKED",IF(_xlfn.MINIFS(nrES_Date,nrES_PID,$D717,nrES_Code,$F717,nrES_Att,2,nrES_Raw,"&gt;=0",nrES_Date,"&gt;0")&gt;$T717,"LATE RETEST "&amp;TEXT(_xlfn.MINIFS(nrES_Date,nrES_PID,$D717,nrES_Code,$F717,nrES_Att,2,nrES_Raw,"&gt;=0",nrES_Date,"&gt;0"),"mm/dd")&amp;" (due "&amp;TEXT($T717,"mm/dd")&amp;")","Retested"))),IF(NOT(ISNUMBER($T717)),"CHECK DATE",IF(TODAY()&gt;$T717,"OVERDUE","Due "&amp;TEXT($T717,"mm/dd")))))))</f>
        <v/>
      </c>
      <c r="V717" s="16" t="n"/>
      <c r="W717" s="16" t="n"/>
      <c r="X717" s="17">
        <f>IF($C717="","",IF(AND($L717&lt;&gt;"",NOT(ISNUMBER($L717))),"RAW SCORE NOT A NUMBER",IF(AND(ISNUMBER($L717),OR($L717&lt;0,$L717&gt;100)),"RAW SCORE OUT OF RANGE",IF(AND($Y717="Unexcused",OR($L717="",NOT(ISNUMBER($L717)),$L717&lt;&gt;0)),"UNEXCUSED ABSENCE MUST RECORD 0",IF(COUNTIF(nrES_RecID,$B717)&gt;1,"DUPLICATE RECORD",IF(N($K717)&gt;2,"ATTEMPT 3+ NOT ALLOWED - policy 300.5 permits one retest per exam; this row records nothing",IF(AND($K717=2,COUNTIFS(nrES_PID,$D717,nrES_Code,$F717,nrES_Att,1)=0),"ATTEMPT 2 WITHOUT ATTEMPT 1",IF(AND($K717=2,$L717=""),"RETEST ROW HAS NO SCORE",IF(AND($H717="Final",$L717&lt;&gt;"",IFERROR(INDEX(nrCKfinalExamElig,MATCH($D717,rngCadetPIDs,0)),"")="No"),"FINAL EXAM AFTER FAILED FINAL PT (500.1.H)",IF(AND($K717=2,ISNUMBER($L717),COUNTIFS(nrES_PID,$D717,nrES_Code,$F717,nrES_Att,1)&gt;0,SUMIFS(nrES_Raw,nrES_PID,$D717,nrES_Code,$F717,nrES_Att,1)&gt;=$J717),"RETEST AFTER A PASSING FIRST ATTEMPT","OK"))))))))))</f>
        <v/>
      </c>
      <c r="Y717" s="16" t="n"/>
    </row>
    <row r="718">
      <c r="B718" s="17">
        <f>IF($C718="","",$D718&amp;"-"&amp;$F718&amp;"-"&amp;$K718)</f>
        <v/>
      </c>
      <c r="C718" s="16" t="n"/>
      <c r="D718" s="17">
        <f>IF($C718="","",IFERROR(INDEX(rngCadetPIDs,MATCH($C718,rngCadetNames,0)),"?"))</f>
        <v/>
      </c>
      <c r="E718" s="17">
        <f>IF($D718="","",IFERROR(INDEX(nrCadetAgency,MATCH($D718,rngCadetPIDs,0)),""))</f>
        <v/>
      </c>
      <c r="F718" s="16" t="n"/>
      <c r="G718" s="17">
        <f>IF($F718="","",IFERROR(INDEX(rngEPname,MATCH($F718,rngEPcode,0)),"?"))</f>
        <v/>
      </c>
      <c r="H718" s="17">
        <f>IF($F718="","",IFERROR(INDEX(rngEPtype,MATCH($F718,rngEPcode,0)),"?"))</f>
        <v/>
      </c>
      <c r="I718" s="17">
        <f>IF($F718="","",IFERROR(INDEX(rngEPseq,MATCH($F718,rngEPcode,0)),""))</f>
        <v/>
      </c>
      <c r="J718" s="17">
        <f>IF($F718="","",IFERROR(INDEX(rngEPpass,MATCH($F718,rngEPcode,0)),cfgPassingScore))</f>
        <v/>
      </c>
      <c r="K718" s="16" t="n"/>
      <c r="L718" s="16" t="n"/>
      <c r="M718" s="17">
        <f>IF($C718="","",IF($L718="","",IF(NOT(ISNUMBER($L718)),$L718,IF(N($K718)&gt;2,"",IF($K718=1,IF(COUNTIFS(nrES_PID,$D718,nrES_Code,$F718,nrES_Att,2,nrES_Raw,"&gt;=0")&gt;0,"",$L718),IF($L718&gt;=$J718,MAX($J718,cfgRetakeRecordedCap),IF(COUNTIFS(nrES_PID,$D718,nrES_Code,$F718,nrES_Att,1)=0,$L718,SUMIFS(nrES_Raw,nrES_PID,$D718,nrES_Code,$F718,nrES_Att,1))))))))</f>
        <v/>
      </c>
      <c r="N718" s="17">
        <f>IF($C718="","",IF($L718="","",IF(NOT(ISNUMBER($L718)),"(not a score)",IF($L718&gt;=$J718,"Yes","No"))))</f>
        <v/>
      </c>
      <c r="O718" s="17">
        <f>IF($C718="","",IF($M718="","",IF(NOT(ISNUMBER($M718)),"(not a score)",IF($M718&gt;=$J718,"Yes","No"))))</f>
        <v/>
      </c>
      <c r="P718" s="17">
        <f>IF($C718="","",IF($K718="","",IF(N($K718)&gt;2,"No",IF(COUNTIFS(nrES_PID,$D718,nrES_Code,$F718,nrES_Att,"&gt;"&amp;$K718,nrES_Att,"&lt;=2",nrES_Raw,"&gt;=0")=0,"Yes","No"))))</f>
        <v/>
      </c>
      <c r="Q718" s="17">
        <f>IF($C718="","",IF($L718="","",IF(AND($K718=1,ISNUMBER($L718),$L718&lt;$J718,COUNTIFS(nrES_PID,$D718,nrES_Code,$F718,nrES_Att,2,nrES_Raw,"&gt;=0")=0),"Yes","No")))</f>
        <v/>
      </c>
      <c r="R718" s="17">
        <f>IF($C718="","",IF($L718="","",IF(AND(N($K718)&gt;=2,ISNUMBER($L718),$L718&lt;$J718),"Yes","No")))</f>
        <v/>
      </c>
      <c r="S718" s="18" t="n"/>
      <c r="T718" s="19">
        <f>IF(OR($C718="",$L718="",$K718&lt;&gt;1,NOT(ISNUMBER($L718)),$L718&gt;=$J718),"",IF($S718="","(enter date)",_xlfn.LET(_xlpm.dn,_xlfn.XLOOKUP($S718,nrCDdate,nrCDnum,"",1),IF(_xlpm.dn="","(after last class day)",_xlfn.LET(_xlpm.dd,_xlfn.XLOOKUP(_xlpm.dn+cfgRetestClassDays,nrCDnum,nrCDdate,""),_xlpm.ok,_xlfn.XLOOKUP(_xlpm.dn+cfgRetestClassDays,nrCDnum,nrCDinsession,"No"),IF(OR(_xlpm.dd="",_xlpm.ok&lt;&gt;"Yes"),"(after last class day)",_xlpm.dd))))))</f>
        <v/>
      </c>
      <c r="U718" s="17">
        <f>IF($C718="","",IF(AND($Y718="Excused",$L718="",N($K718)&lt;=1),"EXCUSED - 1st attempt pending",IF(OR($L718="",$K718&lt;&gt;1,NOT(ISNUMBER($L718)),$L718&gt;=$J718),"",IF(COUNTIFS(nrES_PID,$D718,nrES_Code,$F718,nrES_Att,2,nrES_Raw,"&gt;=0")&gt;0,IF(IFERROR(_xlfn.MINIFS(nrES_Date,nrES_PID,$D718,nrES_Code,$F718,nrES_Att,2,nrES_Raw,"&gt;=0",nrES_Date,"&gt;0"),0)=0,"RETEST UNDATED",IF(NOT(ISNUMBER($T718)),"RETEST DATE UNCHECKED",IF(_xlfn.MINIFS(nrES_Date,nrES_PID,$D718,nrES_Code,$F718,nrES_Att,2,nrES_Raw,"&gt;=0",nrES_Date,"&gt;0")&gt;$T718,"LATE RETEST "&amp;TEXT(_xlfn.MINIFS(nrES_Date,nrES_PID,$D718,nrES_Code,$F718,nrES_Att,2,nrES_Raw,"&gt;=0",nrES_Date,"&gt;0"),"mm/dd")&amp;" (due "&amp;TEXT($T718,"mm/dd")&amp;")","Retested"))),IF(NOT(ISNUMBER($T718)),"CHECK DATE",IF(TODAY()&gt;$T718,"OVERDUE","Due "&amp;TEXT($T718,"mm/dd")))))))</f>
        <v/>
      </c>
      <c r="V718" s="16" t="n"/>
      <c r="W718" s="16" t="n"/>
      <c r="X718" s="17">
        <f>IF($C718="","",IF(AND($L718&lt;&gt;"",NOT(ISNUMBER($L718))),"RAW SCORE NOT A NUMBER",IF(AND(ISNUMBER($L718),OR($L718&lt;0,$L718&gt;100)),"RAW SCORE OUT OF RANGE",IF(AND($Y718="Unexcused",OR($L718="",NOT(ISNUMBER($L718)),$L718&lt;&gt;0)),"UNEXCUSED ABSENCE MUST RECORD 0",IF(COUNTIF(nrES_RecID,$B718)&gt;1,"DUPLICATE RECORD",IF(N($K718)&gt;2,"ATTEMPT 3+ NOT ALLOWED - policy 300.5 permits one retest per exam; this row records nothing",IF(AND($K718=2,COUNTIFS(nrES_PID,$D718,nrES_Code,$F718,nrES_Att,1)=0),"ATTEMPT 2 WITHOUT ATTEMPT 1",IF(AND($K718=2,$L718=""),"RETEST ROW HAS NO SCORE",IF(AND($H718="Final",$L718&lt;&gt;"",IFERROR(INDEX(nrCKfinalExamElig,MATCH($D718,rngCadetPIDs,0)),"")="No"),"FINAL EXAM AFTER FAILED FINAL PT (500.1.H)",IF(AND($K718=2,ISNUMBER($L718),COUNTIFS(nrES_PID,$D718,nrES_Code,$F718,nrES_Att,1)&gt;0,SUMIFS(nrES_Raw,nrES_PID,$D718,nrES_Code,$F718,nrES_Att,1)&gt;=$J718),"RETEST AFTER A PASSING FIRST ATTEMPT","OK"))))))))))</f>
        <v/>
      </c>
      <c r="Y718" s="16" t="n"/>
    </row>
    <row r="719">
      <c r="B719" s="17">
        <f>IF($C719="","",$D719&amp;"-"&amp;$F719&amp;"-"&amp;$K719)</f>
        <v/>
      </c>
      <c r="C719" s="16" t="n"/>
      <c r="D719" s="17">
        <f>IF($C719="","",IFERROR(INDEX(rngCadetPIDs,MATCH($C719,rngCadetNames,0)),"?"))</f>
        <v/>
      </c>
      <c r="E719" s="17">
        <f>IF($D719="","",IFERROR(INDEX(nrCadetAgency,MATCH($D719,rngCadetPIDs,0)),""))</f>
        <v/>
      </c>
      <c r="F719" s="16" t="n"/>
      <c r="G719" s="17">
        <f>IF($F719="","",IFERROR(INDEX(rngEPname,MATCH($F719,rngEPcode,0)),"?"))</f>
        <v/>
      </c>
      <c r="H719" s="17">
        <f>IF($F719="","",IFERROR(INDEX(rngEPtype,MATCH($F719,rngEPcode,0)),"?"))</f>
        <v/>
      </c>
      <c r="I719" s="17">
        <f>IF($F719="","",IFERROR(INDEX(rngEPseq,MATCH($F719,rngEPcode,0)),""))</f>
        <v/>
      </c>
      <c r="J719" s="17">
        <f>IF($F719="","",IFERROR(INDEX(rngEPpass,MATCH($F719,rngEPcode,0)),cfgPassingScore))</f>
        <v/>
      </c>
      <c r="K719" s="16" t="n"/>
      <c r="L719" s="16" t="n"/>
      <c r="M719" s="17">
        <f>IF($C719="","",IF($L719="","",IF(NOT(ISNUMBER($L719)),$L719,IF(N($K719)&gt;2,"",IF($K719=1,IF(COUNTIFS(nrES_PID,$D719,nrES_Code,$F719,nrES_Att,2,nrES_Raw,"&gt;=0")&gt;0,"",$L719),IF($L719&gt;=$J719,MAX($J719,cfgRetakeRecordedCap),IF(COUNTIFS(nrES_PID,$D719,nrES_Code,$F719,nrES_Att,1)=0,$L719,SUMIFS(nrES_Raw,nrES_PID,$D719,nrES_Code,$F719,nrES_Att,1))))))))</f>
        <v/>
      </c>
      <c r="N719" s="17">
        <f>IF($C719="","",IF($L719="","",IF(NOT(ISNUMBER($L719)),"(not a score)",IF($L719&gt;=$J719,"Yes","No"))))</f>
        <v/>
      </c>
      <c r="O719" s="17">
        <f>IF($C719="","",IF($M719="","",IF(NOT(ISNUMBER($M719)),"(not a score)",IF($M719&gt;=$J719,"Yes","No"))))</f>
        <v/>
      </c>
      <c r="P719" s="17">
        <f>IF($C719="","",IF($K719="","",IF(N($K719)&gt;2,"No",IF(COUNTIFS(nrES_PID,$D719,nrES_Code,$F719,nrES_Att,"&gt;"&amp;$K719,nrES_Att,"&lt;=2",nrES_Raw,"&gt;=0")=0,"Yes","No"))))</f>
        <v/>
      </c>
      <c r="Q719" s="17">
        <f>IF($C719="","",IF($L719="","",IF(AND($K719=1,ISNUMBER($L719),$L719&lt;$J719,COUNTIFS(nrES_PID,$D719,nrES_Code,$F719,nrES_Att,2,nrES_Raw,"&gt;=0")=0),"Yes","No")))</f>
        <v/>
      </c>
      <c r="R719" s="17">
        <f>IF($C719="","",IF($L719="","",IF(AND(N($K719)&gt;=2,ISNUMBER($L719),$L719&lt;$J719),"Yes","No")))</f>
        <v/>
      </c>
      <c r="S719" s="18" t="n"/>
      <c r="T719" s="19">
        <f>IF(OR($C719="",$L719="",$K719&lt;&gt;1,NOT(ISNUMBER($L719)),$L719&gt;=$J719),"",IF($S719="","(enter date)",_xlfn.LET(_xlpm.dn,_xlfn.XLOOKUP($S719,nrCDdate,nrCDnum,"",1),IF(_xlpm.dn="","(after last class day)",_xlfn.LET(_xlpm.dd,_xlfn.XLOOKUP(_xlpm.dn+cfgRetestClassDays,nrCDnum,nrCDdate,""),_xlpm.ok,_xlfn.XLOOKUP(_xlpm.dn+cfgRetestClassDays,nrCDnum,nrCDinsession,"No"),IF(OR(_xlpm.dd="",_xlpm.ok&lt;&gt;"Yes"),"(after last class day)",_xlpm.dd))))))</f>
        <v/>
      </c>
      <c r="U719" s="17">
        <f>IF($C719="","",IF(AND($Y719="Excused",$L719="",N($K719)&lt;=1),"EXCUSED - 1st attempt pending",IF(OR($L719="",$K719&lt;&gt;1,NOT(ISNUMBER($L719)),$L719&gt;=$J719),"",IF(COUNTIFS(nrES_PID,$D719,nrES_Code,$F719,nrES_Att,2,nrES_Raw,"&gt;=0")&gt;0,IF(IFERROR(_xlfn.MINIFS(nrES_Date,nrES_PID,$D719,nrES_Code,$F719,nrES_Att,2,nrES_Raw,"&gt;=0",nrES_Date,"&gt;0"),0)=0,"RETEST UNDATED",IF(NOT(ISNUMBER($T719)),"RETEST DATE UNCHECKED",IF(_xlfn.MINIFS(nrES_Date,nrES_PID,$D719,nrES_Code,$F719,nrES_Att,2,nrES_Raw,"&gt;=0",nrES_Date,"&gt;0")&gt;$T719,"LATE RETEST "&amp;TEXT(_xlfn.MINIFS(nrES_Date,nrES_PID,$D719,nrES_Code,$F719,nrES_Att,2,nrES_Raw,"&gt;=0",nrES_Date,"&gt;0"),"mm/dd")&amp;" (due "&amp;TEXT($T719,"mm/dd")&amp;")","Retested"))),IF(NOT(ISNUMBER($T719)),"CHECK DATE",IF(TODAY()&gt;$T719,"OVERDUE","Due "&amp;TEXT($T719,"mm/dd")))))))</f>
        <v/>
      </c>
      <c r="V719" s="16" t="n"/>
      <c r="W719" s="16" t="n"/>
      <c r="X719" s="17">
        <f>IF($C719="","",IF(AND($L719&lt;&gt;"",NOT(ISNUMBER($L719))),"RAW SCORE NOT A NUMBER",IF(AND(ISNUMBER($L719),OR($L719&lt;0,$L719&gt;100)),"RAW SCORE OUT OF RANGE",IF(AND($Y719="Unexcused",OR($L719="",NOT(ISNUMBER($L719)),$L719&lt;&gt;0)),"UNEXCUSED ABSENCE MUST RECORD 0",IF(COUNTIF(nrES_RecID,$B719)&gt;1,"DUPLICATE RECORD",IF(N($K719)&gt;2,"ATTEMPT 3+ NOT ALLOWED - policy 300.5 permits one retest per exam; this row records nothing",IF(AND($K719=2,COUNTIFS(nrES_PID,$D719,nrES_Code,$F719,nrES_Att,1)=0),"ATTEMPT 2 WITHOUT ATTEMPT 1",IF(AND($K719=2,$L719=""),"RETEST ROW HAS NO SCORE",IF(AND($H719="Final",$L719&lt;&gt;"",IFERROR(INDEX(nrCKfinalExamElig,MATCH($D719,rngCadetPIDs,0)),"")="No"),"FINAL EXAM AFTER FAILED FINAL PT (500.1.H)",IF(AND($K719=2,ISNUMBER($L719),COUNTIFS(nrES_PID,$D719,nrES_Code,$F719,nrES_Att,1)&gt;0,SUMIFS(nrES_Raw,nrES_PID,$D719,nrES_Code,$F719,nrES_Att,1)&gt;=$J719),"RETEST AFTER A PASSING FIRST ATTEMPT","OK"))))))))))</f>
        <v/>
      </c>
      <c r="Y719" s="16" t="n"/>
    </row>
    <row r="720">
      <c r="B720" s="17">
        <f>IF($C720="","",$D720&amp;"-"&amp;$F720&amp;"-"&amp;$K720)</f>
        <v/>
      </c>
      <c r="C720" s="16" t="n"/>
      <c r="D720" s="17">
        <f>IF($C720="","",IFERROR(INDEX(rngCadetPIDs,MATCH($C720,rngCadetNames,0)),"?"))</f>
        <v/>
      </c>
      <c r="E720" s="17">
        <f>IF($D720="","",IFERROR(INDEX(nrCadetAgency,MATCH($D720,rngCadetPIDs,0)),""))</f>
        <v/>
      </c>
      <c r="F720" s="16" t="n"/>
      <c r="G720" s="17">
        <f>IF($F720="","",IFERROR(INDEX(rngEPname,MATCH($F720,rngEPcode,0)),"?"))</f>
        <v/>
      </c>
      <c r="H720" s="17">
        <f>IF($F720="","",IFERROR(INDEX(rngEPtype,MATCH($F720,rngEPcode,0)),"?"))</f>
        <v/>
      </c>
      <c r="I720" s="17">
        <f>IF($F720="","",IFERROR(INDEX(rngEPseq,MATCH($F720,rngEPcode,0)),""))</f>
        <v/>
      </c>
      <c r="J720" s="17">
        <f>IF($F720="","",IFERROR(INDEX(rngEPpass,MATCH($F720,rngEPcode,0)),cfgPassingScore))</f>
        <v/>
      </c>
      <c r="K720" s="16" t="n"/>
      <c r="L720" s="16" t="n"/>
      <c r="M720" s="17">
        <f>IF($C720="","",IF($L720="","",IF(NOT(ISNUMBER($L720)),$L720,IF(N($K720)&gt;2,"",IF($K720=1,IF(COUNTIFS(nrES_PID,$D720,nrES_Code,$F720,nrES_Att,2,nrES_Raw,"&gt;=0")&gt;0,"",$L720),IF($L720&gt;=$J720,MAX($J720,cfgRetakeRecordedCap),IF(COUNTIFS(nrES_PID,$D720,nrES_Code,$F720,nrES_Att,1)=0,$L720,SUMIFS(nrES_Raw,nrES_PID,$D720,nrES_Code,$F720,nrES_Att,1))))))))</f>
        <v/>
      </c>
      <c r="N720" s="17">
        <f>IF($C720="","",IF($L720="","",IF(NOT(ISNUMBER($L720)),"(not a score)",IF($L720&gt;=$J720,"Yes","No"))))</f>
        <v/>
      </c>
      <c r="O720" s="17">
        <f>IF($C720="","",IF($M720="","",IF(NOT(ISNUMBER($M720)),"(not a score)",IF($M720&gt;=$J720,"Yes","No"))))</f>
        <v/>
      </c>
      <c r="P720" s="17">
        <f>IF($C720="","",IF($K720="","",IF(N($K720)&gt;2,"No",IF(COUNTIFS(nrES_PID,$D720,nrES_Code,$F720,nrES_Att,"&gt;"&amp;$K720,nrES_Att,"&lt;=2",nrES_Raw,"&gt;=0")=0,"Yes","No"))))</f>
        <v/>
      </c>
      <c r="Q720" s="17">
        <f>IF($C720="","",IF($L720="","",IF(AND($K720=1,ISNUMBER($L720),$L720&lt;$J720,COUNTIFS(nrES_PID,$D720,nrES_Code,$F720,nrES_Att,2,nrES_Raw,"&gt;=0")=0),"Yes","No")))</f>
        <v/>
      </c>
      <c r="R720" s="17">
        <f>IF($C720="","",IF($L720="","",IF(AND(N($K720)&gt;=2,ISNUMBER($L720),$L720&lt;$J720),"Yes","No")))</f>
        <v/>
      </c>
      <c r="S720" s="18" t="n"/>
      <c r="T720" s="19">
        <f>IF(OR($C720="",$L720="",$K720&lt;&gt;1,NOT(ISNUMBER($L720)),$L720&gt;=$J720),"",IF($S720="","(enter date)",_xlfn.LET(_xlpm.dn,_xlfn.XLOOKUP($S720,nrCDdate,nrCDnum,"",1),IF(_xlpm.dn="","(after last class day)",_xlfn.LET(_xlpm.dd,_xlfn.XLOOKUP(_xlpm.dn+cfgRetestClassDays,nrCDnum,nrCDdate,""),_xlpm.ok,_xlfn.XLOOKUP(_xlpm.dn+cfgRetestClassDays,nrCDnum,nrCDinsession,"No"),IF(OR(_xlpm.dd="",_xlpm.ok&lt;&gt;"Yes"),"(after last class day)",_xlpm.dd))))))</f>
        <v/>
      </c>
      <c r="U720" s="17">
        <f>IF($C720="","",IF(AND($Y720="Excused",$L720="",N($K720)&lt;=1),"EXCUSED - 1st attempt pending",IF(OR($L720="",$K720&lt;&gt;1,NOT(ISNUMBER($L720)),$L720&gt;=$J720),"",IF(COUNTIFS(nrES_PID,$D720,nrES_Code,$F720,nrES_Att,2,nrES_Raw,"&gt;=0")&gt;0,IF(IFERROR(_xlfn.MINIFS(nrES_Date,nrES_PID,$D720,nrES_Code,$F720,nrES_Att,2,nrES_Raw,"&gt;=0",nrES_Date,"&gt;0"),0)=0,"RETEST UNDATED",IF(NOT(ISNUMBER($T720)),"RETEST DATE UNCHECKED",IF(_xlfn.MINIFS(nrES_Date,nrES_PID,$D720,nrES_Code,$F720,nrES_Att,2,nrES_Raw,"&gt;=0",nrES_Date,"&gt;0")&gt;$T720,"LATE RETEST "&amp;TEXT(_xlfn.MINIFS(nrES_Date,nrES_PID,$D720,nrES_Code,$F720,nrES_Att,2,nrES_Raw,"&gt;=0",nrES_Date,"&gt;0"),"mm/dd")&amp;" (due "&amp;TEXT($T720,"mm/dd")&amp;")","Retested"))),IF(NOT(ISNUMBER($T720)),"CHECK DATE",IF(TODAY()&gt;$T720,"OVERDUE","Due "&amp;TEXT($T720,"mm/dd")))))))</f>
        <v/>
      </c>
      <c r="V720" s="16" t="n"/>
      <c r="W720" s="16" t="n"/>
      <c r="X720" s="17">
        <f>IF($C720="","",IF(AND($L720&lt;&gt;"",NOT(ISNUMBER($L720))),"RAW SCORE NOT A NUMBER",IF(AND(ISNUMBER($L720),OR($L720&lt;0,$L720&gt;100)),"RAW SCORE OUT OF RANGE",IF(AND($Y720="Unexcused",OR($L720="",NOT(ISNUMBER($L720)),$L720&lt;&gt;0)),"UNEXCUSED ABSENCE MUST RECORD 0",IF(COUNTIF(nrES_RecID,$B720)&gt;1,"DUPLICATE RECORD",IF(N($K720)&gt;2,"ATTEMPT 3+ NOT ALLOWED - policy 300.5 permits one retest per exam; this row records nothing",IF(AND($K720=2,COUNTIFS(nrES_PID,$D720,nrES_Code,$F720,nrES_Att,1)=0),"ATTEMPT 2 WITHOUT ATTEMPT 1",IF(AND($K720=2,$L720=""),"RETEST ROW HAS NO SCORE",IF(AND($H720="Final",$L720&lt;&gt;"",IFERROR(INDEX(nrCKfinalExamElig,MATCH($D720,rngCadetPIDs,0)),"")="No"),"FINAL EXAM AFTER FAILED FINAL PT (500.1.H)",IF(AND($K720=2,ISNUMBER($L720),COUNTIFS(nrES_PID,$D720,nrES_Code,$F720,nrES_Att,1)&gt;0,SUMIFS(nrES_Raw,nrES_PID,$D720,nrES_Code,$F720,nrES_Att,1)&gt;=$J720),"RETEST AFTER A PASSING FIRST ATTEMPT","OK"))))))))))</f>
        <v/>
      </c>
      <c r="Y720" s="16" t="n"/>
    </row>
    <row r="721">
      <c r="B721" s="17">
        <f>IF($C721="","",$D721&amp;"-"&amp;$F721&amp;"-"&amp;$K721)</f>
        <v/>
      </c>
      <c r="C721" s="16" t="n"/>
      <c r="D721" s="17">
        <f>IF($C721="","",IFERROR(INDEX(rngCadetPIDs,MATCH($C721,rngCadetNames,0)),"?"))</f>
        <v/>
      </c>
      <c r="E721" s="17">
        <f>IF($D721="","",IFERROR(INDEX(nrCadetAgency,MATCH($D721,rngCadetPIDs,0)),""))</f>
        <v/>
      </c>
      <c r="F721" s="16" t="n"/>
      <c r="G721" s="17">
        <f>IF($F721="","",IFERROR(INDEX(rngEPname,MATCH($F721,rngEPcode,0)),"?"))</f>
        <v/>
      </c>
      <c r="H721" s="17">
        <f>IF($F721="","",IFERROR(INDEX(rngEPtype,MATCH($F721,rngEPcode,0)),"?"))</f>
        <v/>
      </c>
      <c r="I721" s="17">
        <f>IF($F721="","",IFERROR(INDEX(rngEPseq,MATCH($F721,rngEPcode,0)),""))</f>
        <v/>
      </c>
      <c r="J721" s="17">
        <f>IF($F721="","",IFERROR(INDEX(rngEPpass,MATCH($F721,rngEPcode,0)),cfgPassingScore))</f>
        <v/>
      </c>
      <c r="K721" s="16" t="n"/>
      <c r="L721" s="16" t="n"/>
      <c r="M721" s="17">
        <f>IF($C721="","",IF($L721="","",IF(NOT(ISNUMBER($L721)),$L721,IF(N($K721)&gt;2,"",IF($K721=1,IF(COUNTIFS(nrES_PID,$D721,nrES_Code,$F721,nrES_Att,2,nrES_Raw,"&gt;=0")&gt;0,"",$L721),IF($L721&gt;=$J721,MAX($J721,cfgRetakeRecordedCap),IF(COUNTIFS(nrES_PID,$D721,nrES_Code,$F721,nrES_Att,1)=0,$L721,SUMIFS(nrES_Raw,nrES_PID,$D721,nrES_Code,$F721,nrES_Att,1))))))))</f>
        <v/>
      </c>
      <c r="N721" s="17">
        <f>IF($C721="","",IF($L721="","",IF(NOT(ISNUMBER($L721)),"(not a score)",IF($L721&gt;=$J721,"Yes","No"))))</f>
        <v/>
      </c>
      <c r="O721" s="17">
        <f>IF($C721="","",IF($M721="","",IF(NOT(ISNUMBER($M721)),"(not a score)",IF($M721&gt;=$J721,"Yes","No"))))</f>
        <v/>
      </c>
      <c r="P721" s="17">
        <f>IF($C721="","",IF($K721="","",IF(N($K721)&gt;2,"No",IF(COUNTIFS(nrES_PID,$D721,nrES_Code,$F721,nrES_Att,"&gt;"&amp;$K721,nrES_Att,"&lt;=2",nrES_Raw,"&gt;=0")=0,"Yes","No"))))</f>
        <v/>
      </c>
      <c r="Q721" s="17">
        <f>IF($C721="","",IF($L721="","",IF(AND($K721=1,ISNUMBER($L721),$L721&lt;$J721,COUNTIFS(nrES_PID,$D721,nrES_Code,$F721,nrES_Att,2,nrES_Raw,"&gt;=0")=0),"Yes","No")))</f>
        <v/>
      </c>
      <c r="R721" s="17">
        <f>IF($C721="","",IF($L721="","",IF(AND(N($K721)&gt;=2,ISNUMBER($L721),$L721&lt;$J721),"Yes","No")))</f>
        <v/>
      </c>
      <c r="S721" s="18" t="n"/>
      <c r="T721" s="19">
        <f>IF(OR($C721="",$L721="",$K721&lt;&gt;1,NOT(ISNUMBER($L721)),$L721&gt;=$J721),"",IF($S721="","(enter date)",_xlfn.LET(_xlpm.dn,_xlfn.XLOOKUP($S721,nrCDdate,nrCDnum,"",1),IF(_xlpm.dn="","(after last class day)",_xlfn.LET(_xlpm.dd,_xlfn.XLOOKUP(_xlpm.dn+cfgRetestClassDays,nrCDnum,nrCDdate,""),_xlpm.ok,_xlfn.XLOOKUP(_xlpm.dn+cfgRetestClassDays,nrCDnum,nrCDinsession,"No"),IF(OR(_xlpm.dd="",_xlpm.ok&lt;&gt;"Yes"),"(after last class day)",_xlpm.dd))))))</f>
        <v/>
      </c>
      <c r="U721" s="17">
        <f>IF($C721="","",IF(AND($Y721="Excused",$L721="",N($K721)&lt;=1),"EXCUSED - 1st attempt pending",IF(OR($L721="",$K721&lt;&gt;1,NOT(ISNUMBER($L721)),$L721&gt;=$J721),"",IF(COUNTIFS(nrES_PID,$D721,nrES_Code,$F721,nrES_Att,2,nrES_Raw,"&gt;=0")&gt;0,IF(IFERROR(_xlfn.MINIFS(nrES_Date,nrES_PID,$D721,nrES_Code,$F721,nrES_Att,2,nrES_Raw,"&gt;=0",nrES_Date,"&gt;0"),0)=0,"RETEST UNDATED",IF(NOT(ISNUMBER($T721)),"RETEST DATE UNCHECKED",IF(_xlfn.MINIFS(nrES_Date,nrES_PID,$D721,nrES_Code,$F721,nrES_Att,2,nrES_Raw,"&gt;=0",nrES_Date,"&gt;0")&gt;$T721,"LATE RETEST "&amp;TEXT(_xlfn.MINIFS(nrES_Date,nrES_PID,$D721,nrES_Code,$F721,nrES_Att,2,nrES_Raw,"&gt;=0",nrES_Date,"&gt;0"),"mm/dd")&amp;" (due "&amp;TEXT($T721,"mm/dd")&amp;")","Retested"))),IF(NOT(ISNUMBER($T721)),"CHECK DATE",IF(TODAY()&gt;$T721,"OVERDUE","Due "&amp;TEXT($T721,"mm/dd")))))))</f>
        <v/>
      </c>
      <c r="V721" s="16" t="n"/>
      <c r="W721" s="16" t="n"/>
      <c r="X721" s="17">
        <f>IF($C721="","",IF(AND($L721&lt;&gt;"",NOT(ISNUMBER($L721))),"RAW SCORE NOT A NUMBER",IF(AND(ISNUMBER($L721),OR($L721&lt;0,$L721&gt;100)),"RAW SCORE OUT OF RANGE",IF(AND($Y721="Unexcused",OR($L721="",NOT(ISNUMBER($L721)),$L721&lt;&gt;0)),"UNEXCUSED ABSENCE MUST RECORD 0",IF(COUNTIF(nrES_RecID,$B721)&gt;1,"DUPLICATE RECORD",IF(N($K721)&gt;2,"ATTEMPT 3+ NOT ALLOWED - policy 300.5 permits one retest per exam; this row records nothing",IF(AND($K721=2,COUNTIFS(nrES_PID,$D721,nrES_Code,$F721,nrES_Att,1)=0),"ATTEMPT 2 WITHOUT ATTEMPT 1",IF(AND($K721=2,$L721=""),"RETEST ROW HAS NO SCORE",IF(AND($H721="Final",$L721&lt;&gt;"",IFERROR(INDEX(nrCKfinalExamElig,MATCH($D721,rngCadetPIDs,0)),"")="No"),"FINAL EXAM AFTER FAILED FINAL PT (500.1.H)",IF(AND($K721=2,ISNUMBER($L721),COUNTIFS(nrES_PID,$D721,nrES_Code,$F721,nrES_Att,1)&gt;0,SUMIFS(nrES_Raw,nrES_PID,$D721,nrES_Code,$F721,nrES_Att,1)&gt;=$J721),"RETEST AFTER A PASSING FIRST ATTEMPT","OK"))))))))))</f>
        <v/>
      </c>
      <c r="Y721" s="16" t="n"/>
    </row>
    <row r="722">
      <c r="B722" s="17">
        <f>IF($C722="","",$D722&amp;"-"&amp;$F722&amp;"-"&amp;$K722)</f>
        <v/>
      </c>
      <c r="C722" s="16" t="n"/>
      <c r="D722" s="17">
        <f>IF($C722="","",IFERROR(INDEX(rngCadetPIDs,MATCH($C722,rngCadetNames,0)),"?"))</f>
        <v/>
      </c>
      <c r="E722" s="17">
        <f>IF($D722="","",IFERROR(INDEX(nrCadetAgency,MATCH($D722,rngCadetPIDs,0)),""))</f>
        <v/>
      </c>
      <c r="F722" s="16" t="n"/>
      <c r="G722" s="17">
        <f>IF($F722="","",IFERROR(INDEX(rngEPname,MATCH($F722,rngEPcode,0)),"?"))</f>
        <v/>
      </c>
      <c r="H722" s="17">
        <f>IF($F722="","",IFERROR(INDEX(rngEPtype,MATCH($F722,rngEPcode,0)),"?"))</f>
        <v/>
      </c>
      <c r="I722" s="17">
        <f>IF($F722="","",IFERROR(INDEX(rngEPseq,MATCH($F722,rngEPcode,0)),""))</f>
        <v/>
      </c>
      <c r="J722" s="17">
        <f>IF($F722="","",IFERROR(INDEX(rngEPpass,MATCH($F722,rngEPcode,0)),cfgPassingScore))</f>
        <v/>
      </c>
      <c r="K722" s="16" t="n"/>
      <c r="L722" s="16" t="n"/>
      <c r="M722" s="17">
        <f>IF($C722="","",IF($L722="","",IF(NOT(ISNUMBER($L722)),$L722,IF(N($K722)&gt;2,"",IF($K722=1,IF(COUNTIFS(nrES_PID,$D722,nrES_Code,$F722,nrES_Att,2,nrES_Raw,"&gt;=0")&gt;0,"",$L722),IF($L722&gt;=$J722,MAX($J722,cfgRetakeRecordedCap),IF(COUNTIFS(nrES_PID,$D722,nrES_Code,$F722,nrES_Att,1)=0,$L722,SUMIFS(nrES_Raw,nrES_PID,$D722,nrES_Code,$F722,nrES_Att,1))))))))</f>
        <v/>
      </c>
      <c r="N722" s="17">
        <f>IF($C722="","",IF($L722="","",IF(NOT(ISNUMBER($L722)),"(not a score)",IF($L722&gt;=$J722,"Yes","No"))))</f>
        <v/>
      </c>
      <c r="O722" s="17">
        <f>IF($C722="","",IF($M722="","",IF(NOT(ISNUMBER($M722)),"(not a score)",IF($M722&gt;=$J722,"Yes","No"))))</f>
        <v/>
      </c>
      <c r="P722" s="17">
        <f>IF($C722="","",IF($K722="","",IF(N($K722)&gt;2,"No",IF(COUNTIFS(nrES_PID,$D722,nrES_Code,$F722,nrES_Att,"&gt;"&amp;$K722,nrES_Att,"&lt;=2",nrES_Raw,"&gt;=0")=0,"Yes","No"))))</f>
        <v/>
      </c>
      <c r="Q722" s="17">
        <f>IF($C722="","",IF($L722="","",IF(AND($K722=1,ISNUMBER($L722),$L722&lt;$J722,COUNTIFS(nrES_PID,$D722,nrES_Code,$F722,nrES_Att,2,nrES_Raw,"&gt;=0")=0),"Yes","No")))</f>
        <v/>
      </c>
      <c r="R722" s="17">
        <f>IF($C722="","",IF($L722="","",IF(AND(N($K722)&gt;=2,ISNUMBER($L722),$L722&lt;$J722),"Yes","No")))</f>
        <v/>
      </c>
      <c r="S722" s="18" t="n"/>
      <c r="T722" s="19">
        <f>IF(OR($C722="",$L722="",$K722&lt;&gt;1,NOT(ISNUMBER($L722)),$L722&gt;=$J722),"",IF($S722="","(enter date)",_xlfn.LET(_xlpm.dn,_xlfn.XLOOKUP($S722,nrCDdate,nrCDnum,"",1),IF(_xlpm.dn="","(after last class day)",_xlfn.LET(_xlpm.dd,_xlfn.XLOOKUP(_xlpm.dn+cfgRetestClassDays,nrCDnum,nrCDdate,""),_xlpm.ok,_xlfn.XLOOKUP(_xlpm.dn+cfgRetestClassDays,nrCDnum,nrCDinsession,"No"),IF(OR(_xlpm.dd="",_xlpm.ok&lt;&gt;"Yes"),"(after last class day)",_xlpm.dd))))))</f>
        <v/>
      </c>
      <c r="U722" s="17">
        <f>IF($C722="","",IF(AND($Y722="Excused",$L722="",N($K722)&lt;=1),"EXCUSED - 1st attempt pending",IF(OR($L722="",$K722&lt;&gt;1,NOT(ISNUMBER($L722)),$L722&gt;=$J722),"",IF(COUNTIFS(nrES_PID,$D722,nrES_Code,$F722,nrES_Att,2,nrES_Raw,"&gt;=0")&gt;0,IF(IFERROR(_xlfn.MINIFS(nrES_Date,nrES_PID,$D722,nrES_Code,$F722,nrES_Att,2,nrES_Raw,"&gt;=0",nrES_Date,"&gt;0"),0)=0,"RETEST UNDATED",IF(NOT(ISNUMBER($T722)),"RETEST DATE UNCHECKED",IF(_xlfn.MINIFS(nrES_Date,nrES_PID,$D722,nrES_Code,$F722,nrES_Att,2,nrES_Raw,"&gt;=0",nrES_Date,"&gt;0")&gt;$T722,"LATE RETEST "&amp;TEXT(_xlfn.MINIFS(nrES_Date,nrES_PID,$D722,nrES_Code,$F722,nrES_Att,2,nrES_Raw,"&gt;=0",nrES_Date,"&gt;0"),"mm/dd")&amp;" (due "&amp;TEXT($T722,"mm/dd")&amp;")","Retested"))),IF(NOT(ISNUMBER($T722)),"CHECK DATE",IF(TODAY()&gt;$T722,"OVERDUE","Due "&amp;TEXT($T722,"mm/dd")))))))</f>
        <v/>
      </c>
      <c r="V722" s="16" t="n"/>
      <c r="W722" s="16" t="n"/>
      <c r="X722" s="17">
        <f>IF($C722="","",IF(AND($L722&lt;&gt;"",NOT(ISNUMBER($L722))),"RAW SCORE NOT A NUMBER",IF(AND(ISNUMBER($L722),OR($L722&lt;0,$L722&gt;100)),"RAW SCORE OUT OF RANGE",IF(AND($Y722="Unexcused",OR($L722="",NOT(ISNUMBER($L722)),$L722&lt;&gt;0)),"UNEXCUSED ABSENCE MUST RECORD 0",IF(COUNTIF(nrES_RecID,$B722)&gt;1,"DUPLICATE RECORD",IF(N($K722)&gt;2,"ATTEMPT 3+ NOT ALLOWED - policy 300.5 permits one retest per exam; this row records nothing",IF(AND($K722=2,COUNTIFS(nrES_PID,$D722,nrES_Code,$F722,nrES_Att,1)=0),"ATTEMPT 2 WITHOUT ATTEMPT 1",IF(AND($K722=2,$L722=""),"RETEST ROW HAS NO SCORE",IF(AND($H722="Final",$L722&lt;&gt;"",IFERROR(INDEX(nrCKfinalExamElig,MATCH($D722,rngCadetPIDs,0)),"")="No"),"FINAL EXAM AFTER FAILED FINAL PT (500.1.H)",IF(AND($K722=2,ISNUMBER($L722),COUNTIFS(nrES_PID,$D722,nrES_Code,$F722,nrES_Att,1)&gt;0,SUMIFS(nrES_Raw,nrES_PID,$D722,nrES_Code,$F722,nrES_Att,1)&gt;=$J722),"RETEST AFTER A PASSING FIRST ATTEMPT","OK"))))))))))</f>
        <v/>
      </c>
      <c r="Y722" s="16" t="n"/>
    </row>
    <row r="723">
      <c r="B723" s="17">
        <f>IF($C723="","",$D723&amp;"-"&amp;$F723&amp;"-"&amp;$K723)</f>
        <v/>
      </c>
      <c r="C723" s="16" t="n"/>
      <c r="D723" s="17">
        <f>IF($C723="","",IFERROR(INDEX(rngCadetPIDs,MATCH($C723,rngCadetNames,0)),"?"))</f>
        <v/>
      </c>
      <c r="E723" s="17">
        <f>IF($D723="","",IFERROR(INDEX(nrCadetAgency,MATCH($D723,rngCadetPIDs,0)),""))</f>
        <v/>
      </c>
      <c r="F723" s="16" t="n"/>
      <c r="G723" s="17">
        <f>IF($F723="","",IFERROR(INDEX(rngEPname,MATCH($F723,rngEPcode,0)),"?"))</f>
        <v/>
      </c>
      <c r="H723" s="17">
        <f>IF($F723="","",IFERROR(INDEX(rngEPtype,MATCH($F723,rngEPcode,0)),"?"))</f>
        <v/>
      </c>
      <c r="I723" s="17">
        <f>IF($F723="","",IFERROR(INDEX(rngEPseq,MATCH($F723,rngEPcode,0)),""))</f>
        <v/>
      </c>
      <c r="J723" s="17">
        <f>IF($F723="","",IFERROR(INDEX(rngEPpass,MATCH($F723,rngEPcode,0)),cfgPassingScore))</f>
        <v/>
      </c>
      <c r="K723" s="16" t="n"/>
      <c r="L723" s="16" t="n"/>
      <c r="M723" s="17">
        <f>IF($C723="","",IF($L723="","",IF(NOT(ISNUMBER($L723)),$L723,IF(N($K723)&gt;2,"",IF($K723=1,IF(COUNTIFS(nrES_PID,$D723,nrES_Code,$F723,nrES_Att,2,nrES_Raw,"&gt;=0")&gt;0,"",$L723),IF($L723&gt;=$J723,MAX($J723,cfgRetakeRecordedCap),IF(COUNTIFS(nrES_PID,$D723,nrES_Code,$F723,nrES_Att,1)=0,$L723,SUMIFS(nrES_Raw,nrES_PID,$D723,nrES_Code,$F723,nrES_Att,1))))))))</f>
        <v/>
      </c>
      <c r="N723" s="17">
        <f>IF($C723="","",IF($L723="","",IF(NOT(ISNUMBER($L723)),"(not a score)",IF($L723&gt;=$J723,"Yes","No"))))</f>
        <v/>
      </c>
      <c r="O723" s="17">
        <f>IF($C723="","",IF($M723="","",IF(NOT(ISNUMBER($M723)),"(not a score)",IF($M723&gt;=$J723,"Yes","No"))))</f>
        <v/>
      </c>
      <c r="P723" s="17">
        <f>IF($C723="","",IF($K723="","",IF(N($K723)&gt;2,"No",IF(COUNTIFS(nrES_PID,$D723,nrES_Code,$F723,nrES_Att,"&gt;"&amp;$K723,nrES_Att,"&lt;=2",nrES_Raw,"&gt;=0")=0,"Yes","No"))))</f>
        <v/>
      </c>
      <c r="Q723" s="17">
        <f>IF($C723="","",IF($L723="","",IF(AND($K723=1,ISNUMBER($L723),$L723&lt;$J723,COUNTIFS(nrES_PID,$D723,nrES_Code,$F723,nrES_Att,2,nrES_Raw,"&gt;=0")=0),"Yes","No")))</f>
        <v/>
      </c>
      <c r="R723" s="17">
        <f>IF($C723="","",IF($L723="","",IF(AND(N($K723)&gt;=2,ISNUMBER($L723),$L723&lt;$J723),"Yes","No")))</f>
        <v/>
      </c>
      <c r="S723" s="18" t="n"/>
      <c r="T723" s="19">
        <f>IF(OR($C723="",$L723="",$K723&lt;&gt;1,NOT(ISNUMBER($L723)),$L723&gt;=$J723),"",IF($S723="","(enter date)",_xlfn.LET(_xlpm.dn,_xlfn.XLOOKUP($S723,nrCDdate,nrCDnum,"",1),IF(_xlpm.dn="","(after last class day)",_xlfn.LET(_xlpm.dd,_xlfn.XLOOKUP(_xlpm.dn+cfgRetestClassDays,nrCDnum,nrCDdate,""),_xlpm.ok,_xlfn.XLOOKUP(_xlpm.dn+cfgRetestClassDays,nrCDnum,nrCDinsession,"No"),IF(OR(_xlpm.dd="",_xlpm.ok&lt;&gt;"Yes"),"(after last class day)",_xlpm.dd))))))</f>
        <v/>
      </c>
      <c r="U723" s="17">
        <f>IF($C723="","",IF(AND($Y723="Excused",$L723="",N($K723)&lt;=1),"EXCUSED - 1st attempt pending",IF(OR($L723="",$K723&lt;&gt;1,NOT(ISNUMBER($L723)),$L723&gt;=$J723),"",IF(COUNTIFS(nrES_PID,$D723,nrES_Code,$F723,nrES_Att,2,nrES_Raw,"&gt;=0")&gt;0,IF(IFERROR(_xlfn.MINIFS(nrES_Date,nrES_PID,$D723,nrES_Code,$F723,nrES_Att,2,nrES_Raw,"&gt;=0",nrES_Date,"&gt;0"),0)=0,"RETEST UNDATED",IF(NOT(ISNUMBER($T723)),"RETEST DATE UNCHECKED",IF(_xlfn.MINIFS(nrES_Date,nrES_PID,$D723,nrES_Code,$F723,nrES_Att,2,nrES_Raw,"&gt;=0",nrES_Date,"&gt;0")&gt;$T723,"LATE RETEST "&amp;TEXT(_xlfn.MINIFS(nrES_Date,nrES_PID,$D723,nrES_Code,$F723,nrES_Att,2,nrES_Raw,"&gt;=0",nrES_Date,"&gt;0"),"mm/dd")&amp;" (due "&amp;TEXT($T723,"mm/dd")&amp;")","Retested"))),IF(NOT(ISNUMBER($T723)),"CHECK DATE",IF(TODAY()&gt;$T723,"OVERDUE","Due "&amp;TEXT($T723,"mm/dd")))))))</f>
        <v/>
      </c>
      <c r="V723" s="16" t="n"/>
      <c r="W723" s="16" t="n"/>
      <c r="X723" s="17">
        <f>IF($C723="","",IF(AND($L723&lt;&gt;"",NOT(ISNUMBER($L723))),"RAW SCORE NOT A NUMBER",IF(AND(ISNUMBER($L723),OR($L723&lt;0,$L723&gt;100)),"RAW SCORE OUT OF RANGE",IF(AND($Y723="Unexcused",OR($L723="",NOT(ISNUMBER($L723)),$L723&lt;&gt;0)),"UNEXCUSED ABSENCE MUST RECORD 0",IF(COUNTIF(nrES_RecID,$B723)&gt;1,"DUPLICATE RECORD",IF(N($K723)&gt;2,"ATTEMPT 3+ NOT ALLOWED - policy 300.5 permits one retest per exam; this row records nothing",IF(AND($K723=2,COUNTIFS(nrES_PID,$D723,nrES_Code,$F723,nrES_Att,1)=0),"ATTEMPT 2 WITHOUT ATTEMPT 1",IF(AND($K723=2,$L723=""),"RETEST ROW HAS NO SCORE",IF(AND($H723="Final",$L723&lt;&gt;"",IFERROR(INDEX(nrCKfinalExamElig,MATCH($D723,rngCadetPIDs,0)),"")="No"),"FINAL EXAM AFTER FAILED FINAL PT (500.1.H)",IF(AND($K723=2,ISNUMBER($L723),COUNTIFS(nrES_PID,$D723,nrES_Code,$F723,nrES_Att,1)&gt;0,SUMIFS(nrES_Raw,nrES_PID,$D723,nrES_Code,$F723,nrES_Att,1)&gt;=$J723),"RETEST AFTER A PASSING FIRST ATTEMPT","OK"))))))))))</f>
        <v/>
      </c>
      <c r="Y723" s="16" t="n"/>
    </row>
    <row r="724">
      <c r="B724" s="17">
        <f>IF($C724="","",$D724&amp;"-"&amp;$F724&amp;"-"&amp;$K724)</f>
        <v/>
      </c>
      <c r="C724" s="16" t="n"/>
      <c r="D724" s="17">
        <f>IF($C724="","",IFERROR(INDEX(rngCadetPIDs,MATCH($C724,rngCadetNames,0)),"?"))</f>
        <v/>
      </c>
      <c r="E724" s="17">
        <f>IF($D724="","",IFERROR(INDEX(nrCadetAgency,MATCH($D724,rngCadetPIDs,0)),""))</f>
        <v/>
      </c>
      <c r="F724" s="16" t="n"/>
      <c r="G724" s="17">
        <f>IF($F724="","",IFERROR(INDEX(rngEPname,MATCH($F724,rngEPcode,0)),"?"))</f>
        <v/>
      </c>
      <c r="H724" s="17">
        <f>IF($F724="","",IFERROR(INDEX(rngEPtype,MATCH($F724,rngEPcode,0)),"?"))</f>
        <v/>
      </c>
      <c r="I724" s="17">
        <f>IF($F724="","",IFERROR(INDEX(rngEPseq,MATCH($F724,rngEPcode,0)),""))</f>
        <v/>
      </c>
      <c r="J724" s="17">
        <f>IF($F724="","",IFERROR(INDEX(rngEPpass,MATCH($F724,rngEPcode,0)),cfgPassingScore))</f>
        <v/>
      </c>
      <c r="K724" s="16" t="n"/>
      <c r="L724" s="16" t="n"/>
      <c r="M724" s="17">
        <f>IF($C724="","",IF($L724="","",IF(NOT(ISNUMBER($L724)),$L724,IF(N($K724)&gt;2,"",IF($K724=1,IF(COUNTIFS(nrES_PID,$D724,nrES_Code,$F724,nrES_Att,2,nrES_Raw,"&gt;=0")&gt;0,"",$L724),IF($L724&gt;=$J724,MAX($J724,cfgRetakeRecordedCap),IF(COUNTIFS(nrES_PID,$D724,nrES_Code,$F724,nrES_Att,1)=0,$L724,SUMIFS(nrES_Raw,nrES_PID,$D724,nrES_Code,$F724,nrES_Att,1))))))))</f>
        <v/>
      </c>
      <c r="N724" s="17">
        <f>IF($C724="","",IF($L724="","",IF(NOT(ISNUMBER($L724)),"(not a score)",IF($L724&gt;=$J724,"Yes","No"))))</f>
        <v/>
      </c>
      <c r="O724" s="17">
        <f>IF($C724="","",IF($M724="","",IF(NOT(ISNUMBER($M724)),"(not a score)",IF($M724&gt;=$J724,"Yes","No"))))</f>
        <v/>
      </c>
      <c r="P724" s="17">
        <f>IF($C724="","",IF($K724="","",IF(N($K724)&gt;2,"No",IF(COUNTIFS(nrES_PID,$D724,nrES_Code,$F724,nrES_Att,"&gt;"&amp;$K724,nrES_Att,"&lt;=2",nrES_Raw,"&gt;=0")=0,"Yes","No"))))</f>
        <v/>
      </c>
      <c r="Q724" s="17">
        <f>IF($C724="","",IF($L724="","",IF(AND($K724=1,ISNUMBER($L724),$L724&lt;$J724,COUNTIFS(nrES_PID,$D724,nrES_Code,$F724,nrES_Att,2,nrES_Raw,"&gt;=0")=0),"Yes","No")))</f>
        <v/>
      </c>
      <c r="R724" s="17">
        <f>IF($C724="","",IF($L724="","",IF(AND(N($K724)&gt;=2,ISNUMBER($L724),$L724&lt;$J724),"Yes","No")))</f>
        <v/>
      </c>
      <c r="S724" s="18" t="n"/>
      <c r="T724" s="19">
        <f>IF(OR($C724="",$L724="",$K724&lt;&gt;1,NOT(ISNUMBER($L724)),$L724&gt;=$J724),"",IF($S724="","(enter date)",_xlfn.LET(_xlpm.dn,_xlfn.XLOOKUP($S724,nrCDdate,nrCDnum,"",1),IF(_xlpm.dn="","(after last class day)",_xlfn.LET(_xlpm.dd,_xlfn.XLOOKUP(_xlpm.dn+cfgRetestClassDays,nrCDnum,nrCDdate,""),_xlpm.ok,_xlfn.XLOOKUP(_xlpm.dn+cfgRetestClassDays,nrCDnum,nrCDinsession,"No"),IF(OR(_xlpm.dd="",_xlpm.ok&lt;&gt;"Yes"),"(after last class day)",_xlpm.dd))))))</f>
        <v/>
      </c>
      <c r="U724" s="17">
        <f>IF($C724="","",IF(AND($Y724="Excused",$L724="",N($K724)&lt;=1),"EXCUSED - 1st attempt pending",IF(OR($L724="",$K724&lt;&gt;1,NOT(ISNUMBER($L724)),$L724&gt;=$J724),"",IF(COUNTIFS(nrES_PID,$D724,nrES_Code,$F724,nrES_Att,2,nrES_Raw,"&gt;=0")&gt;0,IF(IFERROR(_xlfn.MINIFS(nrES_Date,nrES_PID,$D724,nrES_Code,$F724,nrES_Att,2,nrES_Raw,"&gt;=0",nrES_Date,"&gt;0"),0)=0,"RETEST UNDATED",IF(NOT(ISNUMBER($T724)),"RETEST DATE UNCHECKED",IF(_xlfn.MINIFS(nrES_Date,nrES_PID,$D724,nrES_Code,$F724,nrES_Att,2,nrES_Raw,"&gt;=0",nrES_Date,"&gt;0")&gt;$T724,"LATE RETEST "&amp;TEXT(_xlfn.MINIFS(nrES_Date,nrES_PID,$D724,nrES_Code,$F724,nrES_Att,2,nrES_Raw,"&gt;=0",nrES_Date,"&gt;0"),"mm/dd")&amp;" (due "&amp;TEXT($T724,"mm/dd")&amp;")","Retested"))),IF(NOT(ISNUMBER($T724)),"CHECK DATE",IF(TODAY()&gt;$T724,"OVERDUE","Due "&amp;TEXT($T724,"mm/dd")))))))</f>
        <v/>
      </c>
      <c r="V724" s="16" t="n"/>
      <c r="W724" s="16" t="n"/>
      <c r="X724" s="17">
        <f>IF($C724="","",IF(AND($L724&lt;&gt;"",NOT(ISNUMBER($L724))),"RAW SCORE NOT A NUMBER",IF(AND(ISNUMBER($L724),OR($L724&lt;0,$L724&gt;100)),"RAW SCORE OUT OF RANGE",IF(AND($Y724="Unexcused",OR($L724="",NOT(ISNUMBER($L724)),$L724&lt;&gt;0)),"UNEXCUSED ABSENCE MUST RECORD 0",IF(COUNTIF(nrES_RecID,$B724)&gt;1,"DUPLICATE RECORD",IF(N($K724)&gt;2,"ATTEMPT 3+ NOT ALLOWED - policy 300.5 permits one retest per exam; this row records nothing",IF(AND($K724=2,COUNTIFS(nrES_PID,$D724,nrES_Code,$F724,nrES_Att,1)=0),"ATTEMPT 2 WITHOUT ATTEMPT 1",IF(AND($K724=2,$L724=""),"RETEST ROW HAS NO SCORE",IF(AND($H724="Final",$L724&lt;&gt;"",IFERROR(INDEX(nrCKfinalExamElig,MATCH($D724,rngCadetPIDs,0)),"")="No"),"FINAL EXAM AFTER FAILED FINAL PT (500.1.H)",IF(AND($K724=2,ISNUMBER($L724),COUNTIFS(nrES_PID,$D724,nrES_Code,$F724,nrES_Att,1)&gt;0,SUMIFS(nrES_Raw,nrES_PID,$D724,nrES_Code,$F724,nrES_Att,1)&gt;=$J724),"RETEST AFTER A PASSING FIRST ATTEMPT","OK"))))))))))</f>
        <v/>
      </c>
      <c r="Y724" s="16" t="n"/>
    </row>
    <row r="725">
      <c r="B725" s="17">
        <f>IF($C725="","",$D725&amp;"-"&amp;$F725&amp;"-"&amp;$K725)</f>
        <v/>
      </c>
      <c r="C725" s="16" t="n"/>
      <c r="D725" s="17">
        <f>IF($C725="","",IFERROR(INDEX(rngCadetPIDs,MATCH($C725,rngCadetNames,0)),"?"))</f>
        <v/>
      </c>
      <c r="E725" s="17">
        <f>IF($D725="","",IFERROR(INDEX(nrCadetAgency,MATCH($D725,rngCadetPIDs,0)),""))</f>
        <v/>
      </c>
      <c r="F725" s="16" t="n"/>
      <c r="G725" s="17">
        <f>IF($F725="","",IFERROR(INDEX(rngEPname,MATCH($F725,rngEPcode,0)),"?"))</f>
        <v/>
      </c>
      <c r="H725" s="17">
        <f>IF($F725="","",IFERROR(INDEX(rngEPtype,MATCH($F725,rngEPcode,0)),"?"))</f>
        <v/>
      </c>
      <c r="I725" s="17">
        <f>IF($F725="","",IFERROR(INDEX(rngEPseq,MATCH($F725,rngEPcode,0)),""))</f>
        <v/>
      </c>
      <c r="J725" s="17">
        <f>IF($F725="","",IFERROR(INDEX(rngEPpass,MATCH($F725,rngEPcode,0)),cfgPassingScore))</f>
        <v/>
      </c>
      <c r="K725" s="16" t="n"/>
      <c r="L725" s="16" t="n"/>
      <c r="M725" s="17">
        <f>IF($C725="","",IF($L725="","",IF(NOT(ISNUMBER($L725)),$L725,IF(N($K725)&gt;2,"",IF($K725=1,IF(COUNTIFS(nrES_PID,$D725,nrES_Code,$F725,nrES_Att,2,nrES_Raw,"&gt;=0")&gt;0,"",$L725),IF($L725&gt;=$J725,MAX($J725,cfgRetakeRecordedCap),IF(COUNTIFS(nrES_PID,$D725,nrES_Code,$F725,nrES_Att,1)=0,$L725,SUMIFS(nrES_Raw,nrES_PID,$D725,nrES_Code,$F725,nrES_Att,1))))))))</f>
        <v/>
      </c>
      <c r="N725" s="17">
        <f>IF($C725="","",IF($L725="","",IF(NOT(ISNUMBER($L725)),"(not a score)",IF($L725&gt;=$J725,"Yes","No"))))</f>
        <v/>
      </c>
      <c r="O725" s="17">
        <f>IF($C725="","",IF($M725="","",IF(NOT(ISNUMBER($M725)),"(not a score)",IF($M725&gt;=$J725,"Yes","No"))))</f>
        <v/>
      </c>
      <c r="P725" s="17">
        <f>IF($C725="","",IF($K725="","",IF(N($K725)&gt;2,"No",IF(COUNTIFS(nrES_PID,$D725,nrES_Code,$F725,nrES_Att,"&gt;"&amp;$K725,nrES_Att,"&lt;=2",nrES_Raw,"&gt;=0")=0,"Yes","No"))))</f>
        <v/>
      </c>
      <c r="Q725" s="17">
        <f>IF($C725="","",IF($L725="","",IF(AND($K725=1,ISNUMBER($L725),$L725&lt;$J725,COUNTIFS(nrES_PID,$D725,nrES_Code,$F725,nrES_Att,2,nrES_Raw,"&gt;=0")=0),"Yes","No")))</f>
        <v/>
      </c>
      <c r="R725" s="17">
        <f>IF($C725="","",IF($L725="","",IF(AND(N($K725)&gt;=2,ISNUMBER($L725),$L725&lt;$J725),"Yes","No")))</f>
        <v/>
      </c>
      <c r="S725" s="18" t="n"/>
      <c r="T725" s="19">
        <f>IF(OR($C725="",$L725="",$K725&lt;&gt;1,NOT(ISNUMBER($L725)),$L725&gt;=$J725),"",IF($S725="","(enter date)",_xlfn.LET(_xlpm.dn,_xlfn.XLOOKUP($S725,nrCDdate,nrCDnum,"",1),IF(_xlpm.dn="","(after last class day)",_xlfn.LET(_xlpm.dd,_xlfn.XLOOKUP(_xlpm.dn+cfgRetestClassDays,nrCDnum,nrCDdate,""),_xlpm.ok,_xlfn.XLOOKUP(_xlpm.dn+cfgRetestClassDays,nrCDnum,nrCDinsession,"No"),IF(OR(_xlpm.dd="",_xlpm.ok&lt;&gt;"Yes"),"(after last class day)",_xlpm.dd))))))</f>
        <v/>
      </c>
      <c r="U725" s="17">
        <f>IF($C725="","",IF(AND($Y725="Excused",$L725="",N($K725)&lt;=1),"EXCUSED - 1st attempt pending",IF(OR($L725="",$K725&lt;&gt;1,NOT(ISNUMBER($L725)),$L725&gt;=$J725),"",IF(COUNTIFS(nrES_PID,$D725,nrES_Code,$F725,nrES_Att,2,nrES_Raw,"&gt;=0")&gt;0,IF(IFERROR(_xlfn.MINIFS(nrES_Date,nrES_PID,$D725,nrES_Code,$F725,nrES_Att,2,nrES_Raw,"&gt;=0",nrES_Date,"&gt;0"),0)=0,"RETEST UNDATED",IF(NOT(ISNUMBER($T725)),"RETEST DATE UNCHECKED",IF(_xlfn.MINIFS(nrES_Date,nrES_PID,$D725,nrES_Code,$F725,nrES_Att,2,nrES_Raw,"&gt;=0",nrES_Date,"&gt;0")&gt;$T725,"LATE RETEST "&amp;TEXT(_xlfn.MINIFS(nrES_Date,nrES_PID,$D725,nrES_Code,$F725,nrES_Att,2,nrES_Raw,"&gt;=0",nrES_Date,"&gt;0"),"mm/dd")&amp;" (due "&amp;TEXT($T725,"mm/dd")&amp;")","Retested"))),IF(NOT(ISNUMBER($T725)),"CHECK DATE",IF(TODAY()&gt;$T725,"OVERDUE","Due "&amp;TEXT($T725,"mm/dd")))))))</f>
        <v/>
      </c>
      <c r="V725" s="16" t="n"/>
      <c r="W725" s="16" t="n"/>
      <c r="X725" s="17">
        <f>IF($C725="","",IF(AND($L725&lt;&gt;"",NOT(ISNUMBER($L725))),"RAW SCORE NOT A NUMBER",IF(AND(ISNUMBER($L725),OR($L725&lt;0,$L725&gt;100)),"RAW SCORE OUT OF RANGE",IF(AND($Y725="Unexcused",OR($L725="",NOT(ISNUMBER($L725)),$L725&lt;&gt;0)),"UNEXCUSED ABSENCE MUST RECORD 0",IF(COUNTIF(nrES_RecID,$B725)&gt;1,"DUPLICATE RECORD",IF(N($K725)&gt;2,"ATTEMPT 3+ NOT ALLOWED - policy 300.5 permits one retest per exam; this row records nothing",IF(AND($K725=2,COUNTIFS(nrES_PID,$D725,nrES_Code,$F725,nrES_Att,1)=0),"ATTEMPT 2 WITHOUT ATTEMPT 1",IF(AND($K725=2,$L725=""),"RETEST ROW HAS NO SCORE",IF(AND($H725="Final",$L725&lt;&gt;"",IFERROR(INDEX(nrCKfinalExamElig,MATCH($D725,rngCadetPIDs,0)),"")="No"),"FINAL EXAM AFTER FAILED FINAL PT (500.1.H)",IF(AND($K725=2,ISNUMBER($L725),COUNTIFS(nrES_PID,$D725,nrES_Code,$F725,nrES_Att,1)&gt;0,SUMIFS(nrES_Raw,nrES_PID,$D725,nrES_Code,$F725,nrES_Att,1)&gt;=$J725),"RETEST AFTER A PASSING FIRST ATTEMPT","OK"))))))))))</f>
        <v/>
      </c>
      <c r="Y725" s="16" t="n"/>
    </row>
    <row r="726">
      <c r="B726" s="17">
        <f>IF($C726="","",$D726&amp;"-"&amp;$F726&amp;"-"&amp;$K726)</f>
        <v/>
      </c>
      <c r="C726" s="16" t="n"/>
      <c r="D726" s="17">
        <f>IF($C726="","",IFERROR(INDEX(rngCadetPIDs,MATCH($C726,rngCadetNames,0)),"?"))</f>
        <v/>
      </c>
      <c r="E726" s="17">
        <f>IF($D726="","",IFERROR(INDEX(nrCadetAgency,MATCH($D726,rngCadetPIDs,0)),""))</f>
        <v/>
      </c>
      <c r="F726" s="16" t="n"/>
      <c r="G726" s="17">
        <f>IF($F726="","",IFERROR(INDEX(rngEPname,MATCH($F726,rngEPcode,0)),"?"))</f>
        <v/>
      </c>
      <c r="H726" s="17">
        <f>IF($F726="","",IFERROR(INDEX(rngEPtype,MATCH($F726,rngEPcode,0)),"?"))</f>
        <v/>
      </c>
      <c r="I726" s="17">
        <f>IF($F726="","",IFERROR(INDEX(rngEPseq,MATCH($F726,rngEPcode,0)),""))</f>
        <v/>
      </c>
      <c r="J726" s="17">
        <f>IF($F726="","",IFERROR(INDEX(rngEPpass,MATCH($F726,rngEPcode,0)),cfgPassingScore))</f>
        <v/>
      </c>
      <c r="K726" s="16" t="n"/>
      <c r="L726" s="16" t="n"/>
      <c r="M726" s="17">
        <f>IF($C726="","",IF($L726="","",IF(NOT(ISNUMBER($L726)),$L726,IF(N($K726)&gt;2,"",IF($K726=1,IF(COUNTIFS(nrES_PID,$D726,nrES_Code,$F726,nrES_Att,2,nrES_Raw,"&gt;=0")&gt;0,"",$L726),IF($L726&gt;=$J726,MAX($J726,cfgRetakeRecordedCap),IF(COUNTIFS(nrES_PID,$D726,nrES_Code,$F726,nrES_Att,1)=0,$L726,SUMIFS(nrES_Raw,nrES_PID,$D726,nrES_Code,$F726,nrES_Att,1))))))))</f>
        <v/>
      </c>
      <c r="N726" s="17">
        <f>IF($C726="","",IF($L726="","",IF(NOT(ISNUMBER($L726)),"(not a score)",IF($L726&gt;=$J726,"Yes","No"))))</f>
        <v/>
      </c>
      <c r="O726" s="17">
        <f>IF($C726="","",IF($M726="","",IF(NOT(ISNUMBER($M726)),"(not a score)",IF($M726&gt;=$J726,"Yes","No"))))</f>
        <v/>
      </c>
      <c r="P726" s="17">
        <f>IF($C726="","",IF($K726="","",IF(N($K726)&gt;2,"No",IF(COUNTIFS(nrES_PID,$D726,nrES_Code,$F726,nrES_Att,"&gt;"&amp;$K726,nrES_Att,"&lt;=2",nrES_Raw,"&gt;=0")=0,"Yes","No"))))</f>
        <v/>
      </c>
      <c r="Q726" s="17">
        <f>IF($C726="","",IF($L726="","",IF(AND($K726=1,ISNUMBER($L726),$L726&lt;$J726,COUNTIFS(nrES_PID,$D726,nrES_Code,$F726,nrES_Att,2,nrES_Raw,"&gt;=0")=0),"Yes","No")))</f>
        <v/>
      </c>
      <c r="R726" s="17">
        <f>IF($C726="","",IF($L726="","",IF(AND(N($K726)&gt;=2,ISNUMBER($L726),$L726&lt;$J726),"Yes","No")))</f>
        <v/>
      </c>
      <c r="S726" s="18" t="n"/>
      <c r="T726" s="19">
        <f>IF(OR($C726="",$L726="",$K726&lt;&gt;1,NOT(ISNUMBER($L726)),$L726&gt;=$J726),"",IF($S726="","(enter date)",_xlfn.LET(_xlpm.dn,_xlfn.XLOOKUP($S726,nrCDdate,nrCDnum,"",1),IF(_xlpm.dn="","(after last class day)",_xlfn.LET(_xlpm.dd,_xlfn.XLOOKUP(_xlpm.dn+cfgRetestClassDays,nrCDnum,nrCDdate,""),_xlpm.ok,_xlfn.XLOOKUP(_xlpm.dn+cfgRetestClassDays,nrCDnum,nrCDinsession,"No"),IF(OR(_xlpm.dd="",_xlpm.ok&lt;&gt;"Yes"),"(after last class day)",_xlpm.dd))))))</f>
        <v/>
      </c>
      <c r="U726" s="17">
        <f>IF($C726="","",IF(AND($Y726="Excused",$L726="",N($K726)&lt;=1),"EXCUSED - 1st attempt pending",IF(OR($L726="",$K726&lt;&gt;1,NOT(ISNUMBER($L726)),$L726&gt;=$J726),"",IF(COUNTIFS(nrES_PID,$D726,nrES_Code,$F726,nrES_Att,2,nrES_Raw,"&gt;=0")&gt;0,IF(IFERROR(_xlfn.MINIFS(nrES_Date,nrES_PID,$D726,nrES_Code,$F726,nrES_Att,2,nrES_Raw,"&gt;=0",nrES_Date,"&gt;0"),0)=0,"RETEST UNDATED",IF(NOT(ISNUMBER($T726)),"RETEST DATE UNCHECKED",IF(_xlfn.MINIFS(nrES_Date,nrES_PID,$D726,nrES_Code,$F726,nrES_Att,2,nrES_Raw,"&gt;=0",nrES_Date,"&gt;0")&gt;$T726,"LATE RETEST "&amp;TEXT(_xlfn.MINIFS(nrES_Date,nrES_PID,$D726,nrES_Code,$F726,nrES_Att,2,nrES_Raw,"&gt;=0",nrES_Date,"&gt;0"),"mm/dd")&amp;" (due "&amp;TEXT($T726,"mm/dd")&amp;")","Retested"))),IF(NOT(ISNUMBER($T726)),"CHECK DATE",IF(TODAY()&gt;$T726,"OVERDUE","Due "&amp;TEXT($T726,"mm/dd")))))))</f>
        <v/>
      </c>
      <c r="V726" s="16" t="n"/>
      <c r="W726" s="16" t="n"/>
      <c r="X726" s="17">
        <f>IF($C726="","",IF(AND($L726&lt;&gt;"",NOT(ISNUMBER($L726))),"RAW SCORE NOT A NUMBER",IF(AND(ISNUMBER($L726),OR($L726&lt;0,$L726&gt;100)),"RAW SCORE OUT OF RANGE",IF(AND($Y726="Unexcused",OR($L726="",NOT(ISNUMBER($L726)),$L726&lt;&gt;0)),"UNEXCUSED ABSENCE MUST RECORD 0",IF(COUNTIF(nrES_RecID,$B726)&gt;1,"DUPLICATE RECORD",IF(N($K726)&gt;2,"ATTEMPT 3+ NOT ALLOWED - policy 300.5 permits one retest per exam; this row records nothing",IF(AND($K726=2,COUNTIFS(nrES_PID,$D726,nrES_Code,$F726,nrES_Att,1)=0),"ATTEMPT 2 WITHOUT ATTEMPT 1",IF(AND($K726=2,$L726=""),"RETEST ROW HAS NO SCORE",IF(AND($H726="Final",$L726&lt;&gt;"",IFERROR(INDEX(nrCKfinalExamElig,MATCH($D726,rngCadetPIDs,0)),"")="No"),"FINAL EXAM AFTER FAILED FINAL PT (500.1.H)",IF(AND($K726=2,ISNUMBER($L726),COUNTIFS(nrES_PID,$D726,nrES_Code,$F726,nrES_Att,1)&gt;0,SUMIFS(nrES_Raw,nrES_PID,$D726,nrES_Code,$F726,nrES_Att,1)&gt;=$J726),"RETEST AFTER A PASSING FIRST ATTEMPT","OK"))))))))))</f>
        <v/>
      </c>
      <c r="Y726" s="16" t="n"/>
    </row>
    <row r="727">
      <c r="B727" s="17">
        <f>IF($C727="","",$D727&amp;"-"&amp;$F727&amp;"-"&amp;$K727)</f>
        <v/>
      </c>
      <c r="C727" s="16" t="n"/>
      <c r="D727" s="17">
        <f>IF($C727="","",IFERROR(INDEX(rngCadetPIDs,MATCH($C727,rngCadetNames,0)),"?"))</f>
        <v/>
      </c>
      <c r="E727" s="17">
        <f>IF($D727="","",IFERROR(INDEX(nrCadetAgency,MATCH($D727,rngCadetPIDs,0)),""))</f>
        <v/>
      </c>
      <c r="F727" s="16" t="n"/>
      <c r="G727" s="17">
        <f>IF($F727="","",IFERROR(INDEX(rngEPname,MATCH($F727,rngEPcode,0)),"?"))</f>
        <v/>
      </c>
      <c r="H727" s="17">
        <f>IF($F727="","",IFERROR(INDEX(rngEPtype,MATCH($F727,rngEPcode,0)),"?"))</f>
        <v/>
      </c>
      <c r="I727" s="17">
        <f>IF($F727="","",IFERROR(INDEX(rngEPseq,MATCH($F727,rngEPcode,0)),""))</f>
        <v/>
      </c>
      <c r="J727" s="17">
        <f>IF($F727="","",IFERROR(INDEX(rngEPpass,MATCH($F727,rngEPcode,0)),cfgPassingScore))</f>
        <v/>
      </c>
      <c r="K727" s="16" t="n"/>
      <c r="L727" s="16" t="n"/>
      <c r="M727" s="17">
        <f>IF($C727="","",IF($L727="","",IF(NOT(ISNUMBER($L727)),$L727,IF(N($K727)&gt;2,"",IF($K727=1,IF(COUNTIFS(nrES_PID,$D727,nrES_Code,$F727,nrES_Att,2,nrES_Raw,"&gt;=0")&gt;0,"",$L727),IF($L727&gt;=$J727,MAX($J727,cfgRetakeRecordedCap),IF(COUNTIFS(nrES_PID,$D727,nrES_Code,$F727,nrES_Att,1)=0,$L727,SUMIFS(nrES_Raw,nrES_PID,$D727,nrES_Code,$F727,nrES_Att,1))))))))</f>
        <v/>
      </c>
      <c r="N727" s="17">
        <f>IF($C727="","",IF($L727="","",IF(NOT(ISNUMBER($L727)),"(not a score)",IF($L727&gt;=$J727,"Yes","No"))))</f>
        <v/>
      </c>
      <c r="O727" s="17">
        <f>IF($C727="","",IF($M727="","",IF(NOT(ISNUMBER($M727)),"(not a score)",IF($M727&gt;=$J727,"Yes","No"))))</f>
        <v/>
      </c>
      <c r="P727" s="17">
        <f>IF($C727="","",IF($K727="","",IF(N($K727)&gt;2,"No",IF(COUNTIFS(nrES_PID,$D727,nrES_Code,$F727,nrES_Att,"&gt;"&amp;$K727,nrES_Att,"&lt;=2",nrES_Raw,"&gt;=0")=0,"Yes","No"))))</f>
        <v/>
      </c>
      <c r="Q727" s="17">
        <f>IF($C727="","",IF($L727="","",IF(AND($K727=1,ISNUMBER($L727),$L727&lt;$J727,COUNTIFS(nrES_PID,$D727,nrES_Code,$F727,nrES_Att,2,nrES_Raw,"&gt;=0")=0),"Yes","No")))</f>
        <v/>
      </c>
      <c r="R727" s="17">
        <f>IF($C727="","",IF($L727="","",IF(AND(N($K727)&gt;=2,ISNUMBER($L727),$L727&lt;$J727),"Yes","No")))</f>
        <v/>
      </c>
      <c r="S727" s="18" t="n"/>
      <c r="T727" s="19">
        <f>IF(OR($C727="",$L727="",$K727&lt;&gt;1,NOT(ISNUMBER($L727)),$L727&gt;=$J727),"",IF($S727="","(enter date)",_xlfn.LET(_xlpm.dn,_xlfn.XLOOKUP($S727,nrCDdate,nrCDnum,"",1),IF(_xlpm.dn="","(after last class day)",_xlfn.LET(_xlpm.dd,_xlfn.XLOOKUP(_xlpm.dn+cfgRetestClassDays,nrCDnum,nrCDdate,""),_xlpm.ok,_xlfn.XLOOKUP(_xlpm.dn+cfgRetestClassDays,nrCDnum,nrCDinsession,"No"),IF(OR(_xlpm.dd="",_xlpm.ok&lt;&gt;"Yes"),"(after last class day)",_xlpm.dd))))))</f>
        <v/>
      </c>
      <c r="U727" s="17">
        <f>IF($C727="","",IF(AND($Y727="Excused",$L727="",N($K727)&lt;=1),"EXCUSED - 1st attempt pending",IF(OR($L727="",$K727&lt;&gt;1,NOT(ISNUMBER($L727)),$L727&gt;=$J727),"",IF(COUNTIFS(nrES_PID,$D727,nrES_Code,$F727,nrES_Att,2,nrES_Raw,"&gt;=0")&gt;0,IF(IFERROR(_xlfn.MINIFS(nrES_Date,nrES_PID,$D727,nrES_Code,$F727,nrES_Att,2,nrES_Raw,"&gt;=0",nrES_Date,"&gt;0"),0)=0,"RETEST UNDATED",IF(NOT(ISNUMBER($T727)),"RETEST DATE UNCHECKED",IF(_xlfn.MINIFS(nrES_Date,nrES_PID,$D727,nrES_Code,$F727,nrES_Att,2,nrES_Raw,"&gt;=0",nrES_Date,"&gt;0")&gt;$T727,"LATE RETEST "&amp;TEXT(_xlfn.MINIFS(nrES_Date,nrES_PID,$D727,nrES_Code,$F727,nrES_Att,2,nrES_Raw,"&gt;=0",nrES_Date,"&gt;0"),"mm/dd")&amp;" (due "&amp;TEXT($T727,"mm/dd")&amp;")","Retested"))),IF(NOT(ISNUMBER($T727)),"CHECK DATE",IF(TODAY()&gt;$T727,"OVERDUE","Due "&amp;TEXT($T727,"mm/dd")))))))</f>
        <v/>
      </c>
      <c r="V727" s="16" t="n"/>
      <c r="W727" s="16" t="n"/>
      <c r="X727" s="17">
        <f>IF($C727="","",IF(AND($L727&lt;&gt;"",NOT(ISNUMBER($L727))),"RAW SCORE NOT A NUMBER",IF(AND(ISNUMBER($L727),OR($L727&lt;0,$L727&gt;100)),"RAW SCORE OUT OF RANGE",IF(AND($Y727="Unexcused",OR($L727="",NOT(ISNUMBER($L727)),$L727&lt;&gt;0)),"UNEXCUSED ABSENCE MUST RECORD 0",IF(COUNTIF(nrES_RecID,$B727)&gt;1,"DUPLICATE RECORD",IF(N($K727)&gt;2,"ATTEMPT 3+ NOT ALLOWED - policy 300.5 permits one retest per exam; this row records nothing",IF(AND($K727=2,COUNTIFS(nrES_PID,$D727,nrES_Code,$F727,nrES_Att,1)=0),"ATTEMPT 2 WITHOUT ATTEMPT 1",IF(AND($K727=2,$L727=""),"RETEST ROW HAS NO SCORE",IF(AND($H727="Final",$L727&lt;&gt;"",IFERROR(INDEX(nrCKfinalExamElig,MATCH($D727,rngCadetPIDs,0)),"")="No"),"FINAL EXAM AFTER FAILED FINAL PT (500.1.H)",IF(AND($K727=2,ISNUMBER($L727),COUNTIFS(nrES_PID,$D727,nrES_Code,$F727,nrES_Att,1)&gt;0,SUMIFS(nrES_Raw,nrES_PID,$D727,nrES_Code,$F727,nrES_Att,1)&gt;=$J727),"RETEST AFTER A PASSING FIRST ATTEMPT","OK"))))))))))</f>
        <v/>
      </c>
      <c r="Y727" s="16" t="n"/>
    </row>
    <row r="728">
      <c r="B728" s="17">
        <f>IF($C728="","",$D728&amp;"-"&amp;$F728&amp;"-"&amp;$K728)</f>
        <v/>
      </c>
      <c r="C728" s="16" t="n"/>
      <c r="D728" s="17">
        <f>IF($C728="","",IFERROR(INDEX(rngCadetPIDs,MATCH($C728,rngCadetNames,0)),"?"))</f>
        <v/>
      </c>
      <c r="E728" s="17">
        <f>IF($D728="","",IFERROR(INDEX(nrCadetAgency,MATCH($D728,rngCadetPIDs,0)),""))</f>
        <v/>
      </c>
      <c r="F728" s="16" t="n"/>
      <c r="G728" s="17">
        <f>IF($F728="","",IFERROR(INDEX(rngEPname,MATCH($F728,rngEPcode,0)),"?"))</f>
        <v/>
      </c>
      <c r="H728" s="17">
        <f>IF($F728="","",IFERROR(INDEX(rngEPtype,MATCH($F728,rngEPcode,0)),"?"))</f>
        <v/>
      </c>
      <c r="I728" s="17">
        <f>IF($F728="","",IFERROR(INDEX(rngEPseq,MATCH($F728,rngEPcode,0)),""))</f>
        <v/>
      </c>
      <c r="J728" s="17">
        <f>IF($F728="","",IFERROR(INDEX(rngEPpass,MATCH($F728,rngEPcode,0)),cfgPassingScore))</f>
        <v/>
      </c>
      <c r="K728" s="16" t="n"/>
      <c r="L728" s="16" t="n"/>
      <c r="M728" s="17">
        <f>IF($C728="","",IF($L728="","",IF(NOT(ISNUMBER($L728)),$L728,IF(N($K728)&gt;2,"",IF($K728=1,IF(COUNTIFS(nrES_PID,$D728,nrES_Code,$F728,nrES_Att,2,nrES_Raw,"&gt;=0")&gt;0,"",$L728),IF($L728&gt;=$J728,MAX($J728,cfgRetakeRecordedCap),IF(COUNTIFS(nrES_PID,$D728,nrES_Code,$F728,nrES_Att,1)=0,$L728,SUMIFS(nrES_Raw,nrES_PID,$D728,nrES_Code,$F728,nrES_Att,1))))))))</f>
        <v/>
      </c>
      <c r="N728" s="17">
        <f>IF($C728="","",IF($L728="","",IF(NOT(ISNUMBER($L728)),"(not a score)",IF($L728&gt;=$J728,"Yes","No"))))</f>
        <v/>
      </c>
      <c r="O728" s="17">
        <f>IF($C728="","",IF($M728="","",IF(NOT(ISNUMBER($M728)),"(not a score)",IF($M728&gt;=$J728,"Yes","No"))))</f>
        <v/>
      </c>
      <c r="P728" s="17">
        <f>IF($C728="","",IF($K728="","",IF(N($K728)&gt;2,"No",IF(COUNTIFS(nrES_PID,$D728,nrES_Code,$F728,nrES_Att,"&gt;"&amp;$K728,nrES_Att,"&lt;=2",nrES_Raw,"&gt;=0")=0,"Yes","No"))))</f>
        <v/>
      </c>
      <c r="Q728" s="17">
        <f>IF($C728="","",IF($L728="","",IF(AND($K728=1,ISNUMBER($L728),$L728&lt;$J728,COUNTIFS(nrES_PID,$D728,nrES_Code,$F728,nrES_Att,2,nrES_Raw,"&gt;=0")=0),"Yes","No")))</f>
        <v/>
      </c>
      <c r="R728" s="17">
        <f>IF($C728="","",IF($L728="","",IF(AND(N($K728)&gt;=2,ISNUMBER($L728),$L728&lt;$J728),"Yes","No")))</f>
        <v/>
      </c>
      <c r="S728" s="18" t="n"/>
      <c r="T728" s="19">
        <f>IF(OR($C728="",$L728="",$K728&lt;&gt;1,NOT(ISNUMBER($L728)),$L728&gt;=$J728),"",IF($S728="","(enter date)",_xlfn.LET(_xlpm.dn,_xlfn.XLOOKUP($S728,nrCDdate,nrCDnum,"",1),IF(_xlpm.dn="","(after last class day)",_xlfn.LET(_xlpm.dd,_xlfn.XLOOKUP(_xlpm.dn+cfgRetestClassDays,nrCDnum,nrCDdate,""),_xlpm.ok,_xlfn.XLOOKUP(_xlpm.dn+cfgRetestClassDays,nrCDnum,nrCDinsession,"No"),IF(OR(_xlpm.dd="",_xlpm.ok&lt;&gt;"Yes"),"(after last class day)",_xlpm.dd))))))</f>
        <v/>
      </c>
      <c r="U728" s="17">
        <f>IF($C728="","",IF(AND($Y728="Excused",$L728="",N($K728)&lt;=1),"EXCUSED - 1st attempt pending",IF(OR($L728="",$K728&lt;&gt;1,NOT(ISNUMBER($L728)),$L728&gt;=$J728),"",IF(COUNTIFS(nrES_PID,$D728,nrES_Code,$F728,nrES_Att,2,nrES_Raw,"&gt;=0")&gt;0,IF(IFERROR(_xlfn.MINIFS(nrES_Date,nrES_PID,$D728,nrES_Code,$F728,nrES_Att,2,nrES_Raw,"&gt;=0",nrES_Date,"&gt;0"),0)=0,"RETEST UNDATED",IF(NOT(ISNUMBER($T728)),"RETEST DATE UNCHECKED",IF(_xlfn.MINIFS(nrES_Date,nrES_PID,$D728,nrES_Code,$F728,nrES_Att,2,nrES_Raw,"&gt;=0",nrES_Date,"&gt;0")&gt;$T728,"LATE RETEST "&amp;TEXT(_xlfn.MINIFS(nrES_Date,nrES_PID,$D728,nrES_Code,$F728,nrES_Att,2,nrES_Raw,"&gt;=0",nrES_Date,"&gt;0"),"mm/dd")&amp;" (due "&amp;TEXT($T728,"mm/dd")&amp;")","Retested"))),IF(NOT(ISNUMBER($T728)),"CHECK DATE",IF(TODAY()&gt;$T728,"OVERDUE","Due "&amp;TEXT($T728,"mm/dd")))))))</f>
        <v/>
      </c>
      <c r="V728" s="16" t="n"/>
      <c r="W728" s="16" t="n"/>
      <c r="X728" s="17">
        <f>IF($C728="","",IF(AND($L728&lt;&gt;"",NOT(ISNUMBER($L728))),"RAW SCORE NOT A NUMBER",IF(AND(ISNUMBER($L728),OR($L728&lt;0,$L728&gt;100)),"RAW SCORE OUT OF RANGE",IF(AND($Y728="Unexcused",OR($L728="",NOT(ISNUMBER($L728)),$L728&lt;&gt;0)),"UNEXCUSED ABSENCE MUST RECORD 0",IF(COUNTIF(nrES_RecID,$B728)&gt;1,"DUPLICATE RECORD",IF(N($K728)&gt;2,"ATTEMPT 3+ NOT ALLOWED - policy 300.5 permits one retest per exam; this row records nothing",IF(AND($K728=2,COUNTIFS(nrES_PID,$D728,nrES_Code,$F728,nrES_Att,1)=0),"ATTEMPT 2 WITHOUT ATTEMPT 1",IF(AND($K728=2,$L728=""),"RETEST ROW HAS NO SCORE",IF(AND($H728="Final",$L728&lt;&gt;"",IFERROR(INDEX(nrCKfinalExamElig,MATCH($D728,rngCadetPIDs,0)),"")="No"),"FINAL EXAM AFTER FAILED FINAL PT (500.1.H)",IF(AND($K728=2,ISNUMBER($L728),COUNTIFS(nrES_PID,$D728,nrES_Code,$F728,nrES_Att,1)&gt;0,SUMIFS(nrES_Raw,nrES_PID,$D728,nrES_Code,$F728,nrES_Att,1)&gt;=$J728),"RETEST AFTER A PASSING FIRST ATTEMPT","OK"))))))))))</f>
        <v/>
      </c>
      <c r="Y728" s="16" t="n"/>
    </row>
    <row r="729">
      <c r="B729" s="17">
        <f>IF($C729="","",$D729&amp;"-"&amp;$F729&amp;"-"&amp;$K729)</f>
        <v/>
      </c>
      <c r="C729" s="16" t="n"/>
      <c r="D729" s="17">
        <f>IF($C729="","",IFERROR(INDEX(rngCadetPIDs,MATCH($C729,rngCadetNames,0)),"?"))</f>
        <v/>
      </c>
      <c r="E729" s="17">
        <f>IF($D729="","",IFERROR(INDEX(nrCadetAgency,MATCH($D729,rngCadetPIDs,0)),""))</f>
        <v/>
      </c>
      <c r="F729" s="16" t="n"/>
      <c r="G729" s="17">
        <f>IF($F729="","",IFERROR(INDEX(rngEPname,MATCH($F729,rngEPcode,0)),"?"))</f>
        <v/>
      </c>
      <c r="H729" s="17">
        <f>IF($F729="","",IFERROR(INDEX(rngEPtype,MATCH($F729,rngEPcode,0)),"?"))</f>
        <v/>
      </c>
      <c r="I729" s="17">
        <f>IF($F729="","",IFERROR(INDEX(rngEPseq,MATCH($F729,rngEPcode,0)),""))</f>
        <v/>
      </c>
      <c r="J729" s="17">
        <f>IF($F729="","",IFERROR(INDEX(rngEPpass,MATCH($F729,rngEPcode,0)),cfgPassingScore))</f>
        <v/>
      </c>
      <c r="K729" s="16" t="n"/>
      <c r="L729" s="16" t="n"/>
      <c r="M729" s="17">
        <f>IF($C729="","",IF($L729="","",IF(NOT(ISNUMBER($L729)),$L729,IF(N($K729)&gt;2,"",IF($K729=1,IF(COUNTIFS(nrES_PID,$D729,nrES_Code,$F729,nrES_Att,2,nrES_Raw,"&gt;=0")&gt;0,"",$L729),IF($L729&gt;=$J729,MAX($J729,cfgRetakeRecordedCap),IF(COUNTIFS(nrES_PID,$D729,nrES_Code,$F729,nrES_Att,1)=0,$L729,SUMIFS(nrES_Raw,nrES_PID,$D729,nrES_Code,$F729,nrES_Att,1))))))))</f>
        <v/>
      </c>
      <c r="N729" s="17">
        <f>IF($C729="","",IF($L729="","",IF(NOT(ISNUMBER($L729)),"(not a score)",IF($L729&gt;=$J729,"Yes","No"))))</f>
        <v/>
      </c>
      <c r="O729" s="17">
        <f>IF($C729="","",IF($M729="","",IF(NOT(ISNUMBER($M729)),"(not a score)",IF($M729&gt;=$J729,"Yes","No"))))</f>
        <v/>
      </c>
      <c r="P729" s="17">
        <f>IF($C729="","",IF($K729="","",IF(N($K729)&gt;2,"No",IF(COUNTIFS(nrES_PID,$D729,nrES_Code,$F729,nrES_Att,"&gt;"&amp;$K729,nrES_Att,"&lt;=2",nrES_Raw,"&gt;=0")=0,"Yes","No"))))</f>
        <v/>
      </c>
      <c r="Q729" s="17">
        <f>IF($C729="","",IF($L729="","",IF(AND($K729=1,ISNUMBER($L729),$L729&lt;$J729,COUNTIFS(nrES_PID,$D729,nrES_Code,$F729,nrES_Att,2,nrES_Raw,"&gt;=0")=0),"Yes","No")))</f>
        <v/>
      </c>
      <c r="R729" s="17">
        <f>IF($C729="","",IF($L729="","",IF(AND(N($K729)&gt;=2,ISNUMBER($L729),$L729&lt;$J729),"Yes","No")))</f>
        <v/>
      </c>
      <c r="S729" s="18" t="n"/>
      <c r="T729" s="19">
        <f>IF(OR($C729="",$L729="",$K729&lt;&gt;1,NOT(ISNUMBER($L729)),$L729&gt;=$J729),"",IF($S729="","(enter date)",_xlfn.LET(_xlpm.dn,_xlfn.XLOOKUP($S729,nrCDdate,nrCDnum,"",1),IF(_xlpm.dn="","(after last class day)",_xlfn.LET(_xlpm.dd,_xlfn.XLOOKUP(_xlpm.dn+cfgRetestClassDays,nrCDnum,nrCDdate,""),_xlpm.ok,_xlfn.XLOOKUP(_xlpm.dn+cfgRetestClassDays,nrCDnum,nrCDinsession,"No"),IF(OR(_xlpm.dd="",_xlpm.ok&lt;&gt;"Yes"),"(after last class day)",_xlpm.dd))))))</f>
        <v/>
      </c>
      <c r="U729" s="17">
        <f>IF($C729="","",IF(AND($Y729="Excused",$L729="",N($K729)&lt;=1),"EXCUSED - 1st attempt pending",IF(OR($L729="",$K729&lt;&gt;1,NOT(ISNUMBER($L729)),$L729&gt;=$J729),"",IF(COUNTIFS(nrES_PID,$D729,nrES_Code,$F729,nrES_Att,2,nrES_Raw,"&gt;=0")&gt;0,IF(IFERROR(_xlfn.MINIFS(nrES_Date,nrES_PID,$D729,nrES_Code,$F729,nrES_Att,2,nrES_Raw,"&gt;=0",nrES_Date,"&gt;0"),0)=0,"RETEST UNDATED",IF(NOT(ISNUMBER($T729)),"RETEST DATE UNCHECKED",IF(_xlfn.MINIFS(nrES_Date,nrES_PID,$D729,nrES_Code,$F729,nrES_Att,2,nrES_Raw,"&gt;=0",nrES_Date,"&gt;0")&gt;$T729,"LATE RETEST "&amp;TEXT(_xlfn.MINIFS(nrES_Date,nrES_PID,$D729,nrES_Code,$F729,nrES_Att,2,nrES_Raw,"&gt;=0",nrES_Date,"&gt;0"),"mm/dd")&amp;" (due "&amp;TEXT($T729,"mm/dd")&amp;")","Retested"))),IF(NOT(ISNUMBER($T729)),"CHECK DATE",IF(TODAY()&gt;$T729,"OVERDUE","Due "&amp;TEXT($T729,"mm/dd")))))))</f>
        <v/>
      </c>
      <c r="V729" s="16" t="n"/>
      <c r="W729" s="16" t="n"/>
      <c r="X729" s="17">
        <f>IF($C729="","",IF(AND($L729&lt;&gt;"",NOT(ISNUMBER($L729))),"RAW SCORE NOT A NUMBER",IF(AND(ISNUMBER($L729),OR($L729&lt;0,$L729&gt;100)),"RAW SCORE OUT OF RANGE",IF(AND($Y729="Unexcused",OR($L729="",NOT(ISNUMBER($L729)),$L729&lt;&gt;0)),"UNEXCUSED ABSENCE MUST RECORD 0",IF(COUNTIF(nrES_RecID,$B729)&gt;1,"DUPLICATE RECORD",IF(N($K729)&gt;2,"ATTEMPT 3+ NOT ALLOWED - policy 300.5 permits one retest per exam; this row records nothing",IF(AND($K729=2,COUNTIFS(nrES_PID,$D729,nrES_Code,$F729,nrES_Att,1)=0),"ATTEMPT 2 WITHOUT ATTEMPT 1",IF(AND($K729=2,$L729=""),"RETEST ROW HAS NO SCORE",IF(AND($H729="Final",$L729&lt;&gt;"",IFERROR(INDEX(nrCKfinalExamElig,MATCH($D729,rngCadetPIDs,0)),"")="No"),"FINAL EXAM AFTER FAILED FINAL PT (500.1.H)",IF(AND($K729=2,ISNUMBER($L729),COUNTIFS(nrES_PID,$D729,nrES_Code,$F729,nrES_Att,1)&gt;0,SUMIFS(nrES_Raw,nrES_PID,$D729,nrES_Code,$F729,nrES_Att,1)&gt;=$J729),"RETEST AFTER A PASSING FIRST ATTEMPT","OK"))))))))))</f>
        <v/>
      </c>
      <c r="Y729" s="16" t="n"/>
    </row>
    <row r="730">
      <c r="B730" s="17">
        <f>IF($C730="","",$D730&amp;"-"&amp;$F730&amp;"-"&amp;$K730)</f>
        <v/>
      </c>
      <c r="C730" s="16" t="n"/>
      <c r="D730" s="17">
        <f>IF($C730="","",IFERROR(INDEX(rngCadetPIDs,MATCH($C730,rngCadetNames,0)),"?"))</f>
        <v/>
      </c>
      <c r="E730" s="17">
        <f>IF($D730="","",IFERROR(INDEX(nrCadetAgency,MATCH($D730,rngCadetPIDs,0)),""))</f>
        <v/>
      </c>
      <c r="F730" s="16" t="n"/>
      <c r="G730" s="17">
        <f>IF($F730="","",IFERROR(INDEX(rngEPname,MATCH($F730,rngEPcode,0)),"?"))</f>
        <v/>
      </c>
      <c r="H730" s="17">
        <f>IF($F730="","",IFERROR(INDEX(rngEPtype,MATCH($F730,rngEPcode,0)),"?"))</f>
        <v/>
      </c>
      <c r="I730" s="17">
        <f>IF($F730="","",IFERROR(INDEX(rngEPseq,MATCH($F730,rngEPcode,0)),""))</f>
        <v/>
      </c>
      <c r="J730" s="17">
        <f>IF($F730="","",IFERROR(INDEX(rngEPpass,MATCH($F730,rngEPcode,0)),cfgPassingScore))</f>
        <v/>
      </c>
      <c r="K730" s="16" t="n"/>
      <c r="L730" s="16" t="n"/>
      <c r="M730" s="17">
        <f>IF($C730="","",IF($L730="","",IF(NOT(ISNUMBER($L730)),$L730,IF(N($K730)&gt;2,"",IF($K730=1,IF(COUNTIFS(nrES_PID,$D730,nrES_Code,$F730,nrES_Att,2,nrES_Raw,"&gt;=0")&gt;0,"",$L730),IF($L730&gt;=$J730,MAX($J730,cfgRetakeRecordedCap),IF(COUNTIFS(nrES_PID,$D730,nrES_Code,$F730,nrES_Att,1)=0,$L730,SUMIFS(nrES_Raw,nrES_PID,$D730,nrES_Code,$F730,nrES_Att,1))))))))</f>
        <v/>
      </c>
      <c r="N730" s="17">
        <f>IF($C730="","",IF($L730="","",IF(NOT(ISNUMBER($L730)),"(not a score)",IF($L730&gt;=$J730,"Yes","No"))))</f>
        <v/>
      </c>
      <c r="O730" s="17">
        <f>IF($C730="","",IF($M730="","",IF(NOT(ISNUMBER($M730)),"(not a score)",IF($M730&gt;=$J730,"Yes","No"))))</f>
        <v/>
      </c>
      <c r="P730" s="17">
        <f>IF($C730="","",IF($K730="","",IF(N($K730)&gt;2,"No",IF(COUNTIFS(nrES_PID,$D730,nrES_Code,$F730,nrES_Att,"&gt;"&amp;$K730,nrES_Att,"&lt;=2",nrES_Raw,"&gt;=0")=0,"Yes","No"))))</f>
        <v/>
      </c>
      <c r="Q730" s="17">
        <f>IF($C730="","",IF($L730="","",IF(AND($K730=1,ISNUMBER($L730),$L730&lt;$J730,COUNTIFS(nrES_PID,$D730,nrES_Code,$F730,nrES_Att,2,nrES_Raw,"&gt;=0")=0),"Yes","No")))</f>
        <v/>
      </c>
      <c r="R730" s="17">
        <f>IF($C730="","",IF($L730="","",IF(AND(N($K730)&gt;=2,ISNUMBER($L730),$L730&lt;$J730),"Yes","No")))</f>
        <v/>
      </c>
      <c r="S730" s="18" t="n"/>
      <c r="T730" s="19">
        <f>IF(OR($C730="",$L730="",$K730&lt;&gt;1,NOT(ISNUMBER($L730)),$L730&gt;=$J730),"",IF($S730="","(enter date)",_xlfn.LET(_xlpm.dn,_xlfn.XLOOKUP($S730,nrCDdate,nrCDnum,"",1),IF(_xlpm.dn="","(after last class day)",_xlfn.LET(_xlpm.dd,_xlfn.XLOOKUP(_xlpm.dn+cfgRetestClassDays,nrCDnum,nrCDdate,""),_xlpm.ok,_xlfn.XLOOKUP(_xlpm.dn+cfgRetestClassDays,nrCDnum,nrCDinsession,"No"),IF(OR(_xlpm.dd="",_xlpm.ok&lt;&gt;"Yes"),"(after last class day)",_xlpm.dd))))))</f>
        <v/>
      </c>
      <c r="U730" s="17">
        <f>IF($C730="","",IF(AND($Y730="Excused",$L730="",N($K730)&lt;=1),"EXCUSED - 1st attempt pending",IF(OR($L730="",$K730&lt;&gt;1,NOT(ISNUMBER($L730)),$L730&gt;=$J730),"",IF(COUNTIFS(nrES_PID,$D730,nrES_Code,$F730,nrES_Att,2,nrES_Raw,"&gt;=0")&gt;0,IF(IFERROR(_xlfn.MINIFS(nrES_Date,nrES_PID,$D730,nrES_Code,$F730,nrES_Att,2,nrES_Raw,"&gt;=0",nrES_Date,"&gt;0"),0)=0,"RETEST UNDATED",IF(NOT(ISNUMBER($T730)),"RETEST DATE UNCHECKED",IF(_xlfn.MINIFS(nrES_Date,nrES_PID,$D730,nrES_Code,$F730,nrES_Att,2,nrES_Raw,"&gt;=0",nrES_Date,"&gt;0")&gt;$T730,"LATE RETEST "&amp;TEXT(_xlfn.MINIFS(nrES_Date,nrES_PID,$D730,nrES_Code,$F730,nrES_Att,2,nrES_Raw,"&gt;=0",nrES_Date,"&gt;0"),"mm/dd")&amp;" (due "&amp;TEXT($T730,"mm/dd")&amp;")","Retested"))),IF(NOT(ISNUMBER($T730)),"CHECK DATE",IF(TODAY()&gt;$T730,"OVERDUE","Due "&amp;TEXT($T730,"mm/dd")))))))</f>
        <v/>
      </c>
      <c r="V730" s="16" t="n"/>
      <c r="W730" s="16" t="n"/>
      <c r="X730" s="17">
        <f>IF($C730="","",IF(AND($L730&lt;&gt;"",NOT(ISNUMBER($L730))),"RAW SCORE NOT A NUMBER",IF(AND(ISNUMBER($L730),OR($L730&lt;0,$L730&gt;100)),"RAW SCORE OUT OF RANGE",IF(AND($Y730="Unexcused",OR($L730="",NOT(ISNUMBER($L730)),$L730&lt;&gt;0)),"UNEXCUSED ABSENCE MUST RECORD 0",IF(COUNTIF(nrES_RecID,$B730)&gt;1,"DUPLICATE RECORD",IF(N($K730)&gt;2,"ATTEMPT 3+ NOT ALLOWED - policy 300.5 permits one retest per exam; this row records nothing",IF(AND($K730=2,COUNTIFS(nrES_PID,$D730,nrES_Code,$F730,nrES_Att,1)=0),"ATTEMPT 2 WITHOUT ATTEMPT 1",IF(AND($K730=2,$L730=""),"RETEST ROW HAS NO SCORE",IF(AND($H730="Final",$L730&lt;&gt;"",IFERROR(INDEX(nrCKfinalExamElig,MATCH($D730,rngCadetPIDs,0)),"")="No"),"FINAL EXAM AFTER FAILED FINAL PT (500.1.H)",IF(AND($K730=2,ISNUMBER($L730),COUNTIFS(nrES_PID,$D730,nrES_Code,$F730,nrES_Att,1)&gt;0,SUMIFS(nrES_Raw,nrES_PID,$D730,nrES_Code,$F730,nrES_Att,1)&gt;=$J730),"RETEST AFTER A PASSING FIRST ATTEMPT","OK"))))))))))</f>
        <v/>
      </c>
      <c r="Y730" s="16" t="n"/>
    </row>
    <row r="731">
      <c r="B731" s="17">
        <f>IF($C731="","",$D731&amp;"-"&amp;$F731&amp;"-"&amp;$K731)</f>
        <v/>
      </c>
      <c r="C731" s="16" t="n"/>
      <c r="D731" s="17">
        <f>IF($C731="","",IFERROR(INDEX(rngCadetPIDs,MATCH($C731,rngCadetNames,0)),"?"))</f>
        <v/>
      </c>
      <c r="E731" s="17">
        <f>IF($D731="","",IFERROR(INDEX(nrCadetAgency,MATCH($D731,rngCadetPIDs,0)),""))</f>
        <v/>
      </c>
      <c r="F731" s="16" t="n"/>
      <c r="G731" s="17">
        <f>IF($F731="","",IFERROR(INDEX(rngEPname,MATCH($F731,rngEPcode,0)),"?"))</f>
        <v/>
      </c>
      <c r="H731" s="17">
        <f>IF($F731="","",IFERROR(INDEX(rngEPtype,MATCH($F731,rngEPcode,0)),"?"))</f>
        <v/>
      </c>
      <c r="I731" s="17">
        <f>IF($F731="","",IFERROR(INDEX(rngEPseq,MATCH($F731,rngEPcode,0)),""))</f>
        <v/>
      </c>
      <c r="J731" s="17">
        <f>IF($F731="","",IFERROR(INDEX(rngEPpass,MATCH($F731,rngEPcode,0)),cfgPassingScore))</f>
        <v/>
      </c>
      <c r="K731" s="16" t="n"/>
      <c r="L731" s="16" t="n"/>
      <c r="M731" s="17">
        <f>IF($C731="","",IF($L731="","",IF(NOT(ISNUMBER($L731)),$L731,IF(N($K731)&gt;2,"",IF($K731=1,IF(COUNTIFS(nrES_PID,$D731,nrES_Code,$F731,nrES_Att,2,nrES_Raw,"&gt;=0")&gt;0,"",$L731),IF($L731&gt;=$J731,MAX($J731,cfgRetakeRecordedCap),IF(COUNTIFS(nrES_PID,$D731,nrES_Code,$F731,nrES_Att,1)=0,$L731,SUMIFS(nrES_Raw,nrES_PID,$D731,nrES_Code,$F731,nrES_Att,1))))))))</f>
        <v/>
      </c>
      <c r="N731" s="17">
        <f>IF($C731="","",IF($L731="","",IF(NOT(ISNUMBER($L731)),"(not a score)",IF($L731&gt;=$J731,"Yes","No"))))</f>
        <v/>
      </c>
      <c r="O731" s="17">
        <f>IF($C731="","",IF($M731="","",IF(NOT(ISNUMBER($M731)),"(not a score)",IF($M731&gt;=$J731,"Yes","No"))))</f>
        <v/>
      </c>
      <c r="P731" s="17">
        <f>IF($C731="","",IF($K731="","",IF(N($K731)&gt;2,"No",IF(COUNTIFS(nrES_PID,$D731,nrES_Code,$F731,nrES_Att,"&gt;"&amp;$K731,nrES_Att,"&lt;=2",nrES_Raw,"&gt;=0")=0,"Yes","No"))))</f>
        <v/>
      </c>
      <c r="Q731" s="17">
        <f>IF($C731="","",IF($L731="","",IF(AND($K731=1,ISNUMBER($L731),$L731&lt;$J731,COUNTIFS(nrES_PID,$D731,nrES_Code,$F731,nrES_Att,2,nrES_Raw,"&gt;=0")=0),"Yes","No")))</f>
        <v/>
      </c>
      <c r="R731" s="17">
        <f>IF($C731="","",IF($L731="","",IF(AND(N($K731)&gt;=2,ISNUMBER($L731),$L731&lt;$J731),"Yes","No")))</f>
        <v/>
      </c>
      <c r="S731" s="18" t="n"/>
      <c r="T731" s="19">
        <f>IF(OR($C731="",$L731="",$K731&lt;&gt;1,NOT(ISNUMBER($L731)),$L731&gt;=$J731),"",IF($S731="","(enter date)",_xlfn.LET(_xlpm.dn,_xlfn.XLOOKUP($S731,nrCDdate,nrCDnum,"",1),IF(_xlpm.dn="","(after last class day)",_xlfn.LET(_xlpm.dd,_xlfn.XLOOKUP(_xlpm.dn+cfgRetestClassDays,nrCDnum,nrCDdate,""),_xlpm.ok,_xlfn.XLOOKUP(_xlpm.dn+cfgRetestClassDays,nrCDnum,nrCDinsession,"No"),IF(OR(_xlpm.dd="",_xlpm.ok&lt;&gt;"Yes"),"(after last class day)",_xlpm.dd))))))</f>
        <v/>
      </c>
      <c r="U731" s="17">
        <f>IF($C731="","",IF(AND($Y731="Excused",$L731="",N($K731)&lt;=1),"EXCUSED - 1st attempt pending",IF(OR($L731="",$K731&lt;&gt;1,NOT(ISNUMBER($L731)),$L731&gt;=$J731),"",IF(COUNTIFS(nrES_PID,$D731,nrES_Code,$F731,nrES_Att,2,nrES_Raw,"&gt;=0")&gt;0,IF(IFERROR(_xlfn.MINIFS(nrES_Date,nrES_PID,$D731,nrES_Code,$F731,nrES_Att,2,nrES_Raw,"&gt;=0",nrES_Date,"&gt;0"),0)=0,"RETEST UNDATED",IF(NOT(ISNUMBER($T731)),"RETEST DATE UNCHECKED",IF(_xlfn.MINIFS(nrES_Date,nrES_PID,$D731,nrES_Code,$F731,nrES_Att,2,nrES_Raw,"&gt;=0",nrES_Date,"&gt;0")&gt;$T731,"LATE RETEST "&amp;TEXT(_xlfn.MINIFS(nrES_Date,nrES_PID,$D731,nrES_Code,$F731,nrES_Att,2,nrES_Raw,"&gt;=0",nrES_Date,"&gt;0"),"mm/dd")&amp;" (due "&amp;TEXT($T731,"mm/dd")&amp;")","Retested"))),IF(NOT(ISNUMBER($T731)),"CHECK DATE",IF(TODAY()&gt;$T731,"OVERDUE","Due "&amp;TEXT($T731,"mm/dd")))))))</f>
        <v/>
      </c>
      <c r="V731" s="16" t="n"/>
      <c r="W731" s="16" t="n"/>
      <c r="X731" s="17">
        <f>IF($C731="","",IF(AND($L731&lt;&gt;"",NOT(ISNUMBER($L731))),"RAW SCORE NOT A NUMBER",IF(AND(ISNUMBER($L731),OR($L731&lt;0,$L731&gt;100)),"RAW SCORE OUT OF RANGE",IF(AND($Y731="Unexcused",OR($L731="",NOT(ISNUMBER($L731)),$L731&lt;&gt;0)),"UNEXCUSED ABSENCE MUST RECORD 0",IF(COUNTIF(nrES_RecID,$B731)&gt;1,"DUPLICATE RECORD",IF(N($K731)&gt;2,"ATTEMPT 3+ NOT ALLOWED - policy 300.5 permits one retest per exam; this row records nothing",IF(AND($K731=2,COUNTIFS(nrES_PID,$D731,nrES_Code,$F731,nrES_Att,1)=0),"ATTEMPT 2 WITHOUT ATTEMPT 1",IF(AND($K731=2,$L731=""),"RETEST ROW HAS NO SCORE",IF(AND($H731="Final",$L731&lt;&gt;"",IFERROR(INDEX(nrCKfinalExamElig,MATCH($D731,rngCadetPIDs,0)),"")="No"),"FINAL EXAM AFTER FAILED FINAL PT (500.1.H)",IF(AND($K731=2,ISNUMBER($L731),COUNTIFS(nrES_PID,$D731,nrES_Code,$F731,nrES_Att,1)&gt;0,SUMIFS(nrES_Raw,nrES_PID,$D731,nrES_Code,$F731,nrES_Att,1)&gt;=$J731),"RETEST AFTER A PASSING FIRST ATTEMPT","OK"))))))))))</f>
        <v/>
      </c>
      <c r="Y731" s="16" t="n"/>
    </row>
    <row r="732">
      <c r="B732" s="17">
        <f>IF($C732="","",$D732&amp;"-"&amp;$F732&amp;"-"&amp;$K732)</f>
        <v/>
      </c>
      <c r="C732" s="16" t="n"/>
      <c r="D732" s="17">
        <f>IF($C732="","",IFERROR(INDEX(rngCadetPIDs,MATCH($C732,rngCadetNames,0)),"?"))</f>
        <v/>
      </c>
      <c r="E732" s="17">
        <f>IF($D732="","",IFERROR(INDEX(nrCadetAgency,MATCH($D732,rngCadetPIDs,0)),""))</f>
        <v/>
      </c>
      <c r="F732" s="16" t="n"/>
      <c r="G732" s="17">
        <f>IF($F732="","",IFERROR(INDEX(rngEPname,MATCH($F732,rngEPcode,0)),"?"))</f>
        <v/>
      </c>
      <c r="H732" s="17">
        <f>IF($F732="","",IFERROR(INDEX(rngEPtype,MATCH($F732,rngEPcode,0)),"?"))</f>
        <v/>
      </c>
      <c r="I732" s="17">
        <f>IF($F732="","",IFERROR(INDEX(rngEPseq,MATCH($F732,rngEPcode,0)),""))</f>
        <v/>
      </c>
      <c r="J732" s="17">
        <f>IF($F732="","",IFERROR(INDEX(rngEPpass,MATCH($F732,rngEPcode,0)),cfgPassingScore))</f>
        <v/>
      </c>
      <c r="K732" s="16" t="n"/>
      <c r="L732" s="16" t="n"/>
      <c r="M732" s="17">
        <f>IF($C732="","",IF($L732="","",IF(NOT(ISNUMBER($L732)),$L732,IF(N($K732)&gt;2,"",IF($K732=1,IF(COUNTIFS(nrES_PID,$D732,nrES_Code,$F732,nrES_Att,2,nrES_Raw,"&gt;=0")&gt;0,"",$L732),IF($L732&gt;=$J732,MAX($J732,cfgRetakeRecordedCap),IF(COUNTIFS(nrES_PID,$D732,nrES_Code,$F732,nrES_Att,1)=0,$L732,SUMIFS(nrES_Raw,nrES_PID,$D732,nrES_Code,$F732,nrES_Att,1))))))))</f>
        <v/>
      </c>
      <c r="N732" s="17">
        <f>IF($C732="","",IF($L732="","",IF(NOT(ISNUMBER($L732)),"(not a score)",IF($L732&gt;=$J732,"Yes","No"))))</f>
        <v/>
      </c>
      <c r="O732" s="17">
        <f>IF($C732="","",IF($M732="","",IF(NOT(ISNUMBER($M732)),"(not a score)",IF($M732&gt;=$J732,"Yes","No"))))</f>
        <v/>
      </c>
      <c r="P732" s="17">
        <f>IF($C732="","",IF($K732="","",IF(N($K732)&gt;2,"No",IF(COUNTIFS(nrES_PID,$D732,nrES_Code,$F732,nrES_Att,"&gt;"&amp;$K732,nrES_Att,"&lt;=2",nrES_Raw,"&gt;=0")=0,"Yes","No"))))</f>
        <v/>
      </c>
      <c r="Q732" s="17">
        <f>IF($C732="","",IF($L732="","",IF(AND($K732=1,ISNUMBER($L732),$L732&lt;$J732,COUNTIFS(nrES_PID,$D732,nrES_Code,$F732,nrES_Att,2,nrES_Raw,"&gt;=0")=0),"Yes","No")))</f>
        <v/>
      </c>
      <c r="R732" s="17">
        <f>IF($C732="","",IF($L732="","",IF(AND(N($K732)&gt;=2,ISNUMBER($L732),$L732&lt;$J732),"Yes","No")))</f>
        <v/>
      </c>
      <c r="S732" s="18" t="n"/>
      <c r="T732" s="19">
        <f>IF(OR($C732="",$L732="",$K732&lt;&gt;1,NOT(ISNUMBER($L732)),$L732&gt;=$J732),"",IF($S732="","(enter date)",_xlfn.LET(_xlpm.dn,_xlfn.XLOOKUP($S732,nrCDdate,nrCDnum,"",1),IF(_xlpm.dn="","(after last class day)",_xlfn.LET(_xlpm.dd,_xlfn.XLOOKUP(_xlpm.dn+cfgRetestClassDays,nrCDnum,nrCDdate,""),_xlpm.ok,_xlfn.XLOOKUP(_xlpm.dn+cfgRetestClassDays,nrCDnum,nrCDinsession,"No"),IF(OR(_xlpm.dd="",_xlpm.ok&lt;&gt;"Yes"),"(after last class day)",_xlpm.dd))))))</f>
        <v/>
      </c>
      <c r="U732" s="17">
        <f>IF($C732="","",IF(AND($Y732="Excused",$L732="",N($K732)&lt;=1),"EXCUSED - 1st attempt pending",IF(OR($L732="",$K732&lt;&gt;1,NOT(ISNUMBER($L732)),$L732&gt;=$J732),"",IF(COUNTIFS(nrES_PID,$D732,nrES_Code,$F732,nrES_Att,2,nrES_Raw,"&gt;=0")&gt;0,IF(IFERROR(_xlfn.MINIFS(nrES_Date,nrES_PID,$D732,nrES_Code,$F732,nrES_Att,2,nrES_Raw,"&gt;=0",nrES_Date,"&gt;0"),0)=0,"RETEST UNDATED",IF(NOT(ISNUMBER($T732)),"RETEST DATE UNCHECKED",IF(_xlfn.MINIFS(nrES_Date,nrES_PID,$D732,nrES_Code,$F732,nrES_Att,2,nrES_Raw,"&gt;=0",nrES_Date,"&gt;0")&gt;$T732,"LATE RETEST "&amp;TEXT(_xlfn.MINIFS(nrES_Date,nrES_PID,$D732,nrES_Code,$F732,nrES_Att,2,nrES_Raw,"&gt;=0",nrES_Date,"&gt;0"),"mm/dd")&amp;" (due "&amp;TEXT($T732,"mm/dd")&amp;")","Retested"))),IF(NOT(ISNUMBER($T732)),"CHECK DATE",IF(TODAY()&gt;$T732,"OVERDUE","Due "&amp;TEXT($T732,"mm/dd")))))))</f>
        <v/>
      </c>
      <c r="V732" s="16" t="n"/>
      <c r="W732" s="16" t="n"/>
      <c r="X732" s="17">
        <f>IF($C732="","",IF(AND($L732&lt;&gt;"",NOT(ISNUMBER($L732))),"RAW SCORE NOT A NUMBER",IF(AND(ISNUMBER($L732),OR($L732&lt;0,$L732&gt;100)),"RAW SCORE OUT OF RANGE",IF(AND($Y732="Unexcused",OR($L732="",NOT(ISNUMBER($L732)),$L732&lt;&gt;0)),"UNEXCUSED ABSENCE MUST RECORD 0",IF(COUNTIF(nrES_RecID,$B732)&gt;1,"DUPLICATE RECORD",IF(N($K732)&gt;2,"ATTEMPT 3+ NOT ALLOWED - policy 300.5 permits one retest per exam; this row records nothing",IF(AND($K732=2,COUNTIFS(nrES_PID,$D732,nrES_Code,$F732,nrES_Att,1)=0),"ATTEMPT 2 WITHOUT ATTEMPT 1",IF(AND($K732=2,$L732=""),"RETEST ROW HAS NO SCORE",IF(AND($H732="Final",$L732&lt;&gt;"",IFERROR(INDEX(nrCKfinalExamElig,MATCH($D732,rngCadetPIDs,0)),"")="No"),"FINAL EXAM AFTER FAILED FINAL PT (500.1.H)",IF(AND($K732=2,ISNUMBER($L732),COUNTIFS(nrES_PID,$D732,nrES_Code,$F732,nrES_Att,1)&gt;0,SUMIFS(nrES_Raw,nrES_PID,$D732,nrES_Code,$F732,nrES_Att,1)&gt;=$J732),"RETEST AFTER A PASSING FIRST ATTEMPT","OK"))))))))))</f>
        <v/>
      </c>
      <c r="Y732" s="16" t="n"/>
    </row>
    <row r="733">
      <c r="B733" s="17">
        <f>IF($C733="","",$D733&amp;"-"&amp;$F733&amp;"-"&amp;$K733)</f>
        <v/>
      </c>
      <c r="C733" s="16" t="n"/>
      <c r="D733" s="17">
        <f>IF($C733="","",IFERROR(INDEX(rngCadetPIDs,MATCH($C733,rngCadetNames,0)),"?"))</f>
        <v/>
      </c>
      <c r="E733" s="17">
        <f>IF($D733="","",IFERROR(INDEX(nrCadetAgency,MATCH($D733,rngCadetPIDs,0)),""))</f>
        <v/>
      </c>
      <c r="F733" s="16" t="n"/>
      <c r="G733" s="17">
        <f>IF($F733="","",IFERROR(INDEX(rngEPname,MATCH($F733,rngEPcode,0)),"?"))</f>
        <v/>
      </c>
      <c r="H733" s="17">
        <f>IF($F733="","",IFERROR(INDEX(rngEPtype,MATCH($F733,rngEPcode,0)),"?"))</f>
        <v/>
      </c>
      <c r="I733" s="17">
        <f>IF($F733="","",IFERROR(INDEX(rngEPseq,MATCH($F733,rngEPcode,0)),""))</f>
        <v/>
      </c>
      <c r="J733" s="17">
        <f>IF($F733="","",IFERROR(INDEX(rngEPpass,MATCH($F733,rngEPcode,0)),cfgPassingScore))</f>
        <v/>
      </c>
      <c r="K733" s="16" t="n"/>
      <c r="L733" s="16" t="n"/>
      <c r="M733" s="17">
        <f>IF($C733="","",IF($L733="","",IF(NOT(ISNUMBER($L733)),$L733,IF(N($K733)&gt;2,"",IF($K733=1,IF(COUNTIFS(nrES_PID,$D733,nrES_Code,$F733,nrES_Att,2,nrES_Raw,"&gt;=0")&gt;0,"",$L733),IF($L733&gt;=$J733,MAX($J733,cfgRetakeRecordedCap),IF(COUNTIFS(nrES_PID,$D733,nrES_Code,$F733,nrES_Att,1)=0,$L733,SUMIFS(nrES_Raw,nrES_PID,$D733,nrES_Code,$F733,nrES_Att,1))))))))</f>
        <v/>
      </c>
      <c r="N733" s="17">
        <f>IF($C733="","",IF($L733="","",IF(NOT(ISNUMBER($L733)),"(not a score)",IF($L733&gt;=$J733,"Yes","No"))))</f>
        <v/>
      </c>
      <c r="O733" s="17">
        <f>IF($C733="","",IF($M733="","",IF(NOT(ISNUMBER($M733)),"(not a score)",IF($M733&gt;=$J733,"Yes","No"))))</f>
        <v/>
      </c>
      <c r="P733" s="17">
        <f>IF($C733="","",IF($K733="","",IF(N($K733)&gt;2,"No",IF(COUNTIFS(nrES_PID,$D733,nrES_Code,$F733,nrES_Att,"&gt;"&amp;$K733,nrES_Att,"&lt;=2",nrES_Raw,"&gt;=0")=0,"Yes","No"))))</f>
        <v/>
      </c>
      <c r="Q733" s="17">
        <f>IF($C733="","",IF($L733="","",IF(AND($K733=1,ISNUMBER($L733),$L733&lt;$J733,COUNTIFS(nrES_PID,$D733,nrES_Code,$F733,nrES_Att,2,nrES_Raw,"&gt;=0")=0),"Yes","No")))</f>
        <v/>
      </c>
      <c r="R733" s="17">
        <f>IF($C733="","",IF($L733="","",IF(AND(N($K733)&gt;=2,ISNUMBER($L733),$L733&lt;$J733),"Yes","No")))</f>
        <v/>
      </c>
      <c r="S733" s="18" t="n"/>
      <c r="T733" s="19">
        <f>IF(OR($C733="",$L733="",$K733&lt;&gt;1,NOT(ISNUMBER($L733)),$L733&gt;=$J733),"",IF($S733="","(enter date)",_xlfn.LET(_xlpm.dn,_xlfn.XLOOKUP($S733,nrCDdate,nrCDnum,"",1),IF(_xlpm.dn="","(after last class day)",_xlfn.LET(_xlpm.dd,_xlfn.XLOOKUP(_xlpm.dn+cfgRetestClassDays,nrCDnum,nrCDdate,""),_xlpm.ok,_xlfn.XLOOKUP(_xlpm.dn+cfgRetestClassDays,nrCDnum,nrCDinsession,"No"),IF(OR(_xlpm.dd="",_xlpm.ok&lt;&gt;"Yes"),"(after last class day)",_xlpm.dd))))))</f>
        <v/>
      </c>
      <c r="U733" s="17">
        <f>IF($C733="","",IF(AND($Y733="Excused",$L733="",N($K733)&lt;=1),"EXCUSED - 1st attempt pending",IF(OR($L733="",$K733&lt;&gt;1,NOT(ISNUMBER($L733)),$L733&gt;=$J733),"",IF(COUNTIFS(nrES_PID,$D733,nrES_Code,$F733,nrES_Att,2,nrES_Raw,"&gt;=0")&gt;0,IF(IFERROR(_xlfn.MINIFS(nrES_Date,nrES_PID,$D733,nrES_Code,$F733,nrES_Att,2,nrES_Raw,"&gt;=0",nrES_Date,"&gt;0"),0)=0,"RETEST UNDATED",IF(NOT(ISNUMBER($T733)),"RETEST DATE UNCHECKED",IF(_xlfn.MINIFS(nrES_Date,nrES_PID,$D733,nrES_Code,$F733,nrES_Att,2,nrES_Raw,"&gt;=0",nrES_Date,"&gt;0")&gt;$T733,"LATE RETEST "&amp;TEXT(_xlfn.MINIFS(nrES_Date,nrES_PID,$D733,nrES_Code,$F733,nrES_Att,2,nrES_Raw,"&gt;=0",nrES_Date,"&gt;0"),"mm/dd")&amp;" (due "&amp;TEXT($T733,"mm/dd")&amp;")","Retested"))),IF(NOT(ISNUMBER($T733)),"CHECK DATE",IF(TODAY()&gt;$T733,"OVERDUE","Due "&amp;TEXT($T733,"mm/dd")))))))</f>
        <v/>
      </c>
      <c r="V733" s="16" t="n"/>
      <c r="W733" s="16" t="n"/>
      <c r="X733" s="17">
        <f>IF($C733="","",IF(AND($L733&lt;&gt;"",NOT(ISNUMBER($L733))),"RAW SCORE NOT A NUMBER",IF(AND(ISNUMBER($L733),OR($L733&lt;0,$L733&gt;100)),"RAW SCORE OUT OF RANGE",IF(AND($Y733="Unexcused",OR($L733="",NOT(ISNUMBER($L733)),$L733&lt;&gt;0)),"UNEXCUSED ABSENCE MUST RECORD 0",IF(COUNTIF(nrES_RecID,$B733)&gt;1,"DUPLICATE RECORD",IF(N($K733)&gt;2,"ATTEMPT 3+ NOT ALLOWED - policy 300.5 permits one retest per exam; this row records nothing",IF(AND($K733=2,COUNTIFS(nrES_PID,$D733,nrES_Code,$F733,nrES_Att,1)=0),"ATTEMPT 2 WITHOUT ATTEMPT 1",IF(AND($K733=2,$L733=""),"RETEST ROW HAS NO SCORE",IF(AND($H733="Final",$L733&lt;&gt;"",IFERROR(INDEX(nrCKfinalExamElig,MATCH($D733,rngCadetPIDs,0)),"")="No"),"FINAL EXAM AFTER FAILED FINAL PT (500.1.H)",IF(AND($K733=2,ISNUMBER($L733),COUNTIFS(nrES_PID,$D733,nrES_Code,$F733,nrES_Att,1)&gt;0,SUMIFS(nrES_Raw,nrES_PID,$D733,nrES_Code,$F733,nrES_Att,1)&gt;=$J733),"RETEST AFTER A PASSING FIRST ATTEMPT","OK"))))))))))</f>
        <v/>
      </c>
      <c r="Y733" s="16" t="n"/>
    </row>
    <row r="734">
      <c r="B734" s="17">
        <f>IF($C734="","",$D734&amp;"-"&amp;$F734&amp;"-"&amp;$K734)</f>
        <v/>
      </c>
      <c r="C734" s="16" t="n"/>
      <c r="D734" s="17">
        <f>IF($C734="","",IFERROR(INDEX(rngCadetPIDs,MATCH($C734,rngCadetNames,0)),"?"))</f>
        <v/>
      </c>
      <c r="E734" s="17">
        <f>IF($D734="","",IFERROR(INDEX(nrCadetAgency,MATCH($D734,rngCadetPIDs,0)),""))</f>
        <v/>
      </c>
      <c r="F734" s="16" t="n"/>
      <c r="G734" s="17">
        <f>IF($F734="","",IFERROR(INDEX(rngEPname,MATCH($F734,rngEPcode,0)),"?"))</f>
        <v/>
      </c>
      <c r="H734" s="17">
        <f>IF($F734="","",IFERROR(INDEX(rngEPtype,MATCH($F734,rngEPcode,0)),"?"))</f>
        <v/>
      </c>
      <c r="I734" s="17">
        <f>IF($F734="","",IFERROR(INDEX(rngEPseq,MATCH($F734,rngEPcode,0)),""))</f>
        <v/>
      </c>
      <c r="J734" s="17">
        <f>IF($F734="","",IFERROR(INDEX(rngEPpass,MATCH($F734,rngEPcode,0)),cfgPassingScore))</f>
        <v/>
      </c>
      <c r="K734" s="16" t="n"/>
      <c r="L734" s="16" t="n"/>
      <c r="M734" s="17">
        <f>IF($C734="","",IF($L734="","",IF(NOT(ISNUMBER($L734)),$L734,IF(N($K734)&gt;2,"",IF($K734=1,IF(COUNTIFS(nrES_PID,$D734,nrES_Code,$F734,nrES_Att,2,nrES_Raw,"&gt;=0")&gt;0,"",$L734),IF($L734&gt;=$J734,MAX($J734,cfgRetakeRecordedCap),IF(COUNTIFS(nrES_PID,$D734,nrES_Code,$F734,nrES_Att,1)=0,$L734,SUMIFS(nrES_Raw,nrES_PID,$D734,nrES_Code,$F734,nrES_Att,1))))))))</f>
        <v/>
      </c>
      <c r="N734" s="17">
        <f>IF($C734="","",IF($L734="","",IF(NOT(ISNUMBER($L734)),"(not a score)",IF($L734&gt;=$J734,"Yes","No"))))</f>
        <v/>
      </c>
      <c r="O734" s="17">
        <f>IF($C734="","",IF($M734="","",IF(NOT(ISNUMBER($M734)),"(not a score)",IF($M734&gt;=$J734,"Yes","No"))))</f>
        <v/>
      </c>
      <c r="P734" s="17">
        <f>IF($C734="","",IF($K734="","",IF(N($K734)&gt;2,"No",IF(COUNTIFS(nrES_PID,$D734,nrES_Code,$F734,nrES_Att,"&gt;"&amp;$K734,nrES_Att,"&lt;=2",nrES_Raw,"&gt;=0")=0,"Yes","No"))))</f>
        <v/>
      </c>
      <c r="Q734" s="17">
        <f>IF($C734="","",IF($L734="","",IF(AND($K734=1,ISNUMBER($L734),$L734&lt;$J734,COUNTIFS(nrES_PID,$D734,nrES_Code,$F734,nrES_Att,2,nrES_Raw,"&gt;=0")=0),"Yes","No")))</f>
        <v/>
      </c>
      <c r="R734" s="17">
        <f>IF($C734="","",IF($L734="","",IF(AND(N($K734)&gt;=2,ISNUMBER($L734),$L734&lt;$J734),"Yes","No")))</f>
        <v/>
      </c>
      <c r="S734" s="18" t="n"/>
      <c r="T734" s="19">
        <f>IF(OR($C734="",$L734="",$K734&lt;&gt;1,NOT(ISNUMBER($L734)),$L734&gt;=$J734),"",IF($S734="","(enter date)",_xlfn.LET(_xlpm.dn,_xlfn.XLOOKUP($S734,nrCDdate,nrCDnum,"",1),IF(_xlpm.dn="","(after last class day)",_xlfn.LET(_xlpm.dd,_xlfn.XLOOKUP(_xlpm.dn+cfgRetestClassDays,nrCDnum,nrCDdate,""),_xlpm.ok,_xlfn.XLOOKUP(_xlpm.dn+cfgRetestClassDays,nrCDnum,nrCDinsession,"No"),IF(OR(_xlpm.dd="",_xlpm.ok&lt;&gt;"Yes"),"(after last class day)",_xlpm.dd))))))</f>
        <v/>
      </c>
      <c r="U734" s="17">
        <f>IF($C734="","",IF(AND($Y734="Excused",$L734="",N($K734)&lt;=1),"EXCUSED - 1st attempt pending",IF(OR($L734="",$K734&lt;&gt;1,NOT(ISNUMBER($L734)),$L734&gt;=$J734),"",IF(COUNTIFS(nrES_PID,$D734,nrES_Code,$F734,nrES_Att,2,nrES_Raw,"&gt;=0")&gt;0,IF(IFERROR(_xlfn.MINIFS(nrES_Date,nrES_PID,$D734,nrES_Code,$F734,nrES_Att,2,nrES_Raw,"&gt;=0",nrES_Date,"&gt;0"),0)=0,"RETEST UNDATED",IF(NOT(ISNUMBER($T734)),"RETEST DATE UNCHECKED",IF(_xlfn.MINIFS(nrES_Date,nrES_PID,$D734,nrES_Code,$F734,nrES_Att,2,nrES_Raw,"&gt;=0",nrES_Date,"&gt;0")&gt;$T734,"LATE RETEST "&amp;TEXT(_xlfn.MINIFS(nrES_Date,nrES_PID,$D734,nrES_Code,$F734,nrES_Att,2,nrES_Raw,"&gt;=0",nrES_Date,"&gt;0"),"mm/dd")&amp;" (due "&amp;TEXT($T734,"mm/dd")&amp;")","Retested"))),IF(NOT(ISNUMBER($T734)),"CHECK DATE",IF(TODAY()&gt;$T734,"OVERDUE","Due "&amp;TEXT($T734,"mm/dd")))))))</f>
        <v/>
      </c>
      <c r="V734" s="16" t="n"/>
      <c r="W734" s="16" t="n"/>
      <c r="X734" s="17">
        <f>IF($C734="","",IF(AND($L734&lt;&gt;"",NOT(ISNUMBER($L734))),"RAW SCORE NOT A NUMBER",IF(AND(ISNUMBER($L734),OR($L734&lt;0,$L734&gt;100)),"RAW SCORE OUT OF RANGE",IF(AND($Y734="Unexcused",OR($L734="",NOT(ISNUMBER($L734)),$L734&lt;&gt;0)),"UNEXCUSED ABSENCE MUST RECORD 0",IF(COUNTIF(nrES_RecID,$B734)&gt;1,"DUPLICATE RECORD",IF(N($K734)&gt;2,"ATTEMPT 3+ NOT ALLOWED - policy 300.5 permits one retest per exam; this row records nothing",IF(AND($K734=2,COUNTIFS(nrES_PID,$D734,nrES_Code,$F734,nrES_Att,1)=0),"ATTEMPT 2 WITHOUT ATTEMPT 1",IF(AND($K734=2,$L734=""),"RETEST ROW HAS NO SCORE",IF(AND($H734="Final",$L734&lt;&gt;"",IFERROR(INDEX(nrCKfinalExamElig,MATCH($D734,rngCadetPIDs,0)),"")="No"),"FINAL EXAM AFTER FAILED FINAL PT (500.1.H)",IF(AND($K734=2,ISNUMBER($L734),COUNTIFS(nrES_PID,$D734,nrES_Code,$F734,nrES_Att,1)&gt;0,SUMIFS(nrES_Raw,nrES_PID,$D734,nrES_Code,$F734,nrES_Att,1)&gt;=$J734),"RETEST AFTER A PASSING FIRST ATTEMPT","OK"))))))))))</f>
        <v/>
      </c>
      <c r="Y734" s="16" t="n"/>
    </row>
    <row r="735">
      <c r="B735" s="17">
        <f>IF($C735="","",$D735&amp;"-"&amp;$F735&amp;"-"&amp;$K735)</f>
        <v/>
      </c>
      <c r="C735" s="16" t="n"/>
      <c r="D735" s="17">
        <f>IF($C735="","",IFERROR(INDEX(rngCadetPIDs,MATCH($C735,rngCadetNames,0)),"?"))</f>
        <v/>
      </c>
      <c r="E735" s="17">
        <f>IF($D735="","",IFERROR(INDEX(nrCadetAgency,MATCH($D735,rngCadetPIDs,0)),""))</f>
        <v/>
      </c>
      <c r="F735" s="16" t="n"/>
      <c r="G735" s="17">
        <f>IF($F735="","",IFERROR(INDEX(rngEPname,MATCH($F735,rngEPcode,0)),"?"))</f>
        <v/>
      </c>
      <c r="H735" s="17">
        <f>IF($F735="","",IFERROR(INDEX(rngEPtype,MATCH($F735,rngEPcode,0)),"?"))</f>
        <v/>
      </c>
      <c r="I735" s="17">
        <f>IF($F735="","",IFERROR(INDEX(rngEPseq,MATCH($F735,rngEPcode,0)),""))</f>
        <v/>
      </c>
      <c r="J735" s="17">
        <f>IF($F735="","",IFERROR(INDEX(rngEPpass,MATCH($F735,rngEPcode,0)),cfgPassingScore))</f>
        <v/>
      </c>
      <c r="K735" s="16" t="n"/>
      <c r="L735" s="16" t="n"/>
      <c r="M735" s="17">
        <f>IF($C735="","",IF($L735="","",IF(NOT(ISNUMBER($L735)),$L735,IF(N($K735)&gt;2,"",IF($K735=1,IF(COUNTIFS(nrES_PID,$D735,nrES_Code,$F735,nrES_Att,2,nrES_Raw,"&gt;=0")&gt;0,"",$L735),IF($L735&gt;=$J735,MAX($J735,cfgRetakeRecordedCap),IF(COUNTIFS(nrES_PID,$D735,nrES_Code,$F735,nrES_Att,1)=0,$L735,SUMIFS(nrES_Raw,nrES_PID,$D735,nrES_Code,$F735,nrES_Att,1))))))))</f>
        <v/>
      </c>
      <c r="N735" s="17">
        <f>IF($C735="","",IF($L735="","",IF(NOT(ISNUMBER($L735)),"(not a score)",IF($L735&gt;=$J735,"Yes","No"))))</f>
        <v/>
      </c>
      <c r="O735" s="17">
        <f>IF($C735="","",IF($M735="","",IF(NOT(ISNUMBER($M735)),"(not a score)",IF($M735&gt;=$J735,"Yes","No"))))</f>
        <v/>
      </c>
      <c r="P735" s="17">
        <f>IF($C735="","",IF($K735="","",IF(N($K735)&gt;2,"No",IF(COUNTIFS(nrES_PID,$D735,nrES_Code,$F735,nrES_Att,"&gt;"&amp;$K735,nrES_Att,"&lt;=2",nrES_Raw,"&gt;=0")=0,"Yes","No"))))</f>
        <v/>
      </c>
      <c r="Q735" s="17">
        <f>IF($C735="","",IF($L735="","",IF(AND($K735=1,ISNUMBER($L735),$L735&lt;$J735,COUNTIFS(nrES_PID,$D735,nrES_Code,$F735,nrES_Att,2,nrES_Raw,"&gt;=0")=0),"Yes","No")))</f>
        <v/>
      </c>
      <c r="R735" s="17">
        <f>IF($C735="","",IF($L735="","",IF(AND(N($K735)&gt;=2,ISNUMBER($L735),$L735&lt;$J735),"Yes","No")))</f>
        <v/>
      </c>
      <c r="S735" s="18" t="n"/>
      <c r="T735" s="19">
        <f>IF(OR($C735="",$L735="",$K735&lt;&gt;1,NOT(ISNUMBER($L735)),$L735&gt;=$J735),"",IF($S735="","(enter date)",_xlfn.LET(_xlpm.dn,_xlfn.XLOOKUP($S735,nrCDdate,nrCDnum,"",1),IF(_xlpm.dn="","(after last class day)",_xlfn.LET(_xlpm.dd,_xlfn.XLOOKUP(_xlpm.dn+cfgRetestClassDays,nrCDnum,nrCDdate,""),_xlpm.ok,_xlfn.XLOOKUP(_xlpm.dn+cfgRetestClassDays,nrCDnum,nrCDinsession,"No"),IF(OR(_xlpm.dd="",_xlpm.ok&lt;&gt;"Yes"),"(after last class day)",_xlpm.dd))))))</f>
        <v/>
      </c>
      <c r="U735" s="17">
        <f>IF($C735="","",IF(AND($Y735="Excused",$L735="",N($K735)&lt;=1),"EXCUSED - 1st attempt pending",IF(OR($L735="",$K735&lt;&gt;1,NOT(ISNUMBER($L735)),$L735&gt;=$J735),"",IF(COUNTIFS(nrES_PID,$D735,nrES_Code,$F735,nrES_Att,2,nrES_Raw,"&gt;=0")&gt;0,IF(IFERROR(_xlfn.MINIFS(nrES_Date,nrES_PID,$D735,nrES_Code,$F735,nrES_Att,2,nrES_Raw,"&gt;=0",nrES_Date,"&gt;0"),0)=0,"RETEST UNDATED",IF(NOT(ISNUMBER($T735)),"RETEST DATE UNCHECKED",IF(_xlfn.MINIFS(nrES_Date,nrES_PID,$D735,nrES_Code,$F735,nrES_Att,2,nrES_Raw,"&gt;=0",nrES_Date,"&gt;0")&gt;$T735,"LATE RETEST "&amp;TEXT(_xlfn.MINIFS(nrES_Date,nrES_PID,$D735,nrES_Code,$F735,nrES_Att,2,nrES_Raw,"&gt;=0",nrES_Date,"&gt;0"),"mm/dd")&amp;" (due "&amp;TEXT($T735,"mm/dd")&amp;")","Retested"))),IF(NOT(ISNUMBER($T735)),"CHECK DATE",IF(TODAY()&gt;$T735,"OVERDUE","Due "&amp;TEXT($T735,"mm/dd")))))))</f>
        <v/>
      </c>
      <c r="V735" s="16" t="n"/>
      <c r="W735" s="16" t="n"/>
      <c r="X735" s="17">
        <f>IF($C735="","",IF(AND($L735&lt;&gt;"",NOT(ISNUMBER($L735))),"RAW SCORE NOT A NUMBER",IF(AND(ISNUMBER($L735),OR($L735&lt;0,$L735&gt;100)),"RAW SCORE OUT OF RANGE",IF(AND($Y735="Unexcused",OR($L735="",NOT(ISNUMBER($L735)),$L735&lt;&gt;0)),"UNEXCUSED ABSENCE MUST RECORD 0",IF(COUNTIF(nrES_RecID,$B735)&gt;1,"DUPLICATE RECORD",IF(N($K735)&gt;2,"ATTEMPT 3+ NOT ALLOWED - policy 300.5 permits one retest per exam; this row records nothing",IF(AND($K735=2,COUNTIFS(nrES_PID,$D735,nrES_Code,$F735,nrES_Att,1)=0),"ATTEMPT 2 WITHOUT ATTEMPT 1",IF(AND($K735=2,$L735=""),"RETEST ROW HAS NO SCORE",IF(AND($H735="Final",$L735&lt;&gt;"",IFERROR(INDEX(nrCKfinalExamElig,MATCH($D735,rngCadetPIDs,0)),"")="No"),"FINAL EXAM AFTER FAILED FINAL PT (500.1.H)",IF(AND($K735=2,ISNUMBER($L735),COUNTIFS(nrES_PID,$D735,nrES_Code,$F735,nrES_Att,1)&gt;0,SUMIFS(nrES_Raw,nrES_PID,$D735,nrES_Code,$F735,nrES_Att,1)&gt;=$J735),"RETEST AFTER A PASSING FIRST ATTEMPT","OK"))))))))))</f>
        <v/>
      </c>
      <c r="Y735" s="16" t="n"/>
    </row>
    <row r="736">
      <c r="B736" s="17">
        <f>IF($C736="","",$D736&amp;"-"&amp;$F736&amp;"-"&amp;$K736)</f>
        <v/>
      </c>
      <c r="C736" s="16" t="n"/>
      <c r="D736" s="17">
        <f>IF($C736="","",IFERROR(INDEX(rngCadetPIDs,MATCH($C736,rngCadetNames,0)),"?"))</f>
        <v/>
      </c>
      <c r="E736" s="17">
        <f>IF($D736="","",IFERROR(INDEX(nrCadetAgency,MATCH($D736,rngCadetPIDs,0)),""))</f>
        <v/>
      </c>
      <c r="F736" s="16" t="n"/>
      <c r="G736" s="17">
        <f>IF($F736="","",IFERROR(INDEX(rngEPname,MATCH($F736,rngEPcode,0)),"?"))</f>
        <v/>
      </c>
      <c r="H736" s="17">
        <f>IF($F736="","",IFERROR(INDEX(rngEPtype,MATCH($F736,rngEPcode,0)),"?"))</f>
        <v/>
      </c>
      <c r="I736" s="17">
        <f>IF($F736="","",IFERROR(INDEX(rngEPseq,MATCH($F736,rngEPcode,0)),""))</f>
        <v/>
      </c>
      <c r="J736" s="17">
        <f>IF($F736="","",IFERROR(INDEX(rngEPpass,MATCH($F736,rngEPcode,0)),cfgPassingScore))</f>
        <v/>
      </c>
      <c r="K736" s="16" t="n"/>
      <c r="L736" s="16" t="n"/>
      <c r="M736" s="17">
        <f>IF($C736="","",IF($L736="","",IF(NOT(ISNUMBER($L736)),$L736,IF(N($K736)&gt;2,"",IF($K736=1,IF(COUNTIFS(nrES_PID,$D736,nrES_Code,$F736,nrES_Att,2,nrES_Raw,"&gt;=0")&gt;0,"",$L736),IF($L736&gt;=$J736,MAX($J736,cfgRetakeRecordedCap),IF(COUNTIFS(nrES_PID,$D736,nrES_Code,$F736,nrES_Att,1)=0,$L736,SUMIFS(nrES_Raw,nrES_PID,$D736,nrES_Code,$F736,nrES_Att,1))))))))</f>
        <v/>
      </c>
      <c r="N736" s="17">
        <f>IF($C736="","",IF($L736="","",IF(NOT(ISNUMBER($L736)),"(not a score)",IF($L736&gt;=$J736,"Yes","No"))))</f>
        <v/>
      </c>
      <c r="O736" s="17">
        <f>IF($C736="","",IF($M736="","",IF(NOT(ISNUMBER($M736)),"(not a score)",IF($M736&gt;=$J736,"Yes","No"))))</f>
        <v/>
      </c>
      <c r="P736" s="17">
        <f>IF($C736="","",IF($K736="","",IF(N($K736)&gt;2,"No",IF(COUNTIFS(nrES_PID,$D736,nrES_Code,$F736,nrES_Att,"&gt;"&amp;$K736,nrES_Att,"&lt;=2",nrES_Raw,"&gt;=0")=0,"Yes","No"))))</f>
        <v/>
      </c>
      <c r="Q736" s="17">
        <f>IF($C736="","",IF($L736="","",IF(AND($K736=1,ISNUMBER($L736),$L736&lt;$J736,COUNTIFS(nrES_PID,$D736,nrES_Code,$F736,nrES_Att,2,nrES_Raw,"&gt;=0")=0),"Yes","No")))</f>
        <v/>
      </c>
      <c r="R736" s="17">
        <f>IF($C736="","",IF($L736="","",IF(AND(N($K736)&gt;=2,ISNUMBER($L736),$L736&lt;$J736),"Yes","No")))</f>
        <v/>
      </c>
      <c r="S736" s="18" t="n"/>
      <c r="T736" s="19">
        <f>IF(OR($C736="",$L736="",$K736&lt;&gt;1,NOT(ISNUMBER($L736)),$L736&gt;=$J736),"",IF($S736="","(enter date)",_xlfn.LET(_xlpm.dn,_xlfn.XLOOKUP($S736,nrCDdate,nrCDnum,"",1),IF(_xlpm.dn="","(after last class day)",_xlfn.LET(_xlpm.dd,_xlfn.XLOOKUP(_xlpm.dn+cfgRetestClassDays,nrCDnum,nrCDdate,""),_xlpm.ok,_xlfn.XLOOKUP(_xlpm.dn+cfgRetestClassDays,nrCDnum,nrCDinsession,"No"),IF(OR(_xlpm.dd="",_xlpm.ok&lt;&gt;"Yes"),"(after last class day)",_xlpm.dd))))))</f>
        <v/>
      </c>
      <c r="U736" s="17">
        <f>IF($C736="","",IF(AND($Y736="Excused",$L736="",N($K736)&lt;=1),"EXCUSED - 1st attempt pending",IF(OR($L736="",$K736&lt;&gt;1,NOT(ISNUMBER($L736)),$L736&gt;=$J736),"",IF(COUNTIFS(nrES_PID,$D736,nrES_Code,$F736,nrES_Att,2,nrES_Raw,"&gt;=0")&gt;0,IF(IFERROR(_xlfn.MINIFS(nrES_Date,nrES_PID,$D736,nrES_Code,$F736,nrES_Att,2,nrES_Raw,"&gt;=0",nrES_Date,"&gt;0"),0)=0,"RETEST UNDATED",IF(NOT(ISNUMBER($T736)),"RETEST DATE UNCHECKED",IF(_xlfn.MINIFS(nrES_Date,nrES_PID,$D736,nrES_Code,$F736,nrES_Att,2,nrES_Raw,"&gt;=0",nrES_Date,"&gt;0")&gt;$T736,"LATE RETEST "&amp;TEXT(_xlfn.MINIFS(nrES_Date,nrES_PID,$D736,nrES_Code,$F736,nrES_Att,2,nrES_Raw,"&gt;=0",nrES_Date,"&gt;0"),"mm/dd")&amp;" (due "&amp;TEXT($T736,"mm/dd")&amp;")","Retested"))),IF(NOT(ISNUMBER($T736)),"CHECK DATE",IF(TODAY()&gt;$T736,"OVERDUE","Due "&amp;TEXT($T736,"mm/dd")))))))</f>
        <v/>
      </c>
      <c r="V736" s="16" t="n"/>
      <c r="W736" s="16" t="n"/>
      <c r="X736" s="17">
        <f>IF($C736="","",IF(AND($L736&lt;&gt;"",NOT(ISNUMBER($L736))),"RAW SCORE NOT A NUMBER",IF(AND(ISNUMBER($L736),OR($L736&lt;0,$L736&gt;100)),"RAW SCORE OUT OF RANGE",IF(AND($Y736="Unexcused",OR($L736="",NOT(ISNUMBER($L736)),$L736&lt;&gt;0)),"UNEXCUSED ABSENCE MUST RECORD 0",IF(COUNTIF(nrES_RecID,$B736)&gt;1,"DUPLICATE RECORD",IF(N($K736)&gt;2,"ATTEMPT 3+ NOT ALLOWED - policy 300.5 permits one retest per exam; this row records nothing",IF(AND($K736=2,COUNTIFS(nrES_PID,$D736,nrES_Code,$F736,nrES_Att,1)=0),"ATTEMPT 2 WITHOUT ATTEMPT 1",IF(AND($K736=2,$L736=""),"RETEST ROW HAS NO SCORE",IF(AND($H736="Final",$L736&lt;&gt;"",IFERROR(INDEX(nrCKfinalExamElig,MATCH($D736,rngCadetPIDs,0)),"")="No"),"FINAL EXAM AFTER FAILED FINAL PT (500.1.H)",IF(AND($K736=2,ISNUMBER($L736),COUNTIFS(nrES_PID,$D736,nrES_Code,$F736,nrES_Att,1)&gt;0,SUMIFS(nrES_Raw,nrES_PID,$D736,nrES_Code,$F736,nrES_Att,1)&gt;=$J736),"RETEST AFTER A PASSING FIRST ATTEMPT","OK"))))))))))</f>
        <v/>
      </c>
      <c r="Y736" s="16" t="n"/>
    </row>
    <row r="737">
      <c r="B737" s="17">
        <f>IF($C737="","",$D737&amp;"-"&amp;$F737&amp;"-"&amp;$K737)</f>
        <v/>
      </c>
      <c r="C737" s="16" t="n"/>
      <c r="D737" s="17">
        <f>IF($C737="","",IFERROR(INDEX(rngCadetPIDs,MATCH($C737,rngCadetNames,0)),"?"))</f>
        <v/>
      </c>
      <c r="E737" s="17">
        <f>IF($D737="","",IFERROR(INDEX(nrCadetAgency,MATCH($D737,rngCadetPIDs,0)),""))</f>
        <v/>
      </c>
      <c r="F737" s="16" t="n"/>
      <c r="G737" s="17">
        <f>IF($F737="","",IFERROR(INDEX(rngEPname,MATCH($F737,rngEPcode,0)),"?"))</f>
        <v/>
      </c>
      <c r="H737" s="17">
        <f>IF($F737="","",IFERROR(INDEX(rngEPtype,MATCH($F737,rngEPcode,0)),"?"))</f>
        <v/>
      </c>
      <c r="I737" s="17">
        <f>IF($F737="","",IFERROR(INDEX(rngEPseq,MATCH($F737,rngEPcode,0)),""))</f>
        <v/>
      </c>
      <c r="J737" s="17">
        <f>IF($F737="","",IFERROR(INDEX(rngEPpass,MATCH($F737,rngEPcode,0)),cfgPassingScore))</f>
        <v/>
      </c>
      <c r="K737" s="16" t="n"/>
      <c r="L737" s="16" t="n"/>
      <c r="M737" s="17">
        <f>IF($C737="","",IF($L737="","",IF(NOT(ISNUMBER($L737)),$L737,IF(N($K737)&gt;2,"",IF($K737=1,IF(COUNTIFS(nrES_PID,$D737,nrES_Code,$F737,nrES_Att,2,nrES_Raw,"&gt;=0")&gt;0,"",$L737),IF($L737&gt;=$J737,MAX($J737,cfgRetakeRecordedCap),IF(COUNTIFS(nrES_PID,$D737,nrES_Code,$F737,nrES_Att,1)=0,$L737,SUMIFS(nrES_Raw,nrES_PID,$D737,nrES_Code,$F737,nrES_Att,1))))))))</f>
        <v/>
      </c>
      <c r="N737" s="17">
        <f>IF($C737="","",IF($L737="","",IF(NOT(ISNUMBER($L737)),"(not a score)",IF($L737&gt;=$J737,"Yes","No"))))</f>
        <v/>
      </c>
      <c r="O737" s="17">
        <f>IF($C737="","",IF($M737="","",IF(NOT(ISNUMBER($M737)),"(not a score)",IF($M737&gt;=$J737,"Yes","No"))))</f>
        <v/>
      </c>
      <c r="P737" s="17">
        <f>IF($C737="","",IF($K737="","",IF(N($K737)&gt;2,"No",IF(COUNTIFS(nrES_PID,$D737,nrES_Code,$F737,nrES_Att,"&gt;"&amp;$K737,nrES_Att,"&lt;=2",nrES_Raw,"&gt;=0")=0,"Yes","No"))))</f>
        <v/>
      </c>
      <c r="Q737" s="17">
        <f>IF($C737="","",IF($L737="","",IF(AND($K737=1,ISNUMBER($L737),$L737&lt;$J737,COUNTIFS(nrES_PID,$D737,nrES_Code,$F737,nrES_Att,2,nrES_Raw,"&gt;=0")=0),"Yes","No")))</f>
        <v/>
      </c>
      <c r="R737" s="17">
        <f>IF($C737="","",IF($L737="","",IF(AND(N($K737)&gt;=2,ISNUMBER($L737),$L737&lt;$J737),"Yes","No")))</f>
        <v/>
      </c>
      <c r="S737" s="18" t="n"/>
      <c r="T737" s="19">
        <f>IF(OR($C737="",$L737="",$K737&lt;&gt;1,NOT(ISNUMBER($L737)),$L737&gt;=$J737),"",IF($S737="","(enter date)",_xlfn.LET(_xlpm.dn,_xlfn.XLOOKUP($S737,nrCDdate,nrCDnum,"",1),IF(_xlpm.dn="","(after last class day)",_xlfn.LET(_xlpm.dd,_xlfn.XLOOKUP(_xlpm.dn+cfgRetestClassDays,nrCDnum,nrCDdate,""),_xlpm.ok,_xlfn.XLOOKUP(_xlpm.dn+cfgRetestClassDays,nrCDnum,nrCDinsession,"No"),IF(OR(_xlpm.dd="",_xlpm.ok&lt;&gt;"Yes"),"(after last class day)",_xlpm.dd))))))</f>
        <v/>
      </c>
      <c r="U737" s="17">
        <f>IF($C737="","",IF(AND($Y737="Excused",$L737="",N($K737)&lt;=1),"EXCUSED - 1st attempt pending",IF(OR($L737="",$K737&lt;&gt;1,NOT(ISNUMBER($L737)),$L737&gt;=$J737),"",IF(COUNTIFS(nrES_PID,$D737,nrES_Code,$F737,nrES_Att,2,nrES_Raw,"&gt;=0")&gt;0,IF(IFERROR(_xlfn.MINIFS(nrES_Date,nrES_PID,$D737,nrES_Code,$F737,nrES_Att,2,nrES_Raw,"&gt;=0",nrES_Date,"&gt;0"),0)=0,"RETEST UNDATED",IF(NOT(ISNUMBER($T737)),"RETEST DATE UNCHECKED",IF(_xlfn.MINIFS(nrES_Date,nrES_PID,$D737,nrES_Code,$F737,nrES_Att,2,nrES_Raw,"&gt;=0",nrES_Date,"&gt;0")&gt;$T737,"LATE RETEST "&amp;TEXT(_xlfn.MINIFS(nrES_Date,nrES_PID,$D737,nrES_Code,$F737,nrES_Att,2,nrES_Raw,"&gt;=0",nrES_Date,"&gt;0"),"mm/dd")&amp;" (due "&amp;TEXT($T737,"mm/dd")&amp;")","Retested"))),IF(NOT(ISNUMBER($T737)),"CHECK DATE",IF(TODAY()&gt;$T737,"OVERDUE","Due "&amp;TEXT($T737,"mm/dd")))))))</f>
        <v/>
      </c>
      <c r="V737" s="16" t="n"/>
      <c r="W737" s="16" t="n"/>
      <c r="X737" s="17">
        <f>IF($C737="","",IF(AND($L737&lt;&gt;"",NOT(ISNUMBER($L737))),"RAW SCORE NOT A NUMBER",IF(AND(ISNUMBER($L737),OR($L737&lt;0,$L737&gt;100)),"RAW SCORE OUT OF RANGE",IF(AND($Y737="Unexcused",OR($L737="",NOT(ISNUMBER($L737)),$L737&lt;&gt;0)),"UNEXCUSED ABSENCE MUST RECORD 0",IF(COUNTIF(nrES_RecID,$B737)&gt;1,"DUPLICATE RECORD",IF(N($K737)&gt;2,"ATTEMPT 3+ NOT ALLOWED - policy 300.5 permits one retest per exam; this row records nothing",IF(AND($K737=2,COUNTIFS(nrES_PID,$D737,nrES_Code,$F737,nrES_Att,1)=0),"ATTEMPT 2 WITHOUT ATTEMPT 1",IF(AND($K737=2,$L737=""),"RETEST ROW HAS NO SCORE",IF(AND($H737="Final",$L737&lt;&gt;"",IFERROR(INDEX(nrCKfinalExamElig,MATCH($D737,rngCadetPIDs,0)),"")="No"),"FINAL EXAM AFTER FAILED FINAL PT (500.1.H)",IF(AND($K737=2,ISNUMBER($L737),COUNTIFS(nrES_PID,$D737,nrES_Code,$F737,nrES_Att,1)&gt;0,SUMIFS(nrES_Raw,nrES_PID,$D737,nrES_Code,$F737,nrES_Att,1)&gt;=$J737),"RETEST AFTER A PASSING FIRST ATTEMPT","OK"))))))))))</f>
        <v/>
      </c>
      <c r="Y737" s="16" t="n"/>
    </row>
    <row r="738">
      <c r="B738" s="17">
        <f>IF($C738="","",$D738&amp;"-"&amp;$F738&amp;"-"&amp;$K738)</f>
        <v/>
      </c>
      <c r="C738" s="16" t="n"/>
      <c r="D738" s="17">
        <f>IF($C738="","",IFERROR(INDEX(rngCadetPIDs,MATCH($C738,rngCadetNames,0)),"?"))</f>
        <v/>
      </c>
      <c r="E738" s="17">
        <f>IF($D738="","",IFERROR(INDEX(nrCadetAgency,MATCH($D738,rngCadetPIDs,0)),""))</f>
        <v/>
      </c>
      <c r="F738" s="16" t="n"/>
      <c r="G738" s="17">
        <f>IF($F738="","",IFERROR(INDEX(rngEPname,MATCH($F738,rngEPcode,0)),"?"))</f>
        <v/>
      </c>
      <c r="H738" s="17">
        <f>IF($F738="","",IFERROR(INDEX(rngEPtype,MATCH($F738,rngEPcode,0)),"?"))</f>
        <v/>
      </c>
      <c r="I738" s="17">
        <f>IF($F738="","",IFERROR(INDEX(rngEPseq,MATCH($F738,rngEPcode,0)),""))</f>
        <v/>
      </c>
      <c r="J738" s="17">
        <f>IF($F738="","",IFERROR(INDEX(rngEPpass,MATCH($F738,rngEPcode,0)),cfgPassingScore))</f>
        <v/>
      </c>
      <c r="K738" s="16" t="n"/>
      <c r="L738" s="16" t="n"/>
      <c r="M738" s="17">
        <f>IF($C738="","",IF($L738="","",IF(NOT(ISNUMBER($L738)),$L738,IF(N($K738)&gt;2,"",IF($K738=1,IF(COUNTIFS(nrES_PID,$D738,nrES_Code,$F738,nrES_Att,2,nrES_Raw,"&gt;=0")&gt;0,"",$L738),IF($L738&gt;=$J738,MAX($J738,cfgRetakeRecordedCap),IF(COUNTIFS(nrES_PID,$D738,nrES_Code,$F738,nrES_Att,1)=0,$L738,SUMIFS(nrES_Raw,nrES_PID,$D738,nrES_Code,$F738,nrES_Att,1))))))))</f>
        <v/>
      </c>
      <c r="N738" s="17">
        <f>IF($C738="","",IF($L738="","",IF(NOT(ISNUMBER($L738)),"(not a score)",IF($L738&gt;=$J738,"Yes","No"))))</f>
        <v/>
      </c>
      <c r="O738" s="17">
        <f>IF($C738="","",IF($M738="","",IF(NOT(ISNUMBER($M738)),"(not a score)",IF($M738&gt;=$J738,"Yes","No"))))</f>
        <v/>
      </c>
      <c r="P738" s="17">
        <f>IF($C738="","",IF($K738="","",IF(N($K738)&gt;2,"No",IF(COUNTIFS(nrES_PID,$D738,nrES_Code,$F738,nrES_Att,"&gt;"&amp;$K738,nrES_Att,"&lt;=2",nrES_Raw,"&gt;=0")=0,"Yes","No"))))</f>
        <v/>
      </c>
      <c r="Q738" s="17">
        <f>IF($C738="","",IF($L738="","",IF(AND($K738=1,ISNUMBER($L738),$L738&lt;$J738,COUNTIFS(nrES_PID,$D738,nrES_Code,$F738,nrES_Att,2,nrES_Raw,"&gt;=0")=0),"Yes","No")))</f>
        <v/>
      </c>
      <c r="R738" s="17">
        <f>IF($C738="","",IF($L738="","",IF(AND(N($K738)&gt;=2,ISNUMBER($L738),$L738&lt;$J738),"Yes","No")))</f>
        <v/>
      </c>
      <c r="S738" s="18" t="n"/>
      <c r="T738" s="19">
        <f>IF(OR($C738="",$L738="",$K738&lt;&gt;1,NOT(ISNUMBER($L738)),$L738&gt;=$J738),"",IF($S738="","(enter date)",_xlfn.LET(_xlpm.dn,_xlfn.XLOOKUP($S738,nrCDdate,nrCDnum,"",1),IF(_xlpm.dn="","(after last class day)",_xlfn.LET(_xlpm.dd,_xlfn.XLOOKUP(_xlpm.dn+cfgRetestClassDays,nrCDnum,nrCDdate,""),_xlpm.ok,_xlfn.XLOOKUP(_xlpm.dn+cfgRetestClassDays,nrCDnum,nrCDinsession,"No"),IF(OR(_xlpm.dd="",_xlpm.ok&lt;&gt;"Yes"),"(after last class day)",_xlpm.dd))))))</f>
        <v/>
      </c>
      <c r="U738" s="17">
        <f>IF($C738="","",IF(AND($Y738="Excused",$L738="",N($K738)&lt;=1),"EXCUSED - 1st attempt pending",IF(OR($L738="",$K738&lt;&gt;1,NOT(ISNUMBER($L738)),$L738&gt;=$J738),"",IF(COUNTIFS(nrES_PID,$D738,nrES_Code,$F738,nrES_Att,2,nrES_Raw,"&gt;=0")&gt;0,IF(IFERROR(_xlfn.MINIFS(nrES_Date,nrES_PID,$D738,nrES_Code,$F738,nrES_Att,2,nrES_Raw,"&gt;=0",nrES_Date,"&gt;0"),0)=0,"RETEST UNDATED",IF(NOT(ISNUMBER($T738)),"RETEST DATE UNCHECKED",IF(_xlfn.MINIFS(nrES_Date,nrES_PID,$D738,nrES_Code,$F738,nrES_Att,2,nrES_Raw,"&gt;=0",nrES_Date,"&gt;0")&gt;$T738,"LATE RETEST "&amp;TEXT(_xlfn.MINIFS(nrES_Date,nrES_PID,$D738,nrES_Code,$F738,nrES_Att,2,nrES_Raw,"&gt;=0",nrES_Date,"&gt;0"),"mm/dd")&amp;" (due "&amp;TEXT($T738,"mm/dd")&amp;")","Retested"))),IF(NOT(ISNUMBER($T738)),"CHECK DATE",IF(TODAY()&gt;$T738,"OVERDUE","Due "&amp;TEXT($T738,"mm/dd")))))))</f>
        <v/>
      </c>
      <c r="V738" s="16" t="n"/>
      <c r="W738" s="16" t="n"/>
      <c r="X738" s="17">
        <f>IF($C738="","",IF(AND($L738&lt;&gt;"",NOT(ISNUMBER($L738))),"RAW SCORE NOT A NUMBER",IF(AND(ISNUMBER($L738),OR($L738&lt;0,$L738&gt;100)),"RAW SCORE OUT OF RANGE",IF(AND($Y738="Unexcused",OR($L738="",NOT(ISNUMBER($L738)),$L738&lt;&gt;0)),"UNEXCUSED ABSENCE MUST RECORD 0",IF(COUNTIF(nrES_RecID,$B738)&gt;1,"DUPLICATE RECORD",IF(N($K738)&gt;2,"ATTEMPT 3+ NOT ALLOWED - policy 300.5 permits one retest per exam; this row records nothing",IF(AND($K738=2,COUNTIFS(nrES_PID,$D738,nrES_Code,$F738,nrES_Att,1)=0),"ATTEMPT 2 WITHOUT ATTEMPT 1",IF(AND($K738=2,$L738=""),"RETEST ROW HAS NO SCORE",IF(AND($H738="Final",$L738&lt;&gt;"",IFERROR(INDEX(nrCKfinalExamElig,MATCH($D738,rngCadetPIDs,0)),"")="No"),"FINAL EXAM AFTER FAILED FINAL PT (500.1.H)",IF(AND($K738=2,ISNUMBER($L738),COUNTIFS(nrES_PID,$D738,nrES_Code,$F738,nrES_Att,1)&gt;0,SUMIFS(nrES_Raw,nrES_PID,$D738,nrES_Code,$F738,nrES_Att,1)&gt;=$J738),"RETEST AFTER A PASSING FIRST ATTEMPT","OK"))))))))))</f>
        <v/>
      </c>
      <c r="Y738" s="16" t="n"/>
    </row>
    <row r="739">
      <c r="B739" s="17">
        <f>IF($C739="","",$D739&amp;"-"&amp;$F739&amp;"-"&amp;$K739)</f>
        <v/>
      </c>
      <c r="C739" s="16" t="n"/>
      <c r="D739" s="17">
        <f>IF($C739="","",IFERROR(INDEX(rngCadetPIDs,MATCH($C739,rngCadetNames,0)),"?"))</f>
        <v/>
      </c>
      <c r="E739" s="17">
        <f>IF($D739="","",IFERROR(INDEX(nrCadetAgency,MATCH($D739,rngCadetPIDs,0)),""))</f>
        <v/>
      </c>
      <c r="F739" s="16" t="n"/>
      <c r="G739" s="17">
        <f>IF($F739="","",IFERROR(INDEX(rngEPname,MATCH($F739,rngEPcode,0)),"?"))</f>
        <v/>
      </c>
      <c r="H739" s="17">
        <f>IF($F739="","",IFERROR(INDEX(rngEPtype,MATCH($F739,rngEPcode,0)),"?"))</f>
        <v/>
      </c>
      <c r="I739" s="17">
        <f>IF($F739="","",IFERROR(INDEX(rngEPseq,MATCH($F739,rngEPcode,0)),""))</f>
        <v/>
      </c>
      <c r="J739" s="17">
        <f>IF($F739="","",IFERROR(INDEX(rngEPpass,MATCH($F739,rngEPcode,0)),cfgPassingScore))</f>
        <v/>
      </c>
      <c r="K739" s="16" t="n"/>
      <c r="L739" s="16" t="n"/>
      <c r="M739" s="17">
        <f>IF($C739="","",IF($L739="","",IF(NOT(ISNUMBER($L739)),$L739,IF(N($K739)&gt;2,"",IF($K739=1,IF(COUNTIFS(nrES_PID,$D739,nrES_Code,$F739,nrES_Att,2,nrES_Raw,"&gt;=0")&gt;0,"",$L739),IF($L739&gt;=$J739,MAX($J739,cfgRetakeRecordedCap),IF(COUNTIFS(nrES_PID,$D739,nrES_Code,$F739,nrES_Att,1)=0,$L739,SUMIFS(nrES_Raw,nrES_PID,$D739,nrES_Code,$F739,nrES_Att,1))))))))</f>
        <v/>
      </c>
      <c r="N739" s="17">
        <f>IF($C739="","",IF($L739="","",IF(NOT(ISNUMBER($L739)),"(not a score)",IF($L739&gt;=$J739,"Yes","No"))))</f>
        <v/>
      </c>
      <c r="O739" s="17">
        <f>IF($C739="","",IF($M739="","",IF(NOT(ISNUMBER($M739)),"(not a score)",IF($M739&gt;=$J739,"Yes","No"))))</f>
        <v/>
      </c>
      <c r="P739" s="17">
        <f>IF($C739="","",IF($K739="","",IF(N($K739)&gt;2,"No",IF(COUNTIFS(nrES_PID,$D739,nrES_Code,$F739,nrES_Att,"&gt;"&amp;$K739,nrES_Att,"&lt;=2",nrES_Raw,"&gt;=0")=0,"Yes","No"))))</f>
        <v/>
      </c>
      <c r="Q739" s="17">
        <f>IF($C739="","",IF($L739="","",IF(AND($K739=1,ISNUMBER($L739),$L739&lt;$J739,COUNTIFS(nrES_PID,$D739,nrES_Code,$F739,nrES_Att,2,nrES_Raw,"&gt;=0")=0),"Yes","No")))</f>
        <v/>
      </c>
      <c r="R739" s="17">
        <f>IF($C739="","",IF($L739="","",IF(AND(N($K739)&gt;=2,ISNUMBER($L739),$L739&lt;$J739),"Yes","No")))</f>
        <v/>
      </c>
      <c r="S739" s="18" t="n"/>
      <c r="T739" s="19">
        <f>IF(OR($C739="",$L739="",$K739&lt;&gt;1,NOT(ISNUMBER($L739)),$L739&gt;=$J739),"",IF($S739="","(enter date)",_xlfn.LET(_xlpm.dn,_xlfn.XLOOKUP($S739,nrCDdate,nrCDnum,"",1),IF(_xlpm.dn="","(after last class day)",_xlfn.LET(_xlpm.dd,_xlfn.XLOOKUP(_xlpm.dn+cfgRetestClassDays,nrCDnum,nrCDdate,""),_xlpm.ok,_xlfn.XLOOKUP(_xlpm.dn+cfgRetestClassDays,nrCDnum,nrCDinsession,"No"),IF(OR(_xlpm.dd="",_xlpm.ok&lt;&gt;"Yes"),"(after last class day)",_xlpm.dd))))))</f>
        <v/>
      </c>
      <c r="U739" s="17">
        <f>IF($C739="","",IF(AND($Y739="Excused",$L739="",N($K739)&lt;=1),"EXCUSED - 1st attempt pending",IF(OR($L739="",$K739&lt;&gt;1,NOT(ISNUMBER($L739)),$L739&gt;=$J739),"",IF(COUNTIFS(nrES_PID,$D739,nrES_Code,$F739,nrES_Att,2,nrES_Raw,"&gt;=0")&gt;0,IF(IFERROR(_xlfn.MINIFS(nrES_Date,nrES_PID,$D739,nrES_Code,$F739,nrES_Att,2,nrES_Raw,"&gt;=0",nrES_Date,"&gt;0"),0)=0,"RETEST UNDATED",IF(NOT(ISNUMBER($T739)),"RETEST DATE UNCHECKED",IF(_xlfn.MINIFS(nrES_Date,nrES_PID,$D739,nrES_Code,$F739,nrES_Att,2,nrES_Raw,"&gt;=0",nrES_Date,"&gt;0")&gt;$T739,"LATE RETEST "&amp;TEXT(_xlfn.MINIFS(nrES_Date,nrES_PID,$D739,nrES_Code,$F739,nrES_Att,2,nrES_Raw,"&gt;=0",nrES_Date,"&gt;0"),"mm/dd")&amp;" (due "&amp;TEXT($T739,"mm/dd")&amp;")","Retested"))),IF(NOT(ISNUMBER($T739)),"CHECK DATE",IF(TODAY()&gt;$T739,"OVERDUE","Due "&amp;TEXT($T739,"mm/dd")))))))</f>
        <v/>
      </c>
      <c r="V739" s="16" t="n"/>
      <c r="W739" s="16" t="n"/>
      <c r="X739" s="17">
        <f>IF($C739="","",IF(AND($L739&lt;&gt;"",NOT(ISNUMBER($L739))),"RAW SCORE NOT A NUMBER",IF(AND(ISNUMBER($L739),OR($L739&lt;0,$L739&gt;100)),"RAW SCORE OUT OF RANGE",IF(AND($Y739="Unexcused",OR($L739="",NOT(ISNUMBER($L739)),$L739&lt;&gt;0)),"UNEXCUSED ABSENCE MUST RECORD 0",IF(COUNTIF(nrES_RecID,$B739)&gt;1,"DUPLICATE RECORD",IF(N($K739)&gt;2,"ATTEMPT 3+ NOT ALLOWED - policy 300.5 permits one retest per exam; this row records nothing",IF(AND($K739=2,COUNTIFS(nrES_PID,$D739,nrES_Code,$F739,nrES_Att,1)=0),"ATTEMPT 2 WITHOUT ATTEMPT 1",IF(AND($K739=2,$L739=""),"RETEST ROW HAS NO SCORE",IF(AND($H739="Final",$L739&lt;&gt;"",IFERROR(INDEX(nrCKfinalExamElig,MATCH($D739,rngCadetPIDs,0)),"")="No"),"FINAL EXAM AFTER FAILED FINAL PT (500.1.H)",IF(AND($K739=2,ISNUMBER($L739),COUNTIFS(nrES_PID,$D739,nrES_Code,$F739,nrES_Att,1)&gt;0,SUMIFS(nrES_Raw,nrES_PID,$D739,nrES_Code,$F739,nrES_Att,1)&gt;=$J739),"RETEST AFTER A PASSING FIRST ATTEMPT","OK"))))))))))</f>
        <v/>
      </c>
      <c r="Y739" s="16" t="n"/>
    </row>
    <row r="740">
      <c r="B740" s="17">
        <f>IF($C740="","",$D740&amp;"-"&amp;$F740&amp;"-"&amp;$K740)</f>
        <v/>
      </c>
      <c r="C740" s="16" t="n"/>
      <c r="D740" s="17">
        <f>IF($C740="","",IFERROR(INDEX(rngCadetPIDs,MATCH($C740,rngCadetNames,0)),"?"))</f>
        <v/>
      </c>
      <c r="E740" s="17">
        <f>IF($D740="","",IFERROR(INDEX(nrCadetAgency,MATCH($D740,rngCadetPIDs,0)),""))</f>
        <v/>
      </c>
      <c r="F740" s="16" t="n"/>
      <c r="G740" s="17">
        <f>IF($F740="","",IFERROR(INDEX(rngEPname,MATCH($F740,rngEPcode,0)),"?"))</f>
        <v/>
      </c>
      <c r="H740" s="17">
        <f>IF($F740="","",IFERROR(INDEX(rngEPtype,MATCH($F740,rngEPcode,0)),"?"))</f>
        <v/>
      </c>
      <c r="I740" s="17">
        <f>IF($F740="","",IFERROR(INDEX(rngEPseq,MATCH($F740,rngEPcode,0)),""))</f>
        <v/>
      </c>
      <c r="J740" s="17">
        <f>IF($F740="","",IFERROR(INDEX(rngEPpass,MATCH($F740,rngEPcode,0)),cfgPassingScore))</f>
        <v/>
      </c>
      <c r="K740" s="16" t="n"/>
      <c r="L740" s="16" t="n"/>
      <c r="M740" s="17">
        <f>IF($C740="","",IF($L740="","",IF(NOT(ISNUMBER($L740)),$L740,IF(N($K740)&gt;2,"",IF($K740=1,IF(COUNTIFS(nrES_PID,$D740,nrES_Code,$F740,nrES_Att,2,nrES_Raw,"&gt;=0")&gt;0,"",$L740),IF($L740&gt;=$J740,MAX($J740,cfgRetakeRecordedCap),IF(COUNTIFS(nrES_PID,$D740,nrES_Code,$F740,nrES_Att,1)=0,$L740,SUMIFS(nrES_Raw,nrES_PID,$D740,nrES_Code,$F740,nrES_Att,1))))))))</f>
        <v/>
      </c>
      <c r="N740" s="17">
        <f>IF($C740="","",IF($L740="","",IF(NOT(ISNUMBER($L740)),"(not a score)",IF($L740&gt;=$J740,"Yes","No"))))</f>
        <v/>
      </c>
      <c r="O740" s="17">
        <f>IF($C740="","",IF($M740="","",IF(NOT(ISNUMBER($M740)),"(not a score)",IF($M740&gt;=$J740,"Yes","No"))))</f>
        <v/>
      </c>
      <c r="P740" s="17">
        <f>IF($C740="","",IF($K740="","",IF(N($K740)&gt;2,"No",IF(COUNTIFS(nrES_PID,$D740,nrES_Code,$F740,nrES_Att,"&gt;"&amp;$K740,nrES_Att,"&lt;=2",nrES_Raw,"&gt;=0")=0,"Yes","No"))))</f>
        <v/>
      </c>
      <c r="Q740" s="17">
        <f>IF($C740="","",IF($L740="","",IF(AND($K740=1,ISNUMBER($L740),$L740&lt;$J740,COUNTIFS(nrES_PID,$D740,nrES_Code,$F740,nrES_Att,2,nrES_Raw,"&gt;=0")=0),"Yes","No")))</f>
        <v/>
      </c>
      <c r="R740" s="17">
        <f>IF($C740="","",IF($L740="","",IF(AND(N($K740)&gt;=2,ISNUMBER($L740),$L740&lt;$J740),"Yes","No")))</f>
        <v/>
      </c>
      <c r="S740" s="18" t="n"/>
      <c r="T740" s="19">
        <f>IF(OR($C740="",$L740="",$K740&lt;&gt;1,NOT(ISNUMBER($L740)),$L740&gt;=$J740),"",IF($S740="","(enter date)",_xlfn.LET(_xlpm.dn,_xlfn.XLOOKUP($S740,nrCDdate,nrCDnum,"",1),IF(_xlpm.dn="","(after last class day)",_xlfn.LET(_xlpm.dd,_xlfn.XLOOKUP(_xlpm.dn+cfgRetestClassDays,nrCDnum,nrCDdate,""),_xlpm.ok,_xlfn.XLOOKUP(_xlpm.dn+cfgRetestClassDays,nrCDnum,nrCDinsession,"No"),IF(OR(_xlpm.dd="",_xlpm.ok&lt;&gt;"Yes"),"(after last class day)",_xlpm.dd))))))</f>
        <v/>
      </c>
      <c r="U740" s="17">
        <f>IF($C740="","",IF(AND($Y740="Excused",$L740="",N($K740)&lt;=1),"EXCUSED - 1st attempt pending",IF(OR($L740="",$K740&lt;&gt;1,NOT(ISNUMBER($L740)),$L740&gt;=$J740),"",IF(COUNTIFS(nrES_PID,$D740,nrES_Code,$F740,nrES_Att,2,nrES_Raw,"&gt;=0")&gt;0,IF(IFERROR(_xlfn.MINIFS(nrES_Date,nrES_PID,$D740,nrES_Code,$F740,nrES_Att,2,nrES_Raw,"&gt;=0",nrES_Date,"&gt;0"),0)=0,"RETEST UNDATED",IF(NOT(ISNUMBER($T740)),"RETEST DATE UNCHECKED",IF(_xlfn.MINIFS(nrES_Date,nrES_PID,$D740,nrES_Code,$F740,nrES_Att,2,nrES_Raw,"&gt;=0",nrES_Date,"&gt;0")&gt;$T740,"LATE RETEST "&amp;TEXT(_xlfn.MINIFS(nrES_Date,nrES_PID,$D740,nrES_Code,$F740,nrES_Att,2,nrES_Raw,"&gt;=0",nrES_Date,"&gt;0"),"mm/dd")&amp;" (due "&amp;TEXT($T740,"mm/dd")&amp;")","Retested"))),IF(NOT(ISNUMBER($T740)),"CHECK DATE",IF(TODAY()&gt;$T740,"OVERDUE","Due "&amp;TEXT($T740,"mm/dd")))))))</f>
        <v/>
      </c>
      <c r="V740" s="16" t="n"/>
      <c r="W740" s="16" t="n"/>
      <c r="X740" s="17">
        <f>IF($C740="","",IF(AND($L740&lt;&gt;"",NOT(ISNUMBER($L740))),"RAW SCORE NOT A NUMBER",IF(AND(ISNUMBER($L740),OR($L740&lt;0,$L740&gt;100)),"RAW SCORE OUT OF RANGE",IF(AND($Y740="Unexcused",OR($L740="",NOT(ISNUMBER($L740)),$L740&lt;&gt;0)),"UNEXCUSED ABSENCE MUST RECORD 0",IF(COUNTIF(nrES_RecID,$B740)&gt;1,"DUPLICATE RECORD",IF(N($K740)&gt;2,"ATTEMPT 3+ NOT ALLOWED - policy 300.5 permits one retest per exam; this row records nothing",IF(AND($K740=2,COUNTIFS(nrES_PID,$D740,nrES_Code,$F740,nrES_Att,1)=0),"ATTEMPT 2 WITHOUT ATTEMPT 1",IF(AND($K740=2,$L740=""),"RETEST ROW HAS NO SCORE",IF(AND($H740="Final",$L740&lt;&gt;"",IFERROR(INDEX(nrCKfinalExamElig,MATCH($D740,rngCadetPIDs,0)),"")="No"),"FINAL EXAM AFTER FAILED FINAL PT (500.1.H)",IF(AND($K740=2,ISNUMBER($L740),COUNTIFS(nrES_PID,$D740,nrES_Code,$F740,nrES_Att,1)&gt;0,SUMIFS(nrES_Raw,nrES_PID,$D740,nrES_Code,$F740,nrES_Att,1)&gt;=$J740),"RETEST AFTER A PASSING FIRST ATTEMPT","OK"))))))))))</f>
        <v/>
      </c>
      <c r="Y740" s="16" t="n"/>
    </row>
    <row r="741">
      <c r="B741" s="17">
        <f>IF($C741="","",$D741&amp;"-"&amp;$F741&amp;"-"&amp;$K741)</f>
        <v/>
      </c>
      <c r="C741" s="16" t="n"/>
      <c r="D741" s="17">
        <f>IF($C741="","",IFERROR(INDEX(rngCadetPIDs,MATCH($C741,rngCadetNames,0)),"?"))</f>
        <v/>
      </c>
      <c r="E741" s="17">
        <f>IF($D741="","",IFERROR(INDEX(nrCadetAgency,MATCH($D741,rngCadetPIDs,0)),""))</f>
        <v/>
      </c>
      <c r="F741" s="16" t="n"/>
      <c r="G741" s="17">
        <f>IF($F741="","",IFERROR(INDEX(rngEPname,MATCH($F741,rngEPcode,0)),"?"))</f>
        <v/>
      </c>
      <c r="H741" s="17">
        <f>IF($F741="","",IFERROR(INDEX(rngEPtype,MATCH($F741,rngEPcode,0)),"?"))</f>
        <v/>
      </c>
      <c r="I741" s="17">
        <f>IF($F741="","",IFERROR(INDEX(rngEPseq,MATCH($F741,rngEPcode,0)),""))</f>
        <v/>
      </c>
      <c r="J741" s="17">
        <f>IF($F741="","",IFERROR(INDEX(rngEPpass,MATCH($F741,rngEPcode,0)),cfgPassingScore))</f>
        <v/>
      </c>
      <c r="K741" s="16" t="n"/>
      <c r="L741" s="16" t="n"/>
      <c r="M741" s="17">
        <f>IF($C741="","",IF($L741="","",IF(NOT(ISNUMBER($L741)),$L741,IF(N($K741)&gt;2,"",IF($K741=1,IF(COUNTIFS(nrES_PID,$D741,nrES_Code,$F741,nrES_Att,2,nrES_Raw,"&gt;=0")&gt;0,"",$L741),IF($L741&gt;=$J741,MAX($J741,cfgRetakeRecordedCap),IF(COUNTIFS(nrES_PID,$D741,nrES_Code,$F741,nrES_Att,1)=0,$L741,SUMIFS(nrES_Raw,nrES_PID,$D741,nrES_Code,$F741,nrES_Att,1))))))))</f>
        <v/>
      </c>
      <c r="N741" s="17">
        <f>IF($C741="","",IF($L741="","",IF(NOT(ISNUMBER($L741)),"(not a score)",IF($L741&gt;=$J741,"Yes","No"))))</f>
        <v/>
      </c>
      <c r="O741" s="17">
        <f>IF($C741="","",IF($M741="","",IF(NOT(ISNUMBER($M741)),"(not a score)",IF($M741&gt;=$J741,"Yes","No"))))</f>
        <v/>
      </c>
      <c r="P741" s="17">
        <f>IF($C741="","",IF($K741="","",IF(N($K741)&gt;2,"No",IF(COUNTIFS(nrES_PID,$D741,nrES_Code,$F741,nrES_Att,"&gt;"&amp;$K741,nrES_Att,"&lt;=2",nrES_Raw,"&gt;=0")=0,"Yes","No"))))</f>
        <v/>
      </c>
      <c r="Q741" s="17">
        <f>IF($C741="","",IF($L741="","",IF(AND($K741=1,ISNUMBER($L741),$L741&lt;$J741,COUNTIFS(nrES_PID,$D741,nrES_Code,$F741,nrES_Att,2,nrES_Raw,"&gt;=0")=0),"Yes","No")))</f>
        <v/>
      </c>
      <c r="R741" s="17">
        <f>IF($C741="","",IF($L741="","",IF(AND(N($K741)&gt;=2,ISNUMBER($L741),$L741&lt;$J741),"Yes","No")))</f>
        <v/>
      </c>
      <c r="S741" s="18" t="n"/>
      <c r="T741" s="19">
        <f>IF(OR($C741="",$L741="",$K741&lt;&gt;1,NOT(ISNUMBER($L741)),$L741&gt;=$J741),"",IF($S741="","(enter date)",_xlfn.LET(_xlpm.dn,_xlfn.XLOOKUP($S741,nrCDdate,nrCDnum,"",1),IF(_xlpm.dn="","(after last class day)",_xlfn.LET(_xlpm.dd,_xlfn.XLOOKUP(_xlpm.dn+cfgRetestClassDays,nrCDnum,nrCDdate,""),_xlpm.ok,_xlfn.XLOOKUP(_xlpm.dn+cfgRetestClassDays,nrCDnum,nrCDinsession,"No"),IF(OR(_xlpm.dd="",_xlpm.ok&lt;&gt;"Yes"),"(after last class day)",_xlpm.dd))))))</f>
        <v/>
      </c>
      <c r="U741" s="17">
        <f>IF($C741="","",IF(AND($Y741="Excused",$L741="",N($K741)&lt;=1),"EXCUSED - 1st attempt pending",IF(OR($L741="",$K741&lt;&gt;1,NOT(ISNUMBER($L741)),$L741&gt;=$J741),"",IF(COUNTIFS(nrES_PID,$D741,nrES_Code,$F741,nrES_Att,2,nrES_Raw,"&gt;=0")&gt;0,IF(IFERROR(_xlfn.MINIFS(nrES_Date,nrES_PID,$D741,nrES_Code,$F741,nrES_Att,2,nrES_Raw,"&gt;=0",nrES_Date,"&gt;0"),0)=0,"RETEST UNDATED",IF(NOT(ISNUMBER($T741)),"RETEST DATE UNCHECKED",IF(_xlfn.MINIFS(nrES_Date,nrES_PID,$D741,nrES_Code,$F741,nrES_Att,2,nrES_Raw,"&gt;=0",nrES_Date,"&gt;0")&gt;$T741,"LATE RETEST "&amp;TEXT(_xlfn.MINIFS(nrES_Date,nrES_PID,$D741,nrES_Code,$F741,nrES_Att,2,nrES_Raw,"&gt;=0",nrES_Date,"&gt;0"),"mm/dd")&amp;" (due "&amp;TEXT($T741,"mm/dd")&amp;")","Retested"))),IF(NOT(ISNUMBER($T741)),"CHECK DATE",IF(TODAY()&gt;$T741,"OVERDUE","Due "&amp;TEXT($T741,"mm/dd")))))))</f>
        <v/>
      </c>
      <c r="V741" s="16" t="n"/>
      <c r="W741" s="16" t="n"/>
      <c r="X741" s="17">
        <f>IF($C741="","",IF(AND($L741&lt;&gt;"",NOT(ISNUMBER($L741))),"RAW SCORE NOT A NUMBER",IF(AND(ISNUMBER($L741),OR($L741&lt;0,$L741&gt;100)),"RAW SCORE OUT OF RANGE",IF(AND($Y741="Unexcused",OR($L741="",NOT(ISNUMBER($L741)),$L741&lt;&gt;0)),"UNEXCUSED ABSENCE MUST RECORD 0",IF(COUNTIF(nrES_RecID,$B741)&gt;1,"DUPLICATE RECORD",IF(N($K741)&gt;2,"ATTEMPT 3+ NOT ALLOWED - policy 300.5 permits one retest per exam; this row records nothing",IF(AND($K741=2,COUNTIFS(nrES_PID,$D741,nrES_Code,$F741,nrES_Att,1)=0),"ATTEMPT 2 WITHOUT ATTEMPT 1",IF(AND($K741=2,$L741=""),"RETEST ROW HAS NO SCORE",IF(AND($H741="Final",$L741&lt;&gt;"",IFERROR(INDEX(nrCKfinalExamElig,MATCH($D741,rngCadetPIDs,0)),"")="No"),"FINAL EXAM AFTER FAILED FINAL PT (500.1.H)",IF(AND($K741=2,ISNUMBER($L741),COUNTIFS(nrES_PID,$D741,nrES_Code,$F741,nrES_Att,1)&gt;0,SUMIFS(nrES_Raw,nrES_PID,$D741,nrES_Code,$F741,nrES_Att,1)&gt;=$J741),"RETEST AFTER A PASSING FIRST ATTEMPT","OK"))))))))))</f>
        <v/>
      </c>
      <c r="Y741" s="16" t="n"/>
    </row>
    <row r="742">
      <c r="B742" s="17">
        <f>IF($C742="","",$D742&amp;"-"&amp;$F742&amp;"-"&amp;$K742)</f>
        <v/>
      </c>
      <c r="C742" s="16" t="n"/>
      <c r="D742" s="17">
        <f>IF($C742="","",IFERROR(INDEX(rngCadetPIDs,MATCH($C742,rngCadetNames,0)),"?"))</f>
        <v/>
      </c>
      <c r="E742" s="17">
        <f>IF($D742="","",IFERROR(INDEX(nrCadetAgency,MATCH($D742,rngCadetPIDs,0)),""))</f>
        <v/>
      </c>
      <c r="F742" s="16" t="n"/>
      <c r="G742" s="17">
        <f>IF($F742="","",IFERROR(INDEX(rngEPname,MATCH($F742,rngEPcode,0)),"?"))</f>
        <v/>
      </c>
      <c r="H742" s="17">
        <f>IF($F742="","",IFERROR(INDEX(rngEPtype,MATCH($F742,rngEPcode,0)),"?"))</f>
        <v/>
      </c>
      <c r="I742" s="17">
        <f>IF($F742="","",IFERROR(INDEX(rngEPseq,MATCH($F742,rngEPcode,0)),""))</f>
        <v/>
      </c>
      <c r="J742" s="17">
        <f>IF($F742="","",IFERROR(INDEX(rngEPpass,MATCH($F742,rngEPcode,0)),cfgPassingScore))</f>
        <v/>
      </c>
      <c r="K742" s="16" t="n"/>
      <c r="L742" s="16" t="n"/>
      <c r="M742" s="17">
        <f>IF($C742="","",IF($L742="","",IF(NOT(ISNUMBER($L742)),$L742,IF(N($K742)&gt;2,"",IF($K742=1,IF(COUNTIFS(nrES_PID,$D742,nrES_Code,$F742,nrES_Att,2,nrES_Raw,"&gt;=0")&gt;0,"",$L742),IF($L742&gt;=$J742,MAX($J742,cfgRetakeRecordedCap),IF(COUNTIFS(nrES_PID,$D742,nrES_Code,$F742,nrES_Att,1)=0,$L742,SUMIFS(nrES_Raw,nrES_PID,$D742,nrES_Code,$F742,nrES_Att,1))))))))</f>
        <v/>
      </c>
      <c r="N742" s="17">
        <f>IF($C742="","",IF($L742="","",IF(NOT(ISNUMBER($L742)),"(not a score)",IF($L742&gt;=$J742,"Yes","No"))))</f>
        <v/>
      </c>
      <c r="O742" s="17">
        <f>IF($C742="","",IF($M742="","",IF(NOT(ISNUMBER($M742)),"(not a score)",IF($M742&gt;=$J742,"Yes","No"))))</f>
        <v/>
      </c>
      <c r="P742" s="17">
        <f>IF($C742="","",IF($K742="","",IF(N($K742)&gt;2,"No",IF(COUNTIFS(nrES_PID,$D742,nrES_Code,$F742,nrES_Att,"&gt;"&amp;$K742,nrES_Att,"&lt;=2",nrES_Raw,"&gt;=0")=0,"Yes","No"))))</f>
        <v/>
      </c>
      <c r="Q742" s="17">
        <f>IF($C742="","",IF($L742="","",IF(AND($K742=1,ISNUMBER($L742),$L742&lt;$J742,COUNTIFS(nrES_PID,$D742,nrES_Code,$F742,nrES_Att,2,nrES_Raw,"&gt;=0")=0),"Yes","No")))</f>
        <v/>
      </c>
      <c r="R742" s="17">
        <f>IF($C742="","",IF($L742="","",IF(AND(N($K742)&gt;=2,ISNUMBER($L742),$L742&lt;$J742),"Yes","No")))</f>
        <v/>
      </c>
      <c r="S742" s="18" t="n"/>
      <c r="T742" s="19">
        <f>IF(OR($C742="",$L742="",$K742&lt;&gt;1,NOT(ISNUMBER($L742)),$L742&gt;=$J742),"",IF($S742="","(enter date)",_xlfn.LET(_xlpm.dn,_xlfn.XLOOKUP($S742,nrCDdate,nrCDnum,"",1),IF(_xlpm.dn="","(after last class day)",_xlfn.LET(_xlpm.dd,_xlfn.XLOOKUP(_xlpm.dn+cfgRetestClassDays,nrCDnum,nrCDdate,""),_xlpm.ok,_xlfn.XLOOKUP(_xlpm.dn+cfgRetestClassDays,nrCDnum,nrCDinsession,"No"),IF(OR(_xlpm.dd="",_xlpm.ok&lt;&gt;"Yes"),"(after last class day)",_xlpm.dd))))))</f>
        <v/>
      </c>
      <c r="U742" s="17">
        <f>IF($C742="","",IF(AND($Y742="Excused",$L742="",N($K742)&lt;=1),"EXCUSED - 1st attempt pending",IF(OR($L742="",$K742&lt;&gt;1,NOT(ISNUMBER($L742)),$L742&gt;=$J742),"",IF(COUNTIFS(nrES_PID,$D742,nrES_Code,$F742,nrES_Att,2,nrES_Raw,"&gt;=0")&gt;0,IF(IFERROR(_xlfn.MINIFS(nrES_Date,nrES_PID,$D742,nrES_Code,$F742,nrES_Att,2,nrES_Raw,"&gt;=0",nrES_Date,"&gt;0"),0)=0,"RETEST UNDATED",IF(NOT(ISNUMBER($T742)),"RETEST DATE UNCHECKED",IF(_xlfn.MINIFS(nrES_Date,nrES_PID,$D742,nrES_Code,$F742,nrES_Att,2,nrES_Raw,"&gt;=0",nrES_Date,"&gt;0")&gt;$T742,"LATE RETEST "&amp;TEXT(_xlfn.MINIFS(nrES_Date,nrES_PID,$D742,nrES_Code,$F742,nrES_Att,2,nrES_Raw,"&gt;=0",nrES_Date,"&gt;0"),"mm/dd")&amp;" (due "&amp;TEXT($T742,"mm/dd")&amp;")","Retested"))),IF(NOT(ISNUMBER($T742)),"CHECK DATE",IF(TODAY()&gt;$T742,"OVERDUE","Due "&amp;TEXT($T742,"mm/dd")))))))</f>
        <v/>
      </c>
      <c r="V742" s="16" t="n"/>
      <c r="W742" s="16" t="n"/>
      <c r="X742" s="17">
        <f>IF($C742="","",IF(AND($L742&lt;&gt;"",NOT(ISNUMBER($L742))),"RAW SCORE NOT A NUMBER",IF(AND(ISNUMBER($L742),OR($L742&lt;0,$L742&gt;100)),"RAW SCORE OUT OF RANGE",IF(AND($Y742="Unexcused",OR($L742="",NOT(ISNUMBER($L742)),$L742&lt;&gt;0)),"UNEXCUSED ABSENCE MUST RECORD 0",IF(COUNTIF(nrES_RecID,$B742)&gt;1,"DUPLICATE RECORD",IF(N($K742)&gt;2,"ATTEMPT 3+ NOT ALLOWED - policy 300.5 permits one retest per exam; this row records nothing",IF(AND($K742=2,COUNTIFS(nrES_PID,$D742,nrES_Code,$F742,nrES_Att,1)=0),"ATTEMPT 2 WITHOUT ATTEMPT 1",IF(AND($K742=2,$L742=""),"RETEST ROW HAS NO SCORE",IF(AND($H742="Final",$L742&lt;&gt;"",IFERROR(INDEX(nrCKfinalExamElig,MATCH($D742,rngCadetPIDs,0)),"")="No"),"FINAL EXAM AFTER FAILED FINAL PT (500.1.H)",IF(AND($K742=2,ISNUMBER($L742),COUNTIFS(nrES_PID,$D742,nrES_Code,$F742,nrES_Att,1)&gt;0,SUMIFS(nrES_Raw,nrES_PID,$D742,nrES_Code,$F742,nrES_Att,1)&gt;=$J742),"RETEST AFTER A PASSING FIRST ATTEMPT","OK"))))))))))</f>
        <v/>
      </c>
      <c r="Y742" s="16" t="n"/>
    </row>
    <row r="743">
      <c r="B743" s="17">
        <f>IF($C743="","",$D743&amp;"-"&amp;$F743&amp;"-"&amp;$K743)</f>
        <v/>
      </c>
      <c r="C743" s="16" t="n"/>
      <c r="D743" s="17">
        <f>IF($C743="","",IFERROR(INDEX(rngCadetPIDs,MATCH($C743,rngCadetNames,0)),"?"))</f>
        <v/>
      </c>
      <c r="E743" s="17">
        <f>IF($D743="","",IFERROR(INDEX(nrCadetAgency,MATCH($D743,rngCadetPIDs,0)),""))</f>
        <v/>
      </c>
      <c r="F743" s="16" t="n"/>
      <c r="G743" s="17">
        <f>IF($F743="","",IFERROR(INDEX(rngEPname,MATCH($F743,rngEPcode,0)),"?"))</f>
        <v/>
      </c>
      <c r="H743" s="17">
        <f>IF($F743="","",IFERROR(INDEX(rngEPtype,MATCH($F743,rngEPcode,0)),"?"))</f>
        <v/>
      </c>
      <c r="I743" s="17">
        <f>IF($F743="","",IFERROR(INDEX(rngEPseq,MATCH($F743,rngEPcode,0)),""))</f>
        <v/>
      </c>
      <c r="J743" s="17">
        <f>IF($F743="","",IFERROR(INDEX(rngEPpass,MATCH($F743,rngEPcode,0)),cfgPassingScore))</f>
        <v/>
      </c>
      <c r="K743" s="16" t="n"/>
      <c r="L743" s="16" t="n"/>
      <c r="M743" s="17">
        <f>IF($C743="","",IF($L743="","",IF(NOT(ISNUMBER($L743)),$L743,IF(N($K743)&gt;2,"",IF($K743=1,IF(COUNTIFS(nrES_PID,$D743,nrES_Code,$F743,nrES_Att,2,nrES_Raw,"&gt;=0")&gt;0,"",$L743),IF($L743&gt;=$J743,MAX($J743,cfgRetakeRecordedCap),IF(COUNTIFS(nrES_PID,$D743,nrES_Code,$F743,nrES_Att,1)=0,$L743,SUMIFS(nrES_Raw,nrES_PID,$D743,nrES_Code,$F743,nrES_Att,1))))))))</f>
        <v/>
      </c>
      <c r="N743" s="17">
        <f>IF($C743="","",IF($L743="","",IF(NOT(ISNUMBER($L743)),"(not a score)",IF($L743&gt;=$J743,"Yes","No"))))</f>
        <v/>
      </c>
      <c r="O743" s="17">
        <f>IF($C743="","",IF($M743="","",IF(NOT(ISNUMBER($M743)),"(not a score)",IF($M743&gt;=$J743,"Yes","No"))))</f>
        <v/>
      </c>
      <c r="P743" s="17">
        <f>IF($C743="","",IF($K743="","",IF(N($K743)&gt;2,"No",IF(COUNTIFS(nrES_PID,$D743,nrES_Code,$F743,nrES_Att,"&gt;"&amp;$K743,nrES_Att,"&lt;=2",nrES_Raw,"&gt;=0")=0,"Yes","No"))))</f>
        <v/>
      </c>
      <c r="Q743" s="17">
        <f>IF($C743="","",IF($L743="","",IF(AND($K743=1,ISNUMBER($L743),$L743&lt;$J743,COUNTIFS(nrES_PID,$D743,nrES_Code,$F743,nrES_Att,2,nrES_Raw,"&gt;=0")=0),"Yes","No")))</f>
        <v/>
      </c>
      <c r="R743" s="17">
        <f>IF($C743="","",IF($L743="","",IF(AND(N($K743)&gt;=2,ISNUMBER($L743),$L743&lt;$J743),"Yes","No")))</f>
        <v/>
      </c>
      <c r="S743" s="18" t="n"/>
      <c r="T743" s="19">
        <f>IF(OR($C743="",$L743="",$K743&lt;&gt;1,NOT(ISNUMBER($L743)),$L743&gt;=$J743),"",IF($S743="","(enter date)",_xlfn.LET(_xlpm.dn,_xlfn.XLOOKUP($S743,nrCDdate,nrCDnum,"",1),IF(_xlpm.dn="","(after last class day)",_xlfn.LET(_xlpm.dd,_xlfn.XLOOKUP(_xlpm.dn+cfgRetestClassDays,nrCDnum,nrCDdate,""),_xlpm.ok,_xlfn.XLOOKUP(_xlpm.dn+cfgRetestClassDays,nrCDnum,nrCDinsession,"No"),IF(OR(_xlpm.dd="",_xlpm.ok&lt;&gt;"Yes"),"(after last class day)",_xlpm.dd))))))</f>
        <v/>
      </c>
      <c r="U743" s="17">
        <f>IF($C743="","",IF(AND($Y743="Excused",$L743="",N($K743)&lt;=1),"EXCUSED - 1st attempt pending",IF(OR($L743="",$K743&lt;&gt;1,NOT(ISNUMBER($L743)),$L743&gt;=$J743),"",IF(COUNTIFS(nrES_PID,$D743,nrES_Code,$F743,nrES_Att,2,nrES_Raw,"&gt;=0")&gt;0,IF(IFERROR(_xlfn.MINIFS(nrES_Date,nrES_PID,$D743,nrES_Code,$F743,nrES_Att,2,nrES_Raw,"&gt;=0",nrES_Date,"&gt;0"),0)=0,"RETEST UNDATED",IF(NOT(ISNUMBER($T743)),"RETEST DATE UNCHECKED",IF(_xlfn.MINIFS(nrES_Date,nrES_PID,$D743,nrES_Code,$F743,nrES_Att,2,nrES_Raw,"&gt;=0",nrES_Date,"&gt;0")&gt;$T743,"LATE RETEST "&amp;TEXT(_xlfn.MINIFS(nrES_Date,nrES_PID,$D743,nrES_Code,$F743,nrES_Att,2,nrES_Raw,"&gt;=0",nrES_Date,"&gt;0"),"mm/dd")&amp;" (due "&amp;TEXT($T743,"mm/dd")&amp;")","Retested"))),IF(NOT(ISNUMBER($T743)),"CHECK DATE",IF(TODAY()&gt;$T743,"OVERDUE","Due "&amp;TEXT($T743,"mm/dd")))))))</f>
        <v/>
      </c>
      <c r="V743" s="16" t="n"/>
      <c r="W743" s="16" t="n"/>
      <c r="X743" s="17">
        <f>IF($C743="","",IF(AND($L743&lt;&gt;"",NOT(ISNUMBER($L743))),"RAW SCORE NOT A NUMBER",IF(AND(ISNUMBER($L743),OR($L743&lt;0,$L743&gt;100)),"RAW SCORE OUT OF RANGE",IF(AND($Y743="Unexcused",OR($L743="",NOT(ISNUMBER($L743)),$L743&lt;&gt;0)),"UNEXCUSED ABSENCE MUST RECORD 0",IF(COUNTIF(nrES_RecID,$B743)&gt;1,"DUPLICATE RECORD",IF(N($K743)&gt;2,"ATTEMPT 3+ NOT ALLOWED - policy 300.5 permits one retest per exam; this row records nothing",IF(AND($K743=2,COUNTIFS(nrES_PID,$D743,nrES_Code,$F743,nrES_Att,1)=0),"ATTEMPT 2 WITHOUT ATTEMPT 1",IF(AND($K743=2,$L743=""),"RETEST ROW HAS NO SCORE",IF(AND($H743="Final",$L743&lt;&gt;"",IFERROR(INDEX(nrCKfinalExamElig,MATCH($D743,rngCadetPIDs,0)),"")="No"),"FINAL EXAM AFTER FAILED FINAL PT (500.1.H)",IF(AND($K743=2,ISNUMBER($L743),COUNTIFS(nrES_PID,$D743,nrES_Code,$F743,nrES_Att,1)&gt;0,SUMIFS(nrES_Raw,nrES_PID,$D743,nrES_Code,$F743,nrES_Att,1)&gt;=$J743),"RETEST AFTER A PASSING FIRST ATTEMPT","OK"))))))))))</f>
        <v/>
      </c>
      <c r="Y743" s="16" t="n"/>
    </row>
    <row r="744">
      <c r="B744" s="17">
        <f>IF($C744="","",$D744&amp;"-"&amp;$F744&amp;"-"&amp;$K744)</f>
        <v/>
      </c>
      <c r="C744" s="16" t="n"/>
      <c r="D744" s="17">
        <f>IF($C744="","",IFERROR(INDEX(rngCadetPIDs,MATCH($C744,rngCadetNames,0)),"?"))</f>
        <v/>
      </c>
      <c r="E744" s="17">
        <f>IF($D744="","",IFERROR(INDEX(nrCadetAgency,MATCH($D744,rngCadetPIDs,0)),""))</f>
        <v/>
      </c>
      <c r="F744" s="16" t="n"/>
      <c r="G744" s="17">
        <f>IF($F744="","",IFERROR(INDEX(rngEPname,MATCH($F744,rngEPcode,0)),"?"))</f>
        <v/>
      </c>
      <c r="H744" s="17">
        <f>IF($F744="","",IFERROR(INDEX(rngEPtype,MATCH($F744,rngEPcode,0)),"?"))</f>
        <v/>
      </c>
      <c r="I744" s="17">
        <f>IF($F744="","",IFERROR(INDEX(rngEPseq,MATCH($F744,rngEPcode,0)),""))</f>
        <v/>
      </c>
      <c r="J744" s="17">
        <f>IF($F744="","",IFERROR(INDEX(rngEPpass,MATCH($F744,rngEPcode,0)),cfgPassingScore))</f>
        <v/>
      </c>
      <c r="K744" s="16" t="n"/>
      <c r="L744" s="16" t="n"/>
      <c r="M744" s="17">
        <f>IF($C744="","",IF($L744="","",IF(NOT(ISNUMBER($L744)),$L744,IF(N($K744)&gt;2,"",IF($K744=1,IF(COUNTIFS(nrES_PID,$D744,nrES_Code,$F744,nrES_Att,2,nrES_Raw,"&gt;=0")&gt;0,"",$L744),IF($L744&gt;=$J744,MAX($J744,cfgRetakeRecordedCap),IF(COUNTIFS(nrES_PID,$D744,nrES_Code,$F744,nrES_Att,1)=0,$L744,SUMIFS(nrES_Raw,nrES_PID,$D744,nrES_Code,$F744,nrES_Att,1))))))))</f>
        <v/>
      </c>
      <c r="N744" s="17">
        <f>IF($C744="","",IF($L744="","",IF(NOT(ISNUMBER($L744)),"(not a score)",IF($L744&gt;=$J744,"Yes","No"))))</f>
        <v/>
      </c>
      <c r="O744" s="17">
        <f>IF($C744="","",IF($M744="","",IF(NOT(ISNUMBER($M744)),"(not a score)",IF($M744&gt;=$J744,"Yes","No"))))</f>
        <v/>
      </c>
      <c r="P744" s="17">
        <f>IF($C744="","",IF($K744="","",IF(N($K744)&gt;2,"No",IF(COUNTIFS(nrES_PID,$D744,nrES_Code,$F744,nrES_Att,"&gt;"&amp;$K744,nrES_Att,"&lt;=2",nrES_Raw,"&gt;=0")=0,"Yes","No"))))</f>
        <v/>
      </c>
      <c r="Q744" s="17">
        <f>IF($C744="","",IF($L744="","",IF(AND($K744=1,ISNUMBER($L744),$L744&lt;$J744,COUNTIFS(nrES_PID,$D744,nrES_Code,$F744,nrES_Att,2,nrES_Raw,"&gt;=0")=0),"Yes","No")))</f>
        <v/>
      </c>
      <c r="R744" s="17">
        <f>IF($C744="","",IF($L744="","",IF(AND(N($K744)&gt;=2,ISNUMBER($L744),$L744&lt;$J744),"Yes","No")))</f>
        <v/>
      </c>
      <c r="S744" s="18" t="n"/>
      <c r="T744" s="19">
        <f>IF(OR($C744="",$L744="",$K744&lt;&gt;1,NOT(ISNUMBER($L744)),$L744&gt;=$J744),"",IF($S744="","(enter date)",_xlfn.LET(_xlpm.dn,_xlfn.XLOOKUP($S744,nrCDdate,nrCDnum,"",1),IF(_xlpm.dn="","(after last class day)",_xlfn.LET(_xlpm.dd,_xlfn.XLOOKUP(_xlpm.dn+cfgRetestClassDays,nrCDnum,nrCDdate,""),_xlpm.ok,_xlfn.XLOOKUP(_xlpm.dn+cfgRetestClassDays,nrCDnum,nrCDinsession,"No"),IF(OR(_xlpm.dd="",_xlpm.ok&lt;&gt;"Yes"),"(after last class day)",_xlpm.dd))))))</f>
        <v/>
      </c>
      <c r="U744" s="17">
        <f>IF($C744="","",IF(AND($Y744="Excused",$L744="",N($K744)&lt;=1),"EXCUSED - 1st attempt pending",IF(OR($L744="",$K744&lt;&gt;1,NOT(ISNUMBER($L744)),$L744&gt;=$J744),"",IF(COUNTIFS(nrES_PID,$D744,nrES_Code,$F744,nrES_Att,2,nrES_Raw,"&gt;=0")&gt;0,IF(IFERROR(_xlfn.MINIFS(nrES_Date,nrES_PID,$D744,nrES_Code,$F744,nrES_Att,2,nrES_Raw,"&gt;=0",nrES_Date,"&gt;0"),0)=0,"RETEST UNDATED",IF(NOT(ISNUMBER($T744)),"RETEST DATE UNCHECKED",IF(_xlfn.MINIFS(nrES_Date,nrES_PID,$D744,nrES_Code,$F744,nrES_Att,2,nrES_Raw,"&gt;=0",nrES_Date,"&gt;0")&gt;$T744,"LATE RETEST "&amp;TEXT(_xlfn.MINIFS(nrES_Date,nrES_PID,$D744,nrES_Code,$F744,nrES_Att,2,nrES_Raw,"&gt;=0",nrES_Date,"&gt;0"),"mm/dd")&amp;" (due "&amp;TEXT($T744,"mm/dd")&amp;")","Retested"))),IF(NOT(ISNUMBER($T744)),"CHECK DATE",IF(TODAY()&gt;$T744,"OVERDUE","Due "&amp;TEXT($T744,"mm/dd")))))))</f>
        <v/>
      </c>
      <c r="V744" s="16" t="n"/>
      <c r="W744" s="16" t="n"/>
      <c r="X744" s="17">
        <f>IF($C744="","",IF(AND($L744&lt;&gt;"",NOT(ISNUMBER($L744))),"RAW SCORE NOT A NUMBER",IF(AND(ISNUMBER($L744),OR($L744&lt;0,$L744&gt;100)),"RAW SCORE OUT OF RANGE",IF(AND($Y744="Unexcused",OR($L744="",NOT(ISNUMBER($L744)),$L744&lt;&gt;0)),"UNEXCUSED ABSENCE MUST RECORD 0",IF(COUNTIF(nrES_RecID,$B744)&gt;1,"DUPLICATE RECORD",IF(N($K744)&gt;2,"ATTEMPT 3+ NOT ALLOWED - policy 300.5 permits one retest per exam; this row records nothing",IF(AND($K744=2,COUNTIFS(nrES_PID,$D744,nrES_Code,$F744,nrES_Att,1)=0),"ATTEMPT 2 WITHOUT ATTEMPT 1",IF(AND($K744=2,$L744=""),"RETEST ROW HAS NO SCORE",IF(AND($H744="Final",$L744&lt;&gt;"",IFERROR(INDEX(nrCKfinalExamElig,MATCH($D744,rngCadetPIDs,0)),"")="No"),"FINAL EXAM AFTER FAILED FINAL PT (500.1.H)",IF(AND($K744=2,ISNUMBER($L744),COUNTIFS(nrES_PID,$D744,nrES_Code,$F744,nrES_Att,1)&gt;0,SUMIFS(nrES_Raw,nrES_PID,$D744,nrES_Code,$F744,nrES_Att,1)&gt;=$J744),"RETEST AFTER A PASSING FIRST ATTEMPT","OK"))))))))))</f>
        <v/>
      </c>
      <c r="Y744" s="16" t="n"/>
    </row>
    <row r="745">
      <c r="B745" s="17">
        <f>IF($C745="","",$D745&amp;"-"&amp;$F745&amp;"-"&amp;$K745)</f>
        <v/>
      </c>
      <c r="C745" s="16" t="n"/>
      <c r="D745" s="17">
        <f>IF($C745="","",IFERROR(INDEX(rngCadetPIDs,MATCH($C745,rngCadetNames,0)),"?"))</f>
        <v/>
      </c>
      <c r="E745" s="17">
        <f>IF($D745="","",IFERROR(INDEX(nrCadetAgency,MATCH($D745,rngCadetPIDs,0)),""))</f>
        <v/>
      </c>
      <c r="F745" s="16" t="n"/>
      <c r="G745" s="17">
        <f>IF($F745="","",IFERROR(INDEX(rngEPname,MATCH($F745,rngEPcode,0)),"?"))</f>
        <v/>
      </c>
      <c r="H745" s="17">
        <f>IF($F745="","",IFERROR(INDEX(rngEPtype,MATCH($F745,rngEPcode,0)),"?"))</f>
        <v/>
      </c>
      <c r="I745" s="17">
        <f>IF($F745="","",IFERROR(INDEX(rngEPseq,MATCH($F745,rngEPcode,0)),""))</f>
        <v/>
      </c>
      <c r="J745" s="17">
        <f>IF($F745="","",IFERROR(INDEX(rngEPpass,MATCH($F745,rngEPcode,0)),cfgPassingScore))</f>
        <v/>
      </c>
      <c r="K745" s="16" t="n"/>
      <c r="L745" s="16" t="n"/>
      <c r="M745" s="17">
        <f>IF($C745="","",IF($L745="","",IF(NOT(ISNUMBER($L745)),$L745,IF(N($K745)&gt;2,"",IF($K745=1,IF(COUNTIFS(nrES_PID,$D745,nrES_Code,$F745,nrES_Att,2,nrES_Raw,"&gt;=0")&gt;0,"",$L745),IF($L745&gt;=$J745,MAX($J745,cfgRetakeRecordedCap),IF(COUNTIFS(nrES_PID,$D745,nrES_Code,$F745,nrES_Att,1)=0,$L745,SUMIFS(nrES_Raw,nrES_PID,$D745,nrES_Code,$F745,nrES_Att,1))))))))</f>
        <v/>
      </c>
      <c r="N745" s="17">
        <f>IF($C745="","",IF($L745="","",IF(NOT(ISNUMBER($L745)),"(not a score)",IF($L745&gt;=$J745,"Yes","No"))))</f>
        <v/>
      </c>
      <c r="O745" s="17">
        <f>IF($C745="","",IF($M745="","",IF(NOT(ISNUMBER($M745)),"(not a score)",IF($M745&gt;=$J745,"Yes","No"))))</f>
        <v/>
      </c>
      <c r="P745" s="17">
        <f>IF($C745="","",IF($K745="","",IF(N($K745)&gt;2,"No",IF(COUNTIFS(nrES_PID,$D745,nrES_Code,$F745,nrES_Att,"&gt;"&amp;$K745,nrES_Att,"&lt;=2",nrES_Raw,"&gt;=0")=0,"Yes","No"))))</f>
        <v/>
      </c>
      <c r="Q745" s="17">
        <f>IF($C745="","",IF($L745="","",IF(AND($K745=1,ISNUMBER($L745),$L745&lt;$J745,COUNTIFS(nrES_PID,$D745,nrES_Code,$F745,nrES_Att,2,nrES_Raw,"&gt;=0")=0),"Yes","No")))</f>
        <v/>
      </c>
      <c r="R745" s="17">
        <f>IF($C745="","",IF($L745="","",IF(AND(N($K745)&gt;=2,ISNUMBER($L745),$L745&lt;$J745),"Yes","No")))</f>
        <v/>
      </c>
      <c r="S745" s="18" t="n"/>
      <c r="T745" s="19">
        <f>IF(OR($C745="",$L745="",$K745&lt;&gt;1,NOT(ISNUMBER($L745)),$L745&gt;=$J745),"",IF($S745="","(enter date)",_xlfn.LET(_xlpm.dn,_xlfn.XLOOKUP($S745,nrCDdate,nrCDnum,"",1),IF(_xlpm.dn="","(after last class day)",_xlfn.LET(_xlpm.dd,_xlfn.XLOOKUP(_xlpm.dn+cfgRetestClassDays,nrCDnum,nrCDdate,""),_xlpm.ok,_xlfn.XLOOKUP(_xlpm.dn+cfgRetestClassDays,nrCDnum,nrCDinsession,"No"),IF(OR(_xlpm.dd="",_xlpm.ok&lt;&gt;"Yes"),"(after last class day)",_xlpm.dd))))))</f>
        <v/>
      </c>
      <c r="U745" s="17">
        <f>IF($C745="","",IF(AND($Y745="Excused",$L745="",N($K745)&lt;=1),"EXCUSED - 1st attempt pending",IF(OR($L745="",$K745&lt;&gt;1,NOT(ISNUMBER($L745)),$L745&gt;=$J745),"",IF(COUNTIFS(nrES_PID,$D745,nrES_Code,$F745,nrES_Att,2,nrES_Raw,"&gt;=0")&gt;0,IF(IFERROR(_xlfn.MINIFS(nrES_Date,nrES_PID,$D745,nrES_Code,$F745,nrES_Att,2,nrES_Raw,"&gt;=0",nrES_Date,"&gt;0"),0)=0,"RETEST UNDATED",IF(NOT(ISNUMBER($T745)),"RETEST DATE UNCHECKED",IF(_xlfn.MINIFS(nrES_Date,nrES_PID,$D745,nrES_Code,$F745,nrES_Att,2,nrES_Raw,"&gt;=0",nrES_Date,"&gt;0")&gt;$T745,"LATE RETEST "&amp;TEXT(_xlfn.MINIFS(nrES_Date,nrES_PID,$D745,nrES_Code,$F745,nrES_Att,2,nrES_Raw,"&gt;=0",nrES_Date,"&gt;0"),"mm/dd")&amp;" (due "&amp;TEXT($T745,"mm/dd")&amp;")","Retested"))),IF(NOT(ISNUMBER($T745)),"CHECK DATE",IF(TODAY()&gt;$T745,"OVERDUE","Due "&amp;TEXT($T745,"mm/dd")))))))</f>
        <v/>
      </c>
      <c r="V745" s="16" t="n"/>
      <c r="W745" s="16" t="n"/>
      <c r="X745" s="17">
        <f>IF($C745="","",IF(AND($L745&lt;&gt;"",NOT(ISNUMBER($L745))),"RAW SCORE NOT A NUMBER",IF(AND(ISNUMBER($L745),OR($L745&lt;0,$L745&gt;100)),"RAW SCORE OUT OF RANGE",IF(AND($Y745="Unexcused",OR($L745="",NOT(ISNUMBER($L745)),$L745&lt;&gt;0)),"UNEXCUSED ABSENCE MUST RECORD 0",IF(COUNTIF(nrES_RecID,$B745)&gt;1,"DUPLICATE RECORD",IF(N($K745)&gt;2,"ATTEMPT 3+ NOT ALLOWED - policy 300.5 permits one retest per exam; this row records nothing",IF(AND($K745=2,COUNTIFS(nrES_PID,$D745,nrES_Code,$F745,nrES_Att,1)=0),"ATTEMPT 2 WITHOUT ATTEMPT 1",IF(AND($K745=2,$L745=""),"RETEST ROW HAS NO SCORE",IF(AND($H745="Final",$L745&lt;&gt;"",IFERROR(INDEX(nrCKfinalExamElig,MATCH($D745,rngCadetPIDs,0)),"")="No"),"FINAL EXAM AFTER FAILED FINAL PT (500.1.H)",IF(AND($K745=2,ISNUMBER($L745),COUNTIFS(nrES_PID,$D745,nrES_Code,$F745,nrES_Att,1)&gt;0,SUMIFS(nrES_Raw,nrES_PID,$D745,nrES_Code,$F745,nrES_Att,1)&gt;=$J745),"RETEST AFTER A PASSING FIRST ATTEMPT","OK"))))))))))</f>
        <v/>
      </c>
      <c r="Y745" s="16" t="n"/>
    </row>
    <row r="746">
      <c r="B746" s="17">
        <f>IF($C746="","",$D746&amp;"-"&amp;$F746&amp;"-"&amp;$K746)</f>
        <v/>
      </c>
      <c r="C746" s="16" t="n"/>
      <c r="D746" s="17">
        <f>IF($C746="","",IFERROR(INDEX(rngCadetPIDs,MATCH($C746,rngCadetNames,0)),"?"))</f>
        <v/>
      </c>
      <c r="E746" s="17">
        <f>IF($D746="","",IFERROR(INDEX(nrCadetAgency,MATCH($D746,rngCadetPIDs,0)),""))</f>
        <v/>
      </c>
      <c r="F746" s="16" t="n"/>
      <c r="G746" s="17">
        <f>IF($F746="","",IFERROR(INDEX(rngEPname,MATCH($F746,rngEPcode,0)),"?"))</f>
        <v/>
      </c>
      <c r="H746" s="17">
        <f>IF($F746="","",IFERROR(INDEX(rngEPtype,MATCH($F746,rngEPcode,0)),"?"))</f>
        <v/>
      </c>
      <c r="I746" s="17">
        <f>IF($F746="","",IFERROR(INDEX(rngEPseq,MATCH($F746,rngEPcode,0)),""))</f>
        <v/>
      </c>
      <c r="J746" s="17">
        <f>IF($F746="","",IFERROR(INDEX(rngEPpass,MATCH($F746,rngEPcode,0)),cfgPassingScore))</f>
        <v/>
      </c>
      <c r="K746" s="16" t="n"/>
      <c r="L746" s="16" t="n"/>
      <c r="M746" s="17">
        <f>IF($C746="","",IF($L746="","",IF(NOT(ISNUMBER($L746)),$L746,IF(N($K746)&gt;2,"",IF($K746=1,IF(COUNTIFS(nrES_PID,$D746,nrES_Code,$F746,nrES_Att,2,nrES_Raw,"&gt;=0")&gt;0,"",$L746),IF($L746&gt;=$J746,MAX($J746,cfgRetakeRecordedCap),IF(COUNTIFS(nrES_PID,$D746,nrES_Code,$F746,nrES_Att,1)=0,$L746,SUMIFS(nrES_Raw,nrES_PID,$D746,nrES_Code,$F746,nrES_Att,1))))))))</f>
        <v/>
      </c>
      <c r="N746" s="17">
        <f>IF($C746="","",IF($L746="","",IF(NOT(ISNUMBER($L746)),"(not a score)",IF($L746&gt;=$J746,"Yes","No"))))</f>
        <v/>
      </c>
      <c r="O746" s="17">
        <f>IF($C746="","",IF($M746="","",IF(NOT(ISNUMBER($M746)),"(not a score)",IF($M746&gt;=$J746,"Yes","No"))))</f>
        <v/>
      </c>
      <c r="P746" s="17">
        <f>IF($C746="","",IF($K746="","",IF(N($K746)&gt;2,"No",IF(COUNTIFS(nrES_PID,$D746,nrES_Code,$F746,nrES_Att,"&gt;"&amp;$K746,nrES_Att,"&lt;=2",nrES_Raw,"&gt;=0")=0,"Yes","No"))))</f>
        <v/>
      </c>
      <c r="Q746" s="17">
        <f>IF($C746="","",IF($L746="","",IF(AND($K746=1,ISNUMBER($L746),$L746&lt;$J746,COUNTIFS(nrES_PID,$D746,nrES_Code,$F746,nrES_Att,2,nrES_Raw,"&gt;=0")=0),"Yes","No")))</f>
        <v/>
      </c>
      <c r="R746" s="17">
        <f>IF($C746="","",IF($L746="","",IF(AND(N($K746)&gt;=2,ISNUMBER($L746),$L746&lt;$J746),"Yes","No")))</f>
        <v/>
      </c>
      <c r="S746" s="18" t="n"/>
      <c r="T746" s="19">
        <f>IF(OR($C746="",$L746="",$K746&lt;&gt;1,NOT(ISNUMBER($L746)),$L746&gt;=$J746),"",IF($S746="","(enter date)",_xlfn.LET(_xlpm.dn,_xlfn.XLOOKUP($S746,nrCDdate,nrCDnum,"",1),IF(_xlpm.dn="","(after last class day)",_xlfn.LET(_xlpm.dd,_xlfn.XLOOKUP(_xlpm.dn+cfgRetestClassDays,nrCDnum,nrCDdate,""),_xlpm.ok,_xlfn.XLOOKUP(_xlpm.dn+cfgRetestClassDays,nrCDnum,nrCDinsession,"No"),IF(OR(_xlpm.dd="",_xlpm.ok&lt;&gt;"Yes"),"(after last class day)",_xlpm.dd))))))</f>
        <v/>
      </c>
      <c r="U746" s="17">
        <f>IF($C746="","",IF(AND($Y746="Excused",$L746="",N($K746)&lt;=1),"EXCUSED - 1st attempt pending",IF(OR($L746="",$K746&lt;&gt;1,NOT(ISNUMBER($L746)),$L746&gt;=$J746),"",IF(COUNTIFS(nrES_PID,$D746,nrES_Code,$F746,nrES_Att,2,nrES_Raw,"&gt;=0")&gt;0,IF(IFERROR(_xlfn.MINIFS(nrES_Date,nrES_PID,$D746,nrES_Code,$F746,nrES_Att,2,nrES_Raw,"&gt;=0",nrES_Date,"&gt;0"),0)=0,"RETEST UNDATED",IF(NOT(ISNUMBER($T746)),"RETEST DATE UNCHECKED",IF(_xlfn.MINIFS(nrES_Date,nrES_PID,$D746,nrES_Code,$F746,nrES_Att,2,nrES_Raw,"&gt;=0",nrES_Date,"&gt;0")&gt;$T746,"LATE RETEST "&amp;TEXT(_xlfn.MINIFS(nrES_Date,nrES_PID,$D746,nrES_Code,$F746,nrES_Att,2,nrES_Raw,"&gt;=0",nrES_Date,"&gt;0"),"mm/dd")&amp;" (due "&amp;TEXT($T746,"mm/dd")&amp;")","Retested"))),IF(NOT(ISNUMBER($T746)),"CHECK DATE",IF(TODAY()&gt;$T746,"OVERDUE","Due "&amp;TEXT($T746,"mm/dd")))))))</f>
        <v/>
      </c>
      <c r="V746" s="16" t="n"/>
      <c r="W746" s="16" t="n"/>
      <c r="X746" s="17">
        <f>IF($C746="","",IF(AND($L746&lt;&gt;"",NOT(ISNUMBER($L746))),"RAW SCORE NOT A NUMBER",IF(AND(ISNUMBER($L746),OR($L746&lt;0,$L746&gt;100)),"RAW SCORE OUT OF RANGE",IF(AND($Y746="Unexcused",OR($L746="",NOT(ISNUMBER($L746)),$L746&lt;&gt;0)),"UNEXCUSED ABSENCE MUST RECORD 0",IF(COUNTIF(nrES_RecID,$B746)&gt;1,"DUPLICATE RECORD",IF(N($K746)&gt;2,"ATTEMPT 3+ NOT ALLOWED - policy 300.5 permits one retest per exam; this row records nothing",IF(AND($K746=2,COUNTIFS(nrES_PID,$D746,nrES_Code,$F746,nrES_Att,1)=0),"ATTEMPT 2 WITHOUT ATTEMPT 1",IF(AND($K746=2,$L746=""),"RETEST ROW HAS NO SCORE",IF(AND($H746="Final",$L746&lt;&gt;"",IFERROR(INDEX(nrCKfinalExamElig,MATCH($D746,rngCadetPIDs,0)),"")="No"),"FINAL EXAM AFTER FAILED FINAL PT (500.1.H)",IF(AND($K746=2,ISNUMBER($L746),COUNTIFS(nrES_PID,$D746,nrES_Code,$F746,nrES_Att,1)&gt;0,SUMIFS(nrES_Raw,nrES_PID,$D746,nrES_Code,$F746,nrES_Att,1)&gt;=$J746),"RETEST AFTER A PASSING FIRST ATTEMPT","OK"))))))))))</f>
        <v/>
      </c>
      <c r="Y746" s="16" t="n"/>
    </row>
    <row r="747">
      <c r="B747" s="17">
        <f>IF($C747="","",$D747&amp;"-"&amp;$F747&amp;"-"&amp;$K747)</f>
        <v/>
      </c>
      <c r="C747" s="16" t="n"/>
      <c r="D747" s="17">
        <f>IF($C747="","",IFERROR(INDEX(rngCadetPIDs,MATCH($C747,rngCadetNames,0)),"?"))</f>
        <v/>
      </c>
      <c r="E747" s="17">
        <f>IF($D747="","",IFERROR(INDEX(nrCadetAgency,MATCH($D747,rngCadetPIDs,0)),""))</f>
        <v/>
      </c>
      <c r="F747" s="16" t="n"/>
      <c r="G747" s="17">
        <f>IF($F747="","",IFERROR(INDEX(rngEPname,MATCH($F747,rngEPcode,0)),"?"))</f>
        <v/>
      </c>
      <c r="H747" s="17">
        <f>IF($F747="","",IFERROR(INDEX(rngEPtype,MATCH($F747,rngEPcode,0)),"?"))</f>
        <v/>
      </c>
      <c r="I747" s="17">
        <f>IF($F747="","",IFERROR(INDEX(rngEPseq,MATCH($F747,rngEPcode,0)),""))</f>
        <v/>
      </c>
      <c r="J747" s="17">
        <f>IF($F747="","",IFERROR(INDEX(rngEPpass,MATCH($F747,rngEPcode,0)),cfgPassingScore))</f>
        <v/>
      </c>
      <c r="K747" s="16" t="n"/>
      <c r="L747" s="16" t="n"/>
      <c r="M747" s="17">
        <f>IF($C747="","",IF($L747="","",IF(NOT(ISNUMBER($L747)),$L747,IF(N($K747)&gt;2,"",IF($K747=1,IF(COUNTIFS(nrES_PID,$D747,nrES_Code,$F747,nrES_Att,2,nrES_Raw,"&gt;=0")&gt;0,"",$L747),IF($L747&gt;=$J747,MAX($J747,cfgRetakeRecordedCap),IF(COUNTIFS(nrES_PID,$D747,nrES_Code,$F747,nrES_Att,1)=0,$L747,SUMIFS(nrES_Raw,nrES_PID,$D747,nrES_Code,$F747,nrES_Att,1))))))))</f>
        <v/>
      </c>
      <c r="N747" s="17">
        <f>IF($C747="","",IF($L747="","",IF(NOT(ISNUMBER($L747)),"(not a score)",IF($L747&gt;=$J747,"Yes","No"))))</f>
        <v/>
      </c>
      <c r="O747" s="17">
        <f>IF($C747="","",IF($M747="","",IF(NOT(ISNUMBER($M747)),"(not a score)",IF($M747&gt;=$J747,"Yes","No"))))</f>
        <v/>
      </c>
      <c r="P747" s="17">
        <f>IF($C747="","",IF($K747="","",IF(N($K747)&gt;2,"No",IF(COUNTIFS(nrES_PID,$D747,nrES_Code,$F747,nrES_Att,"&gt;"&amp;$K747,nrES_Att,"&lt;=2",nrES_Raw,"&gt;=0")=0,"Yes","No"))))</f>
        <v/>
      </c>
      <c r="Q747" s="17">
        <f>IF($C747="","",IF($L747="","",IF(AND($K747=1,ISNUMBER($L747),$L747&lt;$J747,COUNTIFS(nrES_PID,$D747,nrES_Code,$F747,nrES_Att,2,nrES_Raw,"&gt;=0")=0),"Yes","No")))</f>
        <v/>
      </c>
      <c r="R747" s="17">
        <f>IF($C747="","",IF($L747="","",IF(AND(N($K747)&gt;=2,ISNUMBER($L747),$L747&lt;$J747),"Yes","No")))</f>
        <v/>
      </c>
      <c r="S747" s="18" t="n"/>
      <c r="T747" s="19">
        <f>IF(OR($C747="",$L747="",$K747&lt;&gt;1,NOT(ISNUMBER($L747)),$L747&gt;=$J747),"",IF($S747="","(enter date)",_xlfn.LET(_xlpm.dn,_xlfn.XLOOKUP($S747,nrCDdate,nrCDnum,"",1),IF(_xlpm.dn="","(after last class day)",_xlfn.LET(_xlpm.dd,_xlfn.XLOOKUP(_xlpm.dn+cfgRetestClassDays,nrCDnum,nrCDdate,""),_xlpm.ok,_xlfn.XLOOKUP(_xlpm.dn+cfgRetestClassDays,nrCDnum,nrCDinsession,"No"),IF(OR(_xlpm.dd="",_xlpm.ok&lt;&gt;"Yes"),"(after last class day)",_xlpm.dd))))))</f>
        <v/>
      </c>
      <c r="U747" s="17">
        <f>IF($C747="","",IF(AND($Y747="Excused",$L747="",N($K747)&lt;=1),"EXCUSED - 1st attempt pending",IF(OR($L747="",$K747&lt;&gt;1,NOT(ISNUMBER($L747)),$L747&gt;=$J747),"",IF(COUNTIFS(nrES_PID,$D747,nrES_Code,$F747,nrES_Att,2,nrES_Raw,"&gt;=0")&gt;0,IF(IFERROR(_xlfn.MINIFS(nrES_Date,nrES_PID,$D747,nrES_Code,$F747,nrES_Att,2,nrES_Raw,"&gt;=0",nrES_Date,"&gt;0"),0)=0,"RETEST UNDATED",IF(NOT(ISNUMBER($T747)),"RETEST DATE UNCHECKED",IF(_xlfn.MINIFS(nrES_Date,nrES_PID,$D747,nrES_Code,$F747,nrES_Att,2,nrES_Raw,"&gt;=0",nrES_Date,"&gt;0")&gt;$T747,"LATE RETEST "&amp;TEXT(_xlfn.MINIFS(nrES_Date,nrES_PID,$D747,nrES_Code,$F747,nrES_Att,2,nrES_Raw,"&gt;=0",nrES_Date,"&gt;0"),"mm/dd")&amp;" (due "&amp;TEXT($T747,"mm/dd")&amp;")","Retested"))),IF(NOT(ISNUMBER($T747)),"CHECK DATE",IF(TODAY()&gt;$T747,"OVERDUE","Due "&amp;TEXT($T747,"mm/dd")))))))</f>
        <v/>
      </c>
      <c r="V747" s="16" t="n"/>
      <c r="W747" s="16" t="n"/>
      <c r="X747" s="17">
        <f>IF($C747="","",IF(AND($L747&lt;&gt;"",NOT(ISNUMBER($L747))),"RAW SCORE NOT A NUMBER",IF(AND(ISNUMBER($L747),OR($L747&lt;0,$L747&gt;100)),"RAW SCORE OUT OF RANGE",IF(AND($Y747="Unexcused",OR($L747="",NOT(ISNUMBER($L747)),$L747&lt;&gt;0)),"UNEXCUSED ABSENCE MUST RECORD 0",IF(COUNTIF(nrES_RecID,$B747)&gt;1,"DUPLICATE RECORD",IF(N($K747)&gt;2,"ATTEMPT 3+ NOT ALLOWED - policy 300.5 permits one retest per exam; this row records nothing",IF(AND($K747=2,COUNTIFS(nrES_PID,$D747,nrES_Code,$F747,nrES_Att,1)=0),"ATTEMPT 2 WITHOUT ATTEMPT 1",IF(AND($K747=2,$L747=""),"RETEST ROW HAS NO SCORE",IF(AND($H747="Final",$L747&lt;&gt;"",IFERROR(INDEX(nrCKfinalExamElig,MATCH($D747,rngCadetPIDs,0)),"")="No"),"FINAL EXAM AFTER FAILED FINAL PT (500.1.H)",IF(AND($K747=2,ISNUMBER($L747),COUNTIFS(nrES_PID,$D747,nrES_Code,$F747,nrES_Att,1)&gt;0,SUMIFS(nrES_Raw,nrES_PID,$D747,nrES_Code,$F747,nrES_Att,1)&gt;=$J747),"RETEST AFTER A PASSING FIRST ATTEMPT","OK"))))))))))</f>
        <v/>
      </c>
      <c r="Y747" s="16" t="n"/>
    </row>
    <row r="748">
      <c r="B748" s="17">
        <f>IF($C748="","",$D748&amp;"-"&amp;$F748&amp;"-"&amp;$K748)</f>
        <v/>
      </c>
      <c r="C748" s="16" t="n"/>
      <c r="D748" s="17">
        <f>IF($C748="","",IFERROR(INDEX(rngCadetPIDs,MATCH($C748,rngCadetNames,0)),"?"))</f>
        <v/>
      </c>
      <c r="E748" s="17">
        <f>IF($D748="","",IFERROR(INDEX(nrCadetAgency,MATCH($D748,rngCadetPIDs,0)),""))</f>
        <v/>
      </c>
      <c r="F748" s="16" t="n"/>
      <c r="G748" s="17">
        <f>IF($F748="","",IFERROR(INDEX(rngEPname,MATCH($F748,rngEPcode,0)),"?"))</f>
        <v/>
      </c>
      <c r="H748" s="17">
        <f>IF($F748="","",IFERROR(INDEX(rngEPtype,MATCH($F748,rngEPcode,0)),"?"))</f>
        <v/>
      </c>
      <c r="I748" s="17">
        <f>IF($F748="","",IFERROR(INDEX(rngEPseq,MATCH($F748,rngEPcode,0)),""))</f>
        <v/>
      </c>
      <c r="J748" s="17">
        <f>IF($F748="","",IFERROR(INDEX(rngEPpass,MATCH($F748,rngEPcode,0)),cfgPassingScore))</f>
        <v/>
      </c>
      <c r="K748" s="16" t="n"/>
      <c r="L748" s="16" t="n"/>
      <c r="M748" s="17">
        <f>IF($C748="","",IF($L748="","",IF(NOT(ISNUMBER($L748)),$L748,IF(N($K748)&gt;2,"",IF($K748=1,IF(COUNTIFS(nrES_PID,$D748,nrES_Code,$F748,nrES_Att,2,nrES_Raw,"&gt;=0")&gt;0,"",$L748),IF($L748&gt;=$J748,MAX($J748,cfgRetakeRecordedCap),IF(COUNTIFS(nrES_PID,$D748,nrES_Code,$F748,nrES_Att,1)=0,$L748,SUMIFS(nrES_Raw,nrES_PID,$D748,nrES_Code,$F748,nrES_Att,1))))))))</f>
        <v/>
      </c>
      <c r="N748" s="17">
        <f>IF($C748="","",IF($L748="","",IF(NOT(ISNUMBER($L748)),"(not a score)",IF($L748&gt;=$J748,"Yes","No"))))</f>
        <v/>
      </c>
      <c r="O748" s="17">
        <f>IF($C748="","",IF($M748="","",IF(NOT(ISNUMBER($M748)),"(not a score)",IF($M748&gt;=$J748,"Yes","No"))))</f>
        <v/>
      </c>
      <c r="P748" s="17">
        <f>IF($C748="","",IF($K748="","",IF(N($K748)&gt;2,"No",IF(COUNTIFS(nrES_PID,$D748,nrES_Code,$F748,nrES_Att,"&gt;"&amp;$K748,nrES_Att,"&lt;=2",nrES_Raw,"&gt;=0")=0,"Yes","No"))))</f>
        <v/>
      </c>
      <c r="Q748" s="17">
        <f>IF($C748="","",IF($L748="","",IF(AND($K748=1,ISNUMBER($L748),$L748&lt;$J748,COUNTIFS(nrES_PID,$D748,nrES_Code,$F748,nrES_Att,2,nrES_Raw,"&gt;=0")=0),"Yes","No")))</f>
        <v/>
      </c>
      <c r="R748" s="17">
        <f>IF($C748="","",IF($L748="","",IF(AND(N($K748)&gt;=2,ISNUMBER($L748),$L748&lt;$J748),"Yes","No")))</f>
        <v/>
      </c>
      <c r="S748" s="18" t="n"/>
      <c r="T748" s="19">
        <f>IF(OR($C748="",$L748="",$K748&lt;&gt;1,NOT(ISNUMBER($L748)),$L748&gt;=$J748),"",IF($S748="","(enter date)",_xlfn.LET(_xlpm.dn,_xlfn.XLOOKUP($S748,nrCDdate,nrCDnum,"",1),IF(_xlpm.dn="","(after last class day)",_xlfn.LET(_xlpm.dd,_xlfn.XLOOKUP(_xlpm.dn+cfgRetestClassDays,nrCDnum,nrCDdate,""),_xlpm.ok,_xlfn.XLOOKUP(_xlpm.dn+cfgRetestClassDays,nrCDnum,nrCDinsession,"No"),IF(OR(_xlpm.dd="",_xlpm.ok&lt;&gt;"Yes"),"(after last class day)",_xlpm.dd))))))</f>
        <v/>
      </c>
      <c r="U748" s="17">
        <f>IF($C748="","",IF(AND($Y748="Excused",$L748="",N($K748)&lt;=1),"EXCUSED - 1st attempt pending",IF(OR($L748="",$K748&lt;&gt;1,NOT(ISNUMBER($L748)),$L748&gt;=$J748),"",IF(COUNTIFS(nrES_PID,$D748,nrES_Code,$F748,nrES_Att,2,nrES_Raw,"&gt;=0")&gt;0,IF(IFERROR(_xlfn.MINIFS(nrES_Date,nrES_PID,$D748,nrES_Code,$F748,nrES_Att,2,nrES_Raw,"&gt;=0",nrES_Date,"&gt;0"),0)=0,"RETEST UNDATED",IF(NOT(ISNUMBER($T748)),"RETEST DATE UNCHECKED",IF(_xlfn.MINIFS(nrES_Date,nrES_PID,$D748,nrES_Code,$F748,nrES_Att,2,nrES_Raw,"&gt;=0",nrES_Date,"&gt;0")&gt;$T748,"LATE RETEST "&amp;TEXT(_xlfn.MINIFS(nrES_Date,nrES_PID,$D748,nrES_Code,$F748,nrES_Att,2,nrES_Raw,"&gt;=0",nrES_Date,"&gt;0"),"mm/dd")&amp;" (due "&amp;TEXT($T748,"mm/dd")&amp;")","Retested"))),IF(NOT(ISNUMBER($T748)),"CHECK DATE",IF(TODAY()&gt;$T748,"OVERDUE","Due "&amp;TEXT($T748,"mm/dd")))))))</f>
        <v/>
      </c>
      <c r="V748" s="16" t="n"/>
      <c r="W748" s="16" t="n"/>
      <c r="X748" s="17">
        <f>IF($C748="","",IF(AND($L748&lt;&gt;"",NOT(ISNUMBER($L748))),"RAW SCORE NOT A NUMBER",IF(AND(ISNUMBER($L748),OR($L748&lt;0,$L748&gt;100)),"RAW SCORE OUT OF RANGE",IF(AND($Y748="Unexcused",OR($L748="",NOT(ISNUMBER($L748)),$L748&lt;&gt;0)),"UNEXCUSED ABSENCE MUST RECORD 0",IF(COUNTIF(nrES_RecID,$B748)&gt;1,"DUPLICATE RECORD",IF(N($K748)&gt;2,"ATTEMPT 3+ NOT ALLOWED - policy 300.5 permits one retest per exam; this row records nothing",IF(AND($K748=2,COUNTIFS(nrES_PID,$D748,nrES_Code,$F748,nrES_Att,1)=0),"ATTEMPT 2 WITHOUT ATTEMPT 1",IF(AND($K748=2,$L748=""),"RETEST ROW HAS NO SCORE",IF(AND($H748="Final",$L748&lt;&gt;"",IFERROR(INDEX(nrCKfinalExamElig,MATCH($D748,rngCadetPIDs,0)),"")="No"),"FINAL EXAM AFTER FAILED FINAL PT (500.1.H)",IF(AND($K748=2,ISNUMBER($L748),COUNTIFS(nrES_PID,$D748,nrES_Code,$F748,nrES_Att,1)&gt;0,SUMIFS(nrES_Raw,nrES_PID,$D748,nrES_Code,$F748,nrES_Att,1)&gt;=$J748),"RETEST AFTER A PASSING FIRST ATTEMPT","OK"))))))))))</f>
        <v/>
      </c>
      <c r="Y748" s="16" t="n"/>
    </row>
    <row r="749">
      <c r="B749" s="17">
        <f>IF($C749="","",$D749&amp;"-"&amp;$F749&amp;"-"&amp;$K749)</f>
        <v/>
      </c>
      <c r="C749" s="16" t="n"/>
      <c r="D749" s="17">
        <f>IF($C749="","",IFERROR(INDEX(rngCadetPIDs,MATCH($C749,rngCadetNames,0)),"?"))</f>
        <v/>
      </c>
      <c r="E749" s="17">
        <f>IF($D749="","",IFERROR(INDEX(nrCadetAgency,MATCH($D749,rngCadetPIDs,0)),""))</f>
        <v/>
      </c>
      <c r="F749" s="16" t="n"/>
      <c r="G749" s="17">
        <f>IF($F749="","",IFERROR(INDEX(rngEPname,MATCH($F749,rngEPcode,0)),"?"))</f>
        <v/>
      </c>
      <c r="H749" s="17">
        <f>IF($F749="","",IFERROR(INDEX(rngEPtype,MATCH($F749,rngEPcode,0)),"?"))</f>
        <v/>
      </c>
      <c r="I749" s="17">
        <f>IF($F749="","",IFERROR(INDEX(rngEPseq,MATCH($F749,rngEPcode,0)),""))</f>
        <v/>
      </c>
      <c r="J749" s="17">
        <f>IF($F749="","",IFERROR(INDEX(rngEPpass,MATCH($F749,rngEPcode,0)),cfgPassingScore))</f>
        <v/>
      </c>
      <c r="K749" s="16" t="n"/>
      <c r="L749" s="16" t="n"/>
      <c r="M749" s="17">
        <f>IF($C749="","",IF($L749="","",IF(NOT(ISNUMBER($L749)),$L749,IF(N($K749)&gt;2,"",IF($K749=1,IF(COUNTIFS(nrES_PID,$D749,nrES_Code,$F749,nrES_Att,2,nrES_Raw,"&gt;=0")&gt;0,"",$L749),IF($L749&gt;=$J749,MAX($J749,cfgRetakeRecordedCap),IF(COUNTIFS(nrES_PID,$D749,nrES_Code,$F749,nrES_Att,1)=0,$L749,SUMIFS(nrES_Raw,nrES_PID,$D749,nrES_Code,$F749,nrES_Att,1))))))))</f>
        <v/>
      </c>
      <c r="N749" s="17">
        <f>IF($C749="","",IF($L749="","",IF(NOT(ISNUMBER($L749)),"(not a score)",IF($L749&gt;=$J749,"Yes","No"))))</f>
        <v/>
      </c>
      <c r="O749" s="17">
        <f>IF($C749="","",IF($M749="","",IF(NOT(ISNUMBER($M749)),"(not a score)",IF($M749&gt;=$J749,"Yes","No"))))</f>
        <v/>
      </c>
      <c r="P749" s="17">
        <f>IF($C749="","",IF($K749="","",IF(N($K749)&gt;2,"No",IF(COUNTIFS(nrES_PID,$D749,nrES_Code,$F749,nrES_Att,"&gt;"&amp;$K749,nrES_Att,"&lt;=2",nrES_Raw,"&gt;=0")=0,"Yes","No"))))</f>
        <v/>
      </c>
      <c r="Q749" s="17">
        <f>IF($C749="","",IF($L749="","",IF(AND($K749=1,ISNUMBER($L749),$L749&lt;$J749,COUNTIFS(nrES_PID,$D749,nrES_Code,$F749,nrES_Att,2,nrES_Raw,"&gt;=0")=0),"Yes","No")))</f>
        <v/>
      </c>
      <c r="R749" s="17">
        <f>IF($C749="","",IF($L749="","",IF(AND(N($K749)&gt;=2,ISNUMBER($L749),$L749&lt;$J749),"Yes","No")))</f>
        <v/>
      </c>
      <c r="S749" s="18" t="n"/>
      <c r="T749" s="19">
        <f>IF(OR($C749="",$L749="",$K749&lt;&gt;1,NOT(ISNUMBER($L749)),$L749&gt;=$J749),"",IF($S749="","(enter date)",_xlfn.LET(_xlpm.dn,_xlfn.XLOOKUP($S749,nrCDdate,nrCDnum,"",1),IF(_xlpm.dn="","(after last class day)",_xlfn.LET(_xlpm.dd,_xlfn.XLOOKUP(_xlpm.dn+cfgRetestClassDays,nrCDnum,nrCDdate,""),_xlpm.ok,_xlfn.XLOOKUP(_xlpm.dn+cfgRetestClassDays,nrCDnum,nrCDinsession,"No"),IF(OR(_xlpm.dd="",_xlpm.ok&lt;&gt;"Yes"),"(after last class day)",_xlpm.dd))))))</f>
        <v/>
      </c>
      <c r="U749" s="17">
        <f>IF($C749="","",IF(AND($Y749="Excused",$L749="",N($K749)&lt;=1),"EXCUSED - 1st attempt pending",IF(OR($L749="",$K749&lt;&gt;1,NOT(ISNUMBER($L749)),$L749&gt;=$J749),"",IF(COUNTIFS(nrES_PID,$D749,nrES_Code,$F749,nrES_Att,2,nrES_Raw,"&gt;=0")&gt;0,IF(IFERROR(_xlfn.MINIFS(nrES_Date,nrES_PID,$D749,nrES_Code,$F749,nrES_Att,2,nrES_Raw,"&gt;=0",nrES_Date,"&gt;0"),0)=0,"RETEST UNDATED",IF(NOT(ISNUMBER($T749)),"RETEST DATE UNCHECKED",IF(_xlfn.MINIFS(nrES_Date,nrES_PID,$D749,nrES_Code,$F749,nrES_Att,2,nrES_Raw,"&gt;=0",nrES_Date,"&gt;0")&gt;$T749,"LATE RETEST "&amp;TEXT(_xlfn.MINIFS(nrES_Date,nrES_PID,$D749,nrES_Code,$F749,nrES_Att,2,nrES_Raw,"&gt;=0",nrES_Date,"&gt;0"),"mm/dd")&amp;" (due "&amp;TEXT($T749,"mm/dd")&amp;")","Retested"))),IF(NOT(ISNUMBER($T749)),"CHECK DATE",IF(TODAY()&gt;$T749,"OVERDUE","Due "&amp;TEXT($T749,"mm/dd")))))))</f>
        <v/>
      </c>
      <c r="V749" s="16" t="n"/>
      <c r="W749" s="16" t="n"/>
      <c r="X749" s="17">
        <f>IF($C749="","",IF(AND($L749&lt;&gt;"",NOT(ISNUMBER($L749))),"RAW SCORE NOT A NUMBER",IF(AND(ISNUMBER($L749),OR($L749&lt;0,$L749&gt;100)),"RAW SCORE OUT OF RANGE",IF(AND($Y749="Unexcused",OR($L749="",NOT(ISNUMBER($L749)),$L749&lt;&gt;0)),"UNEXCUSED ABSENCE MUST RECORD 0",IF(COUNTIF(nrES_RecID,$B749)&gt;1,"DUPLICATE RECORD",IF(N($K749)&gt;2,"ATTEMPT 3+ NOT ALLOWED - policy 300.5 permits one retest per exam; this row records nothing",IF(AND($K749=2,COUNTIFS(nrES_PID,$D749,nrES_Code,$F749,nrES_Att,1)=0),"ATTEMPT 2 WITHOUT ATTEMPT 1",IF(AND($K749=2,$L749=""),"RETEST ROW HAS NO SCORE",IF(AND($H749="Final",$L749&lt;&gt;"",IFERROR(INDEX(nrCKfinalExamElig,MATCH($D749,rngCadetPIDs,0)),"")="No"),"FINAL EXAM AFTER FAILED FINAL PT (500.1.H)",IF(AND($K749=2,ISNUMBER($L749),COUNTIFS(nrES_PID,$D749,nrES_Code,$F749,nrES_Att,1)&gt;0,SUMIFS(nrES_Raw,nrES_PID,$D749,nrES_Code,$F749,nrES_Att,1)&gt;=$J749),"RETEST AFTER A PASSING FIRST ATTEMPT","OK"))))))))))</f>
        <v/>
      </c>
      <c r="Y749" s="16" t="n"/>
    </row>
    <row r="750">
      <c r="B750" s="17">
        <f>IF($C750="","",$D750&amp;"-"&amp;$F750&amp;"-"&amp;$K750)</f>
        <v/>
      </c>
      <c r="C750" s="16" t="n"/>
      <c r="D750" s="17">
        <f>IF($C750="","",IFERROR(INDEX(rngCadetPIDs,MATCH($C750,rngCadetNames,0)),"?"))</f>
        <v/>
      </c>
      <c r="E750" s="17">
        <f>IF($D750="","",IFERROR(INDEX(nrCadetAgency,MATCH($D750,rngCadetPIDs,0)),""))</f>
        <v/>
      </c>
      <c r="F750" s="16" t="n"/>
      <c r="G750" s="17">
        <f>IF($F750="","",IFERROR(INDEX(rngEPname,MATCH($F750,rngEPcode,0)),"?"))</f>
        <v/>
      </c>
      <c r="H750" s="17">
        <f>IF($F750="","",IFERROR(INDEX(rngEPtype,MATCH($F750,rngEPcode,0)),"?"))</f>
        <v/>
      </c>
      <c r="I750" s="17">
        <f>IF($F750="","",IFERROR(INDEX(rngEPseq,MATCH($F750,rngEPcode,0)),""))</f>
        <v/>
      </c>
      <c r="J750" s="17">
        <f>IF($F750="","",IFERROR(INDEX(rngEPpass,MATCH($F750,rngEPcode,0)),cfgPassingScore))</f>
        <v/>
      </c>
      <c r="K750" s="16" t="n"/>
      <c r="L750" s="16" t="n"/>
      <c r="M750" s="17">
        <f>IF($C750="","",IF($L750="","",IF(NOT(ISNUMBER($L750)),$L750,IF(N($K750)&gt;2,"",IF($K750=1,IF(COUNTIFS(nrES_PID,$D750,nrES_Code,$F750,nrES_Att,2,nrES_Raw,"&gt;=0")&gt;0,"",$L750),IF($L750&gt;=$J750,MAX($J750,cfgRetakeRecordedCap),IF(COUNTIFS(nrES_PID,$D750,nrES_Code,$F750,nrES_Att,1)=0,$L750,SUMIFS(nrES_Raw,nrES_PID,$D750,nrES_Code,$F750,nrES_Att,1))))))))</f>
        <v/>
      </c>
      <c r="N750" s="17">
        <f>IF($C750="","",IF($L750="","",IF(NOT(ISNUMBER($L750)),"(not a score)",IF($L750&gt;=$J750,"Yes","No"))))</f>
        <v/>
      </c>
      <c r="O750" s="17">
        <f>IF($C750="","",IF($M750="","",IF(NOT(ISNUMBER($M750)),"(not a score)",IF($M750&gt;=$J750,"Yes","No"))))</f>
        <v/>
      </c>
      <c r="P750" s="17">
        <f>IF($C750="","",IF($K750="","",IF(N($K750)&gt;2,"No",IF(COUNTIFS(nrES_PID,$D750,nrES_Code,$F750,nrES_Att,"&gt;"&amp;$K750,nrES_Att,"&lt;=2",nrES_Raw,"&gt;=0")=0,"Yes","No"))))</f>
        <v/>
      </c>
      <c r="Q750" s="17">
        <f>IF($C750="","",IF($L750="","",IF(AND($K750=1,ISNUMBER($L750),$L750&lt;$J750,COUNTIFS(nrES_PID,$D750,nrES_Code,$F750,nrES_Att,2,nrES_Raw,"&gt;=0")=0),"Yes","No")))</f>
        <v/>
      </c>
      <c r="R750" s="17">
        <f>IF($C750="","",IF($L750="","",IF(AND(N($K750)&gt;=2,ISNUMBER($L750),$L750&lt;$J750),"Yes","No")))</f>
        <v/>
      </c>
      <c r="S750" s="18" t="n"/>
      <c r="T750" s="19">
        <f>IF(OR($C750="",$L750="",$K750&lt;&gt;1,NOT(ISNUMBER($L750)),$L750&gt;=$J750),"",IF($S750="","(enter date)",_xlfn.LET(_xlpm.dn,_xlfn.XLOOKUP($S750,nrCDdate,nrCDnum,"",1),IF(_xlpm.dn="","(after last class day)",_xlfn.LET(_xlpm.dd,_xlfn.XLOOKUP(_xlpm.dn+cfgRetestClassDays,nrCDnum,nrCDdate,""),_xlpm.ok,_xlfn.XLOOKUP(_xlpm.dn+cfgRetestClassDays,nrCDnum,nrCDinsession,"No"),IF(OR(_xlpm.dd="",_xlpm.ok&lt;&gt;"Yes"),"(after last class day)",_xlpm.dd))))))</f>
        <v/>
      </c>
      <c r="U750" s="17">
        <f>IF($C750="","",IF(AND($Y750="Excused",$L750="",N($K750)&lt;=1),"EXCUSED - 1st attempt pending",IF(OR($L750="",$K750&lt;&gt;1,NOT(ISNUMBER($L750)),$L750&gt;=$J750),"",IF(COUNTIFS(nrES_PID,$D750,nrES_Code,$F750,nrES_Att,2,nrES_Raw,"&gt;=0")&gt;0,IF(IFERROR(_xlfn.MINIFS(nrES_Date,nrES_PID,$D750,nrES_Code,$F750,nrES_Att,2,nrES_Raw,"&gt;=0",nrES_Date,"&gt;0"),0)=0,"RETEST UNDATED",IF(NOT(ISNUMBER($T750)),"RETEST DATE UNCHECKED",IF(_xlfn.MINIFS(nrES_Date,nrES_PID,$D750,nrES_Code,$F750,nrES_Att,2,nrES_Raw,"&gt;=0",nrES_Date,"&gt;0")&gt;$T750,"LATE RETEST "&amp;TEXT(_xlfn.MINIFS(nrES_Date,nrES_PID,$D750,nrES_Code,$F750,nrES_Att,2,nrES_Raw,"&gt;=0",nrES_Date,"&gt;0"),"mm/dd")&amp;" (due "&amp;TEXT($T750,"mm/dd")&amp;")","Retested"))),IF(NOT(ISNUMBER($T750)),"CHECK DATE",IF(TODAY()&gt;$T750,"OVERDUE","Due "&amp;TEXT($T750,"mm/dd")))))))</f>
        <v/>
      </c>
      <c r="V750" s="16" t="n"/>
      <c r="W750" s="16" t="n"/>
      <c r="X750" s="17">
        <f>IF($C750="","",IF(AND($L750&lt;&gt;"",NOT(ISNUMBER($L750))),"RAW SCORE NOT A NUMBER",IF(AND(ISNUMBER($L750),OR($L750&lt;0,$L750&gt;100)),"RAW SCORE OUT OF RANGE",IF(AND($Y750="Unexcused",OR($L750="",NOT(ISNUMBER($L750)),$L750&lt;&gt;0)),"UNEXCUSED ABSENCE MUST RECORD 0",IF(COUNTIF(nrES_RecID,$B750)&gt;1,"DUPLICATE RECORD",IF(N($K750)&gt;2,"ATTEMPT 3+ NOT ALLOWED - policy 300.5 permits one retest per exam; this row records nothing",IF(AND($K750=2,COUNTIFS(nrES_PID,$D750,nrES_Code,$F750,nrES_Att,1)=0),"ATTEMPT 2 WITHOUT ATTEMPT 1",IF(AND($K750=2,$L750=""),"RETEST ROW HAS NO SCORE",IF(AND($H750="Final",$L750&lt;&gt;"",IFERROR(INDEX(nrCKfinalExamElig,MATCH($D750,rngCadetPIDs,0)),"")="No"),"FINAL EXAM AFTER FAILED FINAL PT (500.1.H)",IF(AND($K750=2,ISNUMBER($L750),COUNTIFS(nrES_PID,$D750,nrES_Code,$F750,nrES_Att,1)&gt;0,SUMIFS(nrES_Raw,nrES_PID,$D750,nrES_Code,$F750,nrES_Att,1)&gt;=$J750),"RETEST AFTER A PASSING FIRST ATTEMPT","OK"))))))))))</f>
        <v/>
      </c>
      <c r="Y750" s="16" t="n"/>
    </row>
    <row r="751">
      <c r="B751" s="17">
        <f>IF($C751="","",$D751&amp;"-"&amp;$F751&amp;"-"&amp;$K751)</f>
        <v/>
      </c>
      <c r="C751" s="16" t="n"/>
      <c r="D751" s="17">
        <f>IF($C751="","",IFERROR(INDEX(rngCadetPIDs,MATCH($C751,rngCadetNames,0)),"?"))</f>
        <v/>
      </c>
      <c r="E751" s="17">
        <f>IF($D751="","",IFERROR(INDEX(nrCadetAgency,MATCH($D751,rngCadetPIDs,0)),""))</f>
        <v/>
      </c>
      <c r="F751" s="16" t="n"/>
      <c r="G751" s="17">
        <f>IF($F751="","",IFERROR(INDEX(rngEPname,MATCH($F751,rngEPcode,0)),"?"))</f>
        <v/>
      </c>
      <c r="H751" s="17">
        <f>IF($F751="","",IFERROR(INDEX(rngEPtype,MATCH($F751,rngEPcode,0)),"?"))</f>
        <v/>
      </c>
      <c r="I751" s="17">
        <f>IF($F751="","",IFERROR(INDEX(rngEPseq,MATCH($F751,rngEPcode,0)),""))</f>
        <v/>
      </c>
      <c r="J751" s="17">
        <f>IF($F751="","",IFERROR(INDEX(rngEPpass,MATCH($F751,rngEPcode,0)),cfgPassingScore))</f>
        <v/>
      </c>
      <c r="K751" s="16" t="n"/>
      <c r="L751" s="16" t="n"/>
      <c r="M751" s="17">
        <f>IF($C751="","",IF($L751="","",IF(NOT(ISNUMBER($L751)),$L751,IF(N($K751)&gt;2,"",IF($K751=1,IF(COUNTIFS(nrES_PID,$D751,nrES_Code,$F751,nrES_Att,2,nrES_Raw,"&gt;=0")&gt;0,"",$L751),IF($L751&gt;=$J751,MAX($J751,cfgRetakeRecordedCap),IF(COUNTIFS(nrES_PID,$D751,nrES_Code,$F751,nrES_Att,1)=0,$L751,SUMIFS(nrES_Raw,nrES_PID,$D751,nrES_Code,$F751,nrES_Att,1))))))))</f>
        <v/>
      </c>
      <c r="N751" s="17">
        <f>IF($C751="","",IF($L751="","",IF(NOT(ISNUMBER($L751)),"(not a score)",IF($L751&gt;=$J751,"Yes","No"))))</f>
        <v/>
      </c>
      <c r="O751" s="17">
        <f>IF($C751="","",IF($M751="","",IF(NOT(ISNUMBER($M751)),"(not a score)",IF($M751&gt;=$J751,"Yes","No"))))</f>
        <v/>
      </c>
      <c r="P751" s="17">
        <f>IF($C751="","",IF($K751="","",IF(N($K751)&gt;2,"No",IF(COUNTIFS(nrES_PID,$D751,nrES_Code,$F751,nrES_Att,"&gt;"&amp;$K751,nrES_Att,"&lt;=2",nrES_Raw,"&gt;=0")=0,"Yes","No"))))</f>
        <v/>
      </c>
      <c r="Q751" s="17">
        <f>IF($C751="","",IF($L751="","",IF(AND($K751=1,ISNUMBER($L751),$L751&lt;$J751,COUNTIFS(nrES_PID,$D751,nrES_Code,$F751,nrES_Att,2,nrES_Raw,"&gt;=0")=0),"Yes","No")))</f>
        <v/>
      </c>
      <c r="R751" s="17">
        <f>IF($C751="","",IF($L751="","",IF(AND(N($K751)&gt;=2,ISNUMBER($L751),$L751&lt;$J751),"Yes","No")))</f>
        <v/>
      </c>
      <c r="S751" s="18" t="n"/>
      <c r="T751" s="19">
        <f>IF(OR($C751="",$L751="",$K751&lt;&gt;1,NOT(ISNUMBER($L751)),$L751&gt;=$J751),"",IF($S751="","(enter date)",_xlfn.LET(_xlpm.dn,_xlfn.XLOOKUP($S751,nrCDdate,nrCDnum,"",1),IF(_xlpm.dn="","(after last class day)",_xlfn.LET(_xlpm.dd,_xlfn.XLOOKUP(_xlpm.dn+cfgRetestClassDays,nrCDnum,nrCDdate,""),_xlpm.ok,_xlfn.XLOOKUP(_xlpm.dn+cfgRetestClassDays,nrCDnum,nrCDinsession,"No"),IF(OR(_xlpm.dd="",_xlpm.ok&lt;&gt;"Yes"),"(after last class day)",_xlpm.dd))))))</f>
        <v/>
      </c>
      <c r="U751" s="17">
        <f>IF($C751="","",IF(AND($Y751="Excused",$L751="",N($K751)&lt;=1),"EXCUSED - 1st attempt pending",IF(OR($L751="",$K751&lt;&gt;1,NOT(ISNUMBER($L751)),$L751&gt;=$J751),"",IF(COUNTIFS(nrES_PID,$D751,nrES_Code,$F751,nrES_Att,2,nrES_Raw,"&gt;=0")&gt;0,IF(IFERROR(_xlfn.MINIFS(nrES_Date,nrES_PID,$D751,nrES_Code,$F751,nrES_Att,2,nrES_Raw,"&gt;=0",nrES_Date,"&gt;0"),0)=0,"RETEST UNDATED",IF(NOT(ISNUMBER($T751)),"RETEST DATE UNCHECKED",IF(_xlfn.MINIFS(nrES_Date,nrES_PID,$D751,nrES_Code,$F751,nrES_Att,2,nrES_Raw,"&gt;=0",nrES_Date,"&gt;0")&gt;$T751,"LATE RETEST "&amp;TEXT(_xlfn.MINIFS(nrES_Date,nrES_PID,$D751,nrES_Code,$F751,nrES_Att,2,nrES_Raw,"&gt;=0",nrES_Date,"&gt;0"),"mm/dd")&amp;" (due "&amp;TEXT($T751,"mm/dd")&amp;")","Retested"))),IF(NOT(ISNUMBER($T751)),"CHECK DATE",IF(TODAY()&gt;$T751,"OVERDUE","Due "&amp;TEXT($T751,"mm/dd")))))))</f>
        <v/>
      </c>
      <c r="V751" s="16" t="n"/>
      <c r="W751" s="16" t="n"/>
      <c r="X751" s="17">
        <f>IF($C751="","",IF(AND($L751&lt;&gt;"",NOT(ISNUMBER($L751))),"RAW SCORE NOT A NUMBER",IF(AND(ISNUMBER($L751),OR($L751&lt;0,$L751&gt;100)),"RAW SCORE OUT OF RANGE",IF(AND($Y751="Unexcused",OR($L751="",NOT(ISNUMBER($L751)),$L751&lt;&gt;0)),"UNEXCUSED ABSENCE MUST RECORD 0",IF(COUNTIF(nrES_RecID,$B751)&gt;1,"DUPLICATE RECORD",IF(N($K751)&gt;2,"ATTEMPT 3+ NOT ALLOWED - policy 300.5 permits one retest per exam; this row records nothing",IF(AND($K751=2,COUNTIFS(nrES_PID,$D751,nrES_Code,$F751,nrES_Att,1)=0),"ATTEMPT 2 WITHOUT ATTEMPT 1",IF(AND($K751=2,$L751=""),"RETEST ROW HAS NO SCORE",IF(AND($H751="Final",$L751&lt;&gt;"",IFERROR(INDEX(nrCKfinalExamElig,MATCH($D751,rngCadetPIDs,0)),"")="No"),"FINAL EXAM AFTER FAILED FINAL PT (500.1.H)",IF(AND($K751=2,ISNUMBER($L751),COUNTIFS(nrES_PID,$D751,nrES_Code,$F751,nrES_Att,1)&gt;0,SUMIFS(nrES_Raw,nrES_PID,$D751,nrES_Code,$F751,nrES_Att,1)&gt;=$J751),"RETEST AFTER A PASSING FIRST ATTEMPT","OK"))))))))))</f>
        <v/>
      </c>
      <c r="Y751" s="16" t="n"/>
    </row>
    <row r="752">
      <c r="B752" s="17">
        <f>IF($C752="","",$D752&amp;"-"&amp;$F752&amp;"-"&amp;$K752)</f>
        <v/>
      </c>
      <c r="C752" s="16" t="n"/>
      <c r="D752" s="17">
        <f>IF($C752="","",IFERROR(INDEX(rngCadetPIDs,MATCH($C752,rngCadetNames,0)),"?"))</f>
        <v/>
      </c>
      <c r="E752" s="17">
        <f>IF($D752="","",IFERROR(INDEX(nrCadetAgency,MATCH($D752,rngCadetPIDs,0)),""))</f>
        <v/>
      </c>
      <c r="F752" s="16" t="n"/>
      <c r="G752" s="17">
        <f>IF($F752="","",IFERROR(INDEX(rngEPname,MATCH($F752,rngEPcode,0)),"?"))</f>
        <v/>
      </c>
      <c r="H752" s="17">
        <f>IF($F752="","",IFERROR(INDEX(rngEPtype,MATCH($F752,rngEPcode,0)),"?"))</f>
        <v/>
      </c>
      <c r="I752" s="17">
        <f>IF($F752="","",IFERROR(INDEX(rngEPseq,MATCH($F752,rngEPcode,0)),""))</f>
        <v/>
      </c>
      <c r="J752" s="17">
        <f>IF($F752="","",IFERROR(INDEX(rngEPpass,MATCH($F752,rngEPcode,0)),cfgPassingScore))</f>
        <v/>
      </c>
      <c r="K752" s="16" t="n"/>
      <c r="L752" s="16" t="n"/>
      <c r="M752" s="17">
        <f>IF($C752="","",IF($L752="","",IF(NOT(ISNUMBER($L752)),$L752,IF(N($K752)&gt;2,"",IF($K752=1,IF(COUNTIFS(nrES_PID,$D752,nrES_Code,$F752,nrES_Att,2,nrES_Raw,"&gt;=0")&gt;0,"",$L752),IF($L752&gt;=$J752,MAX($J752,cfgRetakeRecordedCap),IF(COUNTIFS(nrES_PID,$D752,nrES_Code,$F752,nrES_Att,1)=0,$L752,SUMIFS(nrES_Raw,nrES_PID,$D752,nrES_Code,$F752,nrES_Att,1))))))))</f>
        <v/>
      </c>
      <c r="N752" s="17">
        <f>IF($C752="","",IF($L752="","",IF(NOT(ISNUMBER($L752)),"(not a score)",IF($L752&gt;=$J752,"Yes","No"))))</f>
        <v/>
      </c>
      <c r="O752" s="17">
        <f>IF($C752="","",IF($M752="","",IF(NOT(ISNUMBER($M752)),"(not a score)",IF($M752&gt;=$J752,"Yes","No"))))</f>
        <v/>
      </c>
      <c r="P752" s="17">
        <f>IF($C752="","",IF($K752="","",IF(N($K752)&gt;2,"No",IF(COUNTIFS(nrES_PID,$D752,nrES_Code,$F752,nrES_Att,"&gt;"&amp;$K752,nrES_Att,"&lt;=2",nrES_Raw,"&gt;=0")=0,"Yes","No"))))</f>
        <v/>
      </c>
      <c r="Q752" s="17">
        <f>IF($C752="","",IF($L752="","",IF(AND($K752=1,ISNUMBER($L752),$L752&lt;$J752,COUNTIFS(nrES_PID,$D752,nrES_Code,$F752,nrES_Att,2,nrES_Raw,"&gt;=0")=0),"Yes","No")))</f>
        <v/>
      </c>
      <c r="R752" s="17">
        <f>IF($C752="","",IF($L752="","",IF(AND(N($K752)&gt;=2,ISNUMBER($L752),$L752&lt;$J752),"Yes","No")))</f>
        <v/>
      </c>
      <c r="S752" s="18" t="n"/>
      <c r="T752" s="19">
        <f>IF(OR($C752="",$L752="",$K752&lt;&gt;1,NOT(ISNUMBER($L752)),$L752&gt;=$J752),"",IF($S752="","(enter date)",_xlfn.LET(_xlpm.dn,_xlfn.XLOOKUP($S752,nrCDdate,nrCDnum,"",1),IF(_xlpm.dn="","(after last class day)",_xlfn.LET(_xlpm.dd,_xlfn.XLOOKUP(_xlpm.dn+cfgRetestClassDays,nrCDnum,nrCDdate,""),_xlpm.ok,_xlfn.XLOOKUP(_xlpm.dn+cfgRetestClassDays,nrCDnum,nrCDinsession,"No"),IF(OR(_xlpm.dd="",_xlpm.ok&lt;&gt;"Yes"),"(after last class day)",_xlpm.dd))))))</f>
        <v/>
      </c>
      <c r="U752" s="17">
        <f>IF($C752="","",IF(AND($Y752="Excused",$L752="",N($K752)&lt;=1),"EXCUSED - 1st attempt pending",IF(OR($L752="",$K752&lt;&gt;1,NOT(ISNUMBER($L752)),$L752&gt;=$J752),"",IF(COUNTIFS(nrES_PID,$D752,nrES_Code,$F752,nrES_Att,2,nrES_Raw,"&gt;=0")&gt;0,IF(IFERROR(_xlfn.MINIFS(nrES_Date,nrES_PID,$D752,nrES_Code,$F752,nrES_Att,2,nrES_Raw,"&gt;=0",nrES_Date,"&gt;0"),0)=0,"RETEST UNDATED",IF(NOT(ISNUMBER($T752)),"RETEST DATE UNCHECKED",IF(_xlfn.MINIFS(nrES_Date,nrES_PID,$D752,nrES_Code,$F752,nrES_Att,2,nrES_Raw,"&gt;=0",nrES_Date,"&gt;0")&gt;$T752,"LATE RETEST "&amp;TEXT(_xlfn.MINIFS(nrES_Date,nrES_PID,$D752,nrES_Code,$F752,nrES_Att,2,nrES_Raw,"&gt;=0",nrES_Date,"&gt;0"),"mm/dd")&amp;" (due "&amp;TEXT($T752,"mm/dd")&amp;")","Retested"))),IF(NOT(ISNUMBER($T752)),"CHECK DATE",IF(TODAY()&gt;$T752,"OVERDUE","Due "&amp;TEXT($T752,"mm/dd")))))))</f>
        <v/>
      </c>
      <c r="V752" s="16" t="n"/>
      <c r="W752" s="16" t="n"/>
      <c r="X752" s="17">
        <f>IF($C752="","",IF(AND($L752&lt;&gt;"",NOT(ISNUMBER($L752))),"RAW SCORE NOT A NUMBER",IF(AND(ISNUMBER($L752),OR($L752&lt;0,$L752&gt;100)),"RAW SCORE OUT OF RANGE",IF(AND($Y752="Unexcused",OR($L752="",NOT(ISNUMBER($L752)),$L752&lt;&gt;0)),"UNEXCUSED ABSENCE MUST RECORD 0",IF(COUNTIF(nrES_RecID,$B752)&gt;1,"DUPLICATE RECORD",IF(N($K752)&gt;2,"ATTEMPT 3+ NOT ALLOWED - policy 300.5 permits one retest per exam; this row records nothing",IF(AND($K752=2,COUNTIFS(nrES_PID,$D752,nrES_Code,$F752,nrES_Att,1)=0),"ATTEMPT 2 WITHOUT ATTEMPT 1",IF(AND($K752=2,$L752=""),"RETEST ROW HAS NO SCORE",IF(AND($H752="Final",$L752&lt;&gt;"",IFERROR(INDEX(nrCKfinalExamElig,MATCH($D752,rngCadetPIDs,0)),"")="No"),"FINAL EXAM AFTER FAILED FINAL PT (500.1.H)",IF(AND($K752=2,ISNUMBER($L752),COUNTIFS(nrES_PID,$D752,nrES_Code,$F752,nrES_Att,1)&gt;0,SUMIFS(nrES_Raw,nrES_PID,$D752,nrES_Code,$F752,nrES_Att,1)&gt;=$J752),"RETEST AFTER A PASSING FIRST ATTEMPT","OK"))))))))))</f>
        <v/>
      </c>
      <c r="Y752" s="16" t="n"/>
    </row>
    <row r="753">
      <c r="B753" s="17">
        <f>IF($C753="","",$D753&amp;"-"&amp;$F753&amp;"-"&amp;$K753)</f>
        <v/>
      </c>
      <c r="C753" s="16" t="n"/>
      <c r="D753" s="17">
        <f>IF($C753="","",IFERROR(INDEX(rngCadetPIDs,MATCH($C753,rngCadetNames,0)),"?"))</f>
        <v/>
      </c>
      <c r="E753" s="17">
        <f>IF($D753="","",IFERROR(INDEX(nrCadetAgency,MATCH($D753,rngCadetPIDs,0)),""))</f>
        <v/>
      </c>
      <c r="F753" s="16" t="n"/>
      <c r="G753" s="17">
        <f>IF($F753="","",IFERROR(INDEX(rngEPname,MATCH($F753,rngEPcode,0)),"?"))</f>
        <v/>
      </c>
      <c r="H753" s="17">
        <f>IF($F753="","",IFERROR(INDEX(rngEPtype,MATCH($F753,rngEPcode,0)),"?"))</f>
        <v/>
      </c>
      <c r="I753" s="17">
        <f>IF($F753="","",IFERROR(INDEX(rngEPseq,MATCH($F753,rngEPcode,0)),""))</f>
        <v/>
      </c>
      <c r="J753" s="17">
        <f>IF($F753="","",IFERROR(INDEX(rngEPpass,MATCH($F753,rngEPcode,0)),cfgPassingScore))</f>
        <v/>
      </c>
      <c r="K753" s="16" t="n"/>
      <c r="L753" s="16" t="n"/>
      <c r="M753" s="17">
        <f>IF($C753="","",IF($L753="","",IF(NOT(ISNUMBER($L753)),$L753,IF(N($K753)&gt;2,"",IF($K753=1,IF(COUNTIFS(nrES_PID,$D753,nrES_Code,$F753,nrES_Att,2,nrES_Raw,"&gt;=0")&gt;0,"",$L753),IF($L753&gt;=$J753,MAX($J753,cfgRetakeRecordedCap),IF(COUNTIFS(nrES_PID,$D753,nrES_Code,$F753,nrES_Att,1)=0,$L753,SUMIFS(nrES_Raw,nrES_PID,$D753,nrES_Code,$F753,nrES_Att,1))))))))</f>
        <v/>
      </c>
      <c r="N753" s="17">
        <f>IF($C753="","",IF($L753="","",IF(NOT(ISNUMBER($L753)),"(not a score)",IF($L753&gt;=$J753,"Yes","No"))))</f>
        <v/>
      </c>
      <c r="O753" s="17">
        <f>IF($C753="","",IF($M753="","",IF(NOT(ISNUMBER($M753)),"(not a score)",IF($M753&gt;=$J753,"Yes","No"))))</f>
        <v/>
      </c>
      <c r="P753" s="17">
        <f>IF($C753="","",IF($K753="","",IF(N($K753)&gt;2,"No",IF(COUNTIFS(nrES_PID,$D753,nrES_Code,$F753,nrES_Att,"&gt;"&amp;$K753,nrES_Att,"&lt;=2",nrES_Raw,"&gt;=0")=0,"Yes","No"))))</f>
        <v/>
      </c>
      <c r="Q753" s="17">
        <f>IF($C753="","",IF($L753="","",IF(AND($K753=1,ISNUMBER($L753),$L753&lt;$J753,COUNTIFS(nrES_PID,$D753,nrES_Code,$F753,nrES_Att,2,nrES_Raw,"&gt;=0")=0),"Yes","No")))</f>
        <v/>
      </c>
      <c r="R753" s="17">
        <f>IF($C753="","",IF($L753="","",IF(AND(N($K753)&gt;=2,ISNUMBER($L753),$L753&lt;$J753),"Yes","No")))</f>
        <v/>
      </c>
      <c r="S753" s="18" t="n"/>
      <c r="T753" s="19">
        <f>IF(OR($C753="",$L753="",$K753&lt;&gt;1,NOT(ISNUMBER($L753)),$L753&gt;=$J753),"",IF($S753="","(enter date)",_xlfn.LET(_xlpm.dn,_xlfn.XLOOKUP($S753,nrCDdate,nrCDnum,"",1),IF(_xlpm.dn="","(after last class day)",_xlfn.LET(_xlpm.dd,_xlfn.XLOOKUP(_xlpm.dn+cfgRetestClassDays,nrCDnum,nrCDdate,""),_xlpm.ok,_xlfn.XLOOKUP(_xlpm.dn+cfgRetestClassDays,nrCDnum,nrCDinsession,"No"),IF(OR(_xlpm.dd="",_xlpm.ok&lt;&gt;"Yes"),"(after last class day)",_xlpm.dd))))))</f>
        <v/>
      </c>
      <c r="U753" s="17">
        <f>IF($C753="","",IF(AND($Y753="Excused",$L753="",N($K753)&lt;=1),"EXCUSED - 1st attempt pending",IF(OR($L753="",$K753&lt;&gt;1,NOT(ISNUMBER($L753)),$L753&gt;=$J753),"",IF(COUNTIFS(nrES_PID,$D753,nrES_Code,$F753,nrES_Att,2,nrES_Raw,"&gt;=0")&gt;0,IF(IFERROR(_xlfn.MINIFS(nrES_Date,nrES_PID,$D753,nrES_Code,$F753,nrES_Att,2,nrES_Raw,"&gt;=0",nrES_Date,"&gt;0"),0)=0,"RETEST UNDATED",IF(NOT(ISNUMBER($T753)),"RETEST DATE UNCHECKED",IF(_xlfn.MINIFS(nrES_Date,nrES_PID,$D753,nrES_Code,$F753,nrES_Att,2,nrES_Raw,"&gt;=0",nrES_Date,"&gt;0")&gt;$T753,"LATE RETEST "&amp;TEXT(_xlfn.MINIFS(nrES_Date,nrES_PID,$D753,nrES_Code,$F753,nrES_Att,2,nrES_Raw,"&gt;=0",nrES_Date,"&gt;0"),"mm/dd")&amp;" (due "&amp;TEXT($T753,"mm/dd")&amp;")","Retested"))),IF(NOT(ISNUMBER($T753)),"CHECK DATE",IF(TODAY()&gt;$T753,"OVERDUE","Due "&amp;TEXT($T753,"mm/dd")))))))</f>
        <v/>
      </c>
      <c r="V753" s="16" t="n"/>
      <c r="W753" s="16" t="n"/>
      <c r="X753" s="17">
        <f>IF($C753="","",IF(AND($L753&lt;&gt;"",NOT(ISNUMBER($L753))),"RAW SCORE NOT A NUMBER",IF(AND(ISNUMBER($L753),OR($L753&lt;0,$L753&gt;100)),"RAW SCORE OUT OF RANGE",IF(AND($Y753="Unexcused",OR($L753="",NOT(ISNUMBER($L753)),$L753&lt;&gt;0)),"UNEXCUSED ABSENCE MUST RECORD 0",IF(COUNTIF(nrES_RecID,$B753)&gt;1,"DUPLICATE RECORD",IF(N($K753)&gt;2,"ATTEMPT 3+ NOT ALLOWED - policy 300.5 permits one retest per exam; this row records nothing",IF(AND($K753=2,COUNTIFS(nrES_PID,$D753,nrES_Code,$F753,nrES_Att,1)=0),"ATTEMPT 2 WITHOUT ATTEMPT 1",IF(AND($K753=2,$L753=""),"RETEST ROW HAS NO SCORE",IF(AND($H753="Final",$L753&lt;&gt;"",IFERROR(INDEX(nrCKfinalExamElig,MATCH($D753,rngCadetPIDs,0)),"")="No"),"FINAL EXAM AFTER FAILED FINAL PT (500.1.H)",IF(AND($K753=2,ISNUMBER($L753),COUNTIFS(nrES_PID,$D753,nrES_Code,$F753,nrES_Att,1)&gt;0,SUMIFS(nrES_Raw,nrES_PID,$D753,nrES_Code,$F753,nrES_Att,1)&gt;=$J753),"RETEST AFTER A PASSING FIRST ATTEMPT","OK"))))))))))</f>
        <v/>
      </c>
      <c r="Y753" s="16" t="n"/>
    </row>
    <row r="754">
      <c r="B754" s="17">
        <f>IF($C754="","",$D754&amp;"-"&amp;$F754&amp;"-"&amp;$K754)</f>
        <v/>
      </c>
      <c r="C754" s="16" t="n"/>
      <c r="D754" s="17">
        <f>IF($C754="","",IFERROR(INDEX(rngCadetPIDs,MATCH($C754,rngCadetNames,0)),"?"))</f>
        <v/>
      </c>
      <c r="E754" s="17">
        <f>IF($D754="","",IFERROR(INDEX(nrCadetAgency,MATCH($D754,rngCadetPIDs,0)),""))</f>
        <v/>
      </c>
      <c r="F754" s="16" t="n"/>
      <c r="G754" s="17">
        <f>IF($F754="","",IFERROR(INDEX(rngEPname,MATCH($F754,rngEPcode,0)),"?"))</f>
        <v/>
      </c>
      <c r="H754" s="17">
        <f>IF($F754="","",IFERROR(INDEX(rngEPtype,MATCH($F754,rngEPcode,0)),"?"))</f>
        <v/>
      </c>
      <c r="I754" s="17">
        <f>IF($F754="","",IFERROR(INDEX(rngEPseq,MATCH($F754,rngEPcode,0)),""))</f>
        <v/>
      </c>
      <c r="J754" s="17">
        <f>IF($F754="","",IFERROR(INDEX(rngEPpass,MATCH($F754,rngEPcode,0)),cfgPassingScore))</f>
        <v/>
      </c>
      <c r="K754" s="16" t="n"/>
      <c r="L754" s="16" t="n"/>
      <c r="M754" s="17">
        <f>IF($C754="","",IF($L754="","",IF(NOT(ISNUMBER($L754)),$L754,IF(N($K754)&gt;2,"",IF($K754=1,IF(COUNTIFS(nrES_PID,$D754,nrES_Code,$F754,nrES_Att,2,nrES_Raw,"&gt;=0")&gt;0,"",$L754),IF($L754&gt;=$J754,MAX($J754,cfgRetakeRecordedCap),IF(COUNTIFS(nrES_PID,$D754,nrES_Code,$F754,nrES_Att,1)=0,$L754,SUMIFS(nrES_Raw,nrES_PID,$D754,nrES_Code,$F754,nrES_Att,1))))))))</f>
        <v/>
      </c>
      <c r="N754" s="17">
        <f>IF($C754="","",IF($L754="","",IF(NOT(ISNUMBER($L754)),"(not a score)",IF($L754&gt;=$J754,"Yes","No"))))</f>
        <v/>
      </c>
      <c r="O754" s="17">
        <f>IF($C754="","",IF($M754="","",IF(NOT(ISNUMBER($M754)),"(not a score)",IF($M754&gt;=$J754,"Yes","No"))))</f>
        <v/>
      </c>
      <c r="P754" s="17">
        <f>IF($C754="","",IF($K754="","",IF(N($K754)&gt;2,"No",IF(COUNTIFS(nrES_PID,$D754,nrES_Code,$F754,nrES_Att,"&gt;"&amp;$K754,nrES_Att,"&lt;=2",nrES_Raw,"&gt;=0")=0,"Yes","No"))))</f>
        <v/>
      </c>
      <c r="Q754" s="17">
        <f>IF($C754="","",IF($L754="","",IF(AND($K754=1,ISNUMBER($L754),$L754&lt;$J754,COUNTIFS(nrES_PID,$D754,nrES_Code,$F754,nrES_Att,2,nrES_Raw,"&gt;=0")=0),"Yes","No")))</f>
        <v/>
      </c>
      <c r="R754" s="17">
        <f>IF($C754="","",IF($L754="","",IF(AND(N($K754)&gt;=2,ISNUMBER($L754),$L754&lt;$J754),"Yes","No")))</f>
        <v/>
      </c>
      <c r="S754" s="18" t="n"/>
      <c r="T754" s="19">
        <f>IF(OR($C754="",$L754="",$K754&lt;&gt;1,NOT(ISNUMBER($L754)),$L754&gt;=$J754),"",IF($S754="","(enter date)",_xlfn.LET(_xlpm.dn,_xlfn.XLOOKUP($S754,nrCDdate,nrCDnum,"",1),IF(_xlpm.dn="","(after last class day)",_xlfn.LET(_xlpm.dd,_xlfn.XLOOKUP(_xlpm.dn+cfgRetestClassDays,nrCDnum,nrCDdate,""),_xlpm.ok,_xlfn.XLOOKUP(_xlpm.dn+cfgRetestClassDays,nrCDnum,nrCDinsession,"No"),IF(OR(_xlpm.dd="",_xlpm.ok&lt;&gt;"Yes"),"(after last class day)",_xlpm.dd))))))</f>
        <v/>
      </c>
      <c r="U754" s="17">
        <f>IF($C754="","",IF(AND($Y754="Excused",$L754="",N($K754)&lt;=1),"EXCUSED - 1st attempt pending",IF(OR($L754="",$K754&lt;&gt;1,NOT(ISNUMBER($L754)),$L754&gt;=$J754),"",IF(COUNTIFS(nrES_PID,$D754,nrES_Code,$F754,nrES_Att,2,nrES_Raw,"&gt;=0")&gt;0,IF(IFERROR(_xlfn.MINIFS(nrES_Date,nrES_PID,$D754,nrES_Code,$F754,nrES_Att,2,nrES_Raw,"&gt;=0",nrES_Date,"&gt;0"),0)=0,"RETEST UNDATED",IF(NOT(ISNUMBER($T754)),"RETEST DATE UNCHECKED",IF(_xlfn.MINIFS(nrES_Date,nrES_PID,$D754,nrES_Code,$F754,nrES_Att,2,nrES_Raw,"&gt;=0",nrES_Date,"&gt;0")&gt;$T754,"LATE RETEST "&amp;TEXT(_xlfn.MINIFS(nrES_Date,nrES_PID,$D754,nrES_Code,$F754,nrES_Att,2,nrES_Raw,"&gt;=0",nrES_Date,"&gt;0"),"mm/dd")&amp;" (due "&amp;TEXT($T754,"mm/dd")&amp;")","Retested"))),IF(NOT(ISNUMBER($T754)),"CHECK DATE",IF(TODAY()&gt;$T754,"OVERDUE","Due "&amp;TEXT($T754,"mm/dd")))))))</f>
        <v/>
      </c>
      <c r="V754" s="16" t="n"/>
      <c r="W754" s="16" t="n"/>
      <c r="X754" s="17">
        <f>IF($C754="","",IF(AND($L754&lt;&gt;"",NOT(ISNUMBER($L754))),"RAW SCORE NOT A NUMBER",IF(AND(ISNUMBER($L754),OR($L754&lt;0,$L754&gt;100)),"RAW SCORE OUT OF RANGE",IF(AND($Y754="Unexcused",OR($L754="",NOT(ISNUMBER($L754)),$L754&lt;&gt;0)),"UNEXCUSED ABSENCE MUST RECORD 0",IF(COUNTIF(nrES_RecID,$B754)&gt;1,"DUPLICATE RECORD",IF(N($K754)&gt;2,"ATTEMPT 3+ NOT ALLOWED - policy 300.5 permits one retest per exam; this row records nothing",IF(AND($K754=2,COUNTIFS(nrES_PID,$D754,nrES_Code,$F754,nrES_Att,1)=0),"ATTEMPT 2 WITHOUT ATTEMPT 1",IF(AND($K754=2,$L754=""),"RETEST ROW HAS NO SCORE",IF(AND($H754="Final",$L754&lt;&gt;"",IFERROR(INDEX(nrCKfinalExamElig,MATCH($D754,rngCadetPIDs,0)),"")="No"),"FINAL EXAM AFTER FAILED FINAL PT (500.1.H)",IF(AND($K754=2,ISNUMBER($L754),COUNTIFS(nrES_PID,$D754,nrES_Code,$F754,nrES_Att,1)&gt;0,SUMIFS(nrES_Raw,nrES_PID,$D754,nrES_Code,$F754,nrES_Att,1)&gt;=$J754),"RETEST AFTER A PASSING FIRST ATTEMPT","OK"))))))))))</f>
        <v/>
      </c>
      <c r="Y754" s="16" t="n"/>
    </row>
    <row r="755">
      <c r="B755" s="17">
        <f>IF($C755="","",$D755&amp;"-"&amp;$F755&amp;"-"&amp;$K755)</f>
        <v/>
      </c>
      <c r="C755" s="16" t="n"/>
      <c r="D755" s="17">
        <f>IF($C755="","",IFERROR(INDEX(rngCadetPIDs,MATCH($C755,rngCadetNames,0)),"?"))</f>
        <v/>
      </c>
      <c r="E755" s="17">
        <f>IF($D755="","",IFERROR(INDEX(nrCadetAgency,MATCH($D755,rngCadetPIDs,0)),""))</f>
        <v/>
      </c>
      <c r="F755" s="16" t="n"/>
      <c r="G755" s="17">
        <f>IF($F755="","",IFERROR(INDEX(rngEPname,MATCH($F755,rngEPcode,0)),"?"))</f>
        <v/>
      </c>
      <c r="H755" s="17">
        <f>IF($F755="","",IFERROR(INDEX(rngEPtype,MATCH($F755,rngEPcode,0)),"?"))</f>
        <v/>
      </c>
      <c r="I755" s="17">
        <f>IF($F755="","",IFERROR(INDEX(rngEPseq,MATCH($F755,rngEPcode,0)),""))</f>
        <v/>
      </c>
      <c r="J755" s="17">
        <f>IF($F755="","",IFERROR(INDEX(rngEPpass,MATCH($F755,rngEPcode,0)),cfgPassingScore))</f>
        <v/>
      </c>
      <c r="K755" s="16" t="n"/>
      <c r="L755" s="16" t="n"/>
      <c r="M755" s="17">
        <f>IF($C755="","",IF($L755="","",IF(NOT(ISNUMBER($L755)),$L755,IF(N($K755)&gt;2,"",IF($K755=1,IF(COUNTIFS(nrES_PID,$D755,nrES_Code,$F755,nrES_Att,2,nrES_Raw,"&gt;=0")&gt;0,"",$L755),IF($L755&gt;=$J755,MAX($J755,cfgRetakeRecordedCap),IF(COUNTIFS(nrES_PID,$D755,nrES_Code,$F755,nrES_Att,1)=0,$L755,SUMIFS(nrES_Raw,nrES_PID,$D755,nrES_Code,$F755,nrES_Att,1))))))))</f>
        <v/>
      </c>
      <c r="N755" s="17">
        <f>IF($C755="","",IF($L755="","",IF(NOT(ISNUMBER($L755)),"(not a score)",IF($L755&gt;=$J755,"Yes","No"))))</f>
        <v/>
      </c>
      <c r="O755" s="17">
        <f>IF($C755="","",IF($M755="","",IF(NOT(ISNUMBER($M755)),"(not a score)",IF($M755&gt;=$J755,"Yes","No"))))</f>
        <v/>
      </c>
      <c r="P755" s="17">
        <f>IF($C755="","",IF($K755="","",IF(N($K755)&gt;2,"No",IF(COUNTIFS(nrES_PID,$D755,nrES_Code,$F755,nrES_Att,"&gt;"&amp;$K755,nrES_Att,"&lt;=2",nrES_Raw,"&gt;=0")=0,"Yes","No"))))</f>
        <v/>
      </c>
      <c r="Q755" s="17">
        <f>IF($C755="","",IF($L755="","",IF(AND($K755=1,ISNUMBER($L755),$L755&lt;$J755,COUNTIFS(nrES_PID,$D755,nrES_Code,$F755,nrES_Att,2,nrES_Raw,"&gt;=0")=0),"Yes","No")))</f>
        <v/>
      </c>
      <c r="R755" s="17">
        <f>IF($C755="","",IF($L755="","",IF(AND(N($K755)&gt;=2,ISNUMBER($L755),$L755&lt;$J755),"Yes","No")))</f>
        <v/>
      </c>
      <c r="S755" s="18" t="n"/>
      <c r="T755" s="19">
        <f>IF(OR($C755="",$L755="",$K755&lt;&gt;1,NOT(ISNUMBER($L755)),$L755&gt;=$J755),"",IF($S755="","(enter date)",_xlfn.LET(_xlpm.dn,_xlfn.XLOOKUP($S755,nrCDdate,nrCDnum,"",1),IF(_xlpm.dn="","(after last class day)",_xlfn.LET(_xlpm.dd,_xlfn.XLOOKUP(_xlpm.dn+cfgRetestClassDays,nrCDnum,nrCDdate,""),_xlpm.ok,_xlfn.XLOOKUP(_xlpm.dn+cfgRetestClassDays,nrCDnum,nrCDinsession,"No"),IF(OR(_xlpm.dd="",_xlpm.ok&lt;&gt;"Yes"),"(after last class day)",_xlpm.dd))))))</f>
        <v/>
      </c>
      <c r="U755" s="17">
        <f>IF($C755="","",IF(AND($Y755="Excused",$L755="",N($K755)&lt;=1),"EXCUSED - 1st attempt pending",IF(OR($L755="",$K755&lt;&gt;1,NOT(ISNUMBER($L755)),$L755&gt;=$J755),"",IF(COUNTIFS(nrES_PID,$D755,nrES_Code,$F755,nrES_Att,2,nrES_Raw,"&gt;=0")&gt;0,IF(IFERROR(_xlfn.MINIFS(nrES_Date,nrES_PID,$D755,nrES_Code,$F755,nrES_Att,2,nrES_Raw,"&gt;=0",nrES_Date,"&gt;0"),0)=0,"RETEST UNDATED",IF(NOT(ISNUMBER($T755)),"RETEST DATE UNCHECKED",IF(_xlfn.MINIFS(nrES_Date,nrES_PID,$D755,nrES_Code,$F755,nrES_Att,2,nrES_Raw,"&gt;=0",nrES_Date,"&gt;0")&gt;$T755,"LATE RETEST "&amp;TEXT(_xlfn.MINIFS(nrES_Date,nrES_PID,$D755,nrES_Code,$F755,nrES_Att,2,nrES_Raw,"&gt;=0",nrES_Date,"&gt;0"),"mm/dd")&amp;" (due "&amp;TEXT($T755,"mm/dd")&amp;")","Retested"))),IF(NOT(ISNUMBER($T755)),"CHECK DATE",IF(TODAY()&gt;$T755,"OVERDUE","Due "&amp;TEXT($T755,"mm/dd")))))))</f>
        <v/>
      </c>
      <c r="V755" s="16" t="n"/>
      <c r="W755" s="16" t="n"/>
      <c r="X755" s="17">
        <f>IF($C755="","",IF(AND($L755&lt;&gt;"",NOT(ISNUMBER($L755))),"RAW SCORE NOT A NUMBER",IF(AND(ISNUMBER($L755),OR($L755&lt;0,$L755&gt;100)),"RAW SCORE OUT OF RANGE",IF(AND($Y755="Unexcused",OR($L755="",NOT(ISNUMBER($L755)),$L755&lt;&gt;0)),"UNEXCUSED ABSENCE MUST RECORD 0",IF(COUNTIF(nrES_RecID,$B755)&gt;1,"DUPLICATE RECORD",IF(N($K755)&gt;2,"ATTEMPT 3+ NOT ALLOWED - policy 300.5 permits one retest per exam; this row records nothing",IF(AND($K755=2,COUNTIFS(nrES_PID,$D755,nrES_Code,$F755,nrES_Att,1)=0),"ATTEMPT 2 WITHOUT ATTEMPT 1",IF(AND($K755=2,$L755=""),"RETEST ROW HAS NO SCORE",IF(AND($H755="Final",$L755&lt;&gt;"",IFERROR(INDEX(nrCKfinalExamElig,MATCH($D755,rngCadetPIDs,0)),"")="No"),"FINAL EXAM AFTER FAILED FINAL PT (500.1.H)",IF(AND($K755=2,ISNUMBER($L755),COUNTIFS(nrES_PID,$D755,nrES_Code,$F755,nrES_Att,1)&gt;0,SUMIFS(nrES_Raw,nrES_PID,$D755,nrES_Code,$F755,nrES_Att,1)&gt;=$J755),"RETEST AFTER A PASSING FIRST ATTEMPT","OK"))))))))))</f>
        <v/>
      </c>
      <c r="Y755" s="16" t="n"/>
    </row>
    <row r="756">
      <c r="B756" s="17">
        <f>IF($C756="","",$D756&amp;"-"&amp;$F756&amp;"-"&amp;$K756)</f>
        <v/>
      </c>
      <c r="C756" s="16" t="n"/>
      <c r="D756" s="17">
        <f>IF($C756="","",IFERROR(INDEX(rngCadetPIDs,MATCH($C756,rngCadetNames,0)),"?"))</f>
        <v/>
      </c>
      <c r="E756" s="17">
        <f>IF($D756="","",IFERROR(INDEX(nrCadetAgency,MATCH($D756,rngCadetPIDs,0)),""))</f>
        <v/>
      </c>
      <c r="F756" s="16" t="n"/>
      <c r="G756" s="17">
        <f>IF($F756="","",IFERROR(INDEX(rngEPname,MATCH($F756,rngEPcode,0)),"?"))</f>
        <v/>
      </c>
      <c r="H756" s="17">
        <f>IF($F756="","",IFERROR(INDEX(rngEPtype,MATCH($F756,rngEPcode,0)),"?"))</f>
        <v/>
      </c>
      <c r="I756" s="17">
        <f>IF($F756="","",IFERROR(INDEX(rngEPseq,MATCH($F756,rngEPcode,0)),""))</f>
        <v/>
      </c>
      <c r="J756" s="17">
        <f>IF($F756="","",IFERROR(INDEX(rngEPpass,MATCH($F756,rngEPcode,0)),cfgPassingScore))</f>
        <v/>
      </c>
      <c r="K756" s="16" t="n"/>
      <c r="L756" s="16" t="n"/>
      <c r="M756" s="17">
        <f>IF($C756="","",IF($L756="","",IF(NOT(ISNUMBER($L756)),$L756,IF(N($K756)&gt;2,"",IF($K756=1,IF(COUNTIFS(nrES_PID,$D756,nrES_Code,$F756,nrES_Att,2,nrES_Raw,"&gt;=0")&gt;0,"",$L756),IF($L756&gt;=$J756,MAX($J756,cfgRetakeRecordedCap),IF(COUNTIFS(nrES_PID,$D756,nrES_Code,$F756,nrES_Att,1)=0,$L756,SUMIFS(nrES_Raw,nrES_PID,$D756,nrES_Code,$F756,nrES_Att,1))))))))</f>
        <v/>
      </c>
      <c r="N756" s="17">
        <f>IF($C756="","",IF($L756="","",IF(NOT(ISNUMBER($L756)),"(not a score)",IF($L756&gt;=$J756,"Yes","No"))))</f>
        <v/>
      </c>
      <c r="O756" s="17">
        <f>IF($C756="","",IF($M756="","",IF(NOT(ISNUMBER($M756)),"(not a score)",IF($M756&gt;=$J756,"Yes","No"))))</f>
        <v/>
      </c>
      <c r="P756" s="17">
        <f>IF($C756="","",IF($K756="","",IF(N($K756)&gt;2,"No",IF(COUNTIFS(nrES_PID,$D756,nrES_Code,$F756,nrES_Att,"&gt;"&amp;$K756,nrES_Att,"&lt;=2",nrES_Raw,"&gt;=0")=0,"Yes","No"))))</f>
        <v/>
      </c>
      <c r="Q756" s="17">
        <f>IF($C756="","",IF($L756="","",IF(AND($K756=1,ISNUMBER($L756),$L756&lt;$J756,COUNTIFS(nrES_PID,$D756,nrES_Code,$F756,nrES_Att,2,nrES_Raw,"&gt;=0")=0),"Yes","No")))</f>
        <v/>
      </c>
      <c r="R756" s="17">
        <f>IF($C756="","",IF($L756="","",IF(AND(N($K756)&gt;=2,ISNUMBER($L756),$L756&lt;$J756),"Yes","No")))</f>
        <v/>
      </c>
      <c r="S756" s="18" t="n"/>
      <c r="T756" s="19">
        <f>IF(OR($C756="",$L756="",$K756&lt;&gt;1,NOT(ISNUMBER($L756)),$L756&gt;=$J756),"",IF($S756="","(enter date)",_xlfn.LET(_xlpm.dn,_xlfn.XLOOKUP($S756,nrCDdate,nrCDnum,"",1),IF(_xlpm.dn="","(after last class day)",_xlfn.LET(_xlpm.dd,_xlfn.XLOOKUP(_xlpm.dn+cfgRetestClassDays,nrCDnum,nrCDdate,""),_xlpm.ok,_xlfn.XLOOKUP(_xlpm.dn+cfgRetestClassDays,nrCDnum,nrCDinsession,"No"),IF(OR(_xlpm.dd="",_xlpm.ok&lt;&gt;"Yes"),"(after last class day)",_xlpm.dd))))))</f>
        <v/>
      </c>
      <c r="U756" s="17">
        <f>IF($C756="","",IF(AND($Y756="Excused",$L756="",N($K756)&lt;=1),"EXCUSED - 1st attempt pending",IF(OR($L756="",$K756&lt;&gt;1,NOT(ISNUMBER($L756)),$L756&gt;=$J756),"",IF(COUNTIFS(nrES_PID,$D756,nrES_Code,$F756,nrES_Att,2,nrES_Raw,"&gt;=0")&gt;0,IF(IFERROR(_xlfn.MINIFS(nrES_Date,nrES_PID,$D756,nrES_Code,$F756,nrES_Att,2,nrES_Raw,"&gt;=0",nrES_Date,"&gt;0"),0)=0,"RETEST UNDATED",IF(NOT(ISNUMBER($T756)),"RETEST DATE UNCHECKED",IF(_xlfn.MINIFS(nrES_Date,nrES_PID,$D756,nrES_Code,$F756,nrES_Att,2,nrES_Raw,"&gt;=0",nrES_Date,"&gt;0")&gt;$T756,"LATE RETEST "&amp;TEXT(_xlfn.MINIFS(nrES_Date,nrES_PID,$D756,nrES_Code,$F756,nrES_Att,2,nrES_Raw,"&gt;=0",nrES_Date,"&gt;0"),"mm/dd")&amp;" (due "&amp;TEXT($T756,"mm/dd")&amp;")","Retested"))),IF(NOT(ISNUMBER($T756)),"CHECK DATE",IF(TODAY()&gt;$T756,"OVERDUE","Due "&amp;TEXT($T756,"mm/dd")))))))</f>
        <v/>
      </c>
      <c r="V756" s="16" t="n"/>
      <c r="W756" s="16" t="n"/>
      <c r="X756" s="17">
        <f>IF($C756="","",IF(AND($L756&lt;&gt;"",NOT(ISNUMBER($L756))),"RAW SCORE NOT A NUMBER",IF(AND(ISNUMBER($L756),OR($L756&lt;0,$L756&gt;100)),"RAW SCORE OUT OF RANGE",IF(AND($Y756="Unexcused",OR($L756="",NOT(ISNUMBER($L756)),$L756&lt;&gt;0)),"UNEXCUSED ABSENCE MUST RECORD 0",IF(COUNTIF(nrES_RecID,$B756)&gt;1,"DUPLICATE RECORD",IF(N($K756)&gt;2,"ATTEMPT 3+ NOT ALLOWED - policy 300.5 permits one retest per exam; this row records nothing",IF(AND($K756=2,COUNTIFS(nrES_PID,$D756,nrES_Code,$F756,nrES_Att,1)=0),"ATTEMPT 2 WITHOUT ATTEMPT 1",IF(AND($K756=2,$L756=""),"RETEST ROW HAS NO SCORE",IF(AND($H756="Final",$L756&lt;&gt;"",IFERROR(INDEX(nrCKfinalExamElig,MATCH($D756,rngCadetPIDs,0)),"")="No"),"FINAL EXAM AFTER FAILED FINAL PT (500.1.H)",IF(AND($K756=2,ISNUMBER($L756),COUNTIFS(nrES_PID,$D756,nrES_Code,$F756,nrES_Att,1)&gt;0,SUMIFS(nrES_Raw,nrES_PID,$D756,nrES_Code,$F756,nrES_Att,1)&gt;=$J756),"RETEST AFTER A PASSING FIRST ATTEMPT","OK"))))))))))</f>
        <v/>
      </c>
      <c r="Y756" s="16" t="n"/>
    </row>
    <row r="757">
      <c r="B757" s="17">
        <f>IF($C757="","",$D757&amp;"-"&amp;$F757&amp;"-"&amp;$K757)</f>
        <v/>
      </c>
      <c r="C757" s="16" t="n"/>
      <c r="D757" s="17">
        <f>IF($C757="","",IFERROR(INDEX(rngCadetPIDs,MATCH($C757,rngCadetNames,0)),"?"))</f>
        <v/>
      </c>
      <c r="E757" s="17">
        <f>IF($D757="","",IFERROR(INDEX(nrCadetAgency,MATCH($D757,rngCadetPIDs,0)),""))</f>
        <v/>
      </c>
      <c r="F757" s="16" t="n"/>
      <c r="G757" s="17">
        <f>IF($F757="","",IFERROR(INDEX(rngEPname,MATCH($F757,rngEPcode,0)),"?"))</f>
        <v/>
      </c>
      <c r="H757" s="17">
        <f>IF($F757="","",IFERROR(INDEX(rngEPtype,MATCH($F757,rngEPcode,0)),"?"))</f>
        <v/>
      </c>
      <c r="I757" s="17">
        <f>IF($F757="","",IFERROR(INDEX(rngEPseq,MATCH($F757,rngEPcode,0)),""))</f>
        <v/>
      </c>
      <c r="J757" s="17">
        <f>IF($F757="","",IFERROR(INDEX(rngEPpass,MATCH($F757,rngEPcode,0)),cfgPassingScore))</f>
        <v/>
      </c>
      <c r="K757" s="16" t="n"/>
      <c r="L757" s="16" t="n"/>
      <c r="M757" s="17">
        <f>IF($C757="","",IF($L757="","",IF(NOT(ISNUMBER($L757)),$L757,IF(N($K757)&gt;2,"",IF($K757=1,IF(COUNTIFS(nrES_PID,$D757,nrES_Code,$F757,nrES_Att,2,nrES_Raw,"&gt;=0")&gt;0,"",$L757),IF($L757&gt;=$J757,MAX($J757,cfgRetakeRecordedCap),IF(COUNTIFS(nrES_PID,$D757,nrES_Code,$F757,nrES_Att,1)=0,$L757,SUMIFS(nrES_Raw,nrES_PID,$D757,nrES_Code,$F757,nrES_Att,1))))))))</f>
        <v/>
      </c>
      <c r="N757" s="17">
        <f>IF($C757="","",IF($L757="","",IF(NOT(ISNUMBER($L757)),"(not a score)",IF($L757&gt;=$J757,"Yes","No"))))</f>
        <v/>
      </c>
      <c r="O757" s="17">
        <f>IF($C757="","",IF($M757="","",IF(NOT(ISNUMBER($M757)),"(not a score)",IF($M757&gt;=$J757,"Yes","No"))))</f>
        <v/>
      </c>
      <c r="P757" s="17">
        <f>IF($C757="","",IF($K757="","",IF(N($K757)&gt;2,"No",IF(COUNTIFS(nrES_PID,$D757,nrES_Code,$F757,nrES_Att,"&gt;"&amp;$K757,nrES_Att,"&lt;=2",nrES_Raw,"&gt;=0")=0,"Yes","No"))))</f>
        <v/>
      </c>
      <c r="Q757" s="17">
        <f>IF($C757="","",IF($L757="","",IF(AND($K757=1,ISNUMBER($L757),$L757&lt;$J757,COUNTIFS(nrES_PID,$D757,nrES_Code,$F757,nrES_Att,2,nrES_Raw,"&gt;=0")=0),"Yes","No")))</f>
        <v/>
      </c>
      <c r="R757" s="17">
        <f>IF($C757="","",IF($L757="","",IF(AND(N($K757)&gt;=2,ISNUMBER($L757),$L757&lt;$J757),"Yes","No")))</f>
        <v/>
      </c>
      <c r="S757" s="18" t="n"/>
      <c r="T757" s="19">
        <f>IF(OR($C757="",$L757="",$K757&lt;&gt;1,NOT(ISNUMBER($L757)),$L757&gt;=$J757),"",IF($S757="","(enter date)",_xlfn.LET(_xlpm.dn,_xlfn.XLOOKUP($S757,nrCDdate,nrCDnum,"",1),IF(_xlpm.dn="","(after last class day)",_xlfn.LET(_xlpm.dd,_xlfn.XLOOKUP(_xlpm.dn+cfgRetestClassDays,nrCDnum,nrCDdate,""),_xlpm.ok,_xlfn.XLOOKUP(_xlpm.dn+cfgRetestClassDays,nrCDnum,nrCDinsession,"No"),IF(OR(_xlpm.dd="",_xlpm.ok&lt;&gt;"Yes"),"(after last class day)",_xlpm.dd))))))</f>
        <v/>
      </c>
      <c r="U757" s="17">
        <f>IF($C757="","",IF(AND($Y757="Excused",$L757="",N($K757)&lt;=1),"EXCUSED - 1st attempt pending",IF(OR($L757="",$K757&lt;&gt;1,NOT(ISNUMBER($L757)),$L757&gt;=$J757),"",IF(COUNTIFS(nrES_PID,$D757,nrES_Code,$F757,nrES_Att,2,nrES_Raw,"&gt;=0")&gt;0,IF(IFERROR(_xlfn.MINIFS(nrES_Date,nrES_PID,$D757,nrES_Code,$F757,nrES_Att,2,nrES_Raw,"&gt;=0",nrES_Date,"&gt;0"),0)=0,"RETEST UNDATED",IF(NOT(ISNUMBER($T757)),"RETEST DATE UNCHECKED",IF(_xlfn.MINIFS(nrES_Date,nrES_PID,$D757,nrES_Code,$F757,nrES_Att,2,nrES_Raw,"&gt;=0",nrES_Date,"&gt;0")&gt;$T757,"LATE RETEST "&amp;TEXT(_xlfn.MINIFS(nrES_Date,nrES_PID,$D757,nrES_Code,$F757,nrES_Att,2,nrES_Raw,"&gt;=0",nrES_Date,"&gt;0"),"mm/dd")&amp;" (due "&amp;TEXT($T757,"mm/dd")&amp;")","Retested"))),IF(NOT(ISNUMBER($T757)),"CHECK DATE",IF(TODAY()&gt;$T757,"OVERDUE","Due "&amp;TEXT($T757,"mm/dd")))))))</f>
        <v/>
      </c>
      <c r="V757" s="16" t="n"/>
      <c r="W757" s="16" t="n"/>
      <c r="X757" s="17">
        <f>IF($C757="","",IF(AND($L757&lt;&gt;"",NOT(ISNUMBER($L757))),"RAW SCORE NOT A NUMBER",IF(AND(ISNUMBER($L757),OR($L757&lt;0,$L757&gt;100)),"RAW SCORE OUT OF RANGE",IF(AND($Y757="Unexcused",OR($L757="",NOT(ISNUMBER($L757)),$L757&lt;&gt;0)),"UNEXCUSED ABSENCE MUST RECORD 0",IF(COUNTIF(nrES_RecID,$B757)&gt;1,"DUPLICATE RECORD",IF(N($K757)&gt;2,"ATTEMPT 3+ NOT ALLOWED - policy 300.5 permits one retest per exam; this row records nothing",IF(AND($K757=2,COUNTIFS(nrES_PID,$D757,nrES_Code,$F757,nrES_Att,1)=0),"ATTEMPT 2 WITHOUT ATTEMPT 1",IF(AND($K757=2,$L757=""),"RETEST ROW HAS NO SCORE",IF(AND($H757="Final",$L757&lt;&gt;"",IFERROR(INDEX(nrCKfinalExamElig,MATCH($D757,rngCadetPIDs,0)),"")="No"),"FINAL EXAM AFTER FAILED FINAL PT (500.1.H)",IF(AND($K757=2,ISNUMBER($L757),COUNTIFS(nrES_PID,$D757,nrES_Code,$F757,nrES_Att,1)&gt;0,SUMIFS(nrES_Raw,nrES_PID,$D757,nrES_Code,$F757,nrES_Att,1)&gt;=$J757),"RETEST AFTER A PASSING FIRST ATTEMPT","OK"))))))))))</f>
        <v/>
      </c>
      <c r="Y757" s="16" t="n"/>
    </row>
    <row r="758">
      <c r="B758" s="17">
        <f>IF($C758="","",$D758&amp;"-"&amp;$F758&amp;"-"&amp;$K758)</f>
        <v/>
      </c>
      <c r="C758" s="16" t="n"/>
      <c r="D758" s="17">
        <f>IF($C758="","",IFERROR(INDEX(rngCadetPIDs,MATCH($C758,rngCadetNames,0)),"?"))</f>
        <v/>
      </c>
      <c r="E758" s="17">
        <f>IF($D758="","",IFERROR(INDEX(nrCadetAgency,MATCH($D758,rngCadetPIDs,0)),""))</f>
        <v/>
      </c>
      <c r="F758" s="16" t="n"/>
      <c r="G758" s="17">
        <f>IF($F758="","",IFERROR(INDEX(rngEPname,MATCH($F758,rngEPcode,0)),"?"))</f>
        <v/>
      </c>
      <c r="H758" s="17">
        <f>IF($F758="","",IFERROR(INDEX(rngEPtype,MATCH($F758,rngEPcode,0)),"?"))</f>
        <v/>
      </c>
      <c r="I758" s="17">
        <f>IF($F758="","",IFERROR(INDEX(rngEPseq,MATCH($F758,rngEPcode,0)),""))</f>
        <v/>
      </c>
      <c r="J758" s="17">
        <f>IF($F758="","",IFERROR(INDEX(rngEPpass,MATCH($F758,rngEPcode,0)),cfgPassingScore))</f>
        <v/>
      </c>
      <c r="K758" s="16" t="n"/>
      <c r="L758" s="16" t="n"/>
      <c r="M758" s="17">
        <f>IF($C758="","",IF($L758="","",IF(NOT(ISNUMBER($L758)),$L758,IF(N($K758)&gt;2,"",IF($K758=1,IF(COUNTIFS(nrES_PID,$D758,nrES_Code,$F758,nrES_Att,2,nrES_Raw,"&gt;=0")&gt;0,"",$L758),IF($L758&gt;=$J758,MAX($J758,cfgRetakeRecordedCap),IF(COUNTIFS(nrES_PID,$D758,nrES_Code,$F758,nrES_Att,1)=0,$L758,SUMIFS(nrES_Raw,nrES_PID,$D758,nrES_Code,$F758,nrES_Att,1))))))))</f>
        <v/>
      </c>
      <c r="N758" s="17">
        <f>IF($C758="","",IF($L758="","",IF(NOT(ISNUMBER($L758)),"(not a score)",IF($L758&gt;=$J758,"Yes","No"))))</f>
        <v/>
      </c>
      <c r="O758" s="17">
        <f>IF($C758="","",IF($M758="","",IF(NOT(ISNUMBER($M758)),"(not a score)",IF($M758&gt;=$J758,"Yes","No"))))</f>
        <v/>
      </c>
      <c r="P758" s="17">
        <f>IF($C758="","",IF($K758="","",IF(N($K758)&gt;2,"No",IF(COUNTIFS(nrES_PID,$D758,nrES_Code,$F758,nrES_Att,"&gt;"&amp;$K758,nrES_Att,"&lt;=2",nrES_Raw,"&gt;=0")=0,"Yes","No"))))</f>
        <v/>
      </c>
      <c r="Q758" s="17">
        <f>IF($C758="","",IF($L758="","",IF(AND($K758=1,ISNUMBER($L758),$L758&lt;$J758,COUNTIFS(nrES_PID,$D758,nrES_Code,$F758,nrES_Att,2,nrES_Raw,"&gt;=0")=0),"Yes","No")))</f>
        <v/>
      </c>
      <c r="R758" s="17">
        <f>IF($C758="","",IF($L758="","",IF(AND(N($K758)&gt;=2,ISNUMBER($L758),$L758&lt;$J758),"Yes","No")))</f>
        <v/>
      </c>
      <c r="S758" s="18" t="n"/>
      <c r="T758" s="19">
        <f>IF(OR($C758="",$L758="",$K758&lt;&gt;1,NOT(ISNUMBER($L758)),$L758&gt;=$J758),"",IF($S758="","(enter date)",_xlfn.LET(_xlpm.dn,_xlfn.XLOOKUP($S758,nrCDdate,nrCDnum,"",1),IF(_xlpm.dn="","(after last class day)",_xlfn.LET(_xlpm.dd,_xlfn.XLOOKUP(_xlpm.dn+cfgRetestClassDays,nrCDnum,nrCDdate,""),_xlpm.ok,_xlfn.XLOOKUP(_xlpm.dn+cfgRetestClassDays,nrCDnum,nrCDinsession,"No"),IF(OR(_xlpm.dd="",_xlpm.ok&lt;&gt;"Yes"),"(after last class day)",_xlpm.dd))))))</f>
        <v/>
      </c>
      <c r="U758" s="17">
        <f>IF($C758="","",IF(AND($Y758="Excused",$L758="",N($K758)&lt;=1),"EXCUSED - 1st attempt pending",IF(OR($L758="",$K758&lt;&gt;1,NOT(ISNUMBER($L758)),$L758&gt;=$J758),"",IF(COUNTIFS(nrES_PID,$D758,nrES_Code,$F758,nrES_Att,2,nrES_Raw,"&gt;=0")&gt;0,IF(IFERROR(_xlfn.MINIFS(nrES_Date,nrES_PID,$D758,nrES_Code,$F758,nrES_Att,2,nrES_Raw,"&gt;=0",nrES_Date,"&gt;0"),0)=0,"RETEST UNDATED",IF(NOT(ISNUMBER($T758)),"RETEST DATE UNCHECKED",IF(_xlfn.MINIFS(nrES_Date,nrES_PID,$D758,nrES_Code,$F758,nrES_Att,2,nrES_Raw,"&gt;=0",nrES_Date,"&gt;0")&gt;$T758,"LATE RETEST "&amp;TEXT(_xlfn.MINIFS(nrES_Date,nrES_PID,$D758,nrES_Code,$F758,nrES_Att,2,nrES_Raw,"&gt;=0",nrES_Date,"&gt;0"),"mm/dd")&amp;" (due "&amp;TEXT($T758,"mm/dd")&amp;")","Retested"))),IF(NOT(ISNUMBER($T758)),"CHECK DATE",IF(TODAY()&gt;$T758,"OVERDUE","Due "&amp;TEXT($T758,"mm/dd")))))))</f>
        <v/>
      </c>
      <c r="V758" s="16" t="n"/>
      <c r="W758" s="16" t="n"/>
      <c r="X758" s="17">
        <f>IF($C758="","",IF(AND($L758&lt;&gt;"",NOT(ISNUMBER($L758))),"RAW SCORE NOT A NUMBER",IF(AND(ISNUMBER($L758),OR($L758&lt;0,$L758&gt;100)),"RAW SCORE OUT OF RANGE",IF(AND($Y758="Unexcused",OR($L758="",NOT(ISNUMBER($L758)),$L758&lt;&gt;0)),"UNEXCUSED ABSENCE MUST RECORD 0",IF(COUNTIF(nrES_RecID,$B758)&gt;1,"DUPLICATE RECORD",IF(N($K758)&gt;2,"ATTEMPT 3+ NOT ALLOWED - policy 300.5 permits one retest per exam; this row records nothing",IF(AND($K758=2,COUNTIFS(nrES_PID,$D758,nrES_Code,$F758,nrES_Att,1)=0),"ATTEMPT 2 WITHOUT ATTEMPT 1",IF(AND($K758=2,$L758=""),"RETEST ROW HAS NO SCORE",IF(AND($H758="Final",$L758&lt;&gt;"",IFERROR(INDEX(nrCKfinalExamElig,MATCH($D758,rngCadetPIDs,0)),"")="No"),"FINAL EXAM AFTER FAILED FINAL PT (500.1.H)",IF(AND($K758=2,ISNUMBER($L758),COUNTIFS(nrES_PID,$D758,nrES_Code,$F758,nrES_Att,1)&gt;0,SUMIFS(nrES_Raw,nrES_PID,$D758,nrES_Code,$F758,nrES_Att,1)&gt;=$J758),"RETEST AFTER A PASSING FIRST ATTEMPT","OK"))))))))))</f>
        <v/>
      </c>
      <c r="Y758" s="16" t="n"/>
    </row>
    <row r="759">
      <c r="B759" s="17">
        <f>IF($C759="","",$D759&amp;"-"&amp;$F759&amp;"-"&amp;$K759)</f>
        <v/>
      </c>
      <c r="C759" s="16" t="n"/>
      <c r="D759" s="17">
        <f>IF($C759="","",IFERROR(INDEX(rngCadetPIDs,MATCH($C759,rngCadetNames,0)),"?"))</f>
        <v/>
      </c>
      <c r="E759" s="17">
        <f>IF($D759="","",IFERROR(INDEX(nrCadetAgency,MATCH($D759,rngCadetPIDs,0)),""))</f>
        <v/>
      </c>
      <c r="F759" s="16" t="n"/>
      <c r="G759" s="17">
        <f>IF($F759="","",IFERROR(INDEX(rngEPname,MATCH($F759,rngEPcode,0)),"?"))</f>
        <v/>
      </c>
      <c r="H759" s="17">
        <f>IF($F759="","",IFERROR(INDEX(rngEPtype,MATCH($F759,rngEPcode,0)),"?"))</f>
        <v/>
      </c>
      <c r="I759" s="17">
        <f>IF($F759="","",IFERROR(INDEX(rngEPseq,MATCH($F759,rngEPcode,0)),""))</f>
        <v/>
      </c>
      <c r="J759" s="17">
        <f>IF($F759="","",IFERROR(INDEX(rngEPpass,MATCH($F759,rngEPcode,0)),cfgPassingScore))</f>
        <v/>
      </c>
      <c r="K759" s="16" t="n"/>
      <c r="L759" s="16" t="n"/>
      <c r="M759" s="17">
        <f>IF($C759="","",IF($L759="","",IF(NOT(ISNUMBER($L759)),$L759,IF(N($K759)&gt;2,"",IF($K759=1,IF(COUNTIFS(nrES_PID,$D759,nrES_Code,$F759,nrES_Att,2,nrES_Raw,"&gt;=0")&gt;0,"",$L759),IF($L759&gt;=$J759,MAX($J759,cfgRetakeRecordedCap),IF(COUNTIFS(nrES_PID,$D759,nrES_Code,$F759,nrES_Att,1)=0,$L759,SUMIFS(nrES_Raw,nrES_PID,$D759,nrES_Code,$F759,nrES_Att,1))))))))</f>
        <v/>
      </c>
      <c r="N759" s="17">
        <f>IF($C759="","",IF($L759="","",IF(NOT(ISNUMBER($L759)),"(not a score)",IF($L759&gt;=$J759,"Yes","No"))))</f>
        <v/>
      </c>
      <c r="O759" s="17">
        <f>IF($C759="","",IF($M759="","",IF(NOT(ISNUMBER($M759)),"(not a score)",IF($M759&gt;=$J759,"Yes","No"))))</f>
        <v/>
      </c>
      <c r="P759" s="17">
        <f>IF($C759="","",IF($K759="","",IF(N($K759)&gt;2,"No",IF(COUNTIFS(nrES_PID,$D759,nrES_Code,$F759,nrES_Att,"&gt;"&amp;$K759,nrES_Att,"&lt;=2",nrES_Raw,"&gt;=0")=0,"Yes","No"))))</f>
        <v/>
      </c>
      <c r="Q759" s="17">
        <f>IF($C759="","",IF($L759="","",IF(AND($K759=1,ISNUMBER($L759),$L759&lt;$J759,COUNTIFS(nrES_PID,$D759,nrES_Code,$F759,nrES_Att,2,nrES_Raw,"&gt;=0")=0),"Yes","No")))</f>
        <v/>
      </c>
      <c r="R759" s="17">
        <f>IF($C759="","",IF($L759="","",IF(AND(N($K759)&gt;=2,ISNUMBER($L759),$L759&lt;$J759),"Yes","No")))</f>
        <v/>
      </c>
      <c r="S759" s="18" t="n"/>
      <c r="T759" s="19">
        <f>IF(OR($C759="",$L759="",$K759&lt;&gt;1,NOT(ISNUMBER($L759)),$L759&gt;=$J759),"",IF($S759="","(enter date)",_xlfn.LET(_xlpm.dn,_xlfn.XLOOKUP($S759,nrCDdate,nrCDnum,"",1),IF(_xlpm.dn="","(after last class day)",_xlfn.LET(_xlpm.dd,_xlfn.XLOOKUP(_xlpm.dn+cfgRetestClassDays,nrCDnum,nrCDdate,""),_xlpm.ok,_xlfn.XLOOKUP(_xlpm.dn+cfgRetestClassDays,nrCDnum,nrCDinsession,"No"),IF(OR(_xlpm.dd="",_xlpm.ok&lt;&gt;"Yes"),"(after last class day)",_xlpm.dd))))))</f>
        <v/>
      </c>
      <c r="U759" s="17">
        <f>IF($C759="","",IF(AND($Y759="Excused",$L759="",N($K759)&lt;=1),"EXCUSED - 1st attempt pending",IF(OR($L759="",$K759&lt;&gt;1,NOT(ISNUMBER($L759)),$L759&gt;=$J759),"",IF(COUNTIFS(nrES_PID,$D759,nrES_Code,$F759,nrES_Att,2,nrES_Raw,"&gt;=0")&gt;0,IF(IFERROR(_xlfn.MINIFS(nrES_Date,nrES_PID,$D759,nrES_Code,$F759,nrES_Att,2,nrES_Raw,"&gt;=0",nrES_Date,"&gt;0"),0)=0,"RETEST UNDATED",IF(NOT(ISNUMBER($T759)),"RETEST DATE UNCHECKED",IF(_xlfn.MINIFS(nrES_Date,nrES_PID,$D759,nrES_Code,$F759,nrES_Att,2,nrES_Raw,"&gt;=0",nrES_Date,"&gt;0")&gt;$T759,"LATE RETEST "&amp;TEXT(_xlfn.MINIFS(nrES_Date,nrES_PID,$D759,nrES_Code,$F759,nrES_Att,2,nrES_Raw,"&gt;=0",nrES_Date,"&gt;0"),"mm/dd")&amp;" (due "&amp;TEXT($T759,"mm/dd")&amp;")","Retested"))),IF(NOT(ISNUMBER($T759)),"CHECK DATE",IF(TODAY()&gt;$T759,"OVERDUE","Due "&amp;TEXT($T759,"mm/dd")))))))</f>
        <v/>
      </c>
      <c r="V759" s="16" t="n"/>
      <c r="W759" s="16" t="n"/>
      <c r="X759" s="17">
        <f>IF($C759="","",IF(AND($L759&lt;&gt;"",NOT(ISNUMBER($L759))),"RAW SCORE NOT A NUMBER",IF(AND(ISNUMBER($L759),OR($L759&lt;0,$L759&gt;100)),"RAW SCORE OUT OF RANGE",IF(AND($Y759="Unexcused",OR($L759="",NOT(ISNUMBER($L759)),$L759&lt;&gt;0)),"UNEXCUSED ABSENCE MUST RECORD 0",IF(COUNTIF(nrES_RecID,$B759)&gt;1,"DUPLICATE RECORD",IF(N($K759)&gt;2,"ATTEMPT 3+ NOT ALLOWED - policy 300.5 permits one retest per exam; this row records nothing",IF(AND($K759=2,COUNTIFS(nrES_PID,$D759,nrES_Code,$F759,nrES_Att,1)=0),"ATTEMPT 2 WITHOUT ATTEMPT 1",IF(AND($K759=2,$L759=""),"RETEST ROW HAS NO SCORE",IF(AND($H759="Final",$L759&lt;&gt;"",IFERROR(INDEX(nrCKfinalExamElig,MATCH($D759,rngCadetPIDs,0)),"")="No"),"FINAL EXAM AFTER FAILED FINAL PT (500.1.H)",IF(AND($K759=2,ISNUMBER($L759),COUNTIFS(nrES_PID,$D759,nrES_Code,$F759,nrES_Att,1)&gt;0,SUMIFS(nrES_Raw,nrES_PID,$D759,nrES_Code,$F759,nrES_Att,1)&gt;=$J759),"RETEST AFTER A PASSING FIRST ATTEMPT","OK"))))))))))</f>
        <v/>
      </c>
      <c r="Y759" s="16" t="n"/>
    </row>
    <row r="760">
      <c r="B760" s="17">
        <f>IF($C760="","",$D760&amp;"-"&amp;$F760&amp;"-"&amp;$K760)</f>
        <v/>
      </c>
      <c r="C760" s="16" t="n"/>
      <c r="D760" s="17">
        <f>IF($C760="","",IFERROR(INDEX(rngCadetPIDs,MATCH($C760,rngCadetNames,0)),"?"))</f>
        <v/>
      </c>
      <c r="E760" s="17">
        <f>IF($D760="","",IFERROR(INDEX(nrCadetAgency,MATCH($D760,rngCadetPIDs,0)),""))</f>
        <v/>
      </c>
      <c r="F760" s="16" t="n"/>
      <c r="G760" s="17">
        <f>IF($F760="","",IFERROR(INDEX(rngEPname,MATCH($F760,rngEPcode,0)),"?"))</f>
        <v/>
      </c>
      <c r="H760" s="17">
        <f>IF($F760="","",IFERROR(INDEX(rngEPtype,MATCH($F760,rngEPcode,0)),"?"))</f>
        <v/>
      </c>
      <c r="I760" s="17">
        <f>IF($F760="","",IFERROR(INDEX(rngEPseq,MATCH($F760,rngEPcode,0)),""))</f>
        <v/>
      </c>
      <c r="J760" s="17">
        <f>IF($F760="","",IFERROR(INDEX(rngEPpass,MATCH($F760,rngEPcode,0)),cfgPassingScore))</f>
        <v/>
      </c>
      <c r="K760" s="16" t="n"/>
      <c r="L760" s="16" t="n"/>
      <c r="M760" s="17">
        <f>IF($C760="","",IF($L760="","",IF(NOT(ISNUMBER($L760)),$L760,IF(N($K760)&gt;2,"",IF($K760=1,IF(COUNTIFS(nrES_PID,$D760,nrES_Code,$F760,nrES_Att,2,nrES_Raw,"&gt;=0")&gt;0,"",$L760),IF($L760&gt;=$J760,MAX($J760,cfgRetakeRecordedCap),IF(COUNTIFS(nrES_PID,$D760,nrES_Code,$F760,nrES_Att,1)=0,$L760,SUMIFS(nrES_Raw,nrES_PID,$D760,nrES_Code,$F760,nrES_Att,1))))))))</f>
        <v/>
      </c>
      <c r="N760" s="17">
        <f>IF($C760="","",IF($L760="","",IF(NOT(ISNUMBER($L760)),"(not a score)",IF($L760&gt;=$J760,"Yes","No"))))</f>
        <v/>
      </c>
      <c r="O760" s="17">
        <f>IF($C760="","",IF($M760="","",IF(NOT(ISNUMBER($M760)),"(not a score)",IF($M760&gt;=$J760,"Yes","No"))))</f>
        <v/>
      </c>
      <c r="P760" s="17">
        <f>IF($C760="","",IF($K760="","",IF(N($K760)&gt;2,"No",IF(COUNTIFS(nrES_PID,$D760,nrES_Code,$F760,nrES_Att,"&gt;"&amp;$K760,nrES_Att,"&lt;=2",nrES_Raw,"&gt;=0")=0,"Yes","No"))))</f>
        <v/>
      </c>
      <c r="Q760" s="17">
        <f>IF($C760="","",IF($L760="","",IF(AND($K760=1,ISNUMBER($L760),$L760&lt;$J760,COUNTIFS(nrES_PID,$D760,nrES_Code,$F760,nrES_Att,2,nrES_Raw,"&gt;=0")=0),"Yes","No")))</f>
        <v/>
      </c>
      <c r="R760" s="17">
        <f>IF($C760="","",IF($L760="","",IF(AND(N($K760)&gt;=2,ISNUMBER($L760),$L760&lt;$J760),"Yes","No")))</f>
        <v/>
      </c>
      <c r="S760" s="18" t="n"/>
      <c r="T760" s="19">
        <f>IF(OR($C760="",$L760="",$K760&lt;&gt;1,NOT(ISNUMBER($L760)),$L760&gt;=$J760),"",IF($S760="","(enter date)",_xlfn.LET(_xlpm.dn,_xlfn.XLOOKUP($S760,nrCDdate,nrCDnum,"",1),IF(_xlpm.dn="","(after last class day)",_xlfn.LET(_xlpm.dd,_xlfn.XLOOKUP(_xlpm.dn+cfgRetestClassDays,nrCDnum,nrCDdate,""),_xlpm.ok,_xlfn.XLOOKUP(_xlpm.dn+cfgRetestClassDays,nrCDnum,nrCDinsession,"No"),IF(OR(_xlpm.dd="",_xlpm.ok&lt;&gt;"Yes"),"(after last class day)",_xlpm.dd))))))</f>
        <v/>
      </c>
      <c r="U760" s="17">
        <f>IF($C760="","",IF(AND($Y760="Excused",$L760="",N($K760)&lt;=1),"EXCUSED - 1st attempt pending",IF(OR($L760="",$K760&lt;&gt;1,NOT(ISNUMBER($L760)),$L760&gt;=$J760),"",IF(COUNTIFS(nrES_PID,$D760,nrES_Code,$F760,nrES_Att,2,nrES_Raw,"&gt;=0")&gt;0,IF(IFERROR(_xlfn.MINIFS(nrES_Date,nrES_PID,$D760,nrES_Code,$F760,nrES_Att,2,nrES_Raw,"&gt;=0",nrES_Date,"&gt;0"),0)=0,"RETEST UNDATED",IF(NOT(ISNUMBER($T760)),"RETEST DATE UNCHECKED",IF(_xlfn.MINIFS(nrES_Date,nrES_PID,$D760,nrES_Code,$F760,nrES_Att,2,nrES_Raw,"&gt;=0",nrES_Date,"&gt;0")&gt;$T760,"LATE RETEST "&amp;TEXT(_xlfn.MINIFS(nrES_Date,nrES_PID,$D760,nrES_Code,$F760,nrES_Att,2,nrES_Raw,"&gt;=0",nrES_Date,"&gt;0"),"mm/dd")&amp;" (due "&amp;TEXT($T760,"mm/dd")&amp;")","Retested"))),IF(NOT(ISNUMBER($T760)),"CHECK DATE",IF(TODAY()&gt;$T760,"OVERDUE","Due "&amp;TEXT($T760,"mm/dd")))))))</f>
        <v/>
      </c>
      <c r="V760" s="16" t="n"/>
      <c r="W760" s="16" t="n"/>
      <c r="X760" s="17">
        <f>IF($C760="","",IF(AND($L760&lt;&gt;"",NOT(ISNUMBER($L760))),"RAW SCORE NOT A NUMBER",IF(AND(ISNUMBER($L760),OR($L760&lt;0,$L760&gt;100)),"RAW SCORE OUT OF RANGE",IF(AND($Y760="Unexcused",OR($L760="",NOT(ISNUMBER($L760)),$L760&lt;&gt;0)),"UNEXCUSED ABSENCE MUST RECORD 0",IF(COUNTIF(nrES_RecID,$B760)&gt;1,"DUPLICATE RECORD",IF(N($K760)&gt;2,"ATTEMPT 3+ NOT ALLOWED - policy 300.5 permits one retest per exam; this row records nothing",IF(AND($K760=2,COUNTIFS(nrES_PID,$D760,nrES_Code,$F760,nrES_Att,1)=0),"ATTEMPT 2 WITHOUT ATTEMPT 1",IF(AND($K760=2,$L760=""),"RETEST ROW HAS NO SCORE",IF(AND($H760="Final",$L760&lt;&gt;"",IFERROR(INDEX(nrCKfinalExamElig,MATCH($D760,rngCadetPIDs,0)),"")="No"),"FINAL EXAM AFTER FAILED FINAL PT (500.1.H)",IF(AND($K760=2,ISNUMBER($L760),COUNTIFS(nrES_PID,$D760,nrES_Code,$F760,nrES_Att,1)&gt;0,SUMIFS(nrES_Raw,nrES_PID,$D760,nrES_Code,$F760,nrES_Att,1)&gt;=$J760),"RETEST AFTER A PASSING FIRST ATTEMPT","OK"))))))))))</f>
        <v/>
      </c>
      <c r="Y760" s="16" t="n"/>
    </row>
    <row r="761">
      <c r="B761" s="17">
        <f>IF($C761="","",$D761&amp;"-"&amp;$F761&amp;"-"&amp;$K761)</f>
        <v/>
      </c>
      <c r="C761" s="16" t="n"/>
      <c r="D761" s="17">
        <f>IF($C761="","",IFERROR(INDEX(rngCadetPIDs,MATCH($C761,rngCadetNames,0)),"?"))</f>
        <v/>
      </c>
      <c r="E761" s="17">
        <f>IF($D761="","",IFERROR(INDEX(nrCadetAgency,MATCH($D761,rngCadetPIDs,0)),""))</f>
        <v/>
      </c>
      <c r="F761" s="16" t="n"/>
      <c r="G761" s="17">
        <f>IF($F761="","",IFERROR(INDEX(rngEPname,MATCH($F761,rngEPcode,0)),"?"))</f>
        <v/>
      </c>
      <c r="H761" s="17">
        <f>IF($F761="","",IFERROR(INDEX(rngEPtype,MATCH($F761,rngEPcode,0)),"?"))</f>
        <v/>
      </c>
      <c r="I761" s="17">
        <f>IF($F761="","",IFERROR(INDEX(rngEPseq,MATCH($F761,rngEPcode,0)),""))</f>
        <v/>
      </c>
      <c r="J761" s="17">
        <f>IF($F761="","",IFERROR(INDEX(rngEPpass,MATCH($F761,rngEPcode,0)),cfgPassingScore))</f>
        <v/>
      </c>
      <c r="K761" s="16" t="n"/>
      <c r="L761" s="16" t="n"/>
      <c r="M761" s="17">
        <f>IF($C761="","",IF($L761="","",IF(NOT(ISNUMBER($L761)),$L761,IF(N($K761)&gt;2,"",IF($K761=1,IF(COUNTIFS(nrES_PID,$D761,nrES_Code,$F761,nrES_Att,2,nrES_Raw,"&gt;=0")&gt;0,"",$L761),IF($L761&gt;=$J761,MAX($J761,cfgRetakeRecordedCap),IF(COUNTIFS(nrES_PID,$D761,nrES_Code,$F761,nrES_Att,1)=0,$L761,SUMIFS(nrES_Raw,nrES_PID,$D761,nrES_Code,$F761,nrES_Att,1))))))))</f>
        <v/>
      </c>
      <c r="N761" s="17">
        <f>IF($C761="","",IF($L761="","",IF(NOT(ISNUMBER($L761)),"(not a score)",IF($L761&gt;=$J761,"Yes","No"))))</f>
        <v/>
      </c>
      <c r="O761" s="17">
        <f>IF($C761="","",IF($M761="","",IF(NOT(ISNUMBER($M761)),"(not a score)",IF($M761&gt;=$J761,"Yes","No"))))</f>
        <v/>
      </c>
      <c r="P761" s="17">
        <f>IF($C761="","",IF($K761="","",IF(N($K761)&gt;2,"No",IF(COUNTIFS(nrES_PID,$D761,nrES_Code,$F761,nrES_Att,"&gt;"&amp;$K761,nrES_Att,"&lt;=2",nrES_Raw,"&gt;=0")=0,"Yes","No"))))</f>
        <v/>
      </c>
      <c r="Q761" s="17">
        <f>IF($C761="","",IF($L761="","",IF(AND($K761=1,ISNUMBER($L761),$L761&lt;$J761,COUNTIFS(nrES_PID,$D761,nrES_Code,$F761,nrES_Att,2,nrES_Raw,"&gt;=0")=0),"Yes","No")))</f>
        <v/>
      </c>
      <c r="R761" s="17">
        <f>IF($C761="","",IF($L761="","",IF(AND(N($K761)&gt;=2,ISNUMBER($L761),$L761&lt;$J761),"Yes","No")))</f>
        <v/>
      </c>
      <c r="S761" s="18" t="n"/>
      <c r="T761" s="19">
        <f>IF(OR($C761="",$L761="",$K761&lt;&gt;1,NOT(ISNUMBER($L761)),$L761&gt;=$J761),"",IF($S761="","(enter date)",_xlfn.LET(_xlpm.dn,_xlfn.XLOOKUP($S761,nrCDdate,nrCDnum,"",1),IF(_xlpm.dn="","(after last class day)",_xlfn.LET(_xlpm.dd,_xlfn.XLOOKUP(_xlpm.dn+cfgRetestClassDays,nrCDnum,nrCDdate,""),_xlpm.ok,_xlfn.XLOOKUP(_xlpm.dn+cfgRetestClassDays,nrCDnum,nrCDinsession,"No"),IF(OR(_xlpm.dd="",_xlpm.ok&lt;&gt;"Yes"),"(after last class day)",_xlpm.dd))))))</f>
        <v/>
      </c>
      <c r="U761" s="17">
        <f>IF($C761="","",IF(AND($Y761="Excused",$L761="",N($K761)&lt;=1),"EXCUSED - 1st attempt pending",IF(OR($L761="",$K761&lt;&gt;1,NOT(ISNUMBER($L761)),$L761&gt;=$J761),"",IF(COUNTIFS(nrES_PID,$D761,nrES_Code,$F761,nrES_Att,2,nrES_Raw,"&gt;=0")&gt;0,IF(IFERROR(_xlfn.MINIFS(nrES_Date,nrES_PID,$D761,nrES_Code,$F761,nrES_Att,2,nrES_Raw,"&gt;=0",nrES_Date,"&gt;0"),0)=0,"RETEST UNDATED",IF(NOT(ISNUMBER($T761)),"RETEST DATE UNCHECKED",IF(_xlfn.MINIFS(nrES_Date,nrES_PID,$D761,nrES_Code,$F761,nrES_Att,2,nrES_Raw,"&gt;=0",nrES_Date,"&gt;0")&gt;$T761,"LATE RETEST "&amp;TEXT(_xlfn.MINIFS(nrES_Date,nrES_PID,$D761,nrES_Code,$F761,nrES_Att,2,nrES_Raw,"&gt;=0",nrES_Date,"&gt;0"),"mm/dd")&amp;" (due "&amp;TEXT($T761,"mm/dd")&amp;")","Retested"))),IF(NOT(ISNUMBER($T761)),"CHECK DATE",IF(TODAY()&gt;$T761,"OVERDUE","Due "&amp;TEXT($T761,"mm/dd")))))))</f>
        <v/>
      </c>
      <c r="V761" s="16" t="n"/>
      <c r="W761" s="16" t="n"/>
      <c r="X761" s="17">
        <f>IF($C761="","",IF(AND($L761&lt;&gt;"",NOT(ISNUMBER($L761))),"RAW SCORE NOT A NUMBER",IF(AND(ISNUMBER($L761),OR($L761&lt;0,$L761&gt;100)),"RAW SCORE OUT OF RANGE",IF(AND($Y761="Unexcused",OR($L761="",NOT(ISNUMBER($L761)),$L761&lt;&gt;0)),"UNEXCUSED ABSENCE MUST RECORD 0",IF(COUNTIF(nrES_RecID,$B761)&gt;1,"DUPLICATE RECORD",IF(N($K761)&gt;2,"ATTEMPT 3+ NOT ALLOWED - policy 300.5 permits one retest per exam; this row records nothing",IF(AND($K761=2,COUNTIFS(nrES_PID,$D761,nrES_Code,$F761,nrES_Att,1)=0),"ATTEMPT 2 WITHOUT ATTEMPT 1",IF(AND($K761=2,$L761=""),"RETEST ROW HAS NO SCORE",IF(AND($H761="Final",$L761&lt;&gt;"",IFERROR(INDEX(nrCKfinalExamElig,MATCH($D761,rngCadetPIDs,0)),"")="No"),"FINAL EXAM AFTER FAILED FINAL PT (500.1.H)",IF(AND($K761=2,ISNUMBER($L761),COUNTIFS(nrES_PID,$D761,nrES_Code,$F761,nrES_Att,1)&gt;0,SUMIFS(nrES_Raw,nrES_PID,$D761,nrES_Code,$F761,nrES_Att,1)&gt;=$J761),"RETEST AFTER A PASSING FIRST ATTEMPT","OK"))))))))))</f>
        <v/>
      </c>
      <c r="Y761" s="16" t="n"/>
    </row>
    <row r="762">
      <c r="B762" s="17">
        <f>IF($C762="","",$D762&amp;"-"&amp;$F762&amp;"-"&amp;$K762)</f>
        <v/>
      </c>
      <c r="C762" s="16" t="n"/>
      <c r="D762" s="17">
        <f>IF($C762="","",IFERROR(INDEX(rngCadetPIDs,MATCH($C762,rngCadetNames,0)),"?"))</f>
        <v/>
      </c>
      <c r="E762" s="17">
        <f>IF($D762="","",IFERROR(INDEX(nrCadetAgency,MATCH($D762,rngCadetPIDs,0)),""))</f>
        <v/>
      </c>
      <c r="F762" s="16" t="n"/>
      <c r="G762" s="17">
        <f>IF($F762="","",IFERROR(INDEX(rngEPname,MATCH($F762,rngEPcode,0)),"?"))</f>
        <v/>
      </c>
      <c r="H762" s="17">
        <f>IF($F762="","",IFERROR(INDEX(rngEPtype,MATCH($F762,rngEPcode,0)),"?"))</f>
        <v/>
      </c>
      <c r="I762" s="17">
        <f>IF($F762="","",IFERROR(INDEX(rngEPseq,MATCH($F762,rngEPcode,0)),""))</f>
        <v/>
      </c>
      <c r="J762" s="17">
        <f>IF($F762="","",IFERROR(INDEX(rngEPpass,MATCH($F762,rngEPcode,0)),cfgPassingScore))</f>
        <v/>
      </c>
      <c r="K762" s="16" t="n"/>
      <c r="L762" s="16" t="n"/>
      <c r="M762" s="17">
        <f>IF($C762="","",IF($L762="","",IF(NOT(ISNUMBER($L762)),$L762,IF(N($K762)&gt;2,"",IF($K762=1,IF(COUNTIFS(nrES_PID,$D762,nrES_Code,$F762,nrES_Att,2,nrES_Raw,"&gt;=0")&gt;0,"",$L762),IF($L762&gt;=$J762,MAX($J762,cfgRetakeRecordedCap),IF(COUNTIFS(nrES_PID,$D762,nrES_Code,$F762,nrES_Att,1)=0,$L762,SUMIFS(nrES_Raw,nrES_PID,$D762,nrES_Code,$F762,nrES_Att,1))))))))</f>
        <v/>
      </c>
      <c r="N762" s="17">
        <f>IF($C762="","",IF($L762="","",IF(NOT(ISNUMBER($L762)),"(not a score)",IF($L762&gt;=$J762,"Yes","No"))))</f>
        <v/>
      </c>
      <c r="O762" s="17">
        <f>IF($C762="","",IF($M762="","",IF(NOT(ISNUMBER($M762)),"(not a score)",IF($M762&gt;=$J762,"Yes","No"))))</f>
        <v/>
      </c>
      <c r="P762" s="17">
        <f>IF($C762="","",IF($K762="","",IF(N($K762)&gt;2,"No",IF(COUNTIFS(nrES_PID,$D762,nrES_Code,$F762,nrES_Att,"&gt;"&amp;$K762,nrES_Att,"&lt;=2",nrES_Raw,"&gt;=0")=0,"Yes","No"))))</f>
        <v/>
      </c>
      <c r="Q762" s="17">
        <f>IF($C762="","",IF($L762="","",IF(AND($K762=1,ISNUMBER($L762),$L762&lt;$J762,COUNTIFS(nrES_PID,$D762,nrES_Code,$F762,nrES_Att,2,nrES_Raw,"&gt;=0")=0),"Yes","No")))</f>
        <v/>
      </c>
      <c r="R762" s="17">
        <f>IF($C762="","",IF($L762="","",IF(AND(N($K762)&gt;=2,ISNUMBER($L762),$L762&lt;$J762),"Yes","No")))</f>
        <v/>
      </c>
      <c r="S762" s="18" t="n"/>
      <c r="T762" s="19">
        <f>IF(OR($C762="",$L762="",$K762&lt;&gt;1,NOT(ISNUMBER($L762)),$L762&gt;=$J762),"",IF($S762="","(enter date)",_xlfn.LET(_xlpm.dn,_xlfn.XLOOKUP($S762,nrCDdate,nrCDnum,"",1),IF(_xlpm.dn="","(after last class day)",_xlfn.LET(_xlpm.dd,_xlfn.XLOOKUP(_xlpm.dn+cfgRetestClassDays,nrCDnum,nrCDdate,""),_xlpm.ok,_xlfn.XLOOKUP(_xlpm.dn+cfgRetestClassDays,nrCDnum,nrCDinsession,"No"),IF(OR(_xlpm.dd="",_xlpm.ok&lt;&gt;"Yes"),"(after last class day)",_xlpm.dd))))))</f>
        <v/>
      </c>
      <c r="U762" s="17">
        <f>IF($C762="","",IF(AND($Y762="Excused",$L762="",N($K762)&lt;=1),"EXCUSED - 1st attempt pending",IF(OR($L762="",$K762&lt;&gt;1,NOT(ISNUMBER($L762)),$L762&gt;=$J762),"",IF(COUNTIFS(nrES_PID,$D762,nrES_Code,$F762,nrES_Att,2,nrES_Raw,"&gt;=0")&gt;0,IF(IFERROR(_xlfn.MINIFS(nrES_Date,nrES_PID,$D762,nrES_Code,$F762,nrES_Att,2,nrES_Raw,"&gt;=0",nrES_Date,"&gt;0"),0)=0,"RETEST UNDATED",IF(NOT(ISNUMBER($T762)),"RETEST DATE UNCHECKED",IF(_xlfn.MINIFS(nrES_Date,nrES_PID,$D762,nrES_Code,$F762,nrES_Att,2,nrES_Raw,"&gt;=0",nrES_Date,"&gt;0")&gt;$T762,"LATE RETEST "&amp;TEXT(_xlfn.MINIFS(nrES_Date,nrES_PID,$D762,nrES_Code,$F762,nrES_Att,2,nrES_Raw,"&gt;=0",nrES_Date,"&gt;0"),"mm/dd")&amp;" (due "&amp;TEXT($T762,"mm/dd")&amp;")","Retested"))),IF(NOT(ISNUMBER($T762)),"CHECK DATE",IF(TODAY()&gt;$T762,"OVERDUE","Due "&amp;TEXT($T762,"mm/dd")))))))</f>
        <v/>
      </c>
      <c r="V762" s="16" t="n"/>
      <c r="W762" s="16" t="n"/>
      <c r="X762" s="17">
        <f>IF($C762="","",IF(AND($L762&lt;&gt;"",NOT(ISNUMBER($L762))),"RAW SCORE NOT A NUMBER",IF(AND(ISNUMBER($L762),OR($L762&lt;0,$L762&gt;100)),"RAW SCORE OUT OF RANGE",IF(AND($Y762="Unexcused",OR($L762="",NOT(ISNUMBER($L762)),$L762&lt;&gt;0)),"UNEXCUSED ABSENCE MUST RECORD 0",IF(COUNTIF(nrES_RecID,$B762)&gt;1,"DUPLICATE RECORD",IF(N($K762)&gt;2,"ATTEMPT 3+ NOT ALLOWED - policy 300.5 permits one retest per exam; this row records nothing",IF(AND($K762=2,COUNTIFS(nrES_PID,$D762,nrES_Code,$F762,nrES_Att,1)=0),"ATTEMPT 2 WITHOUT ATTEMPT 1",IF(AND($K762=2,$L762=""),"RETEST ROW HAS NO SCORE",IF(AND($H762="Final",$L762&lt;&gt;"",IFERROR(INDEX(nrCKfinalExamElig,MATCH($D762,rngCadetPIDs,0)),"")="No"),"FINAL EXAM AFTER FAILED FINAL PT (500.1.H)",IF(AND($K762=2,ISNUMBER($L762),COUNTIFS(nrES_PID,$D762,nrES_Code,$F762,nrES_Att,1)&gt;0,SUMIFS(nrES_Raw,nrES_PID,$D762,nrES_Code,$F762,nrES_Att,1)&gt;=$J762),"RETEST AFTER A PASSING FIRST ATTEMPT","OK"))))))))))</f>
        <v/>
      </c>
      <c r="Y762" s="16" t="n"/>
    </row>
    <row r="763">
      <c r="B763" s="17">
        <f>IF($C763="","",$D763&amp;"-"&amp;$F763&amp;"-"&amp;$K763)</f>
        <v/>
      </c>
      <c r="C763" s="16" t="n"/>
      <c r="D763" s="17">
        <f>IF($C763="","",IFERROR(INDEX(rngCadetPIDs,MATCH($C763,rngCadetNames,0)),"?"))</f>
        <v/>
      </c>
      <c r="E763" s="17">
        <f>IF($D763="","",IFERROR(INDEX(nrCadetAgency,MATCH($D763,rngCadetPIDs,0)),""))</f>
        <v/>
      </c>
      <c r="F763" s="16" t="n"/>
      <c r="G763" s="17">
        <f>IF($F763="","",IFERROR(INDEX(rngEPname,MATCH($F763,rngEPcode,0)),"?"))</f>
        <v/>
      </c>
      <c r="H763" s="17">
        <f>IF($F763="","",IFERROR(INDEX(rngEPtype,MATCH($F763,rngEPcode,0)),"?"))</f>
        <v/>
      </c>
      <c r="I763" s="17">
        <f>IF($F763="","",IFERROR(INDEX(rngEPseq,MATCH($F763,rngEPcode,0)),""))</f>
        <v/>
      </c>
      <c r="J763" s="17">
        <f>IF($F763="","",IFERROR(INDEX(rngEPpass,MATCH($F763,rngEPcode,0)),cfgPassingScore))</f>
        <v/>
      </c>
      <c r="K763" s="16" t="n"/>
      <c r="L763" s="16" t="n"/>
      <c r="M763" s="17">
        <f>IF($C763="","",IF($L763="","",IF(NOT(ISNUMBER($L763)),$L763,IF(N($K763)&gt;2,"",IF($K763=1,IF(COUNTIFS(nrES_PID,$D763,nrES_Code,$F763,nrES_Att,2,nrES_Raw,"&gt;=0")&gt;0,"",$L763),IF($L763&gt;=$J763,MAX($J763,cfgRetakeRecordedCap),IF(COUNTIFS(nrES_PID,$D763,nrES_Code,$F763,nrES_Att,1)=0,$L763,SUMIFS(nrES_Raw,nrES_PID,$D763,nrES_Code,$F763,nrES_Att,1))))))))</f>
        <v/>
      </c>
      <c r="N763" s="17">
        <f>IF($C763="","",IF($L763="","",IF(NOT(ISNUMBER($L763)),"(not a score)",IF($L763&gt;=$J763,"Yes","No"))))</f>
        <v/>
      </c>
      <c r="O763" s="17">
        <f>IF($C763="","",IF($M763="","",IF(NOT(ISNUMBER($M763)),"(not a score)",IF($M763&gt;=$J763,"Yes","No"))))</f>
        <v/>
      </c>
      <c r="P763" s="17">
        <f>IF($C763="","",IF($K763="","",IF(N($K763)&gt;2,"No",IF(COUNTIFS(nrES_PID,$D763,nrES_Code,$F763,nrES_Att,"&gt;"&amp;$K763,nrES_Att,"&lt;=2",nrES_Raw,"&gt;=0")=0,"Yes","No"))))</f>
        <v/>
      </c>
      <c r="Q763" s="17">
        <f>IF($C763="","",IF($L763="","",IF(AND($K763=1,ISNUMBER($L763),$L763&lt;$J763,COUNTIFS(nrES_PID,$D763,nrES_Code,$F763,nrES_Att,2,nrES_Raw,"&gt;=0")=0),"Yes","No")))</f>
        <v/>
      </c>
      <c r="R763" s="17">
        <f>IF($C763="","",IF($L763="","",IF(AND(N($K763)&gt;=2,ISNUMBER($L763),$L763&lt;$J763),"Yes","No")))</f>
        <v/>
      </c>
      <c r="S763" s="18" t="n"/>
      <c r="T763" s="19">
        <f>IF(OR($C763="",$L763="",$K763&lt;&gt;1,NOT(ISNUMBER($L763)),$L763&gt;=$J763),"",IF($S763="","(enter date)",_xlfn.LET(_xlpm.dn,_xlfn.XLOOKUP($S763,nrCDdate,nrCDnum,"",1),IF(_xlpm.dn="","(after last class day)",_xlfn.LET(_xlpm.dd,_xlfn.XLOOKUP(_xlpm.dn+cfgRetestClassDays,nrCDnum,nrCDdate,""),_xlpm.ok,_xlfn.XLOOKUP(_xlpm.dn+cfgRetestClassDays,nrCDnum,nrCDinsession,"No"),IF(OR(_xlpm.dd="",_xlpm.ok&lt;&gt;"Yes"),"(after last class day)",_xlpm.dd))))))</f>
        <v/>
      </c>
      <c r="U763" s="17">
        <f>IF($C763="","",IF(AND($Y763="Excused",$L763="",N($K763)&lt;=1),"EXCUSED - 1st attempt pending",IF(OR($L763="",$K763&lt;&gt;1,NOT(ISNUMBER($L763)),$L763&gt;=$J763),"",IF(COUNTIFS(nrES_PID,$D763,nrES_Code,$F763,nrES_Att,2,nrES_Raw,"&gt;=0")&gt;0,IF(IFERROR(_xlfn.MINIFS(nrES_Date,nrES_PID,$D763,nrES_Code,$F763,nrES_Att,2,nrES_Raw,"&gt;=0",nrES_Date,"&gt;0"),0)=0,"RETEST UNDATED",IF(NOT(ISNUMBER($T763)),"RETEST DATE UNCHECKED",IF(_xlfn.MINIFS(nrES_Date,nrES_PID,$D763,nrES_Code,$F763,nrES_Att,2,nrES_Raw,"&gt;=0",nrES_Date,"&gt;0")&gt;$T763,"LATE RETEST "&amp;TEXT(_xlfn.MINIFS(nrES_Date,nrES_PID,$D763,nrES_Code,$F763,nrES_Att,2,nrES_Raw,"&gt;=0",nrES_Date,"&gt;0"),"mm/dd")&amp;" (due "&amp;TEXT($T763,"mm/dd")&amp;")","Retested"))),IF(NOT(ISNUMBER($T763)),"CHECK DATE",IF(TODAY()&gt;$T763,"OVERDUE","Due "&amp;TEXT($T763,"mm/dd")))))))</f>
        <v/>
      </c>
      <c r="V763" s="16" t="n"/>
      <c r="W763" s="16" t="n"/>
      <c r="X763" s="17">
        <f>IF($C763="","",IF(AND($L763&lt;&gt;"",NOT(ISNUMBER($L763))),"RAW SCORE NOT A NUMBER",IF(AND(ISNUMBER($L763),OR($L763&lt;0,$L763&gt;100)),"RAW SCORE OUT OF RANGE",IF(AND($Y763="Unexcused",OR($L763="",NOT(ISNUMBER($L763)),$L763&lt;&gt;0)),"UNEXCUSED ABSENCE MUST RECORD 0",IF(COUNTIF(nrES_RecID,$B763)&gt;1,"DUPLICATE RECORD",IF(N($K763)&gt;2,"ATTEMPT 3+ NOT ALLOWED - policy 300.5 permits one retest per exam; this row records nothing",IF(AND($K763=2,COUNTIFS(nrES_PID,$D763,nrES_Code,$F763,nrES_Att,1)=0),"ATTEMPT 2 WITHOUT ATTEMPT 1",IF(AND($K763=2,$L763=""),"RETEST ROW HAS NO SCORE",IF(AND($H763="Final",$L763&lt;&gt;"",IFERROR(INDEX(nrCKfinalExamElig,MATCH($D763,rngCadetPIDs,0)),"")="No"),"FINAL EXAM AFTER FAILED FINAL PT (500.1.H)",IF(AND($K763=2,ISNUMBER($L763),COUNTIFS(nrES_PID,$D763,nrES_Code,$F763,nrES_Att,1)&gt;0,SUMIFS(nrES_Raw,nrES_PID,$D763,nrES_Code,$F763,nrES_Att,1)&gt;=$J763),"RETEST AFTER A PASSING FIRST ATTEMPT","OK"))))))))))</f>
        <v/>
      </c>
      <c r="Y763" s="16" t="n"/>
    </row>
    <row r="764">
      <c r="B764" s="17">
        <f>IF($C764="","",$D764&amp;"-"&amp;$F764&amp;"-"&amp;$K764)</f>
        <v/>
      </c>
      <c r="C764" s="16" t="n"/>
      <c r="D764" s="17">
        <f>IF($C764="","",IFERROR(INDEX(rngCadetPIDs,MATCH($C764,rngCadetNames,0)),"?"))</f>
        <v/>
      </c>
      <c r="E764" s="17">
        <f>IF($D764="","",IFERROR(INDEX(nrCadetAgency,MATCH($D764,rngCadetPIDs,0)),""))</f>
        <v/>
      </c>
      <c r="F764" s="16" t="n"/>
      <c r="G764" s="17">
        <f>IF($F764="","",IFERROR(INDEX(rngEPname,MATCH($F764,rngEPcode,0)),"?"))</f>
        <v/>
      </c>
      <c r="H764" s="17">
        <f>IF($F764="","",IFERROR(INDEX(rngEPtype,MATCH($F764,rngEPcode,0)),"?"))</f>
        <v/>
      </c>
      <c r="I764" s="17">
        <f>IF($F764="","",IFERROR(INDEX(rngEPseq,MATCH($F764,rngEPcode,0)),""))</f>
        <v/>
      </c>
      <c r="J764" s="17">
        <f>IF($F764="","",IFERROR(INDEX(rngEPpass,MATCH($F764,rngEPcode,0)),cfgPassingScore))</f>
        <v/>
      </c>
      <c r="K764" s="16" t="n"/>
      <c r="L764" s="16" t="n"/>
      <c r="M764" s="17">
        <f>IF($C764="","",IF($L764="","",IF(NOT(ISNUMBER($L764)),$L764,IF(N($K764)&gt;2,"",IF($K764=1,IF(COUNTIFS(nrES_PID,$D764,nrES_Code,$F764,nrES_Att,2,nrES_Raw,"&gt;=0")&gt;0,"",$L764),IF($L764&gt;=$J764,MAX($J764,cfgRetakeRecordedCap),IF(COUNTIFS(nrES_PID,$D764,nrES_Code,$F764,nrES_Att,1)=0,$L764,SUMIFS(nrES_Raw,nrES_PID,$D764,nrES_Code,$F764,nrES_Att,1))))))))</f>
        <v/>
      </c>
      <c r="N764" s="17">
        <f>IF($C764="","",IF($L764="","",IF(NOT(ISNUMBER($L764)),"(not a score)",IF($L764&gt;=$J764,"Yes","No"))))</f>
        <v/>
      </c>
      <c r="O764" s="17">
        <f>IF($C764="","",IF($M764="","",IF(NOT(ISNUMBER($M764)),"(not a score)",IF($M764&gt;=$J764,"Yes","No"))))</f>
        <v/>
      </c>
      <c r="P764" s="17">
        <f>IF($C764="","",IF($K764="","",IF(N($K764)&gt;2,"No",IF(COUNTIFS(nrES_PID,$D764,nrES_Code,$F764,nrES_Att,"&gt;"&amp;$K764,nrES_Att,"&lt;=2",nrES_Raw,"&gt;=0")=0,"Yes","No"))))</f>
        <v/>
      </c>
      <c r="Q764" s="17">
        <f>IF($C764="","",IF($L764="","",IF(AND($K764=1,ISNUMBER($L764),$L764&lt;$J764,COUNTIFS(nrES_PID,$D764,nrES_Code,$F764,nrES_Att,2,nrES_Raw,"&gt;=0")=0),"Yes","No")))</f>
        <v/>
      </c>
      <c r="R764" s="17">
        <f>IF($C764="","",IF($L764="","",IF(AND(N($K764)&gt;=2,ISNUMBER($L764),$L764&lt;$J764),"Yes","No")))</f>
        <v/>
      </c>
      <c r="S764" s="18" t="n"/>
      <c r="T764" s="19">
        <f>IF(OR($C764="",$L764="",$K764&lt;&gt;1,NOT(ISNUMBER($L764)),$L764&gt;=$J764),"",IF($S764="","(enter date)",_xlfn.LET(_xlpm.dn,_xlfn.XLOOKUP($S764,nrCDdate,nrCDnum,"",1),IF(_xlpm.dn="","(after last class day)",_xlfn.LET(_xlpm.dd,_xlfn.XLOOKUP(_xlpm.dn+cfgRetestClassDays,nrCDnum,nrCDdate,""),_xlpm.ok,_xlfn.XLOOKUP(_xlpm.dn+cfgRetestClassDays,nrCDnum,nrCDinsession,"No"),IF(OR(_xlpm.dd="",_xlpm.ok&lt;&gt;"Yes"),"(after last class day)",_xlpm.dd))))))</f>
        <v/>
      </c>
      <c r="U764" s="17">
        <f>IF($C764="","",IF(AND($Y764="Excused",$L764="",N($K764)&lt;=1),"EXCUSED - 1st attempt pending",IF(OR($L764="",$K764&lt;&gt;1,NOT(ISNUMBER($L764)),$L764&gt;=$J764),"",IF(COUNTIFS(nrES_PID,$D764,nrES_Code,$F764,nrES_Att,2,nrES_Raw,"&gt;=0")&gt;0,IF(IFERROR(_xlfn.MINIFS(nrES_Date,nrES_PID,$D764,nrES_Code,$F764,nrES_Att,2,nrES_Raw,"&gt;=0",nrES_Date,"&gt;0"),0)=0,"RETEST UNDATED",IF(NOT(ISNUMBER($T764)),"RETEST DATE UNCHECKED",IF(_xlfn.MINIFS(nrES_Date,nrES_PID,$D764,nrES_Code,$F764,nrES_Att,2,nrES_Raw,"&gt;=0",nrES_Date,"&gt;0")&gt;$T764,"LATE RETEST "&amp;TEXT(_xlfn.MINIFS(nrES_Date,nrES_PID,$D764,nrES_Code,$F764,nrES_Att,2,nrES_Raw,"&gt;=0",nrES_Date,"&gt;0"),"mm/dd")&amp;" (due "&amp;TEXT($T764,"mm/dd")&amp;")","Retested"))),IF(NOT(ISNUMBER($T764)),"CHECK DATE",IF(TODAY()&gt;$T764,"OVERDUE","Due "&amp;TEXT($T764,"mm/dd")))))))</f>
        <v/>
      </c>
      <c r="V764" s="16" t="n"/>
      <c r="W764" s="16" t="n"/>
      <c r="X764" s="17">
        <f>IF($C764="","",IF(AND($L764&lt;&gt;"",NOT(ISNUMBER($L764))),"RAW SCORE NOT A NUMBER",IF(AND(ISNUMBER($L764),OR($L764&lt;0,$L764&gt;100)),"RAW SCORE OUT OF RANGE",IF(AND($Y764="Unexcused",OR($L764="",NOT(ISNUMBER($L764)),$L764&lt;&gt;0)),"UNEXCUSED ABSENCE MUST RECORD 0",IF(COUNTIF(nrES_RecID,$B764)&gt;1,"DUPLICATE RECORD",IF(N($K764)&gt;2,"ATTEMPT 3+ NOT ALLOWED - policy 300.5 permits one retest per exam; this row records nothing",IF(AND($K764=2,COUNTIFS(nrES_PID,$D764,nrES_Code,$F764,nrES_Att,1)=0),"ATTEMPT 2 WITHOUT ATTEMPT 1",IF(AND($K764=2,$L764=""),"RETEST ROW HAS NO SCORE",IF(AND($H764="Final",$L764&lt;&gt;"",IFERROR(INDEX(nrCKfinalExamElig,MATCH($D764,rngCadetPIDs,0)),"")="No"),"FINAL EXAM AFTER FAILED FINAL PT (500.1.H)",IF(AND($K764=2,ISNUMBER($L764),COUNTIFS(nrES_PID,$D764,nrES_Code,$F764,nrES_Att,1)&gt;0,SUMIFS(nrES_Raw,nrES_PID,$D764,nrES_Code,$F764,nrES_Att,1)&gt;=$J764),"RETEST AFTER A PASSING FIRST ATTEMPT","OK"))))))))))</f>
        <v/>
      </c>
      <c r="Y764" s="16" t="n"/>
    </row>
    <row r="765">
      <c r="B765" s="17">
        <f>IF($C765="","",$D765&amp;"-"&amp;$F765&amp;"-"&amp;$K765)</f>
        <v/>
      </c>
      <c r="C765" s="16" t="n"/>
      <c r="D765" s="17">
        <f>IF($C765="","",IFERROR(INDEX(rngCadetPIDs,MATCH($C765,rngCadetNames,0)),"?"))</f>
        <v/>
      </c>
      <c r="E765" s="17">
        <f>IF($D765="","",IFERROR(INDEX(nrCadetAgency,MATCH($D765,rngCadetPIDs,0)),""))</f>
        <v/>
      </c>
      <c r="F765" s="16" t="n"/>
      <c r="G765" s="17">
        <f>IF($F765="","",IFERROR(INDEX(rngEPname,MATCH($F765,rngEPcode,0)),"?"))</f>
        <v/>
      </c>
      <c r="H765" s="17">
        <f>IF($F765="","",IFERROR(INDEX(rngEPtype,MATCH($F765,rngEPcode,0)),"?"))</f>
        <v/>
      </c>
      <c r="I765" s="17">
        <f>IF($F765="","",IFERROR(INDEX(rngEPseq,MATCH($F765,rngEPcode,0)),""))</f>
        <v/>
      </c>
      <c r="J765" s="17">
        <f>IF($F765="","",IFERROR(INDEX(rngEPpass,MATCH($F765,rngEPcode,0)),cfgPassingScore))</f>
        <v/>
      </c>
      <c r="K765" s="16" t="n"/>
      <c r="L765" s="16" t="n"/>
      <c r="M765" s="17">
        <f>IF($C765="","",IF($L765="","",IF(NOT(ISNUMBER($L765)),$L765,IF(N($K765)&gt;2,"",IF($K765=1,IF(COUNTIFS(nrES_PID,$D765,nrES_Code,$F765,nrES_Att,2,nrES_Raw,"&gt;=0")&gt;0,"",$L765),IF($L765&gt;=$J765,MAX($J765,cfgRetakeRecordedCap),IF(COUNTIFS(nrES_PID,$D765,nrES_Code,$F765,nrES_Att,1)=0,$L765,SUMIFS(nrES_Raw,nrES_PID,$D765,nrES_Code,$F765,nrES_Att,1))))))))</f>
        <v/>
      </c>
      <c r="N765" s="17">
        <f>IF($C765="","",IF($L765="","",IF(NOT(ISNUMBER($L765)),"(not a score)",IF($L765&gt;=$J765,"Yes","No"))))</f>
        <v/>
      </c>
      <c r="O765" s="17">
        <f>IF($C765="","",IF($M765="","",IF(NOT(ISNUMBER($M765)),"(not a score)",IF($M765&gt;=$J765,"Yes","No"))))</f>
        <v/>
      </c>
      <c r="P765" s="17">
        <f>IF($C765="","",IF($K765="","",IF(N($K765)&gt;2,"No",IF(COUNTIFS(nrES_PID,$D765,nrES_Code,$F765,nrES_Att,"&gt;"&amp;$K765,nrES_Att,"&lt;=2",nrES_Raw,"&gt;=0")=0,"Yes","No"))))</f>
        <v/>
      </c>
      <c r="Q765" s="17">
        <f>IF($C765="","",IF($L765="","",IF(AND($K765=1,ISNUMBER($L765),$L765&lt;$J765,COUNTIFS(nrES_PID,$D765,nrES_Code,$F765,nrES_Att,2,nrES_Raw,"&gt;=0")=0),"Yes","No")))</f>
        <v/>
      </c>
      <c r="R765" s="17">
        <f>IF($C765="","",IF($L765="","",IF(AND(N($K765)&gt;=2,ISNUMBER($L765),$L765&lt;$J765),"Yes","No")))</f>
        <v/>
      </c>
      <c r="S765" s="18" t="n"/>
      <c r="T765" s="19">
        <f>IF(OR($C765="",$L765="",$K765&lt;&gt;1,NOT(ISNUMBER($L765)),$L765&gt;=$J765),"",IF($S765="","(enter date)",_xlfn.LET(_xlpm.dn,_xlfn.XLOOKUP($S765,nrCDdate,nrCDnum,"",1),IF(_xlpm.dn="","(after last class day)",_xlfn.LET(_xlpm.dd,_xlfn.XLOOKUP(_xlpm.dn+cfgRetestClassDays,nrCDnum,nrCDdate,""),_xlpm.ok,_xlfn.XLOOKUP(_xlpm.dn+cfgRetestClassDays,nrCDnum,nrCDinsession,"No"),IF(OR(_xlpm.dd="",_xlpm.ok&lt;&gt;"Yes"),"(after last class day)",_xlpm.dd))))))</f>
        <v/>
      </c>
      <c r="U765" s="17">
        <f>IF($C765="","",IF(AND($Y765="Excused",$L765="",N($K765)&lt;=1),"EXCUSED - 1st attempt pending",IF(OR($L765="",$K765&lt;&gt;1,NOT(ISNUMBER($L765)),$L765&gt;=$J765),"",IF(COUNTIFS(nrES_PID,$D765,nrES_Code,$F765,nrES_Att,2,nrES_Raw,"&gt;=0")&gt;0,IF(IFERROR(_xlfn.MINIFS(nrES_Date,nrES_PID,$D765,nrES_Code,$F765,nrES_Att,2,nrES_Raw,"&gt;=0",nrES_Date,"&gt;0"),0)=0,"RETEST UNDATED",IF(NOT(ISNUMBER($T765)),"RETEST DATE UNCHECKED",IF(_xlfn.MINIFS(nrES_Date,nrES_PID,$D765,nrES_Code,$F765,nrES_Att,2,nrES_Raw,"&gt;=0",nrES_Date,"&gt;0")&gt;$T765,"LATE RETEST "&amp;TEXT(_xlfn.MINIFS(nrES_Date,nrES_PID,$D765,nrES_Code,$F765,nrES_Att,2,nrES_Raw,"&gt;=0",nrES_Date,"&gt;0"),"mm/dd")&amp;" (due "&amp;TEXT($T765,"mm/dd")&amp;")","Retested"))),IF(NOT(ISNUMBER($T765)),"CHECK DATE",IF(TODAY()&gt;$T765,"OVERDUE","Due "&amp;TEXT($T765,"mm/dd")))))))</f>
        <v/>
      </c>
      <c r="V765" s="16" t="n"/>
      <c r="W765" s="16" t="n"/>
      <c r="X765" s="17">
        <f>IF($C765="","",IF(AND($L765&lt;&gt;"",NOT(ISNUMBER($L765))),"RAW SCORE NOT A NUMBER",IF(AND(ISNUMBER($L765),OR($L765&lt;0,$L765&gt;100)),"RAW SCORE OUT OF RANGE",IF(AND($Y765="Unexcused",OR($L765="",NOT(ISNUMBER($L765)),$L765&lt;&gt;0)),"UNEXCUSED ABSENCE MUST RECORD 0",IF(COUNTIF(nrES_RecID,$B765)&gt;1,"DUPLICATE RECORD",IF(N($K765)&gt;2,"ATTEMPT 3+ NOT ALLOWED - policy 300.5 permits one retest per exam; this row records nothing",IF(AND($K765=2,COUNTIFS(nrES_PID,$D765,nrES_Code,$F765,nrES_Att,1)=0),"ATTEMPT 2 WITHOUT ATTEMPT 1",IF(AND($K765=2,$L765=""),"RETEST ROW HAS NO SCORE",IF(AND($H765="Final",$L765&lt;&gt;"",IFERROR(INDEX(nrCKfinalExamElig,MATCH($D765,rngCadetPIDs,0)),"")="No"),"FINAL EXAM AFTER FAILED FINAL PT (500.1.H)",IF(AND($K765=2,ISNUMBER($L765),COUNTIFS(nrES_PID,$D765,nrES_Code,$F765,nrES_Att,1)&gt;0,SUMIFS(nrES_Raw,nrES_PID,$D765,nrES_Code,$F765,nrES_Att,1)&gt;=$J765),"RETEST AFTER A PASSING FIRST ATTEMPT","OK"))))))))))</f>
        <v/>
      </c>
      <c r="Y765" s="16" t="n"/>
    </row>
    <row r="766">
      <c r="B766" s="17">
        <f>IF($C766="","",$D766&amp;"-"&amp;$F766&amp;"-"&amp;$K766)</f>
        <v/>
      </c>
      <c r="C766" s="16" t="n"/>
      <c r="D766" s="17">
        <f>IF($C766="","",IFERROR(INDEX(rngCadetPIDs,MATCH($C766,rngCadetNames,0)),"?"))</f>
        <v/>
      </c>
      <c r="E766" s="17">
        <f>IF($D766="","",IFERROR(INDEX(nrCadetAgency,MATCH($D766,rngCadetPIDs,0)),""))</f>
        <v/>
      </c>
      <c r="F766" s="16" t="n"/>
      <c r="G766" s="17">
        <f>IF($F766="","",IFERROR(INDEX(rngEPname,MATCH($F766,rngEPcode,0)),"?"))</f>
        <v/>
      </c>
      <c r="H766" s="17">
        <f>IF($F766="","",IFERROR(INDEX(rngEPtype,MATCH($F766,rngEPcode,0)),"?"))</f>
        <v/>
      </c>
      <c r="I766" s="17">
        <f>IF($F766="","",IFERROR(INDEX(rngEPseq,MATCH($F766,rngEPcode,0)),""))</f>
        <v/>
      </c>
      <c r="J766" s="17">
        <f>IF($F766="","",IFERROR(INDEX(rngEPpass,MATCH($F766,rngEPcode,0)),cfgPassingScore))</f>
        <v/>
      </c>
      <c r="K766" s="16" t="n"/>
      <c r="L766" s="16" t="n"/>
      <c r="M766" s="17">
        <f>IF($C766="","",IF($L766="","",IF(NOT(ISNUMBER($L766)),$L766,IF(N($K766)&gt;2,"",IF($K766=1,IF(COUNTIFS(nrES_PID,$D766,nrES_Code,$F766,nrES_Att,2,nrES_Raw,"&gt;=0")&gt;0,"",$L766),IF($L766&gt;=$J766,MAX($J766,cfgRetakeRecordedCap),IF(COUNTIFS(nrES_PID,$D766,nrES_Code,$F766,nrES_Att,1)=0,$L766,SUMIFS(nrES_Raw,nrES_PID,$D766,nrES_Code,$F766,nrES_Att,1))))))))</f>
        <v/>
      </c>
      <c r="N766" s="17">
        <f>IF($C766="","",IF($L766="","",IF(NOT(ISNUMBER($L766)),"(not a score)",IF($L766&gt;=$J766,"Yes","No"))))</f>
        <v/>
      </c>
      <c r="O766" s="17">
        <f>IF($C766="","",IF($M766="","",IF(NOT(ISNUMBER($M766)),"(not a score)",IF($M766&gt;=$J766,"Yes","No"))))</f>
        <v/>
      </c>
      <c r="P766" s="17">
        <f>IF($C766="","",IF($K766="","",IF(N($K766)&gt;2,"No",IF(COUNTIFS(nrES_PID,$D766,nrES_Code,$F766,nrES_Att,"&gt;"&amp;$K766,nrES_Att,"&lt;=2",nrES_Raw,"&gt;=0")=0,"Yes","No"))))</f>
        <v/>
      </c>
      <c r="Q766" s="17">
        <f>IF($C766="","",IF($L766="","",IF(AND($K766=1,ISNUMBER($L766),$L766&lt;$J766,COUNTIFS(nrES_PID,$D766,nrES_Code,$F766,nrES_Att,2,nrES_Raw,"&gt;=0")=0),"Yes","No")))</f>
        <v/>
      </c>
      <c r="R766" s="17">
        <f>IF($C766="","",IF($L766="","",IF(AND(N($K766)&gt;=2,ISNUMBER($L766),$L766&lt;$J766),"Yes","No")))</f>
        <v/>
      </c>
      <c r="S766" s="18" t="n"/>
      <c r="T766" s="19">
        <f>IF(OR($C766="",$L766="",$K766&lt;&gt;1,NOT(ISNUMBER($L766)),$L766&gt;=$J766),"",IF($S766="","(enter date)",_xlfn.LET(_xlpm.dn,_xlfn.XLOOKUP($S766,nrCDdate,nrCDnum,"",1),IF(_xlpm.dn="","(after last class day)",_xlfn.LET(_xlpm.dd,_xlfn.XLOOKUP(_xlpm.dn+cfgRetestClassDays,nrCDnum,nrCDdate,""),_xlpm.ok,_xlfn.XLOOKUP(_xlpm.dn+cfgRetestClassDays,nrCDnum,nrCDinsession,"No"),IF(OR(_xlpm.dd="",_xlpm.ok&lt;&gt;"Yes"),"(after last class day)",_xlpm.dd))))))</f>
        <v/>
      </c>
      <c r="U766" s="17">
        <f>IF($C766="","",IF(AND($Y766="Excused",$L766="",N($K766)&lt;=1),"EXCUSED - 1st attempt pending",IF(OR($L766="",$K766&lt;&gt;1,NOT(ISNUMBER($L766)),$L766&gt;=$J766),"",IF(COUNTIFS(nrES_PID,$D766,nrES_Code,$F766,nrES_Att,2,nrES_Raw,"&gt;=0")&gt;0,IF(IFERROR(_xlfn.MINIFS(nrES_Date,nrES_PID,$D766,nrES_Code,$F766,nrES_Att,2,nrES_Raw,"&gt;=0",nrES_Date,"&gt;0"),0)=0,"RETEST UNDATED",IF(NOT(ISNUMBER($T766)),"RETEST DATE UNCHECKED",IF(_xlfn.MINIFS(nrES_Date,nrES_PID,$D766,nrES_Code,$F766,nrES_Att,2,nrES_Raw,"&gt;=0",nrES_Date,"&gt;0")&gt;$T766,"LATE RETEST "&amp;TEXT(_xlfn.MINIFS(nrES_Date,nrES_PID,$D766,nrES_Code,$F766,nrES_Att,2,nrES_Raw,"&gt;=0",nrES_Date,"&gt;0"),"mm/dd")&amp;" (due "&amp;TEXT($T766,"mm/dd")&amp;")","Retested"))),IF(NOT(ISNUMBER($T766)),"CHECK DATE",IF(TODAY()&gt;$T766,"OVERDUE","Due "&amp;TEXT($T766,"mm/dd")))))))</f>
        <v/>
      </c>
      <c r="V766" s="16" t="n"/>
      <c r="W766" s="16" t="n"/>
      <c r="X766" s="17">
        <f>IF($C766="","",IF(AND($L766&lt;&gt;"",NOT(ISNUMBER($L766))),"RAW SCORE NOT A NUMBER",IF(AND(ISNUMBER($L766),OR($L766&lt;0,$L766&gt;100)),"RAW SCORE OUT OF RANGE",IF(AND($Y766="Unexcused",OR($L766="",NOT(ISNUMBER($L766)),$L766&lt;&gt;0)),"UNEXCUSED ABSENCE MUST RECORD 0",IF(COUNTIF(nrES_RecID,$B766)&gt;1,"DUPLICATE RECORD",IF(N($K766)&gt;2,"ATTEMPT 3+ NOT ALLOWED - policy 300.5 permits one retest per exam; this row records nothing",IF(AND($K766=2,COUNTIFS(nrES_PID,$D766,nrES_Code,$F766,nrES_Att,1)=0),"ATTEMPT 2 WITHOUT ATTEMPT 1",IF(AND($K766=2,$L766=""),"RETEST ROW HAS NO SCORE",IF(AND($H766="Final",$L766&lt;&gt;"",IFERROR(INDEX(nrCKfinalExamElig,MATCH($D766,rngCadetPIDs,0)),"")="No"),"FINAL EXAM AFTER FAILED FINAL PT (500.1.H)",IF(AND($K766=2,ISNUMBER($L766),COUNTIFS(nrES_PID,$D766,nrES_Code,$F766,nrES_Att,1)&gt;0,SUMIFS(nrES_Raw,nrES_PID,$D766,nrES_Code,$F766,nrES_Att,1)&gt;=$J766),"RETEST AFTER A PASSING FIRST ATTEMPT","OK"))))))))))</f>
        <v/>
      </c>
      <c r="Y766" s="16" t="n"/>
    </row>
    <row r="767">
      <c r="B767" s="17">
        <f>IF($C767="","",$D767&amp;"-"&amp;$F767&amp;"-"&amp;$K767)</f>
        <v/>
      </c>
      <c r="C767" s="16" t="n"/>
      <c r="D767" s="17">
        <f>IF($C767="","",IFERROR(INDEX(rngCadetPIDs,MATCH($C767,rngCadetNames,0)),"?"))</f>
        <v/>
      </c>
      <c r="E767" s="17">
        <f>IF($D767="","",IFERROR(INDEX(nrCadetAgency,MATCH($D767,rngCadetPIDs,0)),""))</f>
        <v/>
      </c>
      <c r="F767" s="16" t="n"/>
      <c r="G767" s="17">
        <f>IF($F767="","",IFERROR(INDEX(rngEPname,MATCH($F767,rngEPcode,0)),"?"))</f>
        <v/>
      </c>
      <c r="H767" s="17">
        <f>IF($F767="","",IFERROR(INDEX(rngEPtype,MATCH($F767,rngEPcode,0)),"?"))</f>
        <v/>
      </c>
      <c r="I767" s="17">
        <f>IF($F767="","",IFERROR(INDEX(rngEPseq,MATCH($F767,rngEPcode,0)),""))</f>
        <v/>
      </c>
      <c r="J767" s="17">
        <f>IF($F767="","",IFERROR(INDEX(rngEPpass,MATCH($F767,rngEPcode,0)),cfgPassingScore))</f>
        <v/>
      </c>
      <c r="K767" s="16" t="n"/>
      <c r="L767" s="16" t="n"/>
      <c r="M767" s="17">
        <f>IF($C767="","",IF($L767="","",IF(NOT(ISNUMBER($L767)),$L767,IF(N($K767)&gt;2,"",IF($K767=1,IF(COUNTIFS(nrES_PID,$D767,nrES_Code,$F767,nrES_Att,2,nrES_Raw,"&gt;=0")&gt;0,"",$L767),IF($L767&gt;=$J767,MAX($J767,cfgRetakeRecordedCap),IF(COUNTIFS(nrES_PID,$D767,nrES_Code,$F767,nrES_Att,1)=0,$L767,SUMIFS(nrES_Raw,nrES_PID,$D767,nrES_Code,$F767,nrES_Att,1))))))))</f>
        <v/>
      </c>
      <c r="N767" s="17">
        <f>IF($C767="","",IF($L767="","",IF(NOT(ISNUMBER($L767)),"(not a score)",IF($L767&gt;=$J767,"Yes","No"))))</f>
        <v/>
      </c>
      <c r="O767" s="17">
        <f>IF($C767="","",IF($M767="","",IF(NOT(ISNUMBER($M767)),"(not a score)",IF($M767&gt;=$J767,"Yes","No"))))</f>
        <v/>
      </c>
      <c r="P767" s="17">
        <f>IF($C767="","",IF($K767="","",IF(N($K767)&gt;2,"No",IF(COUNTIFS(nrES_PID,$D767,nrES_Code,$F767,nrES_Att,"&gt;"&amp;$K767,nrES_Att,"&lt;=2",nrES_Raw,"&gt;=0")=0,"Yes","No"))))</f>
        <v/>
      </c>
      <c r="Q767" s="17">
        <f>IF($C767="","",IF($L767="","",IF(AND($K767=1,ISNUMBER($L767),$L767&lt;$J767,COUNTIFS(nrES_PID,$D767,nrES_Code,$F767,nrES_Att,2,nrES_Raw,"&gt;=0")=0),"Yes","No")))</f>
        <v/>
      </c>
      <c r="R767" s="17">
        <f>IF($C767="","",IF($L767="","",IF(AND(N($K767)&gt;=2,ISNUMBER($L767),$L767&lt;$J767),"Yes","No")))</f>
        <v/>
      </c>
      <c r="S767" s="18" t="n"/>
      <c r="T767" s="19">
        <f>IF(OR($C767="",$L767="",$K767&lt;&gt;1,NOT(ISNUMBER($L767)),$L767&gt;=$J767),"",IF($S767="","(enter date)",_xlfn.LET(_xlpm.dn,_xlfn.XLOOKUP($S767,nrCDdate,nrCDnum,"",1),IF(_xlpm.dn="","(after last class day)",_xlfn.LET(_xlpm.dd,_xlfn.XLOOKUP(_xlpm.dn+cfgRetestClassDays,nrCDnum,nrCDdate,""),_xlpm.ok,_xlfn.XLOOKUP(_xlpm.dn+cfgRetestClassDays,nrCDnum,nrCDinsession,"No"),IF(OR(_xlpm.dd="",_xlpm.ok&lt;&gt;"Yes"),"(after last class day)",_xlpm.dd))))))</f>
        <v/>
      </c>
      <c r="U767" s="17">
        <f>IF($C767="","",IF(AND($Y767="Excused",$L767="",N($K767)&lt;=1),"EXCUSED - 1st attempt pending",IF(OR($L767="",$K767&lt;&gt;1,NOT(ISNUMBER($L767)),$L767&gt;=$J767),"",IF(COUNTIFS(nrES_PID,$D767,nrES_Code,$F767,nrES_Att,2,nrES_Raw,"&gt;=0")&gt;0,IF(IFERROR(_xlfn.MINIFS(nrES_Date,nrES_PID,$D767,nrES_Code,$F767,nrES_Att,2,nrES_Raw,"&gt;=0",nrES_Date,"&gt;0"),0)=0,"RETEST UNDATED",IF(NOT(ISNUMBER($T767)),"RETEST DATE UNCHECKED",IF(_xlfn.MINIFS(nrES_Date,nrES_PID,$D767,nrES_Code,$F767,nrES_Att,2,nrES_Raw,"&gt;=0",nrES_Date,"&gt;0")&gt;$T767,"LATE RETEST "&amp;TEXT(_xlfn.MINIFS(nrES_Date,nrES_PID,$D767,nrES_Code,$F767,nrES_Att,2,nrES_Raw,"&gt;=0",nrES_Date,"&gt;0"),"mm/dd")&amp;" (due "&amp;TEXT($T767,"mm/dd")&amp;")","Retested"))),IF(NOT(ISNUMBER($T767)),"CHECK DATE",IF(TODAY()&gt;$T767,"OVERDUE","Due "&amp;TEXT($T767,"mm/dd")))))))</f>
        <v/>
      </c>
      <c r="V767" s="16" t="n"/>
      <c r="W767" s="16" t="n"/>
      <c r="X767" s="17">
        <f>IF($C767="","",IF(AND($L767&lt;&gt;"",NOT(ISNUMBER($L767))),"RAW SCORE NOT A NUMBER",IF(AND(ISNUMBER($L767),OR($L767&lt;0,$L767&gt;100)),"RAW SCORE OUT OF RANGE",IF(AND($Y767="Unexcused",OR($L767="",NOT(ISNUMBER($L767)),$L767&lt;&gt;0)),"UNEXCUSED ABSENCE MUST RECORD 0",IF(COUNTIF(nrES_RecID,$B767)&gt;1,"DUPLICATE RECORD",IF(N($K767)&gt;2,"ATTEMPT 3+ NOT ALLOWED - policy 300.5 permits one retest per exam; this row records nothing",IF(AND($K767=2,COUNTIFS(nrES_PID,$D767,nrES_Code,$F767,nrES_Att,1)=0),"ATTEMPT 2 WITHOUT ATTEMPT 1",IF(AND($K767=2,$L767=""),"RETEST ROW HAS NO SCORE",IF(AND($H767="Final",$L767&lt;&gt;"",IFERROR(INDEX(nrCKfinalExamElig,MATCH($D767,rngCadetPIDs,0)),"")="No"),"FINAL EXAM AFTER FAILED FINAL PT (500.1.H)",IF(AND($K767=2,ISNUMBER($L767),COUNTIFS(nrES_PID,$D767,nrES_Code,$F767,nrES_Att,1)&gt;0,SUMIFS(nrES_Raw,nrES_PID,$D767,nrES_Code,$F767,nrES_Att,1)&gt;=$J767),"RETEST AFTER A PASSING FIRST ATTEMPT","OK"))))))))))</f>
        <v/>
      </c>
      <c r="Y767" s="16" t="n"/>
    </row>
    <row r="768">
      <c r="B768" s="17">
        <f>IF($C768="","",$D768&amp;"-"&amp;$F768&amp;"-"&amp;$K768)</f>
        <v/>
      </c>
      <c r="C768" s="16" t="n"/>
      <c r="D768" s="17">
        <f>IF($C768="","",IFERROR(INDEX(rngCadetPIDs,MATCH($C768,rngCadetNames,0)),"?"))</f>
        <v/>
      </c>
      <c r="E768" s="17">
        <f>IF($D768="","",IFERROR(INDEX(nrCadetAgency,MATCH($D768,rngCadetPIDs,0)),""))</f>
        <v/>
      </c>
      <c r="F768" s="16" t="n"/>
      <c r="G768" s="17">
        <f>IF($F768="","",IFERROR(INDEX(rngEPname,MATCH($F768,rngEPcode,0)),"?"))</f>
        <v/>
      </c>
      <c r="H768" s="17">
        <f>IF($F768="","",IFERROR(INDEX(rngEPtype,MATCH($F768,rngEPcode,0)),"?"))</f>
        <v/>
      </c>
      <c r="I768" s="17">
        <f>IF($F768="","",IFERROR(INDEX(rngEPseq,MATCH($F768,rngEPcode,0)),""))</f>
        <v/>
      </c>
      <c r="J768" s="17">
        <f>IF($F768="","",IFERROR(INDEX(rngEPpass,MATCH($F768,rngEPcode,0)),cfgPassingScore))</f>
        <v/>
      </c>
      <c r="K768" s="16" t="n"/>
      <c r="L768" s="16" t="n"/>
      <c r="M768" s="17">
        <f>IF($C768="","",IF($L768="","",IF(NOT(ISNUMBER($L768)),$L768,IF(N($K768)&gt;2,"",IF($K768=1,IF(COUNTIFS(nrES_PID,$D768,nrES_Code,$F768,nrES_Att,2,nrES_Raw,"&gt;=0")&gt;0,"",$L768),IF($L768&gt;=$J768,MAX($J768,cfgRetakeRecordedCap),IF(COUNTIFS(nrES_PID,$D768,nrES_Code,$F768,nrES_Att,1)=0,$L768,SUMIFS(nrES_Raw,nrES_PID,$D768,nrES_Code,$F768,nrES_Att,1))))))))</f>
        <v/>
      </c>
      <c r="N768" s="17">
        <f>IF($C768="","",IF($L768="","",IF(NOT(ISNUMBER($L768)),"(not a score)",IF($L768&gt;=$J768,"Yes","No"))))</f>
        <v/>
      </c>
      <c r="O768" s="17">
        <f>IF($C768="","",IF($M768="","",IF(NOT(ISNUMBER($M768)),"(not a score)",IF($M768&gt;=$J768,"Yes","No"))))</f>
        <v/>
      </c>
      <c r="P768" s="17">
        <f>IF($C768="","",IF($K768="","",IF(N($K768)&gt;2,"No",IF(COUNTIFS(nrES_PID,$D768,nrES_Code,$F768,nrES_Att,"&gt;"&amp;$K768,nrES_Att,"&lt;=2",nrES_Raw,"&gt;=0")=0,"Yes","No"))))</f>
        <v/>
      </c>
      <c r="Q768" s="17">
        <f>IF($C768="","",IF($L768="","",IF(AND($K768=1,ISNUMBER($L768),$L768&lt;$J768,COUNTIFS(nrES_PID,$D768,nrES_Code,$F768,nrES_Att,2,nrES_Raw,"&gt;=0")=0),"Yes","No")))</f>
        <v/>
      </c>
      <c r="R768" s="17">
        <f>IF($C768="","",IF($L768="","",IF(AND(N($K768)&gt;=2,ISNUMBER($L768),$L768&lt;$J768),"Yes","No")))</f>
        <v/>
      </c>
      <c r="S768" s="18" t="n"/>
      <c r="T768" s="19">
        <f>IF(OR($C768="",$L768="",$K768&lt;&gt;1,NOT(ISNUMBER($L768)),$L768&gt;=$J768),"",IF($S768="","(enter date)",_xlfn.LET(_xlpm.dn,_xlfn.XLOOKUP($S768,nrCDdate,nrCDnum,"",1),IF(_xlpm.dn="","(after last class day)",_xlfn.LET(_xlpm.dd,_xlfn.XLOOKUP(_xlpm.dn+cfgRetestClassDays,nrCDnum,nrCDdate,""),_xlpm.ok,_xlfn.XLOOKUP(_xlpm.dn+cfgRetestClassDays,nrCDnum,nrCDinsession,"No"),IF(OR(_xlpm.dd="",_xlpm.ok&lt;&gt;"Yes"),"(after last class day)",_xlpm.dd))))))</f>
        <v/>
      </c>
      <c r="U768" s="17">
        <f>IF($C768="","",IF(AND($Y768="Excused",$L768="",N($K768)&lt;=1),"EXCUSED - 1st attempt pending",IF(OR($L768="",$K768&lt;&gt;1,NOT(ISNUMBER($L768)),$L768&gt;=$J768),"",IF(COUNTIFS(nrES_PID,$D768,nrES_Code,$F768,nrES_Att,2,nrES_Raw,"&gt;=0")&gt;0,IF(IFERROR(_xlfn.MINIFS(nrES_Date,nrES_PID,$D768,nrES_Code,$F768,nrES_Att,2,nrES_Raw,"&gt;=0",nrES_Date,"&gt;0"),0)=0,"RETEST UNDATED",IF(NOT(ISNUMBER($T768)),"RETEST DATE UNCHECKED",IF(_xlfn.MINIFS(nrES_Date,nrES_PID,$D768,nrES_Code,$F768,nrES_Att,2,nrES_Raw,"&gt;=0",nrES_Date,"&gt;0")&gt;$T768,"LATE RETEST "&amp;TEXT(_xlfn.MINIFS(nrES_Date,nrES_PID,$D768,nrES_Code,$F768,nrES_Att,2,nrES_Raw,"&gt;=0",nrES_Date,"&gt;0"),"mm/dd")&amp;" (due "&amp;TEXT($T768,"mm/dd")&amp;")","Retested"))),IF(NOT(ISNUMBER($T768)),"CHECK DATE",IF(TODAY()&gt;$T768,"OVERDUE","Due "&amp;TEXT($T768,"mm/dd")))))))</f>
        <v/>
      </c>
      <c r="V768" s="16" t="n"/>
      <c r="W768" s="16" t="n"/>
      <c r="X768" s="17">
        <f>IF($C768="","",IF(AND($L768&lt;&gt;"",NOT(ISNUMBER($L768))),"RAW SCORE NOT A NUMBER",IF(AND(ISNUMBER($L768),OR($L768&lt;0,$L768&gt;100)),"RAW SCORE OUT OF RANGE",IF(AND($Y768="Unexcused",OR($L768="",NOT(ISNUMBER($L768)),$L768&lt;&gt;0)),"UNEXCUSED ABSENCE MUST RECORD 0",IF(COUNTIF(nrES_RecID,$B768)&gt;1,"DUPLICATE RECORD",IF(N($K768)&gt;2,"ATTEMPT 3+ NOT ALLOWED - policy 300.5 permits one retest per exam; this row records nothing",IF(AND($K768=2,COUNTIFS(nrES_PID,$D768,nrES_Code,$F768,nrES_Att,1)=0),"ATTEMPT 2 WITHOUT ATTEMPT 1",IF(AND($K768=2,$L768=""),"RETEST ROW HAS NO SCORE",IF(AND($H768="Final",$L768&lt;&gt;"",IFERROR(INDEX(nrCKfinalExamElig,MATCH($D768,rngCadetPIDs,0)),"")="No"),"FINAL EXAM AFTER FAILED FINAL PT (500.1.H)",IF(AND($K768=2,ISNUMBER($L768),COUNTIFS(nrES_PID,$D768,nrES_Code,$F768,nrES_Att,1)&gt;0,SUMIFS(nrES_Raw,nrES_PID,$D768,nrES_Code,$F768,nrES_Att,1)&gt;=$J768),"RETEST AFTER A PASSING FIRST ATTEMPT","OK"))))))))))</f>
        <v/>
      </c>
      <c r="Y768" s="16" t="n"/>
    </row>
    <row r="769">
      <c r="B769" s="17">
        <f>IF($C769="","",$D769&amp;"-"&amp;$F769&amp;"-"&amp;$K769)</f>
        <v/>
      </c>
      <c r="C769" s="16" t="n"/>
      <c r="D769" s="17">
        <f>IF($C769="","",IFERROR(INDEX(rngCadetPIDs,MATCH($C769,rngCadetNames,0)),"?"))</f>
        <v/>
      </c>
      <c r="E769" s="17">
        <f>IF($D769="","",IFERROR(INDEX(nrCadetAgency,MATCH($D769,rngCadetPIDs,0)),""))</f>
        <v/>
      </c>
      <c r="F769" s="16" t="n"/>
      <c r="G769" s="17">
        <f>IF($F769="","",IFERROR(INDEX(rngEPname,MATCH($F769,rngEPcode,0)),"?"))</f>
        <v/>
      </c>
      <c r="H769" s="17">
        <f>IF($F769="","",IFERROR(INDEX(rngEPtype,MATCH($F769,rngEPcode,0)),"?"))</f>
        <v/>
      </c>
      <c r="I769" s="17">
        <f>IF($F769="","",IFERROR(INDEX(rngEPseq,MATCH($F769,rngEPcode,0)),""))</f>
        <v/>
      </c>
      <c r="J769" s="17">
        <f>IF($F769="","",IFERROR(INDEX(rngEPpass,MATCH($F769,rngEPcode,0)),cfgPassingScore))</f>
        <v/>
      </c>
      <c r="K769" s="16" t="n"/>
      <c r="L769" s="16" t="n"/>
      <c r="M769" s="17">
        <f>IF($C769="","",IF($L769="","",IF(NOT(ISNUMBER($L769)),$L769,IF(N($K769)&gt;2,"",IF($K769=1,IF(COUNTIFS(nrES_PID,$D769,nrES_Code,$F769,nrES_Att,2,nrES_Raw,"&gt;=0")&gt;0,"",$L769),IF($L769&gt;=$J769,MAX($J769,cfgRetakeRecordedCap),IF(COUNTIFS(nrES_PID,$D769,nrES_Code,$F769,nrES_Att,1)=0,$L769,SUMIFS(nrES_Raw,nrES_PID,$D769,nrES_Code,$F769,nrES_Att,1))))))))</f>
        <v/>
      </c>
      <c r="N769" s="17">
        <f>IF($C769="","",IF($L769="","",IF(NOT(ISNUMBER($L769)),"(not a score)",IF($L769&gt;=$J769,"Yes","No"))))</f>
        <v/>
      </c>
      <c r="O769" s="17">
        <f>IF($C769="","",IF($M769="","",IF(NOT(ISNUMBER($M769)),"(not a score)",IF($M769&gt;=$J769,"Yes","No"))))</f>
        <v/>
      </c>
      <c r="P769" s="17">
        <f>IF($C769="","",IF($K769="","",IF(N($K769)&gt;2,"No",IF(COUNTIFS(nrES_PID,$D769,nrES_Code,$F769,nrES_Att,"&gt;"&amp;$K769,nrES_Att,"&lt;=2",nrES_Raw,"&gt;=0")=0,"Yes","No"))))</f>
        <v/>
      </c>
      <c r="Q769" s="17">
        <f>IF($C769="","",IF($L769="","",IF(AND($K769=1,ISNUMBER($L769),$L769&lt;$J769,COUNTIFS(nrES_PID,$D769,nrES_Code,$F769,nrES_Att,2,nrES_Raw,"&gt;=0")=0),"Yes","No")))</f>
        <v/>
      </c>
      <c r="R769" s="17">
        <f>IF($C769="","",IF($L769="","",IF(AND(N($K769)&gt;=2,ISNUMBER($L769),$L769&lt;$J769),"Yes","No")))</f>
        <v/>
      </c>
      <c r="S769" s="18" t="n"/>
      <c r="T769" s="19">
        <f>IF(OR($C769="",$L769="",$K769&lt;&gt;1,NOT(ISNUMBER($L769)),$L769&gt;=$J769),"",IF($S769="","(enter date)",_xlfn.LET(_xlpm.dn,_xlfn.XLOOKUP($S769,nrCDdate,nrCDnum,"",1),IF(_xlpm.dn="","(after last class day)",_xlfn.LET(_xlpm.dd,_xlfn.XLOOKUP(_xlpm.dn+cfgRetestClassDays,nrCDnum,nrCDdate,""),_xlpm.ok,_xlfn.XLOOKUP(_xlpm.dn+cfgRetestClassDays,nrCDnum,nrCDinsession,"No"),IF(OR(_xlpm.dd="",_xlpm.ok&lt;&gt;"Yes"),"(after last class day)",_xlpm.dd))))))</f>
        <v/>
      </c>
      <c r="U769" s="17">
        <f>IF($C769="","",IF(AND($Y769="Excused",$L769="",N($K769)&lt;=1),"EXCUSED - 1st attempt pending",IF(OR($L769="",$K769&lt;&gt;1,NOT(ISNUMBER($L769)),$L769&gt;=$J769),"",IF(COUNTIFS(nrES_PID,$D769,nrES_Code,$F769,nrES_Att,2,nrES_Raw,"&gt;=0")&gt;0,IF(IFERROR(_xlfn.MINIFS(nrES_Date,nrES_PID,$D769,nrES_Code,$F769,nrES_Att,2,nrES_Raw,"&gt;=0",nrES_Date,"&gt;0"),0)=0,"RETEST UNDATED",IF(NOT(ISNUMBER($T769)),"RETEST DATE UNCHECKED",IF(_xlfn.MINIFS(nrES_Date,nrES_PID,$D769,nrES_Code,$F769,nrES_Att,2,nrES_Raw,"&gt;=0",nrES_Date,"&gt;0")&gt;$T769,"LATE RETEST "&amp;TEXT(_xlfn.MINIFS(nrES_Date,nrES_PID,$D769,nrES_Code,$F769,nrES_Att,2,nrES_Raw,"&gt;=0",nrES_Date,"&gt;0"),"mm/dd")&amp;" (due "&amp;TEXT($T769,"mm/dd")&amp;")","Retested"))),IF(NOT(ISNUMBER($T769)),"CHECK DATE",IF(TODAY()&gt;$T769,"OVERDUE","Due "&amp;TEXT($T769,"mm/dd")))))))</f>
        <v/>
      </c>
      <c r="V769" s="16" t="n"/>
      <c r="W769" s="16" t="n"/>
      <c r="X769" s="17">
        <f>IF($C769="","",IF(AND($L769&lt;&gt;"",NOT(ISNUMBER($L769))),"RAW SCORE NOT A NUMBER",IF(AND(ISNUMBER($L769),OR($L769&lt;0,$L769&gt;100)),"RAW SCORE OUT OF RANGE",IF(AND($Y769="Unexcused",OR($L769="",NOT(ISNUMBER($L769)),$L769&lt;&gt;0)),"UNEXCUSED ABSENCE MUST RECORD 0",IF(COUNTIF(nrES_RecID,$B769)&gt;1,"DUPLICATE RECORD",IF(N($K769)&gt;2,"ATTEMPT 3+ NOT ALLOWED - policy 300.5 permits one retest per exam; this row records nothing",IF(AND($K769=2,COUNTIFS(nrES_PID,$D769,nrES_Code,$F769,nrES_Att,1)=0),"ATTEMPT 2 WITHOUT ATTEMPT 1",IF(AND($K769=2,$L769=""),"RETEST ROW HAS NO SCORE",IF(AND($H769="Final",$L769&lt;&gt;"",IFERROR(INDEX(nrCKfinalExamElig,MATCH($D769,rngCadetPIDs,0)),"")="No"),"FINAL EXAM AFTER FAILED FINAL PT (500.1.H)",IF(AND($K769=2,ISNUMBER($L769),COUNTIFS(nrES_PID,$D769,nrES_Code,$F769,nrES_Att,1)&gt;0,SUMIFS(nrES_Raw,nrES_PID,$D769,nrES_Code,$F769,nrES_Att,1)&gt;=$J769),"RETEST AFTER A PASSING FIRST ATTEMPT","OK"))))))))))</f>
        <v/>
      </c>
      <c r="Y769" s="16" t="n"/>
    </row>
    <row r="770">
      <c r="B770" s="17">
        <f>IF($C770="","",$D770&amp;"-"&amp;$F770&amp;"-"&amp;$K770)</f>
        <v/>
      </c>
      <c r="C770" s="16" t="n"/>
      <c r="D770" s="17">
        <f>IF($C770="","",IFERROR(INDEX(rngCadetPIDs,MATCH($C770,rngCadetNames,0)),"?"))</f>
        <v/>
      </c>
      <c r="E770" s="17">
        <f>IF($D770="","",IFERROR(INDEX(nrCadetAgency,MATCH($D770,rngCadetPIDs,0)),""))</f>
        <v/>
      </c>
      <c r="F770" s="16" t="n"/>
      <c r="G770" s="17">
        <f>IF($F770="","",IFERROR(INDEX(rngEPname,MATCH($F770,rngEPcode,0)),"?"))</f>
        <v/>
      </c>
      <c r="H770" s="17">
        <f>IF($F770="","",IFERROR(INDEX(rngEPtype,MATCH($F770,rngEPcode,0)),"?"))</f>
        <v/>
      </c>
      <c r="I770" s="17">
        <f>IF($F770="","",IFERROR(INDEX(rngEPseq,MATCH($F770,rngEPcode,0)),""))</f>
        <v/>
      </c>
      <c r="J770" s="17">
        <f>IF($F770="","",IFERROR(INDEX(rngEPpass,MATCH($F770,rngEPcode,0)),cfgPassingScore))</f>
        <v/>
      </c>
      <c r="K770" s="16" t="n"/>
      <c r="L770" s="16" t="n"/>
      <c r="M770" s="17">
        <f>IF($C770="","",IF($L770="","",IF(NOT(ISNUMBER($L770)),$L770,IF(N($K770)&gt;2,"",IF($K770=1,IF(COUNTIFS(nrES_PID,$D770,nrES_Code,$F770,nrES_Att,2,nrES_Raw,"&gt;=0")&gt;0,"",$L770),IF($L770&gt;=$J770,MAX($J770,cfgRetakeRecordedCap),IF(COUNTIFS(nrES_PID,$D770,nrES_Code,$F770,nrES_Att,1)=0,$L770,SUMIFS(nrES_Raw,nrES_PID,$D770,nrES_Code,$F770,nrES_Att,1))))))))</f>
        <v/>
      </c>
      <c r="N770" s="17">
        <f>IF($C770="","",IF($L770="","",IF(NOT(ISNUMBER($L770)),"(not a score)",IF($L770&gt;=$J770,"Yes","No"))))</f>
        <v/>
      </c>
      <c r="O770" s="17">
        <f>IF($C770="","",IF($M770="","",IF(NOT(ISNUMBER($M770)),"(not a score)",IF($M770&gt;=$J770,"Yes","No"))))</f>
        <v/>
      </c>
      <c r="P770" s="17">
        <f>IF($C770="","",IF($K770="","",IF(N($K770)&gt;2,"No",IF(COUNTIFS(nrES_PID,$D770,nrES_Code,$F770,nrES_Att,"&gt;"&amp;$K770,nrES_Att,"&lt;=2",nrES_Raw,"&gt;=0")=0,"Yes","No"))))</f>
        <v/>
      </c>
      <c r="Q770" s="17">
        <f>IF($C770="","",IF($L770="","",IF(AND($K770=1,ISNUMBER($L770),$L770&lt;$J770,COUNTIFS(nrES_PID,$D770,nrES_Code,$F770,nrES_Att,2,nrES_Raw,"&gt;=0")=0),"Yes","No")))</f>
        <v/>
      </c>
      <c r="R770" s="17">
        <f>IF($C770="","",IF($L770="","",IF(AND(N($K770)&gt;=2,ISNUMBER($L770),$L770&lt;$J770),"Yes","No")))</f>
        <v/>
      </c>
      <c r="S770" s="18" t="n"/>
      <c r="T770" s="19">
        <f>IF(OR($C770="",$L770="",$K770&lt;&gt;1,NOT(ISNUMBER($L770)),$L770&gt;=$J770),"",IF($S770="","(enter date)",_xlfn.LET(_xlpm.dn,_xlfn.XLOOKUP($S770,nrCDdate,nrCDnum,"",1),IF(_xlpm.dn="","(after last class day)",_xlfn.LET(_xlpm.dd,_xlfn.XLOOKUP(_xlpm.dn+cfgRetestClassDays,nrCDnum,nrCDdate,""),_xlpm.ok,_xlfn.XLOOKUP(_xlpm.dn+cfgRetestClassDays,nrCDnum,nrCDinsession,"No"),IF(OR(_xlpm.dd="",_xlpm.ok&lt;&gt;"Yes"),"(after last class day)",_xlpm.dd))))))</f>
        <v/>
      </c>
      <c r="U770" s="17">
        <f>IF($C770="","",IF(AND($Y770="Excused",$L770="",N($K770)&lt;=1),"EXCUSED - 1st attempt pending",IF(OR($L770="",$K770&lt;&gt;1,NOT(ISNUMBER($L770)),$L770&gt;=$J770),"",IF(COUNTIFS(nrES_PID,$D770,nrES_Code,$F770,nrES_Att,2,nrES_Raw,"&gt;=0")&gt;0,IF(IFERROR(_xlfn.MINIFS(nrES_Date,nrES_PID,$D770,nrES_Code,$F770,nrES_Att,2,nrES_Raw,"&gt;=0",nrES_Date,"&gt;0"),0)=0,"RETEST UNDATED",IF(NOT(ISNUMBER($T770)),"RETEST DATE UNCHECKED",IF(_xlfn.MINIFS(nrES_Date,nrES_PID,$D770,nrES_Code,$F770,nrES_Att,2,nrES_Raw,"&gt;=0",nrES_Date,"&gt;0")&gt;$T770,"LATE RETEST "&amp;TEXT(_xlfn.MINIFS(nrES_Date,nrES_PID,$D770,nrES_Code,$F770,nrES_Att,2,nrES_Raw,"&gt;=0",nrES_Date,"&gt;0"),"mm/dd")&amp;" (due "&amp;TEXT($T770,"mm/dd")&amp;")","Retested"))),IF(NOT(ISNUMBER($T770)),"CHECK DATE",IF(TODAY()&gt;$T770,"OVERDUE","Due "&amp;TEXT($T770,"mm/dd")))))))</f>
        <v/>
      </c>
      <c r="V770" s="16" t="n"/>
      <c r="W770" s="16" t="n"/>
      <c r="X770" s="17">
        <f>IF($C770="","",IF(AND($L770&lt;&gt;"",NOT(ISNUMBER($L770))),"RAW SCORE NOT A NUMBER",IF(AND(ISNUMBER($L770),OR($L770&lt;0,$L770&gt;100)),"RAW SCORE OUT OF RANGE",IF(AND($Y770="Unexcused",OR($L770="",NOT(ISNUMBER($L770)),$L770&lt;&gt;0)),"UNEXCUSED ABSENCE MUST RECORD 0",IF(COUNTIF(nrES_RecID,$B770)&gt;1,"DUPLICATE RECORD",IF(N($K770)&gt;2,"ATTEMPT 3+ NOT ALLOWED - policy 300.5 permits one retest per exam; this row records nothing",IF(AND($K770=2,COUNTIFS(nrES_PID,$D770,nrES_Code,$F770,nrES_Att,1)=0),"ATTEMPT 2 WITHOUT ATTEMPT 1",IF(AND($K770=2,$L770=""),"RETEST ROW HAS NO SCORE",IF(AND($H770="Final",$L770&lt;&gt;"",IFERROR(INDEX(nrCKfinalExamElig,MATCH($D770,rngCadetPIDs,0)),"")="No"),"FINAL EXAM AFTER FAILED FINAL PT (500.1.H)",IF(AND($K770=2,ISNUMBER($L770),COUNTIFS(nrES_PID,$D770,nrES_Code,$F770,nrES_Att,1)&gt;0,SUMIFS(nrES_Raw,nrES_PID,$D770,nrES_Code,$F770,nrES_Att,1)&gt;=$J770),"RETEST AFTER A PASSING FIRST ATTEMPT","OK"))))))))))</f>
        <v/>
      </c>
      <c r="Y770" s="16" t="n"/>
    </row>
    <row r="771">
      <c r="B771" s="17">
        <f>IF($C771="","",$D771&amp;"-"&amp;$F771&amp;"-"&amp;$K771)</f>
        <v/>
      </c>
      <c r="C771" s="16" t="n"/>
      <c r="D771" s="17">
        <f>IF($C771="","",IFERROR(INDEX(rngCadetPIDs,MATCH($C771,rngCadetNames,0)),"?"))</f>
        <v/>
      </c>
      <c r="E771" s="17">
        <f>IF($D771="","",IFERROR(INDEX(nrCadetAgency,MATCH($D771,rngCadetPIDs,0)),""))</f>
        <v/>
      </c>
      <c r="F771" s="16" t="n"/>
      <c r="G771" s="17">
        <f>IF($F771="","",IFERROR(INDEX(rngEPname,MATCH($F771,rngEPcode,0)),"?"))</f>
        <v/>
      </c>
      <c r="H771" s="17">
        <f>IF($F771="","",IFERROR(INDEX(rngEPtype,MATCH($F771,rngEPcode,0)),"?"))</f>
        <v/>
      </c>
      <c r="I771" s="17">
        <f>IF($F771="","",IFERROR(INDEX(rngEPseq,MATCH($F771,rngEPcode,0)),""))</f>
        <v/>
      </c>
      <c r="J771" s="17">
        <f>IF($F771="","",IFERROR(INDEX(rngEPpass,MATCH($F771,rngEPcode,0)),cfgPassingScore))</f>
        <v/>
      </c>
      <c r="K771" s="16" t="n"/>
      <c r="L771" s="16" t="n"/>
      <c r="M771" s="17">
        <f>IF($C771="","",IF($L771="","",IF(NOT(ISNUMBER($L771)),$L771,IF(N($K771)&gt;2,"",IF($K771=1,IF(COUNTIFS(nrES_PID,$D771,nrES_Code,$F771,nrES_Att,2,nrES_Raw,"&gt;=0")&gt;0,"",$L771),IF($L771&gt;=$J771,MAX($J771,cfgRetakeRecordedCap),IF(COUNTIFS(nrES_PID,$D771,nrES_Code,$F771,nrES_Att,1)=0,$L771,SUMIFS(nrES_Raw,nrES_PID,$D771,nrES_Code,$F771,nrES_Att,1))))))))</f>
        <v/>
      </c>
      <c r="N771" s="17">
        <f>IF($C771="","",IF($L771="","",IF(NOT(ISNUMBER($L771)),"(not a score)",IF($L771&gt;=$J771,"Yes","No"))))</f>
        <v/>
      </c>
      <c r="O771" s="17">
        <f>IF($C771="","",IF($M771="","",IF(NOT(ISNUMBER($M771)),"(not a score)",IF($M771&gt;=$J771,"Yes","No"))))</f>
        <v/>
      </c>
      <c r="P771" s="17">
        <f>IF($C771="","",IF($K771="","",IF(N($K771)&gt;2,"No",IF(COUNTIFS(nrES_PID,$D771,nrES_Code,$F771,nrES_Att,"&gt;"&amp;$K771,nrES_Att,"&lt;=2",nrES_Raw,"&gt;=0")=0,"Yes","No"))))</f>
        <v/>
      </c>
      <c r="Q771" s="17">
        <f>IF($C771="","",IF($L771="","",IF(AND($K771=1,ISNUMBER($L771),$L771&lt;$J771,COUNTIFS(nrES_PID,$D771,nrES_Code,$F771,nrES_Att,2,nrES_Raw,"&gt;=0")=0),"Yes","No")))</f>
        <v/>
      </c>
      <c r="R771" s="17">
        <f>IF($C771="","",IF($L771="","",IF(AND(N($K771)&gt;=2,ISNUMBER($L771),$L771&lt;$J771),"Yes","No")))</f>
        <v/>
      </c>
      <c r="S771" s="18" t="n"/>
      <c r="T771" s="19">
        <f>IF(OR($C771="",$L771="",$K771&lt;&gt;1,NOT(ISNUMBER($L771)),$L771&gt;=$J771),"",IF($S771="","(enter date)",_xlfn.LET(_xlpm.dn,_xlfn.XLOOKUP($S771,nrCDdate,nrCDnum,"",1),IF(_xlpm.dn="","(after last class day)",_xlfn.LET(_xlpm.dd,_xlfn.XLOOKUP(_xlpm.dn+cfgRetestClassDays,nrCDnum,nrCDdate,""),_xlpm.ok,_xlfn.XLOOKUP(_xlpm.dn+cfgRetestClassDays,nrCDnum,nrCDinsession,"No"),IF(OR(_xlpm.dd="",_xlpm.ok&lt;&gt;"Yes"),"(after last class day)",_xlpm.dd))))))</f>
        <v/>
      </c>
      <c r="U771" s="17">
        <f>IF($C771="","",IF(AND($Y771="Excused",$L771="",N($K771)&lt;=1),"EXCUSED - 1st attempt pending",IF(OR($L771="",$K771&lt;&gt;1,NOT(ISNUMBER($L771)),$L771&gt;=$J771),"",IF(COUNTIFS(nrES_PID,$D771,nrES_Code,$F771,nrES_Att,2,nrES_Raw,"&gt;=0")&gt;0,IF(IFERROR(_xlfn.MINIFS(nrES_Date,nrES_PID,$D771,nrES_Code,$F771,nrES_Att,2,nrES_Raw,"&gt;=0",nrES_Date,"&gt;0"),0)=0,"RETEST UNDATED",IF(NOT(ISNUMBER($T771)),"RETEST DATE UNCHECKED",IF(_xlfn.MINIFS(nrES_Date,nrES_PID,$D771,nrES_Code,$F771,nrES_Att,2,nrES_Raw,"&gt;=0",nrES_Date,"&gt;0")&gt;$T771,"LATE RETEST "&amp;TEXT(_xlfn.MINIFS(nrES_Date,nrES_PID,$D771,nrES_Code,$F771,nrES_Att,2,nrES_Raw,"&gt;=0",nrES_Date,"&gt;0"),"mm/dd")&amp;" (due "&amp;TEXT($T771,"mm/dd")&amp;")","Retested"))),IF(NOT(ISNUMBER($T771)),"CHECK DATE",IF(TODAY()&gt;$T771,"OVERDUE","Due "&amp;TEXT($T771,"mm/dd")))))))</f>
        <v/>
      </c>
      <c r="V771" s="16" t="n"/>
      <c r="W771" s="16" t="n"/>
      <c r="X771" s="17">
        <f>IF($C771="","",IF(AND($L771&lt;&gt;"",NOT(ISNUMBER($L771))),"RAW SCORE NOT A NUMBER",IF(AND(ISNUMBER($L771),OR($L771&lt;0,$L771&gt;100)),"RAW SCORE OUT OF RANGE",IF(AND($Y771="Unexcused",OR($L771="",NOT(ISNUMBER($L771)),$L771&lt;&gt;0)),"UNEXCUSED ABSENCE MUST RECORD 0",IF(COUNTIF(nrES_RecID,$B771)&gt;1,"DUPLICATE RECORD",IF(N($K771)&gt;2,"ATTEMPT 3+ NOT ALLOWED - policy 300.5 permits one retest per exam; this row records nothing",IF(AND($K771=2,COUNTIFS(nrES_PID,$D771,nrES_Code,$F771,nrES_Att,1)=0),"ATTEMPT 2 WITHOUT ATTEMPT 1",IF(AND($K771=2,$L771=""),"RETEST ROW HAS NO SCORE",IF(AND($H771="Final",$L771&lt;&gt;"",IFERROR(INDEX(nrCKfinalExamElig,MATCH($D771,rngCadetPIDs,0)),"")="No"),"FINAL EXAM AFTER FAILED FINAL PT (500.1.H)",IF(AND($K771=2,ISNUMBER($L771),COUNTIFS(nrES_PID,$D771,nrES_Code,$F771,nrES_Att,1)&gt;0,SUMIFS(nrES_Raw,nrES_PID,$D771,nrES_Code,$F771,nrES_Att,1)&gt;=$J771),"RETEST AFTER A PASSING FIRST ATTEMPT","OK"))))))))))</f>
        <v/>
      </c>
      <c r="Y771" s="16" t="n"/>
    </row>
    <row r="772">
      <c r="B772" s="17">
        <f>IF($C772="","",$D772&amp;"-"&amp;$F772&amp;"-"&amp;$K772)</f>
        <v/>
      </c>
      <c r="C772" s="16" t="n"/>
      <c r="D772" s="17">
        <f>IF($C772="","",IFERROR(INDEX(rngCadetPIDs,MATCH($C772,rngCadetNames,0)),"?"))</f>
        <v/>
      </c>
      <c r="E772" s="17">
        <f>IF($D772="","",IFERROR(INDEX(nrCadetAgency,MATCH($D772,rngCadetPIDs,0)),""))</f>
        <v/>
      </c>
      <c r="F772" s="16" t="n"/>
      <c r="G772" s="17">
        <f>IF($F772="","",IFERROR(INDEX(rngEPname,MATCH($F772,rngEPcode,0)),"?"))</f>
        <v/>
      </c>
      <c r="H772" s="17">
        <f>IF($F772="","",IFERROR(INDEX(rngEPtype,MATCH($F772,rngEPcode,0)),"?"))</f>
        <v/>
      </c>
      <c r="I772" s="17">
        <f>IF($F772="","",IFERROR(INDEX(rngEPseq,MATCH($F772,rngEPcode,0)),""))</f>
        <v/>
      </c>
      <c r="J772" s="17">
        <f>IF($F772="","",IFERROR(INDEX(rngEPpass,MATCH($F772,rngEPcode,0)),cfgPassingScore))</f>
        <v/>
      </c>
      <c r="K772" s="16" t="n"/>
      <c r="L772" s="16" t="n"/>
      <c r="M772" s="17">
        <f>IF($C772="","",IF($L772="","",IF(NOT(ISNUMBER($L772)),$L772,IF(N($K772)&gt;2,"",IF($K772=1,IF(COUNTIFS(nrES_PID,$D772,nrES_Code,$F772,nrES_Att,2,nrES_Raw,"&gt;=0")&gt;0,"",$L772),IF($L772&gt;=$J772,MAX($J772,cfgRetakeRecordedCap),IF(COUNTIFS(nrES_PID,$D772,nrES_Code,$F772,nrES_Att,1)=0,$L772,SUMIFS(nrES_Raw,nrES_PID,$D772,nrES_Code,$F772,nrES_Att,1))))))))</f>
        <v/>
      </c>
      <c r="N772" s="17">
        <f>IF($C772="","",IF($L772="","",IF(NOT(ISNUMBER($L772)),"(not a score)",IF($L772&gt;=$J772,"Yes","No"))))</f>
        <v/>
      </c>
      <c r="O772" s="17">
        <f>IF($C772="","",IF($M772="","",IF(NOT(ISNUMBER($M772)),"(not a score)",IF($M772&gt;=$J772,"Yes","No"))))</f>
        <v/>
      </c>
      <c r="P772" s="17">
        <f>IF($C772="","",IF($K772="","",IF(N($K772)&gt;2,"No",IF(COUNTIFS(nrES_PID,$D772,nrES_Code,$F772,nrES_Att,"&gt;"&amp;$K772,nrES_Att,"&lt;=2",nrES_Raw,"&gt;=0")=0,"Yes","No"))))</f>
        <v/>
      </c>
      <c r="Q772" s="17">
        <f>IF($C772="","",IF($L772="","",IF(AND($K772=1,ISNUMBER($L772),$L772&lt;$J772,COUNTIFS(nrES_PID,$D772,nrES_Code,$F772,nrES_Att,2,nrES_Raw,"&gt;=0")=0),"Yes","No")))</f>
        <v/>
      </c>
      <c r="R772" s="17">
        <f>IF($C772="","",IF($L772="","",IF(AND(N($K772)&gt;=2,ISNUMBER($L772),$L772&lt;$J772),"Yes","No")))</f>
        <v/>
      </c>
      <c r="S772" s="18" t="n"/>
      <c r="T772" s="19">
        <f>IF(OR($C772="",$L772="",$K772&lt;&gt;1,NOT(ISNUMBER($L772)),$L772&gt;=$J772),"",IF($S772="","(enter date)",_xlfn.LET(_xlpm.dn,_xlfn.XLOOKUP($S772,nrCDdate,nrCDnum,"",1),IF(_xlpm.dn="","(after last class day)",_xlfn.LET(_xlpm.dd,_xlfn.XLOOKUP(_xlpm.dn+cfgRetestClassDays,nrCDnum,nrCDdate,""),_xlpm.ok,_xlfn.XLOOKUP(_xlpm.dn+cfgRetestClassDays,nrCDnum,nrCDinsession,"No"),IF(OR(_xlpm.dd="",_xlpm.ok&lt;&gt;"Yes"),"(after last class day)",_xlpm.dd))))))</f>
        <v/>
      </c>
      <c r="U772" s="17">
        <f>IF($C772="","",IF(AND($Y772="Excused",$L772="",N($K772)&lt;=1),"EXCUSED - 1st attempt pending",IF(OR($L772="",$K772&lt;&gt;1,NOT(ISNUMBER($L772)),$L772&gt;=$J772),"",IF(COUNTIFS(nrES_PID,$D772,nrES_Code,$F772,nrES_Att,2,nrES_Raw,"&gt;=0")&gt;0,IF(IFERROR(_xlfn.MINIFS(nrES_Date,nrES_PID,$D772,nrES_Code,$F772,nrES_Att,2,nrES_Raw,"&gt;=0",nrES_Date,"&gt;0"),0)=0,"RETEST UNDATED",IF(NOT(ISNUMBER($T772)),"RETEST DATE UNCHECKED",IF(_xlfn.MINIFS(nrES_Date,nrES_PID,$D772,nrES_Code,$F772,nrES_Att,2,nrES_Raw,"&gt;=0",nrES_Date,"&gt;0")&gt;$T772,"LATE RETEST "&amp;TEXT(_xlfn.MINIFS(nrES_Date,nrES_PID,$D772,nrES_Code,$F772,nrES_Att,2,nrES_Raw,"&gt;=0",nrES_Date,"&gt;0"),"mm/dd")&amp;" (due "&amp;TEXT($T772,"mm/dd")&amp;")","Retested"))),IF(NOT(ISNUMBER($T772)),"CHECK DATE",IF(TODAY()&gt;$T772,"OVERDUE","Due "&amp;TEXT($T772,"mm/dd")))))))</f>
        <v/>
      </c>
      <c r="V772" s="16" t="n"/>
      <c r="W772" s="16" t="n"/>
      <c r="X772" s="17">
        <f>IF($C772="","",IF(AND($L772&lt;&gt;"",NOT(ISNUMBER($L772))),"RAW SCORE NOT A NUMBER",IF(AND(ISNUMBER($L772),OR($L772&lt;0,$L772&gt;100)),"RAW SCORE OUT OF RANGE",IF(AND($Y772="Unexcused",OR($L772="",NOT(ISNUMBER($L772)),$L772&lt;&gt;0)),"UNEXCUSED ABSENCE MUST RECORD 0",IF(COUNTIF(nrES_RecID,$B772)&gt;1,"DUPLICATE RECORD",IF(N($K772)&gt;2,"ATTEMPT 3+ NOT ALLOWED - policy 300.5 permits one retest per exam; this row records nothing",IF(AND($K772=2,COUNTIFS(nrES_PID,$D772,nrES_Code,$F772,nrES_Att,1)=0),"ATTEMPT 2 WITHOUT ATTEMPT 1",IF(AND($K772=2,$L772=""),"RETEST ROW HAS NO SCORE",IF(AND($H772="Final",$L772&lt;&gt;"",IFERROR(INDEX(nrCKfinalExamElig,MATCH($D772,rngCadetPIDs,0)),"")="No"),"FINAL EXAM AFTER FAILED FINAL PT (500.1.H)",IF(AND($K772=2,ISNUMBER($L772),COUNTIFS(nrES_PID,$D772,nrES_Code,$F772,nrES_Att,1)&gt;0,SUMIFS(nrES_Raw,nrES_PID,$D772,nrES_Code,$F772,nrES_Att,1)&gt;=$J772),"RETEST AFTER A PASSING FIRST ATTEMPT","OK"))))))))))</f>
        <v/>
      </c>
      <c r="Y772" s="16" t="n"/>
    </row>
    <row r="773">
      <c r="B773" s="17">
        <f>IF($C773="","",$D773&amp;"-"&amp;$F773&amp;"-"&amp;$K773)</f>
        <v/>
      </c>
      <c r="C773" s="16" t="n"/>
      <c r="D773" s="17">
        <f>IF($C773="","",IFERROR(INDEX(rngCadetPIDs,MATCH($C773,rngCadetNames,0)),"?"))</f>
        <v/>
      </c>
      <c r="E773" s="17">
        <f>IF($D773="","",IFERROR(INDEX(nrCadetAgency,MATCH($D773,rngCadetPIDs,0)),""))</f>
        <v/>
      </c>
      <c r="F773" s="16" t="n"/>
      <c r="G773" s="17">
        <f>IF($F773="","",IFERROR(INDEX(rngEPname,MATCH($F773,rngEPcode,0)),"?"))</f>
        <v/>
      </c>
      <c r="H773" s="17">
        <f>IF($F773="","",IFERROR(INDEX(rngEPtype,MATCH($F773,rngEPcode,0)),"?"))</f>
        <v/>
      </c>
      <c r="I773" s="17">
        <f>IF($F773="","",IFERROR(INDEX(rngEPseq,MATCH($F773,rngEPcode,0)),""))</f>
        <v/>
      </c>
      <c r="J773" s="17">
        <f>IF($F773="","",IFERROR(INDEX(rngEPpass,MATCH($F773,rngEPcode,0)),cfgPassingScore))</f>
        <v/>
      </c>
      <c r="K773" s="16" t="n"/>
      <c r="L773" s="16" t="n"/>
      <c r="M773" s="17">
        <f>IF($C773="","",IF($L773="","",IF(NOT(ISNUMBER($L773)),$L773,IF(N($K773)&gt;2,"",IF($K773=1,IF(COUNTIFS(nrES_PID,$D773,nrES_Code,$F773,nrES_Att,2,nrES_Raw,"&gt;=0")&gt;0,"",$L773),IF($L773&gt;=$J773,MAX($J773,cfgRetakeRecordedCap),IF(COUNTIFS(nrES_PID,$D773,nrES_Code,$F773,nrES_Att,1)=0,$L773,SUMIFS(nrES_Raw,nrES_PID,$D773,nrES_Code,$F773,nrES_Att,1))))))))</f>
        <v/>
      </c>
      <c r="N773" s="17">
        <f>IF($C773="","",IF($L773="","",IF(NOT(ISNUMBER($L773)),"(not a score)",IF($L773&gt;=$J773,"Yes","No"))))</f>
        <v/>
      </c>
      <c r="O773" s="17">
        <f>IF($C773="","",IF($M773="","",IF(NOT(ISNUMBER($M773)),"(not a score)",IF($M773&gt;=$J773,"Yes","No"))))</f>
        <v/>
      </c>
      <c r="P773" s="17">
        <f>IF($C773="","",IF($K773="","",IF(N($K773)&gt;2,"No",IF(COUNTIFS(nrES_PID,$D773,nrES_Code,$F773,nrES_Att,"&gt;"&amp;$K773,nrES_Att,"&lt;=2",nrES_Raw,"&gt;=0")=0,"Yes","No"))))</f>
        <v/>
      </c>
      <c r="Q773" s="17">
        <f>IF($C773="","",IF($L773="","",IF(AND($K773=1,ISNUMBER($L773),$L773&lt;$J773,COUNTIFS(nrES_PID,$D773,nrES_Code,$F773,nrES_Att,2,nrES_Raw,"&gt;=0")=0),"Yes","No")))</f>
        <v/>
      </c>
      <c r="R773" s="17">
        <f>IF($C773="","",IF($L773="","",IF(AND(N($K773)&gt;=2,ISNUMBER($L773),$L773&lt;$J773),"Yes","No")))</f>
        <v/>
      </c>
      <c r="S773" s="18" t="n"/>
      <c r="T773" s="19">
        <f>IF(OR($C773="",$L773="",$K773&lt;&gt;1,NOT(ISNUMBER($L773)),$L773&gt;=$J773),"",IF($S773="","(enter date)",_xlfn.LET(_xlpm.dn,_xlfn.XLOOKUP($S773,nrCDdate,nrCDnum,"",1),IF(_xlpm.dn="","(after last class day)",_xlfn.LET(_xlpm.dd,_xlfn.XLOOKUP(_xlpm.dn+cfgRetestClassDays,nrCDnum,nrCDdate,""),_xlpm.ok,_xlfn.XLOOKUP(_xlpm.dn+cfgRetestClassDays,nrCDnum,nrCDinsession,"No"),IF(OR(_xlpm.dd="",_xlpm.ok&lt;&gt;"Yes"),"(after last class day)",_xlpm.dd))))))</f>
        <v/>
      </c>
      <c r="U773" s="17">
        <f>IF($C773="","",IF(AND($Y773="Excused",$L773="",N($K773)&lt;=1),"EXCUSED - 1st attempt pending",IF(OR($L773="",$K773&lt;&gt;1,NOT(ISNUMBER($L773)),$L773&gt;=$J773),"",IF(COUNTIFS(nrES_PID,$D773,nrES_Code,$F773,nrES_Att,2,nrES_Raw,"&gt;=0")&gt;0,IF(IFERROR(_xlfn.MINIFS(nrES_Date,nrES_PID,$D773,nrES_Code,$F773,nrES_Att,2,nrES_Raw,"&gt;=0",nrES_Date,"&gt;0"),0)=0,"RETEST UNDATED",IF(NOT(ISNUMBER($T773)),"RETEST DATE UNCHECKED",IF(_xlfn.MINIFS(nrES_Date,nrES_PID,$D773,nrES_Code,$F773,nrES_Att,2,nrES_Raw,"&gt;=0",nrES_Date,"&gt;0")&gt;$T773,"LATE RETEST "&amp;TEXT(_xlfn.MINIFS(nrES_Date,nrES_PID,$D773,nrES_Code,$F773,nrES_Att,2,nrES_Raw,"&gt;=0",nrES_Date,"&gt;0"),"mm/dd")&amp;" (due "&amp;TEXT($T773,"mm/dd")&amp;")","Retested"))),IF(NOT(ISNUMBER($T773)),"CHECK DATE",IF(TODAY()&gt;$T773,"OVERDUE","Due "&amp;TEXT($T773,"mm/dd")))))))</f>
        <v/>
      </c>
      <c r="V773" s="16" t="n"/>
      <c r="W773" s="16" t="n"/>
      <c r="X773" s="17">
        <f>IF($C773="","",IF(AND($L773&lt;&gt;"",NOT(ISNUMBER($L773))),"RAW SCORE NOT A NUMBER",IF(AND(ISNUMBER($L773),OR($L773&lt;0,$L773&gt;100)),"RAW SCORE OUT OF RANGE",IF(AND($Y773="Unexcused",OR($L773="",NOT(ISNUMBER($L773)),$L773&lt;&gt;0)),"UNEXCUSED ABSENCE MUST RECORD 0",IF(COUNTIF(nrES_RecID,$B773)&gt;1,"DUPLICATE RECORD",IF(N($K773)&gt;2,"ATTEMPT 3+ NOT ALLOWED - policy 300.5 permits one retest per exam; this row records nothing",IF(AND($K773=2,COUNTIFS(nrES_PID,$D773,nrES_Code,$F773,nrES_Att,1)=0),"ATTEMPT 2 WITHOUT ATTEMPT 1",IF(AND($K773=2,$L773=""),"RETEST ROW HAS NO SCORE",IF(AND($H773="Final",$L773&lt;&gt;"",IFERROR(INDEX(nrCKfinalExamElig,MATCH($D773,rngCadetPIDs,0)),"")="No"),"FINAL EXAM AFTER FAILED FINAL PT (500.1.H)",IF(AND($K773=2,ISNUMBER($L773),COUNTIFS(nrES_PID,$D773,nrES_Code,$F773,nrES_Att,1)&gt;0,SUMIFS(nrES_Raw,nrES_PID,$D773,nrES_Code,$F773,nrES_Att,1)&gt;=$J773),"RETEST AFTER A PASSING FIRST ATTEMPT","OK"))))))))))</f>
        <v/>
      </c>
      <c r="Y773" s="16" t="n"/>
    </row>
    <row r="774">
      <c r="B774" s="17">
        <f>IF($C774="","",$D774&amp;"-"&amp;$F774&amp;"-"&amp;$K774)</f>
        <v/>
      </c>
      <c r="C774" s="16" t="n"/>
      <c r="D774" s="17">
        <f>IF($C774="","",IFERROR(INDEX(rngCadetPIDs,MATCH($C774,rngCadetNames,0)),"?"))</f>
        <v/>
      </c>
      <c r="E774" s="17">
        <f>IF($D774="","",IFERROR(INDEX(nrCadetAgency,MATCH($D774,rngCadetPIDs,0)),""))</f>
        <v/>
      </c>
      <c r="F774" s="16" t="n"/>
      <c r="G774" s="17">
        <f>IF($F774="","",IFERROR(INDEX(rngEPname,MATCH($F774,rngEPcode,0)),"?"))</f>
        <v/>
      </c>
      <c r="H774" s="17">
        <f>IF($F774="","",IFERROR(INDEX(rngEPtype,MATCH($F774,rngEPcode,0)),"?"))</f>
        <v/>
      </c>
      <c r="I774" s="17">
        <f>IF($F774="","",IFERROR(INDEX(rngEPseq,MATCH($F774,rngEPcode,0)),""))</f>
        <v/>
      </c>
      <c r="J774" s="17">
        <f>IF($F774="","",IFERROR(INDEX(rngEPpass,MATCH($F774,rngEPcode,0)),cfgPassingScore))</f>
        <v/>
      </c>
      <c r="K774" s="16" t="n"/>
      <c r="L774" s="16" t="n"/>
      <c r="M774" s="17">
        <f>IF($C774="","",IF($L774="","",IF(NOT(ISNUMBER($L774)),$L774,IF(N($K774)&gt;2,"",IF($K774=1,IF(COUNTIFS(nrES_PID,$D774,nrES_Code,$F774,nrES_Att,2,nrES_Raw,"&gt;=0")&gt;0,"",$L774),IF($L774&gt;=$J774,MAX($J774,cfgRetakeRecordedCap),IF(COUNTIFS(nrES_PID,$D774,nrES_Code,$F774,nrES_Att,1)=0,$L774,SUMIFS(nrES_Raw,nrES_PID,$D774,nrES_Code,$F774,nrES_Att,1))))))))</f>
        <v/>
      </c>
      <c r="N774" s="17">
        <f>IF($C774="","",IF($L774="","",IF(NOT(ISNUMBER($L774)),"(not a score)",IF($L774&gt;=$J774,"Yes","No"))))</f>
        <v/>
      </c>
      <c r="O774" s="17">
        <f>IF($C774="","",IF($M774="","",IF(NOT(ISNUMBER($M774)),"(not a score)",IF($M774&gt;=$J774,"Yes","No"))))</f>
        <v/>
      </c>
      <c r="P774" s="17">
        <f>IF($C774="","",IF($K774="","",IF(N($K774)&gt;2,"No",IF(COUNTIFS(nrES_PID,$D774,nrES_Code,$F774,nrES_Att,"&gt;"&amp;$K774,nrES_Att,"&lt;=2",nrES_Raw,"&gt;=0")=0,"Yes","No"))))</f>
        <v/>
      </c>
      <c r="Q774" s="17">
        <f>IF($C774="","",IF($L774="","",IF(AND($K774=1,ISNUMBER($L774),$L774&lt;$J774,COUNTIFS(nrES_PID,$D774,nrES_Code,$F774,nrES_Att,2,nrES_Raw,"&gt;=0")=0),"Yes","No")))</f>
        <v/>
      </c>
      <c r="R774" s="17">
        <f>IF($C774="","",IF($L774="","",IF(AND(N($K774)&gt;=2,ISNUMBER($L774),$L774&lt;$J774),"Yes","No")))</f>
        <v/>
      </c>
      <c r="S774" s="18" t="n"/>
      <c r="T774" s="19">
        <f>IF(OR($C774="",$L774="",$K774&lt;&gt;1,NOT(ISNUMBER($L774)),$L774&gt;=$J774),"",IF($S774="","(enter date)",_xlfn.LET(_xlpm.dn,_xlfn.XLOOKUP($S774,nrCDdate,nrCDnum,"",1),IF(_xlpm.dn="","(after last class day)",_xlfn.LET(_xlpm.dd,_xlfn.XLOOKUP(_xlpm.dn+cfgRetestClassDays,nrCDnum,nrCDdate,""),_xlpm.ok,_xlfn.XLOOKUP(_xlpm.dn+cfgRetestClassDays,nrCDnum,nrCDinsession,"No"),IF(OR(_xlpm.dd="",_xlpm.ok&lt;&gt;"Yes"),"(after last class day)",_xlpm.dd))))))</f>
        <v/>
      </c>
      <c r="U774" s="17">
        <f>IF($C774="","",IF(AND($Y774="Excused",$L774="",N($K774)&lt;=1),"EXCUSED - 1st attempt pending",IF(OR($L774="",$K774&lt;&gt;1,NOT(ISNUMBER($L774)),$L774&gt;=$J774),"",IF(COUNTIFS(nrES_PID,$D774,nrES_Code,$F774,nrES_Att,2,nrES_Raw,"&gt;=0")&gt;0,IF(IFERROR(_xlfn.MINIFS(nrES_Date,nrES_PID,$D774,nrES_Code,$F774,nrES_Att,2,nrES_Raw,"&gt;=0",nrES_Date,"&gt;0"),0)=0,"RETEST UNDATED",IF(NOT(ISNUMBER($T774)),"RETEST DATE UNCHECKED",IF(_xlfn.MINIFS(nrES_Date,nrES_PID,$D774,nrES_Code,$F774,nrES_Att,2,nrES_Raw,"&gt;=0",nrES_Date,"&gt;0")&gt;$T774,"LATE RETEST "&amp;TEXT(_xlfn.MINIFS(nrES_Date,nrES_PID,$D774,nrES_Code,$F774,nrES_Att,2,nrES_Raw,"&gt;=0",nrES_Date,"&gt;0"),"mm/dd")&amp;" (due "&amp;TEXT($T774,"mm/dd")&amp;")","Retested"))),IF(NOT(ISNUMBER($T774)),"CHECK DATE",IF(TODAY()&gt;$T774,"OVERDUE","Due "&amp;TEXT($T774,"mm/dd")))))))</f>
        <v/>
      </c>
      <c r="V774" s="16" t="n"/>
      <c r="W774" s="16" t="n"/>
      <c r="X774" s="17">
        <f>IF($C774="","",IF(AND($L774&lt;&gt;"",NOT(ISNUMBER($L774))),"RAW SCORE NOT A NUMBER",IF(AND(ISNUMBER($L774),OR($L774&lt;0,$L774&gt;100)),"RAW SCORE OUT OF RANGE",IF(AND($Y774="Unexcused",OR($L774="",NOT(ISNUMBER($L774)),$L774&lt;&gt;0)),"UNEXCUSED ABSENCE MUST RECORD 0",IF(COUNTIF(nrES_RecID,$B774)&gt;1,"DUPLICATE RECORD",IF(N($K774)&gt;2,"ATTEMPT 3+ NOT ALLOWED - policy 300.5 permits one retest per exam; this row records nothing",IF(AND($K774=2,COUNTIFS(nrES_PID,$D774,nrES_Code,$F774,nrES_Att,1)=0),"ATTEMPT 2 WITHOUT ATTEMPT 1",IF(AND($K774=2,$L774=""),"RETEST ROW HAS NO SCORE",IF(AND($H774="Final",$L774&lt;&gt;"",IFERROR(INDEX(nrCKfinalExamElig,MATCH($D774,rngCadetPIDs,0)),"")="No"),"FINAL EXAM AFTER FAILED FINAL PT (500.1.H)",IF(AND($K774=2,ISNUMBER($L774),COUNTIFS(nrES_PID,$D774,nrES_Code,$F774,nrES_Att,1)&gt;0,SUMIFS(nrES_Raw,nrES_PID,$D774,nrES_Code,$F774,nrES_Att,1)&gt;=$J774),"RETEST AFTER A PASSING FIRST ATTEMPT","OK"))))))))))</f>
        <v/>
      </c>
      <c r="Y774" s="16" t="n"/>
    </row>
    <row r="775">
      <c r="B775" s="17">
        <f>IF($C775="","",$D775&amp;"-"&amp;$F775&amp;"-"&amp;$K775)</f>
        <v/>
      </c>
      <c r="C775" s="16" t="n"/>
      <c r="D775" s="17">
        <f>IF($C775="","",IFERROR(INDEX(rngCadetPIDs,MATCH($C775,rngCadetNames,0)),"?"))</f>
        <v/>
      </c>
      <c r="E775" s="17">
        <f>IF($D775="","",IFERROR(INDEX(nrCadetAgency,MATCH($D775,rngCadetPIDs,0)),""))</f>
        <v/>
      </c>
      <c r="F775" s="16" t="n"/>
      <c r="G775" s="17">
        <f>IF($F775="","",IFERROR(INDEX(rngEPname,MATCH($F775,rngEPcode,0)),"?"))</f>
        <v/>
      </c>
      <c r="H775" s="17">
        <f>IF($F775="","",IFERROR(INDEX(rngEPtype,MATCH($F775,rngEPcode,0)),"?"))</f>
        <v/>
      </c>
      <c r="I775" s="17">
        <f>IF($F775="","",IFERROR(INDEX(rngEPseq,MATCH($F775,rngEPcode,0)),""))</f>
        <v/>
      </c>
      <c r="J775" s="17">
        <f>IF($F775="","",IFERROR(INDEX(rngEPpass,MATCH($F775,rngEPcode,0)),cfgPassingScore))</f>
        <v/>
      </c>
      <c r="K775" s="16" t="n"/>
      <c r="L775" s="16" t="n"/>
      <c r="M775" s="17">
        <f>IF($C775="","",IF($L775="","",IF(NOT(ISNUMBER($L775)),$L775,IF(N($K775)&gt;2,"",IF($K775=1,IF(COUNTIFS(nrES_PID,$D775,nrES_Code,$F775,nrES_Att,2,nrES_Raw,"&gt;=0")&gt;0,"",$L775),IF($L775&gt;=$J775,MAX($J775,cfgRetakeRecordedCap),IF(COUNTIFS(nrES_PID,$D775,nrES_Code,$F775,nrES_Att,1)=0,$L775,SUMIFS(nrES_Raw,nrES_PID,$D775,nrES_Code,$F775,nrES_Att,1))))))))</f>
        <v/>
      </c>
      <c r="N775" s="17">
        <f>IF($C775="","",IF($L775="","",IF(NOT(ISNUMBER($L775)),"(not a score)",IF($L775&gt;=$J775,"Yes","No"))))</f>
        <v/>
      </c>
      <c r="O775" s="17">
        <f>IF($C775="","",IF($M775="","",IF(NOT(ISNUMBER($M775)),"(not a score)",IF($M775&gt;=$J775,"Yes","No"))))</f>
        <v/>
      </c>
      <c r="P775" s="17">
        <f>IF($C775="","",IF($K775="","",IF(N($K775)&gt;2,"No",IF(COUNTIFS(nrES_PID,$D775,nrES_Code,$F775,nrES_Att,"&gt;"&amp;$K775,nrES_Att,"&lt;=2",nrES_Raw,"&gt;=0")=0,"Yes","No"))))</f>
        <v/>
      </c>
      <c r="Q775" s="17">
        <f>IF($C775="","",IF($L775="","",IF(AND($K775=1,ISNUMBER($L775),$L775&lt;$J775,COUNTIFS(nrES_PID,$D775,nrES_Code,$F775,nrES_Att,2,nrES_Raw,"&gt;=0")=0),"Yes","No")))</f>
        <v/>
      </c>
      <c r="R775" s="17">
        <f>IF($C775="","",IF($L775="","",IF(AND(N($K775)&gt;=2,ISNUMBER($L775),$L775&lt;$J775),"Yes","No")))</f>
        <v/>
      </c>
      <c r="S775" s="18" t="n"/>
      <c r="T775" s="19">
        <f>IF(OR($C775="",$L775="",$K775&lt;&gt;1,NOT(ISNUMBER($L775)),$L775&gt;=$J775),"",IF($S775="","(enter date)",_xlfn.LET(_xlpm.dn,_xlfn.XLOOKUP($S775,nrCDdate,nrCDnum,"",1),IF(_xlpm.dn="","(after last class day)",_xlfn.LET(_xlpm.dd,_xlfn.XLOOKUP(_xlpm.dn+cfgRetestClassDays,nrCDnum,nrCDdate,""),_xlpm.ok,_xlfn.XLOOKUP(_xlpm.dn+cfgRetestClassDays,nrCDnum,nrCDinsession,"No"),IF(OR(_xlpm.dd="",_xlpm.ok&lt;&gt;"Yes"),"(after last class day)",_xlpm.dd))))))</f>
        <v/>
      </c>
      <c r="U775" s="17">
        <f>IF($C775="","",IF(AND($Y775="Excused",$L775="",N($K775)&lt;=1),"EXCUSED - 1st attempt pending",IF(OR($L775="",$K775&lt;&gt;1,NOT(ISNUMBER($L775)),$L775&gt;=$J775),"",IF(COUNTIFS(nrES_PID,$D775,nrES_Code,$F775,nrES_Att,2,nrES_Raw,"&gt;=0")&gt;0,IF(IFERROR(_xlfn.MINIFS(nrES_Date,nrES_PID,$D775,nrES_Code,$F775,nrES_Att,2,nrES_Raw,"&gt;=0",nrES_Date,"&gt;0"),0)=0,"RETEST UNDATED",IF(NOT(ISNUMBER($T775)),"RETEST DATE UNCHECKED",IF(_xlfn.MINIFS(nrES_Date,nrES_PID,$D775,nrES_Code,$F775,nrES_Att,2,nrES_Raw,"&gt;=0",nrES_Date,"&gt;0")&gt;$T775,"LATE RETEST "&amp;TEXT(_xlfn.MINIFS(nrES_Date,nrES_PID,$D775,nrES_Code,$F775,nrES_Att,2,nrES_Raw,"&gt;=0",nrES_Date,"&gt;0"),"mm/dd")&amp;" (due "&amp;TEXT($T775,"mm/dd")&amp;")","Retested"))),IF(NOT(ISNUMBER($T775)),"CHECK DATE",IF(TODAY()&gt;$T775,"OVERDUE","Due "&amp;TEXT($T775,"mm/dd")))))))</f>
        <v/>
      </c>
      <c r="V775" s="16" t="n"/>
      <c r="W775" s="16" t="n"/>
      <c r="X775" s="17">
        <f>IF($C775="","",IF(AND($L775&lt;&gt;"",NOT(ISNUMBER($L775))),"RAW SCORE NOT A NUMBER",IF(AND(ISNUMBER($L775),OR($L775&lt;0,$L775&gt;100)),"RAW SCORE OUT OF RANGE",IF(AND($Y775="Unexcused",OR($L775="",NOT(ISNUMBER($L775)),$L775&lt;&gt;0)),"UNEXCUSED ABSENCE MUST RECORD 0",IF(COUNTIF(nrES_RecID,$B775)&gt;1,"DUPLICATE RECORD",IF(N($K775)&gt;2,"ATTEMPT 3+ NOT ALLOWED - policy 300.5 permits one retest per exam; this row records nothing",IF(AND($K775=2,COUNTIFS(nrES_PID,$D775,nrES_Code,$F775,nrES_Att,1)=0),"ATTEMPT 2 WITHOUT ATTEMPT 1",IF(AND($K775=2,$L775=""),"RETEST ROW HAS NO SCORE",IF(AND($H775="Final",$L775&lt;&gt;"",IFERROR(INDEX(nrCKfinalExamElig,MATCH($D775,rngCadetPIDs,0)),"")="No"),"FINAL EXAM AFTER FAILED FINAL PT (500.1.H)",IF(AND($K775=2,ISNUMBER($L775),COUNTIFS(nrES_PID,$D775,nrES_Code,$F775,nrES_Att,1)&gt;0,SUMIFS(nrES_Raw,nrES_PID,$D775,nrES_Code,$F775,nrES_Att,1)&gt;=$J775),"RETEST AFTER A PASSING FIRST ATTEMPT","OK"))))))))))</f>
        <v/>
      </c>
      <c r="Y775" s="16" t="n"/>
    </row>
    <row r="776">
      <c r="B776" s="17">
        <f>IF($C776="","",$D776&amp;"-"&amp;$F776&amp;"-"&amp;$K776)</f>
        <v/>
      </c>
      <c r="C776" s="16" t="n"/>
      <c r="D776" s="17">
        <f>IF($C776="","",IFERROR(INDEX(rngCadetPIDs,MATCH($C776,rngCadetNames,0)),"?"))</f>
        <v/>
      </c>
      <c r="E776" s="17">
        <f>IF($D776="","",IFERROR(INDEX(nrCadetAgency,MATCH($D776,rngCadetPIDs,0)),""))</f>
        <v/>
      </c>
      <c r="F776" s="16" t="n"/>
      <c r="G776" s="17">
        <f>IF($F776="","",IFERROR(INDEX(rngEPname,MATCH($F776,rngEPcode,0)),"?"))</f>
        <v/>
      </c>
      <c r="H776" s="17">
        <f>IF($F776="","",IFERROR(INDEX(rngEPtype,MATCH($F776,rngEPcode,0)),"?"))</f>
        <v/>
      </c>
      <c r="I776" s="17">
        <f>IF($F776="","",IFERROR(INDEX(rngEPseq,MATCH($F776,rngEPcode,0)),""))</f>
        <v/>
      </c>
      <c r="J776" s="17">
        <f>IF($F776="","",IFERROR(INDEX(rngEPpass,MATCH($F776,rngEPcode,0)),cfgPassingScore))</f>
        <v/>
      </c>
      <c r="K776" s="16" t="n"/>
      <c r="L776" s="16" t="n"/>
      <c r="M776" s="17">
        <f>IF($C776="","",IF($L776="","",IF(NOT(ISNUMBER($L776)),$L776,IF(N($K776)&gt;2,"",IF($K776=1,IF(COUNTIFS(nrES_PID,$D776,nrES_Code,$F776,nrES_Att,2,nrES_Raw,"&gt;=0")&gt;0,"",$L776),IF($L776&gt;=$J776,MAX($J776,cfgRetakeRecordedCap),IF(COUNTIFS(nrES_PID,$D776,nrES_Code,$F776,nrES_Att,1)=0,$L776,SUMIFS(nrES_Raw,nrES_PID,$D776,nrES_Code,$F776,nrES_Att,1))))))))</f>
        <v/>
      </c>
      <c r="N776" s="17">
        <f>IF($C776="","",IF($L776="","",IF(NOT(ISNUMBER($L776)),"(not a score)",IF($L776&gt;=$J776,"Yes","No"))))</f>
        <v/>
      </c>
      <c r="O776" s="17">
        <f>IF($C776="","",IF($M776="","",IF(NOT(ISNUMBER($M776)),"(not a score)",IF($M776&gt;=$J776,"Yes","No"))))</f>
        <v/>
      </c>
      <c r="P776" s="17">
        <f>IF($C776="","",IF($K776="","",IF(N($K776)&gt;2,"No",IF(COUNTIFS(nrES_PID,$D776,nrES_Code,$F776,nrES_Att,"&gt;"&amp;$K776,nrES_Att,"&lt;=2",nrES_Raw,"&gt;=0")=0,"Yes","No"))))</f>
        <v/>
      </c>
      <c r="Q776" s="17">
        <f>IF($C776="","",IF($L776="","",IF(AND($K776=1,ISNUMBER($L776),$L776&lt;$J776,COUNTIFS(nrES_PID,$D776,nrES_Code,$F776,nrES_Att,2,nrES_Raw,"&gt;=0")=0),"Yes","No")))</f>
        <v/>
      </c>
      <c r="R776" s="17">
        <f>IF($C776="","",IF($L776="","",IF(AND(N($K776)&gt;=2,ISNUMBER($L776),$L776&lt;$J776),"Yes","No")))</f>
        <v/>
      </c>
      <c r="S776" s="18" t="n"/>
      <c r="T776" s="19">
        <f>IF(OR($C776="",$L776="",$K776&lt;&gt;1,NOT(ISNUMBER($L776)),$L776&gt;=$J776),"",IF($S776="","(enter date)",_xlfn.LET(_xlpm.dn,_xlfn.XLOOKUP($S776,nrCDdate,nrCDnum,"",1),IF(_xlpm.dn="","(after last class day)",_xlfn.LET(_xlpm.dd,_xlfn.XLOOKUP(_xlpm.dn+cfgRetestClassDays,nrCDnum,nrCDdate,""),_xlpm.ok,_xlfn.XLOOKUP(_xlpm.dn+cfgRetestClassDays,nrCDnum,nrCDinsession,"No"),IF(OR(_xlpm.dd="",_xlpm.ok&lt;&gt;"Yes"),"(after last class day)",_xlpm.dd))))))</f>
        <v/>
      </c>
      <c r="U776" s="17">
        <f>IF($C776="","",IF(AND($Y776="Excused",$L776="",N($K776)&lt;=1),"EXCUSED - 1st attempt pending",IF(OR($L776="",$K776&lt;&gt;1,NOT(ISNUMBER($L776)),$L776&gt;=$J776),"",IF(COUNTIFS(nrES_PID,$D776,nrES_Code,$F776,nrES_Att,2,nrES_Raw,"&gt;=0")&gt;0,IF(IFERROR(_xlfn.MINIFS(nrES_Date,nrES_PID,$D776,nrES_Code,$F776,nrES_Att,2,nrES_Raw,"&gt;=0",nrES_Date,"&gt;0"),0)=0,"RETEST UNDATED",IF(NOT(ISNUMBER($T776)),"RETEST DATE UNCHECKED",IF(_xlfn.MINIFS(nrES_Date,nrES_PID,$D776,nrES_Code,$F776,nrES_Att,2,nrES_Raw,"&gt;=0",nrES_Date,"&gt;0")&gt;$T776,"LATE RETEST "&amp;TEXT(_xlfn.MINIFS(nrES_Date,nrES_PID,$D776,nrES_Code,$F776,nrES_Att,2,nrES_Raw,"&gt;=0",nrES_Date,"&gt;0"),"mm/dd")&amp;" (due "&amp;TEXT($T776,"mm/dd")&amp;")","Retested"))),IF(NOT(ISNUMBER($T776)),"CHECK DATE",IF(TODAY()&gt;$T776,"OVERDUE","Due "&amp;TEXT($T776,"mm/dd")))))))</f>
        <v/>
      </c>
      <c r="V776" s="16" t="n"/>
      <c r="W776" s="16" t="n"/>
      <c r="X776" s="17">
        <f>IF($C776="","",IF(AND($L776&lt;&gt;"",NOT(ISNUMBER($L776))),"RAW SCORE NOT A NUMBER",IF(AND(ISNUMBER($L776),OR($L776&lt;0,$L776&gt;100)),"RAW SCORE OUT OF RANGE",IF(AND($Y776="Unexcused",OR($L776="",NOT(ISNUMBER($L776)),$L776&lt;&gt;0)),"UNEXCUSED ABSENCE MUST RECORD 0",IF(COUNTIF(nrES_RecID,$B776)&gt;1,"DUPLICATE RECORD",IF(N($K776)&gt;2,"ATTEMPT 3+ NOT ALLOWED - policy 300.5 permits one retest per exam; this row records nothing",IF(AND($K776=2,COUNTIFS(nrES_PID,$D776,nrES_Code,$F776,nrES_Att,1)=0),"ATTEMPT 2 WITHOUT ATTEMPT 1",IF(AND($K776=2,$L776=""),"RETEST ROW HAS NO SCORE",IF(AND($H776="Final",$L776&lt;&gt;"",IFERROR(INDEX(nrCKfinalExamElig,MATCH($D776,rngCadetPIDs,0)),"")="No"),"FINAL EXAM AFTER FAILED FINAL PT (500.1.H)",IF(AND($K776=2,ISNUMBER($L776),COUNTIFS(nrES_PID,$D776,nrES_Code,$F776,nrES_Att,1)&gt;0,SUMIFS(nrES_Raw,nrES_PID,$D776,nrES_Code,$F776,nrES_Att,1)&gt;=$J776),"RETEST AFTER A PASSING FIRST ATTEMPT","OK"))))))))))</f>
        <v/>
      </c>
      <c r="Y776" s="16" t="n"/>
    </row>
    <row r="777">
      <c r="B777" s="17">
        <f>IF($C777="","",$D777&amp;"-"&amp;$F777&amp;"-"&amp;$K777)</f>
        <v/>
      </c>
      <c r="C777" s="16" t="n"/>
      <c r="D777" s="17">
        <f>IF($C777="","",IFERROR(INDEX(rngCadetPIDs,MATCH($C777,rngCadetNames,0)),"?"))</f>
        <v/>
      </c>
      <c r="E777" s="17">
        <f>IF($D777="","",IFERROR(INDEX(nrCadetAgency,MATCH($D777,rngCadetPIDs,0)),""))</f>
        <v/>
      </c>
      <c r="F777" s="16" t="n"/>
      <c r="G777" s="17">
        <f>IF($F777="","",IFERROR(INDEX(rngEPname,MATCH($F777,rngEPcode,0)),"?"))</f>
        <v/>
      </c>
      <c r="H777" s="17">
        <f>IF($F777="","",IFERROR(INDEX(rngEPtype,MATCH($F777,rngEPcode,0)),"?"))</f>
        <v/>
      </c>
      <c r="I777" s="17">
        <f>IF($F777="","",IFERROR(INDEX(rngEPseq,MATCH($F777,rngEPcode,0)),""))</f>
        <v/>
      </c>
      <c r="J777" s="17">
        <f>IF($F777="","",IFERROR(INDEX(rngEPpass,MATCH($F777,rngEPcode,0)),cfgPassingScore))</f>
        <v/>
      </c>
      <c r="K777" s="16" t="n"/>
      <c r="L777" s="16" t="n"/>
      <c r="M777" s="17">
        <f>IF($C777="","",IF($L777="","",IF(NOT(ISNUMBER($L777)),$L777,IF(N($K777)&gt;2,"",IF($K777=1,IF(COUNTIFS(nrES_PID,$D777,nrES_Code,$F777,nrES_Att,2,nrES_Raw,"&gt;=0")&gt;0,"",$L777),IF($L777&gt;=$J777,MAX($J777,cfgRetakeRecordedCap),IF(COUNTIFS(nrES_PID,$D777,nrES_Code,$F777,nrES_Att,1)=0,$L777,SUMIFS(nrES_Raw,nrES_PID,$D777,nrES_Code,$F777,nrES_Att,1))))))))</f>
        <v/>
      </c>
      <c r="N777" s="17">
        <f>IF($C777="","",IF($L777="","",IF(NOT(ISNUMBER($L777)),"(not a score)",IF($L777&gt;=$J777,"Yes","No"))))</f>
        <v/>
      </c>
      <c r="O777" s="17">
        <f>IF($C777="","",IF($M777="","",IF(NOT(ISNUMBER($M777)),"(not a score)",IF($M777&gt;=$J777,"Yes","No"))))</f>
        <v/>
      </c>
      <c r="P777" s="17">
        <f>IF($C777="","",IF($K777="","",IF(N($K777)&gt;2,"No",IF(COUNTIFS(nrES_PID,$D777,nrES_Code,$F777,nrES_Att,"&gt;"&amp;$K777,nrES_Att,"&lt;=2",nrES_Raw,"&gt;=0")=0,"Yes","No"))))</f>
        <v/>
      </c>
      <c r="Q777" s="17">
        <f>IF($C777="","",IF($L777="","",IF(AND($K777=1,ISNUMBER($L777),$L777&lt;$J777,COUNTIFS(nrES_PID,$D777,nrES_Code,$F777,nrES_Att,2,nrES_Raw,"&gt;=0")=0),"Yes","No")))</f>
        <v/>
      </c>
      <c r="R777" s="17">
        <f>IF($C777="","",IF($L777="","",IF(AND(N($K777)&gt;=2,ISNUMBER($L777),$L777&lt;$J777),"Yes","No")))</f>
        <v/>
      </c>
      <c r="S777" s="18" t="n"/>
      <c r="T777" s="19">
        <f>IF(OR($C777="",$L777="",$K777&lt;&gt;1,NOT(ISNUMBER($L777)),$L777&gt;=$J777),"",IF($S777="","(enter date)",_xlfn.LET(_xlpm.dn,_xlfn.XLOOKUP($S777,nrCDdate,nrCDnum,"",1),IF(_xlpm.dn="","(after last class day)",_xlfn.LET(_xlpm.dd,_xlfn.XLOOKUP(_xlpm.dn+cfgRetestClassDays,nrCDnum,nrCDdate,""),_xlpm.ok,_xlfn.XLOOKUP(_xlpm.dn+cfgRetestClassDays,nrCDnum,nrCDinsession,"No"),IF(OR(_xlpm.dd="",_xlpm.ok&lt;&gt;"Yes"),"(after last class day)",_xlpm.dd))))))</f>
        <v/>
      </c>
      <c r="U777" s="17">
        <f>IF($C777="","",IF(AND($Y777="Excused",$L777="",N($K777)&lt;=1),"EXCUSED - 1st attempt pending",IF(OR($L777="",$K777&lt;&gt;1,NOT(ISNUMBER($L777)),$L777&gt;=$J777),"",IF(COUNTIFS(nrES_PID,$D777,nrES_Code,$F777,nrES_Att,2,nrES_Raw,"&gt;=0")&gt;0,IF(IFERROR(_xlfn.MINIFS(nrES_Date,nrES_PID,$D777,nrES_Code,$F777,nrES_Att,2,nrES_Raw,"&gt;=0",nrES_Date,"&gt;0"),0)=0,"RETEST UNDATED",IF(NOT(ISNUMBER($T777)),"RETEST DATE UNCHECKED",IF(_xlfn.MINIFS(nrES_Date,nrES_PID,$D777,nrES_Code,$F777,nrES_Att,2,nrES_Raw,"&gt;=0",nrES_Date,"&gt;0")&gt;$T777,"LATE RETEST "&amp;TEXT(_xlfn.MINIFS(nrES_Date,nrES_PID,$D777,nrES_Code,$F777,nrES_Att,2,nrES_Raw,"&gt;=0",nrES_Date,"&gt;0"),"mm/dd")&amp;" (due "&amp;TEXT($T777,"mm/dd")&amp;")","Retested"))),IF(NOT(ISNUMBER($T777)),"CHECK DATE",IF(TODAY()&gt;$T777,"OVERDUE","Due "&amp;TEXT($T777,"mm/dd")))))))</f>
        <v/>
      </c>
      <c r="V777" s="16" t="n"/>
      <c r="W777" s="16" t="n"/>
      <c r="X777" s="17">
        <f>IF($C777="","",IF(AND($L777&lt;&gt;"",NOT(ISNUMBER($L777))),"RAW SCORE NOT A NUMBER",IF(AND(ISNUMBER($L777),OR($L777&lt;0,$L777&gt;100)),"RAW SCORE OUT OF RANGE",IF(AND($Y777="Unexcused",OR($L777="",NOT(ISNUMBER($L777)),$L777&lt;&gt;0)),"UNEXCUSED ABSENCE MUST RECORD 0",IF(COUNTIF(nrES_RecID,$B777)&gt;1,"DUPLICATE RECORD",IF(N($K777)&gt;2,"ATTEMPT 3+ NOT ALLOWED - policy 300.5 permits one retest per exam; this row records nothing",IF(AND($K777=2,COUNTIFS(nrES_PID,$D777,nrES_Code,$F777,nrES_Att,1)=0),"ATTEMPT 2 WITHOUT ATTEMPT 1",IF(AND($K777=2,$L777=""),"RETEST ROW HAS NO SCORE",IF(AND($H777="Final",$L777&lt;&gt;"",IFERROR(INDEX(nrCKfinalExamElig,MATCH($D777,rngCadetPIDs,0)),"")="No"),"FINAL EXAM AFTER FAILED FINAL PT (500.1.H)",IF(AND($K777=2,ISNUMBER($L777),COUNTIFS(nrES_PID,$D777,nrES_Code,$F777,nrES_Att,1)&gt;0,SUMIFS(nrES_Raw,nrES_PID,$D777,nrES_Code,$F777,nrES_Att,1)&gt;=$J777),"RETEST AFTER A PASSING FIRST ATTEMPT","OK"))))))))))</f>
        <v/>
      </c>
      <c r="Y777" s="16" t="n"/>
    </row>
    <row r="778">
      <c r="B778" s="17">
        <f>IF($C778="","",$D778&amp;"-"&amp;$F778&amp;"-"&amp;$K778)</f>
        <v/>
      </c>
      <c r="C778" s="16" t="n"/>
      <c r="D778" s="17">
        <f>IF($C778="","",IFERROR(INDEX(rngCadetPIDs,MATCH($C778,rngCadetNames,0)),"?"))</f>
        <v/>
      </c>
      <c r="E778" s="17">
        <f>IF($D778="","",IFERROR(INDEX(nrCadetAgency,MATCH($D778,rngCadetPIDs,0)),""))</f>
        <v/>
      </c>
      <c r="F778" s="16" t="n"/>
      <c r="G778" s="17">
        <f>IF($F778="","",IFERROR(INDEX(rngEPname,MATCH($F778,rngEPcode,0)),"?"))</f>
        <v/>
      </c>
      <c r="H778" s="17">
        <f>IF($F778="","",IFERROR(INDEX(rngEPtype,MATCH($F778,rngEPcode,0)),"?"))</f>
        <v/>
      </c>
      <c r="I778" s="17">
        <f>IF($F778="","",IFERROR(INDEX(rngEPseq,MATCH($F778,rngEPcode,0)),""))</f>
        <v/>
      </c>
      <c r="J778" s="17">
        <f>IF($F778="","",IFERROR(INDEX(rngEPpass,MATCH($F778,rngEPcode,0)),cfgPassingScore))</f>
        <v/>
      </c>
      <c r="K778" s="16" t="n"/>
      <c r="L778" s="16" t="n"/>
      <c r="M778" s="17">
        <f>IF($C778="","",IF($L778="","",IF(NOT(ISNUMBER($L778)),$L778,IF(N($K778)&gt;2,"",IF($K778=1,IF(COUNTIFS(nrES_PID,$D778,nrES_Code,$F778,nrES_Att,2,nrES_Raw,"&gt;=0")&gt;0,"",$L778),IF($L778&gt;=$J778,MAX($J778,cfgRetakeRecordedCap),IF(COUNTIFS(nrES_PID,$D778,nrES_Code,$F778,nrES_Att,1)=0,$L778,SUMIFS(nrES_Raw,nrES_PID,$D778,nrES_Code,$F778,nrES_Att,1))))))))</f>
        <v/>
      </c>
      <c r="N778" s="17">
        <f>IF($C778="","",IF($L778="","",IF(NOT(ISNUMBER($L778)),"(not a score)",IF($L778&gt;=$J778,"Yes","No"))))</f>
        <v/>
      </c>
      <c r="O778" s="17">
        <f>IF($C778="","",IF($M778="","",IF(NOT(ISNUMBER($M778)),"(not a score)",IF($M778&gt;=$J778,"Yes","No"))))</f>
        <v/>
      </c>
      <c r="P778" s="17">
        <f>IF($C778="","",IF($K778="","",IF(N($K778)&gt;2,"No",IF(COUNTIFS(nrES_PID,$D778,nrES_Code,$F778,nrES_Att,"&gt;"&amp;$K778,nrES_Att,"&lt;=2",nrES_Raw,"&gt;=0")=0,"Yes","No"))))</f>
        <v/>
      </c>
      <c r="Q778" s="17">
        <f>IF($C778="","",IF($L778="","",IF(AND($K778=1,ISNUMBER($L778),$L778&lt;$J778,COUNTIFS(nrES_PID,$D778,nrES_Code,$F778,nrES_Att,2,nrES_Raw,"&gt;=0")=0),"Yes","No")))</f>
        <v/>
      </c>
      <c r="R778" s="17">
        <f>IF($C778="","",IF($L778="","",IF(AND(N($K778)&gt;=2,ISNUMBER($L778),$L778&lt;$J778),"Yes","No")))</f>
        <v/>
      </c>
      <c r="S778" s="18" t="n"/>
      <c r="T778" s="19">
        <f>IF(OR($C778="",$L778="",$K778&lt;&gt;1,NOT(ISNUMBER($L778)),$L778&gt;=$J778),"",IF($S778="","(enter date)",_xlfn.LET(_xlpm.dn,_xlfn.XLOOKUP($S778,nrCDdate,nrCDnum,"",1),IF(_xlpm.dn="","(after last class day)",_xlfn.LET(_xlpm.dd,_xlfn.XLOOKUP(_xlpm.dn+cfgRetestClassDays,nrCDnum,nrCDdate,""),_xlpm.ok,_xlfn.XLOOKUP(_xlpm.dn+cfgRetestClassDays,nrCDnum,nrCDinsession,"No"),IF(OR(_xlpm.dd="",_xlpm.ok&lt;&gt;"Yes"),"(after last class day)",_xlpm.dd))))))</f>
        <v/>
      </c>
      <c r="U778" s="17">
        <f>IF($C778="","",IF(AND($Y778="Excused",$L778="",N($K778)&lt;=1),"EXCUSED - 1st attempt pending",IF(OR($L778="",$K778&lt;&gt;1,NOT(ISNUMBER($L778)),$L778&gt;=$J778),"",IF(COUNTIFS(nrES_PID,$D778,nrES_Code,$F778,nrES_Att,2,nrES_Raw,"&gt;=0")&gt;0,IF(IFERROR(_xlfn.MINIFS(nrES_Date,nrES_PID,$D778,nrES_Code,$F778,nrES_Att,2,nrES_Raw,"&gt;=0",nrES_Date,"&gt;0"),0)=0,"RETEST UNDATED",IF(NOT(ISNUMBER($T778)),"RETEST DATE UNCHECKED",IF(_xlfn.MINIFS(nrES_Date,nrES_PID,$D778,nrES_Code,$F778,nrES_Att,2,nrES_Raw,"&gt;=0",nrES_Date,"&gt;0")&gt;$T778,"LATE RETEST "&amp;TEXT(_xlfn.MINIFS(nrES_Date,nrES_PID,$D778,nrES_Code,$F778,nrES_Att,2,nrES_Raw,"&gt;=0",nrES_Date,"&gt;0"),"mm/dd")&amp;" (due "&amp;TEXT($T778,"mm/dd")&amp;")","Retested"))),IF(NOT(ISNUMBER($T778)),"CHECK DATE",IF(TODAY()&gt;$T778,"OVERDUE","Due "&amp;TEXT($T778,"mm/dd")))))))</f>
        <v/>
      </c>
      <c r="V778" s="16" t="n"/>
      <c r="W778" s="16" t="n"/>
      <c r="X778" s="17">
        <f>IF($C778="","",IF(AND($L778&lt;&gt;"",NOT(ISNUMBER($L778))),"RAW SCORE NOT A NUMBER",IF(AND(ISNUMBER($L778),OR($L778&lt;0,$L778&gt;100)),"RAW SCORE OUT OF RANGE",IF(AND($Y778="Unexcused",OR($L778="",NOT(ISNUMBER($L778)),$L778&lt;&gt;0)),"UNEXCUSED ABSENCE MUST RECORD 0",IF(COUNTIF(nrES_RecID,$B778)&gt;1,"DUPLICATE RECORD",IF(N($K778)&gt;2,"ATTEMPT 3+ NOT ALLOWED - policy 300.5 permits one retest per exam; this row records nothing",IF(AND($K778=2,COUNTIFS(nrES_PID,$D778,nrES_Code,$F778,nrES_Att,1)=0),"ATTEMPT 2 WITHOUT ATTEMPT 1",IF(AND($K778=2,$L778=""),"RETEST ROW HAS NO SCORE",IF(AND($H778="Final",$L778&lt;&gt;"",IFERROR(INDEX(nrCKfinalExamElig,MATCH($D778,rngCadetPIDs,0)),"")="No"),"FINAL EXAM AFTER FAILED FINAL PT (500.1.H)",IF(AND($K778=2,ISNUMBER($L778),COUNTIFS(nrES_PID,$D778,nrES_Code,$F778,nrES_Att,1)&gt;0,SUMIFS(nrES_Raw,nrES_PID,$D778,nrES_Code,$F778,nrES_Att,1)&gt;=$J778),"RETEST AFTER A PASSING FIRST ATTEMPT","OK"))))))))))</f>
        <v/>
      </c>
      <c r="Y778" s="16" t="n"/>
    </row>
    <row r="779">
      <c r="B779" s="17">
        <f>IF($C779="","",$D779&amp;"-"&amp;$F779&amp;"-"&amp;$K779)</f>
        <v/>
      </c>
      <c r="C779" s="16" t="n"/>
      <c r="D779" s="17">
        <f>IF($C779="","",IFERROR(INDEX(rngCadetPIDs,MATCH($C779,rngCadetNames,0)),"?"))</f>
        <v/>
      </c>
      <c r="E779" s="17">
        <f>IF($D779="","",IFERROR(INDEX(nrCadetAgency,MATCH($D779,rngCadetPIDs,0)),""))</f>
        <v/>
      </c>
      <c r="F779" s="16" t="n"/>
      <c r="G779" s="17">
        <f>IF($F779="","",IFERROR(INDEX(rngEPname,MATCH($F779,rngEPcode,0)),"?"))</f>
        <v/>
      </c>
      <c r="H779" s="17">
        <f>IF($F779="","",IFERROR(INDEX(rngEPtype,MATCH($F779,rngEPcode,0)),"?"))</f>
        <v/>
      </c>
      <c r="I779" s="17">
        <f>IF($F779="","",IFERROR(INDEX(rngEPseq,MATCH($F779,rngEPcode,0)),""))</f>
        <v/>
      </c>
      <c r="J779" s="17">
        <f>IF($F779="","",IFERROR(INDEX(rngEPpass,MATCH($F779,rngEPcode,0)),cfgPassingScore))</f>
        <v/>
      </c>
      <c r="K779" s="16" t="n"/>
      <c r="L779" s="16" t="n"/>
      <c r="M779" s="17">
        <f>IF($C779="","",IF($L779="","",IF(NOT(ISNUMBER($L779)),$L779,IF(N($K779)&gt;2,"",IF($K779=1,IF(COUNTIFS(nrES_PID,$D779,nrES_Code,$F779,nrES_Att,2,nrES_Raw,"&gt;=0")&gt;0,"",$L779),IF($L779&gt;=$J779,MAX($J779,cfgRetakeRecordedCap),IF(COUNTIFS(nrES_PID,$D779,nrES_Code,$F779,nrES_Att,1)=0,$L779,SUMIFS(nrES_Raw,nrES_PID,$D779,nrES_Code,$F779,nrES_Att,1))))))))</f>
        <v/>
      </c>
      <c r="N779" s="17">
        <f>IF($C779="","",IF($L779="","",IF(NOT(ISNUMBER($L779)),"(not a score)",IF($L779&gt;=$J779,"Yes","No"))))</f>
        <v/>
      </c>
      <c r="O779" s="17">
        <f>IF($C779="","",IF($M779="","",IF(NOT(ISNUMBER($M779)),"(not a score)",IF($M779&gt;=$J779,"Yes","No"))))</f>
        <v/>
      </c>
      <c r="P779" s="17">
        <f>IF($C779="","",IF($K779="","",IF(N($K779)&gt;2,"No",IF(COUNTIFS(nrES_PID,$D779,nrES_Code,$F779,nrES_Att,"&gt;"&amp;$K779,nrES_Att,"&lt;=2",nrES_Raw,"&gt;=0")=0,"Yes","No"))))</f>
        <v/>
      </c>
      <c r="Q779" s="17">
        <f>IF($C779="","",IF($L779="","",IF(AND($K779=1,ISNUMBER($L779),$L779&lt;$J779,COUNTIFS(nrES_PID,$D779,nrES_Code,$F779,nrES_Att,2,nrES_Raw,"&gt;=0")=0),"Yes","No")))</f>
        <v/>
      </c>
      <c r="R779" s="17">
        <f>IF($C779="","",IF($L779="","",IF(AND(N($K779)&gt;=2,ISNUMBER($L779),$L779&lt;$J779),"Yes","No")))</f>
        <v/>
      </c>
      <c r="S779" s="18" t="n"/>
      <c r="T779" s="19">
        <f>IF(OR($C779="",$L779="",$K779&lt;&gt;1,NOT(ISNUMBER($L779)),$L779&gt;=$J779),"",IF($S779="","(enter date)",_xlfn.LET(_xlpm.dn,_xlfn.XLOOKUP($S779,nrCDdate,nrCDnum,"",1),IF(_xlpm.dn="","(after last class day)",_xlfn.LET(_xlpm.dd,_xlfn.XLOOKUP(_xlpm.dn+cfgRetestClassDays,nrCDnum,nrCDdate,""),_xlpm.ok,_xlfn.XLOOKUP(_xlpm.dn+cfgRetestClassDays,nrCDnum,nrCDinsession,"No"),IF(OR(_xlpm.dd="",_xlpm.ok&lt;&gt;"Yes"),"(after last class day)",_xlpm.dd))))))</f>
        <v/>
      </c>
      <c r="U779" s="17">
        <f>IF($C779="","",IF(AND($Y779="Excused",$L779="",N($K779)&lt;=1),"EXCUSED - 1st attempt pending",IF(OR($L779="",$K779&lt;&gt;1,NOT(ISNUMBER($L779)),$L779&gt;=$J779),"",IF(COUNTIFS(nrES_PID,$D779,nrES_Code,$F779,nrES_Att,2,nrES_Raw,"&gt;=0")&gt;0,IF(IFERROR(_xlfn.MINIFS(nrES_Date,nrES_PID,$D779,nrES_Code,$F779,nrES_Att,2,nrES_Raw,"&gt;=0",nrES_Date,"&gt;0"),0)=0,"RETEST UNDATED",IF(NOT(ISNUMBER($T779)),"RETEST DATE UNCHECKED",IF(_xlfn.MINIFS(nrES_Date,nrES_PID,$D779,nrES_Code,$F779,nrES_Att,2,nrES_Raw,"&gt;=0",nrES_Date,"&gt;0")&gt;$T779,"LATE RETEST "&amp;TEXT(_xlfn.MINIFS(nrES_Date,nrES_PID,$D779,nrES_Code,$F779,nrES_Att,2,nrES_Raw,"&gt;=0",nrES_Date,"&gt;0"),"mm/dd")&amp;" (due "&amp;TEXT($T779,"mm/dd")&amp;")","Retested"))),IF(NOT(ISNUMBER($T779)),"CHECK DATE",IF(TODAY()&gt;$T779,"OVERDUE","Due "&amp;TEXT($T779,"mm/dd")))))))</f>
        <v/>
      </c>
      <c r="V779" s="16" t="n"/>
      <c r="W779" s="16" t="n"/>
      <c r="X779" s="17">
        <f>IF($C779="","",IF(AND($L779&lt;&gt;"",NOT(ISNUMBER($L779))),"RAW SCORE NOT A NUMBER",IF(AND(ISNUMBER($L779),OR($L779&lt;0,$L779&gt;100)),"RAW SCORE OUT OF RANGE",IF(AND($Y779="Unexcused",OR($L779="",NOT(ISNUMBER($L779)),$L779&lt;&gt;0)),"UNEXCUSED ABSENCE MUST RECORD 0",IF(COUNTIF(nrES_RecID,$B779)&gt;1,"DUPLICATE RECORD",IF(N($K779)&gt;2,"ATTEMPT 3+ NOT ALLOWED - policy 300.5 permits one retest per exam; this row records nothing",IF(AND($K779=2,COUNTIFS(nrES_PID,$D779,nrES_Code,$F779,nrES_Att,1)=0),"ATTEMPT 2 WITHOUT ATTEMPT 1",IF(AND($K779=2,$L779=""),"RETEST ROW HAS NO SCORE",IF(AND($H779="Final",$L779&lt;&gt;"",IFERROR(INDEX(nrCKfinalExamElig,MATCH($D779,rngCadetPIDs,0)),"")="No"),"FINAL EXAM AFTER FAILED FINAL PT (500.1.H)",IF(AND($K779=2,ISNUMBER($L779),COUNTIFS(nrES_PID,$D779,nrES_Code,$F779,nrES_Att,1)&gt;0,SUMIFS(nrES_Raw,nrES_PID,$D779,nrES_Code,$F779,nrES_Att,1)&gt;=$J779),"RETEST AFTER A PASSING FIRST ATTEMPT","OK"))))))))))</f>
        <v/>
      </c>
      <c r="Y779" s="16" t="n"/>
    </row>
    <row r="780">
      <c r="B780" s="17">
        <f>IF($C780="","",$D780&amp;"-"&amp;$F780&amp;"-"&amp;$K780)</f>
        <v/>
      </c>
      <c r="C780" s="16" t="n"/>
      <c r="D780" s="17">
        <f>IF($C780="","",IFERROR(INDEX(rngCadetPIDs,MATCH($C780,rngCadetNames,0)),"?"))</f>
        <v/>
      </c>
      <c r="E780" s="17">
        <f>IF($D780="","",IFERROR(INDEX(nrCadetAgency,MATCH($D780,rngCadetPIDs,0)),""))</f>
        <v/>
      </c>
      <c r="F780" s="16" t="n"/>
      <c r="G780" s="17">
        <f>IF($F780="","",IFERROR(INDEX(rngEPname,MATCH($F780,rngEPcode,0)),"?"))</f>
        <v/>
      </c>
      <c r="H780" s="17">
        <f>IF($F780="","",IFERROR(INDEX(rngEPtype,MATCH($F780,rngEPcode,0)),"?"))</f>
        <v/>
      </c>
      <c r="I780" s="17">
        <f>IF($F780="","",IFERROR(INDEX(rngEPseq,MATCH($F780,rngEPcode,0)),""))</f>
        <v/>
      </c>
      <c r="J780" s="17">
        <f>IF($F780="","",IFERROR(INDEX(rngEPpass,MATCH($F780,rngEPcode,0)),cfgPassingScore))</f>
        <v/>
      </c>
      <c r="K780" s="16" t="n"/>
      <c r="L780" s="16" t="n"/>
      <c r="M780" s="17">
        <f>IF($C780="","",IF($L780="","",IF(NOT(ISNUMBER($L780)),$L780,IF(N($K780)&gt;2,"",IF($K780=1,IF(COUNTIFS(nrES_PID,$D780,nrES_Code,$F780,nrES_Att,2,nrES_Raw,"&gt;=0")&gt;0,"",$L780),IF($L780&gt;=$J780,MAX($J780,cfgRetakeRecordedCap),IF(COUNTIFS(nrES_PID,$D780,nrES_Code,$F780,nrES_Att,1)=0,$L780,SUMIFS(nrES_Raw,nrES_PID,$D780,nrES_Code,$F780,nrES_Att,1))))))))</f>
        <v/>
      </c>
      <c r="N780" s="17">
        <f>IF($C780="","",IF($L780="","",IF(NOT(ISNUMBER($L780)),"(not a score)",IF($L780&gt;=$J780,"Yes","No"))))</f>
        <v/>
      </c>
      <c r="O780" s="17">
        <f>IF($C780="","",IF($M780="","",IF(NOT(ISNUMBER($M780)),"(not a score)",IF($M780&gt;=$J780,"Yes","No"))))</f>
        <v/>
      </c>
      <c r="P780" s="17">
        <f>IF($C780="","",IF($K780="","",IF(N($K780)&gt;2,"No",IF(COUNTIFS(nrES_PID,$D780,nrES_Code,$F780,nrES_Att,"&gt;"&amp;$K780,nrES_Att,"&lt;=2",nrES_Raw,"&gt;=0")=0,"Yes","No"))))</f>
        <v/>
      </c>
      <c r="Q780" s="17">
        <f>IF($C780="","",IF($L780="","",IF(AND($K780=1,ISNUMBER($L780),$L780&lt;$J780,COUNTIFS(nrES_PID,$D780,nrES_Code,$F780,nrES_Att,2,nrES_Raw,"&gt;=0")=0),"Yes","No")))</f>
        <v/>
      </c>
      <c r="R780" s="17">
        <f>IF($C780="","",IF($L780="","",IF(AND(N($K780)&gt;=2,ISNUMBER($L780),$L780&lt;$J780),"Yes","No")))</f>
        <v/>
      </c>
      <c r="S780" s="18" t="n"/>
      <c r="T780" s="19">
        <f>IF(OR($C780="",$L780="",$K780&lt;&gt;1,NOT(ISNUMBER($L780)),$L780&gt;=$J780),"",IF($S780="","(enter date)",_xlfn.LET(_xlpm.dn,_xlfn.XLOOKUP($S780,nrCDdate,nrCDnum,"",1),IF(_xlpm.dn="","(after last class day)",_xlfn.LET(_xlpm.dd,_xlfn.XLOOKUP(_xlpm.dn+cfgRetestClassDays,nrCDnum,nrCDdate,""),_xlpm.ok,_xlfn.XLOOKUP(_xlpm.dn+cfgRetestClassDays,nrCDnum,nrCDinsession,"No"),IF(OR(_xlpm.dd="",_xlpm.ok&lt;&gt;"Yes"),"(after last class day)",_xlpm.dd))))))</f>
        <v/>
      </c>
      <c r="U780" s="17">
        <f>IF($C780="","",IF(AND($Y780="Excused",$L780="",N($K780)&lt;=1),"EXCUSED - 1st attempt pending",IF(OR($L780="",$K780&lt;&gt;1,NOT(ISNUMBER($L780)),$L780&gt;=$J780),"",IF(COUNTIFS(nrES_PID,$D780,nrES_Code,$F780,nrES_Att,2,nrES_Raw,"&gt;=0")&gt;0,IF(IFERROR(_xlfn.MINIFS(nrES_Date,nrES_PID,$D780,nrES_Code,$F780,nrES_Att,2,nrES_Raw,"&gt;=0",nrES_Date,"&gt;0"),0)=0,"RETEST UNDATED",IF(NOT(ISNUMBER($T780)),"RETEST DATE UNCHECKED",IF(_xlfn.MINIFS(nrES_Date,nrES_PID,$D780,nrES_Code,$F780,nrES_Att,2,nrES_Raw,"&gt;=0",nrES_Date,"&gt;0")&gt;$T780,"LATE RETEST "&amp;TEXT(_xlfn.MINIFS(nrES_Date,nrES_PID,$D780,nrES_Code,$F780,nrES_Att,2,nrES_Raw,"&gt;=0",nrES_Date,"&gt;0"),"mm/dd")&amp;" (due "&amp;TEXT($T780,"mm/dd")&amp;")","Retested"))),IF(NOT(ISNUMBER($T780)),"CHECK DATE",IF(TODAY()&gt;$T780,"OVERDUE","Due "&amp;TEXT($T780,"mm/dd")))))))</f>
        <v/>
      </c>
      <c r="V780" s="16" t="n"/>
      <c r="W780" s="16" t="n"/>
      <c r="X780" s="17">
        <f>IF($C780="","",IF(AND($L780&lt;&gt;"",NOT(ISNUMBER($L780))),"RAW SCORE NOT A NUMBER",IF(AND(ISNUMBER($L780),OR($L780&lt;0,$L780&gt;100)),"RAW SCORE OUT OF RANGE",IF(AND($Y780="Unexcused",OR($L780="",NOT(ISNUMBER($L780)),$L780&lt;&gt;0)),"UNEXCUSED ABSENCE MUST RECORD 0",IF(COUNTIF(nrES_RecID,$B780)&gt;1,"DUPLICATE RECORD",IF(N($K780)&gt;2,"ATTEMPT 3+ NOT ALLOWED - policy 300.5 permits one retest per exam; this row records nothing",IF(AND($K780=2,COUNTIFS(nrES_PID,$D780,nrES_Code,$F780,nrES_Att,1)=0),"ATTEMPT 2 WITHOUT ATTEMPT 1",IF(AND($K780=2,$L780=""),"RETEST ROW HAS NO SCORE",IF(AND($H780="Final",$L780&lt;&gt;"",IFERROR(INDEX(nrCKfinalExamElig,MATCH($D780,rngCadetPIDs,0)),"")="No"),"FINAL EXAM AFTER FAILED FINAL PT (500.1.H)",IF(AND($K780=2,ISNUMBER($L780),COUNTIFS(nrES_PID,$D780,nrES_Code,$F780,nrES_Att,1)&gt;0,SUMIFS(nrES_Raw,nrES_PID,$D780,nrES_Code,$F780,nrES_Att,1)&gt;=$J780),"RETEST AFTER A PASSING FIRST ATTEMPT","OK"))))))))))</f>
        <v/>
      </c>
      <c r="Y780" s="16" t="n"/>
    </row>
    <row r="781">
      <c r="B781" s="17">
        <f>IF($C781="","",$D781&amp;"-"&amp;$F781&amp;"-"&amp;$K781)</f>
        <v/>
      </c>
      <c r="C781" s="16" t="n"/>
      <c r="D781" s="17">
        <f>IF($C781="","",IFERROR(INDEX(rngCadetPIDs,MATCH($C781,rngCadetNames,0)),"?"))</f>
        <v/>
      </c>
      <c r="E781" s="17">
        <f>IF($D781="","",IFERROR(INDEX(nrCadetAgency,MATCH($D781,rngCadetPIDs,0)),""))</f>
        <v/>
      </c>
      <c r="F781" s="16" t="n"/>
      <c r="G781" s="17">
        <f>IF($F781="","",IFERROR(INDEX(rngEPname,MATCH($F781,rngEPcode,0)),"?"))</f>
        <v/>
      </c>
      <c r="H781" s="17">
        <f>IF($F781="","",IFERROR(INDEX(rngEPtype,MATCH($F781,rngEPcode,0)),"?"))</f>
        <v/>
      </c>
      <c r="I781" s="17">
        <f>IF($F781="","",IFERROR(INDEX(rngEPseq,MATCH($F781,rngEPcode,0)),""))</f>
        <v/>
      </c>
      <c r="J781" s="17">
        <f>IF($F781="","",IFERROR(INDEX(rngEPpass,MATCH($F781,rngEPcode,0)),cfgPassingScore))</f>
        <v/>
      </c>
      <c r="K781" s="16" t="n"/>
      <c r="L781" s="16" t="n"/>
      <c r="M781" s="17">
        <f>IF($C781="","",IF($L781="","",IF(NOT(ISNUMBER($L781)),$L781,IF(N($K781)&gt;2,"",IF($K781=1,IF(COUNTIFS(nrES_PID,$D781,nrES_Code,$F781,nrES_Att,2,nrES_Raw,"&gt;=0")&gt;0,"",$L781),IF($L781&gt;=$J781,MAX($J781,cfgRetakeRecordedCap),IF(COUNTIFS(nrES_PID,$D781,nrES_Code,$F781,nrES_Att,1)=0,$L781,SUMIFS(nrES_Raw,nrES_PID,$D781,nrES_Code,$F781,nrES_Att,1))))))))</f>
        <v/>
      </c>
      <c r="N781" s="17">
        <f>IF($C781="","",IF($L781="","",IF(NOT(ISNUMBER($L781)),"(not a score)",IF($L781&gt;=$J781,"Yes","No"))))</f>
        <v/>
      </c>
      <c r="O781" s="17">
        <f>IF($C781="","",IF($M781="","",IF(NOT(ISNUMBER($M781)),"(not a score)",IF($M781&gt;=$J781,"Yes","No"))))</f>
        <v/>
      </c>
      <c r="P781" s="17">
        <f>IF($C781="","",IF($K781="","",IF(N($K781)&gt;2,"No",IF(COUNTIFS(nrES_PID,$D781,nrES_Code,$F781,nrES_Att,"&gt;"&amp;$K781,nrES_Att,"&lt;=2",nrES_Raw,"&gt;=0")=0,"Yes","No"))))</f>
        <v/>
      </c>
      <c r="Q781" s="17">
        <f>IF($C781="","",IF($L781="","",IF(AND($K781=1,ISNUMBER($L781),$L781&lt;$J781,COUNTIFS(nrES_PID,$D781,nrES_Code,$F781,nrES_Att,2,nrES_Raw,"&gt;=0")=0),"Yes","No")))</f>
        <v/>
      </c>
      <c r="R781" s="17">
        <f>IF($C781="","",IF($L781="","",IF(AND(N($K781)&gt;=2,ISNUMBER($L781),$L781&lt;$J781),"Yes","No")))</f>
        <v/>
      </c>
      <c r="S781" s="18" t="n"/>
      <c r="T781" s="19">
        <f>IF(OR($C781="",$L781="",$K781&lt;&gt;1,NOT(ISNUMBER($L781)),$L781&gt;=$J781),"",IF($S781="","(enter date)",_xlfn.LET(_xlpm.dn,_xlfn.XLOOKUP($S781,nrCDdate,nrCDnum,"",1),IF(_xlpm.dn="","(after last class day)",_xlfn.LET(_xlpm.dd,_xlfn.XLOOKUP(_xlpm.dn+cfgRetestClassDays,nrCDnum,nrCDdate,""),_xlpm.ok,_xlfn.XLOOKUP(_xlpm.dn+cfgRetestClassDays,nrCDnum,nrCDinsession,"No"),IF(OR(_xlpm.dd="",_xlpm.ok&lt;&gt;"Yes"),"(after last class day)",_xlpm.dd))))))</f>
        <v/>
      </c>
      <c r="U781" s="17">
        <f>IF($C781="","",IF(AND($Y781="Excused",$L781="",N($K781)&lt;=1),"EXCUSED - 1st attempt pending",IF(OR($L781="",$K781&lt;&gt;1,NOT(ISNUMBER($L781)),$L781&gt;=$J781),"",IF(COUNTIFS(nrES_PID,$D781,nrES_Code,$F781,nrES_Att,2,nrES_Raw,"&gt;=0")&gt;0,IF(IFERROR(_xlfn.MINIFS(nrES_Date,nrES_PID,$D781,nrES_Code,$F781,nrES_Att,2,nrES_Raw,"&gt;=0",nrES_Date,"&gt;0"),0)=0,"RETEST UNDATED",IF(NOT(ISNUMBER($T781)),"RETEST DATE UNCHECKED",IF(_xlfn.MINIFS(nrES_Date,nrES_PID,$D781,nrES_Code,$F781,nrES_Att,2,nrES_Raw,"&gt;=0",nrES_Date,"&gt;0")&gt;$T781,"LATE RETEST "&amp;TEXT(_xlfn.MINIFS(nrES_Date,nrES_PID,$D781,nrES_Code,$F781,nrES_Att,2,nrES_Raw,"&gt;=0",nrES_Date,"&gt;0"),"mm/dd")&amp;" (due "&amp;TEXT($T781,"mm/dd")&amp;")","Retested"))),IF(NOT(ISNUMBER($T781)),"CHECK DATE",IF(TODAY()&gt;$T781,"OVERDUE","Due "&amp;TEXT($T781,"mm/dd")))))))</f>
        <v/>
      </c>
      <c r="V781" s="16" t="n"/>
      <c r="W781" s="16" t="n"/>
      <c r="X781" s="17">
        <f>IF($C781="","",IF(AND($L781&lt;&gt;"",NOT(ISNUMBER($L781))),"RAW SCORE NOT A NUMBER",IF(AND(ISNUMBER($L781),OR($L781&lt;0,$L781&gt;100)),"RAW SCORE OUT OF RANGE",IF(AND($Y781="Unexcused",OR($L781="",NOT(ISNUMBER($L781)),$L781&lt;&gt;0)),"UNEXCUSED ABSENCE MUST RECORD 0",IF(COUNTIF(nrES_RecID,$B781)&gt;1,"DUPLICATE RECORD",IF(N($K781)&gt;2,"ATTEMPT 3+ NOT ALLOWED - policy 300.5 permits one retest per exam; this row records nothing",IF(AND($K781=2,COUNTIFS(nrES_PID,$D781,nrES_Code,$F781,nrES_Att,1)=0),"ATTEMPT 2 WITHOUT ATTEMPT 1",IF(AND($K781=2,$L781=""),"RETEST ROW HAS NO SCORE",IF(AND($H781="Final",$L781&lt;&gt;"",IFERROR(INDEX(nrCKfinalExamElig,MATCH($D781,rngCadetPIDs,0)),"")="No"),"FINAL EXAM AFTER FAILED FINAL PT (500.1.H)",IF(AND($K781=2,ISNUMBER($L781),COUNTIFS(nrES_PID,$D781,nrES_Code,$F781,nrES_Att,1)&gt;0,SUMIFS(nrES_Raw,nrES_PID,$D781,nrES_Code,$F781,nrES_Att,1)&gt;=$J781),"RETEST AFTER A PASSING FIRST ATTEMPT","OK"))))))))))</f>
        <v/>
      </c>
      <c r="Y781" s="16" t="n"/>
    </row>
    <row r="782">
      <c r="B782" s="17">
        <f>IF($C782="","",$D782&amp;"-"&amp;$F782&amp;"-"&amp;$K782)</f>
        <v/>
      </c>
      <c r="C782" s="16" t="n"/>
      <c r="D782" s="17">
        <f>IF($C782="","",IFERROR(INDEX(rngCadetPIDs,MATCH($C782,rngCadetNames,0)),"?"))</f>
        <v/>
      </c>
      <c r="E782" s="17">
        <f>IF($D782="","",IFERROR(INDEX(nrCadetAgency,MATCH($D782,rngCadetPIDs,0)),""))</f>
        <v/>
      </c>
      <c r="F782" s="16" t="n"/>
      <c r="G782" s="17">
        <f>IF($F782="","",IFERROR(INDEX(rngEPname,MATCH($F782,rngEPcode,0)),"?"))</f>
        <v/>
      </c>
      <c r="H782" s="17">
        <f>IF($F782="","",IFERROR(INDEX(rngEPtype,MATCH($F782,rngEPcode,0)),"?"))</f>
        <v/>
      </c>
      <c r="I782" s="17">
        <f>IF($F782="","",IFERROR(INDEX(rngEPseq,MATCH($F782,rngEPcode,0)),""))</f>
        <v/>
      </c>
      <c r="J782" s="17">
        <f>IF($F782="","",IFERROR(INDEX(rngEPpass,MATCH($F782,rngEPcode,0)),cfgPassingScore))</f>
        <v/>
      </c>
      <c r="K782" s="16" t="n"/>
      <c r="L782" s="16" t="n"/>
      <c r="M782" s="17">
        <f>IF($C782="","",IF($L782="","",IF(NOT(ISNUMBER($L782)),$L782,IF(N($K782)&gt;2,"",IF($K782=1,IF(COUNTIFS(nrES_PID,$D782,nrES_Code,$F782,nrES_Att,2,nrES_Raw,"&gt;=0")&gt;0,"",$L782),IF($L782&gt;=$J782,MAX($J782,cfgRetakeRecordedCap),IF(COUNTIFS(nrES_PID,$D782,nrES_Code,$F782,nrES_Att,1)=0,$L782,SUMIFS(nrES_Raw,nrES_PID,$D782,nrES_Code,$F782,nrES_Att,1))))))))</f>
        <v/>
      </c>
      <c r="N782" s="17">
        <f>IF($C782="","",IF($L782="","",IF(NOT(ISNUMBER($L782)),"(not a score)",IF($L782&gt;=$J782,"Yes","No"))))</f>
        <v/>
      </c>
      <c r="O782" s="17">
        <f>IF($C782="","",IF($M782="","",IF(NOT(ISNUMBER($M782)),"(not a score)",IF($M782&gt;=$J782,"Yes","No"))))</f>
        <v/>
      </c>
      <c r="P782" s="17">
        <f>IF($C782="","",IF($K782="","",IF(N($K782)&gt;2,"No",IF(COUNTIFS(nrES_PID,$D782,nrES_Code,$F782,nrES_Att,"&gt;"&amp;$K782,nrES_Att,"&lt;=2",nrES_Raw,"&gt;=0")=0,"Yes","No"))))</f>
        <v/>
      </c>
      <c r="Q782" s="17">
        <f>IF($C782="","",IF($L782="","",IF(AND($K782=1,ISNUMBER($L782),$L782&lt;$J782,COUNTIFS(nrES_PID,$D782,nrES_Code,$F782,nrES_Att,2,nrES_Raw,"&gt;=0")=0),"Yes","No")))</f>
        <v/>
      </c>
      <c r="R782" s="17">
        <f>IF($C782="","",IF($L782="","",IF(AND(N($K782)&gt;=2,ISNUMBER($L782),$L782&lt;$J782),"Yes","No")))</f>
        <v/>
      </c>
      <c r="S782" s="18" t="n"/>
      <c r="T782" s="19">
        <f>IF(OR($C782="",$L782="",$K782&lt;&gt;1,NOT(ISNUMBER($L782)),$L782&gt;=$J782),"",IF($S782="","(enter date)",_xlfn.LET(_xlpm.dn,_xlfn.XLOOKUP($S782,nrCDdate,nrCDnum,"",1),IF(_xlpm.dn="","(after last class day)",_xlfn.LET(_xlpm.dd,_xlfn.XLOOKUP(_xlpm.dn+cfgRetestClassDays,nrCDnum,nrCDdate,""),_xlpm.ok,_xlfn.XLOOKUP(_xlpm.dn+cfgRetestClassDays,nrCDnum,nrCDinsession,"No"),IF(OR(_xlpm.dd="",_xlpm.ok&lt;&gt;"Yes"),"(after last class day)",_xlpm.dd))))))</f>
        <v/>
      </c>
      <c r="U782" s="17">
        <f>IF($C782="","",IF(AND($Y782="Excused",$L782="",N($K782)&lt;=1),"EXCUSED - 1st attempt pending",IF(OR($L782="",$K782&lt;&gt;1,NOT(ISNUMBER($L782)),$L782&gt;=$J782),"",IF(COUNTIFS(nrES_PID,$D782,nrES_Code,$F782,nrES_Att,2,nrES_Raw,"&gt;=0")&gt;0,IF(IFERROR(_xlfn.MINIFS(nrES_Date,nrES_PID,$D782,nrES_Code,$F782,nrES_Att,2,nrES_Raw,"&gt;=0",nrES_Date,"&gt;0"),0)=0,"RETEST UNDATED",IF(NOT(ISNUMBER($T782)),"RETEST DATE UNCHECKED",IF(_xlfn.MINIFS(nrES_Date,nrES_PID,$D782,nrES_Code,$F782,nrES_Att,2,nrES_Raw,"&gt;=0",nrES_Date,"&gt;0")&gt;$T782,"LATE RETEST "&amp;TEXT(_xlfn.MINIFS(nrES_Date,nrES_PID,$D782,nrES_Code,$F782,nrES_Att,2,nrES_Raw,"&gt;=0",nrES_Date,"&gt;0"),"mm/dd")&amp;" (due "&amp;TEXT($T782,"mm/dd")&amp;")","Retested"))),IF(NOT(ISNUMBER($T782)),"CHECK DATE",IF(TODAY()&gt;$T782,"OVERDUE","Due "&amp;TEXT($T782,"mm/dd")))))))</f>
        <v/>
      </c>
      <c r="V782" s="16" t="n"/>
      <c r="W782" s="16" t="n"/>
      <c r="X782" s="17">
        <f>IF($C782="","",IF(AND($L782&lt;&gt;"",NOT(ISNUMBER($L782))),"RAW SCORE NOT A NUMBER",IF(AND(ISNUMBER($L782),OR($L782&lt;0,$L782&gt;100)),"RAW SCORE OUT OF RANGE",IF(AND($Y782="Unexcused",OR($L782="",NOT(ISNUMBER($L782)),$L782&lt;&gt;0)),"UNEXCUSED ABSENCE MUST RECORD 0",IF(COUNTIF(nrES_RecID,$B782)&gt;1,"DUPLICATE RECORD",IF(N($K782)&gt;2,"ATTEMPT 3+ NOT ALLOWED - policy 300.5 permits one retest per exam; this row records nothing",IF(AND($K782=2,COUNTIFS(nrES_PID,$D782,nrES_Code,$F782,nrES_Att,1)=0),"ATTEMPT 2 WITHOUT ATTEMPT 1",IF(AND($K782=2,$L782=""),"RETEST ROW HAS NO SCORE",IF(AND($H782="Final",$L782&lt;&gt;"",IFERROR(INDEX(nrCKfinalExamElig,MATCH($D782,rngCadetPIDs,0)),"")="No"),"FINAL EXAM AFTER FAILED FINAL PT (500.1.H)",IF(AND($K782=2,ISNUMBER($L782),COUNTIFS(nrES_PID,$D782,nrES_Code,$F782,nrES_Att,1)&gt;0,SUMIFS(nrES_Raw,nrES_PID,$D782,nrES_Code,$F782,nrES_Att,1)&gt;=$J782),"RETEST AFTER A PASSING FIRST ATTEMPT","OK"))))))))))</f>
        <v/>
      </c>
      <c r="Y782" s="16" t="n"/>
    </row>
    <row r="783">
      <c r="B783" s="17">
        <f>IF($C783="","",$D783&amp;"-"&amp;$F783&amp;"-"&amp;$K783)</f>
        <v/>
      </c>
      <c r="C783" s="16" t="n"/>
      <c r="D783" s="17">
        <f>IF($C783="","",IFERROR(INDEX(rngCadetPIDs,MATCH($C783,rngCadetNames,0)),"?"))</f>
        <v/>
      </c>
      <c r="E783" s="17">
        <f>IF($D783="","",IFERROR(INDEX(nrCadetAgency,MATCH($D783,rngCadetPIDs,0)),""))</f>
        <v/>
      </c>
      <c r="F783" s="16" t="n"/>
      <c r="G783" s="17">
        <f>IF($F783="","",IFERROR(INDEX(rngEPname,MATCH($F783,rngEPcode,0)),"?"))</f>
        <v/>
      </c>
      <c r="H783" s="17">
        <f>IF($F783="","",IFERROR(INDEX(rngEPtype,MATCH($F783,rngEPcode,0)),"?"))</f>
        <v/>
      </c>
      <c r="I783" s="17">
        <f>IF($F783="","",IFERROR(INDEX(rngEPseq,MATCH($F783,rngEPcode,0)),""))</f>
        <v/>
      </c>
      <c r="J783" s="17">
        <f>IF($F783="","",IFERROR(INDEX(rngEPpass,MATCH($F783,rngEPcode,0)),cfgPassingScore))</f>
        <v/>
      </c>
      <c r="K783" s="16" t="n"/>
      <c r="L783" s="16" t="n"/>
      <c r="M783" s="17">
        <f>IF($C783="","",IF($L783="","",IF(NOT(ISNUMBER($L783)),$L783,IF(N($K783)&gt;2,"",IF($K783=1,IF(COUNTIFS(nrES_PID,$D783,nrES_Code,$F783,nrES_Att,2,nrES_Raw,"&gt;=0")&gt;0,"",$L783),IF($L783&gt;=$J783,MAX($J783,cfgRetakeRecordedCap),IF(COUNTIFS(nrES_PID,$D783,nrES_Code,$F783,nrES_Att,1)=0,$L783,SUMIFS(nrES_Raw,nrES_PID,$D783,nrES_Code,$F783,nrES_Att,1))))))))</f>
        <v/>
      </c>
      <c r="N783" s="17">
        <f>IF($C783="","",IF($L783="","",IF(NOT(ISNUMBER($L783)),"(not a score)",IF($L783&gt;=$J783,"Yes","No"))))</f>
        <v/>
      </c>
      <c r="O783" s="17">
        <f>IF($C783="","",IF($M783="","",IF(NOT(ISNUMBER($M783)),"(not a score)",IF($M783&gt;=$J783,"Yes","No"))))</f>
        <v/>
      </c>
      <c r="P783" s="17">
        <f>IF($C783="","",IF($K783="","",IF(N($K783)&gt;2,"No",IF(COUNTIFS(nrES_PID,$D783,nrES_Code,$F783,nrES_Att,"&gt;"&amp;$K783,nrES_Att,"&lt;=2",nrES_Raw,"&gt;=0")=0,"Yes","No"))))</f>
        <v/>
      </c>
      <c r="Q783" s="17">
        <f>IF($C783="","",IF($L783="","",IF(AND($K783=1,ISNUMBER($L783),$L783&lt;$J783,COUNTIFS(nrES_PID,$D783,nrES_Code,$F783,nrES_Att,2,nrES_Raw,"&gt;=0")=0),"Yes","No")))</f>
        <v/>
      </c>
      <c r="R783" s="17">
        <f>IF($C783="","",IF($L783="","",IF(AND(N($K783)&gt;=2,ISNUMBER($L783),$L783&lt;$J783),"Yes","No")))</f>
        <v/>
      </c>
      <c r="S783" s="18" t="n"/>
      <c r="T783" s="19">
        <f>IF(OR($C783="",$L783="",$K783&lt;&gt;1,NOT(ISNUMBER($L783)),$L783&gt;=$J783),"",IF($S783="","(enter date)",_xlfn.LET(_xlpm.dn,_xlfn.XLOOKUP($S783,nrCDdate,nrCDnum,"",1),IF(_xlpm.dn="","(after last class day)",_xlfn.LET(_xlpm.dd,_xlfn.XLOOKUP(_xlpm.dn+cfgRetestClassDays,nrCDnum,nrCDdate,""),_xlpm.ok,_xlfn.XLOOKUP(_xlpm.dn+cfgRetestClassDays,nrCDnum,nrCDinsession,"No"),IF(OR(_xlpm.dd="",_xlpm.ok&lt;&gt;"Yes"),"(after last class day)",_xlpm.dd))))))</f>
        <v/>
      </c>
      <c r="U783" s="17">
        <f>IF($C783="","",IF(AND($Y783="Excused",$L783="",N($K783)&lt;=1),"EXCUSED - 1st attempt pending",IF(OR($L783="",$K783&lt;&gt;1,NOT(ISNUMBER($L783)),$L783&gt;=$J783),"",IF(COUNTIFS(nrES_PID,$D783,nrES_Code,$F783,nrES_Att,2,nrES_Raw,"&gt;=0")&gt;0,IF(IFERROR(_xlfn.MINIFS(nrES_Date,nrES_PID,$D783,nrES_Code,$F783,nrES_Att,2,nrES_Raw,"&gt;=0",nrES_Date,"&gt;0"),0)=0,"RETEST UNDATED",IF(NOT(ISNUMBER($T783)),"RETEST DATE UNCHECKED",IF(_xlfn.MINIFS(nrES_Date,nrES_PID,$D783,nrES_Code,$F783,nrES_Att,2,nrES_Raw,"&gt;=0",nrES_Date,"&gt;0")&gt;$T783,"LATE RETEST "&amp;TEXT(_xlfn.MINIFS(nrES_Date,nrES_PID,$D783,nrES_Code,$F783,nrES_Att,2,nrES_Raw,"&gt;=0",nrES_Date,"&gt;0"),"mm/dd")&amp;" (due "&amp;TEXT($T783,"mm/dd")&amp;")","Retested"))),IF(NOT(ISNUMBER($T783)),"CHECK DATE",IF(TODAY()&gt;$T783,"OVERDUE","Due "&amp;TEXT($T783,"mm/dd")))))))</f>
        <v/>
      </c>
      <c r="V783" s="16" t="n"/>
      <c r="W783" s="16" t="n"/>
      <c r="X783" s="17">
        <f>IF($C783="","",IF(AND($L783&lt;&gt;"",NOT(ISNUMBER($L783))),"RAW SCORE NOT A NUMBER",IF(AND(ISNUMBER($L783),OR($L783&lt;0,$L783&gt;100)),"RAW SCORE OUT OF RANGE",IF(AND($Y783="Unexcused",OR($L783="",NOT(ISNUMBER($L783)),$L783&lt;&gt;0)),"UNEXCUSED ABSENCE MUST RECORD 0",IF(COUNTIF(nrES_RecID,$B783)&gt;1,"DUPLICATE RECORD",IF(N($K783)&gt;2,"ATTEMPT 3+ NOT ALLOWED - policy 300.5 permits one retest per exam; this row records nothing",IF(AND($K783=2,COUNTIFS(nrES_PID,$D783,nrES_Code,$F783,nrES_Att,1)=0),"ATTEMPT 2 WITHOUT ATTEMPT 1",IF(AND($K783=2,$L783=""),"RETEST ROW HAS NO SCORE",IF(AND($H783="Final",$L783&lt;&gt;"",IFERROR(INDEX(nrCKfinalExamElig,MATCH($D783,rngCadetPIDs,0)),"")="No"),"FINAL EXAM AFTER FAILED FINAL PT (500.1.H)",IF(AND($K783=2,ISNUMBER($L783),COUNTIFS(nrES_PID,$D783,nrES_Code,$F783,nrES_Att,1)&gt;0,SUMIFS(nrES_Raw,nrES_PID,$D783,nrES_Code,$F783,nrES_Att,1)&gt;=$J783),"RETEST AFTER A PASSING FIRST ATTEMPT","OK"))))))))))</f>
        <v/>
      </c>
      <c r="Y783" s="16" t="n"/>
    </row>
    <row r="784">
      <c r="B784" s="17">
        <f>IF($C784="","",$D784&amp;"-"&amp;$F784&amp;"-"&amp;$K784)</f>
        <v/>
      </c>
      <c r="C784" s="16" t="n"/>
      <c r="D784" s="17">
        <f>IF($C784="","",IFERROR(INDEX(rngCadetPIDs,MATCH($C784,rngCadetNames,0)),"?"))</f>
        <v/>
      </c>
      <c r="E784" s="17">
        <f>IF($D784="","",IFERROR(INDEX(nrCadetAgency,MATCH($D784,rngCadetPIDs,0)),""))</f>
        <v/>
      </c>
      <c r="F784" s="16" t="n"/>
      <c r="G784" s="17">
        <f>IF($F784="","",IFERROR(INDEX(rngEPname,MATCH($F784,rngEPcode,0)),"?"))</f>
        <v/>
      </c>
      <c r="H784" s="17">
        <f>IF($F784="","",IFERROR(INDEX(rngEPtype,MATCH($F784,rngEPcode,0)),"?"))</f>
        <v/>
      </c>
      <c r="I784" s="17">
        <f>IF($F784="","",IFERROR(INDEX(rngEPseq,MATCH($F784,rngEPcode,0)),""))</f>
        <v/>
      </c>
      <c r="J784" s="17">
        <f>IF($F784="","",IFERROR(INDEX(rngEPpass,MATCH($F784,rngEPcode,0)),cfgPassingScore))</f>
        <v/>
      </c>
      <c r="K784" s="16" t="n"/>
      <c r="L784" s="16" t="n"/>
      <c r="M784" s="17">
        <f>IF($C784="","",IF($L784="","",IF(NOT(ISNUMBER($L784)),$L784,IF(N($K784)&gt;2,"",IF($K784=1,IF(COUNTIFS(nrES_PID,$D784,nrES_Code,$F784,nrES_Att,2,nrES_Raw,"&gt;=0")&gt;0,"",$L784),IF($L784&gt;=$J784,MAX($J784,cfgRetakeRecordedCap),IF(COUNTIFS(nrES_PID,$D784,nrES_Code,$F784,nrES_Att,1)=0,$L784,SUMIFS(nrES_Raw,nrES_PID,$D784,nrES_Code,$F784,nrES_Att,1))))))))</f>
        <v/>
      </c>
      <c r="N784" s="17">
        <f>IF($C784="","",IF($L784="","",IF(NOT(ISNUMBER($L784)),"(not a score)",IF($L784&gt;=$J784,"Yes","No"))))</f>
        <v/>
      </c>
      <c r="O784" s="17">
        <f>IF($C784="","",IF($M784="","",IF(NOT(ISNUMBER($M784)),"(not a score)",IF($M784&gt;=$J784,"Yes","No"))))</f>
        <v/>
      </c>
      <c r="P784" s="17">
        <f>IF($C784="","",IF($K784="","",IF(N($K784)&gt;2,"No",IF(COUNTIFS(nrES_PID,$D784,nrES_Code,$F784,nrES_Att,"&gt;"&amp;$K784,nrES_Att,"&lt;=2",nrES_Raw,"&gt;=0")=0,"Yes","No"))))</f>
        <v/>
      </c>
      <c r="Q784" s="17">
        <f>IF($C784="","",IF($L784="","",IF(AND($K784=1,ISNUMBER($L784),$L784&lt;$J784,COUNTIFS(nrES_PID,$D784,nrES_Code,$F784,nrES_Att,2,nrES_Raw,"&gt;=0")=0),"Yes","No")))</f>
        <v/>
      </c>
      <c r="R784" s="17">
        <f>IF($C784="","",IF($L784="","",IF(AND(N($K784)&gt;=2,ISNUMBER($L784),$L784&lt;$J784),"Yes","No")))</f>
        <v/>
      </c>
      <c r="S784" s="18" t="n"/>
      <c r="T784" s="19">
        <f>IF(OR($C784="",$L784="",$K784&lt;&gt;1,NOT(ISNUMBER($L784)),$L784&gt;=$J784),"",IF($S784="","(enter date)",_xlfn.LET(_xlpm.dn,_xlfn.XLOOKUP($S784,nrCDdate,nrCDnum,"",1),IF(_xlpm.dn="","(after last class day)",_xlfn.LET(_xlpm.dd,_xlfn.XLOOKUP(_xlpm.dn+cfgRetestClassDays,nrCDnum,nrCDdate,""),_xlpm.ok,_xlfn.XLOOKUP(_xlpm.dn+cfgRetestClassDays,nrCDnum,nrCDinsession,"No"),IF(OR(_xlpm.dd="",_xlpm.ok&lt;&gt;"Yes"),"(after last class day)",_xlpm.dd))))))</f>
        <v/>
      </c>
      <c r="U784" s="17">
        <f>IF($C784="","",IF(AND($Y784="Excused",$L784="",N($K784)&lt;=1),"EXCUSED - 1st attempt pending",IF(OR($L784="",$K784&lt;&gt;1,NOT(ISNUMBER($L784)),$L784&gt;=$J784),"",IF(COUNTIFS(nrES_PID,$D784,nrES_Code,$F784,nrES_Att,2,nrES_Raw,"&gt;=0")&gt;0,IF(IFERROR(_xlfn.MINIFS(nrES_Date,nrES_PID,$D784,nrES_Code,$F784,nrES_Att,2,nrES_Raw,"&gt;=0",nrES_Date,"&gt;0"),0)=0,"RETEST UNDATED",IF(NOT(ISNUMBER($T784)),"RETEST DATE UNCHECKED",IF(_xlfn.MINIFS(nrES_Date,nrES_PID,$D784,nrES_Code,$F784,nrES_Att,2,nrES_Raw,"&gt;=0",nrES_Date,"&gt;0")&gt;$T784,"LATE RETEST "&amp;TEXT(_xlfn.MINIFS(nrES_Date,nrES_PID,$D784,nrES_Code,$F784,nrES_Att,2,nrES_Raw,"&gt;=0",nrES_Date,"&gt;0"),"mm/dd")&amp;" (due "&amp;TEXT($T784,"mm/dd")&amp;")","Retested"))),IF(NOT(ISNUMBER($T784)),"CHECK DATE",IF(TODAY()&gt;$T784,"OVERDUE","Due "&amp;TEXT($T784,"mm/dd")))))))</f>
        <v/>
      </c>
      <c r="V784" s="16" t="n"/>
      <c r="W784" s="16" t="n"/>
      <c r="X784" s="17">
        <f>IF($C784="","",IF(AND($L784&lt;&gt;"",NOT(ISNUMBER($L784))),"RAW SCORE NOT A NUMBER",IF(AND(ISNUMBER($L784),OR($L784&lt;0,$L784&gt;100)),"RAW SCORE OUT OF RANGE",IF(AND($Y784="Unexcused",OR($L784="",NOT(ISNUMBER($L784)),$L784&lt;&gt;0)),"UNEXCUSED ABSENCE MUST RECORD 0",IF(COUNTIF(nrES_RecID,$B784)&gt;1,"DUPLICATE RECORD",IF(N($K784)&gt;2,"ATTEMPT 3+ NOT ALLOWED - policy 300.5 permits one retest per exam; this row records nothing",IF(AND($K784=2,COUNTIFS(nrES_PID,$D784,nrES_Code,$F784,nrES_Att,1)=0),"ATTEMPT 2 WITHOUT ATTEMPT 1",IF(AND($K784=2,$L784=""),"RETEST ROW HAS NO SCORE",IF(AND($H784="Final",$L784&lt;&gt;"",IFERROR(INDEX(nrCKfinalExamElig,MATCH($D784,rngCadetPIDs,0)),"")="No"),"FINAL EXAM AFTER FAILED FINAL PT (500.1.H)",IF(AND($K784=2,ISNUMBER($L784),COUNTIFS(nrES_PID,$D784,nrES_Code,$F784,nrES_Att,1)&gt;0,SUMIFS(nrES_Raw,nrES_PID,$D784,nrES_Code,$F784,nrES_Att,1)&gt;=$J784),"RETEST AFTER A PASSING FIRST ATTEMPT","OK"))))))))))</f>
        <v/>
      </c>
      <c r="Y784" s="16" t="n"/>
    </row>
    <row r="785">
      <c r="B785" s="17">
        <f>IF($C785="","",$D785&amp;"-"&amp;$F785&amp;"-"&amp;$K785)</f>
        <v/>
      </c>
      <c r="C785" s="16" t="n"/>
      <c r="D785" s="17">
        <f>IF($C785="","",IFERROR(INDEX(rngCadetPIDs,MATCH($C785,rngCadetNames,0)),"?"))</f>
        <v/>
      </c>
      <c r="E785" s="17">
        <f>IF($D785="","",IFERROR(INDEX(nrCadetAgency,MATCH($D785,rngCadetPIDs,0)),""))</f>
        <v/>
      </c>
      <c r="F785" s="16" t="n"/>
      <c r="G785" s="17">
        <f>IF($F785="","",IFERROR(INDEX(rngEPname,MATCH($F785,rngEPcode,0)),"?"))</f>
        <v/>
      </c>
      <c r="H785" s="17">
        <f>IF($F785="","",IFERROR(INDEX(rngEPtype,MATCH($F785,rngEPcode,0)),"?"))</f>
        <v/>
      </c>
      <c r="I785" s="17">
        <f>IF($F785="","",IFERROR(INDEX(rngEPseq,MATCH($F785,rngEPcode,0)),""))</f>
        <v/>
      </c>
      <c r="J785" s="17">
        <f>IF($F785="","",IFERROR(INDEX(rngEPpass,MATCH($F785,rngEPcode,0)),cfgPassingScore))</f>
        <v/>
      </c>
      <c r="K785" s="16" t="n"/>
      <c r="L785" s="16" t="n"/>
      <c r="M785" s="17">
        <f>IF($C785="","",IF($L785="","",IF(NOT(ISNUMBER($L785)),$L785,IF(N($K785)&gt;2,"",IF($K785=1,IF(COUNTIFS(nrES_PID,$D785,nrES_Code,$F785,nrES_Att,2,nrES_Raw,"&gt;=0")&gt;0,"",$L785),IF($L785&gt;=$J785,MAX($J785,cfgRetakeRecordedCap),IF(COUNTIFS(nrES_PID,$D785,nrES_Code,$F785,nrES_Att,1)=0,$L785,SUMIFS(nrES_Raw,nrES_PID,$D785,nrES_Code,$F785,nrES_Att,1))))))))</f>
        <v/>
      </c>
      <c r="N785" s="17">
        <f>IF($C785="","",IF($L785="","",IF(NOT(ISNUMBER($L785)),"(not a score)",IF($L785&gt;=$J785,"Yes","No"))))</f>
        <v/>
      </c>
      <c r="O785" s="17">
        <f>IF($C785="","",IF($M785="","",IF(NOT(ISNUMBER($M785)),"(not a score)",IF($M785&gt;=$J785,"Yes","No"))))</f>
        <v/>
      </c>
      <c r="P785" s="17">
        <f>IF($C785="","",IF($K785="","",IF(N($K785)&gt;2,"No",IF(COUNTIFS(nrES_PID,$D785,nrES_Code,$F785,nrES_Att,"&gt;"&amp;$K785,nrES_Att,"&lt;=2",nrES_Raw,"&gt;=0")=0,"Yes","No"))))</f>
        <v/>
      </c>
      <c r="Q785" s="17">
        <f>IF($C785="","",IF($L785="","",IF(AND($K785=1,ISNUMBER($L785),$L785&lt;$J785,COUNTIFS(nrES_PID,$D785,nrES_Code,$F785,nrES_Att,2,nrES_Raw,"&gt;=0")=0),"Yes","No")))</f>
        <v/>
      </c>
      <c r="R785" s="17">
        <f>IF($C785="","",IF($L785="","",IF(AND(N($K785)&gt;=2,ISNUMBER($L785),$L785&lt;$J785),"Yes","No")))</f>
        <v/>
      </c>
      <c r="S785" s="18" t="n"/>
      <c r="T785" s="19">
        <f>IF(OR($C785="",$L785="",$K785&lt;&gt;1,NOT(ISNUMBER($L785)),$L785&gt;=$J785),"",IF($S785="","(enter date)",_xlfn.LET(_xlpm.dn,_xlfn.XLOOKUP($S785,nrCDdate,nrCDnum,"",1),IF(_xlpm.dn="","(after last class day)",_xlfn.LET(_xlpm.dd,_xlfn.XLOOKUP(_xlpm.dn+cfgRetestClassDays,nrCDnum,nrCDdate,""),_xlpm.ok,_xlfn.XLOOKUP(_xlpm.dn+cfgRetestClassDays,nrCDnum,nrCDinsession,"No"),IF(OR(_xlpm.dd="",_xlpm.ok&lt;&gt;"Yes"),"(after last class day)",_xlpm.dd))))))</f>
        <v/>
      </c>
      <c r="U785" s="17">
        <f>IF($C785="","",IF(AND($Y785="Excused",$L785="",N($K785)&lt;=1),"EXCUSED - 1st attempt pending",IF(OR($L785="",$K785&lt;&gt;1,NOT(ISNUMBER($L785)),$L785&gt;=$J785),"",IF(COUNTIFS(nrES_PID,$D785,nrES_Code,$F785,nrES_Att,2,nrES_Raw,"&gt;=0")&gt;0,IF(IFERROR(_xlfn.MINIFS(nrES_Date,nrES_PID,$D785,nrES_Code,$F785,nrES_Att,2,nrES_Raw,"&gt;=0",nrES_Date,"&gt;0"),0)=0,"RETEST UNDATED",IF(NOT(ISNUMBER($T785)),"RETEST DATE UNCHECKED",IF(_xlfn.MINIFS(nrES_Date,nrES_PID,$D785,nrES_Code,$F785,nrES_Att,2,nrES_Raw,"&gt;=0",nrES_Date,"&gt;0")&gt;$T785,"LATE RETEST "&amp;TEXT(_xlfn.MINIFS(nrES_Date,nrES_PID,$D785,nrES_Code,$F785,nrES_Att,2,nrES_Raw,"&gt;=0",nrES_Date,"&gt;0"),"mm/dd")&amp;" (due "&amp;TEXT($T785,"mm/dd")&amp;")","Retested"))),IF(NOT(ISNUMBER($T785)),"CHECK DATE",IF(TODAY()&gt;$T785,"OVERDUE","Due "&amp;TEXT($T785,"mm/dd")))))))</f>
        <v/>
      </c>
      <c r="V785" s="16" t="n"/>
      <c r="W785" s="16" t="n"/>
      <c r="X785" s="17">
        <f>IF($C785="","",IF(AND($L785&lt;&gt;"",NOT(ISNUMBER($L785))),"RAW SCORE NOT A NUMBER",IF(AND(ISNUMBER($L785),OR($L785&lt;0,$L785&gt;100)),"RAW SCORE OUT OF RANGE",IF(AND($Y785="Unexcused",OR($L785="",NOT(ISNUMBER($L785)),$L785&lt;&gt;0)),"UNEXCUSED ABSENCE MUST RECORD 0",IF(COUNTIF(nrES_RecID,$B785)&gt;1,"DUPLICATE RECORD",IF(N($K785)&gt;2,"ATTEMPT 3+ NOT ALLOWED - policy 300.5 permits one retest per exam; this row records nothing",IF(AND($K785=2,COUNTIFS(nrES_PID,$D785,nrES_Code,$F785,nrES_Att,1)=0),"ATTEMPT 2 WITHOUT ATTEMPT 1",IF(AND($K785=2,$L785=""),"RETEST ROW HAS NO SCORE",IF(AND($H785="Final",$L785&lt;&gt;"",IFERROR(INDEX(nrCKfinalExamElig,MATCH($D785,rngCadetPIDs,0)),"")="No"),"FINAL EXAM AFTER FAILED FINAL PT (500.1.H)",IF(AND($K785=2,ISNUMBER($L785),COUNTIFS(nrES_PID,$D785,nrES_Code,$F785,nrES_Att,1)&gt;0,SUMIFS(nrES_Raw,nrES_PID,$D785,nrES_Code,$F785,nrES_Att,1)&gt;=$J785),"RETEST AFTER A PASSING FIRST ATTEMPT","OK"))))))))))</f>
        <v/>
      </c>
      <c r="Y785" s="16" t="n"/>
    </row>
    <row r="786">
      <c r="B786" s="17">
        <f>IF($C786="","",$D786&amp;"-"&amp;$F786&amp;"-"&amp;$K786)</f>
        <v/>
      </c>
      <c r="C786" s="16" t="n"/>
      <c r="D786" s="17">
        <f>IF($C786="","",IFERROR(INDEX(rngCadetPIDs,MATCH($C786,rngCadetNames,0)),"?"))</f>
        <v/>
      </c>
      <c r="E786" s="17">
        <f>IF($D786="","",IFERROR(INDEX(nrCadetAgency,MATCH($D786,rngCadetPIDs,0)),""))</f>
        <v/>
      </c>
      <c r="F786" s="16" t="n"/>
      <c r="G786" s="17">
        <f>IF($F786="","",IFERROR(INDEX(rngEPname,MATCH($F786,rngEPcode,0)),"?"))</f>
        <v/>
      </c>
      <c r="H786" s="17">
        <f>IF($F786="","",IFERROR(INDEX(rngEPtype,MATCH($F786,rngEPcode,0)),"?"))</f>
        <v/>
      </c>
      <c r="I786" s="17">
        <f>IF($F786="","",IFERROR(INDEX(rngEPseq,MATCH($F786,rngEPcode,0)),""))</f>
        <v/>
      </c>
      <c r="J786" s="17">
        <f>IF($F786="","",IFERROR(INDEX(rngEPpass,MATCH($F786,rngEPcode,0)),cfgPassingScore))</f>
        <v/>
      </c>
      <c r="K786" s="16" t="n"/>
      <c r="L786" s="16" t="n"/>
      <c r="M786" s="17">
        <f>IF($C786="","",IF($L786="","",IF(NOT(ISNUMBER($L786)),$L786,IF(N($K786)&gt;2,"",IF($K786=1,IF(COUNTIFS(nrES_PID,$D786,nrES_Code,$F786,nrES_Att,2,nrES_Raw,"&gt;=0")&gt;0,"",$L786),IF($L786&gt;=$J786,MAX($J786,cfgRetakeRecordedCap),IF(COUNTIFS(nrES_PID,$D786,nrES_Code,$F786,nrES_Att,1)=0,$L786,SUMIFS(nrES_Raw,nrES_PID,$D786,nrES_Code,$F786,nrES_Att,1))))))))</f>
        <v/>
      </c>
      <c r="N786" s="17">
        <f>IF($C786="","",IF($L786="","",IF(NOT(ISNUMBER($L786)),"(not a score)",IF($L786&gt;=$J786,"Yes","No"))))</f>
        <v/>
      </c>
      <c r="O786" s="17">
        <f>IF($C786="","",IF($M786="","",IF(NOT(ISNUMBER($M786)),"(not a score)",IF($M786&gt;=$J786,"Yes","No"))))</f>
        <v/>
      </c>
      <c r="P786" s="17">
        <f>IF($C786="","",IF($K786="","",IF(N($K786)&gt;2,"No",IF(COUNTIFS(nrES_PID,$D786,nrES_Code,$F786,nrES_Att,"&gt;"&amp;$K786,nrES_Att,"&lt;=2",nrES_Raw,"&gt;=0")=0,"Yes","No"))))</f>
        <v/>
      </c>
      <c r="Q786" s="17">
        <f>IF($C786="","",IF($L786="","",IF(AND($K786=1,ISNUMBER($L786),$L786&lt;$J786,COUNTIFS(nrES_PID,$D786,nrES_Code,$F786,nrES_Att,2,nrES_Raw,"&gt;=0")=0),"Yes","No")))</f>
        <v/>
      </c>
      <c r="R786" s="17">
        <f>IF($C786="","",IF($L786="","",IF(AND(N($K786)&gt;=2,ISNUMBER($L786),$L786&lt;$J786),"Yes","No")))</f>
        <v/>
      </c>
      <c r="S786" s="18" t="n"/>
      <c r="T786" s="19">
        <f>IF(OR($C786="",$L786="",$K786&lt;&gt;1,NOT(ISNUMBER($L786)),$L786&gt;=$J786),"",IF($S786="","(enter date)",_xlfn.LET(_xlpm.dn,_xlfn.XLOOKUP($S786,nrCDdate,nrCDnum,"",1),IF(_xlpm.dn="","(after last class day)",_xlfn.LET(_xlpm.dd,_xlfn.XLOOKUP(_xlpm.dn+cfgRetestClassDays,nrCDnum,nrCDdate,""),_xlpm.ok,_xlfn.XLOOKUP(_xlpm.dn+cfgRetestClassDays,nrCDnum,nrCDinsession,"No"),IF(OR(_xlpm.dd="",_xlpm.ok&lt;&gt;"Yes"),"(after last class day)",_xlpm.dd))))))</f>
        <v/>
      </c>
      <c r="U786" s="17">
        <f>IF($C786="","",IF(AND($Y786="Excused",$L786="",N($K786)&lt;=1),"EXCUSED - 1st attempt pending",IF(OR($L786="",$K786&lt;&gt;1,NOT(ISNUMBER($L786)),$L786&gt;=$J786),"",IF(COUNTIFS(nrES_PID,$D786,nrES_Code,$F786,nrES_Att,2,nrES_Raw,"&gt;=0")&gt;0,IF(IFERROR(_xlfn.MINIFS(nrES_Date,nrES_PID,$D786,nrES_Code,$F786,nrES_Att,2,nrES_Raw,"&gt;=0",nrES_Date,"&gt;0"),0)=0,"RETEST UNDATED",IF(NOT(ISNUMBER($T786)),"RETEST DATE UNCHECKED",IF(_xlfn.MINIFS(nrES_Date,nrES_PID,$D786,nrES_Code,$F786,nrES_Att,2,nrES_Raw,"&gt;=0",nrES_Date,"&gt;0")&gt;$T786,"LATE RETEST "&amp;TEXT(_xlfn.MINIFS(nrES_Date,nrES_PID,$D786,nrES_Code,$F786,nrES_Att,2,nrES_Raw,"&gt;=0",nrES_Date,"&gt;0"),"mm/dd")&amp;" (due "&amp;TEXT($T786,"mm/dd")&amp;")","Retested"))),IF(NOT(ISNUMBER($T786)),"CHECK DATE",IF(TODAY()&gt;$T786,"OVERDUE","Due "&amp;TEXT($T786,"mm/dd")))))))</f>
        <v/>
      </c>
      <c r="V786" s="16" t="n"/>
      <c r="W786" s="16" t="n"/>
      <c r="X786" s="17">
        <f>IF($C786="","",IF(AND($L786&lt;&gt;"",NOT(ISNUMBER($L786))),"RAW SCORE NOT A NUMBER",IF(AND(ISNUMBER($L786),OR($L786&lt;0,$L786&gt;100)),"RAW SCORE OUT OF RANGE",IF(AND($Y786="Unexcused",OR($L786="",NOT(ISNUMBER($L786)),$L786&lt;&gt;0)),"UNEXCUSED ABSENCE MUST RECORD 0",IF(COUNTIF(nrES_RecID,$B786)&gt;1,"DUPLICATE RECORD",IF(N($K786)&gt;2,"ATTEMPT 3+ NOT ALLOWED - policy 300.5 permits one retest per exam; this row records nothing",IF(AND($K786=2,COUNTIFS(nrES_PID,$D786,nrES_Code,$F786,nrES_Att,1)=0),"ATTEMPT 2 WITHOUT ATTEMPT 1",IF(AND($K786=2,$L786=""),"RETEST ROW HAS NO SCORE",IF(AND($H786="Final",$L786&lt;&gt;"",IFERROR(INDEX(nrCKfinalExamElig,MATCH($D786,rngCadetPIDs,0)),"")="No"),"FINAL EXAM AFTER FAILED FINAL PT (500.1.H)",IF(AND($K786=2,ISNUMBER($L786),COUNTIFS(nrES_PID,$D786,nrES_Code,$F786,nrES_Att,1)&gt;0,SUMIFS(nrES_Raw,nrES_PID,$D786,nrES_Code,$F786,nrES_Att,1)&gt;=$J786),"RETEST AFTER A PASSING FIRST ATTEMPT","OK"))))))))))</f>
        <v/>
      </c>
      <c r="Y786" s="16" t="n"/>
    </row>
    <row r="787">
      <c r="B787" s="17">
        <f>IF($C787="","",$D787&amp;"-"&amp;$F787&amp;"-"&amp;$K787)</f>
        <v/>
      </c>
      <c r="C787" s="16" t="n"/>
      <c r="D787" s="17">
        <f>IF($C787="","",IFERROR(INDEX(rngCadetPIDs,MATCH($C787,rngCadetNames,0)),"?"))</f>
        <v/>
      </c>
      <c r="E787" s="17">
        <f>IF($D787="","",IFERROR(INDEX(nrCadetAgency,MATCH($D787,rngCadetPIDs,0)),""))</f>
        <v/>
      </c>
      <c r="F787" s="16" t="n"/>
      <c r="G787" s="17">
        <f>IF($F787="","",IFERROR(INDEX(rngEPname,MATCH($F787,rngEPcode,0)),"?"))</f>
        <v/>
      </c>
      <c r="H787" s="17">
        <f>IF($F787="","",IFERROR(INDEX(rngEPtype,MATCH($F787,rngEPcode,0)),"?"))</f>
        <v/>
      </c>
      <c r="I787" s="17">
        <f>IF($F787="","",IFERROR(INDEX(rngEPseq,MATCH($F787,rngEPcode,0)),""))</f>
        <v/>
      </c>
      <c r="J787" s="17">
        <f>IF($F787="","",IFERROR(INDEX(rngEPpass,MATCH($F787,rngEPcode,0)),cfgPassingScore))</f>
        <v/>
      </c>
      <c r="K787" s="16" t="n"/>
      <c r="L787" s="16" t="n"/>
      <c r="M787" s="17">
        <f>IF($C787="","",IF($L787="","",IF(NOT(ISNUMBER($L787)),$L787,IF(N($K787)&gt;2,"",IF($K787=1,IF(COUNTIFS(nrES_PID,$D787,nrES_Code,$F787,nrES_Att,2,nrES_Raw,"&gt;=0")&gt;0,"",$L787),IF($L787&gt;=$J787,MAX($J787,cfgRetakeRecordedCap),IF(COUNTIFS(nrES_PID,$D787,nrES_Code,$F787,nrES_Att,1)=0,$L787,SUMIFS(nrES_Raw,nrES_PID,$D787,nrES_Code,$F787,nrES_Att,1))))))))</f>
        <v/>
      </c>
      <c r="N787" s="17">
        <f>IF($C787="","",IF($L787="","",IF(NOT(ISNUMBER($L787)),"(not a score)",IF($L787&gt;=$J787,"Yes","No"))))</f>
        <v/>
      </c>
      <c r="O787" s="17">
        <f>IF($C787="","",IF($M787="","",IF(NOT(ISNUMBER($M787)),"(not a score)",IF($M787&gt;=$J787,"Yes","No"))))</f>
        <v/>
      </c>
      <c r="P787" s="17">
        <f>IF($C787="","",IF($K787="","",IF(N($K787)&gt;2,"No",IF(COUNTIFS(nrES_PID,$D787,nrES_Code,$F787,nrES_Att,"&gt;"&amp;$K787,nrES_Att,"&lt;=2",nrES_Raw,"&gt;=0")=0,"Yes","No"))))</f>
        <v/>
      </c>
      <c r="Q787" s="17">
        <f>IF($C787="","",IF($L787="","",IF(AND($K787=1,ISNUMBER($L787),$L787&lt;$J787,COUNTIFS(nrES_PID,$D787,nrES_Code,$F787,nrES_Att,2,nrES_Raw,"&gt;=0")=0),"Yes","No")))</f>
        <v/>
      </c>
      <c r="R787" s="17">
        <f>IF($C787="","",IF($L787="","",IF(AND(N($K787)&gt;=2,ISNUMBER($L787),$L787&lt;$J787),"Yes","No")))</f>
        <v/>
      </c>
      <c r="S787" s="18" t="n"/>
      <c r="T787" s="19">
        <f>IF(OR($C787="",$L787="",$K787&lt;&gt;1,NOT(ISNUMBER($L787)),$L787&gt;=$J787),"",IF($S787="","(enter date)",_xlfn.LET(_xlpm.dn,_xlfn.XLOOKUP($S787,nrCDdate,nrCDnum,"",1),IF(_xlpm.dn="","(after last class day)",_xlfn.LET(_xlpm.dd,_xlfn.XLOOKUP(_xlpm.dn+cfgRetestClassDays,nrCDnum,nrCDdate,""),_xlpm.ok,_xlfn.XLOOKUP(_xlpm.dn+cfgRetestClassDays,nrCDnum,nrCDinsession,"No"),IF(OR(_xlpm.dd="",_xlpm.ok&lt;&gt;"Yes"),"(after last class day)",_xlpm.dd))))))</f>
        <v/>
      </c>
      <c r="U787" s="17">
        <f>IF($C787="","",IF(AND($Y787="Excused",$L787="",N($K787)&lt;=1),"EXCUSED - 1st attempt pending",IF(OR($L787="",$K787&lt;&gt;1,NOT(ISNUMBER($L787)),$L787&gt;=$J787),"",IF(COUNTIFS(nrES_PID,$D787,nrES_Code,$F787,nrES_Att,2,nrES_Raw,"&gt;=0")&gt;0,IF(IFERROR(_xlfn.MINIFS(nrES_Date,nrES_PID,$D787,nrES_Code,$F787,nrES_Att,2,nrES_Raw,"&gt;=0",nrES_Date,"&gt;0"),0)=0,"RETEST UNDATED",IF(NOT(ISNUMBER($T787)),"RETEST DATE UNCHECKED",IF(_xlfn.MINIFS(nrES_Date,nrES_PID,$D787,nrES_Code,$F787,nrES_Att,2,nrES_Raw,"&gt;=0",nrES_Date,"&gt;0")&gt;$T787,"LATE RETEST "&amp;TEXT(_xlfn.MINIFS(nrES_Date,nrES_PID,$D787,nrES_Code,$F787,nrES_Att,2,nrES_Raw,"&gt;=0",nrES_Date,"&gt;0"),"mm/dd")&amp;" (due "&amp;TEXT($T787,"mm/dd")&amp;")","Retested"))),IF(NOT(ISNUMBER($T787)),"CHECK DATE",IF(TODAY()&gt;$T787,"OVERDUE","Due "&amp;TEXT($T787,"mm/dd")))))))</f>
        <v/>
      </c>
      <c r="V787" s="16" t="n"/>
      <c r="W787" s="16" t="n"/>
      <c r="X787" s="17">
        <f>IF($C787="","",IF(AND($L787&lt;&gt;"",NOT(ISNUMBER($L787))),"RAW SCORE NOT A NUMBER",IF(AND(ISNUMBER($L787),OR($L787&lt;0,$L787&gt;100)),"RAW SCORE OUT OF RANGE",IF(AND($Y787="Unexcused",OR($L787="",NOT(ISNUMBER($L787)),$L787&lt;&gt;0)),"UNEXCUSED ABSENCE MUST RECORD 0",IF(COUNTIF(nrES_RecID,$B787)&gt;1,"DUPLICATE RECORD",IF(N($K787)&gt;2,"ATTEMPT 3+ NOT ALLOWED - policy 300.5 permits one retest per exam; this row records nothing",IF(AND($K787=2,COUNTIFS(nrES_PID,$D787,nrES_Code,$F787,nrES_Att,1)=0),"ATTEMPT 2 WITHOUT ATTEMPT 1",IF(AND($K787=2,$L787=""),"RETEST ROW HAS NO SCORE",IF(AND($H787="Final",$L787&lt;&gt;"",IFERROR(INDEX(nrCKfinalExamElig,MATCH($D787,rngCadetPIDs,0)),"")="No"),"FINAL EXAM AFTER FAILED FINAL PT (500.1.H)",IF(AND($K787=2,ISNUMBER($L787),COUNTIFS(nrES_PID,$D787,nrES_Code,$F787,nrES_Att,1)&gt;0,SUMIFS(nrES_Raw,nrES_PID,$D787,nrES_Code,$F787,nrES_Att,1)&gt;=$J787),"RETEST AFTER A PASSING FIRST ATTEMPT","OK"))))))))))</f>
        <v/>
      </c>
      <c r="Y787" s="16" t="n"/>
    </row>
    <row r="788">
      <c r="B788" s="17">
        <f>IF($C788="","",$D788&amp;"-"&amp;$F788&amp;"-"&amp;$K788)</f>
        <v/>
      </c>
      <c r="C788" s="16" t="n"/>
      <c r="D788" s="17">
        <f>IF($C788="","",IFERROR(INDEX(rngCadetPIDs,MATCH($C788,rngCadetNames,0)),"?"))</f>
        <v/>
      </c>
      <c r="E788" s="17">
        <f>IF($D788="","",IFERROR(INDEX(nrCadetAgency,MATCH($D788,rngCadetPIDs,0)),""))</f>
        <v/>
      </c>
      <c r="F788" s="16" t="n"/>
      <c r="G788" s="17">
        <f>IF($F788="","",IFERROR(INDEX(rngEPname,MATCH($F788,rngEPcode,0)),"?"))</f>
        <v/>
      </c>
      <c r="H788" s="17">
        <f>IF($F788="","",IFERROR(INDEX(rngEPtype,MATCH($F788,rngEPcode,0)),"?"))</f>
        <v/>
      </c>
      <c r="I788" s="17">
        <f>IF($F788="","",IFERROR(INDEX(rngEPseq,MATCH($F788,rngEPcode,0)),""))</f>
        <v/>
      </c>
      <c r="J788" s="17">
        <f>IF($F788="","",IFERROR(INDEX(rngEPpass,MATCH($F788,rngEPcode,0)),cfgPassingScore))</f>
        <v/>
      </c>
      <c r="K788" s="16" t="n"/>
      <c r="L788" s="16" t="n"/>
      <c r="M788" s="17">
        <f>IF($C788="","",IF($L788="","",IF(NOT(ISNUMBER($L788)),$L788,IF(N($K788)&gt;2,"",IF($K788=1,IF(COUNTIFS(nrES_PID,$D788,nrES_Code,$F788,nrES_Att,2,nrES_Raw,"&gt;=0")&gt;0,"",$L788),IF($L788&gt;=$J788,MAX($J788,cfgRetakeRecordedCap),IF(COUNTIFS(nrES_PID,$D788,nrES_Code,$F788,nrES_Att,1)=0,$L788,SUMIFS(nrES_Raw,nrES_PID,$D788,nrES_Code,$F788,nrES_Att,1))))))))</f>
        <v/>
      </c>
      <c r="N788" s="17">
        <f>IF($C788="","",IF($L788="","",IF(NOT(ISNUMBER($L788)),"(not a score)",IF($L788&gt;=$J788,"Yes","No"))))</f>
        <v/>
      </c>
      <c r="O788" s="17">
        <f>IF($C788="","",IF($M788="","",IF(NOT(ISNUMBER($M788)),"(not a score)",IF($M788&gt;=$J788,"Yes","No"))))</f>
        <v/>
      </c>
      <c r="P788" s="17">
        <f>IF($C788="","",IF($K788="","",IF(N($K788)&gt;2,"No",IF(COUNTIFS(nrES_PID,$D788,nrES_Code,$F788,nrES_Att,"&gt;"&amp;$K788,nrES_Att,"&lt;=2",nrES_Raw,"&gt;=0")=0,"Yes","No"))))</f>
        <v/>
      </c>
      <c r="Q788" s="17">
        <f>IF($C788="","",IF($L788="","",IF(AND($K788=1,ISNUMBER($L788),$L788&lt;$J788,COUNTIFS(nrES_PID,$D788,nrES_Code,$F788,nrES_Att,2,nrES_Raw,"&gt;=0")=0),"Yes","No")))</f>
        <v/>
      </c>
      <c r="R788" s="17">
        <f>IF($C788="","",IF($L788="","",IF(AND(N($K788)&gt;=2,ISNUMBER($L788),$L788&lt;$J788),"Yes","No")))</f>
        <v/>
      </c>
      <c r="S788" s="18" t="n"/>
      <c r="T788" s="19">
        <f>IF(OR($C788="",$L788="",$K788&lt;&gt;1,NOT(ISNUMBER($L788)),$L788&gt;=$J788),"",IF($S788="","(enter date)",_xlfn.LET(_xlpm.dn,_xlfn.XLOOKUP($S788,nrCDdate,nrCDnum,"",1),IF(_xlpm.dn="","(after last class day)",_xlfn.LET(_xlpm.dd,_xlfn.XLOOKUP(_xlpm.dn+cfgRetestClassDays,nrCDnum,nrCDdate,""),_xlpm.ok,_xlfn.XLOOKUP(_xlpm.dn+cfgRetestClassDays,nrCDnum,nrCDinsession,"No"),IF(OR(_xlpm.dd="",_xlpm.ok&lt;&gt;"Yes"),"(after last class day)",_xlpm.dd))))))</f>
        <v/>
      </c>
      <c r="U788" s="17">
        <f>IF($C788="","",IF(AND($Y788="Excused",$L788="",N($K788)&lt;=1),"EXCUSED - 1st attempt pending",IF(OR($L788="",$K788&lt;&gt;1,NOT(ISNUMBER($L788)),$L788&gt;=$J788),"",IF(COUNTIFS(nrES_PID,$D788,nrES_Code,$F788,nrES_Att,2,nrES_Raw,"&gt;=0")&gt;0,IF(IFERROR(_xlfn.MINIFS(nrES_Date,nrES_PID,$D788,nrES_Code,$F788,nrES_Att,2,nrES_Raw,"&gt;=0",nrES_Date,"&gt;0"),0)=0,"RETEST UNDATED",IF(NOT(ISNUMBER($T788)),"RETEST DATE UNCHECKED",IF(_xlfn.MINIFS(nrES_Date,nrES_PID,$D788,nrES_Code,$F788,nrES_Att,2,nrES_Raw,"&gt;=0",nrES_Date,"&gt;0")&gt;$T788,"LATE RETEST "&amp;TEXT(_xlfn.MINIFS(nrES_Date,nrES_PID,$D788,nrES_Code,$F788,nrES_Att,2,nrES_Raw,"&gt;=0",nrES_Date,"&gt;0"),"mm/dd")&amp;" (due "&amp;TEXT($T788,"mm/dd")&amp;")","Retested"))),IF(NOT(ISNUMBER($T788)),"CHECK DATE",IF(TODAY()&gt;$T788,"OVERDUE","Due "&amp;TEXT($T788,"mm/dd")))))))</f>
        <v/>
      </c>
      <c r="V788" s="16" t="n"/>
      <c r="W788" s="16" t="n"/>
      <c r="X788" s="17">
        <f>IF($C788="","",IF(AND($L788&lt;&gt;"",NOT(ISNUMBER($L788))),"RAW SCORE NOT A NUMBER",IF(AND(ISNUMBER($L788),OR($L788&lt;0,$L788&gt;100)),"RAW SCORE OUT OF RANGE",IF(AND($Y788="Unexcused",OR($L788="",NOT(ISNUMBER($L788)),$L788&lt;&gt;0)),"UNEXCUSED ABSENCE MUST RECORD 0",IF(COUNTIF(nrES_RecID,$B788)&gt;1,"DUPLICATE RECORD",IF(N($K788)&gt;2,"ATTEMPT 3+ NOT ALLOWED - policy 300.5 permits one retest per exam; this row records nothing",IF(AND($K788=2,COUNTIFS(nrES_PID,$D788,nrES_Code,$F788,nrES_Att,1)=0),"ATTEMPT 2 WITHOUT ATTEMPT 1",IF(AND($K788=2,$L788=""),"RETEST ROW HAS NO SCORE",IF(AND($H788="Final",$L788&lt;&gt;"",IFERROR(INDEX(nrCKfinalExamElig,MATCH($D788,rngCadetPIDs,0)),"")="No"),"FINAL EXAM AFTER FAILED FINAL PT (500.1.H)",IF(AND($K788=2,ISNUMBER($L788),COUNTIFS(nrES_PID,$D788,nrES_Code,$F788,nrES_Att,1)&gt;0,SUMIFS(nrES_Raw,nrES_PID,$D788,nrES_Code,$F788,nrES_Att,1)&gt;=$J788),"RETEST AFTER A PASSING FIRST ATTEMPT","OK"))))))))))</f>
        <v/>
      </c>
      <c r="Y788" s="16" t="n"/>
    </row>
    <row r="789">
      <c r="B789" s="17">
        <f>IF($C789="","",$D789&amp;"-"&amp;$F789&amp;"-"&amp;$K789)</f>
        <v/>
      </c>
      <c r="C789" s="16" t="n"/>
      <c r="D789" s="17">
        <f>IF($C789="","",IFERROR(INDEX(rngCadetPIDs,MATCH($C789,rngCadetNames,0)),"?"))</f>
        <v/>
      </c>
      <c r="E789" s="17">
        <f>IF($D789="","",IFERROR(INDEX(nrCadetAgency,MATCH($D789,rngCadetPIDs,0)),""))</f>
        <v/>
      </c>
      <c r="F789" s="16" t="n"/>
      <c r="G789" s="17">
        <f>IF($F789="","",IFERROR(INDEX(rngEPname,MATCH($F789,rngEPcode,0)),"?"))</f>
        <v/>
      </c>
      <c r="H789" s="17">
        <f>IF($F789="","",IFERROR(INDEX(rngEPtype,MATCH($F789,rngEPcode,0)),"?"))</f>
        <v/>
      </c>
      <c r="I789" s="17">
        <f>IF($F789="","",IFERROR(INDEX(rngEPseq,MATCH($F789,rngEPcode,0)),""))</f>
        <v/>
      </c>
      <c r="J789" s="17">
        <f>IF($F789="","",IFERROR(INDEX(rngEPpass,MATCH($F789,rngEPcode,0)),cfgPassingScore))</f>
        <v/>
      </c>
      <c r="K789" s="16" t="n"/>
      <c r="L789" s="16" t="n"/>
      <c r="M789" s="17">
        <f>IF($C789="","",IF($L789="","",IF(NOT(ISNUMBER($L789)),$L789,IF(N($K789)&gt;2,"",IF($K789=1,IF(COUNTIFS(nrES_PID,$D789,nrES_Code,$F789,nrES_Att,2,nrES_Raw,"&gt;=0")&gt;0,"",$L789),IF($L789&gt;=$J789,MAX($J789,cfgRetakeRecordedCap),IF(COUNTIFS(nrES_PID,$D789,nrES_Code,$F789,nrES_Att,1)=0,$L789,SUMIFS(nrES_Raw,nrES_PID,$D789,nrES_Code,$F789,nrES_Att,1))))))))</f>
        <v/>
      </c>
      <c r="N789" s="17">
        <f>IF($C789="","",IF($L789="","",IF(NOT(ISNUMBER($L789)),"(not a score)",IF($L789&gt;=$J789,"Yes","No"))))</f>
        <v/>
      </c>
      <c r="O789" s="17">
        <f>IF($C789="","",IF($M789="","",IF(NOT(ISNUMBER($M789)),"(not a score)",IF($M789&gt;=$J789,"Yes","No"))))</f>
        <v/>
      </c>
      <c r="P789" s="17">
        <f>IF($C789="","",IF($K789="","",IF(N($K789)&gt;2,"No",IF(COUNTIFS(nrES_PID,$D789,nrES_Code,$F789,nrES_Att,"&gt;"&amp;$K789,nrES_Att,"&lt;=2",nrES_Raw,"&gt;=0")=0,"Yes","No"))))</f>
        <v/>
      </c>
      <c r="Q789" s="17">
        <f>IF($C789="","",IF($L789="","",IF(AND($K789=1,ISNUMBER($L789),$L789&lt;$J789,COUNTIFS(nrES_PID,$D789,nrES_Code,$F789,nrES_Att,2,nrES_Raw,"&gt;=0")=0),"Yes","No")))</f>
        <v/>
      </c>
      <c r="R789" s="17">
        <f>IF($C789="","",IF($L789="","",IF(AND(N($K789)&gt;=2,ISNUMBER($L789),$L789&lt;$J789),"Yes","No")))</f>
        <v/>
      </c>
      <c r="S789" s="18" t="n"/>
      <c r="T789" s="19">
        <f>IF(OR($C789="",$L789="",$K789&lt;&gt;1,NOT(ISNUMBER($L789)),$L789&gt;=$J789),"",IF($S789="","(enter date)",_xlfn.LET(_xlpm.dn,_xlfn.XLOOKUP($S789,nrCDdate,nrCDnum,"",1),IF(_xlpm.dn="","(after last class day)",_xlfn.LET(_xlpm.dd,_xlfn.XLOOKUP(_xlpm.dn+cfgRetestClassDays,nrCDnum,nrCDdate,""),_xlpm.ok,_xlfn.XLOOKUP(_xlpm.dn+cfgRetestClassDays,nrCDnum,nrCDinsession,"No"),IF(OR(_xlpm.dd="",_xlpm.ok&lt;&gt;"Yes"),"(after last class day)",_xlpm.dd))))))</f>
        <v/>
      </c>
      <c r="U789" s="17">
        <f>IF($C789="","",IF(AND($Y789="Excused",$L789="",N($K789)&lt;=1),"EXCUSED - 1st attempt pending",IF(OR($L789="",$K789&lt;&gt;1,NOT(ISNUMBER($L789)),$L789&gt;=$J789),"",IF(COUNTIFS(nrES_PID,$D789,nrES_Code,$F789,nrES_Att,2,nrES_Raw,"&gt;=0")&gt;0,IF(IFERROR(_xlfn.MINIFS(nrES_Date,nrES_PID,$D789,nrES_Code,$F789,nrES_Att,2,nrES_Raw,"&gt;=0",nrES_Date,"&gt;0"),0)=0,"RETEST UNDATED",IF(NOT(ISNUMBER($T789)),"RETEST DATE UNCHECKED",IF(_xlfn.MINIFS(nrES_Date,nrES_PID,$D789,nrES_Code,$F789,nrES_Att,2,nrES_Raw,"&gt;=0",nrES_Date,"&gt;0")&gt;$T789,"LATE RETEST "&amp;TEXT(_xlfn.MINIFS(nrES_Date,nrES_PID,$D789,nrES_Code,$F789,nrES_Att,2,nrES_Raw,"&gt;=0",nrES_Date,"&gt;0"),"mm/dd")&amp;" (due "&amp;TEXT($T789,"mm/dd")&amp;")","Retested"))),IF(NOT(ISNUMBER($T789)),"CHECK DATE",IF(TODAY()&gt;$T789,"OVERDUE","Due "&amp;TEXT($T789,"mm/dd")))))))</f>
        <v/>
      </c>
      <c r="V789" s="16" t="n"/>
      <c r="W789" s="16" t="n"/>
      <c r="X789" s="17">
        <f>IF($C789="","",IF(AND($L789&lt;&gt;"",NOT(ISNUMBER($L789))),"RAW SCORE NOT A NUMBER",IF(AND(ISNUMBER($L789),OR($L789&lt;0,$L789&gt;100)),"RAW SCORE OUT OF RANGE",IF(AND($Y789="Unexcused",OR($L789="",NOT(ISNUMBER($L789)),$L789&lt;&gt;0)),"UNEXCUSED ABSENCE MUST RECORD 0",IF(COUNTIF(nrES_RecID,$B789)&gt;1,"DUPLICATE RECORD",IF(N($K789)&gt;2,"ATTEMPT 3+ NOT ALLOWED - policy 300.5 permits one retest per exam; this row records nothing",IF(AND($K789=2,COUNTIFS(nrES_PID,$D789,nrES_Code,$F789,nrES_Att,1)=0),"ATTEMPT 2 WITHOUT ATTEMPT 1",IF(AND($K789=2,$L789=""),"RETEST ROW HAS NO SCORE",IF(AND($H789="Final",$L789&lt;&gt;"",IFERROR(INDEX(nrCKfinalExamElig,MATCH($D789,rngCadetPIDs,0)),"")="No"),"FINAL EXAM AFTER FAILED FINAL PT (500.1.H)",IF(AND($K789=2,ISNUMBER($L789),COUNTIFS(nrES_PID,$D789,nrES_Code,$F789,nrES_Att,1)&gt;0,SUMIFS(nrES_Raw,nrES_PID,$D789,nrES_Code,$F789,nrES_Att,1)&gt;=$J789),"RETEST AFTER A PASSING FIRST ATTEMPT","OK"))))))))))</f>
        <v/>
      </c>
      <c r="Y789" s="16" t="n"/>
    </row>
    <row r="790">
      <c r="B790" s="17">
        <f>IF($C790="","",$D790&amp;"-"&amp;$F790&amp;"-"&amp;$K790)</f>
        <v/>
      </c>
      <c r="C790" s="16" t="n"/>
      <c r="D790" s="17">
        <f>IF($C790="","",IFERROR(INDEX(rngCadetPIDs,MATCH($C790,rngCadetNames,0)),"?"))</f>
        <v/>
      </c>
      <c r="E790" s="17">
        <f>IF($D790="","",IFERROR(INDEX(nrCadetAgency,MATCH($D790,rngCadetPIDs,0)),""))</f>
        <v/>
      </c>
      <c r="F790" s="16" t="n"/>
      <c r="G790" s="17">
        <f>IF($F790="","",IFERROR(INDEX(rngEPname,MATCH($F790,rngEPcode,0)),"?"))</f>
        <v/>
      </c>
      <c r="H790" s="17">
        <f>IF($F790="","",IFERROR(INDEX(rngEPtype,MATCH($F790,rngEPcode,0)),"?"))</f>
        <v/>
      </c>
      <c r="I790" s="17">
        <f>IF($F790="","",IFERROR(INDEX(rngEPseq,MATCH($F790,rngEPcode,0)),""))</f>
        <v/>
      </c>
      <c r="J790" s="17">
        <f>IF($F790="","",IFERROR(INDEX(rngEPpass,MATCH($F790,rngEPcode,0)),cfgPassingScore))</f>
        <v/>
      </c>
      <c r="K790" s="16" t="n"/>
      <c r="L790" s="16" t="n"/>
      <c r="M790" s="17">
        <f>IF($C790="","",IF($L790="","",IF(NOT(ISNUMBER($L790)),$L790,IF(N($K790)&gt;2,"",IF($K790=1,IF(COUNTIFS(nrES_PID,$D790,nrES_Code,$F790,nrES_Att,2,nrES_Raw,"&gt;=0")&gt;0,"",$L790),IF($L790&gt;=$J790,MAX($J790,cfgRetakeRecordedCap),IF(COUNTIFS(nrES_PID,$D790,nrES_Code,$F790,nrES_Att,1)=0,$L790,SUMIFS(nrES_Raw,nrES_PID,$D790,nrES_Code,$F790,nrES_Att,1))))))))</f>
        <v/>
      </c>
      <c r="N790" s="17">
        <f>IF($C790="","",IF($L790="","",IF(NOT(ISNUMBER($L790)),"(not a score)",IF($L790&gt;=$J790,"Yes","No"))))</f>
        <v/>
      </c>
      <c r="O790" s="17">
        <f>IF($C790="","",IF($M790="","",IF(NOT(ISNUMBER($M790)),"(not a score)",IF($M790&gt;=$J790,"Yes","No"))))</f>
        <v/>
      </c>
      <c r="P790" s="17">
        <f>IF($C790="","",IF($K790="","",IF(N($K790)&gt;2,"No",IF(COUNTIFS(nrES_PID,$D790,nrES_Code,$F790,nrES_Att,"&gt;"&amp;$K790,nrES_Att,"&lt;=2",nrES_Raw,"&gt;=0")=0,"Yes","No"))))</f>
        <v/>
      </c>
      <c r="Q790" s="17">
        <f>IF($C790="","",IF($L790="","",IF(AND($K790=1,ISNUMBER($L790),$L790&lt;$J790,COUNTIFS(nrES_PID,$D790,nrES_Code,$F790,nrES_Att,2,nrES_Raw,"&gt;=0")=0),"Yes","No")))</f>
        <v/>
      </c>
      <c r="R790" s="17">
        <f>IF($C790="","",IF($L790="","",IF(AND(N($K790)&gt;=2,ISNUMBER($L790),$L790&lt;$J790),"Yes","No")))</f>
        <v/>
      </c>
      <c r="S790" s="18" t="n"/>
      <c r="T790" s="19">
        <f>IF(OR($C790="",$L790="",$K790&lt;&gt;1,NOT(ISNUMBER($L790)),$L790&gt;=$J790),"",IF($S790="","(enter date)",_xlfn.LET(_xlpm.dn,_xlfn.XLOOKUP($S790,nrCDdate,nrCDnum,"",1),IF(_xlpm.dn="","(after last class day)",_xlfn.LET(_xlpm.dd,_xlfn.XLOOKUP(_xlpm.dn+cfgRetestClassDays,nrCDnum,nrCDdate,""),_xlpm.ok,_xlfn.XLOOKUP(_xlpm.dn+cfgRetestClassDays,nrCDnum,nrCDinsession,"No"),IF(OR(_xlpm.dd="",_xlpm.ok&lt;&gt;"Yes"),"(after last class day)",_xlpm.dd))))))</f>
        <v/>
      </c>
      <c r="U790" s="17">
        <f>IF($C790="","",IF(AND($Y790="Excused",$L790="",N($K790)&lt;=1),"EXCUSED - 1st attempt pending",IF(OR($L790="",$K790&lt;&gt;1,NOT(ISNUMBER($L790)),$L790&gt;=$J790),"",IF(COUNTIFS(nrES_PID,$D790,nrES_Code,$F790,nrES_Att,2,nrES_Raw,"&gt;=0")&gt;0,IF(IFERROR(_xlfn.MINIFS(nrES_Date,nrES_PID,$D790,nrES_Code,$F790,nrES_Att,2,nrES_Raw,"&gt;=0",nrES_Date,"&gt;0"),0)=0,"RETEST UNDATED",IF(NOT(ISNUMBER($T790)),"RETEST DATE UNCHECKED",IF(_xlfn.MINIFS(nrES_Date,nrES_PID,$D790,nrES_Code,$F790,nrES_Att,2,nrES_Raw,"&gt;=0",nrES_Date,"&gt;0")&gt;$T790,"LATE RETEST "&amp;TEXT(_xlfn.MINIFS(nrES_Date,nrES_PID,$D790,nrES_Code,$F790,nrES_Att,2,nrES_Raw,"&gt;=0",nrES_Date,"&gt;0"),"mm/dd")&amp;" (due "&amp;TEXT($T790,"mm/dd")&amp;")","Retested"))),IF(NOT(ISNUMBER($T790)),"CHECK DATE",IF(TODAY()&gt;$T790,"OVERDUE","Due "&amp;TEXT($T790,"mm/dd")))))))</f>
        <v/>
      </c>
      <c r="V790" s="16" t="n"/>
      <c r="W790" s="16" t="n"/>
      <c r="X790" s="17">
        <f>IF($C790="","",IF(AND($L790&lt;&gt;"",NOT(ISNUMBER($L790))),"RAW SCORE NOT A NUMBER",IF(AND(ISNUMBER($L790),OR($L790&lt;0,$L790&gt;100)),"RAW SCORE OUT OF RANGE",IF(AND($Y790="Unexcused",OR($L790="",NOT(ISNUMBER($L790)),$L790&lt;&gt;0)),"UNEXCUSED ABSENCE MUST RECORD 0",IF(COUNTIF(nrES_RecID,$B790)&gt;1,"DUPLICATE RECORD",IF(N($K790)&gt;2,"ATTEMPT 3+ NOT ALLOWED - policy 300.5 permits one retest per exam; this row records nothing",IF(AND($K790=2,COUNTIFS(nrES_PID,$D790,nrES_Code,$F790,nrES_Att,1)=0),"ATTEMPT 2 WITHOUT ATTEMPT 1",IF(AND($K790=2,$L790=""),"RETEST ROW HAS NO SCORE",IF(AND($H790="Final",$L790&lt;&gt;"",IFERROR(INDEX(nrCKfinalExamElig,MATCH($D790,rngCadetPIDs,0)),"")="No"),"FINAL EXAM AFTER FAILED FINAL PT (500.1.H)",IF(AND($K790=2,ISNUMBER($L790),COUNTIFS(nrES_PID,$D790,nrES_Code,$F790,nrES_Att,1)&gt;0,SUMIFS(nrES_Raw,nrES_PID,$D790,nrES_Code,$F790,nrES_Att,1)&gt;=$J790),"RETEST AFTER A PASSING FIRST ATTEMPT","OK"))))))))))</f>
        <v/>
      </c>
      <c r="Y790" s="16" t="n"/>
    </row>
    <row r="791">
      <c r="B791" s="17">
        <f>IF($C791="","",$D791&amp;"-"&amp;$F791&amp;"-"&amp;$K791)</f>
        <v/>
      </c>
      <c r="C791" s="16" t="n"/>
      <c r="D791" s="17">
        <f>IF($C791="","",IFERROR(INDEX(rngCadetPIDs,MATCH($C791,rngCadetNames,0)),"?"))</f>
        <v/>
      </c>
      <c r="E791" s="17">
        <f>IF($D791="","",IFERROR(INDEX(nrCadetAgency,MATCH($D791,rngCadetPIDs,0)),""))</f>
        <v/>
      </c>
      <c r="F791" s="16" t="n"/>
      <c r="G791" s="17">
        <f>IF($F791="","",IFERROR(INDEX(rngEPname,MATCH($F791,rngEPcode,0)),"?"))</f>
        <v/>
      </c>
      <c r="H791" s="17">
        <f>IF($F791="","",IFERROR(INDEX(rngEPtype,MATCH($F791,rngEPcode,0)),"?"))</f>
        <v/>
      </c>
      <c r="I791" s="17">
        <f>IF($F791="","",IFERROR(INDEX(rngEPseq,MATCH($F791,rngEPcode,0)),""))</f>
        <v/>
      </c>
      <c r="J791" s="17">
        <f>IF($F791="","",IFERROR(INDEX(rngEPpass,MATCH($F791,rngEPcode,0)),cfgPassingScore))</f>
        <v/>
      </c>
      <c r="K791" s="16" t="n"/>
      <c r="L791" s="16" t="n"/>
      <c r="M791" s="17">
        <f>IF($C791="","",IF($L791="","",IF(NOT(ISNUMBER($L791)),$L791,IF(N($K791)&gt;2,"",IF($K791=1,IF(COUNTIFS(nrES_PID,$D791,nrES_Code,$F791,nrES_Att,2,nrES_Raw,"&gt;=0")&gt;0,"",$L791),IF($L791&gt;=$J791,MAX($J791,cfgRetakeRecordedCap),IF(COUNTIFS(nrES_PID,$D791,nrES_Code,$F791,nrES_Att,1)=0,$L791,SUMIFS(nrES_Raw,nrES_PID,$D791,nrES_Code,$F791,nrES_Att,1))))))))</f>
        <v/>
      </c>
      <c r="N791" s="17">
        <f>IF($C791="","",IF($L791="","",IF(NOT(ISNUMBER($L791)),"(not a score)",IF($L791&gt;=$J791,"Yes","No"))))</f>
        <v/>
      </c>
      <c r="O791" s="17">
        <f>IF($C791="","",IF($M791="","",IF(NOT(ISNUMBER($M791)),"(not a score)",IF($M791&gt;=$J791,"Yes","No"))))</f>
        <v/>
      </c>
      <c r="P791" s="17">
        <f>IF($C791="","",IF($K791="","",IF(N($K791)&gt;2,"No",IF(COUNTIFS(nrES_PID,$D791,nrES_Code,$F791,nrES_Att,"&gt;"&amp;$K791,nrES_Att,"&lt;=2",nrES_Raw,"&gt;=0")=0,"Yes","No"))))</f>
        <v/>
      </c>
      <c r="Q791" s="17">
        <f>IF($C791="","",IF($L791="","",IF(AND($K791=1,ISNUMBER($L791),$L791&lt;$J791,COUNTIFS(nrES_PID,$D791,nrES_Code,$F791,nrES_Att,2,nrES_Raw,"&gt;=0")=0),"Yes","No")))</f>
        <v/>
      </c>
      <c r="R791" s="17">
        <f>IF($C791="","",IF($L791="","",IF(AND(N($K791)&gt;=2,ISNUMBER($L791),$L791&lt;$J791),"Yes","No")))</f>
        <v/>
      </c>
      <c r="S791" s="18" t="n"/>
      <c r="T791" s="19">
        <f>IF(OR($C791="",$L791="",$K791&lt;&gt;1,NOT(ISNUMBER($L791)),$L791&gt;=$J791),"",IF($S791="","(enter date)",_xlfn.LET(_xlpm.dn,_xlfn.XLOOKUP($S791,nrCDdate,nrCDnum,"",1),IF(_xlpm.dn="","(after last class day)",_xlfn.LET(_xlpm.dd,_xlfn.XLOOKUP(_xlpm.dn+cfgRetestClassDays,nrCDnum,nrCDdate,""),_xlpm.ok,_xlfn.XLOOKUP(_xlpm.dn+cfgRetestClassDays,nrCDnum,nrCDinsession,"No"),IF(OR(_xlpm.dd="",_xlpm.ok&lt;&gt;"Yes"),"(after last class day)",_xlpm.dd))))))</f>
        <v/>
      </c>
      <c r="U791" s="17">
        <f>IF($C791="","",IF(AND($Y791="Excused",$L791="",N($K791)&lt;=1),"EXCUSED - 1st attempt pending",IF(OR($L791="",$K791&lt;&gt;1,NOT(ISNUMBER($L791)),$L791&gt;=$J791),"",IF(COUNTIFS(nrES_PID,$D791,nrES_Code,$F791,nrES_Att,2,nrES_Raw,"&gt;=0")&gt;0,IF(IFERROR(_xlfn.MINIFS(nrES_Date,nrES_PID,$D791,nrES_Code,$F791,nrES_Att,2,nrES_Raw,"&gt;=0",nrES_Date,"&gt;0"),0)=0,"RETEST UNDATED",IF(NOT(ISNUMBER($T791)),"RETEST DATE UNCHECKED",IF(_xlfn.MINIFS(nrES_Date,nrES_PID,$D791,nrES_Code,$F791,nrES_Att,2,nrES_Raw,"&gt;=0",nrES_Date,"&gt;0")&gt;$T791,"LATE RETEST "&amp;TEXT(_xlfn.MINIFS(nrES_Date,nrES_PID,$D791,nrES_Code,$F791,nrES_Att,2,nrES_Raw,"&gt;=0",nrES_Date,"&gt;0"),"mm/dd")&amp;" (due "&amp;TEXT($T791,"mm/dd")&amp;")","Retested"))),IF(NOT(ISNUMBER($T791)),"CHECK DATE",IF(TODAY()&gt;$T791,"OVERDUE","Due "&amp;TEXT($T791,"mm/dd")))))))</f>
        <v/>
      </c>
      <c r="V791" s="16" t="n"/>
      <c r="W791" s="16" t="n"/>
      <c r="X791" s="17">
        <f>IF($C791="","",IF(AND($L791&lt;&gt;"",NOT(ISNUMBER($L791))),"RAW SCORE NOT A NUMBER",IF(AND(ISNUMBER($L791),OR($L791&lt;0,$L791&gt;100)),"RAW SCORE OUT OF RANGE",IF(AND($Y791="Unexcused",OR($L791="",NOT(ISNUMBER($L791)),$L791&lt;&gt;0)),"UNEXCUSED ABSENCE MUST RECORD 0",IF(COUNTIF(nrES_RecID,$B791)&gt;1,"DUPLICATE RECORD",IF(N($K791)&gt;2,"ATTEMPT 3+ NOT ALLOWED - policy 300.5 permits one retest per exam; this row records nothing",IF(AND($K791=2,COUNTIFS(nrES_PID,$D791,nrES_Code,$F791,nrES_Att,1)=0),"ATTEMPT 2 WITHOUT ATTEMPT 1",IF(AND($K791=2,$L791=""),"RETEST ROW HAS NO SCORE",IF(AND($H791="Final",$L791&lt;&gt;"",IFERROR(INDEX(nrCKfinalExamElig,MATCH($D791,rngCadetPIDs,0)),"")="No"),"FINAL EXAM AFTER FAILED FINAL PT (500.1.H)",IF(AND($K791=2,ISNUMBER($L791),COUNTIFS(nrES_PID,$D791,nrES_Code,$F791,nrES_Att,1)&gt;0,SUMIFS(nrES_Raw,nrES_PID,$D791,nrES_Code,$F791,nrES_Att,1)&gt;=$J791),"RETEST AFTER A PASSING FIRST ATTEMPT","OK"))))))))))</f>
        <v/>
      </c>
      <c r="Y791" s="16" t="n"/>
    </row>
    <row r="792">
      <c r="B792" s="17">
        <f>IF($C792="","",$D792&amp;"-"&amp;$F792&amp;"-"&amp;$K792)</f>
        <v/>
      </c>
      <c r="C792" s="16" t="n"/>
      <c r="D792" s="17">
        <f>IF($C792="","",IFERROR(INDEX(rngCadetPIDs,MATCH($C792,rngCadetNames,0)),"?"))</f>
        <v/>
      </c>
      <c r="E792" s="17">
        <f>IF($D792="","",IFERROR(INDEX(nrCadetAgency,MATCH($D792,rngCadetPIDs,0)),""))</f>
        <v/>
      </c>
      <c r="F792" s="16" t="n"/>
      <c r="G792" s="17">
        <f>IF($F792="","",IFERROR(INDEX(rngEPname,MATCH($F792,rngEPcode,0)),"?"))</f>
        <v/>
      </c>
      <c r="H792" s="17">
        <f>IF($F792="","",IFERROR(INDEX(rngEPtype,MATCH($F792,rngEPcode,0)),"?"))</f>
        <v/>
      </c>
      <c r="I792" s="17">
        <f>IF($F792="","",IFERROR(INDEX(rngEPseq,MATCH($F792,rngEPcode,0)),""))</f>
        <v/>
      </c>
      <c r="J792" s="17">
        <f>IF($F792="","",IFERROR(INDEX(rngEPpass,MATCH($F792,rngEPcode,0)),cfgPassingScore))</f>
        <v/>
      </c>
      <c r="K792" s="16" t="n"/>
      <c r="L792" s="16" t="n"/>
      <c r="M792" s="17">
        <f>IF($C792="","",IF($L792="","",IF(NOT(ISNUMBER($L792)),$L792,IF(N($K792)&gt;2,"",IF($K792=1,IF(COUNTIFS(nrES_PID,$D792,nrES_Code,$F792,nrES_Att,2,nrES_Raw,"&gt;=0")&gt;0,"",$L792),IF($L792&gt;=$J792,MAX($J792,cfgRetakeRecordedCap),IF(COUNTIFS(nrES_PID,$D792,nrES_Code,$F792,nrES_Att,1)=0,$L792,SUMIFS(nrES_Raw,nrES_PID,$D792,nrES_Code,$F792,nrES_Att,1))))))))</f>
        <v/>
      </c>
      <c r="N792" s="17">
        <f>IF($C792="","",IF($L792="","",IF(NOT(ISNUMBER($L792)),"(not a score)",IF($L792&gt;=$J792,"Yes","No"))))</f>
        <v/>
      </c>
      <c r="O792" s="17">
        <f>IF($C792="","",IF($M792="","",IF(NOT(ISNUMBER($M792)),"(not a score)",IF($M792&gt;=$J792,"Yes","No"))))</f>
        <v/>
      </c>
      <c r="P792" s="17">
        <f>IF($C792="","",IF($K792="","",IF(N($K792)&gt;2,"No",IF(COUNTIFS(nrES_PID,$D792,nrES_Code,$F792,nrES_Att,"&gt;"&amp;$K792,nrES_Att,"&lt;=2",nrES_Raw,"&gt;=0")=0,"Yes","No"))))</f>
        <v/>
      </c>
      <c r="Q792" s="17">
        <f>IF($C792="","",IF($L792="","",IF(AND($K792=1,ISNUMBER($L792),$L792&lt;$J792,COUNTIFS(nrES_PID,$D792,nrES_Code,$F792,nrES_Att,2,nrES_Raw,"&gt;=0")=0),"Yes","No")))</f>
        <v/>
      </c>
      <c r="R792" s="17">
        <f>IF($C792="","",IF($L792="","",IF(AND(N($K792)&gt;=2,ISNUMBER($L792),$L792&lt;$J792),"Yes","No")))</f>
        <v/>
      </c>
      <c r="S792" s="18" t="n"/>
      <c r="T792" s="19">
        <f>IF(OR($C792="",$L792="",$K792&lt;&gt;1,NOT(ISNUMBER($L792)),$L792&gt;=$J792),"",IF($S792="","(enter date)",_xlfn.LET(_xlpm.dn,_xlfn.XLOOKUP($S792,nrCDdate,nrCDnum,"",1),IF(_xlpm.dn="","(after last class day)",_xlfn.LET(_xlpm.dd,_xlfn.XLOOKUP(_xlpm.dn+cfgRetestClassDays,nrCDnum,nrCDdate,""),_xlpm.ok,_xlfn.XLOOKUP(_xlpm.dn+cfgRetestClassDays,nrCDnum,nrCDinsession,"No"),IF(OR(_xlpm.dd="",_xlpm.ok&lt;&gt;"Yes"),"(after last class day)",_xlpm.dd))))))</f>
        <v/>
      </c>
      <c r="U792" s="17">
        <f>IF($C792="","",IF(AND($Y792="Excused",$L792="",N($K792)&lt;=1),"EXCUSED - 1st attempt pending",IF(OR($L792="",$K792&lt;&gt;1,NOT(ISNUMBER($L792)),$L792&gt;=$J792),"",IF(COUNTIFS(nrES_PID,$D792,nrES_Code,$F792,nrES_Att,2,nrES_Raw,"&gt;=0")&gt;0,IF(IFERROR(_xlfn.MINIFS(nrES_Date,nrES_PID,$D792,nrES_Code,$F792,nrES_Att,2,nrES_Raw,"&gt;=0",nrES_Date,"&gt;0"),0)=0,"RETEST UNDATED",IF(NOT(ISNUMBER($T792)),"RETEST DATE UNCHECKED",IF(_xlfn.MINIFS(nrES_Date,nrES_PID,$D792,nrES_Code,$F792,nrES_Att,2,nrES_Raw,"&gt;=0",nrES_Date,"&gt;0")&gt;$T792,"LATE RETEST "&amp;TEXT(_xlfn.MINIFS(nrES_Date,nrES_PID,$D792,nrES_Code,$F792,nrES_Att,2,nrES_Raw,"&gt;=0",nrES_Date,"&gt;0"),"mm/dd")&amp;" (due "&amp;TEXT($T792,"mm/dd")&amp;")","Retested"))),IF(NOT(ISNUMBER($T792)),"CHECK DATE",IF(TODAY()&gt;$T792,"OVERDUE","Due "&amp;TEXT($T792,"mm/dd")))))))</f>
        <v/>
      </c>
      <c r="V792" s="16" t="n"/>
      <c r="W792" s="16" t="n"/>
      <c r="X792" s="17">
        <f>IF($C792="","",IF(AND($L792&lt;&gt;"",NOT(ISNUMBER($L792))),"RAW SCORE NOT A NUMBER",IF(AND(ISNUMBER($L792),OR($L792&lt;0,$L792&gt;100)),"RAW SCORE OUT OF RANGE",IF(AND($Y792="Unexcused",OR($L792="",NOT(ISNUMBER($L792)),$L792&lt;&gt;0)),"UNEXCUSED ABSENCE MUST RECORD 0",IF(COUNTIF(nrES_RecID,$B792)&gt;1,"DUPLICATE RECORD",IF(N($K792)&gt;2,"ATTEMPT 3+ NOT ALLOWED - policy 300.5 permits one retest per exam; this row records nothing",IF(AND($K792=2,COUNTIFS(nrES_PID,$D792,nrES_Code,$F792,nrES_Att,1)=0),"ATTEMPT 2 WITHOUT ATTEMPT 1",IF(AND($K792=2,$L792=""),"RETEST ROW HAS NO SCORE",IF(AND($H792="Final",$L792&lt;&gt;"",IFERROR(INDEX(nrCKfinalExamElig,MATCH($D792,rngCadetPIDs,0)),"")="No"),"FINAL EXAM AFTER FAILED FINAL PT (500.1.H)",IF(AND($K792=2,ISNUMBER($L792),COUNTIFS(nrES_PID,$D792,nrES_Code,$F792,nrES_Att,1)&gt;0,SUMIFS(nrES_Raw,nrES_PID,$D792,nrES_Code,$F792,nrES_Att,1)&gt;=$J792),"RETEST AFTER A PASSING FIRST ATTEMPT","OK"))))))))))</f>
        <v/>
      </c>
      <c r="Y792" s="16" t="n"/>
    </row>
    <row r="793">
      <c r="B793" s="17">
        <f>IF($C793="","",$D793&amp;"-"&amp;$F793&amp;"-"&amp;$K793)</f>
        <v/>
      </c>
      <c r="C793" s="16" t="n"/>
      <c r="D793" s="17">
        <f>IF($C793="","",IFERROR(INDEX(rngCadetPIDs,MATCH($C793,rngCadetNames,0)),"?"))</f>
        <v/>
      </c>
      <c r="E793" s="17">
        <f>IF($D793="","",IFERROR(INDEX(nrCadetAgency,MATCH($D793,rngCadetPIDs,0)),""))</f>
        <v/>
      </c>
      <c r="F793" s="16" t="n"/>
      <c r="G793" s="17">
        <f>IF($F793="","",IFERROR(INDEX(rngEPname,MATCH($F793,rngEPcode,0)),"?"))</f>
        <v/>
      </c>
      <c r="H793" s="17">
        <f>IF($F793="","",IFERROR(INDEX(rngEPtype,MATCH($F793,rngEPcode,0)),"?"))</f>
        <v/>
      </c>
      <c r="I793" s="17">
        <f>IF($F793="","",IFERROR(INDEX(rngEPseq,MATCH($F793,rngEPcode,0)),""))</f>
        <v/>
      </c>
      <c r="J793" s="17">
        <f>IF($F793="","",IFERROR(INDEX(rngEPpass,MATCH($F793,rngEPcode,0)),cfgPassingScore))</f>
        <v/>
      </c>
      <c r="K793" s="16" t="n"/>
      <c r="L793" s="16" t="n"/>
      <c r="M793" s="17">
        <f>IF($C793="","",IF($L793="","",IF(NOT(ISNUMBER($L793)),$L793,IF(N($K793)&gt;2,"",IF($K793=1,IF(COUNTIFS(nrES_PID,$D793,nrES_Code,$F793,nrES_Att,2,nrES_Raw,"&gt;=0")&gt;0,"",$L793),IF($L793&gt;=$J793,MAX($J793,cfgRetakeRecordedCap),IF(COUNTIFS(nrES_PID,$D793,nrES_Code,$F793,nrES_Att,1)=0,$L793,SUMIFS(nrES_Raw,nrES_PID,$D793,nrES_Code,$F793,nrES_Att,1))))))))</f>
        <v/>
      </c>
      <c r="N793" s="17">
        <f>IF($C793="","",IF($L793="","",IF(NOT(ISNUMBER($L793)),"(not a score)",IF($L793&gt;=$J793,"Yes","No"))))</f>
        <v/>
      </c>
      <c r="O793" s="17">
        <f>IF($C793="","",IF($M793="","",IF(NOT(ISNUMBER($M793)),"(not a score)",IF($M793&gt;=$J793,"Yes","No"))))</f>
        <v/>
      </c>
      <c r="P793" s="17">
        <f>IF($C793="","",IF($K793="","",IF(N($K793)&gt;2,"No",IF(COUNTIFS(nrES_PID,$D793,nrES_Code,$F793,nrES_Att,"&gt;"&amp;$K793,nrES_Att,"&lt;=2",nrES_Raw,"&gt;=0")=0,"Yes","No"))))</f>
        <v/>
      </c>
      <c r="Q793" s="17">
        <f>IF($C793="","",IF($L793="","",IF(AND($K793=1,ISNUMBER($L793),$L793&lt;$J793,COUNTIFS(nrES_PID,$D793,nrES_Code,$F793,nrES_Att,2,nrES_Raw,"&gt;=0")=0),"Yes","No")))</f>
        <v/>
      </c>
      <c r="R793" s="17">
        <f>IF($C793="","",IF($L793="","",IF(AND(N($K793)&gt;=2,ISNUMBER($L793),$L793&lt;$J793),"Yes","No")))</f>
        <v/>
      </c>
      <c r="S793" s="18" t="n"/>
      <c r="T793" s="19">
        <f>IF(OR($C793="",$L793="",$K793&lt;&gt;1,NOT(ISNUMBER($L793)),$L793&gt;=$J793),"",IF($S793="","(enter date)",_xlfn.LET(_xlpm.dn,_xlfn.XLOOKUP($S793,nrCDdate,nrCDnum,"",1),IF(_xlpm.dn="","(after last class day)",_xlfn.LET(_xlpm.dd,_xlfn.XLOOKUP(_xlpm.dn+cfgRetestClassDays,nrCDnum,nrCDdate,""),_xlpm.ok,_xlfn.XLOOKUP(_xlpm.dn+cfgRetestClassDays,nrCDnum,nrCDinsession,"No"),IF(OR(_xlpm.dd="",_xlpm.ok&lt;&gt;"Yes"),"(after last class day)",_xlpm.dd))))))</f>
        <v/>
      </c>
      <c r="U793" s="17">
        <f>IF($C793="","",IF(AND($Y793="Excused",$L793="",N($K793)&lt;=1),"EXCUSED - 1st attempt pending",IF(OR($L793="",$K793&lt;&gt;1,NOT(ISNUMBER($L793)),$L793&gt;=$J793),"",IF(COUNTIFS(nrES_PID,$D793,nrES_Code,$F793,nrES_Att,2,nrES_Raw,"&gt;=0")&gt;0,IF(IFERROR(_xlfn.MINIFS(nrES_Date,nrES_PID,$D793,nrES_Code,$F793,nrES_Att,2,nrES_Raw,"&gt;=0",nrES_Date,"&gt;0"),0)=0,"RETEST UNDATED",IF(NOT(ISNUMBER($T793)),"RETEST DATE UNCHECKED",IF(_xlfn.MINIFS(nrES_Date,nrES_PID,$D793,nrES_Code,$F793,nrES_Att,2,nrES_Raw,"&gt;=0",nrES_Date,"&gt;0")&gt;$T793,"LATE RETEST "&amp;TEXT(_xlfn.MINIFS(nrES_Date,nrES_PID,$D793,nrES_Code,$F793,nrES_Att,2,nrES_Raw,"&gt;=0",nrES_Date,"&gt;0"),"mm/dd")&amp;" (due "&amp;TEXT($T793,"mm/dd")&amp;")","Retested"))),IF(NOT(ISNUMBER($T793)),"CHECK DATE",IF(TODAY()&gt;$T793,"OVERDUE","Due "&amp;TEXT($T793,"mm/dd")))))))</f>
        <v/>
      </c>
      <c r="V793" s="16" t="n"/>
      <c r="W793" s="16" t="n"/>
      <c r="X793" s="17">
        <f>IF($C793="","",IF(AND($L793&lt;&gt;"",NOT(ISNUMBER($L793))),"RAW SCORE NOT A NUMBER",IF(AND(ISNUMBER($L793),OR($L793&lt;0,$L793&gt;100)),"RAW SCORE OUT OF RANGE",IF(AND($Y793="Unexcused",OR($L793="",NOT(ISNUMBER($L793)),$L793&lt;&gt;0)),"UNEXCUSED ABSENCE MUST RECORD 0",IF(COUNTIF(nrES_RecID,$B793)&gt;1,"DUPLICATE RECORD",IF(N($K793)&gt;2,"ATTEMPT 3+ NOT ALLOWED - policy 300.5 permits one retest per exam; this row records nothing",IF(AND($K793=2,COUNTIFS(nrES_PID,$D793,nrES_Code,$F793,nrES_Att,1)=0),"ATTEMPT 2 WITHOUT ATTEMPT 1",IF(AND($K793=2,$L793=""),"RETEST ROW HAS NO SCORE",IF(AND($H793="Final",$L793&lt;&gt;"",IFERROR(INDEX(nrCKfinalExamElig,MATCH($D793,rngCadetPIDs,0)),"")="No"),"FINAL EXAM AFTER FAILED FINAL PT (500.1.H)",IF(AND($K793=2,ISNUMBER($L793),COUNTIFS(nrES_PID,$D793,nrES_Code,$F793,nrES_Att,1)&gt;0,SUMIFS(nrES_Raw,nrES_PID,$D793,nrES_Code,$F793,nrES_Att,1)&gt;=$J793),"RETEST AFTER A PASSING FIRST ATTEMPT","OK"))))))))))</f>
        <v/>
      </c>
      <c r="Y793" s="16" t="n"/>
    </row>
    <row r="794">
      <c r="B794" s="17">
        <f>IF($C794="","",$D794&amp;"-"&amp;$F794&amp;"-"&amp;$K794)</f>
        <v/>
      </c>
      <c r="C794" s="16" t="n"/>
      <c r="D794" s="17">
        <f>IF($C794="","",IFERROR(INDEX(rngCadetPIDs,MATCH($C794,rngCadetNames,0)),"?"))</f>
        <v/>
      </c>
      <c r="E794" s="17">
        <f>IF($D794="","",IFERROR(INDEX(nrCadetAgency,MATCH($D794,rngCadetPIDs,0)),""))</f>
        <v/>
      </c>
      <c r="F794" s="16" t="n"/>
      <c r="G794" s="17">
        <f>IF($F794="","",IFERROR(INDEX(rngEPname,MATCH($F794,rngEPcode,0)),"?"))</f>
        <v/>
      </c>
      <c r="H794" s="17">
        <f>IF($F794="","",IFERROR(INDEX(rngEPtype,MATCH($F794,rngEPcode,0)),"?"))</f>
        <v/>
      </c>
      <c r="I794" s="17">
        <f>IF($F794="","",IFERROR(INDEX(rngEPseq,MATCH($F794,rngEPcode,0)),""))</f>
        <v/>
      </c>
      <c r="J794" s="17">
        <f>IF($F794="","",IFERROR(INDEX(rngEPpass,MATCH($F794,rngEPcode,0)),cfgPassingScore))</f>
        <v/>
      </c>
      <c r="K794" s="16" t="n"/>
      <c r="L794" s="16" t="n"/>
      <c r="M794" s="17">
        <f>IF($C794="","",IF($L794="","",IF(NOT(ISNUMBER($L794)),$L794,IF(N($K794)&gt;2,"",IF($K794=1,IF(COUNTIFS(nrES_PID,$D794,nrES_Code,$F794,nrES_Att,2,nrES_Raw,"&gt;=0")&gt;0,"",$L794),IF($L794&gt;=$J794,MAX($J794,cfgRetakeRecordedCap),IF(COUNTIFS(nrES_PID,$D794,nrES_Code,$F794,nrES_Att,1)=0,$L794,SUMIFS(nrES_Raw,nrES_PID,$D794,nrES_Code,$F794,nrES_Att,1))))))))</f>
        <v/>
      </c>
      <c r="N794" s="17">
        <f>IF($C794="","",IF($L794="","",IF(NOT(ISNUMBER($L794)),"(not a score)",IF($L794&gt;=$J794,"Yes","No"))))</f>
        <v/>
      </c>
      <c r="O794" s="17">
        <f>IF($C794="","",IF($M794="","",IF(NOT(ISNUMBER($M794)),"(not a score)",IF($M794&gt;=$J794,"Yes","No"))))</f>
        <v/>
      </c>
      <c r="P794" s="17">
        <f>IF($C794="","",IF($K794="","",IF(N($K794)&gt;2,"No",IF(COUNTIFS(nrES_PID,$D794,nrES_Code,$F794,nrES_Att,"&gt;"&amp;$K794,nrES_Att,"&lt;=2",nrES_Raw,"&gt;=0")=0,"Yes","No"))))</f>
        <v/>
      </c>
      <c r="Q794" s="17">
        <f>IF($C794="","",IF($L794="","",IF(AND($K794=1,ISNUMBER($L794),$L794&lt;$J794,COUNTIFS(nrES_PID,$D794,nrES_Code,$F794,nrES_Att,2,nrES_Raw,"&gt;=0")=0),"Yes","No")))</f>
        <v/>
      </c>
      <c r="R794" s="17">
        <f>IF($C794="","",IF($L794="","",IF(AND(N($K794)&gt;=2,ISNUMBER($L794),$L794&lt;$J794),"Yes","No")))</f>
        <v/>
      </c>
      <c r="S794" s="18" t="n"/>
      <c r="T794" s="19">
        <f>IF(OR($C794="",$L794="",$K794&lt;&gt;1,NOT(ISNUMBER($L794)),$L794&gt;=$J794),"",IF($S794="","(enter date)",_xlfn.LET(_xlpm.dn,_xlfn.XLOOKUP($S794,nrCDdate,nrCDnum,"",1),IF(_xlpm.dn="","(after last class day)",_xlfn.LET(_xlpm.dd,_xlfn.XLOOKUP(_xlpm.dn+cfgRetestClassDays,nrCDnum,nrCDdate,""),_xlpm.ok,_xlfn.XLOOKUP(_xlpm.dn+cfgRetestClassDays,nrCDnum,nrCDinsession,"No"),IF(OR(_xlpm.dd="",_xlpm.ok&lt;&gt;"Yes"),"(after last class day)",_xlpm.dd))))))</f>
        <v/>
      </c>
      <c r="U794" s="17">
        <f>IF($C794="","",IF(AND($Y794="Excused",$L794="",N($K794)&lt;=1),"EXCUSED - 1st attempt pending",IF(OR($L794="",$K794&lt;&gt;1,NOT(ISNUMBER($L794)),$L794&gt;=$J794),"",IF(COUNTIFS(nrES_PID,$D794,nrES_Code,$F794,nrES_Att,2,nrES_Raw,"&gt;=0")&gt;0,IF(IFERROR(_xlfn.MINIFS(nrES_Date,nrES_PID,$D794,nrES_Code,$F794,nrES_Att,2,nrES_Raw,"&gt;=0",nrES_Date,"&gt;0"),0)=0,"RETEST UNDATED",IF(NOT(ISNUMBER($T794)),"RETEST DATE UNCHECKED",IF(_xlfn.MINIFS(nrES_Date,nrES_PID,$D794,nrES_Code,$F794,nrES_Att,2,nrES_Raw,"&gt;=0",nrES_Date,"&gt;0")&gt;$T794,"LATE RETEST "&amp;TEXT(_xlfn.MINIFS(nrES_Date,nrES_PID,$D794,nrES_Code,$F794,nrES_Att,2,nrES_Raw,"&gt;=0",nrES_Date,"&gt;0"),"mm/dd")&amp;" (due "&amp;TEXT($T794,"mm/dd")&amp;")","Retested"))),IF(NOT(ISNUMBER($T794)),"CHECK DATE",IF(TODAY()&gt;$T794,"OVERDUE","Due "&amp;TEXT($T794,"mm/dd")))))))</f>
        <v/>
      </c>
      <c r="V794" s="16" t="n"/>
      <c r="W794" s="16" t="n"/>
      <c r="X794" s="17">
        <f>IF($C794="","",IF(AND($L794&lt;&gt;"",NOT(ISNUMBER($L794))),"RAW SCORE NOT A NUMBER",IF(AND(ISNUMBER($L794),OR($L794&lt;0,$L794&gt;100)),"RAW SCORE OUT OF RANGE",IF(AND($Y794="Unexcused",OR($L794="",NOT(ISNUMBER($L794)),$L794&lt;&gt;0)),"UNEXCUSED ABSENCE MUST RECORD 0",IF(COUNTIF(nrES_RecID,$B794)&gt;1,"DUPLICATE RECORD",IF(N($K794)&gt;2,"ATTEMPT 3+ NOT ALLOWED - policy 300.5 permits one retest per exam; this row records nothing",IF(AND($K794=2,COUNTIFS(nrES_PID,$D794,nrES_Code,$F794,nrES_Att,1)=0),"ATTEMPT 2 WITHOUT ATTEMPT 1",IF(AND($K794=2,$L794=""),"RETEST ROW HAS NO SCORE",IF(AND($H794="Final",$L794&lt;&gt;"",IFERROR(INDEX(nrCKfinalExamElig,MATCH($D794,rngCadetPIDs,0)),"")="No"),"FINAL EXAM AFTER FAILED FINAL PT (500.1.H)",IF(AND($K794=2,ISNUMBER($L794),COUNTIFS(nrES_PID,$D794,nrES_Code,$F794,nrES_Att,1)&gt;0,SUMIFS(nrES_Raw,nrES_PID,$D794,nrES_Code,$F794,nrES_Att,1)&gt;=$J794),"RETEST AFTER A PASSING FIRST ATTEMPT","OK"))))))))))</f>
        <v/>
      </c>
      <c r="Y794" s="16" t="n"/>
    </row>
    <row r="795">
      <c r="B795" s="17">
        <f>IF($C795="","",$D795&amp;"-"&amp;$F795&amp;"-"&amp;$K795)</f>
        <v/>
      </c>
      <c r="C795" s="16" t="n"/>
      <c r="D795" s="17">
        <f>IF($C795="","",IFERROR(INDEX(rngCadetPIDs,MATCH($C795,rngCadetNames,0)),"?"))</f>
        <v/>
      </c>
      <c r="E795" s="17">
        <f>IF($D795="","",IFERROR(INDEX(nrCadetAgency,MATCH($D795,rngCadetPIDs,0)),""))</f>
        <v/>
      </c>
      <c r="F795" s="16" t="n"/>
      <c r="G795" s="17">
        <f>IF($F795="","",IFERROR(INDEX(rngEPname,MATCH($F795,rngEPcode,0)),"?"))</f>
        <v/>
      </c>
      <c r="H795" s="17">
        <f>IF($F795="","",IFERROR(INDEX(rngEPtype,MATCH($F795,rngEPcode,0)),"?"))</f>
        <v/>
      </c>
      <c r="I795" s="17">
        <f>IF($F795="","",IFERROR(INDEX(rngEPseq,MATCH($F795,rngEPcode,0)),""))</f>
        <v/>
      </c>
      <c r="J795" s="17">
        <f>IF($F795="","",IFERROR(INDEX(rngEPpass,MATCH($F795,rngEPcode,0)),cfgPassingScore))</f>
        <v/>
      </c>
      <c r="K795" s="16" t="n"/>
      <c r="L795" s="16" t="n"/>
      <c r="M795" s="17">
        <f>IF($C795="","",IF($L795="","",IF(NOT(ISNUMBER($L795)),$L795,IF(N($K795)&gt;2,"",IF($K795=1,IF(COUNTIFS(nrES_PID,$D795,nrES_Code,$F795,nrES_Att,2,nrES_Raw,"&gt;=0")&gt;0,"",$L795),IF($L795&gt;=$J795,MAX($J795,cfgRetakeRecordedCap),IF(COUNTIFS(nrES_PID,$D795,nrES_Code,$F795,nrES_Att,1)=0,$L795,SUMIFS(nrES_Raw,nrES_PID,$D795,nrES_Code,$F795,nrES_Att,1))))))))</f>
        <v/>
      </c>
      <c r="N795" s="17">
        <f>IF($C795="","",IF($L795="","",IF(NOT(ISNUMBER($L795)),"(not a score)",IF($L795&gt;=$J795,"Yes","No"))))</f>
        <v/>
      </c>
      <c r="O795" s="17">
        <f>IF($C795="","",IF($M795="","",IF(NOT(ISNUMBER($M795)),"(not a score)",IF($M795&gt;=$J795,"Yes","No"))))</f>
        <v/>
      </c>
      <c r="P795" s="17">
        <f>IF($C795="","",IF($K795="","",IF(N($K795)&gt;2,"No",IF(COUNTIFS(nrES_PID,$D795,nrES_Code,$F795,nrES_Att,"&gt;"&amp;$K795,nrES_Att,"&lt;=2",nrES_Raw,"&gt;=0")=0,"Yes","No"))))</f>
        <v/>
      </c>
      <c r="Q795" s="17">
        <f>IF($C795="","",IF($L795="","",IF(AND($K795=1,ISNUMBER($L795),$L795&lt;$J795,COUNTIFS(nrES_PID,$D795,nrES_Code,$F795,nrES_Att,2,nrES_Raw,"&gt;=0")=0),"Yes","No")))</f>
        <v/>
      </c>
      <c r="R795" s="17">
        <f>IF($C795="","",IF($L795="","",IF(AND(N($K795)&gt;=2,ISNUMBER($L795),$L795&lt;$J795),"Yes","No")))</f>
        <v/>
      </c>
      <c r="S795" s="18" t="n"/>
      <c r="T795" s="19">
        <f>IF(OR($C795="",$L795="",$K795&lt;&gt;1,NOT(ISNUMBER($L795)),$L795&gt;=$J795),"",IF($S795="","(enter date)",_xlfn.LET(_xlpm.dn,_xlfn.XLOOKUP($S795,nrCDdate,nrCDnum,"",1),IF(_xlpm.dn="","(after last class day)",_xlfn.LET(_xlpm.dd,_xlfn.XLOOKUP(_xlpm.dn+cfgRetestClassDays,nrCDnum,nrCDdate,""),_xlpm.ok,_xlfn.XLOOKUP(_xlpm.dn+cfgRetestClassDays,nrCDnum,nrCDinsession,"No"),IF(OR(_xlpm.dd="",_xlpm.ok&lt;&gt;"Yes"),"(after last class day)",_xlpm.dd))))))</f>
        <v/>
      </c>
      <c r="U795" s="17">
        <f>IF($C795="","",IF(AND($Y795="Excused",$L795="",N($K795)&lt;=1),"EXCUSED - 1st attempt pending",IF(OR($L795="",$K795&lt;&gt;1,NOT(ISNUMBER($L795)),$L795&gt;=$J795),"",IF(COUNTIFS(nrES_PID,$D795,nrES_Code,$F795,nrES_Att,2,nrES_Raw,"&gt;=0")&gt;0,IF(IFERROR(_xlfn.MINIFS(nrES_Date,nrES_PID,$D795,nrES_Code,$F795,nrES_Att,2,nrES_Raw,"&gt;=0",nrES_Date,"&gt;0"),0)=0,"RETEST UNDATED",IF(NOT(ISNUMBER($T795)),"RETEST DATE UNCHECKED",IF(_xlfn.MINIFS(nrES_Date,nrES_PID,$D795,nrES_Code,$F795,nrES_Att,2,nrES_Raw,"&gt;=0",nrES_Date,"&gt;0")&gt;$T795,"LATE RETEST "&amp;TEXT(_xlfn.MINIFS(nrES_Date,nrES_PID,$D795,nrES_Code,$F795,nrES_Att,2,nrES_Raw,"&gt;=0",nrES_Date,"&gt;0"),"mm/dd")&amp;" (due "&amp;TEXT($T795,"mm/dd")&amp;")","Retested"))),IF(NOT(ISNUMBER($T795)),"CHECK DATE",IF(TODAY()&gt;$T795,"OVERDUE","Due "&amp;TEXT($T795,"mm/dd")))))))</f>
        <v/>
      </c>
      <c r="V795" s="16" t="n"/>
      <c r="W795" s="16" t="n"/>
      <c r="X795" s="17">
        <f>IF($C795="","",IF(AND($L795&lt;&gt;"",NOT(ISNUMBER($L795))),"RAW SCORE NOT A NUMBER",IF(AND(ISNUMBER($L795),OR($L795&lt;0,$L795&gt;100)),"RAW SCORE OUT OF RANGE",IF(AND($Y795="Unexcused",OR($L795="",NOT(ISNUMBER($L795)),$L795&lt;&gt;0)),"UNEXCUSED ABSENCE MUST RECORD 0",IF(COUNTIF(nrES_RecID,$B795)&gt;1,"DUPLICATE RECORD",IF(N($K795)&gt;2,"ATTEMPT 3+ NOT ALLOWED - policy 300.5 permits one retest per exam; this row records nothing",IF(AND($K795=2,COUNTIFS(nrES_PID,$D795,nrES_Code,$F795,nrES_Att,1)=0),"ATTEMPT 2 WITHOUT ATTEMPT 1",IF(AND($K795=2,$L795=""),"RETEST ROW HAS NO SCORE",IF(AND($H795="Final",$L795&lt;&gt;"",IFERROR(INDEX(nrCKfinalExamElig,MATCH($D795,rngCadetPIDs,0)),"")="No"),"FINAL EXAM AFTER FAILED FINAL PT (500.1.H)",IF(AND($K795=2,ISNUMBER($L795),COUNTIFS(nrES_PID,$D795,nrES_Code,$F795,nrES_Att,1)&gt;0,SUMIFS(nrES_Raw,nrES_PID,$D795,nrES_Code,$F795,nrES_Att,1)&gt;=$J795),"RETEST AFTER A PASSING FIRST ATTEMPT","OK"))))))))))</f>
        <v/>
      </c>
      <c r="Y795" s="16" t="n"/>
    </row>
    <row r="796">
      <c r="B796" s="17">
        <f>IF($C796="","",$D796&amp;"-"&amp;$F796&amp;"-"&amp;$K796)</f>
        <v/>
      </c>
      <c r="C796" s="16" t="n"/>
      <c r="D796" s="17">
        <f>IF($C796="","",IFERROR(INDEX(rngCadetPIDs,MATCH($C796,rngCadetNames,0)),"?"))</f>
        <v/>
      </c>
      <c r="E796" s="17">
        <f>IF($D796="","",IFERROR(INDEX(nrCadetAgency,MATCH($D796,rngCadetPIDs,0)),""))</f>
        <v/>
      </c>
      <c r="F796" s="16" t="n"/>
      <c r="G796" s="17">
        <f>IF($F796="","",IFERROR(INDEX(rngEPname,MATCH($F796,rngEPcode,0)),"?"))</f>
        <v/>
      </c>
      <c r="H796" s="17">
        <f>IF($F796="","",IFERROR(INDEX(rngEPtype,MATCH($F796,rngEPcode,0)),"?"))</f>
        <v/>
      </c>
      <c r="I796" s="17">
        <f>IF($F796="","",IFERROR(INDEX(rngEPseq,MATCH($F796,rngEPcode,0)),""))</f>
        <v/>
      </c>
      <c r="J796" s="17">
        <f>IF($F796="","",IFERROR(INDEX(rngEPpass,MATCH($F796,rngEPcode,0)),cfgPassingScore))</f>
        <v/>
      </c>
      <c r="K796" s="16" t="n"/>
      <c r="L796" s="16" t="n"/>
      <c r="M796" s="17">
        <f>IF($C796="","",IF($L796="","",IF(NOT(ISNUMBER($L796)),$L796,IF(N($K796)&gt;2,"",IF($K796=1,IF(COUNTIFS(nrES_PID,$D796,nrES_Code,$F796,nrES_Att,2,nrES_Raw,"&gt;=0")&gt;0,"",$L796),IF($L796&gt;=$J796,MAX($J796,cfgRetakeRecordedCap),IF(COUNTIFS(nrES_PID,$D796,nrES_Code,$F796,nrES_Att,1)=0,$L796,SUMIFS(nrES_Raw,nrES_PID,$D796,nrES_Code,$F796,nrES_Att,1))))))))</f>
        <v/>
      </c>
      <c r="N796" s="17">
        <f>IF($C796="","",IF($L796="","",IF(NOT(ISNUMBER($L796)),"(not a score)",IF($L796&gt;=$J796,"Yes","No"))))</f>
        <v/>
      </c>
      <c r="O796" s="17">
        <f>IF($C796="","",IF($M796="","",IF(NOT(ISNUMBER($M796)),"(not a score)",IF($M796&gt;=$J796,"Yes","No"))))</f>
        <v/>
      </c>
      <c r="P796" s="17">
        <f>IF($C796="","",IF($K796="","",IF(N($K796)&gt;2,"No",IF(COUNTIFS(nrES_PID,$D796,nrES_Code,$F796,nrES_Att,"&gt;"&amp;$K796,nrES_Att,"&lt;=2",nrES_Raw,"&gt;=0")=0,"Yes","No"))))</f>
        <v/>
      </c>
      <c r="Q796" s="17">
        <f>IF($C796="","",IF($L796="","",IF(AND($K796=1,ISNUMBER($L796),$L796&lt;$J796,COUNTIFS(nrES_PID,$D796,nrES_Code,$F796,nrES_Att,2,nrES_Raw,"&gt;=0")=0),"Yes","No")))</f>
        <v/>
      </c>
      <c r="R796" s="17">
        <f>IF($C796="","",IF($L796="","",IF(AND(N($K796)&gt;=2,ISNUMBER($L796),$L796&lt;$J796),"Yes","No")))</f>
        <v/>
      </c>
      <c r="S796" s="18" t="n"/>
      <c r="T796" s="19">
        <f>IF(OR($C796="",$L796="",$K796&lt;&gt;1,NOT(ISNUMBER($L796)),$L796&gt;=$J796),"",IF($S796="","(enter date)",_xlfn.LET(_xlpm.dn,_xlfn.XLOOKUP($S796,nrCDdate,nrCDnum,"",1),IF(_xlpm.dn="","(after last class day)",_xlfn.LET(_xlpm.dd,_xlfn.XLOOKUP(_xlpm.dn+cfgRetestClassDays,nrCDnum,nrCDdate,""),_xlpm.ok,_xlfn.XLOOKUP(_xlpm.dn+cfgRetestClassDays,nrCDnum,nrCDinsession,"No"),IF(OR(_xlpm.dd="",_xlpm.ok&lt;&gt;"Yes"),"(after last class day)",_xlpm.dd))))))</f>
        <v/>
      </c>
      <c r="U796" s="17">
        <f>IF($C796="","",IF(AND($Y796="Excused",$L796="",N($K796)&lt;=1),"EXCUSED - 1st attempt pending",IF(OR($L796="",$K796&lt;&gt;1,NOT(ISNUMBER($L796)),$L796&gt;=$J796),"",IF(COUNTIFS(nrES_PID,$D796,nrES_Code,$F796,nrES_Att,2,nrES_Raw,"&gt;=0")&gt;0,IF(IFERROR(_xlfn.MINIFS(nrES_Date,nrES_PID,$D796,nrES_Code,$F796,nrES_Att,2,nrES_Raw,"&gt;=0",nrES_Date,"&gt;0"),0)=0,"RETEST UNDATED",IF(NOT(ISNUMBER($T796)),"RETEST DATE UNCHECKED",IF(_xlfn.MINIFS(nrES_Date,nrES_PID,$D796,nrES_Code,$F796,nrES_Att,2,nrES_Raw,"&gt;=0",nrES_Date,"&gt;0")&gt;$T796,"LATE RETEST "&amp;TEXT(_xlfn.MINIFS(nrES_Date,nrES_PID,$D796,nrES_Code,$F796,nrES_Att,2,nrES_Raw,"&gt;=0",nrES_Date,"&gt;0"),"mm/dd")&amp;" (due "&amp;TEXT($T796,"mm/dd")&amp;")","Retested"))),IF(NOT(ISNUMBER($T796)),"CHECK DATE",IF(TODAY()&gt;$T796,"OVERDUE","Due "&amp;TEXT($T796,"mm/dd")))))))</f>
        <v/>
      </c>
      <c r="V796" s="16" t="n"/>
      <c r="W796" s="16" t="n"/>
      <c r="X796" s="17">
        <f>IF($C796="","",IF(AND($L796&lt;&gt;"",NOT(ISNUMBER($L796))),"RAW SCORE NOT A NUMBER",IF(AND(ISNUMBER($L796),OR($L796&lt;0,$L796&gt;100)),"RAW SCORE OUT OF RANGE",IF(AND($Y796="Unexcused",OR($L796="",NOT(ISNUMBER($L796)),$L796&lt;&gt;0)),"UNEXCUSED ABSENCE MUST RECORD 0",IF(COUNTIF(nrES_RecID,$B796)&gt;1,"DUPLICATE RECORD",IF(N($K796)&gt;2,"ATTEMPT 3+ NOT ALLOWED - policy 300.5 permits one retest per exam; this row records nothing",IF(AND($K796=2,COUNTIFS(nrES_PID,$D796,nrES_Code,$F796,nrES_Att,1)=0),"ATTEMPT 2 WITHOUT ATTEMPT 1",IF(AND($K796=2,$L796=""),"RETEST ROW HAS NO SCORE",IF(AND($H796="Final",$L796&lt;&gt;"",IFERROR(INDEX(nrCKfinalExamElig,MATCH($D796,rngCadetPIDs,0)),"")="No"),"FINAL EXAM AFTER FAILED FINAL PT (500.1.H)",IF(AND($K796=2,ISNUMBER($L796),COUNTIFS(nrES_PID,$D796,nrES_Code,$F796,nrES_Att,1)&gt;0,SUMIFS(nrES_Raw,nrES_PID,$D796,nrES_Code,$F796,nrES_Att,1)&gt;=$J796),"RETEST AFTER A PASSING FIRST ATTEMPT","OK"))))))))))</f>
        <v/>
      </c>
      <c r="Y796" s="16" t="n"/>
    </row>
    <row r="797">
      <c r="B797" s="17">
        <f>IF($C797="","",$D797&amp;"-"&amp;$F797&amp;"-"&amp;$K797)</f>
        <v/>
      </c>
      <c r="C797" s="16" t="n"/>
      <c r="D797" s="17">
        <f>IF($C797="","",IFERROR(INDEX(rngCadetPIDs,MATCH($C797,rngCadetNames,0)),"?"))</f>
        <v/>
      </c>
      <c r="E797" s="17">
        <f>IF($D797="","",IFERROR(INDEX(nrCadetAgency,MATCH($D797,rngCadetPIDs,0)),""))</f>
        <v/>
      </c>
      <c r="F797" s="16" t="n"/>
      <c r="G797" s="17">
        <f>IF($F797="","",IFERROR(INDEX(rngEPname,MATCH($F797,rngEPcode,0)),"?"))</f>
        <v/>
      </c>
      <c r="H797" s="17">
        <f>IF($F797="","",IFERROR(INDEX(rngEPtype,MATCH($F797,rngEPcode,0)),"?"))</f>
        <v/>
      </c>
      <c r="I797" s="17">
        <f>IF($F797="","",IFERROR(INDEX(rngEPseq,MATCH($F797,rngEPcode,0)),""))</f>
        <v/>
      </c>
      <c r="J797" s="17">
        <f>IF($F797="","",IFERROR(INDEX(rngEPpass,MATCH($F797,rngEPcode,0)),cfgPassingScore))</f>
        <v/>
      </c>
      <c r="K797" s="16" t="n"/>
      <c r="L797" s="16" t="n"/>
      <c r="M797" s="17">
        <f>IF($C797="","",IF($L797="","",IF(NOT(ISNUMBER($L797)),$L797,IF(N($K797)&gt;2,"",IF($K797=1,IF(COUNTIFS(nrES_PID,$D797,nrES_Code,$F797,nrES_Att,2,nrES_Raw,"&gt;=0")&gt;0,"",$L797),IF($L797&gt;=$J797,MAX($J797,cfgRetakeRecordedCap),IF(COUNTIFS(nrES_PID,$D797,nrES_Code,$F797,nrES_Att,1)=0,$L797,SUMIFS(nrES_Raw,nrES_PID,$D797,nrES_Code,$F797,nrES_Att,1))))))))</f>
        <v/>
      </c>
      <c r="N797" s="17">
        <f>IF($C797="","",IF($L797="","",IF(NOT(ISNUMBER($L797)),"(not a score)",IF($L797&gt;=$J797,"Yes","No"))))</f>
        <v/>
      </c>
      <c r="O797" s="17">
        <f>IF($C797="","",IF($M797="","",IF(NOT(ISNUMBER($M797)),"(not a score)",IF($M797&gt;=$J797,"Yes","No"))))</f>
        <v/>
      </c>
      <c r="P797" s="17">
        <f>IF($C797="","",IF($K797="","",IF(N($K797)&gt;2,"No",IF(COUNTIFS(nrES_PID,$D797,nrES_Code,$F797,nrES_Att,"&gt;"&amp;$K797,nrES_Att,"&lt;=2",nrES_Raw,"&gt;=0")=0,"Yes","No"))))</f>
        <v/>
      </c>
      <c r="Q797" s="17">
        <f>IF($C797="","",IF($L797="","",IF(AND($K797=1,ISNUMBER($L797),$L797&lt;$J797,COUNTIFS(nrES_PID,$D797,nrES_Code,$F797,nrES_Att,2,nrES_Raw,"&gt;=0")=0),"Yes","No")))</f>
        <v/>
      </c>
      <c r="R797" s="17">
        <f>IF($C797="","",IF($L797="","",IF(AND(N($K797)&gt;=2,ISNUMBER($L797),$L797&lt;$J797),"Yes","No")))</f>
        <v/>
      </c>
      <c r="S797" s="18" t="n"/>
      <c r="T797" s="19">
        <f>IF(OR($C797="",$L797="",$K797&lt;&gt;1,NOT(ISNUMBER($L797)),$L797&gt;=$J797),"",IF($S797="","(enter date)",_xlfn.LET(_xlpm.dn,_xlfn.XLOOKUP($S797,nrCDdate,nrCDnum,"",1),IF(_xlpm.dn="","(after last class day)",_xlfn.LET(_xlpm.dd,_xlfn.XLOOKUP(_xlpm.dn+cfgRetestClassDays,nrCDnum,nrCDdate,""),_xlpm.ok,_xlfn.XLOOKUP(_xlpm.dn+cfgRetestClassDays,nrCDnum,nrCDinsession,"No"),IF(OR(_xlpm.dd="",_xlpm.ok&lt;&gt;"Yes"),"(after last class day)",_xlpm.dd))))))</f>
        <v/>
      </c>
      <c r="U797" s="17">
        <f>IF($C797="","",IF(AND($Y797="Excused",$L797="",N($K797)&lt;=1),"EXCUSED - 1st attempt pending",IF(OR($L797="",$K797&lt;&gt;1,NOT(ISNUMBER($L797)),$L797&gt;=$J797),"",IF(COUNTIFS(nrES_PID,$D797,nrES_Code,$F797,nrES_Att,2,nrES_Raw,"&gt;=0")&gt;0,IF(IFERROR(_xlfn.MINIFS(nrES_Date,nrES_PID,$D797,nrES_Code,$F797,nrES_Att,2,nrES_Raw,"&gt;=0",nrES_Date,"&gt;0"),0)=0,"RETEST UNDATED",IF(NOT(ISNUMBER($T797)),"RETEST DATE UNCHECKED",IF(_xlfn.MINIFS(nrES_Date,nrES_PID,$D797,nrES_Code,$F797,nrES_Att,2,nrES_Raw,"&gt;=0",nrES_Date,"&gt;0")&gt;$T797,"LATE RETEST "&amp;TEXT(_xlfn.MINIFS(nrES_Date,nrES_PID,$D797,nrES_Code,$F797,nrES_Att,2,nrES_Raw,"&gt;=0",nrES_Date,"&gt;0"),"mm/dd")&amp;" (due "&amp;TEXT($T797,"mm/dd")&amp;")","Retested"))),IF(NOT(ISNUMBER($T797)),"CHECK DATE",IF(TODAY()&gt;$T797,"OVERDUE","Due "&amp;TEXT($T797,"mm/dd")))))))</f>
        <v/>
      </c>
      <c r="V797" s="16" t="n"/>
      <c r="W797" s="16" t="n"/>
      <c r="X797" s="17">
        <f>IF($C797="","",IF(AND($L797&lt;&gt;"",NOT(ISNUMBER($L797))),"RAW SCORE NOT A NUMBER",IF(AND(ISNUMBER($L797),OR($L797&lt;0,$L797&gt;100)),"RAW SCORE OUT OF RANGE",IF(AND($Y797="Unexcused",OR($L797="",NOT(ISNUMBER($L797)),$L797&lt;&gt;0)),"UNEXCUSED ABSENCE MUST RECORD 0",IF(COUNTIF(nrES_RecID,$B797)&gt;1,"DUPLICATE RECORD",IF(N($K797)&gt;2,"ATTEMPT 3+ NOT ALLOWED - policy 300.5 permits one retest per exam; this row records nothing",IF(AND($K797=2,COUNTIFS(nrES_PID,$D797,nrES_Code,$F797,nrES_Att,1)=0),"ATTEMPT 2 WITHOUT ATTEMPT 1",IF(AND($K797=2,$L797=""),"RETEST ROW HAS NO SCORE",IF(AND($H797="Final",$L797&lt;&gt;"",IFERROR(INDEX(nrCKfinalExamElig,MATCH($D797,rngCadetPIDs,0)),"")="No"),"FINAL EXAM AFTER FAILED FINAL PT (500.1.H)",IF(AND($K797=2,ISNUMBER($L797),COUNTIFS(nrES_PID,$D797,nrES_Code,$F797,nrES_Att,1)&gt;0,SUMIFS(nrES_Raw,nrES_PID,$D797,nrES_Code,$F797,nrES_Att,1)&gt;=$J797),"RETEST AFTER A PASSING FIRST ATTEMPT","OK"))))))))))</f>
        <v/>
      </c>
      <c r="Y797" s="16" t="n"/>
    </row>
    <row r="798">
      <c r="B798" s="17">
        <f>IF($C798="","",$D798&amp;"-"&amp;$F798&amp;"-"&amp;$K798)</f>
        <v/>
      </c>
      <c r="C798" s="16" t="n"/>
      <c r="D798" s="17">
        <f>IF($C798="","",IFERROR(INDEX(rngCadetPIDs,MATCH($C798,rngCadetNames,0)),"?"))</f>
        <v/>
      </c>
      <c r="E798" s="17">
        <f>IF($D798="","",IFERROR(INDEX(nrCadetAgency,MATCH($D798,rngCadetPIDs,0)),""))</f>
        <v/>
      </c>
      <c r="F798" s="16" t="n"/>
      <c r="G798" s="17">
        <f>IF($F798="","",IFERROR(INDEX(rngEPname,MATCH($F798,rngEPcode,0)),"?"))</f>
        <v/>
      </c>
      <c r="H798" s="17">
        <f>IF($F798="","",IFERROR(INDEX(rngEPtype,MATCH($F798,rngEPcode,0)),"?"))</f>
        <v/>
      </c>
      <c r="I798" s="17">
        <f>IF($F798="","",IFERROR(INDEX(rngEPseq,MATCH($F798,rngEPcode,0)),""))</f>
        <v/>
      </c>
      <c r="J798" s="17">
        <f>IF($F798="","",IFERROR(INDEX(rngEPpass,MATCH($F798,rngEPcode,0)),cfgPassingScore))</f>
        <v/>
      </c>
      <c r="K798" s="16" t="n"/>
      <c r="L798" s="16" t="n"/>
      <c r="M798" s="17">
        <f>IF($C798="","",IF($L798="","",IF(NOT(ISNUMBER($L798)),$L798,IF(N($K798)&gt;2,"",IF($K798=1,IF(COUNTIFS(nrES_PID,$D798,nrES_Code,$F798,nrES_Att,2,nrES_Raw,"&gt;=0")&gt;0,"",$L798),IF($L798&gt;=$J798,MAX($J798,cfgRetakeRecordedCap),IF(COUNTIFS(nrES_PID,$D798,nrES_Code,$F798,nrES_Att,1)=0,$L798,SUMIFS(nrES_Raw,nrES_PID,$D798,nrES_Code,$F798,nrES_Att,1))))))))</f>
        <v/>
      </c>
      <c r="N798" s="17">
        <f>IF($C798="","",IF($L798="","",IF(NOT(ISNUMBER($L798)),"(not a score)",IF($L798&gt;=$J798,"Yes","No"))))</f>
        <v/>
      </c>
      <c r="O798" s="17">
        <f>IF($C798="","",IF($M798="","",IF(NOT(ISNUMBER($M798)),"(not a score)",IF($M798&gt;=$J798,"Yes","No"))))</f>
        <v/>
      </c>
      <c r="P798" s="17">
        <f>IF($C798="","",IF($K798="","",IF(N($K798)&gt;2,"No",IF(COUNTIFS(nrES_PID,$D798,nrES_Code,$F798,nrES_Att,"&gt;"&amp;$K798,nrES_Att,"&lt;=2",nrES_Raw,"&gt;=0")=0,"Yes","No"))))</f>
        <v/>
      </c>
      <c r="Q798" s="17">
        <f>IF($C798="","",IF($L798="","",IF(AND($K798=1,ISNUMBER($L798),$L798&lt;$J798,COUNTIFS(nrES_PID,$D798,nrES_Code,$F798,nrES_Att,2,nrES_Raw,"&gt;=0")=0),"Yes","No")))</f>
        <v/>
      </c>
      <c r="R798" s="17">
        <f>IF($C798="","",IF($L798="","",IF(AND(N($K798)&gt;=2,ISNUMBER($L798),$L798&lt;$J798),"Yes","No")))</f>
        <v/>
      </c>
      <c r="S798" s="18" t="n"/>
      <c r="T798" s="19">
        <f>IF(OR($C798="",$L798="",$K798&lt;&gt;1,NOT(ISNUMBER($L798)),$L798&gt;=$J798),"",IF($S798="","(enter date)",_xlfn.LET(_xlpm.dn,_xlfn.XLOOKUP($S798,nrCDdate,nrCDnum,"",1),IF(_xlpm.dn="","(after last class day)",_xlfn.LET(_xlpm.dd,_xlfn.XLOOKUP(_xlpm.dn+cfgRetestClassDays,nrCDnum,nrCDdate,""),_xlpm.ok,_xlfn.XLOOKUP(_xlpm.dn+cfgRetestClassDays,nrCDnum,nrCDinsession,"No"),IF(OR(_xlpm.dd="",_xlpm.ok&lt;&gt;"Yes"),"(after last class day)",_xlpm.dd))))))</f>
        <v/>
      </c>
      <c r="U798" s="17">
        <f>IF($C798="","",IF(AND($Y798="Excused",$L798="",N($K798)&lt;=1),"EXCUSED - 1st attempt pending",IF(OR($L798="",$K798&lt;&gt;1,NOT(ISNUMBER($L798)),$L798&gt;=$J798),"",IF(COUNTIFS(nrES_PID,$D798,nrES_Code,$F798,nrES_Att,2,nrES_Raw,"&gt;=0")&gt;0,IF(IFERROR(_xlfn.MINIFS(nrES_Date,nrES_PID,$D798,nrES_Code,$F798,nrES_Att,2,nrES_Raw,"&gt;=0",nrES_Date,"&gt;0"),0)=0,"RETEST UNDATED",IF(NOT(ISNUMBER($T798)),"RETEST DATE UNCHECKED",IF(_xlfn.MINIFS(nrES_Date,nrES_PID,$D798,nrES_Code,$F798,nrES_Att,2,nrES_Raw,"&gt;=0",nrES_Date,"&gt;0")&gt;$T798,"LATE RETEST "&amp;TEXT(_xlfn.MINIFS(nrES_Date,nrES_PID,$D798,nrES_Code,$F798,nrES_Att,2,nrES_Raw,"&gt;=0",nrES_Date,"&gt;0"),"mm/dd")&amp;" (due "&amp;TEXT($T798,"mm/dd")&amp;")","Retested"))),IF(NOT(ISNUMBER($T798)),"CHECK DATE",IF(TODAY()&gt;$T798,"OVERDUE","Due "&amp;TEXT($T798,"mm/dd")))))))</f>
        <v/>
      </c>
      <c r="V798" s="16" t="n"/>
      <c r="W798" s="16" t="n"/>
      <c r="X798" s="17">
        <f>IF($C798="","",IF(AND($L798&lt;&gt;"",NOT(ISNUMBER($L798))),"RAW SCORE NOT A NUMBER",IF(AND(ISNUMBER($L798),OR($L798&lt;0,$L798&gt;100)),"RAW SCORE OUT OF RANGE",IF(AND($Y798="Unexcused",OR($L798="",NOT(ISNUMBER($L798)),$L798&lt;&gt;0)),"UNEXCUSED ABSENCE MUST RECORD 0",IF(COUNTIF(nrES_RecID,$B798)&gt;1,"DUPLICATE RECORD",IF(N($K798)&gt;2,"ATTEMPT 3+ NOT ALLOWED - policy 300.5 permits one retest per exam; this row records nothing",IF(AND($K798=2,COUNTIFS(nrES_PID,$D798,nrES_Code,$F798,nrES_Att,1)=0),"ATTEMPT 2 WITHOUT ATTEMPT 1",IF(AND($K798=2,$L798=""),"RETEST ROW HAS NO SCORE",IF(AND($H798="Final",$L798&lt;&gt;"",IFERROR(INDEX(nrCKfinalExamElig,MATCH($D798,rngCadetPIDs,0)),"")="No"),"FINAL EXAM AFTER FAILED FINAL PT (500.1.H)",IF(AND($K798=2,ISNUMBER($L798),COUNTIFS(nrES_PID,$D798,nrES_Code,$F798,nrES_Att,1)&gt;0,SUMIFS(nrES_Raw,nrES_PID,$D798,nrES_Code,$F798,nrES_Att,1)&gt;=$J798),"RETEST AFTER A PASSING FIRST ATTEMPT","OK"))))))))))</f>
        <v/>
      </c>
      <c r="Y798" s="16" t="n"/>
    </row>
    <row r="799">
      <c r="B799" s="17">
        <f>IF($C799="","",$D799&amp;"-"&amp;$F799&amp;"-"&amp;$K799)</f>
        <v/>
      </c>
      <c r="C799" s="16" t="n"/>
      <c r="D799" s="17">
        <f>IF($C799="","",IFERROR(INDEX(rngCadetPIDs,MATCH($C799,rngCadetNames,0)),"?"))</f>
        <v/>
      </c>
      <c r="E799" s="17">
        <f>IF($D799="","",IFERROR(INDEX(nrCadetAgency,MATCH($D799,rngCadetPIDs,0)),""))</f>
        <v/>
      </c>
      <c r="F799" s="16" t="n"/>
      <c r="G799" s="17">
        <f>IF($F799="","",IFERROR(INDEX(rngEPname,MATCH($F799,rngEPcode,0)),"?"))</f>
        <v/>
      </c>
      <c r="H799" s="17">
        <f>IF($F799="","",IFERROR(INDEX(rngEPtype,MATCH($F799,rngEPcode,0)),"?"))</f>
        <v/>
      </c>
      <c r="I799" s="17">
        <f>IF($F799="","",IFERROR(INDEX(rngEPseq,MATCH($F799,rngEPcode,0)),""))</f>
        <v/>
      </c>
      <c r="J799" s="17">
        <f>IF($F799="","",IFERROR(INDEX(rngEPpass,MATCH($F799,rngEPcode,0)),cfgPassingScore))</f>
        <v/>
      </c>
      <c r="K799" s="16" t="n"/>
      <c r="L799" s="16" t="n"/>
      <c r="M799" s="17">
        <f>IF($C799="","",IF($L799="","",IF(NOT(ISNUMBER($L799)),$L799,IF(N($K799)&gt;2,"",IF($K799=1,IF(COUNTIFS(nrES_PID,$D799,nrES_Code,$F799,nrES_Att,2,nrES_Raw,"&gt;=0")&gt;0,"",$L799),IF($L799&gt;=$J799,MAX($J799,cfgRetakeRecordedCap),IF(COUNTIFS(nrES_PID,$D799,nrES_Code,$F799,nrES_Att,1)=0,$L799,SUMIFS(nrES_Raw,nrES_PID,$D799,nrES_Code,$F799,nrES_Att,1))))))))</f>
        <v/>
      </c>
      <c r="N799" s="17">
        <f>IF($C799="","",IF($L799="","",IF(NOT(ISNUMBER($L799)),"(not a score)",IF($L799&gt;=$J799,"Yes","No"))))</f>
        <v/>
      </c>
      <c r="O799" s="17">
        <f>IF($C799="","",IF($M799="","",IF(NOT(ISNUMBER($M799)),"(not a score)",IF($M799&gt;=$J799,"Yes","No"))))</f>
        <v/>
      </c>
      <c r="P799" s="17">
        <f>IF($C799="","",IF($K799="","",IF(N($K799)&gt;2,"No",IF(COUNTIFS(nrES_PID,$D799,nrES_Code,$F799,nrES_Att,"&gt;"&amp;$K799,nrES_Att,"&lt;=2",nrES_Raw,"&gt;=0")=0,"Yes","No"))))</f>
        <v/>
      </c>
      <c r="Q799" s="17">
        <f>IF($C799="","",IF($L799="","",IF(AND($K799=1,ISNUMBER($L799),$L799&lt;$J799,COUNTIFS(nrES_PID,$D799,nrES_Code,$F799,nrES_Att,2,nrES_Raw,"&gt;=0")=0),"Yes","No")))</f>
        <v/>
      </c>
      <c r="R799" s="17">
        <f>IF($C799="","",IF($L799="","",IF(AND(N($K799)&gt;=2,ISNUMBER($L799),$L799&lt;$J799),"Yes","No")))</f>
        <v/>
      </c>
      <c r="S799" s="18" t="n"/>
      <c r="T799" s="19">
        <f>IF(OR($C799="",$L799="",$K799&lt;&gt;1,NOT(ISNUMBER($L799)),$L799&gt;=$J799),"",IF($S799="","(enter date)",_xlfn.LET(_xlpm.dn,_xlfn.XLOOKUP($S799,nrCDdate,nrCDnum,"",1),IF(_xlpm.dn="","(after last class day)",_xlfn.LET(_xlpm.dd,_xlfn.XLOOKUP(_xlpm.dn+cfgRetestClassDays,nrCDnum,nrCDdate,""),_xlpm.ok,_xlfn.XLOOKUP(_xlpm.dn+cfgRetestClassDays,nrCDnum,nrCDinsession,"No"),IF(OR(_xlpm.dd="",_xlpm.ok&lt;&gt;"Yes"),"(after last class day)",_xlpm.dd))))))</f>
        <v/>
      </c>
      <c r="U799" s="17">
        <f>IF($C799="","",IF(AND($Y799="Excused",$L799="",N($K799)&lt;=1),"EXCUSED - 1st attempt pending",IF(OR($L799="",$K799&lt;&gt;1,NOT(ISNUMBER($L799)),$L799&gt;=$J799),"",IF(COUNTIFS(nrES_PID,$D799,nrES_Code,$F799,nrES_Att,2,nrES_Raw,"&gt;=0")&gt;0,IF(IFERROR(_xlfn.MINIFS(nrES_Date,nrES_PID,$D799,nrES_Code,$F799,nrES_Att,2,nrES_Raw,"&gt;=0",nrES_Date,"&gt;0"),0)=0,"RETEST UNDATED",IF(NOT(ISNUMBER($T799)),"RETEST DATE UNCHECKED",IF(_xlfn.MINIFS(nrES_Date,nrES_PID,$D799,nrES_Code,$F799,nrES_Att,2,nrES_Raw,"&gt;=0",nrES_Date,"&gt;0")&gt;$T799,"LATE RETEST "&amp;TEXT(_xlfn.MINIFS(nrES_Date,nrES_PID,$D799,nrES_Code,$F799,nrES_Att,2,nrES_Raw,"&gt;=0",nrES_Date,"&gt;0"),"mm/dd")&amp;" (due "&amp;TEXT($T799,"mm/dd")&amp;")","Retested"))),IF(NOT(ISNUMBER($T799)),"CHECK DATE",IF(TODAY()&gt;$T799,"OVERDUE","Due "&amp;TEXT($T799,"mm/dd")))))))</f>
        <v/>
      </c>
      <c r="V799" s="16" t="n"/>
      <c r="W799" s="16" t="n"/>
      <c r="X799" s="17">
        <f>IF($C799="","",IF(AND($L799&lt;&gt;"",NOT(ISNUMBER($L799))),"RAW SCORE NOT A NUMBER",IF(AND(ISNUMBER($L799),OR($L799&lt;0,$L799&gt;100)),"RAW SCORE OUT OF RANGE",IF(AND($Y799="Unexcused",OR($L799="",NOT(ISNUMBER($L799)),$L799&lt;&gt;0)),"UNEXCUSED ABSENCE MUST RECORD 0",IF(COUNTIF(nrES_RecID,$B799)&gt;1,"DUPLICATE RECORD",IF(N($K799)&gt;2,"ATTEMPT 3+ NOT ALLOWED - policy 300.5 permits one retest per exam; this row records nothing",IF(AND($K799=2,COUNTIFS(nrES_PID,$D799,nrES_Code,$F799,nrES_Att,1)=0),"ATTEMPT 2 WITHOUT ATTEMPT 1",IF(AND($K799=2,$L799=""),"RETEST ROW HAS NO SCORE",IF(AND($H799="Final",$L799&lt;&gt;"",IFERROR(INDEX(nrCKfinalExamElig,MATCH($D799,rngCadetPIDs,0)),"")="No"),"FINAL EXAM AFTER FAILED FINAL PT (500.1.H)",IF(AND($K799=2,ISNUMBER($L799),COUNTIFS(nrES_PID,$D799,nrES_Code,$F799,nrES_Att,1)&gt;0,SUMIFS(nrES_Raw,nrES_PID,$D799,nrES_Code,$F799,nrES_Att,1)&gt;=$J799),"RETEST AFTER A PASSING FIRST ATTEMPT","OK"))))))))))</f>
        <v/>
      </c>
      <c r="Y799" s="16" t="n"/>
    </row>
    <row r="800">
      <c r="B800" s="17">
        <f>IF($C800="","",$D800&amp;"-"&amp;$F800&amp;"-"&amp;$K800)</f>
        <v/>
      </c>
      <c r="C800" s="16" t="n"/>
      <c r="D800" s="17">
        <f>IF($C800="","",IFERROR(INDEX(rngCadetPIDs,MATCH($C800,rngCadetNames,0)),"?"))</f>
        <v/>
      </c>
      <c r="E800" s="17">
        <f>IF($D800="","",IFERROR(INDEX(nrCadetAgency,MATCH($D800,rngCadetPIDs,0)),""))</f>
        <v/>
      </c>
      <c r="F800" s="16" t="n"/>
      <c r="G800" s="17">
        <f>IF($F800="","",IFERROR(INDEX(rngEPname,MATCH($F800,rngEPcode,0)),"?"))</f>
        <v/>
      </c>
      <c r="H800" s="17">
        <f>IF($F800="","",IFERROR(INDEX(rngEPtype,MATCH($F800,rngEPcode,0)),"?"))</f>
        <v/>
      </c>
      <c r="I800" s="17">
        <f>IF($F800="","",IFERROR(INDEX(rngEPseq,MATCH($F800,rngEPcode,0)),""))</f>
        <v/>
      </c>
      <c r="J800" s="17">
        <f>IF($F800="","",IFERROR(INDEX(rngEPpass,MATCH($F800,rngEPcode,0)),cfgPassingScore))</f>
        <v/>
      </c>
      <c r="K800" s="16" t="n"/>
      <c r="L800" s="16" t="n"/>
      <c r="M800" s="17">
        <f>IF($C800="","",IF($L800="","",IF(NOT(ISNUMBER($L800)),$L800,IF(N($K800)&gt;2,"",IF($K800=1,IF(COUNTIFS(nrES_PID,$D800,nrES_Code,$F800,nrES_Att,2,nrES_Raw,"&gt;=0")&gt;0,"",$L800),IF($L800&gt;=$J800,MAX($J800,cfgRetakeRecordedCap),IF(COUNTIFS(nrES_PID,$D800,nrES_Code,$F800,nrES_Att,1)=0,$L800,SUMIFS(nrES_Raw,nrES_PID,$D800,nrES_Code,$F800,nrES_Att,1))))))))</f>
        <v/>
      </c>
      <c r="N800" s="17">
        <f>IF($C800="","",IF($L800="","",IF(NOT(ISNUMBER($L800)),"(not a score)",IF($L800&gt;=$J800,"Yes","No"))))</f>
        <v/>
      </c>
      <c r="O800" s="17">
        <f>IF($C800="","",IF($M800="","",IF(NOT(ISNUMBER($M800)),"(not a score)",IF($M800&gt;=$J800,"Yes","No"))))</f>
        <v/>
      </c>
      <c r="P800" s="17">
        <f>IF($C800="","",IF($K800="","",IF(N($K800)&gt;2,"No",IF(COUNTIFS(nrES_PID,$D800,nrES_Code,$F800,nrES_Att,"&gt;"&amp;$K800,nrES_Att,"&lt;=2",nrES_Raw,"&gt;=0")=0,"Yes","No"))))</f>
        <v/>
      </c>
      <c r="Q800" s="17">
        <f>IF($C800="","",IF($L800="","",IF(AND($K800=1,ISNUMBER($L800),$L800&lt;$J800,COUNTIFS(nrES_PID,$D800,nrES_Code,$F800,nrES_Att,2,nrES_Raw,"&gt;=0")=0),"Yes","No")))</f>
        <v/>
      </c>
      <c r="R800" s="17">
        <f>IF($C800="","",IF($L800="","",IF(AND(N($K800)&gt;=2,ISNUMBER($L800),$L800&lt;$J800),"Yes","No")))</f>
        <v/>
      </c>
      <c r="S800" s="18" t="n"/>
      <c r="T800" s="19">
        <f>IF(OR($C800="",$L800="",$K800&lt;&gt;1,NOT(ISNUMBER($L800)),$L800&gt;=$J800),"",IF($S800="","(enter date)",_xlfn.LET(_xlpm.dn,_xlfn.XLOOKUP($S800,nrCDdate,nrCDnum,"",1),IF(_xlpm.dn="","(after last class day)",_xlfn.LET(_xlpm.dd,_xlfn.XLOOKUP(_xlpm.dn+cfgRetestClassDays,nrCDnum,nrCDdate,""),_xlpm.ok,_xlfn.XLOOKUP(_xlpm.dn+cfgRetestClassDays,nrCDnum,nrCDinsession,"No"),IF(OR(_xlpm.dd="",_xlpm.ok&lt;&gt;"Yes"),"(after last class day)",_xlpm.dd))))))</f>
        <v/>
      </c>
      <c r="U800" s="17">
        <f>IF($C800="","",IF(AND($Y800="Excused",$L800="",N($K800)&lt;=1),"EXCUSED - 1st attempt pending",IF(OR($L800="",$K800&lt;&gt;1,NOT(ISNUMBER($L800)),$L800&gt;=$J800),"",IF(COUNTIFS(nrES_PID,$D800,nrES_Code,$F800,nrES_Att,2,nrES_Raw,"&gt;=0")&gt;0,IF(IFERROR(_xlfn.MINIFS(nrES_Date,nrES_PID,$D800,nrES_Code,$F800,nrES_Att,2,nrES_Raw,"&gt;=0",nrES_Date,"&gt;0"),0)=0,"RETEST UNDATED",IF(NOT(ISNUMBER($T800)),"RETEST DATE UNCHECKED",IF(_xlfn.MINIFS(nrES_Date,nrES_PID,$D800,nrES_Code,$F800,nrES_Att,2,nrES_Raw,"&gt;=0",nrES_Date,"&gt;0")&gt;$T800,"LATE RETEST "&amp;TEXT(_xlfn.MINIFS(nrES_Date,nrES_PID,$D800,nrES_Code,$F800,nrES_Att,2,nrES_Raw,"&gt;=0",nrES_Date,"&gt;0"),"mm/dd")&amp;" (due "&amp;TEXT($T800,"mm/dd")&amp;")","Retested"))),IF(NOT(ISNUMBER($T800)),"CHECK DATE",IF(TODAY()&gt;$T800,"OVERDUE","Due "&amp;TEXT($T800,"mm/dd")))))))</f>
        <v/>
      </c>
      <c r="V800" s="16" t="n"/>
      <c r="W800" s="16" t="n"/>
      <c r="X800" s="17">
        <f>IF($C800="","",IF(AND($L800&lt;&gt;"",NOT(ISNUMBER($L800))),"RAW SCORE NOT A NUMBER",IF(AND(ISNUMBER($L800),OR($L800&lt;0,$L800&gt;100)),"RAW SCORE OUT OF RANGE",IF(AND($Y800="Unexcused",OR($L800="",NOT(ISNUMBER($L800)),$L800&lt;&gt;0)),"UNEXCUSED ABSENCE MUST RECORD 0",IF(COUNTIF(nrES_RecID,$B800)&gt;1,"DUPLICATE RECORD",IF(N($K800)&gt;2,"ATTEMPT 3+ NOT ALLOWED - policy 300.5 permits one retest per exam; this row records nothing",IF(AND($K800=2,COUNTIFS(nrES_PID,$D800,nrES_Code,$F800,nrES_Att,1)=0),"ATTEMPT 2 WITHOUT ATTEMPT 1",IF(AND($K800=2,$L800=""),"RETEST ROW HAS NO SCORE",IF(AND($H800="Final",$L800&lt;&gt;"",IFERROR(INDEX(nrCKfinalExamElig,MATCH($D800,rngCadetPIDs,0)),"")="No"),"FINAL EXAM AFTER FAILED FINAL PT (500.1.H)",IF(AND($K800=2,ISNUMBER($L800),COUNTIFS(nrES_PID,$D800,nrES_Code,$F800,nrES_Att,1)&gt;0,SUMIFS(nrES_Raw,nrES_PID,$D800,nrES_Code,$F800,nrES_Att,1)&gt;=$J800),"RETEST AFTER A PASSING FIRST ATTEMPT","OK"))))))))))</f>
        <v/>
      </c>
      <c r="Y800" s="16" t="n"/>
    </row>
    <row r="801">
      <c r="B801" s="17">
        <f>IF($C801="","",$D801&amp;"-"&amp;$F801&amp;"-"&amp;$K801)</f>
        <v/>
      </c>
      <c r="C801" s="16" t="n"/>
      <c r="D801" s="17">
        <f>IF($C801="","",IFERROR(INDEX(rngCadetPIDs,MATCH($C801,rngCadetNames,0)),"?"))</f>
        <v/>
      </c>
      <c r="E801" s="17">
        <f>IF($D801="","",IFERROR(INDEX(nrCadetAgency,MATCH($D801,rngCadetPIDs,0)),""))</f>
        <v/>
      </c>
      <c r="F801" s="16" t="n"/>
      <c r="G801" s="17">
        <f>IF($F801="","",IFERROR(INDEX(rngEPname,MATCH($F801,rngEPcode,0)),"?"))</f>
        <v/>
      </c>
      <c r="H801" s="17">
        <f>IF($F801="","",IFERROR(INDEX(rngEPtype,MATCH($F801,rngEPcode,0)),"?"))</f>
        <v/>
      </c>
      <c r="I801" s="17">
        <f>IF($F801="","",IFERROR(INDEX(rngEPseq,MATCH($F801,rngEPcode,0)),""))</f>
        <v/>
      </c>
      <c r="J801" s="17">
        <f>IF($F801="","",IFERROR(INDEX(rngEPpass,MATCH($F801,rngEPcode,0)),cfgPassingScore))</f>
        <v/>
      </c>
      <c r="K801" s="16" t="n"/>
      <c r="L801" s="16" t="n"/>
      <c r="M801" s="17">
        <f>IF($C801="","",IF($L801="","",IF(NOT(ISNUMBER($L801)),$L801,IF(N($K801)&gt;2,"",IF($K801=1,IF(COUNTIFS(nrES_PID,$D801,nrES_Code,$F801,nrES_Att,2,nrES_Raw,"&gt;=0")&gt;0,"",$L801),IF($L801&gt;=$J801,MAX($J801,cfgRetakeRecordedCap),IF(COUNTIFS(nrES_PID,$D801,nrES_Code,$F801,nrES_Att,1)=0,$L801,SUMIFS(nrES_Raw,nrES_PID,$D801,nrES_Code,$F801,nrES_Att,1))))))))</f>
        <v/>
      </c>
      <c r="N801" s="17">
        <f>IF($C801="","",IF($L801="","",IF(NOT(ISNUMBER($L801)),"(not a score)",IF($L801&gt;=$J801,"Yes","No"))))</f>
        <v/>
      </c>
      <c r="O801" s="17">
        <f>IF($C801="","",IF($M801="","",IF(NOT(ISNUMBER($M801)),"(not a score)",IF($M801&gt;=$J801,"Yes","No"))))</f>
        <v/>
      </c>
      <c r="P801" s="17">
        <f>IF($C801="","",IF($K801="","",IF(N($K801)&gt;2,"No",IF(COUNTIFS(nrES_PID,$D801,nrES_Code,$F801,nrES_Att,"&gt;"&amp;$K801,nrES_Att,"&lt;=2",nrES_Raw,"&gt;=0")=0,"Yes","No"))))</f>
        <v/>
      </c>
      <c r="Q801" s="17">
        <f>IF($C801="","",IF($L801="","",IF(AND($K801=1,ISNUMBER($L801),$L801&lt;$J801,COUNTIFS(nrES_PID,$D801,nrES_Code,$F801,nrES_Att,2,nrES_Raw,"&gt;=0")=0),"Yes","No")))</f>
        <v/>
      </c>
      <c r="R801" s="17">
        <f>IF($C801="","",IF($L801="","",IF(AND(N($K801)&gt;=2,ISNUMBER($L801),$L801&lt;$J801),"Yes","No")))</f>
        <v/>
      </c>
      <c r="S801" s="18" t="n"/>
      <c r="T801" s="19">
        <f>IF(OR($C801="",$L801="",$K801&lt;&gt;1,NOT(ISNUMBER($L801)),$L801&gt;=$J801),"",IF($S801="","(enter date)",_xlfn.LET(_xlpm.dn,_xlfn.XLOOKUP($S801,nrCDdate,nrCDnum,"",1),IF(_xlpm.dn="","(after last class day)",_xlfn.LET(_xlpm.dd,_xlfn.XLOOKUP(_xlpm.dn+cfgRetestClassDays,nrCDnum,nrCDdate,""),_xlpm.ok,_xlfn.XLOOKUP(_xlpm.dn+cfgRetestClassDays,nrCDnum,nrCDinsession,"No"),IF(OR(_xlpm.dd="",_xlpm.ok&lt;&gt;"Yes"),"(after last class day)",_xlpm.dd))))))</f>
        <v/>
      </c>
      <c r="U801" s="17">
        <f>IF($C801="","",IF(AND($Y801="Excused",$L801="",N($K801)&lt;=1),"EXCUSED - 1st attempt pending",IF(OR($L801="",$K801&lt;&gt;1,NOT(ISNUMBER($L801)),$L801&gt;=$J801),"",IF(COUNTIFS(nrES_PID,$D801,nrES_Code,$F801,nrES_Att,2,nrES_Raw,"&gt;=0")&gt;0,IF(IFERROR(_xlfn.MINIFS(nrES_Date,nrES_PID,$D801,nrES_Code,$F801,nrES_Att,2,nrES_Raw,"&gt;=0",nrES_Date,"&gt;0"),0)=0,"RETEST UNDATED",IF(NOT(ISNUMBER($T801)),"RETEST DATE UNCHECKED",IF(_xlfn.MINIFS(nrES_Date,nrES_PID,$D801,nrES_Code,$F801,nrES_Att,2,nrES_Raw,"&gt;=0",nrES_Date,"&gt;0")&gt;$T801,"LATE RETEST "&amp;TEXT(_xlfn.MINIFS(nrES_Date,nrES_PID,$D801,nrES_Code,$F801,nrES_Att,2,nrES_Raw,"&gt;=0",nrES_Date,"&gt;0"),"mm/dd")&amp;" (due "&amp;TEXT($T801,"mm/dd")&amp;")","Retested"))),IF(NOT(ISNUMBER($T801)),"CHECK DATE",IF(TODAY()&gt;$T801,"OVERDUE","Due "&amp;TEXT($T801,"mm/dd")))))))</f>
        <v/>
      </c>
      <c r="V801" s="16" t="n"/>
      <c r="W801" s="16" t="n"/>
      <c r="X801" s="17">
        <f>IF($C801="","",IF(AND($L801&lt;&gt;"",NOT(ISNUMBER($L801))),"RAW SCORE NOT A NUMBER",IF(AND(ISNUMBER($L801),OR($L801&lt;0,$L801&gt;100)),"RAW SCORE OUT OF RANGE",IF(AND($Y801="Unexcused",OR($L801="",NOT(ISNUMBER($L801)),$L801&lt;&gt;0)),"UNEXCUSED ABSENCE MUST RECORD 0",IF(COUNTIF(nrES_RecID,$B801)&gt;1,"DUPLICATE RECORD",IF(N($K801)&gt;2,"ATTEMPT 3+ NOT ALLOWED - policy 300.5 permits one retest per exam; this row records nothing",IF(AND($K801=2,COUNTIFS(nrES_PID,$D801,nrES_Code,$F801,nrES_Att,1)=0),"ATTEMPT 2 WITHOUT ATTEMPT 1",IF(AND($K801=2,$L801=""),"RETEST ROW HAS NO SCORE",IF(AND($H801="Final",$L801&lt;&gt;"",IFERROR(INDEX(nrCKfinalExamElig,MATCH($D801,rngCadetPIDs,0)),"")="No"),"FINAL EXAM AFTER FAILED FINAL PT (500.1.H)",IF(AND($K801=2,ISNUMBER($L801),COUNTIFS(nrES_PID,$D801,nrES_Code,$F801,nrES_Att,1)&gt;0,SUMIFS(nrES_Raw,nrES_PID,$D801,nrES_Code,$F801,nrES_Att,1)&gt;=$J801),"RETEST AFTER A PASSING FIRST ATTEMPT","OK"))))))))))</f>
        <v/>
      </c>
      <c r="Y801" s="16" t="n"/>
    </row>
    <row r="802">
      <c r="B802" s="17">
        <f>IF($C802="","",$D802&amp;"-"&amp;$F802&amp;"-"&amp;$K802)</f>
        <v/>
      </c>
      <c r="C802" s="16" t="n"/>
      <c r="D802" s="17">
        <f>IF($C802="","",IFERROR(INDEX(rngCadetPIDs,MATCH($C802,rngCadetNames,0)),"?"))</f>
        <v/>
      </c>
      <c r="E802" s="17">
        <f>IF($D802="","",IFERROR(INDEX(nrCadetAgency,MATCH($D802,rngCadetPIDs,0)),""))</f>
        <v/>
      </c>
      <c r="F802" s="16" t="n"/>
      <c r="G802" s="17">
        <f>IF($F802="","",IFERROR(INDEX(rngEPname,MATCH($F802,rngEPcode,0)),"?"))</f>
        <v/>
      </c>
      <c r="H802" s="17">
        <f>IF($F802="","",IFERROR(INDEX(rngEPtype,MATCH($F802,rngEPcode,0)),"?"))</f>
        <v/>
      </c>
      <c r="I802" s="17">
        <f>IF($F802="","",IFERROR(INDEX(rngEPseq,MATCH($F802,rngEPcode,0)),""))</f>
        <v/>
      </c>
      <c r="J802" s="17">
        <f>IF($F802="","",IFERROR(INDEX(rngEPpass,MATCH($F802,rngEPcode,0)),cfgPassingScore))</f>
        <v/>
      </c>
      <c r="K802" s="16" t="n"/>
      <c r="L802" s="16" t="n"/>
      <c r="M802" s="17">
        <f>IF($C802="","",IF($L802="","",IF(NOT(ISNUMBER($L802)),$L802,IF(N($K802)&gt;2,"",IF($K802=1,IF(COUNTIFS(nrES_PID,$D802,nrES_Code,$F802,nrES_Att,2,nrES_Raw,"&gt;=0")&gt;0,"",$L802),IF($L802&gt;=$J802,MAX($J802,cfgRetakeRecordedCap),IF(COUNTIFS(nrES_PID,$D802,nrES_Code,$F802,nrES_Att,1)=0,$L802,SUMIFS(nrES_Raw,nrES_PID,$D802,nrES_Code,$F802,nrES_Att,1))))))))</f>
        <v/>
      </c>
      <c r="N802" s="17">
        <f>IF($C802="","",IF($L802="","",IF(NOT(ISNUMBER($L802)),"(not a score)",IF($L802&gt;=$J802,"Yes","No"))))</f>
        <v/>
      </c>
      <c r="O802" s="17">
        <f>IF($C802="","",IF($M802="","",IF(NOT(ISNUMBER($M802)),"(not a score)",IF($M802&gt;=$J802,"Yes","No"))))</f>
        <v/>
      </c>
      <c r="P802" s="17">
        <f>IF($C802="","",IF($K802="","",IF(N($K802)&gt;2,"No",IF(COUNTIFS(nrES_PID,$D802,nrES_Code,$F802,nrES_Att,"&gt;"&amp;$K802,nrES_Att,"&lt;=2",nrES_Raw,"&gt;=0")=0,"Yes","No"))))</f>
        <v/>
      </c>
      <c r="Q802" s="17">
        <f>IF($C802="","",IF($L802="","",IF(AND($K802=1,ISNUMBER($L802),$L802&lt;$J802,COUNTIFS(nrES_PID,$D802,nrES_Code,$F802,nrES_Att,2,nrES_Raw,"&gt;=0")=0),"Yes","No")))</f>
        <v/>
      </c>
      <c r="R802" s="17">
        <f>IF($C802="","",IF($L802="","",IF(AND(N($K802)&gt;=2,ISNUMBER($L802),$L802&lt;$J802),"Yes","No")))</f>
        <v/>
      </c>
      <c r="S802" s="18" t="n"/>
      <c r="T802" s="19">
        <f>IF(OR($C802="",$L802="",$K802&lt;&gt;1,NOT(ISNUMBER($L802)),$L802&gt;=$J802),"",IF($S802="","(enter date)",_xlfn.LET(_xlpm.dn,_xlfn.XLOOKUP($S802,nrCDdate,nrCDnum,"",1),IF(_xlpm.dn="","(after last class day)",_xlfn.LET(_xlpm.dd,_xlfn.XLOOKUP(_xlpm.dn+cfgRetestClassDays,nrCDnum,nrCDdate,""),_xlpm.ok,_xlfn.XLOOKUP(_xlpm.dn+cfgRetestClassDays,nrCDnum,nrCDinsession,"No"),IF(OR(_xlpm.dd="",_xlpm.ok&lt;&gt;"Yes"),"(after last class day)",_xlpm.dd))))))</f>
        <v/>
      </c>
      <c r="U802" s="17">
        <f>IF($C802="","",IF(AND($Y802="Excused",$L802="",N($K802)&lt;=1),"EXCUSED - 1st attempt pending",IF(OR($L802="",$K802&lt;&gt;1,NOT(ISNUMBER($L802)),$L802&gt;=$J802),"",IF(COUNTIFS(nrES_PID,$D802,nrES_Code,$F802,nrES_Att,2,nrES_Raw,"&gt;=0")&gt;0,IF(IFERROR(_xlfn.MINIFS(nrES_Date,nrES_PID,$D802,nrES_Code,$F802,nrES_Att,2,nrES_Raw,"&gt;=0",nrES_Date,"&gt;0"),0)=0,"RETEST UNDATED",IF(NOT(ISNUMBER($T802)),"RETEST DATE UNCHECKED",IF(_xlfn.MINIFS(nrES_Date,nrES_PID,$D802,nrES_Code,$F802,nrES_Att,2,nrES_Raw,"&gt;=0",nrES_Date,"&gt;0")&gt;$T802,"LATE RETEST "&amp;TEXT(_xlfn.MINIFS(nrES_Date,nrES_PID,$D802,nrES_Code,$F802,nrES_Att,2,nrES_Raw,"&gt;=0",nrES_Date,"&gt;0"),"mm/dd")&amp;" (due "&amp;TEXT($T802,"mm/dd")&amp;")","Retested"))),IF(NOT(ISNUMBER($T802)),"CHECK DATE",IF(TODAY()&gt;$T802,"OVERDUE","Due "&amp;TEXT($T802,"mm/dd")))))))</f>
        <v/>
      </c>
      <c r="V802" s="16" t="n"/>
      <c r="W802" s="16" t="n"/>
      <c r="X802" s="17">
        <f>IF($C802="","",IF(AND($L802&lt;&gt;"",NOT(ISNUMBER($L802))),"RAW SCORE NOT A NUMBER",IF(AND(ISNUMBER($L802),OR($L802&lt;0,$L802&gt;100)),"RAW SCORE OUT OF RANGE",IF(AND($Y802="Unexcused",OR($L802="",NOT(ISNUMBER($L802)),$L802&lt;&gt;0)),"UNEXCUSED ABSENCE MUST RECORD 0",IF(COUNTIF(nrES_RecID,$B802)&gt;1,"DUPLICATE RECORD",IF(N($K802)&gt;2,"ATTEMPT 3+ NOT ALLOWED - policy 300.5 permits one retest per exam; this row records nothing",IF(AND($K802=2,COUNTIFS(nrES_PID,$D802,nrES_Code,$F802,nrES_Att,1)=0),"ATTEMPT 2 WITHOUT ATTEMPT 1",IF(AND($K802=2,$L802=""),"RETEST ROW HAS NO SCORE",IF(AND($H802="Final",$L802&lt;&gt;"",IFERROR(INDEX(nrCKfinalExamElig,MATCH($D802,rngCadetPIDs,0)),"")="No"),"FINAL EXAM AFTER FAILED FINAL PT (500.1.H)",IF(AND($K802=2,ISNUMBER($L802),COUNTIFS(nrES_PID,$D802,nrES_Code,$F802,nrES_Att,1)&gt;0,SUMIFS(nrES_Raw,nrES_PID,$D802,nrES_Code,$F802,nrES_Att,1)&gt;=$J802),"RETEST AFTER A PASSING FIRST ATTEMPT","OK"))))))))))</f>
        <v/>
      </c>
      <c r="Y802" s="16" t="n"/>
    </row>
    <row r="803">
      <c r="B803" s="17">
        <f>IF($C803="","",$D803&amp;"-"&amp;$F803&amp;"-"&amp;$K803)</f>
        <v/>
      </c>
      <c r="C803" s="16" t="n"/>
      <c r="D803" s="17">
        <f>IF($C803="","",IFERROR(INDEX(rngCadetPIDs,MATCH($C803,rngCadetNames,0)),"?"))</f>
        <v/>
      </c>
      <c r="E803" s="17">
        <f>IF($D803="","",IFERROR(INDEX(nrCadetAgency,MATCH($D803,rngCadetPIDs,0)),""))</f>
        <v/>
      </c>
      <c r="F803" s="16" t="n"/>
      <c r="G803" s="17">
        <f>IF($F803="","",IFERROR(INDEX(rngEPname,MATCH($F803,rngEPcode,0)),"?"))</f>
        <v/>
      </c>
      <c r="H803" s="17">
        <f>IF($F803="","",IFERROR(INDEX(rngEPtype,MATCH($F803,rngEPcode,0)),"?"))</f>
        <v/>
      </c>
      <c r="I803" s="17">
        <f>IF($F803="","",IFERROR(INDEX(rngEPseq,MATCH($F803,rngEPcode,0)),""))</f>
        <v/>
      </c>
      <c r="J803" s="17">
        <f>IF($F803="","",IFERROR(INDEX(rngEPpass,MATCH($F803,rngEPcode,0)),cfgPassingScore))</f>
        <v/>
      </c>
      <c r="K803" s="16" t="n"/>
      <c r="L803" s="16" t="n"/>
      <c r="M803" s="17">
        <f>IF($C803="","",IF($L803="","",IF(NOT(ISNUMBER($L803)),$L803,IF(N($K803)&gt;2,"",IF($K803=1,IF(COUNTIFS(nrES_PID,$D803,nrES_Code,$F803,nrES_Att,2,nrES_Raw,"&gt;=0")&gt;0,"",$L803),IF($L803&gt;=$J803,MAX($J803,cfgRetakeRecordedCap),IF(COUNTIFS(nrES_PID,$D803,nrES_Code,$F803,nrES_Att,1)=0,$L803,SUMIFS(nrES_Raw,nrES_PID,$D803,nrES_Code,$F803,nrES_Att,1))))))))</f>
        <v/>
      </c>
      <c r="N803" s="17">
        <f>IF($C803="","",IF($L803="","",IF(NOT(ISNUMBER($L803)),"(not a score)",IF($L803&gt;=$J803,"Yes","No"))))</f>
        <v/>
      </c>
      <c r="O803" s="17">
        <f>IF($C803="","",IF($M803="","",IF(NOT(ISNUMBER($M803)),"(not a score)",IF($M803&gt;=$J803,"Yes","No"))))</f>
        <v/>
      </c>
      <c r="P803" s="17">
        <f>IF($C803="","",IF($K803="","",IF(N($K803)&gt;2,"No",IF(COUNTIFS(nrES_PID,$D803,nrES_Code,$F803,nrES_Att,"&gt;"&amp;$K803,nrES_Att,"&lt;=2",nrES_Raw,"&gt;=0")=0,"Yes","No"))))</f>
        <v/>
      </c>
      <c r="Q803" s="17">
        <f>IF($C803="","",IF($L803="","",IF(AND($K803=1,ISNUMBER($L803),$L803&lt;$J803,COUNTIFS(nrES_PID,$D803,nrES_Code,$F803,nrES_Att,2,nrES_Raw,"&gt;=0")=0),"Yes","No")))</f>
        <v/>
      </c>
      <c r="R803" s="17">
        <f>IF($C803="","",IF($L803="","",IF(AND(N($K803)&gt;=2,ISNUMBER($L803),$L803&lt;$J803),"Yes","No")))</f>
        <v/>
      </c>
      <c r="S803" s="18" t="n"/>
      <c r="T803" s="19">
        <f>IF(OR($C803="",$L803="",$K803&lt;&gt;1,NOT(ISNUMBER($L803)),$L803&gt;=$J803),"",IF($S803="","(enter date)",_xlfn.LET(_xlpm.dn,_xlfn.XLOOKUP($S803,nrCDdate,nrCDnum,"",1),IF(_xlpm.dn="","(after last class day)",_xlfn.LET(_xlpm.dd,_xlfn.XLOOKUP(_xlpm.dn+cfgRetestClassDays,nrCDnum,nrCDdate,""),_xlpm.ok,_xlfn.XLOOKUP(_xlpm.dn+cfgRetestClassDays,nrCDnum,nrCDinsession,"No"),IF(OR(_xlpm.dd="",_xlpm.ok&lt;&gt;"Yes"),"(after last class day)",_xlpm.dd))))))</f>
        <v/>
      </c>
      <c r="U803" s="17">
        <f>IF($C803="","",IF(AND($Y803="Excused",$L803="",N($K803)&lt;=1),"EXCUSED - 1st attempt pending",IF(OR($L803="",$K803&lt;&gt;1,NOT(ISNUMBER($L803)),$L803&gt;=$J803),"",IF(COUNTIFS(nrES_PID,$D803,nrES_Code,$F803,nrES_Att,2,nrES_Raw,"&gt;=0")&gt;0,IF(IFERROR(_xlfn.MINIFS(nrES_Date,nrES_PID,$D803,nrES_Code,$F803,nrES_Att,2,nrES_Raw,"&gt;=0",nrES_Date,"&gt;0"),0)=0,"RETEST UNDATED",IF(NOT(ISNUMBER($T803)),"RETEST DATE UNCHECKED",IF(_xlfn.MINIFS(nrES_Date,nrES_PID,$D803,nrES_Code,$F803,nrES_Att,2,nrES_Raw,"&gt;=0",nrES_Date,"&gt;0")&gt;$T803,"LATE RETEST "&amp;TEXT(_xlfn.MINIFS(nrES_Date,nrES_PID,$D803,nrES_Code,$F803,nrES_Att,2,nrES_Raw,"&gt;=0",nrES_Date,"&gt;0"),"mm/dd")&amp;" (due "&amp;TEXT($T803,"mm/dd")&amp;")","Retested"))),IF(NOT(ISNUMBER($T803)),"CHECK DATE",IF(TODAY()&gt;$T803,"OVERDUE","Due "&amp;TEXT($T803,"mm/dd")))))))</f>
        <v/>
      </c>
      <c r="V803" s="16" t="n"/>
      <c r="W803" s="16" t="n"/>
      <c r="X803" s="17">
        <f>IF($C803="","",IF(AND($L803&lt;&gt;"",NOT(ISNUMBER($L803))),"RAW SCORE NOT A NUMBER",IF(AND(ISNUMBER($L803),OR($L803&lt;0,$L803&gt;100)),"RAW SCORE OUT OF RANGE",IF(AND($Y803="Unexcused",OR($L803="",NOT(ISNUMBER($L803)),$L803&lt;&gt;0)),"UNEXCUSED ABSENCE MUST RECORD 0",IF(COUNTIF(nrES_RecID,$B803)&gt;1,"DUPLICATE RECORD",IF(N($K803)&gt;2,"ATTEMPT 3+ NOT ALLOWED - policy 300.5 permits one retest per exam; this row records nothing",IF(AND($K803=2,COUNTIFS(nrES_PID,$D803,nrES_Code,$F803,nrES_Att,1)=0),"ATTEMPT 2 WITHOUT ATTEMPT 1",IF(AND($K803=2,$L803=""),"RETEST ROW HAS NO SCORE",IF(AND($H803="Final",$L803&lt;&gt;"",IFERROR(INDEX(nrCKfinalExamElig,MATCH($D803,rngCadetPIDs,0)),"")="No"),"FINAL EXAM AFTER FAILED FINAL PT (500.1.H)",IF(AND($K803=2,ISNUMBER($L803),COUNTIFS(nrES_PID,$D803,nrES_Code,$F803,nrES_Att,1)&gt;0,SUMIFS(nrES_Raw,nrES_PID,$D803,nrES_Code,$F803,nrES_Att,1)&gt;=$J803),"RETEST AFTER A PASSING FIRST ATTEMPT","OK"))))))))))</f>
        <v/>
      </c>
      <c r="Y803" s="16" t="n"/>
    </row>
    <row r="804">
      <c r="B804" s="17">
        <f>IF($C804="","",$D804&amp;"-"&amp;$F804&amp;"-"&amp;$K804)</f>
        <v/>
      </c>
      <c r="C804" s="16" t="n"/>
      <c r="D804" s="17">
        <f>IF($C804="","",IFERROR(INDEX(rngCadetPIDs,MATCH($C804,rngCadetNames,0)),"?"))</f>
        <v/>
      </c>
      <c r="E804" s="17">
        <f>IF($D804="","",IFERROR(INDEX(nrCadetAgency,MATCH($D804,rngCadetPIDs,0)),""))</f>
        <v/>
      </c>
      <c r="F804" s="16" t="n"/>
      <c r="G804" s="17">
        <f>IF($F804="","",IFERROR(INDEX(rngEPname,MATCH($F804,rngEPcode,0)),"?"))</f>
        <v/>
      </c>
      <c r="H804" s="17">
        <f>IF($F804="","",IFERROR(INDEX(rngEPtype,MATCH($F804,rngEPcode,0)),"?"))</f>
        <v/>
      </c>
      <c r="I804" s="17">
        <f>IF($F804="","",IFERROR(INDEX(rngEPseq,MATCH($F804,rngEPcode,0)),""))</f>
        <v/>
      </c>
      <c r="J804" s="17">
        <f>IF($F804="","",IFERROR(INDEX(rngEPpass,MATCH($F804,rngEPcode,0)),cfgPassingScore))</f>
        <v/>
      </c>
      <c r="K804" s="16" t="n"/>
      <c r="L804" s="16" t="n"/>
      <c r="M804" s="17">
        <f>IF($C804="","",IF($L804="","",IF(NOT(ISNUMBER($L804)),$L804,IF(N($K804)&gt;2,"",IF($K804=1,IF(COUNTIFS(nrES_PID,$D804,nrES_Code,$F804,nrES_Att,2,nrES_Raw,"&gt;=0")&gt;0,"",$L804),IF($L804&gt;=$J804,MAX($J804,cfgRetakeRecordedCap),IF(COUNTIFS(nrES_PID,$D804,nrES_Code,$F804,nrES_Att,1)=0,$L804,SUMIFS(nrES_Raw,nrES_PID,$D804,nrES_Code,$F804,nrES_Att,1))))))))</f>
        <v/>
      </c>
      <c r="N804" s="17">
        <f>IF($C804="","",IF($L804="","",IF(NOT(ISNUMBER($L804)),"(not a score)",IF($L804&gt;=$J804,"Yes","No"))))</f>
        <v/>
      </c>
      <c r="O804" s="17">
        <f>IF($C804="","",IF($M804="","",IF(NOT(ISNUMBER($M804)),"(not a score)",IF($M804&gt;=$J804,"Yes","No"))))</f>
        <v/>
      </c>
      <c r="P804" s="17">
        <f>IF($C804="","",IF($K804="","",IF(N($K804)&gt;2,"No",IF(COUNTIFS(nrES_PID,$D804,nrES_Code,$F804,nrES_Att,"&gt;"&amp;$K804,nrES_Att,"&lt;=2",nrES_Raw,"&gt;=0")=0,"Yes","No"))))</f>
        <v/>
      </c>
      <c r="Q804" s="17">
        <f>IF($C804="","",IF($L804="","",IF(AND($K804=1,ISNUMBER($L804),$L804&lt;$J804,COUNTIFS(nrES_PID,$D804,nrES_Code,$F804,nrES_Att,2,nrES_Raw,"&gt;=0")=0),"Yes","No")))</f>
        <v/>
      </c>
      <c r="R804" s="17">
        <f>IF($C804="","",IF($L804="","",IF(AND(N($K804)&gt;=2,ISNUMBER($L804),$L804&lt;$J804),"Yes","No")))</f>
        <v/>
      </c>
      <c r="S804" s="18" t="n"/>
      <c r="T804" s="19">
        <f>IF(OR($C804="",$L804="",$K804&lt;&gt;1,NOT(ISNUMBER($L804)),$L804&gt;=$J804),"",IF($S804="","(enter date)",_xlfn.LET(_xlpm.dn,_xlfn.XLOOKUP($S804,nrCDdate,nrCDnum,"",1),IF(_xlpm.dn="","(after last class day)",_xlfn.LET(_xlpm.dd,_xlfn.XLOOKUP(_xlpm.dn+cfgRetestClassDays,nrCDnum,nrCDdate,""),_xlpm.ok,_xlfn.XLOOKUP(_xlpm.dn+cfgRetestClassDays,nrCDnum,nrCDinsession,"No"),IF(OR(_xlpm.dd="",_xlpm.ok&lt;&gt;"Yes"),"(after last class day)",_xlpm.dd))))))</f>
        <v/>
      </c>
      <c r="U804" s="17">
        <f>IF($C804="","",IF(AND($Y804="Excused",$L804="",N($K804)&lt;=1),"EXCUSED - 1st attempt pending",IF(OR($L804="",$K804&lt;&gt;1,NOT(ISNUMBER($L804)),$L804&gt;=$J804),"",IF(COUNTIFS(nrES_PID,$D804,nrES_Code,$F804,nrES_Att,2,nrES_Raw,"&gt;=0")&gt;0,IF(IFERROR(_xlfn.MINIFS(nrES_Date,nrES_PID,$D804,nrES_Code,$F804,nrES_Att,2,nrES_Raw,"&gt;=0",nrES_Date,"&gt;0"),0)=0,"RETEST UNDATED",IF(NOT(ISNUMBER($T804)),"RETEST DATE UNCHECKED",IF(_xlfn.MINIFS(nrES_Date,nrES_PID,$D804,nrES_Code,$F804,nrES_Att,2,nrES_Raw,"&gt;=0",nrES_Date,"&gt;0")&gt;$T804,"LATE RETEST "&amp;TEXT(_xlfn.MINIFS(nrES_Date,nrES_PID,$D804,nrES_Code,$F804,nrES_Att,2,nrES_Raw,"&gt;=0",nrES_Date,"&gt;0"),"mm/dd")&amp;" (due "&amp;TEXT($T804,"mm/dd")&amp;")","Retested"))),IF(NOT(ISNUMBER($T804)),"CHECK DATE",IF(TODAY()&gt;$T804,"OVERDUE","Due "&amp;TEXT($T804,"mm/dd")))))))</f>
        <v/>
      </c>
      <c r="V804" s="16" t="n"/>
      <c r="W804" s="16" t="n"/>
      <c r="X804" s="17">
        <f>IF($C804="","",IF(AND($L804&lt;&gt;"",NOT(ISNUMBER($L804))),"RAW SCORE NOT A NUMBER",IF(AND(ISNUMBER($L804),OR($L804&lt;0,$L804&gt;100)),"RAW SCORE OUT OF RANGE",IF(AND($Y804="Unexcused",OR($L804="",NOT(ISNUMBER($L804)),$L804&lt;&gt;0)),"UNEXCUSED ABSENCE MUST RECORD 0",IF(COUNTIF(nrES_RecID,$B804)&gt;1,"DUPLICATE RECORD",IF(N($K804)&gt;2,"ATTEMPT 3+ NOT ALLOWED - policy 300.5 permits one retest per exam; this row records nothing",IF(AND($K804=2,COUNTIFS(nrES_PID,$D804,nrES_Code,$F804,nrES_Att,1)=0),"ATTEMPT 2 WITHOUT ATTEMPT 1",IF(AND($K804=2,$L804=""),"RETEST ROW HAS NO SCORE",IF(AND($H804="Final",$L804&lt;&gt;"",IFERROR(INDEX(nrCKfinalExamElig,MATCH($D804,rngCadetPIDs,0)),"")="No"),"FINAL EXAM AFTER FAILED FINAL PT (500.1.H)",IF(AND($K804=2,ISNUMBER($L804),COUNTIFS(nrES_PID,$D804,nrES_Code,$F804,nrES_Att,1)&gt;0,SUMIFS(nrES_Raw,nrES_PID,$D804,nrES_Code,$F804,nrES_Att,1)&gt;=$J804),"RETEST AFTER A PASSING FIRST ATTEMPT","OK"))))))))))</f>
        <v/>
      </c>
      <c r="Y804" s="16" t="n"/>
    </row>
    <row r="805">
      <c r="B805" s="17">
        <f>IF($C805="","",$D805&amp;"-"&amp;$F805&amp;"-"&amp;$K805)</f>
        <v/>
      </c>
      <c r="C805" s="16" t="n"/>
      <c r="D805" s="17">
        <f>IF($C805="","",IFERROR(INDEX(rngCadetPIDs,MATCH($C805,rngCadetNames,0)),"?"))</f>
        <v/>
      </c>
      <c r="E805" s="17">
        <f>IF($D805="","",IFERROR(INDEX(nrCadetAgency,MATCH($D805,rngCadetPIDs,0)),""))</f>
        <v/>
      </c>
      <c r="F805" s="16" t="n"/>
      <c r="G805" s="17">
        <f>IF($F805="","",IFERROR(INDEX(rngEPname,MATCH($F805,rngEPcode,0)),"?"))</f>
        <v/>
      </c>
      <c r="H805" s="17">
        <f>IF($F805="","",IFERROR(INDEX(rngEPtype,MATCH($F805,rngEPcode,0)),"?"))</f>
        <v/>
      </c>
      <c r="I805" s="17">
        <f>IF($F805="","",IFERROR(INDEX(rngEPseq,MATCH($F805,rngEPcode,0)),""))</f>
        <v/>
      </c>
      <c r="J805" s="17">
        <f>IF($F805="","",IFERROR(INDEX(rngEPpass,MATCH($F805,rngEPcode,0)),cfgPassingScore))</f>
        <v/>
      </c>
      <c r="K805" s="16" t="n"/>
      <c r="L805" s="16" t="n"/>
      <c r="M805" s="17">
        <f>IF($C805="","",IF($L805="","",IF(NOT(ISNUMBER($L805)),$L805,IF(N($K805)&gt;2,"",IF($K805=1,IF(COUNTIFS(nrES_PID,$D805,nrES_Code,$F805,nrES_Att,2,nrES_Raw,"&gt;=0")&gt;0,"",$L805),IF($L805&gt;=$J805,MAX($J805,cfgRetakeRecordedCap),IF(COUNTIFS(nrES_PID,$D805,nrES_Code,$F805,nrES_Att,1)=0,$L805,SUMIFS(nrES_Raw,nrES_PID,$D805,nrES_Code,$F805,nrES_Att,1))))))))</f>
        <v/>
      </c>
      <c r="N805" s="17">
        <f>IF($C805="","",IF($L805="","",IF(NOT(ISNUMBER($L805)),"(not a score)",IF($L805&gt;=$J805,"Yes","No"))))</f>
        <v/>
      </c>
      <c r="O805" s="17">
        <f>IF($C805="","",IF($M805="","",IF(NOT(ISNUMBER($M805)),"(not a score)",IF($M805&gt;=$J805,"Yes","No"))))</f>
        <v/>
      </c>
      <c r="P805" s="17">
        <f>IF($C805="","",IF($K805="","",IF(N($K805)&gt;2,"No",IF(COUNTIFS(nrES_PID,$D805,nrES_Code,$F805,nrES_Att,"&gt;"&amp;$K805,nrES_Att,"&lt;=2",nrES_Raw,"&gt;=0")=0,"Yes","No"))))</f>
        <v/>
      </c>
      <c r="Q805" s="17">
        <f>IF($C805="","",IF($L805="","",IF(AND($K805=1,ISNUMBER($L805),$L805&lt;$J805,COUNTIFS(nrES_PID,$D805,nrES_Code,$F805,nrES_Att,2,nrES_Raw,"&gt;=0")=0),"Yes","No")))</f>
        <v/>
      </c>
      <c r="R805" s="17">
        <f>IF($C805="","",IF($L805="","",IF(AND(N($K805)&gt;=2,ISNUMBER($L805),$L805&lt;$J805),"Yes","No")))</f>
        <v/>
      </c>
      <c r="S805" s="18" t="n"/>
      <c r="T805" s="19">
        <f>IF(OR($C805="",$L805="",$K805&lt;&gt;1,NOT(ISNUMBER($L805)),$L805&gt;=$J805),"",IF($S805="","(enter date)",_xlfn.LET(_xlpm.dn,_xlfn.XLOOKUP($S805,nrCDdate,nrCDnum,"",1),IF(_xlpm.dn="","(after last class day)",_xlfn.LET(_xlpm.dd,_xlfn.XLOOKUP(_xlpm.dn+cfgRetestClassDays,nrCDnum,nrCDdate,""),_xlpm.ok,_xlfn.XLOOKUP(_xlpm.dn+cfgRetestClassDays,nrCDnum,nrCDinsession,"No"),IF(OR(_xlpm.dd="",_xlpm.ok&lt;&gt;"Yes"),"(after last class day)",_xlpm.dd))))))</f>
        <v/>
      </c>
      <c r="U805" s="17">
        <f>IF($C805="","",IF(AND($Y805="Excused",$L805="",N($K805)&lt;=1),"EXCUSED - 1st attempt pending",IF(OR($L805="",$K805&lt;&gt;1,NOT(ISNUMBER($L805)),$L805&gt;=$J805),"",IF(COUNTIFS(nrES_PID,$D805,nrES_Code,$F805,nrES_Att,2,nrES_Raw,"&gt;=0")&gt;0,IF(IFERROR(_xlfn.MINIFS(nrES_Date,nrES_PID,$D805,nrES_Code,$F805,nrES_Att,2,nrES_Raw,"&gt;=0",nrES_Date,"&gt;0"),0)=0,"RETEST UNDATED",IF(NOT(ISNUMBER($T805)),"RETEST DATE UNCHECKED",IF(_xlfn.MINIFS(nrES_Date,nrES_PID,$D805,nrES_Code,$F805,nrES_Att,2,nrES_Raw,"&gt;=0",nrES_Date,"&gt;0")&gt;$T805,"LATE RETEST "&amp;TEXT(_xlfn.MINIFS(nrES_Date,nrES_PID,$D805,nrES_Code,$F805,nrES_Att,2,nrES_Raw,"&gt;=0",nrES_Date,"&gt;0"),"mm/dd")&amp;" (due "&amp;TEXT($T805,"mm/dd")&amp;")","Retested"))),IF(NOT(ISNUMBER($T805)),"CHECK DATE",IF(TODAY()&gt;$T805,"OVERDUE","Due "&amp;TEXT($T805,"mm/dd")))))))</f>
        <v/>
      </c>
      <c r="V805" s="16" t="n"/>
      <c r="W805" s="16" t="n"/>
      <c r="X805" s="17">
        <f>IF($C805="","",IF(AND($L805&lt;&gt;"",NOT(ISNUMBER($L805))),"RAW SCORE NOT A NUMBER",IF(AND(ISNUMBER($L805),OR($L805&lt;0,$L805&gt;100)),"RAW SCORE OUT OF RANGE",IF(AND($Y805="Unexcused",OR($L805="",NOT(ISNUMBER($L805)),$L805&lt;&gt;0)),"UNEXCUSED ABSENCE MUST RECORD 0",IF(COUNTIF(nrES_RecID,$B805)&gt;1,"DUPLICATE RECORD",IF(N($K805)&gt;2,"ATTEMPT 3+ NOT ALLOWED - policy 300.5 permits one retest per exam; this row records nothing",IF(AND($K805=2,COUNTIFS(nrES_PID,$D805,nrES_Code,$F805,nrES_Att,1)=0),"ATTEMPT 2 WITHOUT ATTEMPT 1",IF(AND($K805=2,$L805=""),"RETEST ROW HAS NO SCORE",IF(AND($H805="Final",$L805&lt;&gt;"",IFERROR(INDEX(nrCKfinalExamElig,MATCH($D805,rngCadetPIDs,0)),"")="No"),"FINAL EXAM AFTER FAILED FINAL PT (500.1.H)",IF(AND($K805=2,ISNUMBER($L805),COUNTIFS(nrES_PID,$D805,nrES_Code,$F805,nrES_Att,1)&gt;0,SUMIFS(nrES_Raw,nrES_PID,$D805,nrES_Code,$F805,nrES_Att,1)&gt;=$J805),"RETEST AFTER A PASSING FIRST ATTEMPT","OK"))))))))))</f>
        <v/>
      </c>
      <c r="Y805" s="16" t="n"/>
    </row>
    <row r="806">
      <c r="B806" s="17">
        <f>IF($C806="","",$D806&amp;"-"&amp;$F806&amp;"-"&amp;$K806)</f>
        <v/>
      </c>
      <c r="C806" s="16" t="n"/>
      <c r="D806" s="17">
        <f>IF($C806="","",IFERROR(INDEX(rngCadetPIDs,MATCH($C806,rngCadetNames,0)),"?"))</f>
        <v/>
      </c>
      <c r="E806" s="17">
        <f>IF($D806="","",IFERROR(INDEX(nrCadetAgency,MATCH($D806,rngCadetPIDs,0)),""))</f>
        <v/>
      </c>
      <c r="F806" s="16" t="n"/>
      <c r="G806" s="17">
        <f>IF($F806="","",IFERROR(INDEX(rngEPname,MATCH($F806,rngEPcode,0)),"?"))</f>
        <v/>
      </c>
      <c r="H806" s="17">
        <f>IF($F806="","",IFERROR(INDEX(rngEPtype,MATCH($F806,rngEPcode,0)),"?"))</f>
        <v/>
      </c>
      <c r="I806" s="17">
        <f>IF($F806="","",IFERROR(INDEX(rngEPseq,MATCH($F806,rngEPcode,0)),""))</f>
        <v/>
      </c>
      <c r="J806" s="17">
        <f>IF($F806="","",IFERROR(INDEX(rngEPpass,MATCH($F806,rngEPcode,0)),cfgPassingScore))</f>
        <v/>
      </c>
      <c r="K806" s="16" t="n"/>
      <c r="L806" s="16" t="n"/>
      <c r="M806" s="17">
        <f>IF($C806="","",IF($L806="","",IF(NOT(ISNUMBER($L806)),$L806,IF(N($K806)&gt;2,"",IF($K806=1,IF(COUNTIFS(nrES_PID,$D806,nrES_Code,$F806,nrES_Att,2,nrES_Raw,"&gt;=0")&gt;0,"",$L806),IF($L806&gt;=$J806,MAX($J806,cfgRetakeRecordedCap),IF(COUNTIFS(nrES_PID,$D806,nrES_Code,$F806,nrES_Att,1)=0,$L806,SUMIFS(nrES_Raw,nrES_PID,$D806,nrES_Code,$F806,nrES_Att,1))))))))</f>
        <v/>
      </c>
      <c r="N806" s="17">
        <f>IF($C806="","",IF($L806="","",IF(NOT(ISNUMBER($L806)),"(not a score)",IF($L806&gt;=$J806,"Yes","No"))))</f>
        <v/>
      </c>
      <c r="O806" s="17">
        <f>IF($C806="","",IF($M806="","",IF(NOT(ISNUMBER($M806)),"(not a score)",IF($M806&gt;=$J806,"Yes","No"))))</f>
        <v/>
      </c>
      <c r="P806" s="17">
        <f>IF($C806="","",IF($K806="","",IF(N($K806)&gt;2,"No",IF(COUNTIFS(nrES_PID,$D806,nrES_Code,$F806,nrES_Att,"&gt;"&amp;$K806,nrES_Att,"&lt;=2",nrES_Raw,"&gt;=0")=0,"Yes","No"))))</f>
        <v/>
      </c>
      <c r="Q806" s="17">
        <f>IF($C806="","",IF($L806="","",IF(AND($K806=1,ISNUMBER($L806),$L806&lt;$J806,COUNTIFS(nrES_PID,$D806,nrES_Code,$F806,nrES_Att,2,nrES_Raw,"&gt;=0")=0),"Yes","No")))</f>
        <v/>
      </c>
      <c r="R806" s="17">
        <f>IF($C806="","",IF($L806="","",IF(AND(N($K806)&gt;=2,ISNUMBER($L806),$L806&lt;$J806),"Yes","No")))</f>
        <v/>
      </c>
      <c r="S806" s="18" t="n"/>
      <c r="T806" s="19">
        <f>IF(OR($C806="",$L806="",$K806&lt;&gt;1,NOT(ISNUMBER($L806)),$L806&gt;=$J806),"",IF($S806="","(enter date)",_xlfn.LET(_xlpm.dn,_xlfn.XLOOKUP($S806,nrCDdate,nrCDnum,"",1),IF(_xlpm.dn="","(after last class day)",_xlfn.LET(_xlpm.dd,_xlfn.XLOOKUP(_xlpm.dn+cfgRetestClassDays,nrCDnum,nrCDdate,""),_xlpm.ok,_xlfn.XLOOKUP(_xlpm.dn+cfgRetestClassDays,nrCDnum,nrCDinsession,"No"),IF(OR(_xlpm.dd="",_xlpm.ok&lt;&gt;"Yes"),"(after last class day)",_xlpm.dd))))))</f>
        <v/>
      </c>
      <c r="U806" s="17">
        <f>IF($C806="","",IF(AND($Y806="Excused",$L806="",N($K806)&lt;=1),"EXCUSED - 1st attempt pending",IF(OR($L806="",$K806&lt;&gt;1,NOT(ISNUMBER($L806)),$L806&gt;=$J806),"",IF(COUNTIFS(nrES_PID,$D806,nrES_Code,$F806,nrES_Att,2,nrES_Raw,"&gt;=0")&gt;0,IF(IFERROR(_xlfn.MINIFS(nrES_Date,nrES_PID,$D806,nrES_Code,$F806,nrES_Att,2,nrES_Raw,"&gt;=0",nrES_Date,"&gt;0"),0)=0,"RETEST UNDATED",IF(NOT(ISNUMBER($T806)),"RETEST DATE UNCHECKED",IF(_xlfn.MINIFS(nrES_Date,nrES_PID,$D806,nrES_Code,$F806,nrES_Att,2,nrES_Raw,"&gt;=0",nrES_Date,"&gt;0")&gt;$T806,"LATE RETEST "&amp;TEXT(_xlfn.MINIFS(nrES_Date,nrES_PID,$D806,nrES_Code,$F806,nrES_Att,2,nrES_Raw,"&gt;=0",nrES_Date,"&gt;0"),"mm/dd")&amp;" (due "&amp;TEXT($T806,"mm/dd")&amp;")","Retested"))),IF(NOT(ISNUMBER($T806)),"CHECK DATE",IF(TODAY()&gt;$T806,"OVERDUE","Due "&amp;TEXT($T806,"mm/dd")))))))</f>
        <v/>
      </c>
      <c r="V806" s="16" t="n"/>
      <c r="W806" s="16" t="n"/>
      <c r="X806" s="17">
        <f>IF($C806="","",IF(AND($L806&lt;&gt;"",NOT(ISNUMBER($L806))),"RAW SCORE NOT A NUMBER",IF(AND(ISNUMBER($L806),OR($L806&lt;0,$L806&gt;100)),"RAW SCORE OUT OF RANGE",IF(AND($Y806="Unexcused",OR($L806="",NOT(ISNUMBER($L806)),$L806&lt;&gt;0)),"UNEXCUSED ABSENCE MUST RECORD 0",IF(COUNTIF(nrES_RecID,$B806)&gt;1,"DUPLICATE RECORD",IF(N($K806)&gt;2,"ATTEMPT 3+ NOT ALLOWED - policy 300.5 permits one retest per exam; this row records nothing",IF(AND($K806=2,COUNTIFS(nrES_PID,$D806,nrES_Code,$F806,nrES_Att,1)=0),"ATTEMPT 2 WITHOUT ATTEMPT 1",IF(AND($K806=2,$L806=""),"RETEST ROW HAS NO SCORE",IF(AND($H806="Final",$L806&lt;&gt;"",IFERROR(INDEX(nrCKfinalExamElig,MATCH($D806,rngCadetPIDs,0)),"")="No"),"FINAL EXAM AFTER FAILED FINAL PT (500.1.H)",IF(AND($K806=2,ISNUMBER($L806),COUNTIFS(nrES_PID,$D806,nrES_Code,$F806,nrES_Att,1)&gt;0,SUMIFS(nrES_Raw,nrES_PID,$D806,nrES_Code,$F806,nrES_Att,1)&gt;=$J806),"RETEST AFTER A PASSING FIRST ATTEMPT","OK"))))))))))</f>
        <v/>
      </c>
      <c r="Y806" s="16" t="n"/>
    </row>
    <row r="807">
      <c r="B807" s="17">
        <f>IF($C807="","",$D807&amp;"-"&amp;$F807&amp;"-"&amp;$K807)</f>
        <v/>
      </c>
      <c r="C807" s="16" t="n"/>
      <c r="D807" s="17">
        <f>IF($C807="","",IFERROR(INDEX(rngCadetPIDs,MATCH($C807,rngCadetNames,0)),"?"))</f>
        <v/>
      </c>
      <c r="E807" s="17">
        <f>IF($D807="","",IFERROR(INDEX(nrCadetAgency,MATCH($D807,rngCadetPIDs,0)),""))</f>
        <v/>
      </c>
      <c r="F807" s="16" t="n"/>
      <c r="G807" s="17">
        <f>IF($F807="","",IFERROR(INDEX(rngEPname,MATCH($F807,rngEPcode,0)),"?"))</f>
        <v/>
      </c>
      <c r="H807" s="17">
        <f>IF($F807="","",IFERROR(INDEX(rngEPtype,MATCH($F807,rngEPcode,0)),"?"))</f>
        <v/>
      </c>
      <c r="I807" s="17">
        <f>IF($F807="","",IFERROR(INDEX(rngEPseq,MATCH($F807,rngEPcode,0)),""))</f>
        <v/>
      </c>
      <c r="J807" s="17">
        <f>IF($F807="","",IFERROR(INDEX(rngEPpass,MATCH($F807,rngEPcode,0)),cfgPassingScore))</f>
        <v/>
      </c>
      <c r="K807" s="16" t="n"/>
      <c r="L807" s="16" t="n"/>
      <c r="M807" s="17">
        <f>IF($C807="","",IF($L807="","",IF(NOT(ISNUMBER($L807)),$L807,IF(N($K807)&gt;2,"",IF($K807=1,IF(COUNTIFS(nrES_PID,$D807,nrES_Code,$F807,nrES_Att,2,nrES_Raw,"&gt;=0")&gt;0,"",$L807),IF($L807&gt;=$J807,MAX($J807,cfgRetakeRecordedCap),IF(COUNTIFS(nrES_PID,$D807,nrES_Code,$F807,nrES_Att,1)=0,$L807,SUMIFS(nrES_Raw,nrES_PID,$D807,nrES_Code,$F807,nrES_Att,1))))))))</f>
        <v/>
      </c>
      <c r="N807" s="17">
        <f>IF($C807="","",IF($L807="","",IF(NOT(ISNUMBER($L807)),"(not a score)",IF($L807&gt;=$J807,"Yes","No"))))</f>
        <v/>
      </c>
      <c r="O807" s="17">
        <f>IF($C807="","",IF($M807="","",IF(NOT(ISNUMBER($M807)),"(not a score)",IF($M807&gt;=$J807,"Yes","No"))))</f>
        <v/>
      </c>
      <c r="P807" s="17">
        <f>IF($C807="","",IF($K807="","",IF(N($K807)&gt;2,"No",IF(COUNTIFS(nrES_PID,$D807,nrES_Code,$F807,nrES_Att,"&gt;"&amp;$K807,nrES_Att,"&lt;=2",nrES_Raw,"&gt;=0")=0,"Yes","No"))))</f>
        <v/>
      </c>
      <c r="Q807" s="17">
        <f>IF($C807="","",IF($L807="","",IF(AND($K807=1,ISNUMBER($L807),$L807&lt;$J807,COUNTIFS(nrES_PID,$D807,nrES_Code,$F807,nrES_Att,2,nrES_Raw,"&gt;=0")=0),"Yes","No")))</f>
        <v/>
      </c>
      <c r="R807" s="17">
        <f>IF($C807="","",IF($L807="","",IF(AND(N($K807)&gt;=2,ISNUMBER($L807),$L807&lt;$J807),"Yes","No")))</f>
        <v/>
      </c>
      <c r="S807" s="18" t="n"/>
      <c r="T807" s="19">
        <f>IF(OR($C807="",$L807="",$K807&lt;&gt;1,NOT(ISNUMBER($L807)),$L807&gt;=$J807),"",IF($S807="","(enter date)",_xlfn.LET(_xlpm.dn,_xlfn.XLOOKUP($S807,nrCDdate,nrCDnum,"",1),IF(_xlpm.dn="","(after last class day)",_xlfn.LET(_xlpm.dd,_xlfn.XLOOKUP(_xlpm.dn+cfgRetestClassDays,nrCDnum,nrCDdate,""),_xlpm.ok,_xlfn.XLOOKUP(_xlpm.dn+cfgRetestClassDays,nrCDnum,nrCDinsession,"No"),IF(OR(_xlpm.dd="",_xlpm.ok&lt;&gt;"Yes"),"(after last class day)",_xlpm.dd))))))</f>
        <v/>
      </c>
      <c r="U807" s="17">
        <f>IF($C807="","",IF(AND($Y807="Excused",$L807="",N($K807)&lt;=1),"EXCUSED - 1st attempt pending",IF(OR($L807="",$K807&lt;&gt;1,NOT(ISNUMBER($L807)),$L807&gt;=$J807),"",IF(COUNTIFS(nrES_PID,$D807,nrES_Code,$F807,nrES_Att,2,nrES_Raw,"&gt;=0")&gt;0,IF(IFERROR(_xlfn.MINIFS(nrES_Date,nrES_PID,$D807,nrES_Code,$F807,nrES_Att,2,nrES_Raw,"&gt;=0",nrES_Date,"&gt;0"),0)=0,"RETEST UNDATED",IF(NOT(ISNUMBER($T807)),"RETEST DATE UNCHECKED",IF(_xlfn.MINIFS(nrES_Date,nrES_PID,$D807,nrES_Code,$F807,nrES_Att,2,nrES_Raw,"&gt;=0",nrES_Date,"&gt;0")&gt;$T807,"LATE RETEST "&amp;TEXT(_xlfn.MINIFS(nrES_Date,nrES_PID,$D807,nrES_Code,$F807,nrES_Att,2,nrES_Raw,"&gt;=0",nrES_Date,"&gt;0"),"mm/dd")&amp;" (due "&amp;TEXT($T807,"mm/dd")&amp;")","Retested"))),IF(NOT(ISNUMBER($T807)),"CHECK DATE",IF(TODAY()&gt;$T807,"OVERDUE","Due "&amp;TEXT($T807,"mm/dd")))))))</f>
        <v/>
      </c>
      <c r="V807" s="16" t="n"/>
      <c r="W807" s="16" t="n"/>
      <c r="X807" s="17">
        <f>IF($C807="","",IF(AND($L807&lt;&gt;"",NOT(ISNUMBER($L807))),"RAW SCORE NOT A NUMBER",IF(AND(ISNUMBER($L807),OR($L807&lt;0,$L807&gt;100)),"RAW SCORE OUT OF RANGE",IF(AND($Y807="Unexcused",OR($L807="",NOT(ISNUMBER($L807)),$L807&lt;&gt;0)),"UNEXCUSED ABSENCE MUST RECORD 0",IF(COUNTIF(nrES_RecID,$B807)&gt;1,"DUPLICATE RECORD",IF(N($K807)&gt;2,"ATTEMPT 3+ NOT ALLOWED - policy 300.5 permits one retest per exam; this row records nothing",IF(AND($K807=2,COUNTIFS(nrES_PID,$D807,nrES_Code,$F807,nrES_Att,1)=0),"ATTEMPT 2 WITHOUT ATTEMPT 1",IF(AND($K807=2,$L807=""),"RETEST ROW HAS NO SCORE",IF(AND($H807="Final",$L807&lt;&gt;"",IFERROR(INDEX(nrCKfinalExamElig,MATCH($D807,rngCadetPIDs,0)),"")="No"),"FINAL EXAM AFTER FAILED FINAL PT (500.1.H)",IF(AND($K807=2,ISNUMBER($L807),COUNTIFS(nrES_PID,$D807,nrES_Code,$F807,nrES_Att,1)&gt;0,SUMIFS(nrES_Raw,nrES_PID,$D807,nrES_Code,$F807,nrES_Att,1)&gt;=$J807),"RETEST AFTER A PASSING FIRST ATTEMPT","OK"))))))))))</f>
        <v/>
      </c>
      <c r="Y807" s="16" t="n"/>
    </row>
    <row r="808">
      <c r="B808" s="17">
        <f>IF($C808="","",$D808&amp;"-"&amp;$F808&amp;"-"&amp;$K808)</f>
        <v/>
      </c>
      <c r="C808" s="16" t="n"/>
      <c r="D808" s="17">
        <f>IF($C808="","",IFERROR(INDEX(rngCadetPIDs,MATCH($C808,rngCadetNames,0)),"?"))</f>
        <v/>
      </c>
      <c r="E808" s="17">
        <f>IF($D808="","",IFERROR(INDEX(nrCadetAgency,MATCH($D808,rngCadetPIDs,0)),""))</f>
        <v/>
      </c>
      <c r="F808" s="16" t="n"/>
      <c r="G808" s="17">
        <f>IF($F808="","",IFERROR(INDEX(rngEPname,MATCH($F808,rngEPcode,0)),"?"))</f>
        <v/>
      </c>
      <c r="H808" s="17">
        <f>IF($F808="","",IFERROR(INDEX(rngEPtype,MATCH($F808,rngEPcode,0)),"?"))</f>
        <v/>
      </c>
      <c r="I808" s="17">
        <f>IF($F808="","",IFERROR(INDEX(rngEPseq,MATCH($F808,rngEPcode,0)),""))</f>
        <v/>
      </c>
      <c r="J808" s="17">
        <f>IF($F808="","",IFERROR(INDEX(rngEPpass,MATCH($F808,rngEPcode,0)),cfgPassingScore))</f>
        <v/>
      </c>
      <c r="K808" s="16" t="n"/>
      <c r="L808" s="16" t="n"/>
      <c r="M808" s="17">
        <f>IF($C808="","",IF($L808="","",IF(NOT(ISNUMBER($L808)),$L808,IF(N($K808)&gt;2,"",IF($K808=1,IF(COUNTIFS(nrES_PID,$D808,nrES_Code,$F808,nrES_Att,2,nrES_Raw,"&gt;=0")&gt;0,"",$L808),IF($L808&gt;=$J808,MAX($J808,cfgRetakeRecordedCap),IF(COUNTIFS(nrES_PID,$D808,nrES_Code,$F808,nrES_Att,1)=0,$L808,SUMIFS(nrES_Raw,nrES_PID,$D808,nrES_Code,$F808,nrES_Att,1))))))))</f>
        <v/>
      </c>
      <c r="N808" s="17">
        <f>IF($C808="","",IF($L808="","",IF(NOT(ISNUMBER($L808)),"(not a score)",IF($L808&gt;=$J808,"Yes","No"))))</f>
        <v/>
      </c>
      <c r="O808" s="17">
        <f>IF($C808="","",IF($M808="","",IF(NOT(ISNUMBER($M808)),"(not a score)",IF($M808&gt;=$J808,"Yes","No"))))</f>
        <v/>
      </c>
      <c r="P808" s="17">
        <f>IF($C808="","",IF($K808="","",IF(N($K808)&gt;2,"No",IF(COUNTIFS(nrES_PID,$D808,nrES_Code,$F808,nrES_Att,"&gt;"&amp;$K808,nrES_Att,"&lt;=2",nrES_Raw,"&gt;=0")=0,"Yes","No"))))</f>
        <v/>
      </c>
      <c r="Q808" s="17">
        <f>IF($C808="","",IF($L808="","",IF(AND($K808=1,ISNUMBER($L808),$L808&lt;$J808,COUNTIFS(nrES_PID,$D808,nrES_Code,$F808,nrES_Att,2,nrES_Raw,"&gt;=0")=0),"Yes","No")))</f>
        <v/>
      </c>
      <c r="R808" s="17">
        <f>IF($C808="","",IF($L808="","",IF(AND(N($K808)&gt;=2,ISNUMBER($L808),$L808&lt;$J808),"Yes","No")))</f>
        <v/>
      </c>
      <c r="S808" s="18" t="n"/>
      <c r="T808" s="19">
        <f>IF(OR($C808="",$L808="",$K808&lt;&gt;1,NOT(ISNUMBER($L808)),$L808&gt;=$J808),"",IF($S808="","(enter date)",_xlfn.LET(_xlpm.dn,_xlfn.XLOOKUP($S808,nrCDdate,nrCDnum,"",1),IF(_xlpm.dn="","(after last class day)",_xlfn.LET(_xlpm.dd,_xlfn.XLOOKUP(_xlpm.dn+cfgRetestClassDays,nrCDnum,nrCDdate,""),_xlpm.ok,_xlfn.XLOOKUP(_xlpm.dn+cfgRetestClassDays,nrCDnum,nrCDinsession,"No"),IF(OR(_xlpm.dd="",_xlpm.ok&lt;&gt;"Yes"),"(after last class day)",_xlpm.dd))))))</f>
        <v/>
      </c>
      <c r="U808" s="17">
        <f>IF($C808="","",IF(AND($Y808="Excused",$L808="",N($K808)&lt;=1),"EXCUSED - 1st attempt pending",IF(OR($L808="",$K808&lt;&gt;1,NOT(ISNUMBER($L808)),$L808&gt;=$J808),"",IF(COUNTIFS(nrES_PID,$D808,nrES_Code,$F808,nrES_Att,2,nrES_Raw,"&gt;=0")&gt;0,IF(IFERROR(_xlfn.MINIFS(nrES_Date,nrES_PID,$D808,nrES_Code,$F808,nrES_Att,2,nrES_Raw,"&gt;=0",nrES_Date,"&gt;0"),0)=0,"RETEST UNDATED",IF(NOT(ISNUMBER($T808)),"RETEST DATE UNCHECKED",IF(_xlfn.MINIFS(nrES_Date,nrES_PID,$D808,nrES_Code,$F808,nrES_Att,2,nrES_Raw,"&gt;=0",nrES_Date,"&gt;0")&gt;$T808,"LATE RETEST "&amp;TEXT(_xlfn.MINIFS(nrES_Date,nrES_PID,$D808,nrES_Code,$F808,nrES_Att,2,nrES_Raw,"&gt;=0",nrES_Date,"&gt;0"),"mm/dd")&amp;" (due "&amp;TEXT($T808,"mm/dd")&amp;")","Retested"))),IF(NOT(ISNUMBER($T808)),"CHECK DATE",IF(TODAY()&gt;$T808,"OVERDUE","Due "&amp;TEXT($T808,"mm/dd")))))))</f>
        <v/>
      </c>
      <c r="V808" s="16" t="n"/>
      <c r="W808" s="16" t="n"/>
      <c r="X808" s="17">
        <f>IF($C808="","",IF(AND($L808&lt;&gt;"",NOT(ISNUMBER($L808))),"RAW SCORE NOT A NUMBER",IF(AND(ISNUMBER($L808),OR($L808&lt;0,$L808&gt;100)),"RAW SCORE OUT OF RANGE",IF(AND($Y808="Unexcused",OR($L808="",NOT(ISNUMBER($L808)),$L808&lt;&gt;0)),"UNEXCUSED ABSENCE MUST RECORD 0",IF(COUNTIF(nrES_RecID,$B808)&gt;1,"DUPLICATE RECORD",IF(N($K808)&gt;2,"ATTEMPT 3+ NOT ALLOWED - policy 300.5 permits one retest per exam; this row records nothing",IF(AND($K808=2,COUNTIFS(nrES_PID,$D808,nrES_Code,$F808,nrES_Att,1)=0),"ATTEMPT 2 WITHOUT ATTEMPT 1",IF(AND($K808=2,$L808=""),"RETEST ROW HAS NO SCORE",IF(AND($H808="Final",$L808&lt;&gt;"",IFERROR(INDEX(nrCKfinalExamElig,MATCH($D808,rngCadetPIDs,0)),"")="No"),"FINAL EXAM AFTER FAILED FINAL PT (500.1.H)",IF(AND($K808=2,ISNUMBER($L808),COUNTIFS(nrES_PID,$D808,nrES_Code,$F808,nrES_Att,1)&gt;0,SUMIFS(nrES_Raw,nrES_PID,$D808,nrES_Code,$F808,nrES_Att,1)&gt;=$J808),"RETEST AFTER A PASSING FIRST ATTEMPT","OK"))))))))))</f>
        <v/>
      </c>
      <c r="Y808" s="16" t="n"/>
    </row>
    <row r="809">
      <c r="B809" s="17">
        <f>IF($C809="","",$D809&amp;"-"&amp;$F809&amp;"-"&amp;$K809)</f>
        <v/>
      </c>
      <c r="C809" s="16" t="n"/>
      <c r="D809" s="17">
        <f>IF($C809="","",IFERROR(INDEX(rngCadetPIDs,MATCH($C809,rngCadetNames,0)),"?"))</f>
        <v/>
      </c>
      <c r="E809" s="17">
        <f>IF($D809="","",IFERROR(INDEX(nrCadetAgency,MATCH($D809,rngCadetPIDs,0)),""))</f>
        <v/>
      </c>
      <c r="F809" s="16" t="n"/>
      <c r="G809" s="17">
        <f>IF($F809="","",IFERROR(INDEX(rngEPname,MATCH($F809,rngEPcode,0)),"?"))</f>
        <v/>
      </c>
      <c r="H809" s="17">
        <f>IF($F809="","",IFERROR(INDEX(rngEPtype,MATCH($F809,rngEPcode,0)),"?"))</f>
        <v/>
      </c>
      <c r="I809" s="17">
        <f>IF($F809="","",IFERROR(INDEX(rngEPseq,MATCH($F809,rngEPcode,0)),""))</f>
        <v/>
      </c>
      <c r="J809" s="17">
        <f>IF($F809="","",IFERROR(INDEX(rngEPpass,MATCH($F809,rngEPcode,0)),cfgPassingScore))</f>
        <v/>
      </c>
      <c r="K809" s="16" t="n"/>
      <c r="L809" s="16" t="n"/>
      <c r="M809" s="17">
        <f>IF($C809="","",IF($L809="","",IF(NOT(ISNUMBER($L809)),$L809,IF(N($K809)&gt;2,"",IF($K809=1,IF(COUNTIFS(nrES_PID,$D809,nrES_Code,$F809,nrES_Att,2,nrES_Raw,"&gt;=0")&gt;0,"",$L809),IF($L809&gt;=$J809,MAX($J809,cfgRetakeRecordedCap),IF(COUNTIFS(nrES_PID,$D809,nrES_Code,$F809,nrES_Att,1)=0,$L809,SUMIFS(nrES_Raw,nrES_PID,$D809,nrES_Code,$F809,nrES_Att,1))))))))</f>
        <v/>
      </c>
      <c r="N809" s="17">
        <f>IF($C809="","",IF($L809="","",IF(NOT(ISNUMBER($L809)),"(not a score)",IF($L809&gt;=$J809,"Yes","No"))))</f>
        <v/>
      </c>
      <c r="O809" s="17">
        <f>IF($C809="","",IF($M809="","",IF(NOT(ISNUMBER($M809)),"(not a score)",IF($M809&gt;=$J809,"Yes","No"))))</f>
        <v/>
      </c>
      <c r="P809" s="17">
        <f>IF($C809="","",IF($K809="","",IF(N($K809)&gt;2,"No",IF(COUNTIFS(nrES_PID,$D809,nrES_Code,$F809,nrES_Att,"&gt;"&amp;$K809,nrES_Att,"&lt;=2",nrES_Raw,"&gt;=0")=0,"Yes","No"))))</f>
        <v/>
      </c>
      <c r="Q809" s="17">
        <f>IF($C809="","",IF($L809="","",IF(AND($K809=1,ISNUMBER($L809),$L809&lt;$J809,COUNTIFS(nrES_PID,$D809,nrES_Code,$F809,nrES_Att,2,nrES_Raw,"&gt;=0")=0),"Yes","No")))</f>
        <v/>
      </c>
      <c r="R809" s="17">
        <f>IF($C809="","",IF($L809="","",IF(AND(N($K809)&gt;=2,ISNUMBER($L809),$L809&lt;$J809),"Yes","No")))</f>
        <v/>
      </c>
      <c r="S809" s="18" t="n"/>
      <c r="T809" s="19">
        <f>IF(OR($C809="",$L809="",$K809&lt;&gt;1,NOT(ISNUMBER($L809)),$L809&gt;=$J809),"",IF($S809="","(enter date)",_xlfn.LET(_xlpm.dn,_xlfn.XLOOKUP($S809,nrCDdate,nrCDnum,"",1),IF(_xlpm.dn="","(after last class day)",_xlfn.LET(_xlpm.dd,_xlfn.XLOOKUP(_xlpm.dn+cfgRetestClassDays,nrCDnum,nrCDdate,""),_xlpm.ok,_xlfn.XLOOKUP(_xlpm.dn+cfgRetestClassDays,nrCDnum,nrCDinsession,"No"),IF(OR(_xlpm.dd="",_xlpm.ok&lt;&gt;"Yes"),"(after last class day)",_xlpm.dd))))))</f>
        <v/>
      </c>
      <c r="U809" s="17">
        <f>IF($C809="","",IF(AND($Y809="Excused",$L809="",N($K809)&lt;=1),"EXCUSED - 1st attempt pending",IF(OR($L809="",$K809&lt;&gt;1,NOT(ISNUMBER($L809)),$L809&gt;=$J809),"",IF(COUNTIFS(nrES_PID,$D809,nrES_Code,$F809,nrES_Att,2,nrES_Raw,"&gt;=0")&gt;0,IF(IFERROR(_xlfn.MINIFS(nrES_Date,nrES_PID,$D809,nrES_Code,$F809,nrES_Att,2,nrES_Raw,"&gt;=0",nrES_Date,"&gt;0"),0)=0,"RETEST UNDATED",IF(NOT(ISNUMBER($T809)),"RETEST DATE UNCHECKED",IF(_xlfn.MINIFS(nrES_Date,nrES_PID,$D809,nrES_Code,$F809,nrES_Att,2,nrES_Raw,"&gt;=0",nrES_Date,"&gt;0")&gt;$T809,"LATE RETEST "&amp;TEXT(_xlfn.MINIFS(nrES_Date,nrES_PID,$D809,nrES_Code,$F809,nrES_Att,2,nrES_Raw,"&gt;=0",nrES_Date,"&gt;0"),"mm/dd")&amp;" (due "&amp;TEXT($T809,"mm/dd")&amp;")","Retested"))),IF(NOT(ISNUMBER($T809)),"CHECK DATE",IF(TODAY()&gt;$T809,"OVERDUE","Due "&amp;TEXT($T809,"mm/dd")))))))</f>
        <v/>
      </c>
      <c r="V809" s="16" t="n"/>
      <c r="W809" s="16" t="n"/>
      <c r="X809" s="17">
        <f>IF($C809="","",IF(AND($L809&lt;&gt;"",NOT(ISNUMBER($L809))),"RAW SCORE NOT A NUMBER",IF(AND(ISNUMBER($L809),OR($L809&lt;0,$L809&gt;100)),"RAW SCORE OUT OF RANGE",IF(AND($Y809="Unexcused",OR($L809="",NOT(ISNUMBER($L809)),$L809&lt;&gt;0)),"UNEXCUSED ABSENCE MUST RECORD 0",IF(COUNTIF(nrES_RecID,$B809)&gt;1,"DUPLICATE RECORD",IF(N($K809)&gt;2,"ATTEMPT 3+ NOT ALLOWED - policy 300.5 permits one retest per exam; this row records nothing",IF(AND($K809=2,COUNTIFS(nrES_PID,$D809,nrES_Code,$F809,nrES_Att,1)=0),"ATTEMPT 2 WITHOUT ATTEMPT 1",IF(AND($K809=2,$L809=""),"RETEST ROW HAS NO SCORE",IF(AND($H809="Final",$L809&lt;&gt;"",IFERROR(INDEX(nrCKfinalExamElig,MATCH($D809,rngCadetPIDs,0)),"")="No"),"FINAL EXAM AFTER FAILED FINAL PT (500.1.H)",IF(AND($K809=2,ISNUMBER($L809),COUNTIFS(nrES_PID,$D809,nrES_Code,$F809,nrES_Att,1)&gt;0,SUMIFS(nrES_Raw,nrES_PID,$D809,nrES_Code,$F809,nrES_Att,1)&gt;=$J809),"RETEST AFTER A PASSING FIRST ATTEMPT","OK"))))))))))</f>
        <v/>
      </c>
      <c r="Y809" s="16" t="n"/>
    </row>
    <row r="810">
      <c r="B810" s="17">
        <f>IF($C810="","",$D810&amp;"-"&amp;$F810&amp;"-"&amp;$K810)</f>
        <v/>
      </c>
      <c r="C810" s="16" t="n"/>
      <c r="D810" s="17">
        <f>IF($C810="","",IFERROR(INDEX(rngCadetPIDs,MATCH($C810,rngCadetNames,0)),"?"))</f>
        <v/>
      </c>
      <c r="E810" s="17">
        <f>IF($D810="","",IFERROR(INDEX(nrCadetAgency,MATCH($D810,rngCadetPIDs,0)),""))</f>
        <v/>
      </c>
      <c r="F810" s="16" t="n"/>
      <c r="G810" s="17">
        <f>IF($F810="","",IFERROR(INDEX(rngEPname,MATCH($F810,rngEPcode,0)),"?"))</f>
        <v/>
      </c>
      <c r="H810" s="17">
        <f>IF($F810="","",IFERROR(INDEX(rngEPtype,MATCH($F810,rngEPcode,0)),"?"))</f>
        <v/>
      </c>
      <c r="I810" s="17">
        <f>IF($F810="","",IFERROR(INDEX(rngEPseq,MATCH($F810,rngEPcode,0)),""))</f>
        <v/>
      </c>
      <c r="J810" s="17">
        <f>IF($F810="","",IFERROR(INDEX(rngEPpass,MATCH($F810,rngEPcode,0)),cfgPassingScore))</f>
        <v/>
      </c>
      <c r="K810" s="16" t="n"/>
      <c r="L810" s="16" t="n"/>
      <c r="M810" s="17">
        <f>IF($C810="","",IF($L810="","",IF(NOT(ISNUMBER($L810)),$L810,IF(N($K810)&gt;2,"",IF($K810=1,IF(COUNTIFS(nrES_PID,$D810,nrES_Code,$F810,nrES_Att,2,nrES_Raw,"&gt;=0")&gt;0,"",$L810),IF($L810&gt;=$J810,MAX($J810,cfgRetakeRecordedCap),IF(COUNTIFS(nrES_PID,$D810,nrES_Code,$F810,nrES_Att,1)=0,$L810,SUMIFS(nrES_Raw,nrES_PID,$D810,nrES_Code,$F810,nrES_Att,1))))))))</f>
        <v/>
      </c>
      <c r="N810" s="17">
        <f>IF($C810="","",IF($L810="","",IF(NOT(ISNUMBER($L810)),"(not a score)",IF($L810&gt;=$J810,"Yes","No"))))</f>
        <v/>
      </c>
      <c r="O810" s="17">
        <f>IF($C810="","",IF($M810="","",IF(NOT(ISNUMBER($M810)),"(not a score)",IF($M810&gt;=$J810,"Yes","No"))))</f>
        <v/>
      </c>
      <c r="P810" s="17">
        <f>IF($C810="","",IF($K810="","",IF(N($K810)&gt;2,"No",IF(COUNTIFS(nrES_PID,$D810,nrES_Code,$F810,nrES_Att,"&gt;"&amp;$K810,nrES_Att,"&lt;=2",nrES_Raw,"&gt;=0")=0,"Yes","No"))))</f>
        <v/>
      </c>
      <c r="Q810" s="17">
        <f>IF($C810="","",IF($L810="","",IF(AND($K810=1,ISNUMBER($L810),$L810&lt;$J810,COUNTIFS(nrES_PID,$D810,nrES_Code,$F810,nrES_Att,2,nrES_Raw,"&gt;=0")=0),"Yes","No")))</f>
        <v/>
      </c>
      <c r="R810" s="17">
        <f>IF($C810="","",IF($L810="","",IF(AND(N($K810)&gt;=2,ISNUMBER($L810),$L810&lt;$J810),"Yes","No")))</f>
        <v/>
      </c>
      <c r="S810" s="18" t="n"/>
      <c r="T810" s="19">
        <f>IF(OR($C810="",$L810="",$K810&lt;&gt;1,NOT(ISNUMBER($L810)),$L810&gt;=$J810),"",IF($S810="","(enter date)",_xlfn.LET(_xlpm.dn,_xlfn.XLOOKUP($S810,nrCDdate,nrCDnum,"",1),IF(_xlpm.dn="","(after last class day)",_xlfn.LET(_xlpm.dd,_xlfn.XLOOKUP(_xlpm.dn+cfgRetestClassDays,nrCDnum,nrCDdate,""),_xlpm.ok,_xlfn.XLOOKUP(_xlpm.dn+cfgRetestClassDays,nrCDnum,nrCDinsession,"No"),IF(OR(_xlpm.dd="",_xlpm.ok&lt;&gt;"Yes"),"(after last class day)",_xlpm.dd))))))</f>
        <v/>
      </c>
      <c r="U810" s="17">
        <f>IF($C810="","",IF(AND($Y810="Excused",$L810="",N($K810)&lt;=1),"EXCUSED - 1st attempt pending",IF(OR($L810="",$K810&lt;&gt;1,NOT(ISNUMBER($L810)),$L810&gt;=$J810),"",IF(COUNTIFS(nrES_PID,$D810,nrES_Code,$F810,nrES_Att,2,nrES_Raw,"&gt;=0")&gt;0,IF(IFERROR(_xlfn.MINIFS(nrES_Date,nrES_PID,$D810,nrES_Code,$F810,nrES_Att,2,nrES_Raw,"&gt;=0",nrES_Date,"&gt;0"),0)=0,"RETEST UNDATED",IF(NOT(ISNUMBER($T810)),"RETEST DATE UNCHECKED",IF(_xlfn.MINIFS(nrES_Date,nrES_PID,$D810,nrES_Code,$F810,nrES_Att,2,nrES_Raw,"&gt;=0",nrES_Date,"&gt;0")&gt;$T810,"LATE RETEST "&amp;TEXT(_xlfn.MINIFS(nrES_Date,nrES_PID,$D810,nrES_Code,$F810,nrES_Att,2,nrES_Raw,"&gt;=0",nrES_Date,"&gt;0"),"mm/dd")&amp;" (due "&amp;TEXT($T810,"mm/dd")&amp;")","Retested"))),IF(NOT(ISNUMBER($T810)),"CHECK DATE",IF(TODAY()&gt;$T810,"OVERDUE","Due "&amp;TEXT($T810,"mm/dd")))))))</f>
        <v/>
      </c>
      <c r="V810" s="16" t="n"/>
      <c r="W810" s="16" t="n"/>
      <c r="X810" s="17">
        <f>IF($C810="","",IF(AND($L810&lt;&gt;"",NOT(ISNUMBER($L810))),"RAW SCORE NOT A NUMBER",IF(AND(ISNUMBER($L810),OR($L810&lt;0,$L810&gt;100)),"RAW SCORE OUT OF RANGE",IF(AND($Y810="Unexcused",OR($L810="",NOT(ISNUMBER($L810)),$L810&lt;&gt;0)),"UNEXCUSED ABSENCE MUST RECORD 0",IF(COUNTIF(nrES_RecID,$B810)&gt;1,"DUPLICATE RECORD",IF(N($K810)&gt;2,"ATTEMPT 3+ NOT ALLOWED - policy 300.5 permits one retest per exam; this row records nothing",IF(AND($K810=2,COUNTIFS(nrES_PID,$D810,nrES_Code,$F810,nrES_Att,1)=0),"ATTEMPT 2 WITHOUT ATTEMPT 1",IF(AND($K810=2,$L810=""),"RETEST ROW HAS NO SCORE",IF(AND($H810="Final",$L810&lt;&gt;"",IFERROR(INDEX(nrCKfinalExamElig,MATCH($D810,rngCadetPIDs,0)),"")="No"),"FINAL EXAM AFTER FAILED FINAL PT (500.1.H)",IF(AND($K810=2,ISNUMBER($L810),COUNTIFS(nrES_PID,$D810,nrES_Code,$F810,nrES_Att,1)&gt;0,SUMIFS(nrES_Raw,nrES_PID,$D810,nrES_Code,$F810,nrES_Att,1)&gt;=$J810),"RETEST AFTER A PASSING FIRST ATTEMPT","OK"))))))))))</f>
        <v/>
      </c>
      <c r="Y810" s="16" t="n"/>
    </row>
    <row r="811">
      <c r="B811" s="17">
        <f>IF($C811="","",$D811&amp;"-"&amp;$F811&amp;"-"&amp;$K811)</f>
        <v/>
      </c>
      <c r="C811" s="16" t="n"/>
      <c r="D811" s="17">
        <f>IF($C811="","",IFERROR(INDEX(rngCadetPIDs,MATCH($C811,rngCadetNames,0)),"?"))</f>
        <v/>
      </c>
      <c r="E811" s="17">
        <f>IF($D811="","",IFERROR(INDEX(nrCadetAgency,MATCH($D811,rngCadetPIDs,0)),""))</f>
        <v/>
      </c>
      <c r="F811" s="16" t="n"/>
      <c r="G811" s="17">
        <f>IF($F811="","",IFERROR(INDEX(rngEPname,MATCH($F811,rngEPcode,0)),"?"))</f>
        <v/>
      </c>
      <c r="H811" s="17">
        <f>IF($F811="","",IFERROR(INDEX(rngEPtype,MATCH($F811,rngEPcode,0)),"?"))</f>
        <v/>
      </c>
      <c r="I811" s="17">
        <f>IF($F811="","",IFERROR(INDEX(rngEPseq,MATCH($F811,rngEPcode,0)),""))</f>
        <v/>
      </c>
      <c r="J811" s="17">
        <f>IF($F811="","",IFERROR(INDEX(rngEPpass,MATCH($F811,rngEPcode,0)),cfgPassingScore))</f>
        <v/>
      </c>
      <c r="K811" s="16" t="n"/>
      <c r="L811" s="16" t="n"/>
      <c r="M811" s="17">
        <f>IF($C811="","",IF($L811="","",IF(NOT(ISNUMBER($L811)),$L811,IF(N($K811)&gt;2,"",IF($K811=1,IF(COUNTIFS(nrES_PID,$D811,nrES_Code,$F811,nrES_Att,2,nrES_Raw,"&gt;=0")&gt;0,"",$L811),IF($L811&gt;=$J811,MAX($J811,cfgRetakeRecordedCap),IF(COUNTIFS(nrES_PID,$D811,nrES_Code,$F811,nrES_Att,1)=0,$L811,SUMIFS(nrES_Raw,nrES_PID,$D811,nrES_Code,$F811,nrES_Att,1))))))))</f>
        <v/>
      </c>
      <c r="N811" s="17">
        <f>IF($C811="","",IF($L811="","",IF(NOT(ISNUMBER($L811)),"(not a score)",IF($L811&gt;=$J811,"Yes","No"))))</f>
        <v/>
      </c>
      <c r="O811" s="17">
        <f>IF($C811="","",IF($M811="","",IF(NOT(ISNUMBER($M811)),"(not a score)",IF($M811&gt;=$J811,"Yes","No"))))</f>
        <v/>
      </c>
      <c r="P811" s="17">
        <f>IF($C811="","",IF($K811="","",IF(N($K811)&gt;2,"No",IF(COUNTIFS(nrES_PID,$D811,nrES_Code,$F811,nrES_Att,"&gt;"&amp;$K811,nrES_Att,"&lt;=2",nrES_Raw,"&gt;=0")=0,"Yes","No"))))</f>
        <v/>
      </c>
      <c r="Q811" s="17">
        <f>IF($C811="","",IF($L811="","",IF(AND($K811=1,ISNUMBER($L811),$L811&lt;$J811,COUNTIFS(nrES_PID,$D811,nrES_Code,$F811,nrES_Att,2,nrES_Raw,"&gt;=0")=0),"Yes","No")))</f>
        <v/>
      </c>
      <c r="R811" s="17">
        <f>IF($C811="","",IF($L811="","",IF(AND(N($K811)&gt;=2,ISNUMBER($L811),$L811&lt;$J811),"Yes","No")))</f>
        <v/>
      </c>
      <c r="S811" s="18" t="n"/>
      <c r="T811" s="19">
        <f>IF(OR($C811="",$L811="",$K811&lt;&gt;1,NOT(ISNUMBER($L811)),$L811&gt;=$J811),"",IF($S811="","(enter date)",_xlfn.LET(_xlpm.dn,_xlfn.XLOOKUP($S811,nrCDdate,nrCDnum,"",1),IF(_xlpm.dn="","(after last class day)",_xlfn.LET(_xlpm.dd,_xlfn.XLOOKUP(_xlpm.dn+cfgRetestClassDays,nrCDnum,nrCDdate,""),_xlpm.ok,_xlfn.XLOOKUP(_xlpm.dn+cfgRetestClassDays,nrCDnum,nrCDinsession,"No"),IF(OR(_xlpm.dd="",_xlpm.ok&lt;&gt;"Yes"),"(after last class day)",_xlpm.dd))))))</f>
        <v/>
      </c>
      <c r="U811" s="17">
        <f>IF($C811="","",IF(AND($Y811="Excused",$L811="",N($K811)&lt;=1),"EXCUSED - 1st attempt pending",IF(OR($L811="",$K811&lt;&gt;1,NOT(ISNUMBER($L811)),$L811&gt;=$J811),"",IF(COUNTIFS(nrES_PID,$D811,nrES_Code,$F811,nrES_Att,2,nrES_Raw,"&gt;=0")&gt;0,IF(IFERROR(_xlfn.MINIFS(nrES_Date,nrES_PID,$D811,nrES_Code,$F811,nrES_Att,2,nrES_Raw,"&gt;=0",nrES_Date,"&gt;0"),0)=0,"RETEST UNDATED",IF(NOT(ISNUMBER($T811)),"RETEST DATE UNCHECKED",IF(_xlfn.MINIFS(nrES_Date,nrES_PID,$D811,nrES_Code,$F811,nrES_Att,2,nrES_Raw,"&gt;=0",nrES_Date,"&gt;0")&gt;$T811,"LATE RETEST "&amp;TEXT(_xlfn.MINIFS(nrES_Date,nrES_PID,$D811,nrES_Code,$F811,nrES_Att,2,nrES_Raw,"&gt;=0",nrES_Date,"&gt;0"),"mm/dd")&amp;" (due "&amp;TEXT($T811,"mm/dd")&amp;")","Retested"))),IF(NOT(ISNUMBER($T811)),"CHECK DATE",IF(TODAY()&gt;$T811,"OVERDUE","Due "&amp;TEXT($T811,"mm/dd")))))))</f>
        <v/>
      </c>
      <c r="V811" s="16" t="n"/>
      <c r="W811" s="16" t="n"/>
      <c r="X811" s="17">
        <f>IF($C811="","",IF(AND($L811&lt;&gt;"",NOT(ISNUMBER($L811))),"RAW SCORE NOT A NUMBER",IF(AND(ISNUMBER($L811),OR($L811&lt;0,$L811&gt;100)),"RAW SCORE OUT OF RANGE",IF(AND($Y811="Unexcused",OR($L811="",NOT(ISNUMBER($L811)),$L811&lt;&gt;0)),"UNEXCUSED ABSENCE MUST RECORD 0",IF(COUNTIF(nrES_RecID,$B811)&gt;1,"DUPLICATE RECORD",IF(N($K811)&gt;2,"ATTEMPT 3+ NOT ALLOWED - policy 300.5 permits one retest per exam; this row records nothing",IF(AND($K811=2,COUNTIFS(nrES_PID,$D811,nrES_Code,$F811,nrES_Att,1)=0),"ATTEMPT 2 WITHOUT ATTEMPT 1",IF(AND($K811=2,$L811=""),"RETEST ROW HAS NO SCORE",IF(AND($H811="Final",$L811&lt;&gt;"",IFERROR(INDEX(nrCKfinalExamElig,MATCH($D811,rngCadetPIDs,0)),"")="No"),"FINAL EXAM AFTER FAILED FINAL PT (500.1.H)",IF(AND($K811=2,ISNUMBER($L811),COUNTIFS(nrES_PID,$D811,nrES_Code,$F811,nrES_Att,1)&gt;0,SUMIFS(nrES_Raw,nrES_PID,$D811,nrES_Code,$F811,nrES_Att,1)&gt;=$J811),"RETEST AFTER A PASSING FIRST ATTEMPT","OK"))))))))))</f>
        <v/>
      </c>
      <c r="Y811" s="16" t="n"/>
    </row>
    <row r="812">
      <c r="B812" s="17">
        <f>IF($C812="","",$D812&amp;"-"&amp;$F812&amp;"-"&amp;$K812)</f>
        <v/>
      </c>
      <c r="C812" s="16" t="n"/>
      <c r="D812" s="17">
        <f>IF($C812="","",IFERROR(INDEX(rngCadetPIDs,MATCH($C812,rngCadetNames,0)),"?"))</f>
        <v/>
      </c>
      <c r="E812" s="17">
        <f>IF($D812="","",IFERROR(INDEX(nrCadetAgency,MATCH($D812,rngCadetPIDs,0)),""))</f>
        <v/>
      </c>
      <c r="F812" s="16" t="n"/>
      <c r="G812" s="17">
        <f>IF($F812="","",IFERROR(INDEX(rngEPname,MATCH($F812,rngEPcode,0)),"?"))</f>
        <v/>
      </c>
      <c r="H812" s="17">
        <f>IF($F812="","",IFERROR(INDEX(rngEPtype,MATCH($F812,rngEPcode,0)),"?"))</f>
        <v/>
      </c>
      <c r="I812" s="17">
        <f>IF($F812="","",IFERROR(INDEX(rngEPseq,MATCH($F812,rngEPcode,0)),""))</f>
        <v/>
      </c>
      <c r="J812" s="17">
        <f>IF($F812="","",IFERROR(INDEX(rngEPpass,MATCH($F812,rngEPcode,0)),cfgPassingScore))</f>
        <v/>
      </c>
      <c r="K812" s="16" t="n"/>
      <c r="L812" s="16" t="n"/>
      <c r="M812" s="17">
        <f>IF($C812="","",IF($L812="","",IF(NOT(ISNUMBER($L812)),$L812,IF(N($K812)&gt;2,"",IF($K812=1,IF(COUNTIFS(nrES_PID,$D812,nrES_Code,$F812,nrES_Att,2,nrES_Raw,"&gt;=0")&gt;0,"",$L812),IF($L812&gt;=$J812,MAX($J812,cfgRetakeRecordedCap),IF(COUNTIFS(nrES_PID,$D812,nrES_Code,$F812,nrES_Att,1)=0,$L812,SUMIFS(nrES_Raw,nrES_PID,$D812,nrES_Code,$F812,nrES_Att,1))))))))</f>
        <v/>
      </c>
      <c r="N812" s="17">
        <f>IF($C812="","",IF($L812="","",IF(NOT(ISNUMBER($L812)),"(not a score)",IF($L812&gt;=$J812,"Yes","No"))))</f>
        <v/>
      </c>
      <c r="O812" s="17">
        <f>IF($C812="","",IF($M812="","",IF(NOT(ISNUMBER($M812)),"(not a score)",IF($M812&gt;=$J812,"Yes","No"))))</f>
        <v/>
      </c>
      <c r="P812" s="17">
        <f>IF($C812="","",IF($K812="","",IF(N($K812)&gt;2,"No",IF(COUNTIFS(nrES_PID,$D812,nrES_Code,$F812,nrES_Att,"&gt;"&amp;$K812,nrES_Att,"&lt;=2",nrES_Raw,"&gt;=0")=0,"Yes","No"))))</f>
        <v/>
      </c>
      <c r="Q812" s="17">
        <f>IF($C812="","",IF($L812="","",IF(AND($K812=1,ISNUMBER($L812),$L812&lt;$J812,COUNTIFS(nrES_PID,$D812,nrES_Code,$F812,nrES_Att,2,nrES_Raw,"&gt;=0")=0),"Yes","No")))</f>
        <v/>
      </c>
      <c r="R812" s="17">
        <f>IF($C812="","",IF($L812="","",IF(AND(N($K812)&gt;=2,ISNUMBER($L812),$L812&lt;$J812),"Yes","No")))</f>
        <v/>
      </c>
      <c r="S812" s="18" t="n"/>
      <c r="T812" s="19">
        <f>IF(OR($C812="",$L812="",$K812&lt;&gt;1,NOT(ISNUMBER($L812)),$L812&gt;=$J812),"",IF($S812="","(enter date)",_xlfn.LET(_xlpm.dn,_xlfn.XLOOKUP($S812,nrCDdate,nrCDnum,"",1),IF(_xlpm.dn="","(after last class day)",_xlfn.LET(_xlpm.dd,_xlfn.XLOOKUP(_xlpm.dn+cfgRetestClassDays,nrCDnum,nrCDdate,""),_xlpm.ok,_xlfn.XLOOKUP(_xlpm.dn+cfgRetestClassDays,nrCDnum,nrCDinsession,"No"),IF(OR(_xlpm.dd="",_xlpm.ok&lt;&gt;"Yes"),"(after last class day)",_xlpm.dd))))))</f>
        <v/>
      </c>
      <c r="U812" s="17">
        <f>IF($C812="","",IF(AND($Y812="Excused",$L812="",N($K812)&lt;=1),"EXCUSED - 1st attempt pending",IF(OR($L812="",$K812&lt;&gt;1,NOT(ISNUMBER($L812)),$L812&gt;=$J812),"",IF(COUNTIFS(nrES_PID,$D812,nrES_Code,$F812,nrES_Att,2,nrES_Raw,"&gt;=0")&gt;0,IF(IFERROR(_xlfn.MINIFS(nrES_Date,nrES_PID,$D812,nrES_Code,$F812,nrES_Att,2,nrES_Raw,"&gt;=0",nrES_Date,"&gt;0"),0)=0,"RETEST UNDATED",IF(NOT(ISNUMBER($T812)),"RETEST DATE UNCHECKED",IF(_xlfn.MINIFS(nrES_Date,nrES_PID,$D812,nrES_Code,$F812,nrES_Att,2,nrES_Raw,"&gt;=0",nrES_Date,"&gt;0")&gt;$T812,"LATE RETEST "&amp;TEXT(_xlfn.MINIFS(nrES_Date,nrES_PID,$D812,nrES_Code,$F812,nrES_Att,2,nrES_Raw,"&gt;=0",nrES_Date,"&gt;0"),"mm/dd")&amp;" (due "&amp;TEXT($T812,"mm/dd")&amp;")","Retested"))),IF(NOT(ISNUMBER($T812)),"CHECK DATE",IF(TODAY()&gt;$T812,"OVERDUE","Due "&amp;TEXT($T812,"mm/dd")))))))</f>
        <v/>
      </c>
      <c r="V812" s="16" t="n"/>
      <c r="W812" s="16" t="n"/>
      <c r="X812" s="17">
        <f>IF($C812="","",IF(AND($L812&lt;&gt;"",NOT(ISNUMBER($L812))),"RAW SCORE NOT A NUMBER",IF(AND(ISNUMBER($L812),OR($L812&lt;0,$L812&gt;100)),"RAW SCORE OUT OF RANGE",IF(AND($Y812="Unexcused",OR($L812="",NOT(ISNUMBER($L812)),$L812&lt;&gt;0)),"UNEXCUSED ABSENCE MUST RECORD 0",IF(COUNTIF(nrES_RecID,$B812)&gt;1,"DUPLICATE RECORD",IF(N($K812)&gt;2,"ATTEMPT 3+ NOT ALLOWED - policy 300.5 permits one retest per exam; this row records nothing",IF(AND($K812=2,COUNTIFS(nrES_PID,$D812,nrES_Code,$F812,nrES_Att,1)=0),"ATTEMPT 2 WITHOUT ATTEMPT 1",IF(AND($K812=2,$L812=""),"RETEST ROW HAS NO SCORE",IF(AND($H812="Final",$L812&lt;&gt;"",IFERROR(INDEX(nrCKfinalExamElig,MATCH($D812,rngCadetPIDs,0)),"")="No"),"FINAL EXAM AFTER FAILED FINAL PT (500.1.H)",IF(AND($K812=2,ISNUMBER($L812),COUNTIFS(nrES_PID,$D812,nrES_Code,$F812,nrES_Att,1)&gt;0,SUMIFS(nrES_Raw,nrES_PID,$D812,nrES_Code,$F812,nrES_Att,1)&gt;=$J812),"RETEST AFTER A PASSING FIRST ATTEMPT","OK"))))))))))</f>
        <v/>
      </c>
      <c r="Y812" s="16" t="n"/>
    </row>
    <row r="813">
      <c r="B813" s="17">
        <f>IF($C813="","",$D813&amp;"-"&amp;$F813&amp;"-"&amp;$K813)</f>
        <v/>
      </c>
      <c r="C813" s="16" t="n"/>
      <c r="D813" s="17">
        <f>IF($C813="","",IFERROR(INDEX(rngCadetPIDs,MATCH($C813,rngCadetNames,0)),"?"))</f>
        <v/>
      </c>
      <c r="E813" s="17">
        <f>IF($D813="","",IFERROR(INDEX(nrCadetAgency,MATCH($D813,rngCadetPIDs,0)),""))</f>
        <v/>
      </c>
      <c r="F813" s="16" t="n"/>
      <c r="G813" s="17">
        <f>IF($F813="","",IFERROR(INDEX(rngEPname,MATCH($F813,rngEPcode,0)),"?"))</f>
        <v/>
      </c>
      <c r="H813" s="17">
        <f>IF($F813="","",IFERROR(INDEX(rngEPtype,MATCH($F813,rngEPcode,0)),"?"))</f>
        <v/>
      </c>
      <c r="I813" s="17">
        <f>IF($F813="","",IFERROR(INDEX(rngEPseq,MATCH($F813,rngEPcode,0)),""))</f>
        <v/>
      </c>
      <c r="J813" s="17">
        <f>IF($F813="","",IFERROR(INDEX(rngEPpass,MATCH($F813,rngEPcode,0)),cfgPassingScore))</f>
        <v/>
      </c>
      <c r="K813" s="16" t="n"/>
      <c r="L813" s="16" t="n"/>
      <c r="M813" s="17">
        <f>IF($C813="","",IF($L813="","",IF(NOT(ISNUMBER($L813)),$L813,IF(N($K813)&gt;2,"",IF($K813=1,IF(COUNTIFS(nrES_PID,$D813,nrES_Code,$F813,nrES_Att,2,nrES_Raw,"&gt;=0")&gt;0,"",$L813),IF($L813&gt;=$J813,MAX($J813,cfgRetakeRecordedCap),IF(COUNTIFS(nrES_PID,$D813,nrES_Code,$F813,nrES_Att,1)=0,$L813,SUMIFS(nrES_Raw,nrES_PID,$D813,nrES_Code,$F813,nrES_Att,1))))))))</f>
        <v/>
      </c>
      <c r="N813" s="17">
        <f>IF($C813="","",IF($L813="","",IF(NOT(ISNUMBER($L813)),"(not a score)",IF($L813&gt;=$J813,"Yes","No"))))</f>
        <v/>
      </c>
      <c r="O813" s="17">
        <f>IF($C813="","",IF($M813="","",IF(NOT(ISNUMBER($M813)),"(not a score)",IF($M813&gt;=$J813,"Yes","No"))))</f>
        <v/>
      </c>
      <c r="P813" s="17">
        <f>IF($C813="","",IF($K813="","",IF(N($K813)&gt;2,"No",IF(COUNTIFS(nrES_PID,$D813,nrES_Code,$F813,nrES_Att,"&gt;"&amp;$K813,nrES_Att,"&lt;=2",nrES_Raw,"&gt;=0")=0,"Yes","No"))))</f>
        <v/>
      </c>
      <c r="Q813" s="17">
        <f>IF($C813="","",IF($L813="","",IF(AND($K813=1,ISNUMBER($L813),$L813&lt;$J813,COUNTIFS(nrES_PID,$D813,nrES_Code,$F813,nrES_Att,2,nrES_Raw,"&gt;=0")=0),"Yes","No")))</f>
        <v/>
      </c>
      <c r="R813" s="17">
        <f>IF($C813="","",IF($L813="","",IF(AND(N($K813)&gt;=2,ISNUMBER($L813),$L813&lt;$J813),"Yes","No")))</f>
        <v/>
      </c>
      <c r="S813" s="18" t="n"/>
      <c r="T813" s="19">
        <f>IF(OR($C813="",$L813="",$K813&lt;&gt;1,NOT(ISNUMBER($L813)),$L813&gt;=$J813),"",IF($S813="","(enter date)",_xlfn.LET(_xlpm.dn,_xlfn.XLOOKUP($S813,nrCDdate,nrCDnum,"",1),IF(_xlpm.dn="","(after last class day)",_xlfn.LET(_xlpm.dd,_xlfn.XLOOKUP(_xlpm.dn+cfgRetestClassDays,nrCDnum,nrCDdate,""),_xlpm.ok,_xlfn.XLOOKUP(_xlpm.dn+cfgRetestClassDays,nrCDnum,nrCDinsession,"No"),IF(OR(_xlpm.dd="",_xlpm.ok&lt;&gt;"Yes"),"(after last class day)",_xlpm.dd))))))</f>
        <v/>
      </c>
      <c r="U813" s="17">
        <f>IF($C813="","",IF(AND($Y813="Excused",$L813="",N($K813)&lt;=1),"EXCUSED - 1st attempt pending",IF(OR($L813="",$K813&lt;&gt;1,NOT(ISNUMBER($L813)),$L813&gt;=$J813),"",IF(COUNTIFS(nrES_PID,$D813,nrES_Code,$F813,nrES_Att,2,nrES_Raw,"&gt;=0")&gt;0,IF(IFERROR(_xlfn.MINIFS(nrES_Date,nrES_PID,$D813,nrES_Code,$F813,nrES_Att,2,nrES_Raw,"&gt;=0",nrES_Date,"&gt;0"),0)=0,"RETEST UNDATED",IF(NOT(ISNUMBER($T813)),"RETEST DATE UNCHECKED",IF(_xlfn.MINIFS(nrES_Date,nrES_PID,$D813,nrES_Code,$F813,nrES_Att,2,nrES_Raw,"&gt;=0",nrES_Date,"&gt;0")&gt;$T813,"LATE RETEST "&amp;TEXT(_xlfn.MINIFS(nrES_Date,nrES_PID,$D813,nrES_Code,$F813,nrES_Att,2,nrES_Raw,"&gt;=0",nrES_Date,"&gt;0"),"mm/dd")&amp;" (due "&amp;TEXT($T813,"mm/dd")&amp;")","Retested"))),IF(NOT(ISNUMBER($T813)),"CHECK DATE",IF(TODAY()&gt;$T813,"OVERDUE","Due "&amp;TEXT($T813,"mm/dd")))))))</f>
        <v/>
      </c>
      <c r="V813" s="16" t="n"/>
      <c r="W813" s="16" t="n"/>
      <c r="X813" s="17">
        <f>IF($C813="","",IF(AND($L813&lt;&gt;"",NOT(ISNUMBER($L813))),"RAW SCORE NOT A NUMBER",IF(AND(ISNUMBER($L813),OR($L813&lt;0,$L813&gt;100)),"RAW SCORE OUT OF RANGE",IF(AND($Y813="Unexcused",OR($L813="",NOT(ISNUMBER($L813)),$L813&lt;&gt;0)),"UNEXCUSED ABSENCE MUST RECORD 0",IF(COUNTIF(nrES_RecID,$B813)&gt;1,"DUPLICATE RECORD",IF(N($K813)&gt;2,"ATTEMPT 3+ NOT ALLOWED - policy 300.5 permits one retest per exam; this row records nothing",IF(AND($K813=2,COUNTIFS(nrES_PID,$D813,nrES_Code,$F813,nrES_Att,1)=0),"ATTEMPT 2 WITHOUT ATTEMPT 1",IF(AND($K813=2,$L813=""),"RETEST ROW HAS NO SCORE",IF(AND($H813="Final",$L813&lt;&gt;"",IFERROR(INDEX(nrCKfinalExamElig,MATCH($D813,rngCadetPIDs,0)),"")="No"),"FINAL EXAM AFTER FAILED FINAL PT (500.1.H)",IF(AND($K813=2,ISNUMBER($L813),COUNTIFS(nrES_PID,$D813,nrES_Code,$F813,nrES_Att,1)&gt;0,SUMIFS(nrES_Raw,nrES_PID,$D813,nrES_Code,$F813,nrES_Att,1)&gt;=$J813),"RETEST AFTER A PASSING FIRST ATTEMPT","OK"))))))))))</f>
        <v/>
      </c>
      <c r="Y813" s="16" t="n"/>
    </row>
    <row r="814">
      <c r="B814" s="17">
        <f>IF($C814="","",$D814&amp;"-"&amp;$F814&amp;"-"&amp;$K814)</f>
        <v/>
      </c>
      <c r="C814" s="16" t="n"/>
      <c r="D814" s="17">
        <f>IF($C814="","",IFERROR(INDEX(rngCadetPIDs,MATCH($C814,rngCadetNames,0)),"?"))</f>
        <v/>
      </c>
      <c r="E814" s="17">
        <f>IF($D814="","",IFERROR(INDEX(nrCadetAgency,MATCH($D814,rngCadetPIDs,0)),""))</f>
        <v/>
      </c>
      <c r="F814" s="16" t="n"/>
      <c r="G814" s="17">
        <f>IF($F814="","",IFERROR(INDEX(rngEPname,MATCH($F814,rngEPcode,0)),"?"))</f>
        <v/>
      </c>
      <c r="H814" s="17">
        <f>IF($F814="","",IFERROR(INDEX(rngEPtype,MATCH($F814,rngEPcode,0)),"?"))</f>
        <v/>
      </c>
      <c r="I814" s="17">
        <f>IF($F814="","",IFERROR(INDEX(rngEPseq,MATCH($F814,rngEPcode,0)),""))</f>
        <v/>
      </c>
      <c r="J814" s="17">
        <f>IF($F814="","",IFERROR(INDEX(rngEPpass,MATCH($F814,rngEPcode,0)),cfgPassingScore))</f>
        <v/>
      </c>
      <c r="K814" s="16" t="n"/>
      <c r="L814" s="16" t="n"/>
      <c r="M814" s="17">
        <f>IF($C814="","",IF($L814="","",IF(NOT(ISNUMBER($L814)),$L814,IF(N($K814)&gt;2,"",IF($K814=1,IF(COUNTIFS(nrES_PID,$D814,nrES_Code,$F814,nrES_Att,2,nrES_Raw,"&gt;=0")&gt;0,"",$L814),IF($L814&gt;=$J814,MAX($J814,cfgRetakeRecordedCap),IF(COUNTIFS(nrES_PID,$D814,nrES_Code,$F814,nrES_Att,1)=0,$L814,SUMIFS(nrES_Raw,nrES_PID,$D814,nrES_Code,$F814,nrES_Att,1))))))))</f>
        <v/>
      </c>
      <c r="N814" s="17">
        <f>IF($C814="","",IF($L814="","",IF(NOT(ISNUMBER($L814)),"(not a score)",IF($L814&gt;=$J814,"Yes","No"))))</f>
        <v/>
      </c>
      <c r="O814" s="17">
        <f>IF($C814="","",IF($M814="","",IF(NOT(ISNUMBER($M814)),"(not a score)",IF($M814&gt;=$J814,"Yes","No"))))</f>
        <v/>
      </c>
      <c r="P814" s="17">
        <f>IF($C814="","",IF($K814="","",IF(N($K814)&gt;2,"No",IF(COUNTIFS(nrES_PID,$D814,nrES_Code,$F814,nrES_Att,"&gt;"&amp;$K814,nrES_Att,"&lt;=2",nrES_Raw,"&gt;=0")=0,"Yes","No"))))</f>
        <v/>
      </c>
      <c r="Q814" s="17">
        <f>IF($C814="","",IF($L814="","",IF(AND($K814=1,ISNUMBER($L814),$L814&lt;$J814,COUNTIFS(nrES_PID,$D814,nrES_Code,$F814,nrES_Att,2,nrES_Raw,"&gt;=0")=0),"Yes","No")))</f>
        <v/>
      </c>
      <c r="R814" s="17">
        <f>IF($C814="","",IF($L814="","",IF(AND(N($K814)&gt;=2,ISNUMBER($L814),$L814&lt;$J814),"Yes","No")))</f>
        <v/>
      </c>
      <c r="S814" s="18" t="n"/>
      <c r="T814" s="19">
        <f>IF(OR($C814="",$L814="",$K814&lt;&gt;1,NOT(ISNUMBER($L814)),$L814&gt;=$J814),"",IF($S814="","(enter date)",_xlfn.LET(_xlpm.dn,_xlfn.XLOOKUP($S814,nrCDdate,nrCDnum,"",1),IF(_xlpm.dn="","(after last class day)",_xlfn.LET(_xlpm.dd,_xlfn.XLOOKUP(_xlpm.dn+cfgRetestClassDays,nrCDnum,nrCDdate,""),_xlpm.ok,_xlfn.XLOOKUP(_xlpm.dn+cfgRetestClassDays,nrCDnum,nrCDinsession,"No"),IF(OR(_xlpm.dd="",_xlpm.ok&lt;&gt;"Yes"),"(after last class day)",_xlpm.dd))))))</f>
        <v/>
      </c>
      <c r="U814" s="17">
        <f>IF($C814="","",IF(AND($Y814="Excused",$L814="",N($K814)&lt;=1),"EXCUSED - 1st attempt pending",IF(OR($L814="",$K814&lt;&gt;1,NOT(ISNUMBER($L814)),$L814&gt;=$J814),"",IF(COUNTIFS(nrES_PID,$D814,nrES_Code,$F814,nrES_Att,2,nrES_Raw,"&gt;=0")&gt;0,IF(IFERROR(_xlfn.MINIFS(nrES_Date,nrES_PID,$D814,nrES_Code,$F814,nrES_Att,2,nrES_Raw,"&gt;=0",nrES_Date,"&gt;0"),0)=0,"RETEST UNDATED",IF(NOT(ISNUMBER($T814)),"RETEST DATE UNCHECKED",IF(_xlfn.MINIFS(nrES_Date,nrES_PID,$D814,nrES_Code,$F814,nrES_Att,2,nrES_Raw,"&gt;=0",nrES_Date,"&gt;0")&gt;$T814,"LATE RETEST "&amp;TEXT(_xlfn.MINIFS(nrES_Date,nrES_PID,$D814,nrES_Code,$F814,nrES_Att,2,nrES_Raw,"&gt;=0",nrES_Date,"&gt;0"),"mm/dd")&amp;" (due "&amp;TEXT($T814,"mm/dd")&amp;")","Retested"))),IF(NOT(ISNUMBER($T814)),"CHECK DATE",IF(TODAY()&gt;$T814,"OVERDUE","Due "&amp;TEXT($T814,"mm/dd")))))))</f>
        <v/>
      </c>
      <c r="V814" s="16" t="n"/>
      <c r="W814" s="16" t="n"/>
      <c r="X814" s="17">
        <f>IF($C814="","",IF(AND($L814&lt;&gt;"",NOT(ISNUMBER($L814))),"RAW SCORE NOT A NUMBER",IF(AND(ISNUMBER($L814),OR($L814&lt;0,$L814&gt;100)),"RAW SCORE OUT OF RANGE",IF(AND($Y814="Unexcused",OR($L814="",NOT(ISNUMBER($L814)),$L814&lt;&gt;0)),"UNEXCUSED ABSENCE MUST RECORD 0",IF(COUNTIF(nrES_RecID,$B814)&gt;1,"DUPLICATE RECORD",IF(N($K814)&gt;2,"ATTEMPT 3+ NOT ALLOWED - policy 300.5 permits one retest per exam; this row records nothing",IF(AND($K814=2,COUNTIFS(nrES_PID,$D814,nrES_Code,$F814,nrES_Att,1)=0),"ATTEMPT 2 WITHOUT ATTEMPT 1",IF(AND($K814=2,$L814=""),"RETEST ROW HAS NO SCORE",IF(AND($H814="Final",$L814&lt;&gt;"",IFERROR(INDEX(nrCKfinalExamElig,MATCH($D814,rngCadetPIDs,0)),"")="No"),"FINAL EXAM AFTER FAILED FINAL PT (500.1.H)",IF(AND($K814=2,ISNUMBER($L814),COUNTIFS(nrES_PID,$D814,nrES_Code,$F814,nrES_Att,1)&gt;0,SUMIFS(nrES_Raw,nrES_PID,$D814,nrES_Code,$F814,nrES_Att,1)&gt;=$J814),"RETEST AFTER A PASSING FIRST ATTEMPT","OK"))))))))))</f>
        <v/>
      </c>
      <c r="Y814" s="16" t="n"/>
    </row>
    <row r="815">
      <c r="B815" s="17">
        <f>IF($C815="","",$D815&amp;"-"&amp;$F815&amp;"-"&amp;$K815)</f>
        <v/>
      </c>
      <c r="C815" s="16" t="n"/>
      <c r="D815" s="17">
        <f>IF($C815="","",IFERROR(INDEX(rngCadetPIDs,MATCH($C815,rngCadetNames,0)),"?"))</f>
        <v/>
      </c>
      <c r="E815" s="17">
        <f>IF($D815="","",IFERROR(INDEX(nrCadetAgency,MATCH($D815,rngCadetPIDs,0)),""))</f>
        <v/>
      </c>
      <c r="F815" s="16" t="n"/>
      <c r="G815" s="17">
        <f>IF($F815="","",IFERROR(INDEX(rngEPname,MATCH($F815,rngEPcode,0)),"?"))</f>
        <v/>
      </c>
      <c r="H815" s="17">
        <f>IF($F815="","",IFERROR(INDEX(rngEPtype,MATCH($F815,rngEPcode,0)),"?"))</f>
        <v/>
      </c>
      <c r="I815" s="17">
        <f>IF($F815="","",IFERROR(INDEX(rngEPseq,MATCH($F815,rngEPcode,0)),""))</f>
        <v/>
      </c>
      <c r="J815" s="17">
        <f>IF($F815="","",IFERROR(INDEX(rngEPpass,MATCH($F815,rngEPcode,0)),cfgPassingScore))</f>
        <v/>
      </c>
      <c r="K815" s="16" t="n"/>
      <c r="L815" s="16" t="n"/>
      <c r="M815" s="17">
        <f>IF($C815="","",IF($L815="","",IF(NOT(ISNUMBER($L815)),$L815,IF(N($K815)&gt;2,"",IF($K815=1,IF(COUNTIFS(nrES_PID,$D815,nrES_Code,$F815,nrES_Att,2,nrES_Raw,"&gt;=0")&gt;0,"",$L815),IF($L815&gt;=$J815,MAX($J815,cfgRetakeRecordedCap),IF(COUNTIFS(nrES_PID,$D815,nrES_Code,$F815,nrES_Att,1)=0,$L815,SUMIFS(nrES_Raw,nrES_PID,$D815,nrES_Code,$F815,nrES_Att,1))))))))</f>
        <v/>
      </c>
      <c r="N815" s="17">
        <f>IF($C815="","",IF($L815="","",IF(NOT(ISNUMBER($L815)),"(not a score)",IF($L815&gt;=$J815,"Yes","No"))))</f>
        <v/>
      </c>
      <c r="O815" s="17">
        <f>IF($C815="","",IF($M815="","",IF(NOT(ISNUMBER($M815)),"(not a score)",IF($M815&gt;=$J815,"Yes","No"))))</f>
        <v/>
      </c>
      <c r="P815" s="17">
        <f>IF($C815="","",IF($K815="","",IF(N($K815)&gt;2,"No",IF(COUNTIFS(nrES_PID,$D815,nrES_Code,$F815,nrES_Att,"&gt;"&amp;$K815,nrES_Att,"&lt;=2",nrES_Raw,"&gt;=0")=0,"Yes","No"))))</f>
        <v/>
      </c>
      <c r="Q815" s="17">
        <f>IF($C815="","",IF($L815="","",IF(AND($K815=1,ISNUMBER($L815),$L815&lt;$J815,COUNTIFS(nrES_PID,$D815,nrES_Code,$F815,nrES_Att,2,nrES_Raw,"&gt;=0")=0),"Yes","No")))</f>
        <v/>
      </c>
      <c r="R815" s="17">
        <f>IF($C815="","",IF($L815="","",IF(AND(N($K815)&gt;=2,ISNUMBER($L815),$L815&lt;$J815),"Yes","No")))</f>
        <v/>
      </c>
      <c r="S815" s="18" t="n"/>
      <c r="T815" s="19">
        <f>IF(OR($C815="",$L815="",$K815&lt;&gt;1,NOT(ISNUMBER($L815)),$L815&gt;=$J815),"",IF($S815="","(enter date)",_xlfn.LET(_xlpm.dn,_xlfn.XLOOKUP($S815,nrCDdate,nrCDnum,"",1),IF(_xlpm.dn="","(after last class day)",_xlfn.LET(_xlpm.dd,_xlfn.XLOOKUP(_xlpm.dn+cfgRetestClassDays,nrCDnum,nrCDdate,""),_xlpm.ok,_xlfn.XLOOKUP(_xlpm.dn+cfgRetestClassDays,nrCDnum,nrCDinsession,"No"),IF(OR(_xlpm.dd="",_xlpm.ok&lt;&gt;"Yes"),"(after last class day)",_xlpm.dd))))))</f>
        <v/>
      </c>
      <c r="U815" s="17">
        <f>IF($C815="","",IF(AND($Y815="Excused",$L815="",N($K815)&lt;=1),"EXCUSED - 1st attempt pending",IF(OR($L815="",$K815&lt;&gt;1,NOT(ISNUMBER($L815)),$L815&gt;=$J815),"",IF(COUNTIFS(nrES_PID,$D815,nrES_Code,$F815,nrES_Att,2,nrES_Raw,"&gt;=0")&gt;0,IF(IFERROR(_xlfn.MINIFS(nrES_Date,nrES_PID,$D815,nrES_Code,$F815,nrES_Att,2,nrES_Raw,"&gt;=0",nrES_Date,"&gt;0"),0)=0,"RETEST UNDATED",IF(NOT(ISNUMBER($T815)),"RETEST DATE UNCHECKED",IF(_xlfn.MINIFS(nrES_Date,nrES_PID,$D815,nrES_Code,$F815,nrES_Att,2,nrES_Raw,"&gt;=0",nrES_Date,"&gt;0")&gt;$T815,"LATE RETEST "&amp;TEXT(_xlfn.MINIFS(nrES_Date,nrES_PID,$D815,nrES_Code,$F815,nrES_Att,2,nrES_Raw,"&gt;=0",nrES_Date,"&gt;0"),"mm/dd")&amp;" (due "&amp;TEXT($T815,"mm/dd")&amp;")","Retested"))),IF(NOT(ISNUMBER($T815)),"CHECK DATE",IF(TODAY()&gt;$T815,"OVERDUE","Due "&amp;TEXT($T815,"mm/dd")))))))</f>
        <v/>
      </c>
      <c r="V815" s="16" t="n"/>
      <c r="W815" s="16" t="n"/>
      <c r="X815" s="17">
        <f>IF($C815="","",IF(AND($L815&lt;&gt;"",NOT(ISNUMBER($L815))),"RAW SCORE NOT A NUMBER",IF(AND(ISNUMBER($L815),OR($L815&lt;0,$L815&gt;100)),"RAW SCORE OUT OF RANGE",IF(AND($Y815="Unexcused",OR($L815="",NOT(ISNUMBER($L815)),$L815&lt;&gt;0)),"UNEXCUSED ABSENCE MUST RECORD 0",IF(COUNTIF(nrES_RecID,$B815)&gt;1,"DUPLICATE RECORD",IF(N($K815)&gt;2,"ATTEMPT 3+ NOT ALLOWED - policy 300.5 permits one retest per exam; this row records nothing",IF(AND($K815=2,COUNTIFS(nrES_PID,$D815,nrES_Code,$F815,nrES_Att,1)=0),"ATTEMPT 2 WITHOUT ATTEMPT 1",IF(AND($K815=2,$L815=""),"RETEST ROW HAS NO SCORE",IF(AND($H815="Final",$L815&lt;&gt;"",IFERROR(INDEX(nrCKfinalExamElig,MATCH($D815,rngCadetPIDs,0)),"")="No"),"FINAL EXAM AFTER FAILED FINAL PT (500.1.H)",IF(AND($K815=2,ISNUMBER($L815),COUNTIFS(nrES_PID,$D815,nrES_Code,$F815,nrES_Att,1)&gt;0,SUMIFS(nrES_Raw,nrES_PID,$D815,nrES_Code,$F815,nrES_Att,1)&gt;=$J815),"RETEST AFTER A PASSING FIRST ATTEMPT","OK"))))))))))</f>
        <v/>
      </c>
      <c r="Y815" s="16" t="n"/>
    </row>
    <row r="816">
      <c r="B816" s="17">
        <f>IF($C816="","",$D816&amp;"-"&amp;$F816&amp;"-"&amp;$K816)</f>
        <v/>
      </c>
      <c r="C816" s="16" t="n"/>
      <c r="D816" s="17">
        <f>IF($C816="","",IFERROR(INDEX(rngCadetPIDs,MATCH($C816,rngCadetNames,0)),"?"))</f>
        <v/>
      </c>
      <c r="E816" s="17">
        <f>IF($D816="","",IFERROR(INDEX(nrCadetAgency,MATCH($D816,rngCadetPIDs,0)),""))</f>
        <v/>
      </c>
      <c r="F816" s="16" t="n"/>
      <c r="G816" s="17">
        <f>IF($F816="","",IFERROR(INDEX(rngEPname,MATCH($F816,rngEPcode,0)),"?"))</f>
        <v/>
      </c>
      <c r="H816" s="17">
        <f>IF($F816="","",IFERROR(INDEX(rngEPtype,MATCH($F816,rngEPcode,0)),"?"))</f>
        <v/>
      </c>
      <c r="I816" s="17">
        <f>IF($F816="","",IFERROR(INDEX(rngEPseq,MATCH($F816,rngEPcode,0)),""))</f>
        <v/>
      </c>
      <c r="J816" s="17">
        <f>IF($F816="","",IFERROR(INDEX(rngEPpass,MATCH($F816,rngEPcode,0)),cfgPassingScore))</f>
        <v/>
      </c>
      <c r="K816" s="16" t="n"/>
      <c r="L816" s="16" t="n"/>
      <c r="M816" s="17">
        <f>IF($C816="","",IF($L816="","",IF(NOT(ISNUMBER($L816)),$L816,IF(N($K816)&gt;2,"",IF($K816=1,IF(COUNTIFS(nrES_PID,$D816,nrES_Code,$F816,nrES_Att,2,nrES_Raw,"&gt;=0")&gt;0,"",$L816),IF($L816&gt;=$J816,MAX($J816,cfgRetakeRecordedCap),IF(COUNTIFS(nrES_PID,$D816,nrES_Code,$F816,nrES_Att,1)=0,$L816,SUMIFS(nrES_Raw,nrES_PID,$D816,nrES_Code,$F816,nrES_Att,1))))))))</f>
        <v/>
      </c>
      <c r="N816" s="17">
        <f>IF($C816="","",IF($L816="","",IF(NOT(ISNUMBER($L816)),"(not a score)",IF($L816&gt;=$J816,"Yes","No"))))</f>
        <v/>
      </c>
      <c r="O816" s="17">
        <f>IF($C816="","",IF($M816="","",IF(NOT(ISNUMBER($M816)),"(not a score)",IF($M816&gt;=$J816,"Yes","No"))))</f>
        <v/>
      </c>
      <c r="P816" s="17">
        <f>IF($C816="","",IF($K816="","",IF(N($K816)&gt;2,"No",IF(COUNTIFS(nrES_PID,$D816,nrES_Code,$F816,nrES_Att,"&gt;"&amp;$K816,nrES_Att,"&lt;=2",nrES_Raw,"&gt;=0")=0,"Yes","No"))))</f>
        <v/>
      </c>
      <c r="Q816" s="17">
        <f>IF($C816="","",IF($L816="","",IF(AND($K816=1,ISNUMBER($L816),$L816&lt;$J816,COUNTIFS(nrES_PID,$D816,nrES_Code,$F816,nrES_Att,2,nrES_Raw,"&gt;=0")=0),"Yes","No")))</f>
        <v/>
      </c>
      <c r="R816" s="17">
        <f>IF($C816="","",IF($L816="","",IF(AND(N($K816)&gt;=2,ISNUMBER($L816),$L816&lt;$J816),"Yes","No")))</f>
        <v/>
      </c>
      <c r="S816" s="18" t="n"/>
      <c r="T816" s="19">
        <f>IF(OR($C816="",$L816="",$K816&lt;&gt;1,NOT(ISNUMBER($L816)),$L816&gt;=$J816),"",IF($S816="","(enter date)",_xlfn.LET(_xlpm.dn,_xlfn.XLOOKUP($S816,nrCDdate,nrCDnum,"",1),IF(_xlpm.dn="","(after last class day)",_xlfn.LET(_xlpm.dd,_xlfn.XLOOKUP(_xlpm.dn+cfgRetestClassDays,nrCDnum,nrCDdate,""),_xlpm.ok,_xlfn.XLOOKUP(_xlpm.dn+cfgRetestClassDays,nrCDnum,nrCDinsession,"No"),IF(OR(_xlpm.dd="",_xlpm.ok&lt;&gt;"Yes"),"(after last class day)",_xlpm.dd))))))</f>
        <v/>
      </c>
      <c r="U816" s="17">
        <f>IF($C816="","",IF(AND($Y816="Excused",$L816="",N($K816)&lt;=1),"EXCUSED - 1st attempt pending",IF(OR($L816="",$K816&lt;&gt;1,NOT(ISNUMBER($L816)),$L816&gt;=$J816),"",IF(COUNTIFS(nrES_PID,$D816,nrES_Code,$F816,nrES_Att,2,nrES_Raw,"&gt;=0")&gt;0,IF(IFERROR(_xlfn.MINIFS(nrES_Date,nrES_PID,$D816,nrES_Code,$F816,nrES_Att,2,nrES_Raw,"&gt;=0",nrES_Date,"&gt;0"),0)=0,"RETEST UNDATED",IF(NOT(ISNUMBER($T816)),"RETEST DATE UNCHECKED",IF(_xlfn.MINIFS(nrES_Date,nrES_PID,$D816,nrES_Code,$F816,nrES_Att,2,nrES_Raw,"&gt;=0",nrES_Date,"&gt;0")&gt;$T816,"LATE RETEST "&amp;TEXT(_xlfn.MINIFS(nrES_Date,nrES_PID,$D816,nrES_Code,$F816,nrES_Att,2,nrES_Raw,"&gt;=0",nrES_Date,"&gt;0"),"mm/dd")&amp;" (due "&amp;TEXT($T816,"mm/dd")&amp;")","Retested"))),IF(NOT(ISNUMBER($T816)),"CHECK DATE",IF(TODAY()&gt;$T816,"OVERDUE","Due "&amp;TEXT($T816,"mm/dd")))))))</f>
        <v/>
      </c>
      <c r="V816" s="16" t="n"/>
      <c r="W816" s="16" t="n"/>
      <c r="X816" s="17">
        <f>IF($C816="","",IF(AND($L816&lt;&gt;"",NOT(ISNUMBER($L816))),"RAW SCORE NOT A NUMBER",IF(AND(ISNUMBER($L816),OR($L816&lt;0,$L816&gt;100)),"RAW SCORE OUT OF RANGE",IF(AND($Y816="Unexcused",OR($L816="",NOT(ISNUMBER($L816)),$L816&lt;&gt;0)),"UNEXCUSED ABSENCE MUST RECORD 0",IF(COUNTIF(nrES_RecID,$B816)&gt;1,"DUPLICATE RECORD",IF(N($K816)&gt;2,"ATTEMPT 3+ NOT ALLOWED - policy 300.5 permits one retest per exam; this row records nothing",IF(AND($K816=2,COUNTIFS(nrES_PID,$D816,nrES_Code,$F816,nrES_Att,1)=0),"ATTEMPT 2 WITHOUT ATTEMPT 1",IF(AND($K816=2,$L816=""),"RETEST ROW HAS NO SCORE",IF(AND($H816="Final",$L816&lt;&gt;"",IFERROR(INDEX(nrCKfinalExamElig,MATCH($D816,rngCadetPIDs,0)),"")="No"),"FINAL EXAM AFTER FAILED FINAL PT (500.1.H)",IF(AND($K816=2,ISNUMBER($L816),COUNTIFS(nrES_PID,$D816,nrES_Code,$F816,nrES_Att,1)&gt;0,SUMIFS(nrES_Raw,nrES_PID,$D816,nrES_Code,$F816,nrES_Att,1)&gt;=$J816),"RETEST AFTER A PASSING FIRST ATTEMPT","OK"))))))))))</f>
        <v/>
      </c>
      <c r="Y816" s="16" t="n"/>
    </row>
    <row r="817">
      <c r="B817" s="17">
        <f>IF($C817="","",$D817&amp;"-"&amp;$F817&amp;"-"&amp;$K817)</f>
        <v/>
      </c>
      <c r="C817" s="16" t="n"/>
      <c r="D817" s="17">
        <f>IF($C817="","",IFERROR(INDEX(rngCadetPIDs,MATCH($C817,rngCadetNames,0)),"?"))</f>
        <v/>
      </c>
      <c r="E817" s="17">
        <f>IF($D817="","",IFERROR(INDEX(nrCadetAgency,MATCH($D817,rngCadetPIDs,0)),""))</f>
        <v/>
      </c>
      <c r="F817" s="16" t="n"/>
      <c r="G817" s="17">
        <f>IF($F817="","",IFERROR(INDEX(rngEPname,MATCH($F817,rngEPcode,0)),"?"))</f>
        <v/>
      </c>
      <c r="H817" s="17">
        <f>IF($F817="","",IFERROR(INDEX(rngEPtype,MATCH($F817,rngEPcode,0)),"?"))</f>
        <v/>
      </c>
      <c r="I817" s="17">
        <f>IF($F817="","",IFERROR(INDEX(rngEPseq,MATCH($F817,rngEPcode,0)),""))</f>
        <v/>
      </c>
      <c r="J817" s="17">
        <f>IF($F817="","",IFERROR(INDEX(rngEPpass,MATCH($F817,rngEPcode,0)),cfgPassingScore))</f>
        <v/>
      </c>
      <c r="K817" s="16" t="n"/>
      <c r="L817" s="16" t="n"/>
      <c r="M817" s="17">
        <f>IF($C817="","",IF($L817="","",IF(NOT(ISNUMBER($L817)),$L817,IF(N($K817)&gt;2,"",IF($K817=1,IF(COUNTIFS(nrES_PID,$D817,nrES_Code,$F817,nrES_Att,2,nrES_Raw,"&gt;=0")&gt;0,"",$L817),IF($L817&gt;=$J817,MAX($J817,cfgRetakeRecordedCap),IF(COUNTIFS(nrES_PID,$D817,nrES_Code,$F817,nrES_Att,1)=0,$L817,SUMIFS(nrES_Raw,nrES_PID,$D817,nrES_Code,$F817,nrES_Att,1))))))))</f>
        <v/>
      </c>
      <c r="N817" s="17">
        <f>IF($C817="","",IF($L817="","",IF(NOT(ISNUMBER($L817)),"(not a score)",IF($L817&gt;=$J817,"Yes","No"))))</f>
        <v/>
      </c>
      <c r="O817" s="17">
        <f>IF($C817="","",IF($M817="","",IF(NOT(ISNUMBER($M817)),"(not a score)",IF($M817&gt;=$J817,"Yes","No"))))</f>
        <v/>
      </c>
      <c r="P817" s="17">
        <f>IF($C817="","",IF($K817="","",IF(N($K817)&gt;2,"No",IF(COUNTIFS(nrES_PID,$D817,nrES_Code,$F817,nrES_Att,"&gt;"&amp;$K817,nrES_Att,"&lt;=2",nrES_Raw,"&gt;=0")=0,"Yes","No"))))</f>
        <v/>
      </c>
      <c r="Q817" s="17">
        <f>IF($C817="","",IF($L817="","",IF(AND($K817=1,ISNUMBER($L817),$L817&lt;$J817,COUNTIFS(nrES_PID,$D817,nrES_Code,$F817,nrES_Att,2,nrES_Raw,"&gt;=0")=0),"Yes","No")))</f>
        <v/>
      </c>
      <c r="R817" s="17">
        <f>IF($C817="","",IF($L817="","",IF(AND(N($K817)&gt;=2,ISNUMBER($L817),$L817&lt;$J817),"Yes","No")))</f>
        <v/>
      </c>
      <c r="S817" s="18" t="n"/>
      <c r="T817" s="19">
        <f>IF(OR($C817="",$L817="",$K817&lt;&gt;1,NOT(ISNUMBER($L817)),$L817&gt;=$J817),"",IF($S817="","(enter date)",_xlfn.LET(_xlpm.dn,_xlfn.XLOOKUP($S817,nrCDdate,nrCDnum,"",1),IF(_xlpm.dn="","(after last class day)",_xlfn.LET(_xlpm.dd,_xlfn.XLOOKUP(_xlpm.dn+cfgRetestClassDays,nrCDnum,nrCDdate,""),_xlpm.ok,_xlfn.XLOOKUP(_xlpm.dn+cfgRetestClassDays,nrCDnum,nrCDinsession,"No"),IF(OR(_xlpm.dd="",_xlpm.ok&lt;&gt;"Yes"),"(after last class day)",_xlpm.dd))))))</f>
        <v/>
      </c>
      <c r="U817" s="17">
        <f>IF($C817="","",IF(AND($Y817="Excused",$L817="",N($K817)&lt;=1),"EXCUSED - 1st attempt pending",IF(OR($L817="",$K817&lt;&gt;1,NOT(ISNUMBER($L817)),$L817&gt;=$J817),"",IF(COUNTIFS(nrES_PID,$D817,nrES_Code,$F817,nrES_Att,2,nrES_Raw,"&gt;=0")&gt;0,IF(IFERROR(_xlfn.MINIFS(nrES_Date,nrES_PID,$D817,nrES_Code,$F817,nrES_Att,2,nrES_Raw,"&gt;=0",nrES_Date,"&gt;0"),0)=0,"RETEST UNDATED",IF(NOT(ISNUMBER($T817)),"RETEST DATE UNCHECKED",IF(_xlfn.MINIFS(nrES_Date,nrES_PID,$D817,nrES_Code,$F817,nrES_Att,2,nrES_Raw,"&gt;=0",nrES_Date,"&gt;0")&gt;$T817,"LATE RETEST "&amp;TEXT(_xlfn.MINIFS(nrES_Date,nrES_PID,$D817,nrES_Code,$F817,nrES_Att,2,nrES_Raw,"&gt;=0",nrES_Date,"&gt;0"),"mm/dd")&amp;" (due "&amp;TEXT($T817,"mm/dd")&amp;")","Retested"))),IF(NOT(ISNUMBER($T817)),"CHECK DATE",IF(TODAY()&gt;$T817,"OVERDUE","Due "&amp;TEXT($T817,"mm/dd")))))))</f>
        <v/>
      </c>
      <c r="V817" s="16" t="n"/>
      <c r="W817" s="16" t="n"/>
      <c r="X817" s="17">
        <f>IF($C817="","",IF(AND($L817&lt;&gt;"",NOT(ISNUMBER($L817))),"RAW SCORE NOT A NUMBER",IF(AND(ISNUMBER($L817),OR($L817&lt;0,$L817&gt;100)),"RAW SCORE OUT OF RANGE",IF(AND($Y817="Unexcused",OR($L817="",NOT(ISNUMBER($L817)),$L817&lt;&gt;0)),"UNEXCUSED ABSENCE MUST RECORD 0",IF(COUNTIF(nrES_RecID,$B817)&gt;1,"DUPLICATE RECORD",IF(N($K817)&gt;2,"ATTEMPT 3+ NOT ALLOWED - policy 300.5 permits one retest per exam; this row records nothing",IF(AND($K817=2,COUNTIFS(nrES_PID,$D817,nrES_Code,$F817,nrES_Att,1)=0),"ATTEMPT 2 WITHOUT ATTEMPT 1",IF(AND($K817=2,$L817=""),"RETEST ROW HAS NO SCORE",IF(AND($H817="Final",$L817&lt;&gt;"",IFERROR(INDEX(nrCKfinalExamElig,MATCH($D817,rngCadetPIDs,0)),"")="No"),"FINAL EXAM AFTER FAILED FINAL PT (500.1.H)",IF(AND($K817=2,ISNUMBER($L817),COUNTIFS(nrES_PID,$D817,nrES_Code,$F817,nrES_Att,1)&gt;0,SUMIFS(nrES_Raw,nrES_PID,$D817,nrES_Code,$F817,nrES_Att,1)&gt;=$J817),"RETEST AFTER A PASSING FIRST ATTEMPT","OK"))))))))))</f>
        <v/>
      </c>
      <c r="Y817" s="16" t="n"/>
    </row>
    <row r="818">
      <c r="B818" s="17">
        <f>IF($C818="","",$D818&amp;"-"&amp;$F818&amp;"-"&amp;$K818)</f>
        <v/>
      </c>
      <c r="C818" s="16" t="n"/>
      <c r="D818" s="17">
        <f>IF($C818="","",IFERROR(INDEX(rngCadetPIDs,MATCH($C818,rngCadetNames,0)),"?"))</f>
        <v/>
      </c>
      <c r="E818" s="17">
        <f>IF($D818="","",IFERROR(INDEX(nrCadetAgency,MATCH($D818,rngCadetPIDs,0)),""))</f>
        <v/>
      </c>
      <c r="F818" s="16" t="n"/>
      <c r="G818" s="17">
        <f>IF($F818="","",IFERROR(INDEX(rngEPname,MATCH($F818,rngEPcode,0)),"?"))</f>
        <v/>
      </c>
      <c r="H818" s="17">
        <f>IF($F818="","",IFERROR(INDEX(rngEPtype,MATCH($F818,rngEPcode,0)),"?"))</f>
        <v/>
      </c>
      <c r="I818" s="17">
        <f>IF($F818="","",IFERROR(INDEX(rngEPseq,MATCH($F818,rngEPcode,0)),""))</f>
        <v/>
      </c>
      <c r="J818" s="17">
        <f>IF($F818="","",IFERROR(INDEX(rngEPpass,MATCH($F818,rngEPcode,0)),cfgPassingScore))</f>
        <v/>
      </c>
      <c r="K818" s="16" t="n"/>
      <c r="L818" s="16" t="n"/>
      <c r="M818" s="17">
        <f>IF($C818="","",IF($L818="","",IF(NOT(ISNUMBER($L818)),$L818,IF(N($K818)&gt;2,"",IF($K818=1,IF(COUNTIFS(nrES_PID,$D818,nrES_Code,$F818,nrES_Att,2,nrES_Raw,"&gt;=0")&gt;0,"",$L818),IF($L818&gt;=$J818,MAX($J818,cfgRetakeRecordedCap),IF(COUNTIFS(nrES_PID,$D818,nrES_Code,$F818,nrES_Att,1)=0,$L818,SUMIFS(nrES_Raw,nrES_PID,$D818,nrES_Code,$F818,nrES_Att,1))))))))</f>
        <v/>
      </c>
      <c r="N818" s="17">
        <f>IF($C818="","",IF($L818="","",IF(NOT(ISNUMBER($L818)),"(not a score)",IF($L818&gt;=$J818,"Yes","No"))))</f>
        <v/>
      </c>
      <c r="O818" s="17">
        <f>IF($C818="","",IF($M818="","",IF(NOT(ISNUMBER($M818)),"(not a score)",IF($M818&gt;=$J818,"Yes","No"))))</f>
        <v/>
      </c>
      <c r="P818" s="17">
        <f>IF($C818="","",IF($K818="","",IF(N($K818)&gt;2,"No",IF(COUNTIFS(nrES_PID,$D818,nrES_Code,$F818,nrES_Att,"&gt;"&amp;$K818,nrES_Att,"&lt;=2",nrES_Raw,"&gt;=0")=0,"Yes","No"))))</f>
        <v/>
      </c>
      <c r="Q818" s="17">
        <f>IF($C818="","",IF($L818="","",IF(AND($K818=1,ISNUMBER($L818),$L818&lt;$J818,COUNTIFS(nrES_PID,$D818,nrES_Code,$F818,nrES_Att,2,nrES_Raw,"&gt;=0")=0),"Yes","No")))</f>
        <v/>
      </c>
      <c r="R818" s="17">
        <f>IF($C818="","",IF($L818="","",IF(AND(N($K818)&gt;=2,ISNUMBER($L818),$L818&lt;$J818),"Yes","No")))</f>
        <v/>
      </c>
      <c r="S818" s="18" t="n"/>
      <c r="T818" s="19">
        <f>IF(OR($C818="",$L818="",$K818&lt;&gt;1,NOT(ISNUMBER($L818)),$L818&gt;=$J818),"",IF($S818="","(enter date)",_xlfn.LET(_xlpm.dn,_xlfn.XLOOKUP($S818,nrCDdate,nrCDnum,"",1),IF(_xlpm.dn="","(after last class day)",_xlfn.LET(_xlpm.dd,_xlfn.XLOOKUP(_xlpm.dn+cfgRetestClassDays,nrCDnum,nrCDdate,""),_xlpm.ok,_xlfn.XLOOKUP(_xlpm.dn+cfgRetestClassDays,nrCDnum,nrCDinsession,"No"),IF(OR(_xlpm.dd="",_xlpm.ok&lt;&gt;"Yes"),"(after last class day)",_xlpm.dd))))))</f>
        <v/>
      </c>
      <c r="U818" s="17">
        <f>IF($C818="","",IF(AND($Y818="Excused",$L818="",N($K818)&lt;=1),"EXCUSED - 1st attempt pending",IF(OR($L818="",$K818&lt;&gt;1,NOT(ISNUMBER($L818)),$L818&gt;=$J818),"",IF(COUNTIFS(nrES_PID,$D818,nrES_Code,$F818,nrES_Att,2,nrES_Raw,"&gt;=0")&gt;0,IF(IFERROR(_xlfn.MINIFS(nrES_Date,nrES_PID,$D818,nrES_Code,$F818,nrES_Att,2,nrES_Raw,"&gt;=0",nrES_Date,"&gt;0"),0)=0,"RETEST UNDATED",IF(NOT(ISNUMBER($T818)),"RETEST DATE UNCHECKED",IF(_xlfn.MINIFS(nrES_Date,nrES_PID,$D818,nrES_Code,$F818,nrES_Att,2,nrES_Raw,"&gt;=0",nrES_Date,"&gt;0")&gt;$T818,"LATE RETEST "&amp;TEXT(_xlfn.MINIFS(nrES_Date,nrES_PID,$D818,nrES_Code,$F818,nrES_Att,2,nrES_Raw,"&gt;=0",nrES_Date,"&gt;0"),"mm/dd")&amp;" (due "&amp;TEXT($T818,"mm/dd")&amp;")","Retested"))),IF(NOT(ISNUMBER($T818)),"CHECK DATE",IF(TODAY()&gt;$T818,"OVERDUE","Due "&amp;TEXT($T818,"mm/dd")))))))</f>
        <v/>
      </c>
      <c r="V818" s="16" t="n"/>
      <c r="W818" s="16" t="n"/>
      <c r="X818" s="17">
        <f>IF($C818="","",IF(AND($L818&lt;&gt;"",NOT(ISNUMBER($L818))),"RAW SCORE NOT A NUMBER",IF(AND(ISNUMBER($L818),OR($L818&lt;0,$L818&gt;100)),"RAW SCORE OUT OF RANGE",IF(AND($Y818="Unexcused",OR($L818="",NOT(ISNUMBER($L818)),$L818&lt;&gt;0)),"UNEXCUSED ABSENCE MUST RECORD 0",IF(COUNTIF(nrES_RecID,$B818)&gt;1,"DUPLICATE RECORD",IF(N($K818)&gt;2,"ATTEMPT 3+ NOT ALLOWED - policy 300.5 permits one retest per exam; this row records nothing",IF(AND($K818=2,COUNTIFS(nrES_PID,$D818,nrES_Code,$F818,nrES_Att,1)=0),"ATTEMPT 2 WITHOUT ATTEMPT 1",IF(AND($K818=2,$L818=""),"RETEST ROW HAS NO SCORE",IF(AND($H818="Final",$L818&lt;&gt;"",IFERROR(INDEX(nrCKfinalExamElig,MATCH($D818,rngCadetPIDs,0)),"")="No"),"FINAL EXAM AFTER FAILED FINAL PT (500.1.H)",IF(AND($K818=2,ISNUMBER($L818),COUNTIFS(nrES_PID,$D818,nrES_Code,$F818,nrES_Att,1)&gt;0,SUMIFS(nrES_Raw,nrES_PID,$D818,nrES_Code,$F818,nrES_Att,1)&gt;=$J818),"RETEST AFTER A PASSING FIRST ATTEMPT","OK"))))))))))</f>
        <v/>
      </c>
      <c r="Y818" s="16" t="n"/>
    </row>
    <row r="819">
      <c r="B819" s="17">
        <f>IF($C819="","",$D819&amp;"-"&amp;$F819&amp;"-"&amp;$K819)</f>
        <v/>
      </c>
      <c r="C819" s="16" t="n"/>
      <c r="D819" s="17">
        <f>IF($C819="","",IFERROR(INDEX(rngCadetPIDs,MATCH($C819,rngCadetNames,0)),"?"))</f>
        <v/>
      </c>
      <c r="E819" s="17">
        <f>IF($D819="","",IFERROR(INDEX(nrCadetAgency,MATCH($D819,rngCadetPIDs,0)),""))</f>
        <v/>
      </c>
      <c r="F819" s="16" t="n"/>
      <c r="G819" s="17">
        <f>IF($F819="","",IFERROR(INDEX(rngEPname,MATCH($F819,rngEPcode,0)),"?"))</f>
        <v/>
      </c>
      <c r="H819" s="17">
        <f>IF($F819="","",IFERROR(INDEX(rngEPtype,MATCH($F819,rngEPcode,0)),"?"))</f>
        <v/>
      </c>
      <c r="I819" s="17">
        <f>IF($F819="","",IFERROR(INDEX(rngEPseq,MATCH($F819,rngEPcode,0)),""))</f>
        <v/>
      </c>
      <c r="J819" s="17">
        <f>IF($F819="","",IFERROR(INDEX(rngEPpass,MATCH($F819,rngEPcode,0)),cfgPassingScore))</f>
        <v/>
      </c>
      <c r="K819" s="16" t="n"/>
      <c r="L819" s="16" t="n"/>
      <c r="M819" s="17">
        <f>IF($C819="","",IF($L819="","",IF(NOT(ISNUMBER($L819)),$L819,IF(N($K819)&gt;2,"",IF($K819=1,IF(COUNTIFS(nrES_PID,$D819,nrES_Code,$F819,nrES_Att,2,nrES_Raw,"&gt;=0")&gt;0,"",$L819),IF($L819&gt;=$J819,MAX($J819,cfgRetakeRecordedCap),IF(COUNTIFS(nrES_PID,$D819,nrES_Code,$F819,nrES_Att,1)=0,$L819,SUMIFS(nrES_Raw,nrES_PID,$D819,nrES_Code,$F819,nrES_Att,1))))))))</f>
        <v/>
      </c>
      <c r="N819" s="17">
        <f>IF($C819="","",IF($L819="","",IF(NOT(ISNUMBER($L819)),"(not a score)",IF($L819&gt;=$J819,"Yes","No"))))</f>
        <v/>
      </c>
      <c r="O819" s="17">
        <f>IF($C819="","",IF($M819="","",IF(NOT(ISNUMBER($M819)),"(not a score)",IF($M819&gt;=$J819,"Yes","No"))))</f>
        <v/>
      </c>
      <c r="P819" s="17">
        <f>IF($C819="","",IF($K819="","",IF(N($K819)&gt;2,"No",IF(COUNTIFS(nrES_PID,$D819,nrES_Code,$F819,nrES_Att,"&gt;"&amp;$K819,nrES_Att,"&lt;=2",nrES_Raw,"&gt;=0")=0,"Yes","No"))))</f>
        <v/>
      </c>
      <c r="Q819" s="17">
        <f>IF($C819="","",IF($L819="","",IF(AND($K819=1,ISNUMBER($L819),$L819&lt;$J819,COUNTIFS(nrES_PID,$D819,nrES_Code,$F819,nrES_Att,2,nrES_Raw,"&gt;=0")=0),"Yes","No")))</f>
        <v/>
      </c>
      <c r="R819" s="17">
        <f>IF($C819="","",IF($L819="","",IF(AND(N($K819)&gt;=2,ISNUMBER($L819),$L819&lt;$J819),"Yes","No")))</f>
        <v/>
      </c>
      <c r="S819" s="18" t="n"/>
      <c r="T819" s="19">
        <f>IF(OR($C819="",$L819="",$K819&lt;&gt;1,NOT(ISNUMBER($L819)),$L819&gt;=$J819),"",IF($S819="","(enter date)",_xlfn.LET(_xlpm.dn,_xlfn.XLOOKUP($S819,nrCDdate,nrCDnum,"",1),IF(_xlpm.dn="","(after last class day)",_xlfn.LET(_xlpm.dd,_xlfn.XLOOKUP(_xlpm.dn+cfgRetestClassDays,nrCDnum,nrCDdate,""),_xlpm.ok,_xlfn.XLOOKUP(_xlpm.dn+cfgRetestClassDays,nrCDnum,nrCDinsession,"No"),IF(OR(_xlpm.dd="",_xlpm.ok&lt;&gt;"Yes"),"(after last class day)",_xlpm.dd))))))</f>
        <v/>
      </c>
      <c r="U819" s="17">
        <f>IF($C819="","",IF(AND($Y819="Excused",$L819="",N($K819)&lt;=1),"EXCUSED - 1st attempt pending",IF(OR($L819="",$K819&lt;&gt;1,NOT(ISNUMBER($L819)),$L819&gt;=$J819),"",IF(COUNTIFS(nrES_PID,$D819,nrES_Code,$F819,nrES_Att,2,nrES_Raw,"&gt;=0")&gt;0,IF(IFERROR(_xlfn.MINIFS(nrES_Date,nrES_PID,$D819,nrES_Code,$F819,nrES_Att,2,nrES_Raw,"&gt;=0",nrES_Date,"&gt;0"),0)=0,"RETEST UNDATED",IF(NOT(ISNUMBER($T819)),"RETEST DATE UNCHECKED",IF(_xlfn.MINIFS(nrES_Date,nrES_PID,$D819,nrES_Code,$F819,nrES_Att,2,nrES_Raw,"&gt;=0",nrES_Date,"&gt;0")&gt;$T819,"LATE RETEST "&amp;TEXT(_xlfn.MINIFS(nrES_Date,nrES_PID,$D819,nrES_Code,$F819,nrES_Att,2,nrES_Raw,"&gt;=0",nrES_Date,"&gt;0"),"mm/dd")&amp;" (due "&amp;TEXT($T819,"mm/dd")&amp;")","Retested"))),IF(NOT(ISNUMBER($T819)),"CHECK DATE",IF(TODAY()&gt;$T819,"OVERDUE","Due "&amp;TEXT($T819,"mm/dd")))))))</f>
        <v/>
      </c>
      <c r="V819" s="16" t="n"/>
      <c r="W819" s="16" t="n"/>
      <c r="X819" s="17">
        <f>IF($C819="","",IF(AND($L819&lt;&gt;"",NOT(ISNUMBER($L819))),"RAW SCORE NOT A NUMBER",IF(AND(ISNUMBER($L819),OR($L819&lt;0,$L819&gt;100)),"RAW SCORE OUT OF RANGE",IF(AND($Y819="Unexcused",OR($L819="",NOT(ISNUMBER($L819)),$L819&lt;&gt;0)),"UNEXCUSED ABSENCE MUST RECORD 0",IF(COUNTIF(nrES_RecID,$B819)&gt;1,"DUPLICATE RECORD",IF(N($K819)&gt;2,"ATTEMPT 3+ NOT ALLOWED - policy 300.5 permits one retest per exam; this row records nothing",IF(AND($K819=2,COUNTIFS(nrES_PID,$D819,nrES_Code,$F819,nrES_Att,1)=0),"ATTEMPT 2 WITHOUT ATTEMPT 1",IF(AND($K819=2,$L819=""),"RETEST ROW HAS NO SCORE",IF(AND($H819="Final",$L819&lt;&gt;"",IFERROR(INDEX(nrCKfinalExamElig,MATCH($D819,rngCadetPIDs,0)),"")="No"),"FINAL EXAM AFTER FAILED FINAL PT (500.1.H)",IF(AND($K819=2,ISNUMBER($L819),COUNTIFS(nrES_PID,$D819,nrES_Code,$F819,nrES_Att,1)&gt;0,SUMIFS(nrES_Raw,nrES_PID,$D819,nrES_Code,$F819,nrES_Att,1)&gt;=$J819),"RETEST AFTER A PASSING FIRST ATTEMPT","OK"))))))))))</f>
        <v/>
      </c>
      <c r="Y819" s="16" t="n"/>
    </row>
    <row r="820">
      <c r="B820" s="17">
        <f>IF($C820="","",$D820&amp;"-"&amp;$F820&amp;"-"&amp;$K820)</f>
        <v/>
      </c>
      <c r="C820" s="16" t="n"/>
      <c r="D820" s="17">
        <f>IF($C820="","",IFERROR(INDEX(rngCadetPIDs,MATCH($C820,rngCadetNames,0)),"?"))</f>
        <v/>
      </c>
      <c r="E820" s="17">
        <f>IF($D820="","",IFERROR(INDEX(nrCadetAgency,MATCH($D820,rngCadetPIDs,0)),""))</f>
        <v/>
      </c>
      <c r="F820" s="16" t="n"/>
      <c r="G820" s="17">
        <f>IF($F820="","",IFERROR(INDEX(rngEPname,MATCH($F820,rngEPcode,0)),"?"))</f>
        <v/>
      </c>
      <c r="H820" s="17">
        <f>IF($F820="","",IFERROR(INDEX(rngEPtype,MATCH($F820,rngEPcode,0)),"?"))</f>
        <v/>
      </c>
      <c r="I820" s="17">
        <f>IF($F820="","",IFERROR(INDEX(rngEPseq,MATCH($F820,rngEPcode,0)),""))</f>
        <v/>
      </c>
      <c r="J820" s="17">
        <f>IF($F820="","",IFERROR(INDEX(rngEPpass,MATCH($F820,rngEPcode,0)),cfgPassingScore))</f>
        <v/>
      </c>
      <c r="K820" s="16" t="n"/>
      <c r="L820" s="16" t="n"/>
      <c r="M820" s="17">
        <f>IF($C820="","",IF($L820="","",IF(NOT(ISNUMBER($L820)),$L820,IF(N($K820)&gt;2,"",IF($K820=1,IF(COUNTIFS(nrES_PID,$D820,nrES_Code,$F820,nrES_Att,2,nrES_Raw,"&gt;=0")&gt;0,"",$L820),IF($L820&gt;=$J820,MAX($J820,cfgRetakeRecordedCap),IF(COUNTIFS(nrES_PID,$D820,nrES_Code,$F820,nrES_Att,1)=0,$L820,SUMIFS(nrES_Raw,nrES_PID,$D820,nrES_Code,$F820,nrES_Att,1))))))))</f>
        <v/>
      </c>
      <c r="N820" s="17">
        <f>IF($C820="","",IF($L820="","",IF(NOT(ISNUMBER($L820)),"(not a score)",IF($L820&gt;=$J820,"Yes","No"))))</f>
        <v/>
      </c>
      <c r="O820" s="17">
        <f>IF($C820="","",IF($M820="","",IF(NOT(ISNUMBER($M820)),"(not a score)",IF($M820&gt;=$J820,"Yes","No"))))</f>
        <v/>
      </c>
      <c r="P820" s="17">
        <f>IF($C820="","",IF($K820="","",IF(N($K820)&gt;2,"No",IF(COUNTIFS(nrES_PID,$D820,nrES_Code,$F820,nrES_Att,"&gt;"&amp;$K820,nrES_Att,"&lt;=2",nrES_Raw,"&gt;=0")=0,"Yes","No"))))</f>
        <v/>
      </c>
      <c r="Q820" s="17">
        <f>IF($C820="","",IF($L820="","",IF(AND($K820=1,ISNUMBER($L820),$L820&lt;$J820,COUNTIFS(nrES_PID,$D820,nrES_Code,$F820,nrES_Att,2,nrES_Raw,"&gt;=0")=0),"Yes","No")))</f>
        <v/>
      </c>
      <c r="R820" s="17">
        <f>IF($C820="","",IF($L820="","",IF(AND(N($K820)&gt;=2,ISNUMBER($L820),$L820&lt;$J820),"Yes","No")))</f>
        <v/>
      </c>
      <c r="S820" s="18" t="n"/>
      <c r="T820" s="19">
        <f>IF(OR($C820="",$L820="",$K820&lt;&gt;1,NOT(ISNUMBER($L820)),$L820&gt;=$J820),"",IF($S820="","(enter date)",_xlfn.LET(_xlpm.dn,_xlfn.XLOOKUP($S820,nrCDdate,nrCDnum,"",1),IF(_xlpm.dn="","(after last class day)",_xlfn.LET(_xlpm.dd,_xlfn.XLOOKUP(_xlpm.dn+cfgRetestClassDays,nrCDnum,nrCDdate,""),_xlpm.ok,_xlfn.XLOOKUP(_xlpm.dn+cfgRetestClassDays,nrCDnum,nrCDinsession,"No"),IF(OR(_xlpm.dd="",_xlpm.ok&lt;&gt;"Yes"),"(after last class day)",_xlpm.dd))))))</f>
        <v/>
      </c>
      <c r="U820" s="17">
        <f>IF($C820="","",IF(AND($Y820="Excused",$L820="",N($K820)&lt;=1),"EXCUSED - 1st attempt pending",IF(OR($L820="",$K820&lt;&gt;1,NOT(ISNUMBER($L820)),$L820&gt;=$J820),"",IF(COUNTIFS(nrES_PID,$D820,nrES_Code,$F820,nrES_Att,2,nrES_Raw,"&gt;=0")&gt;0,IF(IFERROR(_xlfn.MINIFS(nrES_Date,nrES_PID,$D820,nrES_Code,$F820,nrES_Att,2,nrES_Raw,"&gt;=0",nrES_Date,"&gt;0"),0)=0,"RETEST UNDATED",IF(NOT(ISNUMBER($T820)),"RETEST DATE UNCHECKED",IF(_xlfn.MINIFS(nrES_Date,nrES_PID,$D820,nrES_Code,$F820,nrES_Att,2,nrES_Raw,"&gt;=0",nrES_Date,"&gt;0")&gt;$T820,"LATE RETEST "&amp;TEXT(_xlfn.MINIFS(nrES_Date,nrES_PID,$D820,nrES_Code,$F820,nrES_Att,2,nrES_Raw,"&gt;=0",nrES_Date,"&gt;0"),"mm/dd")&amp;" (due "&amp;TEXT($T820,"mm/dd")&amp;")","Retested"))),IF(NOT(ISNUMBER($T820)),"CHECK DATE",IF(TODAY()&gt;$T820,"OVERDUE","Due "&amp;TEXT($T820,"mm/dd")))))))</f>
        <v/>
      </c>
      <c r="V820" s="16" t="n"/>
      <c r="W820" s="16" t="n"/>
      <c r="X820" s="17">
        <f>IF($C820="","",IF(AND($L820&lt;&gt;"",NOT(ISNUMBER($L820))),"RAW SCORE NOT A NUMBER",IF(AND(ISNUMBER($L820),OR($L820&lt;0,$L820&gt;100)),"RAW SCORE OUT OF RANGE",IF(AND($Y820="Unexcused",OR($L820="",NOT(ISNUMBER($L820)),$L820&lt;&gt;0)),"UNEXCUSED ABSENCE MUST RECORD 0",IF(COUNTIF(nrES_RecID,$B820)&gt;1,"DUPLICATE RECORD",IF(N($K820)&gt;2,"ATTEMPT 3+ NOT ALLOWED - policy 300.5 permits one retest per exam; this row records nothing",IF(AND($K820=2,COUNTIFS(nrES_PID,$D820,nrES_Code,$F820,nrES_Att,1)=0),"ATTEMPT 2 WITHOUT ATTEMPT 1",IF(AND($K820=2,$L820=""),"RETEST ROW HAS NO SCORE",IF(AND($H820="Final",$L820&lt;&gt;"",IFERROR(INDEX(nrCKfinalExamElig,MATCH($D820,rngCadetPIDs,0)),"")="No"),"FINAL EXAM AFTER FAILED FINAL PT (500.1.H)",IF(AND($K820=2,ISNUMBER($L820),COUNTIFS(nrES_PID,$D820,nrES_Code,$F820,nrES_Att,1)&gt;0,SUMIFS(nrES_Raw,nrES_PID,$D820,nrES_Code,$F820,nrES_Att,1)&gt;=$J820),"RETEST AFTER A PASSING FIRST ATTEMPT","OK"))))))))))</f>
        <v/>
      </c>
      <c r="Y820" s="16" t="n"/>
    </row>
    <row r="821">
      <c r="B821" s="17">
        <f>IF($C821="","",$D821&amp;"-"&amp;$F821&amp;"-"&amp;$K821)</f>
        <v/>
      </c>
      <c r="C821" s="16" t="n"/>
      <c r="D821" s="17">
        <f>IF($C821="","",IFERROR(INDEX(rngCadetPIDs,MATCH($C821,rngCadetNames,0)),"?"))</f>
        <v/>
      </c>
      <c r="E821" s="17">
        <f>IF($D821="","",IFERROR(INDEX(nrCadetAgency,MATCH($D821,rngCadetPIDs,0)),""))</f>
        <v/>
      </c>
      <c r="F821" s="16" t="n"/>
      <c r="G821" s="17">
        <f>IF($F821="","",IFERROR(INDEX(rngEPname,MATCH($F821,rngEPcode,0)),"?"))</f>
        <v/>
      </c>
      <c r="H821" s="17">
        <f>IF($F821="","",IFERROR(INDEX(rngEPtype,MATCH($F821,rngEPcode,0)),"?"))</f>
        <v/>
      </c>
      <c r="I821" s="17">
        <f>IF($F821="","",IFERROR(INDEX(rngEPseq,MATCH($F821,rngEPcode,0)),""))</f>
        <v/>
      </c>
      <c r="J821" s="17">
        <f>IF($F821="","",IFERROR(INDEX(rngEPpass,MATCH($F821,rngEPcode,0)),cfgPassingScore))</f>
        <v/>
      </c>
      <c r="K821" s="16" t="n"/>
      <c r="L821" s="16" t="n"/>
      <c r="M821" s="17">
        <f>IF($C821="","",IF($L821="","",IF(NOT(ISNUMBER($L821)),$L821,IF(N($K821)&gt;2,"",IF($K821=1,IF(COUNTIFS(nrES_PID,$D821,nrES_Code,$F821,nrES_Att,2,nrES_Raw,"&gt;=0")&gt;0,"",$L821),IF($L821&gt;=$J821,MAX($J821,cfgRetakeRecordedCap),IF(COUNTIFS(nrES_PID,$D821,nrES_Code,$F821,nrES_Att,1)=0,$L821,SUMIFS(nrES_Raw,nrES_PID,$D821,nrES_Code,$F821,nrES_Att,1))))))))</f>
        <v/>
      </c>
      <c r="N821" s="17">
        <f>IF($C821="","",IF($L821="","",IF(NOT(ISNUMBER($L821)),"(not a score)",IF($L821&gt;=$J821,"Yes","No"))))</f>
        <v/>
      </c>
      <c r="O821" s="17">
        <f>IF($C821="","",IF($M821="","",IF(NOT(ISNUMBER($M821)),"(not a score)",IF($M821&gt;=$J821,"Yes","No"))))</f>
        <v/>
      </c>
      <c r="P821" s="17">
        <f>IF($C821="","",IF($K821="","",IF(N($K821)&gt;2,"No",IF(COUNTIFS(nrES_PID,$D821,nrES_Code,$F821,nrES_Att,"&gt;"&amp;$K821,nrES_Att,"&lt;=2",nrES_Raw,"&gt;=0")=0,"Yes","No"))))</f>
        <v/>
      </c>
      <c r="Q821" s="17">
        <f>IF($C821="","",IF($L821="","",IF(AND($K821=1,ISNUMBER($L821),$L821&lt;$J821,COUNTIFS(nrES_PID,$D821,nrES_Code,$F821,nrES_Att,2,nrES_Raw,"&gt;=0")=0),"Yes","No")))</f>
        <v/>
      </c>
      <c r="R821" s="17">
        <f>IF($C821="","",IF($L821="","",IF(AND(N($K821)&gt;=2,ISNUMBER($L821),$L821&lt;$J821),"Yes","No")))</f>
        <v/>
      </c>
      <c r="S821" s="18" t="n"/>
      <c r="T821" s="19">
        <f>IF(OR($C821="",$L821="",$K821&lt;&gt;1,NOT(ISNUMBER($L821)),$L821&gt;=$J821),"",IF($S821="","(enter date)",_xlfn.LET(_xlpm.dn,_xlfn.XLOOKUP($S821,nrCDdate,nrCDnum,"",1),IF(_xlpm.dn="","(after last class day)",_xlfn.LET(_xlpm.dd,_xlfn.XLOOKUP(_xlpm.dn+cfgRetestClassDays,nrCDnum,nrCDdate,""),_xlpm.ok,_xlfn.XLOOKUP(_xlpm.dn+cfgRetestClassDays,nrCDnum,nrCDinsession,"No"),IF(OR(_xlpm.dd="",_xlpm.ok&lt;&gt;"Yes"),"(after last class day)",_xlpm.dd))))))</f>
        <v/>
      </c>
      <c r="U821" s="17">
        <f>IF($C821="","",IF(AND($Y821="Excused",$L821="",N($K821)&lt;=1),"EXCUSED - 1st attempt pending",IF(OR($L821="",$K821&lt;&gt;1,NOT(ISNUMBER($L821)),$L821&gt;=$J821),"",IF(COUNTIFS(nrES_PID,$D821,nrES_Code,$F821,nrES_Att,2,nrES_Raw,"&gt;=0")&gt;0,IF(IFERROR(_xlfn.MINIFS(nrES_Date,nrES_PID,$D821,nrES_Code,$F821,nrES_Att,2,nrES_Raw,"&gt;=0",nrES_Date,"&gt;0"),0)=0,"RETEST UNDATED",IF(NOT(ISNUMBER($T821)),"RETEST DATE UNCHECKED",IF(_xlfn.MINIFS(nrES_Date,nrES_PID,$D821,nrES_Code,$F821,nrES_Att,2,nrES_Raw,"&gt;=0",nrES_Date,"&gt;0")&gt;$T821,"LATE RETEST "&amp;TEXT(_xlfn.MINIFS(nrES_Date,nrES_PID,$D821,nrES_Code,$F821,nrES_Att,2,nrES_Raw,"&gt;=0",nrES_Date,"&gt;0"),"mm/dd")&amp;" (due "&amp;TEXT($T821,"mm/dd")&amp;")","Retested"))),IF(NOT(ISNUMBER($T821)),"CHECK DATE",IF(TODAY()&gt;$T821,"OVERDUE","Due "&amp;TEXT($T821,"mm/dd")))))))</f>
        <v/>
      </c>
      <c r="V821" s="16" t="n"/>
      <c r="W821" s="16" t="n"/>
      <c r="X821" s="17">
        <f>IF($C821="","",IF(AND($L821&lt;&gt;"",NOT(ISNUMBER($L821))),"RAW SCORE NOT A NUMBER",IF(AND(ISNUMBER($L821),OR($L821&lt;0,$L821&gt;100)),"RAW SCORE OUT OF RANGE",IF(AND($Y821="Unexcused",OR($L821="",NOT(ISNUMBER($L821)),$L821&lt;&gt;0)),"UNEXCUSED ABSENCE MUST RECORD 0",IF(COUNTIF(nrES_RecID,$B821)&gt;1,"DUPLICATE RECORD",IF(N($K821)&gt;2,"ATTEMPT 3+ NOT ALLOWED - policy 300.5 permits one retest per exam; this row records nothing",IF(AND($K821=2,COUNTIFS(nrES_PID,$D821,nrES_Code,$F821,nrES_Att,1)=0),"ATTEMPT 2 WITHOUT ATTEMPT 1",IF(AND($K821=2,$L821=""),"RETEST ROW HAS NO SCORE",IF(AND($H821="Final",$L821&lt;&gt;"",IFERROR(INDEX(nrCKfinalExamElig,MATCH($D821,rngCadetPIDs,0)),"")="No"),"FINAL EXAM AFTER FAILED FINAL PT (500.1.H)",IF(AND($K821=2,ISNUMBER($L821),COUNTIFS(nrES_PID,$D821,nrES_Code,$F821,nrES_Att,1)&gt;0,SUMIFS(nrES_Raw,nrES_PID,$D821,nrES_Code,$F821,nrES_Att,1)&gt;=$J821),"RETEST AFTER A PASSING FIRST ATTEMPT","OK"))))))))))</f>
        <v/>
      </c>
      <c r="Y821" s="16" t="n"/>
    </row>
    <row r="822">
      <c r="B822" s="17">
        <f>IF($C822="","",$D822&amp;"-"&amp;$F822&amp;"-"&amp;$K822)</f>
        <v/>
      </c>
      <c r="C822" s="16" t="n"/>
      <c r="D822" s="17">
        <f>IF($C822="","",IFERROR(INDEX(rngCadetPIDs,MATCH($C822,rngCadetNames,0)),"?"))</f>
        <v/>
      </c>
      <c r="E822" s="17">
        <f>IF($D822="","",IFERROR(INDEX(nrCadetAgency,MATCH($D822,rngCadetPIDs,0)),""))</f>
        <v/>
      </c>
      <c r="F822" s="16" t="n"/>
      <c r="G822" s="17">
        <f>IF($F822="","",IFERROR(INDEX(rngEPname,MATCH($F822,rngEPcode,0)),"?"))</f>
        <v/>
      </c>
      <c r="H822" s="17">
        <f>IF($F822="","",IFERROR(INDEX(rngEPtype,MATCH($F822,rngEPcode,0)),"?"))</f>
        <v/>
      </c>
      <c r="I822" s="17">
        <f>IF($F822="","",IFERROR(INDEX(rngEPseq,MATCH($F822,rngEPcode,0)),""))</f>
        <v/>
      </c>
      <c r="J822" s="17">
        <f>IF($F822="","",IFERROR(INDEX(rngEPpass,MATCH($F822,rngEPcode,0)),cfgPassingScore))</f>
        <v/>
      </c>
      <c r="K822" s="16" t="n"/>
      <c r="L822" s="16" t="n"/>
      <c r="M822" s="17">
        <f>IF($C822="","",IF($L822="","",IF(NOT(ISNUMBER($L822)),$L822,IF(N($K822)&gt;2,"",IF($K822=1,IF(COUNTIFS(nrES_PID,$D822,nrES_Code,$F822,nrES_Att,2,nrES_Raw,"&gt;=0")&gt;0,"",$L822),IF($L822&gt;=$J822,MAX($J822,cfgRetakeRecordedCap),IF(COUNTIFS(nrES_PID,$D822,nrES_Code,$F822,nrES_Att,1)=0,$L822,SUMIFS(nrES_Raw,nrES_PID,$D822,nrES_Code,$F822,nrES_Att,1))))))))</f>
        <v/>
      </c>
      <c r="N822" s="17">
        <f>IF($C822="","",IF($L822="","",IF(NOT(ISNUMBER($L822)),"(not a score)",IF($L822&gt;=$J822,"Yes","No"))))</f>
        <v/>
      </c>
      <c r="O822" s="17">
        <f>IF($C822="","",IF($M822="","",IF(NOT(ISNUMBER($M822)),"(not a score)",IF($M822&gt;=$J822,"Yes","No"))))</f>
        <v/>
      </c>
      <c r="P822" s="17">
        <f>IF($C822="","",IF($K822="","",IF(N($K822)&gt;2,"No",IF(COUNTIFS(nrES_PID,$D822,nrES_Code,$F822,nrES_Att,"&gt;"&amp;$K822,nrES_Att,"&lt;=2",nrES_Raw,"&gt;=0")=0,"Yes","No"))))</f>
        <v/>
      </c>
      <c r="Q822" s="17">
        <f>IF($C822="","",IF($L822="","",IF(AND($K822=1,ISNUMBER($L822),$L822&lt;$J822,COUNTIFS(nrES_PID,$D822,nrES_Code,$F822,nrES_Att,2,nrES_Raw,"&gt;=0")=0),"Yes","No")))</f>
        <v/>
      </c>
      <c r="R822" s="17">
        <f>IF($C822="","",IF($L822="","",IF(AND(N($K822)&gt;=2,ISNUMBER($L822),$L822&lt;$J822),"Yes","No")))</f>
        <v/>
      </c>
      <c r="S822" s="18" t="n"/>
      <c r="T822" s="19">
        <f>IF(OR($C822="",$L822="",$K822&lt;&gt;1,NOT(ISNUMBER($L822)),$L822&gt;=$J822),"",IF($S822="","(enter date)",_xlfn.LET(_xlpm.dn,_xlfn.XLOOKUP($S822,nrCDdate,nrCDnum,"",1),IF(_xlpm.dn="","(after last class day)",_xlfn.LET(_xlpm.dd,_xlfn.XLOOKUP(_xlpm.dn+cfgRetestClassDays,nrCDnum,nrCDdate,""),_xlpm.ok,_xlfn.XLOOKUP(_xlpm.dn+cfgRetestClassDays,nrCDnum,nrCDinsession,"No"),IF(OR(_xlpm.dd="",_xlpm.ok&lt;&gt;"Yes"),"(after last class day)",_xlpm.dd))))))</f>
        <v/>
      </c>
      <c r="U822" s="17">
        <f>IF($C822="","",IF(AND($Y822="Excused",$L822="",N($K822)&lt;=1),"EXCUSED - 1st attempt pending",IF(OR($L822="",$K822&lt;&gt;1,NOT(ISNUMBER($L822)),$L822&gt;=$J822),"",IF(COUNTIFS(nrES_PID,$D822,nrES_Code,$F822,nrES_Att,2,nrES_Raw,"&gt;=0")&gt;0,IF(IFERROR(_xlfn.MINIFS(nrES_Date,nrES_PID,$D822,nrES_Code,$F822,nrES_Att,2,nrES_Raw,"&gt;=0",nrES_Date,"&gt;0"),0)=0,"RETEST UNDATED",IF(NOT(ISNUMBER($T822)),"RETEST DATE UNCHECKED",IF(_xlfn.MINIFS(nrES_Date,nrES_PID,$D822,nrES_Code,$F822,nrES_Att,2,nrES_Raw,"&gt;=0",nrES_Date,"&gt;0")&gt;$T822,"LATE RETEST "&amp;TEXT(_xlfn.MINIFS(nrES_Date,nrES_PID,$D822,nrES_Code,$F822,nrES_Att,2,nrES_Raw,"&gt;=0",nrES_Date,"&gt;0"),"mm/dd")&amp;" (due "&amp;TEXT($T822,"mm/dd")&amp;")","Retested"))),IF(NOT(ISNUMBER($T822)),"CHECK DATE",IF(TODAY()&gt;$T822,"OVERDUE","Due "&amp;TEXT($T822,"mm/dd")))))))</f>
        <v/>
      </c>
      <c r="V822" s="16" t="n"/>
      <c r="W822" s="16" t="n"/>
      <c r="X822" s="17">
        <f>IF($C822="","",IF(AND($L822&lt;&gt;"",NOT(ISNUMBER($L822))),"RAW SCORE NOT A NUMBER",IF(AND(ISNUMBER($L822),OR($L822&lt;0,$L822&gt;100)),"RAW SCORE OUT OF RANGE",IF(AND($Y822="Unexcused",OR($L822="",NOT(ISNUMBER($L822)),$L822&lt;&gt;0)),"UNEXCUSED ABSENCE MUST RECORD 0",IF(COUNTIF(nrES_RecID,$B822)&gt;1,"DUPLICATE RECORD",IF(N($K822)&gt;2,"ATTEMPT 3+ NOT ALLOWED - policy 300.5 permits one retest per exam; this row records nothing",IF(AND($K822=2,COUNTIFS(nrES_PID,$D822,nrES_Code,$F822,nrES_Att,1)=0),"ATTEMPT 2 WITHOUT ATTEMPT 1",IF(AND($K822=2,$L822=""),"RETEST ROW HAS NO SCORE",IF(AND($H822="Final",$L822&lt;&gt;"",IFERROR(INDEX(nrCKfinalExamElig,MATCH($D822,rngCadetPIDs,0)),"")="No"),"FINAL EXAM AFTER FAILED FINAL PT (500.1.H)",IF(AND($K822=2,ISNUMBER($L822),COUNTIFS(nrES_PID,$D822,nrES_Code,$F822,nrES_Att,1)&gt;0,SUMIFS(nrES_Raw,nrES_PID,$D822,nrES_Code,$F822,nrES_Att,1)&gt;=$J822),"RETEST AFTER A PASSING FIRST ATTEMPT","OK"))))))))))</f>
        <v/>
      </c>
      <c r="Y822" s="16" t="n"/>
    </row>
    <row r="823">
      <c r="B823" s="17">
        <f>IF($C823="","",$D823&amp;"-"&amp;$F823&amp;"-"&amp;$K823)</f>
        <v/>
      </c>
      <c r="C823" s="16" t="n"/>
      <c r="D823" s="17">
        <f>IF($C823="","",IFERROR(INDEX(rngCadetPIDs,MATCH($C823,rngCadetNames,0)),"?"))</f>
        <v/>
      </c>
      <c r="E823" s="17">
        <f>IF($D823="","",IFERROR(INDEX(nrCadetAgency,MATCH($D823,rngCadetPIDs,0)),""))</f>
        <v/>
      </c>
      <c r="F823" s="16" t="n"/>
      <c r="G823" s="17">
        <f>IF($F823="","",IFERROR(INDEX(rngEPname,MATCH($F823,rngEPcode,0)),"?"))</f>
        <v/>
      </c>
      <c r="H823" s="17">
        <f>IF($F823="","",IFERROR(INDEX(rngEPtype,MATCH($F823,rngEPcode,0)),"?"))</f>
        <v/>
      </c>
      <c r="I823" s="17">
        <f>IF($F823="","",IFERROR(INDEX(rngEPseq,MATCH($F823,rngEPcode,0)),""))</f>
        <v/>
      </c>
      <c r="J823" s="17">
        <f>IF($F823="","",IFERROR(INDEX(rngEPpass,MATCH($F823,rngEPcode,0)),cfgPassingScore))</f>
        <v/>
      </c>
      <c r="K823" s="16" t="n"/>
      <c r="L823" s="16" t="n"/>
      <c r="M823" s="17">
        <f>IF($C823="","",IF($L823="","",IF(NOT(ISNUMBER($L823)),$L823,IF(N($K823)&gt;2,"",IF($K823=1,IF(COUNTIFS(nrES_PID,$D823,nrES_Code,$F823,nrES_Att,2,nrES_Raw,"&gt;=0")&gt;0,"",$L823),IF($L823&gt;=$J823,MAX($J823,cfgRetakeRecordedCap),IF(COUNTIFS(nrES_PID,$D823,nrES_Code,$F823,nrES_Att,1)=0,$L823,SUMIFS(nrES_Raw,nrES_PID,$D823,nrES_Code,$F823,nrES_Att,1))))))))</f>
        <v/>
      </c>
      <c r="N823" s="17">
        <f>IF($C823="","",IF($L823="","",IF(NOT(ISNUMBER($L823)),"(not a score)",IF($L823&gt;=$J823,"Yes","No"))))</f>
        <v/>
      </c>
      <c r="O823" s="17">
        <f>IF($C823="","",IF($M823="","",IF(NOT(ISNUMBER($M823)),"(not a score)",IF($M823&gt;=$J823,"Yes","No"))))</f>
        <v/>
      </c>
      <c r="P823" s="17">
        <f>IF($C823="","",IF($K823="","",IF(N($K823)&gt;2,"No",IF(COUNTIFS(nrES_PID,$D823,nrES_Code,$F823,nrES_Att,"&gt;"&amp;$K823,nrES_Att,"&lt;=2",nrES_Raw,"&gt;=0")=0,"Yes","No"))))</f>
        <v/>
      </c>
      <c r="Q823" s="17">
        <f>IF($C823="","",IF($L823="","",IF(AND($K823=1,ISNUMBER($L823),$L823&lt;$J823,COUNTIFS(nrES_PID,$D823,nrES_Code,$F823,nrES_Att,2,nrES_Raw,"&gt;=0")=0),"Yes","No")))</f>
        <v/>
      </c>
      <c r="R823" s="17">
        <f>IF($C823="","",IF($L823="","",IF(AND(N($K823)&gt;=2,ISNUMBER($L823),$L823&lt;$J823),"Yes","No")))</f>
        <v/>
      </c>
      <c r="S823" s="18" t="n"/>
      <c r="T823" s="19">
        <f>IF(OR($C823="",$L823="",$K823&lt;&gt;1,NOT(ISNUMBER($L823)),$L823&gt;=$J823),"",IF($S823="","(enter date)",_xlfn.LET(_xlpm.dn,_xlfn.XLOOKUP($S823,nrCDdate,nrCDnum,"",1),IF(_xlpm.dn="","(after last class day)",_xlfn.LET(_xlpm.dd,_xlfn.XLOOKUP(_xlpm.dn+cfgRetestClassDays,nrCDnum,nrCDdate,""),_xlpm.ok,_xlfn.XLOOKUP(_xlpm.dn+cfgRetestClassDays,nrCDnum,nrCDinsession,"No"),IF(OR(_xlpm.dd="",_xlpm.ok&lt;&gt;"Yes"),"(after last class day)",_xlpm.dd))))))</f>
        <v/>
      </c>
      <c r="U823" s="17">
        <f>IF($C823="","",IF(AND($Y823="Excused",$L823="",N($K823)&lt;=1),"EXCUSED - 1st attempt pending",IF(OR($L823="",$K823&lt;&gt;1,NOT(ISNUMBER($L823)),$L823&gt;=$J823),"",IF(COUNTIFS(nrES_PID,$D823,nrES_Code,$F823,nrES_Att,2,nrES_Raw,"&gt;=0")&gt;0,IF(IFERROR(_xlfn.MINIFS(nrES_Date,nrES_PID,$D823,nrES_Code,$F823,nrES_Att,2,nrES_Raw,"&gt;=0",nrES_Date,"&gt;0"),0)=0,"RETEST UNDATED",IF(NOT(ISNUMBER($T823)),"RETEST DATE UNCHECKED",IF(_xlfn.MINIFS(nrES_Date,nrES_PID,$D823,nrES_Code,$F823,nrES_Att,2,nrES_Raw,"&gt;=0",nrES_Date,"&gt;0")&gt;$T823,"LATE RETEST "&amp;TEXT(_xlfn.MINIFS(nrES_Date,nrES_PID,$D823,nrES_Code,$F823,nrES_Att,2,nrES_Raw,"&gt;=0",nrES_Date,"&gt;0"),"mm/dd")&amp;" (due "&amp;TEXT($T823,"mm/dd")&amp;")","Retested"))),IF(NOT(ISNUMBER($T823)),"CHECK DATE",IF(TODAY()&gt;$T823,"OVERDUE","Due "&amp;TEXT($T823,"mm/dd")))))))</f>
        <v/>
      </c>
      <c r="V823" s="16" t="n"/>
      <c r="W823" s="16" t="n"/>
      <c r="X823" s="17">
        <f>IF($C823="","",IF(AND($L823&lt;&gt;"",NOT(ISNUMBER($L823))),"RAW SCORE NOT A NUMBER",IF(AND(ISNUMBER($L823),OR($L823&lt;0,$L823&gt;100)),"RAW SCORE OUT OF RANGE",IF(AND($Y823="Unexcused",OR($L823="",NOT(ISNUMBER($L823)),$L823&lt;&gt;0)),"UNEXCUSED ABSENCE MUST RECORD 0",IF(COUNTIF(nrES_RecID,$B823)&gt;1,"DUPLICATE RECORD",IF(N($K823)&gt;2,"ATTEMPT 3+ NOT ALLOWED - policy 300.5 permits one retest per exam; this row records nothing",IF(AND($K823=2,COUNTIFS(nrES_PID,$D823,nrES_Code,$F823,nrES_Att,1)=0),"ATTEMPT 2 WITHOUT ATTEMPT 1",IF(AND($K823=2,$L823=""),"RETEST ROW HAS NO SCORE",IF(AND($H823="Final",$L823&lt;&gt;"",IFERROR(INDEX(nrCKfinalExamElig,MATCH($D823,rngCadetPIDs,0)),"")="No"),"FINAL EXAM AFTER FAILED FINAL PT (500.1.H)",IF(AND($K823=2,ISNUMBER($L823),COUNTIFS(nrES_PID,$D823,nrES_Code,$F823,nrES_Att,1)&gt;0,SUMIFS(nrES_Raw,nrES_PID,$D823,nrES_Code,$F823,nrES_Att,1)&gt;=$J823),"RETEST AFTER A PASSING FIRST ATTEMPT","OK"))))))))))</f>
        <v/>
      </c>
      <c r="Y823" s="16" t="n"/>
    </row>
    <row r="824">
      <c r="B824" s="17">
        <f>IF($C824="","",$D824&amp;"-"&amp;$F824&amp;"-"&amp;$K824)</f>
        <v/>
      </c>
      <c r="C824" s="16" t="n"/>
      <c r="D824" s="17">
        <f>IF($C824="","",IFERROR(INDEX(rngCadetPIDs,MATCH($C824,rngCadetNames,0)),"?"))</f>
        <v/>
      </c>
      <c r="E824" s="17">
        <f>IF($D824="","",IFERROR(INDEX(nrCadetAgency,MATCH($D824,rngCadetPIDs,0)),""))</f>
        <v/>
      </c>
      <c r="F824" s="16" t="n"/>
      <c r="G824" s="17">
        <f>IF($F824="","",IFERROR(INDEX(rngEPname,MATCH($F824,rngEPcode,0)),"?"))</f>
        <v/>
      </c>
      <c r="H824" s="17">
        <f>IF($F824="","",IFERROR(INDEX(rngEPtype,MATCH($F824,rngEPcode,0)),"?"))</f>
        <v/>
      </c>
      <c r="I824" s="17">
        <f>IF($F824="","",IFERROR(INDEX(rngEPseq,MATCH($F824,rngEPcode,0)),""))</f>
        <v/>
      </c>
      <c r="J824" s="17">
        <f>IF($F824="","",IFERROR(INDEX(rngEPpass,MATCH($F824,rngEPcode,0)),cfgPassingScore))</f>
        <v/>
      </c>
      <c r="K824" s="16" t="n"/>
      <c r="L824" s="16" t="n"/>
      <c r="M824" s="17">
        <f>IF($C824="","",IF($L824="","",IF(NOT(ISNUMBER($L824)),$L824,IF(N($K824)&gt;2,"",IF($K824=1,IF(COUNTIFS(nrES_PID,$D824,nrES_Code,$F824,nrES_Att,2,nrES_Raw,"&gt;=0")&gt;0,"",$L824),IF($L824&gt;=$J824,MAX($J824,cfgRetakeRecordedCap),IF(COUNTIFS(nrES_PID,$D824,nrES_Code,$F824,nrES_Att,1)=0,$L824,SUMIFS(nrES_Raw,nrES_PID,$D824,nrES_Code,$F824,nrES_Att,1))))))))</f>
        <v/>
      </c>
      <c r="N824" s="17">
        <f>IF($C824="","",IF($L824="","",IF(NOT(ISNUMBER($L824)),"(not a score)",IF($L824&gt;=$J824,"Yes","No"))))</f>
        <v/>
      </c>
      <c r="O824" s="17">
        <f>IF($C824="","",IF($M824="","",IF(NOT(ISNUMBER($M824)),"(not a score)",IF($M824&gt;=$J824,"Yes","No"))))</f>
        <v/>
      </c>
      <c r="P824" s="17">
        <f>IF($C824="","",IF($K824="","",IF(N($K824)&gt;2,"No",IF(COUNTIFS(nrES_PID,$D824,nrES_Code,$F824,nrES_Att,"&gt;"&amp;$K824,nrES_Att,"&lt;=2",nrES_Raw,"&gt;=0")=0,"Yes","No"))))</f>
        <v/>
      </c>
      <c r="Q824" s="17">
        <f>IF($C824="","",IF($L824="","",IF(AND($K824=1,ISNUMBER($L824),$L824&lt;$J824,COUNTIFS(nrES_PID,$D824,nrES_Code,$F824,nrES_Att,2,nrES_Raw,"&gt;=0")=0),"Yes","No")))</f>
        <v/>
      </c>
      <c r="R824" s="17">
        <f>IF($C824="","",IF($L824="","",IF(AND(N($K824)&gt;=2,ISNUMBER($L824),$L824&lt;$J824),"Yes","No")))</f>
        <v/>
      </c>
      <c r="S824" s="18" t="n"/>
      <c r="T824" s="19">
        <f>IF(OR($C824="",$L824="",$K824&lt;&gt;1,NOT(ISNUMBER($L824)),$L824&gt;=$J824),"",IF($S824="","(enter date)",_xlfn.LET(_xlpm.dn,_xlfn.XLOOKUP($S824,nrCDdate,nrCDnum,"",1),IF(_xlpm.dn="","(after last class day)",_xlfn.LET(_xlpm.dd,_xlfn.XLOOKUP(_xlpm.dn+cfgRetestClassDays,nrCDnum,nrCDdate,""),_xlpm.ok,_xlfn.XLOOKUP(_xlpm.dn+cfgRetestClassDays,nrCDnum,nrCDinsession,"No"),IF(OR(_xlpm.dd="",_xlpm.ok&lt;&gt;"Yes"),"(after last class day)",_xlpm.dd))))))</f>
        <v/>
      </c>
      <c r="U824" s="17">
        <f>IF($C824="","",IF(AND($Y824="Excused",$L824="",N($K824)&lt;=1),"EXCUSED - 1st attempt pending",IF(OR($L824="",$K824&lt;&gt;1,NOT(ISNUMBER($L824)),$L824&gt;=$J824),"",IF(COUNTIFS(nrES_PID,$D824,nrES_Code,$F824,nrES_Att,2,nrES_Raw,"&gt;=0")&gt;0,IF(IFERROR(_xlfn.MINIFS(nrES_Date,nrES_PID,$D824,nrES_Code,$F824,nrES_Att,2,nrES_Raw,"&gt;=0",nrES_Date,"&gt;0"),0)=0,"RETEST UNDATED",IF(NOT(ISNUMBER($T824)),"RETEST DATE UNCHECKED",IF(_xlfn.MINIFS(nrES_Date,nrES_PID,$D824,nrES_Code,$F824,nrES_Att,2,nrES_Raw,"&gt;=0",nrES_Date,"&gt;0")&gt;$T824,"LATE RETEST "&amp;TEXT(_xlfn.MINIFS(nrES_Date,nrES_PID,$D824,nrES_Code,$F824,nrES_Att,2,nrES_Raw,"&gt;=0",nrES_Date,"&gt;0"),"mm/dd")&amp;" (due "&amp;TEXT($T824,"mm/dd")&amp;")","Retested"))),IF(NOT(ISNUMBER($T824)),"CHECK DATE",IF(TODAY()&gt;$T824,"OVERDUE","Due "&amp;TEXT($T824,"mm/dd")))))))</f>
        <v/>
      </c>
      <c r="V824" s="16" t="n"/>
      <c r="W824" s="16" t="n"/>
      <c r="X824" s="17">
        <f>IF($C824="","",IF(AND($L824&lt;&gt;"",NOT(ISNUMBER($L824))),"RAW SCORE NOT A NUMBER",IF(AND(ISNUMBER($L824),OR($L824&lt;0,$L824&gt;100)),"RAW SCORE OUT OF RANGE",IF(AND($Y824="Unexcused",OR($L824="",NOT(ISNUMBER($L824)),$L824&lt;&gt;0)),"UNEXCUSED ABSENCE MUST RECORD 0",IF(COUNTIF(nrES_RecID,$B824)&gt;1,"DUPLICATE RECORD",IF(N($K824)&gt;2,"ATTEMPT 3+ NOT ALLOWED - policy 300.5 permits one retest per exam; this row records nothing",IF(AND($K824=2,COUNTIFS(nrES_PID,$D824,nrES_Code,$F824,nrES_Att,1)=0),"ATTEMPT 2 WITHOUT ATTEMPT 1",IF(AND($K824=2,$L824=""),"RETEST ROW HAS NO SCORE",IF(AND($H824="Final",$L824&lt;&gt;"",IFERROR(INDEX(nrCKfinalExamElig,MATCH($D824,rngCadetPIDs,0)),"")="No"),"FINAL EXAM AFTER FAILED FINAL PT (500.1.H)",IF(AND($K824=2,ISNUMBER($L824),COUNTIFS(nrES_PID,$D824,nrES_Code,$F824,nrES_Att,1)&gt;0,SUMIFS(nrES_Raw,nrES_PID,$D824,nrES_Code,$F824,nrES_Att,1)&gt;=$J824),"RETEST AFTER A PASSING FIRST ATTEMPT","OK"))))))))))</f>
        <v/>
      </c>
      <c r="Y824" s="16" t="n"/>
    </row>
    <row r="825">
      <c r="B825" s="17">
        <f>IF($C825="","",$D825&amp;"-"&amp;$F825&amp;"-"&amp;$K825)</f>
        <v/>
      </c>
      <c r="C825" s="16" t="n"/>
      <c r="D825" s="17">
        <f>IF($C825="","",IFERROR(INDEX(rngCadetPIDs,MATCH($C825,rngCadetNames,0)),"?"))</f>
        <v/>
      </c>
      <c r="E825" s="17">
        <f>IF($D825="","",IFERROR(INDEX(nrCadetAgency,MATCH($D825,rngCadetPIDs,0)),""))</f>
        <v/>
      </c>
      <c r="F825" s="16" t="n"/>
      <c r="G825" s="17">
        <f>IF($F825="","",IFERROR(INDEX(rngEPname,MATCH($F825,rngEPcode,0)),"?"))</f>
        <v/>
      </c>
      <c r="H825" s="17">
        <f>IF($F825="","",IFERROR(INDEX(rngEPtype,MATCH($F825,rngEPcode,0)),"?"))</f>
        <v/>
      </c>
      <c r="I825" s="17">
        <f>IF($F825="","",IFERROR(INDEX(rngEPseq,MATCH($F825,rngEPcode,0)),""))</f>
        <v/>
      </c>
      <c r="J825" s="17">
        <f>IF($F825="","",IFERROR(INDEX(rngEPpass,MATCH($F825,rngEPcode,0)),cfgPassingScore))</f>
        <v/>
      </c>
      <c r="K825" s="16" t="n"/>
      <c r="L825" s="16" t="n"/>
      <c r="M825" s="17">
        <f>IF($C825="","",IF($L825="","",IF(NOT(ISNUMBER($L825)),$L825,IF(N($K825)&gt;2,"",IF($K825=1,IF(COUNTIFS(nrES_PID,$D825,nrES_Code,$F825,nrES_Att,2,nrES_Raw,"&gt;=0")&gt;0,"",$L825),IF($L825&gt;=$J825,MAX($J825,cfgRetakeRecordedCap),IF(COUNTIFS(nrES_PID,$D825,nrES_Code,$F825,nrES_Att,1)=0,$L825,SUMIFS(nrES_Raw,nrES_PID,$D825,nrES_Code,$F825,nrES_Att,1))))))))</f>
        <v/>
      </c>
      <c r="N825" s="17">
        <f>IF($C825="","",IF($L825="","",IF(NOT(ISNUMBER($L825)),"(not a score)",IF($L825&gt;=$J825,"Yes","No"))))</f>
        <v/>
      </c>
      <c r="O825" s="17">
        <f>IF($C825="","",IF($M825="","",IF(NOT(ISNUMBER($M825)),"(not a score)",IF($M825&gt;=$J825,"Yes","No"))))</f>
        <v/>
      </c>
      <c r="P825" s="17">
        <f>IF($C825="","",IF($K825="","",IF(N($K825)&gt;2,"No",IF(COUNTIFS(nrES_PID,$D825,nrES_Code,$F825,nrES_Att,"&gt;"&amp;$K825,nrES_Att,"&lt;=2",nrES_Raw,"&gt;=0")=0,"Yes","No"))))</f>
        <v/>
      </c>
      <c r="Q825" s="17">
        <f>IF($C825="","",IF($L825="","",IF(AND($K825=1,ISNUMBER($L825),$L825&lt;$J825,COUNTIFS(nrES_PID,$D825,nrES_Code,$F825,nrES_Att,2,nrES_Raw,"&gt;=0")=0),"Yes","No")))</f>
        <v/>
      </c>
      <c r="R825" s="17">
        <f>IF($C825="","",IF($L825="","",IF(AND(N($K825)&gt;=2,ISNUMBER($L825),$L825&lt;$J825),"Yes","No")))</f>
        <v/>
      </c>
      <c r="S825" s="18" t="n"/>
      <c r="T825" s="19">
        <f>IF(OR($C825="",$L825="",$K825&lt;&gt;1,NOT(ISNUMBER($L825)),$L825&gt;=$J825),"",IF($S825="","(enter date)",_xlfn.LET(_xlpm.dn,_xlfn.XLOOKUP($S825,nrCDdate,nrCDnum,"",1),IF(_xlpm.dn="","(after last class day)",_xlfn.LET(_xlpm.dd,_xlfn.XLOOKUP(_xlpm.dn+cfgRetestClassDays,nrCDnum,nrCDdate,""),_xlpm.ok,_xlfn.XLOOKUP(_xlpm.dn+cfgRetestClassDays,nrCDnum,nrCDinsession,"No"),IF(OR(_xlpm.dd="",_xlpm.ok&lt;&gt;"Yes"),"(after last class day)",_xlpm.dd))))))</f>
        <v/>
      </c>
      <c r="U825" s="17">
        <f>IF($C825="","",IF(AND($Y825="Excused",$L825="",N($K825)&lt;=1),"EXCUSED - 1st attempt pending",IF(OR($L825="",$K825&lt;&gt;1,NOT(ISNUMBER($L825)),$L825&gt;=$J825),"",IF(COUNTIFS(nrES_PID,$D825,nrES_Code,$F825,nrES_Att,2,nrES_Raw,"&gt;=0")&gt;0,IF(IFERROR(_xlfn.MINIFS(nrES_Date,nrES_PID,$D825,nrES_Code,$F825,nrES_Att,2,nrES_Raw,"&gt;=0",nrES_Date,"&gt;0"),0)=0,"RETEST UNDATED",IF(NOT(ISNUMBER($T825)),"RETEST DATE UNCHECKED",IF(_xlfn.MINIFS(nrES_Date,nrES_PID,$D825,nrES_Code,$F825,nrES_Att,2,nrES_Raw,"&gt;=0",nrES_Date,"&gt;0")&gt;$T825,"LATE RETEST "&amp;TEXT(_xlfn.MINIFS(nrES_Date,nrES_PID,$D825,nrES_Code,$F825,nrES_Att,2,nrES_Raw,"&gt;=0",nrES_Date,"&gt;0"),"mm/dd")&amp;" (due "&amp;TEXT($T825,"mm/dd")&amp;")","Retested"))),IF(NOT(ISNUMBER($T825)),"CHECK DATE",IF(TODAY()&gt;$T825,"OVERDUE","Due "&amp;TEXT($T825,"mm/dd")))))))</f>
        <v/>
      </c>
      <c r="V825" s="16" t="n"/>
      <c r="W825" s="16" t="n"/>
      <c r="X825" s="17">
        <f>IF($C825="","",IF(AND($L825&lt;&gt;"",NOT(ISNUMBER($L825))),"RAW SCORE NOT A NUMBER",IF(AND(ISNUMBER($L825),OR($L825&lt;0,$L825&gt;100)),"RAW SCORE OUT OF RANGE",IF(AND($Y825="Unexcused",OR($L825="",NOT(ISNUMBER($L825)),$L825&lt;&gt;0)),"UNEXCUSED ABSENCE MUST RECORD 0",IF(COUNTIF(nrES_RecID,$B825)&gt;1,"DUPLICATE RECORD",IF(N($K825)&gt;2,"ATTEMPT 3+ NOT ALLOWED - policy 300.5 permits one retest per exam; this row records nothing",IF(AND($K825=2,COUNTIFS(nrES_PID,$D825,nrES_Code,$F825,nrES_Att,1)=0),"ATTEMPT 2 WITHOUT ATTEMPT 1",IF(AND($K825=2,$L825=""),"RETEST ROW HAS NO SCORE",IF(AND($H825="Final",$L825&lt;&gt;"",IFERROR(INDEX(nrCKfinalExamElig,MATCH($D825,rngCadetPIDs,0)),"")="No"),"FINAL EXAM AFTER FAILED FINAL PT (500.1.H)",IF(AND($K825=2,ISNUMBER($L825),COUNTIFS(nrES_PID,$D825,nrES_Code,$F825,nrES_Att,1)&gt;0,SUMIFS(nrES_Raw,nrES_PID,$D825,nrES_Code,$F825,nrES_Att,1)&gt;=$J825),"RETEST AFTER A PASSING FIRST ATTEMPT","OK"))))))))))</f>
        <v/>
      </c>
      <c r="Y825" s="16" t="n"/>
    </row>
    <row r="826">
      <c r="B826" s="17">
        <f>IF($C826="","",$D826&amp;"-"&amp;$F826&amp;"-"&amp;$K826)</f>
        <v/>
      </c>
      <c r="C826" s="16" t="n"/>
      <c r="D826" s="17">
        <f>IF($C826="","",IFERROR(INDEX(rngCadetPIDs,MATCH($C826,rngCadetNames,0)),"?"))</f>
        <v/>
      </c>
      <c r="E826" s="17">
        <f>IF($D826="","",IFERROR(INDEX(nrCadetAgency,MATCH($D826,rngCadetPIDs,0)),""))</f>
        <v/>
      </c>
      <c r="F826" s="16" t="n"/>
      <c r="G826" s="17">
        <f>IF($F826="","",IFERROR(INDEX(rngEPname,MATCH($F826,rngEPcode,0)),"?"))</f>
        <v/>
      </c>
      <c r="H826" s="17">
        <f>IF($F826="","",IFERROR(INDEX(rngEPtype,MATCH($F826,rngEPcode,0)),"?"))</f>
        <v/>
      </c>
      <c r="I826" s="17">
        <f>IF($F826="","",IFERROR(INDEX(rngEPseq,MATCH($F826,rngEPcode,0)),""))</f>
        <v/>
      </c>
      <c r="J826" s="17">
        <f>IF($F826="","",IFERROR(INDEX(rngEPpass,MATCH($F826,rngEPcode,0)),cfgPassingScore))</f>
        <v/>
      </c>
      <c r="K826" s="16" t="n"/>
      <c r="L826" s="16" t="n"/>
      <c r="M826" s="17">
        <f>IF($C826="","",IF($L826="","",IF(NOT(ISNUMBER($L826)),$L826,IF(N($K826)&gt;2,"",IF($K826=1,IF(COUNTIFS(nrES_PID,$D826,nrES_Code,$F826,nrES_Att,2,nrES_Raw,"&gt;=0")&gt;0,"",$L826),IF($L826&gt;=$J826,MAX($J826,cfgRetakeRecordedCap),IF(COUNTIFS(nrES_PID,$D826,nrES_Code,$F826,nrES_Att,1)=0,$L826,SUMIFS(nrES_Raw,nrES_PID,$D826,nrES_Code,$F826,nrES_Att,1))))))))</f>
        <v/>
      </c>
      <c r="N826" s="17">
        <f>IF($C826="","",IF($L826="","",IF(NOT(ISNUMBER($L826)),"(not a score)",IF($L826&gt;=$J826,"Yes","No"))))</f>
        <v/>
      </c>
      <c r="O826" s="17">
        <f>IF($C826="","",IF($M826="","",IF(NOT(ISNUMBER($M826)),"(not a score)",IF($M826&gt;=$J826,"Yes","No"))))</f>
        <v/>
      </c>
      <c r="P826" s="17">
        <f>IF($C826="","",IF($K826="","",IF(N($K826)&gt;2,"No",IF(COUNTIFS(nrES_PID,$D826,nrES_Code,$F826,nrES_Att,"&gt;"&amp;$K826,nrES_Att,"&lt;=2",nrES_Raw,"&gt;=0")=0,"Yes","No"))))</f>
        <v/>
      </c>
      <c r="Q826" s="17">
        <f>IF($C826="","",IF($L826="","",IF(AND($K826=1,ISNUMBER($L826),$L826&lt;$J826,COUNTIFS(nrES_PID,$D826,nrES_Code,$F826,nrES_Att,2,nrES_Raw,"&gt;=0")=0),"Yes","No")))</f>
        <v/>
      </c>
      <c r="R826" s="17">
        <f>IF($C826="","",IF($L826="","",IF(AND(N($K826)&gt;=2,ISNUMBER($L826),$L826&lt;$J826),"Yes","No")))</f>
        <v/>
      </c>
      <c r="S826" s="18" t="n"/>
      <c r="T826" s="19">
        <f>IF(OR($C826="",$L826="",$K826&lt;&gt;1,NOT(ISNUMBER($L826)),$L826&gt;=$J826),"",IF($S826="","(enter date)",_xlfn.LET(_xlpm.dn,_xlfn.XLOOKUP($S826,nrCDdate,nrCDnum,"",1),IF(_xlpm.dn="","(after last class day)",_xlfn.LET(_xlpm.dd,_xlfn.XLOOKUP(_xlpm.dn+cfgRetestClassDays,nrCDnum,nrCDdate,""),_xlpm.ok,_xlfn.XLOOKUP(_xlpm.dn+cfgRetestClassDays,nrCDnum,nrCDinsession,"No"),IF(OR(_xlpm.dd="",_xlpm.ok&lt;&gt;"Yes"),"(after last class day)",_xlpm.dd))))))</f>
        <v/>
      </c>
      <c r="U826" s="17">
        <f>IF($C826="","",IF(AND($Y826="Excused",$L826="",N($K826)&lt;=1),"EXCUSED - 1st attempt pending",IF(OR($L826="",$K826&lt;&gt;1,NOT(ISNUMBER($L826)),$L826&gt;=$J826),"",IF(COUNTIFS(nrES_PID,$D826,nrES_Code,$F826,nrES_Att,2,nrES_Raw,"&gt;=0")&gt;0,IF(IFERROR(_xlfn.MINIFS(nrES_Date,nrES_PID,$D826,nrES_Code,$F826,nrES_Att,2,nrES_Raw,"&gt;=0",nrES_Date,"&gt;0"),0)=0,"RETEST UNDATED",IF(NOT(ISNUMBER($T826)),"RETEST DATE UNCHECKED",IF(_xlfn.MINIFS(nrES_Date,nrES_PID,$D826,nrES_Code,$F826,nrES_Att,2,nrES_Raw,"&gt;=0",nrES_Date,"&gt;0")&gt;$T826,"LATE RETEST "&amp;TEXT(_xlfn.MINIFS(nrES_Date,nrES_PID,$D826,nrES_Code,$F826,nrES_Att,2,nrES_Raw,"&gt;=0",nrES_Date,"&gt;0"),"mm/dd")&amp;" (due "&amp;TEXT($T826,"mm/dd")&amp;")","Retested"))),IF(NOT(ISNUMBER($T826)),"CHECK DATE",IF(TODAY()&gt;$T826,"OVERDUE","Due "&amp;TEXT($T826,"mm/dd")))))))</f>
        <v/>
      </c>
      <c r="V826" s="16" t="n"/>
      <c r="W826" s="16" t="n"/>
      <c r="X826" s="17">
        <f>IF($C826="","",IF(AND($L826&lt;&gt;"",NOT(ISNUMBER($L826))),"RAW SCORE NOT A NUMBER",IF(AND(ISNUMBER($L826),OR($L826&lt;0,$L826&gt;100)),"RAW SCORE OUT OF RANGE",IF(AND($Y826="Unexcused",OR($L826="",NOT(ISNUMBER($L826)),$L826&lt;&gt;0)),"UNEXCUSED ABSENCE MUST RECORD 0",IF(COUNTIF(nrES_RecID,$B826)&gt;1,"DUPLICATE RECORD",IF(N($K826)&gt;2,"ATTEMPT 3+ NOT ALLOWED - policy 300.5 permits one retest per exam; this row records nothing",IF(AND($K826=2,COUNTIFS(nrES_PID,$D826,nrES_Code,$F826,nrES_Att,1)=0),"ATTEMPT 2 WITHOUT ATTEMPT 1",IF(AND($K826=2,$L826=""),"RETEST ROW HAS NO SCORE",IF(AND($H826="Final",$L826&lt;&gt;"",IFERROR(INDEX(nrCKfinalExamElig,MATCH($D826,rngCadetPIDs,0)),"")="No"),"FINAL EXAM AFTER FAILED FINAL PT (500.1.H)",IF(AND($K826=2,ISNUMBER($L826),COUNTIFS(nrES_PID,$D826,nrES_Code,$F826,nrES_Att,1)&gt;0,SUMIFS(nrES_Raw,nrES_PID,$D826,nrES_Code,$F826,nrES_Att,1)&gt;=$J826),"RETEST AFTER A PASSING FIRST ATTEMPT","OK"))))))))))</f>
        <v/>
      </c>
      <c r="Y826" s="16" t="n"/>
    </row>
    <row r="827">
      <c r="B827" s="17">
        <f>IF($C827="","",$D827&amp;"-"&amp;$F827&amp;"-"&amp;$K827)</f>
        <v/>
      </c>
      <c r="C827" s="16" t="n"/>
      <c r="D827" s="17">
        <f>IF($C827="","",IFERROR(INDEX(rngCadetPIDs,MATCH($C827,rngCadetNames,0)),"?"))</f>
        <v/>
      </c>
      <c r="E827" s="17">
        <f>IF($D827="","",IFERROR(INDEX(nrCadetAgency,MATCH($D827,rngCadetPIDs,0)),""))</f>
        <v/>
      </c>
      <c r="F827" s="16" t="n"/>
      <c r="G827" s="17">
        <f>IF($F827="","",IFERROR(INDEX(rngEPname,MATCH($F827,rngEPcode,0)),"?"))</f>
        <v/>
      </c>
      <c r="H827" s="17">
        <f>IF($F827="","",IFERROR(INDEX(rngEPtype,MATCH($F827,rngEPcode,0)),"?"))</f>
        <v/>
      </c>
      <c r="I827" s="17">
        <f>IF($F827="","",IFERROR(INDEX(rngEPseq,MATCH($F827,rngEPcode,0)),""))</f>
        <v/>
      </c>
      <c r="J827" s="17">
        <f>IF($F827="","",IFERROR(INDEX(rngEPpass,MATCH($F827,rngEPcode,0)),cfgPassingScore))</f>
        <v/>
      </c>
      <c r="K827" s="16" t="n"/>
      <c r="L827" s="16" t="n"/>
      <c r="M827" s="17">
        <f>IF($C827="","",IF($L827="","",IF(NOT(ISNUMBER($L827)),$L827,IF(N($K827)&gt;2,"",IF($K827=1,IF(COUNTIFS(nrES_PID,$D827,nrES_Code,$F827,nrES_Att,2,nrES_Raw,"&gt;=0")&gt;0,"",$L827),IF($L827&gt;=$J827,MAX($J827,cfgRetakeRecordedCap),IF(COUNTIFS(nrES_PID,$D827,nrES_Code,$F827,nrES_Att,1)=0,$L827,SUMIFS(nrES_Raw,nrES_PID,$D827,nrES_Code,$F827,nrES_Att,1))))))))</f>
        <v/>
      </c>
      <c r="N827" s="17">
        <f>IF($C827="","",IF($L827="","",IF(NOT(ISNUMBER($L827)),"(not a score)",IF($L827&gt;=$J827,"Yes","No"))))</f>
        <v/>
      </c>
      <c r="O827" s="17">
        <f>IF($C827="","",IF($M827="","",IF(NOT(ISNUMBER($M827)),"(not a score)",IF($M827&gt;=$J827,"Yes","No"))))</f>
        <v/>
      </c>
      <c r="P827" s="17">
        <f>IF($C827="","",IF($K827="","",IF(N($K827)&gt;2,"No",IF(COUNTIFS(nrES_PID,$D827,nrES_Code,$F827,nrES_Att,"&gt;"&amp;$K827,nrES_Att,"&lt;=2",nrES_Raw,"&gt;=0")=0,"Yes","No"))))</f>
        <v/>
      </c>
      <c r="Q827" s="17">
        <f>IF($C827="","",IF($L827="","",IF(AND($K827=1,ISNUMBER($L827),$L827&lt;$J827,COUNTIFS(nrES_PID,$D827,nrES_Code,$F827,nrES_Att,2,nrES_Raw,"&gt;=0")=0),"Yes","No")))</f>
        <v/>
      </c>
      <c r="R827" s="17">
        <f>IF($C827="","",IF($L827="","",IF(AND(N($K827)&gt;=2,ISNUMBER($L827),$L827&lt;$J827),"Yes","No")))</f>
        <v/>
      </c>
      <c r="S827" s="18" t="n"/>
      <c r="T827" s="19">
        <f>IF(OR($C827="",$L827="",$K827&lt;&gt;1,NOT(ISNUMBER($L827)),$L827&gt;=$J827),"",IF($S827="","(enter date)",_xlfn.LET(_xlpm.dn,_xlfn.XLOOKUP($S827,nrCDdate,nrCDnum,"",1),IF(_xlpm.dn="","(after last class day)",_xlfn.LET(_xlpm.dd,_xlfn.XLOOKUP(_xlpm.dn+cfgRetestClassDays,nrCDnum,nrCDdate,""),_xlpm.ok,_xlfn.XLOOKUP(_xlpm.dn+cfgRetestClassDays,nrCDnum,nrCDinsession,"No"),IF(OR(_xlpm.dd="",_xlpm.ok&lt;&gt;"Yes"),"(after last class day)",_xlpm.dd))))))</f>
        <v/>
      </c>
      <c r="U827" s="17">
        <f>IF($C827="","",IF(AND($Y827="Excused",$L827="",N($K827)&lt;=1),"EXCUSED - 1st attempt pending",IF(OR($L827="",$K827&lt;&gt;1,NOT(ISNUMBER($L827)),$L827&gt;=$J827),"",IF(COUNTIFS(nrES_PID,$D827,nrES_Code,$F827,nrES_Att,2,nrES_Raw,"&gt;=0")&gt;0,IF(IFERROR(_xlfn.MINIFS(nrES_Date,nrES_PID,$D827,nrES_Code,$F827,nrES_Att,2,nrES_Raw,"&gt;=0",nrES_Date,"&gt;0"),0)=0,"RETEST UNDATED",IF(NOT(ISNUMBER($T827)),"RETEST DATE UNCHECKED",IF(_xlfn.MINIFS(nrES_Date,nrES_PID,$D827,nrES_Code,$F827,nrES_Att,2,nrES_Raw,"&gt;=0",nrES_Date,"&gt;0")&gt;$T827,"LATE RETEST "&amp;TEXT(_xlfn.MINIFS(nrES_Date,nrES_PID,$D827,nrES_Code,$F827,nrES_Att,2,nrES_Raw,"&gt;=0",nrES_Date,"&gt;0"),"mm/dd")&amp;" (due "&amp;TEXT($T827,"mm/dd")&amp;")","Retested"))),IF(NOT(ISNUMBER($T827)),"CHECK DATE",IF(TODAY()&gt;$T827,"OVERDUE","Due "&amp;TEXT($T827,"mm/dd")))))))</f>
        <v/>
      </c>
      <c r="V827" s="16" t="n"/>
      <c r="W827" s="16" t="n"/>
      <c r="X827" s="17">
        <f>IF($C827="","",IF(AND($L827&lt;&gt;"",NOT(ISNUMBER($L827))),"RAW SCORE NOT A NUMBER",IF(AND(ISNUMBER($L827),OR($L827&lt;0,$L827&gt;100)),"RAW SCORE OUT OF RANGE",IF(AND($Y827="Unexcused",OR($L827="",NOT(ISNUMBER($L827)),$L827&lt;&gt;0)),"UNEXCUSED ABSENCE MUST RECORD 0",IF(COUNTIF(nrES_RecID,$B827)&gt;1,"DUPLICATE RECORD",IF(N($K827)&gt;2,"ATTEMPT 3+ NOT ALLOWED - policy 300.5 permits one retest per exam; this row records nothing",IF(AND($K827=2,COUNTIFS(nrES_PID,$D827,nrES_Code,$F827,nrES_Att,1)=0),"ATTEMPT 2 WITHOUT ATTEMPT 1",IF(AND($K827=2,$L827=""),"RETEST ROW HAS NO SCORE",IF(AND($H827="Final",$L827&lt;&gt;"",IFERROR(INDEX(nrCKfinalExamElig,MATCH($D827,rngCadetPIDs,0)),"")="No"),"FINAL EXAM AFTER FAILED FINAL PT (500.1.H)",IF(AND($K827=2,ISNUMBER($L827),COUNTIFS(nrES_PID,$D827,nrES_Code,$F827,nrES_Att,1)&gt;0,SUMIFS(nrES_Raw,nrES_PID,$D827,nrES_Code,$F827,nrES_Att,1)&gt;=$J827),"RETEST AFTER A PASSING FIRST ATTEMPT","OK"))))))))))</f>
        <v/>
      </c>
      <c r="Y827" s="16" t="n"/>
    </row>
    <row r="828">
      <c r="B828" s="17">
        <f>IF($C828="","",$D828&amp;"-"&amp;$F828&amp;"-"&amp;$K828)</f>
        <v/>
      </c>
      <c r="C828" s="16" t="n"/>
      <c r="D828" s="17">
        <f>IF($C828="","",IFERROR(INDEX(rngCadetPIDs,MATCH($C828,rngCadetNames,0)),"?"))</f>
        <v/>
      </c>
      <c r="E828" s="17">
        <f>IF($D828="","",IFERROR(INDEX(nrCadetAgency,MATCH($D828,rngCadetPIDs,0)),""))</f>
        <v/>
      </c>
      <c r="F828" s="16" t="n"/>
      <c r="G828" s="17">
        <f>IF($F828="","",IFERROR(INDEX(rngEPname,MATCH($F828,rngEPcode,0)),"?"))</f>
        <v/>
      </c>
      <c r="H828" s="17">
        <f>IF($F828="","",IFERROR(INDEX(rngEPtype,MATCH($F828,rngEPcode,0)),"?"))</f>
        <v/>
      </c>
      <c r="I828" s="17">
        <f>IF($F828="","",IFERROR(INDEX(rngEPseq,MATCH($F828,rngEPcode,0)),""))</f>
        <v/>
      </c>
      <c r="J828" s="17">
        <f>IF($F828="","",IFERROR(INDEX(rngEPpass,MATCH($F828,rngEPcode,0)),cfgPassingScore))</f>
        <v/>
      </c>
      <c r="K828" s="16" t="n"/>
      <c r="L828" s="16" t="n"/>
      <c r="M828" s="17">
        <f>IF($C828="","",IF($L828="","",IF(NOT(ISNUMBER($L828)),$L828,IF(N($K828)&gt;2,"",IF($K828=1,IF(COUNTIFS(nrES_PID,$D828,nrES_Code,$F828,nrES_Att,2,nrES_Raw,"&gt;=0")&gt;0,"",$L828),IF($L828&gt;=$J828,MAX($J828,cfgRetakeRecordedCap),IF(COUNTIFS(nrES_PID,$D828,nrES_Code,$F828,nrES_Att,1)=0,$L828,SUMIFS(nrES_Raw,nrES_PID,$D828,nrES_Code,$F828,nrES_Att,1))))))))</f>
        <v/>
      </c>
      <c r="N828" s="17">
        <f>IF($C828="","",IF($L828="","",IF(NOT(ISNUMBER($L828)),"(not a score)",IF($L828&gt;=$J828,"Yes","No"))))</f>
        <v/>
      </c>
      <c r="O828" s="17">
        <f>IF($C828="","",IF($M828="","",IF(NOT(ISNUMBER($M828)),"(not a score)",IF($M828&gt;=$J828,"Yes","No"))))</f>
        <v/>
      </c>
      <c r="P828" s="17">
        <f>IF($C828="","",IF($K828="","",IF(N($K828)&gt;2,"No",IF(COUNTIFS(nrES_PID,$D828,nrES_Code,$F828,nrES_Att,"&gt;"&amp;$K828,nrES_Att,"&lt;=2",nrES_Raw,"&gt;=0")=0,"Yes","No"))))</f>
        <v/>
      </c>
      <c r="Q828" s="17">
        <f>IF($C828="","",IF($L828="","",IF(AND($K828=1,ISNUMBER($L828),$L828&lt;$J828,COUNTIFS(nrES_PID,$D828,nrES_Code,$F828,nrES_Att,2,nrES_Raw,"&gt;=0")=0),"Yes","No")))</f>
        <v/>
      </c>
      <c r="R828" s="17">
        <f>IF($C828="","",IF($L828="","",IF(AND(N($K828)&gt;=2,ISNUMBER($L828),$L828&lt;$J828),"Yes","No")))</f>
        <v/>
      </c>
      <c r="S828" s="18" t="n"/>
      <c r="T828" s="19">
        <f>IF(OR($C828="",$L828="",$K828&lt;&gt;1,NOT(ISNUMBER($L828)),$L828&gt;=$J828),"",IF($S828="","(enter date)",_xlfn.LET(_xlpm.dn,_xlfn.XLOOKUP($S828,nrCDdate,nrCDnum,"",1),IF(_xlpm.dn="","(after last class day)",_xlfn.LET(_xlpm.dd,_xlfn.XLOOKUP(_xlpm.dn+cfgRetestClassDays,nrCDnum,nrCDdate,""),_xlpm.ok,_xlfn.XLOOKUP(_xlpm.dn+cfgRetestClassDays,nrCDnum,nrCDinsession,"No"),IF(OR(_xlpm.dd="",_xlpm.ok&lt;&gt;"Yes"),"(after last class day)",_xlpm.dd))))))</f>
        <v/>
      </c>
      <c r="U828" s="17">
        <f>IF($C828="","",IF(AND($Y828="Excused",$L828="",N($K828)&lt;=1),"EXCUSED - 1st attempt pending",IF(OR($L828="",$K828&lt;&gt;1,NOT(ISNUMBER($L828)),$L828&gt;=$J828),"",IF(COUNTIFS(nrES_PID,$D828,nrES_Code,$F828,nrES_Att,2,nrES_Raw,"&gt;=0")&gt;0,IF(IFERROR(_xlfn.MINIFS(nrES_Date,nrES_PID,$D828,nrES_Code,$F828,nrES_Att,2,nrES_Raw,"&gt;=0",nrES_Date,"&gt;0"),0)=0,"RETEST UNDATED",IF(NOT(ISNUMBER($T828)),"RETEST DATE UNCHECKED",IF(_xlfn.MINIFS(nrES_Date,nrES_PID,$D828,nrES_Code,$F828,nrES_Att,2,nrES_Raw,"&gt;=0",nrES_Date,"&gt;0")&gt;$T828,"LATE RETEST "&amp;TEXT(_xlfn.MINIFS(nrES_Date,nrES_PID,$D828,nrES_Code,$F828,nrES_Att,2,nrES_Raw,"&gt;=0",nrES_Date,"&gt;0"),"mm/dd")&amp;" (due "&amp;TEXT($T828,"mm/dd")&amp;")","Retested"))),IF(NOT(ISNUMBER($T828)),"CHECK DATE",IF(TODAY()&gt;$T828,"OVERDUE","Due "&amp;TEXT($T828,"mm/dd")))))))</f>
        <v/>
      </c>
      <c r="V828" s="16" t="n"/>
      <c r="W828" s="16" t="n"/>
      <c r="X828" s="17">
        <f>IF($C828="","",IF(AND($L828&lt;&gt;"",NOT(ISNUMBER($L828))),"RAW SCORE NOT A NUMBER",IF(AND(ISNUMBER($L828),OR($L828&lt;0,$L828&gt;100)),"RAW SCORE OUT OF RANGE",IF(AND($Y828="Unexcused",OR($L828="",NOT(ISNUMBER($L828)),$L828&lt;&gt;0)),"UNEXCUSED ABSENCE MUST RECORD 0",IF(COUNTIF(nrES_RecID,$B828)&gt;1,"DUPLICATE RECORD",IF(N($K828)&gt;2,"ATTEMPT 3+ NOT ALLOWED - policy 300.5 permits one retest per exam; this row records nothing",IF(AND($K828=2,COUNTIFS(nrES_PID,$D828,nrES_Code,$F828,nrES_Att,1)=0),"ATTEMPT 2 WITHOUT ATTEMPT 1",IF(AND($K828=2,$L828=""),"RETEST ROW HAS NO SCORE",IF(AND($H828="Final",$L828&lt;&gt;"",IFERROR(INDEX(nrCKfinalExamElig,MATCH($D828,rngCadetPIDs,0)),"")="No"),"FINAL EXAM AFTER FAILED FINAL PT (500.1.H)",IF(AND($K828=2,ISNUMBER($L828),COUNTIFS(nrES_PID,$D828,nrES_Code,$F828,nrES_Att,1)&gt;0,SUMIFS(nrES_Raw,nrES_PID,$D828,nrES_Code,$F828,nrES_Att,1)&gt;=$J828),"RETEST AFTER A PASSING FIRST ATTEMPT","OK"))))))))))</f>
        <v/>
      </c>
      <c r="Y828" s="16" t="n"/>
    </row>
    <row r="829">
      <c r="B829" s="17">
        <f>IF($C829="","",$D829&amp;"-"&amp;$F829&amp;"-"&amp;$K829)</f>
        <v/>
      </c>
      <c r="C829" s="16" t="n"/>
      <c r="D829" s="17">
        <f>IF($C829="","",IFERROR(INDEX(rngCadetPIDs,MATCH($C829,rngCadetNames,0)),"?"))</f>
        <v/>
      </c>
      <c r="E829" s="17">
        <f>IF($D829="","",IFERROR(INDEX(nrCadetAgency,MATCH($D829,rngCadetPIDs,0)),""))</f>
        <v/>
      </c>
      <c r="F829" s="16" t="n"/>
      <c r="G829" s="17">
        <f>IF($F829="","",IFERROR(INDEX(rngEPname,MATCH($F829,rngEPcode,0)),"?"))</f>
        <v/>
      </c>
      <c r="H829" s="17">
        <f>IF($F829="","",IFERROR(INDEX(rngEPtype,MATCH($F829,rngEPcode,0)),"?"))</f>
        <v/>
      </c>
      <c r="I829" s="17">
        <f>IF($F829="","",IFERROR(INDEX(rngEPseq,MATCH($F829,rngEPcode,0)),""))</f>
        <v/>
      </c>
      <c r="J829" s="17">
        <f>IF($F829="","",IFERROR(INDEX(rngEPpass,MATCH($F829,rngEPcode,0)),cfgPassingScore))</f>
        <v/>
      </c>
      <c r="K829" s="16" t="n"/>
      <c r="L829" s="16" t="n"/>
      <c r="M829" s="17">
        <f>IF($C829="","",IF($L829="","",IF(NOT(ISNUMBER($L829)),$L829,IF(N($K829)&gt;2,"",IF($K829=1,IF(COUNTIFS(nrES_PID,$D829,nrES_Code,$F829,nrES_Att,2,nrES_Raw,"&gt;=0")&gt;0,"",$L829),IF($L829&gt;=$J829,MAX($J829,cfgRetakeRecordedCap),IF(COUNTIFS(nrES_PID,$D829,nrES_Code,$F829,nrES_Att,1)=0,$L829,SUMIFS(nrES_Raw,nrES_PID,$D829,nrES_Code,$F829,nrES_Att,1))))))))</f>
        <v/>
      </c>
      <c r="N829" s="17">
        <f>IF($C829="","",IF($L829="","",IF(NOT(ISNUMBER($L829)),"(not a score)",IF($L829&gt;=$J829,"Yes","No"))))</f>
        <v/>
      </c>
      <c r="O829" s="17">
        <f>IF($C829="","",IF($M829="","",IF(NOT(ISNUMBER($M829)),"(not a score)",IF($M829&gt;=$J829,"Yes","No"))))</f>
        <v/>
      </c>
      <c r="P829" s="17">
        <f>IF($C829="","",IF($K829="","",IF(N($K829)&gt;2,"No",IF(COUNTIFS(nrES_PID,$D829,nrES_Code,$F829,nrES_Att,"&gt;"&amp;$K829,nrES_Att,"&lt;=2",nrES_Raw,"&gt;=0")=0,"Yes","No"))))</f>
        <v/>
      </c>
      <c r="Q829" s="17">
        <f>IF($C829="","",IF($L829="","",IF(AND($K829=1,ISNUMBER($L829),$L829&lt;$J829,COUNTIFS(nrES_PID,$D829,nrES_Code,$F829,nrES_Att,2,nrES_Raw,"&gt;=0")=0),"Yes","No")))</f>
        <v/>
      </c>
      <c r="R829" s="17">
        <f>IF($C829="","",IF($L829="","",IF(AND(N($K829)&gt;=2,ISNUMBER($L829),$L829&lt;$J829),"Yes","No")))</f>
        <v/>
      </c>
      <c r="S829" s="18" t="n"/>
      <c r="T829" s="19">
        <f>IF(OR($C829="",$L829="",$K829&lt;&gt;1,NOT(ISNUMBER($L829)),$L829&gt;=$J829),"",IF($S829="","(enter date)",_xlfn.LET(_xlpm.dn,_xlfn.XLOOKUP($S829,nrCDdate,nrCDnum,"",1),IF(_xlpm.dn="","(after last class day)",_xlfn.LET(_xlpm.dd,_xlfn.XLOOKUP(_xlpm.dn+cfgRetestClassDays,nrCDnum,nrCDdate,""),_xlpm.ok,_xlfn.XLOOKUP(_xlpm.dn+cfgRetestClassDays,nrCDnum,nrCDinsession,"No"),IF(OR(_xlpm.dd="",_xlpm.ok&lt;&gt;"Yes"),"(after last class day)",_xlpm.dd))))))</f>
        <v/>
      </c>
      <c r="U829" s="17">
        <f>IF($C829="","",IF(AND($Y829="Excused",$L829="",N($K829)&lt;=1),"EXCUSED - 1st attempt pending",IF(OR($L829="",$K829&lt;&gt;1,NOT(ISNUMBER($L829)),$L829&gt;=$J829),"",IF(COUNTIFS(nrES_PID,$D829,nrES_Code,$F829,nrES_Att,2,nrES_Raw,"&gt;=0")&gt;0,IF(IFERROR(_xlfn.MINIFS(nrES_Date,nrES_PID,$D829,nrES_Code,$F829,nrES_Att,2,nrES_Raw,"&gt;=0",nrES_Date,"&gt;0"),0)=0,"RETEST UNDATED",IF(NOT(ISNUMBER($T829)),"RETEST DATE UNCHECKED",IF(_xlfn.MINIFS(nrES_Date,nrES_PID,$D829,nrES_Code,$F829,nrES_Att,2,nrES_Raw,"&gt;=0",nrES_Date,"&gt;0")&gt;$T829,"LATE RETEST "&amp;TEXT(_xlfn.MINIFS(nrES_Date,nrES_PID,$D829,nrES_Code,$F829,nrES_Att,2,nrES_Raw,"&gt;=0",nrES_Date,"&gt;0"),"mm/dd")&amp;" (due "&amp;TEXT($T829,"mm/dd")&amp;")","Retested"))),IF(NOT(ISNUMBER($T829)),"CHECK DATE",IF(TODAY()&gt;$T829,"OVERDUE","Due "&amp;TEXT($T829,"mm/dd")))))))</f>
        <v/>
      </c>
      <c r="V829" s="16" t="n"/>
      <c r="W829" s="16" t="n"/>
      <c r="X829" s="17">
        <f>IF($C829="","",IF(AND($L829&lt;&gt;"",NOT(ISNUMBER($L829))),"RAW SCORE NOT A NUMBER",IF(AND(ISNUMBER($L829),OR($L829&lt;0,$L829&gt;100)),"RAW SCORE OUT OF RANGE",IF(AND($Y829="Unexcused",OR($L829="",NOT(ISNUMBER($L829)),$L829&lt;&gt;0)),"UNEXCUSED ABSENCE MUST RECORD 0",IF(COUNTIF(nrES_RecID,$B829)&gt;1,"DUPLICATE RECORD",IF(N($K829)&gt;2,"ATTEMPT 3+ NOT ALLOWED - policy 300.5 permits one retest per exam; this row records nothing",IF(AND($K829=2,COUNTIFS(nrES_PID,$D829,nrES_Code,$F829,nrES_Att,1)=0),"ATTEMPT 2 WITHOUT ATTEMPT 1",IF(AND($K829=2,$L829=""),"RETEST ROW HAS NO SCORE",IF(AND($H829="Final",$L829&lt;&gt;"",IFERROR(INDEX(nrCKfinalExamElig,MATCH($D829,rngCadetPIDs,0)),"")="No"),"FINAL EXAM AFTER FAILED FINAL PT (500.1.H)",IF(AND($K829=2,ISNUMBER($L829),COUNTIFS(nrES_PID,$D829,nrES_Code,$F829,nrES_Att,1)&gt;0,SUMIFS(nrES_Raw,nrES_PID,$D829,nrES_Code,$F829,nrES_Att,1)&gt;=$J829),"RETEST AFTER A PASSING FIRST ATTEMPT","OK"))))))))))</f>
        <v/>
      </c>
      <c r="Y829" s="16" t="n"/>
    </row>
    <row r="830">
      <c r="B830" s="17">
        <f>IF($C830="","",$D830&amp;"-"&amp;$F830&amp;"-"&amp;$K830)</f>
        <v/>
      </c>
      <c r="C830" s="16" t="n"/>
      <c r="D830" s="17">
        <f>IF($C830="","",IFERROR(INDEX(rngCadetPIDs,MATCH($C830,rngCadetNames,0)),"?"))</f>
        <v/>
      </c>
      <c r="E830" s="17">
        <f>IF($D830="","",IFERROR(INDEX(nrCadetAgency,MATCH($D830,rngCadetPIDs,0)),""))</f>
        <v/>
      </c>
      <c r="F830" s="16" t="n"/>
      <c r="G830" s="17">
        <f>IF($F830="","",IFERROR(INDEX(rngEPname,MATCH($F830,rngEPcode,0)),"?"))</f>
        <v/>
      </c>
      <c r="H830" s="17">
        <f>IF($F830="","",IFERROR(INDEX(rngEPtype,MATCH($F830,rngEPcode,0)),"?"))</f>
        <v/>
      </c>
      <c r="I830" s="17">
        <f>IF($F830="","",IFERROR(INDEX(rngEPseq,MATCH($F830,rngEPcode,0)),""))</f>
        <v/>
      </c>
      <c r="J830" s="17">
        <f>IF($F830="","",IFERROR(INDEX(rngEPpass,MATCH($F830,rngEPcode,0)),cfgPassingScore))</f>
        <v/>
      </c>
      <c r="K830" s="16" t="n"/>
      <c r="L830" s="16" t="n"/>
      <c r="M830" s="17">
        <f>IF($C830="","",IF($L830="","",IF(NOT(ISNUMBER($L830)),$L830,IF(N($K830)&gt;2,"",IF($K830=1,IF(COUNTIFS(nrES_PID,$D830,nrES_Code,$F830,nrES_Att,2,nrES_Raw,"&gt;=0")&gt;0,"",$L830),IF($L830&gt;=$J830,MAX($J830,cfgRetakeRecordedCap),IF(COUNTIFS(nrES_PID,$D830,nrES_Code,$F830,nrES_Att,1)=0,$L830,SUMIFS(nrES_Raw,nrES_PID,$D830,nrES_Code,$F830,nrES_Att,1))))))))</f>
        <v/>
      </c>
      <c r="N830" s="17">
        <f>IF($C830="","",IF($L830="","",IF(NOT(ISNUMBER($L830)),"(not a score)",IF($L830&gt;=$J830,"Yes","No"))))</f>
        <v/>
      </c>
      <c r="O830" s="17">
        <f>IF($C830="","",IF($M830="","",IF(NOT(ISNUMBER($M830)),"(not a score)",IF($M830&gt;=$J830,"Yes","No"))))</f>
        <v/>
      </c>
      <c r="P830" s="17">
        <f>IF($C830="","",IF($K830="","",IF(N($K830)&gt;2,"No",IF(COUNTIFS(nrES_PID,$D830,nrES_Code,$F830,nrES_Att,"&gt;"&amp;$K830,nrES_Att,"&lt;=2",nrES_Raw,"&gt;=0")=0,"Yes","No"))))</f>
        <v/>
      </c>
      <c r="Q830" s="17">
        <f>IF($C830="","",IF($L830="","",IF(AND($K830=1,ISNUMBER($L830),$L830&lt;$J830,COUNTIFS(nrES_PID,$D830,nrES_Code,$F830,nrES_Att,2,nrES_Raw,"&gt;=0")=0),"Yes","No")))</f>
        <v/>
      </c>
      <c r="R830" s="17">
        <f>IF($C830="","",IF($L830="","",IF(AND(N($K830)&gt;=2,ISNUMBER($L830),$L830&lt;$J830),"Yes","No")))</f>
        <v/>
      </c>
      <c r="S830" s="18" t="n"/>
      <c r="T830" s="19">
        <f>IF(OR($C830="",$L830="",$K830&lt;&gt;1,NOT(ISNUMBER($L830)),$L830&gt;=$J830),"",IF($S830="","(enter date)",_xlfn.LET(_xlpm.dn,_xlfn.XLOOKUP($S830,nrCDdate,nrCDnum,"",1),IF(_xlpm.dn="","(after last class day)",_xlfn.LET(_xlpm.dd,_xlfn.XLOOKUP(_xlpm.dn+cfgRetestClassDays,nrCDnum,nrCDdate,""),_xlpm.ok,_xlfn.XLOOKUP(_xlpm.dn+cfgRetestClassDays,nrCDnum,nrCDinsession,"No"),IF(OR(_xlpm.dd="",_xlpm.ok&lt;&gt;"Yes"),"(after last class day)",_xlpm.dd))))))</f>
        <v/>
      </c>
      <c r="U830" s="17">
        <f>IF($C830="","",IF(AND($Y830="Excused",$L830="",N($K830)&lt;=1),"EXCUSED - 1st attempt pending",IF(OR($L830="",$K830&lt;&gt;1,NOT(ISNUMBER($L830)),$L830&gt;=$J830),"",IF(COUNTIFS(nrES_PID,$D830,nrES_Code,$F830,nrES_Att,2,nrES_Raw,"&gt;=0")&gt;0,IF(IFERROR(_xlfn.MINIFS(nrES_Date,nrES_PID,$D830,nrES_Code,$F830,nrES_Att,2,nrES_Raw,"&gt;=0",nrES_Date,"&gt;0"),0)=0,"RETEST UNDATED",IF(NOT(ISNUMBER($T830)),"RETEST DATE UNCHECKED",IF(_xlfn.MINIFS(nrES_Date,nrES_PID,$D830,nrES_Code,$F830,nrES_Att,2,nrES_Raw,"&gt;=0",nrES_Date,"&gt;0")&gt;$T830,"LATE RETEST "&amp;TEXT(_xlfn.MINIFS(nrES_Date,nrES_PID,$D830,nrES_Code,$F830,nrES_Att,2,nrES_Raw,"&gt;=0",nrES_Date,"&gt;0"),"mm/dd")&amp;" (due "&amp;TEXT($T830,"mm/dd")&amp;")","Retested"))),IF(NOT(ISNUMBER($T830)),"CHECK DATE",IF(TODAY()&gt;$T830,"OVERDUE","Due "&amp;TEXT($T830,"mm/dd")))))))</f>
        <v/>
      </c>
      <c r="V830" s="16" t="n"/>
      <c r="W830" s="16" t="n"/>
      <c r="X830" s="17">
        <f>IF($C830="","",IF(AND($L830&lt;&gt;"",NOT(ISNUMBER($L830))),"RAW SCORE NOT A NUMBER",IF(AND(ISNUMBER($L830),OR($L830&lt;0,$L830&gt;100)),"RAW SCORE OUT OF RANGE",IF(AND($Y830="Unexcused",OR($L830="",NOT(ISNUMBER($L830)),$L830&lt;&gt;0)),"UNEXCUSED ABSENCE MUST RECORD 0",IF(COUNTIF(nrES_RecID,$B830)&gt;1,"DUPLICATE RECORD",IF(N($K830)&gt;2,"ATTEMPT 3+ NOT ALLOWED - policy 300.5 permits one retest per exam; this row records nothing",IF(AND($K830=2,COUNTIFS(nrES_PID,$D830,nrES_Code,$F830,nrES_Att,1)=0),"ATTEMPT 2 WITHOUT ATTEMPT 1",IF(AND($K830=2,$L830=""),"RETEST ROW HAS NO SCORE",IF(AND($H830="Final",$L830&lt;&gt;"",IFERROR(INDEX(nrCKfinalExamElig,MATCH($D830,rngCadetPIDs,0)),"")="No"),"FINAL EXAM AFTER FAILED FINAL PT (500.1.H)",IF(AND($K830=2,ISNUMBER($L830),COUNTIFS(nrES_PID,$D830,nrES_Code,$F830,nrES_Att,1)&gt;0,SUMIFS(nrES_Raw,nrES_PID,$D830,nrES_Code,$F830,nrES_Att,1)&gt;=$J830),"RETEST AFTER A PASSING FIRST ATTEMPT","OK"))))))))))</f>
        <v/>
      </c>
      <c r="Y830" s="16" t="n"/>
    </row>
    <row r="831">
      <c r="B831" s="17">
        <f>IF($C831="","",$D831&amp;"-"&amp;$F831&amp;"-"&amp;$K831)</f>
        <v/>
      </c>
      <c r="C831" s="16" t="n"/>
      <c r="D831" s="17">
        <f>IF($C831="","",IFERROR(INDEX(rngCadetPIDs,MATCH($C831,rngCadetNames,0)),"?"))</f>
        <v/>
      </c>
      <c r="E831" s="17">
        <f>IF($D831="","",IFERROR(INDEX(nrCadetAgency,MATCH($D831,rngCadetPIDs,0)),""))</f>
        <v/>
      </c>
      <c r="F831" s="16" t="n"/>
      <c r="G831" s="17">
        <f>IF($F831="","",IFERROR(INDEX(rngEPname,MATCH($F831,rngEPcode,0)),"?"))</f>
        <v/>
      </c>
      <c r="H831" s="17">
        <f>IF($F831="","",IFERROR(INDEX(rngEPtype,MATCH($F831,rngEPcode,0)),"?"))</f>
        <v/>
      </c>
      <c r="I831" s="17">
        <f>IF($F831="","",IFERROR(INDEX(rngEPseq,MATCH($F831,rngEPcode,0)),""))</f>
        <v/>
      </c>
      <c r="J831" s="17">
        <f>IF($F831="","",IFERROR(INDEX(rngEPpass,MATCH($F831,rngEPcode,0)),cfgPassingScore))</f>
        <v/>
      </c>
      <c r="K831" s="16" t="n"/>
      <c r="L831" s="16" t="n"/>
      <c r="M831" s="17">
        <f>IF($C831="","",IF($L831="","",IF(NOT(ISNUMBER($L831)),$L831,IF(N($K831)&gt;2,"",IF($K831=1,IF(COUNTIFS(nrES_PID,$D831,nrES_Code,$F831,nrES_Att,2,nrES_Raw,"&gt;=0")&gt;0,"",$L831),IF($L831&gt;=$J831,MAX($J831,cfgRetakeRecordedCap),IF(COUNTIFS(nrES_PID,$D831,nrES_Code,$F831,nrES_Att,1)=0,$L831,SUMIFS(nrES_Raw,nrES_PID,$D831,nrES_Code,$F831,nrES_Att,1))))))))</f>
        <v/>
      </c>
      <c r="N831" s="17">
        <f>IF($C831="","",IF($L831="","",IF(NOT(ISNUMBER($L831)),"(not a score)",IF($L831&gt;=$J831,"Yes","No"))))</f>
        <v/>
      </c>
      <c r="O831" s="17">
        <f>IF($C831="","",IF($M831="","",IF(NOT(ISNUMBER($M831)),"(not a score)",IF($M831&gt;=$J831,"Yes","No"))))</f>
        <v/>
      </c>
      <c r="P831" s="17">
        <f>IF($C831="","",IF($K831="","",IF(N($K831)&gt;2,"No",IF(COUNTIFS(nrES_PID,$D831,nrES_Code,$F831,nrES_Att,"&gt;"&amp;$K831,nrES_Att,"&lt;=2",nrES_Raw,"&gt;=0")=0,"Yes","No"))))</f>
        <v/>
      </c>
      <c r="Q831" s="17">
        <f>IF($C831="","",IF($L831="","",IF(AND($K831=1,ISNUMBER($L831),$L831&lt;$J831,COUNTIFS(nrES_PID,$D831,nrES_Code,$F831,nrES_Att,2,nrES_Raw,"&gt;=0")=0),"Yes","No")))</f>
        <v/>
      </c>
      <c r="R831" s="17">
        <f>IF($C831="","",IF($L831="","",IF(AND(N($K831)&gt;=2,ISNUMBER($L831),$L831&lt;$J831),"Yes","No")))</f>
        <v/>
      </c>
      <c r="S831" s="18" t="n"/>
      <c r="T831" s="19">
        <f>IF(OR($C831="",$L831="",$K831&lt;&gt;1,NOT(ISNUMBER($L831)),$L831&gt;=$J831),"",IF($S831="","(enter date)",_xlfn.LET(_xlpm.dn,_xlfn.XLOOKUP($S831,nrCDdate,nrCDnum,"",1),IF(_xlpm.dn="","(after last class day)",_xlfn.LET(_xlpm.dd,_xlfn.XLOOKUP(_xlpm.dn+cfgRetestClassDays,nrCDnum,nrCDdate,""),_xlpm.ok,_xlfn.XLOOKUP(_xlpm.dn+cfgRetestClassDays,nrCDnum,nrCDinsession,"No"),IF(OR(_xlpm.dd="",_xlpm.ok&lt;&gt;"Yes"),"(after last class day)",_xlpm.dd))))))</f>
        <v/>
      </c>
      <c r="U831" s="17">
        <f>IF($C831="","",IF(AND($Y831="Excused",$L831="",N($K831)&lt;=1),"EXCUSED - 1st attempt pending",IF(OR($L831="",$K831&lt;&gt;1,NOT(ISNUMBER($L831)),$L831&gt;=$J831),"",IF(COUNTIFS(nrES_PID,$D831,nrES_Code,$F831,nrES_Att,2,nrES_Raw,"&gt;=0")&gt;0,IF(IFERROR(_xlfn.MINIFS(nrES_Date,nrES_PID,$D831,nrES_Code,$F831,nrES_Att,2,nrES_Raw,"&gt;=0",nrES_Date,"&gt;0"),0)=0,"RETEST UNDATED",IF(NOT(ISNUMBER($T831)),"RETEST DATE UNCHECKED",IF(_xlfn.MINIFS(nrES_Date,nrES_PID,$D831,nrES_Code,$F831,nrES_Att,2,nrES_Raw,"&gt;=0",nrES_Date,"&gt;0")&gt;$T831,"LATE RETEST "&amp;TEXT(_xlfn.MINIFS(nrES_Date,nrES_PID,$D831,nrES_Code,$F831,nrES_Att,2,nrES_Raw,"&gt;=0",nrES_Date,"&gt;0"),"mm/dd")&amp;" (due "&amp;TEXT($T831,"mm/dd")&amp;")","Retested"))),IF(NOT(ISNUMBER($T831)),"CHECK DATE",IF(TODAY()&gt;$T831,"OVERDUE","Due "&amp;TEXT($T831,"mm/dd")))))))</f>
        <v/>
      </c>
      <c r="V831" s="16" t="n"/>
      <c r="W831" s="16" t="n"/>
      <c r="X831" s="17">
        <f>IF($C831="","",IF(AND($L831&lt;&gt;"",NOT(ISNUMBER($L831))),"RAW SCORE NOT A NUMBER",IF(AND(ISNUMBER($L831),OR($L831&lt;0,$L831&gt;100)),"RAW SCORE OUT OF RANGE",IF(AND($Y831="Unexcused",OR($L831="",NOT(ISNUMBER($L831)),$L831&lt;&gt;0)),"UNEXCUSED ABSENCE MUST RECORD 0",IF(COUNTIF(nrES_RecID,$B831)&gt;1,"DUPLICATE RECORD",IF(N($K831)&gt;2,"ATTEMPT 3+ NOT ALLOWED - policy 300.5 permits one retest per exam; this row records nothing",IF(AND($K831=2,COUNTIFS(nrES_PID,$D831,nrES_Code,$F831,nrES_Att,1)=0),"ATTEMPT 2 WITHOUT ATTEMPT 1",IF(AND($K831=2,$L831=""),"RETEST ROW HAS NO SCORE",IF(AND($H831="Final",$L831&lt;&gt;"",IFERROR(INDEX(nrCKfinalExamElig,MATCH($D831,rngCadetPIDs,0)),"")="No"),"FINAL EXAM AFTER FAILED FINAL PT (500.1.H)",IF(AND($K831=2,ISNUMBER($L831),COUNTIFS(nrES_PID,$D831,nrES_Code,$F831,nrES_Att,1)&gt;0,SUMIFS(nrES_Raw,nrES_PID,$D831,nrES_Code,$F831,nrES_Att,1)&gt;=$J831),"RETEST AFTER A PASSING FIRST ATTEMPT","OK"))))))))))</f>
        <v/>
      </c>
      <c r="Y831" s="16" t="n"/>
    </row>
    <row r="832">
      <c r="B832" s="17">
        <f>IF($C832="","",$D832&amp;"-"&amp;$F832&amp;"-"&amp;$K832)</f>
        <v/>
      </c>
      <c r="C832" s="16" t="n"/>
      <c r="D832" s="17">
        <f>IF($C832="","",IFERROR(INDEX(rngCadetPIDs,MATCH($C832,rngCadetNames,0)),"?"))</f>
        <v/>
      </c>
      <c r="E832" s="17">
        <f>IF($D832="","",IFERROR(INDEX(nrCadetAgency,MATCH($D832,rngCadetPIDs,0)),""))</f>
        <v/>
      </c>
      <c r="F832" s="16" t="n"/>
      <c r="G832" s="17">
        <f>IF($F832="","",IFERROR(INDEX(rngEPname,MATCH($F832,rngEPcode,0)),"?"))</f>
        <v/>
      </c>
      <c r="H832" s="17">
        <f>IF($F832="","",IFERROR(INDEX(rngEPtype,MATCH($F832,rngEPcode,0)),"?"))</f>
        <v/>
      </c>
      <c r="I832" s="17">
        <f>IF($F832="","",IFERROR(INDEX(rngEPseq,MATCH($F832,rngEPcode,0)),""))</f>
        <v/>
      </c>
      <c r="J832" s="17">
        <f>IF($F832="","",IFERROR(INDEX(rngEPpass,MATCH($F832,rngEPcode,0)),cfgPassingScore))</f>
        <v/>
      </c>
      <c r="K832" s="16" t="n"/>
      <c r="L832" s="16" t="n"/>
      <c r="M832" s="17">
        <f>IF($C832="","",IF($L832="","",IF(NOT(ISNUMBER($L832)),$L832,IF(N($K832)&gt;2,"",IF($K832=1,IF(COUNTIFS(nrES_PID,$D832,nrES_Code,$F832,nrES_Att,2,nrES_Raw,"&gt;=0")&gt;0,"",$L832),IF($L832&gt;=$J832,MAX($J832,cfgRetakeRecordedCap),IF(COUNTIFS(nrES_PID,$D832,nrES_Code,$F832,nrES_Att,1)=0,$L832,SUMIFS(nrES_Raw,nrES_PID,$D832,nrES_Code,$F832,nrES_Att,1))))))))</f>
        <v/>
      </c>
      <c r="N832" s="17">
        <f>IF($C832="","",IF($L832="","",IF(NOT(ISNUMBER($L832)),"(not a score)",IF($L832&gt;=$J832,"Yes","No"))))</f>
        <v/>
      </c>
      <c r="O832" s="17">
        <f>IF($C832="","",IF($M832="","",IF(NOT(ISNUMBER($M832)),"(not a score)",IF($M832&gt;=$J832,"Yes","No"))))</f>
        <v/>
      </c>
      <c r="P832" s="17">
        <f>IF($C832="","",IF($K832="","",IF(N($K832)&gt;2,"No",IF(COUNTIFS(nrES_PID,$D832,nrES_Code,$F832,nrES_Att,"&gt;"&amp;$K832,nrES_Att,"&lt;=2",nrES_Raw,"&gt;=0")=0,"Yes","No"))))</f>
        <v/>
      </c>
      <c r="Q832" s="17">
        <f>IF($C832="","",IF($L832="","",IF(AND($K832=1,ISNUMBER($L832),$L832&lt;$J832,COUNTIFS(nrES_PID,$D832,nrES_Code,$F832,nrES_Att,2,nrES_Raw,"&gt;=0")=0),"Yes","No")))</f>
        <v/>
      </c>
      <c r="R832" s="17">
        <f>IF($C832="","",IF($L832="","",IF(AND(N($K832)&gt;=2,ISNUMBER($L832),$L832&lt;$J832),"Yes","No")))</f>
        <v/>
      </c>
      <c r="S832" s="18" t="n"/>
      <c r="T832" s="19">
        <f>IF(OR($C832="",$L832="",$K832&lt;&gt;1,NOT(ISNUMBER($L832)),$L832&gt;=$J832),"",IF($S832="","(enter date)",_xlfn.LET(_xlpm.dn,_xlfn.XLOOKUP($S832,nrCDdate,nrCDnum,"",1),IF(_xlpm.dn="","(after last class day)",_xlfn.LET(_xlpm.dd,_xlfn.XLOOKUP(_xlpm.dn+cfgRetestClassDays,nrCDnum,nrCDdate,""),_xlpm.ok,_xlfn.XLOOKUP(_xlpm.dn+cfgRetestClassDays,nrCDnum,nrCDinsession,"No"),IF(OR(_xlpm.dd="",_xlpm.ok&lt;&gt;"Yes"),"(after last class day)",_xlpm.dd))))))</f>
        <v/>
      </c>
      <c r="U832" s="17">
        <f>IF($C832="","",IF(AND($Y832="Excused",$L832="",N($K832)&lt;=1),"EXCUSED - 1st attempt pending",IF(OR($L832="",$K832&lt;&gt;1,NOT(ISNUMBER($L832)),$L832&gt;=$J832),"",IF(COUNTIFS(nrES_PID,$D832,nrES_Code,$F832,nrES_Att,2,nrES_Raw,"&gt;=0")&gt;0,IF(IFERROR(_xlfn.MINIFS(nrES_Date,nrES_PID,$D832,nrES_Code,$F832,nrES_Att,2,nrES_Raw,"&gt;=0",nrES_Date,"&gt;0"),0)=0,"RETEST UNDATED",IF(NOT(ISNUMBER($T832)),"RETEST DATE UNCHECKED",IF(_xlfn.MINIFS(nrES_Date,nrES_PID,$D832,nrES_Code,$F832,nrES_Att,2,nrES_Raw,"&gt;=0",nrES_Date,"&gt;0")&gt;$T832,"LATE RETEST "&amp;TEXT(_xlfn.MINIFS(nrES_Date,nrES_PID,$D832,nrES_Code,$F832,nrES_Att,2,nrES_Raw,"&gt;=0",nrES_Date,"&gt;0"),"mm/dd")&amp;" (due "&amp;TEXT($T832,"mm/dd")&amp;")","Retested"))),IF(NOT(ISNUMBER($T832)),"CHECK DATE",IF(TODAY()&gt;$T832,"OVERDUE","Due "&amp;TEXT($T832,"mm/dd")))))))</f>
        <v/>
      </c>
      <c r="V832" s="16" t="n"/>
      <c r="W832" s="16" t="n"/>
      <c r="X832" s="17">
        <f>IF($C832="","",IF(AND($L832&lt;&gt;"",NOT(ISNUMBER($L832))),"RAW SCORE NOT A NUMBER",IF(AND(ISNUMBER($L832),OR($L832&lt;0,$L832&gt;100)),"RAW SCORE OUT OF RANGE",IF(AND($Y832="Unexcused",OR($L832="",NOT(ISNUMBER($L832)),$L832&lt;&gt;0)),"UNEXCUSED ABSENCE MUST RECORD 0",IF(COUNTIF(nrES_RecID,$B832)&gt;1,"DUPLICATE RECORD",IF(N($K832)&gt;2,"ATTEMPT 3+ NOT ALLOWED - policy 300.5 permits one retest per exam; this row records nothing",IF(AND($K832=2,COUNTIFS(nrES_PID,$D832,nrES_Code,$F832,nrES_Att,1)=0),"ATTEMPT 2 WITHOUT ATTEMPT 1",IF(AND($K832=2,$L832=""),"RETEST ROW HAS NO SCORE",IF(AND($H832="Final",$L832&lt;&gt;"",IFERROR(INDEX(nrCKfinalExamElig,MATCH($D832,rngCadetPIDs,0)),"")="No"),"FINAL EXAM AFTER FAILED FINAL PT (500.1.H)",IF(AND($K832=2,ISNUMBER($L832),COUNTIFS(nrES_PID,$D832,nrES_Code,$F832,nrES_Att,1)&gt;0,SUMIFS(nrES_Raw,nrES_PID,$D832,nrES_Code,$F832,nrES_Att,1)&gt;=$J832),"RETEST AFTER A PASSING FIRST ATTEMPT","OK"))))))))))</f>
        <v/>
      </c>
      <c r="Y832" s="16" t="n"/>
    </row>
    <row r="833">
      <c r="B833" s="17">
        <f>IF($C833="","",$D833&amp;"-"&amp;$F833&amp;"-"&amp;$K833)</f>
        <v/>
      </c>
      <c r="C833" s="16" t="n"/>
      <c r="D833" s="17">
        <f>IF($C833="","",IFERROR(INDEX(rngCadetPIDs,MATCH($C833,rngCadetNames,0)),"?"))</f>
        <v/>
      </c>
      <c r="E833" s="17">
        <f>IF($D833="","",IFERROR(INDEX(nrCadetAgency,MATCH($D833,rngCadetPIDs,0)),""))</f>
        <v/>
      </c>
      <c r="F833" s="16" t="n"/>
      <c r="G833" s="17">
        <f>IF($F833="","",IFERROR(INDEX(rngEPname,MATCH($F833,rngEPcode,0)),"?"))</f>
        <v/>
      </c>
      <c r="H833" s="17">
        <f>IF($F833="","",IFERROR(INDEX(rngEPtype,MATCH($F833,rngEPcode,0)),"?"))</f>
        <v/>
      </c>
      <c r="I833" s="17">
        <f>IF($F833="","",IFERROR(INDEX(rngEPseq,MATCH($F833,rngEPcode,0)),""))</f>
        <v/>
      </c>
      <c r="J833" s="17">
        <f>IF($F833="","",IFERROR(INDEX(rngEPpass,MATCH($F833,rngEPcode,0)),cfgPassingScore))</f>
        <v/>
      </c>
      <c r="K833" s="16" t="n"/>
      <c r="L833" s="16" t="n"/>
      <c r="M833" s="17">
        <f>IF($C833="","",IF($L833="","",IF(NOT(ISNUMBER($L833)),$L833,IF(N($K833)&gt;2,"",IF($K833=1,IF(COUNTIFS(nrES_PID,$D833,nrES_Code,$F833,nrES_Att,2,nrES_Raw,"&gt;=0")&gt;0,"",$L833),IF($L833&gt;=$J833,MAX($J833,cfgRetakeRecordedCap),IF(COUNTIFS(nrES_PID,$D833,nrES_Code,$F833,nrES_Att,1)=0,$L833,SUMIFS(nrES_Raw,nrES_PID,$D833,nrES_Code,$F833,nrES_Att,1))))))))</f>
        <v/>
      </c>
      <c r="N833" s="17">
        <f>IF($C833="","",IF($L833="","",IF(NOT(ISNUMBER($L833)),"(not a score)",IF($L833&gt;=$J833,"Yes","No"))))</f>
        <v/>
      </c>
      <c r="O833" s="17">
        <f>IF($C833="","",IF($M833="","",IF(NOT(ISNUMBER($M833)),"(not a score)",IF($M833&gt;=$J833,"Yes","No"))))</f>
        <v/>
      </c>
      <c r="P833" s="17">
        <f>IF($C833="","",IF($K833="","",IF(N($K833)&gt;2,"No",IF(COUNTIFS(nrES_PID,$D833,nrES_Code,$F833,nrES_Att,"&gt;"&amp;$K833,nrES_Att,"&lt;=2",nrES_Raw,"&gt;=0")=0,"Yes","No"))))</f>
        <v/>
      </c>
      <c r="Q833" s="17">
        <f>IF($C833="","",IF($L833="","",IF(AND($K833=1,ISNUMBER($L833),$L833&lt;$J833,COUNTIFS(nrES_PID,$D833,nrES_Code,$F833,nrES_Att,2,nrES_Raw,"&gt;=0")=0),"Yes","No")))</f>
        <v/>
      </c>
      <c r="R833" s="17">
        <f>IF($C833="","",IF($L833="","",IF(AND(N($K833)&gt;=2,ISNUMBER($L833),$L833&lt;$J833),"Yes","No")))</f>
        <v/>
      </c>
      <c r="S833" s="18" t="n"/>
      <c r="T833" s="19">
        <f>IF(OR($C833="",$L833="",$K833&lt;&gt;1,NOT(ISNUMBER($L833)),$L833&gt;=$J833),"",IF($S833="","(enter date)",_xlfn.LET(_xlpm.dn,_xlfn.XLOOKUP($S833,nrCDdate,nrCDnum,"",1),IF(_xlpm.dn="","(after last class day)",_xlfn.LET(_xlpm.dd,_xlfn.XLOOKUP(_xlpm.dn+cfgRetestClassDays,nrCDnum,nrCDdate,""),_xlpm.ok,_xlfn.XLOOKUP(_xlpm.dn+cfgRetestClassDays,nrCDnum,nrCDinsession,"No"),IF(OR(_xlpm.dd="",_xlpm.ok&lt;&gt;"Yes"),"(after last class day)",_xlpm.dd))))))</f>
        <v/>
      </c>
      <c r="U833" s="17">
        <f>IF($C833="","",IF(AND($Y833="Excused",$L833="",N($K833)&lt;=1),"EXCUSED - 1st attempt pending",IF(OR($L833="",$K833&lt;&gt;1,NOT(ISNUMBER($L833)),$L833&gt;=$J833),"",IF(COUNTIFS(nrES_PID,$D833,nrES_Code,$F833,nrES_Att,2,nrES_Raw,"&gt;=0")&gt;0,IF(IFERROR(_xlfn.MINIFS(nrES_Date,nrES_PID,$D833,nrES_Code,$F833,nrES_Att,2,nrES_Raw,"&gt;=0",nrES_Date,"&gt;0"),0)=0,"RETEST UNDATED",IF(NOT(ISNUMBER($T833)),"RETEST DATE UNCHECKED",IF(_xlfn.MINIFS(nrES_Date,nrES_PID,$D833,nrES_Code,$F833,nrES_Att,2,nrES_Raw,"&gt;=0",nrES_Date,"&gt;0")&gt;$T833,"LATE RETEST "&amp;TEXT(_xlfn.MINIFS(nrES_Date,nrES_PID,$D833,nrES_Code,$F833,nrES_Att,2,nrES_Raw,"&gt;=0",nrES_Date,"&gt;0"),"mm/dd")&amp;" (due "&amp;TEXT($T833,"mm/dd")&amp;")","Retested"))),IF(NOT(ISNUMBER($T833)),"CHECK DATE",IF(TODAY()&gt;$T833,"OVERDUE","Due "&amp;TEXT($T833,"mm/dd")))))))</f>
        <v/>
      </c>
      <c r="V833" s="16" t="n"/>
      <c r="W833" s="16" t="n"/>
      <c r="X833" s="17">
        <f>IF($C833="","",IF(AND($L833&lt;&gt;"",NOT(ISNUMBER($L833))),"RAW SCORE NOT A NUMBER",IF(AND(ISNUMBER($L833),OR($L833&lt;0,$L833&gt;100)),"RAW SCORE OUT OF RANGE",IF(AND($Y833="Unexcused",OR($L833="",NOT(ISNUMBER($L833)),$L833&lt;&gt;0)),"UNEXCUSED ABSENCE MUST RECORD 0",IF(COUNTIF(nrES_RecID,$B833)&gt;1,"DUPLICATE RECORD",IF(N($K833)&gt;2,"ATTEMPT 3+ NOT ALLOWED - policy 300.5 permits one retest per exam; this row records nothing",IF(AND($K833=2,COUNTIFS(nrES_PID,$D833,nrES_Code,$F833,nrES_Att,1)=0),"ATTEMPT 2 WITHOUT ATTEMPT 1",IF(AND($K833=2,$L833=""),"RETEST ROW HAS NO SCORE",IF(AND($H833="Final",$L833&lt;&gt;"",IFERROR(INDEX(nrCKfinalExamElig,MATCH($D833,rngCadetPIDs,0)),"")="No"),"FINAL EXAM AFTER FAILED FINAL PT (500.1.H)",IF(AND($K833=2,ISNUMBER($L833),COUNTIFS(nrES_PID,$D833,nrES_Code,$F833,nrES_Att,1)&gt;0,SUMIFS(nrES_Raw,nrES_PID,$D833,nrES_Code,$F833,nrES_Att,1)&gt;=$J833),"RETEST AFTER A PASSING FIRST ATTEMPT","OK"))))))))))</f>
        <v/>
      </c>
      <c r="Y833" s="16" t="n"/>
    </row>
    <row r="834">
      <c r="B834" s="17">
        <f>IF($C834="","",$D834&amp;"-"&amp;$F834&amp;"-"&amp;$K834)</f>
        <v/>
      </c>
      <c r="C834" s="16" t="n"/>
      <c r="D834" s="17">
        <f>IF($C834="","",IFERROR(INDEX(rngCadetPIDs,MATCH($C834,rngCadetNames,0)),"?"))</f>
        <v/>
      </c>
      <c r="E834" s="17">
        <f>IF($D834="","",IFERROR(INDEX(nrCadetAgency,MATCH($D834,rngCadetPIDs,0)),""))</f>
        <v/>
      </c>
      <c r="F834" s="16" t="n"/>
      <c r="G834" s="17">
        <f>IF($F834="","",IFERROR(INDEX(rngEPname,MATCH($F834,rngEPcode,0)),"?"))</f>
        <v/>
      </c>
      <c r="H834" s="17">
        <f>IF($F834="","",IFERROR(INDEX(rngEPtype,MATCH($F834,rngEPcode,0)),"?"))</f>
        <v/>
      </c>
      <c r="I834" s="17">
        <f>IF($F834="","",IFERROR(INDEX(rngEPseq,MATCH($F834,rngEPcode,0)),""))</f>
        <v/>
      </c>
      <c r="J834" s="17">
        <f>IF($F834="","",IFERROR(INDEX(rngEPpass,MATCH($F834,rngEPcode,0)),cfgPassingScore))</f>
        <v/>
      </c>
      <c r="K834" s="16" t="n"/>
      <c r="L834" s="16" t="n"/>
      <c r="M834" s="17">
        <f>IF($C834="","",IF($L834="","",IF(NOT(ISNUMBER($L834)),$L834,IF(N($K834)&gt;2,"",IF($K834=1,IF(COUNTIFS(nrES_PID,$D834,nrES_Code,$F834,nrES_Att,2,nrES_Raw,"&gt;=0")&gt;0,"",$L834),IF($L834&gt;=$J834,MAX($J834,cfgRetakeRecordedCap),IF(COUNTIFS(nrES_PID,$D834,nrES_Code,$F834,nrES_Att,1)=0,$L834,SUMIFS(nrES_Raw,nrES_PID,$D834,nrES_Code,$F834,nrES_Att,1))))))))</f>
        <v/>
      </c>
      <c r="N834" s="17">
        <f>IF($C834="","",IF($L834="","",IF(NOT(ISNUMBER($L834)),"(not a score)",IF($L834&gt;=$J834,"Yes","No"))))</f>
        <v/>
      </c>
      <c r="O834" s="17">
        <f>IF($C834="","",IF($M834="","",IF(NOT(ISNUMBER($M834)),"(not a score)",IF($M834&gt;=$J834,"Yes","No"))))</f>
        <v/>
      </c>
      <c r="P834" s="17">
        <f>IF($C834="","",IF($K834="","",IF(N($K834)&gt;2,"No",IF(COUNTIFS(nrES_PID,$D834,nrES_Code,$F834,nrES_Att,"&gt;"&amp;$K834,nrES_Att,"&lt;=2",nrES_Raw,"&gt;=0")=0,"Yes","No"))))</f>
        <v/>
      </c>
      <c r="Q834" s="17">
        <f>IF($C834="","",IF($L834="","",IF(AND($K834=1,ISNUMBER($L834),$L834&lt;$J834,COUNTIFS(nrES_PID,$D834,nrES_Code,$F834,nrES_Att,2,nrES_Raw,"&gt;=0")=0),"Yes","No")))</f>
        <v/>
      </c>
      <c r="R834" s="17">
        <f>IF($C834="","",IF($L834="","",IF(AND(N($K834)&gt;=2,ISNUMBER($L834),$L834&lt;$J834),"Yes","No")))</f>
        <v/>
      </c>
      <c r="S834" s="18" t="n"/>
      <c r="T834" s="19">
        <f>IF(OR($C834="",$L834="",$K834&lt;&gt;1,NOT(ISNUMBER($L834)),$L834&gt;=$J834),"",IF($S834="","(enter date)",_xlfn.LET(_xlpm.dn,_xlfn.XLOOKUP($S834,nrCDdate,nrCDnum,"",1),IF(_xlpm.dn="","(after last class day)",_xlfn.LET(_xlpm.dd,_xlfn.XLOOKUP(_xlpm.dn+cfgRetestClassDays,nrCDnum,nrCDdate,""),_xlpm.ok,_xlfn.XLOOKUP(_xlpm.dn+cfgRetestClassDays,nrCDnum,nrCDinsession,"No"),IF(OR(_xlpm.dd="",_xlpm.ok&lt;&gt;"Yes"),"(after last class day)",_xlpm.dd))))))</f>
        <v/>
      </c>
      <c r="U834" s="17">
        <f>IF($C834="","",IF(AND($Y834="Excused",$L834="",N($K834)&lt;=1),"EXCUSED - 1st attempt pending",IF(OR($L834="",$K834&lt;&gt;1,NOT(ISNUMBER($L834)),$L834&gt;=$J834),"",IF(COUNTIFS(nrES_PID,$D834,nrES_Code,$F834,nrES_Att,2,nrES_Raw,"&gt;=0")&gt;0,IF(IFERROR(_xlfn.MINIFS(nrES_Date,nrES_PID,$D834,nrES_Code,$F834,nrES_Att,2,nrES_Raw,"&gt;=0",nrES_Date,"&gt;0"),0)=0,"RETEST UNDATED",IF(NOT(ISNUMBER($T834)),"RETEST DATE UNCHECKED",IF(_xlfn.MINIFS(nrES_Date,nrES_PID,$D834,nrES_Code,$F834,nrES_Att,2,nrES_Raw,"&gt;=0",nrES_Date,"&gt;0")&gt;$T834,"LATE RETEST "&amp;TEXT(_xlfn.MINIFS(nrES_Date,nrES_PID,$D834,nrES_Code,$F834,nrES_Att,2,nrES_Raw,"&gt;=0",nrES_Date,"&gt;0"),"mm/dd")&amp;" (due "&amp;TEXT($T834,"mm/dd")&amp;")","Retested"))),IF(NOT(ISNUMBER($T834)),"CHECK DATE",IF(TODAY()&gt;$T834,"OVERDUE","Due "&amp;TEXT($T834,"mm/dd")))))))</f>
        <v/>
      </c>
      <c r="V834" s="16" t="n"/>
      <c r="W834" s="16" t="n"/>
      <c r="X834" s="17">
        <f>IF($C834="","",IF(AND($L834&lt;&gt;"",NOT(ISNUMBER($L834))),"RAW SCORE NOT A NUMBER",IF(AND(ISNUMBER($L834),OR($L834&lt;0,$L834&gt;100)),"RAW SCORE OUT OF RANGE",IF(AND($Y834="Unexcused",OR($L834="",NOT(ISNUMBER($L834)),$L834&lt;&gt;0)),"UNEXCUSED ABSENCE MUST RECORD 0",IF(COUNTIF(nrES_RecID,$B834)&gt;1,"DUPLICATE RECORD",IF(N($K834)&gt;2,"ATTEMPT 3+ NOT ALLOWED - policy 300.5 permits one retest per exam; this row records nothing",IF(AND($K834=2,COUNTIFS(nrES_PID,$D834,nrES_Code,$F834,nrES_Att,1)=0),"ATTEMPT 2 WITHOUT ATTEMPT 1",IF(AND($K834=2,$L834=""),"RETEST ROW HAS NO SCORE",IF(AND($H834="Final",$L834&lt;&gt;"",IFERROR(INDEX(nrCKfinalExamElig,MATCH($D834,rngCadetPIDs,0)),"")="No"),"FINAL EXAM AFTER FAILED FINAL PT (500.1.H)",IF(AND($K834=2,ISNUMBER($L834),COUNTIFS(nrES_PID,$D834,nrES_Code,$F834,nrES_Att,1)&gt;0,SUMIFS(nrES_Raw,nrES_PID,$D834,nrES_Code,$F834,nrES_Att,1)&gt;=$J834),"RETEST AFTER A PASSING FIRST ATTEMPT","OK"))))))))))</f>
        <v/>
      </c>
      <c r="Y834" s="16" t="n"/>
    </row>
    <row r="835">
      <c r="B835" s="17">
        <f>IF($C835="","",$D835&amp;"-"&amp;$F835&amp;"-"&amp;$K835)</f>
        <v/>
      </c>
      <c r="C835" s="16" t="n"/>
      <c r="D835" s="17">
        <f>IF($C835="","",IFERROR(INDEX(rngCadetPIDs,MATCH($C835,rngCadetNames,0)),"?"))</f>
        <v/>
      </c>
      <c r="E835" s="17">
        <f>IF($D835="","",IFERROR(INDEX(nrCadetAgency,MATCH($D835,rngCadetPIDs,0)),""))</f>
        <v/>
      </c>
      <c r="F835" s="16" t="n"/>
      <c r="G835" s="17">
        <f>IF($F835="","",IFERROR(INDEX(rngEPname,MATCH($F835,rngEPcode,0)),"?"))</f>
        <v/>
      </c>
      <c r="H835" s="17">
        <f>IF($F835="","",IFERROR(INDEX(rngEPtype,MATCH($F835,rngEPcode,0)),"?"))</f>
        <v/>
      </c>
      <c r="I835" s="17">
        <f>IF($F835="","",IFERROR(INDEX(rngEPseq,MATCH($F835,rngEPcode,0)),""))</f>
        <v/>
      </c>
      <c r="J835" s="17">
        <f>IF($F835="","",IFERROR(INDEX(rngEPpass,MATCH($F835,rngEPcode,0)),cfgPassingScore))</f>
        <v/>
      </c>
      <c r="K835" s="16" t="n"/>
      <c r="L835" s="16" t="n"/>
      <c r="M835" s="17">
        <f>IF($C835="","",IF($L835="","",IF(NOT(ISNUMBER($L835)),$L835,IF(N($K835)&gt;2,"",IF($K835=1,IF(COUNTIFS(nrES_PID,$D835,nrES_Code,$F835,nrES_Att,2,nrES_Raw,"&gt;=0")&gt;0,"",$L835),IF($L835&gt;=$J835,MAX($J835,cfgRetakeRecordedCap),IF(COUNTIFS(nrES_PID,$D835,nrES_Code,$F835,nrES_Att,1)=0,$L835,SUMIFS(nrES_Raw,nrES_PID,$D835,nrES_Code,$F835,nrES_Att,1))))))))</f>
        <v/>
      </c>
      <c r="N835" s="17">
        <f>IF($C835="","",IF($L835="","",IF(NOT(ISNUMBER($L835)),"(not a score)",IF($L835&gt;=$J835,"Yes","No"))))</f>
        <v/>
      </c>
      <c r="O835" s="17">
        <f>IF($C835="","",IF($M835="","",IF(NOT(ISNUMBER($M835)),"(not a score)",IF($M835&gt;=$J835,"Yes","No"))))</f>
        <v/>
      </c>
      <c r="P835" s="17">
        <f>IF($C835="","",IF($K835="","",IF(N($K835)&gt;2,"No",IF(COUNTIFS(nrES_PID,$D835,nrES_Code,$F835,nrES_Att,"&gt;"&amp;$K835,nrES_Att,"&lt;=2",nrES_Raw,"&gt;=0")=0,"Yes","No"))))</f>
        <v/>
      </c>
      <c r="Q835" s="17">
        <f>IF($C835="","",IF($L835="","",IF(AND($K835=1,ISNUMBER($L835),$L835&lt;$J835,COUNTIFS(nrES_PID,$D835,nrES_Code,$F835,nrES_Att,2,nrES_Raw,"&gt;=0")=0),"Yes","No")))</f>
        <v/>
      </c>
      <c r="R835" s="17">
        <f>IF($C835="","",IF($L835="","",IF(AND(N($K835)&gt;=2,ISNUMBER($L835),$L835&lt;$J835),"Yes","No")))</f>
        <v/>
      </c>
      <c r="S835" s="18" t="n"/>
      <c r="T835" s="19">
        <f>IF(OR($C835="",$L835="",$K835&lt;&gt;1,NOT(ISNUMBER($L835)),$L835&gt;=$J835),"",IF($S835="","(enter date)",_xlfn.LET(_xlpm.dn,_xlfn.XLOOKUP($S835,nrCDdate,nrCDnum,"",1),IF(_xlpm.dn="","(after last class day)",_xlfn.LET(_xlpm.dd,_xlfn.XLOOKUP(_xlpm.dn+cfgRetestClassDays,nrCDnum,nrCDdate,""),_xlpm.ok,_xlfn.XLOOKUP(_xlpm.dn+cfgRetestClassDays,nrCDnum,nrCDinsession,"No"),IF(OR(_xlpm.dd="",_xlpm.ok&lt;&gt;"Yes"),"(after last class day)",_xlpm.dd))))))</f>
        <v/>
      </c>
      <c r="U835" s="17">
        <f>IF($C835="","",IF(AND($Y835="Excused",$L835="",N($K835)&lt;=1),"EXCUSED - 1st attempt pending",IF(OR($L835="",$K835&lt;&gt;1,NOT(ISNUMBER($L835)),$L835&gt;=$J835),"",IF(COUNTIFS(nrES_PID,$D835,nrES_Code,$F835,nrES_Att,2,nrES_Raw,"&gt;=0")&gt;0,IF(IFERROR(_xlfn.MINIFS(nrES_Date,nrES_PID,$D835,nrES_Code,$F835,nrES_Att,2,nrES_Raw,"&gt;=0",nrES_Date,"&gt;0"),0)=0,"RETEST UNDATED",IF(NOT(ISNUMBER($T835)),"RETEST DATE UNCHECKED",IF(_xlfn.MINIFS(nrES_Date,nrES_PID,$D835,nrES_Code,$F835,nrES_Att,2,nrES_Raw,"&gt;=0",nrES_Date,"&gt;0")&gt;$T835,"LATE RETEST "&amp;TEXT(_xlfn.MINIFS(nrES_Date,nrES_PID,$D835,nrES_Code,$F835,nrES_Att,2,nrES_Raw,"&gt;=0",nrES_Date,"&gt;0"),"mm/dd")&amp;" (due "&amp;TEXT($T835,"mm/dd")&amp;")","Retested"))),IF(NOT(ISNUMBER($T835)),"CHECK DATE",IF(TODAY()&gt;$T835,"OVERDUE","Due "&amp;TEXT($T835,"mm/dd")))))))</f>
        <v/>
      </c>
      <c r="V835" s="16" t="n"/>
      <c r="W835" s="16" t="n"/>
      <c r="X835" s="17">
        <f>IF($C835="","",IF(AND($L835&lt;&gt;"",NOT(ISNUMBER($L835))),"RAW SCORE NOT A NUMBER",IF(AND(ISNUMBER($L835),OR($L835&lt;0,$L835&gt;100)),"RAW SCORE OUT OF RANGE",IF(AND($Y835="Unexcused",OR($L835="",NOT(ISNUMBER($L835)),$L835&lt;&gt;0)),"UNEXCUSED ABSENCE MUST RECORD 0",IF(COUNTIF(nrES_RecID,$B835)&gt;1,"DUPLICATE RECORD",IF(N($K835)&gt;2,"ATTEMPT 3+ NOT ALLOWED - policy 300.5 permits one retest per exam; this row records nothing",IF(AND($K835=2,COUNTIFS(nrES_PID,$D835,nrES_Code,$F835,nrES_Att,1)=0),"ATTEMPT 2 WITHOUT ATTEMPT 1",IF(AND($K835=2,$L835=""),"RETEST ROW HAS NO SCORE",IF(AND($H835="Final",$L835&lt;&gt;"",IFERROR(INDEX(nrCKfinalExamElig,MATCH($D835,rngCadetPIDs,0)),"")="No"),"FINAL EXAM AFTER FAILED FINAL PT (500.1.H)",IF(AND($K835=2,ISNUMBER($L835),COUNTIFS(nrES_PID,$D835,nrES_Code,$F835,nrES_Att,1)&gt;0,SUMIFS(nrES_Raw,nrES_PID,$D835,nrES_Code,$F835,nrES_Att,1)&gt;=$J835),"RETEST AFTER A PASSING FIRST ATTEMPT","OK"))))))))))</f>
        <v/>
      </c>
      <c r="Y835" s="16" t="n"/>
    </row>
    <row r="836">
      <c r="B836" s="17">
        <f>IF($C836="","",$D836&amp;"-"&amp;$F836&amp;"-"&amp;$K836)</f>
        <v/>
      </c>
      <c r="C836" s="16" t="n"/>
      <c r="D836" s="17">
        <f>IF($C836="","",IFERROR(INDEX(rngCadetPIDs,MATCH($C836,rngCadetNames,0)),"?"))</f>
        <v/>
      </c>
      <c r="E836" s="17">
        <f>IF($D836="","",IFERROR(INDEX(nrCadetAgency,MATCH($D836,rngCadetPIDs,0)),""))</f>
        <v/>
      </c>
      <c r="F836" s="16" t="n"/>
      <c r="G836" s="17">
        <f>IF($F836="","",IFERROR(INDEX(rngEPname,MATCH($F836,rngEPcode,0)),"?"))</f>
        <v/>
      </c>
      <c r="H836" s="17">
        <f>IF($F836="","",IFERROR(INDEX(rngEPtype,MATCH($F836,rngEPcode,0)),"?"))</f>
        <v/>
      </c>
      <c r="I836" s="17">
        <f>IF($F836="","",IFERROR(INDEX(rngEPseq,MATCH($F836,rngEPcode,0)),""))</f>
        <v/>
      </c>
      <c r="J836" s="17">
        <f>IF($F836="","",IFERROR(INDEX(rngEPpass,MATCH($F836,rngEPcode,0)),cfgPassingScore))</f>
        <v/>
      </c>
      <c r="K836" s="16" t="n"/>
      <c r="L836" s="16" t="n"/>
      <c r="M836" s="17">
        <f>IF($C836="","",IF($L836="","",IF(NOT(ISNUMBER($L836)),$L836,IF(N($K836)&gt;2,"",IF($K836=1,IF(COUNTIFS(nrES_PID,$D836,nrES_Code,$F836,nrES_Att,2,nrES_Raw,"&gt;=0")&gt;0,"",$L836),IF($L836&gt;=$J836,MAX($J836,cfgRetakeRecordedCap),IF(COUNTIFS(nrES_PID,$D836,nrES_Code,$F836,nrES_Att,1)=0,$L836,SUMIFS(nrES_Raw,nrES_PID,$D836,nrES_Code,$F836,nrES_Att,1))))))))</f>
        <v/>
      </c>
      <c r="N836" s="17">
        <f>IF($C836="","",IF($L836="","",IF(NOT(ISNUMBER($L836)),"(not a score)",IF($L836&gt;=$J836,"Yes","No"))))</f>
        <v/>
      </c>
      <c r="O836" s="17">
        <f>IF($C836="","",IF($M836="","",IF(NOT(ISNUMBER($M836)),"(not a score)",IF($M836&gt;=$J836,"Yes","No"))))</f>
        <v/>
      </c>
      <c r="P836" s="17">
        <f>IF($C836="","",IF($K836="","",IF(N($K836)&gt;2,"No",IF(COUNTIFS(nrES_PID,$D836,nrES_Code,$F836,nrES_Att,"&gt;"&amp;$K836,nrES_Att,"&lt;=2",nrES_Raw,"&gt;=0")=0,"Yes","No"))))</f>
        <v/>
      </c>
      <c r="Q836" s="17">
        <f>IF($C836="","",IF($L836="","",IF(AND($K836=1,ISNUMBER($L836),$L836&lt;$J836,COUNTIFS(nrES_PID,$D836,nrES_Code,$F836,nrES_Att,2,nrES_Raw,"&gt;=0")=0),"Yes","No")))</f>
        <v/>
      </c>
      <c r="R836" s="17">
        <f>IF($C836="","",IF($L836="","",IF(AND(N($K836)&gt;=2,ISNUMBER($L836),$L836&lt;$J836),"Yes","No")))</f>
        <v/>
      </c>
      <c r="S836" s="18" t="n"/>
      <c r="T836" s="19">
        <f>IF(OR($C836="",$L836="",$K836&lt;&gt;1,NOT(ISNUMBER($L836)),$L836&gt;=$J836),"",IF($S836="","(enter date)",_xlfn.LET(_xlpm.dn,_xlfn.XLOOKUP($S836,nrCDdate,nrCDnum,"",1),IF(_xlpm.dn="","(after last class day)",_xlfn.LET(_xlpm.dd,_xlfn.XLOOKUP(_xlpm.dn+cfgRetestClassDays,nrCDnum,nrCDdate,""),_xlpm.ok,_xlfn.XLOOKUP(_xlpm.dn+cfgRetestClassDays,nrCDnum,nrCDinsession,"No"),IF(OR(_xlpm.dd="",_xlpm.ok&lt;&gt;"Yes"),"(after last class day)",_xlpm.dd))))))</f>
        <v/>
      </c>
      <c r="U836" s="17">
        <f>IF($C836="","",IF(AND($Y836="Excused",$L836="",N($K836)&lt;=1),"EXCUSED - 1st attempt pending",IF(OR($L836="",$K836&lt;&gt;1,NOT(ISNUMBER($L836)),$L836&gt;=$J836),"",IF(COUNTIFS(nrES_PID,$D836,nrES_Code,$F836,nrES_Att,2,nrES_Raw,"&gt;=0")&gt;0,IF(IFERROR(_xlfn.MINIFS(nrES_Date,nrES_PID,$D836,nrES_Code,$F836,nrES_Att,2,nrES_Raw,"&gt;=0",nrES_Date,"&gt;0"),0)=0,"RETEST UNDATED",IF(NOT(ISNUMBER($T836)),"RETEST DATE UNCHECKED",IF(_xlfn.MINIFS(nrES_Date,nrES_PID,$D836,nrES_Code,$F836,nrES_Att,2,nrES_Raw,"&gt;=0",nrES_Date,"&gt;0")&gt;$T836,"LATE RETEST "&amp;TEXT(_xlfn.MINIFS(nrES_Date,nrES_PID,$D836,nrES_Code,$F836,nrES_Att,2,nrES_Raw,"&gt;=0",nrES_Date,"&gt;0"),"mm/dd")&amp;" (due "&amp;TEXT($T836,"mm/dd")&amp;")","Retested"))),IF(NOT(ISNUMBER($T836)),"CHECK DATE",IF(TODAY()&gt;$T836,"OVERDUE","Due "&amp;TEXT($T836,"mm/dd")))))))</f>
        <v/>
      </c>
      <c r="V836" s="16" t="n"/>
      <c r="W836" s="16" t="n"/>
      <c r="X836" s="17">
        <f>IF($C836="","",IF(AND($L836&lt;&gt;"",NOT(ISNUMBER($L836))),"RAW SCORE NOT A NUMBER",IF(AND(ISNUMBER($L836),OR($L836&lt;0,$L836&gt;100)),"RAW SCORE OUT OF RANGE",IF(AND($Y836="Unexcused",OR($L836="",NOT(ISNUMBER($L836)),$L836&lt;&gt;0)),"UNEXCUSED ABSENCE MUST RECORD 0",IF(COUNTIF(nrES_RecID,$B836)&gt;1,"DUPLICATE RECORD",IF(N($K836)&gt;2,"ATTEMPT 3+ NOT ALLOWED - policy 300.5 permits one retest per exam; this row records nothing",IF(AND($K836=2,COUNTIFS(nrES_PID,$D836,nrES_Code,$F836,nrES_Att,1)=0),"ATTEMPT 2 WITHOUT ATTEMPT 1",IF(AND($K836=2,$L836=""),"RETEST ROW HAS NO SCORE",IF(AND($H836="Final",$L836&lt;&gt;"",IFERROR(INDEX(nrCKfinalExamElig,MATCH($D836,rngCadetPIDs,0)),"")="No"),"FINAL EXAM AFTER FAILED FINAL PT (500.1.H)",IF(AND($K836=2,ISNUMBER($L836),COUNTIFS(nrES_PID,$D836,nrES_Code,$F836,nrES_Att,1)&gt;0,SUMIFS(nrES_Raw,nrES_PID,$D836,nrES_Code,$F836,nrES_Att,1)&gt;=$J836),"RETEST AFTER A PASSING FIRST ATTEMPT","OK"))))))))))</f>
        <v/>
      </c>
      <c r="Y836" s="16" t="n"/>
    </row>
    <row r="837">
      <c r="B837" s="17">
        <f>IF($C837="","",$D837&amp;"-"&amp;$F837&amp;"-"&amp;$K837)</f>
        <v/>
      </c>
      <c r="C837" s="16" t="n"/>
      <c r="D837" s="17">
        <f>IF($C837="","",IFERROR(INDEX(rngCadetPIDs,MATCH($C837,rngCadetNames,0)),"?"))</f>
        <v/>
      </c>
      <c r="E837" s="17">
        <f>IF($D837="","",IFERROR(INDEX(nrCadetAgency,MATCH($D837,rngCadetPIDs,0)),""))</f>
        <v/>
      </c>
      <c r="F837" s="16" t="n"/>
      <c r="G837" s="17">
        <f>IF($F837="","",IFERROR(INDEX(rngEPname,MATCH($F837,rngEPcode,0)),"?"))</f>
        <v/>
      </c>
      <c r="H837" s="17">
        <f>IF($F837="","",IFERROR(INDEX(rngEPtype,MATCH($F837,rngEPcode,0)),"?"))</f>
        <v/>
      </c>
      <c r="I837" s="17">
        <f>IF($F837="","",IFERROR(INDEX(rngEPseq,MATCH($F837,rngEPcode,0)),""))</f>
        <v/>
      </c>
      <c r="J837" s="17">
        <f>IF($F837="","",IFERROR(INDEX(rngEPpass,MATCH($F837,rngEPcode,0)),cfgPassingScore))</f>
        <v/>
      </c>
      <c r="K837" s="16" t="n"/>
      <c r="L837" s="16" t="n"/>
      <c r="M837" s="17">
        <f>IF($C837="","",IF($L837="","",IF(NOT(ISNUMBER($L837)),$L837,IF(N($K837)&gt;2,"",IF($K837=1,IF(COUNTIFS(nrES_PID,$D837,nrES_Code,$F837,nrES_Att,2,nrES_Raw,"&gt;=0")&gt;0,"",$L837),IF($L837&gt;=$J837,MAX($J837,cfgRetakeRecordedCap),IF(COUNTIFS(nrES_PID,$D837,nrES_Code,$F837,nrES_Att,1)=0,$L837,SUMIFS(nrES_Raw,nrES_PID,$D837,nrES_Code,$F837,nrES_Att,1))))))))</f>
        <v/>
      </c>
      <c r="N837" s="17">
        <f>IF($C837="","",IF($L837="","",IF(NOT(ISNUMBER($L837)),"(not a score)",IF($L837&gt;=$J837,"Yes","No"))))</f>
        <v/>
      </c>
      <c r="O837" s="17">
        <f>IF($C837="","",IF($M837="","",IF(NOT(ISNUMBER($M837)),"(not a score)",IF($M837&gt;=$J837,"Yes","No"))))</f>
        <v/>
      </c>
      <c r="P837" s="17">
        <f>IF($C837="","",IF($K837="","",IF(N($K837)&gt;2,"No",IF(COUNTIFS(nrES_PID,$D837,nrES_Code,$F837,nrES_Att,"&gt;"&amp;$K837,nrES_Att,"&lt;=2",nrES_Raw,"&gt;=0")=0,"Yes","No"))))</f>
        <v/>
      </c>
      <c r="Q837" s="17">
        <f>IF($C837="","",IF($L837="","",IF(AND($K837=1,ISNUMBER($L837),$L837&lt;$J837,COUNTIFS(nrES_PID,$D837,nrES_Code,$F837,nrES_Att,2,nrES_Raw,"&gt;=0")=0),"Yes","No")))</f>
        <v/>
      </c>
      <c r="R837" s="17">
        <f>IF($C837="","",IF($L837="","",IF(AND(N($K837)&gt;=2,ISNUMBER($L837),$L837&lt;$J837),"Yes","No")))</f>
        <v/>
      </c>
      <c r="S837" s="18" t="n"/>
      <c r="T837" s="19">
        <f>IF(OR($C837="",$L837="",$K837&lt;&gt;1,NOT(ISNUMBER($L837)),$L837&gt;=$J837),"",IF($S837="","(enter date)",_xlfn.LET(_xlpm.dn,_xlfn.XLOOKUP($S837,nrCDdate,nrCDnum,"",1),IF(_xlpm.dn="","(after last class day)",_xlfn.LET(_xlpm.dd,_xlfn.XLOOKUP(_xlpm.dn+cfgRetestClassDays,nrCDnum,nrCDdate,""),_xlpm.ok,_xlfn.XLOOKUP(_xlpm.dn+cfgRetestClassDays,nrCDnum,nrCDinsession,"No"),IF(OR(_xlpm.dd="",_xlpm.ok&lt;&gt;"Yes"),"(after last class day)",_xlpm.dd))))))</f>
        <v/>
      </c>
      <c r="U837" s="17">
        <f>IF($C837="","",IF(AND($Y837="Excused",$L837="",N($K837)&lt;=1),"EXCUSED - 1st attempt pending",IF(OR($L837="",$K837&lt;&gt;1,NOT(ISNUMBER($L837)),$L837&gt;=$J837),"",IF(COUNTIFS(nrES_PID,$D837,nrES_Code,$F837,nrES_Att,2,nrES_Raw,"&gt;=0")&gt;0,IF(IFERROR(_xlfn.MINIFS(nrES_Date,nrES_PID,$D837,nrES_Code,$F837,nrES_Att,2,nrES_Raw,"&gt;=0",nrES_Date,"&gt;0"),0)=0,"RETEST UNDATED",IF(NOT(ISNUMBER($T837)),"RETEST DATE UNCHECKED",IF(_xlfn.MINIFS(nrES_Date,nrES_PID,$D837,nrES_Code,$F837,nrES_Att,2,nrES_Raw,"&gt;=0",nrES_Date,"&gt;0")&gt;$T837,"LATE RETEST "&amp;TEXT(_xlfn.MINIFS(nrES_Date,nrES_PID,$D837,nrES_Code,$F837,nrES_Att,2,nrES_Raw,"&gt;=0",nrES_Date,"&gt;0"),"mm/dd")&amp;" (due "&amp;TEXT($T837,"mm/dd")&amp;")","Retested"))),IF(NOT(ISNUMBER($T837)),"CHECK DATE",IF(TODAY()&gt;$T837,"OVERDUE","Due "&amp;TEXT($T837,"mm/dd")))))))</f>
        <v/>
      </c>
      <c r="V837" s="16" t="n"/>
      <c r="W837" s="16" t="n"/>
      <c r="X837" s="17">
        <f>IF($C837="","",IF(AND($L837&lt;&gt;"",NOT(ISNUMBER($L837))),"RAW SCORE NOT A NUMBER",IF(AND(ISNUMBER($L837),OR($L837&lt;0,$L837&gt;100)),"RAW SCORE OUT OF RANGE",IF(AND($Y837="Unexcused",OR($L837="",NOT(ISNUMBER($L837)),$L837&lt;&gt;0)),"UNEXCUSED ABSENCE MUST RECORD 0",IF(COUNTIF(nrES_RecID,$B837)&gt;1,"DUPLICATE RECORD",IF(N($K837)&gt;2,"ATTEMPT 3+ NOT ALLOWED - policy 300.5 permits one retest per exam; this row records nothing",IF(AND($K837=2,COUNTIFS(nrES_PID,$D837,nrES_Code,$F837,nrES_Att,1)=0),"ATTEMPT 2 WITHOUT ATTEMPT 1",IF(AND($K837=2,$L837=""),"RETEST ROW HAS NO SCORE",IF(AND($H837="Final",$L837&lt;&gt;"",IFERROR(INDEX(nrCKfinalExamElig,MATCH($D837,rngCadetPIDs,0)),"")="No"),"FINAL EXAM AFTER FAILED FINAL PT (500.1.H)",IF(AND($K837=2,ISNUMBER($L837),COUNTIFS(nrES_PID,$D837,nrES_Code,$F837,nrES_Att,1)&gt;0,SUMIFS(nrES_Raw,nrES_PID,$D837,nrES_Code,$F837,nrES_Att,1)&gt;=$J837),"RETEST AFTER A PASSING FIRST ATTEMPT","OK"))))))))))</f>
        <v/>
      </c>
      <c r="Y837" s="16" t="n"/>
    </row>
    <row r="838">
      <c r="B838" s="17">
        <f>IF($C838="","",$D838&amp;"-"&amp;$F838&amp;"-"&amp;$K838)</f>
        <v/>
      </c>
      <c r="C838" s="16" t="n"/>
      <c r="D838" s="17">
        <f>IF($C838="","",IFERROR(INDEX(rngCadetPIDs,MATCH($C838,rngCadetNames,0)),"?"))</f>
        <v/>
      </c>
      <c r="E838" s="17">
        <f>IF($D838="","",IFERROR(INDEX(nrCadetAgency,MATCH($D838,rngCadetPIDs,0)),""))</f>
        <v/>
      </c>
      <c r="F838" s="16" t="n"/>
      <c r="G838" s="17">
        <f>IF($F838="","",IFERROR(INDEX(rngEPname,MATCH($F838,rngEPcode,0)),"?"))</f>
        <v/>
      </c>
      <c r="H838" s="17">
        <f>IF($F838="","",IFERROR(INDEX(rngEPtype,MATCH($F838,rngEPcode,0)),"?"))</f>
        <v/>
      </c>
      <c r="I838" s="17">
        <f>IF($F838="","",IFERROR(INDEX(rngEPseq,MATCH($F838,rngEPcode,0)),""))</f>
        <v/>
      </c>
      <c r="J838" s="17">
        <f>IF($F838="","",IFERROR(INDEX(rngEPpass,MATCH($F838,rngEPcode,0)),cfgPassingScore))</f>
        <v/>
      </c>
      <c r="K838" s="16" t="n"/>
      <c r="L838" s="16" t="n"/>
      <c r="M838" s="17">
        <f>IF($C838="","",IF($L838="","",IF(NOT(ISNUMBER($L838)),$L838,IF(N($K838)&gt;2,"",IF($K838=1,IF(COUNTIFS(nrES_PID,$D838,nrES_Code,$F838,nrES_Att,2,nrES_Raw,"&gt;=0")&gt;0,"",$L838),IF($L838&gt;=$J838,MAX($J838,cfgRetakeRecordedCap),IF(COUNTIFS(nrES_PID,$D838,nrES_Code,$F838,nrES_Att,1)=0,$L838,SUMIFS(nrES_Raw,nrES_PID,$D838,nrES_Code,$F838,nrES_Att,1))))))))</f>
        <v/>
      </c>
      <c r="N838" s="17">
        <f>IF($C838="","",IF($L838="","",IF(NOT(ISNUMBER($L838)),"(not a score)",IF($L838&gt;=$J838,"Yes","No"))))</f>
        <v/>
      </c>
      <c r="O838" s="17">
        <f>IF($C838="","",IF($M838="","",IF(NOT(ISNUMBER($M838)),"(not a score)",IF($M838&gt;=$J838,"Yes","No"))))</f>
        <v/>
      </c>
      <c r="P838" s="17">
        <f>IF($C838="","",IF($K838="","",IF(N($K838)&gt;2,"No",IF(COUNTIFS(nrES_PID,$D838,nrES_Code,$F838,nrES_Att,"&gt;"&amp;$K838,nrES_Att,"&lt;=2",nrES_Raw,"&gt;=0")=0,"Yes","No"))))</f>
        <v/>
      </c>
      <c r="Q838" s="17">
        <f>IF($C838="","",IF($L838="","",IF(AND($K838=1,ISNUMBER($L838),$L838&lt;$J838,COUNTIFS(nrES_PID,$D838,nrES_Code,$F838,nrES_Att,2,nrES_Raw,"&gt;=0")=0),"Yes","No")))</f>
        <v/>
      </c>
      <c r="R838" s="17">
        <f>IF($C838="","",IF($L838="","",IF(AND(N($K838)&gt;=2,ISNUMBER($L838),$L838&lt;$J838),"Yes","No")))</f>
        <v/>
      </c>
      <c r="S838" s="18" t="n"/>
      <c r="T838" s="19">
        <f>IF(OR($C838="",$L838="",$K838&lt;&gt;1,NOT(ISNUMBER($L838)),$L838&gt;=$J838),"",IF($S838="","(enter date)",_xlfn.LET(_xlpm.dn,_xlfn.XLOOKUP($S838,nrCDdate,nrCDnum,"",1),IF(_xlpm.dn="","(after last class day)",_xlfn.LET(_xlpm.dd,_xlfn.XLOOKUP(_xlpm.dn+cfgRetestClassDays,nrCDnum,nrCDdate,""),_xlpm.ok,_xlfn.XLOOKUP(_xlpm.dn+cfgRetestClassDays,nrCDnum,nrCDinsession,"No"),IF(OR(_xlpm.dd="",_xlpm.ok&lt;&gt;"Yes"),"(after last class day)",_xlpm.dd))))))</f>
        <v/>
      </c>
      <c r="U838" s="17">
        <f>IF($C838="","",IF(AND($Y838="Excused",$L838="",N($K838)&lt;=1),"EXCUSED - 1st attempt pending",IF(OR($L838="",$K838&lt;&gt;1,NOT(ISNUMBER($L838)),$L838&gt;=$J838),"",IF(COUNTIFS(nrES_PID,$D838,nrES_Code,$F838,nrES_Att,2,nrES_Raw,"&gt;=0")&gt;0,IF(IFERROR(_xlfn.MINIFS(nrES_Date,nrES_PID,$D838,nrES_Code,$F838,nrES_Att,2,nrES_Raw,"&gt;=0",nrES_Date,"&gt;0"),0)=0,"RETEST UNDATED",IF(NOT(ISNUMBER($T838)),"RETEST DATE UNCHECKED",IF(_xlfn.MINIFS(nrES_Date,nrES_PID,$D838,nrES_Code,$F838,nrES_Att,2,nrES_Raw,"&gt;=0",nrES_Date,"&gt;0")&gt;$T838,"LATE RETEST "&amp;TEXT(_xlfn.MINIFS(nrES_Date,nrES_PID,$D838,nrES_Code,$F838,nrES_Att,2,nrES_Raw,"&gt;=0",nrES_Date,"&gt;0"),"mm/dd")&amp;" (due "&amp;TEXT($T838,"mm/dd")&amp;")","Retested"))),IF(NOT(ISNUMBER($T838)),"CHECK DATE",IF(TODAY()&gt;$T838,"OVERDUE","Due "&amp;TEXT($T838,"mm/dd")))))))</f>
        <v/>
      </c>
      <c r="V838" s="16" t="n"/>
      <c r="W838" s="16" t="n"/>
      <c r="X838" s="17">
        <f>IF($C838="","",IF(AND($L838&lt;&gt;"",NOT(ISNUMBER($L838))),"RAW SCORE NOT A NUMBER",IF(AND(ISNUMBER($L838),OR($L838&lt;0,$L838&gt;100)),"RAW SCORE OUT OF RANGE",IF(AND($Y838="Unexcused",OR($L838="",NOT(ISNUMBER($L838)),$L838&lt;&gt;0)),"UNEXCUSED ABSENCE MUST RECORD 0",IF(COUNTIF(nrES_RecID,$B838)&gt;1,"DUPLICATE RECORD",IF(N($K838)&gt;2,"ATTEMPT 3+ NOT ALLOWED - policy 300.5 permits one retest per exam; this row records nothing",IF(AND($K838=2,COUNTIFS(nrES_PID,$D838,nrES_Code,$F838,nrES_Att,1)=0),"ATTEMPT 2 WITHOUT ATTEMPT 1",IF(AND($K838=2,$L838=""),"RETEST ROW HAS NO SCORE",IF(AND($H838="Final",$L838&lt;&gt;"",IFERROR(INDEX(nrCKfinalExamElig,MATCH($D838,rngCadetPIDs,0)),"")="No"),"FINAL EXAM AFTER FAILED FINAL PT (500.1.H)",IF(AND($K838=2,ISNUMBER($L838),COUNTIFS(nrES_PID,$D838,nrES_Code,$F838,nrES_Att,1)&gt;0,SUMIFS(nrES_Raw,nrES_PID,$D838,nrES_Code,$F838,nrES_Att,1)&gt;=$J838),"RETEST AFTER A PASSING FIRST ATTEMPT","OK"))))))))))</f>
        <v/>
      </c>
      <c r="Y838" s="16" t="n"/>
    </row>
    <row r="839">
      <c r="B839" s="17">
        <f>IF($C839="","",$D839&amp;"-"&amp;$F839&amp;"-"&amp;$K839)</f>
        <v/>
      </c>
      <c r="C839" s="16" t="n"/>
      <c r="D839" s="17">
        <f>IF($C839="","",IFERROR(INDEX(rngCadetPIDs,MATCH($C839,rngCadetNames,0)),"?"))</f>
        <v/>
      </c>
      <c r="E839" s="17">
        <f>IF($D839="","",IFERROR(INDEX(nrCadetAgency,MATCH($D839,rngCadetPIDs,0)),""))</f>
        <v/>
      </c>
      <c r="F839" s="16" t="n"/>
      <c r="G839" s="17">
        <f>IF($F839="","",IFERROR(INDEX(rngEPname,MATCH($F839,rngEPcode,0)),"?"))</f>
        <v/>
      </c>
      <c r="H839" s="17">
        <f>IF($F839="","",IFERROR(INDEX(rngEPtype,MATCH($F839,rngEPcode,0)),"?"))</f>
        <v/>
      </c>
      <c r="I839" s="17">
        <f>IF($F839="","",IFERROR(INDEX(rngEPseq,MATCH($F839,rngEPcode,0)),""))</f>
        <v/>
      </c>
      <c r="J839" s="17">
        <f>IF($F839="","",IFERROR(INDEX(rngEPpass,MATCH($F839,rngEPcode,0)),cfgPassingScore))</f>
        <v/>
      </c>
      <c r="K839" s="16" t="n"/>
      <c r="L839" s="16" t="n"/>
      <c r="M839" s="17">
        <f>IF($C839="","",IF($L839="","",IF(NOT(ISNUMBER($L839)),$L839,IF(N($K839)&gt;2,"",IF($K839=1,IF(COUNTIFS(nrES_PID,$D839,nrES_Code,$F839,nrES_Att,2,nrES_Raw,"&gt;=0")&gt;0,"",$L839),IF($L839&gt;=$J839,MAX($J839,cfgRetakeRecordedCap),IF(COUNTIFS(nrES_PID,$D839,nrES_Code,$F839,nrES_Att,1)=0,$L839,SUMIFS(nrES_Raw,nrES_PID,$D839,nrES_Code,$F839,nrES_Att,1))))))))</f>
        <v/>
      </c>
      <c r="N839" s="17">
        <f>IF($C839="","",IF($L839="","",IF(NOT(ISNUMBER($L839)),"(not a score)",IF($L839&gt;=$J839,"Yes","No"))))</f>
        <v/>
      </c>
      <c r="O839" s="17">
        <f>IF($C839="","",IF($M839="","",IF(NOT(ISNUMBER($M839)),"(not a score)",IF($M839&gt;=$J839,"Yes","No"))))</f>
        <v/>
      </c>
      <c r="P839" s="17">
        <f>IF($C839="","",IF($K839="","",IF(N($K839)&gt;2,"No",IF(COUNTIFS(nrES_PID,$D839,nrES_Code,$F839,nrES_Att,"&gt;"&amp;$K839,nrES_Att,"&lt;=2",nrES_Raw,"&gt;=0")=0,"Yes","No"))))</f>
        <v/>
      </c>
      <c r="Q839" s="17">
        <f>IF($C839="","",IF($L839="","",IF(AND($K839=1,ISNUMBER($L839),$L839&lt;$J839,COUNTIFS(nrES_PID,$D839,nrES_Code,$F839,nrES_Att,2,nrES_Raw,"&gt;=0")=0),"Yes","No")))</f>
        <v/>
      </c>
      <c r="R839" s="17">
        <f>IF($C839="","",IF($L839="","",IF(AND(N($K839)&gt;=2,ISNUMBER($L839),$L839&lt;$J839),"Yes","No")))</f>
        <v/>
      </c>
      <c r="S839" s="18" t="n"/>
      <c r="T839" s="19">
        <f>IF(OR($C839="",$L839="",$K839&lt;&gt;1,NOT(ISNUMBER($L839)),$L839&gt;=$J839),"",IF($S839="","(enter date)",_xlfn.LET(_xlpm.dn,_xlfn.XLOOKUP($S839,nrCDdate,nrCDnum,"",1),IF(_xlpm.dn="","(after last class day)",_xlfn.LET(_xlpm.dd,_xlfn.XLOOKUP(_xlpm.dn+cfgRetestClassDays,nrCDnum,nrCDdate,""),_xlpm.ok,_xlfn.XLOOKUP(_xlpm.dn+cfgRetestClassDays,nrCDnum,nrCDinsession,"No"),IF(OR(_xlpm.dd="",_xlpm.ok&lt;&gt;"Yes"),"(after last class day)",_xlpm.dd))))))</f>
        <v/>
      </c>
      <c r="U839" s="17">
        <f>IF($C839="","",IF(AND($Y839="Excused",$L839="",N($K839)&lt;=1),"EXCUSED - 1st attempt pending",IF(OR($L839="",$K839&lt;&gt;1,NOT(ISNUMBER($L839)),$L839&gt;=$J839),"",IF(COUNTIFS(nrES_PID,$D839,nrES_Code,$F839,nrES_Att,2,nrES_Raw,"&gt;=0")&gt;0,IF(IFERROR(_xlfn.MINIFS(nrES_Date,nrES_PID,$D839,nrES_Code,$F839,nrES_Att,2,nrES_Raw,"&gt;=0",nrES_Date,"&gt;0"),0)=0,"RETEST UNDATED",IF(NOT(ISNUMBER($T839)),"RETEST DATE UNCHECKED",IF(_xlfn.MINIFS(nrES_Date,nrES_PID,$D839,nrES_Code,$F839,nrES_Att,2,nrES_Raw,"&gt;=0",nrES_Date,"&gt;0")&gt;$T839,"LATE RETEST "&amp;TEXT(_xlfn.MINIFS(nrES_Date,nrES_PID,$D839,nrES_Code,$F839,nrES_Att,2,nrES_Raw,"&gt;=0",nrES_Date,"&gt;0"),"mm/dd")&amp;" (due "&amp;TEXT($T839,"mm/dd")&amp;")","Retested"))),IF(NOT(ISNUMBER($T839)),"CHECK DATE",IF(TODAY()&gt;$T839,"OVERDUE","Due "&amp;TEXT($T839,"mm/dd")))))))</f>
        <v/>
      </c>
      <c r="V839" s="16" t="n"/>
      <c r="W839" s="16" t="n"/>
      <c r="X839" s="17">
        <f>IF($C839="","",IF(AND($L839&lt;&gt;"",NOT(ISNUMBER($L839))),"RAW SCORE NOT A NUMBER",IF(AND(ISNUMBER($L839),OR($L839&lt;0,$L839&gt;100)),"RAW SCORE OUT OF RANGE",IF(AND($Y839="Unexcused",OR($L839="",NOT(ISNUMBER($L839)),$L839&lt;&gt;0)),"UNEXCUSED ABSENCE MUST RECORD 0",IF(COUNTIF(nrES_RecID,$B839)&gt;1,"DUPLICATE RECORD",IF(N($K839)&gt;2,"ATTEMPT 3+ NOT ALLOWED - policy 300.5 permits one retest per exam; this row records nothing",IF(AND($K839=2,COUNTIFS(nrES_PID,$D839,nrES_Code,$F839,nrES_Att,1)=0),"ATTEMPT 2 WITHOUT ATTEMPT 1",IF(AND($K839=2,$L839=""),"RETEST ROW HAS NO SCORE",IF(AND($H839="Final",$L839&lt;&gt;"",IFERROR(INDEX(nrCKfinalExamElig,MATCH($D839,rngCadetPIDs,0)),"")="No"),"FINAL EXAM AFTER FAILED FINAL PT (500.1.H)",IF(AND($K839=2,ISNUMBER($L839),COUNTIFS(nrES_PID,$D839,nrES_Code,$F839,nrES_Att,1)&gt;0,SUMIFS(nrES_Raw,nrES_PID,$D839,nrES_Code,$F839,nrES_Att,1)&gt;=$J839),"RETEST AFTER A PASSING FIRST ATTEMPT","OK"))))))))))</f>
        <v/>
      </c>
      <c r="Y839" s="16" t="n"/>
    </row>
    <row r="840">
      <c r="B840" s="17">
        <f>IF($C840="","",$D840&amp;"-"&amp;$F840&amp;"-"&amp;$K840)</f>
        <v/>
      </c>
      <c r="C840" s="16" t="n"/>
      <c r="D840" s="17">
        <f>IF($C840="","",IFERROR(INDEX(rngCadetPIDs,MATCH($C840,rngCadetNames,0)),"?"))</f>
        <v/>
      </c>
      <c r="E840" s="17">
        <f>IF($D840="","",IFERROR(INDEX(nrCadetAgency,MATCH($D840,rngCadetPIDs,0)),""))</f>
        <v/>
      </c>
      <c r="F840" s="16" t="n"/>
      <c r="G840" s="17">
        <f>IF($F840="","",IFERROR(INDEX(rngEPname,MATCH($F840,rngEPcode,0)),"?"))</f>
        <v/>
      </c>
      <c r="H840" s="17">
        <f>IF($F840="","",IFERROR(INDEX(rngEPtype,MATCH($F840,rngEPcode,0)),"?"))</f>
        <v/>
      </c>
      <c r="I840" s="17">
        <f>IF($F840="","",IFERROR(INDEX(rngEPseq,MATCH($F840,rngEPcode,0)),""))</f>
        <v/>
      </c>
      <c r="J840" s="17">
        <f>IF($F840="","",IFERROR(INDEX(rngEPpass,MATCH($F840,rngEPcode,0)),cfgPassingScore))</f>
        <v/>
      </c>
      <c r="K840" s="16" t="n"/>
      <c r="L840" s="16" t="n"/>
      <c r="M840" s="17">
        <f>IF($C840="","",IF($L840="","",IF(NOT(ISNUMBER($L840)),$L840,IF(N($K840)&gt;2,"",IF($K840=1,IF(COUNTIFS(nrES_PID,$D840,nrES_Code,$F840,nrES_Att,2,nrES_Raw,"&gt;=0")&gt;0,"",$L840),IF($L840&gt;=$J840,MAX($J840,cfgRetakeRecordedCap),IF(COUNTIFS(nrES_PID,$D840,nrES_Code,$F840,nrES_Att,1)=0,$L840,SUMIFS(nrES_Raw,nrES_PID,$D840,nrES_Code,$F840,nrES_Att,1))))))))</f>
        <v/>
      </c>
      <c r="N840" s="17">
        <f>IF($C840="","",IF($L840="","",IF(NOT(ISNUMBER($L840)),"(not a score)",IF($L840&gt;=$J840,"Yes","No"))))</f>
        <v/>
      </c>
      <c r="O840" s="17">
        <f>IF($C840="","",IF($M840="","",IF(NOT(ISNUMBER($M840)),"(not a score)",IF($M840&gt;=$J840,"Yes","No"))))</f>
        <v/>
      </c>
      <c r="P840" s="17">
        <f>IF($C840="","",IF($K840="","",IF(N($K840)&gt;2,"No",IF(COUNTIFS(nrES_PID,$D840,nrES_Code,$F840,nrES_Att,"&gt;"&amp;$K840,nrES_Att,"&lt;=2",nrES_Raw,"&gt;=0")=0,"Yes","No"))))</f>
        <v/>
      </c>
      <c r="Q840" s="17">
        <f>IF($C840="","",IF($L840="","",IF(AND($K840=1,ISNUMBER($L840),$L840&lt;$J840,COUNTIFS(nrES_PID,$D840,nrES_Code,$F840,nrES_Att,2,nrES_Raw,"&gt;=0")=0),"Yes","No")))</f>
        <v/>
      </c>
      <c r="R840" s="17">
        <f>IF($C840="","",IF($L840="","",IF(AND(N($K840)&gt;=2,ISNUMBER($L840),$L840&lt;$J840),"Yes","No")))</f>
        <v/>
      </c>
      <c r="S840" s="18" t="n"/>
      <c r="T840" s="19">
        <f>IF(OR($C840="",$L840="",$K840&lt;&gt;1,NOT(ISNUMBER($L840)),$L840&gt;=$J840),"",IF($S840="","(enter date)",_xlfn.LET(_xlpm.dn,_xlfn.XLOOKUP($S840,nrCDdate,nrCDnum,"",1),IF(_xlpm.dn="","(after last class day)",_xlfn.LET(_xlpm.dd,_xlfn.XLOOKUP(_xlpm.dn+cfgRetestClassDays,nrCDnum,nrCDdate,""),_xlpm.ok,_xlfn.XLOOKUP(_xlpm.dn+cfgRetestClassDays,nrCDnum,nrCDinsession,"No"),IF(OR(_xlpm.dd="",_xlpm.ok&lt;&gt;"Yes"),"(after last class day)",_xlpm.dd))))))</f>
        <v/>
      </c>
      <c r="U840" s="17">
        <f>IF($C840="","",IF(AND($Y840="Excused",$L840="",N($K840)&lt;=1),"EXCUSED - 1st attempt pending",IF(OR($L840="",$K840&lt;&gt;1,NOT(ISNUMBER($L840)),$L840&gt;=$J840),"",IF(COUNTIFS(nrES_PID,$D840,nrES_Code,$F840,nrES_Att,2,nrES_Raw,"&gt;=0")&gt;0,IF(IFERROR(_xlfn.MINIFS(nrES_Date,nrES_PID,$D840,nrES_Code,$F840,nrES_Att,2,nrES_Raw,"&gt;=0",nrES_Date,"&gt;0"),0)=0,"RETEST UNDATED",IF(NOT(ISNUMBER($T840)),"RETEST DATE UNCHECKED",IF(_xlfn.MINIFS(nrES_Date,nrES_PID,$D840,nrES_Code,$F840,nrES_Att,2,nrES_Raw,"&gt;=0",nrES_Date,"&gt;0")&gt;$T840,"LATE RETEST "&amp;TEXT(_xlfn.MINIFS(nrES_Date,nrES_PID,$D840,nrES_Code,$F840,nrES_Att,2,nrES_Raw,"&gt;=0",nrES_Date,"&gt;0"),"mm/dd")&amp;" (due "&amp;TEXT($T840,"mm/dd")&amp;")","Retested"))),IF(NOT(ISNUMBER($T840)),"CHECK DATE",IF(TODAY()&gt;$T840,"OVERDUE","Due "&amp;TEXT($T840,"mm/dd")))))))</f>
        <v/>
      </c>
      <c r="V840" s="16" t="n"/>
      <c r="W840" s="16" t="n"/>
      <c r="X840" s="17">
        <f>IF($C840="","",IF(AND($L840&lt;&gt;"",NOT(ISNUMBER($L840))),"RAW SCORE NOT A NUMBER",IF(AND(ISNUMBER($L840),OR($L840&lt;0,$L840&gt;100)),"RAW SCORE OUT OF RANGE",IF(AND($Y840="Unexcused",OR($L840="",NOT(ISNUMBER($L840)),$L840&lt;&gt;0)),"UNEXCUSED ABSENCE MUST RECORD 0",IF(COUNTIF(nrES_RecID,$B840)&gt;1,"DUPLICATE RECORD",IF(N($K840)&gt;2,"ATTEMPT 3+ NOT ALLOWED - policy 300.5 permits one retest per exam; this row records nothing",IF(AND($K840=2,COUNTIFS(nrES_PID,$D840,nrES_Code,$F840,nrES_Att,1)=0),"ATTEMPT 2 WITHOUT ATTEMPT 1",IF(AND($K840=2,$L840=""),"RETEST ROW HAS NO SCORE",IF(AND($H840="Final",$L840&lt;&gt;"",IFERROR(INDEX(nrCKfinalExamElig,MATCH($D840,rngCadetPIDs,0)),"")="No"),"FINAL EXAM AFTER FAILED FINAL PT (500.1.H)",IF(AND($K840=2,ISNUMBER($L840),COUNTIFS(nrES_PID,$D840,nrES_Code,$F840,nrES_Att,1)&gt;0,SUMIFS(nrES_Raw,nrES_PID,$D840,nrES_Code,$F840,nrES_Att,1)&gt;=$J840),"RETEST AFTER A PASSING FIRST ATTEMPT","OK"))))))))))</f>
        <v/>
      </c>
      <c r="Y840" s="16" t="n"/>
    </row>
    <row r="841">
      <c r="B841" s="17">
        <f>IF($C841="","",$D841&amp;"-"&amp;$F841&amp;"-"&amp;$K841)</f>
        <v/>
      </c>
      <c r="C841" s="16" t="n"/>
      <c r="D841" s="17">
        <f>IF($C841="","",IFERROR(INDEX(rngCadetPIDs,MATCH($C841,rngCadetNames,0)),"?"))</f>
        <v/>
      </c>
      <c r="E841" s="17">
        <f>IF($D841="","",IFERROR(INDEX(nrCadetAgency,MATCH($D841,rngCadetPIDs,0)),""))</f>
        <v/>
      </c>
      <c r="F841" s="16" t="n"/>
      <c r="G841" s="17">
        <f>IF($F841="","",IFERROR(INDEX(rngEPname,MATCH($F841,rngEPcode,0)),"?"))</f>
        <v/>
      </c>
      <c r="H841" s="17">
        <f>IF($F841="","",IFERROR(INDEX(rngEPtype,MATCH($F841,rngEPcode,0)),"?"))</f>
        <v/>
      </c>
      <c r="I841" s="17">
        <f>IF($F841="","",IFERROR(INDEX(rngEPseq,MATCH($F841,rngEPcode,0)),""))</f>
        <v/>
      </c>
      <c r="J841" s="17">
        <f>IF($F841="","",IFERROR(INDEX(rngEPpass,MATCH($F841,rngEPcode,0)),cfgPassingScore))</f>
        <v/>
      </c>
      <c r="K841" s="16" t="n"/>
      <c r="L841" s="16" t="n"/>
      <c r="M841" s="17">
        <f>IF($C841="","",IF($L841="","",IF(NOT(ISNUMBER($L841)),$L841,IF(N($K841)&gt;2,"",IF($K841=1,IF(COUNTIFS(nrES_PID,$D841,nrES_Code,$F841,nrES_Att,2,nrES_Raw,"&gt;=0")&gt;0,"",$L841),IF($L841&gt;=$J841,MAX($J841,cfgRetakeRecordedCap),IF(COUNTIFS(nrES_PID,$D841,nrES_Code,$F841,nrES_Att,1)=0,$L841,SUMIFS(nrES_Raw,nrES_PID,$D841,nrES_Code,$F841,nrES_Att,1))))))))</f>
        <v/>
      </c>
      <c r="N841" s="17">
        <f>IF($C841="","",IF($L841="","",IF(NOT(ISNUMBER($L841)),"(not a score)",IF($L841&gt;=$J841,"Yes","No"))))</f>
        <v/>
      </c>
      <c r="O841" s="17">
        <f>IF($C841="","",IF($M841="","",IF(NOT(ISNUMBER($M841)),"(not a score)",IF($M841&gt;=$J841,"Yes","No"))))</f>
        <v/>
      </c>
      <c r="P841" s="17">
        <f>IF($C841="","",IF($K841="","",IF(N($K841)&gt;2,"No",IF(COUNTIFS(nrES_PID,$D841,nrES_Code,$F841,nrES_Att,"&gt;"&amp;$K841,nrES_Att,"&lt;=2",nrES_Raw,"&gt;=0")=0,"Yes","No"))))</f>
        <v/>
      </c>
      <c r="Q841" s="17">
        <f>IF($C841="","",IF($L841="","",IF(AND($K841=1,ISNUMBER($L841),$L841&lt;$J841,COUNTIFS(nrES_PID,$D841,nrES_Code,$F841,nrES_Att,2,nrES_Raw,"&gt;=0")=0),"Yes","No")))</f>
        <v/>
      </c>
      <c r="R841" s="17">
        <f>IF($C841="","",IF($L841="","",IF(AND(N($K841)&gt;=2,ISNUMBER($L841),$L841&lt;$J841),"Yes","No")))</f>
        <v/>
      </c>
      <c r="S841" s="18" t="n"/>
      <c r="T841" s="19">
        <f>IF(OR($C841="",$L841="",$K841&lt;&gt;1,NOT(ISNUMBER($L841)),$L841&gt;=$J841),"",IF($S841="","(enter date)",_xlfn.LET(_xlpm.dn,_xlfn.XLOOKUP($S841,nrCDdate,nrCDnum,"",1),IF(_xlpm.dn="","(after last class day)",_xlfn.LET(_xlpm.dd,_xlfn.XLOOKUP(_xlpm.dn+cfgRetestClassDays,nrCDnum,nrCDdate,""),_xlpm.ok,_xlfn.XLOOKUP(_xlpm.dn+cfgRetestClassDays,nrCDnum,nrCDinsession,"No"),IF(OR(_xlpm.dd="",_xlpm.ok&lt;&gt;"Yes"),"(after last class day)",_xlpm.dd))))))</f>
        <v/>
      </c>
      <c r="U841" s="17">
        <f>IF($C841="","",IF(AND($Y841="Excused",$L841="",N($K841)&lt;=1),"EXCUSED - 1st attempt pending",IF(OR($L841="",$K841&lt;&gt;1,NOT(ISNUMBER($L841)),$L841&gt;=$J841),"",IF(COUNTIFS(nrES_PID,$D841,nrES_Code,$F841,nrES_Att,2,nrES_Raw,"&gt;=0")&gt;0,IF(IFERROR(_xlfn.MINIFS(nrES_Date,nrES_PID,$D841,nrES_Code,$F841,nrES_Att,2,nrES_Raw,"&gt;=0",nrES_Date,"&gt;0"),0)=0,"RETEST UNDATED",IF(NOT(ISNUMBER($T841)),"RETEST DATE UNCHECKED",IF(_xlfn.MINIFS(nrES_Date,nrES_PID,$D841,nrES_Code,$F841,nrES_Att,2,nrES_Raw,"&gt;=0",nrES_Date,"&gt;0")&gt;$T841,"LATE RETEST "&amp;TEXT(_xlfn.MINIFS(nrES_Date,nrES_PID,$D841,nrES_Code,$F841,nrES_Att,2,nrES_Raw,"&gt;=0",nrES_Date,"&gt;0"),"mm/dd")&amp;" (due "&amp;TEXT($T841,"mm/dd")&amp;")","Retested"))),IF(NOT(ISNUMBER($T841)),"CHECK DATE",IF(TODAY()&gt;$T841,"OVERDUE","Due "&amp;TEXT($T841,"mm/dd")))))))</f>
        <v/>
      </c>
      <c r="V841" s="16" t="n"/>
      <c r="W841" s="16" t="n"/>
      <c r="X841" s="17">
        <f>IF($C841="","",IF(AND($L841&lt;&gt;"",NOT(ISNUMBER($L841))),"RAW SCORE NOT A NUMBER",IF(AND(ISNUMBER($L841),OR($L841&lt;0,$L841&gt;100)),"RAW SCORE OUT OF RANGE",IF(AND($Y841="Unexcused",OR($L841="",NOT(ISNUMBER($L841)),$L841&lt;&gt;0)),"UNEXCUSED ABSENCE MUST RECORD 0",IF(COUNTIF(nrES_RecID,$B841)&gt;1,"DUPLICATE RECORD",IF(N($K841)&gt;2,"ATTEMPT 3+ NOT ALLOWED - policy 300.5 permits one retest per exam; this row records nothing",IF(AND($K841=2,COUNTIFS(nrES_PID,$D841,nrES_Code,$F841,nrES_Att,1)=0),"ATTEMPT 2 WITHOUT ATTEMPT 1",IF(AND($K841=2,$L841=""),"RETEST ROW HAS NO SCORE",IF(AND($H841="Final",$L841&lt;&gt;"",IFERROR(INDEX(nrCKfinalExamElig,MATCH($D841,rngCadetPIDs,0)),"")="No"),"FINAL EXAM AFTER FAILED FINAL PT (500.1.H)",IF(AND($K841=2,ISNUMBER($L841),COUNTIFS(nrES_PID,$D841,nrES_Code,$F841,nrES_Att,1)&gt;0,SUMIFS(nrES_Raw,nrES_PID,$D841,nrES_Code,$F841,nrES_Att,1)&gt;=$J841),"RETEST AFTER A PASSING FIRST ATTEMPT","OK"))))))))))</f>
        <v/>
      </c>
      <c r="Y841" s="16" t="n"/>
    </row>
    <row r="842">
      <c r="B842" s="17">
        <f>IF($C842="","",$D842&amp;"-"&amp;$F842&amp;"-"&amp;$K842)</f>
        <v/>
      </c>
      <c r="C842" s="16" t="n"/>
      <c r="D842" s="17">
        <f>IF($C842="","",IFERROR(INDEX(rngCadetPIDs,MATCH($C842,rngCadetNames,0)),"?"))</f>
        <v/>
      </c>
      <c r="E842" s="17">
        <f>IF($D842="","",IFERROR(INDEX(nrCadetAgency,MATCH($D842,rngCadetPIDs,0)),""))</f>
        <v/>
      </c>
      <c r="F842" s="16" t="n"/>
      <c r="G842" s="17">
        <f>IF($F842="","",IFERROR(INDEX(rngEPname,MATCH($F842,rngEPcode,0)),"?"))</f>
        <v/>
      </c>
      <c r="H842" s="17">
        <f>IF($F842="","",IFERROR(INDEX(rngEPtype,MATCH($F842,rngEPcode,0)),"?"))</f>
        <v/>
      </c>
      <c r="I842" s="17">
        <f>IF($F842="","",IFERROR(INDEX(rngEPseq,MATCH($F842,rngEPcode,0)),""))</f>
        <v/>
      </c>
      <c r="J842" s="17">
        <f>IF($F842="","",IFERROR(INDEX(rngEPpass,MATCH($F842,rngEPcode,0)),cfgPassingScore))</f>
        <v/>
      </c>
      <c r="K842" s="16" t="n"/>
      <c r="L842" s="16" t="n"/>
      <c r="M842" s="17">
        <f>IF($C842="","",IF($L842="","",IF(NOT(ISNUMBER($L842)),$L842,IF(N($K842)&gt;2,"",IF($K842=1,IF(COUNTIFS(nrES_PID,$D842,nrES_Code,$F842,nrES_Att,2,nrES_Raw,"&gt;=0")&gt;0,"",$L842),IF($L842&gt;=$J842,MAX($J842,cfgRetakeRecordedCap),IF(COUNTIFS(nrES_PID,$D842,nrES_Code,$F842,nrES_Att,1)=0,$L842,SUMIFS(nrES_Raw,nrES_PID,$D842,nrES_Code,$F842,nrES_Att,1))))))))</f>
        <v/>
      </c>
      <c r="N842" s="17">
        <f>IF($C842="","",IF($L842="","",IF(NOT(ISNUMBER($L842)),"(not a score)",IF($L842&gt;=$J842,"Yes","No"))))</f>
        <v/>
      </c>
      <c r="O842" s="17">
        <f>IF($C842="","",IF($M842="","",IF(NOT(ISNUMBER($M842)),"(not a score)",IF($M842&gt;=$J842,"Yes","No"))))</f>
        <v/>
      </c>
      <c r="P842" s="17">
        <f>IF($C842="","",IF($K842="","",IF(N($K842)&gt;2,"No",IF(COUNTIFS(nrES_PID,$D842,nrES_Code,$F842,nrES_Att,"&gt;"&amp;$K842,nrES_Att,"&lt;=2",nrES_Raw,"&gt;=0")=0,"Yes","No"))))</f>
        <v/>
      </c>
      <c r="Q842" s="17">
        <f>IF($C842="","",IF($L842="","",IF(AND($K842=1,ISNUMBER($L842),$L842&lt;$J842,COUNTIFS(nrES_PID,$D842,nrES_Code,$F842,nrES_Att,2,nrES_Raw,"&gt;=0")=0),"Yes","No")))</f>
        <v/>
      </c>
      <c r="R842" s="17">
        <f>IF($C842="","",IF($L842="","",IF(AND(N($K842)&gt;=2,ISNUMBER($L842),$L842&lt;$J842),"Yes","No")))</f>
        <v/>
      </c>
      <c r="S842" s="18" t="n"/>
      <c r="T842" s="19">
        <f>IF(OR($C842="",$L842="",$K842&lt;&gt;1,NOT(ISNUMBER($L842)),$L842&gt;=$J842),"",IF($S842="","(enter date)",_xlfn.LET(_xlpm.dn,_xlfn.XLOOKUP($S842,nrCDdate,nrCDnum,"",1),IF(_xlpm.dn="","(after last class day)",_xlfn.LET(_xlpm.dd,_xlfn.XLOOKUP(_xlpm.dn+cfgRetestClassDays,nrCDnum,nrCDdate,""),_xlpm.ok,_xlfn.XLOOKUP(_xlpm.dn+cfgRetestClassDays,nrCDnum,nrCDinsession,"No"),IF(OR(_xlpm.dd="",_xlpm.ok&lt;&gt;"Yes"),"(after last class day)",_xlpm.dd))))))</f>
        <v/>
      </c>
      <c r="U842" s="17">
        <f>IF($C842="","",IF(AND($Y842="Excused",$L842="",N($K842)&lt;=1),"EXCUSED - 1st attempt pending",IF(OR($L842="",$K842&lt;&gt;1,NOT(ISNUMBER($L842)),$L842&gt;=$J842),"",IF(COUNTIFS(nrES_PID,$D842,nrES_Code,$F842,nrES_Att,2,nrES_Raw,"&gt;=0")&gt;0,IF(IFERROR(_xlfn.MINIFS(nrES_Date,nrES_PID,$D842,nrES_Code,$F842,nrES_Att,2,nrES_Raw,"&gt;=0",nrES_Date,"&gt;0"),0)=0,"RETEST UNDATED",IF(NOT(ISNUMBER($T842)),"RETEST DATE UNCHECKED",IF(_xlfn.MINIFS(nrES_Date,nrES_PID,$D842,nrES_Code,$F842,nrES_Att,2,nrES_Raw,"&gt;=0",nrES_Date,"&gt;0")&gt;$T842,"LATE RETEST "&amp;TEXT(_xlfn.MINIFS(nrES_Date,nrES_PID,$D842,nrES_Code,$F842,nrES_Att,2,nrES_Raw,"&gt;=0",nrES_Date,"&gt;0"),"mm/dd")&amp;" (due "&amp;TEXT($T842,"mm/dd")&amp;")","Retested"))),IF(NOT(ISNUMBER($T842)),"CHECK DATE",IF(TODAY()&gt;$T842,"OVERDUE","Due "&amp;TEXT($T842,"mm/dd")))))))</f>
        <v/>
      </c>
      <c r="V842" s="16" t="n"/>
      <c r="W842" s="16" t="n"/>
      <c r="X842" s="17">
        <f>IF($C842="","",IF(AND($L842&lt;&gt;"",NOT(ISNUMBER($L842))),"RAW SCORE NOT A NUMBER",IF(AND(ISNUMBER($L842),OR($L842&lt;0,$L842&gt;100)),"RAW SCORE OUT OF RANGE",IF(AND($Y842="Unexcused",OR($L842="",NOT(ISNUMBER($L842)),$L842&lt;&gt;0)),"UNEXCUSED ABSENCE MUST RECORD 0",IF(COUNTIF(nrES_RecID,$B842)&gt;1,"DUPLICATE RECORD",IF(N($K842)&gt;2,"ATTEMPT 3+ NOT ALLOWED - policy 300.5 permits one retest per exam; this row records nothing",IF(AND($K842=2,COUNTIFS(nrES_PID,$D842,nrES_Code,$F842,nrES_Att,1)=0),"ATTEMPT 2 WITHOUT ATTEMPT 1",IF(AND($K842=2,$L842=""),"RETEST ROW HAS NO SCORE",IF(AND($H842="Final",$L842&lt;&gt;"",IFERROR(INDEX(nrCKfinalExamElig,MATCH($D842,rngCadetPIDs,0)),"")="No"),"FINAL EXAM AFTER FAILED FINAL PT (500.1.H)",IF(AND($K842=2,ISNUMBER($L842),COUNTIFS(nrES_PID,$D842,nrES_Code,$F842,nrES_Att,1)&gt;0,SUMIFS(nrES_Raw,nrES_PID,$D842,nrES_Code,$F842,nrES_Att,1)&gt;=$J842),"RETEST AFTER A PASSING FIRST ATTEMPT","OK"))))))))))</f>
        <v/>
      </c>
      <c r="Y842" s="16" t="n"/>
    </row>
    <row r="843">
      <c r="B843" s="17">
        <f>IF($C843="","",$D843&amp;"-"&amp;$F843&amp;"-"&amp;$K843)</f>
        <v/>
      </c>
      <c r="C843" s="16" t="n"/>
      <c r="D843" s="17">
        <f>IF($C843="","",IFERROR(INDEX(rngCadetPIDs,MATCH($C843,rngCadetNames,0)),"?"))</f>
        <v/>
      </c>
      <c r="E843" s="17">
        <f>IF($D843="","",IFERROR(INDEX(nrCadetAgency,MATCH($D843,rngCadetPIDs,0)),""))</f>
        <v/>
      </c>
      <c r="F843" s="16" t="n"/>
      <c r="G843" s="17">
        <f>IF($F843="","",IFERROR(INDEX(rngEPname,MATCH($F843,rngEPcode,0)),"?"))</f>
        <v/>
      </c>
      <c r="H843" s="17">
        <f>IF($F843="","",IFERROR(INDEX(rngEPtype,MATCH($F843,rngEPcode,0)),"?"))</f>
        <v/>
      </c>
      <c r="I843" s="17">
        <f>IF($F843="","",IFERROR(INDEX(rngEPseq,MATCH($F843,rngEPcode,0)),""))</f>
        <v/>
      </c>
      <c r="J843" s="17">
        <f>IF($F843="","",IFERROR(INDEX(rngEPpass,MATCH($F843,rngEPcode,0)),cfgPassingScore))</f>
        <v/>
      </c>
      <c r="K843" s="16" t="n"/>
      <c r="L843" s="16" t="n"/>
      <c r="M843" s="17">
        <f>IF($C843="","",IF($L843="","",IF(NOT(ISNUMBER($L843)),$L843,IF(N($K843)&gt;2,"",IF($K843=1,IF(COUNTIFS(nrES_PID,$D843,nrES_Code,$F843,nrES_Att,2,nrES_Raw,"&gt;=0")&gt;0,"",$L843),IF($L843&gt;=$J843,MAX($J843,cfgRetakeRecordedCap),IF(COUNTIFS(nrES_PID,$D843,nrES_Code,$F843,nrES_Att,1)=0,$L843,SUMIFS(nrES_Raw,nrES_PID,$D843,nrES_Code,$F843,nrES_Att,1))))))))</f>
        <v/>
      </c>
      <c r="N843" s="17">
        <f>IF($C843="","",IF($L843="","",IF(NOT(ISNUMBER($L843)),"(not a score)",IF($L843&gt;=$J843,"Yes","No"))))</f>
        <v/>
      </c>
      <c r="O843" s="17">
        <f>IF($C843="","",IF($M843="","",IF(NOT(ISNUMBER($M843)),"(not a score)",IF($M843&gt;=$J843,"Yes","No"))))</f>
        <v/>
      </c>
      <c r="P843" s="17">
        <f>IF($C843="","",IF($K843="","",IF(N($K843)&gt;2,"No",IF(COUNTIFS(nrES_PID,$D843,nrES_Code,$F843,nrES_Att,"&gt;"&amp;$K843,nrES_Att,"&lt;=2",nrES_Raw,"&gt;=0")=0,"Yes","No"))))</f>
        <v/>
      </c>
      <c r="Q843" s="17">
        <f>IF($C843="","",IF($L843="","",IF(AND($K843=1,ISNUMBER($L843),$L843&lt;$J843,COUNTIFS(nrES_PID,$D843,nrES_Code,$F843,nrES_Att,2,nrES_Raw,"&gt;=0")=0),"Yes","No")))</f>
        <v/>
      </c>
      <c r="R843" s="17">
        <f>IF($C843="","",IF($L843="","",IF(AND(N($K843)&gt;=2,ISNUMBER($L843),$L843&lt;$J843),"Yes","No")))</f>
        <v/>
      </c>
      <c r="S843" s="18" t="n"/>
      <c r="T843" s="19">
        <f>IF(OR($C843="",$L843="",$K843&lt;&gt;1,NOT(ISNUMBER($L843)),$L843&gt;=$J843),"",IF($S843="","(enter date)",_xlfn.LET(_xlpm.dn,_xlfn.XLOOKUP($S843,nrCDdate,nrCDnum,"",1),IF(_xlpm.dn="","(after last class day)",_xlfn.LET(_xlpm.dd,_xlfn.XLOOKUP(_xlpm.dn+cfgRetestClassDays,nrCDnum,nrCDdate,""),_xlpm.ok,_xlfn.XLOOKUP(_xlpm.dn+cfgRetestClassDays,nrCDnum,nrCDinsession,"No"),IF(OR(_xlpm.dd="",_xlpm.ok&lt;&gt;"Yes"),"(after last class day)",_xlpm.dd))))))</f>
        <v/>
      </c>
      <c r="U843" s="17">
        <f>IF($C843="","",IF(AND($Y843="Excused",$L843="",N($K843)&lt;=1),"EXCUSED - 1st attempt pending",IF(OR($L843="",$K843&lt;&gt;1,NOT(ISNUMBER($L843)),$L843&gt;=$J843),"",IF(COUNTIFS(nrES_PID,$D843,nrES_Code,$F843,nrES_Att,2,nrES_Raw,"&gt;=0")&gt;0,IF(IFERROR(_xlfn.MINIFS(nrES_Date,nrES_PID,$D843,nrES_Code,$F843,nrES_Att,2,nrES_Raw,"&gt;=0",nrES_Date,"&gt;0"),0)=0,"RETEST UNDATED",IF(NOT(ISNUMBER($T843)),"RETEST DATE UNCHECKED",IF(_xlfn.MINIFS(nrES_Date,nrES_PID,$D843,nrES_Code,$F843,nrES_Att,2,nrES_Raw,"&gt;=0",nrES_Date,"&gt;0")&gt;$T843,"LATE RETEST "&amp;TEXT(_xlfn.MINIFS(nrES_Date,nrES_PID,$D843,nrES_Code,$F843,nrES_Att,2,nrES_Raw,"&gt;=0",nrES_Date,"&gt;0"),"mm/dd")&amp;" (due "&amp;TEXT($T843,"mm/dd")&amp;")","Retested"))),IF(NOT(ISNUMBER($T843)),"CHECK DATE",IF(TODAY()&gt;$T843,"OVERDUE","Due "&amp;TEXT($T843,"mm/dd")))))))</f>
        <v/>
      </c>
      <c r="V843" s="16" t="n"/>
      <c r="W843" s="16" t="n"/>
      <c r="X843" s="17">
        <f>IF($C843="","",IF(AND($L843&lt;&gt;"",NOT(ISNUMBER($L843))),"RAW SCORE NOT A NUMBER",IF(AND(ISNUMBER($L843),OR($L843&lt;0,$L843&gt;100)),"RAW SCORE OUT OF RANGE",IF(AND($Y843="Unexcused",OR($L843="",NOT(ISNUMBER($L843)),$L843&lt;&gt;0)),"UNEXCUSED ABSENCE MUST RECORD 0",IF(COUNTIF(nrES_RecID,$B843)&gt;1,"DUPLICATE RECORD",IF(N($K843)&gt;2,"ATTEMPT 3+ NOT ALLOWED - policy 300.5 permits one retest per exam; this row records nothing",IF(AND($K843=2,COUNTIFS(nrES_PID,$D843,nrES_Code,$F843,nrES_Att,1)=0),"ATTEMPT 2 WITHOUT ATTEMPT 1",IF(AND($K843=2,$L843=""),"RETEST ROW HAS NO SCORE",IF(AND($H843="Final",$L843&lt;&gt;"",IFERROR(INDEX(nrCKfinalExamElig,MATCH($D843,rngCadetPIDs,0)),"")="No"),"FINAL EXAM AFTER FAILED FINAL PT (500.1.H)",IF(AND($K843=2,ISNUMBER($L843),COUNTIFS(nrES_PID,$D843,nrES_Code,$F843,nrES_Att,1)&gt;0,SUMIFS(nrES_Raw,nrES_PID,$D843,nrES_Code,$F843,nrES_Att,1)&gt;=$J843),"RETEST AFTER A PASSING FIRST ATTEMPT","OK"))))))))))</f>
        <v/>
      </c>
      <c r="Y843" s="16" t="n"/>
    </row>
    <row r="844">
      <c r="B844" s="17">
        <f>IF($C844="","",$D844&amp;"-"&amp;$F844&amp;"-"&amp;$K844)</f>
        <v/>
      </c>
      <c r="C844" s="16" t="n"/>
      <c r="D844" s="17">
        <f>IF($C844="","",IFERROR(INDEX(rngCadetPIDs,MATCH($C844,rngCadetNames,0)),"?"))</f>
        <v/>
      </c>
      <c r="E844" s="17">
        <f>IF($D844="","",IFERROR(INDEX(nrCadetAgency,MATCH($D844,rngCadetPIDs,0)),""))</f>
        <v/>
      </c>
      <c r="F844" s="16" t="n"/>
      <c r="G844" s="17">
        <f>IF($F844="","",IFERROR(INDEX(rngEPname,MATCH($F844,rngEPcode,0)),"?"))</f>
        <v/>
      </c>
      <c r="H844" s="17">
        <f>IF($F844="","",IFERROR(INDEX(rngEPtype,MATCH($F844,rngEPcode,0)),"?"))</f>
        <v/>
      </c>
      <c r="I844" s="17">
        <f>IF($F844="","",IFERROR(INDEX(rngEPseq,MATCH($F844,rngEPcode,0)),""))</f>
        <v/>
      </c>
      <c r="J844" s="17">
        <f>IF($F844="","",IFERROR(INDEX(rngEPpass,MATCH($F844,rngEPcode,0)),cfgPassingScore))</f>
        <v/>
      </c>
      <c r="K844" s="16" t="n"/>
      <c r="L844" s="16" t="n"/>
      <c r="M844" s="17">
        <f>IF($C844="","",IF($L844="","",IF(NOT(ISNUMBER($L844)),$L844,IF(N($K844)&gt;2,"",IF($K844=1,IF(COUNTIFS(nrES_PID,$D844,nrES_Code,$F844,nrES_Att,2,nrES_Raw,"&gt;=0")&gt;0,"",$L844),IF($L844&gt;=$J844,MAX($J844,cfgRetakeRecordedCap),IF(COUNTIFS(nrES_PID,$D844,nrES_Code,$F844,nrES_Att,1)=0,$L844,SUMIFS(nrES_Raw,nrES_PID,$D844,nrES_Code,$F844,nrES_Att,1))))))))</f>
        <v/>
      </c>
      <c r="N844" s="17">
        <f>IF($C844="","",IF($L844="","",IF(NOT(ISNUMBER($L844)),"(not a score)",IF($L844&gt;=$J844,"Yes","No"))))</f>
        <v/>
      </c>
      <c r="O844" s="17">
        <f>IF($C844="","",IF($M844="","",IF(NOT(ISNUMBER($M844)),"(not a score)",IF($M844&gt;=$J844,"Yes","No"))))</f>
        <v/>
      </c>
      <c r="P844" s="17">
        <f>IF($C844="","",IF($K844="","",IF(N($K844)&gt;2,"No",IF(COUNTIFS(nrES_PID,$D844,nrES_Code,$F844,nrES_Att,"&gt;"&amp;$K844,nrES_Att,"&lt;=2",nrES_Raw,"&gt;=0")=0,"Yes","No"))))</f>
        <v/>
      </c>
      <c r="Q844" s="17">
        <f>IF($C844="","",IF($L844="","",IF(AND($K844=1,ISNUMBER($L844),$L844&lt;$J844,COUNTIFS(nrES_PID,$D844,nrES_Code,$F844,nrES_Att,2,nrES_Raw,"&gt;=0")=0),"Yes","No")))</f>
        <v/>
      </c>
      <c r="R844" s="17">
        <f>IF($C844="","",IF($L844="","",IF(AND(N($K844)&gt;=2,ISNUMBER($L844),$L844&lt;$J844),"Yes","No")))</f>
        <v/>
      </c>
      <c r="S844" s="18" t="n"/>
      <c r="T844" s="19">
        <f>IF(OR($C844="",$L844="",$K844&lt;&gt;1,NOT(ISNUMBER($L844)),$L844&gt;=$J844),"",IF($S844="","(enter date)",_xlfn.LET(_xlpm.dn,_xlfn.XLOOKUP($S844,nrCDdate,nrCDnum,"",1),IF(_xlpm.dn="","(after last class day)",_xlfn.LET(_xlpm.dd,_xlfn.XLOOKUP(_xlpm.dn+cfgRetestClassDays,nrCDnum,nrCDdate,""),_xlpm.ok,_xlfn.XLOOKUP(_xlpm.dn+cfgRetestClassDays,nrCDnum,nrCDinsession,"No"),IF(OR(_xlpm.dd="",_xlpm.ok&lt;&gt;"Yes"),"(after last class day)",_xlpm.dd))))))</f>
        <v/>
      </c>
      <c r="U844" s="17">
        <f>IF($C844="","",IF(AND($Y844="Excused",$L844="",N($K844)&lt;=1),"EXCUSED - 1st attempt pending",IF(OR($L844="",$K844&lt;&gt;1,NOT(ISNUMBER($L844)),$L844&gt;=$J844),"",IF(COUNTIFS(nrES_PID,$D844,nrES_Code,$F844,nrES_Att,2,nrES_Raw,"&gt;=0")&gt;0,IF(IFERROR(_xlfn.MINIFS(nrES_Date,nrES_PID,$D844,nrES_Code,$F844,nrES_Att,2,nrES_Raw,"&gt;=0",nrES_Date,"&gt;0"),0)=0,"RETEST UNDATED",IF(NOT(ISNUMBER($T844)),"RETEST DATE UNCHECKED",IF(_xlfn.MINIFS(nrES_Date,nrES_PID,$D844,nrES_Code,$F844,nrES_Att,2,nrES_Raw,"&gt;=0",nrES_Date,"&gt;0")&gt;$T844,"LATE RETEST "&amp;TEXT(_xlfn.MINIFS(nrES_Date,nrES_PID,$D844,nrES_Code,$F844,nrES_Att,2,nrES_Raw,"&gt;=0",nrES_Date,"&gt;0"),"mm/dd")&amp;" (due "&amp;TEXT($T844,"mm/dd")&amp;")","Retested"))),IF(NOT(ISNUMBER($T844)),"CHECK DATE",IF(TODAY()&gt;$T844,"OVERDUE","Due "&amp;TEXT($T844,"mm/dd")))))))</f>
        <v/>
      </c>
      <c r="V844" s="16" t="n"/>
      <c r="W844" s="16" t="n"/>
      <c r="X844" s="17">
        <f>IF($C844="","",IF(AND($L844&lt;&gt;"",NOT(ISNUMBER($L844))),"RAW SCORE NOT A NUMBER",IF(AND(ISNUMBER($L844),OR($L844&lt;0,$L844&gt;100)),"RAW SCORE OUT OF RANGE",IF(AND($Y844="Unexcused",OR($L844="",NOT(ISNUMBER($L844)),$L844&lt;&gt;0)),"UNEXCUSED ABSENCE MUST RECORD 0",IF(COUNTIF(nrES_RecID,$B844)&gt;1,"DUPLICATE RECORD",IF(N($K844)&gt;2,"ATTEMPT 3+ NOT ALLOWED - policy 300.5 permits one retest per exam; this row records nothing",IF(AND($K844=2,COUNTIFS(nrES_PID,$D844,nrES_Code,$F844,nrES_Att,1)=0),"ATTEMPT 2 WITHOUT ATTEMPT 1",IF(AND($K844=2,$L844=""),"RETEST ROW HAS NO SCORE",IF(AND($H844="Final",$L844&lt;&gt;"",IFERROR(INDEX(nrCKfinalExamElig,MATCH($D844,rngCadetPIDs,0)),"")="No"),"FINAL EXAM AFTER FAILED FINAL PT (500.1.H)",IF(AND($K844=2,ISNUMBER($L844),COUNTIFS(nrES_PID,$D844,nrES_Code,$F844,nrES_Att,1)&gt;0,SUMIFS(nrES_Raw,nrES_PID,$D844,nrES_Code,$F844,nrES_Att,1)&gt;=$J844),"RETEST AFTER A PASSING FIRST ATTEMPT","OK"))))))))))</f>
        <v/>
      </c>
      <c r="Y844" s="16" t="n"/>
    </row>
    <row r="845">
      <c r="B845" s="17">
        <f>IF($C845="","",$D845&amp;"-"&amp;$F845&amp;"-"&amp;$K845)</f>
        <v/>
      </c>
      <c r="C845" s="16" t="n"/>
      <c r="D845" s="17">
        <f>IF($C845="","",IFERROR(INDEX(rngCadetPIDs,MATCH($C845,rngCadetNames,0)),"?"))</f>
        <v/>
      </c>
      <c r="E845" s="17">
        <f>IF($D845="","",IFERROR(INDEX(nrCadetAgency,MATCH($D845,rngCadetPIDs,0)),""))</f>
        <v/>
      </c>
      <c r="F845" s="16" t="n"/>
      <c r="G845" s="17">
        <f>IF($F845="","",IFERROR(INDEX(rngEPname,MATCH($F845,rngEPcode,0)),"?"))</f>
        <v/>
      </c>
      <c r="H845" s="17">
        <f>IF($F845="","",IFERROR(INDEX(rngEPtype,MATCH($F845,rngEPcode,0)),"?"))</f>
        <v/>
      </c>
      <c r="I845" s="17">
        <f>IF($F845="","",IFERROR(INDEX(rngEPseq,MATCH($F845,rngEPcode,0)),""))</f>
        <v/>
      </c>
      <c r="J845" s="17">
        <f>IF($F845="","",IFERROR(INDEX(rngEPpass,MATCH($F845,rngEPcode,0)),cfgPassingScore))</f>
        <v/>
      </c>
      <c r="K845" s="16" t="n"/>
      <c r="L845" s="16" t="n"/>
      <c r="M845" s="17">
        <f>IF($C845="","",IF($L845="","",IF(NOT(ISNUMBER($L845)),$L845,IF(N($K845)&gt;2,"",IF($K845=1,IF(COUNTIFS(nrES_PID,$D845,nrES_Code,$F845,nrES_Att,2,nrES_Raw,"&gt;=0")&gt;0,"",$L845),IF($L845&gt;=$J845,MAX($J845,cfgRetakeRecordedCap),IF(COUNTIFS(nrES_PID,$D845,nrES_Code,$F845,nrES_Att,1)=0,$L845,SUMIFS(nrES_Raw,nrES_PID,$D845,nrES_Code,$F845,nrES_Att,1))))))))</f>
        <v/>
      </c>
      <c r="N845" s="17">
        <f>IF($C845="","",IF($L845="","",IF(NOT(ISNUMBER($L845)),"(not a score)",IF($L845&gt;=$J845,"Yes","No"))))</f>
        <v/>
      </c>
      <c r="O845" s="17">
        <f>IF($C845="","",IF($M845="","",IF(NOT(ISNUMBER($M845)),"(not a score)",IF($M845&gt;=$J845,"Yes","No"))))</f>
        <v/>
      </c>
      <c r="P845" s="17">
        <f>IF($C845="","",IF($K845="","",IF(N($K845)&gt;2,"No",IF(COUNTIFS(nrES_PID,$D845,nrES_Code,$F845,nrES_Att,"&gt;"&amp;$K845,nrES_Att,"&lt;=2",nrES_Raw,"&gt;=0")=0,"Yes","No"))))</f>
        <v/>
      </c>
      <c r="Q845" s="17">
        <f>IF($C845="","",IF($L845="","",IF(AND($K845=1,ISNUMBER($L845),$L845&lt;$J845,COUNTIFS(nrES_PID,$D845,nrES_Code,$F845,nrES_Att,2,nrES_Raw,"&gt;=0")=0),"Yes","No")))</f>
        <v/>
      </c>
      <c r="R845" s="17">
        <f>IF($C845="","",IF($L845="","",IF(AND(N($K845)&gt;=2,ISNUMBER($L845),$L845&lt;$J845),"Yes","No")))</f>
        <v/>
      </c>
      <c r="S845" s="18" t="n"/>
      <c r="T845" s="19">
        <f>IF(OR($C845="",$L845="",$K845&lt;&gt;1,NOT(ISNUMBER($L845)),$L845&gt;=$J845),"",IF($S845="","(enter date)",_xlfn.LET(_xlpm.dn,_xlfn.XLOOKUP($S845,nrCDdate,nrCDnum,"",1),IF(_xlpm.dn="","(after last class day)",_xlfn.LET(_xlpm.dd,_xlfn.XLOOKUP(_xlpm.dn+cfgRetestClassDays,nrCDnum,nrCDdate,""),_xlpm.ok,_xlfn.XLOOKUP(_xlpm.dn+cfgRetestClassDays,nrCDnum,nrCDinsession,"No"),IF(OR(_xlpm.dd="",_xlpm.ok&lt;&gt;"Yes"),"(after last class day)",_xlpm.dd))))))</f>
        <v/>
      </c>
      <c r="U845" s="17">
        <f>IF($C845="","",IF(AND($Y845="Excused",$L845="",N($K845)&lt;=1),"EXCUSED - 1st attempt pending",IF(OR($L845="",$K845&lt;&gt;1,NOT(ISNUMBER($L845)),$L845&gt;=$J845),"",IF(COUNTIFS(nrES_PID,$D845,nrES_Code,$F845,nrES_Att,2,nrES_Raw,"&gt;=0")&gt;0,IF(IFERROR(_xlfn.MINIFS(nrES_Date,nrES_PID,$D845,nrES_Code,$F845,nrES_Att,2,nrES_Raw,"&gt;=0",nrES_Date,"&gt;0"),0)=0,"RETEST UNDATED",IF(NOT(ISNUMBER($T845)),"RETEST DATE UNCHECKED",IF(_xlfn.MINIFS(nrES_Date,nrES_PID,$D845,nrES_Code,$F845,nrES_Att,2,nrES_Raw,"&gt;=0",nrES_Date,"&gt;0")&gt;$T845,"LATE RETEST "&amp;TEXT(_xlfn.MINIFS(nrES_Date,nrES_PID,$D845,nrES_Code,$F845,nrES_Att,2,nrES_Raw,"&gt;=0",nrES_Date,"&gt;0"),"mm/dd")&amp;" (due "&amp;TEXT($T845,"mm/dd")&amp;")","Retested"))),IF(NOT(ISNUMBER($T845)),"CHECK DATE",IF(TODAY()&gt;$T845,"OVERDUE","Due "&amp;TEXT($T845,"mm/dd")))))))</f>
        <v/>
      </c>
      <c r="V845" s="16" t="n"/>
      <c r="W845" s="16" t="n"/>
      <c r="X845" s="17">
        <f>IF($C845="","",IF(AND($L845&lt;&gt;"",NOT(ISNUMBER($L845))),"RAW SCORE NOT A NUMBER",IF(AND(ISNUMBER($L845),OR($L845&lt;0,$L845&gt;100)),"RAW SCORE OUT OF RANGE",IF(AND($Y845="Unexcused",OR($L845="",NOT(ISNUMBER($L845)),$L845&lt;&gt;0)),"UNEXCUSED ABSENCE MUST RECORD 0",IF(COUNTIF(nrES_RecID,$B845)&gt;1,"DUPLICATE RECORD",IF(N($K845)&gt;2,"ATTEMPT 3+ NOT ALLOWED - policy 300.5 permits one retest per exam; this row records nothing",IF(AND($K845=2,COUNTIFS(nrES_PID,$D845,nrES_Code,$F845,nrES_Att,1)=0),"ATTEMPT 2 WITHOUT ATTEMPT 1",IF(AND($K845=2,$L845=""),"RETEST ROW HAS NO SCORE",IF(AND($H845="Final",$L845&lt;&gt;"",IFERROR(INDEX(nrCKfinalExamElig,MATCH($D845,rngCadetPIDs,0)),"")="No"),"FINAL EXAM AFTER FAILED FINAL PT (500.1.H)",IF(AND($K845=2,ISNUMBER($L845),COUNTIFS(nrES_PID,$D845,nrES_Code,$F845,nrES_Att,1)&gt;0,SUMIFS(nrES_Raw,nrES_PID,$D845,nrES_Code,$F845,nrES_Att,1)&gt;=$J845),"RETEST AFTER A PASSING FIRST ATTEMPT","OK"))))))))))</f>
        <v/>
      </c>
      <c r="Y845" s="16" t="n"/>
    </row>
    <row r="846">
      <c r="B846" s="17">
        <f>IF($C846="","",$D846&amp;"-"&amp;$F846&amp;"-"&amp;$K846)</f>
        <v/>
      </c>
      <c r="C846" s="16" t="n"/>
      <c r="D846" s="17">
        <f>IF($C846="","",IFERROR(INDEX(rngCadetPIDs,MATCH($C846,rngCadetNames,0)),"?"))</f>
        <v/>
      </c>
      <c r="E846" s="17">
        <f>IF($D846="","",IFERROR(INDEX(nrCadetAgency,MATCH($D846,rngCadetPIDs,0)),""))</f>
        <v/>
      </c>
      <c r="F846" s="16" t="n"/>
      <c r="G846" s="17">
        <f>IF($F846="","",IFERROR(INDEX(rngEPname,MATCH($F846,rngEPcode,0)),"?"))</f>
        <v/>
      </c>
      <c r="H846" s="17">
        <f>IF($F846="","",IFERROR(INDEX(rngEPtype,MATCH($F846,rngEPcode,0)),"?"))</f>
        <v/>
      </c>
      <c r="I846" s="17">
        <f>IF($F846="","",IFERROR(INDEX(rngEPseq,MATCH($F846,rngEPcode,0)),""))</f>
        <v/>
      </c>
      <c r="J846" s="17">
        <f>IF($F846="","",IFERROR(INDEX(rngEPpass,MATCH($F846,rngEPcode,0)),cfgPassingScore))</f>
        <v/>
      </c>
      <c r="K846" s="16" t="n"/>
      <c r="L846" s="16" t="n"/>
      <c r="M846" s="17">
        <f>IF($C846="","",IF($L846="","",IF(NOT(ISNUMBER($L846)),$L846,IF(N($K846)&gt;2,"",IF($K846=1,IF(COUNTIFS(nrES_PID,$D846,nrES_Code,$F846,nrES_Att,2,nrES_Raw,"&gt;=0")&gt;0,"",$L846),IF($L846&gt;=$J846,MAX($J846,cfgRetakeRecordedCap),IF(COUNTIFS(nrES_PID,$D846,nrES_Code,$F846,nrES_Att,1)=0,$L846,SUMIFS(nrES_Raw,nrES_PID,$D846,nrES_Code,$F846,nrES_Att,1))))))))</f>
        <v/>
      </c>
      <c r="N846" s="17">
        <f>IF($C846="","",IF($L846="","",IF(NOT(ISNUMBER($L846)),"(not a score)",IF($L846&gt;=$J846,"Yes","No"))))</f>
        <v/>
      </c>
      <c r="O846" s="17">
        <f>IF($C846="","",IF($M846="","",IF(NOT(ISNUMBER($M846)),"(not a score)",IF($M846&gt;=$J846,"Yes","No"))))</f>
        <v/>
      </c>
      <c r="P846" s="17">
        <f>IF($C846="","",IF($K846="","",IF(N($K846)&gt;2,"No",IF(COUNTIFS(nrES_PID,$D846,nrES_Code,$F846,nrES_Att,"&gt;"&amp;$K846,nrES_Att,"&lt;=2",nrES_Raw,"&gt;=0")=0,"Yes","No"))))</f>
        <v/>
      </c>
      <c r="Q846" s="17">
        <f>IF($C846="","",IF($L846="","",IF(AND($K846=1,ISNUMBER($L846),$L846&lt;$J846,COUNTIFS(nrES_PID,$D846,nrES_Code,$F846,nrES_Att,2,nrES_Raw,"&gt;=0")=0),"Yes","No")))</f>
        <v/>
      </c>
      <c r="R846" s="17">
        <f>IF($C846="","",IF($L846="","",IF(AND(N($K846)&gt;=2,ISNUMBER($L846),$L846&lt;$J846),"Yes","No")))</f>
        <v/>
      </c>
      <c r="S846" s="18" t="n"/>
      <c r="T846" s="19">
        <f>IF(OR($C846="",$L846="",$K846&lt;&gt;1,NOT(ISNUMBER($L846)),$L846&gt;=$J846),"",IF($S846="","(enter date)",_xlfn.LET(_xlpm.dn,_xlfn.XLOOKUP($S846,nrCDdate,nrCDnum,"",1),IF(_xlpm.dn="","(after last class day)",_xlfn.LET(_xlpm.dd,_xlfn.XLOOKUP(_xlpm.dn+cfgRetestClassDays,nrCDnum,nrCDdate,""),_xlpm.ok,_xlfn.XLOOKUP(_xlpm.dn+cfgRetestClassDays,nrCDnum,nrCDinsession,"No"),IF(OR(_xlpm.dd="",_xlpm.ok&lt;&gt;"Yes"),"(after last class day)",_xlpm.dd))))))</f>
        <v/>
      </c>
      <c r="U846" s="17">
        <f>IF($C846="","",IF(AND($Y846="Excused",$L846="",N($K846)&lt;=1),"EXCUSED - 1st attempt pending",IF(OR($L846="",$K846&lt;&gt;1,NOT(ISNUMBER($L846)),$L846&gt;=$J846),"",IF(COUNTIFS(nrES_PID,$D846,nrES_Code,$F846,nrES_Att,2,nrES_Raw,"&gt;=0")&gt;0,IF(IFERROR(_xlfn.MINIFS(nrES_Date,nrES_PID,$D846,nrES_Code,$F846,nrES_Att,2,nrES_Raw,"&gt;=0",nrES_Date,"&gt;0"),0)=0,"RETEST UNDATED",IF(NOT(ISNUMBER($T846)),"RETEST DATE UNCHECKED",IF(_xlfn.MINIFS(nrES_Date,nrES_PID,$D846,nrES_Code,$F846,nrES_Att,2,nrES_Raw,"&gt;=0",nrES_Date,"&gt;0")&gt;$T846,"LATE RETEST "&amp;TEXT(_xlfn.MINIFS(nrES_Date,nrES_PID,$D846,nrES_Code,$F846,nrES_Att,2,nrES_Raw,"&gt;=0",nrES_Date,"&gt;0"),"mm/dd")&amp;" (due "&amp;TEXT($T846,"mm/dd")&amp;")","Retested"))),IF(NOT(ISNUMBER($T846)),"CHECK DATE",IF(TODAY()&gt;$T846,"OVERDUE","Due "&amp;TEXT($T846,"mm/dd")))))))</f>
        <v/>
      </c>
      <c r="V846" s="16" t="n"/>
      <c r="W846" s="16" t="n"/>
      <c r="X846" s="17">
        <f>IF($C846="","",IF(AND($L846&lt;&gt;"",NOT(ISNUMBER($L846))),"RAW SCORE NOT A NUMBER",IF(AND(ISNUMBER($L846),OR($L846&lt;0,$L846&gt;100)),"RAW SCORE OUT OF RANGE",IF(AND($Y846="Unexcused",OR($L846="",NOT(ISNUMBER($L846)),$L846&lt;&gt;0)),"UNEXCUSED ABSENCE MUST RECORD 0",IF(COUNTIF(nrES_RecID,$B846)&gt;1,"DUPLICATE RECORD",IF(N($K846)&gt;2,"ATTEMPT 3+ NOT ALLOWED - policy 300.5 permits one retest per exam; this row records nothing",IF(AND($K846=2,COUNTIFS(nrES_PID,$D846,nrES_Code,$F846,nrES_Att,1)=0),"ATTEMPT 2 WITHOUT ATTEMPT 1",IF(AND($K846=2,$L846=""),"RETEST ROW HAS NO SCORE",IF(AND($H846="Final",$L846&lt;&gt;"",IFERROR(INDEX(nrCKfinalExamElig,MATCH($D846,rngCadetPIDs,0)),"")="No"),"FINAL EXAM AFTER FAILED FINAL PT (500.1.H)",IF(AND($K846=2,ISNUMBER($L846),COUNTIFS(nrES_PID,$D846,nrES_Code,$F846,nrES_Att,1)&gt;0,SUMIFS(nrES_Raw,nrES_PID,$D846,nrES_Code,$F846,nrES_Att,1)&gt;=$J846),"RETEST AFTER A PASSING FIRST ATTEMPT","OK"))))))))))</f>
        <v/>
      </c>
      <c r="Y846" s="16" t="n"/>
    </row>
    <row r="847">
      <c r="B847" s="17">
        <f>IF($C847="","",$D847&amp;"-"&amp;$F847&amp;"-"&amp;$K847)</f>
        <v/>
      </c>
      <c r="C847" s="16" t="n"/>
      <c r="D847" s="17">
        <f>IF($C847="","",IFERROR(INDEX(rngCadetPIDs,MATCH($C847,rngCadetNames,0)),"?"))</f>
        <v/>
      </c>
      <c r="E847" s="17">
        <f>IF($D847="","",IFERROR(INDEX(nrCadetAgency,MATCH($D847,rngCadetPIDs,0)),""))</f>
        <v/>
      </c>
      <c r="F847" s="16" t="n"/>
      <c r="G847" s="17">
        <f>IF($F847="","",IFERROR(INDEX(rngEPname,MATCH($F847,rngEPcode,0)),"?"))</f>
        <v/>
      </c>
      <c r="H847" s="17">
        <f>IF($F847="","",IFERROR(INDEX(rngEPtype,MATCH($F847,rngEPcode,0)),"?"))</f>
        <v/>
      </c>
      <c r="I847" s="17">
        <f>IF($F847="","",IFERROR(INDEX(rngEPseq,MATCH($F847,rngEPcode,0)),""))</f>
        <v/>
      </c>
      <c r="J847" s="17">
        <f>IF($F847="","",IFERROR(INDEX(rngEPpass,MATCH($F847,rngEPcode,0)),cfgPassingScore))</f>
        <v/>
      </c>
      <c r="K847" s="16" t="n"/>
      <c r="L847" s="16" t="n"/>
      <c r="M847" s="17">
        <f>IF($C847="","",IF($L847="","",IF(NOT(ISNUMBER($L847)),$L847,IF(N($K847)&gt;2,"",IF($K847=1,IF(COUNTIFS(nrES_PID,$D847,nrES_Code,$F847,nrES_Att,2,nrES_Raw,"&gt;=0")&gt;0,"",$L847),IF($L847&gt;=$J847,MAX($J847,cfgRetakeRecordedCap),IF(COUNTIFS(nrES_PID,$D847,nrES_Code,$F847,nrES_Att,1)=0,$L847,SUMIFS(nrES_Raw,nrES_PID,$D847,nrES_Code,$F847,nrES_Att,1))))))))</f>
        <v/>
      </c>
      <c r="N847" s="17">
        <f>IF($C847="","",IF($L847="","",IF(NOT(ISNUMBER($L847)),"(not a score)",IF($L847&gt;=$J847,"Yes","No"))))</f>
        <v/>
      </c>
      <c r="O847" s="17">
        <f>IF($C847="","",IF($M847="","",IF(NOT(ISNUMBER($M847)),"(not a score)",IF($M847&gt;=$J847,"Yes","No"))))</f>
        <v/>
      </c>
      <c r="P847" s="17">
        <f>IF($C847="","",IF($K847="","",IF(N($K847)&gt;2,"No",IF(COUNTIFS(nrES_PID,$D847,nrES_Code,$F847,nrES_Att,"&gt;"&amp;$K847,nrES_Att,"&lt;=2",nrES_Raw,"&gt;=0")=0,"Yes","No"))))</f>
        <v/>
      </c>
      <c r="Q847" s="17">
        <f>IF($C847="","",IF($L847="","",IF(AND($K847=1,ISNUMBER($L847),$L847&lt;$J847,COUNTIFS(nrES_PID,$D847,nrES_Code,$F847,nrES_Att,2,nrES_Raw,"&gt;=0")=0),"Yes","No")))</f>
        <v/>
      </c>
      <c r="R847" s="17">
        <f>IF($C847="","",IF($L847="","",IF(AND(N($K847)&gt;=2,ISNUMBER($L847),$L847&lt;$J847),"Yes","No")))</f>
        <v/>
      </c>
      <c r="S847" s="18" t="n"/>
      <c r="T847" s="19">
        <f>IF(OR($C847="",$L847="",$K847&lt;&gt;1,NOT(ISNUMBER($L847)),$L847&gt;=$J847),"",IF($S847="","(enter date)",_xlfn.LET(_xlpm.dn,_xlfn.XLOOKUP($S847,nrCDdate,nrCDnum,"",1),IF(_xlpm.dn="","(after last class day)",_xlfn.LET(_xlpm.dd,_xlfn.XLOOKUP(_xlpm.dn+cfgRetestClassDays,nrCDnum,nrCDdate,""),_xlpm.ok,_xlfn.XLOOKUP(_xlpm.dn+cfgRetestClassDays,nrCDnum,nrCDinsession,"No"),IF(OR(_xlpm.dd="",_xlpm.ok&lt;&gt;"Yes"),"(after last class day)",_xlpm.dd))))))</f>
        <v/>
      </c>
      <c r="U847" s="17">
        <f>IF($C847="","",IF(AND($Y847="Excused",$L847="",N($K847)&lt;=1),"EXCUSED - 1st attempt pending",IF(OR($L847="",$K847&lt;&gt;1,NOT(ISNUMBER($L847)),$L847&gt;=$J847),"",IF(COUNTIFS(nrES_PID,$D847,nrES_Code,$F847,nrES_Att,2,nrES_Raw,"&gt;=0")&gt;0,IF(IFERROR(_xlfn.MINIFS(nrES_Date,nrES_PID,$D847,nrES_Code,$F847,nrES_Att,2,nrES_Raw,"&gt;=0",nrES_Date,"&gt;0"),0)=0,"RETEST UNDATED",IF(NOT(ISNUMBER($T847)),"RETEST DATE UNCHECKED",IF(_xlfn.MINIFS(nrES_Date,nrES_PID,$D847,nrES_Code,$F847,nrES_Att,2,nrES_Raw,"&gt;=0",nrES_Date,"&gt;0")&gt;$T847,"LATE RETEST "&amp;TEXT(_xlfn.MINIFS(nrES_Date,nrES_PID,$D847,nrES_Code,$F847,nrES_Att,2,nrES_Raw,"&gt;=0",nrES_Date,"&gt;0"),"mm/dd")&amp;" (due "&amp;TEXT($T847,"mm/dd")&amp;")","Retested"))),IF(NOT(ISNUMBER($T847)),"CHECK DATE",IF(TODAY()&gt;$T847,"OVERDUE","Due "&amp;TEXT($T847,"mm/dd")))))))</f>
        <v/>
      </c>
      <c r="V847" s="16" t="n"/>
      <c r="W847" s="16" t="n"/>
      <c r="X847" s="17">
        <f>IF($C847="","",IF(AND($L847&lt;&gt;"",NOT(ISNUMBER($L847))),"RAW SCORE NOT A NUMBER",IF(AND(ISNUMBER($L847),OR($L847&lt;0,$L847&gt;100)),"RAW SCORE OUT OF RANGE",IF(AND($Y847="Unexcused",OR($L847="",NOT(ISNUMBER($L847)),$L847&lt;&gt;0)),"UNEXCUSED ABSENCE MUST RECORD 0",IF(COUNTIF(nrES_RecID,$B847)&gt;1,"DUPLICATE RECORD",IF(N($K847)&gt;2,"ATTEMPT 3+ NOT ALLOWED - policy 300.5 permits one retest per exam; this row records nothing",IF(AND($K847=2,COUNTIFS(nrES_PID,$D847,nrES_Code,$F847,nrES_Att,1)=0),"ATTEMPT 2 WITHOUT ATTEMPT 1",IF(AND($K847=2,$L847=""),"RETEST ROW HAS NO SCORE",IF(AND($H847="Final",$L847&lt;&gt;"",IFERROR(INDEX(nrCKfinalExamElig,MATCH($D847,rngCadetPIDs,0)),"")="No"),"FINAL EXAM AFTER FAILED FINAL PT (500.1.H)",IF(AND($K847=2,ISNUMBER($L847),COUNTIFS(nrES_PID,$D847,nrES_Code,$F847,nrES_Att,1)&gt;0,SUMIFS(nrES_Raw,nrES_PID,$D847,nrES_Code,$F847,nrES_Att,1)&gt;=$J847),"RETEST AFTER A PASSING FIRST ATTEMPT","OK"))))))))))</f>
        <v/>
      </c>
      <c r="Y847" s="16" t="n"/>
    </row>
    <row r="848">
      <c r="B848" s="17">
        <f>IF($C848="","",$D848&amp;"-"&amp;$F848&amp;"-"&amp;$K848)</f>
        <v/>
      </c>
      <c r="C848" s="16" t="n"/>
      <c r="D848" s="17">
        <f>IF($C848="","",IFERROR(INDEX(rngCadetPIDs,MATCH($C848,rngCadetNames,0)),"?"))</f>
        <v/>
      </c>
      <c r="E848" s="17">
        <f>IF($D848="","",IFERROR(INDEX(nrCadetAgency,MATCH($D848,rngCadetPIDs,0)),""))</f>
        <v/>
      </c>
      <c r="F848" s="16" t="n"/>
      <c r="G848" s="17">
        <f>IF($F848="","",IFERROR(INDEX(rngEPname,MATCH($F848,rngEPcode,0)),"?"))</f>
        <v/>
      </c>
      <c r="H848" s="17">
        <f>IF($F848="","",IFERROR(INDEX(rngEPtype,MATCH($F848,rngEPcode,0)),"?"))</f>
        <v/>
      </c>
      <c r="I848" s="17">
        <f>IF($F848="","",IFERROR(INDEX(rngEPseq,MATCH($F848,rngEPcode,0)),""))</f>
        <v/>
      </c>
      <c r="J848" s="17">
        <f>IF($F848="","",IFERROR(INDEX(rngEPpass,MATCH($F848,rngEPcode,0)),cfgPassingScore))</f>
        <v/>
      </c>
      <c r="K848" s="16" t="n"/>
      <c r="L848" s="16" t="n"/>
      <c r="M848" s="17">
        <f>IF($C848="","",IF($L848="","",IF(NOT(ISNUMBER($L848)),$L848,IF(N($K848)&gt;2,"",IF($K848=1,IF(COUNTIFS(nrES_PID,$D848,nrES_Code,$F848,nrES_Att,2,nrES_Raw,"&gt;=0")&gt;0,"",$L848),IF($L848&gt;=$J848,MAX($J848,cfgRetakeRecordedCap),IF(COUNTIFS(nrES_PID,$D848,nrES_Code,$F848,nrES_Att,1)=0,$L848,SUMIFS(nrES_Raw,nrES_PID,$D848,nrES_Code,$F848,nrES_Att,1))))))))</f>
        <v/>
      </c>
      <c r="N848" s="17">
        <f>IF($C848="","",IF($L848="","",IF(NOT(ISNUMBER($L848)),"(not a score)",IF($L848&gt;=$J848,"Yes","No"))))</f>
        <v/>
      </c>
      <c r="O848" s="17">
        <f>IF($C848="","",IF($M848="","",IF(NOT(ISNUMBER($M848)),"(not a score)",IF($M848&gt;=$J848,"Yes","No"))))</f>
        <v/>
      </c>
      <c r="P848" s="17">
        <f>IF($C848="","",IF($K848="","",IF(N($K848)&gt;2,"No",IF(COUNTIFS(nrES_PID,$D848,nrES_Code,$F848,nrES_Att,"&gt;"&amp;$K848,nrES_Att,"&lt;=2",nrES_Raw,"&gt;=0")=0,"Yes","No"))))</f>
        <v/>
      </c>
      <c r="Q848" s="17">
        <f>IF($C848="","",IF($L848="","",IF(AND($K848=1,ISNUMBER($L848),$L848&lt;$J848,COUNTIFS(nrES_PID,$D848,nrES_Code,$F848,nrES_Att,2,nrES_Raw,"&gt;=0")=0),"Yes","No")))</f>
        <v/>
      </c>
      <c r="R848" s="17">
        <f>IF($C848="","",IF($L848="","",IF(AND(N($K848)&gt;=2,ISNUMBER($L848),$L848&lt;$J848),"Yes","No")))</f>
        <v/>
      </c>
      <c r="S848" s="18" t="n"/>
      <c r="T848" s="19">
        <f>IF(OR($C848="",$L848="",$K848&lt;&gt;1,NOT(ISNUMBER($L848)),$L848&gt;=$J848),"",IF($S848="","(enter date)",_xlfn.LET(_xlpm.dn,_xlfn.XLOOKUP($S848,nrCDdate,nrCDnum,"",1),IF(_xlpm.dn="","(after last class day)",_xlfn.LET(_xlpm.dd,_xlfn.XLOOKUP(_xlpm.dn+cfgRetestClassDays,nrCDnum,nrCDdate,""),_xlpm.ok,_xlfn.XLOOKUP(_xlpm.dn+cfgRetestClassDays,nrCDnum,nrCDinsession,"No"),IF(OR(_xlpm.dd="",_xlpm.ok&lt;&gt;"Yes"),"(after last class day)",_xlpm.dd))))))</f>
        <v/>
      </c>
      <c r="U848" s="17">
        <f>IF($C848="","",IF(AND($Y848="Excused",$L848="",N($K848)&lt;=1),"EXCUSED - 1st attempt pending",IF(OR($L848="",$K848&lt;&gt;1,NOT(ISNUMBER($L848)),$L848&gt;=$J848),"",IF(COUNTIFS(nrES_PID,$D848,nrES_Code,$F848,nrES_Att,2,nrES_Raw,"&gt;=0")&gt;0,IF(IFERROR(_xlfn.MINIFS(nrES_Date,nrES_PID,$D848,nrES_Code,$F848,nrES_Att,2,nrES_Raw,"&gt;=0",nrES_Date,"&gt;0"),0)=0,"RETEST UNDATED",IF(NOT(ISNUMBER($T848)),"RETEST DATE UNCHECKED",IF(_xlfn.MINIFS(nrES_Date,nrES_PID,$D848,nrES_Code,$F848,nrES_Att,2,nrES_Raw,"&gt;=0",nrES_Date,"&gt;0")&gt;$T848,"LATE RETEST "&amp;TEXT(_xlfn.MINIFS(nrES_Date,nrES_PID,$D848,nrES_Code,$F848,nrES_Att,2,nrES_Raw,"&gt;=0",nrES_Date,"&gt;0"),"mm/dd")&amp;" (due "&amp;TEXT($T848,"mm/dd")&amp;")","Retested"))),IF(NOT(ISNUMBER($T848)),"CHECK DATE",IF(TODAY()&gt;$T848,"OVERDUE","Due "&amp;TEXT($T848,"mm/dd")))))))</f>
        <v/>
      </c>
      <c r="V848" s="16" t="n"/>
      <c r="W848" s="16" t="n"/>
      <c r="X848" s="17">
        <f>IF($C848="","",IF(AND($L848&lt;&gt;"",NOT(ISNUMBER($L848))),"RAW SCORE NOT A NUMBER",IF(AND(ISNUMBER($L848),OR($L848&lt;0,$L848&gt;100)),"RAW SCORE OUT OF RANGE",IF(AND($Y848="Unexcused",OR($L848="",NOT(ISNUMBER($L848)),$L848&lt;&gt;0)),"UNEXCUSED ABSENCE MUST RECORD 0",IF(COUNTIF(nrES_RecID,$B848)&gt;1,"DUPLICATE RECORD",IF(N($K848)&gt;2,"ATTEMPT 3+ NOT ALLOWED - policy 300.5 permits one retest per exam; this row records nothing",IF(AND($K848=2,COUNTIFS(nrES_PID,$D848,nrES_Code,$F848,nrES_Att,1)=0),"ATTEMPT 2 WITHOUT ATTEMPT 1",IF(AND($K848=2,$L848=""),"RETEST ROW HAS NO SCORE",IF(AND($H848="Final",$L848&lt;&gt;"",IFERROR(INDEX(nrCKfinalExamElig,MATCH($D848,rngCadetPIDs,0)),"")="No"),"FINAL EXAM AFTER FAILED FINAL PT (500.1.H)",IF(AND($K848=2,ISNUMBER($L848),COUNTIFS(nrES_PID,$D848,nrES_Code,$F848,nrES_Att,1)&gt;0,SUMIFS(nrES_Raw,nrES_PID,$D848,nrES_Code,$F848,nrES_Att,1)&gt;=$J848),"RETEST AFTER A PASSING FIRST ATTEMPT","OK"))))))))))</f>
        <v/>
      </c>
      <c r="Y848" s="16" t="n"/>
    </row>
    <row r="849">
      <c r="B849" s="17">
        <f>IF($C849="","",$D849&amp;"-"&amp;$F849&amp;"-"&amp;$K849)</f>
        <v/>
      </c>
      <c r="C849" s="16" t="n"/>
      <c r="D849" s="17">
        <f>IF($C849="","",IFERROR(INDEX(rngCadetPIDs,MATCH($C849,rngCadetNames,0)),"?"))</f>
        <v/>
      </c>
      <c r="E849" s="17">
        <f>IF($D849="","",IFERROR(INDEX(nrCadetAgency,MATCH($D849,rngCadetPIDs,0)),""))</f>
        <v/>
      </c>
      <c r="F849" s="16" t="n"/>
      <c r="G849" s="17">
        <f>IF($F849="","",IFERROR(INDEX(rngEPname,MATCH($F849,rngEPcode,0)),"?"))</f>
        <v/>
      </c>
      <c r="H849" s="17">
        <f>IF($F849="","",IFERROR(INDEX(rngEPtype,MATCH($F849,rngEPcode,0)),"?"))</f>
        <v/>
      </c>
      <c r="I849" s="17">
        <f>IF($F849="","",IFERROR(INDEX(rngEPseq,MATCH($F849,rngEPcode,0)),""))</f>
        <v/>
      </c>
      <c r="J849" s="17">
        <f>IF($F849="","",IFERROR(INDEX(rngEPpass,MATCH($F849,rngEPcode,0)),cfgPassingScore))</f>
        <v/>
      </c>
      <c r="K849" s="16" t="n"/>
      <c r="L849" s="16" t="n"/>
      <c r="M849" s="17">
        <f>IF($C849="","",IF($L849="","",IF(NOT(ISNUMBER($L849)),$L849,IF(N($K849)&gt;2,"",IF($K849=1,IF(COUNTIFS(nrES_PID,$D849,nrES_Code,$F849,nrES_Att,2,nrES_Raw,"&gt;=0")&gt;0,"",$L849),IF($L849&gt;=$J849,MAX($J849,cfgRetakeRecordedCap),IF(COUNTIFS(nrES_PID,$D849,nrES_Code,$F849,nrES_Att,1)=0,$L849,SUMIFS(nrES_Raw,nrES_PID,$D849,nrES_Code,$F849,nrES_Att,1))))))))</f>
        <v/>
      </c>
      <c r="N849" s="17">
        <f>IF($C849="","",IF($L849="","",IF(NOT(ISNUMBER($L849)),"(not a score)",IF($L849&gt;=$J849,"Yes","No"))))</f>
        <v/>
      </c>
      <c r="O849" s="17">
        <f>IF($C849="","",IF($M849="","",IF(NOT(ISNUMBER($M849)),"(not a score)",IF($M849&gt;=$J849,"Yes","No"))))</f>
        <v/>
      </c>
      <c r="P849" s="17">
        <f>IF($C849="","",IF($K849="","",IF(N($K849)&gt;2,"No",IF(COUNTIFS(nrES_PID,$D849,nrES_Code,$F849,nrES_Att,"&gt;"&amp;$K849,nrES_Att,"&lt;=2",nrES_Raw,"&gt;=0")=0,"Yes","No"))))</f>
        <v/>
      </c>
      <c r="Q849" s="17">
        <f>IF($C849="","",IF($L849="","",IF(AND($K849=1,ISNUMBER($L849),$L849&lt;$J849,COUNTIFS(nrES_PID,$D849,nrES_Code,$F849,nrES_Att,2,nrES_Raw,"&gt;=0")=0),"Yes","No")))</f>
        <v/>
      </c>
      <c r="R849" s="17">
        <f>IF($C849="","",IF($L849="","",IF(AND(N($K849)&gt;=2,ISNUMBER($L849),$L849&lt;$J849),"Yes","No")))</f>
        <v/>
      </c>
      <c r="S849" s="18" t="n"/>
      <c r="T849" s="19">
        <f>IF(OR($C849="",$L849="",$K849&lt;&gt;1,NOT(ISNUMBER($L849)),$L849&gt;=$J849),"",IF($S849="","(enter date)",_xlfn.LET(_xlpm.dn,_xlfn.XLOOKUP($S849,nrCDdate,nrCDnum,"",1),IF(_xlpm.dn="","(after last class day)",_xlfn.LET(_xlpm.dd,_xlfn.XLOOKUP(_xlpm.dn+cfgRetestClassDays,nrCDnum,nrCDdate,""),_xlpm.ok,_xlfn.XLOOKUP(_xlpm.dn+cfgRetestClassDays,nrCDnum,nrCDinsession,"No"),IF(OR(_xlpm.dd="",_xlpm.ok&lt;&gt;"Yes"),"(after last class day)",_xlpm.dd))))))</f>
        <v/>
      </c>
      <c r="U849" s="17">
        <f>IF($C849="","",IF(AND($Y849="Excused",$L849="",N($K849)&lt;=1),"EXCUSED - 1st attempt pending",IF(OR($L849="",$K849&lt;&gt;1,NOT(ISNUMBER($L849)),$L849&gt;=$J849),"",IF(COUNTIFS(nrES_PID,$D849,nrES_Code,$F849,nrES_Att,2,nrES_Raw,"&gt;=0")&gt;0,IF(IFERROR(_xlfn.MINIFS(nrES_Date,nrES_PID,$D849,nrES_Code,$F849,nrES_Att,2,nrES_Raw,"&gt;=0",nrES_Date,"&gt;0"),0)=0,"RETEST UNDATED",IF(NOT(ISNUMBER($T849)),"RETEST DATE UNCHECKED",IF(_xlfn.MINIFS(nrES_Date,nrES_PID,$D849,nrES_Code,$F849,nrES_Att,2,nrES_Raw,"&gt;=0",nrES_Date,"&gt;0")&gt;$T849,"LATE RETEST "&amp;TEXT(_xlfn.MINIFS(nrES_Date,nrES_PID,$D849,nrES_Code,$F849,nrES_Att,2,nrES_Raw,"&gt;=0",nrES_Date,"&gt;0"),"mm/dd")&amp;" (due "&amp;TEXT($T849,"mm/dd")&amp;")","Retested"))),IF(NOT(ISNUMBER($T849)),"CHECK DATE",IF(TODAY()&gt;$T849,"OVERDUE","Due "&amp;TEXT($T849,"mm/dd")))))))</f>
        <v/>
      </c>
      <c r="V849" s="16" t="n"/>
      <c r="W849" s="16" t="n"/>
      <c r="X849" s="17">
        <f>IF($C849="","",IF(AND($L849&lt;&gt;"",NOT(ISNUMBER($L849))),"RAW SCORE NOT A NUMBER",IF(AND(ISNUMBER($L849),OR($L849&lt;0,$L849&gt;100)),"RAW SCORE OUT OF RANGE",IF(AND($Y849="Unexcused",OR($L849="",NOT(ISNUMBER($L849)),$L849&lt;&gt;0)),"UNEXCUSED ABSENCE MUST RECORD 0",IF(COUNTIF(nrES_RecID,$B849)&gt;1,"DUPLICATE RECORD",IF(N($K849)&gt;2,"ATTEMPT 3+ NOT ALLOWED - policy 300.5 permits one retest per exam; this row records nothing",IF(AND($K849=2,COUNTIFS(nrES_PID,$D849,nrES_Code,$F849,nrES_Att,1)=0),"ATTEMPT 2 WITHOUT ATTEMPT 1",IF(AND($K849=2,$L849=""),"RETEST ROW HAS NO SCORE",IF(AND($H849="Final",$L849&lt;&gt;"",IFERROR(INDEX(nrCKfinalExamElig,MATCH($D849,rngCadetPIDs,0)),"")="No"),"FINAL EXAM AFTER FAILED FINAL PT (500.1.H)",IF(AND($K849=2,ISNUMBER($L849),COUNTIFS(nrES_PID,$D849,nrES_Code,$F849,nrES_Att,1)&gt;0,SUMIFS(nrES_Raw,nrES_PID,$D849,nrES_Code,$F849,nrES_Att,1)&gt;=$J849),"RETEST AFTER A PASSING FIRST ATTEMPT","OK"))))))))))</f>
        <v/>
      </c>
      <c r="Y849" s="16" t="n"/>
    </row>
    <row r="850">
      <c r="B850" s="17">
        <f>IF($C850="","",$D850&amp;"-"&amp;$F850&amp;"-"&amp;$K850)</f>
        <v/>
      </c>
      <c r="C850" s="16" t="n"/>
      <c r="D850" s="17">
        <f>IF($C850="","",IFERROR(INDEX(rngCadetPIDs,MATCH($C850,rngCadetNames,0)),"?"))</f>
        <v/>
      </c>
      <c r="E850" s="17">
        <f>IF($D850="","",IFERROR(INDEX(nrCadetAgency,MATCH($D850,rngCadetPIDs,0)),""))</f>
        <v/>
      </c>
      <c r="F850" s="16" t="n"/>
      <c r="G850" s="17">
        <f>IF($F850="","",IFERROR(INDEX(rngEPname,MATCH($F850,rngEPcode,0)),"?"))</f>
        <v/>
      </c>
      <c r="H850" s="17">
        <f>IF($F850="","",IFERROR(INDEX(rngEPtype,MATCH($F850,rngEPcode,0)),"?"))</f>
        <v/>
      </c>
      <c r="I850" s="17">
        <f>IF($F850="","",IFERROR(INDEX(rngEPseq,MATCH($F850,rngEPcode,0)),""))</f>
        <v/>
      </c>
      <c r="J850" s="17">
        <f>IF($F850="","",IFERROR(INDEX(rngEPpass,MATCH($F850,rngEPcode,0)),cfgPassingScore))</f>
        <v/>
      </c>
      <c r="K850" s="16" t="n"/>
      <c r="L850" s="16" t="n"/>
      <c r="M850" s="17">
        <f>IF($C850="","",IF($L850="","",IF(NOT(ISNUMBER($L850)),$L850,IF(N($K850)&gt;2,"",IF($K850=1,IF(COUNTIFS(nrES_PID,$D850,nrES_Code,$F850,nrES_Att,2,nrES_Raw,"&gt;=0")&gt;0,"",$L850),IF($L850&gt;=$J850,MAX($J850,cfgRetakeRecordedCap),IF(COUNTIFS(nrES_PID,$D850,nrES_Code,$F850,nrES_Att,1)=0,$L850,SUMIFS(nrES_Raw,nrES_PID,$D850,nrES_Code,$F850,nrES_Att,1))))))))</f>
        <v/>
      </c>
      <c r="N850" s="17">
        <f>IF($C850="","",IF($L850="","",IF(NOT(ISNUMBER($L850)),"(not a score)",IF($L850&gt;=$J850,"Yes","No"))))</f>
        <v/>
      </c>
      <c r="O850" s="17">
        <f>IF($C850="","",IF($M850="","",IF(NOT(ISNUMBER($M850)),"(not a score)",IF($M850&gt;=$J850,"Yes","No"))))</f>
        <v/>
      </c>
      <c r="P850" s="17">
        <f>IF($C850="","",IF($K850="","",IF(N($K850)&gt;2,"No",IF(COUNTIFS(nrES_PID,$D850,nrES_Code,$F850,nrES_Att,"&gt;"&amp;$K850,nrES_Att,"&lt;=2",nrES_Raw,"&gt;=0")=0,"Yes","No"))))</f>
        <v/>
      </c>
      <c r="Q850" s="17">
        <f>IF($C850="","",IF($L850="","",IF(AND($K850=1,ISNUMBER($L850),$L850&lt;$J850,COUNTIFS(nrES_PID,$D850,nrES_Code,$F850,nrES_Att,2,nrES_Raw,"&gt;=0")=0),"Yes","No")))</f>
        <v/>
      </c>
      <c r="R850" s="17">
        <f>IF($C850="","",IF($L850="","",IF(AND(N($K850)&gt;=2,ISNUMBER($L850),$L850&lt;$J850),"Yes","No")))</f>
        <v/>
      </c>
      <c r="S850" s="18" t="n"/>
      <c r="T850" s="19">
        <f>IF(OR($C850="",$L850="",$K850&lt;&gt;1,NOT(ISNUMBER($L850)),$L850&gt;=$J850),"",IF($S850="","(enter date)",_xlfn.LET(_xlpm.dn,_xlfn.XLOOKUP($S850,nrCDdate,nrCDnum,"",1),IF(_xlpm.dn="","(after last class day)",_xlfn.LET(_xlpm.dd,_xlfn.XLOOKUP(_xlpm.dn+cfgRetestClassDays,nrCDnum,nrCDdate,""),_xlpm.ok,_xlfn.XLOOKUP(_xlpm.dn+cfgRetestClassDays,nrCDnum,nrCDinsession,"No"),IF(OR(_xlpm.dd="",_xlpm.ok&lt;&gt;"Yes"),"(after last class day)",_xlpm.dd))))))</f>
        <v/>
      </c>
      <c r="U850" s="17">
        <f>IF($C850="","",IF(AND($Y850="Excused",$L850="",N($K850)&lt;=1),"EXCUSED - 1st attempt pending",IF(OR($L850="",$K850&lt;&gt;1,NOT(ISNUMBER($L850)),$L850&gt;=$J850),"",IF(COUNTIFS(nrES_PID,$D850,nrES_Code,$F850,nrES_Att,2,nrES_Raw,"&gt;=0")&gt;0,IF(IFERROR(_xlfn.MINIFS(nrES_Date,nrES_PID,$D850,nrES_Code,$F850,nrES_Att,2,nrES_Raw,"&gt;=0",nrES_Date,"&gt;0"),0)=0,"RETEST UNDATED",IF(NOT(ISNUMBER($T850)),"RETEST DATE UNCHECKED",IF(_xlfn.MINIFS(nrES_Date,nrES_PID,$D850,nrES_Code,$F850,nrES_Att,2,nrES_Raw,"&gt;=0",nrES_Date,"&gt;0")&gt;$T850,"LATE RETEST "&amp;TEXT(_xlfn.MINIFS(nrES_Date,nrES_PID,$D850,nrES_Code,$F850,nrES_Att,2,nrES_Raw,"&gt;=0",nrES_Date,"&gt;0"),"mm/dd")&amp;" (due "&amp;TEXT($T850,"mm/dd")&amp;")","Retested"))),IF(NOT(ISNUMBER($T850)),"CHECK DATE",IF(TODAY()&gt;$T850,"OVERDUE","Due "&amp;TEXT($T850,"mm/dd")))))))</f>
        <v/>
      </c>
      <c r="V850" s="16" t="n"/>
      <c r="W850" s="16" t="n"/>
      <c r="X850" s="17">
        <f>IF($C850="","",IF(AND($L850&lt;&gt;"",NOT(ISNUMBER($L850))),"RAW SCORE NOT A NUMBER",IF(AND(ISNUMBER($L850),OR($L850&lt;0,$L850&gt;100)),"RAW SCORE OUT OF RANGE",IF(AND($Y850="Unexcused",OR($L850="",NOT(ISNUMBER($L850)),$L850&lt;&gt;0)),"UNEXCUSED ABSENCE MUST RECORD 0",IF(COUNTIF(nrES_RecID,$B850)&gt;1,"DUPLICATE RECORD",IF(N($K850)&gt;2,"ATTEMPT 3+ NOT ALLOWED - policy 300.5 permits one retest per exam; this row records nothing",IF(AND($K850=2,COUNTIFS(nrES_PID,$D850,nrES_Code,$F850,nrES_Att,1)=0),"ATTEMPT 2 WITHOUT ATTEMPT 1",IF(AND($K850=2,$L850=""),"RETEST ROW HAS NO SCORE",IF(AND($H850="Final",$L850&lt;&gt;"",IFERROR(INDEX(nrCKfinalExamElig,MATCH($D850,rngCadetPIDs,0)),"")="No"),"FINAL EXAM AFTER FAILED FINAL PT (500.1.H)",IF(AND($K850=2,ISNUMBER($L850),COUNTIFS(nrES_PID,$D850,nrES_Code,$F850,nrES_Att,1)&gt;0,SUMIFS(nrES_Raw,nrES_PID,$D850,nrES_Code,$F850,nrES_Att,1)&gt;=$J850),"RETEST AFTER A PASSING FIRST ATTEMPT","OK"))))))))))</f>
        <v/>
      </c>
      <c r="Y850" s="16" t="n"/>
    </row>
    <row r="851">
      <c r="B851" s="17">
        <f>IF($C851="","",$D851&amp;"-"&amp;$F851&amp;"-"&amp;$K851)</f>
        <v/>
      </c>
      <c r="C851" s="16" t="n"/>
      <c r="D851" s="17">
        <f>IF($C851="","",IFERROR(INDEX(rngCadetPIDs,MATCH($C851,rngCadetNames,0)),"?"))</f>
        <v/>
      </c>
      <c r="E851" s="17">
        <f>IF($D851="","",IFERROR(INDEX(nrCadetAgency,MATCH($D851,rngCadetPIDs,0)),""))</f>
        <v/>
      </c>
      <c r="F851" s="16" t="n"/>
      <c r="G851" s="17">
        <f>IF($F851="","",IFERROR(INDEX(rngEPname,MATCH($F851,rngEPcode,0)),"?"))</f>
        <v/>
      </c>
      <c r="H851" s="17">
        <f>IF($F851="","",IFERROR(INDEX(rngEPtype,MATCH($F851,rngEPcode,0)),"?"))</f>
        <v/>
      </c>
      <c r="I851" s="17">
        <f>IF($F851="","",IFERROR(INDEX(rngEPseq,MATCH($F851,rngEPcode,0)),""))</f>
        <v/>
      </c>
      <c r="J851" s="17">
        <f>IF($F851="","",IFERROR(INDEX(rngEPpass,MATCH($F851,rngEPcode,0)),cfgPassingScore))</f>
        <v/>
      </c>
      <c r="K851" s="16" t="n"/>
      <c r="L851" s="16" t="n"/>
      <c r="M851" s="17">
        <f>IF($C851="","",IF($L851="","",IF(NOT(ISNUMBER($L851)),$L851,IF(N($K851)&gt;2,"",IF($K851=1,IF(COUNTIFS(nrES_PID,$D851,nrES_Code,$F851,nrES_Att,2,nrES_Raw,"&gt;=0")&gt;0,"",$L851),IF($L851&gt;=$J851,MAX($J851,cfgRetakeRecordedCap),IF(COUNTIFS(nrES_PID,$D851,nrES_Code,$F851,nrES_Att,1)=0,$L851,SUMIFS(nrES_Raw,nrES_PID,$D851,nrES_Code,$F851,nrES_Att,1))))))))</f>
        <v/>
      </c>
      <c r="N851" s="17">
        <f>IF($C851="","",IF($L851="","",IF(NOT(ISNUMBER($L851)),"(not a score)",IF($L851&gt;=$J851,"Yes","No"))))</f>
        <v/>
      </c>
      <c r="O851" s="17">
        <f>IF($C851="","",IF($M851="","",IF(NOT(ISNUMBER($M851)),"(not a score)",IF($M851&gt;=$J851,"Yes","No"))))</f>
        <v/>
      </c>
      <c r="P851" s="17">
        <f>IF($C851="","",IF($K851="","",IF(N($K851)&gt;2,"No",IF(COUNTIFS(nrES_PID,$D851,nrES_Code,$F851,nrES_Att,"&gt;"&amp;$K851,nrES_Att,"&lt;=2",nrES_Raw,"&gt;=0")=0,"Yes","No"))))</f>
        <v/>
      </c>
      <c r="Q851" s="17">
        <f>IF($C851="","",IF($L851="","",IF(AND($K851=1,ISNUMBER($L851),$L851&lt;$J851,COUNTIFS(nrES_PID,$D851,nrES_Code,$F851,nrES_Att,2,nrES_Raw,"&gt;=0")=0),"Yes","No")))</f>
        <v/>
      </c>
      <c r="R851" s="17">
        <f>IF($C851="","",IF($L851="","",IF(AND(N($K851)&gt;=2,ISNUMBER($L851),$L851&lt;$J851),"Yes","No")))</f>
        <v/>
      </c>
      <c r="S851" s="18" t="n"/>
      <c r="T851" s="19">
        <f>IF(OR($C851="",$L851="",$K851&lt;&gt;1,NOT(ISNUMBER($L851)),$L851&gt;=$J851),"",IF($S851="","(enter date)",_xlfn.LET(_xlpm.dn,_xlfn.XLOOKUP($S851,nrCDdate,nrCDnum,"",1),IF(_xlpm.dn="","(after last class day)",_xlfn.LET(_xlpm.dd,_xlfn.XLOOKUP(_xlpm.dn+cfgRetestClassDays,nrCDnum,nrCDdate,""),_xlpm.ok,_xlfn.XLOOKUP(_xlpm.dn+cfgRetestClassDays,nrCDnum,nrCDinsession,"No"),IF(OR(_xlpm.dd="",_xlpm.ok&lt;&gt;"Yes"),"(after last class day)",_xlpm.dd))))))</f>
        <v/>
      </c>
      <c r="U851" s="17">
        <f>IF($C851="","",IF(AND($Y851="Excused",$L851="",N($K851)&lt;=1),"EXCUSED - 1st attempt pending",IF(OR($L851="",$K851&lt;&gt;1,NOT(ISNUMBER($L851)),$L851&gt;=$J851),"",IF(COUNTIFS(nrES_PID,$D851,nrES_Code,$F851,nrES_Att,2,nrES_Raw,"&gt;=0")&gt;0,IF(IFERROR(_xlfn.MINIFS(nrES_Date,nrES_PID,$D851,nrES_Code,$F851,nrES_Att,2,nrES_Raw,"&gt;=0",nrES_Date,"&gt;0"),0)=0,"RETEST UNDATED",IF(NOT(ISNUMBER($T851)),"RETEST DATE UNCHECKED",IF(_xlfn.MINIFS(nrES_Date,nrES_PID,$D851,nrES_Code,$F851,nrES_Att,2,nrES_Raw,"&gt;=0",nrES_Date,"&gt;0")&gt;$T851,"LATE RETEST "&amp;TEXT(_xlfn.MINIFS(nrES_Date,nrES_PID,$D851,nrES_Code,$F851,nrES_Att,2,nrES_Raw,"&gt;=0",nrES_Date,"&gt;0"),"mm/dd")&amp;" (due "&amp;TEXT($T851,"mm/dd")&amp;")","Retested"))),IF(NOT(ISNUMBER($T851)),"CHECK DATE",IF(TODAY()&gt;$T851,"OVERDUE","Due "&amp;TEXT($T851,"mm/dd")))))))</f>
        <v/>
      </c>
      <c r="V851" s="16" t="n"/>
      <c r="W851" s="16" t="n"/>
      <c r="X851" s="17">
        <f>IF($C851="","",IF(AND($L851&lt;&gt;"",NOT(ISNUMBER($L851))),"RAW SCORE NOT A NUMBER",IF(AND(ISNUMBER($L851),OR($L851&lt;0,$L851&gt;100)),"RAW SCORE OUT OF RANGE",IF(AND($Y851="Unexcused",OR($L851="",NOT(ISNUMBER($L851)),$L851&lt;&gt;0)),"UNEXCUSED ABSENCE MUST RECORD 0",IF(COUNTIF(nrES_RecID,$B851)&gt;1,"DUPLICATE RECORD",IF(N($K851)&gt;2,"ATTEMPT 3+ NOT ALLOWED - policy 300.5 permits one retest per exam; this row records nothing",IF(AND($K851=2,COUNTIFS(nrES_PID,$D851,nrES_Code,$F851,nrES_Att,1)=0),"ATTEMPT 2 WITHOUT ATTEMPT 1",IF(AND($K851=2,$L851=""),"RETEST ROW HAS NO SCORE",IF(AND($H851="Final",$L851&lt;&gt;"",IFERROR(INDEX(nrCKfinalExamElig,MATCH($D851,rngCadetPIDs,0)),"")="No"),"FINAL EXAM AFTER FAILED FINAL PT (500.1.H)",IF(AND($K851=2,ISNUMBER($L851),COUNTIFS(nrES_PID,$D851,nrES_Code,$F851,nrES_Att,1)&gt;0,SUMIFS(nrES_Raw,nrES_PID,$D851,nrES_Code,$F851,nrES_Att,1)&gt;=$J851),"RETEST AFTER A PASSING FIRST ATTEMPT","OK"))))))))))</f>
        <v/>
      </c>
      <c r="Y851" s="16" t="n"/>
    </row>
    <row r="852">
      <c r="B852" s="17">
        <f>IF($C852="","",$D852&amp;"-"&amp;$F852&amp;"-"&amp;$K852)</f>
        <v/>
      </c>
      <c r="C852" s="16" t="n"/>
      <c r="D852" s="17">
        <f>IF($C852="","",IFERROR(INDEX(rngCadetPIDs,MATCH($C852,rngCadetNames,0)),"?"))</f>
        <v/>
      </c>
      <c r="E852" s="17">
        <f>IF($D852="","",IFERROR(INDEX(nrCadetAgency,MATCH($D852,rngCadetPIDs,0)),""))</f>
        <v/>
      </c>
      <c r="F852" s="16" t="n"/>
      <c r="G852" s="17">
        <f>IF($F852="","",IFERROR(INDEX(rngEPname,MATCH($F852,rngEPcode,0)),"?"))</f>
        <v/>
      </c>
      <c r="H852" s="17">
        <f>IF($F852="","",IFERROR(INDEX(rngEPtype,MATCH($F852,rngEPcode,0)),"?"))</f>
        <v/>
      </c>
      <c r="I852" s="17">
        <f>IF($F852="","",IFERROR(INDEX(rngEPseq,MATCH($F852,rngEPcode,0)),""))</f>
        <v/>
      </c>
      <c r="J852" s="17">
        <f>IF($F852="","",IFERROR(INDEX(rngEPpass,MATCH($F852,rngEPcode,0)),cfgPassingScore))</f>
        <v/>
      </c>
      <c r="K852" s="16" t="n"/>
      <c r="L852" s="16" t="n"/>
      <c r="M852" s="17">
        <f>IF($C852="","",IF($L852="","",IF(NOT(ISNUMBER($L852)),$L852,IF(N($K852)&gt;2,"",IF($K852=1,IF(COUNTIFS(nrES_PID,$D852,nrES_Code,$F852,nrES_Att,2,nrES_Raw,"&gt;=0")&gt;0,"",$L852),IF($L852&gt;=$J852,MAX($J852,cfgRetakeRecordedCap),IF(COUNTIFS(nrES_PID,$D852,nrES_Code,$F852,nrES_Att,1)=0,$L852,SUMIFS(nrES_Raw,nrES_PID,$D852,nrES_Code,$F852,nrES_Att,1))))))))</f>
        <v/>
      </c>
      <c r="N852" s="17">
        <f>IF($C852="","",IF($L852="","",IF(NOT(ISNUMBER($L852)),"(not a score)",IF($L852&gt;=$J852,"Yes","No"))))</f>
        <v/>
      </c>
      <c r="O852" s="17">
        <f>IF($C852="","",IF($M852="","",IF(NOT(ISNUMBER($M852)),"(not a score)",IF($M852&gt;=$J852,"Yes","No"))))</f>
        <v/>
      </c>
      <c r="P852" s="17">
        <f>IF($C852="","",IF($K852="","",IF(N($K852)&gt;2,"No",IF(COUNTIFS(nrES_PID,$D852,nrES_Code,$F852,nrES_Att,"&gt;"&amp;$K852,nrES_Att,"&lt;=2",nrES_Raw,"&gt;=0")=0,"Yes","No"))))</f>
        <v/>
      </c>
      <c r="Q852" s="17">
        <f>IF($C852="","",IF($L852="","",IF(AND($K852=1,ISNUMBER($L852),$L852&lt;$J852,COUNTIFS(nrES_PID,$D852,nrES_Code,$F852,nrES_Att,2,nrES_Raw,"&gt;=0")=0),"Yes","No")))</f>
        <v/>
      </c>
      <c r="R852" s="17">
        <f>IF($C852="","",IF($L852="","",IF(AND(N($K852)&gt;=2,ISNUMBER($L852),$L852&lt;$J852),"Yes","No")))</f>
        <v/>
      </c>
      <c r="S852" s="18" t="n"/>
      <c r="T852" s="19">
        <f>IF(OR($C852="",$L852="",$K852&lt;&gt;1,NOT(ISNUMBER($L852)),$L852&gt;=$J852),"",IF($S852="","(enter date)",_xlfn.LET(_xlpm.dn,_xlfn.XLOOKUP($S852,nrCDdate,nrCDnum,"",1),IF(_xlpm.dn="","(after last class day)",_xlfn.LET(_xlpm.dd,_xlfn.XLOOKUP(_xlpm.dn+cfgRetestClassDays,nrCDnum,nrCDdate,""),_xlpm.ok,_xlfn.XLOOKUP(_xlpm.dn+cfgRetestClassDays,nrCDnum,nrCDinsession,"No"),IF(OR(_xlpm.dd="",_xlpm.ok&lt;&gt;"Yes"),"(after last class day)",_xlpm.dd))))))</f>
        <v/>
      </c>
      <c r="U852" s="17">
        <f>IF($C852="","",IF(AND($Y852="Excused",$L852="",N($K852)&lt;=1),"EXCUSED - 1st attempt pending",IF(OR($L852="",$K852&lt;&gt;1,NOT(ISNUMBER($L852)),$L852&gt;=$J852),"",IF(COUNTIFS(nrES_PID,$D852,nrES_Code,$F852,nrES_Att,2,nrES_Raw,"&gt;=0")&gt;0,IF(IFERROR(_xlfn.MINIFS(nrES_Date,nrES_PID,$D852,nrES_Code,$F852,nrES_Att,2,nrES_Raw,"&gt;=0",nrES_Date,"&gt;0"),0)=0,"RETEST UNDATED",IF(NOT(ISNUMBER($T852)),"RETEST DATE UNCHECKED",IF(_xlfn.MINIFS(nrES_Date,nrES_PID,$D852,nrES_Code,$F852,nrES_Att,2,nrES_Raw,"&gt;=0",nrES_Date,"&gt;0")&gt;$T852,"LATE RETEST "&amp;TEXT(_xlfn.MINIFS(nrES_Date,nrES_PID,$D852,nrES_Code,$F852,nrES_Att,2,nrES_Raw,"&gt;=0",nrES_Date,"&gt;0"),"mm/dd")&amp;" (due "&amp;TEXT($T852,"mm/dd")&amp;")","Retested"))),IF(NOT(ISNUMBER($T852)),"CHECK DATE",IF(TODAY()&gt;$T852,"OVERDUE","Due "&amp;TEXT($T852,"mm/dd")))))))</f>
        <v/>
      </c>
      <c r="V852" s="16" t="n"/>
      <c r="W852" s="16" t="n"/>
      <c r="X852" s="17">
        <f>IF($C852="","",IF(AND($L852&lt;&gt;"",NOT(ISNUMBER($L852))),"RAW SCORE NOT A NUMBER",IF(AND(ISNUMBER($L852),OR($L852&lt;0,$L852&gt;100)),"RAW SCORE OUT OF RANGE",IF(AND($Y852="Unexcused",OR($L852="",NOT(ISNUMBER($L852)),$L852&lt;&gt;0)),"UNEXCUSED ABSENCE MUST RECORD 0",IF(COUNTIF(nrES_RecID,$B852)&gt;1,"DUPLICATE RECORD",IF(N($K852)&gt;2,"ATTEMPT 3+ NOT ALLOWED - policy 300.5 permits one retest per exam; this row records nothing",IF(AND($K852=2,COUNTIFS(nrES_PID,$D852,nrES_Code,$F852,nrES_Att,1)=0),"ATTEMPT 2 WITHOUT ATTEMPT 1",IF(AND($K852=2,$L852=""),"RETEST ROW HAS NO SCORE",IF(AND($H852="Final",$L852&lt;&gt;"",IFERROR(INDEX(nrCKfinalExamElig,MATCH($D852,rngCadetPIDs,0)),"")="No"),"FINAL EXAM AFTER FAILED FINAL PT (500.1.H)",IF(AND($K852=2,ISNUMBER($L852),COUNTIFS(nrES_PID,$D852,nrES_Code,$F852,nrES_Att,1)&gt;0,SUMIFS(nrES_Raw,nrES_PID,$D852,nrES_Code,$F852,nrES_Att,1)&gt;=$J852),"RETEST AFTER A PASSING FIRST ATTEMPT","OK"))))))))))</f>
        <v/>
      </c>
      <c r="Y852" s="16" t="n"/>
    </row>
    <row r="853">
      <c r="B853" s="17">
        <f>IF($C853="","",$D853&amp;"-"&amp;$F853&amp;"-"&amp;$K853)</f>
        <v/>
      </c>
      <c r="C853" s="16" t="n"/>
      <c r="D853" s="17">
        <f>IF($C853="","",IFERROR(INDEX(rngCadetPIDs,MATCH($C853,rngCadetNames,0)),"?"))</f>
        <v/>
      </c>
      <c r="E853" s="17">
        <f>IF($D853="","",IFERROR(INDEX(nrCadetAgency,MATCH($D853,rngCadetPIDs,0)),""))</f>
        <v/>
      </c>
      <c r="F853" s="16" t="n"/>
      <c r="G853" s="17">
        <f>IF($F853="","",IFERROR(INDEX(rngEPname,MATCH($F853,rngEPcode,0)),"?"))</f>
        <v/>
      </c>
      <c r="H853" s="17">
        <f>IF($F853="","",IFERROR(INDEX(rngEPtype,MATCH($F853,rngEPcode,0)),"?"))</f>
        <v/>
      </c>
      <c r="I853" s="17">
        <f>IF($F853="","",IFERROR(INDEX(rngEPseq,MATCH($F853,rngEPcode,0)),""))</f>
        <v/>
      </c>
      <c r="J853" s="17">
        <f>IF($F853="","",IFERROR(INDEX(rngEPpass,MATCH($F853,rngEPcode,0)),cfgPassingScore))</f>
        <v/>
      </c>
      <c r="K853" s="16" t="n"/>
      <c r="L853" s="16" t="n"/>
      <c r="M853" s="17">
        <f>IF($C853="","",IF($L853="","",IF(NOT(ISNUMBER($L853)),$L853,IF(N($K853)&gt;2,"",IF($K853=1,IF(COUNTIFS(nrES_PID,$D853,nrES_Code,$F853,nrES_Att,2,nrES_Raw,"&gt;=0")&gt;0,"",$L853),IF($L853&gt;=$J853,MAX($J853,cfgRetakeRecordedCap),IF(COUNTIFS(nrES_PID,$D853,nrES_Code,$F853,nrES_Att,1)=0,$L853,SUMIFS(nrES_Raw,nrES_PID,$D853,nrES_Code,$F853,nrES_Att,1))))))))</f>
        <v/>
      </c>
      <c r="N853" s="17">
        <f>IF($C853="","",IF($L853="","",IF(NOT(ISNUMBER($L853)),"(not a score)",IF($L853&gt;=$J853,"Yes","No"))))</f>
        <v/>
      </c>
      <c r="O853" s="17">
        <f>IF($C853="","",IF($M853="","",IF(NOT(ISNUMBER($M853)),"(not a score)",IF($M853&gt;=$J853,"Yes","No"))))</f>
        <v/>
      </c>
      <c r="P853" s="17">
        <f>IF($C853="","",IF($K853="","",IF(N($K853)&gt;2,"No",IF(COUNTIFS(nrES_PID,$D853,nrES_Code,$F853,nrES_Att,"&gt;"&amp;$K853,nrES_Att,"&lt;=2",nrES_Raw,"&gt;=0")=0,"Yes","No"))))</f>
        <v/>
      </c>
      <c r="Q853" s="17">
        <f>IF($C853="","",IF($L853="","",IF(AND($K853=1,ISNUMBER($L853),$L853&lt;$J853,COUNTIFS(nrES_PID,$D853,nrES_Code,$F853,nrES_Att,2,nrES_Raw,"&gt;=0")=0),"Yes","No")))</f>
        <v/>
      </c>
      <c r="R853" s="17">
        <f>IF($C853="","",IF($L853="","",IF(AND(N($K853)&gt;=2,ISNUMBER($L853),$L853&lt;$J853),"Yes","No")))</f>
        <v/>
      </c>
      <c r="S853" s="18" t="n"/>
      <c r="T853" s="19">
        <f>IF(OR($C853="",$L853="",$K853&lt;&gt;1,NOT(ISNUMBER($L853)),$L853&gt;=$J853),"",IF($S853="","(enter date)",_xlfn.LET(_xlpm.dn,_xlfn.XLOOKUP($S853,nrCDdate,nrCDnum,"",1),IF(_xlpm.dn="","(after last class day)",_xlfn.LET(_xlpm.dd,_xlfn.XLOOKUP(_xlpm.dn+cfgRetestClassDays,nrCDnum,nrCDdate,""),_xlpm.ok,_xlfn.XLOOKUP(_xlpm.dn+cfgRetestClassDays,nrCDnum,nrCDinsession,"No"),IF(OR(_xlpm.dd="",_xlpm.ok&lt;&gt;"Yes"),"(after last class day)",_xlpm.dd))))))</f>
        <v/>
      </c>
      <c r="U853" s="17">
        <f>IF($C853="","",IF(AND($Y853="Excused",$L853="",N($K853)&lt;=1),"EXCUSED - 1st attempt pending",IF(OR($L853="",$K853&lt;&gt;1,NOT(ISNUMBER($L853)),$L853&gt;=$J853),"",IF(COUNTIFS(nrES_PID,$D853,nrES_Code,$F853,nrES_Att,2,nrES_Raw,"&gt;=0")&gt;0,IF(IFERROR(_xlfn.MINIFS(nrES_Date,nrES_PID,$D853,nrES_Code,$F853,nrES_Att,2,nrES_Raw,"&gt;=0",nrES_Date,"&gt;0"),0)=0,"RETEST UNDATED",IF(NOT(ISNUMBER($T853)),"RETEST DATE UNCHECKED",IF(_xlfn.MINIFS(nrES_Date,nrES_PID,$D853,nrES_Code,$F853,nrES_Att,2,nrES_Raw,"&gt;=0",nrES_Date,"&gt;0")&gt;$T853,"LATE RETEST "&amp;TEXT(_xlfn.MINIFS(nrES_Date,nrES_PID,$D853,nrES_Code,$F853,nrES_Att,2,nrES_Raw,"&gt;=0",nrES_Date,"&gt;0"),"mm/dd")&amp;" (due "&amp;TEXT($T853,"mm/dd")&amp;")","Retested"))),IF(NOT(ISNUMBER($T853)),"CHECK DATE",IF(TODAY()&gt;$T853,"OVERDUE","Due "&amp;TEXT($T853,"mm/dd")))))))</f>
        <v/>
      </c>
      <c r="V853" s="16" t="n"/>
      <c r="W853" s="16" t="n"/>
      <c r="X853" s="17">
        <f>IF($C853="","",IF(AND($L853&lt;&gt;"",NOT(ISNUMBER($L853))),"RAW SCORE NOT A NUMBER",IF(AND(ISNUMBER($L853),OR($L853&lt;0,$L853&gt;100)),"RAW SCORE OUT OF RANGE",IF(AND($Y853="Unexcused",OR($L853="",NOT(ISNUMBER($L853)),$L853&lt;&gt;0)),"UNEXCUSED ABSENCE MUST RECORD 0",IF(COUNTIF(nrES_RecID,$B853)&gt;1,"DUPLICATE RECORD",IF(N($K853)&gt;2,"ATTEMPT 3+ NOT ALLOWED - policy 300.5 permits one retest per exam; this row records nothing",IF(AND($K853=2,COUNTIFS(nrES_PID,$D853,nrES_Code,$F853,nrES_Att,1)=0),"ATTEMPT 2 WITHOUT ATTEMPT 1",IF(AND($K853=2,$L853=""),"RETEST ROW HAS NO SCORE",IF(AND($H853="Final",$L853&lt;&gt;"",IFERROR(INDEX(nrCKfinalExamElig,MATCH($D853,rngCadetPIDs,0)),"")="No"),"FINAL EXAM AFTER FAILED FINAL PT (500.1.H)",IF(AND($K853=2,ISNUMBER($L853),COUNTIFS(nrES_PID,$D853,nrES_Code,$F853,nrES_Att,1)&gt;0,SUMIFS(nrES_Raw,nrES_PID,$D853,nrES_Code,$F853,nrES_Att,1)&gt;=$J853),"RETEST AFTER A PASSING FIRST ATTEMPT","OK"))))))))))</f>
        <v/>
      </c>
      <c r="Y853" s="16" t="n"/>
    </row>
    <row r="854">
      <c r="B854" s="17">
        <f>IF($C854="","",$D854&amp;"-"&amp;$F854&amp;"-"&amp;$K854)</f>
        <v/>
      </c>
      <c r="C854" s="16" t="n"/>
      <c r="D854" s="17">
        <f>IF($C854="","",IFERROR(INDEX(rngCadetPIDs,MATCH($C854,rngCadetNames,0)),"?"))</f>
        <v/>
      </c>
      <c r="E854" s="17">
        <f>IF($D854="","",IFERROR(INDEX(nrCadetAgency,MATCH($D854,rngCadetPIDs,0)),""))</f>
        <v/>
      </c>
      <c r="F854" s="16" t="n"/>
      <c r="G854" s="17">
        <f>IF($F854="","",IFERROR(INDEX(rngEPname,MATCH($F854,rngEPcode,0)),"?"))</f>
        <v/>
      </c>
      <c r="H854" s="17">
        <f>IF($F854="","",IFERROR(INDEX(rngEPtype,MATCH($F854,rngEPcode,0)),"?"))</f>
        <v/>
      </c>
      <c r="I854" s="17">
        <f>IF($F854="","",IFERROR(INDEX(rngEPseq,MATCH($F854,rngEPcode,0)),""))</f>
        <v/>
      </c>
      <c r="J854" s="17">
        <f>IF($F854="","",IFERROR(INDEX(rngEPpass,MATCH($F854,rngEPcode,0)),cfgPassingScore))</f>
        <v/>
      </c>
      <c r="K854" s="16" t="n"/>
      <c r="L854" s="16" t="n"/>
      <c r="M854" s="17">
        <f>IF($C854="","",IF($L854="","",IF(NOT(ISNUMBER($L854)),$L854,IF(N($K854)&gt;2,"",IF($K854=1,IF(COUNTIFS(nrES_PID,$D854,nrES_Code,$F854,nrES_Att,2,nrES_Raw,"&gt;=0")&gt;0,"",$L854),IF($L854&gt;=$J854,MAX($J854,cfgRetakeRecordedCap),IF(COUNTIFS(nrES_PID,$D854,nrES_Code,$F854,nrES_Att,1)=0,$L854,SUMIFS(nrES_Raw,nrES_PID,$D854,nrES_Code,$F854,nrES_Att,1))))))))</f>
        <v/>
      </c>
      <c r="N854" s="17">
        <f>IF($C854="","",IF($L854="","",IF(NOT(ISNUMBER($L854)),"(not a score)",IF($L854&gt;=$J854,"Yes","No"))))</f>
        <v/>
      </c>
      <c r="O854" s="17">
        <f>IF($C854="","",IF($M854="","",IF(NOT(ISNUMBER($M854)),"(not a score)",IF($M854&gt;=$J854,"Yes","No"))))</f>
        <v/>
      </c>
      <c r="P854" s="17">
        <f>IF($C854="","",IF($K854="","",IF(N($K854)&gt;2,"No",IF(COUNTIFS(nrES_PID,$D854,nrES_Code,$F854,nrES_Att,"&gt;"&amp;$K854,nrES_Att,"&lt;=2",nrES_Raw,"&gt;=0")=0,"Yes","No"))))</f>
        <v/>
      </c>
      <c r="Q854" s="17">
        <f>IF($C854="","",IF($L854="","",IF(AND($K854=1,ISNUMBER($L854),$L854&lt;$J854,COUNTIFS(nrES_PID,$D854,nrES_Code,$F854,nrES_Att,2,nrES_Raw,"&gt;=0")=0),"Yes","No")))</f>
        <v/>
      </c>
      <c r="R854" s="17">
        <f>IF($C854="","",IF($L854="","",IF(AND(N($K854)&gt;=2,ISNUMBER($L854),$L854&lt;$J854),"Yes","No")))</f>
        <v/>
      </c>
      <c r="S854" s="18" t="n"/>
      <c r="T854" s="19">
        <f>IF(OR($C854="",$L854="",$K854&lt;&gt;1,NOT(ISNUMBER($L854)),$L854&gt;=$J854),"",IF($S854="","(enter date)",_xlfn.LET(_xlpm.dn,_xlfn.XLOOKUP($S854,nrCDdate,nrCDnum,"",1),IF(_xlpm.dn="","(after last class day)",_xlfn.LET(_xlpm.dd,_xlfn.XLOOKUP(_xlpm.dn+cfgRetestClassDays,nrCDnum,nrCDdate,""),_xlpm.ok,_xlfn.XLOOKUP(_xlpm.dn+cfgRetestClassDays,nrCDnum,nrCDinsession,"No"),IF(OR(_xlpm.dd="",_xlpm.ok&lt;&gt;"Yes"),"(after last class day)",_xlpm.dd))))))</f>
        <v/>
      </c>
      <c r="U854" s="17">
        <f>IF($C854="","",IF(AND($Y854="Excused",$L854="",N($K854)&lt;=1),"EXCUSED - 1st attempt pending",IF(OR($L854="",$K854&lt;&gt;1,NOT(ISNUMBER($L854)),$L854&gt;=$J854),"",IF(COUNTIFS(nrES_PID,$D854,nrES_Code,$F854,nrES_Att,2,nrES_Raw,"&gt;=0")&gt;0,IF(IFERROR(_xlfn.MINIFS(nrES_Date,nrES_PID,$D854,nrES_Code,$F854,nrES_Att,2,nrES_Raw,"&gt;=0",nrES_Date,"&gt;0"),0)=0,"RETEST UNDATED",IF(NOT(ISNUMBER($T854)),"RETEST DATE UNCHECKED",IF(_xlfn.MINIFS(nrES_Date,nrES_PID,$D854,nrES_Code,$F854,nrES_Att,2,nrES_Raw,"&gt;=0",nrES_Date,"&gt;0")&gt;$T854,"LATE RETEST "&amp;TEXT(_xlfn.MINIFS(nrES_Date,nrES_PID,$D854,nrES_Code,$F854,nrES_Att,2,nrES_Raw,"&gt;=0",nrES_Date,"&gt;0"),"mm/dd")&amp;" (due "&amp;TEXT($T854,"mm/dd")&amp;")","Retested"))),IF(NOT(ISNUMBER($T854)),"CHECK DATE",IF(TODAY()&gt;$T854,"OVERDUE","Due "&amp;TEXT($T854,"mm/dd")))))))</f>
        <v/>
      </c>
      <c r="V854" s="16" t="n"/>
      <c r="W854" s="16" t="n"/>
      <c r="X854" s="17">
        <f>IF($C854="","",IF(AND($L854&lt;&gt;"",NOT(ISNUMBER($L854))),"RAW SCORE NOT A NUMBER",IF(AND(ISNUMBER($L854),OR($L854&lt;0,$L854&gt;100)),"RAW SCORE OUT OF RANGE",IF(AND($Y854="Unexcused",OR($L854="",NOT(ISNUMBER($L854)),$L854&lt;&gt;0)),"UNEXCUSED ABSENCE MUST RECORD 0",IF(COUNTIF(nrES_RecID,$B854)&gt;1,"DUPLICATE RECORD",IF(N($K854)&gt;2,"ATTEMPT 3+ NOT ALLOWED - policy 300.5 permits one retest per exam; this row records nothing",IF(AND($K854=2,COUNTIFS(nrES_PID,$D854,nrES_Code,$F854,nrES_Att,1)=0),"ATTEMPT 2 WITHOUT ATTEMPT 1",IF(AND($K854=2,$L854=""),"RETEST ROW HAS NO SCORE",IF(AND($H854="Final",$L854&lt;&gt;"",IFERROR(INDEX(nrCKfinalExamElig,MATCH($D854,rngCadetPIDs,0)),"")="No"),"FINAL EXAM AFTER FAILED FINAL PT (500.1.H)",IF(AND($K854=2,ISNUMBER($L854),COUNTIFS(nrES_PID,$D854,nrES_Code,$F854,nrES_Att,1)&gt;0,SUMIFS(nrES_Raw,nrES_PID,$D854,nrES_Code,$F854,nrES_Att,1)&gt;=$J854),"RETEST AFTER A PASSING FIRST ATTEMPT","OK"))))))))))</f>
        <v/>
      </c>
      <c r="Y854" s="16" t="n"/>
    </row>
    <row r="855">
      <c r="B855" s="17">
        <f>IF($C855="","",$D855&amp;"-"&amp;$F855&amp;"-"&amp;$K855)</f>
        <v/>
      </c>
      <c r="C855" s="16" t="n"/>
      <c r="D855" s="17">
        <f>IF($C855="","",IFERROR(INDEX(rngCadetPIDs,MATCH($C855,rngCadetNames,0)),"?"))</f>
        <v/>
      </c>
      <c r="E855" s="17">
        <f>IF($D855="","",IFERROR(INDEX(nrCadetAgency,MATCH($D855,rngCadetPIDs,0)),""))</f>
        <v/>
      </c>
      <c r="F855" s="16" t="n"/>
      <c r="G855" s="17">
        <f>IF($F855="","",IFERROR(INDEX(rngEPname,MATCH($F855,rngEPcode,0)),"?"))</f>
        <v/>
      </c>
      <c r="H855" s="17">
        <f>IF($F855="","",IFERROR(INDEX(rngEPtype,MATCH($F855,rngEPcode,0)),"?"))</f>
        <v/>
      </c>
      <c r="I855" s="17">
        <f>IF($F855="","",IFERROR(INDEX(rngEPseq,MATCH($F855,rngEPcode,0)),""))</f>
        <v/>
      </c>
      <c r="J855" s="17">
        <f>IF($F855="","",IFERROR(INDEX(rngEPpass,MATCH($F855,rngEPcode,0)),cfgPassingScore))</f>
        <v/>
      </c>
      <c r="K855" s="16" t="n"/>
      <c r="L855" s="16" t="n"/>
      <c r="M855" s="17">
        <f>IF($C855="","",IF($L855="","",IF(NOT(ISNUMBER($L855)),$L855,IF(N($K855)&gt;2,"",IF($K855=1,IF(COUNTIFS(nrES_PID,$D855,nrES_Code,$F855,nrES_Att,2,nrES_Raw,"&gt;=0")&gt;0,"",$L855),IF($L855&gt;=$J855,MAX($J855,cfgRetakeRecordedCap),IF(COUNTIFS(nrES_PID,$D855,nrES_Code,$F855,nrES_Att,1)=0,$L855,SUMIFS(nrES_Raw,nrES_PID,$D855,nrES_Code,$F855,nrES_Att,1))))))))</f>
        <v/>
      </c>
      <c r="N855" s="17">
        <f>IF($C855="","",IF($L855="","",IF(NOT(ISNUMBER($L855)),"(not a score)",IF($L855&gt;=$J855,"Yes","No"))))</f>
        <v/>
      </c>
      <c r="O855" s="17">
        <f>IF($C855="","",IF($M855="","",IF(NOT(ISNUMBER($M855)),"(not a score)",IF($M855&gt;=$J855,"Yes","No"))))</f>
        <v/>
      </c>
      <c r="P855" s="17">
        <f>IF($C855="","",IF($K855="","",IF(N($K855)&gt;2,"No",IF(COUNTIFS(nrES_PID,$D855,nrES_Code,$F855,nrES_Att,"&gt;"&amp;$K855,nrES_Att,"&lt;=2",nrES_Raw,"&gt;=0")=0,"Yes","No"))))</f>
        <v/>
      </c>
      <c r="Q855" s="17">
        <f>IF($C855="","",IF($L855="","",IF(AND($K855=1,ISNUMBER($L855),$L855&lt;$J855,COUNTIFS(nrES_PID,$D855,nrES_Code,$F855,nrES_Att,2,nrES_Raw,"&gt;=0")=0),"Yes","No")))</f>
        <v/>
      </c>
      <c r="R855" s="17">
        <f>IF($C855="","",IF($L855="","",IF(AND(N($K855)&gt;=2,ISNUMBER($L855),$L855&lt;$J855),"Yes","No")))</f>
        <v/>
      </c>
      <c r="S855" s="18" t="n"/>
      <c r="T855" s="19">
        <f>IF(OR($C855="",$L855="",$K855&lt;&gt;1,NOT(ISNUMBER($L855)),$L855&gt;=$J855),"",IF($S855="","(enter date)",_xlfn.LET(_xlpm.dn,_xlfn.XLOOKUP($S855,nrCDdate,nrCDnum,"",1),IF(_xlpm.dn="","(after last class day)",_xlfn.LET(_xlpm.dd,_xlfn.XLOOKUP(_xlpm.dn+cfgRetestClassDays,nrCDnum,nrCDdate,""),_xlpm.ok,_xlfn.XLOOKUP(_xlpm.dn+cfgRetestClassDays,nrCDnum,nrCDinsession,"No"),IF(OR(_xlpm.dd="",_xlpm.ok&lt;&gt;"Yes"),"(after last class day)",_xlpm.dd))))))</f>
        <v/>
      </c>
      <c r="U855" s="17">
        <f>IF($C855="","",IF(AND($Y855="Excused",$L855="",N($K855)&lt;=1),"EXCUSED - 1st attempt pending",IF(OR($L855="",$K855&lt;&gt;1,NOT(ISNUMBER($L855)),$L855&gt;=$J855),"",IF(COUNTIFS(nrES_PID,$D855,nrES_Code,$F855,nrES_Att,2,nrES_Raw,"&gt;=0")&gt;0,IF(IFERROR(_xlfn.MINIFS(nrES_Date,nrES_PID,$D855,nrES_Code,$F855,nrES_Att,2,nrES_Raw,"&gt;=0",nrES_Date,"&gt;0"),0)=0,"RETEST UNDATED",IF(NOT(ISNUMBER($T855)),"RETEST DATE UNCHECKED",IF(_xlfn.MINIFS(nrES_Date,nrES_PID,$D855,nrES_Code,$F855,nrES_Att,2,nrES_Raw,"&gt;=0",nrES_Date,"&gt;0")&gt;$T855,"LATE RETEST "&amp;TEXT(_xlfn.MINIFS(nrES_Date,nrES_PID,$D855,nrES_Code,$F855,nrES_Att,2,nrES_Raw,"&gt;=0",nrES_Date,"&gt;0"),"mm/dd")&amp;" (due "&amp;TEXT($T855,"mm/dd")&amp;")","Retested"))),IF(NOT(ISNUMBER($T855)),"CHECK DATE",IF(TODAY()&gt;$T855,"OVERDUE","Due "&amp;TEXT($T855,"mm/dd")))))))</f>
        <v/>
      </c>
      <c r="V855" s="16" t="n"/>
      <c r="W855" s="16" t="n"/>
      <c r="X855" s="17">
        <f>IF($C855="","",IF(AND($L855&lt;&gt;"",NOT(ISNUMBER($L855))),"RAW SCORE NOT A NUMBER",IF(AND(ISNUMBER($L855),OR($L855&lt;0,$L855&gt;100)),"RAW SCORE OUT OF RANGE",IF(AND($Y855="Unexcused",OR($L855="",NOT(ISNUMBER($L855)),$L855&lt;&gt;0)),"UNEXCUSED ABSENCE MUST RECORD 0",IF(COUNTIF(nrES_RecID,$B855)&gt;1,"DUPLICATE RECORD",IF(N($K855)&gt;2,"ATTEMPT 3+ NOT ALLOWED - policy 300.5 permits one retest per exam; this row records nothing",IF(AND($K855=2,COUNTIFS(nrES_PID,$D855,nrES_Code,$F855,nrES_Att,1)=0),"ATTEMPT 2 WITHOUT ATTEMPT 1",IF(AND($K855=2,$L855=""),"RETEST ROW HAS NO SCORE",IF(AND($H855="Final",$L855&lt;&gt;"",IFERROR(INDEX(nrCKfinalExamElig,MATCH($D855,rngCadetPIDs,0)),"")="No"),"FINAL EXAM AFTER FAILED FINAL PT (500.1.H)",IF(AND($K855=2,ISNUMBER($L855),COUNTIFS(nrES_PID,$D855,nrES_Code,$F855,nrES_Att,1)&gt;0,SUMIFS(nrES_Raw,nrES_PID,$D855,nrES_Code,$F855,nrES_Att,1)&gt;=$J855),"RETEST AFTER A PASSING FIRST ATTEMPT","OK"))))))))))</f>
        <v/>
      </c>
      <c r="Y855" s="16" t="n"/>
    </row>
    <row r="856">
      <c r="B856" s="17">
        <f>IF($C856="","",$D856&amp;"-"&amp;$F856&amp;"-"&amp;$K856)</f>
        <v/>
      </c>
      <c r="C856" s="16" t="n"/>
      <c r="D856" s="17">
        <f>IF($C856="","",IFERROR(INDEX(rngCadetPIDs,MATCH($C856,rngCadetNames,0)),"?"))</f>
        <v/>
      </c>
      <c r="E856" s="17">
        <f>IF($D856="","",IFERROR(INDEX(nrCadetAgency,MATCH($D856,rngCadetPIDs,0)),""))</f>
        <v/>
      </c>
      <c r="F856" s="16" t="n"/>
      <c r="G856" s="17">
        <f>IF($F856="","",IFERROR(INDEX(rngEPname,MATCH($F856,rngEPcode,0)),"?"))</f>
        <v/>
      </c>
      <c r="H856" s="17">
        <f>IF($F856="","",IFERROR(INDEX(rngEPtype,MATCH($F856,rngEPcode,0)),"?"))</f>
        <v/>
      </c>
      <c r="I856" s="17">
        <f>IF($F856="","",IFERROR(INDEX(rngEPseq,MATCH($F856,rngEPcode,0)),""))</f>
        <v/>
      </c>
      <c r="J856" s="17">
        <f>IF($F856="","",IFERROR(INDEX(rngEPpass,MATCH($F856,rngEPcode,0)),cfgPassingScore))</f>
        <v/>
      </c>
      <c r="K856" s="16" t="n"/>
      <c r="L856" s="16" t="n"/>
      <c r="M856" s="17">
        <f>IF($C856="","",IF($L856="","",IF(NOT(ISNUMBER($L856)),$L856,IF(N($K856)&gt;2,"",IF($K856=1,IF(COUNTIFS(nrES_PID,$D856,nrES_Code,$F856,nrES_Att,2,nrES_Raw,"&gt;=0")&gt;0,"",$L856),IF($L856&gt;=$J856,MAX($J856,cfgRetakeRecordedCap),IF(COUNTIFS(nrES_PID,$D856,nrES_Code,$F856,nrES_Att,1)=0,$L856,SUMIFS(nrES_Raw,nrES_PID,$D856,nrES_Code,$F856,nrES_Att,1))))))))</f>
        <v/>
      </c>
      <c r="N856" s="17">
        <f>IF($C856="","",IF($L856="","",IF(NOT(ISNUMBER($L856)),"(not a score)",IF($L856&gt;=$J856,"Yes","No"))))</f>
        <v/>
      </c>
      <c r="O856" s="17">
        <f>IF($C856="","",IF($M856="","",IF(NOT(ISNUMBER($M856)),"(not a score)",IF($M856&gt;=$J856,"Yes","No"))))</f>
        <v/>
      </c>
      <c r="P856" s="17">
        <f>IF($C856="","",IF($K856="","",IF(N($K856)&gt;2,"No",IF(COUNTIFS(nrES_PID,$D856,nrES_Code,$F856,nrES_Att,"&gt;"&amp;$K856,nrES_Att,"&lt;=2",nrES_Raw,"&gt;=0")=0,"Yes","No"))))</f>
        <v/>
      </c>
      <c r="Q856" s="17">
        <f>IF($C856="","",IF($L856="","",IF(AND($K856=1,ISNUMBER($L856),$L856&lt;$J856,COUNTIFS(nrES_PID,$D856,nrES_Code,$F856,nrES_Att,2,nrES_Raw,"&gt;=0")=0),"Yes","No")))</f>
        <v/>
      </c>
      <c r="R856" s="17">
        <f>IF($C856="","",IF($L856="","",IF(AND(N($K856)&gt;=2,ISNUMBER($L856),$L856&lt;$J856),"Yes","No")))</f>
        <v/>
      </c>
      <c r="S856" s="18" t="n"/>
      <c r="T856" s="19">
        <f>IF(OR($C856="",$L856="",$K856&lt;&gt;1,NOT(ISNUMBER($L856)),$L856&gt;=$J856),"",IF($S856="","(enter date)",_xlfn.LET(_xlpm.dn,_xlfn.XLOOKUP($S856,nrCDdate,nrCDnum,"",1),IF(_xlpm.dn="","(after last class day)",_xlfn.LET(_xlpm.dd,_xlfn.XLOOKUP(_xlpm.dn+cfgRetestClassDays,nrCDnum,nrCDdate,""),_xlpm.ok,_xlfn.XLOOKUP(_xlpm.dn+cfgRetestClassDays,nrCDnum,nrCDinsession,"No"),IF(OR(_xlpm.dd="",_xlpm.ok&lt;&gt;"Yes"),"(after last class day)",_xlpm.dd))))))</f>
        <v/>
      </c>
      <c r="U856" s="17">
        <f>IF($C856="","",IF(AND($Y856="Excused",$L856="",N($K856)&lt;=1),"EXCUSED - 1st attempt pending",IF(OR($L856="",$K856&lt;&gt;1,NOT(ISNUMBER($L856)),$L856&gt;=$J856),"",IF(COUNTIFS(nrES_PID,$D856,nrES_Code,$F856,nrES_Att,2,nrES_Raw,"&gt;=0")&gt;0,IF(IFERROR(_xlfn.MINIFS(nrES_Date,nrES_PID,$D856,nrES_Code,$F856,nrES_Att,2,nrES_Raw,"&gt;=0",nrES_Date,"&gt;0"),0)=0,"RETEST UNDATED",IF(NOT(ISNUMBER($T856)),"RETEST DATE UNCHECKED",IF(_xlfn.MINIFS(nrES_Date,nrES_PID,$D856,nrES_Code,$F856,nrES_Att,2,nrES_Raw,"&gt;=0",nrES_Date,"&gt;0")&gt;$T856,"LATE RETEST "&amp;TEXT(_xlfn.MINIFS(nrES_Date,nrES_PID,$D856,nrES_Code,$F856,nrES_Att,2,nrES_Raw,"&gt;=0",nrES_Date,"&gt;0"),"mm/dd")&amp;" (due "&amp;TEXT($T856,"mm/dd")&amp;")","Retested"))),IF(NOT(ISNUMBER($T856)),"CHECK DATE",IF(TODAY()&gt;$T856,"OVERDUE","Due "&amp;TEXT($T856,"mm/dd")))))))</f>
        <v/>
      </c>
      <c r="V856" s="16" t="n"/>
      <c r="W856" s="16" t="n"/>
      <c r="X856" s="17">
        <f>IF($C856="","",IF(AND($L856&lt;&gt;"",NOT(ISNUMBER($L856))),"RAW SCORE NOT A NUMBER",IF(AND(ISNUMBER($L856),OR($L856&lt;0,$L856&gt;100)),"RAW SCORE OUT OF RANGE",IF(AND($Y856="Unexcused",OR($L856="",NOT(ISNUMBER($L856)),$L856&lt;&gt;0)),"UNEXCUSED ABSENCE MUST RECORD 0",IF(COUNTIF(nrES_RecID,$B856)&gt;1,"DUPLICATE RECORD",IF(N($K856)&gt;2,"ATTEMPT 3+ NOT ALLOWED - policy 300.5 permits one retest per exam; this row records nothing",IF(AND($K856=2,COUNTIFS(nrES_PID,$D856,nrES_Code,$F856,nrES_Att,1)=0),"ATTEMPT 2 WITHOUT ATTEMPT 1",IF(AND($K856=2,$L856=""),"RETEST ROW HAS NO SCORE",IF(AND($H856="Final",$L856&lt;&gt;"",IFERROR(INDEX(nrCKfinalExamElig,MATCH($D856,rngCadetPIDs,0)),"")="No"),"FINAL EXAM AFTER FAILED FINAL PT (500.1.H)",IF(AND($K856=2,ISNUMBER($L856),COUNTIFS(nrES_PID,$D856,nrES_Code,$F856,nrES_Att,1)&gt;0,SUMIFS(nrES_Raw,nrES_PID,$D856,nrES_Code,$F856,nrES_Att,1)&gt;=$J856),"RETEST AFTER A PASSING FIRST ATTEMPT","OK"))))))))))</f>
        <v/>
      </c>
      <c r="Y856" s="16" t="n"/>
    </row>
    <row r="857">
      <c r="B857" s="17">
        <f>IF($C857="","",$D857&amp;"-"&amp;$F857&amp;"-"&amp;$K857)</f>
        <v/>
      </c>
      <c r="C857" s="16" t="n"/>
      <c r="D857" s="17">
        <f>IF($C857="","",IFERROR(INDEX(rngCadetPIDs,MATCH($C857,rngCadetNames,0)),"?"))</f>
        <v/>
      </c>
      <c r="E857" s="17">
        <f>IF($D857="","",IFERROR(INDEX(nrCadetAgency,MATCH($D857,rngCadetPIDs,0)),""))</f>
        <v/>
      </c>
      <c r="F857" s="16" t="n"/>
      <c r="G857" s="17">
        <f>IF($F857="","",IFERROR(INDEX(rngEPname,MATCH($F857,rngEPcode,0)),"?"))</f>
        <v/>
      </c>
      <c r="H857" s="17">
        <f>IF($F857="","",IFERROR(INDEX(rngEPtype,MATCH($F857,rngEPcode,0)),"?"))</f>
        <v/>
      </c>
      <c r="I857" s="17">
        <f>IF($F857="","",IFERROR(INDEX(rngEPseq,MATCH($F857,rngEPcode,0)),""))</f>
        <v/>
      </c>
      <c r="J857" s="17">
        <f>IF($F857="","",IFERROR(INDEX(rngEPpass,MATCH($F857,rngEPcode,0)),cfgPassingScore))</f>
        <v/>
      </c>
      <c r="K857" s="16" t="n"/>
      <c r="L857" s="16" t="n"/>
      <c r="M857" s="17">
        <f>IF($C857="","",IF($L857="","",IF(NOT(ISNUMBER($L857)),$L857,IF(N($K857)&gt;2,"",IF($K857=1,IF(COUNTIFS(nrES_PID,$D857,nrES_Code,$F857,nrES_Att,2,nrES_Raw,"&gt;=0")&gt;0,"",$L857),IF($L857&gt;=$J857,MAX($J857,cfgRetakeRecordedCap),IF(COUNTIFS(nrES_PID,$D857,nrES_Code,$F857,nrES_Att,1)=0,$L857,SUMIFS(nrES_Raw,nrES_PID,$D857,nrES_Code,$F857,nrES_Att,1))))))))</f>
        <v/>
      </c>
      <c r="N857" s="17">
        <f>IF($C857="","",IF($L857="","",IF(NOT(ISNUMBER($L857)),"(not a score)",IF($L857&gt;=$J857,"Yes","No"))))</f>
        <v/>
      </c>
      <c r="O857" s="17">
        <f>IF($C857="","",IF($M857="","",IF(NOT(ISNUMBER($M857)),"(not a score)",IF($M857&gt;=$J857,"Yes","No"))))</f>
        <v/>
      </c>
      <c r="P857" s="17">
        <f>IF($C857="","",IF($K857="","",IF(N($K857)&gt;2,"No",IF(COUNTIFS(nrES_PID,$D857,nrES_Code,$F857,nrES_Att,"&gt;"&amp;$K857,nrES_Att,"&lt;=2",nrES_Raw,"&gt;=0")=0,"Yes","No"))))</f>
        <v/>
      </c>
      <c r="Q857" s="17">
        <f>IF($C857="","",IF($L857="","",IF(AND($K857=1,ISNUMBER($L857),$L857&lt;$J857,COUNTIFS(nrES_PID,$D857,nrES_Code,$F857,nrES_Att,2,nrES_Raw,"&gt;=0")=0),"Yes","No")))</f>
        <v/>
      </c>
      <c r="R857" s="17">
        <f>IF($C857="","",IF($L857="","",IF(AND(N($K857)&gt;=2,ISNUMBER($L857),$L857&lt;$J857),"Yes","No")))</f>
        <v/>
      </c>
      <c r="S857" s="18" t="n"/>
      <c r="T857" s="19">
        <f>IF(OR($C857="",$L857="",$K857&lt;&gt;1,NOT(ISNUMBER($L857)),$L857&gt;=$J857),"",IF($S857="","(enter date)",_xlfn.LET(_xlpm.dn,_xlfn.XLOOKUP($S857,nrCDdate,nrCDnum,"",1),IF(_xlpm.dn="","(after last class day)",_xlfn.LET(_xlpm.dd,_xlfn.XLOOKUP(_xlpm.dn+cfgRetestClassDays,nrCDnum,nrCDdate,""),_xlpm.ok,_xlfn.XLOOKUP(_xlpm.dn+cfgRetestClassDays,nrCDnum,nrCDinsession,"No"),IF(OR(_xlpm.dd="",_xlpm.ok&lt;&gt;"Yes"),"(after last class day)",_xlpm.dd))))))</f>
        <v/>
      </c>
      <c r="U857" s="17">
        <f>IF($C857="","",IF(AND($Y857="Excused",$L857="",N($K857)&lt;=1),"EXCUSED - 1st attempt pending",IF(OR($L857="",$K857&lt;&gt;1,NOT(ISNUMBER($L857)),$L857&gt;=$J857),"",IF(COUNTIFS(nrES_PID,$D857,nrES_Code,$F857,nrES_Att,2,nrES_Raw,"&gt;=0")&gt;0,IF(IFERROR(_xlfn.MINIFS(nrES_Date,nrES_PID,$D857,nrES_Code,$F857,nrES_Att,2,nrES_Raw,"&gt;=0",nrES_Date,"&gt;0"),0)=0,"RETEST UNDATED",IF(NOT(ISNUMBER($T857)),"RETEST DATE UNCHECKED",IF(_xlfn.MINIFS(nrES_Date,nrES_PID,$D857,nrES_Code,$F857,nrES_Att,2,nrES_Raw,"&gt;=0",nrES_Date,"&gt;0")&gt;$T857,"LATE RETEST "&amp;TEXT(_xlfn.MINIFS(nrES_Date,nrES_PID,$D857,nrES_Code,$F857,nrES_Att,2,nrES_Raw,"&gt;=0",nrES_Date,"&gt;0"),"mm/dd")&amp;" (due "&amp;TEXT($T857,"mm/dd")&amp;")","Retested"))),IF(NOT(ISNUMBER($T857)),"CHECK DATE",IF(TODAY()&gt;$T857,"OVERDUE","Due "&amp;TEXT($T857,"mm/dd")))))))</f>
        <v/>
      </c>
      <c r="V857" s="16" t="n"/>
      <c r="W857" s="16" t="n"/>
      <c r="X857" s="17">
        <f>IF($C857="","",IF(AND($L857&lt;&gt;"",NOT(ISNUMBER($L857))),"RAW SCORE NOT A NUMBER",IF(AND(ISNUMBER($L857),OR($L857&lt;0,$L857&gt;100)),"RAW SCORE OUT OF RANGE",IF(AND($Y857="Unexcused",OR($L857="",NOT(ISNUMBER($L857)),$L857&lt;&gt;0)),"UNEXCUSED ABSENCE MUST RECORD 0",IF(COUNTIF(nrES_RecID,$B857)&gt;1,"DUPLICATE RECORD",IF(N($K857)&gt;2,"ATTEMPT 3+ NOT ALLOWED - policy 300.5 permits one retest per exam; this row records nothing",IF(AND($K857=2,COUNTIFS(nrES_PID,$D857,nrES_Code,$F857,nrES_Att,1)=0),"ATTEMPT 2 WITHOUT ATTEMPT 1",IF(AND($K857=2,$L857=""),"RETEST ROW HAS NO SCORE",IF(AND($H857="Final",$L857&lt;&gt;"",IFERROR(INDEX(nrCKfinalExamElig,MATCH($D857,rngCadetPIDs,0)),"")="No"),"FINAL EXAM AFTER FAILED FINAL PT (500.1.H)",IF(AND($K857=2,ISNUMBER($L857),COUNTIFS(nrES_PID,$D857,nrES_Code,$F857,nrES_Att,1)&gt;0,SUMIFS(nrES_Raw,nrES_PID,$D857,nrES_Code,$F857,nrES_Att,1)&gt;=$J857),"RETEST AFTER A PASSING FIRST ATTEMPT","OK"))))))))))</f>
        <v/>
      </c>
      <c r="Y857" s="16" t="n"/>
    </row>
    <row r="858">
      <c r="B858" s="17">
        <f>IF($C858="","",$D858&amp;"-"&amp;$F858&amp;"-"&amp;$K858)</f>
        <v/>
      </c>
      <c r="C858" s="16" t="n"/>
      <c r="D858" s="17">
        <f>IF($C858="","",IFERROR(INDEX(rngCadetPIDs,MATCH($C858,rngCadetNames,0)),"?"))</f>
        <v/>
      </c>
      <c r="E858" s="17">
        <f>IF($D858="","",IFERROR(INDEX(nrCadetAgency,MATCH($D858,rngCadetPIDs,0)),""))</f>
        <v/>
      </c>
      <c r="F858" s="16" t="n"/>
      <c r="G858" s="17">
        <f>IF($F858="","",IFERROR(INDEX(rngEPname,MATCH($F858,rngEPcode,0)),"?"))</f>
        <v/>
      </c>
      <c r="H858" s="17">
        <f>IF($F858="","",IFERROR(INDEX(rngEPtype,MATCH($F858,rngEPcode,0)),"?"))</f>
        <v/>
      </c>
      <c r="I858" s="17">
        <f>IF($F858="","",IFERROR(INDEX(rngEPseq,MATCH($F858,rngEPcode,0)),""))</f>
        <v/>
      </c>
      <c r="J858" s="17">
        <f>IF($F858="","",IFERROR(INDEX(rngEPpass,MATCH($F858,rngEPcode,0)),cfgPassingScore))</f>
        <v/>
      </c>
      <c r="K858" s="16" t="n"/>
      <c r="L858" s="16" t="n"/>
      <c r="M858" s="17">
        <f>IF($C858="","",IF($L858="","",IF(NOT(ISNUMBER($L858)),$L858,IF(N($K858)&gt;2,"",IF($K858=1,IF(COUNTIFS(nrES_PID,$D858,nrES_Code,$F858,nrES_Att,2,nrES_Raw,"&gt;=0")&gt;0,"",$L858),IF($L858&gt;=$J858,MAX($J858,cfgRetakeRecordedCap),IF(COUNTIFS(nrES_PID,$D858,nrES_Code,$F858,nrES_Att,1)=0,$L858,SUMIFS(nrES_Raw,nrES_PID,$D858,nrES_Code,$F858,nrES_Att,1))))))))</f>
        <v/>
      </c>
      <c r="N858" s="17">
        <f>IF($C858="","",IF($L858="","",IF(NOT(ISNUMBER($L858)),"(not a score)",IF($L858&gt;=$J858,"Yes","No"))))</f>
        <v/>
      </c>
      <c r="O858" s="17">
        <f>IF($C858="","",IF($M858="","",IF(NOT(ISNUMBER($M858)),"(not a score)",IF($M858&gt;=$J858,"Yes","No"))))</f>
        <v/>
      </c>
      <c r="P858" s="17">
        <f>IF($C858="","",IF($K858="","",IF(N($K858)&gt;2,"No",IF(COUNTIFS(nrES_PID,$D858,nrES_Code,$F858,nrES_Att,"&gt;"&amp;$K858,nrES_Att,"&lt;=2",nrES_Raw,"&gt;=0")=0,"Yes","No"))))</f>
        <v/>
      </c>
      <c r="Q858" s="17">
        <f>IF($C858="","",IF($L858="","",IF(AND($K858=1,ISNUMBER($L858),$L858&lt;$J858,COUNTIFS(nrES_PID,$D858,nrES_Code,$F858,nrES_Att,2,nrES_Raw,"&gt;=0")=0),"Yes","No")))</f>
        <v/>
      </c>
      <c r="R858" s="17">
        <f>IF($C858="","",IF($L858="","",IF(AND(N($K858)&gt;=2,ISNUMBER($L858),$L858&lt;$J858),"Yes","No")))</f>
        <v/>
      </c>
      <c r="S858" s="18" t="n"/>
      <c r="T858" s="19">
        <f>IF(OR($C858="",$L858="",$K858&lt;&gt;1,NOT(ISNUMBER($L858)),$L858&gt;=$J858),"",IF($S858="","(enter date)",_xlfn.LET(_xlpm.dn,_xlfn.XLOOKUP($S858,nrCDdate,nrCDnum,"",1),IF(_xlpm.dn="","(after last class day)",_xlfn.LET(_xlpm.dd,_xlfn.XLOOKUP(_xlpm.dn+cfgRetestClassDays,nrCDnum,nrCDdate,""),_xlpm.ok,_xlfn.XLOOKUP(_xlpm.dn+cfgRetestClassDays,nrCDnum,nrCDinsession,"No"),IF(OR(_xlpm.dd="",_xlpm.ok&lt;&gt;"Yes"),"(after last class day)",_xlpm.dd))))))</f>
        <v/>
      </c>
      <c r="U858" s="17">
        <f>IF($C858="","",IF(AND($Y858="Excused",$L858="",N($K858)&lt;=1),"EXCUSED - 1st attempt pending",IF(OR($L858="",$K858&lt;&gt;1,NOT(ISNUMBER($L858)),$L858&gt;=$J858),"",IF(COUNTIFS(nrES_PID,$D858,nrES_Code,$F858,nrES_Att,2,nrES_Raw,"&gt;=0")&gt;0,IF(IFERROR(_xlfn.MINIFS(nrES_Date,nrES_PID,$D858,nrES_Code,$F858,nrES_Att,2,nrES_Raw,"&gt;=0",nrES_Date,"&gt;0"),0)=0,"RETEST UNDATED",IF(NOT(ISNUMBER($T858)),"RETEST DATE UNCHECKED",IF(_xlfn.MINIFS(nrES_Date,nrES_PID,$D858,nrES_Code,$F858,nrES_Att,2,nrES_Raw,"&gt;=0",nrES_Date,"&gt;0")&gt;$T858,"LATE RETEST "&amp;TEXT(_xlfn.MINIFS(nrES_Date,nrES_PID,$D858,nrES_Code,$F858,nrES_Att,2,nrES_Raw,"&gt;=0",nrES_Date,"&gt;0"),"mm/dd")&amp;" (due "&amp;TEXT($T858,"mm/dd")&amp;")","Retested"))),IF(NOT(ISNUMBER($T858)),"CHECK DATE",IF(TODAY()&gt;$T858,"OVERDUE","Due "&amp;TEXT($T858,"mm/dd")))))))</f>
        <v/>
      </c>
      <c r="V858" s="16" t="n"/>
      <c r="W858" s="16" t="n"/>
      <c r="X858" s="17">
        <f>IF($C858="","",IF(AND($L858&lt;&gt;"",NOT(ISNUMBER($L858))),"RAW SCORE NOT A NUMBER",IF(AND(ISNUMBER($L858),OR($L858&lt;0,$L858&gt;100)),"RAW SCORE OUT OF RANGE",IF(AND($Y858="Unexcused",OR($L858="",NOT(ISNUMBER($L858)),$L858&lt;&gt;0)),"UNEXCUSED ABSENCE MUST RECORD 0",IF(COUNTIF(nrES_RecID,$B858)&gt;1,"DUPLICATE RECORD",IF(N($K858)&gt;2,"ATTEMPT 3+ NOT ALLOWED - policy 300.5 permits one retest per exam; this row records nothing",IF(AND($K858=2,COUNTIFS(nrES_PID,$D858,nrES_Code,$F858,nrES_Att,1)=0),"ATTEMPT 2 WITHOUT ATTEMPT 1",IF(AND($K858=2,$L858=""),"RETEST ROW HAS NO SCORE",IF(AND($H858="Final",$L858&lt;&gt;"",IFERROR(INDEX(nrCKfinalExamElig,MATCH($D858,rngCadetPIDs,0)),"")="No"),"FINAL EXAM AFTER FAILED FINAL PT (500.1.H)",IF(AND($K858=2,ISNUMBER($L858),COUNTIFS(nrES_PID,$D858,nrES_Code,$F858,nrES_Att,1)&gt;0,SUMIFS(nrES_Raw,nrES_PID,$D858,nrES_Code,$F858,nrES_Att,1)&gt;=$J858),"RETEST AFTER A PASSING FIRST ATTEMPT","OK"))))))))))</f>
        <v/>
      </c>
      <c r="Y858" s="16" t="n"/>
    </row>
    <row r="859">
      <c r="B859" s="17">
        <f>IF($C859="","",$D859&amp;"-"&amp;$F859&amp;"-"&amp;$K859)</f>
        <v/>
      </c>
      <c r="C859" s="16" t="n"/>
      <c r="D859" s="17">
        <f>IF($C859="","",IFERROR(INDEX(rngCadetPIDs,MATCH($C859,rngCadetNames,0)),"?"))</f>
        <v/>
      </c>
      <c r="E859" s="17">
        <f>IF($D859="","",IFERROR(INDEX(nrCadetAgency,MATCH($D859,rngCadetPIDs,0)),""))</f>
        <v/>
      </c>
      <c r="F859" s="16" t="n"/>
      <c r="G859" s="17">
        <f>IF($F859="","",IFERROR(INDEX(rngEPname,MATCH($F859,rngEPcode,0)),"?"))</f>
        <v/>
      </c>
      <c r="H859" s="17">
        <f>IF($F859="","",IFERROR(INDEX(rngEPtype,MATCH($F859,rngEPcode,0)),"?"))</f>
        <v/>
      </c>
      <c r="I859" s="17">
        <f>IF($F859="","",IFERROR(INDEX(rngEPseq,MATCH($F859,rngEPcode,0)),""))</f>
        <v/>
      </c>
      <c r="J859" s="17">
        <f>IF($F859="","",IFERROR(INDEX(rngEPpass,MATCH($F859,rngEPcode,0)),cfgPassingScore))</f>
        <v/>
      </c>
      <c r="K859" s="16" t="n"/>
      <c r="L859" s="16" t="n"/>
      <c r="M859" s="17">
        <f>IF($C859="","",IF($L859="","",IF(NOT(ISNUMBER($L859)),$L859,IF(N($K859)&gt;2,"",IF($K859=1,IF(COUNTIFS(nrES_PID,$D859,nrES_Code,$F859,nrES_Att,2,nrES_Raw,"&gt;=0")&gt;0,"",$L859),IF($L859&gt;=$J859,MAX($J859,cfgRetakeRecordedCap),IF(COUNTIFS(nrES_PID,$D859,nrES_Code,$F859,nrES_Att,1)=0,$L859,SUMIFS(nrES_Raw,nrES_PID,$D859,nrES_Code,$F859,nrES_Att,1))))))))</f>
        <v/>
      </c>
      <c r="N859" s="17">
        <f>IF($C859="","",IF($L859="","",IF(NOT(ISNUMBER($L859)),"(not a score)",IF($L859&gt;=$J859,"Yes","No"))))</f>
        <v/>
      </c>
      <c r="O859" s="17">
        <f>IF($C859="","",IF($M859="","",IF(NOT(ISNUMBER($M859)),"(not a score)",IF($M859&gt;=$J859,"Yes","No"))))</f>
        <v/>
      </c>
      <c r="P859" s="17">
        <f>IF($C859="","",IF($K859="","",IF(N($K859)&gt;2,"No",IF(COUNTIFS(nrES_PID,$D859,nrES_Code,$F859,nrES_Att,"&gt;"&amp;$K859,nrES_Att,"&lt;=2",nrES_Raw,"&gt;=0")=0,"Yes","No"))))</f>
        <v/>
      </c>
      <c r="Q859" s="17">
        <f>IF($C859="","",IF($L859="","",IF(AND($K859=1,ISNUMBER($L859),$L859&lt;$J859,COUNTIFS(nrES_PID,$D859,nrES_Code,$F859,nrES_Att,2,nrES_Raw,"&gt;=0")=0),"Yes","No")))</f>
        <v/>
      </c>
      <c r="R859" s="17">
        <f>IF($C859="","",IF($L859="","",IF(AND(N($K859)&gt;=2,ISNUMBER($L859),$L859&lt;$J859),"Yes","No")))</f>
        <v/>
      </c>
      <c r="S859" s="18" t="n"/>
      <c r="T859" s="19">
        <f>IF(OR($C859="",$L859="",$K859&lt;&gt;1,NOT(ISNUMBER($L859)),$L859&gt;=$J859),"",IF($S859="","(enter date)",_xlfn.LET(_xlpm.dn,_xlfn.XLOOKUP($S859,nrCDdate,nrCDnum,"",1),IF(_xlpm.dn="","(after last class day)",_xlfn.LET(_xlpm.dd,_xlfn.XLOOKUP(_xlpm.dn+cfgRetestClassDays,nrCDnum,nrCDdate,""),_xlpm.ok,_xlfn.XLOOKUP(_xlpm.dn+cfgRetestClassDays,nrCDnum,nrCDinsession,"No"),IF(OR(_xlpm.dd="",_xlpm.ok&lt;&gt;"Yes"),"(after last class day)",_xlpm.dd))))))</f>
        <v/>
      </c>
      <c r="U859" s="17">
        <f>IF($C859="","",IF(AND($Y859="Excused",$L859="",N($K859)&lt;=1),"EXCUSED - 1st attempt pending",IF(OR($L859="",$K859&lt;&gt;1,NOT(ISNUMBER($L859)),$L859&gt;=$J859),"",IF(COUNTIFS(nrES_PID,$D859,nrES_Code,$F859,nrES_Att,2,nrES_Raw,"&gt;=0")&gt;0,IF(IFERROR(_xlfn.MINIFS(nrES_Date,nrES_PID,$D859,nrES_Code,$F859,nrES_Att,2,nrES_Raw,"&gt;=0",nrES_Date,"&gt;0"),0)=0,"RETEST UNDATED",IF(NOT(ISNUMBER($T859)),"RETEST DATE UNCHECKED",IF(_xlfn.MINIFS(nrES_Date,nrES_PID,$D859,nrES_Code,$F859,nrES_Att,2,nrES_Raw,"&gt;=0",nrES_Date,"&gt;0")&gt;$T859,"LATE RETEST "&amp;TEXT(_xlfn.MINIFS(nrES_Date,nrES_PID,$D859,nrES_Code,$F859,nrES_Att,2,nrES_Raw,"&gt;=0",nrES_Date,"&gt;0"),"mm/dd")&amp;" (due "&amp;TEXT($T859,"mm/dd")&amp;")","Retested"))),IF(NOT(ISNUMBER($T859)),"CHECK DATE",IF(TODAY()&gt;$T859,"OVERDUE","Due "&amp;TEXT($T859,"mm/dd")))))))</f>
        <v/>
      </c>
      <c r="V859" s="16" t="n"/>
      <c r="W859" s="16" t="n"/>
      <c r="X859" s="17">
        <f>IF($C859="","",IF(AND($L859&lt;&gt;"",NOT(ISNUMBER($L859))),"RAW SCORE NOT A NUMBER",IF(AND(ISNUMBER($L859),OR($L859&lt;0,$L859&gt;100)),"RAW SCORE OUT OF RANGE",IF(AND($Y859="Unexcused",OR($L859="",NOT(ISNUMBER($L859)),$L859&lt;&gt;0)),"UNEXCUSED ABSENCE MUST RECORD 0",IF(COUNTIF(nrES_RecID,$B859)&gt;1,"DUPLICATE RECORD",IF(N($K859)&gt;2,"ATTEMPT 3+ NOT ALLOWED - policy 300.5 permits one retest per exam; this row records nothing",IF(AND($K859=2,COUNTIFS(nrES_PID,$D859,nrES_Code,$F859,nrES_Att,1)=0),"ATTEMPT 2 WITHOUT ATTEMPT 1",IF(AND($K859=2,$L859=""),"RETEST ROW HAS NO SCORE",IF(AND($H859="Final",$L859&lt;&gt;"",IFERROR(INDEX(nrCKfinalExamElig,MATCH($D859,rngCadetPIDs,0)),"")="No"),"FINAL EXAM AFTER FAILED FINAL PT (500.1.H)",IF(AND($K859=2,ISNUMBER($L859),COUNTIFS(nrES_PID,$D859,nrES_Code,$F859,nrES_Att,1)&gt;0,SUMIFS(nrES_Raw,nrES_PID,$D859,nrES_Code,$F859,nrES_Att,1)&gt;=$J859),"RETEST AFTER A PASSING FIRST ATTEMPT","OK"))))))))))</f>
        <v/>
      </c>
      <c r="Y859" s="16" t="n"/>
    </row>
    <row r="860">
      <c r="B860" s="17">
        <f>IF($C860="","",$D860&amp;"-"&amp;$F860&amp;"-"&amp;$K860)</f>
        <v/>
      </c>
      <c r="C860" s="16" t="n"/>
      <c r="D860" s="17">
        <f>IF($C860="","",IFERROR(INDEX(rngCadetPIDs,MATCH($C860,rngCadetNames,0)),"?"))</f>
        <v/>
      </c>
      <c r="E860" s="17">
        <f>IF($D860="","",IFERROR(INDEX(nrCadetAgency,MATCH($D860,rngCadetPIDs,0)),""))</f>
        <v/>
      </c>
      <c r="F860" s="16" t="n"/>
      <c r="G860" s="17">
        <f>IF($F860="","",IFERROR(INDEX(rngEPname,MATCH($F860,rngEPcode,0)),"?"))</f>
        <v/>
      </c>
      <c r="H860" s="17">
        <f>IF($F860="","",IFERROR(INDEX(rngEPtype,MATCH($F860,rngEPcode,0)),"?"))</f>
        <v/>
      </c>
      <c r="I860" s="17">
        <f>IF($F860="","",IFERROR(INDEX(rngEPseq,MATCH($F860,rngEPcode,0)),""))</f>
        <v/>
      </c>
      <c r="J860" s="17">
        <f>IF($F860="","",IFERROR(INDEX(rngEPpass,MATCH($F860,rngEPcode,0)),cfgPassingScore))</f>
        <v/>
      </c>
      <c r="K860" s="16" t="n"/>
      <c r="L860" s="16" t="n"/>
      <c r="M860" s="17">
        <f>IF($C860="","",IF($L860="","",IF(NOT(ISNUMBER($L860)),$L860,IF(N($K860)&gt;2,"",IF($K860=1,IF(COUNTIFS(nrES_PID,$D860,nrES_Code,$F860,nrES_Att,2,nrES_Raw,"&gt;=0")&gt;0,"",$L860),IF($L860&gt;=$J860,MAX($J860,cfgRetakeRecordedCap),IF(COUNTIFS(nrES_PID,$D860,nrES_Code,$F860,nrES_Att,1)=0,$L860,SUMIFS(nrES_Raw,nrES_PID,$D860,nrES_Code,$F860,nrES_Att,1))))))))</f>
        <v/>
      </c>
      <c r="N860" s="17">
        <f>IF($C860="","",IF($L860="","",IF(NOT(ISNUMBER($L860)),"(not a score)",IF($L860&gt;=$J860,"Yes","No"))))</f>
        <v/>
      </c>
      <c r="O860" s="17">
        <f>IF($C860="","",IF($M860="","",IF(NOT(ISNUMBER($M860)),"(not a score)",IF($M860&gt;=$J860,"Yes","No"))))</f>
        <v/>
      </c>
      <c r="P860" s="17">
        <f>IF($C860="","",IF($K860="","",IF(N($K860)&gt;2,"No",IF(COUNTIFS(nrES_PID,$D860,nrES_Code,$F860,nrES_Att,"&gt;"&amp;$K860,nrES_Att,"&lt;=2",nrES_Raw,"&gt;=0")=0,"Yes","No"))))</f>
        <v/>
      </c>
      <c r="Q860" s="17">
        <f>IF($C860="","",IF($L860="","",IF(AND($K860=1,ISNUMBER($L860),$L860&lt;$J860,COUNTIFS(nrES_PID,$D860,nrES_Code,$F860,nrES_Att,2,nrES_Raw,"&gt;=0")=0),"Yes","No")))</f>
        <v/>
      </c>
      <c r="R860" s="17">
        <f>IF($C860="","",IF($L860="","",IF(AND(N($K860)&gt;=2,ISNUMBER($L860),$L860&lt;$J860),"Yes","No")))</f>
        <v/>
      </c>
      <c r="S860" s="18" t="n"/>
      <c r="T860" s="19">
        <f>IF(OR($C860="",$L860="",$K860&lt;&gt;1,NOT(ISNUMBER($L860)),$L860&gt;=$J860),"",IF($S860="","(enter date)",_xlfn.LET(_xlpm.dn,_xlfn.XLOOKUP($S860,nrCDdate,nrCDnum,"",1),IF(_xlpm.dn="","(after last class day)",_xlfn.LET(_xlpm.dd,_xlfn.XLOOKUP(_xlpm.dn+cfgRetestClassDays,nrCDnum,nrCDdate,""),_xlpm.ok,_xlfn.XLOOKUP(_xlpm.dn+cfgRetestClassDays,nrCDnum,nrCDinsession,"No"),IF(OR(_xlpm.dd="",_xlpm.ok&lt;&gt;"Yes"),"(after last class day)",_xlpm.dd))))))</f>
        <v/>
      </c>
      <c r="U860" s="17">
        <f>IF($C860="","",IF(AND($Y860="Excused",$L860="",N($K860)&lt;=1),"EXCUSED - 1st attempt pending",IF(OR($L860="",$K860&lt;&gt;1,NOT(ISNUMBER($L860)),$L860&gt;=$J860),"",IF(COUNTIFS(nrES_PID,$D860,nrES_Code,$F860,nrES_Att,2,nrES_Raw,"&gt;=0")&gt;0,IF(IFERROR(_xlfn.MINIFS(nrES_Date,nrES_PID,$D860,nrES_Code,$F860,nrES_Att,2,nrES_Raw,"&gt;=0",nrES_Date,"&gt;0"),0)=0,"RETEST UNDATED",IF(NOT(ISNUMBER($T860)),"RETEST DATE UNCHECKED",IF(_xlfn.MINIFS(nrES_Date,nrES_PID,$D860,nrES_Code,$F860,nrES_Att,2,nrES_Raw,"&gt;=0",nrES_Date,"&gt;0")&gt;$T860,"LATE RETEST "&amp;TEXT(_xlfn.MINIFS(nrES_Date,nrES_PID,$D860,nrES_Code,$F860,nrES_Att,2,nrES_Raw,"&gt;=0",nrES_Date,"&gt;0"),"mm/dd")&amp;" (due "&amp;TEXT($T860,"mm/dd")&amp;")","Retested"))),IF(NOT(ISNUMBER($T860)),"CHECK DATE",IF(TODAY()&gt;$T860,"OVERDUE","Due "&amp;TEXT($T860,"mm/dd")))))))</f>
        <v/>
      </c>
      <c r="V860" s="16" t="n"/>
      <c r="W860" s="16" t="n"/>
      <c r="X860" s="17">
        <f>IF($C860="","",IF(AND($L860&lt;&gt;"",NOT(ISNUMBER($L860))),"RAW SCORE NOT A NUMBER",IF(AND(ISNUMBER($L860),OR($L860&lt;0,$L860&gt;100)),"RAW SCORE OUT OF RANGE",IF(AND($Y860="Unexcused",OR($L860="",NOT(ISNUMBER($L860)),$L860&lt;&gt;0)),"UNEXCUSED ABSENCE MUST RECORD 0",IF(COUNTIF(nrES_RecID,$B860)&gt;1,"DUPLICATE RECORD",IF(N($K860)&gt;2,"ATTEMPT 3+ NOT ALLOWED - policy 300.5 permits one retest per exam; this row records nothing",IF(AND($K860=2,COUNTIFS(nrES_PID,$D860,nrES_Code,$F860,nrES_Att,1)=0),"ATTEMPT 2 WITHOUT ATTEMPT 1",IF(AND($K860=2,$L860=""),"RETEST ROW HAS NO SCORE",IF(AND($H860="Final",$L860&lt;&gt;"",IFERROR(INDEX(nrCKfinalExamElig,MATCH($D860,rngCadetPIDs,0)),"")="No"),"FINAL EXAM AFTER FAILED FINAL PT (500.1.H)",IF(AND($K860=2,ISNUMBER($L860),COUNTIFS(nrES_PID,$D860,nrES_Code,$F860,nrES_Att,1)&gt;0,SUMIFS(nrES_Raw,nrES_PID,$D860,nrES_Code,$F860,nrES_Att,1)&gt;=$J860),"RETEST AFTER A PASSING FIRST ATTEMPT","OK"))))))))))</f>
        <v/>
      </c>
      <c r="Y860" s="16" t="n"/>
    </row>
    <row r="861">
      <c r="B861" s="17">
        <f>IF($C861="","",$D861&amp;"-"&amp;$F861&amp;"-"&amp;$K861)</f>
        <v/>
      </c>
      <c r="C861" s="16" t="n"/>
      <c r="D861" s="17">
        <f>IF($C861="","",IFERROR(INDEX(rngCadetPIDs,MATCH($C861,rngCadetNames,0)),"?"))</f>
        <v/>
      </c>
      <c r="E861" s="17">
        <f>IF($D861="","",IFERROR(INDEX(nrCadetAgency,MATCH($D861,rngCadetPIDs,0)),""))</f>
        <v/>
      </c>
      <c r="F861" s="16" t="n"/>
      <c r="G861" s="17">
        <f>IF($F861="","",IFERROR(INDEX(rngEPname,MATCH($F861,rngEPcode,0)),"?"))</f>
        <v/>
      </c>
      <c r="H861" s="17">
        <f>IF($F861="","",IFERROR(INDEX(rngEPtype,MATCH($F861,rngEPcode,0)),"?"))</f>
        <v/>
      </c>
      <c r="I861" s="17">
        <f>IF($F861="","",IFERROR(INDEX(rngEPseq,MATCH($F861,rngEPcode,0)),""))</f>
        <v/>
      </c>
      <c r="J861" s="17">
        <f>IF($F861="","",IFERROR(INDEX(rngEPpass,MATCH($F861,rngEPcode,0)),cfgPassingScore))</f>
        <v/>
      </c>
      <c r="K861" s="16" t="n"/>
      <c r="L861" s="16" t="n"/>
      <c r="M861" s="17">
        <f>IF($C861="","",IF($L861="","",IF(NOT(ISNUMBER($L861)),$L861,IF(N($K861)&gt;2,"",IF($K861=1,IF(COUNTIFS(nrES_PID,$D861,nrES_Code,$F861,nrES_Att,2,nrES_Raw,"&gt;=0")&gt;0,"",$L861),IF($L861&gt;=$J861,MAX($J861,cfgRetakeRecordedCap),IF(COUNTIFS(nrES_PID,$D861,nrES_Code,$F861,nrES_Att,1)=0,$L861,SUMIFS(nrES_Raw,nrES_PID,$D861,nrES_Code,$F861,nrES_Att,1))))))))</f>
        <v/>
      </c>
      <c r="N861" s="17">
        <f>IF($C861="","",IF($L861="","",IF(NOT(ISNUMBER($L861)),"(not a score)",IF($L861&gt;=$J861,"Yes","No"))))</f>
        <v/>
      </c>
      <c r="O861" s="17">
        <f>IF($C861="","",IF($M861="","",IF(NOT(ISNUMBER($M861)),"(not a score)",IF($M861&gt;=$J861,"Yes","No"))))</f>
        <v/>
      </c>
      <c r="P861" s="17">
        <f>IF($C861="","",IF($K861="","",IF(N($K861)&gt;2,"No",IF(COUNTIFS(nrES_PID,$D861,nrES_Code,$F861,nrES_Att,"&gt;"&amp;$K861,nrES_Att,"&lt;=2",nrES_Raw,"&gt;=0")=0,"Yes","No"))))</f>
        <v/>
      </c>
      <c r="Q861" s="17">
        <f>IF($C861="","",IF($L861="","",IF(AND($K861=1,ISNUMBER($L861),$L861&lt;$J861,COUNTIFS(nrES_PID,$D861,nrES_Code,$F861,nrES_Att,2,nrES_Raw,"&gt;=0")=0),"Yes","No")))</f>
        <v/>
      </c>
      <c r="R861" s="17">
        <f>IF($C861="","",IF($L861="","",IF(AND(N($K861)&gt;=2,ISNUMBER($L861),$L861&lt;$J861),"Yes","No")))</f>
        <v/>
      </c>
      <c r="S861" s="18" t="n"/>
      <c r="T861" s="19">
        <f>IF(OR($C861="",$L861="",$K861&lt;&gt;1,NOT(ISNUMBER($L861)),$L861&gt;=$J861),"",IF($S861="","(enter date)",_xlfn.LET(_xlpm.dn,_xlfn.XLOOKUP($S861,nrCDdate,nrCDnum,"",1),IF(_xlpm.dn="","(after last class day)",_xlfn.LET(_xlpm.dd,_xlfn.XLOOKUP(_xlpm.dn+cfgRetestClassDays,nrCDnum,nrCDdate,""),_xlpm.ok,_xlfn.XLOOKUP(_xlpm.dn+cfgRetestClassDays,nrCDnum,nrCDinsession,"No"),IF(OR(_xlpm.dd="",_xlpm.ok&lt;&gt;"Yes"),"(after last class day)",_xlpm.dd))))))</f>
        <v/>
      </c>
      <c r="U861" s="17">
        <f>IF($C861="","",IF(AND($Y861="Excused",$L861="",N($K861)&lt;=1),"EXCUSED - 1st attempt pending",IF(OR($L861="",$K861&lt;&gt;1,NOT(ISNUMBER($L861)),$L861&gt;=$J861),"",IF(COUNTIFS(nrES_PID,$D861,nrES_Code,$F861,nrES_Att,2,nrES_Raw,"&gt;=0")&gt;0,IF(IFERROR(_xlfn.MINIFS(nrES_Date,nrES_PID,$D861,nrES_Code,$F861,nrES_Att,2,nrES_Raw,"&gt;=0",nrES_Date,"&gt;0"),0)=0,"RETEST UNDATED",IF(NOT(ISNUMBER($T861)),"RETEST DATE UNCHECKED",IF(_xlfn.MINIFS(nrES_Date,nrES_PID,$D861,nrES_Code,$F861,nrES_Att,2,nrES_Raw,"&gt;=0",nrES_Date,"&gt;0")&gt;$T861,"LATE RETEST "&amp;TEXT(_xlfn.MINIFS(nrES_Date,nrES_PID,$D861,nrES_Code,$F861,nrES_Att,2,nrES_Raw,"&gt;=0",nrES_Date,"&gt;0"),"mm/dd")&amp;" (due "&amp;TEXT($T861,"mm/dd")&amp;")","Retested"))),IF(NOT(ISNUMBER($T861)),"CHECK DATE",IF(TODAY()&gt;$T861,"OVERDUE","Due "&amp;TEXT($T861,"mm/dd")))))))</f>
        <v/>
      </c>
      <c r="V861" s="16" t="n"/>
      <c r="W861" s="16" t="n"/>
      <c r="X861" s="17">
        <f>IF($C861="","",IF(AND($L861&lt;&gt;"",NOT(ISNUMBER($L861))),"RAW SCORE NOT A NUMBER",IF(AND(ISNUMBER($L861),OR($L861&lt;0,$L861&gt;100)),"RAW SCORE OUT OF RANGE",IF(AND($Y861="Unexcused",OR($L861="",NOT(ISNUMBER($L861)),$L861&lt;&gt;0)),"UNEXCUSED ABSENCE MUST RECORD 0",IF(COUNTIF(nrES_RecID,$B861)&gt;1,"DUPLICATE RECORD",IF(N($K861)&gt;2,"ATTEMPT 3+ NOT ALLOWED - policy 300.5 permits one retest per exam; this row records nothing",IF(AND($K861=2,COUNTIFS(nrES_PID,$D861,nrES_Code,$F861,nrES_Att,1)=0),"ATTEMPT 2 WITHOUT ATTEMPT 1",IF(AND($K861=2,$L861=""),"RETEST ROW HAS NO SCORE",IF(AND($H861="Final",$L861&lt;&gt;"",IFERROR(INDEX(nrCKfinalExamElig,MATCH($D861,rngCadetPIDs,0)),"")="No"),"FINAL EXAM AFTER FAILED FINAL PT (500.1.H)",IF(AND($K861=2,ISNUMBER($L861),COUNTIFS(nrES_PID,$D861,nrES_Code,$F861,nrES_Att,1)&gt;0,SUMIFS(nrES_Raw,nrES_PID,$D861,nrES_Code,$F861,nrES_Att,1)&gt;=$J861),"RETEST AFTER A PASSING FIRST ATTEMPT","OK"))))))))))</f>
        <v/>
      </c>
      <c r="Y861" s="16" t="n"/>
    </row>
    <row r="862">
      <c r="B862" s="17">
        <f>IF($C862="","",$D862&amp;"-"&amp;$F862&amp;"-"&amp;$K862)</f>
        <v/>
      </c>
      <c r="C862" s="16" t="n"/>
      <c r="D862" s="17">
        <f>IF($C862="","",IFERROR(INDEX(rngCadetPIDs,MATCH($C862,rngCadetNames,0)),"?"))</f>
        <v/>
      </c>
      <c r="E862" s="17">
        <f>IF($D862="","",IFERROR(INDEX(nrCadetAgency,MATCH($D862,rngCadetPIDs,0)),""))</f>
        <v/>
      </c>
      <c r="F862" s="16" t="n"/>
      <c r="G862" s="17">
        <f>IF($F862="","",IFERROR(INDEX(rngEPname,MATCH($F862,rngEPcode,0)),"?"))</f>
        <v/>
      </c>
      <c r="H862" s="17">
        <f>IF($F862="","",IFERROR(INDEX(rngEPtype,MATCH($F862,rngEPcode,0)),"?"))</f>
        <v/>
      </c>
      <c r="I862" s="17">
        <f>IF($F862="","",IFERROR(INDEX(rngEPseq,MATCH($F862,rngEPcode,0)),""))</f>
        <v/>
      </c>
      <c r="J862" s="17">
        <f>IF($F862="","",IFERROR(INDEX(rngEPpass,MATCH($F862,rngEPcode,0)),cfgPassingScore))</f>
        <v/>
      </c>
      <c r="K862" s="16" t="n"/>
      <c r="L862" s="16" t="n"/>
      <c r="M862" s="17">
        <f>IF($C862="","",IF($L862="","",IF(NOT(ISNUMBER($L862)),$L862,IF(N($K862)&gt;2,"",IF($K862=1,IF(COUNTIFS(nrES_PID,$D862,nrES_Code,$F862,nrES_Att,2,nrES_Raw,"&gt;=0")&gt;0,"",$L862),IF($L862&gt;=$J862,MAX($J862,cfgRetakeRecordedCap),IF(COUNTIFS(nrES_PID,$D862,nrES_Code,$F862,nrES_Att,1)=0,$L862,SUMIFS(nrES_Raw,nrES_PID,$D862,nrES_Code,$F862,nrES_Att,1))))))))</f>
        <v/>
      </c>
      <c r="N862" s="17">
        <f>IF($C862="","",IF($L862="","",IF(NOT(ISNUMBER($L862)),"(not a score)",IF($L862&gt;=$J862,"Yes","No"))))</f>
        <v/>
      </c>
      <c r="O862" s="17">
        <f>IF($C862="","",IF($M862="","",IF(NOT(ISNUMBER($M862)),"(not a score)",IF($M862&gt;=$J862,"Yes","No"))))</f>
        <v/>
      </c>
      <c r="P862" s="17">
        <f>IF($C862="","",IF($K862="","",IF(N($K862)&gt;2,"No",IF(COUNTIFS(nrES_PID,$D862,nrES_Code,$F862,nrES_Att,"&gt;"&amp;$K862,nrES_Att,"&lt;=2",nrES_Raw,"&gt;=0")=0,"Yes","No"))))</f>
        <v/>
      </c>
      <c r="Q862" s="17">
        <f>IF($C862="","",IF($L862="","",IF(AND($K862=1,ISNUMBER($L862),$L862&lt;$J862,COUNTIFS(nrES_PID,$D862,nrES_Code,$F862,nrES_Att,2,nrES_Raw,"&gt;=0")=0),"Yes","No")))</f>
        <v/>
      </c>
      <c r="R862" s="17">
        <f>IF($C862="","",IF($L862="","",IF(AND(N($K862)&gt;=2,ISNUMBER($L862),$L862&lt;$J862),"Yes","No")))</f>
        <v/>
      </c>
      <c r="S862" s="18" t="n"/>
      <c r="T862" s="19">
        <f>IF(OR($C862="",$L862="",$K862&lt;&gt;1,NOT(ISNUMBER($L862)),$L862&gt;=$J862),"",IF($S862="","(enter date)",_xlfn.LET(_xlpm.dn,_xlfn.XLOOKUP($S862,nrCDdate,nrCDnum,"",1),IF(_xlpm.dn="","(after last class day)",_xlfn.LET(_xlpm.dd,_xlfn.XLOOKUP(_xlpm.dn+cfgRetestClassDays,nrCDnum,nrCDdate,""),_xlpm.ok,_xlfn.XLOOKUP(_xlpm.dn+cfgRetestClassDays,nrCDnum,nrCDinsession,"No"),IF(OR(_xlpm.dd="",_xlpm.ok&lt;&gt;"Yes"),"(after last class day)",_xlpm.dd))))))</f>
        <v/>
      </c>
      <c r="U862" s="17">
        <f>IF($C862="","",IF(AND($Y862="Excused",$L862="",N($K862)&lt;=1),"EXCUSED - 1st attempt pending",IF(OR($L862="",$K862&lt;&gt;1,NOT(ISNUMBER($L862)),$L862&gt;=$J862),"",IF(COUNTIFS(nrES_PID,$D862,nrES_Code,$F862,nrES_Att,2,nrES_Raw,"&gt;=0")&gt;0,IF(IFERROR(_xlfn.MINIFS(nrES_Date,nrES_PID,$D862,nrES_Code,$F862,nrES_Att,2,nrES_Raw,"&gt;=0",nrES_Date,"&gt;0"),0)=0,"RETEST UNDATED",IF(NOT(ISNUMBER($T862)),"RETEST DATE UNCHECKED",IF(_xlfn.MINIFS(nrES_Date,nrES_PID,$D862,nrES_Code,$F862,nrES_Att,2,nrES_Raw,"&gt;=0",nrES_Date,"&gt;0")&gt;$T862,"LATE RETEST "&amp;TEXT(_xlfn.MINIFS(nrES_Date,nrES_PID,$D862,nrES_Code,$F862,nrES_Att,2,nrES_Raw,"&gt;=0",nrES_Date,"&gt;0"),"mm/dd")&amp;" (due "&amp;TEXT($T862,"mm/dd")&amp;")","Retested"))),IF(NOT(ISNUMBER($T862)),"CHECK DATE",IF(TODAY()&gt;$T862,"OVERDUE","Due "&amp;TEXT($T862,"mm/dd")))))))</f>
        <v/>
      </c>
      <c r="V862" s="16" t="n"/>
      <c r="W862" s="16" t="n"/>
      <c r="X862" s="17">
        <f>IF($C862="","",IF(AND($L862&lt;&gt;"",NOT(ISNUMBER($L862))),"RAW SCORE NOT A NUMBER",IF(AND(ISNUMBER($L862),OR($L862&lt;0,$L862&gt;100)),"RAW SCORE OUT OF RANGE",IF(AND($Y862="Unexcused",OR($L862="",NOT(ISNUMBER($L862)),$L862&lt;&gt;0)),"UNEXCUSED ABSENCE MUST RECORD 0",IF(COUNTIF(nrES_RecID,$B862)&gt;1,"DUPLICATE RECORD",IF(N($K862)&gt;2,"ATTEMPT 3+ NOT ALLOWED - policy 300.5 permits one retest per exam; this row records nothing",IF(AND($K862=2,COUNTIFS(nrES_PID,$D862,nrES_Code,$F862,nrES_Att,1)=0),"ATTEMPT 2 WITHOUT ATTEMPT 1",IF(AND($K862=2,$L862=""),"RETEST ROW HAS NO SCORE",IF(AND($H862="Final",$L862&lt;&gt;"",IFERROR(INDEX(nrCKfinalExamElig,MATCH($D862,rngCadetPIDs,0)),"")="No"),"FINAL EXAM AFTER FAILED FINAL PT (500.1.H)",IF(AND($K862=2,ISNUMBER($L862),COUNTIFS(nrES_PID,$D862,nrES_Code,$F862,nrES_Att,1)&gt;0,SUMIFS(nrES_Raw,nrES_PID,$D862,nrES_Code,$F862,nrES_Att,1)&gt;=$J862),"RETEST AFTER A PASSING FIRST ATTEMPT","OK"))))))))))</f>
        <v/>
      </c>
      <c r="Y862" s="16" t="n"/>
    </row>
    <row r="863">
      <c r="B863" s="17">
        <f>IF($C863="","",$D863&amp;"-"&amp;$F863&amp;"-"&amp;$K863)</f>
        <v/>
      </c>
      <c r="C863" s="16" t="n"/>
      <c r="D863" s="17">
        <f>IF($C863="","",IFERROR(INDEX(rngCadetPIDs,MATCH($C863,rngCadetNames,0)),"?"))</f>
        <v/>
      </c>
      <c r="E863" s="17">
        <f>IF($D863="","",IFERROR(INDEX(nrCadetAgency,MATCH($D863,rngCadetPIDs,0)),""))</f>
        <v/>
      </c>
      <c r="F863" s="16" t="n"/>
      <c r="G863" s="17">
        <f>IF($F863="","",IFERROR(INDEX(rngEPname,MATCH($F863,rngEPcode,0)),"?"))</f>
        <v/>
      </c>
      <c r="H863" s="17">
        <f>IF($F863="","",IFERROR(INDEX(rngEPtype,MATCH($F863,rngEPcode,0)),"?"))</f>
        <v/>
      </c>
      <c r="I863" s="17">
        <f>IF($F863="","",IFERROR(INDEX(rngEPseq,MATCH($F863,rngEPcode,0)),""))</f>
        <v/>
      </c>
      <c r="J863" s="17">
        <f>IF($F863="","",IFERROR(INDEX(rngEPpass,MATCH($F863,rngEPcode,0)),cfgPassingScore))</f>
        <v/>
      </c>
      <c r="K863" s="16" t="n"/>
      <c r="L863" s="16" t="n"/>
      <c r="M863" s="17">
        <f>IF($C863="","",IF($L863="","",IF(NOT(ISNUMBER($L863)),$L863,IF(N($K863)&gt;2,"",IF($K863=1,IF(COUNTIFS(nrES_PID,$D863,nrES_Code,$F863,nrES_Att,2,nrES_Raw,"&gt;=0")&gt;0,"",$L863),IF($L863&gt;=$J863,MAX($J863,cfgRetakeRecordedCap),IF(COUNTIFS(nrES_PID,$D863,nrES_Code,$F863,nrES_Att,1)=0,$L863,SUMIFS(nrES_Raw,nrES_PID,$D863,nrES_Code,$F863,nrES_Att,1))))))))</f>
        <v/>
      </c>
      <c r="N863" s="17">
        <f>IF($C863="","",IF($L863="","",IF(NOT(ISNUMBER($L863)),"(not a score)",IF($L863&gt;=$J863,"Yes","No"))))</f>
        <v/>
      </c>
      <c r="O863" s="17">
        <f>IF($C863="","",IF($M863="","",IF(NOT(ISNUMBER($M863)),"(not a score)",IF($M863&gt;=$J863,"Yes","No"))))</f>
        <v/>
      </c>
      <c r="P863" s="17">
        <f>IF($C863="","",IF($K863="","",IF(N($K863)&gt;2,"No",IF(COUNTIFS(nrES_PID,$D863,nrES_Code,$F863,nrES_Att,"&gt;"&amp;$K863,nrES_Att,"&lt;=2",nrES_Raw,"&gt;=0")=0,"Yes","No"))))</f>
        <v/>
      </c>
      <c r="Q863" s="17">
        <f>IF($C863="","",IF($L863="","",IF(AND($K863=1,ISNUMBER($L863),$L863&lt;$J863,COUNTIFS(nrES_PID,$D863,nrES_Code,$F863,nrES_Att,2,nrES_Raw,"&gt;=0")=0),"Yes","No")))</f>
        <v/>
      </c>
      <c r="R863" s="17">
        <f>IF($C863="","",IF($L863="","",IF(AND(N($K863)&gt;=2,ISNUMBER($L863),$L863&lt;$J863),"Yes","No")))</f>
        <v/>
      </c>
      <c r="S863" s="18" t="n"/>
      <c r="T863" s="19">
        <f>IF(OR($C863="",$L863="",$K863&lt;&gt;1,NOT(ISNUMBER($L863)),$L863&gt;=$J863),"",IF($S863="","(enter date)",_xlfn.LET(_xlpm.dn,_xlfn.XLOOKUP($S863,nrCDdate,nrCDnum,"",1),IF(_xlpm.dn="","(after last class day)",_xlfn.LET(_xlpm.dd,_xlfn.XLOOKUP(_xlpm.dn+cfgRetestClassDays,nrCDnum,nrCDdate,""),_xlpm.ok,_xlfn.XLOOKUP(_xlpm.dn+cfgRetestClassDays,nrCDnum,nrCDinsession,"No"),IF(OR(_xlpm.dd="",_xlpm.ok&lt;&gt;"Yes"),"(after last class day)",_xlpm.dd))))))</f>
        <v/>
      </c>
      <c r="U863" s="17">
        <f>IF($C863="","",IF(AND($Y863="Excused",$L863="",N($K863)&lt;=1),"EXCUSED - 1st attempt pending",IF(OR($L863="",$K863&lt;&gt;1,NOT(ISNUMBER($L863)),$L863&gt;=$J863),"",IF(COUNTIFS(nrES_PID,$D863,nrES_Code,$F863,nrES_Att,2,nrES_Raw,"&gt;=0")&gt;0,IF(IFERROR(_xlfn.MINIFS(nrES_Date,nrES_PID,$D863,nrES_Code,$F863,nrES_Att,2,nrES_Raw,"&gt;=0",nrES_Date,"&gt;0"),0)=0,"RETEST UNDATED",IF(NOT(ISNUMBER($T863)),"RETEST DATE UNCHECKED",IF(_xlfn.MINIFS(nrES_Date,nrES_PID,$D863,nrES_Code,$F863,nrES_Att,2,nrES_Raw,"&gt;=0",nrES_Date,"&gt;0")&gt;$T863,"LATE RETEST "&amp;TEXT(_xlfn.MINIFS(nrES_Date,nrES_PID,$D863,nrES_Code,$F863,nrES_Att,2,nrES_Raw,"&gt;=0",nrES_Date,"&gt;0"),"mm/dd")&amp;" (due "&amp;TEXT($T863,"mm/dd")&amp;")","Retested"))),IF(NOT(ISNUMBER($T863)),"CHECK DATE",IF(TODAY()&gt;$T863,"OVERDUE","Due "&amp;TEXT($T863,"mm/dd")))))))</f>
        <v/>
      </c>
      <c r="V863" s="16" t="n"/>
      <c r="W863" s="16" t="n"/>
      <c r="X863" s="17">
        <f>IF($C863="","",IF(AND($L863&lt;&gt;"",NOT(ISNUMBER($L863))),"RAW SCORE NOT A NUMBER",IF(AND(ISNUMBER($L863),OR($L863&lt;0,$L863&gt;100)),"RAW SCORE OUT OF RANGE",IF(AND($Y863="Unexcused",OR($L863="",NOT(ISNUMBER($L863)),$L863&lt;&gt;0)),"UNEXCUSED ABSENCE MUST RECORD 0",IF(COUNTIF(nrES_RecID,$B863)&gt;1,"DUPLICATE RECORD",IF(N($K863)&gt;2,"ATTEMPT 3+ NOT ALLOWED - policy 300.5 permits one retest per exam; this row records nothing",IF(AND($K863=2,COUNTIFS(nrES_PID,$D863,nrES_Code,$F863,nrES_Att,1)=0),"ATTEMPT 2 WITHOUT ATTEMPT 1",IF(AND($K863=2,$L863=""),"RETEST ROW HAS NO SCORE",IF(AND($H863="Final",$L863&lt;&gt;"",IFERROR(INDEX(nrCKfinalExamElig,MATCH($D863,rngCadetPIDs,0)),"")="No"),"FINAL EXAM AFTER FAILED FINAL PT (500.1.H)",IF(AND($K863=2,ISNUMBER($L863),COUNTIFS(nrES_PID,$D863,nrES_Code,$F863,nrES_Att,1)&gt;0,SUMIFS(nrES_Raw,nrES_PID,$D863,nrES_Code,$F863,nrES_Att,1)&gt;=$J863),"RETEST AFTER A PASSING FIRST ATTEMPT","OK"))))))))))</f>
        <v/>
      </c>
      <c r="Y863" s="16" t="n"/>
    </row>
    <row r="864">
      <c r="B864" s="17">
        <f>IF($C864="","",$D864&amp;"-"&amp;$F864&amp;"-"&amp;$K864)</f>
        <v/>
      </c>
      <c r="C864" s="16" t="n"/>
      <c r="D864" s="17">
        <f>IF($C864="","",IFERROR(INDEX(rngCadetPIDs,MATCH($C864,rngCadetNames,0)),"?"))</f>
        <v/>
      </c>
      <c r="E864" s="17">
        <f>IF($D864="","",IFERROR(INDEX(nrCadetAgency,MATCH($D864,rngCadetPIDs,0)),""))</f>
        <v/>
      </c>
      <c r="F864" s="16" t="n"/>
      <c r="G864" s="17">
        <f>IF($F864="","",IFERROR(INDEX(rngEPname,MATCH($F864,rngEPcode,0)),"?"))</f>
        <v/>
      </c>
      <c r="H864" s="17">
        <f>IF($F864="","",IFERROR(INDEX(rngEPtype,MATCH($F864,rngEPcode,0)),"?"))</f>
        <v/>
      </c>
      <c r="I864" s="17">
        <f>IF($F864="","",IFERROR(INDEX(rngEPseq,MATCH($F864,rngEPcode,0)),""))</f>
        <v/>
      </c>
      <c r="J864" s="17">
        <f>IF($F864="","",IFERROR(INDEX(rngEPpass,MATCH($F864,rngEPcode,0)),cfgPassingScore))</f>
        <v/>
      </c>
      <c r="K864" s="16" t="n"/>
      <c r="L864" s="16" t="n"/>
      <c r="M864" s="17">
        <f>IF($C864="","",IF($L864="","",IF(NOT(ISNUMBER($L864)),$L864,IF(N($K864)&gt;2,"",IF($K864=1,IF(COUNTIFS(nrES_PID,$D864,nrES_Code,$F864,nrES_Att,2,nrES_Raw,"&gt;=0")&gt;0,"",$L864),IF($L864&gt;=$J864,MAX($J864,cfgRetakeRecordedCap),IF(COUNTIFS(nrES_PID,$D864,nrES_Code,$F864,nrES_Att,1)=0,$L864,SUMIFS(nrES_Raw,nrES_PID,$D864,nrES_Code,$F864,nrES_Att,1))))))))</f>
        <v/>
      </c>
      <c r="N864" s="17">
        <f>IF($C864="","",IF($L864="","",IF(NOT(ISNUMBER($L864)),"(not a score)",IF($L864&gt;=$J864,"Yes","No"))))</f>
        <v/>
      </c>
      <c r="O864" s="17">
        <f>IF($C864="","",IF($M864="","",IF(NOT(ISNUMBER($M864)),"(not a score)",IF($M864&gt;=$J864,"Yes","No"))))</f>
        <v/>
      </c>
      <c r="P864" s="17">
        <f>IF($C864="","",IF($K864="","",IF(N($K864)&gt;2,"No",IF(COUNTIFS(nrES_PID,$D864,nrES_Code,$F864,nrES_Att,"&gt;"&amp;$K864,nrES_Att,"&lt;=2",nrES_Raw,"&gt;=0")=0,"Yes","No"))))</f>
        <v/>
      </c>
      <c r="Q864" s="17">
        <f>IF($C864="","",IF($L864="","",IF(AND($K864=1,ISNUMBER($L864),$L864&lt;$J864,COUNTIFS(nrES_PID,$D864,nrES_Code,$F864,nrES_Att,2,nrES_Raw,"&gt;=0")=0),"Yes","No")))</f>
        <v/>
      </c>
      <c r="R864" s="17">
        <f>IF($C864="","",IF($L864="","",IF(AND(N($K864)&gt;=2,ISNUMBER($L864),$L864&lt;$J864),"Yes","No")))</f>
        <v/>
      </c>
      <c r="S864" s="18" t="n"/>
      <c r="T864" s="19">
        <f>IF(OR($C864="",$L864="",$K864&lt;&gt;1,NOT(ISNUMBER($L864)),$L864&gt;=$J864),"",IF($S864="","(enter date)",_xlfn.LET(_xlpm.dn,_xlfn.XLOOKUP($S864,nrCDdate,nrCDnum,"",1),IF(_xlpm.dn="","(after last class day)",_xlfn.LET(_xlpm.dd,_xlfn.XLOOKUP(_xlpm.dn+cfgRetestClassDays,nrCDnum,nrCDdate,""),_xlpm.ok,_xlfn.XLOOKUP(_xlpm.dn+cfgRetestClassDays,nrCDnum,nrCDinsession,"No"),IF(OR(_xlpm.dd="",_xlpm.ok&lt;&gt;"Yes"),"(after last class day)",_xlpm.dd))))))</f>
        <v/>
      </c>
      <c r="U864" s="17">
        <f>IF($C864="","",IF(AND($Y864="Excused",$L864="",N($K864)&lt;=1),"EXCUSED - 1st attempt pending",IF(OR($L864="",$K864&lt;&gt;1,NOT(ISNUMBER($L864)),$L864&gt;=$J864),"",IF(COUNTIFS(nrES_PID,$D864,nrES_Code,$F864,nrES_Att,2,nrES_Raw,"&gt;=0")&gt;0,IF(IFERROR(_xlfn.MINIFS(nrES_Date,nrES_PID,$D864,nrES_Code,$F864,nrES_Att,2,nrES_Raw,"&gt;=0",nrES_Date,"&gt;0"),0)=0,"RETEST UNDATED",IF(NOT(ISNUMBER($T864)),"RETEST DATE UNCHECKED",IF(_xlfn.MINIFS(nrES_Date,nrES_PID,$D864,nrES_Code,$F864,nrES_Att,2,nrES_Raw,"&gt;=0",nrES_Date,"&gt;0")&gt;$T864,"LATE RETEST "&amp;TEXT(_xlfn.MINIFS(nrES_Date,nrES_PID,$D864,nrES_Code,$F864,nrES_Att,2,nrES_Raw,"&gt;=0",nrES_Date,"&gt;0"),"mm/dd")&amp;" (due "&amp;TEXT($T864,"mm/dd")&amp;")","Retested"))),IF(NOT(ISNUMBER($T864)),"CHECK DATE",IF(TODAY()&gt;$T864,"OVERDUE","Due "&amp;TEXT($T864,"mm/dd")))))))</f>
        <v/>
      </c>
      <c r="V864" s="16" t="n"/>
      <c r="W864" s="16" t="n"/>
      <c r="X864" s="17">
        <f>IF($C864="","",IF(AND($L864&lt;&gt;"",NOT(ISNUMBER($L864))),"RAW SCORE NOT A NUMBER",IF(AND(ISNUMBER($L864),OR($L864&lt;0,$L864&gt;100)),"RAW SCORE OUT OF RANGE",IF(AND($Y864="Unexcused",OR($L864="",NOT(ISNUMBER($L864)),$L864&lt;&gt;0)),"UNEXCUSED ABSENCE MUST RECORD 0",IF(COUNTIF(nrES_RecID,$B864)&gt;1,"DUPLICATE RECORD",IF(N($K864)&gt;2,"ATTEMPT 3+ NOT ALLOWED - policy 300.5 permits one retest per exam; this row records nothing",IF(AND($K864=2,COUNTIFS(nrES_PID,$D864,nrES_Code,$F864,nrES_Att,1)=0),"ATTEMPT 2 WITHOUT ATTEMPT 1",IF(AND($K864=2,$L864=""),"RETEST ROW HAS NO SCORE",IF(AND($H864="Final",$L864&lt;&gt;"",IFERROR(INDEX(nrCKfinalExamElig,MATCH($D864,rngCadetPIDs,0)),"")="No"),"FINAL EXAM AFTER FAILED FINAL PT (500.1.H)",IF(AND($K864=2,ISNUMBER($L864),COUNTIFS(nrES_PID,$D864,nrES_Code,$F864,nrES_Att,1)&gt;0,SUMIFS(nrES_Raw,nrES_PID,$D864,nrES_Code,$F864,nrES_Att,1)&gt;=$J864),"RETEST AFTER A PASSING FIRST ATTEMPT","OK"))))))))))</f>
        <v/>
      </c>
      <c r="Y864" s="16" t="n"/>
    </row>
    <row r="865">
      <c r="B865" s="17">
        <f>IF($C865="","",$D865&amp;"-"&amp;$F865&amp;"-"&amp;$K865)</f>
        <v/>
      </c>
      <c r="C865" s="16" t="n"/>
      <c r="D865" s="17">
        <f>IF($C865="","",IFERROR(INDEX(rngCadetPIDs,MATCH($C865,rngCadetNames,0)),"?"))</f>
        <v/>
      </c>
      <c r="E865" s="17">
        <f>IF($D865="","",IFERROR(INDEX(nrCadetAgency,MATCH($D865,rngCadetPIDs,0)),""))</f>
        <v/>
      </c>
      <c r="F865" s="16" t="n"/>
      <c r="G865" s="17">
        <f>IF($F865="","",IFERROR(INDEX(rngEPname,MATCH($F865,rngEPcode,0)),"?"))</f>
        <v/>
      </c>
      <c r="H865" s="17">
        <f>IF($F865="","",IFERROR(INDEX(rngEPtype,MATCH($F865,rngEPcode,0)),"?"))</f>
        <v/>
      </c>
      <c r="I865" s="17">
        <f>IF($F865="","",IFERROR(INDEX(rngEPseq,MATCH($F865,rngEPcode,0)),""))</f>
        <v/>
      </c>
      <c r="J865" s="17">
        <f>IF($F865="","",IFERROR(INDEX(rngEPpass,MATCH($F865,rngEPcode,0)),cfgPassingScore))</f>
        <v/>
      </c>
      <c r="K865" s="16" t="n"/>
      <c r="L865" s="16" t="n"/>
      <c r="M865" s="17">
        <f>IF($C865="","",IF($L865="","",IF(NOT(ISNUMBER($L865)),$L865,IF(N($K865)&gt;2,"",IF($K865=1,IF(COUNTIFS(nrES_PID,$D865,nrES_Code,$F865,nrES_Att,2,nrES_Raw,"&gt;=0")&gt;0,"",$L865),IF($L865&gt;=$J865,MAX($J865,cfgRetakeRecordedCap),IF(COUNTIFS(nrES_PID,$D865,nrES_Code,$F865,nrES_Att,1)=0,$L865,SUMIFS(nrES_Raw,nrES_PID,$D865,nrES_Code,$F865,nrES_Att,1))))))))</f>
        <v/>
      </c>
      <c r="N865" s="17">
        <f>IF($C865="","",IF($L865="","",IF(NOT(ISNUMBER($L865)),"(not a score)",IF($L865&gt;=$J865,"Yes","No"))))</f>
        <v/>
      </c>
      <c r="O865" s="17">
        <f>IF($C865="","",IF($M865="","",IF(NOT(ISNUMBER($M865)),"(not a score)",IF($M865&gt;=$J865,"Yes","No"))))</f>
        <v/>
      </c>
      <c r="P865" s="17">
        <f>IF($C865="","",IF($K865="","",IF(N($K865)&gt;2,"No",IF(COUNTIFS(nrES_PID,$D865,nrES_Code,$F865,nrES_Att,"&gt;"&amp;$K865,nrES_Att,"&lt;=2",nrES_Raw,"&gt;=0")=0,"Yes","No"))))</f>
        <v/>
      </c>
      <c r="Q865" s="17">
        <f>IF($C865="","",IF($L865="","",IF(AND($K865=1,ISNUMBER($L865),$L865&lt;$J865,COUNTIFS(nrES_PID,$D865,nrES_Code,$F865,nrES_Att,2,nrES_Raw,"&gt;=0")=0),"Yes","No")))</f>
        <v/>
      </c>
      <c r="R865" s="17">
        <f>IF($C865="","",IF($L865="","",IF(AND(N($K865)&gt;=2,ISNUMBER($L865),$L865&lt;$J865),"Yes","No")))</f>
        <v/>
      </c>
      <c r="S865" s="18" t="n"/>
      <c r="T865" s="19">
        <f>IF(OR($C865="",$L865="",$K865&lt;&gt;1,NOT(ISNUMBER($L865)),$L865&gt;=$J865),"",IF($S865="","(enter date)",_xlfn.LET(_xlpm.dn,_xlfn.XLOOKUP($S865,nrCDdate,nrCDnum,"",1),IF(_xlpm.dn="","(after last class day)",_xlfn.LET(_xlpm.dd,_xlfn.XLOOKUP(_xlpm.dn+cfgRetestClassDays,nrCDnum,nrCDdate,""),_xlpm.ok,_xlfn.XLOOKUP(_xlpm.dn+cfgRetestClassDays,nrCDnum,nrCDinsession,"No"),IF(OR(_xlpm.dd="",_xlpm.ok&lt;&gt;"Yes"),"(after last class day)",_xlpm.dd))))))</f>
        <v/>
      </c>
      <c r="U865" s="17">
        <f>IF($C865="","",IF(AND($Y865="Excused",$L865="",N($K865)&lt;=1),"EXCUSED - 1st attempt pending",IF(OR($L865="",$K865&lt;&gt;1,NOT(ISNUMBER($L865)),$L865&gt;=$J865),"",IF(COUNTIFS(nrES_PID,$D865,nrES_Code,$F865,nrES_Att,2,nrES_Raw,"&gt;=0")&gt;0,IF(IFERROR(_xlfn.MINIFS(nrES_Date,nrES_PID,$D865,nrES_Code,$F865,nrES_Att,2,nrES_Raw,"&gt;=0",nrES_Date,"&gt;0"),0)=0,"RETEST UNDATED",IF(NOT(ISNUMBER($T865)),"RETEST DATE UNCHECKED",IF(_xlfn.MINIFS(nrES_Date,nrES_PID,$D865,nrES_Code,$F865,nrES_Att,2,nrES_Raw,"&gt;=0",nrES_Date,"&gt;0")&gt;$T865,"LATE RETEST "&amp;TEXT(_xlfn.MINIFS(nrES_Date,nrES_PID,$D865,nrES_Code,$F865,nrES_Att,2,nrES_Raw,"&gt;=0",nrES_Date,"&gt;0"),"mm/dd")&amp;" (due "&amp;TEXT($T865,"mm/dd")&amp;")","Retested"))),IF(NOT(ISNUMBER($T865)),"CHECK DATE",IF(TODAY()&gt;$T865,"OVERDUE","Due "&amp;TEXT($T865,"mm/dd")))))))</f>
        <v/>
      </c>
      <c r="V865" s="16" t="n"/>
      <c r="W865" s="16" t="n"/>
      <c r="X865" s="17">
        <f>IF($C865="","",IF(AND($L865&lt;&gt;"",NOT(ISNUMBER($L865))),"RAW SCORE NOT A NUMBER",IF(AND(ISNUMBER($L865),OR($L865&lt;0,$L865&gt;100)),"RAW SCORE OUT OF RANGE",IF(AND($Y865="Unexcused",OR($L865="",NOT(ISNUMBER($L865)),$L865&lt;&gt;0)),"UNEXCUSED ABSENCE MUST RECORD 0",IF(COUNTIF(nrES_RecID,$B865)&gt;1,"DUPLICATE RECORD",IF(N($K865)&gt;2,"ATTEMPT 3+ NOT ALLOWED - policy 300.5 permits one retest per exam; this row records nothing",IF(AND($K865=2,COUNTIFS(nrES_PID,$D865,nrES_Code,$F865,nrES_Att,1)=0),"ATTEMPT 2 WITHOUT ATTEMPT 1",IF(AND($K865=2,$L865=""),"RETEST ROW HAS NO SCORE",IF(AND($H865="Final",$L865&lt;&gt;"",IFERROR(INDEX(nrCKfinalExamElig,MATCH($D865,rngCadetPIDs,0)),"")="No"),"FINAL EXAM AFTER FAILED FINAL PT (500.1.H)",IF(AND($K865=2,ISNUMBER($L865),COUNTIFS(nrES_PID,$D865,nrES_Code,$F865,nrES_Att,1)&gt;0,SUMIFS(nrES_Raw,nrES_PID,$D865,nrES_Code,$F865,nrES_Att,1)&gt;=$J865),"RETEST AFTER A PASSING FIRST ATTEMPT","OK"))))))))))</f>
        <v/>
      </c>
      <c r="Y865" s="16" t="n"/>
    </row>
    <row r="866">
      <c r="B866" s="17">
        <f>IF($C866="","",$D866&amp;"-"&amp;$F866&amp;"-"&amp;$K866)</f>
        <v/>
      </c>
      <c r="C866" s="16" t="n"/>
      <c r="D866" s="17">
        <f>IF($C866="","",IFERROR(INDEX(rngCadetPIDs,MATCH($C866,rngCadetNames,0)),"?"))</f>
        <v/>
      </c>
      <c r="E866" s="17">
        <f>IF($D866="","",IFERROR(INDEX(nrCadetAgency,MATCH($D866,rngCadetPIDs,0)),""))</f>
        <v/>
      </c>
      <c r="F866" s="16" t="n"/>
      <c r="G866" s="17">
        <f>IF($F866="","",IFERROR(INDEX(rngEPname,MATCH($F866,rngEPcode,0)),"?"))</f>
        <v/>
      </c>
      <c r="H866" s="17">
        <f>IF($F866="","",IFERROR(INDEX(rngEPtype,MATCH($F866,rngEPcode,0)),"?"))</f>
        <v/>
      </c>
      <c r="I866" s="17">
        <f>IF($F866="","",IFERROR(INDEX(rngEPseq,MATCH($F866,rngEPcode,0)),""))</f>
        <v/>
      </c>
      <c r="J866" s="17">
        <f>IF($F866="","",IFERROR(INDEX(rngEPpass,MATCH($F866,rngEPcode,0)),cfgPassingScore))</f>
        <v/>
      </c>
      <c r="K866" s="16" t="n"/>
      <c r="L866" s="16" t="n"/>
      <c r="M866" s="17">
        <f>IF($C866="","",IF($L866="","",IF(NOT(ISNUMBER($L866)),$L866,IF(N($K866)&gt;2,"",IF($K866=1,IF(COUNTIFS(nrES_PID,$D866,nrES_Code,$F866,nrES_Att,2,nrES_Raw,"&gt;=0")&gt;0,"",$L866),IF($L866&gt;=$J866,MAX($J866,cfgRetakeRecordedCap),IF(COUNTIFS(nrES_PID,$D866,nrES_Code,$F866,nrES_Att,1)=0,$L866,SUMIFS(nrES_Raw,nrES_PID,$D866,nrES_Code,$F866,nrES_Att,1))))))))</f>
        <v/>
      </c>
      <c r="N866" s="17">
        <f>IF($C866="","",IF($L866="","",IF(NOT(ISNUMBER($L866)),"(not a score)",IF($L866&gt;=$J866,"Yes","No"))))</f>
        <v/>
      </c>
      <c r="O866" s="17">
        <f>IF($C866="","",IF($M866="","",IF(NOT(ISNUMBER($M866)),"(not a score)",IF($M866&gt;=$J866,"Yes","No"))))</f>
        <v/>
      </c>
      <c r="P866" s="17">
        <f>IF($C866="","",IF($K866="","",IF(N($K866)&gt;2,"No",IF(COUNTIFS(nrES_PID,$D866,nrES_Code,$F866,nrES_Att,"&gt;"&amp;$K866,nrES_Att,"&lt;=2",nrES_Raw,"&gt;=0")=0,"Yes","No"))))</f>
        <v/>
      </c>
      <c r="Q866" s="17">
        <f>IF($C866="","",IF($L866="","",IF(AND($K866=1,ISNUMBER($L866),$L866&lt;$J866,COUNTIFS(nrES_PID,$D866,nrES_Code,$F866,nrES_Att,2,nrES_Raw,"&gt;=0")=0),"Yes","No")))</f>
        <v/>
      </c>
      <c r="R866" s="17">
        <f>IF($C866="","",IF($L866="","",IF(AND(N($K866)&gt;=2,ISNUMBER($L866),$L866&lt;$J866),"Yes","No")))</f>
        <v/>
      </c>
      <c r="S866" s="18" t="n"/>
      <c r="T866" s="19">
        <f>IF(OR($C866="",$L866="",$K866&lt;&gt;1,NOT(ISNUMBER($L866)),$L866&gt;=$J866),"",IF($S866="","(enter date)",_xlfn.LET(_xlpm.dn,_xlfn.XLOOKUP($S866,nrCDdate,nrCDnum,"",1),IF(_xlpm.dn="","(after last class day)",_xlfn.LET(_xlpm.dd,_xlfn.XLOOKUP(_xlpm.dn+cfgRetestClassDays,nrCDnum,nrCDdate,""),_xlpm.ok,_xlfn.XLOOKUP(_xlpm.dn+cfgRetestClassDays,nrCDnum,nrCDinsession,"No"),IF(OR(_xlpm.dd="",_xlpm.ok&lt;&gt;"Yes"),"(after last class day)",_xlpm.dd))))))</f>
        <v/>
      </c>
      <c r="U866" s="17">
        <f>IF($C866="","",IF(AND($Y866="Excused",$L866="",N($K866)&lt;=1),"EXCUSED - 1st attempt pending",IF(OR($L866="",$K866&lt;&gt;1,NOT(ISNUMBER($L866)),$L866&gt;=$J866),"",IF(COUNTIFS(nrES_PID,$D866,nrES_Code,$F866,nrES_Att,2,nrES_Raw,"&gt;=0")&gt;0,IF(IFERROR(_xlfn.MINIFS(nrES_Date,nrES_PID,$D866,nrES_Code,$F866,nrES_Att,2,nrES_Raw,"&gt;=0",nrES_Date,"&gt;0"),0)=0,"RETEST UNDATED",IF(NOT(ISNUMBER($T866)),"RETEST DATE UNCHECKED",IF(_xlfn.MINIFS(nrES_Date,nrES_PID,$D866,nrES_Code,$F866,nrES_Att,2,nrES_Raw,"&gt;=0",nrES_Date,"&gt;0")&gt;$T866,"LATE RETEST "&amp;TEXT(_xlfn.MINIFS(nrES_Date,nrES_PID,$D866,nrES_Code,$F866,nrES_Att,2,nrES_Raw,"&gt;=0",nrES_Date,"&gt;0"),"mm/dd")&amp;" (due "&amp;TEXT($T866,"mm/dd")&amp;")","Retested"))),IF(NOT(ISNUMBER($T866)),"CHECK DATE",IF(TODAY()&gt;$T866,"OVERDUE","Due "&amp;TEXT($T866,"mm/dd")))))))</f>
        <v/>
      </c>
      <c r="V866" s="16" t="n"/>
      <c r="W866" s="16" t="n"/>
      <c r="X866" s="17">
        <f>IF($C866="","",IF(AND($L866&lt;&gt;"",NOT(ISNUMBER($L866))),"RAW SCORE NOT A NUMBER",IF(AND(ISNUMBER($L866),OR($L866&lt;0,$L866&gt;100)),"RAW SCORE OUT OF RANGE",IF(AND($Y866="Unexcused",OR($L866="",NOT(ISNUMBER($L866)),$L866&lt;&gt;0)),"UNEXCUSED ABSENCE MUST RECORD 0",IF(COUNTIF(nrES_RecID,$B866)&gt;1,"DUPLICATE RECORD",IF(N($K866)&gt;2,"ATTEMPT 3+ NOT ALLOWED - policy 300.5 permits one retest per exam; this row records nothing",IF(AND($K866=2,COUNTIFS(nrES_PID,$D866,nrES_Code,$F866,nrES_Att,1)=0),"ATTEMPT 2 WITHOUT ATTEMPT 1",IF(AND($K866=2,$L866=""),"RETEST ROW HAS NO SCORE",IF(AND($H866="Final",$L866&lt;&gt;"",IFERROR(INDEX(nrCKfinalExamElig,MATCH($D866,rngCadetPIDs,0)),"")="No"),"FINAL EXAM AFTER FAILED FINAL PT (500.1.H)",IF(AND($K866=2,ISNUMBER($L866),COUNTIFS(nrES_PID,$D866,nrES_Code,$F866,nrES_Att,1)&gt;0,SUMIFS(nrES_Raw,nrES_PID,$D866,nrES_Code,$F866,nrES_Att,1)&gt;=$J866),"RETEST AFTER A PASSING FIRST ATTEMPT","OK"))))))))))</f>
        <v/>
      </c>
      <c r="Y866" s="16" t="n"/>
    </row>
    <row r="867">
      <c r="B867" s="17">
        <f>IF($C867="","",$D867&amp;"-"&amp;$F867&amp;"-"&amp;$K867)</f>
        <v/>
      </c>
      <c r="C867" s="16" t="n"/>
      <c r="D867" s="17">
        <f>IF($C867="","",IFERROR(INDEX(rngCadetPIDs,MATCH($C867,rngCadetNames,0)),"?"))</f>
        <v/>
      </c>
      <c r="E867" s="17">
        <f>IF($D867="","",IFERROR(INDEX(nrCadetAgency,MATCH($D867,rngCadetPIDs,0)),""))</f>
        <v/>
      </c>
      <c r="F867" s="16" t="n"/>
      <c r="G867" s="17">
        <f>IF($F867="","",IFERROR(INDEX(rngEPname,MATCH($F867,rngEPcode,0)),"?"))</f>
        <v/>
      </c>
      <c r="H867" s="17">
        <f>IF($F867="","",IFERROR(INDEX(rngEPtype,MATCH($F867,rngEPcode,0)),"?"))</f>
        <v/>
      </c>
      <c r="I867" s="17">
        <f>IF($F867="","",IFERROR(INDEX(rngEPseq,MATCH($F867,rngEPcode,0)),""))</f>
        <v/>
      </c>
      <c r="J867" s="17">
        <f>IF($F867="","",IFERROR(INDEX(rngEPpass,MATCH($F867,rngEPcode,0)),cfgPassingScore))</f>
        <v/>
      </c>
      <c r="K867" s="16" t="n"/>
      <c r="L867" s="16" t="n"/>
      <c r="M867" s="17">
        <f>IF($C867="","",IF($L867="","",IF(NOT(ISNUMBER($L867)),$L867,IF(N($K867)&gt;2,"",IF($K867=1,IF(COUNTIFS(nrES_PID,$D867,nrES_Code,$F867,nrES_Att,2,nrES_Raw,"&gt;=0")&gt;0,"",$L867),IF($L867&gt;=$J867,MAX($J867,cfgRetakeRecordedCap),IF(COUNTIFS(nrES_PID,$D867,nrES_Code,$F867,nrES_Att,1)=0,$L867,SUMIFS(nrES_Raw,nrES_PID,$D867,nrES_Code,$F867,nrES_Att,1))))))))</f>
        <v/>
      </c>
      <c r="N867" s="17">
        <f>IF($C867="","",IF($L867="","",IF(NOT(ISNUMBER($L867)),"(not a score)",IF($L867&gt;=$J867,"Yes","No"))))</f>
        <v/>
      </c>
      <c r="O867" s="17">
        <f>IF($C867="","",IF($M867="","",IF(NOT(ISNUMBER($M867)),"(not a score)",IF($M867&gt;=$J867,"Yes","No"))))</f>
        <v/>
      </c>
      <c r="P867" s="17">
        <f>IF($C867="","",IF($K867="","",IF(N($K867)&gt;2,"No",IF(COUNTIFS(nrES_PID,$D867,nrES_Code,$F867,nrES_Att,"&gt;"&amp;$K867,nrES_Att,"&lt;=2",nrES_Raw,"&gt;=0")=0,"Yes","No"))))</f>
        <v/>
      </c>
      <c r="Q867" s="17">
        <f>IF($C867="","",IF($L867="","",IF(AND($K867=1,ISNUMBER($L867),$L867&lt;$J867,COUNTIFS(nrES_PID,$D867,nrES_Code,$F867,nrES_Att,2,nrES_Raw,"&gt;=0")=0),"Yes","No")))</f>
        <v/>
      </c>
      <c r="R867" s="17">
        <f>IF($C867="","",IF($L867="","",IF(AND(N($K867)&gt;=2,ISNUMBER($L867),$L867&lt;$J867),"Yes","No")))</f>
        <v/>
      </c>
      <c r="S867" s="18" t="n"/>
      <c r="T867" s="19">
        <f>IF(OR($C867="",$L867="",$K867&lt;&gt;1,NOT(ISNUMBER($L867)),$L867&gt;=$J867),"",IF($S867="","(enter date)",_xlfn.LET(_xlpm.dn,_xlfn.XLOOKUP($S867,nrCDdate,nrCDnum,"",1),IF(_xlpm.dn="","(after last class day)",_xlfn.LET(_xlpm.dd,_xlfn.XLOOKUP(_xlpm.dn+cfgRetestClassDays,nrCDnum,nrCDdate,""),_xlpm.ok,_xlfn.XLOOKUP(_xlpm.dn+cfgRetestClassDays,nrCDnum,nrCDinsession,"No"),IF(OR(_xlpm.dd="",_xlpm.ok&lt;&gt;"Yes"),"(after last class day)",_xlpm.dd))))))</f>
        <v/>
      </c>
      <c r="U867" s="17">
        <f>IF($C867="","",IF(AND($Y867="Excused",$L867="",N($K867)&lt;=1),"EXCUSED - 1st attempt pending",IF(OR($L867="",$K867&lt;&gt;1,NOT(ISNUMBER($L867)),$L867&gt;=$J867),"",IF(COUNTIFS(nrES_PID,$D867,nrES_Code,$F867,nrES_Att,2,nrES_Raw,"&gt;=0")&gt;0,IF(IFERROR(_xlfn.MINIFS(nrES_Date,nrES_PID,$D867,nrES_Code,$F867,nrES_Att,2,nrES_Raw,"&gt;=0",nrES_Date,"&gt;0"),0)=0,"RETEST UNDATED",IF(NOT(ISNUMBER($T867)),"RETEST DATE UNCHECKED",IF(_xlfn.MINIFS(nrES_Date,nrES_PID,$D867,nrES_Code,$F867,nrES_Att,2,nrES_Raw,"&gt;=0",nrES_Date,"&gt;0")&gt;$T867,"LATE RETEST "&amp;TEXT(_xlfn.MINIFS(nrES_Date,nrES_PID,$D867,nrES_Code,$F867,nrES_Att,2,nrES_Raw,"&gt;=0",nrES_Date,"&gt;0"),"mm/dd")&amp;" (due "&amp;TEXT($T867,"mm/dd")&amp;")","Retested"))),IF(NOT(ISNUMBER($T867)),"CHECK DATE",IF(TODAY()&gt;$T867,"OVERDUE","Due "&amp;TEXT($T867,"mm/dd")))))))</f>
        <v/>
      </c>
      <c r="V867" s="16" t="n"/>
      <c r="W867" s="16" t="n"/>
      <c r="X867" s="17">
        <f>IF($C867="","",IF(AND($L867&lt;&gt;"",NOT(ISNUMBER($L867))),"RAW SCORE NOT A NUMBER",IF(AND(ISNUMBER($L867),OR($L867&lt;0,$L867&gt;100)),"RAW SCORE OUT OF RANGE",IF(AND($Y867="Unexcused",OR($L867="",NOT(ISNUMBER($L867)),$L867&lt;&gt;0)),"UNEXCUSED ABSENCE MUST RECORD 0",IF(COUNTIF(nrES_RecID,$B867)&gt;1,"DUPLICATE RECORD",IF(N($K867)&gt;2,"ATTEMPT 3+ NOT ALLOWED - policy 300.5 permits one retest per exam; this row records nothing",IF(AND($K867=2,COUNTIFS(nrES_PID,$D867,nrES_Code,$F867,nrES_Att,1)=0),"ATTEMPT 2 WITHOUT ATTEMPT 1",IF(AND($K867=2,$L867=""),"RETEST ROW HAS NO SCORE",IF(AND($H867="Final",$L867&lt;&gt;"",IFERROR(INDEX(nrCKfinalExamElig,MATCH($D867,rngCadetPIDs,0)),"")="No"),"FINAL EXAM AFTER FAILED FINAL PT (500.1.H)",IF(AND($K867=2,ISNUMBER($L867),COUNTIFS(nrES_PID,$D867,nrES_Code,$F867,nrES_Att,1)&gt;0,SUMIFS(nrES_Raw,nrES_PID,$D867,nrES_Code,$F867,nrES_Att,1)&gt;=$J867),"RETEST AFTER A PASSING FIRST ATTEMPT","OK"))))))))))</f>
        <v/>
      </c>
      <c r="Y867" s="16" t="n"/>
    </row>
    <row r="868">
      <c r="B868" s="17">
        <f>IF($C868="","",$D868&amp;"-"&amp;$F868&amp;"-"&amp;$K868)</f>
        <v/>
      </c>
      <c r="C868" s="16" t="n"/>
      <c r="D868" s="17">
        <f>IF($C868="","",IFERROR(INDEX(rngCadetPIDs,MATCH($C868,rngCadetNames,0)),"?"))</f>
        <v/>
      </c>
      <c r="E868" s="17">
        <f>IF($D868="","",IFERROR(INDEX(nrCadetAgency,MATCH($D868,rngCadetPIDs,0)),""))</f>
        <v/>
      </c>
      <c r="F868" s="16" t="n"/>
      <c r="G868" s="17">
        <f>IF($F868="","",IFERROR(INDEX(rngEPname,MATCH($F868,rngEPcode,0)),"?"))</f>
        <v/>
      </c>
      <c r="H868" s="17">
        <f>IF($F868="","",IFERROR(INDEX(rngEPtype,MATCH($F868,rngEPcode,0)),"?"))</f>
        <v/>
      </c>
      <c r="I868" s="17">
        <f>IF($F868="","",IFERROR(INDEX(rngEPseq,MATCH($F868,rngEPcode,0)),""))</f>
        <v/>
      </c>
      <c r="J868" s="17">
        <f>IF($F868="","",IFERROR(INDEX(rngEPpass,MATCH($F868,rngEPcode,0)),cfgPassingScore))</f>
        <v/>
      </c>
      <c r="K868" s="16" t="n"/>
      <c r="L868" s="16" t="n"/>
      <c r="M868" s="17">
        <f>IF($C868="","",IF($L868="","",IF(NOT(ISNUMBER($L868)),$L868,IF(N($K868)&gt;2,"",IF($K868=1,IF(COUNTIFS(nrES_PID,$D868,nrES_Code,$F868,nrES_Att,2,nrES_Raw,"&gt;=0")&gt;0,"",$L868),IF($L868&gt;=$J868,MAX($J868,cfgRetakeRecordedCap),IF(COUNTIFS(nrES_PID,$D868,nrES_Code,$F868,nrES_Att,1)=0,$L868,SUMIFS(nrES_Raw,nrES_PID,$D868,nrES_Code,$F868,nrES_Att,1))))))))</f>
        <v/>
      </c>
      <c r="N868" s="17">
        <f>IF($C868="","",IF($L868="","",IF(NOT(ISNUMBER($L868)),"(not a score)",IF($L868&gt;=$J868,"Yes","No"))))</f>
        <v/>
      </c>
      <c r="O868" s="17">
        <f>IF($C868="","",IF($M868="","",IF(NOT(ISNUMBER($M868)),"(not a score)",IF($M868&gt;=$J868,"Yes","No"))))</f>
        <v/>
      </c>
      <c r="P868" s="17">
        <f>IF($C868="","",IF($K868="","",IF(N($K868)&gt;2,"No",IF(COUNTIFS(nrES_PID,$D868,nrES_Code,$F868,nrES_Att,"&gt;"&amp;$K868,nrES_Att,"&lt;=2",nrES_Raw,"&gt;=0")=0,"Yes","No"))))</f>
        <v/>
      </c>
      <c r="Q868" s="17">
        <f>IF($C868="","",IF($L868="","",IF(AND($K868=1,ISNUMBER($L868),$L868&lt;$J868,COUNTIFS(nrES_PID,$D868,nrES_Code,$F868,nrES_Att,2,nrES_Raw,"&gt;=0")=0),"Yes","No")))</f>
        <v/>
      </c>
      <c r="R868" s="17">
        <f>IF($C868="","",IF($L868="","",IF(AND(N($K868)&gt;=2,ISNUMBER($L868),$L868&lt;$J868),"Yes","No")))</f>
        <v/>
      </c>
      <c r="S868" s="18" t="n"/>
      <c r="T868" s="19">
        <f>IF(OR($C868="",$L868="",$K868&lt;&gt;1,NOT(ISNUMBER($L868)),$L868&gt;=$J868),"",IF($S868="","(enter date)",_xlfn.LET(_xlpm.dn,_xlfn.XLOOKUP($S868,nrCDdate,nrCDnum,"",1),IF(_xlpm.dn="","(after last class day)",_xlfn.LET(_xlpm.dd,_xlfn.XLOOKUP(_xlpm.dn+cfgRetestClassDays,nrCDnum,nrCDdate,""),_xlpm.ok,_xlfn.XLOOKUP(_xlpm.dn+cfgRetestClassDays,nrCDnum,nrCDinsession,"No"),IF(OR(_xlpm.dd="",_xlpm.ok&lt;&gt;"Yes"),"(after last class day)",_xlpm.dd))))))</f>
        <v/>
      </c>
      <c r="U868" s="17">
        <f>IF($C868="","",IF(AND($Y868="Excused",$L868="",N($K868)&lt;=1),"EXCUSED - 1st attempt pending",IF(OR($L868="",$K868&lt;&gt;1,NOT(ISNUMBER($L868)),$L868&gt;=$J868),"",IF(COUNTIFS(nrES_PID,$D868,nrES_Code,$F868,nrES_Att,2,nrES_Raw,"&gt;=0")&gt;0,IF(IFERROR(_xlfn.MINIFS(nrES_Date,nrES_PID,$D868,nrES_Code,$F868,nrES_Att,2,nrES_Raw,"&gt;=0",nrES_Date,"&gt;0"),0)=0,"RETEST UNDATED",IF(NOT(ISNUMBER($T868)),"RETEST DATE UNCHECKED",IF(_xlfn.MINIFS(nrES_Date,nrES_PID,$D868,nrES_Code,$F868,nrES_Att,2,nrES_Raw,"&gt;=0",nrES_Date,"&gt;0")&gt;$T868,"LATE RETEST "&amp;TEXT(_xlfn.MINIFS(nrES_Date,nrES_PID,$D868,nrES_Code,$F868,nrES_Att,2,nrES_Raw,"&gt;=0",nrES_Date,"&gt;0"),"mm/dd")&amp;" (due "&amp;TEXT($T868,"mm/dd")&amp;")","Retested"))),IF(NOT(ISNUMBER($T868)),"CHECK DATE",IF(TODAY()&gt;$T868,"OVERDUE","Due "&amp;TEXT($T868,"mm/dd")))))))</f>
        <v/>
      </c>
      <c r="V868" s="16" t="n"/>
      <c r="W868" s="16" t="n"/>
      <c r="X868" s="17">
        <f>IF($C868="","",IF(AND($L868&lt;&gt;"",NOT(ISNUMBER($L868))),"RAW SCORE NOT A NUMBER",IF(AND(ISNUMBER($L868),OR($L868&lt;0,$L868&gt;100)),"RAW SCORE OUT OF RANGE",IF(AND($Y868="Unexcused",OR($L868="",NOT(ISNUMBER($L868)),$L868&lt;&gt;0)),"UNEXCUSED ABSENCE MUST RECORD 0",IF(COUNTIF(nrES_RecID,$B868)&gt;1,"DUPLICATE RECORD",IF(N($K868)&gt;2,"ATTEMPT 3+ NOT ALLOWED - policy 300.5 permits one retest per exam; this row records nothing",IF(AND($K868=2,COUNTIFS(nrES_PID,$D868,nrES_Code,$F868,nrES_Att,1)=0),"ATTEMPT 2 WITHOUT ATTEMPT 1",IF(AND($K868=2,$L868=""),"RETEST ROW HAS NO SCORE",IF(AND($H868="Final",$L868&lt;&gt;"",IFERROR(INDEX(nrCKfinalExamElig,MATCH($D868,rngCadetPIDs,0)),"")="No"),"FINAL EXAM AFTER FAILED FINAL PT (500.1.H)",IF(AND($K868=2,ISNUMBER($L868),COUNTIFS(nrES_PID,$D868,nrES_Code,$F868,nrES_Att,1)&gt;0,SUMIFS(nrES_Raw,nrES_PID,$D868,nrES_Code,$F868,nrES_Att,1)&gt;=$J868),"RETEST AFTER A PASSING FIRST ATTEMPT","OK"))))))))))</f>
        <v/>
      </c>
      <c r="Y868" s="16" t="n"/>
    </row>
    <row r="869">
      <c r="B869" s="17">
        <f>IF($C869="","",$D869&amp;"-"&amp;$F869&amp;"-"&amp;$K869)</f>
        <v/>
      </c>
      <c r="C869" s="16" t="n"/>
      <c r="D869" s="17">
        <f>IF($C869="","",IFERROR(INDEX(rngCadetPIDs,MATCH($C869,rngCadetNames,0)),"?"))</f>
        <v/>
      </c>
      <c r="E869" s="17">
        <f>IF($D869="","",IFERROR(INDEX(nrCadetAgency,MATCH($D869,rngCadetPIDs,0)),""))</f>
        <v/>
      </c>
      <c r="F869" s="16" t="n"/>
      <c r="G869" s="17">
        <f>IF($F869="","",IFERROR(INDEX(rngEPname,MATCH($F869,rngEPcode,0)),"?"))</f>
        <v/>
      </c>
      <c r="H869" s="17">
        <f>IF($F869="","",IFERROR(INDEX(rngEPtype,MATCH($F869,rngEPcode,0)),"?"))</f>
        <v/>
      </c>
      <c r="I869" s="17">
        <f>IF($F869="","",IFERROR(INDEX(rngEPseq,MATCH($F869,rngEPcode,0)),""))</f>
        <v/>
      </c>
      <c r="J869" s="17">
        <f>IF($F869="","",IFERROR(INDEX(rngEPpass,MATCH($F869,rngEPcode,0)),cfgPassingScore))</f>
        <v/>
      </c>
      <c r="K869" s="16" t="n"/>
      <c r="L869" s="16" t="n"/>
      <c r="M869" s="17">
        <f>IF($C869="","",IF($L869="","",IF(NOT(ISNUMBER($L869)),$L869,IF(N($K869)&gt;2,"",IF($K869=1,IF(COUNTIFS(nrES_PID,$D869,nrES_Code,$F869,nrES_Att,2,nrES_Raw,"&gt;=0")&gt;0,"",$L869),IF($L869&gt;=$J869,MAX($J869,cfgRetakeRecordedCap),IF(COUNTIFS(nrES_PID,$D869,nrES_Code,$F869,nrES_Att,1)=0,$L869,SUMIFS(nrES_Raw,nrES_PID,$D869,nrES_Code,$F869,nrES_Att,1))))))))</f>
        <v/>
      </c>
      <c r="N869" s="17">
        <f>IF($C869="","",IF($L869="","",IF(NOT(ISNUMBER($L869)),"(not a score)",IF($L869&gt;=$J869,"Yes","No"))))</f>
        <v/>
      </c>
      <c r="O869" s="17">
        <f>IF($C869="","",IF($M869="","",IF(NOT(ISNUMBER($M869)),"(not a score)",IF($M869&gt;=$J869,"Yes","No"))))</f>
        <v/>
      </c>
      <c r="P869" s="17">
        <f>IF($C869="","",IF($K869="","",IF(N($K869)&gt;2,"No",IF(COUNTIFS(nrES_PID,$D869,nrES_Code,$F869,nrES_Att,"&gt;"&amp;$K869,nrES_Att,"&lt;=2",nrES_Raw,"&gt;=0")=0,"Yes","No"))))</f>
        <v/>
      </c>
      <c r="Q869" s="17">
        <f>IF($C869="","",IF($L869="","",IF(AND($K869=1,ISNUMBER($L869),$L869&lt;$J869,COUNTIFS(nrES_PID,$D869,nrES_Code,$F869,nrES_Att,2,nrES_Raw,"&gt;=0")=0),"Yes","No")))</f>
        <v/>
      </c>
      <c r="R869" s="17">
        <f>IF($C869="","",IF($L869="","",IF(AND(N($K869)&gt;=2,ISNUMBER($L869),$L869&lt;$J869),"Yes","No")))</f>
        <v/>
      </c>
      <c r="S869" s="18" t="n"/>
      <c r="T869" s="19">
        <f>IF(OR($C869="",$L869="",$K869&lt;&gt;1,NOT(ISNUMBER($L869)),$L869&gt;=$J869),"",IF($S869="","(enter date)",_xlfn.LET(_xlpm.dn,_xlfn.XLOOKUP($S869,nrCDdate,nrCDnum,"",1),IF(_xlpm.dn="","(after last class day)",_xlfn.LET(_xlpm.dd,_xlfn.XLOOKUP(_xlpm.dn+cfgRetestClassDays,nrCDnum,nrCDdate,""),_xlpm.ok,_xlfn.XLOOKUP(_xlpm.dn+cfgRetestClassDays,nrCDnum,nrCDinsession,"No"),IF(OR(_xlpm.dd="",_xlpm.ok&lt;&gt;"Yes"),"(after last class day)",_xlpm.dd))))))</f>
        <v/>
      </c>
      <c r="U869" s="17">
        <f>IF($C869="","",IF(AND($Y869="Excused",$L869="",N($K869)&lt;=1),"EXCUSED - 1st attempt pending",IF(OR($L869="",$K869&lt;&gt;1,NOT(ISNUMBER($L869)),$L869&gt;=$J869),"",IF(COUNTIFS(nrES_PID,$D869,nrES_Code,$F869,nrES_Att,2,nrES_Raw,"&gt;=0")&gt;0,IF(IFERROR(_xlfn.MINIFS(nrES_Date,nrES_PID,$D869,nrES_Code,$F869,nrES_Att,2,nrES_Raw,"&gt;=0",nrES_Date,"&gt;0"),0)=0,"RETEST UNDATED",IF(NOT(ISNUMBER($T869)),"RETEST DATE UNCHECKED",IF(_xlfn.MINIFS(nrES_Date,nrES_PID,$D869,nrES_Code,$F869,nrES_Att,2,nrES_Raw,"&gt;=0",nrES_Date,"&gt;0")&gt;$T869,"LATE RETEST "&amp;TEXT(_xlfn.MINIFS(nrES_Date,nrES_PID,$D869,nrES_Code,$F869,nrES_Att,2,nrES_Raw,"&gt;=0",nrES_Date,"&gt;0"),"mm/dd")&amp;" (due "&amp;TEXT($T869,"mm/dd")&amp;")","Retested"))),IF(NOT(ISNUMBER($T869)),"CHECK DATE",IF(TODAY()&gt;$T869,"OVERDUE","Due "&amp;TEXT($T869,"mm/dd")))))))</f>
        <v/>
      </c>
      <c r="V869" s="16" t="n"/>
      <c r="W869" s="16" t="n"/>
      <c r="X869" s="17">
        <f>IF($C869="","",IF(AND($L869&lt;&gt;"",NOT(ISNUMBER($L869))),"RAW SCORE NOT A NUMBER",IF(AND(ISNUMBER($L869),OR($L869&lt;0,$L869&gt;100)),"RAW SCORE OUT OF RANGE",IF(AND($Y869="Unexcused",OR($L869="",NOT(ISNUMBER($L869)),$L869&lt;&gt;0)),"UNEXCUSED ABSENCE MUST RECORD 0",IF(COUNTIF(nrES_RecID,$B869)&gt;1,"DUPLICATE RECORD",IF(N($K869)&gt;2,"ATTEMPT 3+ NOT ALLOWED - policy 300.5 permits one retest per exam; this row records nothing",IF(AND($K869=2,COUNTIFS(nrES_PID,$D869,nrES_Code,$F869,nrES_Att,1)=0),"ATTEMPT 2 WITHOUT ATTEMPT 1",IF(AND($K869=2,$L869=""),"RETEST ROW HAS NO SCORE",IF(AND($H869="Final",$L869&lt;&gt;"",IFERROR(INDEX(nrCKfinalExamElig,MATCH($D869,rngCadetPIDs,0)),"")="No"),"FINAL EXAM AFTER FAILED FINAL PT (500.1.H)",IF(AND($K869=2,ISNUMBER($L869),COUNTIFS(nrES_PID,$D869,nrES_Code,$F869,nrES_Att,1)&gt;0,SUMIFS(nrES_Raw,nrES_PID,$D869,nrES_Code,$F869,nrES_Att,1)&gt;=$J869),"RETEST AFTER A PASSING FIRST ATTEMPT","OK"))))))))))</f>
        <v/>
      </c>
      <c r="Y869" s="16" t="n"/>
    </row>
    <row r="870">
      <c r="B870" s="17">
        <f>IF($C870="","",$D870&amp;"-"&amp;$F870&amp;"-"&amp;$K870)</f>
        <v/>
      </c>
      <c r="C870" s="16" t="n"/>
      <c r="D870" s="17">
        <f>IF($C870="","",IFERROR(INDEX(rngCadetPIDs,MATCH($C870,rngCadetNames,0)),"?"))</f>
        <v/>
      </c>
      <c r="E870" s="17">
        <f>IF($D870="","",IFERROR(INDEX(nrCadetAgency,MATCH($D870,rngCadetPIDs,0)),""))</f>
        <v/>
      </c>
      <c r="F870" s="16" t="n"/>
      <c r="G870" s="17">
        <f>IF($F870="","",IFERROR(INDEX(rngEPname,MATCH($F870,rngEPcode,0)),"?"))</f>
        <v/>
      </c>
      <c r="H870" s="17">
        <f>IF($F870="","",IFERROR(INDEX(rngEPtype,MATCH($F870,rngEPcode,0)),"?"))</f>
        <v/>
      </c>
      <c r="I870" s="17">
        <f>IF($F870="","",IFERROR(INDEX(rngEPseq,MATCH($F870,rngEPcode,0)),""))</f>
        <v/>
      </c>
      <c r="J870" s="17">
        <f>IF($F870="","",IFERROR(INDEX(rngEPpass,MATCH($F870,rngEPcode,0)),cfgPassingScore))</f>
        <v/>
      </c>
      <c r="K870" s="16" t="n"/>
      <c r="L870" s="16" t="n"/>
      <c r="M870" s="17">
        <f>IF($C870="","",IF($L870="","",IF(NOT(ISNUMBER($L870)),$L870,IF(N($K870)&gt;2,"",IF($K870=1,IF(COUNTIFS(nrES_PID,$D870,nrES_Code,$F870,nrES_Att,2,nrES_Raw,"&gt;=0")&gt;0,"",$L870),IF($L870&gt;=$J870,MAX($J870,cfgRetakeRecordedCap),IF(COUNTIFS(nrES_PID,$D870,nrES_Code,$F870,nrES_Att,1)=0,$L870,SUMIFS(nrES_Raw,nrES_PID,$D870,nrES_Code,$F870,nrES_Att,1))))))))</f>
        <v/>
      </c>
      <c r="N870" s="17">
        <f>IF($C870="","",IF($L870="","",IF(NOT(ISNUMBER($L870)),"(not a score)",IF($L870&gt;=$J870,"Yes","No"))))</f>
        <v/>
      </c>
      <c r="O870" s="17">
        <f>IF($C870="","",IF($M870="","",IF(NOT(ISNUMBER($M870)),"(not a score)",IF($M870&gt;=$J870,"Yes","No"))))</f>
        <v/>
      </c>
      <c r="P870" s="17">
        <f>IF($C870="","",IF($K870="","",IF(N($K870)&gt;2,"No",IF(COUNTIFS(nrES_PID,$D870,nrES_Code,$F870,nrES_Att,"&gt;"&amp;$K870,nrES_Att,"&lt;=2",nrES_Raw,"&gt;=0")=0,"Yes","No"))))</f>
        <v/>
      </c>
      <c r="Q870" s="17">
        <f>IF($C870="","",IF($L870="","",IF(AND($K870=1,ISNUMBER($L870),$L870&lt;$J870,COUNTIFS(nrES_PID,$D870,nrES_Code,$F870,nrES_Att,2,nrES_Raw,"&gt;=0")=0),"Yes","No")))</f>
        <v/>
      </c>
      <c r="R870" s="17">
        <f>IF($C870="","",IF($L870="","",IF(AND(N($K870)&gt;=2,ISNUMBER($L870),$L870&lt;$J870),"Yes","No")))</f>
        <v/>
      </c>
      <c r="S870" s="18" t="n"/>
      <c r="T870" s="19">
        <f>IF(OR($C870="",$L870="",$K870&lt;&gt;1,NOT(ISNUMBER($L870)),$L870&gt;=$J870),"",IF($S870="","(enter date)",_xlfn.LET(_xlpm.dn,_xlfn.XLOOKUP($S870,nrCDdate,nrCDnum,"",1),IF(_xlpm.dn="","(after last class day)",_xlfn.LET(_xlpm.dd,_xlfn.XLOOKUP(_xlpm.dn+cfgRetestClassDays,nrCDnum,nrCDdate,""),_xlpm.ok,_xlfn.XLOOKUP(_xlpm.dn+cfgRetestClassDays,nrCDnum,nrCDinsession,"No"),IF(OR(_xlpm.dd="",_xlpm.ok&lt;&gt;"Yes"),"(after last class day)",_xlpm.dd))))))</f>
        <v/>
      </c>
      <c r="U870" s="17">
        <f>IF($C870="","",IF(AND($Y870="Excused",$L870="",N($K870)&lt;=1),"EXCUSED - 1st attempt pending",IF(OR($L870="",$K870&lt;&gt;1,NOT(ISNUMBER($L870)),$L870&gt;=$J870),"",IF(COUNTIFS(nrES_PID,$D870,nrES_Code,$F870,nrES_Att,2,nrES_Raw,"&gt;=0")&gt;0,IF(IFERROR(_xlfn.MINIFS(nrES_Date,nrES_PID,$D870,nrES_Code,$F870,nrES_Att,2,nrES_Raw,"&gt;=0",nrES_Date,"&gt;0"),0)=0,"RETEST UNDATED",IF(NOT(ISNUMBER($T870)),"RETEST DATE UNCHECKED",IF(_xlfn.MINIFS(nrES_Date,nrES_PID,$D870,nrES_Code,$F870,nrES_Att,2,nrES_Raw,"&gt;=0",nrES_Date,"&gt;0")&gt;$T870,"LATE RETEST "&amp;TEXT(_xlfn.MINIFS(nrES_Date,nrES_PID,$D870,nrES_Code,$F870,nrES_Att,2,nrES_Raw,"&gt;=0",nrES_Date,"&gt;0"),"mm/dd")&amp;" (due "&amp;TEXT($T870,"mm/dd")&amp;")","Retested"))),IF(NOT(ISNUMBER($T870)),"CHECK DATE",IF(TODAY()&gt;$T870,"OVERDUE","Due "&amp;TEXT($T870,"mm/dd")))))))</f>
        <v/>
      </c>
      <c r="V870" s="16" t="n"/>
      <c r="W870" s="16" t="n"/>
      <c r="X870" s="17">
        <f>IF($C870="","",IF(AND($L870&lt;&gt;"",NOT(ISNUMBER($L870))),"RAW SCORE NOT A NUMBER",IF(AND(ISNUMBER($L870),OR($L870&lt;0,$L870&gt;100)),"RAW SCORE OUT OF RANGE",IF(AND($Y870="Unexcused",OR($L870="",NOT(ISNUMBER($L870)),$L870&lt;&gt;0)),"UNEXCUSED ABSENCE MUST RECORD 0",IF(COUNTIF(nrES_RecID,$B870)&gt;1,"DUPLICATE RECORD",IF(N($K870)&gt;2,"ATTEMPT 3+ NOT ALLOWED - policy 300.5 permits one retest per exam; this row records nothing",IF(AND($K870=2,COUNTIFS(nrES_PID,$D870,nrES_Code,$F870,nrES_Att,1)=0),"ATTEMPT 2 WITHOUT ATTEMPT 1",IF(AND($K870=2,$L870=""),"RETEST ROW HAS NO SCORE",IF(AND($H870="Final",$L870&lt;&gt;"",IFERROR(INDEX(nrCKfinalExamElig,MATCH($D870,rngCadetPIDs,0)),"")="No"),"FINAL EXAM AFTER FAILED FINAL PT (500.1.H)",IF(AND($K870=2,ISNUMBER($L870),COUNTIFS(nrES_PID,$D870,nrES_Code,$F870,nrES_Att,1)&gt;0,SUMIFS(nrES_Raw,nrES_PID,$D870,nrES_Code,$F870,nrES_Att,1)&gt;=$J870),"RETEST AFTER A PASSING FIRST ATTEMPT","OK"))))))))))</f>
        <v/>
      </c>
      <c r="Y870" s="16" t="n"/>
    </row>
    <row r="871">
      <c r="B871" s="17">
        <f>IF($C871="","",$D871&amp;"-"&amp;$F871&amp;"-"&amp;$K871)</f>
        <v/>
      </c>
      <c r="C871" s="16" t="n"/>
      <c r="D871" s="17">
        <f>IF($C871="","",IFERROR(INDEX(rngCadetPIDs,MATCH($C871,rngCadetNames,0)),"?"))</f>
        <v/>
      </c>
      <c r="E871" s="17">
        <f>IF($D871="","",IFERROR(INDEX(nrCadetAgency,MATCH($D871,rngCadetPIDs,0)),""))</f>
        <v/>
      </c>
      <c r="F871" s="16" t="n"/>
      <c r="G871" s="17">
        <f>IF($F871="","",IFERROR(INDEX(rngEPname,MATCH($F871,rngEPcode,0)),"?"))</f>
        <v/>
      </c>
      <c r="H871" s="17">
        <f>IF($F871="","",IFERROR(INDEX(rngEPtype,MATCH($F871,rngEPcode,0)),"?"))</f>
        <v/>
      </c>
      <c r="I871" s="17">
        <f>IF($F871="","",IFERROR(INDEX(rngEPseq,MATCH($F871,rngEPcode,0)),""))</f>
        <v/>
      </c>
      <c r="J871" s="17">
        <f>IF($F871="","",IFERROR(INDEX(rngEPpass,MATCH($F871,rngEPcode,0)),cfgPassingScore))</f>
        <v/>
      </c>
      <c r="K871" s="16" t="n"/>
      <c r="L871" s="16" t="n"/>
      <c r="M871" s="17">
        <f>IF($C871="","",IF($L871="","",IF(NOT(ISNUMBER($L871)),$L871,IF(N($K871)&gt;2,"",IF($K871=1,IF(COUNTIFS(nrES_PID,$D871,nrES_Code,$F871,nrES_Att,2,nrES_Raw,"&gt;=0")&gt;0,"",$L871),IF($L871&gt;=$J871,MAX($J871,cfgRetakeRecordedCap),IF(COUNTIFS(nrES_PID,$D871,nrES_Code,$F871,nrES_Att,1)=0,$L871,SUMIFS(nrES_Raw,nrES_PID,$D871,nrES_Code,$F871,nrES_Att,1))))))))</f>
        <v/>
      </c>
      <c r="N871" s="17">
        <f>IF($C871="","",IF($L871="","",IF(NOT(ISNUMBER($L871)),"(not a score)",IF($L871&gt;=$J871,"Yes","No"))))</f>
        <v/>
      </c>
      <c r="O871" s="17">
        <f>IF($C871="","",IF($M871="","",IF(NOT(ISNUMBER($M871)),"(not a score)",IF($M871&gt;=$J871,"Yes","No"))))</f>
        <v/>
      </c>
      <c r="P871" s="17">
        <f>IF($C871="","",IF($K871="","",IF(N($K871)&gt;2,"No",IF(COUNTIFS(nrES_PID,$D871,nrES_Code,$F871,nrES_Att,"&gt;"&amp;$K871,nrES_Att,"&lt;=2",nrES_Raw,"&gt;=0")=0,"Yes","No"))))</f>
        <v/>
      </c>
      <c r="Q871" s="17">
        <f>IF($C871="","",IF($L871="","",IF(AND($K871=1,ISNUMBER($L871),$L871&lt;$J871,COUNTIFS(nrES_PID,$D871,nrES_Code,$F871,nrES_Att,2,nrES_Raw,"&gt;=0")=0),"Yes","No")))</f>
        <v/>
      </c>
      <c r="R871" s="17">
        <f>IF($C871="","",IF($L871="","",IF(AND(N($K871)&gt;=2,ISNUMBER($L871),$L871&lt;$J871),"Yes","No")))</f>
        <v/>
      </c>
      <c r="S871" s="18" t="n"/>
      <c r="T871" s="19">
        <f>IF(OR($C871="",$L871="",$K871&lt;&gt;1,NOT(ISNUMBER($L871)),$L871&gt;=$J871),"",IF($S871="","(enter date)",_xlfn.LET(_xlpm.dn,_xlfn.XLOOKUP($S871,nrCDdate,nrCDnum,"",1),IF(_xlpm.dn="","(after last class day)",_xlfn.LET(_xlpm.dd,_xlfn.XLOOKUP(_xlpm.dn+cfgRetestClassDays,nrCDnum,nrCDdate,""),_xlpm.ok,_xlfn.XLOOKUP(_xlpm.dn+cfgRetestClassDays,nrCDnum,nrCDinsession,"No"),IF(OR(_xlpm.dd="",_xlpm.ok&lt;&gt;"Yes"),"(after last class day)",_xlpm.dd))))))</f>
        <v/>
      </c>
      <c r="U871" s="17">
        <f>IF($C871="","",IF(AND($Y871="Excused",$L871="",N($K871)&lt;=1),"EXCUSED - 1st attempt pending",IF(OR($L871="",$K871&lt;&gt;1,NOT(ISNUMBER($L871)),$L871&gt;=$J871),"",IF(COUNTIFS(nrES_PID,$D871,nrES_Code,$F871,nrES_Att,2,nrES_Raw,"&gt;=0")&gt;0,IF(IFERROR(_xlfn.MINIFS(nrES_Date,nrES_PID,$D871,nrES_Code,$F871,nrES_Att,2,nrES_Raw,"&gt;=0",nrES_Date,"&gt;0"),0)=0,"RETEST UNDATED",IF(NOT(ISNUMBER($T871)),"RETEST DATE UNCHECKED",IF(_xlfn.MINIFS(nrES_Date,nrES_PID,$D871,nrES_Code,$F871,nrES_Att,2,nrES_Raw,"&gt;=0",nrES_Date,"&gt;0")&gt;$T871,"LATE RETEST "&amp;TEXT(_xlfn.MINIFS(nrES_Date,nrES_PID,$D871,nrES_Code,$F871,nrES_Att,2,nrES_Raw,"&gt;=0",nrES_Date,"&gt;0"),"mm/dd")&amp;" (due "&amp;TEXT($T871,"mm/dd")&amp;")","Retested"))),IF(NOT(ISNUMBER($T871)),"CHECK DATE",IF(TODAY()&gt;$T871,"OVERDUE","Due "&amp;TEXT($T871,"mm/dd")))))))</f>
        <v/>
      </c>
      <c r="V871" s="16" t="n"/>
      <c r="W871" s="16" t="n"/>
      <c r="X871" s="17">
        <f>IF($C871="","",IF(AND($L871&lt;&gt;"",NOT(ISNUMBER($L871))),"RAW SCORE NOT A NUMBER",IF(AND(ISNUMBER($L871),OR($L871&lt;0,$L871&gt;100)),"RAW SCORE OUT OF RANGE",IF(AND($Y871="Unexcused",OR($L871="",NOT(ISNUMBER($L871)),$L871&lt;&gt;0)),"UNEXCUSED ABSENCE MUST RECORD 0",IF(COUNTIF(nrES_RecID,$B871)&gt;1,"DUPLICATE RECORD",IF(N($K871)&gt;2,"ATTEMPT 3+ NOT ALLOWED - policy 300.5 permits one retest per exam; this row records nothing",IF(AND($K871=2,COUNTIFS(nrES_PID,$D871,nrES_Code,$F871,nrES_Att,1)=0),"ATTEMPT 2 WITHOUT ATTEMPT 1",IF(AND($K871=2,$L871=""),"RETEST ROW HAS NO SCORE",IF(AND($H871="Final",$L871&lt;&gt;"",IFERROR(INDEX(nrCKfinalExamElig,MATCH($D871,rngCadetPIDs,0)),"")="No"),"FINAL EXAM AFTER FAILED FINAL PT (500.1.H)",IF(AND($K871=2,ISNUMBER($L871),COUNTIFS(nrES_PID,$D871,nrES_Code,$F871,nrES_Att,1)&gt;0,SUMIFS(nrES_Raw,nrES_PID,$D871,nrES_Code,$F871,nrES_Att,1)&gt;=$J871),"RETEST AFTER A PASSING FIRST ATTEMPT","OK"))))))))))</f>
        <v/>
      </c>
      <c r="Y871" s="16" t="n"/>
    </row>
    <row r="872">
      <c r="B872" s="17">
        <f>IF($C872="","",$D872&amp;"-"&amp;$F872&amp;"-"&amp;$K872)</f>
        <v/>
      </c>
      <c r="C872" s="16" t="n"/>
      <c r="D872" s="17">
        <f>IF($C872="","",IFERROR(INDEX(rngCadetPIDs,MATCH($C872,rngCadetNames,0)),"?"))</f>
        <v/>
      </c>
      <c r="E872" s="17">
        <f>IF($D872="","",IFERROR(INDEX(nrCadetAgency,MATCH($D872,rngCadetPIDs,0)),""))</f>
        <v/>
      </c>
      <c r="F872" s="16" t="n"/>
      <c r="G872" s="17">
        <f>IF($F872="","",IFERROR(INDEX(rngEPname,MATCH($F872,rngEPcode,0)),"?"))</f>
        <v/>
      </c>
      <c r="H872" s="17">
        <f>IF($F872="","",IFERROR(INDEX(rngEPtype,MATCH($F872,rngEPcode,0)),"?"))</f>
        <v/>
      </c>
      <c r="I872" s="17">
        <f>IF($F872="","",IFERROR(INDEX(rngEPseq,MATCH($F872,rngEPcode,0)),""))</f>
        <v/>
      </c>
      <c r="J872" s="17">
        <f>IF($F872="","",IFERROR(INDEX(rngEPpass,MATCH($F872,rngEPcode,0)),cfgPassingScore))</f>
        <v/>
      </c>
      <c r="K872" s="16" t="n"/>
      <c r="L872" s="16" t="n"/>
      <c r="M872" s="17">
        <f>IF($C872="","",IF($L872="","",IF(NOT(ISNUMBER($L872)),$L872,IF(N($K872)&gt;2,"",IF($K872=1,IF(COUNTIFS(nrES_PID,$D872,nrES_Code,$F872,nrES_Att,2,nrES_Raw,"&gt;=0")&gt;0,"",$L872),IF($L872&gt;=$J872,MAX($J872,cfgRetakeRecordedCap),IF(COUNTIFS(nrES_PID,$D872,nrES_Code,$F872,nrES_Att,1)=0,$L872,SUMIFS(nrES_Raw,nrES_PID,$D872,nrES_Code,$F872,nrES_Att,1))))))))</f>
        <v/>
      </c>
      <c r="N872" s="17">
        <f>IF($C872="","",IF($L872="","",IF(NOT(ISNUMBER($L872)),"(not a score)",IF($L872&gt;=$J872,"Yes","No"))))</f>
        <v/>
      </c>
      <c r="O872" s="17">
        <f>IF($C872="","",IF($M872="","",IF(NOT(ISNUMBER($M872)),"(not a score)",IF($M872&gt;=$J872,"Yes","No"))))</f>
        <v/>
      </c>
      <c r="P872" s="17">
        <f>IF($C872="","",IF($K872="","",IF(N($K872)&gt;2,"No",IF(COUNTIFS(nrES_PID,$D872,nrES_Code,$F872,nrES_Att,"&gt;"&amp;$K872,nrES_Att,"&lt;=2",nrES_Raw,"&gt;=0")=0,"Yes","No"))))</f>
        <v/>
      </c>
      <c r="Q872" s="17">
        <f>IF($C872="","",IF($L872="","",IF(AND($K872=1,ISNUMBER($L872),$L872&lt;$J872,COUNTIFS(nrES_PID,$D872,nrES_Code,$F872,nrES_Att,2,nrES_Raw,"&gt;=0")=0),"Yes","No")))</f>
        <v/>
      </c>
      <c r="R872" s="17">
        <f>IF($C872="","",IF($L872="","",IF(AND(N($K872)&gt;=2,ISNUMBER($L872),$L872&lt;$J872),"Yes","No")))</f>
        <v/>
      </c>
      <c r="S872" s="18" t="n"/>
      <c r="T872" s="19">
        <f>IF(OR($C872="",$L872="",$K872&lt;&gt;1,NOT(ISNUMBER($L872)),$L872&gt;=$J872),"",IF($S872="","(enter date)",_xlfn.LET(_xlpm.dn,_xlfn.XLOOKUP($S872,nrCDdate,nrCDnum,"",1),IF(_xlpm.dn="","(after last class day)",_xlfn.LET(_xlpm.dd,_xlfn.XLOOKUP(_xlpm.dn+cfgRetestClassDays,nrCDnum,nrCDdate,""),_xlpm.ok,_xlfn.XLOOKUP(_xlpm.dn+cfgRetestClassDays,nrCDnum,nrCDinsession,"No"),IF(OR(_xlpm.dd="",_xlpm.ok&lt;&gt;"Yes"),"(after last class day)",_xlpm.dd))))))</f>
        <v/>
      </c>
      <c r="U872" s="17">
        <f>IF($C872="","",IF(AND($Y872="Excused",$L872="",N($K872)&lt;=1),"EXCUSED - 1st attempt pending",IF(OR($L872="",$K872&lt;&gt;1,NOT(ISNUMBER($L872)),$L872&gt;=$J872),"",IF(COUNTIFS(nrES_PID,$D872,nrES_Code,$F872,nrES_Att,2,nrES_Raw,"&gt;=0")&gt;0,IF(IFERROR(_xlfn.MINIFS(nrES_Date,nrES_PID,$D872,nrES_Code,$F872,nrES_Att,2,nrES_Raw,"&gt;=0",nrES_Date,"&gt;0"),0)=0,"RETEST UNDATED",IF(NOT(ISNUMBER($T872)),"RETEST DATE UNCHECKED",IF(_xlfn.MINIFS(nrES_Date,nrES_PID,$D872,nrES_Code,$F872,nrES_Att,2,nrES_Raw,"&gt;=0",nrES_Date,"&gt;0")&gt;$T872,"LATE RETEST "&amp;TEXT(_xlfn.MINIFS(nrES_Date,nrES_PID,$D872,nrES_Code,$F872,nrES_Att,2,nrES_Raw,"&gt;=0",nrES_Date,"&gt;0"),"mm/dd")&amp;" (due "&amp;TEXT($T872,"mm/dd")&amp;")","Retested"))),IF(NOT(ISNUMBER($T872)),"CHECK DATE",IF(TODAY()&gt;$T872,"OVERDUE","Due "&amp;TEXT($T872,"mm/dd")))))))</f>
        <v/>
      </c>
      <c r="V872" s="16" t="n"/>
      <c r="W872" s="16" t="n"/>
      <c r="X872" s="17">
        <f>IF($C872="","",IF(AND($L872&lt;&gt;"",NOT(ISNUMBER($L872))),"RAW SCORE NOT A NUMBER",IF(AND(ISNUMBER($L872),OR($L872&lt;0,$L872&gt;100)),"RAW SCORE OUT OF RANGE",IF(AND($Y872="Unexcused",OR($L872="",NOT(ISNUMBER($L872)),$L872&lt;&gt;0)),"UNEXCUSED ABSENCE MUST RECORD 0",IF(COUNTIF(nrES_RecID,$B872)&gt;1,"DUPLICATE RECORD",IF(N($K872)&gt;2,"ATTEMPT 3+ NOT ALLOWED - policy 300.5 permits one retest per exam; this row records nothing",IF(AND($K872=2,COUNTIFS(nrES_PID,$D872,nrES_Code,$F872,nrES_Att,1)=0),"ATTEMPT 2 WITHOUT ATTEMPT 1",IF(AND($K872=2,$L872=""),"RETEST ROW HAS NO SCORE",IF(AND($H872="Final",$L872&lt;&gt;"",IFERROR(INDEX(nrCKfinalExamElig,MATCH($D872,rngCadetPIDs,0)),"")="No"),"FINAL EXAM AFTER FAILED FINAL PT (500.1.H)",IF(AND($K872=2,ISNUMBER($L872),COUNTIFS(nrES_PID,$D872,nrES_Code,$F872,nrES_Att,1)&gt;0,SUMIFS(nrES_Raw,nrES_PID,$D872,nrES_Code,$F872,nrES_Att,1)&gt;=$J872),"RETEST AFTER A PASSING FIRST ATTEMPT","OK"))))))))))</f>
        <v/>
      </c>
      <c r="Y872" s="16" t="n"/>
    </row>
    <row r="873">
      <c r="B873" s="17">
        <f>IF($C873="","",$D873&amp;"-"&amp;$F873&amp;"-"&amp;$K873)</f>
        <v/>
      </c>
      <c r="C873" s="16" t="n"/>
      <c r="D873" s="17">
        <f>IF($C873="","",IFERROR(INDEX(rngCadetPIDs,MATCH($C873,rngCadetNames,0)),"?"))</f>
        <v/>
      </c>
      <c r="E873" s="17">
        <f>IF($D873="","",IFERROR(INDEX(nrCadetAgency,MATCH($D873,rngCadetPIDs,0)),""))</f>
        <v/>
      </c>
      <c r="F873" s="16" t="n"/>
      <c r="G873" s="17">
        <f>IF($F873="","",IFERROR(INDEX(rngEPname,MATCH($F873,rngEPcode,0)),"?"))</f>
        <v/>
      </c>
      <c r="H873" s="17">
        <f>IF($F873="","",IFERROR(INDEX(rngEPtype,MATCH($F873,rngEPcode,0)),"?"))</f>
        <v/>
      </c>
      <c r="I873" s="17">
        <f>IF($F873="","",IFERROR(INDEX(rngEPseq,MATCH($F873,rngEPcode,0)),""))</f>
        <v/>
      </c>
      <c r="J873" s="17">
        <f>IF($F873="","",IFERROR(INDEX(rngEPpass,MATCH($F873,rngEPcode,0)),cfgPassingScore))</f>
        <v/>
      </c>
      <c r="K873" s="16" t="n"/>
      <c r="L873" s="16" t="n"/>
      <c r="M873" s="17">
        <f>IF($C873="","",IF($L873="","",IF(NOT(ISNUMBER($L873)),$L873,IF(N($K873)&gt;2,"",IF($K873=1,IF(COUNTIFS(nrES_PID,$D873,nrES_Code,$F873,nrES_Att,2,nrES_Raw,"&gt;=0")&gt;0,"",$L873),IF($L873&gt;=$J873,MAX($J873,cfgRetakeRecordedCap),IF(COUNTIFS(nrES_PID,$D873,nrES_Code,$F873,nrES_Att,1)=0,$L873,SUMIFS(nrES_Raw,nrES_PID,$D873,nrES_Code,$F873,nrES_Att,1))))))))</f>
        <v/>
      </c>
      <c r="N873" s="17">
        <f>IF($C873="","",IF($L873="","",IF(NOT(ISNUMBER($L873)),"(not a score)",IF($L873&gt;=$J873,"Yes","No"))))</f>
        <v/>
      </c>
      <c r="O873" s="17">
        <f>IF($C873="","",IF($M873="","",IF(NOT(ISNUMBER($M873)),"(not a score)",IF($M873&gt;=$J873,"Yes","No"))))</f>
        <v/>
      </c>
      <c r="P873" s="17">
        <f>IF($C873="","",IF($K873="","",IF(N($K873)&gt;2,"No",IF(COUNTIFS(nrES_PID,$D873,nrES_Code,$F873,nrES_Att,"&gt;"&amp;$K873,nrES_Att,"&lt;=2",nrES_Raw,"&gt;=0")=0,"Yes","No"))))</f>
        <v/>
      </c>
      <c r="Q873" s="17">
        <f>IF($C873="","",IF($L873="","",IF(AND($K873=1,ISNUMBER($L873),$L873&lt;$J873,COUNTIFS(nrES_PID,$D873,nrES_Code,$F873,nrES_Att,2,nrES_Raw,"&gt;=0")=0),"Yes","No")))</f>
        <v/>
      </c>
      <c r="R873" s="17">
        <f>IF($C873="","",IF($L873="","",IF(AND(N($K873)&gt;=2,ISNUMBER($L873),$L873&lt;$J873),"Yes","No")))</f>
        <v/>
      </c>
      <c r="S873" s="18" t="n"/>
      <c r="T873" s="19">
        <f>IF(OR($C873="",$L873="",$K873&lt;&gt;1,NOT(ISNUMBER($L873)),$L873&gt;=$J873),"",IF($S873="","(enter date)",_xlfn.LET(_xlpm.dn,_xlfn.XLOOKUP($S873,nrCDdate,nrCDnum,"",1),IF(_xlpm.dn="","(after last class day)",_xlfn.LET(_xlpm.dd,_xlfn.XLOOKUP(_xlpm.dn+cfgRetestClassDays,nrCDnum,nrCDdate,""),_xlpm.ok,_xlfn.XLOOKUP(_xlpm.dn+cfgRetestClassDays,nrCDnum,nrCDinsession,"No"),IF(OR(_xlpm.dd="",_xlpm.ok&lt;&gt;"Yes"),"(after last class day)",_xlpm.dd))))))</f>
        <v/>
      </c>
      <c r="U873" s="17">
        <f>IF($C873="","",IF(AND($Y873="Excused",$L873="",N($K873)&lt;=1),"EXCUSED - 1st attempt pending",IF(OR($L873="",$K873&lt;&gt;1,NOT(ISNUMBER($L873)),$L873&gt;=$J873),"",IF(COUNTIFS(nrES_PID,$D873,nrES_Code,$F873,nrES_Att,2,nrES_Raw,"&gt;=0")&gt;0,IF(IFERROR(_xlfn.MINIFS(nrES_Date,nrES_PID,$D873,nrES_Code,$F873,nrES_Att,2,nrES_Raw,"&gt;=0",nrES_Date,"&gt;0"),0)=0,"RETEST UNDATED",IF(NOT(ISNUMBER($T873)),"RETEST DATE UNCHECKED",IF(_xlfn.MINIFS(nrES_Date,nrES_PID,$D873,nrES_Code,$F873,nrES_Att,2,nrES_Raw,"&gt;=0",nrES_Date,"&gt;0")&gt;$T873,"LATE RETEST "&amp;TEXT(_xlfn.MINIFS(nrES_Date,nrES_PID,$D873,nrES_Code,$F873,nrES_Att,2,nrES_Raw,"&gt;=0",nrES_Date,"&gt;0"),"mm/dd")&amp;" (due "&amp;TEXT($T873,"mm/dd")&amp;")","Retested"))),IF(NOT(ISNUMBER($T873)),"CHECK DATE",IF(TODAY()&gt;$T873,"OVERDUE","Due "&amp;TEXT($T873,"mm/dd")))))))</f>
        <v/>
      </c>
      <c r="V873" s="16" t="n"/>
      <c r="W873" s="16" t="n"/>
      <c r="X873" s="17">
        <f>IF($C873="","",IF(AND($L873&lt;&gt;"",NOT(ISNUMBER($L873))),"RAW SCORE NOT A NUMBER",IF(AND(ISNUMBER($L873),OR($L873&lt;0,$L873&gt;100)),"RAW SCORE OUT OF RANGE",IF(AND($Y873="Unexcused",OR($L873="",NOT(ISNUMBER($L873)),$L873&lt;&gt;0)),"UNEXCUSED ABSENCE MUST RECORD 0",IF(COUNTIF(nrES_RecID,$B873)&gt;1,"DUPLICATE RECORD",IF(N($K873)&gt;2,"ATTEMPT 3+ NOT ALLOWED - policy 300.5 permits one retest per exam; this row records nothing",IF(AND($K873=2,COUNTIFS(nrES_PID,$D873,nrES_Code,$F873,nrES_Att,1)=0),"ATTEMPT 2 WITHOUT ATTEMPT 1",IF(AND($K873=2,$L873=""),"RETEST ROW HAS NO SCORE",IF(AND($H873="Final",$L873&lt;&gt;"",IFERROR(INDEX(nrCKfinalExamElig,MATCH($D873,rngCadetPIDs,0)),"")="No"),"FINAL EXAM AFTER FAILED FINAL PT (500.1.H)",IF(AND($K873=2,ISNUMBER($L873),COUNTIFS(nrES_PID,$D873,nrES_Code,$F873,nrES_Att,1)&gt;0,SUMIFS(nrES_Raw,nrES_PID,$D873,nrES_Code,$F873,nrES_Att,1)&gt;=$J873),"RETEST AFTER A PASSING FIRST ATTEMPT","OK"))))))))))</f>
        <v/>
      </c>
      <c r="Y873" s="16" t="n"/>
    </row>
    <row r="874">
      <c r="B874" s="17">
        <f>IF($C874="","",$D874&amp;"-"&amp;$F874&amp;"-"&amp;$K874)</f>
        <v/>
      </c>
      <c r="C874" s="16" t="n"/>
      <c r="D874" s="17">
        <f>IF($C874="","",IFERROR(INDEX(rngCadetPIDs,MATCH($C874,rngCadetNames,0)),"?"))</f>
        <v/>
      </c>
      <c r="E874" s="17">
        <f>IF($D874="","",IFERROR(INDEX(nrCadetAgency,MATCH($D874,rngCadetPIDs,0)),""))</f>
        <v/>
      </c>
      <c r="F874" s="16" t="n"/>
      <c r="G874" s="17">
        <f>IF($F874="","",IFERROR(INDEX(rngEPname,MATCH($F874,rngEPcode,0)),"?"))</f>
        <v/>
      </c>
      <c r="H874" s="17">
        <f>IF($F874="","",IFERROR(INDEX(rngEPtype,MATCH($F874,rngEPcode,0)),"?"))</f>
        <v/>
      </c>
      <c r="I874" s="17">
        <f>IF($F874="","",IFERROR(INDEX(rngEPseq,MATCH($F874,rngEPcode,0)),""))</f>
        <v/>
      </c>
      <c r="J874" s="17">
        <f>IF($F874="","",IFERROR(INDEX(rngEPpass,MATCH($F874,rngEPcode,0)),cfgPassingScore))</f>
        <v/>
      </c>
      <c r="K874" s="16" t="n"/>
      <c r="L874" s="16" t="n"/>
      <c r="M874" s="17">
        <f>IF($C874="","",IF($L874="","",IF(NOT(ISNUMBER($L874)),$L874,IF(N($K874)&gt;2,"",IF($K874=1,IF(COUNTIFS(nrES_PID,$D874,nrES_Code,$F874,nrES_Att,2,nrES_Raw,"&gt;=0")&gt;0,"",$L874),IF($L874&gt;=$J874,MAX($J874,cfgRetakeRecordedCap),IF(COUNTIFS(nrES_PID,$D874,nrES_Code,$F874,nrES_Att,1)=0,$L874,SUMIFS(nrES_Raw,nrES_PID,$D874,nrES_Code,$F874,nrES_Att,1))))))))</f>
        <v/>
      </c>
      <c r="N874" s="17">
        <f>IF($C874="","",IF($L874="","",IF(NOT(ISNUMBER($L874)),"(not a score)",IF($L874&gt;=$J874,"Yes","No"))))</f>
        <v/>
      </c>
      <c r="O874" s="17">
        <f>IF($C874="","",IF($M874="","",IF(NOT(ISNUMBER($M874)),"(not a score)",IF($M874&gt;=$J874,"Yes","No"))))</f>
        <v/>
      </c>
      <c r="P874" s="17">
        <f>IF($C874="","",IF($K874="","",IF(N($K874)&gt;2,"No",IF(COUNTIFS(nrES_PID,$D874,nrES_Code,$F874,nrES_Att,"&gt;"&amp;$K874,nrES_Att,"&lt;=2",nrES_Raw,"&gt;=0")=0,"Yes","No"))))</f>
        <v/>
      </c>
      <c r="Q874" s="17">
        <f>IF($C874="","",IF($L874="","",IF(AND($K874=1,ISNUMBER($L874),$L874&lt;$J874,COUNTIFS(nrES_PID,$D874,nrES_Code,$F874,nrES_Att,2,nrES_Raw,"&gt;=0")=0),"Yes","No")))</f>
        <v/>
      </c>
      <c r="R874" s="17">
        <f>IF($C874="","",IF($L874="","",IF(AND(N($K874)&gt;=2,ISNUMBER($L874),$L874&lt;$J874),"Yes","No")))</f>
        <v/>
      </c>
      <c r="S874" s="18" t="n"/>
      <c r="T874" s="19">
        <f>IF(OR($C874="",$L874="",$K874&lt;&gt;1,NOT(ISNUMBER($L874)),$L874&gt;=$J874),"",IF($S874="","(enter date)",_xlfn.LET(_xlpm.dn,_xlfn.XLOOKUP($S874,nrCDdate,nrCDnum,"",1),IF(_xlpm.dn="","(after last class day)",_xlfn.LET(_xlpm.dd,_xlfn.XLOOKUP(_xlpm.dn+cfgRetestClassDays,nrCDnum,nrCDdate,""),_xlpm.ok,_xlfn.XLOOKUP(_xlpm.dn+cfgRetestClassDays,nrCDnum,nrCDinsession,"No"),IF(OR(_xlpm.dd="",_xlpm.ok&lt;&gt;"Yes"),"(after last class day)",_xlpm.dd))))))</f>
        <v/>
      </c>
      <c r="U874" s="17">
        <f>IF($C874="","",IF(AND($Y874="Excused",$L874="",N($K874)&lt;=1),"EXCUSED - 1st attempt pending",IF(OR($L874="",$K874&lt;&gt;1,NOT(ISNUMBER($L874)),$L874&gt;=$J874),"",IF(COUNTIFS(nrES_PID,$D874,nrES_Code,$F874,nrES_Att,2,nrES_Raw,"&gt;=0")&gt;0,IF(IFERROR(_xlfn.MINIFS(nrES_Date,nrES_PID,$D874,nrES_Code,$F874,nrES_Att,2,nrES_Raw,"&gt;=0",nrES_Date,"&gt;0"),0)=0,"RETEST UNDATED",IF(NOT(ISNUMBER($T874)),"RETEST DATE UNCHECKED",IF(_xlfn.MINIFS(nrES_Date,nrES_PID,$D874,nrES_Code,$F874,nrES_Att,2,nrES_Raw,"&gt;=0",nrES_Date,"&gt;0")&gt;$T874,"LATE RETEST "&amp;TEXT(_xlfn.MINIFS(nrES_Date,nrES_PID,$D874,nrES_Code,$F874,nrES_Att,2,nrES_Raw,"&gt;=0",nrES_Date,"&gt;0"),"mm/dd")&amp;" (due "&amp;TEXT($T874,"mm/dd")&amp;")","Retested"))),IF(NOT(ISNUMBER($T874)),"CHECK DATE",IF(TODAY()&gt;$T874,"OVERDUE","Due "&amp;TEXT($T874,"mm/dd")))))))</f>
        <v/>
      </c>
      <c r="V874" s="16" t="n"/>
      <c r="W874" s="16" t="n"/>
      <c r="X874" s="17">
        <f>IF($C874="","",IF(AND($L874&lt;&gt;"",NOT(ISNUMBER($L874))),"RAW SCORE NOT A NUMBER",IF(AND(ISNUMBER($L874),OR($L874&lt;0,$L874&gt;100)),"RAW SCORE OUT OF RANGE",IF(AND($Y874="Unexcused",OR($L874="",NOT(ISNUMBER($L874)),$L874&lt;&gt;0)),"UNEXCUSED ABSENCE MUST RECORD 0",IF(COUNTIF(nrES_RecID,$B874)&gt;1,"DUPLICATE RECORD",IF(N($K874)&gt;2,"ATTEMPT 3+ NOT ALLOWED - policy 300.5 permits one retest per exam; this row records nothing",IF(AND($K874=2,COUNTIFS(nrES_PID,$D874,nrES_Code,$F874,nrES_Att,1)=0),"ATTEMPT 2 WITHOUT ATTEMPT 1",IF(AND($K874=2,$L874=""),"RETEST ROW HAS NO SCORE",IF(AND($H874="Final",$L874&lt;&gt;"",IFERROR(INDEX(nrCKfinalExamElig,MATCH($D874,rngCadetPIDs,0)),"")="No"),"FINAL EXAM AFTER FAILED FINAL PT (500.1.H)",IF(AND($K874=2,ISNUMBER($L874),COUNTIFS(nrES_PID,$D874,nrES_Code,$F874,nrES_Att,1)&gt;0,SUMIFS(nrES_Raw,nrES_PID,$D874,nrES_Code,$F874,nrES_Att,1)&gt;=$J874),"RETEST AFTER A PASSING FIRST ATTEMPT","OK"))))))))))</f>
        <v/>
      </c>
      <c r="Y874" s="16" t="n"/>
    </row>
    <row r="875">
      <c r="B875" s="17">
        <f>IF($C875="","",$D875&amp;"-"&amp;$F875&amp;"-"&amp;$K875)</f>
        <v/>
      </c>
      <c r="C875" s="16" t="n"/>
      <c r="D875" s="17">
        <f>IF($C875="","",IFERROR(INDEX(rngCadetPIDs,MATCH($C875,rngCadetNames,0)),"?"))</f>
        <v/>
      </c>
      <c r="E875" s="17">
        <f>IF($D875="","",IFERROR(INDEX(nrCadetAgency,MATCH($D875,rngCadetPIDs,0)),""))</f>
        <v/>
      </c>
      <c r="F875" s="16" t="n"/>
      <c r="G875" s="17">
        <f>IF($F875="","",IFERROR(INDEX(rngEPname,MATCH($F875,rngEPcode,0)),"?"))</f>
        <v/>
      </c>
      <c r="H875" s="17">
        <f>IF($F875="","",IFERROR(INDEX(rngEPtype,MATCH($F875,rngEPcode,0)),"?"))</f>
        <v/>
      </c>
      <c r="I875" s="17">
        <f>IF($F875="","",IFERROR(INDEX(rngEPseq,MATCH($F875,rngEPcode,0)),""))</f>
        <v/>
      </c>
      <c r="J875" s="17">
        <f>IF($F875="","",IFERROR(INDEX(rngEPpass,MATCH($F875,rngEPcode,0)),cfgPassingScore))</f>
        <v/>
      </c>
      <c r="K875" s="16" t="n"/>
      <c r="L875" s="16" t="n"/>
      <c r="M875" s="17">
        <f>IF($C875="","",IF($L875="","",IF(NOT(ISNUMBER($L875)),$L875,IF(N($K875)&gt;2,"",IF($K875=1,IF(COUNTIFS(nrES_PID,$D875,nrES_Code,$F875,nrES_Att,2,nrES_Raw,"&gt;=0")&gt;0,"",$L875),IF($L875&gt;=$J875,MAX($J875,cfgRetakeRecordedCap),IF(COUNTIFS(nrES_PID,$D875,nrES_Code,$F875,nrES_Att,1)=0,$L875,SUMIFS(nrES_Raw,nrES_PID,$D875,nrES_Code,$F875,nrES_Att,1))))))))</f>
        <v/>
      </c>
      <c r="N875" s="17">
        <f>IF($C875="","",IF($L875="","",IF(NOT(ISNUMBER($L875)),"(not a score)",IF($L875&gt;=$J875,"Yes","No"))))</f>
        <v/>
      </c>
      <c r="O875" s="17">
        <f>IF($C875="","",IF($M875="","",IF(NOT(ISNUMBER($M875)),"(not a score)",IF($M875&gt;=$J875,"Yes","No"))))</f>
        <v/>
      </c>
      <c r="P875" s="17">
        <f>IF($C875="","",IF($K875="","",IF(N($K875)&gt;2,"No",IF(COUNTIFS(nrES_PID,$D875,nrES_Code,$F875,nrES_Att,"&gt;"&amp;$K875,nrES_Att,"&lt;=2",nrES_Raw,"&gt;=0")=0,"Yes","No"))))</f>
        <v/>
      </c>
      <c r="Q875" s="17">
        <f>IF($C875="","",IF($L875="","",IF(AND($K875=1,ISNUMBER($L875),$L875&lt;$J875,COUNTIFS(nrES_PID,$D875,nrES_Code,$F875,nrES_Att,2,nrES_Raw,"&gt;=0")=0),"Yes","No")))</f>
        <v/>
      </c>
      <c r="R875" s="17">
        <f>IF($C875="","",IF($L875="","",IF(AND(N($K875)&gt;=2,ISNUMBER($L875),$L875&lt;$J875),"Yes","No")))</f>
        <v/>
      </c>
      <c r="S875" s="18" t="n"/>
      <c r="T875" s="19">
        <f>IF(OR($C875="",$L875="",$K875&lt;&gt;1,NOT(ISNUMBER($L875)),$L875&gt;=$J875),"",IF($S875="","(enter date)",_xlfn.LET(_xlpm.dn,_xlfn.XLOOKUP($S875,nrCDdate,nrCDnum,"",1),IF(_xlpm.dn="","(after last class day)",_xlfn.LET(_xlpm.dd,_xlfn.XLOOKUP(_xlpm.dn+cfgRetestClassDays,nrCDnum,nrCDdate,""),_xlpm.ok,_xlfn.XLOOKUP(_xlpm.dn+cfgRetestClassDays,nrCDnum,nrCDinsession,"No"),IF(OR(_xlpm.dd="",_xlpm.ok&lt;&gt;"Yes"),"(after last class day)",_xlpm.dd))))))</f>
        <v/>
      </c>
      <c r="U875" s="17">
        <f>IF($C875="","",IF(AND($Y875="Excused",$L875="",N($K875)&lt;=1),"EXCUSED - 1st attempt pending",IF(OR($L875="",$K875&lt;&gt;1,NOT(ISNUMBER($L875)),$L875&gt;=$J875),"",IF(COUNTIFS(nrES_PID,$D875,nrES_Code,$F875,nrES_Att,2,nrES_Raw,"&gt;=0")&gt;0,IF(IFERROR(_xlfn.MINIFS(nrES_Date,nrES_PID,$D875,nrES_Code,$F875,nrES_Att,2,nrES_Raw,"&gt;=0",nrES_Date,"&gt;0"),0)=0,"RETEST UNDATED",IF(NOT(ISNUMBER($T875)),"RETEST DATE UNCHECKED",IF(_xlfn.MINIFS(nrES_Date,nrES_PID,$D875,nrES_Code,$F875,nrES_Att,2,nrES_Raw,"&gt;=0",nrES_Date,"&gt;0")&gt;$T875,"LATE RETEST "&amp;TEXT(_xlfn.MINIFS(nrES_Date,nrES_PID,$D875,nrES_Code,$F875,nrES_Att,2,nrES_Raw,"&gt;=0",nrES_Date,"&gt;0"),"mm/dd")&amp;" (due "&amp;TEXT($T875,"mm/dd")&amp;")","Retested"))),IF(NOT(ISNUMBER($T875)),"CHECK DATE",IF(TODAY()&gt;$T875,"OVERDUE","Due "&amp;TEXT($T875,"mm/dd")))))))</f>
        <v/>
      </c>
      <c r="V875" s="16" t="n"/>
      <c r="W875" s="16" t="n"/>
      <c r="X875" s="17">
        <f>IF($C875="","",IF(AND($L875&lt;&gt;"",NOT(ISNUMBER($L875))),"RAW SCORE NOT A NUMBER",IF(AND(ISNUMBER($L875),OR($L875&lt;0,$L875&gt;100)),"RAW SCORE OUT OF RANGE",IF(AND($Y875="Unexcused",OR($L875="",NOT(ISNUMBER($L875)),$L875&lt;&gt;0)),"UNEXCUSED ABSENCE MUST RECORD 0",IF(COUNTIF(nrES_RecID,$B875)&gt;1,"DUPLICATE RECORD",IF(N($K875)&gt;2,"ATTEMPT 3+ NOT ALLOWED - policy 300.5 permits one retest per exam; this row records nothing",IF(AND($K875=2,COUNTIFS(nrES_PID,$D875,nrES_Code,$F875,nrES_Att,1)=0),"ATTEMPT 2 WITHOUT ATTEMPT 1",IF(AND($K875=2,$L875=""),"RETEST ROW HAS NO SCORE",IF(AND($H875="Final",$L875&lt;&gt;"",IFERROR(INDEX(nrCKfinalExamElig,MATCH($D875,rngCadetPIDs,0)),"")="No"),"FINAL EXAM AFTER FAILED FINAL PT (500.1.H)",IF(AND($K875=2,ISNUMBER($L875),COUNTIFS(nrES_PID,$D875,nrES_Code,$F875,nrES_Att,1)&gt;0,SUMIFS(nrES_Raw,nrES_PID,$D875,nrES_Code,$F875,nrES_Att,1)&gt;=$J875),"RETEST AFTER A PASSING FIRST ATTEMPT","OK"))))))))))</f>
        <v/>
      </c>
      <c r="Y875" s="16" t="n"/>
    </row>
    <row r="876">
      <c r="B876" s="17">
        <f>IF($C876="","",$D876&amp;"-"&amp;$F876&amp;"-"&amp;$K876)</f>
        <v/>
      </c>
      <c r="C876" s="16" t="n"/>
      <c r="D876" s="17">
        <f>IF($C876="","",IFERROR(INDEX(rngCadetPIDs,MATCH($C876,rngCadetNames,0)),"?"))</f>
        <v/>
      </c>
      <c r="E876" s="17">
        <f>IF($D876="","",IFERROR(INDEX(nrCadetAgency,MATCH($D876,rngCadetPIDs,0)),""))</f>
        <v/>
      </c>
      <c r="F876" s="16" t="n"/>
      <c r="G876" s="17">
        <f>IF($F876="","",IFERROR(INDEX(rngEPname,MATCH($F876,rngEPcode,0)),"?"))</f>
        <v/>
      </c>
      <c r="H876" s="17">
        <f>IF($F876="","",IFERROR(INDEX(rngEPtype,MATCH($F876,rngEPcode,0)),"?"))</f>
        <v/>
      </c>
      <c r="I876" s="17">
        <f>IF($F876="","",IFERROR(INDEX(rngEPseq,MATCH($F876,rngEPcode,0)),""))</f>
        <v/>
      </c>
      <c r="J876" s="17">
        <f>IF($F876="","",IFERROR(INDEX(rngEPpass,MATCH($F876,rngEPcode,0)),cfgPassingScore))</f>
        <v/>
      </c>
      <c r="K876" s="16" t="n"/>
      <c r="L876" s="16" t="n"/>
      <c r="M876" s="17">
        <f>IF($C876="","",IF($L876="","",IF(NOT(ISNUMBER($L876)),$L876,IF(N($K876)&gt;2,"",IF($K876=1,IF(COUNTIFS(nrES_PID,$D876,nrES_Code,$F876,nrES_Att,2,nrES_Raw,"&gt;=0")&gt;0,"",$L876),IF($L876&gt;=$J876,MAX($J876,cfgRetakeRecordedCap),IF(COUNTIFS(nrES_PID,$D876,nrES_Code,$F876,nrES_Att,1)=0,$L876,SUMIFS(nrES_Raw,nrES_PID,$D876,nrES_Code,$F876,nrES_Att,1))))))))</f>
        <v/>
      </c>
      <c r="N876" s="17">
        <f>IF($C876="","",IF($L876="","",IF(NOT(ISNUMBER($L876)),"(not a score)",IF($L876&gt;=$J876,"Yes","No"))))</f>
        <v/>
      </c>
      <c r="O876" s="17">
        <f>IF($C876="","",IF($M876="","",IF(NOT(ISNUMBER($M876)),"(not a score)",IF($M876&gt;=$J876,"Yes","No"))))</f>
        <v/>
      </c>
      <c r="P876" s="17">
        <f>IF($C876="","",IF($K876="","",IF(N($K876)&gt;2,"No",IF(COUNTIFS(nrES_PID,$D876,nrES_Code,$F876,nrES_Att,"&gt;"&amp;$K876,nrES_Att,"&lt;=2",nrES_Raw,"&gt;=0")=0,"Yes","No"))))</f>
        <v/>
      </c>
      <c r="Q876" s="17">
        <f>IF($C876="","",IF($L876="","",IF(AND($K876=1,ISNUMBER($L876),$L876&lt;$J876,COUNTIFS(nrES_PID,$D876,nrES_Code,$F876,nrES_Att,2,nrES_Raw,"&gt;=0")=0),"Yes","No")))</f>
        <v/>
      </c>
      <c r="R876" s="17">
        <f>IF($C876="","",IF($L876="","",IF(AND(N($K876)&gt;=2,ISNUMBER($L876),$L876&lt;$J876),"Yes","No")))</f>
        <v/>
      </c>
      <c r="S876" s="18" t="n"/>
      <c r="T876" s="19">
        <f>IF(OR($C876="",$L876="",$K876&lt;&gt;1,NOT(ISNUMBER($L876)),$L876&gt;=$J876),"",IF($S876="","(enter date)",_xlfn.LET(_xlpm.dn,_xlfn.XLOOKUP($S876,nrCDdate,nrCDnum,"",1),IF(_xlpm.dn="","(after last class day)",_xlfn.LET(_xlpm.dd,_xlfn.XLOOKUP(_xlpm.dn+cfgRetestClassDays,nrCDnum,nrCDdate,""),_xlpm.ok,_xlfn.XLOOKUP(_xlpm.dn+cfgRetestClassDays,nrCDnum,nrCDinsession,"No"),IF(OR(_xlpm.dd="",_xlpm.ok&lt;&gt;"Yes"),"(after last class day)",_xlpm.dd))))))</f>
        <v/>
      </c>
      <c r="U876" s="17">
        <f>IF($C876="","",IF(AND($Y876="Excused",$L876="",N($K876)&lt;=1),"EXCUSED - 1st attempt pending",IF(OR($L876="",$K876&lt;&gt;1,NOT(ISNUMBER($L876)),$L876&gt;=$J876),"",IF(COUNTIFS(nrES_PID,$D876,nrES_Code,$F876,nrES_Att,2,nrES_Raw,"&gt;=0")&gt;0,IF(IFERROR(_xlfn.MINIFS(nrES_Date,nrES_PID,$D876,nrES_Code,$F876,nrES_Att,2,nrES_Raw,"&gt;=0",nrES_Date,"&gt;0"),0)=0,"RETEST UNDATED",IF(NOT(ISNUMBER($T876)),"RETEST DATE UNCHECKED",IF(_xlfn.MINIFS(nrES_Date,nrES_PID,$D876,nrES_Code,$F876,nrES_Att,2,nrES_Raw,"&gt;=0",nrES_Date,"&gt;0")&gt;$T876,"LATE RETEST "&amp;TEXT(_xlfn.MINIFS(nrES_Date,nrES_PID,$D876,nrES_Code,$F876,nrES_Att,2,nrES_Raw,"&gt;=0",nrES_Date,"&gt;0"),"mm/dd")&amp;" (due "&amp;TEXT($T876,"mm/dd")&amp;")","Retested"))),IF(NOT(ISNUMBER($T876)),"CHECK DATE",IF(TODAY()&gt;$T876,"OVERDUE","Due "&amp;TEXT($T876,"mm/dd")))))))</f>
        <v/>
      </c>
      <c r="V876" s="16" t="n"/>
      <c r="W876" s="16" t="n"/>
      <c r="X876" s="17">
        <f>IF($C876="","",IF(AND($L876&lt;&gt;"",NOT(ISNUMBER($L876))),"RAW SCORE NOT A NUMBER",IF(AND(ISNUMBER($L876),OR($L876&lt;0,$L876&gt;100)),"RAW SCORE OUT OF RANGE",IF(AND($Y876="Unexcused",OR($L876="",NOT(ISNUMBER($L876)),$L876&lt;&gt;0)),"UNEXCUSED ABSENCE MUST RECORD 0",IF(COUNTIF(nrES_RecID,$B876)&gt;1,"DUPLICATE RECORD",IF(N($K876)&gt;2,"ATTEMPT 3+ NOT ALLOWED - policy 300.5 permits one retest per exam; this row records nothing",IF(AND($K876=2,COUNTIFS(nrES_PID,$D876,nrES_Code,$F876,nrES_Att,1)=0),"ATTEMPT 2 WITHOUT ATTEMPT 1",IF(AND($K876=2,$L876=""),"RETEST ROW HAS NO SCORE",IF(AND($H876="Final",$L876&lt;&gt;"",IFERROR(INDEX(nrCKfinalExamElig,MATCH($D876,rngCadetPIDs,0)),"")="No"),"FINAL EXAM AFTER FAILED FINAL PT (500.1.H)",IF(AND($K876=2,ISNUMBER($L876),COUNTIFS(nrES_PID,$D876,nrES_Code,$F876,nrES_Att,1)&gt;0,SUMIFS(nrES_Raw,nrES_PID,$D876,nrES_Code,$F876,nrES_Att,1)&gt;=$J876),"RETEST AFTER A PASSING FIRST ATTEMPT","OK"))))))))))</f>
        <v/>
      </c>
      <c r="Y876" s="16" t="n"/>
    </row>
    <row r="877">
      <c r="B877" s="17">
        <f>IF($C877="","",$D877&amp;"-"&amp;$F877&amp;"-"&amp;$K877)</f>
        <v/>
      </c>
      <c r="C877" s="16" t="n"/>
      <c r="D877" s="17">
        <f>IF($C877="","",IFERROR(INDEX(rngCadetPIDs,MATCH($C877,rngCadetNames,0)),"?"))</f>
        <v/>
      </c>
      <c r="E877" s="17">
        <f>IF($D877="","",IFERROR(INDEX(nrCadetAgency,MATCH($D877,rngCadetPIDs,0)),""))</f>
        <v/>
      </c>
      <c r="F877" s="16" t="n"/>
      <c r="G877" s="17">
        <f>IF($F877="","",IFERROR(INDEX(rngEPname,MATCH($F877,rngEPcode,0)),"?"))</f>
        <v/>
      </c>
      <c r="H877" s="17">
        <f>IF($F877="","",IFERROR(INDEX(rngEPtype,MATCH($F877,rngEPcode,0)),"?"))</f>
        <v/>
      </c>
      <c r="I877" s="17">
        <f>IF($F877="","",IFERROR(INDEX(rngEPseq,MATCH($F877,rngEPcode,0)),""))</f>
        <v/>
      </c>
      <c r="J877" s="17">
        <f>IF($F877="","",IFERROR(INDEX(rngEPpass,MATCH($F877,rngEPcode,0)),cfgPassingScore))</f>
        <v/>
      </c>
      <c r="K877" s="16" t="n"/>
      <c r="L877" s="16" t="n"/>
      <c r="M877" s="17">
        <f>IF($C877="","",IF($L877="","",IF(NOT(ISNUMBER($L877)),$L877,IF(N($K877)&gt;2,"",IF($K877=1,IF(COUNTIFS(nrES_PID,$D877,nrES_Code,$F877,nrES_Att,2,nrES_Raw,"&gt;=0")&gt;0,"",$L877),IF($L877&gt;=$J877,MAX($J877,cfgRetakeRecordedCap),IF(COUNTIFS(nrES_PID,$D877,nrES_Code,$F877,nrES_Att,1)=0,$L877,SUMIFS(nrES_Raw,nrES_PID,$D877,nrES_Code,$F877,nrES_Att,1))))))))</f>
        <v/>
      </c>
      <c r="N877" s="17">
        <f>IF($C877="","",IF($L877="","",IF(NOT(ISNUMBER($L877)),"(not a score)",IF($L877&gt;=$J877,"Yes","No"))))</f>
        <v/>
      </c>
      <c r="O877" s="17">
        <f>IF($C877="","",IF($M877="","",IF(NOT(ISNUMBER($M877)),"(not a score)",IF($M877&gt;=$J877,"Yes","No"))))</f>
        <v/>
      </c>
      <c r="P877" s="17">
        <f>IF($C877="","",IF($K877="","",IF(N($K877)&gt;2,"No",IF(COUNTIFS(nrES_PID,$D877,nrES_Code,$F877,nrES_Att,"&gt;"&amp;$K877,nrES_Att,"&lt;=2",nrES_Raw,"&gt;=0")=0,"Yes","No"))))</f>
        <v/>
      </c>
      <c r="Q877" s="17">
        <f>IF($C877="","",IF($L877="","",IF(AND($K877=1,ISNUMBER($L877),$L877&lt;$J877,COUNTIFS(nrES_PID,$D877,nrES_Code,$F877,nrES_Att,2,nrES_Raw,"&gt;=0")=0),"Yes","No")))</f>
        <v/>
      </c>
      <c r="R877" s="17">
        <f>IF($C877="","",IF($L877="","",IF(AND(N($K877)&gt;=2,ISNUMBER($L877),$L877&lt;$J877),"Yes","No")))</f>
        <v/>
      </c>
      <c r="S877" s="18" t="n"/>
      <c r="T877" s="19">
        <f>IF(OR($C877="",$L877="",$K877&lt;&gt;1,NOT(ISNUMBER($L877)),$L877&gt;=$J877),"",IF($S877="","(enter date)",_xlfn.LET(_xlpm.dn,_xlfn.XLOOKUP($S877,nrCDdate,nrCDnum,"",1),IF(_xlpm.dn="","(after last class day)",_xlfn.LET(_xlpm.dd,_xlfn.XLOOKUP(_xlpm.dn+cfgRetestClassDays,nrCDnum,nrCDdate,""),_xlpm.ok,_xlfn.XLOOKUP(_xlpm.dn+cfgRetestClassDays,nrCDnum,nrCDinsession,"No"),IF(OR(_xlpm.dd="",_xlpm.ok&lt;&gt;"Yes"),"(after last class day)",_xlpm.dd))))))</f>
        <v/>
      </c>
      <c r="U877" s="17">
        <f>IF($C877="","",IF(AND($Y877="Excused",$L877="",N($K877)&lt;=1),"EXCUSED - 1st attempt pending",IF(OR($L877="",$K877&lt;&gt;1,NOT(ISNUMBER($L877)),$L877&gt;=$J877),"",IF(COUNTIFS(nrES_PID,$D877,nrES_Code,$F877,nrES_Att,2,nrES_Raw,"&gt;=0")&gt;0,IF(IFERROR(_xlfn.MINIFS(nrES_Date,nrES_PID,$D877,nrES_Code,$F877,nrES_Att,2,nrES_Raw,"&gt;=0",nrES_Date,"&gt;0"),0)=0,"RETEST UNDATED",IF(NOT(ISNUMBER($T877)),"RETEST DATE UNCHECKED",IF(_xlfn.MINIFS(nrES_Date,nrES_PID,$D877,nrES_Code,$F877,nrES_Att,2,nrES_Raw,"&gt;=0",nrES_Date,"&gt;0")&gt;$T877,"LATE RETEST "&amp;TEXT(_xlfn.MINIFS(nrES_Date,nrES_PID,$D877,nrES_Code,$F877,nrES_Att,2,nrES_Raw,"&gt;=0",nrES_Date,"&gt;0"),"mm/dd")&amp;" (due "&amp;TEXT($T877,"mm/dd")&amp;")","Retested"))),IF(NOT(ISNUMBER($T877)),"CHECK DATE",IF(TODAY()&gt;$T877,"OVERDUE","Due "&amp;TEXT($T877,"mm/dd")))))))</f>
        <v/>
      </c>
      <c r="V877" s="16" t="n"/>
      <c r="W877" s="16" t="n"/>
      <c r="X877" s="17">
        <f>IF($C877="","",IF(AND($L877&lt;&gt;"",NOT(ISNUMBER($L877))),"RAW SCORE NOT A NUMBER",IF(AND(ISNUMBER($L877),OR($L877&lt;0,$L877&gt;100)),"RAW SCORE OUT OF RANGE",IF(AND($Y877="Unexcused",OR($L877="",NOT(ISNUMBER($L877)),$L877&lt;&gt;0)),"UNEXCUSED ABSENCE MUST RECORD 0",IF(COUNTIF(nrES_RecID,$B877)&gt;1,"DUPLICATE RECORD",IF(N($K877)&gt;2,"ATTEMPT 3+ NOT ALLOWED - policy 300.5 permits one retest per exam; this row records nothing",IF(AND($K877=2,COUNTIFS(nrES_PID,$D877,nrES_Code,$F877,nrES_Att,1)=0),"ATTEMPT 2 WITHOUT ATTEMPT 1",IF(AND($K877=2,$L877=""),"RETEST ROW HAS NO SCORE",IF(AND($H877="Final",$L877&lt;&gt;"",IFERROR(INDEX(nrCKfinalExamElig,MATCH($D877,rngCadetPIDs,0)),"")="No"),"FINAL EXAM AFTER FAILED FINAL PT (500.1.H)",IF(AND($K877=2,ISNUMBER($L877),COUNTIFS(nrES_PID,$D877,nrES_Code,$F877,nrES_Att,1)&gt;0,SUMIFS(nrES_Raw,nrES_PID,$D877,nrES_Code,$F877,nrES_Att,1)&gt;=$J877),"RETEST AFTER A PASSING FIRST ATTEMPT","OK"))))))))))</f>
        <v/>
      </c>
      <c r="Y877" s="16" t="n"/>
    </row>
    <row r="878">
      <c r="B878" s="17">
        <f>IF($C878="","",$D878&amp;"-"&amp;$F878&amp;"-"&amp;$K878)</f>
        <v/>
      </c>
      <c r="C878" s="16" t="n"/>
      <c r="D878" s="17">
        <f>IF($C878="","",IFERROR(INDEX(rngCadetPIDs,MATCH($C878,rngCadetNames,0)),"?"))</f>
        <v/>
      </c>
      <c r="E878" s="17">
        <f>IF($D878="","",IFERROR(INDEX(nrCadetAgency,MATCH($D878,rngCadetPIDs,0)),""))</f>
        <v/>
      </c>
      <c r="F878" s="16" t="n"/>
      <c r="G878" s="17">
        <f>IF($F878="","",IFERROR(INDEX(rngEPname,MATCH($F878,rngEPcode,0)),"?"))</f>
        <v/>
      </c>
      <c r="H878" s="17">
        <f>IF($F878="","",IFERROR(INDEX(rngEPtype,MATCH($F878,rngEPcode,0)),"?"))</f>
        <v/>
      </c>
      <c r="I878" s="17">
        <f>IF($F878="","",IFERROR(INDEX(rngEPseq,MATCH($F878,rngEPcode,0)),""))</f>
        <v/>
      </c>
      <c r="J878" s="17">
        <f>IF($F878="","",IFERROR(INDEX(rngEPpass,MATCH($F878,rngEPcode,0)),cfgPassingScore))</f>
        <v/>
      </c>
      <c r="K878" s="16" t="n"/>
      <c r="L878" s="16" t="n"/>
      <c r="M878" s="17">
        <f>IF($C878="","",IF($L878="","",IF(NOT(ISNUMBER($L878)),$L878,IF(N($K878)&gt;2,"",IF($K878=1,IF(COUNTIFS(nrES_PID,$D878,nrES_Code,$F878,nrES_Att,2,nrES_Raw,"&gt;=0")&gt;0,"",$L878),IF($L878&gt;=$J878,MAX($J878,cfgRetakeRecordedCap),IF(COUNTIFS(nrES_PID,$D878,nrES_Code,$F878,nrES_Att,1)=0,$L878,SUMIFS(nrES_Raw,nrES_PID,$D878,nrES_Code,$F878,nrES_Att,1))))))))</f>
        <v/>
      </c>
      <c r="N878" s="17">
        <f>IF($C878="","",IF($L878="","",IF(NOT(ISNUMBER($L878)),"(not a score)",IF($L878&gt;=$J878,"Yes","No"))))</f>
        <v/>
      </c>
      <c r="O878" s="17">
        <f>IF($C878="","",IF($M878="","",IF(NOT(ISNUMBER($M878)),"(not a score)",IF($M878&gt;=$J878,"Yes","No"))))</f>
        <v/>
      </c>
      <c r="P878" s="17">
        <f>IF($C878="","",IF($K878="","",IF(N($K878)&gt;2,"No",IF(COUNTIFS(nrES_PID,$D878,nrES_Code,$F878,nrES_Att,"&gt;"&amp;$K878,nrES_Att,"&lt;=2",nrES_Raw,"&gt;=0")=0,"Yes","No"))))</f>
        <v/>
      </c>
      <c r="Q878" s="17">
        <f>IF($C878="","",IF($L878="","",IF(AND($K878=1,ISNUMBER($L878),$L878&lt;$J878,COUNTIFS(nrES_PID,$D878,nrES_Code,$F878,nrES_Att,2,nrES_Raw,"&gt;=0")=0),"Yes","No")))</f>
        <v/>
      </c>
      <c r="R878" s="17">
        <f>IF($C878="","",IF($L878="","",IF(AND(N($K878)&gt;=2,ISNUMBER($L878),$L878&lt;$J878),"Yes","No")))</f>
        <v/>
      </c>
      <c r="S878" s="18" t="n"/>
      <c r="T878" s="19">
        <f>IF(OR($C878="",$L878="",$K878&lt;&gt;1,NOT(ISNUMBER($L878)),$L878&gt;=$J878),"",IF($S878="","(enter date)",_xlfn.LET(_xlpm.dn,_xlfn.XLOOKUP($S878,nrCDdate,nrCDnum,"",1),IF(_xlpm.dn="","(after last class day)",_xlfn.LET(_xlpm.dd,_xlfn.XLOOKUP(_xlpm.dn+cfgRetestClassDays,nrCDnum,nrCDdate,""),_xlpm.ok,_xlfn.XLOOKUP(_xlpm.dn+cfgRetestClassDays,nrCDnum,nrCDinsession,"No"),IF(OR(_xlpm.dd="",_xlpm.ok&lt;&gt;"Yes"),"(after last class day)",_xlpm.dd))))))</f>
        <v/>
      </c>
      <c r="U878" s="17">
        <f>IF($C878="","",IF(AND($Y878="Excused",$L878="",N($K878)&lt;=1),"EXCUSED - 1st attempt pending",IF(OR($L878="",$K878&lt;&gt;1,NOT(ISNUMBER($L878)),$L878&gt;=$J878),"",IF(COUNTIFS(nrES_PID,$D878,nrES_Code,$F878,nrES_Att,2,nrES_Raw,"&gt;=0")&gt;0,IF(IFERROR(_xlfn.MINIFS(nrES_Date,nrES_PID,$D878,nrES_Code,$F878,nrES_Att,2,nrES_Raw,"&gt;=0",nrES_Date,"&gt;0"),0)=0,"RETEST UNDATED",IF(NOT(ISNUMBER($T878)),"RETEST DATE UNCHECKED",IF(_xlfn.MINIFS(nrES_Date,nrES_PID,$D878,nrES_Code,$F878,nrES_Att,2,nrES_Raw,"&gt;=0",nrES_Date,"&gt;0")&gt;$T878,"LATE RETEST "&amp;TEXT(_xlfn.MINIFS(nrES_Date,nrES_PID,$D878,nrES_Code,$F878,nrES_Att,2,nrES_Raw,"&gt;=0",nrES_Date,"&gt;0"),"mm/dd")&amp;" (due "&amp;TEXT($T878,"mm/dd")&amp;")","Retested"))),IF(NOT(ISNUMBER($T878)),"CHECK DATE",IF(TODAY()&gt;$T878,"OVERDUE","Due "&amp;TEXT($T878,"mm/dd")))))))</f>
        <v/>
      </c>
      <c r="V878" s="16" t="n"/>
      <c r="W878" s="16" t="n"/>
      <c r="X878" s="17">
        <f>IF($C878="","",IF(AND($L878&lt;&gt;"",NOT(ISNUMBER($L878))),"RAW SCORE NOT A NUMBER",IF(AND(ISNUMBER($L878),OR($L878&lt;0,$L878&gt;100)),"RAW SCORE OUT OF RANGE",IF(AND($Y878="Unexcused",OR($L878="",NOT(ISNUMBER($L878)),$L878&lt;&gt;0)),"UNEXCUSED ABSENCE MUST RECORD 0",IF(COUNTIF(nrES_RecID,$B878)&gt;1,"DUPLICATE RECORD",IF(N($K878)&gt;2,"ATTEMPT 3+ NOT ALLOWED - policy 300.5 permits one retest per exam; this row records nothing",IF(AND($K878=2,COUNTIFS(nrES_PID,$D878,nrES_Code,$F878,nrES_Att,1)=0),"ATTEMPT 2 WITHOUT ATTEMPT 1",IF(AND($K878=2,$L878=""),"RETEST ROW HAS NO SCORE",IF(AND($H878="Final",$L878&lt;&gt;"",IFERROR(INDEX(nrCKfinalExamElig,MATCH($D878,rngCadetPIDs,0)),"")="No"),"FINAL EXAM AFTER FAILED FINAL PT (500.1.H)",IF(AND($K878=2,ISNUMBER($L878),COUNTIFS(nrES_PID,$D878,nrES_Code,$F878,nrES_Att,1)&gt;0,SUMIFS(nrES_Raw,nrES_PID,$D878,nrES_Code,$F878,nrES_Att,1)&gt;=$J878),"RETEST AFTER A PASSING FIRST ATTEMPT","OK"))))))))))</f>
        <v/>
      </c>
      <c r="Y878" s="16" t="n"/>
    </row>
    <row r="879">
      <c r="B879" s="17">
        <f>IF($C879="","",$D879&amp;"-"&amp;$F879&amp;"-"&amp;$K879)</f>
        <v/>
      </c>
      <c r="C879" s="16" t="n"/>
      <c r="D879" s="17">
        <f>IF($C879="","",IFERROR(INDEX(rngCadetPIDs,MATCH($C879,rngCadetNames,0)),"?"))</f>
        <v/>
      </c>
      <c r="E879" s="17">
        <f>IF($D879="","",IFERROR(INDEX(nrCadetAgency,MATCH($D879,rngCadetPIDs,0)),""))</f>
        <v/>
      </c>
      <c r="F879" s="16" t="n"/>
      <c r="G879" s="17">
        <f>IF($F879="","",IFERROR(INDEX(rngEPname,MATCH($F879,rngEPcode,0)),"?"))</f>
        <v/>
      </c>
      <c r="H879" s="17">
        <f>IF($F879="","",IFERROR(INDEX(rngEPtype,MATCH($F879,rngEPcode,0)),"?"))</f>
        <v/>
      </c>
      <c r="I879" s="17">
        <f>IF($F879="","",IFERROR(INDEX(rngEPseq,MATCH($F879,rngEPcode,0)),""))</f>
        <v/>
      </c>
      <c r="J879" s="17">
        <f>IF($F879="","",IFERROR(INDEX(rngEPpass,MATCH($F879,rngEPcode,0)),cfgPassingScore))</f>
        <v/>
      </c>
      <c r="K879" s="16" t="n"/>
      <c r="L879" s="16" t="n"/>
      <c r="M879" s="17">
        <f>IF($C879="","",IF($L879="","",IF(NOT(ISNUMBER($L879)),$L879,IF(N($K879)&gt;2,"",IF($K879=1,IF(COUNTIFS(nrES_PID,$D879,nrES_Code,$F879,nrES_Att,2,nrES_Raw,"&gt;=0")&gt;0,"",$L879),IF($L879&gt;=$J879,MAX($J879,cfgRetakeRecordedCap),IF(COUNTIFS(nrES_PID,$D879,nrES_Code,$F879,nrES_Att,1)=0,$L879,SUMIFS(nrES_Raw,nrES_PID,$D879,nrES_Code,$F879,nrES_Att,1))))))))</f>
        <v/>
      </c>
      <c r="N879" s="17">
        <f>IF($C879="","",IF($L879="","",IF(NOT(ISNUMBER($L879)),"(not a score)",IF($L879&gt;=$J879,"Yes","No"))))</f>
        <v/>
      </c>
      <c r="O879" s="17">
        <f>IF($C879="","",IF($M879="","",IF(NOT(ISNUMBER($M879)),"(not a score)",IF($M879&gt;=$J879,"Yes","No"))))</f>
        <v/>
      </c>
      <c r="P879" s="17">
        <f>IF($C879="","",IF($K879="","",IF(N($K879)&gt;2,"No",IF(COUNTIFS(nrES_PID,$D879,nrES_Code,$F879,nrES_Att,"&gt;"&amp;$K879,nrES_Att,"&lt;=2",nrES_Raw,"&gt;=0")=0,"Yes","No"))))</f>
        <v/>
      </c>
      <c r="Q879" s="17">
        <f>IF($C879="","",IF($L879="","",IF(AND($K879=1,ISNUMBER($L879),$L879&lt;$J879,COUNTIFS(nrES_PID,$D879,nrES_Code,$F879,nrES_Att,2,nrES_Raw,"&gt;=0")=0),"Yes","No")))</f>
        <v/>
      </c>
      <c r="R879" s="17">
        <f>IF($C879="","",IF($L879="","",IF(AND(N($K879)&gt;=2,ISNUMBER($L879),$L879&lt;$J879),"Yes","No")))</f>
        <v/>
      </c>
      <c r="S879" s="18" t="n"/>
      <c r="T879" s="19">
        <f>IF(OR($C879="",$L879="",$K879&lt;&gt;1,NOT(ISNUMBER($L879)),$L879&gt;=$J879),"",IF($S879="","(enter date)",_xlfn.LET(_xlpm.dn,_xlfn.XLOOKUP($S879,nrCDdate,nrCDnum,"",1),IF(_xlpm.dn="","(after last class day)",_xlfn.LET(_xlpm.dd,_xlfn.XLOOKUP(_xlpm.dn+cfgRetestClassDays,nrCDnum,nrCDdate,""),_xlpm.ok,_xlfn.XLOOKUP(_xlpm.dn+cfgRetestClassDays,nrCDnum,nrCDinsession,"No"),IF(OR(_xlpm.dd="",_xlpm.ok&lt;&gt;"Yes"),"(after last class day)",_xlpm.dd))))))</f>
        <v/>
      </c>
      <c r="U879" s="17">
        <f>IF($C879="","",IF(AND($Y879="Excused",$L879="",N($K879)&lt;=1),"EXCUSED - 1st attempt pending",IF(OR($L879="",$K879&lt;&gt;1,NOT(ISNUMBER($L879)),$L879&gt;=$J879),"",IF(COUNTIFS(nrES_PID,$D879,nrES_Code,$F879,nrES_Att,2,nrES_Raw,"&gt;=0")&gt;0,IF(IFERROR(_xlfn.MINIFS(nrES_Date,nrES_PID,$D879,nrES_Code,$F879,nrES_Att,2,nrES_Raw,"&gt;=0",nrES_Date,"&gt;0"),0)=0,"RETEST UNDATED",IF(NOT(ISNUMBER($T879)),"RETEST DATE UNCHECKED",IF(_xlfn.MINIFS(nrES_Date,nrES_PID,$D879,nrES_Code,$F879,nrES_Att,2,nrES_Raw,"&gt;=0",nrES_Date,"&gt;0")&gt;$T879,"LATE RETEST "&amp;TEXT(_xlfn.MINIFS(nrES_Date,nrES_PID,$D879,nrES_Code,$F879,nrES_Att,2,nrES_Raw,"&gt;=0",nrES_Date,"&gt;0"),"mm/dd")&amp;" (due "&amp;TEXT($T879,"mm/dd")&amp;")","Retested"))),IF(NOT(ISNUMBER($T879)),"CHECK DATE",IF(TODAY()&gt;$T879,"OVERDUE","Due "&amp;TEXT($T879,"mm/dd")))))))</f>
        <v/>
      </c>
      <c r="V879" s="16" t="n"/>
      <c r="W879" s="16" t="n"/>
      <c r="X879" s="17">
        <f>IF($C879="","",IF(AND($L879&lt;&gt;"",NOT(ISNUMBER($L879))),"RAW SCORE NOT A NUMBER",IF(AND(ISNUMBER($L879),OR($L879&lt;0,$L879&gt;100)),"RAW SCORE OUT OF RANGE",IF(AND($Y879="Unexcused",OR($L879="",NOT(ISNUMBER($L879)),$L879&lt;&gt;0)),"UNEXCUSED ABSENCE MUST RECORD 0",IF(COUNTIF(nrES_RecID,$B879)&gt;1,"DUPLICATE RECORD",IF(N($K879)&gt;2,"ATTEMPT 3+ NOT ALLOWED - policy 300.5 permits one retest per exam; this row records nothing",IF(AND($K879=2,COUNTIFS(nrES_PID,$D879,nrES_Code,$F879,nrES_Att,1)=0),"ATTEMPT 2 WITHOUT ATTEMPT 1",IF(AND($K879=2,$L879=""),"RETEST ROW HAS NO SCORE",IF(AND($H879="Final",$L879&lt;&gt;"",IFERROR(INDEX(nrCKfinalExamElig,MATCH($D879,rngCadetPIDs,0)),"")="No"),"FINAL EXAM AFTER FAILED FINAL PT (500.1.H)",IF(AND($K879=2,ISNUMBER($L879),COUNTIFS(nrES_PID,$D879,nrES_Code,$F879,nrES_Att,1)&gt;0,SUMIFS(nrES_Raw,nrES_PID,$D879,nrES_Code,$F879,nrES_Att,1)&gt;=$J879),"RETEST AFTER A PASSING FIRST ATTEMPT","OK"))))))))))</f>
        <v/>
      </c>
      <c r="Y879" s="16" t="n"/>
    </row>
    <row r="880">
      <c r="B880" s="17">
        <f>IF($C880="","",$D880&amp;"-"&amp;$F880&amp;"-"&amp;$K880)</f>
        <v/>
      </c>
      <c r="C880" s="16" t="n"/>
      <c r="D880" s="17">
        <f>IF($C880="","",IFERROR(INDEX(rngCadetPIDs,MATCH($C880,rngCadetNames,0)),"?"))</f>
        <v/>
      </c>
      <c r="E880" s="17">
        <f>IF($D880="","",IFERROR(INDEX(nrCadetAgency,MATCH($D880,rngCadetPIDs,0)),""))</f>
        <v/>
      </c>
      <c r="F880" s="16" t="n"/>
      <c r="G880" s="17">
        <f>IF($F880="","",IFERROR(INDEX(rngEPname,MATCH($F880,rngEPcode,0)),"?"))</f>
        <v/>
      </c>
      <c r="H880" s="17">
        <f>IF($F880="","",IFERROR(INDEX(rngEPtype,MATCH($F880,rngEPcode,0)),"?"))</f>
        <v/>
      </c>
      <c r="I880" s="17">
        <f>IF($F880="","",IFERROR(INDEX(rngEPseq,MATCH($F880,rngEPcode,0)),""))</f>
        <v/>
      </c>
      <c r="J880" s="17">
        <f>IF($F880="","",IFERROR(INDEX(rngEPpass,MATCH($F880,rngEPcode,0)),cfgPassingScore))</f>
        <v/>
      </c>
      <c r="K880" s="16" t="n"/>
      <c r="L880" s="16" t="n"/>
      <c r="M880" s="17">
        <f>IF($C880="","",IF($L880="","",IF(NOT(ISNUMBER($L880)),$L880,IF(N($K880)&gt;2,"",IF($K880=1,IF(COUNTIFS(nrES_PID,$D880,nrES_Code,$F880,nrES_Att,2,nrES_Raw,"&gt;=0")&gt;0,"",$L880),IF($L880&gt;=$J880,MAX($J880,cfgRetakeRecordedCap),IF(COUNTIFS(nrES_PID,$D880,nrES_Code,$F880,nrES_Att,1)=0,$L880,SUMIFS(nrES_Raw,nrES_PID,$D880,nrES_Code,$F880,nrES_Att,1))))))))</f>
        <v/>
      </c>
      <c r="N880" s="17">
        <f>IF($C880="","",IF($L880="","",IF(NOT(ISNUMBER($L880)),"(not a score)",IF($L880&gt;=$J880,"Yes","No"))))</f>
        <v/>
      </c>
      <c r="O880" s="17">
        <f>IF($C880="","",IF($M880="","",IF(NOT(ISNUMBER($M880)),"(not a score)",IF($M880&gt;=$J880,"Yes","No"))))</f>
        <v/>
      </c>
      <c r="P880" s="17">
        <f>IF($C880="","",IF($K880="","",IF(N($K880)&gt;2,"No",IF(COUNTIFS(nrES_PID,$D880,nrES_Code,$F880,nrES_Att,"&gt;"&amp;$K880,nrES_Att,"&lt;=2",nrES_Raw,"&gt;=0")=0,"Yes","No"))))</f>
        <v/>
      </c>
      <c r="Q880" s="17">
        <f>IF($C880="","",IF($L880="","",IF(AND($K880=1,ISNUMBER($L880),$L880&lt;$J880,COUNTIFS(nrES_PID,$D880,nrES_Code,$F880,nrES_Att,2,nrES_Raw,"&gt;=0")=0),"Yes","No")))</f>
        <v/>
      </c>
      <c r="R880" s="17">
        <f>IF($C880="","",IF($L880="","",IF(AND(N($K880)&gt;=2,ISNUMBER($L880),$L880&lt;$J880),"Yes","No")))</f>
        <v/>
      </c>
      <c r="S880" s="18" t="n"/>
      <c r="T880" s="19">
        <f>IF(OR($C880="",$L880="",$K880&lt;&gt;1,NOT(ISNUMBER($L880)),$L880&gt;=$J880),"",IF($S880="","(enter date)",_xlfn.LET(_xlpm.dn,_xlfn.XLOOKUP($S880,nrCDdate,nrCDnum,"",1),IF(_xlpm.dn="","(after last class day)",_xlfn.LET(_xlpm.dd,_xlfn.XLOOKUP(_xlpm.dn+cfgRetestClassDays,nrCDnum,nrCDdate,""),_xlpm.ok,_xlfn.XLOOKUP(_xlpm.dn+cfgRetestClassDays,nrCDnum,nrCDinsession,"No"),IF(OR(_xlpm.dd="",_xlpm.ok&lt;&gt;"Yes"),"(after last class day)",_xlpm.dd))))))</f>
        <v/>
      </c>
      <c r="U880" s="17">
        <f>IF($C880="","",IF(AND($Y880="Excused",$L880="",N($K880)&lt;=1),"EXCUSED - 1st attempt pending",IF(OR($L880="",$K880&lt;&gt;1,NOT(ISNUMBER($L880)),$L880&gt;=$J880),"",IF(COUNTIFS(nrES_PID,$D880,nrES_Code,$F880,nrES_Att,2,nrES_Raw,"&gt;=0")&gt;0,IF(IFERROR(_xlfn.MINIFS(nrES_Date,nrES_PID,$D880,nrES_Code,$F880,nrES_Att,2,nrES_Raw,"&gt;=0",nrES_Date,"&gt;0"),0)=0,"RETEST UNDATED",IF(NOT(ISNUMBER($T880)),"RETEST DATE UNCHECKED",IF(_xlfn.MINIFS(nrES_Date,nrES_PID,$D880,nrES_Code,$F880,nrES_Att,2,nrES_Raw,"&gt;=0",nrES_Date,"&gt;0")&gt;$T880,"LATE RETEST "&amp;TEXT(_xlfn.MINIFS(nrES_Date,nrES_PID,$D880,nrES_Code,$F880,nrES_Att,2,nrES_Raw,"&gt;=0",nrES_Date,"&gt;0"),"mm/dd")&amp;" (due "&amp;TEXT($T880,"mm/dd")&amp;")","Retested"))),IF(NOT(ISNUMBER($T880)),"CHECK DATE",IF(TODAY()&gt;$T880,"OVERDUE","Due "&amp;TEXT($T880,"mm/dd")))))))</f>
        <v/>
      </c>
      <c r="V880" s="16" t="n"/>
      <c r="W880" s="16" t="n"/>
      <c r="X880" s="17">
        <f>IF($C880="","",IF(AND($L880&lt;&gt;"",NOT(ISNUMBER($L880))),"RAW SCORE NOT A NUMBER",IF(AND(ISNUMBER($L880),OR($L880&lt;0,$L880&gt;100)),"RAW SCORE OUT OF RANGE",IF(AND($Y880="Unexcused",OR($L880="",NOT(ISNUMBER($L880)),$L880&lt;&gt;0)),"UNEXCUSED ABSENCE MUST RECORD 0",IF(COUNTIF(nrES_RecID,$B880)&gt;1,"DUPLICATE RECORD",IF(N($K880)&gt;2,"ATTEMPT 3+ NOT ALLOWED - policy 300.5 permits one retest per exam; this row records nothing",IF(AND($K880=2,COUNTIFS(nrES_PID,$D880,nrES_Code,$F880,nrES_Att,1)=0),"ATTEMPT 2 WITHOUT ATTEMPT 1",IF(AND($K880=2,$L880=""),"RETEST ROW HAS NO SCORE",IF(AND($H880="Final",$L880&lt;&gt;"",IFERROR(INDEX(nrCKfinalExamElig,MATCH($D880,rngCadetPIDs,0)),"")="No"),"FINAL EXAM AFTER FAILED FINAL PT (500.1.H)",IF(AND($K880=2,ISNUMBER($L880),COUNTIFS(nrES_PID,$D880,nrES_Code,$F880,nrES_Att,1)&gt;0,SUMIFS(nrES_Raw,nrES_PID,$D880,nrES_Code,$F880,nrES_Att,1)&gt;=$J880),"RETEST AFTER A PASSING FIRST ATTEMPT","OK"))))))))))</f>
        <v/>
      </c>
      <c r="Y880" s="16" t="n"/>
    </row>
    <row r="881">
      <c r="B881" s="17">
        <f>IF($C881="","",$D881&amp;"-"&amp;$F881&amp;"-"&amp;$K881)</f>
        <v/>
      </c>
      <c r="C881" s="16" t="n"/>
      <c r="D881" s="17">
        <f>IF($C881="","",IFERROR(INDEX(rngCadetPIDs,MATCH($C881,rngCadetNames,0)),"?"))</f>
        <v/>
      </c>
      <c r="E881" s="17">
        <f>IF($D881="","",IFERROR(INDEX(nrCadetAgency,MATCH($D881,rngCadetPIDs,0)),""))</f>
        <v/>
      </c>
      <c r="F881" s="16" t="n"/>
      <c r="G881" s="17">
        <f>IF($F881="","",IFERROR(INDEX(rngEPname,MATCH($F881,rngEPcode,0)),"?"))</f>
        <v/>
      </c>
      <c r="H881" s="17">
        <f>IF($F881="","",IFERROR(INDEX(rngEPtype,MATCH($F881,rngEPcode,0)),"?"))</f>
        <v/>
      </c>
      <c r="I881" s="17">
        <f>IF($F881="","",IFERROR(INDEX(rngEPseq,MATCH($F881,rngEPcode,0)),""))</f>
        <v/>
      </c>
      <c r="J881" s="17">
        <f>IF($F881="","",IFERROR(INDEX(rngEPpass,MATCH($F881,rngEPcode,0)),cfgPassingScore))</f>
        <v/>
      </c>
      <c r="K881" s="16" t="n"/>
      <c r="L881" s="16" t="n"/>
      <c r="M881" s="17">
        <f>IF($C881="","",IF($L881="","",IF(NOT(ISNUMBER($L881)),$L881,IF(N($K881)&gt;2,"",IF($K881=1,IF(COUNTIFS(nrES_PID,$D881,nrES_Code,$F881,nrES_Att,2,nrES_Raw,"&gt;=0")&gt;0,"",$L881),IF($L881&gt;=$J881,MAX($J881,cfgRetakeRecordedCap),IF(COUNTIFS(nrES_PID,$D881,nrES_Code,$F881,nrES_Att,1)=0,$L881,SUMIFS(nrES_Raw,nrES_PID,$D881,nrES_Code,$F881,nrES_Att,1))))))))</f>
        <v/>
      </c>
      <c r="N881" s="17">
        <f>IF($C881="","",IF($L881="","",IF(NOT(ISNUMBER($L881)),"(not a score)",IF($L881&gt;=$J881,"Yes","No"))))</f>
        <v/>
      </c>
      <c r="O881" s="17">
        <f>IF($C881="","",IF($M881="","",IF(NOT(ISNUMBER($M881)),"(not a score)",IF($M881&gt;=$J881,"Yes","No"))))</f>
        <v/>
      </c>
      <c r="P881" s="17">
        <f>IF($C881="","",IF($K881="","",IF(N($K881)&gt;2,"No",IF(COUNTIFS(nrES_PID,$D881,nrES_Code,$F881,nrES_Att,"&gt;"&amp;$K881,nrES_Att,"&lt;=2",nrES_Raw,"&gt;=0")=0,"Yes","No"))))</f>
        <v/>
      </c>
      <c r="Q881" s="17">
        <f>IF($C881="","",IF($L881="","",IF(AND($K881=1,ISNUMBER($L881),$L881&lt;$J881,COUNTIFS(nrES_PID,$D881,nrES_Code,$F881,nrES_Att,2,nrES_Raw,"&gt;=0")=0),"Yes","No")))</f>
        <v/>
      </c>
      <c r="R881" s="17">
        <f>IF($C881="","",IF($L881="","",IF(AND(N($K881)&gt;=2,ISNUMBER($L881),$L881&lt;$J881),"Yes","No")))</f>
        <v/>
      </c>
      <c r="S881" s="18" t="n"/>
      <c r="T881" s="19">
        <f>IF(OR($C881="",$L881="",$K881&lt;&gt;1,NOT(ISNUMBER($L881)),$L881&gt;=$J881),"",IF($S881="","(enter date)",_xlfn.LET(_xlpm.dn,_xlfn.XLOOKUP($S881,nrCDdate,nrCDnum,"",1),IF(_xlpm.dn="","(after last class day)",_xlfn.LET(_xlpm.dd,_xlfn.XLOOKUP(_xlpm.dn+cfgRetestClassDays,nrCDnum,nrCDdate,""),_xlpm.ok,_xlfn.XLOOKUP(_xlpm.dn+cfgRetestClassDays,nrCDnum,nrCDinsession,"No"),IF(OR(_xlpm.dd="",_xlpm.ok&lt;&gt;"Yes"),"(after last class day)",_xlpm.dd))))))</f>
        <v/>
      </c>
      <c r="U881" s="17">
        <f>IF($C881="","",IF(AND($Y881="Excused",$L881="",N($K881)&lt;=1),"EXCUSED - 1st attempt pending",IF(OR($L881="",$K881&lt;&gt;1,NOT(ISNUMBER($L881)),$L881&gt;=$J881),"",IF(COUNTIFS(nrES_PID,$D881,nrES_Code,$F881,nrES_Att,2,nrES_Raw,"&gt;=0")&gt;0,IF(IFERROR(_xlfn.MINIFS(nrES_Date,nrES_PID,$D881,nrES_Code,$F881,nrES_Att,2,nrES_Raw,"&gt;=0",nrES_Date,"&gt;0"),0)=0,"RETEST UNDATED",IF(NOT(ISNUMBER($T881)),"RETEST DATE UNCHECKED",IF(_xlfn.MINIFS(nrES_Date,nrES_PID,$D881,nrES_Code,$F881,nrES_Att,2,nrES_Raw,"&gt;=0",nrES_Date,"&gt;0")&gt;$T881,"LATE RETEST "&amp;TEXT(_xlfn.MINIFS(nrES_Date,nrES_PID,$D881,nrES_Code,$F881,nrES_Att,2,nrES_Raw,"&gt;=0",nrES_Date,"&gt;0"),"mm/dd")&amp;" (due "&amp;TEXT($T881,"mm/dd")&amp;")","Retested"))),IF(NOT(ISNUMBER($T881)),"CHECK DATE",IF(TODAY()&gt;$T881,"OVERDUE","Due "&amp;TEXT($T881,"mm/dd")))))))</f>
        <v/>
      </c>
      <c r="V881" s="16" t="n"/>
      <c r="W881" s="16" t="n"/>
      <c r="X881" s="17">
        <f>IF($C881="","",IF(AND($L881&lt;&gt;"",NOT(ISNUMBER($L881))),"RAW SCORE NOT A NUMBER",IF(AND(ISNUMBER($L881),OR($L881&lt;0,$L881&gt;100)),"RAW SCORE OUT OF RANGE",IF(AND($Y881="Unexcused",OR($L881="",NOT(ISNUMBER($L881)),$L881&lt;&gt;0)),"UNEXCUSED ABSENCE MUST RECORD 0",IF(COUNTIF(nrES_RecID,$B881)&gt;1,"DUPLICATE RECORD",IF(N($K881)&gt;2,"ATTEMPT 3+ NOT ALLOWED - policy 300.5 permits one retest per exam; this row records nothing",IF(AND($K881=2,COUNTIFS(nrES_PID,$D881,nrES_Code,$F881,nrES_Att,1)=0),"ATTEMPT 2 WITHOUT ATTEMPT 1",IF(AND($K881=2,$L881=""),"RETEST ROW HAS NO SCORE",IF(AND($H881="Final",$L881&lt;&gt;"",IFERROR(INDEX(nrCKfinalExamElig,MATCH($D881,rngCadetPIDs,0)),"")="No"),"FINAL EXAM AFTER FAILED FINAL PT (500.1.H)",IF(AND($K881=2,ISNUMBER($L881),COUNTIFS(nrES_PID,$D881,nrES_Code,$F881,nrES_Att,1)&gt;0,SUMIFS(nrES_Raw,nrES_PID,$D881,nrES_Code,$F881,nrES_Att,1)&gt;=$J881),"RETEST AFTER A PASSING FIRST ATTEMPT","OK"))))))))))</f>
        <v/>
      </c>
      <c r="Y881" s="16" t="n"/>
    </row>
    <row r="882">
      <c r="B882" s="17">
        <f>IF($C882="","",$D882&amp;"-"&amp;$F882&amp;"-"&amp;$K882)</f>
        <v/>
      </c>
      <c r="C882" s="16" t="n"/>
      <c r="D882" s="17">
        <f>IF($C882="","",IFERROR(INDEX(rngCadetPIDs,MATCH($C882,rngCadetNames,0)),"?"))</f>
        <v/>
      </c>
      <c r="E882" s="17">
        <f>IF($D882="","",IFERROR(INDEX(nrCadetAgency,MATCH($D882,rngCadetPIDs,0)),""))</f>
        <v/>
      </c>
      <c r="F882" s="16" t="n"/>
      <c r="G882" s="17">
        <f>IF($F882="","",IFERROR(INDEX(rngEPname,MATCH($F882,rngEPcode,0)),"?"))</f>
        <v/>
      </c>
      <c r="H882" s="17">
        <f>IF($F882="","",IFERROR(INDEX(rngEPtype,MATCH($F882,rngEPcode,0)),"?"))</f>
        <v/>
      </c>
      <c r="I882" s="17">
        <f>IF($F882="","",IFERROR(INDEX(rngEPseq,MATCH($F882,rngEPcode,0)),""))</f>
        <v/>
      </c>
      <c r="J882" s="17">
        <f>IF($F882="","",IFERROR(INDEX(rngEPpass,MATCH($F882,rngEPcode,0)),cfgPassingScore))</f>
        <v/>
      </c>
      <c r="K882" s="16" t="n"/>
      <c r="L882" s="16" t="n"/>
      <c r="M882" s="17">
        <f>IF($C882="","",IF($L882="","",IF(NOT(ISNUMBER($L882)),$L882,IF(N($K882)&gt;2,"",IF($K882=1,IF(COUNTIFS(nrES_PID,$D882,nrES_Code,$F882,nrES_Att,2,nrES_Raw,"&gt;=0")&gt;0,"",$L882),IF($L882&gt;=$J882,MAX($J882,cfgRetakeRecordedCap),IF(COUNTIFS(nrES_PID,$D882,nrES_Code,$F882,nrES_Att,1)=0,$L882,SUMIFS(nrES_Raw,nrES_PID,$D882,nrES_Code,$F882,nrES_Att,1))))))))</f>
        <v/>
      </c>
      <c r="N882" s="17">
        <f>IF($C882="","",IF($L882="","",IF(NOT(ISNUMBER($L882)),"(not a score)",IF($L882&gt;=$J882,"Yes","No"))))</f>
        <v/>
      </c>
      <c r="O882" s="17">
        <f>IF($C882="","",IF($M882="","",IF(NOT(ISNUMBER($M882)),"(not a score)",IF($M882&gt;=$J882,"Yes","No"))))</f>
        <v/>
      </c>
      <c r="P882" s="17">
        <f>IF($C882="","",IF($K882="","",IF(N($K882)&gt;2,"No",IF(COUNTIFS(nrES_PID,$D882,nrES_Code,$F882,nrES_Att,"&gt;"&amp;$K882,nrES_Att,"&lt;=2",nrES_Raw,"&gt;=0")=0,"Yes","No"))))</f>
        <v/>
      </c>
      <c r="Q882" s="17">
        <f>IF($C882="","",IF($L882="","",IF(AND($K882=1,ISNUMBER($L882),$L882&lt;$J882,COUNTIFS(nrES_PID,$D882,nrES_Code,$F882,nrES_Att,2,nrES_Raw,"&gt;=0")=0),"Yes","No")))</f>
        <v/>
      </c>
      <c r="R882" s="17">
        <f>IF($C882="","",IF($L882="","",IF(AND(N($K882)&gt;=2,ISNUMBER($L882),$L882&lt;$J882),"Yes","No")))</f>
        <v/>
      </c>
      <c r="S882" s="18" t="n"/>
      <c r="T882" s="19">
        <f>IF(OR($C882="",$L882="",$K882&lt;&gt;1,NOT(ISNUMBER($L882)),$L882&gt;=$J882),"",IF($S882="","(enter date)",_xlfn.LET(_xlpm.dn,_xlfn.XLOOKUP($S882,nrCDdate,nrCDnum,"",1),IF(_xlpm.dn="","(after last class day)",_xlfn.LET(_xlpm.dd,_xlfn.XLOOKUP(_xlpm.dn+cfgRetestClassDays,nrCDnum,nrCDdate,""),_xlpm.ok,_xlfn.XLOOKUP(_xlpm.dn+cfgRetestClassDays,nrCDnum,nrCDinsession,"No"),IF(OR(_xlpm.dd="",_xlpm.ok&lt;&gt;"Yes"),"(after last class day)",_xlpm.dd))))))</f>
        <v/>
      </c>
      <c r="U882" s="17">
        <f>IF($C882="","",IF(AND($Y882="Excused",$L882="",N($K882)&lt;=1),"EXCUSED - 1st attempt pending",IF(OR($L882="",$K882&lt;&gt;1,NOT(ISNUMBER($L882)),$L882&gt;=$J882),"",IF(COUNTIFS(nrES_PID,$D882,nrES_Code,$F882,nrES_Att,2,nrES_Raw,"&gt;=0")&gt;0,IF(IFERROR(_xlfn.MINIFS(nrES_Date,nrES_PID,$D882,nrES_Code,$F882,nrES_Att,2,nrES_Raw,"&gt;=0",nrES_Date,"&gt;0"),0)=0,"RETEST UNDATED",IF(NOT(ISNUMBER($T882)),"RETEST DATE UNCHECKED",IF(_xlfn.MINIFS(nrES_Date,nrES_PID,$D882,nrES_Code,$F882,nrES_Att,2,nrES_Raw,"&gt;=0",nrES_Date,"&gt;0")&gt;$T882,"LATE RETEST "&amp;TEXT(_xlfn.MINIFS(nrES_Date,nrES_PID,$D882,nrES_Code,$F882,nrES_Att,2,nrES_Raw,"&gt;=0",nrES_Date,"&gt;0"),"mm/dd")&amp;" (due "&amp;TEXT($T882,"mm/dd")&amp;")","Retested"))),IF(NOT(ISNUMBER($T882)),"CHECK DATE",IF(TODAY()&gt;$T882,"OVERDUE","Due "&amp;TEXT($T882,"mm/dd")))))))</f>
        <v/>
      </c>
      <c r="V882" s="16" t="n"/>
      <c r="W882" s="16" t="n"/>
      <c r="X882" s="17">
        <f>IF($C882="","",IF(AND($L882&lt;&gt;"",NOT(ISNUMBER($L882))),"RAW SCORE NOT A NUMBER",IF(AND(ISNUMBER($L882),OR($L882&lt;0,$L882&gt;100)),"RAW SCORE OUT OF RANGE",IF(AND($Y882="Unexcused",OR($L882="",NOT(ISNUMBER($L882)),$L882&lt;&gt;0)),"UNEXCUSED ABSENCE MUST RECORD 0",IF(COUNTIF(nrES_RecID,$B882)&gt;1,"DUPLICATE RECORD",IF(N($K882)&gt;2,"ATTEMPT 3+ NOT ALLOWED - policy 300.5 permits one retest per exam; this row records nothing",IF(AND($K882=2,COUNTIFS(nrES_PID,$D882,nrES_Code,$F882,nrES_Att,1)=0),"ATTEMPT 2 WITHOUT ATTEMPT 1",IF(AND($K882=2,$L882=""),"RETEST ROW HAS NO SCORE",IF(AND($H882="Final",$L882&lt;&gt;"",IFERROR(INDEX(nrCKfinalExamElig,MATCH($D882,rngCadetPIDs,0)),"")="No"),"FINAL EXAM AFTER FAILED FINAL PT (500.1.H)",IF(AND($K882=2,ISNUMBER($L882),COUNTIFS(nrES_PID,$D882,nrES_Code,$F882,nrES_Att,1)&gt;0,SUMIFS(nrES_Raw,nrES_PID,$D882,nrES_Code,$F882,nrES_Att,1)&gt;=$J882),"RETEST AFTER A PASSING FIRST ATTEMPT","OK"))))))))))</f>
        <v/>
      </c>
      <c r="Y882" s="16" t="n"/>
    </row>
    <row r="883">
      <c r="B883" s="17">
        <f>IF($C883="","",$D883&amp;"-"&amp;$F883&amp;"-"&amp;$K883)</f>
        <v/>
      </c>
      <c r="C883" s="16" t="n"/>
      <c r="D883" s="17">
        <f>IF($C883="","",IFERROR(INDEX(rngCadetPIDs,MATCH($C883,rngCadetNames,0)),"?"))</f>
        <v/>
      </c>
      <c r="E883" s="17">
        <f>IF($D883="","",IFERROR(INDEX(nrCadetAgency,MATCH($D883,rngCadetPIDs,0)),""))</f>
        <v/>
      </c>
      <c r="F883" s="16" t="n"/>
      <c r="G883" s="17">
        <f>IF($F883="","",IFERROR(INDEX(rngEPname,MATCH($F883,rngEPcode,0)),"?"))</f>
        <v/>
      </c>
      <c r="H883" s="17">
        <f>IF($F883="","",IFERROR(INDEX(rngEPtype,MATCH($F883,rngEPcode,0)),"?"))</f>
        <v/>
      </c>
      <c r="I883" s="17">
        <f>IF($F883="","",IFERROR(INDEX(rngEPseq,MATCH($F883,rngEPcode,0)),""))</f>
        <v/>
      </c>
      <c r="J883" s="17">
        <f>IF($F883="","",IFERROR(INDEX(rngEPpass,MATCH($F883,rngEPcode,0)),cfgPassingScore))</f>
        <v/>
      </c>
      <c r="K883" s="16" t="n"/>
      <c r="L883" s="16" t="n"/>
      <c r="M883" s="17">
        <f>IF($C883="","",IF($L883="","",IF(NOT(ISNUMBER($L883)),$L883,IF(N($K883)&gt;2,"",IF($K883=1,IF(COUNTIFS(nrES_PID,$D883,nrES_Code,$F883,nrES_Att,2,nrES_Raw,"&gt;=0")&gt;0,"",$L883),IF($L883&gt;=$J883,MAX($J883,cfgRetakeRecordedCap),IF(COUNTIFS(nrES_PID,$D883,nrES_Code,$F883,nrES_Att,1)=0,$L883,SUMIFS(nrES_Raw,nrES_PID,$D883,nrES_Code,$F883,nrES_Att,1))))))))</f>
        <v/>
      </c>
      <c r="N883" s="17">
        <f>IF($C883="","",IF($L883="","",IF(NOT(ISNUMBER($L883)),"(not a score)",IF($L883&gt;=$J883,"Yes","No"))))</f>
        <v/>
      </c>
      <c r="O883" s="17">
        <f>IF($C883="","",IF($M883="","",IF(NOT(ISNUMBER($M883)),"(not a score)",IF($M883&gt;=$J883,"Yes","No"))))</f>
        <v/>
      </c>
      <c r="P883" s="17">
        <f>IF($C883="","",IF($K883="","",IF(N($K883)&gt;2,"No",IF(COUNTIFS(nrES_PID,$D883,nrES_Code,$F883,nrES_Att,"&gt;"&amp;$K883,nrES_Att,"&lt;=2",nrES_Raw,"&gt;=0")=0,"Yes","No"))))</f>
        <v/>
      </c>
      <c r="Q883" s="17">
        <f>IF($C883="","",IF($L883="","",IF(AND($K883=1,ISNUMBER($L883),$L883&lt;$J883,COUNTIFS(nrES_PID,$D883,nrES_Code,$F883,nrES_Att,2,nrES_Raw,"&gt;=0")=0),"Yes","No")))</f>
        <v/>
      </c>
      <c r="R883" s="17">
        <f>IF($C883="","",IF($L883="","",IF(AND(N($K883)&gt;=2,ISNUMBER($L883),$L883&lt;$J883),"Yes","No")))</f>
        <v/>
      </c>
      <c r="S883" s="18" t="n"/>
      <c r="T883" s="19">
        <f>IF(OR($C883="",$L883="",$K883&lt;&gt;1,NOT(ISNUMBER($L883)),$L883&gt;=$J883),"",IF($S883="","(enter date)",_xlfn.LET(_xlpm.dn,_xlfn.XLOOKUP($S883,nrCDdate,nrCDnum,"",1),IF(_xlpm.dn="","(after last class day)",_xlfn.LET(_xlpm.dd,_xlfn.XLOOKUP(_xlpm.dn+cfgRetestClassDays,nrCDnum,nrCDdate,""),_xlpm.ok,_xlfn.XLOOKUP(_xlpm.dn+cfgRetestClassDays,nrCDnum,nrCDinsession,"No"),IF(OR(_xlpm.dd="",_xlpm.ok&lt;&gt;"Yes"),"(after last class day)",_xlpm.dd))))))</f>
        <v/>
      </c>
      <c r="U883" s="17">
        <f>IF($C883="","",IF(AND($Y883="Excused",$L883="",N($K883)&lt;=1),"EXCUSED - 1st attempt pending",IF(OR($L883="",$K883&lt;&gt;1,NOT(ISNUMBER($L883)),$L883&gt;=$J883),"",IF(COUNTIFS(nrES_PID,$D883,nrES_Code,$F883,nrES_Att,2,nrES_Raw,"&gt;=0")&gt;0,IF(IFERROR(_xlfn.MINIFS(nrES_Date,nrES_PID,$D883,nrES_Code,$F883,nrES_Att,2,nrES_Raw,"&gt;=0",nrES_Date,"&gt;0"),0)=0,"RETEST UNDATED",IF(NOT(ISNUMBER($T883)),"RETEST DATE UNCHECKED",IF(_xlfn.MINIFS(nrES_Date,nrES_PID,$D883,nrES_Code,$F883,nrES_Att,2,nrES_Raw,"&gt;=0",nrES_Date,"&gt;0")&gt;$T883,"LATE RETEST "&amp;TEXT(_xlfn.MINIFS(nrES_Date,nrES_PID,$D883,nrES_Code,$F883,nrES_Att,2,nrES_Raw,"&gt;=0",nrES_Date,"&gt;0"),"mm/dd")&amp;" (due "&amp;TEXT($T883,"mm/dd")&amp;")","Retested"))),IF(NOT(ISNUMBER($T883)),"CHECK DATE",IF(TODAY()&gt;$T883,"OVERDUE","Due "&amp;TEXT($T883,"mm/dd")))))))</f>
        <v/>
      </c>
      <c r="V883" s="16" t="n"/>
      <c r="W883" s="16" t="n"/>
      <c r="X883" s="17">
        <f>IF($C883="","",IF(AND($L883&lt;&gt;"",NOT(ISNUMBER($L883))),"RAW SCORE NOT A NUMBER",IF(AND(ISNUMBER($L883),OR($L883&lt;0,$L883&gt;100)),"RAW SCORE OUT OF RANGE",IF(AND($Y883="Unexcused",OR($L883="",NOT(ISNUMBER($L883)),$L883&lt;&gt;0)),"UNEXCUSED ABSENCE MUST RECORD 0",IF(COUNTIF(nrES_RecID,$B883)&gt;1,"DUPLICATE RECORD",IF(N($K883)&gt;2,"ATTEMPT 3+ NOT ALLOWED - policy 300.5 permits one retest per exam; this row records nothing",IF(AND($K883=2,COUNTIFS(nrES_PID,$D883,nrES_Code,$F883,nrES_Att,1)=0),"ATTEMPT 2 WITHOUT ATTEMPT 1",IF(AND($K883=2,$L883=""),"RETEST ROW HAS NO SCORE",IF(AND($H883="Final",$L883&lt;&gt;"",IFERROR(INDEX(nrCKfinalExamElig,MATCH($D883,rngCadetPIDs,0)),"")="No"),"FINAL EXAM AFTER FAILED FINAL PT (500.1.H)",IF(AND($K883=2,ISNUMBER($L883),COUNTIFS(nrES_PID,$D883,nrES_Code,$F883,nrES_Att,1)&gt;0,SUMIFS(nrES_Raw,nrES_PID,$D883,nrES_Code,$F883,nrES_Att,1)&gt;=$J883),"RETEST AFTER A PASSING FIRST ATTEMPT","OK"))))))))))</f>
        <v/>
      </c>
      <c r="Y883" s="16" t="n"/>
    </row>
    <row r="884">
      <c r="B884" s="17">
        <f>IF($C884="","",$D884&amp;"-"&amp;$F884&amp;"-"&amp;$K884)</f>
        <v/>
      </c>
      <c r="C884" s="16" t="n"/>
      <c r="D884" s="17">
        <f>IF($C884="","",IFERROR(INDEX(rngCadetPIDs,MATCH($C884,rngCadetNames,0)),"?"))</f>
        <v/>
      </c>
      <c r="E884" s="17">
        <f>IF($D884="","",IFERROR(INDEX(nrCadetAgency,MATCH($D884,rngCadetPIDs,0)),""))</f>
        <v/>
      </c>
      <c r="F884" s="16" t="n"/>
      <c r="G884" s="17">
        <f>IF($F884="","",IFERROR(INDEX(rngEPname,MATCH($F884,rngEPcode,0)),"?"))</f>
        <v/>
      </c>
      <c r="H884" s="17">
        <f>IF($F884="","",IFERROR(INDEX(rngEPtype,MATCH($F884,rngEPcode,0)),"?"))</f>
        <v/>
      </c>
      <c r="I884" s="17">
        <f>IF($F884="","",IFERROR(INDEX(rngEPseq,MATCH($F884,rngEPcode,0)),""))</f>
        <v/>
      </c>
      <c r="J884" s="17">
        <f>IF($F884="","",IFERROR(INDEX(rngEPpass,MATCH($F884,rngEPcode,0)),cfgPassingScore))</f>
        <v/>
      </c>
      <c r="K884" s="16" t="n"/>
      <c r="L884" s="16" t="n"/>
      <c r="M884" s="17">
        <f>IF($C884="","",IF($L884="","",IF(NOT(ISNUMBER($L884)),$L884,IF(N($K884)&gt;2,"",IF($K884=1,IF(COUNTIFS(nrES_PID,$D884,nrES_Code,$F884,nrES_Att,2,nrES_Raw,"&gt;=0")&gt;0,"",$L884),IF($L884&gt;=$J884,MAX($J884,cfgRetakeRecordedCap),IF(COUNTIFS(nrES_PID,$D884,nrES_Code,$F884,nrES_Att,1)=0,$L884,SUMIFS(nrES_Raw,nrES_PID,$D884,nrES_Code,$F884,nrES_Att,1))))))))</f>
        <v/>
      </c>
      <c r="N884" s="17">
        <f>IF($C884="","",IF($L884="","",IF(NOT(ISNUMBER($L884)),"(not a score)",IF($L884&gt;=$J884,"Yes","No"))))</f>
        <v/>
      </c>
      <c r="O884" s="17">
        <f>IF($C884="","",IF($M884="","",IF(NOT(ISNUMBER($M884)),"(not a score)",IF($M884&gt;=$J884,"Yes","No"))))</f>
        <v/>
      </c>
      <c r="P884" s="17">
        <f>IF($C884="","",IF($K884="","",IF(N($K884)&gt;2,"No",IF(COUNTIFS(nrES_PID,$D884,nrES_Code,$F884,nrES_Att,"&gt;"&amp;$K884,nrES_Att,"&lt;=2",nrES_Raw,"&gt;=0")=0,"Yes","No"))))</f>
        <v/>
      </c>
      <c r="Q884" s="17">
        <f>IF($C884="","",IF($L884="","",IF(AND($K884=1,ISNUMBER($L884),$L884&lt;$J884,COUNTIFS(nrES_PID,$D884,nrES_Code,$F884,nrES_Att,2,nrES_Raw,"&gt;=0")=0),"Yes","No")))</f>
        <v/>
      </c>
      <c r="R884" s="17">
        <f>IF($C884="","",IF($L884="","",IF(AND(N($K884)&gt;=2,ISNUMBER($L884),$L884&lt;$J884),"Yes","No")))</f>
        <v/>
      </c>
      <c r="S884" s="18" t="n"/>
      <c r="T884" s="19">
        <f>IF(OR($C884="",$L884="",$K884&lt;&gt;1,NOT(ISNUMBER($L884)),$L884&gt;=$J884),"",IF($S884="","(enter date)",_xlfn.LET(_xlpm.dn,_xlfn.XLOOKUP($S884,nrCDdate,nrCDnum,"",1),IF(_xlpm.dn="","(after last class day)",_xlfn.LET(_xlpm.dd,_xlfn.XLOOKUP(_xlpm.dn+cfgRetestClassDays,nrCDnum,nrCDdate,""),_xlpm.ok,_xlfn.XLOOKUP(_xlpm.dn+cfgRetestClassDays,nrCDnum,nrCDinsession,"No"),IF(OR(_xlpm.dd="",_xlpm.ok&lt;&gt;"Yes"),"(after last class day)",_xlpm.dd))))))</f>
        <v/>
      </c>
      <c r="U884" s="17">
        <f>IF($C884="","",IF(AND($Y884="Excused",$L884="",N($K884)&lt;=1),"EXCUSED - 1st attempt pending",IF(OR($L884="",$K884&lt;&gt;1,NOT(ISNUMBER($L884)),$L884&gt;=$J884),"",IF(COUNTIFS(nrES_PID,$D884,nrES_Code,$F884,nrES_Att,2,nrES_Raw,"&gt;=0")&gt;0,IF(IFERROR(_xlfn.MINIFS(nrES_Date,nrES_PID,$D884,nrES_Code,$F884,nrES_Att,2,nrES_Raw,"&gt;=0",nrES_Date,"&gt;0"),0)=0,"RETEST UNDATED",IF(NOT(ISNUMBER($T884)),"RETEST DATE UNCHECKED",IF(_xlfn.MINIFS(nrES_Date,nrES_PID,$D884,nrES_Code,$F884,nrES_Att,2,nrES_Raw,"&gt;=0",nrES_Date,"&gt;0")&gt;$T884,"LATE RETEST "&amp;TEXT(_xlfn.MINIFS(nrES_Date,nrES_PID,$D884,nrES_Code,$F884,nrES_Att,2,nrES_Raw,"&gt;=0",nrES_Date,"&gt;0"),"mm/dd")&amp;" (due "&amp;TEXT($T884,"mm/dd")&amp;")","Retested"))),IF(NOT(ISNUMBER($T884)),"CHECK DATE",IF(TODAY()&gt;$T884,"OVERDUE","Due "&amp;TEXT($T884,"mm/dd")))))))</f>
        <v/>
      </c>
      <c r="V884" s="16" t="n"/>
      <c r="W884" s="16" t="n"/>
      <c r="X884" s="17">
        <f>IF($C884="","",IF(AND($L884&lt;&gt;"",NOT(ISNUMBER($L884))),"RAW SCORE NOT A NUMBER",IF(AND(ISNUMBER($L884),OR($L884&lt;0,$L884&gt;100)),"RAW SCORE OUT OF RANGE",IF(AND($Y884="Unexcused",OR($L884="",NOT(ISNUMBER($L884)),$L884&lt;&gt;0)),"UNEXCUSED ABSENCE MUST RECORD 0",IF(COUNTIF(nrES_RecID,$B884)&gt;1,"DUPLICATE RECORD",IF(N($K884)&gt;2,"ATTEMPT 3+ NOT ALLOWED - policy 300.5 permits one retest per exam; this row records nothing",IF(AND($K884=2,COUNTIFS(nrES_PID,$D884,nrES_Code,$F884,nrES_Att,1)=0),"ATTEMPT 2 WITHOUT ATTEMPT 1",IF(AND($K884=2,$L884=""),"RETEST ROW HAS NO SCORE",IF(AND($H884="Final",$L884&lt;&gt;"",IFERROR(INDEX(nrCKfinalExamElig,MATCH($D884,rngCadetPIDs,0)),"")="No"),"FINAL EXAM AFTER FAILED FINAL PT (500.1.H)",IF(AND($K884=2,ISNUMBER($L884),COUNTIFS(nrES_PID,$D884,nrES_Code,$F884,nrES_Att,1)&gt;0,SUMIFS(nrES_Raw,nrES_PID,$D884,nrES_Code,$F884,nrES_Att,1)&gt;=$J884),"RETEST AFTER A PASSING FIRST ATTEMPT","OK"))))))))))</f>
        <v/>
      </c>
      <c r="Y884" s="16" t="n"/>
    </row>
    <row r="885">
      <c r="B885" s="17">
        <f>IF($C885="","",$D885&amp;"-"&amp;$F885&amp;"-"&amp;$K885)</f>
        <v/>
      </c>
      <c r="C885" s="16" t="n"/>
      <c r="D885" s="17">
        <f>IF($C885="","",IFERROR(INDEX(rngCadetPIDs,MATCH($C885,rngCadetNames,0)),"?"))</f>
        <v/>
      </c>
      <c r="E885" s="17">
        <f>IF($D885="","",IFERROR(INDEX(nrCadetAgency,MATCH($D885,rngCadetPIDs,0)),""))</f>
        <v/>
      </c>
      <c r="F885" s="16" t="n"/>
      <c r="G885" s="17">
        <f>IF($F885="","",IFERROR(INDEX(rngEPname,MATCH($F885,rngEPcode,0)),"?"))</f>
        <v/>
      </c>
      <c r="H885" s="17">
        <f>IF($F885="","",IFERROR(INDEX(rngEPtype,MATCH($F885,rngEPcode,0)),"?"))</f>
        <v/>
      </c>
      <c r="I885" s="17">
        <f>IF($F885="","",IFERROR(INDEX(rngEPseq,MATCH($F885,rngEPcode,0)),""))</f>
        <v/>
      </c>
      <c r="J885" s="17">
        <f>IF($F885="","",IFERROR(INDEX(rngEPpass,MATCH($F885,rngEPcode,0)),cfgPassingScore))</f>
        <v/>
      </c>
      <c r="K885" s="16" t="n"/>
      <c r="L885" s="16" t="n"/>
      <c r="M885" s="17">
        <f>IF($C885="","",IF($L885="","",IF(NOT(ISNUMBER($L885)),$L885,IF(N($K885)&gt;2,"",IF($K885=1,IF(COUNTIFS(nrES_PID,$D885,nrES_Code,$F885,nrES_Att,2,nrES_Raw,"&gt;=0")&gt;0,"",$L885),IF($L885&gt;=$J885,MAX($J885,cfgRetakeRecordedCap),IF(COUNTIFS(nrES_PID,$D885,nrES_Code,$F885,nrES_Att,1)=0,$L885,SUMIFS(nrES_Raw,nrES_PID,$D885,nrES_Code,$F885,nrES_Att,1))))))))</f>
        <v/>
      </c>
      <c r="N885" s="17">
        <f>IF($C885="","",IF($L885="","",IF(NOT(ISNUMBER($L885)),"(not a score)",IF($L885&gt;=$J885,"Yes","No"))))</f>
        <v/>
      </c>
      <c r="O885" s="17">
        <f>IF($C885="","",IF($M885="","",IF(NOT(ISNUMBER($M885)),"(not a score)",IF($M885&gt;=$J885,"Yes","No"))))</f>
        <v/>
      </c>
      <c r="P885" s="17">
        <f>IF($C885="","",IF($K885="","",IF(N($K885)&gt;2,"No",IF(COUNTIFS(nrES_PID,$D885,nrES_Code,$F885,nrES_Att,"&gt;"&amp;$K885,nrES_Att,"&lt;=2",nrES_Raw,"&gt;=0")=0,"Yes","No"))))</f>
        <v/>
      </c>
      <c r="Q885" s="17">
        <f>IF($C885="","",IF($L885="","",IF(AND($K885=1,ISNUMBER($L885),$L885&lt;$J885,COUNTIFS(nrES_PID,$D885,nrES_Code,$F885,nrES_Att,2,nrES_Raw,"&gt;=0")=0),"Yes","No")))</f>
        <v/>
      </c>
      <c r="R885" s="17">
        <f>IF($C885="","",IF($L885="","",IF(AND(N($K885)&gt;=2,ISNUMBER($L885),$L885&lt;$J885),"Yes","No")))</f>
        <v/>
      </c>
      <c r="S885" s="18" t="n"/>
      <c r="T885" s="19">
        <f>IF(OR($C885="",$L885="",$K885&lt;&gt;1,NOT(ISNUMBER($L885)),$L885&gt;=$J885),"",IF($S885="","(enter date)",_xlfn.LET(_xlpm.dn,_xlfn.XLOOKUP($S885,nrCDdate,nrCDnum,"",1),IF(_xlpm.dn="","(after last class day)",_xlfn.LET(_xlpm.dd,_xlfn.XLOOKUP(_xlpm.dn+cfgRetestClassDays,nrCDnum,nrCDdate,""),_xlpm.ok,_xlfn.XLOOKUP(_xlpm.dn+cfgRetestClassDays,nrCDnum,nrCDinsession,"No"),IF(OR(_xlpm.dd="",_xlpm.ok&lt;&gt;"Yes"),"(after last class day)",_xlpm.dd))))))</f>
        <v/>
      </c>
      <c r="U885" s="17">
        <f>IF($C885="","",IF(AND($Y885="Excused",$L885="",N($K885)&lt;=1),"EXCUSED - 1st attempt pending",IF(OR($L885="",$K885&lt;&gt;1,NOT(ISNUMBER($L885)),$L885&gt;=$J885),"",IF(COUNTIFS(nrES_PID,$D885,nrES_Code,$F885,nrES_Att,2,nrES_Raw,"&gt;=0")&gt;0,IF(IFERROR(_xlfn.MINIFS(nrES_Date,nrES_PID,$D885,nrES_Code,$F885,nrES_Att,2,nrES_Raw,"&gt;=0",nrES_Date,"&gt;0"),0)=0,"RETEST UNDATED",IF(NOT(ISNUMBER($T885)),"RETEST DATE UNCHECKED",IF(_xlfn.MINIFS(nrES_Date,nrES_PID,$D885,nrES_Code,$F885,nrES_Att,2,nrES_Raw,"&gt;=0",nrES_Date,"&gt;0")&gt;$T885,"LATE RETEST "&amp;TEXT(_xlfn.MINIFS(nrES_Date,nrES_PID,$D885,nrES_Code,$F885,nrES_Att,2,nrES_Raw,"&gt;=0",nrES_Date,"&gt;0"),"mm/dd")&amp;" (due "&amp;TEXT($T885,"mm/dd")&amp;")","Retested"))),IF(NOT(ISNUMBER($T885)),"CHECK DATE",IF(TODAY()&gt;$T885,"OVERDUE","Due "&amp;TEXT($T885,"mm/dd")))))))</f>
        <v/>
      </c>
      <c r="V885" s="16" t="n"/>
      <c r="W885" s="16" t="n"/>
      <c r="X885" s="17">
        <f>IF($C885="","",IF(AND($L885&lt;&gt;"",NOT(ISNUMBER($L885))),"RAW SCORE NOT A NUMBER",IF(AND(ISNUMBER($L885),OR($L885&lt;0,$L885&gt;100)),"RAW SCORE OUT OF RANGE",IF(AND($Y885="Unexcused",OR($L885="",NOT(ISNUMBER($L885)),$L885&lt;&gt;0)),"UNEXCUSED ABSENCE MUST RECORD 0",IF(COUNTIF(nrES_RecID,$B885)&gt;1,"DUPLICATE RECORD",IF(N($K885)&gt;2,"ATTEMPT 3+ NOT ALLOWED - policy 300.5 permits one retest per exam; this row records nothing",IF(AND($K885=2,COUNTIFS(nrES_PID,$D885,nrES_Code,$F885,nrES_Att,1)=0),"ATTEMPT 2 WITHOUT ATTEMPT 1",IF(AND($K885=2,$L885=""),"RETEST ROW HAS NO SCORE",IF(AND($H885="Final",$L885&lt;&gt;"",IFERROR(INDEX(nrCKfinalExamElig,MATCH($D885,rngCadetPIDs,0)),"")="No"),"FINAL EXAM AFTER FAILED FINAL PT (500.1.H)",IF(AND($K885=2,ISNUMBER($L885),COUNTIFS(nrES_PID,$D885,nrES_Code,$F885,nrES_Att,1)&gt;0,SUMIFS(nrES_Raw,nrES_PID,$D885,nrES_Code,$F885,nrES_Att,1)&gt;=$J885),"RETEST AFTER A PASSING FIRST ATTEMPT","OK"))))))))))</f>
        <v/>
      </c>
      <c r="Y885" s="16" t="n"/>
    </row>
    <row r="886">
      <c r="B886" s="17">
        <f>IF($C886="","",$D886&amp;"-"&amp;$F886&amp;"-"&amp;$K886)</f>
        <v/>
      </c>
      <c r="C886" s="16" t="n"/>
      <c r="D886" s="17">
        <f>IF($C886="","",IFERROR(INDEX(rngCadetPIDs,MATCH($C886,rngCadetNames,0)),"?"))</f>
        <v/>
      </c>
      <c r="E886" s="17">
        <f>IF($D886="","",IFERROR(INDEX(nrCadetAgency,MATCH($D886,rngCadetPIDs,0)),""))</f>
        <v/>
      </c>
      <c r="F886" s="16" t="n"/>
      <c r="G886" s="17">
        <f>IF($F886="","",IFERROR(INDEX(rngEPname,MATCH($F886,rngEPcode,0)),"?"))</f>
        <v/>
      </c>
      <c r="H886" s="17">
        <f>IF($F886="","",IFERROR(INDEX(rngEPtype,MATCH($F886,rngEPcode,0)),"?"))</f>
        <v/>
      </c>
      <c r="I886" s="17">
        <f>IF($F886="","",IFERROR(INDEX(rngEPseq,MATCH($F886,rngEPcode,0)),""))</f>
        <v/>
      </c>
      <c r="J886" s="17">
        <f>IF($F886="","",IFERROR(INDEX(rngEPpass,MATCH($F886,rngEPcode,0)),cfgPassingScore))</f>
        <v/>
      </c>
      <c r="K886" s="16" t="n"/>
      <c r="L886" s="16" t="n"/>
      <c r="M886" s="17">
        <f>IF($C886="","",IF($L886="","",IF(NOT(ISNUMBER($L886)),$L886,IF(N($K886)&gt;2,"",IF($K886=1,IF(COUNTIFS(nrES_PID,$D886,nrES_Code,$F886,nrES_Att,2,nrES_Raw,"&gt;=0")&gt;0,"",$L886),IF($L886&gt;=$J886,MAX($J886,cfgRetakeRecordedCap),IF(COUNTIFS(nrES_PID,$D886,nrES_Code,$F886,nrES_Att,1)=0,$L886,SUMIFS(nrES_Raw,nrES_PID,$D886,nrES_Code,$F886,nrES_Att,1))))))))</f>
        <v/>
      </c>
      <c r="N886" s="17">
        <f>IF($C886="","",IF($L886="","",IF(NOT(ISNUMBER($L886)),"(not a score)",IF($L886&gt;=$J886,"Yes","No"))))</f>
        <v/>
      </c>
      <c r="O886" s="17">
        <f>IF($C886="","",IF($M886="","",IF(NOT(ISNUMBER($M886)),"(not a score)",IF($M886&gt;=$J886,"Yes","No"))))</f>
        <v/>
      </c>
      <c r="P886" s="17">
        <f>IF($C886="","",IF($K886="","",IF(N($K886)&gt;2,"No",IF(COUNTIFS(nrES_PID,$D886,nrES_Code,$F886,nrES_Att,"&gt;"&amp;$K886,nrES_Att,"&lt;=2",nrES_Raw,"&gt;=0")=0,"Yes","No"))))</f>
        <v/>
      </c>
      <c r="Q886" s="17">
        <f>IF($C886="","",IF($L886="","",IF(AND($K886=1,ISNUMBER($L886),$L886&lt;$J886,COUNTIFS(nrES_PID,$D886,nrES_Code,$F886,nrES_Att,2,nrES_Raw,"&gt;=0")=0),"Yes","No")))</f>
        <v/>
      </c>
      <c r="R886" s="17">
        <f>IF($C886="","",IF($L886="","",IF(AND(N($K886)&gt;=2,ISNUMBER($L886),$L886&lt;$J886),"Yes","No")))</f>
        <v/>
      </c>
      <c r="S886" s="18" t="n"/>
      <c r="T886" s="19">
        <f>IF(OR($C886="",$L886="",$K886&lt;&gt;1,NOT(ISNUMBER($L886)),$L886&gt;=$J886),"",IF($S886="","(enter date)",_xlfn.LET(_xlpm.dn,_xlfn.XLOOKUP($S886,nrCDdate,nrCDnum,"",1),IF(_xlpm.dn="","(after last class day)",_xlfn.LET(_xlpm.dd,_xlfn.XLOOKUP(_xlpm.dn+cfgRetestClassDays,nrCDnum,nrCDdate,""),_xlpm.ok,_xlfn.XLOOKUP(_xlpm.dn+cfgRetestClassDays,nrCDnum,nrCDinsession,"No"),IF(OR(_xlpm.dd="",_xlpm.ok&lt;&gt;"Yes"),"(after last class day)",_xlpm.dd))))))</f>
        <v/>
      </c>
      <c r="U886" s="17">
        <f>IF($C886="","",IF(AND($Y886="Excused",$L886="",N($K886)&lt;=1),"EXCUSED - 1st attempt pending",IF(OR($L886="",$K886&lt;&gt;1,NOT(ISNUMBER($L886)),$L886&gt;=$J886),"",IF(COUNTIFS(nrES_PID,$D886,nrES_Code,$F886,nrES_Att,2,nrES_Raw,"&gt;=0")&gt;0,IF(IFERROR(_xlfn.MINIFS(nrES_Date,nrES_PID,$D886,nrES_Code,$F886,nrES_Att,2,nrES_Raw,"&gt;=0",nrES_Date,"&gt;0"),0)=0,"RETEST UNDATED",IF(NOT(ISNUMBER($T886)),"RETEST DATE UNCHECKED",IF(_xlfn.MINIFS(nrES_Date,nrES_PID,$D886,nrES_Code,$F886,nrES_Att,2,nrES_Raw,"&gt;=0",nrES_Date,"&gt;0")&gt;$T886,"LATE RETEST "&amp;TEXT(_xlfn.MINIFS(nrES_Date,nrES_PID,$D886,nrES_Code,$F886,nrES_Att,2,nrES_Raw,"&gt;=0",nrES_Date,"&gt;0"),"mm/dd")&amp;" (due "&amp;TEXT($T886,"mm/dd")&amp;")","Retested"))),IF(NOT(ISNUMBER($T886)),"CHECK DATE",IF(TODAY()&gt;$T886,"OVERDUE","Due "&amp;TEXT($T886,"mm/dd")))))))</f>
        <v/>
      </c>
      <c r="V886" s="16" t="n"/>
      <c r="W886" s="16" t="n"/>
      <c r="X886" s="17">
        <f>IF($C886="","",IF(AND($L886&lt;&gt;"",NOT(ISNUMBER($L886))),"RAW SCORE NOT A NUMBER",IF(AND(ISNUMBER($L886),OR($L886&lt;0,$L886&gt;100)),"RAW SCORE OUT OF RANGE",IF(AND($Y886="Unexcused",OR($L886="",NOT(ISNUMBER($L886)),$L886&lt;&gt;0)),"UNEXCUSED ABSENCE MUST RECORD 0",IF(COUNTIF(nrES_RecID,$B886)&gt;1,"DUPLICATE RECORD",IF(N($K886)&gt;2,"ATTEMPT 3+ NOT ALLOWED - policy 300.5 permits one retest per exam; this row records nothing",IF(AND($K886=2,COUNTIFS(nrES_PID,$D886,nrES_Code,$F886,nrES_Att,1)=0),"ATTEMPT 2 WITHOUT ATTEMPT 1",IF(AND($K886=2,$L886=""),"RETEST ROW HAS NO SCORE",IF(AND($H886="Final",$L886&lt;&gt;"",IFERROR(INDEX(nrCKfinalExamElig,MATCH($D886,rngCadetPIDs,0)),"")="No"),"FINAL EXAM AFTER FAILED FINAL PT (500.1.H)",IF(AND($K886=2,ISNUMBER($L886),COUNTIFS(nrES_PID,$D886,nrES_Code,$F886,nrES_Att,1)&gt;0,SUMIFS(nrES_Raw,nrES_PID,$D886,nrES_Code,$F886,nrES_Att,1)&gt;=$J886),"RETEST AFTER A PASSING FIRST ATTEMPT","OK"))))))))))</f>
        <v/>
      </c>
      <c r="Y886" s="16" t="n"/>
    </row>
    <row r="887">
      <c r="B887" s="17">
        <f>IF($C887="","",$D887&amp;"-"&amp;$F887&amp;"-"&amp;$K887)</f>
        <v/>
      </c>
      <c r="C887" s="16" t="n"/>
      <c r="D887" s="17">
        <f>IF($C887="","",IFERROR(INDEX(rngCadetPIDs,MATCH($C887,rngCadetNames,0)),"?"))</f>
        <v/>
      </c>
      <c r="E887" s="17">
        <f>IF($D887="","",IFERROR(INDEX(nrCadetAgency,MATCH($D887,rngCadetPIDs,0)),""))</f>
        <v/>
      </c>
      <c r="F887" s="16" t="n"/>
      <c r="G887" s="17">
        <f>IF($F887="","",IFERROR(INDEX(rngEPname,MATCH($F887,rngEPcode,0)),"?"))</f>
        <v/>
      </c>
      <c r="H887" s="17">
        <f>IF($F887="","",IFERROR(INDEX(rngEPtype,MATCH($F887,rngEPcode,0)),"?"))</f>
        <v/>
      </c>
      <c r="I887" s="17">
        <f>IF($F887="","",IFERROR(INDEX(rngEPseq,MATCH($F887,rngEPcode,0)),""))</f>
        <v/>
      </c>
      <c r="J887" s="17">
        <f>IF($F887="","",IFERROR(INDEX(rngEPpass,MATCH($F887,rngEPcode,0)),cfgPassingScore))</f>
        <v/>
      </c>
      <c r="K887" s="16" t="n"/>
      <c r="L887" s="16" t="n"/>
      <c r="M887" s="17">
        <f>IF($C887="","",IF($L887="","",IF(NOT(ISNUMBER($L887)),$L887,IF(N($K887)&gt;2,"",IF($K887=1,IF(COUNTIFS(nrES_PID,$D887,nrES_Code,$F887,nrES_Att,2,nrES_Raw,"&gt;=0")&gt;0,"",$L887),IF($L887&gt;=$J887,MAX($J887,cfgRetakeRecordedCap),IF(COUNTIFS(nrES_PID,$D887,nrES_Code,$F887,nrES_Att,1)=0,$L887,SUMIFS(nrES_Raw,nrES_PID,$D887,nrES_Code,$F887,nrES_Att,1))))))))</f>
        <v/>
      </c>
      <c r="N887" s="17">
        <f>IF($C887="","",IF($L887="","",IF(NOT(ISNUMBER($L887)),"(not a score)",IF($L887&gt;=$J887,"Yes","No"))))</f>
        <v/>
      </c>
      <c r="O887" s="17">
        <f>IF($C887="","",IF($M887="","",IF(NOT(ISNUMBER($M887)),"(not a score)",IF($M887&gt;=$J887,"Yes","No"))))</f>
        <v/>
      </c>
      <c r="P887" s="17">
        <f>IF($C887="","",IF($K887="","",IF(N($K887)&gt;2,"No",IF(COUNTIFS(nrES_PID,$D887,nrES_Code,$F887,nrES_Att,"&gt;"&amp;$K887,nrES_Att,"&lt;=2",nrES_Raw,"&gt;=0")=0,"Yes","No"))))</f>
        <v/>
      </c>
      <c r="Q887" s="17">
        <f>IF($C887="","",IF($L887="","",IF(AND($K887=1,ISNUMBER($L887),$L887&lt;$J887,COUNTIFS(nrES_PID,$D887,nrES_Code,$F887,nrES_Att,2,nrES_Raw,"&gt;=0")=0),"Yes","No")))</f>
        <v/>
      </c>
      <c r="R887" s="17">
        <f>IF($C887="","",IF($L887="","",IF(AND(N($K887)&gt;=2,ISNUMBER($L887),$L887&lt;$J887),"Yes","No")))</f>
        <v/>
      </c>
      <c r="S887" s="18" t="n"/>
      <c r="T887" s="19">
        <f>IF(OR($C887="",$L887="",$K887&lt;&gt;1,NOT(ISNUMBER($L887)),$L887&gt;=$J887),"",IF($S887="","(enter date)",_xlfn.LET(_xlpm.dn,_xlfn.XLOOKUP($S887,nrCDdate,nrCDnum,"",1),IF(_xlpm.dn="","(after last class day)",_xlfn.LET(_xlpm.dd,_xlfn.XLOOKUP(_xlpm.dn+cfgRetestClassDays,nrCDnum,nrCDdate,""),_xlpm.ok,_xlfn.XLOOKUP(_xlpm.dn+cfgRetestClassDays,nrCDnum,nrCDinsession,"No"),IF(OR(_xlpm.dd="",_xlpm.ok&lt;&gt;"Yes"),"(after last class day)",_xlpm.dd))))))</f>
        <v/>
      </c>
      <c r="U887" s="17">
        <f>IF($C887="","",IF(AND($Y887="Excused",$L887="",N($K887)&lt;=1),"EXCUSED - 1st attempt pending",IF(OR($L887="",$K887&lt;&gt;1,NOT(ISNUMBER($L887)),$L887&gt;=$J887),"",IF(COUNTIFS(nrES_PID,$D887,nrES_Code,$F887,nrES_Att,2,nrES_Raw,"&gt;=0")&gt;0,IF(IFERROR(_xlfn.MINIFS(nrES_Date,nrES_PID,$D887,nrES_Code,$F887,nrES_Att,2,nrES_Raw,"&gt;=0",nrES_Date,"&gt;0"),0)=0,"RETEST UNDATED",IF(NOT(ISNUMBER($T887)),"RETEST DATE UNCHECKED",IF(_xlfn.MINIFS(nrES_Date,nrES_PID,$D887,nrES_Code,$F887,nrES_Att,2,nrES_Raw,"&gt;=0",nrES_Date,"&gt;0")&gt;$T887,"LATE RETEST "&amp;TEXT(_xlfn.MINIFS(nrES_Date,nrES_PID,$D887,nrES_Code,$F887,nrES_Att,2,nrES_Raw,"&gt;=0",nrES_Date,"&gt;0"),"mm/dd")&amp;" (due "&amp;TEXT($T887,"mm/dd")&amp;")","Retested"))),IF(NOT(ISNUMBER($T887)),"CHECK DATE",IF(TODAY()&gt;$T887,"OVERDUE","Due "&amp;TEXT($T887,"mm/dd")))))))</f>
        <v/>
      </c>
      <c r="V887" s="16" t="n"/>
      <c r="W887" s="16" t="n"/>
      <c r="X887" s="17">
        <f>IF($C887="","",IF(AND($L887&lt;&gt;"",NOT(ISNUMBER($L887))),"RAW SCORE NOT A NUMBER",IF(AND(ISNUMBER($L887),OR($L887&lt;0,$L887&gt;100)),"RAW SCORE OUT OF RANGE",IF(AND($Y887="Unexcused",OR($L887="",NOT(ISNUMBER($L887)),$L887&lt;&gt;0)),"UNEXCUSED ABSENCE MUST RECORD 0",IF(COUNTIF(nrES_RecID,$B887)&gt;1,"DUPLICATE RECORD",IF(N($K887)&gt;2,"ATTEMPT 3+ NOT ALLOWED - policy 300.5 permits one retest per exam; this row records nothing",IF(AND($K887=2,COUNTIFS(nrES_PID,$D887,nrES_Code,$F887,nrES_Att,1)=0),"ATTEMPT 2 WITHOUT ATTEMPT 1",IF(AND($K887=2,$L887=""),"RETEST ROW HAS NO SCORE",IF(AND($H887="Final",$L887&lt;&gt;"",IFERROR(INDEX(nrCKfinalExamElig,MATCH($D887,rngCadetPIDs,0)),"")="No"),"FINAL EXAM AFTER FAILED FINAL PT (500.1.H)",IF(AND($K887=2,ISNUMBER($L887),COUNTIFS(nrES_PID,$D887,nrES_Code,$F887,nrES_Att,1)&gt;0,SUMIFS(nrES_Raw,nrES_PID,$D887,nrES_Code,$F887,nrES_Att,1)&gt;=$J887),"RETEST AFTER A PASSING FIRST ATTEMPT","OK"))))))))))</f>
        <v/>
      </c>
      <c r="Y887" s="16" t="n"/>
    </row>
    <row r="888">
      <c r="B888" s="17">
        <f>IF($C888="","",$D888&amp;"-"&amp;$F888&amp;"-"&amp;$K888)</f>
        <v/>
      </c>
      <c r="C888" s="16" t="n"/>
      <c r="D888" s="17">
        <f>IF($C888="","",IFERROR(INDEX(rngCadetPIDs,MATCH($C888,rngCadetNames,0)),"?"))</f>
        <v/>
      </c>
      <c r="E888" s="17">
        <f>IF($D888="","",IFERROR(INDEX(nrCadetAgency,MATCH($D888,rngCadetPIDs,0)),""))</f>
        <v/>
      </c>
      <c r="F888" s="16" t="n"/>
      <c r="G888" s="17">
        <f>IF($F888="","",IFERROR(INDEX(rngEPname,MATCH($F888,rngEPcode,0)),"?"))</f>
        <v/>
      </c>
      <c r="H888" s="17">
        <f>IF($F888="","",IFERROR(INDEX(rngEPtype,MATCH($F888,rngEPcode,0)),"?"))</f>
        <v/>
      </c>
      <c r="I888" s="17">
        <f>IF($F888="","",IFERROR(INDEX(rngEPseq,MATCH($F888,rngEPcode,0)),""))</f>
        <v/>
      </c>
      <c r="J888" s="17">
        <f>IF($F888="","",IFERROR(INDEX(rngEPpass,MATCH($F888,rngEPcode,0)),cfgPassingScore))</f>
        <v/>
      </c>
      <c r="K888" s="16" t="n"/>
      <c r="L888" s="16" t="n"/>
      <c r="M888" s="17">
        <f>IF($C888="","",IF($L888="","",IF(NOT(ISNUMBER($L888)),$L888,IF(N($K888)&gt;2,"",IF($K888=1,IF(COUNTIFS(nrES_PID,$D888,nrES_Code,$F888,nrES_Att,2,nrES_Raw,"&gt;=0")&gt;0,"",$L888),IF($L888&gt;=$J888,MAX($J888,cfgRetakeRecordedCap),IF(COUNTIFS(nrES_PID,$D888,nrES_Code,$F888,nrES_Att,1)=0,$L888,SUMIFS(nrES_Raw,nrES_PID,$D888,nrES_Code,$F888,nrES_Att,1))))))))</f>
        <v/>
      </c>
      <c r="N888" s="17">
        <f>IF($C888="","",IF($L888="","",IF(NOT(ISNUMBER($L888)),"(not a score)",IF($L888&gt;=$J888,"Yes","No"))))</f>
        <v/>
      </c>
      <c r="O888" s="17">
        <f>IF($C888="","",IF($M888="","",IF(NOT(ISNUMBER($M888)),"(not a score)",IF($M888&gt;=$J888,"Yes","No"))))</f>
        <v/>
      </c>
      <c r="P888" s="17">
        <f>IF($C888="","",IF($K888="","",IF(N($K888)&gt;2,"No",IF(COUNTIFS(nrES_PID,$D888,nrES_Code,$F888,nrES_Att,"&gt;"&amp;$K888,nrES_Att,"&lt;=2",nrES_Raw,"&gt;=0")=0,"Yes","No"))))</f>
        <v/>
      </c>
      <c r="Q888" s="17">
        <f>IF($C888="","",IF($L888="","",IF(AND($K888=1,ISNUMBER($L888),$L888&lt;$J888,COUNTIFS(nrES_PID,$D888,nrES_Code,$F888,nrES_Att,2,nrES_Raw,"&gt;=0")=0),"Yes","No")))</f>
        <v/>
      </c>
      <c r="R888" s="17">
        <f>IF($C888="","",IF($L888="","",IF(AND(N($K888)&gt;=2,ISNUMBER($L888),$L888&lt;$J888),"Yes","No")))</f>
        <v/>
      </c>
      <c r="S888" s="18" t="n"/>
      <c r="T888" s="19">
        <f>IF(OR($C888="",$L888="",$K888&lt;&gt;1,NOT(ISNUMBER($L888)),$L888&gt;=$J888),"",IF($S888="","(enter date)",_xlfn.LET(_xlpm.dn,_xlfn.XLOOKUP($S888,nrCDdate,nrCDnum,"",1),IF(_xlpm.dn="","(after last class day)",_xlfn.LET(_xlpm.dd,_xlfn.XLOOKUP(_xlpm.dn+cfgRetestClassDays,nrCDnum,nrCDdate,""),_xlpm.ok,_xlfn.XLOOKUP(_xlpm.dn+cfgRetestClassDays,nrCDnum,nrCDinsession,"No"),IF(OR(_xlpm.dd="",_xlpm.ok&lt;&gt;"Yes"),"(after last class day)",_xlpm.dd))))))</f>
        <v/>
      </c>
      <c r="U888" s="17">
        <f>IF($C888="","",IF(AND($Y888="Excused",$L888="",N($K888)&lt;=1),"EXCUSED - 1st attempt pending",IF(OR($L888="",$K888&lt;&gt;1,NOT(ISNUMBER($L888)),$L888&gt;=$J888),"",IF(COUNTIFS(nrES_PID,$D888,nrES_Code,$F888,nrES_Att,2,nrES_Raw,"&gt;=0")&gt;0,IF(IFERROR(_xlfn.MINIFS(nrES_Date,nrES_PID,$D888,nrES_Code,$F888,nrES_Att,2,nrES_Raw,"&gt;=0",nrES_Date,"&gt;0"),0)=0,"RETEST UNDATED",IF(NOT(ISNUMBER($T888)),"RETEST DATE UNCHECKED",IF(_xlfn.MINIFS(nrES_Date,nrES_PID,$D888,nrES_Code,$F888,nrES_Att,2,nrES_Raw,"&gt;=0",nrES_Date,"&gt;0")&gt;$T888,"LATE RETEST "&amp;TEXT(_xlfn.MINIFS(nrES_Date,nrES_PID,$D888,nrES_Code,$F888,nrES_Att,2,nrES_Raw,"&gt;=0",nrES_Date,"&gt;0"),"mm/dd")&amp;" (due "&amp;TEXT($T888,"mm/dd")&amp;")","Retested"))),IF(NOT(ISNUMBER($T888)),"CHECK DATE",IF(TODAY()&gt;$T888,"OVERDUE","Due "&amp;TEXT($T888,"mm/dd")))))))</f>
        <v/>
      </c>
      <c r="V888" s="16" t="n"/>
      <c r="W888" s="16" t="n"/>
      <c r="X888" s="17">
        <f>IF($C888="","",IF(AND($L888&lt;&gt;"",NOT(ISNUMBER($L888))),"RAW SCORE NOT A NUMBER",IF(AND(ISNUMBER($L888),OR($L888&lt;0,$L888&gt;100)),"RAW SCORE OUT OF RANGE",IF(AND($Y888="Unexcused",OR($L888="",NOT(ISNUMBER($L888)),$L888&lt;&gt;0)),"UNEXCUSED ABSENCE MUST RECORD 0",IF(COUNTIF(nrES_RecID,$B888)&gt;1,"DUPLICATE RECORD",IF(N($K888)&gt;2,"ATTEMPT 3+ NOT ALLOWED - policy 300.5 permits one retest per exam; this row records nothing",IF(AND($K888=2,COUNTIFS(nrES_PID,$D888,nrES_Code,$F888,nrES_Att,1)=0),"ATTEMPT 2 WITHOUT ATTEMPT 1",IF(AND($K888=2,$L888=""),"RETEST ROW HAS NO SCORE",IF(AND($H888="Final",$L888&lt;&gt;"",IFERROR(INDEX(nrCKfinalExamElig,MATCH($D888,rngCadetPIDs,0)),"")="No"),"FINAL EXAM AFTER FAILED FINAL PT (500.1.H)",IF(AND($K888=2,ISNUMBER($L888),COUNTIFS(nrES_PID,$D888,nrES_Code,$F888,nrES_Att,1)&gt;0,SUMIFS(nrES_Raw,nrES_PID,$D888,nrES_Code,$F888,nrES_Att,1)&gt;=$J888),"RETEST AFTER A PASSING FIRST ATTEMPT","OK"))))))))))</f>
        <v/>
      </c>
      <c r="Y888" s="16" t="n"/>
    </row>
    <row r="889">
      <c r="B889" s="17">
        <f>IF($C889="","",$D889&amp;"-"&amp;$F889&amp;"-"&amp;$K889)</f>
        <v/>
      </c>
      <c r="C889" s="16" t="n"/>
      <c r="D889" s="17">
        <f>IF($C889="","",IFERROR(INDEX(rngCadetPIDs,MATCH($C889,rngCadetNames,0)),"?"))</f>
        <v/>
      </c>
      <c r="E889" s="17">
        <f>IF($D889="","",IFERROR(INDEX(nrCadetAgency,MATCH($D889,rngCadetPIDs,0)),""))</f>
        <v/>
      </c>
      <c r="F889" s="16" t="n"/>
      <c r="G889" s="17">
        <f>IF($F889="","",IFERROR(INDEX(rngEPname,MATCH($F889,rngEPcode,0)),"?"))</f>
        <v/>
      </c>
      <c r="H889" s="17">
        <f>IF($F889="","",IFERROR(INDEX(rngEPtype,MATCH($F889,rngEPcode,0)),"?"))</f>
        <v/>
      </c>
      <c r="I889" s="17">
        <f>IF($F889="","",IFERROR(INDEX(rngEPseq,MATCH($F889,rngEPcode,0)),""))</f>
        <v/>
      </c>
      <c r="J889" s="17">
        <f>IF($F889="","",IFERROR(INDEX(rngEPpass,MATCH($F889,rngEPcode,0)),cfgPassingScore))</f>
        <v/>
      </c>
      <c r="K889" s="16" t="n"/>
      <c r="L889" s="16" t="n"/>
      <c r="M889" s="17">
        <f>IF($C889="","",IF($L889="","",IF(NOT(ISNUMBER($L889)),$L889,IF(N($K889)&gt;2,"",IF($K889=1,IF(COUNTIFS(nrES_PID,$D889,nrES_Code,$F889,nrES_Att,2,nrES_Raw,"&gt;=0")&gt;0,"",$L889),IF($L889&gt;=$J889,MAX($J889,cfgRetakeRecordedCap),IF(COUNTIFS(nrES_PID,$D889,nrES_Code,$F889,nrES_Att,1)=0,$L889,SUMIFS(nrES_Raw,nrES_PID,$D889,nrES_Code,$F889,nrES_Att,1))))))))</f>
        <v/>
      </c>
      <c r="N889" s="17">
        <f>IF($C889="","",IF($L889="","",IF(NOT(ISNUMBER($L889)),"(not a score)",IF($L889&gt;=$J889,"Yes","No"))))</f>
        <v/>
      </c>
      <c r="O889" s="17">
        <f>IF($C889="","",IF($M889="","",IF(NOT(ISNUMBER($M889)),"(not a score)",IF($M889&gt;=$J889,"Yes","No"))))</f>
        <v/>
      </c>
      <c r="P889" s="17">
        <f>IF($C889="","",IF($K889="","",IF(N($K889)&gt;2,"No",IF(COUNTIFS(nrES_PID,$D889,nrES_Code,$F889,nrES_Att,"&gt;"&amp;$K889,nrES_Att,"&lt;=2",nrES_Raw,"&gt;=0")=0,"Yes","No"))))</f>
        <v/>
      </c>
      <c r="Q889" s="17">
        <f>IF($C889="","",IF($L889="","",IF(AND($K889=1,ISNUMBER($L889),$L889&lt;$J889,COUNTIFS(nrES_PID,$D889,nrES_Code,$F889,nrES_Att,2,nrES_Raw,"&gt;=0")=0),"Yes","No")))</f>
        <v/>
      </c>
      <c r="R889" s="17">
        <f>IF($C889="","",IF($L889="","",IF(AND(N($K889)&gt;=2,ISNUMBER($L889),$L889&lt;$J889),"Yes","No")))</f>
        <v/>
      </c>
      <c r="S889" s="18" t="n"/>
      <c r="T889" s="19">
        <f>IF(OR($C889="",$L889="",$K889&lt;&gt;1,NOT(ISNUMBER($L889)),$L889&gt;=$J889),"",IF($S889="","(enter date)",_xlfn.LET(_xlpm.dn,_xlfn.XLOOKUP($S889,nrCDdate,nrCDnum,"",1),IF(_xlpm.dn="","(after last class day)",_xlfn.LET(_xlpm.dd,_xlfn.XLOOKUP(_xlpm.dn+cfgRetestClassDays,nrCDnum,nrCDdate,""),_xlpm.ok,_xlfn.XLOOKUP(_xlpm.dn+cfgRetestClassDays,nrCDnum,nrCDinsession,"No"),IF(OR(_xlpm.dd="",_xlpm.ok&lt;&gt;"Yes"),"(after last class day)",_xlpm.dd))))))</f>
        <v/>
      </c>
      <c r="U889" s="17">
        <f>IF($C889="","",IF(AND($Y889="Excused",$L889="",N($K889)&lt;=1),"EXCUSED - 1st attempt pending",IF(OR($L889="",$K889&lt;&gt;1,NOT(ISNUMBER($L889)),$L889&gt;=$J889),"",IF(COUNTIFS(nrES_PID,$D889,nrES_Code,$F889,nrES_Att,2,nrES_Raw,"&gt;=0")&gt;0,IF(IFERROR(_xlfn.MINIFS(nrES_Date,nrES_PID,$D889,nrES_Code,$F889,nrES_Att,2,nrES_Raw,"&gt;=0",nrES_Date,"&gt;0"),0)=0,"RETEST UNDATED",IF(NOT(ISNUMBER($T889)),"RETEST DATE UNCHECKED",IF(_xlfn.MINIFS(nrES_Date,nrES_PID,$D889,nrES_Code,$F889,nrES_Att,2,nrES_Raw,"&gt;=0",nrES_Date,"&gt;0")&gt;$T889,"LATE RETEST "&amp;TEXT(_xlfn.MINIFS(nrES_Date,nrES_PID,$D889,nrES_Code,$F889,nrES_Att,2,nrES_Raw,"&gt;=0",nrES_Date,"&gt;0"),"mm/dd")&amp;" (due "&amp;TEXT($T889,"mm/dd")&amp;")","Retested"))),IF(NOT(ISNUMBER($T889)),"CHECK DATE",IF(TODAY()&gt;$T889,"OVERDUE","Due "&amp;TEXT($T889,"mm/dd")))))))</f>
        <v/>
      </c>
      <c r="V889" s="16" t="n"/>
      <c r="W889" s="16" t="n"/>
      <c r="X889" s="17">
        <f>IF($C889="","",IF(AND($L889&lt;&gt;"",NOT(ISNUMBER($L889))),"RAW SCORE NOT A NUMBER",IF(AND(ISNUMBER($L889),OR($L889&lt;0,$L889&gt;100)),"RAW SCORE OUT OF RANGE",IF(AND($Y889="Unexcused",OR($L889="",NOT(ISNUMBER($L889)),$L889&lt;&gt;0)),"UNEXCUSED ABSENCE MUST RECORD 0",IF(COUNTIF(nrES_RecID,$B889)&gt;1,"DUPLICATE RECORD",IF(N($K889)&gt;2,"ATTEMPT 3+ NOT ALLOWED - policy 300.5 permits one retest per exam; this row records nothing",IF(AND($K889=2,COUNTIFS(nrES_PID,$D889,nrES_Code,$F889,nrES_Att,1)=0),"ATTEMPT 2 WITHOUT ATTEMPT 1",IF(AND($K889=2,$L889=""),"RETEST ROW HAS NO SCORE",IF(AND($H889="Final",$L889&lt;&gt;"",IFERROR(INDEX(nrCKfinalExamElig,MATCH($D889,rngCadetPIDs,0)),"")="No"),"FINAL EXAM AFTER FAILED FINAL PT (500.1.H)",IF(AND($K889=2,ISNUMBER($L889),COUNTIFS(nrES_PID,$D889,nrES_Code,$F889,nrES_Att,1)&gt;0,SUMIFS(nrES_Raw,nrES_PID,$D889,nrES_Code,$F889,nrES_Att,1)&gt;=$J889),"RETEST AFTER A PASSING FIRST ATTEMPT","OK"))))))))))</f>
        <v/>
      </c>
      <c r="Y889" s="16" t="n"/>
    </row>
    <row r="890">
      <c r="B890" s="17">
        <f>IF($C890="","",$D890&amp;"-"&amp;$F890&amp;"-"&amp;$K890)</f>
        <v/>
      </c>
      <c r="C890" s="16" t="n"/>
      <c r="D890" s="17">
        <f>IF($C890="","",IFERROR(INDEX(rngCadetPIDs,MATCH($C890,rngCadetNames,0)),"?"))</f>
        <v/>
      </c>
      <c r="E890" s="17">
        <f>IF($D890="","",IFERROR(INDEX(nrCadetAgency,MATCH($D890,rngCadetPIDs,0)),""))</f>
        <v/>
      </c>
      <c r="F890" s="16" t="n"/>
      <c r="G890" s="17">
        <f>IF($F890="","",IFERROR(INDEX(rngEPname,MATCH($F890,rngEPcode,0)),"?"))</f>
        <v/>
      </c>
      <c r="H890" s="17">
        <f>IF($F890="","",IFERROR(INDEX(rngEPtype,MATCH($F890,rngEPcode,0)),"?"))</f>
        <v/>
      </c>
      <c r="I890" s="17">
        <f>IF($F890="","",IFERROR(INDEX(rngEPseq,MATCH($F890,rngEPcode,0)),""))</f>
        <v/>
      </c>
      <c r="J890" s="17">
        <f>IF($F890="","",IFERROR(INDEX(rngEPpass,MATCH($F890,rngEPcode,0)),cfgPassingScore))</f>
        <v/>
      </c>
      <c r="K890" s="16" t="n"/>
      <c r="L890" s="16" t="n"/>
      <c r="M890" s="17">
        <f>IF($C890="","",IF($L890="","",IF(NOT(ISNUMBER($L890)),$L890,IF(N($K890)&gt;2,"",IF($K890=1,IF(COUNTIFS(nrES_PID,$D890,nrES_Code,$F890,nrES_Att,2,nrES_Raw,"&gt;=0")&gt;0,"",$L890),IF($L890&gt;=$J890,MAX($J890,cfgRetakeRecordedCap),IF(COUNTIFS(nrES_PID,$D890,nrES_Code,$F890,nrES_Att,1)=0,$L890,SUMIFS(nrES_Raw,nrES_PID,$D890,nrES_Code,$F890,nrES_Att,1))))))))</f>
        <v/>
      </c>
      <c r="N890" s="17">
        <f>IF($C890="","",IF($L890="","",IF(NOT(ISNUMBER($L890)),"(not a score)",IF($L890&gt;=$J890,"Yes","No"))))</f>
        <v/>
      </c>
      <c r="O890" s="17">
        <f>IF($C890="","",IF($M890="","",IF(NOT(ISNUMBER($M890)),"(not a score)",IF($M890&gt;=$J890,"Yes","No"))))</f>
        <v/>
      </c>
      <c r="P890" s="17">
        <f>IF($C890="","",IF($K890="","",IF(N($K890)&gt;2,"No",IF(COUNTIFS(nrES_PID,$D890,nrES_Code,$F890,nrES_Att,"&gt;"&amp;$K890,nrES_Att,"&lt;=2",nrES_Raw,"&gt;=0")=0,"Yes","No"))))</f>
        <v/>
      </c>
      <c r="Q890" s="17">
        <f>IF($C890="","",IF($L890="","",IF(AND($K890=1,ISNUMBER($L890),$L890&lt;$J890,COUNTIFS(nrES_PID,$D890,nrES_Code,$F890,nrES_Att,2,nrES_Raw,"&gt;=0")=0),"Yes","No")))</f>
        <v/>
      </c>
      <c r="R890" s="17">
        <f>IF($C890="","",IF($L890="","",IF(AND(N($K890)&gt;=2,ISNUMBER($L890),$L890&lt;$J890),"Yes","No")))</f>
        <v/>
      </c>
      <c r="S890" s="18" t="n"/>
      <c r="T890" s="19">
        <f>IF(OR($C890="",$L890="",$K890&lt;&gt;1,NOT(ISNUMBER($L890)),$L890&gt;=$J890),"",IF($S890="","(enter date)",_xlfn.LET(_xlpm.dn,_xlfn.XLOOKUP($S890,nrCDdate,nrCDnum,"",1),IF(_xlpm.dn="","(after last class day)",_xlfn.LET(_xlpm.dd,_xlfn.XLOOKUP(_xlpm.dn+cfgRetestClassDays,nrCDnum,nrCDdate,""),_xlpm.ok,_xlfn.XLOOKUP(_xlpm.dn+cfgRetestClassDays,nrCDnum,nrCDinsession,"No"),IF(OR(_xlpm.dd="",_xlpm.ok&lt;&gt;"Yes"),"(after last class day)",_xlpm.dd))))))</f>
        <v/>
      </c>
      <c r="U890" s="17">
        <f>IF($C890="","",IF(AND($Y890="Excused",$L890="",N($K890)&lt;=1),"EXCUSED - 1st attempt pending",IF(OR($L890="",$K890&lt;&gt;1,NOT(ISNUMBER($L890)),$L890&gt;=$J890),"",IF(COUNTIFS(nrES_PID,$D890,nrES_Code,$F890,nrES_Att,2,nrES_Raw,"&gt;=0")&gt;0,IF(IFERROR(_xlfn.MINIFS(nrES_Date,nrES_PID,$D890,nrES_Code,$F890,nrES_Att,2,nrES_Raw,"&gt;=0",nrES_Date,"&gt;0"),0)=0,"RETEST UNDATED",IF(NOT(ISNUMBER($T890)),"RETEST DATE UNCHECKED",IF(_xlfn.MINIFS(nrES_Date,nrES_PID,$D890,nrES_Code,$F890,nrES_Att,2,nrES_Raw,"&gt;=0",nrES_Date,"&gt;0")&gt;$T890,"LATE RETEST "&amp;TEXT(_xlfn.MINIFS(nrES_Date,nrES_PID,$D890,nrES_Code,$F890,nrES_Att,2,nrES_Raw,"&gt;=0",nrES_Date,"&gt;0"),"mm/dd")&amp;" (due "&amp;TEXT($T890,"mm/dd")&amp;")","Retested"))),IF(NOT(ISNUMBER($T890)),"CHECK DATE",IF(TODAY()&gt;$T890,"OVERDUE","Due "&amp;TEXT($T890,"mm/dd")))))))</f>
        <v/>
      </c>
      <c r="V890" s="16" t="n"/>
      <c r="W890" s="16" t="n"/>
      <c r="X890" s="17">
        <f>IF($C890="","",IF(AND($L890&lt;&gt;"",NOT(ISNUMBER($L890))),"RAW SCORE NOT A NUMBER",IF(AND(ISNUMBER($L890),OR($L890&lt;0,$L890&gt;100)),"RAW SCORE OUT OF RANGE",IF(AND($Y890="Unexcused",OR($L890="",NOT(ISNUMBER($L890)),$L890&lt;&gt;0)),"UNEXCUSED ABSENCE MUST RECORD 0",IF(COUNTIF(nrES_RecID,$B890)&gt;1,"DUPLICATE RECORD",IF(N($K890)&gt;2,"ATTEMPT 3+ NOT ALLOWED - policy 300.5 permits one retest per exam; this row records nothing",IF(AND($K890=2,COUNTIFS(nrES_PID,$D890,nrES_Code,$F890,nrES_Att,1)=0),"ATTEMPT 2 WITHOUT ATTEMPT 1",IF(AND($K890=2,$L890=""),"RETEST ROW HAS NO SCORE",IF(AND($H890="Final",$L890&lt;&gt;"",IFERROR(INDEX(nrCKfinalExamElig,MATCH($D890,rngCadetPIDs,0)),"")="No"),"FINAL EXAM AFTER FAILED FINAL PT (500.1.H)",IF(AND($K890=2,ISNUMBER($L890),COUNTIFS(nrES_PID,$D890,nrES_Code,$F890,nrES_Att,1)&gt;0,SUMIFS(nrES_Raw,nrES_PID,$D890,nrES_Code,$F890,nrES_Att,1)&gt;=$J890),"RETEST AFTER A PASSING FIRST ATTEMPT","OK"))))))))))</f>
        <v/>
      </c>
      <c r="Y890" s="16" t="n"/>
    </row>
    <row r="891">
      <c r="B891" s="17">
        <f>IF($C891="","",$D891&amp;"-"&amp;$F891&amp;"-"&amp;$K891)</f>
        <v/>
      </c>
      <c r="C891" s="16" t="n"/>
      <c r="D891" s="17">
        <f>IF($C891="","",IFERROR(INDEX(rngCadetPIDs,MATCH($C891,rngCadetNames,0)),"?"))</f>
        <v/>
      </c>
      <c r="E891" s="17">
        <f>IF($D891="","",IFERROR(INDEX(nrCadetAgency,MATCH($D891,rngCadetPIDs,0)),""))</f>
        <v/>
      </c>
      <c r="F891" s="16" t="n"/>
      <c r="G891" s="17">
        <f>IF($F891="","",IFERROR(INDEX(rngEPname,MATCH($F891,rngEPcode,0)),"?"))</f>
        <v/>
      </c>
      <c r="H891" s="17">
        <f>IF($F891="","",IFERROR(INDEX(rngEPtype,MATCH($F891,rngEPcode,0)),"?"))</f>
        <v/>
      </c>
      <c r="I891" s="17">
        <f>IF($F891="","",IFERROR(INDEX(rngEPseq,MATCH($F891,rngEPcode,0)),""))</f>
        <v/>
      </c>
      <c r="J891" s="17">
        <f>IF($F891="","",IFERROR(INDEX(rngEPpass,MATCH($F891,rngEPcode,0)),cfgPassingScore))</f>
        <v/>
      </c>
      <c r="K891" s="16" t="n"/>
      <c r="L891" s="16" t="n"/>
      <c r="M891" s="17">
        <f>IF($C891="","",IF($L891="","",IF(NOT(ISNUMBER($L891)),$L891,IF(N($K891)&gt;2,"",IF($K891=1,IF(COUNTIFS(nrES_PID,$D891,nrES_Code,$F891,nrES_Att,2,nrES_Raw,"&gt;=0")&gt;0,"",$L891),IF($L891&gt;=$J891,MAX($J891,cfgRetakeRecordedCap),IF(COUNTIFS(nrES_PID,$D891,nrES_Code,$F891,nrES_Att,1)=0,$L891,SUMIFS(nrES_Raw,nrES_PID,$D891,nrES_Code,$F891,nrES_Att,1))))))))</f>
        <v/>
      </c>
      <c r="N891" s="17">
        <f>IF($C891="","",IF($L891="","",IF(NOT(ISNUMBER($L891)),"(not a score)",IF($L891&gt;=$J891,"Yes","No"))))</f>
        <v/>
      </c>
      <c r="O891" s="17">
        <f>IF($C891="","",IF($M891="","",IF(NOT(ISNUMBER($M891)),"(not a score)",IF($M891&gt;=$J891,"Yes","No"))))</f>
        <v/>
      </c>
      <c r="P891" s="17">
        <f>IF($C891="","",IF($K891="","",IF(N($K891)&gt;2,"No",IF(COUNTIFS(nrES_PID,$D891,nrES_Code,$F891,nrES_Att,"&gt;"&amp;$K891,nrES_Att,"&lt;=2",nrES_Raw,"&gt;=0")=0,"Yes","No"))))</f>
        <v/>
      </c>
      <c r="Q891" s="17">
        <f>IF($C891="","",IF($L891="","",IF(AND($K891=1,ISNUMBER($L891),$L891&lt;$J891,COUNTIFS(nrES_PID,$D891,nrES_Code,$F891,nrES_Att,2,nrES_Raw,"&gt;=0")=0),"Yes","No")))</f>
        <v/>
      </c>
      <c r="R891" s="17">
        <f>IF($C891="","",IF($L891="","",IF(AND(N($K891)&gt;=2,ISNUMBER($L891),$L891&lt;$J891),"Yes","No")))</f>
        <v/>
      </c>
      <c r="S891" s="18" t="n"/>
      <c r="T891" s="19">
        <f>IF(OR($C891="",$L891="",$K891&lt;&gt;1,NOT(ISNUMBER($L891)),$L891&gt;=$J891),"",IF($S891="","(enter date)",_xlfn.LET(_xlpm.dn,_xlfn.XLOOKUP($S891,nrCDdate,nrCDnum,"",1),IF(_xlpm.dn="","(after last class day)",_xlfn.LET(_xlpm.dd,_xlfn.XLOOKUP(_xlpm.dn+cfgRetestClassDays,nrCDnum,nrCDdate,""),_xlpm.ok,_xlfn.XLOOKUP(_xlpm.dn+cfgRetestClassDays,nrCDnum,nrCDinsession,"No"),IF(OR(_xlpm.dd="",_xlpm.ok&lt;&gt;"Yes"),"(after last class day)",_xlpm.dd))))))</f>
        <v/>
      </c>
      <c r="U891" s="17">
        <f>IF($C891="","",IF(AND($Y891="Excused",$L891="",N($K891)&lt;=1),"EXCUSED - 1st attempt pending",IF(OR($L891="",$K891&lt;&gt;1,NOT(ISNUMBER($L891)),$L891&gt;=$J891),"",IF(COUNTIFS(nrES_PID,$D891,nrES_Code,$F891,nrES_Att,2,nrES_Raw,"&gt;=0")&gt;0,IF(IFERROR(_xlfn.MINIFS(nrES_Date,nrES_PID,$D891,nrES_Code,$F891,nrES_Att,2,nrES_Raw,"&gt;=0",nrES_Date,"&gt;0"),0)=0,"RETEST UNDATED",IF(NOT(ISNUMBER($T891)),"RETEST DATE UNCHECKED",IF(_xlfn.MINIFS(nrES_Date,nrES_PID,$D891,nrES_Code,$F891,nrES_Att,2,nrES_Raw,"&gt;=0",nrES_Date,"&gt;0")&gt;$T891,"LATE RETEST "&amp;TEXT(_xlfn.MINIFS(nrES_Date,nrES_PID,$D891,nrES_Code,$F891,nrES_Att,2,nrES_Raw,"&gt;=0",nrES_Date,"&gt;0"),"mm/dd")&amp;" (due "&amp;TEXT($T891,"mm/dd")&amp;")","Retested"))),IF(NOT(ISNUMBER($T891)),"CHECK DATE",IF(TODAY()&gt;$T891,"OVERDUE","Due "&amp;TEXT($T891,"mm/dd")))))))</f>
        <v/>
      </c>
      <c r="V891" s="16" t="n"/>
      <c r="W891" s="16" t="n"/>
      <c r="X891" s="17">
        <f>IF($C891="","",IF(AND($L891&lt;&gt;"",NOT(ISNUMBER($L891))),"RAW SCORE NOT A NUMBER",IF(AND(ISNUMBER($L891),OR($L891&lt;0,$L891&gt;100)),"RAW SCORE OUT OF RANGE",IF(AND($Y891="Unexcused",OR($L891="",NOT(ISNUMBER($L891)),$L891&lt;&gt;0)),"UNEXCUSED ABSENCE MUST RECORD 0",IF(COUNTIF(nrES_RecID,$B891)&gt;1,"DUPLICATE RECORD",IF(N($K891)&gt;2,"ATTEMPT 3+ NOT ALLOWED - policy 300.5 permits one retest per exam; this row records nothing",IF(AND($K891=2,COUNTIFS(nrES_PID,$D891,nrES_Code,$F891,nrES_Att,1)=0),"ATTEMPT 2 WITHOUT ATTEMPT 1",IF(AND($K891=2,$L891=""),"RETEST ROW HAS NO SCORE",IF(AND($H891="Final",$L891&lt;&gt;"",IFERROR(INDEX(nrCKfinalExamElig,MATCH($D891,rngCadetPIDs,0)),"")="No"),"FINAL EXAM AFTER FAILED FINAL PT (500.1.H)",IF(AND($K891=2,ISNUMBER($L891),COUNTIFS(nrES_PID,$D891,nrES_Code,$F891,nrES_Att,1)&gt;0,SUMIFS(nrES_Raw,nrES_PID,$D891,nrES_Code,$F891,nrES_Att,1)&gt;=$J891),"RETEST AFTER A PASSING FIRST ATTEMPT","OK"))))))))))</f>
        <v/>
      </c>
      <c r="Y891" s="16" t="n"/>
    </row>
    <row r="892">
      <c r="B892" s="17">
        <f>IF($C892="","",$D892&amp;"-"&amp;$F892&amp;"-"&amp;$K892)</f>
        <v/>
      </c>
      <c r="C892" s="16" t="n"/>
      <c r="D892" s="17">
        <f>IF($C892="","",IFERROR(INDEX(rngCadetPIDs,MATCH($C892,rngCadetNames,0)),"?"))</f>
        <v/>
      </c>
      <c r="E892" s="17">
        <f>IF($D892="","",IFERROR(INDEX(nrCadetAgency,MATCH($D892,rngCadetPIDs,0)),""))</f>
        <v/>
      </c>
      <c r="F892" s="16" t="n"/>
      <c r="G892" s="17">
        <f>IF($F892="","",IFERROR(INDEX(rngEPname,MATCH($F892,rngEPcode,0)),"?"))</f>
        <v/>
      </c>
      <c r="H892" s="17">
        <f>IF($F892="","",IFERROR(INDEX(rngEPtype,MATCH($F892,rngEPcode,0)),"?"))</f>
        <v/>
      </c>
      <c r="I892" s="17">
        <f>IF($F892="","",IFERROR(INDEX(rngEPseq,MATCH($F892,rngEPcode,0)),""))</f>
        <v/>
      </c>
      <c r="J892" s="17">
        <f>IF($F892="","",IFERROR(INDEX(rngEPpass,MATCH($F892,rngEPcode,0)),cfgPassingScore))</f>
        <v/>
      </c>
      <c r="K892" s="16" t="n"/>
      <c r="L892" s="16" t="n"/>
      <c r="M892" s="17">
        <f>IF($C892="","",IF($L892="","",IF(NOT(ISNUMBER($L892)),$L892,IF(N($K892)&gt;2,"",IF($K892=1,IF(COUNTIFS(nrES_PID,$D892,nrES_Code,$F892,nrES_Att,2,nrES_Raw,"&gt;=0")&gt;0,"",$L892),IF($L892&gt;=$J892,MAX($J892,cfgRetakeRecordedCap),IF(COUNTIFS(nrES_PID,$D892,nrES_Code,$F892,nrES_Att,1)=0,$L892,SUMIFS(nrES_Raw,nrES_PID,$D892,nrES_Code,$F892,nrES_Att,1))))))))</f>
        <v/>
      </c>
      <c r="N892" s="17">
        <f>IF($C892="","",IF($L892="","",IF(NOT(ISNUMBER($L892)),"(not a score)",IF($L892&gt;=$J892,"Yes","No"))))</f>
        <v/>
      </c>
      <c r="O892" s="17">
        <f>IF($C892="","",IF($M892="","",IF(NOT(ISNUMBER($M892)),"(not a score)",IF($M892&gt;=$J892,"Yes","No"))))</f>
        <v/>
      </c>
      <c r="P892" s="17">
        <f>IF($C892="","",IF($K892="","",IF(N($K892)&gt;2,"No",IF(COUNTIFS(nrES_PID,$D892,nrES_Code,$F892,nrES_Att,"&gt;"&amp;$K892,nrES_Att,"&lt;=2",nrES_Raw,"&gt;=0")=0,"Yes","No"))))</f>
        <v/>
      </c>
      <c r="Q892" s="17">
        <f>IF($C892="","",IF($L892="","",IF(AND($K892=1,ISNUMBER($L892),$L892&lt;$J892,COUNTIFS(nrES_PID,$D892,nrES_Code,$F892,nrES_Att,2,nrES_Raw,"&gt;=0")=0),"Yes","No")))</f>
        <v/>
      </c>
      <c r="R892" s="17">
        <f>IF($C892="","",IF($L892="","",IF(AND(N($K892)&gt;=2,ISNUMBER($L892),$L892&lt;$J892),"Yes","No")))</f>
        <v/>
      </c>
      <c r="S892" s="18" t="n"/>
      <c r="T892" s="19">
        <f>IF(OR($C892="",$L892="",$K892&lt;&gt;1,NOT(ISNUMBER($L892)),$L892&gt;=$J892),"",IF($S892="","(enter date)",_xlfn.LET(_xlpm.dn,_xlfn.XLOOKUP($S892,nrCDdate,nrCDnum,"",1),IF(_xlpm.dn="","(after last class day)",_xlfn.LET(_xlpm.dd,_xlfn.XLOOKUP(_xlpm.dn+cfgRetestClassDays,nrCDnum,nrCDdate,""),_xlpm.ok,_xlfn.XLOOKUP(_xlpm.dn+cfgRetestClassDays,nrCDnum,nrCDinsession,"No"),IF(OR(_xlpm.dd="",_xlpm.ok&lt;&gt;"Yes"),"(after last class day)",_xlpm.dd))))))</f>
        <v/>
      </c>
      <c r="U892" s="17">
        <f>IF($C892="","",IF(AND($Y892="Excused",$L892="",N($K892)&lt;=1),"EXCUSED - 1st attempt pending",IF(OR($L892="",$K892&lt;&gt;1,NOT(ISNUMBER($L892)),$L892&gt;=$J892),"",IF(COUNTIFS(nrES_PID,$D892,nrES_Code,$F892,nrES_Att,2,nrES_Raw,"&gt;=0")&gt;0,IF(IFERROR(_xlfn.MINIFS(nrES_Date,nrES_PID,$D892,nrES_Code,$F892,nrES_Att,2,nrES_Raw,"&gt;=0",nrES_Date,"&gt;0"),0)=0,"RETEST UNDATED",IF(NOT(ISNUMBER($T892)),"RETEST DATE UNCHECKED",IF(_xlfn.MINIFS(nrES_Date,nrES_PID,$D892,nrES_Code,$F892,nrES_Att,2,nrES_Raw,"&gt;=0",nrES_Date,"&gt;0")&gt;$T892,"LATE RETEST "&amp;TEXT(_xlfn.MINIFS(nrES_Date,nrES_PID,$D892,nrES_Code,$F892,nrES_Att,2,nrES_Raw,"&gt;=0",nrES_Date,"&gt;0"),"mm/dd")&amp;" (due "&amp;TEXT($T892,"mm/dd")&amp;")","Retested"))),IF(NOT(ISNUMBER($T892)),"CHECK DATE",IF(TODAY()&gt;$T892,"OVERDUE","Due "&amp;TEXT($T892,"mm/dd")))))))</f>
        <v/>
      </c>
      <c r="V892" s="16" t="n"/>
      <c r="W892" s="16" t="n"/>
      <c r="X892" s="17">
        <f>IF($C892="","",IF(AND($L892&lt;&gt;"",NOT(ISNUMBER($L892))),"RAW SCORE NOT A NUMBER",IF(AND(ISNUMBER($L892),OR($L892&lt;0,$L892&gt;100)),"RAW SCORE OUT OF RANGE",IF(AND($Y892="Unexcused",OR($L892="",NOT(ISNUMBER($L892)),$L892&lt;&gt;0)),"UNEXCUSED ABSENCE MUST RECORD 0",IF(COUNTIF(nrES_RecID,$B892)&gt;1,"DUPLICATE RECORD",IF(N($K892)&gt;2,"ATTEMPT 3+ NOT ALLOWED - policy 300.5 permits one retest per exam; this row records nothing",IF(AND($K892=2,COUNTIFS(nrES_PID,$D892,nrES_Code,$F892,nrES_Att,1)=0),"ATTEMPT 2 WITHOUT ATTEMPT 1",IF(AND($K892=2,$L892=""),"RETEST ROW HAS NO SCORE",IF(AND($H892="Final",$L892&lt;&gt;"",IFERROR(INDEX(nrCKfinalExamElig,MATCH($D892,rngCadetPIDs,0)),"")="No"),"FINAL EXAM AFTER FAILED FINAL PT (500.1.H)",IF(AND($K892=2,ISNUMBER($L892),COUNTIFS(nrES_PID,$D892,nrES_Code,$F892,nrES_Att,1)&gt;0,SUMIFS(nrES_Raw,nrES_PID,$D892,nrES_Code,$F892,nrES_Att,1)&gt;=$J892),"RETEST AFTER A PASSING FIRST ATTEMPT","OK"))))))))))</f>
        <v/>
      </c>
      <c r="Y892" s="16" t="n"/>
    </row>
    <row r="893">
      <c r="B893" s="17">
        <f>IF($C893="","",$D893&amp;"-"&amp;$F893&amp;"-"&amp;$K893)</f>
        <v/>
      </c>
      <c r="C893" s="16" t="n"/>
      <c r="D893" s="17">
        <f>IF($C893="","",IFERROR(INDEX(rngCadetPIDs,MATCH($C893,rngCadetNames,0)),"?"))</f>
        <v/>
      </c>
      <c r="E893" s="17">
        <f>IF($D893="","",IFERROR(INDEX(nrCadetAgency,MATCH($D893,rngCadetPIDs,0)),""))</f>
        <v/>
      </c>
      <c r="F893" s="16" t="n"/>
      <c r="G893" s="17">
        <f>IF($F893="","",IFERROR(INDEX(rngEPname,MATCH($F893,rngEPcode,0)),"?"))</f>
        <v/>
      </c>
      <c r="H893" s="17">
        <f>IF($F893="","",IFERROR(INDEX(rngEPtype,MATCH($F893,rngEPcode,0)),"?"))</f>
        <v/>
      </c>
      <c r="I893" s="17">
        <f>IF($F893="","",IFERROR(INDEX(rngEPseq,MATCH($F893,rngEPcode,0)),""))</f>
        <v/>
      </c>
      <c r="J893" s="17">
        <f>IF($F893="","",IFERROR(INDEX(rngEPpass,MATCH($F893,rngEPcode,0)),cfgPassingScore))</f>
        <v/>
      </c>
      <c r="K893" s="16" t="n"/>
      <c r="L893" s="16" t="n"/>
      <c r="M893" s="17">
        <f>IF($C893="","",IF($L893="","",IF(NOT(ISNUMBER($L893)),$L893,IF(N($K893)&gt;2,"",IF($K893=1,IF(COUNTIFS(nrES_PID,$D893,nrES_Code,$F893,nrES_Att,2,nrES_Raw,"&gt;=0")&gt;0,"",$L893),IF($L893&gt;=$J893,MAX($J893,cfgRetakeRecordedCap),IF(COUNTIFS(nrES_PID,$D893,nrES_Code,$F893,nrES_Att,1)=0,$L893,SUMIFS(nrES_Raw,nrES_PID,$D893,nrES_Code,$F893,nrES_Att,1))))))))</f>
        <v/>
      </c>
      <c r="N893" s="17">
        <f>IF($C893="","",IF($L893="","",IF(NOT(ISNUMBER($L893)),"(not a score)",IF($L893&gt;=$J893,"Yes","No"))))</f>
        <v/>
      </c>
      <c r="O893" s="17">
        <f>IF($C893="","",IF($M893="","",IF(NOT(ISNUMBER($M893)),"(not a score)",IF($M893&gt;=$J893,"Yes","No"))))</f>
        <v/>
      </c>
      <c r="P893" s="17">
        <f>IF($C893="","",IF($K893="","",IF(N($K893)&gt;2,"No",IF(COUNTIFS(nrES_PID,$D893,nrES_Code,$F893,nrES_Att,"&gt;"&amp;$K893,nrES_Att,"&lt;=2",nrES_Raw,"&gt;=0")=0,"Yes","No"))))</f>
        <v/>
      </c>
      <c r="Q893" s="17">
        <f>IF($C893="","",IF($L893="","",IF(AND($K893=1,ISNUMBER($L893),$L893&lt;$J893,COUNTIFS(nrES_PID,$D893,nrES_Code,$F893,nrES_Att,2,nrES_Raw,"&gt;=0")=0),"Yes","No")))</f>
        <v/>
      </c>
      <c r="R893" s="17">
        <f>IF($C893="","",IF($L893="","",IF(AND(N($K893)&gt;=2,ISNUMBER($L893),$L893&lt;$J893),"Yes","No")))</f>
        <v/>
      </c>
      <c r="S893" s="18" t="n"/>
      <c r="T893" s="19">
        <f>IF(OR($C893="",$L893="",$K893&lt;&gt;1,NOT(ISNUMBER($L893)),$L893&gt;=$J893),"",IF($S893="","(enter date)",_xlfn.LET(_xlpm.dn,_xlfn.XLOOKUP($S893,nrCDdate,nrCDnum,"",1),IF(_xlpm.dn="","(after last class day)",_xlfn.LET(_xlpm.dd,_xlfn.XLOOKUP(_xlpm.dn+cfgRetestClassDays,nrCDnum,nrCDdate,""),_xlpm.ok,_xlfn.XLOOKUP(_xlpm.dn+cfgRetestClassDays,nrCDnum,nrCDinsession,"No"),IF(OR(_xlpm.dd="",_xlpm.ok&lt;&gt;"Yes"),"(after last class day)",_xlpm.dd))))))</f>
        <v/>
      </c>
      <c r="U893" s="17">
        <f>IF($C893="","",IF(AND($Y893="Excused",$L893="",N($K893)&lt;=1),"EXCUSED - 1st attempt pending",IF(OR($L893="",$K893&lt;&gt;1,NOT(ISNUMBER($L893)),$L893&gt;=$J893),"",IF(COUNTIFS(nrES_PID,$D893,nrES_Code,$F893,nrES_Att,2,nrES_Raw,"&gt;=0")&gt;0,IF(IFERROR(_xlfn.MINIFS(nrES_Date,nrES_PID,$D893,nrES_Code,$F893,nrES_Att,2,nrES_Raw,"&gt;=0",nrES_Date,"&gt;0"),0)=0,"RETEST UNDATED",IF(NOT(ISNUMBER($T893)),"RETEST DATE UNCHECKED",IF(_xlfn.MINIFS(nrES_Date,nrES_PID,$D893,nrES_Code,$F893,nrES_Att,2,nrES_Raw,"&gt;=0",nrES_Date,"&gt;0")&gt;$T893,"LATE RETEST "&amp;TEXT(_xlfn.MINIFS(nrES_Date,nrES_PID,$D893,nrES_Code,$F893,nrES_Att,2,nrES_Raw,"&gt;=0",nrES_Date,"&gt;0"),"mm/dd")&amp;" (due "&amp;TEXT($T893,"mm/dd")&amp;")","Retested"))),IF(NOT(ISNUMBER($T893)),"CHECK DATE",IF(TODAY()&gt;$T893,"OVERDUE","Due "&amp;TEXT($T893,"mm/dd")))))))</f>
        <v/>
      </c>
      <c r="V893" s="16" t="n"/>
      <c r="W893" s="16" t="n"/>
      <c r="X893" s="17">
        <f>IF($C893="","",IF(AND($L893&lt;&gt;"",NOT(ISNUMBER($L893))),"RAW SCORE NOT A NUMBER",IF(AND(ISNUMBER($L893),OR($L893&lt;0,$L893&gt;100)),"RAW SCORE OUT OF RANGE",IF(AND($Y893="Unexcused",OR($L893="",NOT(ISNUMBER($L893)),$L893&lt;&gt;0)),"UNEXCUSED ABSENCE MUST RECORD 0",IF(COUNTIF(nrES_RecID,$B893)&gt;1,"DUPLICATE RECORD",IF(N($K893)&gt;2,"ATTEMPT 3+ NOT ALLOWED - policy 300.5 permits one retest per exam; this row records nothing",IF(AND($K893=2,COUNTIFS(nrES_PID,$D893,nrES_Code,$F893,nrES_Att,1)=0),"ATTEMPT 2 WITHOUT ATTEMPT 1",IF(AND($K893=2,$L893=""),"RETEST ROW HAS NO SCORE",IF(AND($H893="Final",$L893&lt;&gt;"",IFERROR(INDEX(nrCKfinalExamElig,MATCH($D893,rngCadetPIDs,0)),"")="No"),"FINAL EXAM AFTER FAILED FINAL PT (500.1.H)",IF(AND($K893=2,ISNUMBER($L893),COUNTIFS(nrES_PID,$D893,nrES_Code,$F893,nrES_Att,1)&gt;0,SUMIFS(nrES_Raw,nrES_PID,$D893,nrES_Code,$F893,nrES_Att,1)&gt;=$J893),"RETEST AFTER A PASSING FIRST ATTEMPT","OK"))))))))))</f>
        <v/>
      </c>
      <c r="Y893" s="16" t="n"/>
    </row>
    <row r="894">
      <c r="B894" s="17">
        <f>IF($C894="","",$D894&amp;"-"&amp;$F894&amp;"-"&amp;$K894)</f>
        <v/>
      </c>
      <c r="C894" s="16" t="n"/>
      <c r="D894" s="17">
        <f>IF($C894="","",IFERROR(INDEX(rngCadetPIDs,MATCH($C894,rngCadetNames,0)),"?"))</f>
        <v/>
      </c>
      <c r="E894" s="17">
        <f>IF($D894="","",IFERROR(INDEX(nrCadetAgency,MATCH($D894,rngCadetPIDs,0)),""))</f>
        <v/>
      </c>
      <c r="F894" s="16" t="n"/>
      <c r="G894" s="17">
        <f>IF($F894="","",IFERROR(INDEX(rngEPname,MATCH($F894,rngEPcode,0)),"?"))</f>
        <v/>
      </c>
      <c r="H894" s="17">
        <f>IF($F894="","",IFERROR(INDEX(rngEPtype,MATCH($F894,rngEPcode,0)),"?"))</f>
        <v/>
      </c>
      <c r="I894" s="17">
        <f>IF($F894="","",IFERROR(INDEX(rngEPseq,MATCH($F894,rngEPcode,0)),""))</f>
        <v/>
      </c>
      <c r="J894" s="17">
        <f>IF($F894="","",IFERROR(INDEX(rngEPpass,MATCH($F894,rngEPcode,0)),cfgPassingScore))</f>
        <v/>
      </c>
      <c r="K894" s="16" t="n"/>
      <c r="L894" s="16" t="n"/>
      <c r="M894" s="17">
        <f>IF($C894="","",IF($L894="","",IF(NOT(ISNUMBER($L894)),$L894,IF(N($K894)&gt;2,"",IF($K894=1,IF(COUNTIFS(nrES_PID,$D894,nrES_Code,$F894,nrES_Att,2,nrES_Raw,"&gt;=0")&gt;0,"",$L894),IF($L894&gt;=$J894,MAX($J894,cfgRetakeRecordedCap),IF(COUNTIFS(nrES_PID,$D894,nrES_Code,$F894,nrES_Att,1)=0,$L894,SUMIFS(nrES_Raw,nrES_PID,$D894,nrES_Code,$F894,nrES_Att,1))))))))</f>
        <v/>
      </c>
      <c r="N894" s="17">
        <f>IF($C894="","",IF($L894="","",IF(NOT(ISNUMBER($L894)),"(not a score)",IF($L894&gt;=$J894,"Yes","No"))))</f>
        <v/>
      </c>
      <c r="O894" s="17">
        <f>IF($C894="","",IF($M894="","",IF(NOT(ISNUMBER($M894)),"(not a score)",IF($M894&gt;=$J894,"Yes","No"))))</f>
        <v/>
      </c>
      <c r="P894" s="17">
        <f>IF($C894="","",IF($K894="","",IF(N($K894)&gt;2,"No",IF(COUNTIFS(nrES_PID,$D894,nrES_Code,$F894,nrES_Att,"&gt;"&amp;$K894,nrES_Att,"&lt;=2",nrES_Raw,"&gt;=0")=0,"Yes","No"))))</f>
        <v/>
      </c>
      <c r="Q894" s="17">
        <f>IF($C894="","",IF($L894="","",IF(AND($K894=1,ISNUMBER($L894),$L894&lt;$J894,COUNTIFS(nrES_PID,$D894,nrES_Code,$F894,nrES_Att,2,nrES_Raw,"&gt;=0")=0),"Yes","No")))</f>
        <v/>
      </c>
      <c r="R894" s="17">
        <f>IF($C894="","",IF($L894="","",IF(AND(N($K894)&gt;=2,ISNUMBER($L894),$L894&lt;$J894),"Yes","No")))</f>
        <v/>
      </c>
      <c r="S894" s="18" t="n"/>
      <c r="T894" s="19">
        <f>IF(OR($C894="",$L894="",$K894&lt;&gt;1,NOT(ISNUMBER($L894)),$L894&gt;=$J894),"",IF($S894="","(enter date)",_xlfn.LET(_xlpm.dn,_xlfn.XLOOKUP($S894,nrCDdate,nrCDnum,"",1),IF(_xlpm.dn="","(after last class day)",_xlfn.LET(_xlpm.dd,_xlfn.XLOOKUP(_xlpm.dn+cfgRetestClassDays,nrCDnum,nrCDdate,""),_xlpm.ok,_xlfn.XLOOKUP(_xlpm.dn+cfgRetestClassDays,nrCDnum,nrCDinsession,"No"),IF(OR(_xlpm.dd="",_xlpm.ok&lt;&gt;"Yes"),"(after last class day)",_xlpm.dd))))))</f>
        <v/>
      </c>
      <c r="U894" s="17">
        <f>IF($C894="","",IF(AND($Y894="Excused",$L894="",N($K894)&lt;=1),"EXCUSED - 1st attempt pending",IF(OR($L894="",$K894&lt;&gt;1,NOT(ISNUMBER($L894)),$L894&gt;=$J894),"",IF(COUNTIFS(nrES_PID,$D894,nrES_Code,$F894,nrES_Att,2,nrES_Raw,"&gt;=0")&gt;0,IF(IFERROR(_xlfn.MINIFS(nrES_Date,nrES_PID,$D894,nrES_Code,$F894,nrES_Att,2,nrES_Raw,"&gt;=0",nrES_Date,"&gt;0"),0)=0,"RETEST UNDATED",IF(NOT(ISNUMBER($T894)),"RETEST DATE UNCHECKED",IF(_xlfn.MINIFS(nrES_Date,nrES_PID,$D894,nrES_Code,$F894,nrES_Att,2,nrES_Raw,"&gt;=0",nrES_Date,"&gt;0")&gt;$T894,"LATE RETEST "&amp;TEXT(_xlfn.MINIFS(nrES_Date,nrES_PID,$D894,nrES_Code,$F894,nrES_Att,2,nrES_Raw,"&gt;=0",nrES_Date,"&gt;0"),"mm/dd")&amp;" (due "&amp;TEXT($T894,"mm/dd")&amp;")","Retested"))),IF(NOT(ISNUMBER($T894)),"CHECK DATE",IF(TODAY()&gt;$T894,"OVERDUE","Due "&amp;TEXT($T894,"mm/dd")))))))</f>
        <v/>
      </c>
      <c r="V894" s="16" t="n"/>
      <c r="W894" s="16" t="n"/>
      <c r="X894" s="17">
        <f>IF($C894="","",IF(AND($L894&lt;&gt;"",NOT(ISNUMBER($L894))),"RAW SCORE NOT A NUMBER",IF(AND(ISNUMBER($L894),OR($L894&lt;0,$L894&gt;100)),"RAW SCORE OUT OF RANGE",IF(AND($Y894="Unexcused",OR($L894="",NOT(ISNUMBER($L894)),$L894&lt;&gt;0)),"UNEXCUSED ABSENCE MUST RECORD 0",IF(COUNTIF(nrES_RecID,$B894)&gt;1,"DUPLICATE RECORD",IF(N($K894)&gt;2,"ATTEMPT 3+ NOT ALLOWED - policy 300.5 permits one retest per exam; this row records nothing",IF(AND($K894=2,COUNTIFS(nrES_PID,$D894,nrES_Code,$F894,nrES_Att,1)=0),"ATTEMPT 2 WITHOUT ATTEMPT 1",IF(AND($K894=2,$L894=""),"RETEST ROW HAS NO SCORE",IF(AND($H894="Final",$L894&lt;&gt;"",IFERROR(INDEX(nrCKfinalExamElig,MATCH($D894,rngCadetPIDs,0)),"")="No"),"FINAL EXAM AFTER FAILED FINAL PT (500.1.H)",IF(AND($K894=2,ISNUMBER($L894),COUNTIFS(nrES_PID,$D894,nrES_Code,$F894,nrES_Att,1)&gt;0,SUMIFS(nrES_Raw,nrES_PID,$D894,nrES_Code,$F894,nrES_Att,1)&gt;=$J894),"RETEST AFTER A PASSING FIRST ATTEMPT","OK"))))))))))</f>
        <v/>
      </c>
      <c r="Y894" s="16" t="n"/>
    </row>
    <row r="895">
      <c r="B895" s="17">
        <f>IF($C895="","",$D895&amp;"-"&amp;$F895&amp;"-"&amp;$K895)</f>
        <v/>
      </c>
      <c r="C895" s="16" t="n"/>
      <c r="D895" s="17">
        <f>IF($C895="","",IFERROR(INDEX(rngCadetPIDs,MATCH($C895,rngCadetNames,0)),"?"))</f>
        <v/>
      </c>
      <c r="E895" s="17">
        <f>IF($D895="","",IFERROR(INDEX(nrCadetAgency,MATCH($D895,rngCadetPIDs,0)),""))</f>
        <v/>
      </c>
      <c r="F895" s="16" t="n"/>
      <c r="G895" s="17">
        <f>IF($F895="","",IFERROR(INDEX(rngEPname,MATCH($F895,rngEPcode,0)),"?"))</f>
        <v/>
      </c>
      <c r="H895" s="17">
        <f>IF($F895="","",IFERROR(INDEX(rngEPtype,MATCH($F895,rngEPcode,0)),"?"))</f>
        <v/>
      </c>
      <c r="I895" s="17">
        <f>IF($F895="","",IFERROR(INDEX(rngEPseq,MATCH($F895,rngEPcode,0)),""))</f>
        <v/>
      </c>
      <c r="J895" s="17">
        <f>IF($F895="","",IFERROR(INDEX(rngEPpass,MATCH($F895,rngEPcode,0)),cfgPassingScore))</f>
        <v/>
      </c>
      <c r="K895" s="16" t="n"/>
      <c r="L895" s="16" t="n"/>
      <c r="M895" s="17">
        <f>IF($C895="","",IF($L895="","",IF(NOT(ISNUMBER($L895)),$L895,IF(N($K895)&gt;2,"",IF($K895=1,IF(COUNTIFS(nrES_PID,$D895,nrES_Code,$F895,nrES_Att,2,nrES_Raw,"&gt;=0")&gt;0,"",$L895),IF($L895&gt;=$J895,MAX($J895,cfgRetakeRecordedCap),IF(COUNTIFS(nrES_PID,$D895,nrES_Code,$F895,nrES_Att,1)=0,$L895,SUMIFS(nrES_Raw,nrES_PID,$D895,nrES_Code,$F895,nrES_Att,1))))))))</f>
        <v/>
      </c>
      <c r="N895" s="17">
        <f>IF($C895="","",IF($L895="","",IF(NOT(ISNUMBER($L895)),"(not a score)",IF($L895&gt;=$J895,"Yes","No"))))</f>
        <v/>
      </c>
      <c r="O895" s="17">
        <f>IF($C895="","",IF($M895="","",IF(NOT(ISNUMBER($M895)),"(not a score)",IF($M895&gt;=$J895,"Yes","No"))))</f>
        <v/>
      </c>
      <c r="P895" s="17">
        <f>IF($C895="","",IF($K895="","",IF(N($K895)&gt;2,"No",IF(COUNTIFS(nrES_PID,$D895,nrES_Code,$F895,nrES_Att,"&gt;"&amp;$K895,nrES_Att,"&lt;=2",nrES_Raw,"&gt;=0")=0,"Yes","No"))))</f>
        <v/>
      </c>
      <c r="Q895" s="17">
        <f>IF($C895="","",IF($L895="","",IF(AND($K895=1,ISNUMBER($L895),$L895&lt;$J895,COUNTIFS(nrES_PID,$D895,nrES_Code,$F895,nrES_Att,2,nrES_Raw,"&gt;=0")=0),"Yes","No")))</f>
        <v/>
      </c>
      <c r="R895" s="17">
        <f>IF($C895="","",IF($L895="","",IF(AND(N($K895)&gt;=2,ISNUMBER($L895),$L895&lt;$J895),"Yes","No")))</f>
        <v/>
      </c>
      <c r="S895" s="18" t="n"/>
      <c r="T895" s="19">
        <f>IF(OR($C895="",$L895="",$K895&lt;&gt;1,NOT(ISNUMBER($L895)),$L895&gt;=$J895),"",IF($S895="","(enter date)",_xlfn.LET(_xlpm.dn,_xlfn.XLOOKUP($S895,nrCDdate,nrCDnum,"",1),IF(_xlpm.dn="","(after last class day)",_xlfn.LET(_xlpm.dd,_xlfn.XLOOKUP(_xlpm.dn+cfgRetestClassDays,nrCDnum,nrCDdate,""),_xlpm.ok,_xlfn.XLOOKUP(_xlpm.dn+cfgRetestClassDays,nrCDnum,nrCDinsession,"No"),IF(OR(_xlpm.dd="",_xlpm.ok&lt;&gt;"Yes"),"(after last class day)",_xlpm.dd))))))</f>
        <v/>
      </c>
      <c r="U895" s="17">
        <f>IF($C895="","",IF(AND($Y895="Excused",$L895="",N($K895)&lt;=1),"EXCUSED - 1st attempt pending",IF(OR($L895="",$K895&lt;&gt;1,NOT(ISNUMBER($L895)),$L895&gt;=$J895),"",IF(COUNTIFS(nrES_PID,$D895,nrES_Code,$F895,nrES_Att,2,nrES_Raw,"&gt;=0")&gt;0,IF(IFERROR(_xlfn.MINIFS(nrES_Date,nrES_PID,$D895,nrES_Code,$F895,nrES_Att,2,nrES_Raw,"&gt;=0",nrES_Date,"&gt;0"),0)=0,"RETEST UNDATED",IF(NOT(ISNUMBER($T895)),"RETEST DATE UNCHECKED",IF(_xlfn.MINIFS(nrES_Date,nrES_PID,$D895,nrES_Code,$F895,nrES_Att,2,nrES_Raw,"&gt;=0",nrES_Date,"&gt;0")&gt;$T895,"LATE RETEST "&amp;TEXT(_xlfn.MINIFS(nrES_Date,nrES_PID,$D895,nrES_Code,$F895,nrES_Att,2,nrES_Raw,"&gt;=0",nrES_Date,"&gt;0"),"mm/dd")&amp;" (due "&amp;TEXT($T895,"mm/dd")&amp;")","Retested"))),IF(NOT(ISNUMBER($T895)),"CHECK DATE",IF(TODAY()&gt;$T895,"OVERDUE","Due "&amp;TEXT($T895,"mm/dd")))))))</f>
        <v/>
      </c>
      <c r="V895" s="16" t="n"/>
      <c r="W895" s="16" t="n"/>
      <c r="X895" s="17">
        <f>IF($C895="","",IF(AND($L895&lt;&gt;"",NOT(ISNUMBER($L895))),"RAW SCORE NOT A NUMBER",IF(AND(ISNUMBER($L895),OR($L895&lt;0,$L895&gt;100)),"RAW SCORE OUT OF RANGE",IF(AND($Y895="Unexcused",OR($L895="",NOT(ISNUMBER($L895)),$L895&lt;&gt;0)),"UNEXCUSED ABSENCE MUST RECORD 0",IF(COUNTIF(nrES_RecID,$B895)&gt;1,"DUPLICATE RECORD",IF(N($K895)&gt;2,"ATTEMPT 3+ NOT ALLOWED - policy 300.5 permits one retest per exam; this row records nothing",IF(AND($K895=2,COUNTIFS(nrES_PID,$D895,nrES_Code,$F895,nrES_Att,1)=0),"ATTEMPT 2 WITHOUT ATTEMPT 1",IF(AND($K895=2,$L895=""),"RETEST ROW HAS NO SCORE",IF(AND($H895="Final",$L895&lt;&gt;"",IFERROR(INDEX(nrCKfinalExamElig,MATCH($D895,rngCadetPIDs,0)),"")="No"),"FINAL EXAM AFTER FAILED FINAL PT (500.1.H)",IF(AND($K895=2,ISNUMBER($L895),COUNTIFS(nrES_PID,$D895,nrES_Code,$F895,nrES_Att,1)&gt;0,SUMIFS(nrES_Raw,nrES_PID,$D895,nrES_Code,$F895,nrES_Att,1)&gt;=$J895),"RETEST AFTER A PASSING FIRST ATTEMPT","OK"))))))))))</f>
        <v/>
      </c>
      <c r="Y895" s="16" t="n"/>
    </row>
    <row r="896">
      <c r="B896" s="17">
        <f>IF($C896="","",$D896&amp;"-"&amp;$F896&amp;"-"&amp;$K896)</f>
        <v/>
      </c>
      <c r="C896" s="16" t="n"/>
      <c r="D896" s="17">
        <f>IF($C896="","",IFERROR(INDEX(rngCadetPIDs,MATCH($C896,rngCadetNames,0)),"?"))</f>
        <v/>
      </c>
      <c r="E896" s="17">
        <f>IF($D896="","",IFERROR(INDEX(nrCadetAgency,MATCH($D896,rngCadetPIDs,0)),""))</f>
        <v/>
      </c>
      <c r="F896" s="16" t="n"/>
      <c r="G896" s="17">
        <f>IF($F896="","",IFERROR(INDEX(rngEPname,MATCH($F896,rngEPcode,0)),"?"))</f>
        <v/>
      </c>
      <c r="H896" s="17">
        <f>IF($F896="","",IFERROR(INDEX(rngEPtype,MATCH($F896,rngEPcode,0)),"?"))</f>
        <v/>
      </c>
      <c r="I896" s="17">
        <f>IF($F896="","",IFERROR(INDEX(rngEPseq,MATCH($F896,rngEPcode,0)),""))</f>
        <v/>
      </c>
      <c r="J896" s="17">
        <f>IF($F896="","",IFERROR(INDEX(rngEPpass,MATCH($F896,rngEPcode,0)),cfgPassingScore))</f>
        <v/>
      </c>
      <c r="K896" s="16" t="n"/>
      <c r="L896" s="16" t="n"/>
      <c r="M896" s="17">
        <f>IF($C896="","",IF($L896="","",IF(NOT(ISNUMBER($L896)),$L896,IF(N($K896)&gt;2,"",IF($K896=1,IF(COUNTIFS(nrES_PID,$D896,nrES_Code,$F896,nrES_Att,2,nrES_Raw,"&gt;=0")&gt;0,"",$L896),IF($L896&gt;=$J896,MAX($J896,cfgRetakeRecordedCap),IF(COUNTIFS(nrES_PID,$D896,nrES_Code,$F896,nrES_Att,1)=0,$L896,SUMIFS(nrES_Raw,nrES_PID,$D896,nrES_Code,$F896,nrES_Att,1))))))))</f>
        <v/>
      </c>
      <c r="N896" s="17">
        <f>IF($C896="","",IF($L896="","",IF(NOT(ISNUMBER($L896)),"(not a score)",IF($L896&gt;=$J896,"Yes","No"))))</f>
        <v/>
      </c>
      <c r="O896" s="17">
        <f>IF($C896="","",IF($M896="","",IF(NOT(ISNUMBER($M896)),"(not a score)",IF($M896&gt;=$J896,"Yes","No"))))</f>
        <v/>
      </c>
      <c r="P896" s="17">
        <f>IF($C896="","",IF($K896="","",IF(N($K896)&gt;2,"No",IF(COUNTIFS(nrES_PID,$D896,nrES_Code,$F896,nrES_Att,"&gt;"&amp;$K896,nrES_Att,"&lt;=2",nrES_Raw,"&gt;=0")=0,"Yes","No"))))</f>
        <v/>
      </c>
      <c r="Q896" s="17">
        <f>IF($C896="","",IF($L896="","",IF(AND($K896=1,ISNUMBER($L896),$L896&lt;$J896,COUNTIFS(nrES_PID,$D896,nrES_Code,$F896,nrES_Att,2,nrES_Raw,"&gt;=0")=0),"Yes","No")))</f>
        <v/>
      </c>
      <c r="R896" s="17">
        <f>IF($C896="","",IF($L896="","",IF(AND(N($K896)&gt;=2,ISNUMBER($L896),$L896&lt;$J896),"Yes","No")))</f>
        <v/>
      </c>
      <c r="S896" s="18" t="n"/>
      <c r="T896" s="19">
        <f>IF(OR($C896="",$L896="",$K896&lt;&gt;1,NOT(ISNUMBER($L896)),$L896&gt;=$J896),"",IF($S896="","(enter date)",_xlfn.LET(_xlpm.dn,_xlfn.XLOOKUP($S896,nrCDdate,nrCDnum,"",1),IF(_xlpm.dn="","(after last class day)",_xlfn.LET(_xlpm.dd,_xlfn.XLOOKUP(_xlpm.dn+cfgRetestClassDays,nrCDnum,nrCDdate,""),_xlpm.ok,_xlfn.XLOOKUP(_xlpm.dn+cfgRetestClassDays,nrCDnum,nrCDinsession,"No"),IF(OR(_xlpm.dd="",_xlpm.ok&lt;&gt;"Yes"),"(after last class day)",_xlpm.dd))))))</f>
        <v/>
      </c>
      <c r="U896" s="17">
        <f>IF($C896="","",IF(AND($Y896="Excused",$L896="",N($K896)&lt;=1),"EXCUSED - 1st attempt pending",IF(OR($L896="",$K896&lt;&gt;1,NOT(ISNUMBER($L896)),$L896&gt;=$J896),"",IF(COUNTIFS(nrES_PID,$D896,nrES_Code,$F896,nrES_Att,2,nrES_Raw,"&gt;=0")&gt;0,IF(IFERROR(_xlfn.MINIFS(nrES_Date,nrES_PID,$D896,nrES_Code,$F896,nrES_Att,2,nrES_Raw,"&gt;=0",nrES_Date,"&gt;0"),0)=0,"RETEST UNDATED",IF(NOT(ISNUMBER($T896)),"RETEST DATE UNCHECKED",IF(_xlfn.MINIFS(nrES_Date,nrES_PID,$D896,nrES_Code,$F896,nrES_Att,2,nrES_Raw,"&gt;=0",nrES_Date,"&gt;0")&gt;$T896,"LATE RETEST "&amp;TEXT(_xlfn.MINIFS(nrES_Date,nrES_PID,$D896,nrES_Code,$F896,nrES_Att,2,nrES_Raw,"&gt;=0",nrES_Date,"&gt;0"),"mm/dd")&amp;" (due "&amp;TEXT($T896,"mm/dd")&amp;")","Retested"))),IF(NOT(ISNUMBER($T896)),"CHECK DATE",IF(TODAY()&gt;$T896,"OVERDUE","Due "&amp;TEXT($T896,"mm/dd")))))))</f>
        <v/>
      </c>
      <c r="V896" s="16" t="n"/>
      <c r="W896" s="16" t="n"/>
      <c r="X896" s="17">
        <f>IF($C896="","",IF(AND($L896&lt;&gt;"",NOT(ISNUMBER($L896))),"RAW SCORE NOT A NUMBER",IF(AND(ISNUMBER($L896),OR($L896&lt;0,$L896&gt;100)),"RAW SCORE OUT OF RANGE",IF(AND($Y896="Unexcused",OR($L896="",NOT(ISNUMBER($L896)),$L896&lt;&gt;0)),"UNEXCUSED ABSENCE MUST RECORD 0",IF(COUNTIF(nrES_RecID,$B896)&gt;1,"DUPLICATE RECORD",IF(N($K896)&gt;2,"ATTEMPT 3+ NOT ALLOWED - policy 300.5 permits one retest per exam; this row records nothing",IF(AND($K896=2,COUNTIFS(nrES_PID,$D896,nrES_Code,$F896,nrES_Att,1)=0),"ATTEMPT 2 WITHOUT ATTEMPT 1",IF(AND($K896=2,$L896=""),"RETEST ROW HAS NO SCORE",IF(AND($H896="Final",$L896&lt;&gt;"",IFERROR(INDEX(nrCKfinalExamElig,MATCH($D896,rngCadetPIDs,0)),"")="No"),"FINAL EXAM AFTER FAILED FINAL PT (500.1.H)",IF(AND($K896=2,ISNUMBER($L896),COUNTIFS(nrES_PID,$D896,nrES_Code,$F896,nrES_Att,1)&gt;0,SUMIFS(nrES_Raw,nrES_PID,$D896,nrES_Code,$F896,nrES_Att,1)&gt;=$J896),"RETEST AFTER A PASSING FIRST ATTEMPT","OK"))))))))))</f>
        <v/>
      </c>
      <c r="Y896" s="16" t="n"/>
    </row>
    <row r="897">
      <c r="B897" s="17">
        <f>IF($C897="","",$D897&amp;"-"&amp;$F897&amp;"-"&amp;$K897)</f>
        <v/>
      </c>
      <c r="C897" s="16" t="n"/>
      <c r="D897" s="17">
        <f>IF($C897="","",IFERROR(INDEX(rngCadetPIDs,MATCH($C897,rngCadetNames,0)),"?"))</f>
        <v/>
      </c>
      <c r="E897" s="17">
        <f>IF($D897="","",IFERROR(INDEX(nrCadetAgency,MATCH($D897,rngCadetPIDs,0)),""))</f>
        <v/>
      </c>
      <c r="F897" s="16" t="n"/>
      <c r="G897" s="17">
        <f>IF($F897="","",IFERROR(INDEX(rngEPname,MATCH($F897,rngEPcode,0)),"?"))</f>
        <v/>
      </c>
      <c r="H897" s="17">
        <f>IF($F897="","",IFERROR(INDEX(rngEPtype,MATCH($F897,rngEPcode,0)),"?"))</f>
        <v/>
      </c>
      <c r="I897" s="17">
        <f>IF($F897="","",IFERROR(INDEX(rngEPseq,MATCH($F897,rngEPcode,0)),""))</f>
        <v/>
      </c>
      <c r="J897" s="17">
        <f>IF($F897="","",IFERROR(INDEX(rngEPpass,MATCH($F897,rngEPcode,0)),cfgPassingScore))</f>
        <v/>
      </c>
      <c r="K897" s="16" t="n"/>
      <c r="L897" s="16" t="n"/>
      <c r="M897" s="17">
        <f>IF($C897="","",IF($L897="","",IF(NOT(ISNUMBER($L897)),$L897,IF(N($K897)&gt;2,"",IF($K897=1,IF(COUNTIFS(nrES_PID,$D897,nrES_Code,$F897,nrES_Att,2,nrES_Raw,"&gt;=0")&gt;0,"",$L897),IF($L897&gt;=$J897,MAX($J897,cfgRetakeRecordedCap),IF(COUNTIFS(nrES_PID,$D897,nrES_Code,$F897,nrES_Att,1)=0,$L897,SUMIFS(nrES_Raw,nrES_PID,$D897,nrES_Code,$F897,nrES_Att,1))))))))</f>
        <v/>
      </c>
      <c r="N897" s="17">
        <f>IF($C897="","",IF($L897="","",IF(NOT(ISNUMBER($L897)),"(not a score)",IF($L897&gt;=$J897,"Yes","No"))))</f>
        <v/>
      </c>
      <c r="O897" s="17">
        <f>IF($C897="","",IF($M897="","",IF(NOT(ISNUMBER($M897)),"(not a score)",IF($M897&gt;=$J897,"Yes","No"))))</f>
        <v/>
      </c>
      <c r="P897" s="17">
        <f>IF($C897="","",IF($K897="","",IF(N($K897)&gt;2,"No",IF(COUNTIFS(nrES_PID,$D897,nrES_Code,$F897,nrES_Att,"&gt;"&amp;$K897,nrES_Att,"&lt;=2",nrES_Raw,"&gt;=0")=0,"Yes","No"))))</f>
        <v/>
      </c>
      <c r="Q897" s="17">
        <f>IF($C897="","",IF($L897="","",IF(AND($K897=1,ISNUMBER($L897),$L897&lt;$J897,COUNTIFS(nrES_PID,$D897,nrES_Code,$F897,nrES_Att,2,nrES_Raw,"&gt;=0")=0),"Yes","No")))</f>
        <v/>
      </c>
      <c r="R897" s="17">
        <f>IF($C897="","",IF($L897="","",IF(AND(N($K897)&gt;=2,ISNUMBER($L897),$L897&lt;$J897),"Yes","No")))</f>
        <v/>
      </c>
      <c r="S897" s="18" t="n"/>
      <c r="T897" s="19">
        <f>IF(OR($C897="",$L897="",$K897&lt;&gt;1,NOT(ISNUMBER($L897)),$L897&gt;=$J897),"",IF($S897="","(enter date)",_xlfn.LET(_xlpm.dn,_xlfn.XLOOKUP($S897,nrCDdate,nrCDnum,"",1),IF(_xlpm.dn="","(after last class day)",_xlfn.LET(_xlpm.dd,_xlfn.XLOOKUP(_xlpm.dn+cfgRetestClassDays,nrCDnum,nrCDdate,""),_xlpm.ok,_xlfn.XLOOKUP(_xlpm.dn+cfgRetestClassDays,nrCDnum,nrCDinsession,"No"),IF(OR(_xlpm.dd="",_xlpm.ok&lt;&gt;"Yes"),"(after last class day)",_xlpm.dd))))))</f>
        <v/>
      </c>
      <c r="U897" s="17">
        <f>IF($C897="","",IF(AND($Y897="Excused",$L897="",N($K897)&lt;=1),"EXCUSED - 1st attempt pending",IF(OR($L897="",$K897&lt;&gt;1,NOT(ISNUMBER($L897)),$L897&gt;=$J897),"",IF(COUNTIFS(nrES_PID,$D897,nrES_Code,$F897,nrES_Att,2,nrES_Raw,"&gt;=0")&gt;0,IF(IFERROR(_xlfn.MINIFS(nrES_Date,nrES_PID,$D897,nrES_Code,$F897,nrES_Att,2,nrES_Raw,"&gt;=0",nrES_Date,"&gt;0"),0)=0,"RETEST UNDATED",IF(NOT(ISNUMBER($T897)),"RETEST DATE UNCHECKED",IF(_xlfn.MINIFS(nrES_Date,nrES_PID,$D897,nrES_Code,$F897,nrES_Att,2,nrES_Raw,"&gt;=0",nrES_Date,"&gt;0")&gt;$T897,"LATE RETEST "&amp;TEXT(_xlfn.MINIFS(nrES_Date,nrES_PID,$D897,nrES_Code,$F897,nrES_Att,2,nrES_Raw,"&gt;=0",nrES_Date,"&gt;0"),"mm/dd")&amp;" (due "&amp;TEXT($T897,"mm/dd")&amp;")","Retested"))),IF(NOT(ISNUMBER($T897)),"CHECK DATE",IF(TODAY()&gt;$T897,"OVERDUE","Due "&amp;TEXT($T897,"mm/dd")))))))</f>
        <v/>
      </c>
      <c r="V897" s="16" t="n"/>
      <c r="W897" s="16" t="n"/>
      <c r="X897" s="17">
        <f>IF($C897="","",IF(AND($L897&lt;&gt;"",NOT(ISNUMBER($L897))),"RAW SCORE NOT A NUMBER",IF(AND(ISNUMBER($L897),OR($L897&lt;0,$L897&gt;100)),"RAW SCORE OUT OF RANGE",IF(AND($Y897="Unexcused",OR($L897="",NOT(ISNUMBER($L897)),$L897&lt;&gt;0)),"UNEXCUSED ABSENCE MUST RECORD 0",IF(COUNTIF(nrES_RecID,$B897)&gt;1,"DUPLICATE RECORD",IF(N($K897)&gt;2,"ATTEMPT 3+ NOT ALLOWED - policy 300.5 permits one retest per exam; this row records nothing",IF(AND($K897=2,COUNTIFS(nrES_PID,$D897,nrES_Code,$F897,nrES_Att,1)=0),"ATTEMPT 2 WITHOUT ATTEMPT 1",IF(AND($K897=2,$L897=""),"RETEST ROW HAS NO SCORE",IF(AND($H897="Final",$L897&lt;&gt;"",IFERROR(INDEX(nrCKfinalExamElig,MATCH($D897,rngCadetPIDs,0)),"")="No"),"FINAL EXAM AFTER FAILED FINAL PT (500.1.H)",IF(AND($K897=2,ISNUMBER($L897),COUNTIFS(nrES_PID,$D897,nrES_Code,$F897,nrES_Att,1)&gt;0,SUMIFS(nrES_Raw,nrES_PID,$D897,nrES_Code,$F897,nrES_Att,1)&gt;=$J897),"RETEST AFTER A PASSING FIRST ATTEMPT","OK"))))))))))</f>
        <v/>
      </c>
      <c r="Y897" s="16" t="n"/>
    </row>
    <row r="898">
      <c r="B898" s="17">
        <f>IF($C898="","",$D898&amp;"-"&amp;$F898&amp;"-"&amp;$K898)</f>
        <v/>
      </c>
      <c r="C898" s="16" t="n"/>
      <c r="D898" s="17">
        <f>IF($C898="","",IFERROR(INDEX(rngCadetPIDs,MATCH($C898,rngCadetNames,0)),"?"))</f>
        <v/>
      </c>
      <c r="E898" s="17">
        <f>IF($D898="","",IFERROR(INDEX(nrCadetAgency,MATCH($D898,rngCadetPIDs,0)),""))</f>
        <v/>
      </c>
      <c r="F898" s="16" t="n"/>
      <c r="G898" s="17">
        <f>IF($F898="","",IFERROR(INDEX(rngEPname,MATCH($F898,rngEPcode,0)),"?"))</f>
        <v/>
      </c>
      <c r="H898" s="17">
        <f>IF($F898="","",IFERROR(INDEX(rngEPtype,MATCH($F898,rngEPcode,0)),"?"))</f>
        <v/>
      </c>
      <c r="I898" s="17">
        <f>IF($F898="","",IFERROR(INDEX(rngEPseq,MATCH($F898,rngEPcode,0)),""))</f>
        <v/>
      </c>
      <c r="J898" s="17">
        <f>IF($F898="","",IFERROR(INDEX(rngEPpass,MATCH($F898,rngEPcode,0)),cfgPassingScore))</f>
        <v/>
      </c>
      <c r="K898" s="16" t="n"/>
      <c r="L898" s="16" t="n"/>
      <c r="M898" s="17">
        <f>IF($C898="","",IF($L898="","",IF(NOT(ISNUMBER($L898)),$L898,IF(N($K898)&gt;2,"",IF($K898=1,IF(COUNTIFS(nrES_PID,$D898,nrES_Code,$F898,nrES_Att,2,nrES_Raw,"&gt;=0")&gt;0,"",$L898),IF($L898&gt;=$J898,MAX($J898,cfgRetakeRecordedCap),IF(COUNTIFS(nrES_PID,$D898,nrES_Code,$F898,nrES_Att,1)=0,$L898,SUMIFS(nrES_Raw,nrES_PID,$D898,nrES_Code,$F898,nrES_Att,1))))))))</f>
        <v/>
      </c>
      <c r="N898" s="17">
        <f>IF($C898="","",IF($L898="","",IF(NOT(ISNUMBER($L898)),"(not a score)",IF($L898&gt;=$J898,"Yes","No"))))</f>
        <v/>
      </c>
      <c r="O898" s="17">
        <f>IF($C898="","",IF($M898="","",IF(NOT(ISNUMBER($M898)),"(not a score)",IF($M898&gt;=$J898,"Yes","No"))))</f>
        <v/>
      </c>
      <c r="P898" s="17">
        <f>IF($C898="","",IF($K898="","",IF(N($K898)&gt;2,"No",IF(COUNTIFS(nrES_PID,$D898,nrES_Code,$F898,nrES_Att,"&gt;"&amp;$K898,nrES_Att,"&lt;=2",nrES_Raw,"&gt;=0")=0,"Yes","No"))))</f>
        <v/>
      </c>
      <c r="Q898" s="17">
        <f>IF($C898="","",IF($L898="","",IF(AND($K898=1,ISNUMBER($L898),$L898&lt;$J898,COUNTIFS(nrES_PID,$D898,nrES_Code,$F898,nrES_Att,2,nrES_Raw,"&gt;=0")=0),"Yes","No")))</f>
        <v/>
      </c>
      <c r="R898" s="17">
        <f>IF($C898="","",IF($L898="","",IF(AND(N($K898)&gt;=2,ISNUMBER($L898),$L898&lt;$J898),"Yes","No")))</f>
        <v/>
      </c>
      <c r="S898" s="18" t="n"/>
      <c r="T898" s="19">
        <f>IF(OR($C898="",$L898="",$K898&lt;&gt;1,NOT(ISNUMBER($L898)),$L898&gt;=$J898),"",IF($S898="","(enter date)",_xlfn.LET(_xlpm.dn,_xlfn.XLOOKUP($S898,nrCDdate,nrCDnum,"",1),IF(_xlpm.dn="","(after last class day)",_xlfn.LET(_xlpm.dd,_xlfn.XLOOKUP(_xlpm.dn+cfgRetestClassDays,nrCDnum,nrCDdate,""),_xlpm.ok,_xlfn.XLOOKUP(_xlpm.dn+cfgRetestClassDays,nrCDnum,nrCDinsession,"No"),IF(OR(_xlpm.dd="",_xlpm.ok&lt;&gt;"Yes"),"(after last class day)",_xlpm.dd))))))</f>
        <v/>
      </c>
      <c r="U898" s="17">
        <f>IF($C898="","",IF(AND($Y898="Excused",$L898="",N($K898)&lt;=1),"EXCUSED - 1st attempt pending",IF(OR($L898="",$K898&lt;&gt;1,NOT(ISNUMBER($L898)),$L898&gt;=$J898),"",IF(COUNTIFS(nrES_PID,$D898,nrES_Code,$F898,nrES_Att,2,nrES_Raw,"&gt;=0")&gt;0,IF(IFERROR(_xlfn.MINIFS(nrES_Date,nrES_PID,$D898,nrES_Code,$F898,nrES_Att,2,nrES_Raw,"&gt;=0",nrES_Date,"&gt;0"),0)=0,"RETEST UNDATED",IF(NOT(ISNUMBER($T898)),"RETEST DATE UNCHECKED",IF(_xlfn.MINIFS(nrES_Date,nrES_PID,$D898,nrES_Code,$F898,nrES_Att,2,nrES_Raw,"&gt;=0",nrES_Date,"&gt;0")&gt;$T898,"LATE RETEST "&amp;TEXT(_xlfn.MINIFS(nrES_Date,nrES_PID,$D898,nrES_Code,$F898,nrES_Att,2,nrES_Raw,"&gt;=0",nrES_Date,"&gt;0"),"mm/dd")&amp;" (due "&amp;TEXT($T898,"mm/dd")&amp;")","Retested"))),IF(NOT(ISNUMBER($T898)),"CHECK DATE",IF(TODAY()&gt;$T898,"OVERDUE","Due "&amp;TEXT($T898,"mm/dd")))))))</f>
        <v/>
      </c>
      <c r="V898" s="16" t="n"/>
      <c r="W898" s="16" t="n"/>
      <c r="X898" s="17">
        <f>IF($C898="","",IF(AND($L898&lt;&gt;"",NOT(ISNUMBER($L898))),"RAW SCORE NOT A NUMBER",IF(AND(ISNUMBER($L898),OR($L898&lt;0,$L898&gt;100)),"RAW SCORE OUT OF RANGE",IF(AND($Y898="Unexcused",OR($L898="",NOT(ISNUMBER($L898)),$L898&lt;&gt;0)),"UNEXCUSED ABSENCE MUST RECORD 0",IF(COUNTIF(nrES_RecID,$B898)&gt;1,"DUPLICATE RECORD",IF(N($K898)&gt;2,"ATTEMPT 3+ NOT ALLOWED - policy 300.5 permits one retest per exam; this row records nothing",IF(AND($K898=2,COUNTIFS(nrES_PID,$D898,nrES_Code,$F898,nrES_Att,1)=0),"ATTEMPT 2 WITHOUT ATTEMPT 1",IF(AND($K898=2,$L898=""),"RETEST ROW HAS NO SCORE",IF(AND($H898="Final",$L898&lt;&gt;"",IFERROR(INDEX(nrCKfinalExamElig,MATCH($D898,rngCadetPIDs,0)),"")="No"),"FINAL EXAM AFTER FAILED FINAL PT (500.1.H)",IF(AND($K898=2,ISNUMBER($L898),COUNTIFS(nrES_PID,$D898,nrES_Code,$F898,nrES_Att,1)&gt;0,SUMIFS(nrES_Raw,nrES_PID,$D898,nrES_Code,$F898,nrES_Att,1)&gt;=$J898),"RETEST AFTER A PASSING FIRST ATTEMPT","OK"))))))))))</f>
        <v/>
      </c>
      <c r="Y898" s="16" t="n"/>
    </row>
    <row r="899">
      <c r="B899" s="17">
        <f>IF($C899="","",$D899&amp;"-"&amp;$F899&amp;"-"&amp;$K899)</f>
        <v/>
      </c>
      <c r="C899" s="16" t="n"/>
      <c r="D899" s="17">
        <f>IF($C899="","",IFERROR(INDEX(rngCadetPIDs,MATCH($C899,rngCadetNames,0)),"?"))</f>
        <v/>
      </c>
      <c r="E899" s="17">
        <f>IF($D899="","",IFERROR(INDEX(nrCadetAgency,MATCH($D899,rngCadetPIDs,0)),""))</f>
        <v/>
      </c>
      <c r="F899" s="16" t="n"/>
      <c r="G899" s="17">
        <f>IF($F899="","",IFERROR(INDEX(rngEPname,MATCH($F899,rngEPcode,0)),"?"))</f>
        <v/>
      </c>
      <c r="H899" s="17">
        <f>IF($F899="","",IFERROR(INDEX(rngEPtype,MATCH($F899,rngEPcode,0)),"?"))</f>
        <v/>
      </c>
      <c r="I899" s="17">
        <f>IF($F899="","",IFERROR(INDEX(rngEPseq,MATCH($F899,rngEPcode,0)),""))</f>
        <v/>
      </c>
      <c r="J899" s="17">
        <f>IF($F899="","",IFERROR(INDEX(rngEPpass,MATCH($F899,rngEPcode,0)),cfgPassingScore))</f>
        <v/>
      </c>
      <c r="K899" s="16" t="n"/>
      <c r="L899" s="16" t="n"/>
      <c r="M899" s="17">
        <f>IF($C899="","",IF($L899="","",IF(NOT(ISNUMBER($L899)),$L899,IF(N($K899)&gt;2,"",IF($K899=1,IF(COUNTIFS(nrES_PID,$D899,nrES_Code,$F899,nrES_Att,2,nrES_Raw,"&gt;=0")&gt;0,"",$L899),IF($L899&gt;=$J899,MAX($J899,cfgRetakeRecordedCap),IF(COUNTIFS(nrES_PID,$D899,nrES_Code,$F899,nrES_Att,1)=0,$L899,SUMIFS(nrES_Raw,nrES_PID,$D899,nrES_Code,$F899,nrES_Att,1))))))))</f>
        <v/>
      </c>
      <c r="N899" s="17">
        <f>IF($C899="","",IF($L899="","",IF(NOT(ISNUMBER($L899)),"(not a score)",IF($L899&gt;=$J899,"Yes","No"))))</f>
        <v/>
      </c>
      <c r="O899" s="17">
        <f>IF($C899="","",IF($M899="","",IF(NOT(ISNUMBER($M899)),"(not a score)",IF($M899&gt;=$J899,"Yes","No"))))</f>
        <v/>
      </c>
      <c r="P899" s="17">
        <f>IF($C899="","",IF($K899="","",IF(N($K899)&gt;2,"No",IF(COUNTIFS(nrES_PID,$D899,nrES_Code,$F899,nrES_Att,"&gt;"&amp;$K899,nrES_Att,"&lt;=2",nrES_Raw,"&gt;=0")=0,"Yes","No"))))</f>
        <v/>
      </c>
      <c r="Q899" s="17">
        <f>IF($C899="","",IF($L899="","",IF(AND($K899=1,ISNUMBER($L899),$L899&lt;$J899,COUNTIFS(nrES_PID,$D899,nrES_Code,$F899,nrES_Att,2,nrES_Raw,"&gt;=0")=0),"Yes","No")))</f>
        <v/>
      </c>
      <c r="R899" s="17">
        <f>IF($C899="","",IF($L899="","",IF(AND(N($K899)&gt;=2,ISNUMBER($L899),$L899&lt;$J899),"Yes","No")))</f>
        <v/>
      </c>
      <c r="S899" s="18" t="n"/>
      <c r="T899" s="19">
        <f>IF(OR($C899="",$L899="",$K899&lt;&gt;1,NOT(ISNUMBER($L899)),$L899&gt;=$J899),"",IF($S899="","(enter date)",_xlfn.LET(_xlpm.dn,_xlfn.XLOOKUP($S899,nrCDdate,nrCDnum,"",1),IF(_xlpm.dn="","(after last class day)",_xlfn.LET(_xlpm.dd,_xlfn.XLOOKUP(_xlpm.dn+cfgRetestClassDays,nrCDnum,nrCDdate,""),_xlpm.ok,_xlfn.XLOOKUP(_xlpm.dn+cfgRetestClassDays,nrCDnum,nrCDinsession,"No"),IF(OR(_xlpm.dd="",_xlpm.ok&lt;&gt;"Yes"),"(after last class day)",_xlpm.dd))))))</f>
        <v/>
      </c>
      <c r="U899" s="17">
        <f>IF($C899="","",IF(AND($Y899="Excused",$L899="",N($K899)&lt;=1),"EXCUSED - 1st attempt pending",IF(OR($L899="",$K899&lt;&gt;1,NOT(ISNUMBER($L899)),$L899&gt;=$J899),"",IF(COUNTIFS(nrES_PID,$D899,nrES_Code,$F899,nrES_Att,2,nrES_Raw,"&gt;=0")&gt;0,IF(IFERROR(_xlfn.MINIFS(nrES_Date,nrES_PID,$D899,nrES_Code,$F899,nrES_Att,2,nrES_Raw,"&gt;=0",nrES_Date,"&gt;0"),0)=0,"RETEST UNDATED",IF(NOT(ISNUMBER($T899)),"RETEST DATE UNCHECKED",IF(_xlfn.MINIFS(nrES_Date,nrES_PID,$D899,nrES_Code,$F899,nrES_Att,2,nrES_Raw,"&gt;=0",nrES_Date,"&gt;0")&gt;$T899,"LATE RETEST "&amp;TEXT(_xlfn.MINIFS(nrES_Date,nrES_PID,$D899,nrES_Code,$F899,nrES_Att,2,nrES_Raw,"&gt;=0",nrES_Date,"&gt;0"),"mm/dd")&amp;" (due "&amp;TEXT($T899,"mm/dd")&amp;")","Retested"))),IF(NOT(ISNUMBER($T899)),"CHECK DATE",IF(TODAY()&gt;$T899,"OVERDUE","Due "&amp;TEXT($T899,"mm/dd")))))))</f>
        <v/>
      </c>
      <c r="V899" s="16" t="n"/>
      <c r="W899" s="16" t="n"/>
      <c r="X899" s="17">
        <f>IF($C899="","",IF(AND($L899&lt;&gt;"",NOT(ISNUMBER($L899))),"RAW SCORE NOT A NUMBER",IF(AND(ISNUMBER($L899),OR($L899&lt;0,$L899&gt;100)),"RAW SCORE OUT OF RANGE",IF(AND($Y899="Unexcused",OR($L899="",NOT(ISNUMBER($L899)),$L899&lt;&gt;0)),"UNEXCUSED ABSENCE MUST RECORD 0",IF(COUNTIF(nrES_RecID,$B899)&gt;1,"DUPLICATE RECORD",IF(N($K899)&gt;2,"ATTEMPT 3+ NOT ALLOWED - policy 300.5 permits one retest per exam; this row records nothing",IF(AND($K899=2,COUNTIFS(nrES_PID,$D899,nrES_Code,$F899,nrES_Att,1)=0),"ATTEMPT 2 WITHOUT ATTEMPT 1",IF(AND($K899=2,$L899=""),"RETEST ROW HAS NO SCORE",IF(AND($H899="Final",$L899&lt;&gt;"",IFERROR(INDEX(nrCKfinalExamElig,MATCH($D899,rngCadetPIDs,0)),"")="No"),"FINAL EXAM AFTER FAILED FINAL PT (500.1.H)",IF(AND($K899=2,ISNUMBER($L899),COUNTIFS(nrES_PID,$D899,nrES_Code,$F899,nrES_Att,1)&gt;0,SUMIFS(nrES_Raw,nrES_PID,$D899,nrES_Code,$F899,nrES_Att,1)&gt;=$J899),"RETEST AFTER A PASSING FIRST ATTEMPT","OK"))))))))))</f>
        <v/>
      </c>
      <c r="Y899" s="16" t="n"/>
    </row>
    <row r="900">
      <c r="B900" s="17">
        <f>IF($C900="","",$D900&amp;"-"&amp;$F900&amp;"-"&amp;$K900)</f>
        <v/>
      </c>
      <c r="C900" s="16" t="n"/>
      <c r="D900" s="17">
        <f>IF($C900="","",IFERROR(INDEX(rngCadetPIDs,MATCH($C900,rngCadetNames,0)),"?"))</f>
        <v/>
      </c>
      <c r="E900" s="17">
        <f>IF($D900="","",IFERROR(INDEX(nrCadetAgency,MATCH($D900,rngCadetPIDs,0)),""))</f>
        <v/>
      </c>
      <c r="F900" s="16" t="n"/>
      <c r="G900" s="17">
        <f>IF($F900="","",IFERROR(INDEX(rngEPname,MATCH($F900,rngEPcode,0)),"?"))</f>
        <v/>
      </c>
      <c r="H900" s="17">
        <f>IF($F900="","",IFERROR(INDEX(rngEPtype,MATCH($F900,rngEPcode,0)),"?"))</f>
        <v/>
      </c>
      <c r="I900" s="17">
        <f>IF($F900="","",IFERROR(INDEX(rngEPseq,MATCH($F900,rngEPcode,0)),""))</f>
        <v/>
      </c>
      <c r="J900" s="17">
        <f>IF($F900="","",IFERROR(INDEX(rngEPpass,MATCH($F900,rngEPcode,0)),cfgPassingScore))</f>
        <v/>
      </c>
      <c r="K900" s="16" t="n"/>
      <c r="L900" s="16" t="n"/>
      <c r="M900" s="17">
        <f>IF($C900="","",IF($L900="","",IF(NOT(ISNUMBER($L900)),$L900,IF(N($K900)&gt;2,"",IF($K900=1,IF(COUNTIFS(nrES_PID,$D900,nrES_Code,$F900,nrES_Att,2,nrES_Raw,"&gt;=0")&gt;0,"",$L900),IF($L900&gt;=$J900,MAX($J900,cfgRetakeRecordedCap),IF(COUNTIFS(nrES_PID,$D900,nrES_Code,$F900,nrES_Att,1)=0,$L900,SUMIFS(nrES_Raw,nrES_PID,$D900,nrES_Code,$F900,nrES_Att,1))))))))</f>
        <v/>
      </c>
      <c r="N900" s="17">
        <f>IF($C900="","",IF($L900="","",IF(NOT(ISNUMBER($L900)),"(not a score)",IF($L900&gt;=$J900,"Yes","No"))))</f>
        <v/>
      </c>
      <c r="O900" s="17">
        <f>IF($C900="","",IF($M900="","",IF(NOT(ISNUMBER($M900)),"(not a score)",IF($M900&gt;=$J900,"Yes","No"))))</f>
        <v/>
      </c>
      <c r="P900" s="17">
        <f>IF($C900="","",IF($K900="","",IF(N($K900)&gt;2,"No",IF(COUNTIFS(nrES_PID,$D900,nrES_Code,$F900,nrES_Att,"&gt;"&amp;$K900,nrES_Att,"&lt;=2",nrES_Raw,"&gt;=0")=0,"Yes","No"))))</f>
        <v/>
      </c>
      <c r="Q900" s="17">
        <f>IF($C900="","",IF($L900="","",IF(AND($K900=1,ISNUMBER($L900),$L900&lt;$J900,COUNTIFS(nrES_PID,$D900,nrES_Code,$F900,nrES_Att,2,nrES_Raw,"&gt;=0")=0),"Yes","No")))</f>
        <v/>
      </c>
      <c r="R900" s="17">
        <f>IF($C900="","",IF($L900="","",IF(AND(N($K900)&gt;=2,ISNUMBER($L900),$L900&lt;$J900),"Yes","No")))</f>
        <v/>
      </c>
      <c r="S900" s="18" t="n"/>
      <c r="T900" s="19">
        <f>IF(OR($C900="",$L900="",$K900&lt;&gt;1,NOT(ISNUMBER($L900)),$L900&gt;=$J900),"",IF($S900="","(enter date)",_xlfn.LET(_xlpm.dn,_xlfn.XLOOKUP($S900,nrCDdate,nrCDnum,"",1),IF(_xlpm.dn="","(after last class day)",_xlfn.LET(_xlpm.dd,_xlfn.XLOOKUP(_xlpm.dn+cfgRetestClassDays,nrCDnum,nrCDdate,""),_xlpm.ok,_xlfn.XLOOKUP(_xlpm.dn+cfgRetestClassDays,nrCDnum,nrCDinsession,"No"),IF(OR(_xlpm.dd="",_xlpm.ok&lt;&gt;"Yes"),"(after last class day)",_xlpm.dd))))))</f>
        <v/>
      </c>
      <c r="U900" s="17">
        <f>IF($C900="","",IF(AND($Y900="Excused",$L900="",N($K900)&lt;=1),"EXCUSED - 1st attempt pending",IF(OR($L900="",$K900&lt;&gt;1,NOT(ISNUMBER($L900)),$L900&gt;=$J900),"",IF(COUNTIFS(nrES_PID,$D900,nrES_Code,$F900,nrES_Att,2,nrES_Raw,"&gt;=0")&gt;0,IF(IFERROR(_xlfn.MINIFS(nrES_Date,nrES_PID,$D900,nrES_Code,$F900,nrES_Att,2,nrES_Raw,"&gt;=0",nrES_Date,"&gt;0"),0)=0,"RETEST UNDATED",IF(NOT(ISNUMBER($T900)),"RETEST DATE UNCHECKED",IF(_xlfn.MINIFS(nrES_Date,nrES_PID,$D900,nrES_Code,$F900,nrES_Att,2,nrES_Raw,"&gt;=0",nrES_Date,"&gt;0")&gt;$T900,"LATE RETEST "&amp;TEXT(_xlfn.MINIFS(nrES_Date,nrES_PID,$D900,nrES_Code,$F900,nrES_Att,2,nrES_Raw,"&gt;=0",nrES_Date,"&gt;0"),"mm/dd")&amp;" (due "&amp;TEXT($T900,"mm/dd")&amp;")","Retested"))),IF(NOT(ISNUMBER($T900)),"CHECK DATE",IF(TODAY()&gt;$T900,"OVERDUE","Due "&amp;TEXT($T900,"mm/dd")))))))</f>
        <v/>
      </c>
      <c r="V900" s="16" t="n"/>
      <c r="W900" s="16" t="n"/>
      <c r="X900" s="17">
        <f>IF($C900="","",IF(AND($L900&lt;&gt;"",NOT(ISNUMBER($L900))),"RAW SCORE NOT A NUMBER",IF(AND(ISNUMBER($L900),OR($L900&lt;0,$L900&gt;100)),"RAW SCORE OUT OF RANGE",IF(AND($Y900="Unexcused",OR($L900="",NOT(ISNUMBER($L900)),$L900&lt;&gt;0)),"UNEXCUSED ABSENCE MUST RECORD 0",IF(COUNTIF(nrES_RecID,$B900)&gt;1,"DUPLICATE RECORD",IF(N($K900)&gt;2,"ATTEMPT 3+ NOT ALLOWED - policy 300.5 permits one retest per exam; this row records nothing",IF(AND($K900=2,COUNTIFS(nrES_PID,$D900,nrES_Code,$F900,nrES_Att,1)=0),"ATTEMPT 2 WITHOUT ATTEMPT 1",IF(AND($K900=2,$L900=""),"RETEST ROW HAS NO SCORE",IF(AND($H900="Final",$L900&lt;&gt;"",IFERROR(INDEX(nrCKfinalExamElig,MATCH($D900,rngCadetPIDs,0)),"")="No"),"FINAL EXAM AFTER FAILED FINAL PT (500.1.H)",IF(AND($K900=2,ISNUMBER($L900),COUNTIFS(nrES_PID,$D900,nrES_Code,$F900,nrES_Att,1)&gt;0,SUMIFS(nrES_Raw,nrES_PID,$D900,nrES_Code,$F900,nrES_Att,1)&gt;=$J900),"RETEST AFTER A PASSING FIRST ATTEMPT","OK"))))))))))</f>
        <v/>
      </c>
      <c r="Y900" s="16" t="n"/>
    </row>
    <row r="901">
      <c r="B901" s="17">
        <f>IF($C901="","",$D901&amp;"-"&amp;$F901&amp;"-"&amp;$K901)</f>
        <v/>
      </c>
      <c r="C901" s="16" t="n"/>
      <c r="D901" s="17">
        <f>IF($C901="","",IFERROR(INDEX(rngCadetPIDs,MATCH($C901,rngCadetNames,0)),"?"))</f>
        <v/>
      </c>
      <c r="E901" s="17">
        <f>IF($D901="","",IFERROR(INDEX(nrCadetAgency,MATCH($D901,rngCadetPIDs,0)),""))</f>
        <v/>
      </c>
      <c r="F901" s="16" t="n"/>
      <c r="G901" s="17">
        <f>IF($F901="","",IFERROR(INDEX(rngEPname,MATCH($F901,rngEPcode,0)),"?"))</f>
        <v/>
      </c>
      <c r="H901" s="17">
        <f>IF($F901="","",IFERROR(INDEX(rngEPtype,MATCH($F901,rngEPcode,0)),"?"))</f>
        <v/>
      </c>
      <c r="I901" s="17">
        <f>IF($F901="","",IFERROR(INDEX(rngEPseq,MATCH($F901,rngEPcode,0)),""))</f>
        <v/>
      </c>
      <c r="J901" s="17">
        <f>IF($F901="","",IFERROR(INDEX(rngEPpass,MATCH($F901,rngEPcode,0)),cfgPassingScore))</f>
        <v/>
      </c>
      <c r="K901" s="16" t="n"/>
      <c r="L901" s="16" t="n"/>
      <c r="M901" s="17">
        <f>IF($C901="","",IF($L901="","",IF(NOT(ISNUMBER($L901)),$L901,IF(N($K901)&gt;2,"",IF($K901=1,IF(COUNTIFS(nrES_PID,$D901,nrES_Code,$F901,nrES_Att,2,nrES_Raw,"&gt;=0")&gt;0,"",$L901),IF($L901&gt;=$J901,MAX($J901,cfgRetakeRecordedCap),IF(COUNTIFS(nrES_PID,$D901,nrES_Code,$F901,nrES_Att,1)=0,$L901,SUMIFS(nrES_Raw,nrES_PID,$D901,nrES_Code,$F901,nrES_Att,1))))))))</f>
        <v/>
      </c>
      <c r="N901" s="17">
        <f>IF($C901="","",IF($L901="","",IF(NOT(ISNUMBER($L901)),"(not a score)",IF($L901&gt;=$J901,"Yes","No"))))</f>
        <v/>
      </c>
      <c r="O901" s="17">
        <f>IF($C901="","",IF($M901="","",IF(NOT(ISNUMBER($M901)),"(not a score)",IF($M901&gt;=$J901,"Yes","No"))))</f>
        <v/>
      </c>
      <c r="P901" s="17">
        <f>IF($C901="","",IF($K901="","",IF(N($K901)&gt;2,"No",IF(COUNTIFS(nrES_PID,$D901,nrES_Code,$F901,nrES_Att,"&gt;"&amp;$K901,nrES_Att,"&lt;=2",nrES_Raw,"&gt;=0")=0,"Yes","No"))))</f>
        <v/>
      </c>
      <c r="Q901" s="17">
        <f>IF($C901="","",IF($L901="","",IF(AND($K901=1,ISNUMBER($L901),$L901&lt;$J901,COUNTIFS(nrES_PID,$D901,nrES_Code,$F901,nrES_Att,2,nrES_Raw,"&gt;=0")=0),"Yes","No")))</f>
        <v/>
      </c>
      <c r="R901" s="17">
        <f>IF($C901="","",IF($L901="","",IF(AND(N($K901)&gt;=2,ISNUMBER($L901),$L901&lt;$J901),"Yes","No")))</f>
        <v/>
      </c>
      <c r="S901" s="18" t="n"/>
      <c r="T901" s="19">
        <f>IF(OR($C901="",$L901="",$K901&lt;&gt;1,NOT(ISNUMBER($L901)),$L901&gt;=$J901),"",IF($S901="","(enter date)",_xlfn.LET(_xlpm.dn,_xlfn.XLOOKUP($S901,nrCDdate,nrCDnum,"",1),IF(_xlpm.dn="","(after last class day)",_xlfn.LET(_xlpm.dd,_xlfn.XLOOKUP(_xlpm.dn+cfgRetestClassDays,nrCDnum,nrCDdate,""),_xlpm.ok,_xlfn.XLOOKUP(_xlpm.dn+cfgRetestClassDays,nrCDnum,nrCDinsession,"No"),IF(OR(_xlpm.dd="",_xlpm.ok&lt;&gt;"Yes"),"(after last class day)",_xlpm.dd))))))</f>
        <v/>
      </c>
      <c r="U901" s="17">
        <f>IF($C901="","",IF(AND($Y901="Excused",$L901="",N($K901)&lt;=1),"EXCUSED - 1st attempt pending",IF(OR($L901="",$K901&lt;&gt;1,NOT(ISNUMBER($L901)),$L901&gt;=$J901),"",IF(COUNTIFS(nrES_PID,$D901,nrES_Code,$F901,nrES_Att,2,nrES_Raw,"&gt;=0")&gt;0,IF(IFERROR(_xlfn.MINIFS(nrES_Date,nrES_PID,$D901,nrES_Code,$F901,nrES_Att,2,nrES_Raw,"&gt;=0",nrES_Date,"&gt;0"),0)=0,"RETEST UNDATED",IF(NOT(ISNUMBER($T901)),"RETEST DATE UNCHECKED",IF(_xlfn.MINIFS(nrES_Date,nrES_PID,$D901,nrES_Code,$F901,nrES_Att,2,nrES_Raw,"&gt;=0",nrES_Date,"&gt;0")&gt;$T901,"LATE RETEST "&amp;TEXT(_xlfn.MINIFS(nrES_Date,nrES_PID,$D901,nrES_Code,$F901,nrES_Att,2,nrES_Raw,"&gt;=0",nrES_Date,"&gt;0"),"mm/dd")&amp;" (due "&amp;TEXT($T901,"mm/dd")&amp;")","Retested"))),IF(NOT(ISNUMBER($T901)),"CHECK DATE",IF(TODAY()&gt;$T901,"OVERDUE","Due "&amp;TEXT($T901,"mm/dd")))))))</f>
        <v/>
      </c>
      <c r="V901" s="16" t="n"/>
      <c r="W901" s="16" t="n"/>
      <c r="X901" s="17">
        <f>IF($C901="","",IF(AND($L901&lt;&gt;"",NOT(ISNUMBER($L901))),"RAW SCORE NOT A NUMBER",IF(AND(ISNUMBER($L901),OR($L901&lt;0,$L901&gt;100)),"RAW SCORE OUT OF RANGE",IF(AND($Y901="Unexcused",OR($L901="",NOT(ISNUMBER($L901)),$L901&lt;&gt;0)),"UNEXCUSED ABSENCE MUST RECORD 0",IF(COUNTIF(nrES_RecID,$B901)&gt;1,"DUPLICATE RECORD",IF(N($K901)&gt;2,"ATTEMPT 3+ NOT ALLOWED - policy 300.5 permits one retest per exam; this row records nothing",IF(AND($K901=2,COUNTIFS(nrES_PID,$D901,nrES_Code,$F901,nrES_Att,1)=0),"ATTEMPT 2 WITHOUT ATTEMPT 1",IF(AND($K901=2,$L901=""),"RETEST ROW HAS NO SCORE",IF(AND($H901="Final",$L901&lt;&gt;"",IFERROR(INDEX(nrCKfinalExamElig,MATCH($D901,rngCadetPIDs,0)),"")="No"),"FINAL EXAM AFTER FAILED FINAL PT (500.1.H)",IF(AND($K901=2,ISNUMBER($L901),COUNTIFS(nrES_PID,$D901,nrES_Code,$F901,nrES_Att,1)&gt;0,SUMIFS(nrES_Raw,nrES_PID,$D901,nrES_Code,$F901,nrES_Att,1)&gt;=$J901),"RETEST AFTER A PASSING FIRST ATTEMPT","OK"))))))))))</f>
        <v/>
      </c>
      <c r="Y901" s="16" t="n"/>
    </row>
    <row r="902">
      <c r="B902" s="17">
        <f>IF($C902="","",$D902&amp;"-"&amp;$F902&amp;"-"&amp;$K902)</f>
        <v/>
      </c>
      <c r="C902" s="16" t="n"/>
      <c r="D902" s="17">
        <f>IF($C902="","",IFERROR(INDEX(rngCadetPIDs,MATCH($C902,rngCadetNames,0)),"?"))</f>
        <v/>
      </c>
      <c r="E902" s="17">
        <f>IF($D902="","",IFERROR(INDEX(nrCadetAgency,MATCH($D902,rngCadetPIDs,0)),""))</f>
        <v/>
      </c>
      <c r="F902" s="16" t="n"/>
      <c r="G902" s="17">
        <f>IF($F902="","",IFERROR(INDEX(rngEPname,MATCH($F902,rngEPcode,0)),"?"))</f>
        <v/>
      </c>
      <c r="H902" s="17">
        <f>IF($F902="","",IFERROR(INDEX(rngEPtype,MATCH($F902,rngEPcode,0)),"?"))</f>
        <v/>
      </c>
      <c r="I902" s="17">
        <f>IF($F902="","",IFERROR(INDEX(rngEPseq,MATCH($F902,rngEPcode,0)),""))</f>
        <v/>
      </c>
      <c r="J902" s="17">
        <f>IF($F902="","",IFERROR(INDEX(rngEPpass,MATCH($F902,rngEPcode,0)),cfgPassingScore))</f>
        <v/>
      </c>
      <c r="K902" s="16" t="n"/>
      <c r="L902" s="16" t="n"/>
      <c r="M902" s="17">
        <f>IF($C902="","",IF($L902="","",IF(NOT(ISNUMBER($L902)),$L902,IF(N($K902)&gt;2,"",IF($K902=1,IF(COUNTIFS(nrES_PID,$D902,nrES_Code,$F902,nrES_Att,2,nrES_Raw,"&gt;=0")&gt;0,"",$L902),IF($L902&gt;=$J902,MAX($J902,cfgRetakeRecordedCap),IF(COUNTIFS(nrES_PID,$D902,nrES_Code,$F902,nrES_Att,1)=0,$L902,SUMIFS(nrES_Raw,nrES_PID,$D902,nrES_Code,$F902,nrES_Att,1))))))))</f>
        <v/>
      </c>
      <c r="N902" s="17">
        <f>IF($C902="","",IF($L902="","",IF(NOT(ISNUMBER($L902)),"(not a score)",IF($L902&gt;=$J902,"Yes","No"))))</f>
        <v/>
      </c>
      <c r="O902" s="17">
        <f>IF($C902="","",IF($M902="","",IF(NOT(ISNUMBER($M902)),"(not a score)",IF($M902&gt;=$J902,"Yes","No"))))</f>
        <v/>
      </c>
      <c r="P902" s="17">
        <f>IF($C902="","",IF($K902="","",IF(N($K902)&gt;2,"No",IF(COUNTIFS(nrES_PID,$D902,nrES_Code,$F902,nrES_Att,"&gt;"&amp;$K902,nrES_Att,"&lt;=2",nrES_Raw,"&gt;=0")=0,"Yes","No"))))</f>
        <v/>
      </c>
      <c r="Q902" s="17">
        <f>IF($C902="","",IF($L902="","",IF(AND($K902=1,ISNUMBER($L902),$L902&lt;$J902,COUNTIFS(nrES_PID,$D902,nrES_Code,$F902,nrES_Att,2,nrES_Raw,"&gt;=0")=0),"Yes","No")))</f>
        <v/>
      </c>
      <c r="R902" s="17">
        <f>IF($C902="","",IF($L902="","",IF(AND(N($K902)&gt;=2,ISNUMBER($L902),$L902&lt;$J902),"Yes","No")))</f>
        <v/>
      </c>
      <c r="S902" s="18" t="n"/>
      <c r="T902" s="19">
        <f>IF(OR($C902="",$L902="",$K902&lt;&gt;1,NOT(ISNUMBER($L902)),$L902&gt;=$J902),"",IF($S902="","(enter date)",_xlfn.LET(_xlpm.dn,_xlfn.XLOOKUP($S902,nrCDdate,nrCDnum,"",1),IF(_xlpm.dn="","(after last class day)",_xlfn.LET(_xlpm.dd,_xlfn.XLOOKUP(_xlpm.dn+cfgRetestClassDays,nrCDnum,nrCDdate,""),_xlpm.ok,_xlfn.XLOOKUP(_xlpm.dn+cfgRetestClassDays,nrCDnum,nrCDinsession,"No"),IF(OR(_xlpm.dd="",_xlpm.ok&lt;&gt;"Yes"),"(after last class day)",_xlpm.dd))))))</f>
        <v/>
      </c>
      <c r="U902" s="17">
        <f>IF($C902="","",IF(AND($Y902="Excused",$L902="",N($K902)&lt;=1),"EXCUSED - 1st attempt pending",IF(OR($L902="",$K902&lt;&gt;1,NOT(ISNUMBER($L902)),$L902&gt;=$J902),"",IF(COUNTIFS(nrES_PID,$D902,nrES_Code,$F902,nrES_Att,2,nrES_Raw,"&gt;=0")&gt;0,IF(IFERROR(_xlfn.MINIFS(nrES_Date,nrES_PID,$D902,nrES_Code,$F902,nrES_Att,2,nrES_Raw,"&gt;=0",nrES_Date,"&gt;0"),0)=0,"RETEST UNDATED",IF(NOT(ISNUMBER($T902)),"RETEST DATE UNCHECKED",IF(_xlfn.MINIFS(nrES_Date,nrES_PID,$D902,nrES_Code,$F902,nrES_Att,2,nrES_Raw,"&gt;=0",nrES_Date,"&gt;0")&gt;$T902,"LATE RETEST "&amp;TEXT(_xlfn.MINIFS(nrES_Date,nrES_PID,$D902,nrES_Code,$F902,nrES_Att,2,nrES_Raw,"&gt;=0",nrES_Date,"&gt;0"),"mm/dd")&amp;" (due "&amp;TEXT($T902,"mm/dd")&amp;")","Retested"))),IF(NOT(ISNUMBER($T902)),"CHECK DATE",IF(TODAY()&gt;$T902,"OVERDUE","Due "&amp;TEXT($T902,"mm/dd")))))))</f>
        <v/>
      </c>
      <c r="V902" s="16" t="n"/>
      <c r="W902" s="16" t="n"/>
      <c r="X902" s="17">
        <f>IF($C902="","",IF(AND($L902&lt;&gt;"",NOT(ISNUMBER($L902))),"RAW SCORE NOT A NUMBER",IF(AND(ISNUMBER($L902),OR($L902&lt;0,$L902&gt;100)),"RAW SCORE OUT OF RANGE",IF(AND($Y902="Unexcused",OR($L902="",NOT(ISNUMBER($L902)),$L902&lt;&gt;0)),"UNEXCUSED ABSENCE MUST RECORD 0",IF(COUNTIF(nrES_RecID,$B902)&gt;1,"DUPLICATE RECORD",IF(N($K902)&gt;2,"ATTEMPT 3+ NOT ALLOWED - policy 300.5 permits one retest per exam; this row records nothing",IF(AND($K902=2,COUNTIFS(nrES_PID,$D902,nrES_Code,$F902,nrES_Att,1)=0),"ATTEMPT 2 WITHOUT ATTEMPT 1",IF(AND($K902=2,$L902=""),"RETEST ROW HAS NO SCORE",IF(AND($H902="Final",$L902&lt;&gt;"",IFERROR(INDEX(nrCKfinalExamElig,MATCH($D902,rngCadetPIDs,0)),"")="No"),"FINAL EXAM AFTER FAILED FINAL PT (500.1.H)",IF(AND($K902=2,ISNUMBER($L902),COUNTIFS(nrES_PID,$D902,nrES_Code,$F902,nrES_Att,1)&gt;0,SUMIFS(nrES_Raw,nrES_PID,$D902,nrES_Code,$F902,nrES_Att,1)&gt;=$J902),"RETEST AFTER A PASSING FIRST ATTEMPT","OK"))))))))))</f>
        <v/>
      </c>
      <c r="Y902" s="16" t="n"/>
    </row>
    <row r="903">
      <c r="B903" s="17">
        <f>IF($C903="","",$D903&amp;"-"&amp;$F903&amp;"-"&amp;$K903)</f>
        <v/>
      </c>
      <c r="C903" s="16" t="n"/>
      <c r="D903" s="17">
        <f>IF($C903="","",IFERROR(INDEX(rngCadetPIDs,MATCH($C903,rngCadetNames,0)),"?"))</f>
        <v/>
      </c>
      <c r="E903" s="17">
        <f>IF($D903="","",IFERROR(INDEX(nrCadetAgency,MATCH($D903,rngCadetPIDs,0)),""))</f>
        <v/>
      </c>
      <c r="F903" s="16" t="n"/>
      <c r="G903" s="17">
        <f>IF($F903="","",IFERROR(INDEX(rngEPname,MATCH($F903,rngEPcode,0)),"?"))</f>
        <v/>
      </c>
      <c r="H903" s="17">
        <f>IF($F903="","",IFERROR(INDEX(rngEPtype,MATCH($F903,rngEPcode,0)),"?"))</f>
        <v/>
      </c>
      <c r="I903" s="17">
        <f>IF($F903="","",IFERROR(INDEX(rngEPseq,MATCH($F903,rngEPcode,0)),""))</f>
        <v/>
      </c>
      <c r="J903" s="17">
        <f>IF($F903="","",IFERROR(INDEX(rngEPpass,MATCH($F903,rngEPcode,0)),cfgPassingScore))</f>
        <v/>
      </c>
      <c r="K903" s="16" t="n"/>
      <c r="L903" s="16" t="n"/>
      <c r="M903" s="17">
        <f>IF($C903="","",IF($L903="","",IF(NOT(ISNUMBER($L903)),$L903,IF(N($K903)&gt;2,"",IF($K903=1,IF(COUNTIFS(nrES_PID,$D903,nrES_Code,$F903,nrES_Att,2,nrES_Raw,"&gt;=0")&gt;0,"",$L903),IF($L903&gt;=$J903,MAX($J903,cfgRetakeRecordedCap),IF(COUNTIFS(nrES_PID,$D903,nrES_Code,$F903,nrES_Att,1)=0,$L903,SUMIFS(nrES_Raw,nrES_PID,$D903,nrES_Code,$F903,nrES_Att,1))))))))</f>
        <v/>
      </c>
      <c r="N903" s="17">
        <f>IF($C903="","",IF($L903="","",IF(NOT(ISNUMBER($L903)),"(not a score)",IF($L903&gt;=$J903,"Yes","No"))))</f>
        <v/>
      </c>
      <c r="O903" s="17">
        <f>IF($C903="","",IF($M903="","",IF(NOT(ISNUMBER($M903)),"(not a score)",IF($M903&gt;=$J903,"Yes","No"))))</f>
        <v/>
      </c>
      <c r="P903" s="17">
        <f>IF($C903="","",IF($K903="","",IF(N($K903)&gt;2,"No",IF(COUNTIFS(nrES_PID,$D903,nrES_Code,$F903,nrES_Att,"&gt;"&amp;$K903,nrES_Att,"&lt;=2",nrES_Raw,"&gt;=0")=0,"Yes","No"))))</f>
        <v/>
      </c>
      <c r="Q903" s="17">
        <f>IF($C903="","",IF($L903="","",IF(AND($K903=1,ISNUMBER($L903),$L903&lt;$J903,COUNTIFS(nrES_PID,$D903,nrES_Code,$F903,nrES_Att,2,nrES_Raw,"&gt;=0")=0),"Yes","No")))</f>
        <v/>
      </c>
      <c r="R903" s="17">
        <f>IF($C903="","",IF($L903="","",IF(AND(N($K903)&gt;=2,ISNUMBER($L903),$L903&lt;$J903),"Yes","No")))</f>
        <v/>
      </c>
      <c r="S903" s="18" t="n"/>
      <c r="T903" s="19">
        <f>IF(OR($C903="",$L903="",$K903&lt;&gt;1,NOT(ISNUMBER($L903)),$L903&gt;=$J903),"",IF($S903="","(enter date)",_xlfn.LET(_xlpm.dn,_xlfn.XLOOKUP($S903,nrCDdate,nrCDnum,"",1),IF(_xlpm.dn="","(after last class day)",_xlfn.LET(_xlpm.dd,_xlfn.XLOOKUP(_xlpm.dn+cfgRetestClassDays,nrCDnum,nrCDdate,""),_xlpm.ok,_xlfn.XLOOKUP(_xlpm.dn+cfgRetestClassDays,nrCDnum,nrCDinsession,"No"),IF(OR(_xlpm.dd="",_xlpm.ok&lt;&gt;"Yes"),"(after last class day)",_xlpm.dd))))))</f>
        <v/>
      </c>
      <c r="U903" s="17">
        <f>IF($C903="","",IF(AND($Y903="Excused",$L903="",N($K903)&lt;=1),"EXCUSED - 1st attempt pending",IF(OR($L903="",$K903&lt;&gt;1,NOT(ISNUMBER($L903)),$L903&gt;=$J903),"",IF(COUNTIFS(nrES_PID,$D903,nrES_Code,$F903,nrES_Att,2,nrES_Raw,"&gt;=0")&gt;0,IF(IFERROR(_xlfn.MINIFS(nrES_Date,nrES_PID,$D903,nrES_Code,$F903,nrES_Att,2,nrES_Raw,"&gt;=0",nrES_Date,"&gt;0"),0)=0,"RETEST UNDATED",IF(NOT(ISNUMBER($T903)),"RETEST DATE UNCHECKED",IF(_xlfn.MINIFS(nrES_Date,nrES_PID,$D903,nrES_Code,$F903,nrES_Att,2,nrES_Raw,"&gt;=0",nrES_Date,"&gt;0")&gt;$T903,"LATE RETEST "&amp;TEXT(_xlfn.MINIFS(nrES_Date,nrES_PID,$D903,nrES_Code,$F903,nrES_Att,2,nrES_Raw,"&gt;=0",nrES_Date,"&gt;0"),"mm/dd")&amp;" (due "&amp;TEXT($T903,"mm/dd")&amp;")","Retested"))),IF(NOT(ISNUMBER($T903)),"CHECK DATE",IF(TODAY()&gt;$T903,"OVERDUE","Due "&amp;TEXT($T903,"mm/dd")))))))</f>
        <v/>
      </c>
      <c r="V903" s="16" t="n"/>
      <c r="W903" s="16" t="n"/>
      <c r="X903" s="17">
        <f>IF($C903="","",IF(AND($L903&lt;&gt;"",NOT(ISNUMBER($L903))),"RAW SCORE NOT A NUMBER",IF(AND(ISNUMBER($L903),OR($L903&lt;0,$L903&gt;100)),"RAW SCORE OUT OF RANGE",IF(AND($Y903="Unexcused",OR($L903="",NOT(ISNUMBER($L903)),$L903&lt;&gt;0)),"UNEXCUSED ABSENCE MUST RECORD 0",IF(COUNTIF(nrES_RecID,$B903)&gt;1,"DUPLICATE RECORD",IF(N($K903)&gt;2,"ATTEMPT 3+ NOT ALLOWED - policy 300.5 permits one retest per exam; this row records nothing",IF(AND($K903=2,COUNTIFS(nrES_PID,$D903,nrES_Code,$F903,nrES_Att,1)=0),"ATTEMPT 2 WITHOUT ATTEMPT 1",IF(AND($K903=2,$L903=""),"RETEST ROW HAS NO SCORE",IF(AND($H903="Final",$L903&lt;&gt;"",IFERROR(INDEX(nrCKfinalExamElig,MATCH($D903,rngCadetPIDs,0)),"")="No"),"FINAL EXAM AFTER FAILED FINAL PT (500.1.H)",IF(AND($K903=2,ISNUMBER($L903),COUNTIFS(nrES_PID,$D903,nrES_Code,$F903,nrES_Att,1)&gt;0,SUMIFS(nrES_Raw,nrES_PID,$D903,nrES_Code,$F903,nrES_Att,1)&gt;=$J903),"RETEST AFTER A PASSING FIRST ATTEMPT","OK"))))))))))</f>
        <v/>
      </c>
      <c r="Y903" s="16" t="n"/>
    </row>
    <row r="904">
      <c r="B904" s="17">
        <f>IF($C904="","",$D904&amp;"-"&amp;$F904&amp;"-"&amp;$K904)</f>
        <v/>
      </c>
      <c r="C904" s="16" t="n"/>
      <c r="D904" s="17">
        <f>IF($C904="","",IFERROR(INDEX(rngCadetPIDs,MATCH($C904,rngCadetNames,0)),"?"))</f>
        <v/>
      </c>
      <c r="E904" s="17">
        <f>IF($D904="","",IFERROR(INDEX(nrCadetAgency,MATCH($D904,rngCadetPIDs,0)),""))</f>
        <v/>
      </c>
      <c r="F904" s="16" t="n"/>
      <c r="G904" s="17">
        <f>IF($F904="","",IFERROR(INDEX(rngEPname,MATCH($F904,rngEPcode,0)),"?"))</f>
        <v/>
      </c>
      <c r="H904" s="17">
        <f>IF($F904="","",IFERROR(INDEX(rngEPtype,MATCH($F904,rngEPcode,0)),"?"))</f>
        <v/>
      </c>
      <c r="I904" s="17">
        <f>IF($F904="","",IFERROR(INDEX(rngEPseq,MATCH($F904,rngEPcode,0)),""))</f>
        <v/>
      </c>
      <c r="J904" s="17">
        <f>IF($F904="","",IFERROR(INDEX(rngEPpass,MATCH($F904,rngEPcode,0)),cfgPassingScore))</f>
        <v/>
      </c>
      <c r="K904" s="16" t="n"/>
      <c r="L904" s="16" t="n"/>
      <c r="M904" s="17">
        <f>IF($C904="","",IF($L904="","",IF(NOT(ISNUMBER($L904)),$L904,IF(N($K904)&gt;2,"",IF($K904=1,IF(COUNTIFS(nrES_PID,$D904,nrES_Code,$F904,nrES_Att,2,nrES_Raw,"&gt;=0")&gt;0,"",$L904),IF($L904&gt;=$J904,MAX($J904,cfgRetakeRecordedCap),IF(COUNTIFS(nrES_PID,$D904,nrES_Code,$F904,nrES_Att,1)=0,$L904,SUMIFS(nrES_Raw,nrES_PID,$D904,nrES_Code,$F904,nrES_Att,1))))))))</f>
        <v/>
      </c>
      <c r="N904" s="17">
        <f>IF($C904="","",IF($L904="","",IF(NOT(ISNUMBER($L904)),"(not a score)",IF($L904&gt;=$J904,"Yes","No"))))</f>
        <v/>
      </c>
      <c r="O904" s="17">
        <f>IF($C904="","",IF($M904="","",IF(NOT(ISNUMBER($M904)),"(not a score)",IF($M904&gt;=$J904,"Yes","No"))))</f>
        <v/>
      </c>
      <c r="P904" s="17">
        <f>IF($C904="","",IF($K904="","",IF(N($K904)&gt;2,"No",IF(COUNTIFS(nrES_PID,$D904,nrES_Code,$F904,nrES_Att,"&gt;"&amp;$K904,nrES_Att,"&lt;=2",nrES_Raw,"&gt;=0")=0,"Yes","No"))))</f>
        <v/>
      </c>
      <c r="Q904" s="17">
        <f>IF($C904="","",IF($L904="","",IF(AND($K904=1,ISNUMBER($L904),$L904&lt;$J904,COUNTIFS(nrES_PID,$D904,nrES_Code,$F904,nrES_Att,2,nrES_Raw,"&gt;=0")=0),"Yes","No")))</f>
        <v/>
      </c>
      <c r="R904" s="17">
        <f>IF($C904="","",IF($L904="","",IF(AND(N($K904)&gt;=2,ISNUMBER($L904),$L904&lt;$J904),"Yes","No")))</f>
        <v/>
      </c>
      <c r="S904" s="18" t="n"/>
      <c r="T904" s="19">
        <f>IF(OR($C904="",$L904="",$K904&lt;&gt;1,NOT(ISNUMBER($L904)),$L904&gt;=$J904),"",IF($S904="","(enter date)",_xlfn.LET(_xlpm.dn,_xlfn.XLOOKUP($S904,nrCDdate,nrCDnum,"",1),IF(_xlpm.dn="","(after last class day)",_xlfn.LET(_xlpm.dd,_xlfn.XLOOKUP(_xlpm.dn+cfgRetestClassDays,nrCDnum,nrCDdate,""),_xlpm.ok,_xlfn.XLOOKUP(_xlpm.dn+cfgRetestClassDays,nrCDnum,nrCDinsession,"No"),IF(OR(_xlpm.dd="",_xlpm.ok&lt;&gt;"Yes"),"(after last class day)",_xlpm.dd))))))</f>
        <v/>
      </c>
      <c r="U904" s="17">
        <f>IF($C904="","",IF(AND($Y904="Excused",$L904="",N($K904)&lt;=1),"EXCUSED - 1st attempt pending",IF(OR($L904="",$K904&lt;&gt;1,NOT(ISNUMBER($L904)),$L904&gt;=$J904),"",IF(COUNTIFS(nrES_PID,$D904,nrES_Code,$F904,nrES_Att,2,nrES_Raw,"&gt;=0")&gt;0,IF(IFERROR(_xlfn.MINIFS(nrES_Date,nrES_PID,$D904,nrES_Code,$F904,nrES_Att,2,nrES_Raw,"&gt;=0",nrES_Date,"&gt;0"),0)=0,"RETEST UNDATED",IF(NOT(ISNUMBER($T904)),"RETEST DATE UNCHECKED",IF(_xlfn.MINIFS(nrES_Date,nrES_PID,$D904,nrES_Code,$F904,nrES_Att,2,nrES_Raw,"&gt;=0",nrES_Date,"&gt;0")&gt;$T904,"LATE RETEST "&amp;TEXT(_xlfn.MINIFS(nrES_Date,nrES_PID,$D904,nrES_Code,$F904,nrES_Att,2,nrES_Raw,"&gt;=0",nrES_Date,"&gt;0"),"mm/dd")&amp;" (due "&amp;TEXT($T904,"mm/dd")&amp;")","Retested"))),IF(NOT(ISNUMBER($T904)),"CHECK DATE",IF(TODAY()&gt;$T904,"OVERDUE","Due "&amp;TEXT($T904,"mm/dd")))))))</f>
        <v/>
      </c>
      <c r="V904" s="16" t="n"/>
      <c r="W904" s="16" t="n"/>
      <c r="X904" s="17">
        <f>IF($C904="","",IF(AND($L904&lt;&gt;"",NOT(ISNUMBER($L904))),"RAW SCORE NOT A NUMBER",IF(AND(ISNUMBER($L904),OR($L904&lt;0,$L904&gt;100)),"RAW SCORE OUT OF RANGE",IF(AND($Y904="Unexcused",OR($L904="",NOT(ISNUMBER($L904)),$L904&lt;&gt;0)),"UNEXCUSED ABSENCE MUST RECORD 0",IF(COUNTIF(nrES_RecID,$B904)&gt;1,"DUPLICATE RECORD",IF(N($K904)&gt;2,"ATTEMPT 3+ NOT ALLOWED - policy 300.5 permits one retest per exam; this row records nothing",IF(AND($K904=2,COUNTIFS(nrES_PID,$D904,nrES_Code,$F904,nrES_Att,1)=0),"ATTEMPT 2 WITHOUT ATTEMPT 1",IF(AND($K904=2,$L904=""),"RETEST ROW HAS NO SCORE",IF(AND($H904="Final",$L904&lt;&gt;"",IFERROR(INDEX(nrCKfinalExamElig,MATCH($D904,rngCadetPIDs,0)),"")="No"),"FINAL EXAM AFTER FAILED FINAL PT (500.1.H)",IF(AND($K904=2,ISNUMBER($L904),COUNTIFS(nrES_PID,$D904,nrES_Code,$F904,nrES_Att,1)&gt;0,SUMIFS(nrES_Raw,nrES_PID,$D904,nrES_Code,$F904,nrES_Att,1)&gt;=$J904),"RETEST AFTER A PASSING FIRST ATTEMPT","OK"))))))))))</f>
        <v/>
      </c>
      <c r="Y904" s="16" t="n"/>
    </row>
    <row r="905">
      <c r="B905" s="17">
        <f>IF($C905="","",$D905&amp;"-"&amp;$F905&amp;"-"&amp;$K905)</f>
        <v/>
      </c>
      <c r="C905" s="16" t="n"/>
      <c r="D905" s="17">
        <f>IF($C905="","",IFERROR(INDEX(rngCadetPIDs,MATCH($C905,rngCadetNames,0)),"?"))</f>
        <v/>
      </c>
      <c r="E905" s="17">
        <f>IF($D905="","",IFERROR(INDEX(nrCadetAgency,MATCH($D905,rngCadetPIDs,0)),""))</f>
        <v/>
      </c>
      <c r="F905" s="16" t="n"/>
      <c r="G905" s="17">
        <f>IF($F905="","",IFERROR(INDEX(rngEPname,MATCH($F905,rngEPcode,0)),"?"))</f>
        <v/>
      </c>
      <c r="H905" s="17">
        <f>IF($F905="","",IFERROR(INDEX(rngEPtype,MATCH($F905,rngEPcode,0)),"?"))</f>
        <v/>
      </c>
      <c r="I905" s="17">
        <f>IF($F905="","",IFERROR(INDEX(rngEPseq,MATCH($F905,rngEPcode,0)),""))</f>
        <v/>
      </c>
      <c r="J905" s="17">
        <f>IF($F905="","",IFERROR(INDEX(rngEPpass,MATCH($F905,rngEPcode,0)),cfgPassingScore))</f>
        <v/>
      </c>
      <c r="K905" s="16" t="n"/>
      <c r="L905" s="16" t="n"/>
      <c r="M905" s="17">
        <f>IF($C905="","",IF($L905="","",IF(NOT(ISNUMBER($L905)),$L905,IF(N($K905)&gt;2,"",IF($K905=1,IF(COUNTIFS(nrES_PID,$D905,nrES_Code,$F905,nrES_Att,2,nrES_Raw,"&gt;=0")&gt;0,"",$L905),IF($L905&gt;=$J905,MAX($J905,cfgRetakeRecordedCap),IF(COUNTIFS(nrES_PID,$D905,nrES_Code,$F905,nrES_Att,1)=0,$L905,SUMIFS(nrES_Raw,nrES_PID,$D905,nrES_Code,$F905,nrES_Att,1))))))))</f>
        <v/>
      </c>
      <c r="N905" s="17">
        <f>IF($C905="","",IF($L905="","",IF(NOT(ISNUMBER($L905)),"(not a score)",IF($L905&gt;=$J905,"Yes","No"))))</f>
        <v/>
      </c>
      <c r="O905" s="17">
        <f>IF($C905="","",IF($M905="","",IF(NOT(ISNUMBER($M905)),"(not a score)",IF($M905&gt;=$J905,"Yes","No"))))</f>
        <v/>
      </c>
      <c r="P905" s="17">
        <f>IF($C905="","",IF($K905="","",IF(N($K905)&gt;2,"No",IF(COUNTIFS(nrES_PID,$D905,nrES_Code,$F905,nrES_Att,"&gt;"&amp;$K905,nrES_Att,"&lt;=2",nrES_Raw,"&gt;=0")=0,"Yes","No"))))</f>
        <v/>
      </c>
      <c r="Q905" s="17">
        <f>IF($C905="","",IF($L905="","",IF(AND($K905=1,ISNUMBER($L905),$L905&lt;$J905,COUNTIFS(nrES_PID,$D905,nrES_Code,$F905,nrES_Att,2,nrES_Raw,"&gt;=0")=0),"Yes","No")))</f>
        <v/>
      </c>
      <c r="R905" s="17">
        <f>IF($C905="","",IF($L905="","",IF(AND(N($K905)&gt;=2,ISNUMBER($L905),$L905&lt;$J905),"Yes","No")))</f>
        <v/>
      </c>
      <c r="S905" s="18" t="n"/>
      <c r="T905" s="19">
        <f>IF(OR($C905="",$L905="",$K905&lt;&gt;1,NOT(ISNUMBER($L905)),$L905&gt;=$J905),"",IF($S905="","(enter date)",_xlfn.LET(_xlpm.dn,_xlfn.XLOOKUP($S905,nrCDdate,nrCDnum,"",1),IF(_xlpm.dn="","(after last class day)",_xlfn.LET(_xlpm.dd,_xlfn.XLOOKUP(_xlpm.dn+cfgRetestClassDays,nrCDnum,nrCDdate,""),_xlpm.ok,_xlfn.XLOOKUP(_xlpm.dn+cfgRetestClassDays,nrCDnum,nrCDinsession,"No"),IF(OR(_xlpm.dd="",_xlpm.ok&lt;&gt;"Yes"),"(after last class day)",_xlpm.dd))))))</f>
        <v/>
      </c>
      <c r="U905" s="17">
        <f>IF($C905="","",IF(AND($Y905="Excused",$L905="",N($K905)&lt;=1),"EXCUSED - 1st attempt pending",IF(OR($L905="",$K905&lt;&gt;1,NOT(ISNUMBER($L905)),$L905&gt;=$J905),"",IF(COUNTIFS(nrES_PID,$D905,nrES_Code,$F905,nrES_Att,2,nrES_Raw,"&gt;=0")&gt;0,IF(IFERROR(_xlfn.MINIFS(nrES_Date,nrES_PID,$D905,nrES_Code,$F905,nrES_Att,2,nrES_Raw,"&gt;=0",nrES_Date,"&gt;0"),0)=0,"RETEST UNDATED",IF(NOT(ISNUMBER($T905)),"RETEST DATE UNCHECKED",IF(_xlfn.MINIFS(nrES_Date,nrES_PID,$D905,nrES_Code,$F905,nrES_Att,2,nrES_Raw,"&gt;=0",nrES_Date,"&gt;0")&gt;$T905,"LATE RETEST "&amp;TEXT(_xlfn.MINIFS(nrES_Date,nrES_PID,$D905,nrES_Code,$F905,nrES_Att,2,nrES_Raw,"&gt;=0",nrES_Date,"&gt;0"),"mm/dd")&amp;" (due "&amp;TEXT($T905,"mm/dd")&amp;")","Retested"))),IF(NOT(ISNUMBER($T905)),"CHECK DATE",IF(TODAY()&gt;$T905,"OVERDUE","Due "&amp;TEXT($T905,"mm/dd")))))))</f>
        <v/>
      </c>
      <c r="V905" s="16" t="n"/>
      <c r="W905" s="16" t="n"/>
      <c r="X905" s="17">
        <f>IF($C905="","",IF(AND($L905&lt;&gt;"",NOT(ISNUMBER($L905))),"RAW SCORE NOT A NUMBER",IF(AND(ISNUMBER($L905),OR($L905&lt;0,$L905&gt;100)),"RAW SCORE OUT OF RANGE",IF(AND($Y905="Unexcused",OR($L905="",NOT(ISNUMBER($L905)),$L905&lt;&gt;0)),"UNEXCUSED ABSENCE MUST RECORD 0",IF(COUNTIF(nrES_RecID,$B905)&gt;1,"DUPLICATE RECORD",IF(N($K905)&gt;2,"ATTEMPT 3+ NOT ALLOWED - policy 300.5 permits one retest per exam; this row records nothing",IF(AND($K905=2,COUNTIFS(nrES_PID,$D905,nrES_Code,$F905,nrES_Att,1)=0),"ATTEMPT 2 WITHOUT ATTEMPT 1",IF(AND($K905=2,$L905=""),"RETEST ROW HAS NO SCORE",IF(AND($H905="Final",$L905&lt;&gt;"",IFERROR(INDEX(nrCKfinalExamElig,MATCH($D905,rngCadetPIDs,0)),"")="No"),"FINAL EXAM AFTER FAILED FINAL PT (500.1.H)",IF(AND($K905=2,ISNUMBER($L905),COUNTIFS(nrES_PID,$D905,nrES_Code,$F905,nrES_Att,1)&gt;0,SUMIFS(nrES_Raw,nrES_PID,$D905,nrES_Code,$F905,nrES_Att,1)&gt;=$J905),"RETEST AFTER A PASSING FIRST ATTEMPT","OK"))))))))))</f>
        <v/>
      </c>
      <c r="Y905" s="16" t="n"/>
    </row>
    <row r="906">
      <c r="B906" s="17">
        <f>IF($C906="","",$D906&amp;"-"&amp;$F906&amp;"-"&amp;$K906)</f>
        <v/>
      </c>
      <c r="C906" s="16" t="n"/>
      <c r="D906" s="17">
        <f>IF($C906="","",IFERROR(INDEX(rngCadetPIDs,MATCH($C906,rngCadetNames,0)),"?"))</f>
        <v/>
      </c>
      <c r="E906" s="17">
        <f>IF($D906="","",IFERROR(INDEX(nrCadetAgency,MATCH($D906,rngCadetPIDs,0)),""))</f>
        <v/>
      </c>
      <c r="F906" s="16" t="n"/>
      <c r="G906" s="17">
        <f>IF($F906="","",IFERROR(INDEX(rngEPname,MATCH($F906,rngEPcode,0)),"?"))</f>
        <v/>
      </c>
      <c r="H906" s="17">
        <f>IF($F906="","",IFERROR(INDEX(rngEPtype,MATCH($F906,rngEPcode,0)),"?"))</f>
        <v/>
      </c>
      <c r="I906" s="17">
        <f>IF($F906="","",IFERROR(INDEX(rngEPseq,MATCH($F906,rngEPcode,0)),""))</f>
        <v/>
      </c>
      <c r="J906" s="17">
        <f>IF($F906="","",IFERROR(INDEX(rngEPpass,MATCH($F906,rngEPcode,0)),cfgPassingScore))</f>
        <v/>
      </c>
      <c r="K906" s="16" t="n"/>
      <c r="L906" s="16" t="n"/>
      <c r="M906" s="17">
        <f>IF($C906="","",IF($L906="","",IF(NOT(ISNUMBER($L906)),$L906,IF(N($K906)&gt;2,"",IF($K906=1,IF(COUNTIFS(nrES_PID,$D906,nrES_Code,$F906,nrES_Att,2,nrES_Raw,"&gt;=0")&gt;0,"",$L906),IF($L906&gt;=$J906,MAX($J906,cfgRetakeRecordedCap),IF(COUNTIFS(nrES_PID,$D906,nrES_Code,$F906,nrES_Att,1)=0,$L906,SUMIFS(nrES_Raw,nrES_PID,$D906,nrES_Code,$F906,nrES_Att,1))))))))</f>
        <v/>
      </c>
      <c r="N906" s="17">
        <f>IF($C906="","",IF($L906="","",IF(NOT(ISNUMBER($L906)),"(not a score)",IF($L906&gt;=$J906,"Yes","No"))))</f>
        <v/>
      </c>
      <c r="O906" s="17">
        <f>IF($C906="","",IF($M906="","",IF(NOT(ISNUMBER($M906)),"(not a score)",IF($M906&gt;=$J906,"Yes","No"))))</f>
        <v/>
      </c>
      <c r="P906" s="17">
        <f>IF($C906="","",IF($K906="","",IF(N($K906)&gt;2,"No",IF(COUNTIFS(nrES_PID,$D906,nrES_Code,$F906,nrES_Att,"&gt;"&amp;$K906,nrES_Att,"&lt;=2",nrES_Raw,"&gt;=0")=0,"Yes","No"))))</f>
        <v/>
      </c>
      <c r="Q906" s="17">
        <f>IF($C906="","",IF($L906="","",IF(AND($K906=1,ISNUMBER($L906),$L906&lt;$J906,COUNTIFS(nrES_PID,$D906,nrES_Code,$F906,nrES_Att,2,nrES_Raw,"&gt;=0")=0),"Yes","No")))</f>
        <v/>
      </c>
      <c r="R906" s="17">
        <f>IF($C906="","",IF($L906="","",IF(AND(N($K906)&gt;=2,ISNUMBER($L906),$L906&lt;$J906),"Yes","No")))</f>
        <v/>
      </c>
      <c r="S906" s="18" t="n"/>
      <c r="T906" s="19">
        <f>IF(OR($C906="",$L906="",$K906&lt;&gt;1,NOT(ISNUMBER($L906)),$L906&gt;=$J906),"",IF($S906="","(enter date)",_xlfn.LET(_xlpm.dn,_xlfn.XLOOKUP($S906,nrCDdate,nrCDnum,"",1),IF(_xlpm.dn="","(after last class day)",_xlfn.LET(_xlpm.dd,_xlfn.XLOOKUP(_xlpm.dn+cfgRetestClassDays,nrCDnum,nrCDdate,""),_xlpm.ok,_xlfn.XLOOKUP(_xlpm.dn+cfgRetestClassDays,nrCDnum,nrCDinsession,"No"),IF(OR(_xlpm.dd="",_xlpm.ok&lt;&gt;"Yes"),"(after last class day)",_xlpm.dd))))))</f>
        <v/>
      </c>
      <c r="U906" s="17">
        <f>IF($C906="","",IF(AND($Y906="Excused",$L906="",N($K906)&lt;=1),"EXCUSED - 1st attempt pending",IF(OR($L906="",$K906&lt;&gt;1,NOT(ISNUMBER($L906)),$L906&gt;=$J906),"",IF(COUNTIFS(nrES_PID,$D906,nrES_Code,$F906,nrES_Att,2,nrES_Raw,"&gt;=0")&gt;0,IF(IFERROR(_xlfn.MINIFS(nrES_Date,nrES_PID,$D906,nrES_Code,$F906,nrES_Att,2,nrES_Raw,"&gt;=0",nrES_Date,"&gt;0"),0)=0,"RETEST UNDATED",IF(NOT(ISNUMBER($T906)),"RETEST DATE UNCHECKED",IF(_xlfn.MINIFS(nrES_Date,nrES_PID,$D906,nrES_Code,$F906,nrES_Att,2,nrES_Raw,"&gt;=0",nrES_Date,"&gt;0")&gt;$T906,"LATE RETEST "&amp;TEXT(_xlfn.MINIFS(nrES_Date,nrES_PID,$D906,nrES_Code,$F906,nrES_Att,2,nrES_Raw,"&gt;=0",nrES_Date,"&gt;0"),"mm/dd")&amp;" (due "&amp;TEXT($T906,"mm/dd")&amp;")","Retested"))),IF(NOT(ISNUMBER($T906)),"CHECK DATE",IF(TODAY()&gt;$T906,"OVERDUE","Due "&amp;TEXT($T906,"mm/dd")))))))</f>
        <v/>
      </c>
      <c r="V906" s="16" t="n"/>
      <c r="W906" s="16" t="n"/>
      <c r="X906" s="17">
        <f>IF($C906="","",IF(AND($L906&lt;&gt;"",NOT(ISNUMBER($L906))),"RAW SCORE NOT A NUMBER",IF(AND(ISNUMBER($L906),OR($L906&lt;0,$L906&gt;100)),"RAW SCORE OUT OF RANGE",IF(AND($Y906="Unexcused",OR($L906="",NOT(ISNUMBER($L906)),$L906&lt;&gt;0)),"UNEXCUSED ABSENCE MUST RECORD 0",IF(COUNTIF(nrES_RecID,$B906)&gt;1,"DUPLICATE RECORD",IF(N($K906)&gt;2,"ATTEMPT 3+ NOT ALLOWED - policy 300.5 permits one retest per exam; this row records nothing",IF(AND($K906=2,COUNTIFS(nrES_PID,$D906,nrES_Code,$F906,nrES_Att,1)=0),"ATTEMPT 2 WITHOUT ATTEMPT 1",IF(AND($K906=2,$L906=""),"RETEST ROW HAS NO SCORE",IF(AND($H906="Final",$L906&lt;&gt;"",IFERROR(INDEX(nrCKfinalExamElig,MATCH($D906,rngCadetPIDs,0)),"")="No"),"FINAL EXAM AFTER FAILED FINAL PT (500.1.H)",IF(AND($K906=2,ISNUMBER($L906),COUNTIFS(nrES_PID,$D906,nrES_Code,$F906,nrES_Att,1)&gt;0,SUMIFS(nrES_Raw,nrES_PID,$D906,nrES_Code,$F906,nrES_Att,1)&gt;=$J906),"RETEST AFTER A PASSING FIRST ATTEMPT","OK"))))))))))</f>
        <v/>
      </c>
      <c r="Y906" s="16" t="n"/>
    </row>
    <row r="907">
      <c r="B907" s="17">
        <f>IF($C907="","",$D907&amp;"-"&amp;$F907&amp;"-"&amp;$K907)</f>
        <v/>
      </c>
      <c r="C907" s="16" t="n"/>
      <c r="D907" s="17">
        <f>IF($C907="","",IFERROR(INDEX(rngCadetPIDs,MATCH($C907,rngCadetNames,0)),"?"))</f>
        <v/>
      </c>
      <c r="E907" s="17">
        <f>IF($D907="","",IFERROR(INDEX(nrCadetAgency,MATCH($D907,rngCadetPIDs,0)),""))</f>
        <v/>
      </c>
      <c r="F907" s="16" t="n"/>
      <c r="G907" s="17">
        <f>IF($F907="","",IFERROR(INDEX(rngEPname,MATCH($F907,rngEPcode,0)),"?"))</f>
        <v/>
      </c>
      <c r="H907" s="17">
        <f>IF($F907="","",IFERROR(INDEX(rngEPtype,MATCH($F907,rngEPcode,0)),"?"))</f>
        <v/>
      </c>
      <c r="I907" s="17">
        <f>IF($F907="","",IFERROR(INDEX(rngEPseq,MATCH($F907,rngEPcode,0)),""))</f>
        <v/>
      </c>
      <c r="J907" s="17">
        <f>IF($F907="","",IFERROR(INDEX(rngEPpass,MATCH($F907,rngEPcode,0)),cfgPassingScore))</f>
        <v/>
      </c>
      <c r="K907" s="16" t="n"/>
      <c r="L907" s="16" t="n"/>
      <c r="M907" s="17">
        <f>IF($C907="","",IF($L907="","",IF(NOT(ISNUMBER($L907)),$L907,IF(N($K907)&gt;2,"",IF($K907=1,IF(COUNTIFS(nrES_PID,$D907,nrES_Code,$F907,nrES_Att,2,nrES_Raw,"&gt;=0")&gt;0,"",$L907),IF($L907&gt;=$J907,MAX($J907,cfgRetakeRecordedCap),IF(COUNTIFS(nrES_PID,$D907,nrES_Code,$F907,nrES_Att,1)=0,$L907,SUMIFS(nrES_Raw,nrES_PID,$D907,nrES_Code,$F907,nrES_Att,1))))))))</f>
        <v/>
      </c>
      <c r="N907" s="17">
        <f>IF($C907="","",IF($L907="","",IF(NOT(ISNUMBER($L907)),"(not a score)",IF($L907&gt;=$J907,"Yes","No"))))</f>
        <v/>
      </c>
      <c r="O907" s="17">
        <f>IF($C907="","",IF($M907="","",IF(NOT(ISNUMBER($M907)),"(not a score)",IF($M907&gt;=$J907,"Yes","No"))))</f>
        <v/>
      </c>
      <c r="P907" s="17">
        <f>IF($C907="","",IF($K907="","",IF(N($K907)&gt;2,"No",IF(COUNTIFS(nrES_PID,$D907,nrES_Code,$F907,nrES_Att,"&gt;"&amp;$K907,nrES_Att,"&lt;=2",nrES_Raw,"&gt;=0")=0,"Yes","No"))))</f>
        <v/>
      </c>
      <c r="Q907" s="17">
        <f>IF($C907="","",IF($L907="","",IF(AND($K907=1,ISNUMBER($L907),$L907&lt;$J907,COUNTIFS(nrES_PID,$D907,nrES_Code,$F907,nrES_Att,2,nrES_Raw,"&gt;=0")=0),"Yes","No")))</f>
        <v/>
      </c>
      <c r="R907" s="17">
        <f>IF($C907="","",IF($L907="","",IF(AND(N($K907)&gt;=2,ISNUMBER($L907),$L907&lt;$J907),"Yes","No")))</f>
        <v/>
      </c>
      <c r="S907" s="18" t="n"/>
      <c r="T907" s="19">
        <f>IF(OR($C907="",$L907="",$K907&lt;&gt;1,NOT(ISNUMBER($L907)),$L907&gt;=$J907),"",IF($S907="","(enter date)",_xlfn.LET(_xlpm.dn,_xlfn.XLOOKUP($S907,nrCDdate,nrCDnum,"",1),IF(_xlpm.dn="","(after last class day)",_xlfn.LET(_xlpm.dd,_xlfn.XLOOKUP(_xlpm.dn+cfgRetestClassDays,nrCDnum,nrCDdate,""),_xlpm.ok,_xlfn.XLOOKUP(_xlpm.dn+cfgRetestClassDays,nrCDnum,nrCDinsession,"No"),IF(OR(_xlpm.dd="",_xlpm.ok&lt;&gt;"Yes"),"(after last class day)",_xlpm.dd))))))</f>
        <v/>
      </c>
      <c r="U907" s="17">
        <f>IF($C907="","",IF(AND($Y907="Excused",$L907="",N($K907)&lt;=1),"EXCUSED - 1st attempt pending",IF(OR($L907="",$K907&lt;&gt;1,NOT(ISNUMBER($L907)),$L907&gt;=$J907),"",IF(COUNTIFS(nrES_PID,$D907,nrES_Code,$F907,nrES_Att,2,nrES_Raw,"&gt;=0")&gt;0,IF(IFERROR(_xlfn.MINIFS(nrES_Date,nrES_PID,$D907,nrES_Code,$F907,nrES_Att,2,nrES_Raw,"&gt;=0",nrES_Date,"&gt;0"),0)=0,"RETEST UNDATED",IF(NOT(ISNUMBER($T907)),"RETEST DATE UNCHECKED",IF(_xlfn.MINIFS(nrES_Date,nrES_PID,$D907,nrES_Code,$F907,nrES_Att,2,nrES_Raw,"&gt;=0",nrES_Date,"&gt;0")&gt;$T907,"LATE RETEST "&amp;TEXT(_xlfn.MINIFS(nrES_Date,nrES_PID,$D907,nrES_Code,$F907,nrES_Att,2,nrES_Raw,"&gt;=0",nrES_Date,"&gt;0"),"mm/dd")&amp;" (due "&amp;TEXT($T907,"mm/dd")&amp;")","Retested"))),IF(NOT(ISNUMBER($T907)),"CHECK DATE",IF(TODAY()&gt;$T907,"OVERDUE","Due "&amp;TEXT($T907,"mm/dd")))))))</f>
        <v/>
      </c>
      <c r="V907" s="16" t="n"/>
      <c r="W907" s="16" t="n"/>
      <c r="X907" s="17">
        <f>IF($C907="","",IF(AND($L907&lt;&gt;"",NOT(ISNUMBER($L907))),"RAW SCORE NOT A NUMBER",IF(AND(ISNUMBER($L907),OR($L907&lt;0,$L907&gt;100)),"RAW SCORE OUT OF RANGE",IF(AND($Y907="Unexcused",OR($L907="",NOT(ISNUMBER($L907)),$L907&lt;&gt;0)),"UNEXCUSED ABSENCE MUST RECORD 0",IF(COUNTIF(nrES_RecID,$B907)&gt;1,"DUPLICATE RECORD",IF(N($K907)&gt;2,"ATTEMPT 3+ NOT ALLOWED - policy 300.5 permits one retest per exam; this row records nothing",IF(AND($K907=2,COUNTIFS(nrES_PID,$D907,nrES_Code,$F907,nrES_Att,1)=0),"ATTEMPT 2 WITHOUT ATTEMPT 1",IF(AND($K907=2,$L907=""),"RETEST ROW HAS NO SCORE",IF(AND($H907="Final",$L907&lt;&gt;"",IFERROR(INDEX(nrCKfinalExamElig,MATCH($D907,rngCadetPIDs,0)),"")="No"),"FINAL EXAM AFTER FAILED FINAL PT (500.1.H)",IF(AND($K907=2,ISNUMBER($L907),COUNTIFS(nrES_PID,$D907,nrES_Code,$F907,nrES_Att,1)&gt;0,SUMIFS(nrES_Raw,nrES_PID,$D907,nrES_Code,$F907,nrES_Att,1)&gt;=$J907),"RETEST AFTER A PASSING FIRST ATTEMPT","OK"))))))))))</f>
        <v/>
      </c>
      <c r="Y907" s="16" t="n"/>
    </row>
    <row r="908">
      <c r="B908" s="17">
        <f>IF($C908="","",$D908&amp;"-"&amp;$F908&amp;"-"&amp;$K908)</f>
        <v/>
      </c>
      <c r="C908" s="16" t="n"/>
      <c r="D908" s="17">
        <f>IF($C908="","",IFERROR(INDEX(rngCadetPIDs,MATCH($C908,rngCadetNames,0)),"?"))</f>
        <v/>
      </c>
      <c r="E908" s="17">
        <f>IF($D908="","",IFERROR(INDEX(nrCadetAgency,MATCH($D908,rngCadetPIDs,0)),""))</f>
        <v/>
      </c>
      <c r="F908" s="16" t="n"/>
      <c r="G908" s="17">
        <f>IF($F908="","",IFERROR(INDEX(rngEPname,MATCH($F908,rngEPcode,0)),"?"))</f>
        <v/>
      </c>
      <c r="H908" s="17">
        <f>IF($F908="","",IFERROR(INDEX(rngEPtype,MATCH($F908,rngEPcode,0)),"?"))</f>
        <v/>
      </c>
      <c r="I908" s="17">
        <f>IF($F908="","",IFERROR(INDEX(rngEPseq,MATCH($F908,rngEPcode,0)),""))</f>
        <v/>
      </c>
      <c r="J908" s="17">
        <f>IF($F908="","",IFERROR(INDEX(rngEPpass,MATCH($F908,rngEPcode,0)),cfgPassingScore))</f>
        <v/>
      </c>
      <c r="K908" s="16" t="n"/>
      <c r="L908" s="16" t="n"/>
      <c r="M908" s="17">
        <f>IF($C908="","",IF($L908="","",IF(NOT(ISNUMBER($L908)),$L908,IF(N($K908)&gt;2,"",IF($K908=1,IF(COUNTIFS(nrES_PID,$D908,nrES_Code,$F908,nrES_Att,2,nrES_Raw,"&gt;=0")&gt;0,"",$L908),IF($L908&gt;=$J908,MAX($J908,cfgRetakeRecordedCap),IF(COUNTIFS(nrES_PID,$D908,nrES_Code,$F908,nrES_Att,1)=0,$L908,SUMIFS(nrES_Raw,nrES_PID,$D908,nrES_Code,$F908,nrES_Att,1))))))))</f>
        <v/>
      </c>
      <c r="N908" s="17">
        <f>IF($C908="","",IF($L908="","",IF(NOT(ISNUMBER($L908)),"(not a score)",IF($L908&gt;=$J908,"Yes","No"))))</f>
        <v/>
      </c>
      <c r="O908" s="17">
        <f>IF($C908="","",IF($M908="","",IF(NOT(ISNUMBER($M908)),"(not a score)",IF($M908&gt;=$J908,"Yes","No"))))</f>
        <v/>
      </c>
      <c r="P908" s="17">
        <f>IF($C908="","",IF($K908="","",IF(N($K908)&gt;2,"No",IF(COUNTIFS(nrES_PID,$D908,nrES_Code,$F908,nrES_Att,"&gt;"&amp;$K908,nrES_Att,"&lt;=2",nrES_Raw,"&gt;=0")=0,"Yes","No"))))</f>
        <v/>
      </c>
      <c r="Q908" s="17">
        <f>IF($C908="","",IF($L908="","",IF(AND($K908=1,ISNUMBER($L908),$L908&lt;$J908,COUNTIFS(nrES_PID,$D908,nrES_Code,$F908,nrES_Att,2,nrES_Raw,"&gt;=0")=0),"Yes","No")))</f>
        <v/>
      </c>
      <c r="R908" s="17">
        <f>IF($C908="","",IF($L908="","",IF(AND(N($K908)&gt;=2,ISNUMBER($L908),$L908&lt;$J908),"Yes","No")))</f>
        <v/>
      </c>
      <c r="S908" s="18" t="n"/>
      <c r="T908" s="19">
        <f>IF(OR($C908="",$L908="",$K908&lt;&gt;1,NOT(ISNUMBER($L908)),$L908&gt;=$J908),"",IF($S908="","(enter date)",_xlfn.LET(_xlpm.dn,_xlfn.XLOOKUP($S908,nrCDdate,nrCDnum,"",1),IF(_xlpm.dn="","(after last class day)",_xlfn.LET(_xlpm.dd,_xlfn.XLOOKUP(_xlpm.dn+cfgRetestClassDays,nrCDnum,nrCDdate,""),_xlpm.ok,_xlfn.XLOOKUP(_xlpm.dn+cfgRetestClassDays,nrCDnum,nrCDinsession,"No"),IF(OR(_xlpm.dd="",_xlpm.ok&lt;&gt;"Yes"),"(after last class day)",_xlpm.dd))))))</f>
        <v/>
      </c>
      <c r="U908" s="17">
        <f>IF($C908="","",IF(AND($Y908="Excused",$L908="",N($K908)&lt;=1),"EXCUSED - 1st attempt pending",IF(OR($L908="",$K908&lt;&gt;1,NOT(ISNUMBER($L908)),$L908&gt;=$J908),"",IF(COUNTIFS(nrES_PID,$D908,nrES_Code,$F908,nrES_Att,2,nrES_Raw,"&gt;=0")&gt;0,IF(IFERROR(_xlfn.MINIFS(nrES_Date,nrES_PID,$D908,nrES_Code,$F908,nrES_Att,2,nrES_Raw,"&gt;=0",nrES_Date,"&gt;0"),0)=0,"RETEST UNDATED",IF(NOT(ISNUMBER($T908)),"RETEST DATE UNCHECKED",IF(_xlfn.MINIFS(nrES_Date,nrES_PID,$D908,nrES_Code,$F908,nrES_Att,2,nrES_Raw,"&gt;=0",nrES_Date,"&gt;0")&gt;$T908,"LATE RETEST "&amp;TEXT(_xlfn.MINIFS(nrES_Date,nrES_PID,$D908,nrES_Code,$F908,nrES_Att,2,nrES_Raw,"&gt;=0",nrES_Date,"&gt;0"),"mm/dd")&amp;" (due "&amp;TEXT($T908,"mm/dd")&amp;")","Retested"))),IF(NOT(ISNUMBER($T908)),"CHECK DATE",IF(TODAY()&gt;$T908,"OVERDUE","Due "&amp;TEXT($T908,"mm/dd")))))))</f>
        <v/>
      </c>
      <c r="V908" s="16" t="n"/>
      <c r="W908" s="16" t="n"/>
      <c r="X908" s="17">
        <f>IF($C908="","",IF(AND($L908&lt;&gt;"",NOT(ISNUMBER($L908))),"RAW SCORE NOT A NUMBER",IF(AND(ISNUMBER($L908),OR($L908&lt;0,$L908&gt;100)),"RAW SCORE OUT OF RANGE",IF(AND($Y908="Unexcused",OR($L908="",NOT(ISNUMBER($L908)),$L908&lt;&gt;0)),"UNEXCUSED ABSENCE MUST RECORD 0",IF(COUNTIF(nrES_RecID,$B908)&gt;1,"DUPLICATE RECORD",IF(N($K908)&gt;2,"ATTEMPT 3+ NOT ALLOWED - policy 300.5 permits one retest per exam; this row records nothing",IF(AND($K908=2,COUNTIFS(nrES_PID,$D908,nrES_Code,$F908,nrES_Att,1)=0),"ATTEMPT 2 WITHOUT ATTEMPT 1",IF(AND($K908=2,$L908=""),"RETEST ROW HAS NO SCORE",IF(AND($H908="Final",$L908&lt;&gt;"",IFERROR(INDEX(nrCKfinalExamElig,MATCH($D908,rngCadetPIDs,0)),"")="No"),"FINAL EXAM AFTER FAILED FINAL PT (500.1.H)",IF(AND($K908=2,ISNUMBER($L908),COUNTIFS(nrES_PID,$D908,nrES_Code,$F908,nrES_Att,1)&gt;0,SUMIFS(nrES_Raw,nrES_PID,$D908,nrES_Code,$F908,nrES_Att,1)&gt;=$J908),"RETEST AFTER A PASSING FIRST ATTEMPT","OK"))))))))))</f>
        <v/>
      </c>
      <c r="Y908" s="16" t="n"/>
    </row>
    <row r="909">
      <c r="B909" s="17">
        <f>IF($C909="","",$D909&amp;"-"&amp;$F909&amp;"-"&amp;$K909)</f>
        <v/>
      </c>
      <c r="C909" s="16" t="n"/>
      <c r="D909" s="17">
        <f>IF($C909="","",IFERROR(INDEX(rngCadetPIDs,MATCH($C909,rngCadetNames,0)),"?"))</f>
        <v/>
      </c>
      <c r="E909" s="17">
        <f>IF($D909="","",IFERROR(INDEX(nrCadetAgency,MATCH($D909,rngCadetPIDs,0)),""))</f>
        <v/>
      </c>
      <c r="F909" s="16" t="n"/>
      <c r="G909" s="17">
        <f>IF($F909="","",IFERROR(INDEX(rngEPname,MATCH($F909,rngEPcode,0)),"?"))</f>
        <v/>
      </c>
      <c r="H909" s="17">
        <f>IF($F909="","",IFERROR(INDEX(rngEPtype,MATCH($F909,rngEPcode,0)),"?"))</f>
        <v/>
      </c>
      <c r="I909" s="17">
        <f>IF($F909="","",IFERROR(INDEX(rngEPseq,MATCH($F909,rngEPcode,0)),""))</f>
        <v/>
      </c>
      <c r="J909" s="17">
        <f>IF($F909="","",IFERROR(INDEX(rngEPpass,MATCH($F909,rngEPcode,0)),cfgPassingScore))</f>
        <v/>
      </c>
      <c r="K909" s="16" t="n"/>
      <c r="L909" s="16" t="n"/>
      <c r="M909" s="17">
        <f>IF($C909="","",IF($L909="","",IF(NOT(ISNUMBER($L909)),$L909,IF(N($K909)&gt;2,"",IF($K909=1,IF(COUNTIFS(nrES_PID,$D909,nrES_Code,$F909,nrES_Att,2,nrES_Raw,"&gt;=0")&gt;0,"",$L909),IF($L909&gt;=$J909,MAX($J909,cfgRetakeRecordedCap),IF(COUNTIFS(nrES_PID,$D909,nrES_Code,$F909,nrES_Att,1)=0,$L909,SUMIFS(nrES_Raw,nrES_PID,$D909,nrES_Code,$F909,nrES_Att,1))))))))</f>
        <v/>
      </c>
      <c r="N909" s="17">
        <f>IF($C909="","",IF($L909="","",IF(NOT(ISNUMBER($L909)),"(not a score)",IF($L909&gt;=$J909,"Yes","No"))))</f>
        <v/>
      </c>
      <c r="O909" s="17">
        <f>IF($C909="","",IF($M909="","",IF(NOT(ISNUMBER($M909)),"(not a score)",IF($M909&gt;=$J909,"Yes","No"))))</f>
        <v/>
      </c>
      <c r="P909" s="17">
        <f>IF($C909="","",IF($K909="","",IF(N($K909)&gt;2,"No",IF(COUNTIFS(nrES_PID,$D909,nrES_Code,$F909,nrES_Att,"&gt;"&amp;$K909,nrES_Att,"&lt;=2",nrES_Raw,"&gt;=0")=0,"Yes","No"))))</f>
        <v/>
      </c>
      <c r="Q909" s="17">
        <f>IF($C909="","",IF($L909="","",IF(AND($K909=1,ISNUMBER($L909),$L909&lt;$J909,COUNTIFS(nrES_PID,$D909,nrES_Code,$F909,nrES_Att,2,nrES_Raw,"&gt;=0")=0),"Yes","No")))</f>
        <v/>
      </c>
      <c r="R909" s="17">
        <f>IF($C909="","",IF($L909="","",IF(AND(N($K909)&gt;=2,ISNUMBER($L909),$L909&lt;$J909),"Yes","No")))</f>
        <v/>
      </c>
      <c r="S909" s="18" t="n"/>
      <c r="T909" s="19">
        <f>IF(OR($C909="",$L909="",$K909&lt;&gt;1,NOT(ISNUMBER($L909)),$L909&gt;=$J909),"",IF($S909="","(enter date)",_xlfn.LET(_xlpm.dn,_xlfn.XLOOKUP($S909,nrCDdate,nrCDnum,"",1),IF(_xlpm.dn="","(after last class day)",_xlfn.LET(_xlpm.dd,_xlfn.XLOOKUP(_xlpm.dn+cfgRetestClassDays,nrCDnum,nrCDdate,""),_xlpm.ok,_xlfn.XLOOKUP(_xlpm.dn+cfgRetestClassDays,nrCDnum,nrCDinsession,"No"),IF(OR(_xlpm.dd="",_xlpm.ok&lt;&gt;"Yes"),"(after last class day)",_xlpm.dd))))))</f>
        <v/>
      </c>
      <c r="U909" s="17">
        <f>IF($C909="","",IF(AND($Y909="Excused",$L909="",N($K909)&lt;=1),"EXCUSED - 1st attempt pending",IF(OR($L909="",$K909&lt;&gt;1,NOT(ISNUMBER($L909)),$L909&gt;=$J909),"",IF(COUNTIFS(nrES_PID,$D909,nrES_Code,$F909,nrES_Att,2,nrES_Raw,"&gt;=0")&gt;0,IF(IFERROR(_xlfn.MINIFS(nrES_Date,nrES_PID,$D909,nrES_Code,$F909,nrES_Att,2,nrES_Raw,"&gt;=0",nrES_Date,"&gt;0"),0)=0,"RETEST UNDATED",IF(NOT(ISNUMBER($T909)),"RETEST DATE UNCHECKED",IF(_xlfn.MINIFS(nrES_Date,nrES_PID,$D909,nrES_Code,$F909,nrES_Att,2,nrES_Raw,"&gt;=0",nrES_Date,"&gt;0")&gt;$T909,"LATE RETEST "&amp;TEXT(_xlfn.MINIFS(nrES_Date,nrES_PID,$D909,nrES_Code,$F909,nrES_Att,2,nrES_Raw,"&gt;=0",nrES_Date,"&gt;0"),"mm/dd")&amp;" (due "&amp;TEXT($T909,"mm/dd")&amp;")","Retested"))),IF(NOT(ISNUMBER($T909)),"CHECK DATE",IF(TODAY()&gt;$T909,"OVERDUE","Due "&amp;TEXT($T909,"mm/dd")))))))</f>
        <v/>
      </c>
      <c r="V909" s="16" t="n"/>
      <c r="W909" s="16" t="n"/>
      <c r="X909" s="17">
        <f>IF($C909="","",IF(AND($L909&lt;&gt;"",NOT(ISNUMBER($L909))),"RAW SCORE NOT A NUMBER",IF(AND(ISNUMBER($L909),OR($L909&lt;0,$L909&gt;100)),"RAW SCORE OUT OF RANGE",IF(AND($Y909="Unexcused",OR($L909="",NOT(ISNUMBER($L909)),$L909&lt;&gt;0)),"UNEXCUSED ABSENCE MUST RECORD 0",IF(COUNTIF(nrES_RecID,$B909)&gt;1,"DUPLICATE RECORD",IF(N($K909)&gt;2,"ATTEMPT 3+ NOT ALLOWED - policy 300.5 permits one retest per exam; this row records nothing",IF(AND($K909=2,COUNTIFS(nrES_PID,$D909,nrES_Code,$F909,nrES_Att,1)=0),"ATTEMPT 2 WITHOUT ATTEMPT 1",IF(AND($K909=2,$L909=""),"RETEST ROW HAS NO SCORE",IF(AND($H909="Final",$L909&lt;&gt;"",IFERROR(INDEX(nrCKfinalExamElig,MATCH($D909,rngCadetPIDs,0)),"")="No"),"FINAL EXAM AFTER FAILED FINAL PT (500.1.H)",IF(AND($K909=2,ISNUMBER($L909),COUNTIFS(nrES_PID,$D909,nrES_Code,$F909,nrES_Att,1)&gt;0,SUMIFS(nrES_Raw,nrES_PID,$D909,nrES_Code,$F909,nrES_Att,1)&gt;=$J909),"RETEST AFTER A PASSING FIRST ATTEMPT","OK"))))))))))</f>
        <v/>
      </c>
      <c r="Y909" s="16" t="n"/>
    </row>
    <row r="910">
      <c r="B910" s="17">
        <f>IF($C910="","",$D910&amp;"-"&amp;$F910&amp;"-"&amp;$K910)</f>
        <v/>
      </c>
      <c r="C910" s="16" t="n"/>
      <c r="D910" s="17">
        <f>IF($C910="","",IFERROR(INDEX(rngCadetPIDs,MATCH($C910,rngCadetNames,0)),"?"))</f>
        <v/>
      </c>
      <c r="E910" s="17">
        <f>IF($D910="","",IFERROR(INDEX(nrCadetAgency,MATCH($D910,rngCadetPIDs,0)),""))</f>
        <v/>
      </c>
      <c r="F910" s="16" t="n"/>
      <c r="G910" s="17">
        <f>IF($F910="","",IFERROR(INDEX(rngEPname,MATCH($F910,rngEPcode,0)),"?"))</f>
        <v/>
      </c>
      <c r="H910" s="17">
        <f>IF($F910="","",IFERROR(INDEX(rngEPtype,MATCH($F910,rngEPcode,0)),"?"))</f>
        <v/>
      </c>
      <c r="I910" s="17">
        <f>IF($F910="","",IFERROR(INDEX(rngEPseq,MATCH($F910,rngEPcode,0)),""))</f>
        <v/>
      </c>
      <c r="J910" s="17">
        <f>IF($F910="","",IFERROR(INDEX(rngEPpass,MATCH($F910,rngEPcode,0)),cfgPassingScore))</f>
        <v/>
      </c>
      <c r="K910" s="16" t="n"/>
      <c r="L910" s="16" t="n"/>
      <c r="M910" s="17">
        <f>IF($C910="","",IF($L910="","",IF(NOT(ISNUMBER($L910)),$L910,IF(N($K910)&gt;2,"",IF($K910=1,IF(COUNTIFS(nrES_PID,$D910,nrES_Code,$F910,nrES_Att,2,nrES_Raw,"&gt;=0")&gt;0,"",$L910),IF($L910&gt;=$J910,MAX($J910,cfgRetakeRecordedCap),IF(COUNTIFS(nrES_PID,$D910,nrES_Code,$F910,nrES_Att,1)=0,$L910,SUMIFS(nrES_Raw,nrES_PID,$D910,nrES_Code,$F910,nrES_Att,1))))))))</f>
        <v/>
      </c>
      <c r="N910" s="17">
        <f>IF($C910="","",IF($L910="","",IF(NOT(ISNUMBER($L910)),"(not a score)",IF($L910&gt;=$J910,"Yes","No"))))</f>
        <v/>
      </c>
      <c r="O910" s="17">
        <f>IF($C910="","",IF($M910="","",IF(NOT(ISNUMBER($M910)),"(not a score)",IF($M910&gt;=$J910,"Yes","No"))))</f>
        <v/>
      </c>
      <c r="P910" s="17">
        <f>IF($C910="","",IF($K910="","",IF(N($K910)&gt;2,"No",IF(COUNTIFS(nrES_PID,$D910,nrES_Code,$F910,nrES_Att,"&gt;"&amp;$K910,nrES_Att,"&lt;=2",nrES_Raw,"&gt;=0")=0,"Yes","No"))))</f>
        <v/>
      </c>
      <c r="Q910" s="17">
        <f>IF($C910="","",IF($L910="","",IF(AND($K910=1,ISNUMBER($L910),$L910&lt;$J910,COUNTIFS(nrES_PID,$D910,nrES_Code,$F910,nrES_Att,2,nrES_Raw,"&gt;=0")=0),"Yes","No")))</f>
        <v/>
      </c>
      <c r="R910" s="17">
        <f>IF($C910="","",IF($L910="","",IF(AND(N($K910)&gt;=2,ISNUMBER($L910),$L910&lt;$J910),"Yes","No")))</f>
        <v/>
      </c>
      <c r="S910" s="18" t="n"/>
      <c r="T910" s="19">
        <f>IF(OR($C910="",$L910="",$K910&lt;&gt;1,NOT(ISNUMBER($L910)),$L910&gt;=$J910),"",IF($S910="","(enter date)",_xlfn.LET(_xlpm.dn,_xlfn.XLOOKUP($S910,nrCDdate,nrCDnum,"",1),IF(_xlpm.dn="","(after last class day)",_xlfn.LET(_xlpm.dd,_xlfn.XLOOKUP(_xlpm.dn+cfgRetestClassDays,nrCDnum,nrCDdate,""),_xlpm.ok,_xlfn.XLOOKUP(_xlpm.dn+cfgRetestClassDays,nrCDnum,nrCDinsession,"No"),IF(OR(_xlpm.dd="",_xlpm.ok&lt;&gt;"Yes"),"(after last class day)",_xlpm.dd))))))</f>
        <v/>
      </c>
      <c r="U910" s="17">
        <f>IF($C910="","",IF(AND($Y910="Excused",$L910="",N($K910)&lt;=1),"EXCUSED - 1st attempt pending",IF(OR($L910="",$K910&lt;&gt;1,NOT(ISNUMBER($L910)),$L910&gt;=$J910),"",IF(COUNTIFS(nrES_PID,$D910,nrES_Code,$F910,nrES_Att,2,nrES_Raw,"&gt;=0")&gt;0,IF(IFERROR(_xlfn.MINIFS(nrES_Date,nrES_PID,$D910,nrES_Code,$F910,nrES_Att,2,nrES_Raw,"&gt;=0",nrES_Date,"&gt;0"),0)=0,"RETEST UNDATED",IF(NOT(ISNUMBER($T910)),"RETEST DATE UNCHECKED",IF(_xlfn.MINIFS(nrES_Date,nrES_PID,$D910,nrES_Code,$F910,nrES_Att,2,nrES_Raw,"&gt;=0",nrES_Date,"&gt;0")&gt;$T910,"LATE RETEST "&amp;TEXT(_xlfn.MINIFS(nrES_Date,nrES_PID,$D910,nrES_Code,$F910,nrES_Att,2,nrES_Raw,"&gt;=0",nrES_Date,"&gt;0"),"mm/dd")&amp;" (due "&amp;TEXT($T910,"mm/dd")&amp;")","Retested"))),IF(NOT(ISNUMBER($T910)),"CHECK DATE",IF(TODAY()&gt;$T910,"OVERDUE","Due "&amp;TEXT($T910,"mm/dd")))))))</f>
        <v/>
      </c>
      <c r="V910" s="16" t="n"/>
      <c r="W910" s="16" t="n"/>
      <c r="X910" s="17">
        <f>IF($C910="","",IF(AND($L910&lt;&gt;"",NOT(ISNUMBER($L910))),"RAW SCORE NOT A NUMBER",IF(AND(ISNUMBER($L910),OR($L910&lt;0,$L910&gt;100)),"RAW SCORE OUT OF RANGE",IF(AND($Y910="Unexcused",OR($L910="",NOT(ISNUMBER($L910)),$L910&lt;&gt;0)),"UNEXCUSED ABSENCE MUST RECORD 0",IF(COUNTIF(nrES_RecID,$B910)&gt;1,"DUPLICATE RECORD",IF(N($K910)&gt;2,"ATTEMPT 3+ NOT ALLOWED - policy 300.5 permits one retest per exam; this row records nothing",IF(AND($K910=2,COUNTIFS(nrES_PID,$D910,nrES_Code,$F910,nrES_Att,1)=0),"ATTEMPT 2 WITHOUT ATTEMPT 1",IF(AND($K910=2,$L910=""),"RETEST ROW HAS NO SCORE",IF(AND($H910="Final",$L910&lt;&gt;"",IFERROR(INDEX(nrCKfinalExamElig,MATCH($D910,rngCadetPIDs,0)),"")="No"),"FINAL EXAM AFTER FAILED FINAL PT (500.1.H)",IF(AND($K910=2,ISNUMBER($L910),COUNTIFS(nrES_PID,$D910,nrES_Code,$F910,nrES_Att,1)&gt;0,SUMIFS(nrES_Raw,nrES_PID,$D910,nrES_Code,$F910,nrES_Att,1)&gt;=$J910),"RETEST AFTER A PASSING FIRST ATTEMPT","OK"))))))))))</f>
        <v/>
      </c>
      <c r="Y910" s="16" t="n"/>
    </row>
    <row r="911">
      <c r="B911" s="17">
        <f>IF($C911="","",$D911&amp;"-"&amp;$F911&amp;"-"&amp;$K911)</f>
        <v/>
      </c>
      <c r="C911" s="16" t="n"/>
      <c r="D911" s="17">
        <f>IF($C911="","",IFERROR(INDEX(rngCadetPIDs,MATCH($C911,rngCadetNames,0)),"?"))</f>
        <v/>
      </c>
      <c r="E911" s="17">
        <f>IF($D911="","",IFERROR(INDEX(nrCadetAgency,MATCH($D911,rngCadetPIDs,0)),""))</f>
        <v/>
      </c>
      <c r="F911" s="16" t="n"/>
      <c r="G911" s="17">
        <f>IF($F911="","",IFERROR(INDEX(rngEPname,MATCH($F911,rngEPcode,0)),"?"))</f>
        <v/>
      </c>
      <c r="H911" s="17">
        <f>IF($F911="","",IFERROR(INDEX(rngEPtype,MATCH($F911,rngEPcode,0)),"?"))</f>
        <v/>
      </c>
      <c r="I911" s="17">
        <f>IF($F911="","",IFERROR(INDEX(rngEPseq,MATCH($F911,rngEPcode,0)),""))</f>
        <v/>
      </c>
      <c r="J911" s="17">
        <f>IF($F911="","",IFERROR(INDEX(rngEPpass,MATCH($F911,rngEPcode,0)),cfgPassingScore))</f>
        <v/>
      </c>
      <c r="K911" s="16" t="n"/>
      <c r="L911" s="16" t="n"/>
      <c r="M911" s="17">
        <f>IF($C911="","",IF($L911="","",IF(NOT(ISNUMBER($L911)),$L911,IF(N($K911)&gt;2,"",IF($K911=1,IF(COUNTIFS(nrES_PID,$D911,nrES_Code,$F911,nrES_Att,2,nrES_Raw,"&gt;=0")&gt;0,"",$L911),IF($L911&gt;=$J911,MAX($J911,cfgRetakeRecordedCap),IF(COUNTIFS(nrES_PID,$D911,nrES_Code,$F911,nrES_Att,1)=0,$L911,SUMIFS(nrES_Raw,nrES_PID,$D911,nrES_Code,$F911,nrES_Att,1))))))))</f>
        <v/>
      </c>
      <c r="N911" s="17">
        <f>IF($C911="","",IF($L911="","",IF(NOT(ISNUMBER($L911)),"(not a score)",IF($L911&gt;=$J911,"Yes","No"))))</f>
        <v/>
      </c>
      <c r="O911" s="17">
        <f>IF($C911="","",IF($M911="","",IF(NOT(ISNUMBER($M911)),"(not a score)",IF($M911&gt;=$J911,"Yes","No"))))</f>
        <v/>
      </c>
      <c r="P911" s="17">
        <f>IF($C911="","",IF($K911="","",IF(N($K911)&gt;2,"No",IF(COUNTIFS(nrES_PID,$D911,nrES_Code,$F911,nrES_Att,"&gt;"&amp;$K911,nrES_Att,"&lt;=2",nrES_Raw,"&gt;=0")=0,"Yes","No"))))</f>
        <v/>
      </c>
      <c r="Q911" s="17">
        <f>IF($C911="","",IF($L911="","",IF(AND($K911=1,ISNUMBER($L911),$L911&lt;$J911,COUNTIFS(nrES_PID,$D911,nrES_Code,$F911,nrES_Att,2,nrES_Raw,"&gt;=0")=0),"Yes","No")))</f>
        <v/>
      </c>
      <c r="R911" s="17">
        <f>IF($C911="","",IF($L911="","",IF(AND(N($K911)&gt;=2,ISNUMBER($L911),$L911&lt;$J911),"Yes","No")))</f>
        <v/>
      </c>
      <c r="S911" s="18" t="n"/>
      <c r="T911" s="19">
        <f>IF(OR($C911="",$L911="",$K911&lt;&gt;1,NOT(ISNUMBER($L911)),$L911&gt;=$J911),"",IF($S911="","(enter date)",_xlfn.LET(_xlpm.dn,_xlfn.XLOOKUP($S911,nrCDdate,nrCDnum,"",1),IF(_xlpm.dn="","(after last class day)",_xlfn.LET(_xlpm.dd,_xlfn.XLOOKUP(_xlpm.dn+cfgRetestClassDays,nrCDnum,nrCDdate,""),_xlpm.ok,_xlfn.XLOOKUP(_xlpm.dn+cfgRetestClassDays,nrCDnum,nrCDinsession,"No"),IF(OR(_xlpm.dd="",_xlpm.ok&lt;&gt;"Yes"),"(after last class day)",_xlpm.dd))))))</f>
        <v/>
      </c>
      <c r="U911" s="17">
        <f>IF($C911="","",IF(AND($Y911="Excused",$L911="",N($K911)&lt;=1),"EXCUSED - 1st attempt pending",IF(OR($L911="",$K911&lt;&gt;1,NOT(ISNUMBER($L911)),$L911&gt;=$J911),"",IF(COUNTIFS(nrES_PID,$D911,nrES_Code,$F911,nrES_Att,2,nrES_Raw,"&gt;=0")&gt;0,IF(IFERROR(_xlfn.MINIFS(nrES_Date,nrES_PID,$D911,nrES_Code,$F911,nrES_Att,2,nrES_Raw,"&gt;=0",nrES_Date,"&gt;0"),0)=0,"RETEST UNDATED",IF(NOT(ISNUMBER($T911)),"RETEST DATE UNCHECKED",IF(_xlfn.MINIFS(nrES_Date,nrES_PID,$D911,nrES_Code,$F911,nrES_Att,2,nrES_Raw,"&gt;=0",nrES_Date,"&gt;0")&gt;$T911,"LATE RETEST "&amp;TEXT(_xlfn.MINIFS(nrES_Date,nrES_PID,$D911,nrES_Code,$F911,nrES_Att,2,nrES_Raw,"&gt;=0",nrES_Date,"&gt;0"),"mm/dd")&amp;" (due "&amp;TEXT($T911,"mm/dd")&amp;")","Retested"))),IF(NOT(ISNUMBER($T911)),"CHECK DATE",IF(TODAY()&gt;$T911,"OVERDUE","Due "&amp;TEXT($T911,"mm/dd")))))))</f>
        <v/>
      </c>
      <c r="V911" s="16" t="n"/>
      <c r="W911" s="16" t="n"/>
      <c r="X911" s="17">
        <f>IF($C911="","",IF(AND($L911&lt;&gt;"",NOT(ISNUMBER($L911))),"RAW SCORE NOT A NUMBER",IF(AND(ISNUMBER($L911),OR($L911&lt;0,$L911&gt;100)),"RAW SCORE OUT OF RANGE",IF(AND($Y911="Unexcused",OR($L911="",NOT(ISNUMBER($L911)),$L911&lt;&gt;0)),"UNEXCUSED ABSENCE MUST RECORD 0",IF(COUNTIF(nrES_RecID,$B911)&gt;1,"DUPLICATE RECORD",IF(N($K911)&gt;2,"ATTEMPT 3+ NOT ALLOWED - policy 300.5 permits one retest per exam; this row records nothing",IF(AND($K911=2,COUNTIFS(nrES_PID,$D911,nrES_Code,$F911,nrES_Att,1)=0),"ATTEMPT 2 WITHOUT ATTEMPT 1",IF(AND($K911=2,$L911=""),"RETEST ROW HAS NO SCORE",IF(AND($H911="Final",$L911&lt;&gt;"",IFERROR(INDEX(nrCKfinalExamElig,MATCH($D911,rngCadetPIDs,0)),"")="No"),"FINAL EXAM AFTER FAILED FINAL PT (500.1.H)",IF(AND($K911=2,ISNUMBER($L911),COUNTIFS(nrES_PID,$D911,nrES_Code,$F911,nrES_Att,1)&gt;0,SUMIFS(nrES_Raw,nrES_PID,$D911,nrES_Code,$F911,nrES_Att,1)&gt;=$J911),"RETEST AFTER A PASSING FIRST ATTEMPT","OK"))))))))))</f>
        <v/>
      </c>
      <c r="Y911" s="16" t="n"/>
    </row>
    <row r="912">
      <c r="B912" s="17">
        <f>IF($C912="","",$D912&amp;"-"&amp;$F912&amp;"-"&amp;$K912)</f>
        <v/>
      </c>
      <c r="C912" s="16" t="n"/>
      <c r="D912" s="17">
        <f>IF($C912="","",IFERROR(INDEX(rngCadetPIDs,MATCH($C912,rngCadetNames,0)),"?"))</f>
        <v/>
      </c>
      <c r="E912" s="17">
        <f>IF($D912="","",IFERROR(INDEX(nrCadetAgency,MATCH($D912,rngCadetPIDs,0)),""))</f>
        <v/>
      </c>
      <c r="F912" s="16" t="n"/>
      <c r="G912" s="17">
        <f>IF($F912="","",IFERROR(INDEX(rngEPname,MATCH($F912,rngEPcode,0)),"?"))</f>
        <v/>
      </c>
      <c r="H912" s="17">
        <f>IF($F912="","",IFERROR(INDEX(rngEPtype,MATCH($F912,rngEPcode,0)),"?"))</f>
        <v/>
      </c>
      <c r="I912" s="17">
        <f>IF($F912="","",IFERROR(INDEX(rngEPseq,MATCH($F912,rngEPcode,0)),""))</f>
        <v/>
      </c>
      <c r="J912" s="17">
        <f>IF($F912="","",IFERROR(INDEX(rngEPpass,MATCH($F912,rngEPcode,0)),cfgPassingScore))</f>
        <v/>
      </c>
      <c r="K912" s="16" t="n"/>
      <c r="L912" s="16" t="n"/>
      <c r="M912" s="17">
        <f>IF($C912="","",IF($L912="","",IF(NOT(ISNUMBER($L912)),$L912,IF(N($K912)&gt;2,"",IF($K912=1,IF(COUNTIFS(nrES_PID,$D912,nrES_Code,$F912,nrES_Att,2,nrES_Raw,"&gt;=0")&gt;0,"",$L912),IF($L912&gt;=$J912,MAX($J912,cfgRetakeRecordedCap),IF(COUNTIFS(nrES_PID,$D912,nrES_Code,$F912,nrES_Att,1)=0,$L912,SUMIFS(nrES_Raw,nrES_PID,$D912,nrES_Code,$F912,nrES_Att,1))))))))</f>
        <v/>
      </c>
      <c r="N912" s="17">
        <f>IF($C912="","",IF($L912="","",IF(NOT(ISNUMBER($L912)),"(not a score)",IF($L912&gt;=$J912,"Yes","No"))))</f>
        <v/>
      </c>
      <c r="O912" s="17">
        <f>IF($C912="","",IF($M912="","",IF(NOT(ISNUMBER($M912)),"(not a score)",IF($M912&gt;=$J912,"Yes","No"))))</f>
        <v/>
      </c>
      <c r="P912" s="17">
        <f>IF($C912="","",IF($K912="","",IF(N($K912)&gt;2,"No",IF(COUNTIFS(nrES_PID,$D912,nrES_Code,$F912,nrES_Att,"&gt;"&amp;$K912,nrES_Att,"&lt;=2",nrES_Raw,"&gt;=0")=0,"Yes","No"))))</f>
        <v/>
      </c>
      <c r="Q912" s="17">
        <f>IF($C912="","",IF($L912="","",IF(AND($K912=1,ISNUMBER($L912),$L912&lt;$J912,COUNTIFS(nrES_PID,$D912,nrES_Code,$F912,nrES_Att,2,nrES_Raw,"&gt;=0")=0),"Yes","No")))</f>
        <v/>
      </c>
      <c r="R912" s="17">
        <f>IF($C912="","",IF($L912="","",IF(AND(N($K912)&gt;=2,ISNUMBER($L912),$L912&lt;$J912),"Yes","No")))</f>
        <v/>
      </c>
      <c r="S912" s="18" t="n"/>
      <c r="T912" s="19">
        <f>IF(OR($C912="",$L912="",$K912&lt;&gt;1,NOT(ISNUMBER($L912)),$L912&gt;=$J912),"",IF($S912="","(enter date)",_xlfn.LET(_xlpm.dn,_xlfn.XLOOKUP($S912,nrCDdate,nrCDnum,"",1),IF(_xlpm.dn="","(after last class day)",_xlfn.LET(_xlpm.dd,_xlfn.XLOOKUP(_xlpm.dn+cfgRetestClassDays,nrCDnum,nrCDdate,""),_xlpm.ok,_xlfn.XLOOKUP(_xlpm.dn+cfgRetestClassDays,nrCDnum,nrCDinsession,"No"),IF(OR(_xlpm.dd="",_xlpm.ok&lt;&gt;"Yes"),"(after last class day)",_xlpm.dd))))))</f>
        <v/>
      </c>
      <c r="U912" s="17">
        <f>IF($C912="","",IF(AND($Y912="Excused",$L912="",N($K912)&lt;=1),"EXCUSED - 1st attempt pending",IF(OR($L912="",$K912&lt;&gt;1,NOT(ISNUMBER($L912)),$L912&gt;=$J912),"",IF(COUNTIFS(nrES_PID,$D912,nrES_Code,$F912,nrES_Att,2,nrES_Raw,"&gt;=0")&gt;0,IF(IFERROR(_xlfn.MINIFS(nrES_Date,nrES_PID,$D912,nrES_Code,$F912,nrES_Att,2,nrES_Raw,"&gt;=0",nrES_Date,"&gt;0"),0)=0,"RETEST UNDATED",IF(NOT(ISNUMBER($T912)),"RETEST DATE UNCHECKED",IF(_xlfn.MINIFS(nrES_Date,nrES_PID,$D912,nrES_Code,$F912,nrES_Att,2,nrES_Raw,"&gt;=0",nrES_Date,"&gt;0")&gt;$T912,"LATE RETEST "&amp;TEXT(_xlfn.MINIFS(nrES_Date,nrES_PID,$D912,nrES_Code,$F912,nrES_Att,2,nrES_Raw,"&gt;=0",nrES_Date,"&gt;0"),"mm/dd")&amp;" (due "&amp;TEXT($T912,"mm/dd")&amp;")","Retested"))),IF(NOT(ISNUMBER($T912)),"CHECK DATE",IF(TODAY()&gt;$T912,"OVERDUE","Due "&amp;TEXT($T912,"mm/dd")))))))</f>
        <v/>
      </c>
      <c r="V912" s="16" t="n"/>
      <c r="W912" s="16" t="n"/>
      <c r="X912" s="17">
        <f>IF($C912="","",IF(AND($L912&lt;&gt;"",NOT(ISNUMBER($L912))),"RAW SCORE NOT A NUMBER",IF(AND(ISNUMBER($L912),OR($L912&lt;0,$L912&gt;100)),"RAW SCORE OUT OF RANGE",IF(AND($Y912="Unexcused",OR($L912="",NOT(ISNUMBER($L912)),$L912&lt;&gt;0)),"UNEXCUSED ABSENCE MUST RECORD 0",IF(COUNTIF(nrES_RecID,$B912)&gt;1,"DUPLICATE RECORD",IF(N($K912)&gt;2,"ATTEMPT 3+ NOT ALLOWED - policy 300.5 permits one retest per exam; this row records nothing",IF(AND($K912=2,COUNTIFS(nrES_PID,$D912,nrES_Code,$F912,nrES_Att,1)=0),"ATTEMPT 2 WITHOUT ATTEMPT 1",IF(AND($K912=2,$L912=""),"RETEST ROW HAS NO SCORE",IF(AND($H912="Final",$L912&lt;&gt;"",IFERROR(INDEX(nrCKfinalExamElig,MATCH($D912,rngCadetPIDs,0)),"")="No"),"FINAL EXAM AFTER FAILED FINAL PT (500.1.H)",IF(AND($K912=2,ISNUMBER($L912),COUNTIFS(nrES_PID,$D912,nrES_Code,$F912,nrES_Att,1)&gt;0,SUMIFS(nrES_Raw,nrES_PID,$D912,nrES_Code,$F912,nrES_Att,1)&gt;=$J912),"RETEST AFTER A PASSING FIRST ATTEMPT","OK"))))))))))</f>
        <v/>
      </c>
      <c r="Y912" s="16" t="n"/>
    </row>
    <row r="913">
      <c r="B913" s="17">
        <f>IF($C913="","",$D913&amp;"-"&amp;$F913&amp;"-"&amp;$K913)</f>
        <v/>
      </c>
      <c r="C913" s="16" t="n"/>
      <c r="D913" s="17">
        <f>IF($C913="","",IFERROR(INDEX(rngCadetPIDs,MATCH($C913,rngCadetNames,0)),"?"))</f>
        <v/>
      </c>
      <c r="E913" s="17">
        <f>IF($D913="","",IFERROR(INDEX(nrCadetAgency,MATCH($D913,rngCadetPIDs,0)),""))</f>
        <v/>
      </c>
      <c r="F913" s="16" t="n"/>
      <c r="G913" s="17">
        <f>IF($F913="","",IFERROR(INDEX(rngEPname,MATCH($F913,rngEPcode,0)),"?"))</f>
        <v/>
      </c>
      <c r="H913" s="17">
        <f>IF($F913="","",IFERROR(INDEX(rngEPtype,MATCH($F913,rngEPcode,0)),"?"))</f>
        <v/>
      </c>
      <c r="I913" s="17">
        <f>IF($F913="","",IFERROR(INDEX(rngEPseq,MATCH($F913,rngEPcode,0)),""))</f>
        <v/>
      </c>
      <c r="J913" s="17">
        <f>IF($F913="","",IFERROR(INDEX(rngEPpass,MATCH($F913,rngEPcode,0)),cfgPassingScore))</f>
        <v/>
      </c>
      <c r="K913" s="16" t="n"/>
      <c r="L913" s="16" t="n"/>
      <c r="M913" s="17">
        <f>IF($C913="","",IF($L913="","",IF(NOT(ISNUMBER($L913)),$L913,IF(N($K913)&gt;2,"",IF($K913=1,IF(COUNTIFS(nrES_PID,$D913,nrES_Code,$F913,nrES_Att,2,nrES_Raw,"&gt;=0")&gt;0,"",$L913),IF($L913&gt;=$J913,MAX($J913,cfgRetakeRecordedCap),IF(COUNTIFS(nrES_PID,$D913,nrES_Code,$F913,nrES_Att,1)=0,$L913,SUMIFS(nrES_Raw,nrES_PID,$D913,nrES_Code,$F913,nrES_Att,1))))))))</f>
        <v/>
      </c>
      <c r="N913" s="17">
        <f>IF($C913="","",IF($L913="","",IF(NOT(ISNUMBER($L913)),"(not a score)",IF($L913&gt;=$J913,"Yes","No"))))</f>
        <v/>
      </c>
      <c r="O913" s="17">
        <f>IF($C913="","",IF($M913="","",IF(NOT(ISNUMBER($M913)),"(not a score)",IF($M913&gt;=$J913,"Yes","No"))))</f>
        <v/>
      </c>
      <c r="P913" s="17">
        <f>IF($C913="","",IF($K913="","",IF(N($K913)&gt;2,"No",IF(COUNTIFS(nrES_PID,$D913,nrES_Code,$F913,nrES_Att,"&gt;"&amp;$K913,nrES_Att,"&lt;=2",nrES_Raw,"&gt;=0")=0,"Yes","No"))))</f>
        <v/>
      </c>
      <c r="Q913" s="17">
        <f>IF($C913="","",IF($L913="","",IF(AND($K913=1,ISNUMBER($L913),$L913&lt;$J913,COUNTIFS(nrES_PID,$D913,nrES_Code,$F913,nrES_Att,2,nrES_Raw,"&gt;=0")=0),"Yes","No")))</f>
        <v/>
      </c>
      <c r="R913" s="17">
        <f>IF($C913="","",IF($L913="","",IF(AND(N($K913)&gt;=2,ISNUMBER($L913),$L913&lt;$J913),"Yes","No")))</f>
        <v/>
      </c>
      <c r="S913" s="18" t="n"/>
      <c r="T913" s="19">
        <f>IF(OR($C913="",$L913="",$K913&lt;&gt;1,NOT(ISNUMBER($L913)),$L913&gt;=$J913),"",IF($S913="","(enter date)",_xlfn.LET(_xlpm.dn,_xlfn.XLOOKUP($S913,nrCDdate,nrCDnum,"",1),IF(_xlpm.dn="","(after last class day)",_xlfn.LET(_xlpm.dd,_xlfn.XLOOKUP(_xlpm.dn+cfgRetestClassDays,nrCDnum,nrCDdate,""),_xlpm.ok,_xlfn.XLOOKUP(_xlpm.dn+cfgRetestClassDays,nrCDnum,nrCDinsession,"No"),IF(OR(_xlpm.dd="",_xlpm.ok&lt;&gt;"Yes"),"(after last class day)",_xlpm.dd))))))</f>
        <v/>
      </c>
      <c r="U913" s="17">
        <f>IF($C913="","",IF(AND($Y913="Excused",$L913="",N($K913)&lt;=1),"EXCUSED - 1st attempt pending",IF(OR($L913="",$K913&lt;&gt;1,NOT(ISNUMBER($L913)),$L913&gt;=$J913),"",IF(COUNTIFS(nrES_PID,$D913,nrES_Code,$F913,nrES_Att,2,nrES_Raw,"&gt;=0")&gt;0,IF(IFERROR(_xlfn.MINIFS(nrES_Date,nrES_PID,$D913,nrES_Code,$F913,nrES_Att,2,nrES_Raw,"&gt;=0",nrES_Date,"&gt;0"),0)=0,"RETEST UNDATED",IF(NOT(ISNUMBER($T913)),"RETEST DATE UNCHECKED",IF(_xlfn.MINIFS(nrES_Date,nrES_PID,$D913,nrES_Code,$F913,nrES_Att,2,nrES_Raw,"&gt;=0",nrES_Date,"&gt;0")&gt;$T913,"LATE RETEST "&amp;TEXT(_xlfn.MINIFS(nrES_Date,nrES_PID,$D913,nrES_Code,$F913,nrES_Att,2,nrES_Raw,"&gt;=0",nrES_Date,"&gt;0"),"mm/dd")&amp;" (due "&amp;TEXT($T913,"mm/dd")&amp;")","Retested"))),IF(NOT(ISNUMBER($T913)),"CHECK DATE",IF(TODAY()&gt;$T913,"OVERDUE","Due "&amp;TEXT($T913,"mm/dd")))))))</f>
        <v/>
      </c>
      <c r="V913" s="16" t="n"/>
      <c r="W913" s="16" t="n"/>
      <c r="X913" s="17">
        <f>IF($C913="","",IF(AND($L913&lt;&gt;"",NOT(ISNUMBER($L913))),"RAW SCORE NOT A NUMBER",IF(AND(ISNUMBER($L913),OR($L913&lt;0,$L913&gt;100)),"RAW SCORE OUT OF RANGE",IF(AND($Y913="Unexcused",OR($L913="",NOT(ISNUMBER($L913)),$L913&lt;&gt;0)),"UNEXCUSED ABSENCE MUST RECORD 0",IF(COUNTIF(nrES_RecID,$B913)&gt;1,"DUPLICATE RECORD",IF(N($K913)&gt;2,"ATTEMPT 3+ NOT ALLOWED - policy 300.5 permits one retest per exam; this row records nothing",IF(AND($K913=2,COUNTIFS(nrES_PID,$D913,nrES_Code,$F913,nrES_Att,1)=0),"ATTEMPT 2 WITHOUT ATTEMPT 1",IF(AND($K913=2,$L913=""),"RETEST ROW HAS NO SCORE",IF(AND($H913="Final",$L913&lt;&gt;"",IFERROR(INDEX(nrCKfinalExamElig,MATCH($D913,rngCadetPIDs,0)),"")="No"),"FINAL EXAM AFTER FAILED FINAL PT (500.1.H)",IF(AND($K913=2,ISNUMBER($L913),COUNTIFS(nrES_PID,$D913,nrES_Code,$F913,nrES_Att,1)&gt;0,SUMIFS(nrES_Raw,nrES_PID,$D913,nrES_Code,$F913,nrES_Att,1)&gt;=$J913),"RETEST AFTER A PASSING FIRST ATTEMPT","OK"))))))))))</f>
        <v/>
      </c>
      <c r="Y913" s="16" t="n"/>
    </row>
    <row r="914">
      <c r="B914" s="17">
        <f>IF($C914="","",$D914&amp;"-"&amp;$F914&amp;"-"&amp;$K914)</f>
        <v/>
      </c>
      <c r="C914" s="16" t="n"/>
      <c r="D914" s="17">
        <f>IF($C914="","",IFERROR(INDEX(rngCadetPIDs,MATCH($C914,rngCadetNames,0)),"?"))</f>
        <v/>
      </c>
      <c r="E914" s="17">
        <f>IF($D914="","",IFERROR(INDEX(nrCadetAgency,MATCH($D914,rngCadetPIDs,0)),""))</f>
        <v/>
      </c>
      <c r="F914" s="16" t="n"/>
      <c r="G914" s="17">
        <f>IF($F914="","",IFERROR(INDEX(rngEPname,MATCH($F914,rngEPcode,0)),"?"))</f>
        <v/>
      </c>
      <c r="H914" s="17">
        <f>IF($F914="","",IFERROR(INDEX(rngEPtype,MATCH($F914,rngEPcode,0)),"?"))</f>
        <v/>
      </c>
      <c r="I914" s="17">
        <f>IF($F914="","",IFERROR(INDEX(rngEPseq,MATCH($F914,rngEPcode,0)),""))</f>
        <v/>
      </c>
      <c r="J914" s="17">
        <f>IF($F914="","",IFERROR(INDEX(rngEPpass,MATCH($F914,rngEPcode,0)),cfgPassingScore))</f>
        <v/>
      </c>
      <c r="K914" s="16" t="n"/>
      <c r="L914" s="16" t="n"/>
      <c r="M914" s="17">
        <f>IF($C914="","",IF($L914="","",IF(NOT(ISNUMBER($L914)),$L914,IF(N($K914)&gt;2,"",IF($K914=1,IF(COUNTIFS(nrES_PID,$D914,nrES_Code,$F914,nrES_Att,2,nrES_Raw,"&gt;=0")&gt;0,"",$L914),IF($L914&gt;=$J914,MAX($J914,cfgRetakeRecordedCap),IF(COUNTIFS(nrES_PID,$D914,nrES_Code,$F914,nrES_Att,1)=0,$L914,SUMIFS(nrES_Raw,nrES_PID,$D914,nrES_Code,$F914,nrES_Att,1))))))))</f>
        <v/>
      </c>
      <c r="N914" s="17">
        <f>IF($C914="","",IF($L914="","",IF(NOT(ISNUMBER($L914)),"(not a score)",IF($L914&gt;=$J914,"Yes","No"))))</f>
        <v/>
      </c>
      <c r="O914" s="17">
        <f>IF($C914="","",IF($M914="","",IF(NOT(ISNUMBER($M914)),"(not a score)",IF($M914&gt;=$J914,"Yes","No"))))</f>
        <v/>
      </c>
      <c r="P914" s="17">
        <f>IF($C914="","",IF($K914="","",IF(N($K914)&gt;2,"No",IF(COUNTIFS(nrES_PID,$D914,nrES_Code,$F914,nrES_Att,"&gt;"&amp;$K914,nrES_Att,"&lt;=2",nrES_Raw,"&gt;=0")=0,"Yes","No"))))</f>
        <v/>
      </c>
      <c r="Q914" s="17">
        <f>IF($C914="","",IF($L914="","",IF(AND($K914=1,ISNUMBER($L914),$L914&lt;$J914,COUNTIFS(nrES_PID,$D914,nrES_Code,$F914,nrES_Att,2,nrES_Raw,"&gt;=0")=0),"Yes","No")))</f>
        <v/>
      </c>
      <c r="R914" s="17">
        <f>IF($C914="","",IF($L914="","",IF(AND(N($K914)&gt;=2,ISNUMBER($L914),$L914&lt;$J914),"Yes","No")))</f>
        <v/>
      </c>
      <c r="S914" s="18" t="n"/>
      <c r="T914" s="19">
        <f>IF(OR($C914="",$L914="",$K914&lt;&gt;1,NOT(ISNUMBER($L914)),$L914&gt;=$J914),"",IF($S914="","(enter date)",_xlfn.LET(_xlpm.dn,_xlfn.XLOOKUP($S914,nrCDdate,nrCDnum,"",1),IF(_xlpm.dn="","(after last class day)",_xlfn.LET(_xlpm.dd,_xlfn.XLOOKUP(_xlpm.dn+cfgRetestClassDays,nrCDnum,nrCDdate,""),_xlpm.ok,_xlfn.XLOOKUP(_xlpm.dn+cfgRetestClassDays,nrCDnum,nrCDinsession,"No"),IF(OR(_xlpm.dd="",_xlpm.ok&lt;&gt;"Yes"),"(after last class day)",_xlpm.dd))))))</f>
        <v/>
      </c>
      <c r="U914" s="17">
        <f>IF($C914="","",IF(AND($Y914="Excused",$L914="",N($K914)&lt;=1),"EXCUSED - 1st attempt pending",IF(OR($L914="",$K914&lt;&gt;1,NOT(ISNUMBER($L914)),$L914&gt;=$J914),"",IF(COUNTIFS(nrES_PID,$D914,nrES_Code,$F914,nrES_Att,2,nrES_Raw,"&gt;=0")&gt;0,IF(IFERROR(_xlfn.MINIFS(nrES_Date,nrES_PID,$D914,nrES_Code,$F914,nrES_Att,2,nrES_Raw,"&gt;=0",nrES_Date,"&gt;0"),0)=0,"RETEST UNDATED",IF(NOT(ISNUMBER($T914)),"RETEST DATE UNCHECKED",IF(_xlfn.MINIFS(nrES_Date,nrES_PID,$D914,nrES_Code,$F914,nrES_Att,2,nrES_Raw,"&gt;=0",nrES_Date,"&gt;0")&gt;$T914,"LATE RETEST "&amp;TEXT(_xlfn.MINIFS(nrES_Date,nrES_PID,$D914,nrES_Code,$F914,nrES_Att,2,nrES_Raw,"&gt;=0",nrES_Date,"&gt;0"),"mm/dd")&amp;" (due "&amp;TEXT($T914,"mm/dd")&amp;")","Retested"))),IF(NOT(ISNUMBER($T914)),"CHECK DATE",IF(TODAY()&gt;$T914,"OVERDUE","Due "&amp;TEXT($T914,"mm/dd")))))))</f>
        <v/>
      </c>
      <c r="V914" s="16" t="n"/>
      <c r="W914" s="16" t="n"/>
      <c r="X914" s="17">
        <f>IF($C914="","",IF(AND($L914&lt;&gt;"",NOT(ISNUMBER($L914))),"RAW SCORE NOT A NUMBER",IF(AND(ISNUMBER($L914),OR($L914&lt;0,$L914&gt;100)),"RAW SCORE OUT OF RANGE",IF(AND($Y914="Unexcused",OR($L914="",NOT(ISNUMBER($L914)),$L914&lt;&gt;0)),"UNEXCUSED ABSENCE MUST RECORD 0",IF(COUNTIF(nrES_RecID,$B914)&gt;1,"DUPLICATE RECORD",IF(N($K914)&gt;2,"ATTEMPT 3+ NOT ALLOWED - policy 300.5 permits one retest per exam; this row records nothing",IF(AND($K914=2,COUNTIFS(nrES_PID,$D914,nrES_Code,$F914,nrES_Att,1)=0),"ATTEMPT 2 WITHOUT ATTEMPT 1",IF(AND($K914=2,$L914=""),"RETEST ROW HAS NO SCORE",IF(AND($H914="Final",$L914&lt;&gt;"",IFERROR(INDEX(nrCKfinalExamElig,MATCH($D914,rngCadetPIDs,0)),"")="No"),"FINAL EXAM AFTER FAILED FINAL PT (500.1.H)",IF(AND($K914=2,ISNUMBER($L914),COUNTIFS(nrES_PID,$D914,nrES_Code,$F914,nrES_Att,1)&gt;0,SUMIFS(nrES_Raw,nrES_PID,$D914,nrES_Code,$F914,nrES_Att,1)&gt;=$J914),"RETEST AFTER A PASSING FIRST ATTEMPT","OK"))))))))))</f>
        <v/>
      </c>
      <c r="Y914" s="16" t="n"/>
    </row>
    <row r="915">
      <c r="B915" s="17">
        <f>IF($C915="","",$D915&amp;"-"&amp;$F915&amp;"-"&amp;$K915)</f>
        <v/>
      </c>
      <c r="C915" s="16" t="n"/>
      <c r="D915" s="17">
        <f>IF($C915="","",IFERROR(INDEX(rngCadetPIDs,MATCH($C915,rngCadetNames,0)),"?"))</f>
        <v/>
      </c>
      <c r="E915" s="17">
        <f>IF($D915="","",IFERROR(INDEX(nrCadetAgency,MATCH($D915,rngCadetPIDs,0)),""))</f>
        <v/>
      </c>
      <c r="F915" s="16" t="n"/>
      <c r="G915" s="17">
        <f>IF($F915="","",IFERROR(INDEX(rngEPname,MATCH($F915,rngEPcode,0)),"?"))</f>
        <v/>
      </c>
      <c r="H915" s="17">
        <f>IF($F915="","",IFERROR(INDEX(rngEPtype,MATCH($F915,rngEPcode,0)),"?"))</f>
        <v/>
      </c>
      <c r="I915" s="17">
        <f>IF($F915="","",IFERROR(INDEX(rngEPseq,MATCH($F915,rngEPcode,0)),""))</f>
        <v/>
      </c>
      <c r="J915" s="17">
        <f>IF($F915="","",IFERROR(INDEX(rngEPpass,MATCH($F915,rngEPcode,0)),cfgPassingScore))</f>
        <v/>
      </c>
      <c r="K915" s="16" t="n"/>
      <c r="L915" s="16" t="n"/>
      <c r="M915" s="17">
        <f>IF($C915="","",IF($L915="","",IF(NOT(ISNUMBER($L915)),$L915,IF(N($K915)&gt;2,"",IF($K915=1,IF(COUNTIFS(nrES_PID,$D915,nrES_Code,$F915,nrES_Att,2,nrES_Raw,"&gt;=0")&gt;0,"",$L915),IF($L915&gt;=$J915,MAX($J915,cfgRetakeRecordedCap),IF(COUNTIFS(nrES_PID,$D915,nrES_Code,$F915,nrES_Att,1)=0,$L915,SUMIFS(nrES_Raw,nrES_PID,$D915,nrES_Code,$F915,nrES_Att,1))))))))</f>
        <v/>
      </c>
      <c r="N915" s="17">
        <f>IF($C915="","",IF($L915="","",IF(NOT(ISNUMBER($L915)),"(not a score)",IF($L915&gt;=$J915,"Yes","No"))))</f>
        <v/>
      </c>
      <c r="O915" s="17">
        <f>IF($C915="","",IF($M915="","",IF(NOT(ISNUMBER($M915)),"(not a score)",IF($M915&gt;=$J915,"Yes","No"))))</f>
        <v/>
      </c>
      <c r="P915" s="17">
        <f>IF($C915="","",IF($K915="","",IF(N($K915)&gt;2,"No",IF(COUNTIFS(nrES_PID,$D915,nrES_Code,$F915,nrES_Att,"&gt;"&amp;$K915,nrES_Att,"&lt;=2",nrES_Raw,"&gt;=0")=0,"Yes","No"))))</f>
        <v/>
      </c>
      <c r="Q915" s="17">
        <f>IF($C915="","",IF($L915="","",IF(AND($K915=1,ISNUMBER($L915),$L915&lt;$J915,COUNTIFS(nrES_PID,$D915,nrES_Code,$F915,nrES_Att,2,nrES_Raw,"&gt;=0")=0),"Yes","No")))</f>
        <v/>
      </c>
      <c r="R915" s="17">
        <f>IF($C915="","",IF($L915="","",IF(AND(N($K915)&gt;=2,ISNUMBER($L915),$L915&lt;$J915),"Yes","No")))</f>
        <v/>
      </c>
      <c r="S915" s="18" t="n"/>
      <c r="T915" s="19">
        <f>IF(OR($C915="",$L915="",$K915&lt;&gt;1,NOT(ISNUMBER($L915)),$L915&gt;=$J915),"",IF($S915="","(enter date)",_xlfn.LET(_xlpm.dn,_xlfn.XLOOKUP($S915,nrCDdate,nrCDnum,"",1),IF(_xlpm.dn="","(after last class day)",_xlfn.LET(_xlpm.dd,_xlfn.XLOOKUP(_xlpm.dn+cfgRetestClassDays,nrCDnum,nrCDdate,""),_xlpm.ok,_xlfn.XLOOKUP(_xlpm.dn+cfgRetestClassDays,nrCDnum,nrCDinsession,"No"),IF(OR(_xlpm.dd="",_xlpm.ok&lt;&gt;"Yes"),"(after last class day)",_xlpm.dd))))))</f>
        <v/>
      </c>
      <c r="U915" s="17">
        <f>IF($C915="","",IF(AND($Y915="Excused",$L915="",N($K915)&lt;=1),"EXCUSED - 1st attempt pending",IF(OR($L915="",$K915&lt;&gt;1,NOT(ISNUMBER($L915)),$L915&gt;=$J915),"",IF(COUNTIFS(nrES_PID,$D915,nrES_Code,$F915,nrES_Att,2,nrES_Raw,"&gt;=0")&gt;0,IF(IFERROR(_xlfn.MINIFS(nrES_Date,nrES_PID,$D915,nrES_Code,$F915,nrES_Att,2,nrES_Raw,"&gt;=0",nrES_Date,"&gt;0"),0)=0,"RETEST UNDATED",IF(NOT(ISNUMBER($T915)),"RETEST DATE UNCHECKED",IF(_xlfn.MINIFS(nrES_Date,nrES_PID,$D915,nrES_Code,$F915,nrES_Att,2,nrES_Raw,"&gt;=0",nrES_Date,"&gt;0")&gt;$T915,"LATE RETEST "&amp;TEXT(_xlfn.MINIFS(nrES_Date,nrES_PID,$D915,nrES_Code,$F915,nrES_Att,2,nrES_Raw,"&gt;=0",nrES_Date,"&gt;0"),"mm/dd")&amp;" (due "&amp;TEXT($T915,"mm/dd")&amp;")","Retested"))),IF(NOT(ISNUMBER($T915)),"CHECK DATE",IF(TODAY()&gt;$T915,"OVERDUE","Due "&amp;TEXT($T915,"mm/dd")))))))</f>
        <v/>
      </c>
      <c r="V915" s="16" t="n"/>
      <c r="W915" s="16" t="n"/>
      <c r="X915" s="17">
        <f>IF($C915="","",IF(AND($L915&lt;&gt;"",NOT(ISNUMBER($L915))),"RAW SCORE NOT A NUMBER",IF(AND(ISNUMBER($L915),OR($L915&lt;0,$L915&gt;100)),"RAW SCORE OUT OF RANGE",IF(AND($Y915="Unexcused",OR($L915="",NOT(ISNUMBER($L915)),$L915&lt;&gt;0)),"UNEXCUSED ABSENCE MUST RECORD 0",IF(COUNTIF(nrES_RecID,$B915)&gt;1,"DUPLICATE RECORD",IF(N($K915)&gt;2,"ATTEMPT 3+ NOT ALLOWED - policy 300.5 permits one retest per exam; this row records nothing",IF(AND($K915=2,COUNTIFS(nrES_PID,$D915,nrES_Code,$F915,nrES_Att,1)=0),"ATTEMPT 2 WITHOUT ATTEMPT 1",IF(AND($K915=2,$L915=""),"RETEST ROW HAS NO SCORE",IF(AND($H915="Final",$L915&lt;&gt;"",IFERROR(INDEX(nrCKfinalExamElig,MATCH($D915,rngCadetPIDs,0)),"")="No"),"FINAL EXAM AFTER FAILED FINAL PT (500.1.H)",IF(AND($K915=2,ISNUMBER($L915),COUNTIFS(nrES_PID,$D915,nrES_Code,$F915,nrES_Att,1)&gt;0,SUMIFS(nrES_Raw,nrES_PID,$D915,nrES_Code,$F915,nrES_Att,1)&gt;=$J915),"RETEST AFTER A PASSING FIRST ATTEMPT","OK"))))))))))</f>
        <v/>
      </c>
      <c r="Y915" s="16" t="n"/>
    </row>
    <row r="916">
      <c r="B916" s="17">
        <f>IF($C916="","",$D916&amp;"-"&amp;$F916&amp;"-"&amp;$K916)</f>
        <v/>
      </c>
      <c r="C916" s="16" t="n"/>
      <c r="D916" s="17">
        <f>IF($C916="","",IFERROR(INDEX(rngCadetPIDs,MATCH($C916,rngCadetNames,0)),"?"))</f>
        <v/>
      </c>
      <c r="E916" s="17">
        <f>IF($D916="","",IFERROR(INDEX(nrCadetAgency,MATCH($D916,rngCadetPIDs,0)),""))</f>
        <v/>
      </c>
      <c r="F916" s="16" t="n"/>
      <c r="G916" s="17">
        <f>IF($F916="","",IFERROR(INDEX(rngEPname,MATCH($F916,rngEPcode,0)),"?"))</f>
        <v/>
      </c>
      <c r="H916" s="17">
        <f>IF($F916="","",IFERROR(INDEX(rngEPtype,MATCH($F916,rngEPcode,0)),"?"))</f>
        <v/>
      </c>
      <c r="I916" s="17">
        <f>IF($F916="","",IFERROR(INDEX(rngEPseq,MATCH($F916,rngEPcode,0)),""))</f>
        <v/>
      </c>
      <c r="J916" s="17">
        <f>IF($F916="","",IFERROR(INDEX(rngEPpass,MATCH($F916,rngEPcode,0)),cfgPassingScore))</f>
        <v/>
      </c>
      <c r="K916" s="16" t="n"/>
      <c r="L916" s="16" t="n"/>
      <c r="M916" s="17">
        <f>IF($C916="","",IF($L916="","",IF(NOT(ISNUMBER($L916)),$L916,IF(N($K916)&gt;2,"",IF($K916=1,IF(COUNTIFS(nrES_PID,$D916,nrES_Code,$F916,nrES_Att,2,nrES_Raw,"&gt;=0")&gt;0,"",$L916),IF($L916&gt;=$J916,MAX($J916,cfgRetakeRecordedCap),IF(COUNTIFS(nrES_PID,$D916,nrES_Code,$F916,nrES_Att,1)=0,$L916,SUMIFS(nrES_Raw,nrES_PID,$D916,nrES_Code,$F916,nrES_Att,1))))))))</f>
        <v/>
      </c>
      <c r="N916" s="17">
        <f>IF($C916="","",IF($L916="","",IF(NOT(ISNUMBER($L916)),"(not a score)",IF($L916&gt;=$J916,"Yes","No"))))</f>
        <v/>
      </c>
      <c r="O916" s="17">
        <f>IF($C916="","",IF($M916="","",IF(NOT(ISNUMBER($M916)),"(not a score)",IF($M916&gt;=$J916,"Yes","No"))))</f>
        <v/>
      </c>
      <c r="P916" s="17">
        <f>IF($C916="","",IF($K916="","",IF(N($K916)&gt;2,"No",IF(COUNTIFS(nrES_PID,$D916,nrES_Code,$F916,nrES_Att,"&gt;"&amp;$K916,nrES_Att,"&lt;=2",nrES_Raw,"&gt;=0")=0,"Yes","No"))))</f>
        <v/>
      </c>
      <c r="Q916" s="17">
        <f>IF($C916="","",IF($L916="","",IF(AND($K916=1,ISNUMBER($L916),$L916&lt;$J916,COUNTIFS(nrES_PID,$D916,nrES_Code,$F916,nrES_Att,2,nrES_Raw,"&gt;=0")=0),"Yes","No")))</f>
        <v/>
      </c>
      <c r="R916" s="17">
        <f>IF($C916="","",IF($L916="","",IF(AND(N($K916)&gt;=2,ISNUMBER($L916),$L916&lt;$J916),"Yes","No")))</f>
        <v/>
      </c>
      <c r="S916" s="18" t="n"/>
      <c r="T916" s="19">
        <f>IF(OR($C916="",$L916="",$K916&lt;&gt;1,NOT(ISNUMBER($L916)),$L916&gt;=$J916),"",IF($S916="","(enter date)",_xlfn.LET(_xlpm.dn,_xlfn.XLOOKUP($S916,nrCDdate,nrCDnum,"",1),IF(_xlpm.dn="","(after last class day)",_xlfn.LET(_xlpm.dd,_xlfn.XLOOKUP(_xlpm.dn+cfgRetestClassDays,nrCDnum,nrCDdate,""),_xlpm.ok,_xlfn.XLOOKUP(_xlpm.dn+cfgRetestClassDays,nrCDnum,nrCDinsession,"No"),IF(OR(_xlpm.dd="",_xlpm.ok&lt;&gt;"Yes"),"(after last class day)",_xlpm.dd))))))</f>
        <v/>
      </c>
      <c r="U916" s="17">
        <f>IF($C916="","",IF(AND($Y916="Excused",$L916="",N($K916)&lt;=1),"EXCUSED - 1st attempt pending",IF(OR($L916="",$K916&lt;&gt;1,NOT(ISNUMBER($L916)),$L916&gt;=$J916),"",IF(COUNTIFS(nrES_PID,$D916,nrES_Code,$F916,nrES_Att,2,nrES_Raw,"&gt;=0")&gt;0,IF(IFERROR(_xlfn.MINIFS(nrES_Date,nrES_PID,$D916,nrES_Code,$F916,nrES_Att,2,nrES_Raw,"&gt;=0",nrES_Date,"&gt;0"),0)=0,"RETEST UNDATED",IF(NOT(ISNUMBER($T916)),"RETEST DATE UNCHECKED",IF(_xlfn.MINIFS(nrES_Date,nrES_PID,$D916,nrES_Code,$F916,nrES_Att,2,nrES_Raw,"&gt;=0",nrES_Date,"&gt;0")&gt;$T916,"LATE RETEST "&amp;TEXT(_xlfn.MINIFS(nrES_Date,nrES_PID,$D916,nrES_Code,$F916,nrES_Att,2,nrES_Raw,"&gt;=0",nrES_Date,"&gt;0"),"mm/dd")&amp;" (due "&amp;TEXT($T916,"mm/dd")&amp;")","Retested"))),IF(NOT(ISNUMBER($T916)),"CHECK DATE",IF(TODAY()&gt;$T916,"OVERDUE","Due "&amp;TEXT($T916,"mm/dd")))))))</f>
        <v/>
      </c>
      <c r="V916" s="16" t="n"/>
      <c r="W916" s="16" t="n"/>
      <c r="X916" s="17">
        <f>IF($C916="","",IF(AND($L916&lt;&gt;"",NOT(ISNUMBER($L916))),"RAW SCORE NOT A NUMBER",IF(AND(ISNUMBER($L916),OR($L916&lt;0,$L916&gt;100)),"RAW SCORE OUT OF RANGE",IF(AND($Y916="Unexcused",OR($L916="",NOT(ISNUMBER($L916)),$L916&lt;&gt;0)),"UNEXCUSED ABSENCE MUST RECORD 0",IF(COUNTIF(nrES_RecID,$B916)&gt;1,"DUPLICATE RECORD",IF(N($K916)&gt;2,"ATTEMPT 3+ NOT ALLOWED - policy 300.5 permits one retest per exam; this row records nothing",IF(AND($K916=2,COUNTIFS(nrES_PID,$D916,nrES_Code,$F916,nrES_Att,1)=0),"ATTEMPT 2 WITHOUT ATTEMPT 1",IF(AND($K916=2,$L916=""),"RETEST ROW HAS NO SCORE",IF(AND($H916="Final",$L916&lt;&gt;"",IFERROR(INDEX(nrCKfinalExamElig,MATCH($D916,rngCadetPIDs,0)),"")="No"),"FINAL EXAM AFTER FAILED FINAL PT (500.1.H)",IF(AND($K916=2,ISNUMBER($L916),COUNTIFS(nrES_PID,$D916,nrES_Code,$F916,nrES_Att,1)&gt;0,SUMIFS(nrES_Raw,nrES_PID,$D916,nrES_Code,$F916,nrES_Att,1)&gt;=$J916),"RETEST AFTER A PASSING FIRST ATTEMPT","OK"))))))))))</f>
        <v/>
      </c>
      <c r="Y916" s="16" t="n"/>
    </row>
    <row r="917">
      <c r="B917" s="17">
        <f>IF($C917="","",$D917&amp;"-"&amp;$F917&amp;"-"&amp;$K917)</f>
        <v/>
      </c>
      <c r="C917" s="16" t="n"/>
      <c r="D917" s="17">
        <f>IF($C917="","",IFERROR(INDEX(rngCadetPIDs,MATCH($C917,rngCadetNames,0)),"?"))</f>
        <v/>
      </c>
      <c r="E917" s="17">
        <f>IF($D917="","",IFERROR(INDEX(nrCadetAgency,MATCH($D917,rngCadetPIDs,0)),""))</f>
        <v/>
      </c>
      <c r="F917" s="16" t="n"/>
      <c r="G917" s="17">
        <f>IF($F917="","",IFERROR(INDEX(rngEPname,MATCH($F917,rngEPcode,0)),"?"))</f>
        <v/>
      </c>
      <c r="H917" s="17">
        <f>IF($F917="","",IFERROR(INDEX(rngEPtype,MATCH($F917,rngEPcode,0)),"?"))</f>
        <v/>
      </c>
      <c r="I917" s="17">
        <f>IF($F917="","",IFERROR(INDEX(rngEPseq,MATCH($F917,rngEPcode,0)),""))</f>
        <v/>
      </c>
      <c r="J917" s="17">
        <f>IF($F917="","",IFERROR(INDEX(rngEPpass,MATCH($F917,rngEPcode,0)),cfgPassingScore))</f>
        <v/>
      </c>
      <c r="K917" s="16" t="n"/>
      <c r="L917" s="16" t="n"/>
      <c r="M917" s="17">
        <f>IF($C917="","",IF($L917="","",IF(NOT(ISNUMBER($L917)),$L917,IF(N($K917)&gt;2,"",IF($K917=1,IF(COUNTIFS(nrES_PID,$D917,nrES_Code,$F917,nrES_Att,2,nrES_Raw,"&gt;=0")&gt;0,"",$L917),IF($L917&gt;=$J917,MAX($J917,cfgRetakeRecordedCap),IF(COUNTIFS(nrES_PID,$D917,nrES_Code,$F917,nrES_Att,1)=0,$L917,SUMIFS(nrES_Raw,nrES_PID,$D917,nrES_Code,$F917,nrES_Att,1))))))))</f>
        <v/>
      </c>
      <c r="N917" s="17">
        <f>IF($C917="","",IF($L917="","",IF(NOT(ISNUMBER($L917)),"(not a score)",IF($L917&gt;=$J917,"Yes","No"))))</f>
        <v/>
      </c>
      <c r="O917" s="17">
        <f>IF($C917="","",IF($M917="","",IF(NOT(ISNUMBER($M917)),"(not a score)",IF($M917&gt;=$J917,"Yes","No"))))</f>
        <v/>
      </c>
      <c r="P917" s="17">
        <f>IF($C917="","",IF($K917="","",IF(N($K917)&gt;2,"No",IF(COUNTIFS(nrES_PID,$D917,nrES_Code,$F917,nrES_Att,"&gt;"&amp;$K917,nrES_Att,"&lt;=2",nrES_Raw,"&gt;=0")=0,"Yes","No"))))</f>
        <v/>
      </c>
      <c r="Q917" s="17">
        <f>IF($C917="","",IF($L917="","",IF(AND($K917=1,ISNUMBER($L917),$L917&lt;$J917,COUNTIFS(nrES_PID,$D917,nrES_Code,$F917,nrES_Att,2,nrES_Raw,"&gt;=0")=0),"Yes","No")))</f>
        <v/>
      </c>
      <c r="R917" s="17">
        <f>IF($C917="","",IF($L917="","",IF(AND(N($K917)&gt;=2,ISNUMBER($L917),$L917&lt;$J917),"Yes","No")))</f>
        <v/>
      </c>
      <c r="S917" s="18" t="n"/>
      <c r="T917" s="19">
        <f>IF(OR($C917="",$L917="",$K917&lt;&gt;1,NOT(ISNUMBER($L917)),$L917&gt;=$J917),"",IF($S917="","(enter date)",_xlfn.LET(_xlpm.dn,_xlfn.XLOOKUP($S917,nrCDdate,nrCDnum,"",1),IF(_xlpm.dn="","(after last class day)",_xlfn.LET(_xlpm.dd,_xlfn.XLOOKUP(_xlpm.dn+cfgRetestClassDays,nrCDnum,nrCDdate,""),_xlpm.ok,_xlfn.XLOOKUP(_xlpm.dn+cfgRetestClassDays,nrCDnum,nrCDinsession,"No"),IF(OR(_xlpm.dd="",_xlpm.ok&lt;&gt;"Yes"),"(after last class day)",_xlpm.dd))))))</f>
        <v/>
      </c>
      <c r="U917" s="17">
        <f>IF($C917="","",IF(AND($Y917="Excused",$L917="",N($K917)&lt;=1),"EXCUSED - 1st attempt pending",IF(OR($L917="",$K917&lt;&gt;1,NOT(ISNUMBER($L917)),$L917&gt;=$J917),"",IF(COUNTIFS(nrES_PID,$D917,nrES_Code,$F917,nrES_Att,2,nrES_Raw,"&gt;=0")&gt;0,IF(IFERROR(_xlfn.MINIFS(nrES_Date,nrES_PID,$D917,nrES_Code,$F917,nrES_Att,2,nrES_Raw,"&gt;=0",nrES_Date,"&gt;0"),0)=0,"RETEST UNDATED",IF(NOT(ISNUMBER($T917)),"RETEST DATE UNCHECKED",IF(_xlfn.MINIFS(nrES_Date,nrES_PID,$D917,nrES_Code,$F917,nrES_Att,2,nrES_Raw,"&gt;=0",nrES_Date,"&gt;0")&gt;$T917,"LATE RETEST "&amp;TEXT(_xlfn.MINIFS(nrES_Date,nrES_PID,$D917,nrES_Code,$F917,nrES_Att,2,nrES_Raw,"&gt;=0",nrES_Date,"&gt;0"),"mm/dd")&amp;" (due "&amp;TEXT($T917,"mm/dd")&amp;")","Retested"))),IF(NOT(ISNUMBER($T917)),"CHECK DATE",IF(TODAY()&gt;$T917,"OVERDUE","Due "&amp;TEXT($T917,"mm/dd")))))))</f>
        <v/>
      </c>
      <c r="V917" s="16" t="n"/>
      <c r="W917" s="16" t="n"/>
      <c r="X917" s="17">
        <f>IF($C917="","",IF(AND($L917&lt;&gt;"",NOT(ISNUMBER($L917))),"RAW SCORE NOT A NUMBER",IF(AND(ISNUMBER($L917),OR($L917&lt;0,$L917&gt;100)),"RAW SCORE OUT OF RANGE",IF(AND($Y917="Unexcused",OR($L917="",NOT(ISNUMBER($L917)),$L917&lt;&gt;0)),"UNEXCUSED ABSENCE MUST RECORD 0",IF(COUNTIF(nrES_RecID,$B917)&gt;1,"DUPLICATE RECORD",IF(N($K917)&gt;2,"ATTEMPT 3+ NOT ALLOWED - policy 300.5 permits one retest per exam; this row records nothing",IF(AND($K917=2,COUNTIFS(nrES_PID,$D917,nrES_Code,$F917,nrES_Att,1)=0),"ATTEMPT 2 WITHOUT ATTEMPT 1",IF(AND($K917=2,$L917=""),"RETEST ROW HAS NO SCORE",IF(AND($H917="Final",$L917&lt;&gt;"",IFERROR(INDEX(nrCKfinalExamElig,MATCH($D917,rngCadetPIDs,0)),"")="No"),"FINAL EXAM AFTER FAILED FINAL PT (500.1.H)",IF(AND($K917=2,ISNUMBER($L917),COUNTIFS(nrES_PID,$D917,nrES_Code,$F917,nrES_Att,1)&gt;0,SUMIFS(nrES_Raw,nrES_PID,$D917,nrES_Code,$F917,nrES_Att,1)&gt;=$J917),"RETEST AFTER A PASSING FIRST ATTEMPT","OK"))))))))))</f>
        <v/>
      </c>
      <c r="Y917" s="16" t="n"/>
    </row>
    <row r="918">
      <c r="B918" s="17">
        <f>IF($C918="","",$D918&amp;"-"&amp;$F918&amp;"-"&amp;$K918)</f>
        <v/>
      </c>
      <c r="C918" s="16" t="n"/>
      <c r="D918" s="17">
        <f>IF($C918="","",IFERROR(INDEX(rngCadetPIDs,MATCH($C918,rngCadetNames,0)),"?"))</f>
        <v/>
      </c>
      <c r="E918" s="17">
        <f>IF($D918="","",IFERROR(INDEX(nrCadetAgency,MATCH($D918,rngCadetPIDs,0)),""))</f>
        <v/>
      </c>
      <c r="F918" s="16" t="n"/>
      <c r="G918" s="17">
        <f>IF($F918="","",IFERROR(INDEX(rngEPname,MATCH($F918,rngEPcode,0)),"?"))</f>
        <v/>
      </c>
      <c r="H918" s="17">
        <f>IF($F918="","",IFERROR(INDEX(rngEPtype,MATCH($F918,rngEPcode,0)),"?"))</f>
        <v/>
      </c>
      <c r="I918" s="17">
        <f>IF($F918="","",IFERROR(INDEX(rngEPseq,MATCH($F918,rngEPcode,0)),""))</f>
        <v/>
      </c>
      <c r="J918" s="17">
        <f>IF($F918="","",IFERROR(INDEX(rngEPpass,MATCH($F918,rngEPcode,0)),cfgPassingScore))</f>
        <v/>
      </c>
      <c r="K918" s="16" t="n"/>
      <c r="L918" s="16" t="n"/>
      <c r="M918" s="17">
        <f>IF($C918="","",IF($L918="","",IF(NOT(ISNUMBER($L918)),$L918,IF(N($K918)&gt;2,"",IF($K918=1,IF(COUNTIFS(nrES_PID,$D918,nrES_Code,$F918,nrES_Att,2,nrES_Raw,"&gt;=0")&gt;0,"",$L918),IF($L918&gt;=$J918,MAX($J918,cfgRetakeRecordedCap),IF(COUNTIFS(nrES_PID,$D918,nrES_Code,$F918,nrES_Att,1)=0,$L918,SUMIFS(nrES_Raw,nrES_PID,$D918,nrES_Code,$F918,nrES_Att,1))))))))</f>
        <v/>
      </c>
      <c r="N918" s="17">
        <f>IF($C918="","",IF($L918="","",IF(NOT(ISNUMBER($L918)),"(not a score)",IF($L918&gt;=$J918,"Yes","No"))))</f>
        <v/>
      </c>
      <c r="O918" s="17">
        <f>IF($C918="","",IF($M918="","",IF(NOT(ISNUMBER($M918)),"(not a score)",IF($M918&gt;=$J918,"Yes","No"))))</f>
        <v/>
      </c>
      <c r="P918" s="17">
        <f>IF($C918="","",IF($K918="","",IF(N($K918)&gt;2,"No",IF(COUNTIFS(nrES_PID,$D918,nrES_Code,$F918,nrES_Att,"&gt;"&amp;$K918,nrES_Att,"&lt;=2",nrES_Raw,"&gt;=0")=0,"Yes","No"))))</f>
        <v/>
      </c>
      <c r="Q918" s="17">
        <f>IF($C918="","",IF($L918="","",IF(AND($K918=1,ISNUMBER($L918),$L918&lt;$J918,COUNTIFS(nrES_PID,$D918,nrES_Code,$F918,nrES_Att,2,nrES_Raw,"&gt;=0")=0),"Yes","No")))</f>
        <v/>
      </c>
      <c r="R918" s="17">
        <f>IF($C918="","",IF($L918="","",IF(AND(N($K918)&gt;=2,ISNUMBER($L918),$L918&lt;$J918),"Yes","No")))</f>
        <v/>
      </c>
      <c r="S918" s="18" t="n"/>
      <c r="T918" s="19">
        <f>IF(OR($C918="",$L918="",$K918&lt;&gt;1,NOT(ISNUMBER($L918)),$L918&gt;=$J918),"",IF($S918="","(enter date)",_xlfn.LET(_xlpm.dn,_xlfn.XLOOKUP($S918,nrCDdate,nrCDnum,"",1),IF(_xlpm.dn="","(after last class day)",_xlfn.LET(_xlpm.dd,_xlfn.XLOOKUP(_xlpm.dn+cfgRetestClassDays,nrCDnum,nrCDdate,""),_xlpm.ok,_xlfn.XLOOKUP(_xlpm.dn+cfgRetestClassDays,nrCDnum,nrCDinsession,"No"),IF(OR(_xlpm.dd="",_xlpm.ok&lt;&gt;"Yes"),"(after last class day)",_xlpm.dd))))))</f>
        <v/>
      </c>
      <c r="U918" s="17">
        <f>IF($C918="","",IF(AND($Y918="Excused",$L918="",N($K918)&lt;=1),"EXCUSED - 1st attempt pending",IF(OR($L918="",$K918&lt;&gt;1,NOT(ISNUMBER($L918)),$L918&gt;=$J918),"",IF(COUNTIFS(nrES_PID,$D918,nrES_Code,$F918,nrES_Att,2,nrES_Raw,"&gt;=0")&gt;0,IF(IFERROR(_xlfn.MINIFS(nrES_Date,nrES_PID,$D918,nrES_Code,$F918,nrES_Att,2,nrES_Raw,"&gt;=0",nrES_Date,"&gt;0"),0)=0,"RETEST UNDATED",IF(NOT(ISNUMBER($T918)),"RETEST DATE UNCHECKED",IF(_xlfn.MINIFS(nrES_Date,nrES_PID,$D918,nrES_Code,$F918,nrES_Att,2,nrES_Raw,"&gt;=0",nrES_Date,"&gt;0")&gt;$T918,"LATE RETEST "&amp;TEXT(_xlfn.MINIFS(nrES_Date,nrES_PID,$D918,nrES_Code,$F918,nrES_Att,2,nrES_Raw,"&gt;=0",nrES_Date,"&gt;0"),"mm/dd")&amp;" (due "&amp;TEXT($T918,"mm/dd")&amp;")","Retested"))),IF(NOT(ISNUMBER($T918)),"CHECK DATE",IF(TODAY()&gt;$T918,"OVERDUE","Due "&amp;TEXT($T918,"mm/dd")))))))</f>
        <v/>
      </c>
      <c r="V918" s="16" t="n"/>
      <c r="W918" s="16" t="n"/>
      <c r="X918" s="17">
        <f>IF($C918="","",IF(AND($L918&lt;&gt;"",NOT(ISNUMBER($L918))),"RAW SCORE NOT A NUMBER",IF(AND(ISNUMBER($L918),OR($L918&lt;0,$L918&gt;100)),"RAW SCORE OUT OF RANGE",IF(AND($Y918="Unexcused",OR($L918="",NOT(ISNUMBER($L918)),$L918&lt;&gt;0)),"UNEXCUSED ABSENCE MUST RECORD 0",IF(COUNTIF(nrES_RecID,$B918)&gt;1,"DUPLICATE RECORD",IF(N($K918)&gt;2,"ATTEMPT 3+ NOT ALLOWED - policy 300.5 permits one retest per exam; this row records nothing",IF(AND($K918=2,COUNTIFS(nrES_PID,$D918,nrES_Code,$F918,nrES_Att,1)=0),"ATTEMPT 2 WITHOUT ATTEMPT 1",IF(AND($K918=2,$L918=""),"RETEST ROW HAS NO SCORE",IF(AND($H918="Final",$L918&lt;&gt;"",IFERROR(INDEX(nrCKfinalExamElig,MATCH($D918,rngCadetPIDs,0)),"")="No"),"FINAL EXAM AFTER FAILED FINAL PT (500.1.H)",IF(AND($K918=2,ISNUMBER($L918),COUNTIFS(nrES_PID,$D918,nrES_Code,$F918,nrES_Att,1)&gt;0,SUMIFS(nrES_Raw,nrES_PID,$D918,nrES_Code,$F918,nrES_Att,1)&gt;=$J918),"RETEST AFTER A PASSING FIRST ATTEMPT","OK"))))))))))</f>
        <v/>
      </c>
      <c r="Y918" s="16" t="n"/>
    </row>
    <row r="919">
      <c r="B919" s="17">
        <f>IF($C919="","",$D919&amp;"-"&amp;$F919&amp;"-"&amp;$K919)</f>
        <v/>
      </c>
      <c r="C919" s="16" t="n"/>
      <c r="D919" s="17">
        <f>IF($C919="","",IFERROR(INDEX(rngCadetPIDs,MATCH($C919,rngCadetNames,0)),"?"))</f>
        <v/>
      </c>
      <c r="E919" s="17">
        <f>IF($D919="","",IFERROR(INDEX(nrCadetAgency,MATCH($D919,rngCadetPIDs,0)),""))</f>
        <v/>
      </c>
      <c r="F919" s="16" t="n"/>
      <c r="G919" s="17">
        <f>IF($F919="","",IFERROR(INDEX(rngEPname,MATCH($F919,rngEPcode,0)),"?"))</f>
        <v/>
      </c>
      <c r="H919" s="17">
        <f>IF($F919="","",IFERROR(INDEX(rngEPtype,MATCH($F919,rngEPcode,0)),"?"))</f>
        <v/>
      </c>
      <c r="I919" s="17">
        <f>IF($F919="","",IFERROR(INDEX(rngEPseq,MATCH($F919,rngEPcode,0)),""))</f>
        <v/>
      </c>
      <c r="J919" s="17">
        <f>IF($F919="","",IFERROR(INDEX(rngEPpass,MATCH($F919,rngEPcode,0)),cfgPassingScore))</f>
        <v/>
      </c>
      <c r="K919" s="16" t="n"/>
      <c r="L919" s="16" t="n"/>
      <c r="M919" s="17">
        <f>IF($C919="","",IF($L919="","",IF(NOT(ISNUMBER($L919)),$L919,IF(N($K919)&gt;2,"",IF($K919=1,IF(COUNTIFS(nrES_PID,$D919,nrES_Code,$F919,nrES_Att,2,nrES_Raw,"&gt;=0")&gt;0,"",$L919),IF($L919&gt;=$J919,MAX($J919,cfgRetakeRecordedCap),IF(COUNTIFS(nrES_PID,$D919,nrES_Code,$F919,nrES_Att,1)=0,$L919,SUMIFS(nrES_Raw,nrES_PID,$D919,nrES_Code,$F919,nrES_Att,1))))))))</f>
        <v/>
      </c>
      <c r="N919" s="17">
        <f>IF($C919="","",IF($L919="","",IF(NOT(ISNUMBER($L919)),"(not a score)",IF($L919&gt;=$J919,"Yes","No"))))</f>
        <v/>
      </c>
      <c r="O919" s="17">
        <f>IF($C919="","",IF($M919="","",IF(NOT(ISNUMBER($M919)),"(not a score)",IF($M919&gt;=$J919,"Yes","No"))))</f>
        <v/>
      </c>
      <c r="P919" s="17">
        <f>IF($C919="","",IF($K919="","",IF(N($K919)&gt;2,"No",IF(COUNTIFS(nrES_PID,$D919,nrES_Code,$F919,nrES_Att,"&gt;"&amp;$K919,nrES_Att,"&lt;=2",nrES_Raw,"&gt;=0")=0,"Yes","No"))))</f>
        <v/>
      </c>
      <c r="Q919" s="17">
        <f>IF($C919="","",IF($L919="","",IF(AND($K919=1,ISNUMBER($L919),$L919&lt;$J919,COUNTIFS(nrES_PID,$D919,nrES_Code,$F919,nrES_Att,2,nrES_Raw,"&gt;=0")=0),"Yes","No")))</f>
        <v/>
      </c>
      <c r="R919" s="17">
        <f>IF($C919="","",IF($L919="","",IF(AND(N($K919)&gt;=2,ISNUMBER($L919),$L919&lt;$J919),"Yes","No")))</f>
        <v/>
      </c>
      <c r="S919" s="18" t="n"/>
      <c r="T919" s="19">
        <f>IF(OR($C919="",$L919="",$K919&lt;&gt;1,NOT(ISNUMBER($L919)),$L919&gt;=$J919),"",IF($S919="","(enter date)",_xlfn.LET(_xlpm.dn,_xlfn.XLOOKUP($S919,nrCDdate,nrCDnum,"",1),IF(_xlpm.dn="","(after last class day)",_xlfn.LET(_xlpm.dd,_xlfn.XLOOKUP(_xlpm.dn+cfgRetestClassDays,nrCDnum,nrCDdate,""),_xlpm.ok,_xlfn.XLOOKUP(_xlpm.dn+cfgRetestClassDays,nrCDnum,nrCDinsession,"No"),IF(OR(_xlpm.dd="",_xlpm.ok&lt;&gt;"Yes"),"(after last class day)",_xlpm.dd))))))</f>
        <v/>
      </c>
      <c r="U919" s="17">
        <f>IF($C919="","",IF(AND($Y919="Excused",$L919="",N($K919)&lt;=1),"EXCUSED - 1st attempt pending",IF(OR($L919="",$K919&lt;&gt;1,NOT(ISNUMBER($L919)),$L919&gt;=$J919),"",IF(COUNTIFS(nrES_PID,$D919,nrES_Code,$F919,nrES_Att,2,nrES_Raw,"&gt;=0")&gt;0,IF(IFERROR(_xlfn.MINIFS(nrES_Date,nrES_PID,$D919,nrES_Code,$F919,nrES_Att,2,nrES_Raw,"&gt;=0",nrES_Date,"&gt;0"),0)=0,"RETEST UNDATED",IF(NOT(ISNUMBER($T919)),"RETEST DATE UNCHECKED",IF(_xlfn.MINIFS(nrES_Date,nrES_PID,$D919,nrES_Code,$F919,nrES_Att,2,nrES_Raw,"&gt;=0",nrES_Date,"&gt;0")&gt;$T919,"LATE RETEST "&amp;TEXT(_xlfn.MINIFS(nrES_Date,nrES_PID,$D919,nrES_Code,$F919,nrES_Att,2,nrES_Raw,"&gt;=0",nrES_Date,"&gt;0"),"mm/dd")&amp;" (due "&amp;TEXT($T919,"mm/dd")&amp;")","Retested"))),IF(NOT(ISNUMBER($T919)),"CHECK DATE",IF(TODAY()&gt;$T919,"OVERDUE","Due "&amp;TEXT($T919,"mm/dd")))))))</f>
        <v/>
      </c>
      <c r="V919" s="16" t="n"/>
      <c r="W919" s="16" t="n"/>
      <c r="X919" s="17">
        <f>IF($C919="","",IF(AND($L919&lt;&gt;"",NOT(ISNUMBER($L919))),"RAW SCORE NOT A NUMBER",IF(AND(ISNUMBER($L919),OR($L919&lt;0,$L919&gt;100)),"RAW SCORE OUT OF RANGE",IF(AND($Y919="Unexcused",OR($L919="",NOT(ISNUMBER($L919)),$L919&lt;&gt;0)),"UNEXCUSED ABSENCE MUST RECORD 0",IF(COUNTIF(nrES_RecID,$B919)&gt;1,"DUPLICATE RECORD",IF(N($K919)&gt;2,"ATTEMPT 3+ NOT ALLOWED - policy 300.5 permits one retest per exam; this row records nothing",IF(AND($K919=2,COUNTIFS(nrES_PID,$D919,nrES_Code,$F919,nrES_Att,1)=0),"ATTEMPT 2 WITHOUT ATTEMPT 1",IF(AND($K919=2,$L919=""),"RETEST ROW HAS NO SCORE",IF(AND($H919="Final",$L919&lt;&gt;"",IFERROR(INDEX(nrCKfinalExamElig,MATCH($D919,rngCadetPIDs,0)),"")="No"),"FINAL EXAM AFTER FAILED FINAL PT (500.1.H)",IF(AND($K919=2,ISNUMBER($L919),COUNTIFS(nrES_PID,$D919,nrES_Code,$F919,nrES_Att,1)&gt;0,SUMIFS(nrES_Raw,nrES_PID,$D919,nrES_Code,$F919,nrES_Att,1)&gt;=$J919),"RETEST AFTER A PASSING FIRST ATTEMPT","OK"))))))))))</f>
        <v/>
      </c>
      <c r="Y919" s="16" t="n"/>
    </row>
    <row r="920">
      <c r="B920" s="17">
        <f>IF($C920="","",$D920&amp;"-"&amp;$F920&amp;"-"&amp;$K920)</f>
        <v/>
      </c>
      <c r="C920" s="16" t="n"/>
      <c r="D920" s="17">
        <f>IF($C920="","",IFERROR(INDEX(rngCadetPIDs,MATCH($C920,rngCadetNames,0)),"?"))</f>
        <v/>
      </c>
      <c r="E920" s="17">
        <f>IF($D920="","",IFERROR(INDEX(nrCadetAgency,MATCH($D920,rngCadetPIDs,0)),""))</f>
        <v/>
      </c>
      <c r="F920" s="16" t="n"/>
      <c r="G920" s="17">
        <f>IF($F920="","",IFERROR(INDEX(rngEPname,MATCH($F920,rngEPcode,0)),"?"))</f>
        <v/>
      </c>
      <c r="H920" s="17">
        <f>IF($F920="","",IFERROR(INDEX(rngEPtype,MATCH($F920,rngEPcode,0)),"?"))</f>
        <v/>
      </c>
      <c r="I920" s="17">
        <f>IF($F920="","",IFERROR(INDEX(rngEPseq,MATCH($F920,rngEPcode,0)),""))</f>
        <v/>
      </c>
      <c r="J920" s="17">
        <f>IF($F920="","",IFERROR(INDEX(rngEPpass,MATCH($F920,rngEPcode,0)),cfgPassingScore))</f>
        <v/>
      </c>
      <c r="K920" s="16" t="n"/>
      <c r="L920" s="16" t="n"/>
      <c r="M920" s="17">
        <f>IF($C920="","",IF($L920="","",IF(NOT(ISNUMBER($L920)),$L920,IF(N($K920)&gt;2,"",IF($K920=1,IF(COUNTIFS(nrES_PID,$D920,nrES_Code,$F920,nrES_Att,2,nrES_Raw,"&gt;=0")&gt;0,"",$L920),IF($L920&gt;=$J920,MAX($J920,cfgRetakeRecordedCap),IF(COUNTIFS(nrES_PID,$D920,nrES_Code,$F920,nrES_Att,1)=0,$L920,SUMIFS(nrES_Raw,nrES_PID,$D920,nrES_Code,$F920,nrES_Att,1))))))))</f>
        <v/>
      </c>
      <c r="N920" s="17">
        <f>IF($C920="","",IF($L920="","",IF(NOT(ISNUMBER($L920)),"(not a score)",IF($L920&gt;=$J920,"Yes","No"))))</f>
        <v/>
      </c>
      <c r="O920" s="17">
        <f>IF($C920="","",IF($M920="","",IF(NOT(ISNUMBER($M920)),"(not a score)",IF($M920&gt;=$J920,"Yes","No"))))</f>
        <v/>
      </c>
      <c r="P920" s="17">
        <f>IF($C920="","",IF($K920="","",IF(N($K920)&gt;2,"No",IF(COUNTIFS(nrES_PID,$D920,nrES_Code,$F920,nrES_Att,"&gt;"&amp;$K920,nrES_Att,"&lt;=2",nrES_Raw,"&gt;=0")=0,"Yes","No"))))</f>
        <v/>
      </c>
      <c r="Q920" s="17">
        <f>IF($C920="","",IF($L920="","",IF(AND($K920=1,ISNUMBER($L920),$L920&lt;$J920,COUNTIFS(nrES_PID,$D920,nrES_Code,$F920,nrES_Att,2,nrES_Raw,"&gt;=0")=0),"Yes","No")))</f>
        <v/>
      </c>
      <c r="R920" s="17">
        <f>IF($C920="","",IF($L920="","",IF(AND(N($K920)&gt;=2,ISNUMBER($L920),$L920&lt;$J920),"Yes","No")))</f>
        <v/>
      </c>
      <c r="S920" s="18" t="n"/>
      <c r="T920" s="19">
        <f>IF(OR($C920="",$L920="",$K920&lt;&gt;1,NOT(ISNUMBER($L920)),$L920&gt;=$J920),"",IF($S920="","(enter date)",_xlfn.LET(_xlpm.dn,_xlfn.XLOOKUP($S920,nrCDdate,nrCDnum,"",1),IF(_xlpm.dn="","(after last class day)",_xlfn.LET(_xlpm.dd,_xlfn.XLOOKUP(_xlpm.dn+cfgRetestClassDays,nrCDnum,nrCDdate,""),_xlpm.ok,_xlfn.XLOOKUP(_xlpm.dn+cfgRetestClassDays,nrCDnum,nrCDinsession,"No"),IF(OR(_xlpm.dd="",_xlpm.ok&lt;&gt;"Yes"),"(after last class day)",_xlpm.dd))))))</f>
        <v/>
      </c>
      <c r="U920" s="17">
        <f>IF($C920="","",IF(AND($Y920="Excused",$L920="",N($K920)&lt;=1),"EXCUSED - 1st attempt pending",IF(OR($L920="",$K920&lt;&gt;1,NOT(ISNUMBER($L920)),$L920&gt;=$J920),"",IF(COUNTIFS(nrES_PID,$D920,nrES_Code,$F920,nrES_Att,2,nrES_Raw,"&gt;=0")&gt;0,IF(IFERROR(_xlfn.MINIFS(nrES_Date,nrES_PID,$D920,nrES_Code,$F920,nrES_Att,2,nrES_Raw,"&gt;=0",nrES_Date,"&gt;0"),0)=0,"RETEST UNDATED",IF(NOT(ISNUMBER($T920)),"RETEST DATE UNCHECKED",IF(_xlfn.MINIFS(nrES_Date,nrES_PID,$D920,nrES_Code,$F920,nrES_Att,2,nrES_Raw,"&gt;=0",nrES_Date,"&gt;0")&gt;$T920,"LATE RETEST "&amp;TEXT(_xlfn.MINIFS(nrES_Date,nrES_PID,$D920,nrES_Code,$F920,nrES_Att,2,nrES_Raw,"&gt;=0",nrES_Date,"&gt;0"),"mm/dd")&amp;" (due "&amp;TEXT($T920,"mm/dd")&amp;")","Retested"))),IF(NOT(ISNUMBER($T920)),"CHECK DATE",IF(TODAY()&gt;$T920,"OVERDUE","Due "&amp;TEXT($T920,"mm/dd")))))))</f>
        <v/>
      </c>
      <c r="V920" s="16" t="n"/>
      <c r="W920" s="16" t="n"/>
      <c r="X920" s="17">
        <f>IF($C920="","",IF(AND($L920&lt;&gt;"",NOT(ISNUMBER($L920))),"RAW SCORE NOT A NUMBER",IF(AND(ISNUMBER($L920),OR($L920&lt;0,$L920&gt;100)),"RAW SCORE OUT OF RANGE",IF(AND($Y920="Unexcused",OR($L920="",NOT(ISNUMBER($L920)),$L920&lt;&gt;0)),"UNEXCUSED ABSENCE MUST RECORD 0",IF(COUNTIF(nrES_RecID,$B920)&gt;1,"DUPLICATE RECORD",IF(N($K920)&gt;2,"ATTEMPT 3+ NOT ALLOWED - policy 300.5 permits one retest per exam; this row records nothing",IF(AND($K920=2,COUNTIFS(nrES_PID,$D920,nrES_Code,$F920,nrES_Att,1)=0),"ATTEMPT 2 WITHOUT ATTEMPT 1",IF(AND($K920=2,$L920=""),"RETEST ROW HAS NO SCORE",IF(AND($H920="Final",$L920&lt;&gt;"",IFERROR(INDEX(nrCKfinalExamElig,MATCH($D920,rngCadetPIDs,0)),"")="No"),"FINAL EXAM AFTER FAILED FINAL PT (500.1.H)",IF(AND($K920=2,ISNUMBER($L920),COUNTIFS(nrES_PID,$D920,nrES_Code,$F920,nrES_Att,1)&gt;0,SUMIFS(nrES_Raw,nrES_PID,$D920,nrES_Code,$F920,nrES_Att,1)&gt;=$J920),"RETEST AFTER A PASSING FIRST ATTEMPT","OK"))))))))))</f>
        <v/>
      </c>
      <c r="Y920" s="16" t="n"/>
    </row>
    <row r="921">
      <c r="B921" s="17">
        <f>IF($C921="","",$D921&amp;"-"&amp;$F921&amp;"-"&amp;$K921)</f>
        <v/>
      </c>
      <c r="C921" s="16" t="n"/>
      <c r="D921" s="17">
        <f>IF($C921="","",IFERROR(INDEX(rngCadetPIDs,MATCH($C921,rngCadetNames,0)),"?"))</f>
        <v/>
      </c>
      <c r="E921" s="17">
        <f>IF($D921="","",IFERROR(INDEX(nrCadetAgency,MATCH($D921,rngCadetPIDs,0)),""))</f>
        <v/>
      </c>
      <c r="F921" s="16" t="n"/>
      <c r="G921" s="17">
        <f>IF($F921="","",IFERROR(INDEX(rngEPname,MATCH($F921,rngEPcode,0)),"?"))</f>
        <v/>
      </c>
      <c r="H921" s="17">
        <f>IF($F921="","",IFERROR(INDEX(rngEPtype,MATCH($F921,rngEPcode,0)),"?"))</f>
        <v/>
      </c>
      <c r="I921" s="17">
        <f>IF($F921="","",IFERROR(INDEX(rngEPseq,MATCH($F921,rngEPcode,0)),""))</f>
        <v/>
      </c>
      <c r="J921" s="17">
        <f>IF($F921="","",IFERROR(INDEX(rngEPpass,MATCH($F921,rngEPcode,0)),cfgPassingScore))</f>
        <v/>
      </c>
      <c r="K921" s="16" t="n"/>
      <c r="L921" s="16" t="n"/>
      <c r="M921" s="17">
        <f>IF($C921="","",IF($L921="","",IF(NOT(ISNUMBER($L921)),$L921,IF(N($K921)&gt;2,"",IF($K921=1,IF(COUNTIFS(nrES_PID,$D921,nrES_Code,$F921,nrES_Att,2,nrES_Raw,"&gt;=0")&gt;0,"",$L921),IF($L921&gt;=$J921,MAX($J921,cfgRetakeRecordedCap),IF(COUNTIFS(nrES_PID,$D921,nrES_Code,$F921,nrES_Att,1)=0,$L921,SUMIFS(nrES_Raw,nrES_PID,$D921,nrES_Code,$F921,nrES_Att,1))))))))</f>
        <v/>
      </c>
      <c r="N921" s="17">
        <f>IF($C921="","",IF($L921="","",IF(NOT(ISNUMBER($L921)),"(not a score)",IF($L921&gt;=$J921,"Yes","No"))))</f>
        <v/>
      </c>
      <c r="O921" s="17">
        <f>IF($C921="","",IF($M921="","",IF(NOT(ISNUMBER($M921)),"(not a score)",IF($M921&gt;=$J921,"Yes","No"))))</f>
        <v/>
      </c>
      <c r="P921" s="17">
        <f>IF($C921="","",IF($K921="","",IF(N($K921)&gt;2,"No",IF(COUNTIFS(nrES_PID,$D921,nrES_Code,$F921,nrES_Att,"&gt;"&amp;$K921,nrES_Att,"&lt;=2",nrES_Raw,"&gt;=0")=0,"Yes","No"))))</f>
        <v/>
      </c>
      <c r="Q921" s="17">
        <f>IF($C921="","",IF($L921="","",IF(AND($K921=1,ISNUMBER($L921),$L921&lt;$J921,COUNTIFS(nrES_PID,$D921,nrES_Code,$F921,nrES_Att,2,nrES_Raw,"&gt;=0")=0),"Yes","No")))</f>
        <v/>
      </c>
      <c r="R921" s="17">
        <f>IF($C921="","",IF($L921="","",IF(AND(N($K921)&gt;=2,ISNUMBER($L921),$L921&lt;$J921),"Yes","No")))</f>
        <v/>
      </c>
      <c r="S921" s="18" t="n"/>
      <c r="T921" s="19">
        <f>IF(OR($C921="",$L921="",$K921&lt;&gt;1,NOT(ISNUMBER($L921)),$L921&gt;=$J921),"",IF($S921="","(enter date)",_xlfn.LET(_xlpm.dn,_xlfn.XLOOKUP($S921,nrCDdate,nrCDnum,"",1),IF(_xlpm.dn="","(after last class day)",_xlfn.LET(_xlpm.dd,_xlfn.XLOOKUP(_xlpm.dn+cfgRetestClassDays,nrCDnum,nrCDdate,""),_xlpm.ok,_xlfn.XLOOKUP(_xlpm.dn+cfgRetestClassDays,nrCDnum,nrCDinsession,"No"),IF(OR(_xlpm.dd="",_xlpm.ok&lt;&gt;"Yes"),"(after last class day)",_xlpm.dd))))))</f>
        <v/>
      </c>
      <c r="U921" s="17">
        <f>IF($C921="","",IF(AND($Y921="Excused",$L921="",N($K921)&lt;=1),"EXCUSED - 1st attempt pending",IF(OR($L921="",$K921&lt;&gt;1,NOT(ISNUMBER($L921)),$L921&gt;=$J921),"",IF(COUNTIFS(nrES_PID,$D921,nrES_Code,$F921,nrES_Att,2,nrES_Raw,"&gt;=0")&gt;0,IF(IFERROR(_xlfn.MINIFS(nrES_Date,nrES_PID,$D921,nrES_Code,$F921,nrES_Att,2,nrES_Raw,"&gt;=0",nrES_Date,"&gt;0"),0)=0,"RETEST UNDATED",IF(NOT(ISNUMBER($T921)),"RETEST DATE UNCHECKED",IF(_xlfn.MINIFS(nrES_Date,nrES_PID,$D921,nrES_Code,$F921,nrES_Att,2,nrES_Raw,"&gt;=0",nrES_Date,"&gt;0")&gt;$T921,"LATE RETEST "&amp;TEXT(_xlfn.MINIFS(nrES_Date,nrES_PID,$D921,nrES_Code,$F921,nrES_Att,2,nrES_Raw,"&gt;=0",nrES_Date,"&gt;0"),"mm/dd")&amp;" (due "&amp;TEXT($T921,"mm/dd")&amp;")","Retested"))),IF(NOT(ISNUMBER($T921)),"CHECK DATE",IF(TODAY()&gt;$T921,"OVERDUE","Due "&amp;TEXT($T921,"mm/dd")))))))</f>
        <v/>
      </c>
      <c r="V921" s="16" t="n"/>
      <c r="W921" s="16" t="n"/>
      <c r="X921" s="17">
        <f>IF($C921="","",IF(AND($L921&lt;&gt;"",NOT(ISNUMBER($L921))),"RAW SCORE NOT A NUMBER",IF(AND(ISNUMBER($L921),OR($L921&lt;0,$L921&gt;100)),"RAW SCORE OUT OF RANGE",IF(AND($Y921="Unexcused",OR($L921="",NOT(ISNUMBER($L921)),$L921&lt;&gt;0)),"UNEXCUSED ABSENCE MUST RECORD 0",IF(COUNTIF(nrES_RecID,$B921)&gt;1,"DUPLICATE RECORD",IF(N($K921)&gt;2,"ATTEMPT 3+ NOT ALLOWED - policy 300.5 permits one retest per exam; this row records nothing",IF(AND($K921=2,COUNTIFS(nrES_PID,$D921,nrES_Code,$F921,nrES_Att,1)=0),"ATTEMPT 2 WITHOUT ATTEMPT 1",IF(AND($K921=2,$L921=""),"RETEST ROW HAS NO SCORE",IF(AND($H921="Final",$L921&lt;&gt;"",IFERROR(INDEX(nrCKfinalExamElig,MATCH($D921,rngCadetPIDs,0)),"")="No"),"FINAL EXAM AFTER FAILED FINAL PT (500.1.H)",IF(AND($K921=2,ISNUMBER($L921),COUNTIFS(nrES_PID,$D921,nrES_Code,$F921,nrES_Att,1)&gt;0,SUMIFS(nrES_Raw,nrES_PID,$D921,nrES_Code,$F921,nrES_Att,1)&gt;=$J921),"RETEST AFTER A PASSING FIRST ATTEMPT","OK"))))))))))</f>
        <v/>
      </c>
      <c r="Y921" s="16" t="n"/>
    </row>
    <row r="922">
      <c r="B922" s="17">
        <f>IF($C922="","",$D922&amp;"-"&amp;$F922&amp;"-"&amp;$K922)</f>
        <v/>
      </c>
      <c r="C922" s="16" t="n"/>
      <c r="D922" s="17">
        <f>IF($C922="","",IFERROR(INDEX(rngCadetPIDs,MATCH($C922,rngCadetNames,0)),"?"))</f>
        <v/>
      </c>
      <c r="E922" s="17">
        <f>IF($D922="","",IFERROR(INDEX(nrCadetAgency,MATCH($D922,rngCadetPIDs,0)),""))</f>
        <v/>
      </c>
      <c r="F922" s="16" t="n"/>
      <c r="G922" s="17">
        <f>IF($F922="","",IFERROR(INDEX(rngEPname,MATCH($F922,rngEPcode,0)),"?"))</f>
        <v/>
      </c>
      <c r="H922" s="17">
        <f>IF($F922="","",IFERROR(INDEX(rngEPtype,MATCH($F922,rngEPcode,0)),"?"))</f>
        <v/>
      </c>
      <c r="I922" s="17">
        <f>IF($F922="","",IFERROR(INDEX(rngEPseq,MATCH($F922,rngEPcode,0)),""))</f>
        <v/>
      </c>
      <c r="J922" s="17">
        <f>IF($F922="","",IFERROR(INDEX(rngEPpass,MATCH($F922,rngEPcode,0)),cfgPassingScore))</f>
        <v/>
      </c>
      <c r="K922" s="16" t="n"/>
      <c r="L922" s="16" t="n"/>
      <c r="M922" s="17">
        <f>IF($C922="","",IF($L922="","",IF(NOT(ISNUMBER($L922)),$L922,IF(N($K922)&gt;2,"",IF($K922=1,IF(COUNTIFS(nrES_PID,$D922,nrES_Code,$F922,nrES_Att,2,nrES_Raw,"&gt;=0")&gt;0,"",$L922),IF($L922&gt;=$J922,MAX($J922,cfgRetakeRecordedCap),IF(COUNTIFS(nrES_PID,$D922,nrES_Code,$F922,nrES_Att,1)=0,$L922,SUMIFS(nrES_Raw,nrES_PID,$D922,nrES_Code,$F922,nrES_Att,1))))))))</f>
        <v/>
      </c>
      <c r="N922" s="17">
        <f>IF($C922="","",IF($L922="","",IF(NOT(ISNUMBER($L922)),"(not a score)",IF($L922&gt;=$J922,"Yes","No"))))</f>
        <v/>
      </c>
      <c r="O922" s="17">
        <f>IF($C922="","",IF($M922="","",IF(NOT(ISNUMBER($M922)),"(not a score)",IF($M922&gt;=$J922,"Yes","No"))))</f>
        <v/>
      </c>
      <c r="P922" s="17">
        <f>IF($C922="","",IF($K922="","",IF(N($K922)&gt;2,"No",IF(COUNTIFS(nrES_PID,$D922,nrES_Code,$F922,nrES_Att,"&gt;"&amp;$K922,nrES_Att,"&lt;=2",nrES_Raw,"&gt;=0")=0,"Yes","No"))))</f>
        <v/>
      </c>
      <c r="Q922" s="17">
        <f>IF($C922="","",IF($L922="","",IF(AND($K922=1,ISNUMBER($L922),$L922&lt;$J922,COUNTIFS(nrES_PID,$D922,nrES_Code,$F922,nrES_Att,2,nrES_Raw,"&gt;=0")=0),"Yes","No")))</f>
        <v/>
      </c>
      <c r="R922" s="17">
        <f>IF($C922="","",IF($L922="","",IF(AND(N($K922)&gt;=2,ISNUMBER($L922),$L922&lt;$J922),"Yes","No")))</f>
        <v/>
      </c>
      <c r="S922" s="18" t="n"/>
      <c r="T922" s="19">
        <f>IF(OR($C922="",$L922="",$K922&lt;&gt;1,NOT(ISNUMBER($L922)),$L922&gt;=$J922),"",IF($S922="","(enter date)",_xlfn.LET(_xlpm.dn,_xlfn.XLOOKUP($S922,nrCDdate,nrCDnum,"",1),IF(_xlpm.dn="","(after last class day)",_xlfn.LET(_xlpm.dd,_xlfn.XLOOKUP(_xlpm.dn+cfgRetestClassDays,nrCDnum,nrCDdate,""),_xlpm.ok,_xlfn.XLOOKUP(_xlpm.dn+cfgRetestClassDays,nrCDnum,nrCDinsession,"No"),IF(OR(_xlpm.dd="",_xlpm.ok&lt;&gt;"Yes"),"(after last class day)",_xlpm.dd))))))</f>
        <v/>
      </c>
      <c r="U922" s="17">
        <f>IF($C922="","",IF(AND($Y922="Excused",$L922="",N($K922)&lt;=1),"EXCUSED - 1st attempt pending",IF(OR($L922="",$K922&lt;&gt;1,NOT(ISNUMBER($L922)),$L922&gt;=$J922),"",IF(COUNTIFS(nrES_PID,$D922,nrES_Code,$F922,nrES_Att,2,nrES_Raw,"&gt;=0")&gt;0,IF(IFERROR(_xlfn.MINIFS(nrES_Date,nrES_PID,$D922,nrES_Code,$F922,nrES_Att,2,nrES_Raw,"&gt;=0",nrES_Date,"&gt;0"),0)=0,"RETEST UNDATED",IF(NOT(ISNUMBER($T922)),"RETEST DATE UNCHECKED",IF(_xlfn.MINIFS(nrES_Date,nrES_PID,$D922,nrES_Code,$F922,nrES_Att,2,nrES_Raw,"&gt;=0",nrES_Date,"&gt;0")&gt;$T922,"LATE RETEST "&amp;TEXT(_xlfn.MINIFS(nrES_Date,nrES_PID,$D922,nrES_Code,$F922,nrES_Att,2,nrES_Raw,"&gt;=0",nrES_Date,"&gt;0"),"mm/dd")&amp;" (due "&amp;TEXT($T922,"mm/dd")&amp;")","Retested"))),IF(NOT(ISNUMBER($T922)),"CHECK DATE",IF(TODAY()&gt;$T922,"OVERDUE","Due "&amp;TEXT($T922,"mm/dd")))))))</f>
        <v/>
      </c>
      <c r="V922" s="16" t="n"/>
      <c r="W922" s="16" t="n"/>
      <c r="X922" s="17">
        <f>IF($C922="","",IF(AND($L922&lt;&gt;"",NOT(ISNUMBER($L922))),"RAW SCORE NOT A NUMBER",IF(AND(ISNUMBER($L922),OR($L922&lt;0,$L922&gt;100)),"RAW SCORE OUT OF RANGE",IF(AND($Y922="Unexcused",OR($L922="",NOT(ISNUMBER($L922)),$L922&lt;&gt;0)),"UNEXCUSED ABSENCE MUST RECORD 0",IF(COUNTIF(nrES_RecID,$B922)&gt;1,"DUPLICATE RECORD",IF(N($K922)&gt;2,"ATTEMPT 3+ NOT ALLOWED - policy 300.5 permits one retest per exam; this row records nothing",IF(AND($K922=2,COUNTIFS(nrES_PID,$D922,nrES_Code,$F922,nrES_Att,1)=0),"ATTEMPT 2 WITHOUT ATTEMPT 1",IF(AND($K922=2,$L922=""),"RETEST ROW HAS NO SCORE",IF(AND($H922="Final",$L922&lt;&gt;"",IFERROR(INDEX(nrCKfinalExamElig,MATCH($D922,rngCadetPIDs,0)),"")="No"),"FINAL EXAM AFTER FAILED FINAL PT (500.1.H)",IF(AND($K922=2,ISNUMBER($L922),COUNTIFS(nrES_PID,$D922,nrES_Code,$F922,nrES_Att,1)&gt;0,SUMIFS(nrES_Raw,nrES_PID,$D922,nrES_Code,$F922,nrES_Att,1)&gt;=$J922),"RETEST AFTER A PASSING FIRST ATTEMPT","OK"))))))))))</f>
        <v/>
      </c>
      <c r="Y922" s="16" t="n"/>
    </row>
    <row r="923">
      <c r="B923" s="17">
        <f>IF($C923="","",$D923&amp;"-"&amp;$F923&amp;"-"&amp;$K923)</f>
        <v/>
      </c>
      <c r="C923" s="16" t="n"/>
      <c r="D923" s="17">
        <f>IF($C923="","",IFERROR(INDEX(rngCadetPIDs,MATCH($C923,rngCadetNames,0)),"?"))</f>
        <v/>
      </c>
      <c r="E923" s="17">
        <f>IF($D923="","",IFERROR(INDEX(nrCadetAgency,MATCH($D923,rngCadetPIDs,0)),""))</f>
        <v/>
      </c>
      <c r="F923" s="16" t="n"/>
      <c r="G923" s="17">
        <f>IF($F923="","",IFERROR(INDEX(rngEPname,MATCH($F923,rngEPcode,0)),"?"))</f>
        <v/>
      </c>
      <c r="H923" s="17">
        <f>IF($F923="","",IFERROR(INDEX(rngEPtype,MATCH($F923,rngEPcode,0)),"?"))</f>
        <v/>
      </c>
      <c r="I923" s="17">
        <f>IF($F923="","",IFERROR(INDEX(rngEPseq,MATCH($F923,rngEPcode,0)),""))</f>
        <v/>
      </c>
      <c r="J923" s="17">
        <f>IF($F923="","",IFERROR(INDEX(rngEPpass,MATCH($F923,rngEPcode,0)),cfgPassingScore))</f>
        <v/>
      </c>
      <c r="K923" s="16" t="n"/>
      <c r="L923" s="16" t="n"/>
      <c r="M923" s="17">
        <f>IF($C923="","",IF($L923="","",IF(NOT(ISNUMBER($L923)),$L923,IF(N($K923)&gt;2,"",IF($K923=1,IF(COUNTIFS(nrES_PID,$D923,nrES_Code,$F923,nrES_Att,2,nrES_Raw,"&gt;=0")&gt;0,"",$L923),IF($L923&gt;=$J923,MAX($J923,cfgRetakeRecordedCap),IF(COUNTIFS(nrES_PID,$D923,nrES_Code,$F923,nrES_Att,1)=0,$L923,SUMIFS(nrES_Raw,nrES_PID,$D923,nrES_Code,$F923,nrES_Att,1))))))))</f>
        <v/>
      </c>
      <c r="N923" s="17">
        <f>IF($C923="","",IF($L923="","",IF(NOT(ISNUMBER($L923)),"(not a score)",IF($L923&gt;=$J923,"Yes","No"))))</f>
        <v/>
      </c>
      <c r="O923" s="17">
        <f>IF($C923="","",IF($M923="","",IF(NOT(ISNUMBER($M923)),"(not a score)",IF($M923&gt;=$J923,"Yes","No"))))</f>
        <v/>
      </c>
      <c r="P923" s="17">
        <f>IF($C923="","",IF($K923="","",IF(N($K923)&gt;2,"No",IF(COUNTIFS(nrES_PID,$D923,nrES_Code,$F923,nrES_Att,"&gt;"&amp;$K923,nrES_Att,"&lt;=2",nrES_Raw,"&gt;=0")=0,"Yes","No"))))</f>
        <v/>
      </c>
      <c r="Q923" s="17">
        <f>IF($C923="","",IF($L923="","",IF(AND($K923=1,ISNUMBER($L923),$L923&lt;$J923,COUNTIFS(nrES_PID,$D923,nrES_Code,$F923,nrES_Att,2,nrES_Raw,"&gt;=0")=0),"Yes","No")))</f>
        <v/>
      </c>
      <c r="R923" s="17">
        <f>IF($C923="","",IF($L923="","",IF(AND(N($K923)&gt;=2,ISNUMBER($L923),$L923&lt;$J923),"Yes","No")))</f>
        <v/>
      </c>
      <c r="S923" s="18" t="n"/>
      <c r="T923" s="19">
        <f>IF(OR($C923="",$L923="",$K923&lt;&gt;1,NOT(ISNUMBER($L923)),$L923&gt;=$J923),"",IF($S923="","(enter date)",_xlfn.LET(_xlpm.dn,_xlfn.XLOOKUP($S923,nrCDdate,nrCDnum,"",1),IF(_xlpm.dn="","(after last class day)",_xlfn.LET(_xlpm.dd,_xlfn.XLOOKUP(_xlpm.dn+cfgRetestClassDays,nrCDnum,nrCDdate,""),_xlpm.ok,_xlfn.XLOOKUP(_xlpm.dn+cfgRetestClassDays,nrCDnum,nrCDinsession,"No"),IF(OR(_xlpm.dd="",_xlpm.ok&lt;&gt;"Yes"),"(after last class day)",_xlpm.dd))))))</f>
        <v/>
      </c>
      <c r="U923" s="17">
        <f>IF($C923="","",IF(AND($Y923="Excused",$L923="",N($K923)&lt;=1),"EXCUSED - 1st attempt pending",IF(OR($L923="",$K923&lt;&gt;1,NOT(ISNUMBER($L923)),$L923&gt;=$J923),"",IF(COUNTIFS(nrES_PID,$D923,nrES_Code,$F923,nrES_Att,2,nrES_Raw,"&gt;=0")&gt;0,IF(IFERROR(_xlfn.MINIFS(nrES_Date,nrES_PID,$D923,nrES_Code,$F923,nrES_Att,2,nrES_Raw,"&gt;=0",nrES_Date,"&gt;0"),0)=0,"RETEST UNDATED",IF(NOT(ISNUMBER($T923)),"RETEST DATE UNCHECKED",IF(_xlfn.MINIFS(nrES_Date,nrES_PID,$D923,nrES_Code,$F923,nrES_Att,2,nrES_Raw,"&gt;=0",nrES_Date,"&gt;0")&gt;$T923,"LATE RETEST "&amp;TEXT(_xlfn.MINIFS(nrES_Date,nrES_PID,$D923,nrES_Code,$F923,nrES_Att,2,nrES_Raw,"&gt;=0",nrES_Date,"&gt;0"),"mm/dd")&amp;" (due "&amp;TEXT($T923,"mm/dd")&amp;")","Retested"))),IF(NOT(ISNUMBER($T923)),"CHECK DATE",IF(TODAY()&gt;$T923,"OVERDUE","Due "&amp;TEXT($T923,"mm/dd")))))))</f>
        <v/>
      </c>
      <c r="V923" s="16" t="n"/>
      <c r="W923" s="16" t="n"/>
      <c r="X923" s="17">
        <f>IF($C923="","",IF(AND($L923&lt;&gt;"",NOT(ISNUMBER($L923))),"RAW SCORE NOT A NUMBER",IF(AND(ISNUMBER($L923),OR($L923&lt;0,$L923&gt;100)),"RAW SCORE OUT OF RANGE",IF(AND($Y923="Unexcused",OR($L923="",NOT(ISNUMBER($L923)),$L923&lt;&gt;0)),"UNEXCUSED ABSENCE MUST RECORD 0",IF(COUNTIF(nrES_RecID,$B923)&gt;1,"DUPLICATE RECORD",IF(N($K923)&gt;2,"ATTEMPT 3+ NOT ALLOWED - policy 300.5 permits one retest per exam; this row records nothing",IF(AND($K923=2,COUNTIFS(nrES_PID,$D923,nrES_Code,$F923,nrES_Att,1)=0),"ATTEMPT 2 WITHOUT ATTEMPT 1",IF(AND($K923=2,$L923=""),"RETEST ROW HAS NO SCORE",IF(AND($H923="Final",$L923&lt;&gt;"",IFERROR(INDEX(nrCKfinalExamElig,MATCH($D923,rngCadetPIDs,0)),"")="No"),"FINAL EXAM AFTER FAILED FINAL PT (500.1.H)",IF(AND($K923=2,ISNUMBER($L923),COUNTIFS(nrES_PID,$D923,nrES_Code,$F923,nrES_Att,1)&gt;0,SUMIFS(nrES_Raw,nrES_PID,$D923,nrES_Code,$F923,nrES_Att,1)&gt;=$J923),"RETEST AFTER A PASSING FIRST ATTEMPT","OK"))))))))))</f>
        <v/>
      </c>
      <c r="Y923" s="16" t="n"/>
    </row>
    <row r="924">
      <c r="B924" s="17">
        <f>IF($C924="","",$D924&amp;"-"&amp;$F924&amp;"-"&amp;$K924)</f>
        <v/>
      </c>
      <c r="C924" s="16" t="n"/>
      <c r="D924" s="17">
        <f>IF($C924="","",IFERROR(INDEX(rngCadetPIDs,MATCH($C924,rngCadetNames,0)),"?"))</f>
        <v/>
      </c>
      <c r="E924" s="17">
        <f>IF($D924="","",IFERROR(INDEX(nrCadetAgency,MATCH($D924,rngCadetPIDs,0)),""))</f>
        <v/>
      </c>
      <c r="F924" s="16" t="n"/>
      <c r="G924" s="17">
        <f>IF($F924="","",IFERROR(INDEX(rngEPname,MATCH($F924,rngEPcode,0)),"?"))</f>
        <v/>
      </c>
      <c r="H924" s="17">
        <f>IF($F924="","",IFERROR(INDEX(rngEPtype,MATCH($F924,rngEPcode,0)),"?"))</f>
        <v/>
      </c>
      <c r="I924" s="17">
        <f>IF($F924="","",IFERROR(INDEX(rngEPseq,MATCH($F924,rngEPcode,0)),""))</f>
        <v/>
      </c>
      <c r="J924" s="17">
        <f>IF($F924="","",IFERROR(INDEX(rngEPpass,MATCH($F924,rngEPcode,0)),cfgPassingScore))</f>
        <v/>
      </c>
      <c r="K924" s="16" t="n"/>
      <c r="L924" s="16" t="n"/>
      <c r="M924" s="17">
        <f>IF($C924="","",IF($L924="","",IF(NOT(ISNUMBER($L924)),$L924,IF(N($K924)&gt;2,"",IF($K924=1,IF(COUNTIFS(nrES_PID,$D924,nrES_Code,$F924,nrES_Att,2,nrES_Raw,"&gt;=0")&gt;0,"",$L924),IF($L924&gt;=$J924,MAX($J924,cfgRetakeRecordedCap),IF(COUNTIFS(nrES_PID,$D924,nrES_Code,$F924,nrES_Att,1)=0,$L924,SUMIFS(nrES_Raw,nrES_PID,$D924,nrES_Code,$F924,nrES_Att,1))))))))</f>
        <v/>
      </c>
      <c r="N924" s="17">
        <f>IF($C924="","",IF($L924="","",IF(NOT(ISNUMBER($L924)),"(not a score)",IF($L924&gt;=$J924,"Yes","No"))))</f>
        <v/>
      </c>
      <c r="O924" s="17">
        <f>IF($C924="","",IF($M924="","",IF(NOT(ISNUMBER($M924)),"(not a score)",IF($M924&gt;=$J924,"Yes","No"))))</f>
        <v/>
      </c>
      <c r="P924" s="17">
        <f>IF($C924="","",IF($K924="","",IF(N($K924)&gt;2,"No",IF(COUNTIFS(nrES_PID,$D924,nrES_Code,$F924,nrES_Att,"&gt;"&amp;$K924,nrES_Att,"&lt;=2",nrES_Raw,"&gt;=0")=0,"Yes","No"))))</f>
        <v/>
      </c>
      <c r="Q924" s="17">
        <f>IF($C924="","",IF($L924="","",IF(AND($K924=1,ISNUMBER($L924),$L924&lt;$J924,COUNTIFS(nrES_PID,$D924,nrES_Code,$F924,nrES_Att,2,nrES_Raw,"&gt;=0")=0),"Yes","No")))</f>
        <v/>
      </c>
      <c r="R924" s="17">
        <f>IF($C924="","",IF($L924="","",IF(AND(N($K924)&gt;=2,ISNUMBER($L924),$L924&lt;$J924),"Yes","No")))</f>
        <v/>
      </c>
      <c r="S924" s="18" t="n"/>
      <c r="T924" s="19">
        <f>IF(OR($C924="",$L924="",$K924&lt;&gt;1,NOT(ISNUMBER($L924)),$L924&gt;=$J924),"",IF($S924="","(enter date)",_xlfn.LET(_xlpm.dn,_xlfn.XLOOKUP($S924,nrCDdate,nrCDnum,"",1),IF(_xlpm.dn="","(after last class day)",_xlfn.LET(_xlpm.dd,_xlfn.XLOOKUP(_xlpm.dn+cfgRetestClassDays,nrCDnum,nrCDdate,""),_xlpm.ok,_xlfn.XLOOKUP(_xlpm.dn+cfgRetestClassDays,nrCDnum,nrCDinsession,"No"),IF(OR(_xlpm.dd="",_xlpm.ok&lt;&gt;"Yes"),"(after last class day)",_xlpm.dd))))))</f>
        <v/>
      </c>
      <c r="U924" s="17">
        <f>IF($C924="","",IF(AND($Y924="Excused",$L924="",N($K924)&lt;=1),"EXCUSED - 1st attempt pending",IF(OR($L924="",$K924&lt;&gt;1,NOT(ISNUMBER($L924)),$L924&gt;=$J924),"",IF(COUNTIFS(nrES_PID,$D924,nrES_Code,$F924,nrES_Att,2,nrES_Raw,"&gt;=0")&gt;0,IF(IFERROR(_xlfn.MINIFS(nrES_Date,nrES_PID,$D924,nrES_Code,$F924,nrES_Att,2,nrES_Raw,"&gt;=0",nrES_Date,"&gt;0"),0)=0,"RETEST UNDATED",IF(NOT(ISNUMBER($T924)),"RETEST DATE UNCHECKED",IF(_xlfn.MINIFS(nrES_Date,nrES_PID,$D924,nrES_Code,$F924,nrES_Att,2,nrES_Raw,"&gt;=0",nrES_Date,"&gt;0")&gt;$T924,"LATE RETEST "&amp;TEXT(_xlfn.MINIFS(nrES_Date,nrES_PID,$D924,nrES_Code,$F924,nrES_Att,2,nrES_Raw,"&gt;=0",nrES_Date,"&gt;0"),"mm/dd")&amp;" (due "&amp;TEXT($T924,"mm/dd")&amp;")","Retested"))),IF(NOT(ISNUMBER($T924)),"CHECK DATE",IF(TODAY()&gt;$T924,"OVERDUE","Due "&amp;TEXT($T924,"mm/dd")))))))</f>
        <v/>
      </c>
      <c r="V924" s="16" t="n"/>
      <c r="W924" s="16" t="n"/>
      <c r="X924" s="17">
        <f>IF($C924="","",IF(AND($L924&lt;&gt;"",NOT(ISNUMBER($L924))),"RAW SCORE NOT A NUMBER",IF(AND(ISNUMBER($L924),OR($L924&lt;0,$L924&gt;100)),"RAW SCORE OUT OF RANGE",IF(AND($Y924="Unexcused",OR($L924="",NOT(ISNUMBER($L924)),$L924&lt;&gt;0)),"UNEXCUSED ABSENCE MUST RECORD 0",IF(COUNTIF(nrES_RecID,$B924)&gt;1,"DUPLICATE RECORD",IF(N($K924)&gt;2,"ATTEMPT 3+ NOT ALLOWED - policy 300.5 permits one retest per exam; this row records nothing",IF(AND($K924=2,COUNTIFS(nrES_PID,$D924,nrES_Code,$F924,nrES_Att,1)=0),"ATTEMPT 2 WITHOUT ATTEMPT 1",IF(AND($K924=2,$L924=""),"RETEST ROW HAS NO SCORE",IF(AND($H924="Final",$L924&lt;&gt;"",IFERROR(INDEX(nrCKfinalExamElig,MATCH($D924,rngCadetPIDs,0)),"")="No"),"FINAL EXAM AFTER FAILED FINAL PT (500.1.H)",IF(AND($K924=2,ISNUMBER($L924),COUNTIFS(nrES_PID,$D924,nrES_Code,$F924,nrES_Att,1)&gt;0,SUMIFS(nrES_Raw,nrES_PID,$D924,nrES_Code,$F924,nrES_Att,1)&gt;=$J924),"RETEST AFTER A PASSING FIRST ATTEMPT","OK"))))))))))</f>
        <v/>
      </c>
      <c r="Y924" s="16" t="n"/>
    </row>
    <row r="925">
      <c r="B925" s="17">
        <f>IF($C925="","",$D925&amp;"-"&amp;$F925&amp;"-"&amp;$K925)</f>
        <v/>
      </c>
      <c r="C925" s="16" t="n"/>
      <c r="D925" s="17">
        <f>IF($C925="","",IFERROR(INDEX(rngCadetPIDs,MATCH($C925,rngCadetNames,0)),"?"))</f>
        <v/>
      </c>
      <c r="E925" s="17">
        <f>IF($D925="","",IFERROR(INDEX(nrCadetAgency,MATCH($D925,rngCadetPIDs,0)),""))</f>
        <v/>
      </c>
      <c r="F925" s="16" t="n"/>
      <c r="G925" s="17">
        <f>IF($F925="","",IFERROR(INDEX(rngEPname,MATCH($F925,rngEPcode,0)),"?"))</f>
        <v/>
      </c>
      <c r="H925" s="17">
        <f>IF($F925="","",IFERROR(INDEX(rngEPtype,MATCH($F925,rngEPcode,0)),"?"))</f>
        <v/>
      </c>
      <c r="I925" s="17">
        <f>IF($F925="","",IFERROR(INDEX(rngEPseq,MATCH($F925,rngEPcode,0)),""))</f>
        <v/>
      </c>
      <c r="J925" s="17">
        <f>IF($F925="","",IFERROR(INDEX(rngEPpass,MATCH($F925,rngEPcode,0)),cfgPassingScore))</f>
        <v/>
      </c>
      <c r="K925" s="16" t="n"/>
      <c r="L925" s="16" t="n"/>
      <c r="M925" s="17">
        <f>IF($C925="","",IF($L925="","",IF(NOT(ISNUMBER($L925)),$L925,IF(N($K925)&gt;2,"",IF($K925=1,IF(COUNTIFS(nrES_PID,$D925,nrES_Code,$F925,nrES_Att,2,nrES_Raw,"&gt;=0")&gt;0,"",$L925),IF($L925&gt;=$J925,MAX($J925,cfgRetakeRecordedCap),IF(COUNTIFS(nrES_PID,$D925,nrES_Code,$F925,nrES_Att,1)=0,$L925,SUMIFS(nrES_Raw,nrES_PID,$D925,nrES_Code,$F925,nrES_Att,1))))))))</f>
        <v/>
      </c>
      <c r="N925" s="17">
        <f>IF($C925="","",IF($L925="","",IF(NOT(ISNUMBER($L925)),"(not a score)",IF($L925&gt;=$J925,"Yes","No"))))</f>
        <v/>
      </c>
      <c r="O925" s="17">
        <f>IF($C925="","",IF($M925="","",IF(NOT(ISNUMBER($M925)),"(not a score)",IF($M925&gt;=$J925,"Yes","No"))))</f>
        <v/>
      </c>
      <c r="P925" s="17">
        <f>IF($C925="","",IF($K925="","",IF(N($K925)&gt;2,"No",IF(COUNTIFS(nrES_PID,$D925,nrES_Code,$F925,nrES_Att,"&gt;"&amp;$K925,nrES_Att,"&lt;=2",nrES_Raw,"&gt;=0")=0,"Yes","No"))))</f>
        <v/>
      </c>
      <c r="Q925" s="17">
        <f>IF($C925="","",IF($L925="","",IF(AND($K925=1,ISNUMBER($L925),$L925&lt;$J925,COUNTIFS(nrES_PID,$D925,nrES_Code,$F925,nrES_Att,2,nrES_Raw,"&gt;=0")=0),"Yes","No")))</f>
        <v/>
      </c>
      <c r="R925" s="17">
        <f>IF($C925="","",IF($L925="","",IF(AND(N($K925)&gt;=2,ISNUMBER($L925),$L925&lt;$J925),"Yes","No")))</f>
        <v/>
      </c>
      <c r="S925" s="18" t="n"/>
      <c r="T925" s="19">
        <f>IF(OR($C925="",$L925="",$K925&lt;&gt;1,NOT(ISNUMBER($L925)),$L925&gt;=$J925),"",IF($S925="","(enter date)",_xlfn.LET(_xlpm.dn,_xlfn.XLOOKUP($S925,nrCDdate,nrCDnum,"",1),IF(_xlpm.dn="","(after last class day)",_xlfn.LET(_xlpm.dd,_xlfn.XLOOKUP(_xlpm.dn+cfgRetestClassDays,nrCDnum,nrCDdate,""),_xlpm.ok,_xlfn.XLOOKUP(_xlpm.dn+cfgRetestClassDays,nrCDnum,nrCDinsession,"No"),IF(OR(_xlpm.dd="",_xlpm.ok&lt;&gt;"Yes"),"(after last class day)",_xlpm.dd))))))</f>
        <v/>
      </c>
      <c r="U925" s="17">
        <f>IF($C925="","",IF(AND($Y925="Excused",$L925="",N($K925)&lt;=1),"EXCUSED - 1st attempt pending",IF(OR($L925="",$K925&lt;&gt;1,NOT(ISNUMBER($L925)),$L925&gt;=$J925),"",IF(COUNTIFS(nrES_PID,$D925,nrES_Code,$F925,nrES_Att,2,nrES_Raw,"&gt;=0")&gt;0,IF(IFERROR(_xlfn.MINIFS(nrES_Date,nrES_PID,$D925,nrES_Code,$F925,nrES_Att,2,nrES_Raw,"&gt;=0",nrES_Date,"&gt;0"),0)=0,"RETEST UNDATED",IF(NOT(ISNUMBER($T925)),"RETEST DATE UNCHECKED",IF(_xlfn.MINIFS(nrES_Date,nrES_PID,$D925,nrES_Code,$F925,nrES_Att,2,nrES_Raw,"&gt;=0",nrES_Date,"&gt;0")&gt;$T925,"LATE RETEST "&amp;TEXT(_xlfn.MINIFS(nrES_Date,nrES_PID,$D925,nrES_Code,$F925,nrES_Att,2,nrES_Raw,"&gt;=0",nrES_Date,"&gt;0"),"mm/dd")&amp;" (due "&amp;TEXT($T925,"mm/dd")&amp;")","Retested"))),IF(NOT(ISNUMBER($T925)),"CHECK DATE",IF(TODAY()&gt;$T925,"OVERDUE","Due "&amp;TEXT($T925,"mm/dd")))))))</f>
        <v/>
      </c>
      <c r="V925" s="16" t="n"/>
      <c r="W925" s="16" t="n"/>
      <c r="X925" s="17">
        <f>IF($C925="","",IF(AND($L925&lt;&gt;"",NOT(ISNUMBER($L925))),"RAW SCORE NOT A NUMBER",IF(AND(ISNUMBER($L925),OR($L925&lt;0,$L925&gt;100)),"RAW SCORE OUT OF RANGE",IF(AND($Y925="Unexcused",OR($L925="",NOT(ISNUMBER($L925)),$L925&lt;&gt;0)),"UNEXCUSED ABSENCE MUST RECORD 0",IF(COUNTIF(nrES_RecID,$B925)&gt;1,"DUPLICATE RECORD",IF(N($K925)&gt;2,"ATTEMPT 3+ NOT ALLOWED - policy 300.5 permits one retest per exam; this row records nothing",IF(AND($K925=2,COUNTIFS(nrES_PID,$D925,nrES_Code,$F925,nrES_Att,1)=0),"ATTEMPT 2 WITHOUT ATTEMPT 1",IF(AND($K925=2,$L925=""),"RETEST ROW HAS NO SCORE",IF(AND($H925="Final",$L925&lt;&gt;"",IFERROR(INDEX(nrCKfinalExamElig,MATCH($D925,rngCadetPIDs,0)),"")="No"),"FINAL EXAM AFTER FAILED FINAL PT (500.1.H)",IF(AND($K925=2,ISNUMBER($L925),COUNTIFS(nrES_PID,$D925,nrES_Code,$F925,nrES_Att,1)&gt;0,SUMIFS(nrES_Raw,nrES_PID,$D925,nrES_Code,$F925,nrES_Att,1)&gt;=$J925),"RETEST AFTER A PASSING FIRST ATTEMPT","OK"))))))))))</f>
        <v/>
      </c>
      <c r="Y925" s="16" t="n"/>
    </row>
    <row r="926">
      <c r="B926" s="17">
        <f>IF($C926="","",$D926&amp;"-"&amp;$F926&amp;"-"&amp;$K926)</f>
        <v/>
      </c>
      <c r="C926" s="16" t="n"/>
      <c r="D926" s="17">
        <f>IF($C926="","",IFERROR(INDEX(rngCadetPIDs,MATCH($C926,rngCadetNames,0)),"?"))</f>
        <v/>
      </c>
      <c r="E926" s="17">
        <f>IF($D926="","",IFERROR(INDEX(nrCadetAgency,MATCH($D926,rngCadetPIDs,0)),""))</f>
        <v/>
      </c>
      <c r="F926" s="16" t="n"/>
      <c r="G926" s="17">
        <f>IF($F926="","",IFERROR(INDEX(rngEPname,MATCH($F926,rngEPcode,0)),"?"))</f>
        <v/>
      </c>
      <c r="H926" s="17">
        <f>IF($F926="","",IFERROR(INDEX(rngEPtype,MATCH($F926,rngEPcode,0)),"?"))</f>
        <v/>
      </c>
      <c r="I926" s="17">
        <f>IF($F926="","",IFERROR(INDEX(rngEPseq,MATCH($F926,rngEPcode,0)),""))</f>
        <v/>
      </c>
      <c r="J926" s="17">
        <f>IF($F926="","",IFERROR(INDEX(rngEPpass,MATCH($F926,rngEPcode,0)),cfgPassingScore))</f>
        <v/>
      </c>
      <c r="K926" s="16" t="n"/>
      <c r="L926" s="16" t="n"/>
      <c r="M926" s="17">
        <f>IF($C926="","",IF($L926="","",IF(NOT(ISNUMBER($L926)),$L926,IF(N($K926)&gt;2,"",IF($K926=1,IF(COUNTIFS(nrES_PID,$D926,nrES_Code,$F926,nrES_Att,2,nrES_Raw,"&gt;=0")&gt;0,"",$L926),IF($L926&gt;=$J926,MAX($J926,cfgRetakeRecordedCap),IF(COUNTIFS(nrES_PID,$D926,nrES_Code,$F926,nrES_Att,1)=0,$L926,SUMIFS(nrES_Raw,nrES_PID,$D926,nrES_Code,$F926,nrES_Att,1))))))))</f>
        <v/>
      </c>
      <c r="N926" s="17">
        <f>IF($C926="","",IF($L926="","",IF(NOT(ISNUMBER($L926)),"(not a score)",IF($L926&gt;=$J926,"Yes","No"))))</f>
        <v/>
      </c>
      <c r="O926" s="17">
        <f>IF($C926="","",IF($M926="","",IF(NOT(ISNUMBER($M926)),"(not a score)",IF($M926&gt;=$J926,"Yes","No"))))</f>
        <v/>
      </c>
      <c r="P926" s="17">
        <f>IF($C926="","",IF($K926="","",IF(N($K926)&gt;2,"No",IF(COUNTIFS(nrES_PID,$D926,nrES_Code,$F926,nrES_Att,"&gt;"&amp;$K926,nrES_Att,"&lt;=2",nrES_Raw,"&gt;=0")=0,"Yes","No"))))</f>
        <v/>
      </c>
      <c r="Q926" s="17">
        <f>IF($C926="","",IF($L926="","",IF(AND($K926=1,ISNUMBER($L926),$L926&lt;$J926,COUNTIFS(nrES_PID,$D926,nrES_Code,$F926,nrES_Att,2,nrES_Raw,"&gt;=0")=0),"Yes","No")))</f>
        <v/>
      </c>
      <c r="R926" s="17">
        <f>IF($C926="","",IF($L926="","",IF(AND(N($K926)&gt;=2,ISNUMBER($L926),$L926&lt;$J926),"Yes","No")))</f>
        <v/>
      </c>
      <c r="S926" s="18" t="n"/>
      <c r="T926" s="19">
        <f>IF(OR($C926="",$L926="",$K926&lt;&gt;1,NOT(ISNUMBER($L926)),$L926&gt;=$J926),"",IF($S926="","(enter date)",_xlfn.LET(_xlpm.dn,_xlfn.XLOOKUP($S926,nrCDdate,nrCDnum,"",1),IF(_xlpm.dn="","(after last class day)",_xlfn.LET(_xlpm.dd,_xlfn.XLOOKUP(_xlpm.dn+cfgRetestClassDays,nrCDnum,nrCDdate,""),_xlpm.ok,_xlfn.XLOOKUP(_xlpm.dn+cfgRetestClassDays,nrCDnum,nrCDinsession,"No"),IF(OR(_xlpm.dd="",_xlpm.ok&lt;&gt;"Yes"),"(after last class day)",_xlpm.dd))))))</f>
        <v/>
      </c>
      <c r="U926" s="17">
        <f>IF($C926="","",IF(AND($Y926="Excused",$L926="",N($K926)&lt;=1),"EXCUSED - 1st attempt pending",IF(OR($L926="",$K926&lt;&gt;1,NOT(ISNUMBER($L926)),$L926&gt;=$J926),"",IF(COUNTIFS(nrES_PID,$D926,nrES_Code,$F926,nrES_Att,2,nrES_Raw,"&gt;=0")&gt;0,IF(IFERROR(_xlfn.MINIFS(nrES_Date,nrES_PID,$D926,nrES_Code,$F926,nrES_Att,2,nrES_Raw,"&gt;=0",nrES_Date,"&gt;0"),0)=0,"RETEST UNDATED",IF(NOT(ISNUMBER($T926)),"RETEST DATE UNCHECKED",IF(_xlfn.MINIFS(nrES_Date,nrES_PID,$D926,nrES_Code,$F926,nrES_Att,2,nrES_Raw,"&gt;=0",nrES_Date,"&gt;0")&gt;$T926,"LATE RETEST "&amp;TEXT(_xlfn.MINIFS(nrES_Date,nrES_PID,$D926,nrES_Code,$F926,nrES_Att,2,nrES_Raw,"&gt;=0",nrES_Date,"&gt;0"),"mm/dd")&amp;" (due "&amp;TEXT($T926,"mm/dd")&amp;")","Retested"))),IF(NOT(ISNUMBER($T926)),"CHECK DATE",IF(TODAY()&gt;$T926,"OVERDUE","Due "&amp;TEXT($T926,"mm/dd")))))))</f>
        <v/>
      </c>
      <c r="V926" s="16" t="n"/>
      <c r="W926" s="16" t="n"/>
      <c r="X926" s="17">
        <f>IF($C926="","",IF(AND($L926&lt;&gt;"",NOT(ISNUMBER($L926))),"RAW SCORE NOT A NUMBER",IF(AND(ISNUMBER($L926),OR($L926&lt;0,$L926&gt;100)),"RAW SCORE OUT OF RANGE",IF(AND($Y926="Unexcused",OR($L926="",NOT(ISNUMBER($L926)),$L926&lt;&gt;0)),"UNEXCUSED ABSENCE MUST RECORD 0",IF(COUNTIF(nrES_RecID,$B926)&gt;1,"DUPLICATE RECORD",IF(N($K926)&gt;2,"ATTEMPT 3+ NOT ALLOWED - policy 300.5 permits one retest per exam; this row records nothing",IF(AND($K926=2,COUNTIFS(nrES_PID,$D926,nrES_Code,$F926,nrES_Att,1)=0),"ATTEMPT 2 WITHOUT ATTEMPT 1",IF(AND($K926=2,$L926=""),"RETEST ROW HAS NO SCORE",IF(AND($H926="Final",$L926&lt;&gt;"",IFERROR(INDEX(nrCKfinalExamElig,MATCH($D926,rngCadetPIDs,0)),"")="No"),"FINAL EXAM AFTER FAILED FINAL PT (500.1.H)",IF(AND($K926=2,ISNUMBER($L926),COUNTIFS(nrES_PID,$D926,nrES_Code,$F926,nrES_Att,1)&gt;0,SUMIFS(nrES_Raw,nrES_PID,$D926,nrES_Code,$F926,nrES_Att,1)&gt;=$J926),"RETEST AFTER A PASSING FIRST ATTEMPT","OK"))))))))))</f>
        <v/>
      </c>
      <c r="Y926" s="16" t="n"/>
    </row>
    <row r="927">
      <c r="B927" s="17">
        <f>IF($C927="","",$D927&amp;"-"&amp;$F927&amp;"-"&amp;$K927)</f>
        <v/>
      </c>
      <c r="C927" s="16" t="n"/>
      <c r="D927" s="17">
        <f>IF($C927="","",IFERROR(INDEX(rngCadetPIDs,MATCH($C927,rngCadetNames,0)),"?"))</f>
        <v/>
      </c>
      <c r="E927" s="17">
        <f>IF($D927="","",IFERROR(INDEX(nrCadetAgency,MATCH($D927,rngCadetPIDs,0)),""))</f>
        <v/>
      </c>
      <c r="F927" s="16" t="n"/>
      <c r="G927" s="17">
        <f>IF($F927="","",IFERROR(INDEX(rngEPname,MATCH($F927,rngEPcode,0)),"?"))</f>
        <v/>
      </c>
      <c r="H927" s="17">
        <f>IF($F927="","",IFERROR(INDEX(rngEPtype,MATCH($F927,rngEPcode,0)),"?"))</f>
        <v/>
      </c>
      <c r="I927" s="17">
        <f>IF($F927="","",IFERROR(INDEX(rngEPseq,MATCH($F927,rngEPcode,0)),""))</f>
        <v/>
      </c>
      <c r="J927" s="17">
        <f>IF($F927="","",IFERROR(INDEX(rngEPpass,MATCH($F927,rngEPcode,0)),cfgPassingScore))</f>
        <v/>
      </c>
      <c r="K927" s="16" t="n"/>
      <c r="L927" s="16" t="n"/>
      <c r="M927" s="17">
        <f>IF($C927="","",IF($L927="","",IF(NOT(ISNUMBER($L927)),$L927,IF(N($K927)&gt;2,"",IF($K927=1,IF(COUNTIFS(nrES_PID,$D927,nrES_Code,$F927,nrES_Att,2,nrES_Raw,"&gt;=0")&gt;0,"",$L927),IF($L927&gt;=$J927,MAX($J927,cfgRetakeRecordedCap),IF(COUNTIFS(nrES_PID,$D927,nrES_Code,$F927,nrES_Att,1)=0,$L927,SUMIFS(nrES_Raw,nrES_PID,$D927,nrES_Code,$F927,nrES_Att,1))))))))</f>
        <v/>
      </c>
      <c r="N927" s="17">
        <f>IF($C927="","",IF($L927="","",IF(NOT(ISNUMBER($L927)),"(not a score)",IF($L927&gt;=$J927,"Yes","No"))))</f>
        <v/>
      </c>
      <c r="O927" s="17">
        <f>IF($C927="","",IF($M927="","",IF(NOT(ISNUMBER($M927)),"(not a score)",IF($M927&gt;=$J927,"Yes","No"))))</f>
        <v/>
      </c>
      <c r="P927" s="17">
        <f>IF($C927="","",IF($K927="","",IF(N($K927)&gt;2,"No",IF(COUNTIFS(nrES_PID,$D927,nrES_Code,$F927,nrES_Att,"&gt;"&amp;$K927,nrES_Att,"&lt;=2",nrES_Raw,"&gt;=0")=0,"Yes","No"))))</f>
        <v/>
      </c>
      <c r="Q927" s="17">
        <f>IF($C927="","",IF($L927="","",IF(AND($K927=1,ISNUMBER($L927),$L927&lt;$J927,COUNTIFS(nrES_PID,$D927,nrES_Code,$F927,nrES_Att,2,nrES_Raw,"&gt;=0")=0),"Yes","No")))</f>
        <v/>
      </c>
      <c r="R927" s="17">
        <f>IF($C927="","",IF($L927="","",IF(AND(N($K927)&gt;=2,ISNUMBER($L927),$L927&lt;$J927),"Yes","No")))</f>
        <v/>
      </c>
      <c r="S927" s="18" t="n"/>
      <c r="T927" s="19">
        <f>IF(OR($C927="",$L927="",$K927&lt;&gt;1,NOT(ISNUMBER($L927)),$L927&gt;=$J927),"",IF($S927="","(enter date)",_xlfn.LET(_xlpm.dn,_xlfn.XLOOKUP($S927,nrCDdate,nrCDnum,"",1),IF(_xlpm.dn="","(after last class day)",_xlfn.LET(_xlpm.dd,_xlfn.XLOOKUP(_xlpm.dn+cfgRetestClassDays,nrCDnum,nrCDdate,""),_xlpm.ok,_xlfn.XLOOKUP(_xlpm.dn+cfgRetestClassDays,nrCDnum,nrCDinsession,"No"),IF(OR(_xlpm.dd="",_xlpm.ok&lt;&gt;"Yes"),"(after last class day)",_xlpm.dd))))))</f>
        <v/>
      </c>
      <c r="U927" s="17">
        <f>IF($C927="","",IF(AND($Y927="Excused",$L927="",N($K927)&lt;=1),"EXCUSED - 1st attempt pending",IF(OR($L927="",$K927&lt;&gt;1,NOT(ISNUMBER($L927)),$L927&gt;=$J927),"",IF(COUNTIFS(nrES_PID,$D927,nrES_Code,$F927,nrES_Att,2,nrES_Raw,"&gt;=0")&gt;0,IF(IFERROR(_xlfn.MINIFS(nrES_Date,nrES_PID,$D927,nrES_Code,$F927,nrES_Att,2,nrES_Raw,"&gt;=0",nrES_Date,"&gt;0"),0)=0,"RETEST UNDATED",IF(NOT(ISNUMBER($T927)),"RETEST DATE UNCHECKED",IF(_xlfn.MINIFS(nrES_Date,nrES_PID,$D927,nrES_Code,$F927,nrES_Att,2,nrES_Raw,"&gt;=0",nrES_Date,"&gt;0")&gt;$T927,"LATE RETEST "&amp;TEXT(_xlfn.MINIFS(nrES_Date,nrES_PID,$D927,nrES_Code,$F927,nrES_Att,2,nrES_Raw,"&gt;=0",nrES_Date,"&gt;0"),"mm/dd")&amp;" (due "&amp;TEXT($T927,"mm/dd")&amp;")","Retested"))),IF(NOT(ISNUMBER($T927)),"CHECK DATE",IF(TODAY()&gt;$T927,"OVERDUE","Due "&amp;TEXT($T927,"mm/dd")))))))</f>
        <v/>
      </c>
      <c r="V927" s="16" t="n"/>
      <c r="W927" s="16" t="n"/>
      <c r="X927" s="17">
        <f>IF($C927="","",IF(AND($L927&lt;&gt;"",NOT(ISNUMBER($L927))),"RAW SCORE NOT A NUMBER",IF(AND(ISNUMBER($L927),OR($L927&lt;0,$L927&gt;100)),"RAW SCORE OUT OF RANGE",IF(AND($Y927="Unexcused",OR($L927="",NOT(ISNUMBER($L927)),$L927&lt;&gt;0)),"UNEXCUSED ABSENCE MUST RECORD 0",IF(COUNTIF(nrES_RecID,$B927)&gt;1,"DUPLICATE RECORD",IF(N($K927)&gt;2,"ATTEMPT 3+ NOT ALLOWED - policy 300.5 permits one retest per exam; this row records nothing",IF(AND($K927=2,COUNTIFS(nrES_PID,$D927,nrES_Code,$F927,nrES_Att,1)=0),"ATTEMPT 2 WITHOUT ATTEMPT 1",IF(AND($K927=2,$L927=""),"RETEST ROW HAS NO SCORE",IF(AND($H927="Final",$L927&lt;&gt;"",IFERROR(INDEX(nrCKfinalExamElig,MATCH($D927,rngCadetPIDs,0)),"")="No"),"FINAL EXAM AFTER FAILED FINAL PT (500.1.H)",IF(AND($K927=2,ISNUMBER($L927),COUNTIFS(nrES_PID,$D927,nrES_Code,$F927,nrES_Att,1)&gt;0,SUMIFS(nrES_Raw,nrES_PID,$D927,nrES_Code,$F927,nrES_Att,1)&gt;=$J927),"RETEST AFTER A PASSING FIRST ATTEMPT","OK"))))))))))</f>
        <v/>
      </c>
      <c r="Y927" s="16" t="n"/>
    </row>
    <row r="928">
      <c r="B928" s="17">
        <f>IF($C928="","",$D928&amp;"-"&amp;$F928&amp;"-"&amp;$K928)</f>
        <v/>
      </c>
      <c r="C928" s="16" t="n"/>
      <c r="D928" s="17">
        <f>IF($C928="","",IFERROR(INDEX(rngCadetPIDs,MATCH($C928,rngCadetNames,0)),"?"))</f>
        <v/>
      </c>
      <c r="E928" s="17">
        <f>IF($D928="","",IFERROR(INDEX(nrCadetAgency,MATCH($D928,rngCadetPIDs,0)),""))</f>
        <v/>
      </c>
      <c r="F928" s="16" t="n"/>
      <c r="G928" s="17">
        <f>IF($F928="","",IFERROR(INDEX(rngEPname,MATCH($F928,rngEPcode,0)),"?"))</f>
        <v/>
      </c>
      <c r="H928" s="17">
        <f>IF($F928="","",IFERROR(INDEX(rngEPtype,MATCH($F928,rngEPcode,0)),"?"))</f>
        <v/>
      </c>
      <c r="I928" s="17">
        <f>IF($F928="","",IFERROR(INDEX(rngEPseq,MATCH($F928,rngEPcode,0)),""))</f>
        <v/>
      </c>
      <c r="J928" s="17">
        <f>IF($F928="","",IFERROR(INDEX(rngEPpass,MATCH($F928,rngEPcode,0)),cfgPassingScore))</f>
        <v/>
      </c>
      <c r="K928" s="16" t="n"/>
      <c r="L928" s="16" t="n"/>
      <c r="M928" s="17">
        <f>IF($C928="","",IF($L928="","",IF(NOT(ISNUMBER($L928)),$L928,IF(N($K928)&gt;2,"",IF($K928=1,IF(COUNTIFS(nrES_PID,$D928,nrES_Code,$F928,nrES_Att,2,nrES_Raw,"&gt;=0")&gt;0,"",$L928),IF($L928&gt;=$J928,MAX($J928,cfgRetakeRecordedCap),IF(COUNTIFS(nrES_PID,$D928,nrES_Code,$F928,nrES_Att,1)=0,$L928,SUMIFS(nrES_Raw,nrES_PID,$D928,nrES_Code,$F928,nrES_Att,1))))))))</f>
        <v/>
      </c>
      <c r="N928" s="17">
        <f>IF($C928="","",IF($L928="","",IF(NOT(ISNUMBER($L928)),"(not a score)",IF($L928&gt;=$J928,"Yes","No"))))</f>
        <v/>
      </c>
      <c r="O928" s="17">
        <f>IF($C928="","",IF($M928="","",IF(NOT(ISNUMBER($M928)),"(not a score)",IF($M928&gt;=$J928,"Yes","No"))))</f>
        <v/>
      </c>
      <c r="P928" s="17">
        <f>IF($C928="","",IF($K928="","",IF(N($K928)&gt;2,"No",IF(COUNTIFS(nrES_PID,$D928,nrES_Code,$F928,nrES_Att,"&gt;"&amp;$K928,nrES_Att,"&lt;=2",nrES_Raw,"&gt;=0")=0,"Yes","No"))))</f>
        <v/>
      </c>
      <c r="Q928" s="17">
        <f>IF($C928="","",IF($L928="","",IF(AND($K928=1,ISNUMBER($L928),$L928&lt;$J928,COUNTIFS(nrES_PID,$D928,nrES_Code,$F928,nrES_Att,2,nrES_Raw,"&gt;=0")=0),"Yes","No")))</f>
        <v/>
      </c>
      <c r="R928" s="17">
        <f>IF($C928="","",IF($L928="","",IF(AND(N($K928)&gt;=2,ISNUMBER($L928),$L928&lt;$J928),"Yes","No")))</f>
        <v/>
      </c>
      <c r="S928" s="18" t="n"/>
      <c r="T928" s="19">
        <f>IF(OR($C928="",$L928="",$K928&lt;&gt;1,NOT(ISNUMBER($L928)),$L928&gt;=$J928),"",IF($S928="","(enter date)",_xlfn.LET(_xlpm.dn,_xlfn.XLOOKUP($S928,nrCDdate,nrCDnum,"",1),IF(_xlpm.dn="","(after last class day)",_xlfn.LET(_xlpm.dd,_xlfn.XLOOKUP(_xlpm.dn+cfgRetestClassDays,nrCDnum,nrCDdate,""),_xlpm.ok,_xlfn.XLOOKUP(_xlpm.dn+cfgRetestClassDays,nrCDnum,nrCDinsession,"No"),IF(OR(_xlpm.dd="",_xlpm.ok&lt;&gt;"Yes"),"(after last class day)",_xlpm.dd))))))</f>
        <v/>
      </c>
      <c r="U928" s="17">
        <f>IF($C928="","",IF(AND($Y928="Excused",$L928="",N($K928)&lt;=1),"EXCUSED - 1st attempt pending",IF(OR($L928="",$K928&lt;&gt;1,NOT(ISNUMBER($L928)),$L928&gt;=$J928),"",IF(COUNTIFS(nrES_PID,$D928,nrES_Code,$F928,nrES_Att,2,nrES_Raw,"&gt;=0")&gt;0,IF(IFERROR(_xlfn.MINIFS(nrES_Date,nrES_PID,$D928,nrES_Code,$F928,nrES_Att,2,nrES_Raw,"&gt;=0",nrES_Date,"&gt;0"),0)=0,"RETEST UNDATED",IF(NOT(ISNUMBER($T928)),"RETEST DATE UNCHECKED",IF(_xlfn.MINIFS(nrES_Date,nrES_PID,$D928,nrES_Code,$F928,nrES_Att,2,nrES_Raw,"&gt;=0",nrES_Date,"&gt;0")&gt;$T928,"LATE RETEST "&amp;TEXT(_xlfn.MINIFS(nrES_Date,nrES_PID,$D928,nrES_Code,$F928,nrES_Att,2,nrES_Raw,"&gt;=0",nrES_Date,"&gt;0"),"mm/dd")&amp;" (due "&amp;TEXT($T928,"mm/dd")&amp;")","Retested"))),IF(NOT(ISNUMBER($T928)),"CHECK DATE",IF(TODAY()&gt;$T928,"OVERDUE","Due "&amp;TEXT($T928,"mm/dd")))))))</f>
        <v/>
      </c>
      <c r="V928" s="16" t="n"/>
      <c r="W928" s="16" t="n"/>
      <c r="X928" s="17">
        <f>IF($C928="","",IF(AND($L928&lt;&gt;"",NOT(ISNUMBER($L928))),"RAW SCORE NOT A NUMBER",IF(AND(ISNUMBER($L928),OR($L928&lt;0,$L928&gt;100)),"RAW SCORE OUT OF RANGE",IF(AND($Y928="Unexcused",OR($L928="",NOT(ISNUMBER($L928)),$L928&lt;&gt;0)),"UNEXCUSED ABSENCE MUST RECORD 0",IF(COUNTIF(nrES_RecID,$B928)&gt;1,"DUPLICATE RECORD",IF(N($K928)&gt;2,"ATTEMPT 3+ NOT ALLOWED - policy 300.5 permits one retest per exam; this row records nothing",IF(AND($K928=2,COUNTIFS(nrES_PID,$D928,nrES_Code,$F928,nrES_Att,1)=0),"ATTEMPT 2 WITHOUT ATTEMPT 1",IF(AND($K928=2,$L928=""),"RETEST ROW HAS NO SCORE",IF(AND($H928="Final",$L928&lt;&gt;"",IFERROR(INDEX(nrCKfinalExamElig,MATCH($D928,rngCadetPIDs,0)),"")="No"),"FINAL EXAM AFTER FAILED FINAL PT (500.1.H)",IF(AND($K928=2,ISNUMBER($L928),COUNTIFS(nrES_PID,$D928,nrES_Code,$F928,nrES_Att,1)&gt;0,SUMIFS(nrES_Raw,nrES_PID,$D928,nrES_Code,$F928,nrES_Att,1)&gt;=$J928),"RETEST AFTER A PASSING FIRST ATTEMPT","OK"))))))))))</f>
        <v/>
      </c>
      <c r="Y928" s="16" t="n"/>
    </row>
    <row r="929">
      <c r="B929" s="17">
        <f>IF($C929="","",$D929&amp;"-"&amp;$F929&amp;"-"&amp;$K929)</f>
        <v/>
      </c>
      <c r="C929" s="16" t="n"/>
      <c r="D929" s="17">
        <f>IF($C929="","",IFERROR(INDEX(rngCadetPIDs,MATCH($C929,rngCadetNames,0)),"?"))</f>
        <v/>
      </c>
      <c r="E929" s="17">
        <f>IF($D929="","",IFERROR(INDEX(nrCadetAgency,MATCH($D929,rngCadetPIDs,0)),""))</f>
        <v/>
      </c>
      <c r="F929" s="16" t="n"/>
      <c r="G929" s="17">
        <f>IF($F929="","",IFERROR(INDEX(rngEPname,MATCH($F929,rngEPcode,0)),"?"))</f>
        <v/>
      </c>
      <c r="H929" s="17">
        <f>IF($F929="","",IFERROR(INDEX(rngEPtype,MATCH($F929,rngEPcode,0)),"?"))</f>
        <v/>
      </c>
      <c r="I929" s="17">
        <f>IF($F929="","",IFERROR(INDEX(rngEPseq,MATCH($F929,rngEPcode,0)),""))</f>
        <v/>
      </c>
      <c r="J929" s="17">
        <f>IF($F929="","",IFERROR(INDEX(rngEPpass,MATCH($F929,rngEPcode,0)),cfgPassingScore))</f>
        <v/>
      </c>
      <c r="K929" s="16" t="n"/>
      <c r="L929" s="16" t="n"/>
      <c r="M929" s="17">
        <f>IF($C929="","",IF($L929="","",IF(NOT(ISNUMBER($L929)),$L929,IF(N($K929)&gt;2,"",IF($K929=1,IF(COUNTIFS(nrES_PID,$D929,nrES_Code,$F929,nrES_Att,2,nrES_Raw,"&gt;=0")&gt;0,"",$L929),IF($L929&gt;=$J929,MAX($J929,cfgRetakeRecordedCap),IF(COUNTIFS(nrES_PID,$D929,nrES_Code,$F929,nrES_Att,1)=0,$L929,SUMIFS(nrES_Raw,nrES_PID,$D929,nrES_Code,$F929,nrES_Att,1))))))))</f>
        <v/>
      </c>
      <c r="N929" s="17">
        <f>IF($C929="","",IF($L929="","",IF(NOT(ISNUMBER($L929)),"(not a score)",IF($L929&gt;=$J929,"Yes","No"))))</f>
        <v/>
      </c>
      <c r="O929" s="17">
        <f>IF($C929="","",IF($M929="","",IF(NOT(ISNUMBER($M929)),"(not a score)",IF($M929&gt;=$J929,"Yes","No"))))</f>
        <v/>
      </c>
      <c r="P929" s="17">
        <f>IF($C929="","",IF($K929="","",IF(N($K929)&gt;2,"No",IF(COUNTIFS(nrES_PID,$D929,nrES_Code,$F929,nrES_Att,"&gt;"&amp;$K929,nrES_Att,"&lt;=2",nrES_Raw,"&gt;=0")=0,"Yes","No"))))</f>
        <v/>
      </c>
      <c r="Q929" s="17">
        <f>IF($C929="","",IF($L929="","",IF(AND($K929=1,ISNUMBER($L929),$L929&lt;$J929,COUNTIFS(nrES_PID,$D929,nrES_Code,$F929,nrES_Att,2,nrES_Raw,"&gt;=0")=0),"Yes","No")))</f>
        <v/>
      </c>
      <c r="R929" s="17">
        <f>IF($C929="","",IF($L929="","",IF(AND(N($K929)&gt;=2,ISNUMBER($L929),$L929&lt;$J929),"Yes","No")))</f>
        <v/>
      </c>
      <c r="S929" s="18" t="n"/>
      <c r="T929" s="19">
        <f>IF(OR($C929="",$L929="",$K929&lt;&gt;1,NOT(ISNUMBER($L929)),$L929&gt;=$J929),"",IF($S929="","(enter date)",_xlfn.LET(_xlpm.dn,_xlfn.XLOOKUP($S929,nrCDdate,nrCDnum,"",1),IF(_xlpm.dn="","(after last class day)",_xlfn.LET(_xlpm.dd,_xlfn.XLOOKUP(_xlpm.dn+cfgRetestClassDays,nrCDnum,nrCDdate,""),_xlpm.ok,_xlfn.XLOOKUP(_xlpm.dn+cfgRetestClassDays,nrCDnum,nrCDinsession,"No"),IF(OR(_xlpm.dd="",_xlpm.ok&lt;&gt;"Yes"),"(after last class day)",_xlpm.dd))))))</f>
        <v/>
      </c>
      <c r="U929" s="17">
        <f>IF($C929="","",IF(AND($Y929="Excused",$L929="",N($K929)&lt;=1),"EXCUSED - 1st attempt pending",IF(OR($L929="",$K929&lt;&gt;1,NOT(ISNUMBER($L929)),$L929&gt;=$J929),"",IF(COUNTIFS(nrES_PID,$D929,nrES_Code,$F929,nrES_Att,2,nrES_Raw,"&gt;=0")&gt;0,IF(IFERROR(_xlfn.MINIFS(nrES_Date,nrES_PID,$D929,nrES_Code,$F929,nrES_Att,2,nrES_Raw,"&gt;=0",nrES_Date,"&gt;0"),0)=0,"RETEST UNDATED",IF(NOT(ISNUMBER($T929)),"RETEST DATE UNCHECKED",IF(_xlfn.MINIFS(nrES_Date,nrES_PID,$D929,nrES_Code,$F929,nrES_Att,2,nrES_Raw,"&gt;=0",nrES_Date,"&gt;0")&gt;$T929,"LATE RETEST "&amp;TEXT(_xlfn.MINIFS(nrES_Date,nrES_PID,$D929,nrES_Code,$F929,nrES_Att,2,nrES_Raw,"&gt;=0",nrES_Date,"&gt;0"),"mm/dd")&amp;" (due "&amp;TEXT($T929,"mm/dd")&amp;")","Retested"))),IF(NOT(ISNUMBER($T929)),"CHECK DATE",IF(TODAY()&gt;$T929,"OVERDUE","Due "&amp;TEXT($T929,"mm/dd")))))))</f>
        <v/>
      </c>
      <c r="V929" s="16" t="n"/>
      <c r="W929" s="16" t="n"/>
      <c r="X929" s="17">
        <f>IF($C929="","",IF(AND($L929&lt;&gt;"",NOT(ISNUMBER($L929))),"RAW SCORE NOT A NUMBER",IF(AND(ISNUMBER($L929),OR($L929&lt;0,$L929&gt;100)),"RAW SCORE OUT OF RANGE",IF(AND($Y929="Unexcused",OR($L929="",NOT(ISNUMBER($L929)),$L929&lt;&gt;0)),"UNEXCUSED ABSENCE MUST RECORD 0",IF(COUNTIF(nrES_RecID,$B929)&gt;1,"DUPLICATE RECORD",IF(N($K929)&gt;2,"ATTEMPT 3+ NOT ALLOWED - policy 300.5 permits one retest per exam; this row records nothing",IF(AND($K929=2,COUNTIFS(nrES_PID,$D929,nrES_Code,$F929,nrES_Att,1)=0),"ATTEMPT 2 WITHOUT ATTEMPT 1",IF(AND($K929=2,$L929=""),"RETEST ROW HAS NO SCORE",IF(AND($H929="Final",$L929&lt;&gt;"",IFERROR(INDEX(nrCKfinalExamElig,MATCH($D929,rngCadetPIDs,0)),"")="No"),"FINAL EXAM AFTER FAILED FINAL PT (500.1.H)",IF(AND($K929=2,ISNUMBER($L929),COUNTIFS(nrES_PID,$D929,nrES_Code,$F929,nrES_Att,1)&gt;0,SUMIFS(nrES_Raw,nrES_PID,$D929,nrES_Code,$F929,nrES_Att,1)&gt;=$J929),"RETEST AFTER A PASSING FIRST ATTEMPT","OK"))))))))))</f>
        <v/>
      </c>
      <c r="Y929" s="16" t="n"/>
    </row>
    <row r="930">
      <c r="B930" s="17">
        <f>IF($C930="","",$D930&amp;"-"&amp;$F930&amp;"-"&amp;$K930)</f>
        <v/>
      </c>
      <c r="C930" s="16" t="n"/>
      <c r="D930" s="17">
        <f>IF($C930="","",IFERROR(INDEX(rngCadetPIDs,MATCH($C930,rngCadetNames,0)),"?"))</f>
        <v/>
      </c>
      <c r="E930" s="17">
        <f>IF($D930="","",IFERROR(INDEX(nrCadetAgency,MATCH($D930,rngCadetPIDs,0)),""))</f>
        <v/>
      </c>
      <c r="F930" s="16" t="n"/>
      <c r="G930" s="17">
        <f>IF($F930="","",IFERROR(INDEX(rngEPname,MATCH($F930,rngEPcode,0)),"?"))</f>
        <v/>
      </c>
      <c r="H930" s="17">
        <f>IF($F930="","",IFERROR(INDEX(rngEPtype,MATCH($F930,rngEPcode,0)),"?"))</f>
        <v/>
      </c>
      <c r="I930" s="17">
        <f>IF($F930="","",IFERROR(INDEX(rngEPseq,MATCH($F930,rngEPcode,0)),""))</f>
        <v/>
      </c>
      <c r="J930" s="17">
        <f>IF($F930="","",IFERROR(INDEX(rngEPpass,MATCH($F930,rngEPcode,0)),cfgPassingScore))</f>
        <v/>
      </c>
      <c r="K930" s="16" t="n"/>
      <c r="L930" s="16" t="n"/>
      <c r="M930" s="17">
        <f>IF($C930="","",IF($L930="","",IF(NOT(ISNUMBER($L930)),$L930,IF(N($K930)&gt;2,"",IF($K930=1,IF(COUNTIFS(nrES_PID,$D930,nrES_Code,$F930,nrES_Att,2,nrES_Raw,"&gt;=0")&gt;0,"",$L930),IF($L930&gt;=$J930,MAX($J930,cfgRetakeRecordedCap),IF(COUNTIFS(nrES_PID,$D930,nrES_Code,$F930,nrES_Att,1)=0,$L930,SUMIFS(nrES_Raw,nrES_PID,$D930,nrES_Code,$F930,nrES_Att,1))))))))</f>
        <v/>
      </c>
      <c r="N930" s="17">
        <f>IF($C930="","",IF($L930="","",IF(NOT(ISNUMBER($L930)),"(not a score)",IF($L930&gt;=$J930,"Yes","No"))))</f>
        <v/>
      </c>
      <c r="O930" s="17">
        <f>IF($C930="","",IF($M930="","",IF(NOT(ISNUMBER($M930)),"(not a score)",IF($M930&gt;=$J930,"Yes","No"))))</f>
        <v/>
      </c>
      <c r="P930" s="17">
        <f>IF($C930="","",IF($K930="","",IF(N($K930)&gt;2,"No",IF(COUNTIFS(nrES_PID,$D930,nrES_Code,$F930,nrES_Att,"&gt;"&amp;$K930,nrES_Att,"&lt;=2",nrES_Raw,"&gt;=0")=0,"Yes","No"))))</f>
        <v/>
      </c>
      <c r="Q930" s="17">
        <f>IF($C930="","",IF($L930="","",IF(AND($K930=1,ISNUMBER($L930),$L930&lt;$J930,COUNTIFS(nrES_PID,$D930,nrES_Code,$F930,nrES_Att,2,nrES_Raw,"&gt;=0")=0),"Yes","No")))</f>
        <v/>
      </c>
      <c r="R930" s="17">
        <f>IF($C930="","",IF($L930="","",IF(AND(N($K930)&gt;=2,ISNUMBER($L930),$L930&lt;$J930),"Yes","No")))</f>
        <v/>
      </c>
      <c r="S930" s="18" t="n"/>
      <c r="T930" s="19">
        <f>IF(OR($C930="",$L930="",$K930&lt;&gt;1,NOT(ISNUMBER($L930)),$L930&gt;=$J930),"",IF($S930="","(enter date)",_xlfn.LET(_xlpm.dn,_xlfn.XLOOKUP($S930,nrCDdate,nrCDnum,"",1),IF(_xlpm.dn="","(after last class day)",_xlfn.LET(_xlpm.dd,_xlfn.XLOOKUP(_xlpm.dn+cfgRetestClassDays,nrCDnum,nrCDdate,""),_xlpm.ok,_xlfn.XLOOKUP(_xlpm.dn+cfgRetestClassDays,nrCDnum,nrCDinsession,"No"),IF(OR(_xlpm.dd="",_xlpm.ok&lt;&gt;"Yes"),"(after last class day)",_xlpm.dd))))))</f>
        <v/>
      </c>
      <c r="U930" s="17">
        <f>IF($C930="","",IF(AND($Y930="Excused",$L930="",N($K930)&lt;=1),"EXCUSED - 1st attempt pending",IF(OR($L930="",$K930&lt;&gt;1,NOT(ISNUMBER($L930)),$L930&gt;=$J930),"",IF(COUNTIFS(nrES_PID,$D930,nrES_Code,$F930,nrES_Att,2,nrES_Raw,"&gt;=0")&gt;0,IF(IFERROR(_xlfn.MINIFS(nrES_Date,nrES_PID,$D930,nrES_Code,$F930,nrES_Att,2,nrES_Raw,"&gt;=0",nrES_Date,"&gt;0"),0)=0,"RETEST UNDATED",IF(NOT(ISNUMBER($T930)),"RETEST DATE UNCHECKED",IF(_xlfn.MINIFS(nrES_Date,nrES_PID,$D930,nrES_Code,$F930,nrES_Att,2,nrES_Raw,"&gt;=0",nrES_Date,"&gt;0")&gt;$T930,"LATE RETEST "&amp;TEXT(_xlfn.MINIFS(nrES_Date,nrES_PID,$D930,nrES_Code,$F930,nrES_Att,2,nrES_Raw,"&gt;=0",nrES_Date,"&gt;0"),"mm/dd")&amp;" (due "&amp;TEXT($T930,"mm/dd")&amp;")","Retested"))),IF(NOT(ISNUMBER($T930)),"CHECK DATE",IF(TODAY()&gt;$T930,"OVERDUE","Due "&amp;TEXT($T930,"mm/dd")))))))</f>
        <v/>
      </c>
      <c r="V930" s="16" t="n"/>
      <c r="W930" s="16" t="n"/>
      <c r="X930" s="17">
        <f>IF($C930="","",IF(AND($L930&lt;&gt;"",NOT(ISNUMBER($L930))),"RAW SCORE NOT A NUMBER",IF(AND(ISNUMBER($L930),OR($L930&lt;0,$L930&gt;100)),"RAW SCORE OUT OF RANGE",IF(AND($Y930="Unexcused",OR($L930="",NOT(ISNUMBER($L930)),$L930&lt;&gt;0)),"UNEXCUSED ABSENCE MUST RECORD 0",IF(COUNTIF(nrES_RecID,$B930)&gt;1,"DUPLICATE RECORD",IF(N($K930)&gt;2,"ATTEMPT 3+ NOT ALLOWED - policy 300.5 permits one retest per exam; this row records nothing",IF(AND($K930=2,COUNTIFS(nrES_PID,$D930,nrES_Code,$F930,nrES_Att,1)=0),"ATTEMPT 2 WITHOUT ATTEMPT 1",IF(AND($K930=2,$L930=""),"RETEST ROW HAS NO SCORE",IF(AND($H930="Final",$L930&lt;&gt;"",IFERROR(INDEX(nrCKfinalExamElig,MATCH($D930,rngCadetPIDs,0)),"")="No"),"FINAL EXAM AFTER FAILED FINAL PT (500.1.H)",IF(AND($K930=2,ISNUMBER($L930),COUNTIFS(nrES_PID,$D930,nrES_Code,$F930,nrES_Att,1)&gt;0,SUMIFS(nrES_Raw,nrES_PID,$D930,nrES_Code,$F930,nrES_Att,1)&gt;=$J930),"RETEST AFTER A PASSING FIRST ATTEMPT","OK"))))))))))</f>
        <v/>
      </c>
      <c r="Y930" s="16" t="n"/>
    </row>
    <row r="931">
      <c r="B931" s="17">
        <f>IF($C931="","",$D931&amp;"-"&amp;$F931&amp;"-"&amp;$K931)</f>
        <v/>
      </c>
      <c r="C931" s="16" t="n"/>
      <c r="D931" s="17">
        <f>IF($C931="","",IFERROR(INDEX(rngCadetPIDs,MATCH($C931,rngCadetNames,0)),"?"))</f>
        <v/>
      </c>
      <c r="E931" s="17">
        <f>IF($D931="","",IFERROR(INDEX(nrCadetAgency,MATCH($D931,rngCadetPIDs,0)),""))</f>
        <v/>
      </c>
      <c r="F931" s="16" t="n"/>
      <c r="G931" s="17">
        <f>IF($F931="","",IFERROR(INDEX(rngEPname,MATCH($F931,rngEPcode,0)),"?"))</f>
        <v/>
      </c>
      <c r="H931" s="17">
        <f>IF($F931="","",IFERROR(INDEX(rngEPtype,MATCH($F931,rngEPcode,0)),"?"))</f>
        <v/>
      </c>
      <c r="I931" s="17">
        <f>IF($F931="","",IFERROR(INDEX(rngEPseq,MATCH($F931,rngEPcode,0)),""))</f>
        <v/>
      </c>
      <c r="J931" s="17">
        <f>IF($F931="","",IFERROR(INDEX(rngEPpass,MATCH($F931,rngEPcode,0)),cfgPassingScore))</f>
        <v/>
      </c>
      <c r="K931" s="16" t="n"/>
      <c r="L931" s="16" t="n"/>
      <c r="M931" s="17">
        <f>IF($C931="","",IF($L931="","",IF(NOT(ISNUMBER($L931)),$L931,IF(N($K931)&gt;2,"",IF($K931=1,IF(COUNTIFS(nrES_PID,$D931,nrES_Code,$F931,nrES_Att,2,nrES_Raw,"&gt;=0")&gt;0,"",$L931),IF($L931&gt;=$J931,MAX($J931,cfgRetakeRecordedCap),IF(COUNTIFS(nrES_PID,$D931,nrES_Code,$F931,nrES_Att,1)=0,$L931,SUMIFS(nrES_Raw,nrES_PID,$D931,nrES_Code,$F931,nrES_Att,1))))))))</f>
        <v/>
      </c>
      <c r="N931" s="17">
        <f>IF($C931="","",IF($L931="","",IF(NOT(ISNUMBER($L931)),"(not a score)",IF($L931&gt;=$J931,"Yes","No"))))</f>
        <v/>
      </c>
      <c r="O931" s="17">
        <f>IF($C931="","",IF($M931="","",IF(NOT(ISNUMBER($M931)),"(not a score)",IF($M931&gt;=$J931,"Yes","No"))))</f>
        <v/>
      </c>
      <c r="P931" s="17">
        <f>IF($C931="","",IF($K931="","",IF(N($K931)&gt;2,"No",IF(COUNTIFS(nrES_PID,$D931,nrES_Code,$F931,nrES_Att,"&gt;"&amp;$K931,nrES_Att,"&lt;=2",nrES_Raw,"&gt;=0")=0,"Yes","No"))))</f>
        <v/>
      </c>
      <c r="Q931" s="17">
        <f>IF($C931="","",IF($L931="","",IF(AND($K931=1,ISNUMBER($L931),$L931&lt;$J931,COUNTIFS(nrES_PID,$D931,nrES_Code,$F931,nrES_Att,2,nrES_Raw,"&gt;=0")=0),"Yes","No")))</f>
        <v/>
      </c>
      <c r="R931" s="17">
        <f>IF($C931="","",IF($L931="","",IF(AND(N($K931)&gt;=2,ISNUMBER($L931),$L931&lt;$J931),"Yes","No")))</f>
        <v/>
      </c>
      <c r="S931" s="18" t="n"/>
      <c r="T931" s="19">
        <f>IF(OR($C931="",$L931="",$K931&lt;&gt;1,NOT(ISNUMBER($L931)),$L931&gt;=$J931),"",IF($S931="","(enter date)",_xlfn.LET(_xlpm.dn,_xlfn.XLOOKUP($S931,nrCDdate,nrCDnum,"",1),IF(_xlpm.dn="","(after last class day)",_xlfn.LET(_xlpm.dd,_xlfn.XLOOKUP(_xlpm.dn+cfgRetestClassDays,nrCDnum,nrCDdate,""),_xlpm.ok,_xlfn.XLOOKUP(_xlpm.dn+cfgRetestClassDays,nrCDnum,nrCDinsession,"No"),IF(OR(_xlpm.dd="",_xlpm.ok&lt;&gt;"Yes"),"(after last class day)",_xlpm.dd))))))</f>
        <v/>
      </c>
      <c r="U931" s="17">
        <f>IF($C931="","",IF(AND($Y931="Excused",$L931="",N($K931)&lt;=1),"EXCUSED - 1st attempt pending",IF(OR($L931="",$K931&lt;&gt;1,NOT(ISNUMBER($L931)),$L931&gt;=$J931),"",IF(COUNTIFS(nrES_PID,$D931,nrES_Code,$F931,nrES_Att,2,nrES_Raw,"&gt;=0")&gt;0,IF(IFERROR(_xlfn.MINIFS(nrES_Date,nrES_PID,$D931,nrES_Code,$F931,nrES_Att,2,nrES_Raw,"&gt;=0",nrES_Date,"&gt;0"),0)=0,"RETEST UNDATED",IF(NOT(ISNUMBER($T931)),"RETEST DATE UNCHECKED",IF(_xlfn.MINIFS(nrES_Date,nrES_PID,$D931,nrES_Code,$F931,nrES_Att,2,nrES_Raw,"&gt;=0",nrES_Date,"&gt;0")&gt;$T931,"LATE RETEST "&amp;TEXT(_xlfn.MINIFS(nrES_Date,nrES_PID,$D931,nrES_Code,$F931,nrES_Att,2,nrES_Raw,"&gt;=0",nrES_Date,"&gt;0"),"mm/dd")&amp;" (due "&amp;TEXT($T931,"mm/dd")&amp;")","Retested"))),IF(NOT(ISNUMBER($T931)),"CHECK DATE",IF(TODAY()&gt;$T931,"OVERDUE","Due "&amp;TEXT($T931,"mm/dd")))))))</f>
        <v/>
      </c>
      <c r="V931" s="16" t="n"/>
      <c r="W931" s="16" t="n"/>
      <c r="X931" s="17">
        <f>IF($C931="","",IF(AND($L931&lt;&gt;"",NOT(ISNUMBER($L931))),"RAW SCORE NOT A NUMBER",IF(AND(ISNUMBER($L931),OR($L931&lt;0,$L931&gt;100)),"RAW SCORE OUT OF RANGE",IF(AND($Y931="Unexcused",OR($L931="",NOT(ISNUMBER($L931)),$L931&lt;&gt;0)),"UNEXCUSED ABSENCE MUST RECORD 0",IF(COUNTIF(nrES_RecID,$B931)&gt;1,"DUPLICATE RECORD",IF(N($K931)&gt;2,"ATTEMPT 3+ NOT ALLOWED - policy 300.5 permits one retest per exam; this row records nothing",IF(AND($K931=2,COUNTIFS(nrES_PID,$D931,nrES_Code,$F931,nrES_Att,1)=0),"ATTEMPT 2 WITHOUT ATTEMPT 1",IF(AND($K931=2,$L931=""),"RETEST ROW HAS NO SCORE",IF(AND($H931="Final",$L931&lt;&gt;"",IFERROR(INDEX(nrCKfinalExamElig,MATCH($D931,rngCadetPIDs,0)),"")="No"),"FINAL EXAM AFTER FAILED FINAL PT (500.1.H)",IF(AND($K931=2,ISNUMBER($L931),COUNTIFS(nrES_PID,$D931,nrES_Code,$F931,nrES_Att,1)&gt;0,SUMIFS(nrES_Raw,nrES_PID,$D931,nrES_Code,$F931,nrES_Att,1)&gt;=$J931),"RETEST AFTER A PASSING FIRST ATTEMPT","OK"))))))))))</f>
        <v/>
      </c>
      <c r="Y931" s="16" t="n"/>
    </row>
    <row r="932">
      <c r="B932" s="17">
        <f>IF($C932="","",$D932&amp;"-"&amp;$F932&amp;"-"&amp;$K932)</f>
        <v/>
      </c>
      <c r="C932" s="16" t="n"/>
      <c r="D932" s="17">
        <f>IF($C932="","",IFERROR(INDEX(rngCadetPIDs,MATCH($C932,rngCadetNames,0)),"?"))</f>
        <v/>
      </c>
      <c r="E932" s="17">
        <f>IF($D932="","",IFERROR(INDEX(nrCadetAgency,MATCH($D932,rngCadetPIDs,0)),""))</f>
        <v/>
      </c>
      <c r="F932" s="16" t="n"/>
      <c r="G932" s="17">
        <f>IF($F932="","",IFERROR(INDEX(rngEPname,MATCH($F932,rngEPcode,0)),"?"))</f>
        <v/>
      </c>
      <c r="H932" s="17">
        <f>IF($F932="","",IFERROR(INDEX(rngEPtype,MATCH($F932,rngEPcode,0)),"?"))</f>
        <v/>
      </c>
      <c r="I932" s="17">
        <f>IF($F932="","",IFERROR(INDEX(rngEPseq,MATCH($F932,rngEPcode,0)),""))</f>
        <v/>
      </c>
      <c r="J932" s="17">
        <f>IF($F932="","",IFERROR(INDEX(rngEPpass,MATCH($F932,rngEPcode,0)),cfgPassingScore))</f>
        <v/>
      </c>
      <c r="K932" s="16" t="n"/>
      <c r="L932" s="16" t="n"/>
      <c r="M932" s="17">
        <f>IF($C932="","",IF($L932="","",IF(NOT(ISNUMBER($L932)),$L932,IF(N($K932)&gt;2,"",IF($K932=1,IF(COUNTIFS(nrES_PID,$D932,nrES_Code,$F932,nrES_Att,2,nrES_Raw,"&gt;=0")&gt;0,"",$L932),IF($L932&gt;=$J932,MAX($J932,cfgRetakeRecordedCap),IF(COUNTIFS(nrES_PID,$D932,nrES_Code,$F932,nrES_Att,1)=0,$L932,SUMIFS(nrES_Raw,nrES_PID,$D932,nrES_Code,$F932,nrES_Att,1))))))))</f>
        <v/>
      </c>
      <c r="N932" s="17">
        <f>IF($C932="","",IF($L932="","",IF(NOT(ISNUMBER($L932)),"(not a score)",IF($L932&gt;=$J932,"Yes","No"))))</f>
        <v/>
      </c>
      <c r="O932" s="17">
        <f>IF($C932="","",IF($M932="","",IF(NOT(ISNUMBER($M932)),"(not a score)",IF($M932&gt;=$J932,"Yes","No"))))</f>
        <v/>
      </c>
      <c r="P932" s="17">
        <f>IF($C932="","",IF($K932="","",IF(N($K932)&gt;2,"No",IF(COUNTIFS(nrES_PID,$D932,nrES_Code,$F932,nrES_Att,"&gt;"&amp;$K932,nrES_Att,"&lt;=2",nrES_Raw,"&gt;=0")=0,"Yes","No"))))</f>
        <v/>
      </c>
      <c r="Q932" s="17">
        <f>IF($C932="","",IF($L932="","",IF(AND($K932=1,ISNUMBER($L932),$L932&lt;$J932,COUNTIFS(nrES_PID,$D932,nrES_Code,$F932,nrES_Att,2,nrES_Raw,"&gt;=0")=0),"Yes","No")))</f>
        <v/>
      </c>
      <c r="R932" s="17">
        <f>IF($C932="","",IF($L932="","",IF(AND(N($K932)&gt;=2,ISNUMBER($L932),$L932&lt;$J932),"Yes","No")))</f>
        <v/>
      </c>
      <c r="S932" s="18" t="n"/>
      <c r="T932" s="19">
        <f>IF(OR($C932="",$L932="",$K932&lt;&gt;1,NOT(ISNUMBER($L932)),$L932&gt;=$J932),"",IF($S932="","(enter date)",_xlfn.LET(_xlpm.dn,_xlfn.XLOOKUP($S932,nrCDdate,nrCDnum,"",1),IF(_xlpm.dn="","(after last class day)",_xlfn.LET(_xlpm.dd,_xlfn.XLOOKUP(_xlpm.dn+cfgRetestClassDays,nrCDnum,nrCDdate,""),_xlpm.ok,_xlfn.XLOOKUP(_xlpm.dn+cfgRetestClassDays,nrCDnum,nrCDinsession,"No"),IF(OR(_xlpm.dd="",_xlpm.ok&lt;&gt;"Yes"),"(after last class day)",_xlpm.dd))))))</f>
        <v/>
      </c>
      <c r="U932" s="17">
        <f>IF($C932="","",IF(AND($Y932="Excused",$L932="",N($K932)&lt;=1),"EXCUSED - 1st attempt pending",IF(OR($L932="",$K932&lt;&gt;1,NOT(ISNUMBER($L932)),$L932&gt;=$J932),"",IF(COUNTIFS(nrES_PID,$D932,nrES_Code,$F932,nrES_Att,2,nrES_Raw,"&gt;=0")&gt;0,IF(IFERROR(_xlfn.MINIFS(nrES_Date,nrES_PID,$D932,nrES_Code,$F932,nrES_Att,2,nrES_Raw,"&gt;=0",nrES_Date,"&gt;0"),0)=0,"RETEST UNDATED",IF(NOT(ISNUMBER($T932)),"RETEST DATE UNCHECKED",IF(_xlfn.MINIFS(nrES_Date,nrES_PID,$D932,nrES_Code,$F932,nrES_Att,2,nrES_Raw,"&gt;=0",nrES_Date,"&gt;0")&gt;$T932,"LATE RETEST "&amp;TEXT(_xlfn.MINIFS(nrES_Date,nrES_PID,$D932,nrES_Code,$F932,nrES_Att,2,nrES_Raw,"&gt;=0",nrES_Date,"&gt;0"),"mm/dd")&amp;" (due "&amp;TEXT($T932,"mm/dd")&amp;")","Retested"))),IF(NOT(ISNUMBER($T932)),"CHECK DATE",IF(TODAY()&gt;$T932,"OVERDUE","Due "&amp;TEXT($T932,"mm/dd")))))))</f>
        <v/>
      </c>
      <c r="V932" s="16" t="n"/>
      <c r="W932" s="16" t="n"/>
      <c r="X932" s="17">
        <f>IF($C932="","",IF(AND($L932&lt;&gt;"",NOT(ISNUMBER($L932))),"RAW SCORE NOT A NUMBER",IF(AND(ISNUMBER($L932),OR($L932&lt;0,$L932&gt;100)),"RAW SCORE OUT OF RANGE",IF(AND($Y932="Unexcused",OR($L932="",NOT(ISNUMBER($L932)),$L932&lt;&gt;0)),"UNEXCUSED ABSENCE MUST RECORD 0",IF(COUNTIF(nrES_RecID,$B932)&gt;1,"DUPLICATE RECORD",IF(N($K932)&gt;2,"ATTEMPT 3+ NOT ALLOWED - policy 300.5 permits one retest per exam; this row records nothing",IF(AND($K932=2,COUNTIFS(nrES_PID,$D932,nrES_Code,$F932,nrES_Att,1)=0),"ATTEMPT 2 WITHOUT ATTEMPT 1",IF(AND($K932=2,$L932=""),"RETEST ROW HAS NO SCORE",IF(AND($H932="Final",$L932&lt;&gt;"",IFERROR(INDEX(nrCKfinalExamElig,MATCH($D932,rngCadetPIDs,0)),"")="No"),"FINAL EXAM AFTER FAILED FINAL PT (500.1.H)",IF(AND($K932=2,ISNUMBER($L932),COUNTIFS(nrES_PID,$D932,nrES_Code,$F932,nrES_Att,1)&gt;0,SUMIFS(nrES_Raw,nrES_PID,$D932,nrES_Code,$F932,nrES_Att,1)&gt;=$J932),"RETEST AFTER A PASSING FIRST ATTEMPT","OK"))))))))))</f>
        <v/>
      </c>
      <c r="Y932" s="16" t="n"/>
    </row>
    <row r="933">
      <c r="B933" s="17">
        <f>IF($C933="","",$D933&amp;"-"&amp;$F933&amp;"-"&amp;$K933)</f>
        <v/>
      </c>
      <c r="C933" s="16" t="n"/>
      <c r="D933" s="17">
        <f>IF($C933="","",IFERROR(INDEX(rngCadetPIDs,MATCH($C933,rngCadetNames,0)),"?"))</f>
        <v/>
      </c>
      <c r="E933" s="17">
        <f>IF($D933="","",IFERROR(INDEX(nrCadetAgency,MATCH($D933,rngCadetPIDs,0)),""))</f>
        <v/>
      </c>
      <c r="F933" s="16" t="n"/>
      <c r="G933" s="17">
        <f>IF($F933="","",IFERROR(INDEX(rngEPname,MATCH($F933,rngEPcode,0)),"?"))</f>
        <v/>
      </c>
      <c r="H933" s="17">
        <f>IF($F933="","",IFERROR(INDEX(rngEPtype,MATCH($F933,rngEPcode,0)),"?"))</f>
        <v/>
      </c>
      <c r="I933" s="17">
        <f>IF($F933="","",IFERROR(INDEX(rngEPseq,MATCH($F933,rngEPcode,0)),""))</f>
        <v/>
      </c>
      <c r="J933" s="17">
        <f>IF($F933="","",IFERROR(INDEX(rngEPpass,MATCH($F933,rngEPcode,0)),cfgPassingScore))</f>
        <v/>
      </c>
      <c r="K933" s="16" t="n"/>
      <c r="L933" s="16" t="n"/>
      <c r="M933" s="17">
        <f>IF($C933="","",IF($L933="","",IF(NOT(ISNUMBER($L933)),$L933,IF(N($K933)&gt;2,"",IF($K933=1,IF(COUNTIFS(nrES_PID,$D933,nrES_Code,$F933,nrES_Att,2,nrES_Raw,"&gt;=0")&gt;0,"",$L933),IF($L933&gt;=$J933,MAX($J933,cfgRetakeRecordedCap),IF(COUNTIFS(nrES_PID,$D933,nrES_Code,$F933,nrES_Att,1)=0,$L933,SUMIFS(nrES_Raw,nrES_PID,$D933,nrES_Code,$F933,nrES_Att,1))))))))</f>
        <v/>
      </c>
      <c r="N933" s="17">
        <f>IF($C933="","",IF($L933="","",IF(NOT(ISNUMBER($L933)),"(not a score)",IF($L933&gt;=$J933,"Yes","No"))))</f>
        <v/>
      </c>
      <c r="O933" s="17">
        <f>IF($C933="","",IF($M933="","",IF(NOT(ISNUMBER($M933)),"(not a score)",IF($M933&gt;=$J933,"Yes","No"))))</f>
        <v/>
      </c>
      <c r="P933" s="17">
        <f>IF($C933="","",IF($K933="","",IF(N($K933)&gt;2,"No",IF(COUNTIFS(nrES_PID,$D933,nrES_Code,$F933,nrES_Att,"&gt;"&amp;$K933,nrES_Att,"&lt;=2",nrES_Raw,"&gt;=0")=0,"Yes","No"))))</f>
        <v/>
      </c>
      <c r="Q933" s="17">
        <f>IF($C933="","",IF($L933="","",IF(AND($K933=1,ISNUMBER($L933),$L933&lt;$J933,COUNTIFS(nrES_PID,$D933,nrES_Code,$F933,nrES_Att,2,nrES_Raw,"&gt;=0")=0),"Yes","No")))</f>
        <v/>
      </c>
      <c r="R933" s="17">
        <f>IF($C933="","",IF($L933="","",IF(AND(N($K933)&gt;=2,ISNUMBER($L933),$L933&lt;$J933),"Yes","No")))</f>
        <v/>
      </c>
      <c r="S933" s="18" t="n"/>
      <c r="T933" s="19">
        <f>IF(OR($C933="",$L933="",$K933&lt;&gt;1,NOT(ISNUMBER($L933)),$L933&gt;=$J933),"",IF($S933="","(enter date)",_xlfn.LET(_xlpm.dn,_xlfn.XLOOKUP($S933,nrCDdate,nrCDnum,"",1),IF(_xlpm.dn="","(after last class day)",_xlfn.LET(_xlpm.dd,_xlfn.XLOOKUP(_xlpm.dn+cfgRetestClassDays,nrCDnum,nrCDdate,""),_xlpm.ok,_xlfn.XLOOKUP(_xlpm.dn+cfgRetestClassDays,nrCDnum,nrCDinsession,"No"),IF(OR(_xlpm.dd="",_xlpm.ok&lt;&gt;"Yes"),"(after last class day)",_xlpm.dd))))))</f>
        <v/>
      </c>
      <c r="U933" s="17">
        <f>IF($C933="","",IF(AND($Y933="Excused",$L933="",N($K933)&lt;=1),"EXCUSED - 1st attempt pending",IF(OR($L933="",$K933&lt;&gt;1,NOT(ISNUMBER($L933)),$L933&gt;=$J933),"",IF(COUNTIFS(nrES_PID,$D933,nrES_Code,$F933,nrES_Att,2,nrES_Raw,"&gt;=0")&gt;0,IF(IFERROR(_xlfn.MINIFS(nrES_Date,nrES_PID,$D933,nrES_Code,$F933,nrES_Att,2,nrES_Raw,"&gt;=0",nrES_Date,"&gt;0"),0)=0,"RETEST UNDATED",IF(NOT(ISNUMBER($T933)),"RETEST DATE UNCHECKED",IF(_xlfn.MINIFS(nrES_Date,nrES_PID,$D933,nrES_Code,$F933,nrES_Att,2,nrES_Raw,"&gt;=0",nrES_Date,"&gt;0")&gt;$T933,"LATE RETEST "&amp;TEXT(_xlfn.MINIFS(nrES_Date,nrES_PID,$D933,nrES_Code,$F933,nrES_Att,2,nrES_Raw,"&gt;=0",nrES_Date,"&gt;0"),"mm/dd")&amp;" (due "&amp;TEXT($T933,"mm/dd")&amp;")","Retested"))),IF(NOT(ISNUMBER($T933)),"CHECK DATE",IF(TODAY()&gt;$T933,"OVERDUE","Due "&amp;TEXT($T933,"mm/dd")))))))</f>
        <v/>
      </c>
      <c r="V933" s="16" t="n"/>
      <c r="W933" s="16" t="n"/>
      <c r="X933" s="17">
        <f>IF($C933="","",IF(AND($L933&lt;&gt;"",NOT(ISNUMBER($L933))),"RAW SCORE NOT A NUMBER",IF(AND(ISNUMBER($L933),OR($L933&lt;0,$L933&gt;100)),"RAW SCORE OUT OF RANGE",IF(AND($Y933="Unexcused",OR($L933="",NOT(ISNUMBER($L933)),$L933&lt;&gt;0)),"UNEXCUSED ABSENCE MUST RECORD 0",IF(COUNTIF(nrES_RecID,$B933)&gt;1,"DUPLICATE RECORD",IF(N($K933)&gt;2,"ATTEMPT 3+ NOT ALLOWED - policy 300.5 permits one retest per exam; this row records nothing",IF(AND($K933=2,COUNTIFS(nrES_PID,$D933,nrES_Code,$F933,nrES_Att,1)=0),"ATTEMPT 2 WITHOUT ATTEMPT 1",IF(AND($K933=2,$L933=""),"RETEST ROW HAS NO SCORE",IF(AND($H933="Final",$L933&lt;&gt;"",IFERROR(INDEX(nrCKfinalExamElig,MATCH($D933,rngCadetPIDs,0)),"")="No"),"FINAL EXAM AFTER FAILED FINAL PT (500.1.H)",IF(AND($K933=2,ISNUMBER($L933),COUNTIFS(nrES_PID,$D933,nrES_Code,$F933,nrES_Att,1)&gt;0,SUMIFS(nrES_Raw,nrES_PID,$D933,nrES_Code,$F933,nrES_Att,1)&gt;=$J933),"RETEST AFTER A PASSING FIRST ATTEMPT","OK"))))))))))</f>
        <v/>
      </c>
      <c r="Y933" s="16" t="n"/>
    </row>
    <row r="934">
      <c r="B934" s="17">
        <f>IF($C934="","",$D934&amp;"-"&amp;$F934&amp;"-"&amp;$K934)</f>
        <v/>
      </c>
      <c r="C934" s="16" t="n"/>
      <c r="D934" s="17">
        <f>IF($C934="","",IFERROR(INDEX(rngCadetPIDs,MATCH($C934,rngCadetNames,0)),"?"))</f>
        <v/>
      </c>
      <c r="E934" s="17">
        <f>IF($D934="","",IFERROR(INDEX(nrCadetAgency,MATCH($D934,rngCadetPIDs,0)),""))</f>
        <v/>
      </c>
      <c r="F934" s="16" t="n"/>
      <c r="G934" s="17">
        <f>IF($F934="","",IFERROR(INDEX(rngEPname,MATCH($F934,rngEPcode,0)),"?"))</f>
        <v/>
      </c>
      <c r="H934" s="17">
        <f>IF($F934="","",IFERROR(INDEX(rngEPtype,MATCH($F934,rngEPcode,0)),"?"))</f>
        <v/>
      </c>
      <c r="I934" s="17">
        <f>IF($F934="","",IFERROR(INDEX(rngEPseq,MATCH($F934,rngEPcode,0)),""))</f>
        <v/>
      </c>
      <c r="J934" s="17">
        <f>IF($F934="","",IFERROR(INDEX(rngEPpass,MATCH($F934,rngEPcode,0)),cfgPassingScore))</f>
        <v/>
      </c>
      <c r="K934" s="16" t="n"/>
      <c r="L934" s="16" t="n"/>
      <c r="M934" s="17">
        <f>IF($C934="","",IF($L934="","",IF(NOT(ISNUMBER($L934)),$L934,IF(N($K934)&gt;2,"",IF($K934=1,IF(COUNTIFS(nrES_PID,$D934,nrES_Code,$F934,nrES_Att,2,nrES_Raw,"&gt;=0")&gt;0,"",$L934),IF($L934&gt;=$J934,MAX($J934,cfgRetakeRecordedCap),IF(COUNTIFS(nrES_PID,$D934,nrES_Code,$F934,nrES_Att,1)=0,$L934,SUMIFS(nrES_Raw,nrES_PID,$D934,nrES_Code,$F934,nrES_Att,1))))))))</f>
        <v/>
      </c>
      <c r="N934" s="17">
        <f>IF($C934="","",IF($L934="","",IF(NOT(ISNUMBER($L934)),"(not a score)",IF($L934&gt;=$J934,"Yes","No"))))</f>
        <v/>
      </c>
      <c r="O934" s="17">
        <f>IF($C934="","",IF($M934="","",IF(NOT(ISNUMBER($M934)),"(not a score)",IF($M934&gt;=$J934,"Yes","No"))))</f>
        <v/>
      </c>
      <c r="P934" s="17">
        <f>IF($C934="","",IF($K934="","",IF(N($K934)&gt;2,"No",IF(COUNTIFS(nrES_PID,$D934,nrES_Code,$F934,nrES_Att,"&gt;"&amp;$K934,nrES_Att,"&lt;=2",nrES_Raw,"&gt;=0")=0,"Yes","No"))))</f>
        <v/>
      </c>
      <c r="Q934" s="17">
        <f>IF($C934="","",IF($L934="","",IF(AND($K934=1,ISNUMBER($L934),$L934&lt;$J934,COUNTIFS(nrES_PID,$D934,nrES_Code,$F934,nrES_Att,2,nrES_Raw,"&gt;=0")=0),"Yes","No")))</f>
        <v/>
      </c>
      <c r="R934" s="17">
        <f>IF($C934="","",IF($L934="","",IF(AND(N($K934)&gt;=2,ISNUMBER($L934),$L934&lt;$J934),"Yes","No")))</f>
        <v/>
      </c>
      <c r="S934" s="18" t="n"/>
      <c r="T934" s="19">
        <f>IF(OR($C934="",$L934="",$K934&lt;&gt;1,NOT(ISNUMBER($L934)),$L934&gt;=$J934),"",IF($S934="","(enter date)",_xlfn.LET(_xlpm.dn,_xlfn.XLOOKUP($S934,nrCDdate,nrCDnum,"",1),IF(_xlpm.dn="","(after last class day)",_xlfn.LET(_xlpm.dd,_xlfn.XLOOKUP(_xlpm.dn+cfgRetestClassDays,nrCDnum,nrCDdate,""),_xlpm.ok,_xlfn.XLOOKUP(_xlpm.dn+cfgRetestClassDays,nrCDnum,nrCDinsession,"No"),IF(OR(_xlpm.dd="",_xlpm.ok&lt;&gt;"Yes"),"(after last class day)",_xlpm.dd))))))</f>
        <v/>
      </c>
      <c r="U934" s="17">
        <f>IF($C934="","",IF(AND($Y934="Excused",$L934="",N($K934)&lt;=1),"EXCUSED - 1st attempt pending",IF(OR($L934="",$K934&lt;&gt;1,NOT(ISNUMBER($L934)),$L934&gt;=$J934),"",IF(COUNTIFS(nrES_PID,$D934,nrES_Code,$F934,nrES_Att,2,nrES_Raw,"&gt;=0")&gt;0,IF(IFERROR(_xlfn.MINIFS(nrES_Date,nrES_PID,$D934,nrES_Code,$F934,nrES_Att,2,nrES_Raw,"&gt;=0",nrES_Date,"&gt;0"),0)=0,"RETEST UNDATED",IF(NOT(ISNUMBER($T934)),"RETEST DATE UNCHECKED",IF(_xlfn.MINIFS(nrES_Date,nrES_PID,$D934,nrES_Code,$F934,nrES_Att,2,nrES_Raw,"&gt;=0",nrES_Date,"&gt;0")&gt;$T934,"LATE RETEST "&amp;TEXT(_xlfn.MINIFS(nrES_Date,nrES_PID,$D934,nrES_Code,$F934,nrES_Att,2,nrES_Raw,"&gt;=0",nrES_Date,"&gt;0"),"mm/dd")&amp;" (due "&amp;TEXT($T934,"mm/dd")&amp;")","Retested"))),IF(NOT(ISNUMBER($T934)),"CHECK DATE",IF(TODAY()&gt;$T934,"OVERDUE","Due "&amp;TEXT($T934,"mm/dd")))))))</f>
        <v/>
      </c>
      <c r="V934" s="16" t="n"/>
      <c r="W934" s="16" t="n"/>
      <c r="X934" s="17">
        <f>IF($C934="","",IF(AND($L934&lt;&gt;"",NOT(ISNUMBER($L934))),"RAW SCORE NOT A NUMBER",IF(AND(ISNUMBER($L934),OR($L934&lt;0,$L934&gt;100)),"RAW SCORE OUT OF RANGE",IF(AND($Y934="Unexcused",OR($L934="",NOT(ISNUMBER($L934)),$L934&lt;&gt;0)),"UNEXCUSED ABSENCE MUST RECORD 0",IF(COUNTIF(nrES_RecID,$B934)&gt;1,"DUPLICATE RECORD",IF(N($K934)&gt;2,"ATTEMPT 3+ NOT ALLOWED - policy 300.5 permits one retest per exam; this row records nothing",IF(AND($K934=2,COUNTIFS(nrES_PID,$D934,nrES_Code,$F934,nrES_Att,1)=0),"ATTEMPT 2 WITHOUT ATTEMPT 1",IF(AND($K934=2,$L934=""),"RETEST ROW HAS NO SCORE",IF(AND($H934="Final",$L934&lt;&gt;"",IFERROR(INDEX(nrCKfinalExamElig,MATCH($D934,rngCadetPIDs,0)),"")="No"),"FINAL EXAM AFTER FAILED FINAL PT (500.1.H)",IF(AND($K934=2,ISNUMBER($L934),COUNTIFS(nrES_PID,$D934,nrES_Code,$F934,nrES_Att,1)&gt;0,SUMIFS(nrES_Raw,nrES_PID,$D934,nrES_Code,$F934,nrES_Att,1)&gt;=$J934),"RETEST AFTER A PASSING FIRST ATTEMPT","OK"))))))))))</f>
        <v/>
      </c>
      <c r="Y934" s="16" t="n"/>
    </row>
    <row r="935">
      <c r="B935" s="17">
        <f>IF($C935="","",$D935&amp;"-"&amp;$F935&amp;"-"&amp;$K935)</f>
        <v/>
      </c>
      <c r="C935" s="16" t="n"/>
      <c r="D935" s="17">
        <f>IF($C935="","",IFERROR(INDEX(rngCadetPIDs,MATCH($C935,rngCadetNames,0)),"?"))</f>
        <v/>
      </c>
      <c r="E935" s="17">
        <f>IF($D935="","",IFERROR(INDEX(nrCadetAgency,MATCH($D935,rngCadetPIDs,0)),""))</f>
        <v/>
      </c>
      <c r="F935" s="16" t="n"/>
      <c r="G935" s="17">
        <f>IF($F935="","",IFERROR(INDEX(rngEPname,MATCH($F935,rngEPcode,0)),"?"))</f>
        <v/>
      </c>
      <c r="H935" s="17">
        <f>IF($F935="","",IFERROR(INDEX(rngEPtype,MATCH($F935,rngEPcode,0)),"?"))</f>
        <v/>
      </c>
      <c r="I935" s="17">
        <f>IF($F935="","",IFERROR(INDEX(rngEPseq,MATCH($F935,rngEPcode,0)),""))</f>
        <v/>
      </c>
      <c r="J935" s="17">
        <f>IF($F935="","",IFERROR(INDEX(rngEPpass,MATCH($F935,rngEPcode,0)),cfgPassingScore))</f>
        <v/>
      </c>
      <c r="K935" s="16" t="n"/>
      <c r="L935" s="16" t="n"/>
      <c r="M935" s="17">
        <f>IF($C935="","",IF($L935="","",IF(NOT(ISNUMBER($L935)),$L935,IF(N($K935)&gt;2,"",IF($K935=1,IF(COUNTIFS(nrES_PID,$D935,nrES_Code,$F935,nrES_Att,2,nrES_Raw,"&gt;=0")&gt;0,"",$L935),IF($L935&gt;=$J935,MAX($J935,cfgRetakeRecordedCap),IF(COUNTIFS(nrES_PID,$D935,nrES_Code,$F935,nrES_Att,1)=0,$L935,SUMIFS(nrES_Raw,nrES_PID,$D935,nrES_Code,$F935,nrES_Att,1))))))))</f>
        <v/>
      </c>
      <c r="N935" s="17">
        <f>IF($C935="","",IF($L935="","",IF(NOT(ISNUMBER($L935)),"(not a score)",IF($L935&gt;=$J935,"Yes","No"))))</f>
        <v/>
      </c>
      <c r="O935" s="17">
        <f>IF($C935="","",IF($M935="","",IF(NOT(ISNUMBER($M935)),"(not a score)",IF($M935&gt;=$J935,"Yes","No"))))</f>
        <v/>
      </c>
      <c r="P935" s="17">
        <f>IF($C935="","",IF($K935="","",IF(N($K935)&gt;2,"No",IF(COUNTIFS(nrES_PID,$D935,nrES_Code,$F935,nrES_Att,"&gt;"&amp;$K935,nrES_Att,"&lt;=2",nrES_Raw,"&gt;=0")=0,"Yes","No"))))</f>
        <v/>
      </c>
      <c r="Q935" s="17">
        <f>IF($C935="","",IF($L935="","",IF(AND($K935=1,ISNUMBER($L935),$L935&lt;$J935,COUNTIFS(nrES_PID,$D935,nrES_Code,$F935,nrES_Att,2,nrES_Raw,"&gt;=0")=0),"Yes","No")))</f>
        <v/>
      </c>
      <c r="R935" s="17">
        <f>IF($C935="","",IF($L935="","",IF(AND(N($K935)&gt;=2,ISNUMBER($L935),$L935&lt;$J935),"Yes","No")))</f>
        <v/>
      </c>
      <c r="S935" s="18" t="n"/>
      <c r="T935" s="19">
        <f>IF(OR($C935="",$L935="",$K935&lt;&gt;1,NOT(ISNUMBER($L935)),$L935&gt;=$J935),"",IF($S935="","(enter date)",_xlfn.LET(_xlpm.dn,_xlfn.XLOOKUP($S935,nrCDdate,nrCDnum,"",1),IF(_xlpm.dn="","(after last class day)",_xlfn.LET(_xlpm.dd,_xlfn.XLOOKUP(_xlpm.dn+cfgRetestClassDays,nrCDnum,nrCDdate,""),_xlpm.ok,_xlfn.XLOOKUP(_xlpm.dn+cfgRetestClassDays,nrCDnum,nrCDinsession,"No"),IF(OR(_xlpm.dd="",_xlpm.ok&lt;&gt;"Yes"),"(after last class day)",_xlpm.dd))))))</f>
        <v/>
      </c>
      <c r="U935" s="17">
        <f>IF($C935="","",IF(AND($Y935="Excused",$L935="",N($K935)&lt;=1),"EXCUSED - 1st attempt pending",IF(OR($L935="",$K935&lt;&gt;1,NOT(ISNUMBER($L935)),$L935&gt;=$J935),"",IF(COUNTIFS(nrES_PID,$D935,nrES_Code,$F935,nrES_Att,2,nrES_Raw,"&gt;=0")&gt;0,IF(IFERROR(_xlfn.MINIFS(nrES_Date,nrES_PID,$D935,nrES_Code,$F935,nrES_Att,2,nrES_Raw,"&gt;=0",nrES_Date,"&gt;0"),0)=0,"RETEST UNDATED",IF(NOT(ISNUMBER($T935)),"RETEST DATE UNCHECKED",IF(_xlfn.MINIFS(nrES_Date,nrES_PID,$D935,nrES_Code,$F935,nrES_Att,2,nrES_Raw,"&gt;=0",nrES_Date,"&gt;0")&gt;$T935,"LATE RETEST "&amp;TEXT(_xlfn.MINIFS(nrES_Date,nrES_PID,$D935,nrES_Code,$F935,nrES_Att,2,nrES_Raw,"&gt;=0",nrES_Date,"&gt;0"),"mm/dd")&amp;" (due "&amp;TEXT($T935,"mm/dd")&amp;")","Retested"))),IF(NOT(ISNUMBER($T935)),"CHECK DATE",IF(TODAY()&gt;$T935,"OVERDUE","Due "&amp;TEXT($T935,"mm/dd")))))))</f>
        <v/>
      </c>
      <c r="V935" s="16" t="n"/>
      <c r="W935" s="16" t="n"/>
      <c r="X935" s="17">
        <f>IF($C935="","",IF(AND($L935&lt;&gt;"",NOT(ISNUMBER($L935))),"RAW SCORE NOT A NUMBER",IF(AND(ISNUMBER($L935),OR($L935&lt;0,$L935&gt;100)),"RAW SCORE OUT OF RANGE",IF(AND($Y935="Unexcused",OR($L935="",NOT(ISNUMBER($L935)),$L935&lt;&gt;0)),"UNEXCUSED ABSENCE MUST RECORD 0",IF(COUNTIF(nrES_RecID,$B935)&gt;1,"DUPLICATE RECORD",IF(N($K935)&gt;2,"ATTEMPT 3+ NOT ALLOWED - policy 300.5 permits one retest per exam; this row records nothing",IF(AND($K935=2,COUNTIFS(nrES_PID,$D935,nrES_Code,$F935,nrES_Att,1)=0),"ATTEMPT 2 WITHOUT ATTEMPT 1",IF(AND($K935=2,$L935=""),"RETEST ROW HAS NO SCORE",IF(AND($H935="Final",$L935&lt;&gt;"",IFERROR(INDEX(nrCKfinalExamElig,MATCH($D935,rngCadetPIDs,0)),"")="No"),"FINAL EXAM AFTER FAILED FINAL PT (500.1.H)",IF(AND($K935=2,ISNUMBER($L935),COUNTIFS(nrES_PID,$D935,nrES_Code,$F935,nrES_Att,1)&gt;0,SUMIFS(nrES_Raw,nrES_PID,$D935,nrES_Code,$F935,nrES_Att,1)&gt;=$J935),"RETEST AFTER A PASSING FIRST ATTEMPT","OK"))))))))))</f>
        <v/>
      </c>
      <c r="Y935" s="16" t="n"/>
    </row>
    <row r="936">
      <c r="B936" s="17">
        <f>IF($C936="","",$D936&amp;"-"&amp;$F936&amp;"-"&amp;$K936)</f>
        <v/>
      </c>
      <c r="C936" s="16" t="n"/>
      <c r="D936" s="17">
        <f>IF($C936="","",IFERROR(INDEX(rngCadetPIDs,MATCH($C936,rngCadetNames,0)),"?"))</f>
        <v/>
      </c>
      <c r="E936" s="17">
        <f>IF($D936="","",IFERROR(INDEX(nrCadetAgency,MATCH($D936,rngCadetPIDs,0)),""))</f>
        <v/>
      </c>
      <c r="F936" s="16" t="n"/>
      <c r="G936" s="17">
        <f>IF($F936="","",IFERROR(INDEX(rngEPname,MATCH($F936,rngEPcode,0)),"?"))</f>
        <v/>
      </c>
      <c r="H936" s="17">
        <f>IF($F936="","",IFERROR(INDEX(rngEPtype,MATCH($F936,rngEPcode,0)),"?"))</f>
        <v/>
      </c>
      <c r="I936" s="17">
        <f>IF($F936="","",IFERROR(INDEX(rngEPseq,MATCH($F936,rngEPcode,0)),""))</f>
        <v/>
      </c>
      <c r="J936" s="17">
        <f>IF($F936="","",IFERROR(INDEX(rngEPpass,MATCH($F936,rngEPcode,0)),cfgPassingScore))</f>
        <v/>
      </c>
      <c r="K936" s="16" t="n"/>
      <c r="L936" s="16" t="n"/>
      <c r="M936" s="17">
        <f>IF($C936="","",IF($L936="","",IF(NOT(ISNUMBER($L936)),$L936,IF(N($K936)&gt;2,"",IF($K936=1,IF(COUNTIFS(nrES_PID,$D936,nrES_Code,$F936,nrES_Att,2,nrES_Raw,"&gt;=0")&gt;0,"",$L936),IF($L936&gt;=$J936,MAX($J936,cfgRetakeRecordedCap),IF(COUNTIFS(nrES_PID,$D936,nrES_Code,$F936,nrES_Att,1)=0,$L936,SUMIFS(nrES_Raw,nrES_PID,$D936,nrES_Code,$F936,nrES_Att,1))))))))</f>
        <v/>
      </c>
      <c r="N936" s="17">
        <f>IF($C936="","",IF($L936="","",IF(NOT(ISNUMBER($L936)),"(not a score)",IF($L936&gt;=$J936,"Yes","No"))))</f>
        <v/>
      </c>
      <c r="O936" s="17">
        <f>IF($C936="","",IF($M936="","",IF(NOT(ISNUMBER($M936)),"(not a score)",IF($M936&gt;=$J936,"Yes","No"))))</f>
        <v/>
      </c>
      <c r="P936" s="17">
        <f>IF($C936="","",IF($K936="","",IF(N($K936)&gt;2,"No",IF(COUNTIFS(nrES_PID,$D936,nrES_Code,$F936,nrES_Att,"&gt;"&amp;$K936,nrES_Att,"&lt;=2",nrES_Raw,"&gt;=0")=0,"Yes","No"))))</f>
        <v/>
      </c>
      <c r="Q936" s="17">
        <f>IF($C936="","",IF($L936="","",IF(AND($K936=1,ISNUMBER($L936),$L936&lt;$J936,COUNTIFS(nrES_PID,$D936,nrES_Code,$F936,nrES_Att,2,nrES_Raw,"&gt;=0")=0),"Yes","No")))</f>
        <v/>
      </c>
      <c r="R936" s="17">
        <f>IF($C936="","",IF($L936="","",IF(AND(N($K936)&gt;=2,ISNUMBER($L936),$L936&lt;$J936),"Yes","No")))</f>
        <v/>
      </c>
      <c r="S936" s="18" t="n"/>
      <c r="T936" s="19">
        <f>IF(OR($C936="",$L936="",$K936&lt;&gt;1,NOT(ISNUMBER($L936)),$L936&gt;=$J936),"",IF($S936="","(enter date)",_xlfn.LET(_xlpm.dn,_xlfn.XLOOKUP($S936,nrCDdate,nrCDnum,"",1),IF(_xlpm.dn="","(after last class day)",_xlfn.LET(_xlpm.dd,_xlfn.XLOOKUP(_xlpm.dn+cfgRetestClassDays,nrCDnum,nrCDdate,""),_xlpm.ok,_xlfn.XLOOKUP(_xlpm.dn+cfgRetestClassDays,nrCDnum,nrCDinsession,"No"),IF(OR(_xlpm.dd="",_xlpm.ok&lt;&gt;"Yes"),"(after last class day)",_xlpm.dd))))))</f>
        <v/>
      </c>
      <c r="U936" s="17">
        <f>IF($C936="","",IF(AND($Y936="Excused",$L936="",N($K936)&lt;=1),"EXCUSED - 1st attempt pending",IF(OR($L936="",$K936&lt;&gt;1,NOT(ISNUMBER($L936)),$L936&gt;=$J936),"",IF(COUNTIFS(nrES_PID,$D936,nrES_Code,$F936,nrES_Att,2,nrES_Raw,"&gt;=0")&gt;0,IF(IFERROR(_xlfn.MINIFS(nrES_Date,nrES_PID,$D936,nrES_Code,$F936,nrES_Att,2,nrES_Raw,"&gt;=0",nrES_Date,"&gt;0"),0)=0,"RETEST UNDATED",IF(NOT(ISNUMBER($T936)),"RETEST DATE UNCHECKED",IF(_xlfn.MINIFS(nrES_Date,nrES_PID,$D936,nrES_Code,$F936,nrES_Att,2,nrES_Raw,"&gt;=0",nrES_Date,"&gt;0")&gt;$T936,"LATE RETEST "&amp;TEXT(_xlfn.MINIFS(nrES_Date,nrES_PID,$D936,nrES_Code,$F936,nrES_Att,2,nrES_Raw,"&gt;=0",nrES_Date,"&gt;0"),"mm/dd")&amp;" (due "&amp;TEXT($T936,"mm/dd")&amp;")","Retested"))),IF(NOT(ISNUMBER($T936)),"CHECK DATE",IF(TODAY()&gt;$T936,"OVERDUE","Due "&amp;TEXT($T936,"mm/dd")))))))</f>
        <v/>
      </c>
      <c r="V936" s="16" t="n"/>
      <c r="W936" s="16" t="n"/>
      <c r="X936" s="17">
        <f>IF($C936="","",IF(AND($L936&lt;&gt;"",NOT(ISNUMBER($L936))),"RAW SCORE NOT A NUMBER",IF(AND(ISNUMBER($L936),OR($L936&lt;0,$L936&gt;100)),"RAW SCORE OUT OF RANGE",IF(AND($Y936="Unexcused",OR($L936="",NOT(ISNUMBER($L936)),$L936&lt;&gt;0)),"UNEXCUSED ABSENCE MUST RECORD 0",IF(COUNTIF(nrES_RecID,$B936)&gt;1,"DUPLICATE RECORD",IF(N($K936)&gt;2,"ATTEMPT 3+ NOT ALLOWED - policy 300.5 permits one retest per exam; this row records nothing",IF(AND($K936=2,COUNTIFS(nrES_PID,$D936,nrES_Code,$F936,nrES_Att,1)=0),"ATTEMPT 2 WITHOUT ATTEMPT 1",IF(AND($K936=2,$L936=""),"RETEST ROW HAS NO SCORE",IF(AND($H936="Final",$L936&lt;&gt;"",IFERROR(INDEX(nrCKfinalExamElig,MATCH($D936,rngCadetPIDs,0)),"")="No"),"FINAL EXAM AFTER FAILED FINAL PT (500.1.H)",IF(AND($K936=2,ISNUMBER($L936),COUNTIFS(nrES_PID,$D936,nrES_Code,$F936,nrES_Att,1)&gt;0,SUMIFS(nrES_Raw,nrES_PID,$D936,nrES_Code,$F936,nrES_Att,1)&gt;=$J936),"RETEST AFTER A PASSING FIRST ATTEMPT","OK"))))))))))</f>
        <v/>
      </c>
      <c r="Y936" s="16" t="n"/>
    </row>
    <row r="937">
      <c r="B937" s="17">
        <f>IF($C937="","",$D937&amp;"-"&amp;$F937&amp;"-"&amp;$K937)</f>
        <v/>
      </c>
      <c r="C937" s="16" t="n"/>
      <c r="D937" s="17">
        <f>IF($C937="","",IFERROR(INDEX(rngCadetPIDs,MATCH($C937,rngCadetNames,0)),"?"))</f>
        <v/>
      </c>
      <c r="E937" s="17">
        <f>IF($D937="","",IFERROR(INDEX(nrCadetAgency,MATCH($D937,rngCadetPIDs,0)),""))</f>
        <v/>
      </c>
      <c r="F937" s="16" t="n"/>
      <c r="G937" s="17">
        <f>IF($F937="","",IFERROR(INDEX(rngEPname,MATCH($F937,rngEPcode,0)),"?"))</f>
        <v/>
      </c>
      <c r="H937" s="17">
        <f>IF($F937="","",IFERROR(INDEX(rngEPtype,MATCH($F937,rngEPcode,0)),"?"))</f>
        <v/>
      </c>
      <c r="I937" s="17">
        <f>IF($F937="","",IFERROR(INDEX(rngEPseq,MATCH($F937,rngEPcode,0)),""))</f>
        <v/>
      </c>
      <c r="J937" s="17">
        <f>IF($F937="","",IFERROR(INDEX(rngEPpass,MATCH($F937,rngEPcode,0)),cfgPassingScore))</f>
        <v/>
      </c>
      <c r="K937" s="16" t="n"/>
      <c r="L937" s="16" t="n"/>
      <c r="M937" s="17">
        <f>IF($C937="","",IF($L937="","",IF(NOT(ISNUMBER($L937)),$L937,IF(N($K937)&gt;2,"",IF($K937=1,IF(COUNTIFS(nrES_PID,$D937,nrES_Code,$F937,nrES_Att,2,nrES_Raw,"&gt;=0")&gt;0,"",$L937),IF($L937&gt;=$J937,MAX($J937,cfgRetakeRecordedCap),IF(COUNTIFS(nrES_PID,$D937,nrES_Code,$F937,nrES_Att,1)=0,$L937,SUMIFS(nrES_Raw,nrES_PID,$D937,nrES_Code,$F937,nrES_Att,1))))))))</f>
        <v/>
      </c>
      <c r="N937" s="17">
        <f>IF($C937="","",IF($L937="","",IF(NOT(ISNUMBER($L937)),"(not a score)",IF($L937&gt;=$J937,"Yes","No"))))</f>
        <v/>
      </c>
      <c r="O937" s="17">
        <f>IF($C937="","",IF($M937="","",IF(NOT(ISNUMBER($M937)),"(not a score)",IF($M937&gt;=$J937,"Yes","No"))))</f>
        <v/>
      </c>
      <c r="P937" s="17">
        <f>IF($C937="","",IF($K937="","",IF(N($K937)&gt;2,"No",IF(COUNTIFS(nrES_PID,$D937,nrES_Code,$F937,nrES_Att,"&gt;"&amp;$K937,nrES_Att,"&lt;=2",nrES_Raw,"&gt;=0")=0,"Yes","No"))))</f>
        <v/>
      </c>
      <c r="Q937" s="17">
        <f>IF($C937="","",IF($L937="","",IF(AND($K937=1,ISNUMBER($L937),$L937&lt;$J937,COUNTIFS(nrES_PID,$D937,nrES_Code,$F937,nrES_Att,2,nrES_Raw,"&gt;=0")=0),"Yes","No")))</f>
        <v/>
      </c>
      <c r="R937" s="17">
        <f>IF($C937="","",IF($L937="","",IF(AND(N($K937)&gt;=2,ISNUMBER($L937),$L937&lt;$J937),"Yes","No")))</f>
        <v/>
      </c>
      <c r="S937" s="18" t="n"/>
      <c r="T937" s="19">
        <f>IF(OR($C937="",$L937="",$K937&lt;&gt;1,NOT(ISNUMBER($L937)),$L937&gt;=$J937),"",IF($S937="","(enter date)",_xlfn.LET(_xlpm.dn,_xlfn.XLOOKUP($S937,nrCDdate,nrCDnum,"",1),IF(_xlpm.dn="","(after last class day)",_xlfn.LET(_xlpm.dd,_xlfn.XLOOKUP(_xlpm.dn+cfgRetestClassDays,nrCDnum,nrCDdate,""),_xlpm.ok,_xlfn.XLOOKUP(_xlpm.dn+cfgRetestClassDays,nrCDnum,nrCDinsession,"No"),IF(OR(_xlpm.dd="",_xlpm.ok&lt;&gt;"Yes"),"(after last class day)",_xlpm.dd))))))</f>
        <v/>
      </c>
      <c r="U937" s="17">
        <f>IF($C937="","",IF(AND($Y937="Excused",$L937="",N($K937)&lt;=1),"EXCUSED - 1st attempt pending",IF(OR($L937="",$K937&lt;&gt;1,NOT(ISNUMBER($L937)),$L937&gt;=$J937),"",IF(COUNTIFS(nrES_PID,$D937,nrES_Code,$F937,nrES_Att,2,nrES_Raw,"&gt;=0")&gt;0,IF(IFERROR(_xlfn.MINIFS(nrES_Date,nrES_PID,$D937,nrES_Code,$F937,nrES_Att,2,nrES_Raw,"&gt;=0",nrES_Date,"&gt;0"),0)=0,"RETEST UNDATED",IF(NOT(ISNUMBER($T937)),"RETEST DATE UNCHECKED",IF(_xlfn.MINIFS(nrES_Date,nrES_PID,$D937,nrES_Code,$F937,nrES_Att,2,nrES_Raw,"&gt;=0",nrES_Date,"&gt;0")&gt;$T937,"LATE RETEST "&amp;TEXT(_xlfn.MINIFS(nrES_Date,nrES_PID,$D937,nrES_Code,$F937,nrES_Att,2,nrES_Raw,"&gt;=0",nrES_Date,"&gt;0"),"mm/dd")&amp;" (due "&amp;TEXT($T937,"mm/dd")&amp;")","Retested"))),IF(NOT(ISNUMBER($T937)),"CHECK DATE",IF(TODAY()&gt;$T937,"OVERDUE","Due "&amp;TEXT($T937,"mm/dd")))))))</f>
        <v/>
      </c>
      <c r="V937" s="16" t="n"/>
      <c r="W937" s="16" t="n"/>
      <c r="X937" s="17">
        <f>IF($C937="","",IF(AND($L937&lt;&gt;"",NOT(ISNUMBER($L937))),"RAW SCORE NOT A NUMBER",IF(AND(ISNUMBER($L937),OR($L937&lt;0,$L937&gt;100)),"RAW SCORE OUT OF RANGE",IF(AND($Y937="Unexcused",OR($L937="",NOT(ISNUMBER($L937)),$L937&lt;&gt;0)),"UNEXCUSED ABSENCE MUST RECORD 0",IF(COUNTIF(nrES_RecID,$B937)&gt;1,"DUPLICATE RECORD",IF(N($K937)&gt;2,"ATTEMPT 3+ NOT ALLOWED - policy 300.5 permits one retest per exam; this row records nothing",IF(AND($K937=2,COUNTIFS(nrES_PID,$D937,nrES_Code,$F937,nrES_Att,1)=0),"ATTEMPT 2 WITHOUT ATTEMPT 1",IF(AND($K937=2,$L937=""),"RETEST ROW HAS NO SCORE",IF(AND($H937="Final",$L937&lt;&gt;"",IFERROR(INDEX(nrCKfinalExamElig,MATCH($D937,rngCadetPIDs,0)),"")="No"),"FINAL EXAM AFTER FAILED FINAL PT (500.1.H)",IF(AND($K937=2,ISNUMBER($L937),COUNTIFS(nrES_PID,$D937,nrES_Code,$F937,nrES_Att,1)&gt;0,SUMIFS(nrES_Raw,nrES_PID,$D937,nrES_Code,$F937,nrES_Att,1)&gt;=$J937),"RETEST AFTER A PASSING FIRST ATTEMPT","OK"))))))))))</f>
        <v/>
      </c>
      <c r="Y937" s="16" t="n"/>
    </row>
    <row r="938">
      <c r="B938" s="17">
        <f>IF($C938="","",$D938&amp;"-"&amp;$F938&amp;"-"&amp;$K938)</f>
        <v/>
      </c>
      <c r="C938" s="16" t="n"/>
      <c r="D938" s="17">
        <f>IF($C938="","",IFERROR(INDEX(rngCadetPIDs,MATCH($C938,rngCadetNames,0)),"?"))</f>
        <v/>
      </c>
      <c r="E938" s="17">
        <f>IF($D938="","",IFERROR(INDEX(nrCadetAgency,MATCH($D938,rngCadetPIDs,0)),""))</f>
        <v/>
      </c>
      <c r="F938" s="16" t="n"/>
      <c r="G938" s="17">
        <f>IF($F938="","",IFERROR(INDEX(rngEPname,MATCH($F938,rngEPcode,0)),"?"))</f>
        <v/>
      </c>
      <c r="H938" s="17">
        <f>IF($F938="","",IFERROR(INDEX(rngEPtype,MATCH($F938,rngEPcode,0)),"?"))</f>
        <v/>
      </c>
      <c r="I938" s="17">
        <f>IF($F938="","",IFERROR(INDEX(rngEPseq,MATCH($F938,rngEPcode,0)),""))</f>
        <v/>
      </c>
      <c r="J938" s="17">
        <f>IF($F938="","",IFERROR(INDEX(rngEPpass,MATCH($F938,rngEPcode,0)),cfgPassingScore))</f>
        <v/>
      </c>
      <c r="K938" s="16" t="n"/>
      <c r="L938" s="16" t="n"/>
      <c r="M938" s="17">
        <f>IF($C938="","",IF($L938="","",IF(NOT(ISNUMBER($L938)),$L938,IF(N($K938)&gt;2,"",IF($K938=1,IF(COUNTIFS(nrES_PID,$D938,nrES_Code,$F938,nrES_Att,2,nrES_Raw,"&gt;=0")&gt;0,"",$L938),IF($L938&gt;=$J938,MAX($J938,cfgRetakeRecordedCap),IF(COUNTIFS(nrES_PID,$D938,nrES_Code,$F938,nrES_Att,1)=0,$L938,SUMIFS(nrES_Raw,nrES_PID,$D938,nrES_Code,$F938,nrES_Att,1))))))))</f>
        <v/>
      </c>
      <c r="N938" s="17">
        <f>IF($C938="","",IF($L938="","",IF(NOT(ISNUMBER($L938)),"(not a score)",IF($L938&gt;=$J938,"Yes","No"))))</f>
        <v/>
      </c>
      <c r="O938" s="17">
        <f>IF($C938="","",IF($M938="","",IF(NOT(ISNUMBER($M938)),"(not a score)",IF($M938&gt;=$J938,"Yes","No"))))</f>
        <v/>
      </c>
      <c r="P938" s="17">
        <f>IF($C938="","",IF($K938="","",IF(N($K938)&gt;2,"No",IF(COUNTIFS(nrES_PID,$D938,nrES_Code,$F938,nrES_Att,"&gt;"&amp;$K938,nrES_Att,"&lt;=2",nrES_Raw,"&gt;=0")=0,"Yes","No"))))</f>
        <v/>
      </c>
      <c r="Q938" s="17">
        <f>IF($C938="","",IF($L938="","",IF(AND($K938=1,ISNUMBER($L938),$L938&lt;$J938,COUNTIFS(nrES_PID,$D938,nrES_Code,$F938,nrES_Att,2,nrES_Raw,"&gt;=0")=0),"Yes","No")))</f>
        <v/>
      </c>
      <c r="R938" s="17">
        <f>IF($C938="","",IF($L938="","",IF(AND(N($K938)&gt;=2,ISNUMBER($L938),$L938&lt;$J938),"Yes","No")))</f>
        <v/>
      </c>
      <c r="S938" s="18" t="n"/>
      <c r="T938" s="19">
        <f>IF(OR($C938="",$L938="",$K938&lt;&gt;1,NOT(ISNUMBER($L938)),$L938&gt;=$J938),"",IF($S938="","(enter date)",_xlfn.LET(_xlpm.dn,_xlfn.XLOOKUP($S938,nrCDdate,nrCDnum,"",1),IF(_xlpm.dn="","(after last class day)",_xlfn.LET(_xlpm.dd,_xlfn.XLOOKUP(_xlpm.dn+cfgRetestClassDays,nrCDnum,nrCDdate,""),_xlpm.ok,_xlfn.XLOOKUP(_xlpm.dn+cfgRetestClassDays,nrCDnum,nrCDinsession,"No"),IF(OR(_xlpm.dd="",_xlpm.ok&lt;&gt;"Yes"),"(after last class day)",_xlpm.dd))))))</f>
        <v/>
      </c>
      <c r="U938" s="17">
        <f>IF($C938="","",IF(AND($Y938="Excused",$L938="",N($K938)&lt;=1),"EXCUSED - 1st attempt pending",IF(OR($L938="",$K938&lt;&gt;1,NOT(ISNUMBER($L938)),$L938&gt;=$J938),"",IF(COUNTIFS(nrES_PID,$D938,nrES_Code,$F938,nrES_Att,2,nrES_Raw,"&gt;=0")&gt;0,IF(IFERROR(_xlfn.MINIFS(nrES_Date,nrES_PID,$D938,nrES_Code,$F938,nrES_Att,2,nrES_Raw,"&gt;=0",nrES_Date,"&gt;0"),0)=0,"RETEST UNDATED",IF(NOT(ISNUMBER($T938)),"RETEST DATE UNCHECKED",IF(_xlfn.MINIFS(nrES_Date,nrES_PID,$D938,nrES_Code,$F938,nrES_Att,2,nrES_Raw,"&gt;=0",nrES_Date,"&gt;0")&gt;$T938,"LATE RETEST "&amp;TEXT(_xlfn.MINIFS(nrES_Date,nrES_PID,$D938,nrES_Code,$F938,nrES_Att,2,nrES_Raw,"&gt;=0",nrES_Date,"&gt;0"),"mm/dd")&amp;" (due "&amp;TEXT($T938,"mm/dd")&amp;")","Retested"))),IF(NOT(ISNUMBER($T938)),"CHECK DATE",IF(TODAY()&gt;$T938,"OVERDUE","Due "&amp;TEXT($T938,"mm/dd")))))))</f>
        <v/>
      </c>
      <c r="V938" s="16" t="n"/>
      <c r="W938" s="16" t="n"/>
      <c r="X938" s="17">
        <f>IF($C938="","",IF(AND($L938&lt;&gt;"",NOT(ISNUMBER($L938))),"RAW SCORE NOT A NUMBER",IF(AND(ISNUMBER($L938),OR($L938&lt;0,$L938&gt;100)),"RAW SCORE OUT OF RANGE",IF(AND($Y938="Unexcused",OR($L938="",NOT(ISNUMBER($L938)),$L938&lt;&gt;0)),"UNEXCUSED ABSENCE MUST RECORD 0",IF(COUNTIF(nrES_RecID,$B938)&gt;1,"DUPLICATE RECORD",IF(N($K938)&gt;2,"ATTEMPT 3+ NOT ALLOWED - policy 300.5 permits one retest per exam; this row records nothing",IF(AND($K938=2,COUNTIFS(nrES_PID,$D938,nrES_Code,$F938,nrES_Att,1)=0),"ATTEMPT 2 WITHOUT ATTEMPT 1",IF(AND($K938=2,$L938=""),"RETEST ROW HAS NO SCORE",IF(AND($H938="Final",$L938&lt;&gt;"",IFERROR(INDEX(nrCKfinalExamElig,MATCH($D938,rngCadetPIDs,0)),"")="No"),"FINAL EXAM AFTER FAILED FINAL PT (500.1.H)",IF(AND($K938=2,ISNUMBER($L938),COUNTIFS(nrES_PID,$D938,nrES_Code,$F938,nrES_Att,1)&gt;0,SUMIFS(nrES_Raw,nrES_PID,$D938,nrES_Code,$F938,nrES_Att,1)&gt;=$J938),"RETEST AFTER A PASSING FIRST ATTEMPT","OK"))))))))))</f>
        <v/>
      </c>
      <c r="Y938" s="16" t="n"/>
    </row>
    <row r="939">
      <c r="B939" s="17">
        <f>IF($C939="","",$D939&amp;"-"&amp;$F939&amp;"-"&amp;$K939)</f>
        <v/>
      </c>
      <c r="C939" s="16" t="n"/>
      <c r="D939" s="17">
        <f>IF($C939="","",IFERROR(INDEX(rngCadetPIDs,MATCH($C939,rngCadetNames,0)),"?"))</f>
        <v/>
      </c>
      <c r="E939" s="17">
        <f>IF($D939="","",IFERROR(INDEX(nrCadetAgency,MATCH($D939,rngCadetPIDs,0)),""))</f>
        <v/>
      </c>
      <c r="F939" s="16" t="n"/>
      <c r="G939" s="17">
        <f>IF($F939="","",IFERROR(INDEX(rngEPname,MATCH($F939,rngEPcode,0)),"?"))</f>
        <v/>
      </c>
      <c r="H939" s="17">
        <f>IF($F939="","",IFERROR(INDEX(rngEPtype,MATCH($F939,rngEPcode,0)),"?"))</f>
        <v/>
      </c>
      <c r="I939" s="17">
        <f>IF($F939="","",IFERROR(INDEX(rngEPseq,MATCH($F939,rngEPcode,0)),""))</f>
        <v/>
      </c>
      <c r="J939" s="17">
        <f>IF($F939="","",IFERROR(INDEX(rngEPpass,MATCH($F939,rngEPcode,0)),cfgPassingScore))</f>
        <v/>
      </c>
      <c r="K939" s="16" t="n"/>
      <c r="L939" s="16" t="n"/>
      <c r="M939" s="17">
        <f>IF($C939="","",IF($L939="","",IF(NOT(ISNUMBER($L939)),$L939,IF(N($K939)&gt;2,"",IF($K939=1,IF(COUNTIFS(nrES_PID,$D939,nrES_Code,$F939,nrES_Att,2,nrES_Raw,"&gt;=0")&gt;0,"",$L939),IF($L939&gt;=$J939,MAX($J939,cfgRetakeRecordedCap),IF(COUNTIFS(nrES_PID,$D939,nrES_Code,$F939,nrES_Att,1)=0,$L939,SUMIFS(nrES_Raw,nrES_PID,$D939,nrES_Code,$F939,nrES_Att,1))))))))</f>
        <v/>
      </c>
      <c r="N939" s="17">
        <f>IF($C939="","",IF($L939="","",IF(NOT(ISNUMBER($L939)),"(not a score)",IF($L939&gt;=$J939,"Yes","No"))))</f>
        <v/>
      </c>
      <c r="O939" s="17">
        <f>IF($C939="","",IF($M939="","",IF(NOT(ISNUMBER($M939)),"(not a score)",IF($M939&gt;=$J939,"Yes","No"))))</f>
        <v/>
      </c>
      <c r="P939" s="17">
        <f>IF($C939="","",IF($K939="","",IF(N($K939)&gt;2,"No",IF(COUNTIFS(nrES_PID,$D939,nrES_Code,$F939,nrES_Att,"&gt;"&amp;$K939,nrES_Att,"&lt;=2",nrES_Raw,"&gt;=0")=0,"Yes","No"))))</f>
        <v/>
      </c>
      <c r="Q939" s="17">
        <f>IF($C939="","",IF($L939="","",IF(AND($K939=1,ISNUMBER($L939),$L939&lt;$J939,COUNTIFS(nrES_PID,$D939,nrES_Code,$F939,nrES_Att,2,nrES_Raw,"&gt;=0")=0),"Yes","No")))</f>
        <v/>
      </c>
      <c r="R939" s="17">
        <f>IF($C939="","",IF($L939="","",IF(AND(N($K939)&gt;=2,ISNUMBER($L939),$L939&lt;$J939),"Yes","No")))</f>
        <v/>
      </c>
      <c r="S939" s="18" t="n"/>
      <c r="T939" s="19">
        <f>IF(OR($C939="",$L939="",$K939&lt;&gt;1,NOT(ISNUMBER($L939)),$L939&gt;=$J939),"",IF($S939="","(enter date)",_xlfn.LET(_xlpm.dn,_xlfn.XLOOKUP($S939,nrCDdate,nrCDnum,"",1),IF(_xlpm.dn="","(after last class day)",_xlfn.LET(_xlpm.dd,_xlfn.XLOOKUP(_xlpm.dn+cfgRetestClassDays,nrCDnum,nrCDdate,""),_xlpm.ok,_xlfn.XLOOKUP(_xlpm.dn+cfgRetestClassDays,nrCDnum,nrCDinsession,"No"),IF(OR(_xlpm.dd="",_xlpm.ok&lt;&gt;"Yes"),"(after last class day)",_xlpm.dd))))))</f>
        <v/>
      </c>
      <c r="U939" s="17">
        <f>IF($C939="","",IF(AND($Y939="Excused",$L939="",N($K939)&lt;=1),"EXCUSED - 1st attempt pending",IF(OR($L939="",$K939&lt;&gt;1,NOT(ISNUMBER($L939)),$L939&gt;=$J939),"",IF(COUNTIFS(nrES_PID,$D939,nrES_Code,$F939,nrES_Att,2,nrES_Raw,"&gt;=0")&gt;0,IF(IFERROR(_xlfn.MINIFS(nrES_Date,nrES_PID,$D939,nrES_Code,$F939,nrES_Att,2,nrES_Raw,"&gt;=0",nrES_Date,"&gt;0"),0)=0,"RETEST UNDATED",IF(NOT(ISNUMBER($T939)),"RETEST DATE UNCHECKED",IF(_xlfn.MINIFS(nrES_Date,nrES_PID,$D939,nrES_Code,$F939,nrES_Att,2,nrES_Raw,"&gt;=0",nrES_Date,"&gt;0")&gt;$T939,"LATE RETEST "&amp;TEXT(_xlfn.MINIFS(nrES_Date,nrES_PID,$D939,nrES_Code,$F939,nrES_Att,2,nrES_Raw,"&gt;=0",nrES_Date,"&gt;0"),"mm/dd")&amp;" (due "&amp;TEXT($T939,"mm/dd")&amp;")","Retested"))),IF(NOT(ISNUMBER($T939)),"CHECK DATE",IF(TODAY()&gt;$T939,"OVERDUE","Due "&amp;TEXT($T939,"mm/dd")))))))</f>
        <v/>
      </c>
      <c r="V939" s="16" t="n"/>
      <c r="W939" s="16" t="n"/>
      <c r="X939" s="17">
        <f>IF($C939="","",IF(AND($L939&lt;&gt;"",NOT(ISNUMBER($L939))),"RAW SCORE NOT A NUMBER",IF(AND(ISNUMBER($L939),OR($L939&lt;0,$L939&gt;100)),"RAW SCORE OUT OF RANGE",IF(AND($Y939="Unexcused",OR($L939="",NOT(ISNUMBER($L939)),$L939&lt;&gt;0)),"UNEXCUSED ABSENCE MUST RECORD 0",IF(COUNTIF(nrES_RecID,$B939)&gt;1,"DUPLICATE RECORD",IF(N($K939)&gt;2,"ATTEMPT 3+ NOT ALLOWED - policy 300.5 permits one retest per exam; this row records nothing",IF(AND($K939=2,COUNTIFS(nrES_PID,$D939,nrES_Code,$F939,nrES_Att,1)=0),"ATTEMPT 2 WITHOUT ATTEMPT 1",IF(AND($K939=2,$L939=""),"RETEST ROW HAS NO SCORE",IF(AND($H939="Final",$L939&lt;&gt;"",IFERROR(INDEX(nrCKfinalExamElig,MATCH($D939,rngCadetPIDs,0)),"")="No"),"FINAL EXAM AFTER FAILED FINAL PT (500.1.H)",IF(AND($K939=2,ISNUMBER($L939),COUNTIFS(nrES_PID,$D939,nrES_Code,$F939,nrES_Att,1)&gt;0,SUMIFS(nrES_Raw,nrES_PID,$D939,nrES_Code,$F939,nrES_Att,1)&gt;=$J939),"RETEST AFTER A PASSING FIRST ATTEMPT","OK"))))))))))</f>
        <v/>
      </c>
      <c r="Y939" s="16" t="n"/>
    </row>
    <row r="940">
      <c r="B940" s="17">
        <f>IF($C940="","",$D940&amp;"-"&amp;$F940&amp;"-"&amp;$K940)</f>
        <v/>
      </c>
      <c r="C940" s="16" t="n"/>
      <c r="D940" s="17">
        <f>IF($C940="","",IFERROR(INDEX(rngCadetPIDs,MATCH($C940,rngCadetNames,0)),"?"))</f>
        <v/>
      </c>
      <c r="E940" s="17">
        <f>IF($D940="","",IFERROR(INDEX(nrCadetAgency,MATCH($D940,rngCadetPIDs,0)),""))</f>
        <v/>
      </c>
      <c r="F940" s="16" t="n"/>
      <c r="G940" s="17">
        <f>IF($F940="","",IFERROR(INDEX(rngEPname,MATCH($F940,rngEPcode,0)),"?"))</f>
        <v/>
      </c>
      <c r="H940" s="17">
        <f>IF($F940="","",IFERROR(INDEX(rngEPtype,MATCH($F940,rngEPcode,0)),"?"))</f>
        <v/>
      </c>
      <c r="I940" s="17">
        <f>IF($F940="","",IFERROR(INDEX(rngEPseq,MATCH($F940,rngEPcode,0)),""))</f>
        <v/>
      </c>
      <c r="J940" s="17">
        <f>IF($F940="","",IFERROR(INDEX(rngEPpass,MATCH($F940,rngEPcode,0)),cfgPassingScore))</f>
        <v/>
      </c>
      <c r="K940" s="16" t="n"/>
      <c r="L940" s="16" t="n"/>
      <c r="M940" s="17">
        <f>IF($C940="","",IF($L940="","",IF(NOT(ISNUMBER($L940)),$L940,IF(N($K940)&gt;2,"",IF($K940=1,IF(COUNTIFS(nrES_PID,$D940,nrES_Code,$F940,nrES_Att,2,nrES_Raw,"&gt;=0")&gt;0,"",$L940),IF($L940&gt;=$J940,MAX($J940,cfgRetakeRecordedCap),IF(COUNTIFS(nrES_PID,$D940,nrES_Code,$F940,nrES_Att,1)=0,$L940,SUMIFS(nrES_Raw,nrES_PID,$D940,nrES_Code,$F940,nrES_Att,1))))))))</f>
        <v/>
      </c>
      <c r="N940" s="17">
        <f>IF($C940="","",IF($L940="","",IF(NOT(ISNUMBER($L940)),"(not a score)",IF($L940&gt;=$J940,"Yes","No"))))</f>
        <v/>
      </c>
      <c r="O940" s="17">
        <f>IF($C940="","",IF($M940="","",IF(NOT(ISNUMBER($M940)),"(not a score)",IF($M940&gt;=$J940,"Yes","No"))))</f>
        <v/>
      </c>
      <c r="P940" s="17">
        <f>IF($C940="","",IF($K940="","",IF(N($K940)&gt;2,"No",IF(COUNTIFS(nrES_PID,$D940,nrES_Code,$F940,nrES_Att,"&gt;"&amp;$K940,nrES_Att,"&lt;=2",nrES_Raw,"&gt;=0")=0,"Yes","No"))))</f>
        <v/>
      </c>
      <c r="Q940" s="17">
        <f>IF($C940="","",IF($L940="","",IF(AND($K940=1,ISNUMBER($L940),$L940&lt;$J940,COUNTIFS(nrES_PID,$D940,nrES_Code,$F940,nrES_Att,2,nrES_Raw,"&gt;=0")=0),"Yes","No")))</f>
        <v/>
      </c>
      <c r="R940" s="17">
        <f>IF($C940="","",IF($L940="","",IF(AND(N($K940)&gt;=2,ISNUMBER($L940),$L940&lt;$J940),"Yes","No")))</f>
        <v/>
      </c>
      <c r="S940" s="18" t="n"/>
      <c r="T940" s="19">
        <f>IF(OR($C940="",$L940="",$K940&lt;&gt;1,NOT(ISNUMBER($L940)),$L940&gt;=$J940),"",IF($S940="","(enter date)",_xlfn.LET(_xlpm.dn,_xlfn.XLOOKUP($S940,nrCDdate,nrCDnum,"",1),IF(_xlpm.dn="","(after last class day)",_xlfn.LET(_xlpm.dd,_xlfn.XLOOKUP(_xlpm.dn+cfgRetestClassDays,nrCDnum,nrCDdate,""),_xlpm.ok,_xlfn.XLOOKUP(_xlpm.dn+cfgRetestClassDays,nrCDnum,nrCDinsession,"No"),IF(OR(_xlpm.dd="",_xlpm.ok&lt;&gt;"Yes"),"(after last class day)",_xlpm.dd))))))</f>
        <v/>
      </c>
      <c r="U940" s="17">
        <f>IF($C940="","",IF(AND($Y940="Excused",$L940="",N($K940)&lt;=1),"EXCUSED - 1st attempt pending",IF(OR($L940="",$K940&lt;&gt;1,NOT(ISNUMBER($L940)),$L940&gt;=$J940),"",IF(COUNTIFS(nrES_PID,$D940,nrES_Code,$F940,nrES_Att,2,nrES_Raw,"&gt;=0")&gt;0,IF(IFERROR(_xlfn.MINIFS(nrES_Date,nrES_PID,$D940,nrES_Code,$F940,nrES_Att,2,nrES_Raw,"&gt;=0",nrES_Date,"&gt;0"),0)=0,"RETEST UNDATED",IF(NOT(ISNUMBER($T940)),"RETEST DATE UNCHECKED",IF(_xlfn.MINIFS(nrES_Date,nrES_PID,$D940,nrES_Code,$F940,nrES_Att,2,nrES_Raw,"&gt;=0",nrES_Date,"&gt;0")&gt;$T940,"LATE RETEST "&amp;TEXT(_xlfn.MINIFS(nrES_Date,nrES_PID,$D940,nrES_Code,$F940,nrES_Att,2,nrES_Raw,"&gt;=0",nrES_Date,"&gt;0"),"mm/dd")&amp;" (due "&amp;TEXT($T940,"mm/dd")&amp;")","Retested"))),IF(NOT(ISNUMBER($T940)),"CHECK DATE",IF(TODAY()&gt;$T940,"OVERDUE","Due "&amp;TEXT($T940,"mm/dd")))))))</f>
        <v/>
      </c>
      <c r="V940" s="16" t="n"/>
      <c r="W940" s="16" t="n"/>
      <c r="X940" s="17">
        <f>IF($C940="","",IF(AND($L940&lt;&gt;"",NOT(ISNUMBER($L940))),"RAW SCORE NOT A NUMBER",IF(AND(ISNUMBER($L940),OR($L940&lt;0,$L940&gt;100)),"RAW SCORE OUT OF RANGE",IF(AND($Y940="Unexcused",OR($L940="",NOT(ISNUMBER($L940)),$L940&lt;&gt;0)),"UNEXCUSED ABSENCE MUST RECORD 0",IF(COUNTIF(nrES_RecID,$B940)&gt;1,"DUPLICATE RECORD",IF(N($K940)&gt;2,"ATTEMPT 3+ NOT ALLOWED - policy 300.5 permits one retest per exam; this row records nothing",IF(AND($K940=2,COUNTIFS(nrES_PID,$D940,nrES_Code,$F940,nrES_Att,1)=0),"ATTEMPT 2 WITHOUT ATTEMPT 1",IF(AND($K940=2,$L940=""),"RETEST ROW HAS NO SCORE",IF(AND($H940="Final",$L940&lt;&gt;"",IFERROR(INDEX(nrCKfinalExamElig,MATCH($D940,rngCadetPIDs,0)),"")="No"),"FINAL EXAM AFTER FAILED FINAL PT (500.1.H)",IF(AND($K940=2,ISNUMBER($L940),COUNTIFS(nrES_PID,$D940,nrES_Code,$F940,nrES_Att,1)&gt;0,SUMIFS(nrES_Raw,nrES_PID,$D940,nrES_Code,$F940,nrES_Att,1)&gt;=$J940),"RETEST AFTER A PASSING FIRST ATTEMPT","OK"))))))))))</f>
        <v/>
      </c>
      <c r="Y940" s="16" t="n"/>
    </row>
    <row r="941">
      <c r="B941" s="17">
        <f>IF($C941="","",$D941&amp;"-"&amp;$F941&amp;"-"&amp;$K941)</f>
        <v/>
      </c>
      <c r="C941" s="16" t="n"/>
      <c r="D941" s="17">
        <f>IF($C941="","",IFERROR(INDEX(rngCadetPIDs,MATCH($C941,rngCadetNames,0)),"?"))</f>
        <v/>
      </c>
      <c r="E941" s="17">
        <f>IF($D941="","",IFERROR(INDEX(nrCadetAgency,MATCH($D941,rngCadetPIDs,0)),""))</f>
        <v/>
      </c>
      <c r="F941" s="16" t="n"/>
      <c r="G941" s="17">
        <f>IF($F941="","",IFERROR(INDEX(rngEPname,MATCH($F941,rngEPcode,0)),"?"))</f>
        <v/>
      </c>
      <c r="H941" s="17">
        <f>IF($F941="","",IFERROR(INDEX(rngEPtype,MATCH($F941,rngEPcode,0)),"?"))</f>
        <v/>
      </c>
      <c r="I941" s="17">
        <f>IF($F941="","",IFERROR(INDEX(rngEPseq,MATCH($F941,rngEPcode,0)),""))</f>
        <v/>
      </c>
      <c r="J941" s="17">
        <f>IF($F941="","",IFERROR(INDEX(rngEPpass,MATCH($F941,rngEPcode,0)),cfgPassingScore))</f>
        <v/>
      </c>
      <c r="K941" s="16" t="n"/>
      <c r="L941" s="16" t="n"/>
      <c r="M941" s="17">
        <f>IF($C941="","",IF($L941="","",IF(NOT(ISNUMBER($L941)),$L941,IF(N($K941)&gt;2,"",IF($K941=1,IF(COUNTIFS(nrES_PID,$D941,nrES_Code,$F941,nrES_Att,2,nrES_Raw,"&gt;=0")&gt;0,"",$L941),IF($L941&gt;=$J941,MAX($J941,cfgRetakeRecordedCap),IF(COUNTIFS(nrES_PID,$D941,nrES_Code,$F941,nrES_Att,1)=0,$L941,SUMIFS(nrES_Raw,nrES_PID,$D941,nrES_Code,$F941,nrES_Att,1))))))))</f>
        <v/>
      </c>
      <c r="N941" s="17">
        <f>IF($C941="","",IF($L941="","",IF(NOT(ISNUMBER($L941)),"(not a score)",IF($L941&gt;=$J941,"Yes","No"))))</f>
        <v/>
      </c>
      <c r="O941" s="17">
        <f>IF($C941="","",IF($M941="","",IF(NOT(ISNUMBER($M941)),"(not a score)",IF($M941&gt;=$J941,"Yes","No"))))</f>
        <v/>
      </c>
      <c r="P941" s="17">
        <f>IF($C941="","",IF($K941="","",IF(N($K941)&gt;2,"No",IF(COUNTIFS(nrES_PID,$D941,nrES_Code,$F941,nrES_Att,"&gt;"&amp;$K941,nrES_Att,"&lt;=2",nrES_Raw,"&gt;=0")=0,"Yes","No"))))</f>
        <v/>
      </c>
      <c r="Q941" s="17">
        <f>IF($C941="","",IF($L941="","",IF(AND($K941=1,ISNUMBER($L941),$L941&lt;$J941,COUNTIFS(nrES_PID,$D941,nrES_Code,$F941,nrES_Att,2,nrES_Raw,"&gt;=0")=0),"Yes","No")))</f>
        <v/>
      </c>
      <c r="R941" s="17">
        <f>IF($C941="","",IF($L941="","",IF(AND(N($K941)&gt;=2,ISNUMBER($L941),$L941&lt;$J941),"Yes","No")))</f>
        <v/>
      </c>
      <c r="S941" s="18" t="n"/>
      <c r="T941" s="19">
        <f>IF(OR($C941="",$L941="",$K941&lt;&gt;1,NOT(ISNUMBER($L941)),$L941&gt;=$J941),"",IF($S941="","(enter date)",_xlfn.LET(_xlpm.dn,_xlfn.XLOOKUP($S941,nrCDdate,nrCDnum,"",1),IF(_xlpm.dn="","(after last class day)",_xlfn.LET(_xlpm.dd,_xlfn.XLOOKUP(_xlpm.dn+cfgRetestClassDays,nrCDnum,nrCDdate,""),_xlpm.ok,_xlfn.XLOOKUP(_xlpm.dn+cfgRetestClassDays,nrCDnum,nrCDinsession,"No"),IF(OR(_xlpm.dd="",_xlpm.ok&lt;&gt;"Yes"),"(after last class day)",_xlpm.dd))))))</f>
        <v/>
      </c>
      <c r="U941" s="17">
        <f>IF($C941="","",IF(AND($Y941="Excused",$L941="",N($K941)&lt;=1),"EXCUSED - 1st attempt pending",IF(OR($L941="",$K941&lt;&gt;1,NOT(ISNUMBER($L941)),$L941&gt;=$J941),"",IF(COUNTIFS(nrES_PID,$D941,nrES_Code,$F941,nrES_Att,2,nrES_Raw,"&gt;=0")&gt;0,IF(IFERROR(_xlfn.MINIFS(nrES_Date,nrES_PID,$D941,nrES_Code,$F941,nrES_Att,2,nrES_Raw,"&gt;=0",nrES_Date,"&gt;0"),0)=0,"RETEST UNDATED",IF(NOT(ISNUMBER($T941)),"RETEST DATE UNCHECKED",IF(_xlfn.MINIFS(nrES_Date,nrES_PID,$D941,nrES_Code,$F941,nrES_Att,2,nrES_Raw,"&gt;=0",nrES_Date,"&gt;0")&gt;$T941,"LATE RETEST "&amp;TEXT(_xlfn.MINIFS(nrES_Date,nrES_PID,$D941,nrES_Code,$F941,nrES_Att,2,nrES_Raw,"&gt;=0",nrES_Date,"&gt;0"),"mm/dd")&amp;" (due "&amp;TEXT($T941,"mm/dd")&amp;")","Retested"))),IF(NOT(ISNUMBER($T941)),"CHECK DATE",IF(TODAY()&gt;$T941,"OVERDUE","Due "&amp;TEXT($T941,"mm/dd")))))))</f>
        <v/>
      </c>
      <c r="V941" s="16" t="n"/>
      <c r="W941" s="16" t="n"/>
      <c r="X941" s="17">
        <f>IF($C941="","",IF(AND($L941&lt;&gt;"",NOT(ISNUMBER($L941))),"RAW SCORE NOT A NUMBER",IF(AND(ISNUMBER($L941),OR($L941&lt;0,$L941&gt;100)),"RAW SCORE OUT OF RANGE",IF(AND($Y941="Unexcused",OR($L941="",NOT(ISNUMBER($L941)),$L941&lt;&gt;0)),"UNEXCUSED ABSENCE MUST RECORD 0",IF(COUNTIF(nrES_RecID,$B941)&gt;1,"DUPLICATE RECORD",IF(N($K941)&gt;2,"ATTEMPT 3+ NOT ALLOWED - policy 300.5 permits one retest per exam; this row records nothing",IF(AND($K941=2,COUNTIFS(nrES_PID,$D941,nrES_Code,$F941,nrES_Att,1)=0),"ATTEMPT 2 WITHOUT ATTEMPT 1",IF(AND($K941=2,$L941=""),"RETEST ROW HAS NO SCORE",IF(AND($H941="Final",$L941&lt;&gt;"",IFERROR(INDEX(nrCKfinalExamElig,MATCH($D941,rngCadetPIDs,0)),"")="No"),"FINAL EXAM AFTER FAILED FINAL PT (500.1.H)",IF(AND($K941=2,ISNUMBER($L941),COUNTIFS(nrES_PID,$D941,nrES_Code,$F941,nrES_Att,1)&gt;0,SUMIFS(nrES_Raw,nrES_PID,$D941,nrES_Code,$F941,nrES_Att,1)&gt;=$J941),"RETEST AFTER A PASSING FIRST ATTEMPT","OK"))))))))))</f>
        <v/>
      </c>
      <c r="Y941" s="16" t="n"/>
    </row>
    <row r="942">
      <c r="B942" s="17">
        <f>IF($C942="","",$D942&amp;"-"&amp;$F942&amp;"-"&amp;$K942)</f>
        <v/>
      </c>
      <c r="C942" s="16" t="n"/>
      <c r="D942" s="17">
        <f>IF($C942="","",IFERROR(INDEX(rngCadetPIDs,MATCH($C942,rngCadetNames,0)),"?"))</f>
        <v/>
      </c>
      <c r="E942" s="17">
        <f>IF($D942="","",IFERROR(INDEX(nrCadetAgency,MATCH($D942,rngCadetPIDs,0)),""))</f>
        <v/>
      </c>
      <c r="F942" s="16" t="n"/>
      <c r="G942" s="17">
        <f>IF($F942="","",IFERROR(INDEX(rngEPname,MATCH($F942,rngEPcode,0)),"?"))</f>
        <v/>
      </c>
      <c r="H942" s="17">
        <f>IF($F942="","",IFERROR(INDEX(rngEPtype,MATCH($F942,rngEPcode,0)),"?"))</f>
        <v/>
      </c>
      <c r="I942" s="17">
        <f>IF($F942="","",IFERROR(INDEX(rngEPseq,MATCH($F942,rngEPcode,0)),""))</f>
        <v/>
      </c>
      <c r="J942" s="17">
        <f>IF($F942="","",IFERROR(INDEX(rngEPpass,MATCH($F942,rngEPcode,0)),cfgPassingScore))</f>
        <v/>
      </c>
      <c r="K942" s="16" t="n"/>
      <c r="L942" s="16" t="n"/>
      <c r="M942" s="17">
        <f>IF($C942="","",IF($L942="","",IF(NOT(ISNUMBER($L942)),$L942,IF(N($K942)&gt;2,"",IF($K942=1,IF(COUNTIFS(nrES_PID,$D942,nrES_Code,$F942,nrES_Att,2,nrES_Raw,"&gt;=0")&gt;0,"",$L942),IF($L942&gt;=$J942,MAX($J942,cfgRetakeRecordedCap),IF(COUNTIFS(nrES_PID,$D942,nrES_Code,$F942,nrES_Att,1)=0,$L942,SUMIFS(nrES_Raw,nrES_PID,$D942,nrES_Code,$F942,nrES_Att,1))))))))</f>
        <v/>
      </c>
      <c r="N942" s="17">
        <f>IF($C942="","",IF($L942="","",IF(NOT(ISNUMBER($L942)),"(not a score)",IF($L942&gt;=$J942,"Yes","No"))))</f>
        <v/>
      </c>
      <c r="O942" s="17">
        <f>IF($C942="","",IF($M942="","",IF(NOT(ISNUMBER($M942)),"(not a score)",IF($M942&gt;=$J942,"Yes","No"))))</f>
        <v/>
      </c>
      <c r="P942" s="17">
        <f>IF($C942="","",IF($K942="","",IF(N($K942)&gt;2,"No",IF(COUNTIFS(nrES_PID,$D942,nrES_Code,$F942,nrES_Att,"&gt;"&amp;$K942,nrES_Att,"&lt;=2",nrES_Raw,"&gt;=0")=0,"Yes","No"))))</f>
        <v/>
      </c>
      <c r="Q942" s="17">
        <f>IF($C942="","",IF($L942="","",IF(AND($K942=1,ISNUMBER($L942),$L942&lt;$J942,COUNTIFS(nrES_PID,$D942,nrES_Code,$F942,nrES_Att,2,nrES_Raw,"&gt;=0")=0),"Yes","No")))</f>
        <v/>
      </c>
      <c r="R942" s="17">
        <f>IF($C942="","",IF($L942="","",IF(AND(N($K942)&gt;=2,ISNUMBER($L942),$L942&lt;$J942),"Yes","No")))</f>
        <v/>
      </c>
      <c r="S942" s="18" t="n"/>
      <c r="T942" s="19">
        <f>IF(OR($C942="",$L942="",$K942&lt;&gt;1,NOT(ISNUMBER($L942)),$L942&gt;=$J942),"",IF($S942="","(enter date)",_xlfn.LET(_xlpm.dn,_xlfn.XLOOKUP($S942,nrCDdate,nrCDnum,"",1),IF(_xlpm.dn="","(after last class day)",_xlfn.LET(_xlpm.dd,_xlfn.XLOOKUP(_xlpm.dn+cfgRetestClassDays,nrCDnum,nrCDdate,""),_xlpm.ok,_xlfn.XLOOKUP(_xlpm.dn+cfgRetestClassDays,nrCDnum,nrCDinsession,"No"),IF(OR(_xlpm.dd="",_xlpm.ok&lt;&gt;"Yes"),"(after last class day)",_xlpm.dd))))))</f>
        <v/>
      </c>
      <c r="U942" s="17">
        <f>IF($C942="","",IF(AND($Y942="Excused",$L942="",N($K942)&lt;=1),"EXCUSED - 1st attempt pending",IF(OR($L942="",$K942&lt;&gt;1,NOT(ISNUMBER($L942)),$L942&gt;=$J942),"",IF(COUNTIFS(nrES_PID,$D942,nrES_Code,$F942,nrES_Att,2,nrES_Raw,"&gt;=0")&gt;0,IF(IFERROR(_xlfn.MINIFS(nrES_Date,nrES_PID,$D942,nrES_Code,$F942,nrES_Att,2,nrES_Raw,"&gt;=0",nrES_Date,"&gt;0"),0)=0,"RETEST UNDATED",IF(NOT(ISNUMBER($T942)),"RETEST DATE UNCHECKED",IF(_xlfn.MINIFS(nrES_Date,nrES_PID,$D942,nrES_Code,$F942,nrES_Att,2,nrES_Raw,"&gt;=0",nrES_Date,"&gt;0")&gt;$T942,"LATE RETEST "&amp;TEXT(_xlfn.MINIFS(nrES_Date,nrES_PID,$D942,nrES_Code,$F942,nrES_Att,2,nrES_Raw,"&gt;=0",nrES_Date,"&gt;0"),"mm/dd")&amp;" (due "&amp;TEXT($T942,"mm/dd")&amp;")","Retested"))),IF(NOT(ISNUMBER($T942)),"CHECK DATE",IF(TODAY()&gt;$T942,"OVERDUE","Due "&amp;TEXT($T942,"mm/dd")))))))</f>
        <v/>
      </c>
      <c r="V942" s="16" t="n"/>
      <c r="W942" s="16" t="n"/>
      <c r="X942" s="17">
        <f>IF($C942="","",IF(AND($L942&lt;&gt;"",NOT(ISNUMBER($L942))),"RAW SCORE NOT A NUMBER",IF(AND(ISNUMBER($L942),OR($L942&lt;0,$L942&gt;100)),"RAW SCORE OUT OF RANGE",IF(AND($Y942="Unexcused",OR($L942="",NOT(ISNUMBER($L942)),$L942&lt;&gt;0)),"UNEXCUSED ABSENCE MUST RECORD 0",IF(COUNTIF(nrES_RecID,$B942)&gt;1,"DUPLICATE RECORD",IF(N($K942)&gt;2,"ATTEMPT 3+ NOT ALLOWED - policy 300.5 permits one retest per exam; this row records nothing",IF(AND($K942=2,COUNTIFS(nrES_PID,$D942,nrES_Code,$F942,nrES_Att,1)=0),"ATTEMPT 2 WITHOUT ATTEMPT 1",IF(AND($K942=2,$L942=""),"RETEST ROW HAS NO SCORE",IF(AND($H942="Final",$L942&lt;&gt;"",IFERROR(INDEX(nrCKfinalExamElig,MATCH($D942,rngCadetPIDs,0)),"")="No"),"FINAL EXAM AFTER FAILED FINAL PT (500.1.H)",IF(AND($K942=2,ISNUMBER($L942),COUNTIFS(nrES_PID,$D942,nrES_Code,$F942,nrES_Att,1)&gt;0,SUMIFS(nrES_Raw,nrES_PID,$D942,nrES_Code,$F942,nrES_Att,1)&gt;=$J942),"RETEST AFTER A PASSING FIRST ATTEMPT","OK"))))))))))</f>
        <v/>
      </c>
      <c r="Y942" s="16" t="n"/>
    </row>
    <row r="943">
      <c r="B943" s="17">
        <f>IF($C943="","",$D943&amp;"-"&amp;$F943&amp;"-"&amp;$K943)</f>
        <v/>
      </c>
      <c r="C943" s="16" t="n"/>
      <c r="D943" s="17">
        <f>IF($C943="","",IFERROR(INDEX(rngCadetPIDs,MATCH($C943,rngCadetNames,0)),"?"))</f>
        <v/>
      </c>
      <c r="E943" s="17">
        <f>IF($D943="","",IFERROR(INDEX(nrCadetAgency,MATCH($D943,rngCadetPIDs,0)),""))</f>
        <v/>
      </c>
      <c r="F943" s="16" t="n"/>
      <c r="G943" s="17">
        <f>IF($F943="","",IFERROR(INDEX(rngEPname,MATCH($F943,rngEPcode,0)),"?"))</f>
        <v/>
      </c>
      <c r="H943" s="17">
        <f>IF($F943="","",IFERROR(INDEX(rngEPtype,MATCH($F943,rngEPcode,0)),"?"))</f>
        <v/>
      </c>
      <c r="I943" s="17">
        <f>IF($F943="","",IFERROR(INDEX(rngEPseq,MATCH($F943,rngEPcode,0)),""))</f>
        <v/>
      </c>
      <c r="J943" s="17">
        <f>IF($F943="","",IFERROR(INDEX(rngEPpass,MATCH($F943,rngEPcode,0)),cfgPassingScore))</f>
        <v/>
      </c>
      <c r="K943" s="16" t="n"/>
      <c r="L943" s="16" t="n"/>
      <c r="M943" s="17">
        <f>IF($C943="","",IF($L943="","",IF(NOT(ISNUMBER($L943)),$L943,IF(N($K943)&gt;2,"",IF($K943=1,IF(COUNTIFS(nrES_PID,$D943,nrES_Code,$F943,nrES_Att,2,nrES_Raw,"&gt;=0")&gt;0,"",$L943),IF($L943&gt;=$J943,MAX($J943,cfgRetakeRecordedCap),IF(COUNTIFS(nrES_PID,$D943,nrES_Code,$F943,nrES_Att,1)=0,$L943,SUMIFS(nrES_Raw,nrES_PID,$D943,nrES_Code,$F943,nrES_Att,1))))))))</f>
        <v/>
      </c>
      <c r="N943" s="17">
        <f>IF($C943="","",IF($L943="","",IF(NOT(ISNUMBER($L943)),"(not a score)",IF($L943&gt;=$J943,"Yes","No"))))</f>
        <v/>
      </c>
      <c r="O943" s="17">
        <f>IF($C943="","",IF($M943="","",IF(NOT(ISNUMBER($M943)),"(not a score)",IF($M943&gt;=$J943,"Yes","No"))))</f>
        <v/>
      </c>
      <c r="P943" s="17">
        <f>IF($C943="","",IF($K943="","",IF(N($K943)&gt;2,"No",IF(COUNTIFS(nrES_PID,$D943,nrES_Code,$F943,nrES_Att,"&gt;"&amp;$K943,nrES_Att,"&lt;=2",nrES_Raw,"&gt;=0")=0,"Yes","No"))))</f>
        <v/>
      </c>
      <c r="Q943" s="17">
        <f>IF($C943="","",IF($L943="","",IF(AND($K943=1,ISNUMBER($L943),$L943&lt;$J943,COUNTIFS(nrES_PID,$D943,nrES_Code,$F943,nrES_Att,2,nrES_Raw,"&gt;=0")=0),"Yes","No")))</f>
        <v/>
      </c>
      <c r="R943" s="17">
        <f>IF($C943="","",IF($L943="","",IF(AND(N($K943)&gt;=2,ISNUMBER($L943),$L943&lt;$J943),"Yes","No")))</f>
        <v/>
      </c>
      <c r="S943" s="18" t="n"/>
      <c r="T943" s="19">
        <f>IF(OR($C943="",$L943="",$K943&lt;&gt;1,NOT(ISNUMBER($L943)),$L943&gt;=$J943),"",IF($S943="","(enter date)",_xlfn.LET(_xlpm.dn,_xlfn.XLOOKUP($S943,nrCDdate,nrCDnum,"",1),IF(_xlpm.dn="","(after last class day)",_xlfn.LET(_xlpm.dd,_xlfn.XLOOKUP(_xlpm.dn+cfgRetestClassDays,nrCDnum,nrCDdate,""),_xlpm.ok,_xlfn.XLOOKUP(_xlpm.dn+cfgRetestClassDays,nrCDnum,nrCDinsession,"No"),IF(OR(_xlpm.dd="",_xlpm.ok&lt;&gt;"Yes"),"(after last class day)",_xlpm.dd))))))</f>
        <v/>
      </c>
      <c r="U943" s="17">
        <f>IF($C943="","",IF(AND($Y943="Excused",$L943="",N($K943)&lt;=1),"EXCUSED - 1st attempt pending",IF(OR($L943="",$K943&lt;&gt;1,NOT(ISNUMBER($L943)),$L943&gt;=$J943),"",IF(COUNTIFS(nrES_PID,$D943,nrES_Code,$F943,nrES_Att,2,nrES_Raw,"&gt;=0")&gt;0,IF(IFERROR(_xlfn.MINIFS(nrES_Date,nrES_PID,$D943,nrES_Code,$F943,nrES_Att,2,nrES_Raw,"&gt;=0",nrES_Date,"&gt;0"),0)=0,"RETEST UNDATED",IF(NOT(ISNUMBER($T943)),"RETEST DATE UNCHECKED",IF(_xlfn.MINIFS(nrES_Date,nrES_PID,$D943,nrES_Code,$F943,nrES_Att,2,nrES_Raw,"&gt;=0",nrES_Date,"&gt;0")&gt;$T943,"LATE RETEST "&amp;TEXT(_xlfn.MINIFS(nrES_Date,nrES_PID,$D943,nrES_Code,$F943,nrES_Att,2,nrES_Raw,"&gt;=0",nrES_Date,"&gt;0"),"mm/dd")&amp;" (due "&amp;TEXT($T943,"mm/dd")&amp;")","Retested"))),IF(NOT(ISNUMBER($T943)),"CHECK DATE",IF(TODAY()&gt;$T943,"OVERDUE","Due "&amp;TEXT($T943,"mm/dd")))))))</f>
        <v/>
      </c>
      <c r="V943" s="16" t="n"/>
      <c r="W943" s="16" t="n"/>
      <c r="X943" s="17">
        <f>IF($C943="","",IF(AND($L943&lt;&gt;"",NOT(ISNUMBER($L943))),"RAW SCORE NOT A NUMBER",IF(AND(ISNUMBER($L943),OR($L943&lt;0,$L943&gt;100)),"RAW SCORE OUT OF RANGE",IF(AND($Y943="Unexcused",OR($L943="",NOT(ISNUMBER($L943)),$L943&lt;&gt;0)),"UNEXCUSED ABSENCE MUST RECORD 0",IF(COUNTIF(nrES_RecID,$B943)&gt;1,"DUPLICATE RECORD",IF(N($K943)&gt;2,"ATTEMPT 3+ NOT ALLOWED - policy 300.5 permits one retest per exam; this row records nothing",IF(AND($K943=2,COUNTIFS(nrES_PID,$D943,nrES_Code,$F943,nrES_Att,1)=0),"ATTEMPT 2 WITHOUT ATTEMPT 1",IF(AND($K943=2,$L943=""),"RETEST ROW HAS NO SCORE",IF(AND($H943="Final",$L943&lt;&gt;"",IFERROR(INDEX(nrCKfinalExamElig,MATCH($D943,rngCadetPIDs,0)),"")="No"),"FINAL EXAM AFTER FAILED FINAL PT (500.1.H)",IF(AND($K943=2,ISNUMBER($L943),COUNTIFS(nrES_PID,$D943,nrES_Code,$F943,nrES_Att,1)&gt;0,SUMIFS(nrES_Raw,nrES_PID,$D943,nrES_Code,$F943,nrES_Att,1)&gt;=$J943),"RETEST AFTER A PASSING FIRST ATTEMPT","OK"))))))))))</f>
        <v/>
      </c>
      <c r="Y943" s="16" t="n"/>
    </row>
    <row r="944">
      <c r="B944" s="17">
        <f>IF($C944="","",$D944&amp;"-"&amp;$F944&amp;"-"&amp;$K944)</f>
        <v/>
      </c>
      <c r="C944" s="16" t="n"/>
      <c r="D944" s="17">
        <f>IF($C944="","",IFERROR(INDEX(rngCadetPIDs,MATCH($C944,rngCadetNames,0)),"?"))</f>
        <v/>
      </c>
      <c r="E944" s="17">
        <f>IF($D944="","",IFERROR(INDEX(nrCadetAgency,MATCH($D944,rngCadetPIDs,0)),""))</f>
        <v/>
      </c>
      <c r="F944" s="16" t="n"/>
      <c r="G944" s="17">
        <f>IF($F944="","",IFERROR(INDEX(rngEPname,MATCH($F944,rngEPcode,0)),"?"))</f>
        <v/>
      </c>
      <c r="H944" s="17">
        <f>IF($F944="","",IFERROR(INDEX(rngEPtype,MATCH($F944,rngEPcode,0)),"?"))</f>
        <v/>
      </c>
      <c r="I944" s="17">
        <f>IF($F944="","",IFERROR(INDEX(rngEPseq,MATCH($F944,rngEPcode,0)),""))</f>
        <v/>
      </c>
      <c r="J944" s="17">
        <f>IF($F944="","",IFERROR(INDEX(rngEPpass,MATCH($F944,rngEPcode,0)),cfgPassingScore))</f>
        <v/>
      </c>
      <c r="K944" s="16" t="n"/>
      <c r="L944" s="16" t="n"/>
      <c r="M944" s="17">
        <f>IF($C944="","",IF($L944="","",IF(NOT(ISNUMBER($L944)),$L944,IF(N($K944)&gt;2,"",IF($K944=1,IF(COUNTIFS(nrES_PID,$D944,nrES_Code,$F944,nrES_Att,2,nrES_Raw,"&gt;=0")&gt;0,"",$L944),IF($L944&gt;=$J944,MAX($J944,cfgRetakeRecordedCap),IF(COUNTIFS(nrES_PID,$D944,nrES_Code,$F944,nrES_Att,1)=0,$L944,SUMIFS(nrES_Raw,nrES_PID,$D944,nrES_Code,$F944,nrES_Att,1))))))))</f>
        <v/>
      </c>
      <c r="N944" s="17">
        <f>IF($C944="","",IF($L944="","",IF(NOT(ISNUMBER($L944)),"(not a score)",IF($L944&gt;=$J944,"Yes","No"))))</f>
        <v/>
      </c>
      <c r="O944" s="17">
        <f>IF($C944="","",IF($M944="","",IF(NOT(ISNUMBER($M944)),"(not a score)",IF($M944&gt;=$J944,"Yes","No"))))</f>
        <v/>
      </c>
      <c r="P944" s="17">
        <f>IF($C944="","",IF($K944="","",IF(N($K944)&gt;2,"No",IF(COUNTIFS(nrES_PID,$D944,nrES_Code,$F944,nrES_Att,"&gt;"&amp;$K944,nrES_Att,"&lt;=2",nrES_Raw,"&gt;=0")=0,"Yes","No"))))</f>
        <v/>
      </c>
      <c r="Q944" s="17">
        <f>IF($C944="","",IF($L944="","",IF(AND($K944=1,ISNUMBER($L944),$L944&lt;$J944,COUNTIFS(nrES_PID,$D944,nrES_Code,$F944,nrES_Att,2,nrES_Raw,"&gt;=0")=0),"Yes","No")))</f>
        <v/>
      </c>
      <c r="R944" s="17">
        <f>IF($C944="","",IF($L944="","",IF(AND(N($K944)&gt;=2,ISNUMBER($L944),$L944&lt;$J944),"Yes","No")))</f>
        <v/>
      </c>
      <c r="S944" s="18" t="n"/>
      <c r="T944" s="19">
        <f>IF(OR($C944="",$L944="",$K944&lt;&gt;1,NOT(ISNUMBER($L944)),$L944&gt;=$J944),"",IF($S944="","(enter date)",_xlfn.LET(_xlpm.dn,_xlfn.XLOOKUP($S944,nrCDdate,nrCDnum,"",1),IF(_xlpm.dn="","(after last class day)",_xlfn.LET(_xlpm.dd,_xlfn.XLOOKUP(_xlpm.dn+cfgRetestClassDays,nrCDnum,nrCDdate,""),_xlpm.ok,_xlfn.XLOOKUP(_xlpm.dn+cfgRetestClassDays,nrCDnum,nrCDinsession,"No"),IF(OR(_xlpm.dd="",_xlpm.ok&lt;&gt;"Yes"),"(after last class day)",_xlpm.dd))))))</f>
        <v/>
      </c>
      <c r="U944" s="17">
        <f>IF($C944="","",IF(AND($Y944="Excused",$L944="",N($K944)&lt;=1),"EXCUSED - 1st attempt pending",IF(OR($L944="",$K944&lt;&gt;1,NOT(ISNUMBER($L944)),$L944&gt;=$J944),"",IF(COUNTIFS(nrES_PID,$D944,nrES_Code,$F944,nrES_Att,2,nrES_Raw,"&gt;=0")&gt;0,IF(IFERROR(_xlfn.MINIFS(nrES_Date,nrES_PID,$D944,nrES_Code,$F944,nrES_Att,2,nrES_Raw,"&gt;=0",nrES_Date,"&gt;0"),0)=0,"RETEST UNDATED",IF(NOT(ISNUMBER($T944)),"RETEST DATE UNCHECKED",IF(_xlfn.MINIFS(nrES_Date,nrES_PID,$D944,nrES_Code,$F944,nrES_Att,2,nrES_Raw,"&gt;=0",nrES_Date,"&gt;0")&gt;$T944,"LATE RETEST "&amp;TEXT(_xlfn.MINIFS(nrES_Date,nrES_PID,$D944,nrES_Code,$F944,nrES_Att,2,nrES_Raw,"&gt;=0",nrES_Date,"&gt;0"),"mm/dd")&amp;" (due "&amp;TEXT($T944,"mm/dd")&amp;")","Retested"))),IF(NOT(ISNUMBER($T944)),"CHECK DATE",IF(TODAY()&gt;$T944,"OVERDUE","Due "&amp;TEXT($T944,"mm/dd")))))))</f>
        <v/>
      </c>
      <c r="V944" s="16" t="n"/>
      <c r="W944" s="16" t="n"/>
      <c r="X944" s="17">
        <f>IF($C944="","",IF(AND($L944&lt;&gt;"",NOT(ISNUMBER($L944))),"RAW SCORE NOT A NUMBER",IF(AND(ISNUMBER($L944),OR($L944&lt;0,$L944&gt;100)),"RAW SCORE OUT OF RANGE",IF(AND($Y944="Unexcused",OR($L944="",NOT(ISNUMBER($L944)),$L944&lt;&gt;0)),"UNEXCUSED ABSENCE MUST RECORD 0",IF(COUNTIF(nrES_RecID,$B944)&gt;1,"DUPLICATE RECORD",IF(N($K944)&gt;2,"ATTEMPT 3+ NOT ALLOWED - policy 300.5 permits one retest per exam; this row records nothing",IF(AND($K944=2,COUNTIFS(nrES_PID,$D944,nrES_Code,$F944,nrES_Att,1)=0),"ATTEMPT 2 WITHOUT ATTEMPT 1",IF(AND($K944=2,$L944=""),"RETEST ROW HAS NO SCORE",IF(AND($H944="Final",$L944&lt;&gt;"",IFERROR(INDEX(nrCKfinalExamElig,MATCH($D944,rngCadetPIDs,0)),"")="No"),"FINAL EXAM AFTER FAILED FINAL PT (500.1.H)",IF(AND($K944=2,ISNUMBER($L944),COUNTIFS(nrES_PID,$D944,nrES_Code,$F944,nrES_Att,1)&gt;0,SUMIFS(nrES_Raw,nrES_PID,$D944,nrES_Code,$F944,nrES_Att,1)&gt;=$J944),"RETEST AFTER A PASSING FIRST ATTEMPT","OK"))))))))))</f>
        <v/>
      </c>
      <c r="Y944" s="16" t="n"/>
    </row>
    <row r="945">
      <c r="B945" s="17">
        <f>IF($C945="","",$D945&amp;"-"&amp;$F945&amp;"-"&amp;$K945)</f>
        <v/>
      </c>
      <c r="C945" s="16" t="n"/>
      <c r="D945" s="17">
        <f>IF($C945="","",IFERROR(INDEX(rngCadetPIDs,MATCH($C945,rngCadetNames,0)),"?"))</f>
        <v/>
      </c>
      <c r="E945" s="17">
        <f>IF($D945="","",IFERROR(INDEX(nrCadetAgency,MATCH($D945,rngCadetPIDs,0)),""))</f>
        <v/>
      </c>
      <c r="F945" s="16" t="n"/>
      <c r="G945" s="17">
        <f>IF($F945="","",IFERROR(INDEX(rngEPname,MATCH($F945,rngEPcode,0)),"?"))</f>
        <v/>
      </c>
      <c r="H945" s="17">
        <f>IF($F945="","",IFERROR(INDEX(rngEPtype,MATCH($F945,rngEPcode,0)),"?"))</f>
        <v/>
      </c>
      <c r="I945" s="17">
        <f>IF($F945="","",IFERROR(INDEX(rngEPseq,MATCH($F945,rngEPcode,0)),""))</f>
        <v/>
      </c>
      <c r="J945" s="17">
        <f>IF($F945="","",IFERROR(INDEX(rngEPpass,MATCH($F945,rngEPcode,0)),cfgPassingScore))</f>
        <v/>
      </c>
      <c r="K945" s="16" t="n"/>
      <c r="L945" s="16" t="n"/>
      <c r="M945" s="17">
        <f>IF($C945="","",IF($L945="","",IF(NOT(ISNUMBER($L945)),$L945,IF(N($K945)&gt;2,"",IF($K945=1,IF(COUNTIFS(nrES_PID,$D945,nrES_Code,$F945,nrES_Att,2,nrES_Raw,"&gt;=0")&gt;0,"",$L945),IF($L945&gt;=$J945,MAX($J945,cfgRetakeRecordedCap),IF(COUNTIFS(nrES_PID,$D945,nrES_Code,$F945,nrES_Att,1)=0,$L945,SUMIFS(nrES_Raw,nrES_PID,$D945,nrES_Code,$F945,nrES_Att,1))))))))</f>
        <v/>
      </c>
      <c r="N945" s="17">
        <f>IF($C945="","",IF($L945="","",IF(NOT(ISNUMBER($L945)),"(not a score)",IF($L945&gt;=$J945,"Yes","No"))))</f>
        <v/>
      </c>
      <c r="O945" s="17">
        <f>IF($C945="","",IF($M945="","",IF(NOT(ISNUMBER($M945)),"(not a score)",IF($M945&gt;=$J945,"Yes","No"))))</f>
        <v/>
      </c>
      <c r="P945" s="17">
        <f>IF($C945="","",IF($K945="","",IF(N($K945)&gt;2,"No",IF(COUNTIFS(nrES_PID,$D945,nrES_Code,$F945,nrES_Att,"&gt;"&amp;$K945,nrES_Att,"&lt;=2",nrES_Raw,"&gt;=0")=0,"Yes","No"))))</f>
        <v/>
      </c>
      <c r="Q945" s="17">
        <f>IF($C945="","",IF($L945="","",IF(AND($K945=1,ISNUMBER($L945),$L945&lt;$J945,COUNTIFS(nrES_PID,$D945,nrES_Code,$F945,nrES_Att,2,nrES_Raw,"&gt;=0")=0),"Yes","No")))</f>
        <v/>
      </c>
      <c r="R945" s="17">
        <f>IF($C945="","",IF($L945="","",IF(AND(N($K945)&gt;=2,ISNUMBER($L945),$L945&lt;$J945),"Yes","No")))</f>
        <v/>
      </c>
      <c r="S945" s="18" t="n"/>
      <c r="T945" s="19">
        <f>IF(OR($C945="",$L945="",$K945&lt;&gt;1,NOT(ISNUMBER($L945)),$L945&gt;=$J945),"",IF($S945="","(enter date)",_xlfn.LET(_xlpm.dn,_xlfn.XLOOKUP($S945,nrCDdate,nrCDnum,"",1),IF(_xlpm.dn="","(after last class day)",_xlfn.LET(_xlpm.dd,_xlfn.XLOOKUP(_xlpm.dn+cfgRetestClassDays,nrCDnum,nrCDdate,""),_xlpm.ok,_xlfn.XLOOKUP(_xlpm.dn+cfgRetestClassDays,nrCDnum,nrCDinsession,"No"),IF(OR(_xlpm.dd="",_xlpm.ok&lt;&gt;"Yes"),"(after last class day)",_xlpm.dd))))))</f>
        <v/>
      </c>
      <c r="U945" s="17">
        <f>IF($C945="","",IF(AND($Y945="Excused",$L945="",N($K945)&lt;=1),"EXCUSED - 1st attempt pending",IF(OR($L945="",$K945&lt;&gt;1,NOT(ISNUMBER($L945)),$L945&gt;=$J945),"",IF(COUNTIFS(nrES_PID,$D945,nrES_Code,$F945,nrES_Att,2,nrES_Raw,"&gt;=0")&gt;0,IF(IFERROR(_xlfn.MINIFS(nrES_Date,nrES_PID,$D945,nrES_Code,$F945,nrES_Att,2,nrES_Raw,"&gt;=0",nrES_Date,"&gt;0"),0)=0,"RETEST UNDATED",IF(NOT(ISNUMBER($T945)),"RETEST DATE UNCHECKED",IF(_xlfn.MINIFS(nrES_Date,nrES_PID,$D945,nrES_Code,$F945,nrES_Att,2,nrES_Raw,"&gt;=0",nrES_Date,"&gt;0")&gt;$T945,"LATE RETEST "&amp;TEXT(_xlfn.MINIFS(nrES_Date,nrES_PID,$D945,nrES_Code,$F945,nrES_Att,2,nrES_Raw,"&gt;=0",nrES_Date,"&gt;0"),"mm/dd")&amp;" (due "&amp;TEXT($T945,"mm/dd")&amp;")","Retested"))),IF(NOT(ISNUMBER($T945)),"CHECK DATE",IF(TODAY()&gt;$T945,"OVERDUE","Due "&amp;TEXT($T945,"mm/dd")))))))</f>
        <v/>
      </c>
      <c r="V945" s="16" t="n"/>
      <c r="W945" s="16" t="n"/>
      <c r="X945" s="17">
        <f>IF($C945="","",IF(AND($L945&lt;&gt;"",NOT(ISNUMBER($L945))),"RAW SCORE NOT A NUMBER",IF(AND(ISNUMBER($L945),OR($L945&lt;0,$L945&gt;100)),"RAW SCORE OUT OF RANGE",IF(AND($Y945="Unexcused",OR($L945="",NOT(ISNUMBER($L945)),$L945&lt;&gt;0)),"UNEXCUSED ABSENCE MUST RECORD 0",IF(COUNTIF(nrES_RecID,$B945)&gt;1,"DUPLICATE RECORD",IF(N($K945)&gt;2,"ATTEMPT 3+ NOT ALLOWED - policy 300.5 permits one retest per exam; this row records nothing",IF(AND($K945=2,COUNTIFS(nrES_PID,$D945,nrES_Code,$F945,nrES_Att,1)=0),"ATTEMPT 2 WITHOUT ATTEMPT 1",IF(AND($K945=2,$L945=""),"RETEST ROW HAS NO SCORE",IF(AND($H945="Final",$L945&lt;&gt;"",IFERROR(INDEX(nrCKfinalExamElig,MATCH($D945,rngCadetPIDs,0)),"")="No"),"FINAL EXAM AFTER FAILED FINAL PT (500.1.H)",IF(AND($K945=2,ISNUMBER($L945),COUNTIFS(nrES_PID,$D945,nrES_Code,$F945,nrES_Att,1)&gt;0,SUMIFS(nrES_Raw,nrES_PID,$D945,nrES_Code,$F945,nrES_Att,1)&gt;=$J945),"RETEST AFTER A PASSING FIRST ATTEMPT","OK"))))))))))</f>
        <v/>
      </c>
      <c r="Y945" s="16" t="n"/>
    </row>
    <row r="946">
      <c r="B946" s="17">
        <f>IF($C946="","",$D946&amp;"-"&amp;$F946&amp;"-"&amp;$K946)</f>
        <v/>
      </c>
      <c r="C946" s="16" t="n"/>
      <c r="D946" s="17">
        <f>IF($C946="","",IFERROR(INDEX(rngCadetPIDs,MATCH($C946,rngCadetNames,0)),"?"))</f>
        <v/>
      </c>
      <c r="E946" s="17">
        <f>IF($D946="","",IFERROR(INDEX(nrCadetAgency,MATCH($D946,rngCadetPIDs,0)),""))</f>
        <v/>
      </c>
      <c r="F946" s="16" t="n"/>
      <c r="G946" s="17">
        <f>IF($F946="","",IFERROR(INDEX(rngEPname,MATCH($F946,rngEPcode,0)),"?"))</f>
        <v/>
      </c>
      <c r="H946" s="17">
        <f>IF($F946="","",IFERROR(INDEX(rngEPtype,MATCH($F946,rngEPcode,0)),"?"))</f>
        <v/>
      </c>
      <c r="I946" s="17">
        <f>IF($F946="","",IFERROR(INDEX(rngEPseq,MATCH($F946,rngEPcode,0)),""))</f>
        <v/>
      </c>
      <c r="J946" s="17">
        <f>IF($F946="","",IFERROR(INDEX(rngEPpass,MATCH($F946,rngEPcode,0)),cfgPassingScore))</f>
        <v/>
      </c>
      <c r="K946" s="16" t="n"/>
      <c r="L946" s="16" t="n"/>
      <c r="M946" s="17">
        <f>IF($C946="","",IF($L946="","",IF(NOT(ISNUMBER($L946)),$L946,IF(N($K946)&gt;2,"",IF($K946=1,IF(COUNTIFS(nrES_PID,$D946,nrES_Code,$F946,nrES_Att,2,nrES_Raw,"&gt;=0")&gt;0,"",$L946),IF($L946&gt;=$J946,MAX($J946,cfgRetakeRecordedCap),IF(COUNTIFS(nrES_PID,$D946,nrES_Code,$F946,nrES_Att,1)=0,$L946,SUMIFS(nrES_Raw,nrES_PID,$D946,nrES_Code,$F946,nrES_Att,1))))))))</f>
        <v/>
      </c>
      <c r="N946" s="17">
        <f>IF($C946="","",IF($L946="","",IF(NOT(ISNUMBER($L946)),"(not a score)",IF($L946&gt;=$J946,"Yes","No"))))</f>
        <v/>
      </c>
      <c r="O946" s="17">
        <f>IF($C946="","",IF($M946="","",IF(NOT(ISNUMBER($M946)),"(not a score)",IF($M946&gt;=$J946,"Yes","No"))))</f>
        <v/>
      </c>
      <c r="P946" s="17">
        <f>IF($C946="","",IF($K946="","",IF(N($K946)&gt;2,"No",IF(COUNTIFS(nrES_PID,$D946,nrES_Code,$F946,nrES_Att,"&gt;"&amp;$K946,nrES_Att,"&lt;=2",nrES_Raw,"&gt;=0")=0,"Yes","No"))))</f>
        <v/>
      </c>
      <c r="Q946" s="17">
        <f>IF($C946="","",IF($L946="","",IF(AND($K946=1,ISNUMBER($L946),$L946&lt;$J946,COUNTIFS(nrES_PID,$D946,nrES_Code,$F946,nrES_Att,2,nrES_Raw,"&gt;=0")=0),"Yes","No")))</f>
        <v/>
      </c>
      <c r="R946" s="17">
        <f>IF($C946="","",IF($L946="","",IF(AND(N($K946)&gt;=2,ISNUMBER($L946),$L946&lt;$J946),"Yes","No")))</f>
        <v/>
      </c>
      <c r="S946" s="18" t="n"/>
      <c r="T946" s="19">
        <f>IF(OR($C946="",$L946="",$K946&lt;&gt;1,NOT(ISNUMBER($L946)),$L946&gt;=$J946),"",IF($S946="","(enter date)",_xlfn.LET(_xlpm.dn,_xlfn.XLOOKUP($S946,nrCDdate,nrCDnum,"",1),IF(_xlpm.dn="","(after last class day)",_xlfn.LET(_xlpm.dd,_xlfn.XLOOKUP(_xlpm.dn+cfgRetestClassDays,nrCDnum,nrCDdate,""),_xlpm.ok,_xlfn.XLOOKUP(_xlpm.dn+cfgRetestClassDays,nrCDnum,nrCDinsession,"No"),IF(OR(_xlpm.dd="",_xlpm.ok&lt;&gt;"Yes"),"(after last class day)",_xlpm.dd))))))</f>
        <v/>
      </c>
      <c r="U946" s="17">
        <f>IF($C946="","",IF(AND($Y946="Excused",$L946="",N($K946)&lt;=1),"EXCUSED - 1st attempt pending",IF(OR($L946="",$K946&lt;&gt;1,NOT(ISNUMBER($L946)),$L946&gt;=$J946),"",IF(COUNTIFS(nrES_PID,$D946,nrES_Code,$F946,nrES_Att,2,nrES_Raw,"&gt;=0")&gt;0,IF(IFERROR(_xlfn.MINIFS(nrES_Date,nrES_PID,$D946,nrES_Code,$F946,nrES_Att,2,nrES_Raw,"&gt;=0",nrES_Date,"&gt;0"),0)=0,"RETEST UNDATED",IF(NOT(ISNUMBER($T946)),"RETEST DATE UNCHECKED",IF(_xlfn.MINIFS(nrES_Date,nrES_PID,$D946,nrES_Code,$F946,nrES_Att,2,nrES_Raw,"&gt;=0",nrES_Date,"&gt;0")&gt;$T946,"LATE RETEST "&amp;TEXT(_xlfn.MINIFS(nrES_Date,nrES_PID,$D946,nrES_Code,$F946,nrES_Att,2,nrES_Raw,"&gt;=0",nrES_Date,"&gt;0"),"mm/dd")&amp;" (due "&amp;TEXT($T946,"mm/dd")&amp;")","Retested"))),IF(NOT(ISNUMBER($T946)),"CHECK DATE",IF(TODAY()&gt;$T946,"OVERDUE","Due "&amp;TEXT($T946,"mm/dd")))))))</f>
        <v/>
      </c>
      <c r="V946" s="16" t="n"/>
      <c r="W946" s="16" t="n"/>
      <c r="X946" s="17">
        <f>IF($C946="","",IF(AND($L946&lt;&gt;"",NOT(ISNUMBER($L946))),"RAW SCORE NOT A NUMBER",IF(AND(ISNUMBER($L946),OR($L946&lt;0,$L946&gt;100)),"RAW SCORE OUT OF RANGE",IF(AND($Y946="Unexcused",OR($L946="",NOT(ISNUMBER($L946)),$L946&lt;&gt;0)),"UNEXCUSED ABSENCE MUST RECORD 0",IF(COUNTIF(nrES_RecID,$B946)&gt;1,"DUPLICATE RECORD",IF(N($K946)&gt;2,"ATTEMPT 3+ NOT ALLOWED - policy 300.5 permits one retest per exam; this row records nothing",IF(AND($K946=2,COUNTIFS(nrES_PID,$D946,nrES_Code,$F946,nrES_Att,1)=0),"ATTEMPT 2 WITHOUT ATTEMPT 1",IF(AND($K946=2,$L946=""),"RETEST ROW HAS NO SCORE",IF(AND($H946="Final",$L946&lt;&gt;"",IFERROR(INDEX(nrCKfinalExamElig,MATCH($D946,rngCadetPIDs,0)),"")="No"),"FINAL EXAM AFTER FAILED FINAL PT (500.1.H)",IF(AND($K946=2,ISNUMBER($L946),COUNTIFS(nrES_PID,$D946,nrES_Code,$F946,nrES_Att,1)&gt;0,SUMIFS(nrES_Raw,nrES_PID,$D946,nrES_Code,$F946,nrES_Att,1)&gt;=$J946),"RETEST AFTER A PASSING FIRST ATTEMPT","OK"))))))))))</f>
        <v/>
      </c>
      <c r="Y946" s="16" t="n"/>
    </row>
    <row r="947">
      <c r="B947" s="17">
        <f>IF($C947="","",$D947&amp;"-"&amp;$F947&amp;"-"&amp;$K947)</f>
        <v/>
      </c>
      <c r="C947" s="16" t="n"/>
      <c r="D947" s="17">
        <f>IF($C947="","",IFERROR(INDEX(rngCadetPIDs,MATCH($C947,rngCadetNames,0)),"?"))</f>
        <v/>
      </c>
      <c r="E947" s="17">
        <f>IF($D947="","",IFERROR(INDEX(nrCadetAgency,MATCH($D947,rngCadetPIDs,0)),""))</f>
        <v/>
      </c>
      <c r="F947" s="16" t="n"/>
      <c r="G947" s="17">
        <f>IF($F947="","",IFERROR(INDEX(rngEPname,MATCH($F947,rngEPcode,0)),"?"))</f>
        <v/>
      </c>
      <c r="H947" s="17">
        <f>IF($F947="","",IFERROR(INDEX(rngEPtype,MATCH($F947,rngEPcode,0)),"?"))</f>
        <v/>
      </c>
      <c r="I947" s="17">
        <f>IF($F947="","",IFERROR(INDEX(rngEPseq,MATCH($F947,rngEPcode,0)),""))</f>
        <v/>
      </c>
      <c r="J947" s="17">
        <f>IF($F947="","",IFERROR(INDEX(rngEPpass,MATCH($F947,rngEPcode,0)),cfgPassingScore))</f>
        <v/>
      </c>
      <c r="K947" s="16" t="n"/>
      <c r="L947" s="16" t="n"/>
      <c r="M947" s="17">
        <f>IF($C947="","",IF($L947="","",IF(NOT(ISNUMBER($L947)),$L947,IF(N($K947)&gt;2,"",IF($K947=1,IF(COUNTIFS(nrES_PID,$D947,nrES_Code,$F947,nrES_Att,2,nrES_Raw,"&gt;=0")&gt;0,"",$L947),IF($L947&gt;=$J947,MAX($J947,cfgRetakeRecordedCap),IF(COUNTIFS(nrES_PID,$D947,nrES_Code,$F947,nrES_Att,1)=0,$L947,SUMIFS(nrES_Raw,nrES_PID,$D947,nrES_Code,$F947,nrES_Att,1))))))))</f>
        <v/>
      </c>
      <c r="N947" s="17">
        <f>IF($C947="","",IF($L947="","",IF(NOT(ISNUMBER($L947)),"(not a score)",IF($L947&gt;=$J947,"Yes","No"))))</f>
        <v/>
      </c>
      <c r="O947" s="17">
        <f>IF($C947="","",IF($M947="","",IF(NOT(ISNUMBER($M947)),"(not a score)",IF($M947&gt;=$J947,"Yes","No"))))</f>
        <v/>
      </c>
      <c r="P947" s="17">
        <f>IF($C947="","",IF($K947="","",IF(N($K947)&gt;2,"No",IF(COUNTIFS(nrES_PID,$D947,nrES_Code,$F947,nrES_Att,"&gt;"&amp;$K947,nrES_Att,"&lt;=2",nrES_Raw,"&gt;=0")=0,"Yes","No"))))</f>
        <v/>
      </c>
      <c r="Q947" s="17">
        <f>IF($C947="","",IF($L947="","",IF(AND($K947=1,ISNUMBER($L947),$L947&lt;$J947,COUNTIFS(nrES_PID,$D947,nrES_Code,$F947,nrES_Att,2,nrES_Raw,"&gt;=0")=0),"Yes","No")))</f>
        <v/>
      </c>
      <c r="R947" s="17">
        <f>IF($C947="","",IF($L947="","",IF(AND(N($K947)&gt;=2,ISNUMBER($L947),$L947&lt;$J947),"Yes","No")))</f>
        <v/>
      </c>
      <c r="S947" s="18" t="n"/>
      <c r="T947" s="19">
        <f>IF(OR($C947="",$L947="",$K947&lt;&gt;1,NOT(ISNUMBER($L947)),$L947&gt;=$J947),"",IF($S947="","(enter date)",_xlfn.LET(_xlpm.dn,_xlfn.XLOOKUP($S947,nrCDdate,nrCDnum,"",1),IF(_xlpm.dn="","(after last class day)",_xlfn.LET(_xlpm.dd,_xlfn.XLOOKUP(_xlpm.dn+cfgRetestClassDays,nrCDnum,nrCDdate,""),_xlpm.ok,_xlfn.XLOOKUP(_xlpm.dn+cfgRetestClassDays,nrCDnum,nrCDinsession,"No"),IF(OR(_xlpm.dd="",_xlpm.ok&lt;&gt;"Yes"),"(after last class day)",_xlpm.dd))))))</f>
        <v/>
      </c>
      <c r="U947" s="17">
        <f>IF($C947="","",IF(AND($Y947="Excused",$L947="",N($K947)&lt;=1),"EXCUSED - 1st attempt pending",IF(OR($L947="",$K947&lt;&gt;1,NOT(ISNUMBER($L947)),$L947&gt;=$J947),"",IF(COUNTIFS(nrES_PID,$D947,nrES_Code,$F947,nrES_Att,2,nrES_Raw,"&gt;=0")&gt;0,IF(IFERROR(_xlfn.MINIFS(nrES_Date,nrES_PID,$D947,nrES_Code,$F947,nrES_Att,2,nrES_Raw,"&gt;=0",nrES_Date,"&gt;0"),0)=0,"RETEST UNDATED",IF(NOT(ISNUMBER($T947)),"RETEST DATE UNCHECKED",IF(_xlfn.MINIFS(nrES_Date,nrES_PID,$D947,nrES_Code,$F947,nrES_Att,2,nrES_Raw,"&gt;=0",nrES_Date,"&gt;0")&gt;$T947,"LATE RETEST "&amp;TEXT(_xlfn.MINIFS(nrES_Date,nrES_PID,$D947,nrES_Code,$F947,nrES_Att,2,nrES_Raw,"&gt;=0",nrES_Date,"&gt;0"),"mm/dd")&amp;" (due "&amp;TEXT($T947,"mm/dd")&amp;")","Retested"))),IF(NOT(ISNUMBER($T947)),"CHECK DATE",IF(TODAY()&gt;$T947,"OVERDUE","Due "&amp;TEXT($T947,"mm/dd")))))))</f>
        <v/>
      </c>
      <c r="V947" s="16" t="n"/>
      <c r="W947" s="16" t="n"/>
      <c r="X947" s="17">
        <f>IF($C947="","",IF(AND($L947&lt;&gt;"",NOT(ISNUMBER($L947))),"RAW SCORE NOT A NUMBER",IF(AND(ISNUMBER($L947),OR($L947&lt;0,$L947&gt;100)),"RAW SCORE OUT OF RANGE",IF(AND($Y947="Unexcused",OR($L947="",NOT(ISNUMBER($L947)),$L947&lt;&gt;0)),"UNEXCUSED ABSENCE MUST RECORD 0",IF(COUNTIF(nrES_RecID,$B947)&gt;1,"DUPLICATE RECORD",IF(N($K947)&gt;2,"ATTEMPT 3+ NOT ALLOWED - policy 300.5 permits one retest per exam; this row records nothing",IF(AND($K947=2,COUNTIFS(nrES_PID,$D947,nrES_Code,$F947,nrES_Att,1)=0),"ATTEMPT 2 WITHOUT ATTEMPT 1",IF(AND($K947=2,$L947=""),"RETEST ROW HAS NO SCORE",IF(AND($H947="Final",$L947&lt;&gt;"",IFERROR(INDEX(nrCKfinalExamElig,MATCH($D947,rngCadetPIDs,0)),"")="No"),"FINAL EXAM AFTER FAILED FINAL PT (500.1.H)",IF(AND($K947=2,ISNUMBER($L947),COUNTIFS(nrES_PID,$D947,nrES_Code,$F947,nrES_Att,1)&gt;0,SUMIFS(nrES_Raw,nrES_PID,$D947,nrES_Code,$F947,nrES_Att,1)&gt;=$J947),"RETEST AFTER A PASSING FIRST ATTEMPT","OK"))))))))))</f>
        <v/>
      </c>
      <c r="Y947" s="16" t="n"/>
    </row>
    <row r="948">
      <c r="B948" s="17">
        <f>IF($C948="","",$D948&amp;"-"&amp;$F948&amp;"-"&amp;$K948)</f>
        <v/>
      </c>
      <c r="C948" s="16" t="n"/>
      <c r="D948" s="17">
        <f>IF($C948="","",IFERROR(INDEX(rngCadetPIDs,MATCH($C948,rngCadetNames,0)),"?"))</f>
        <v/>
      </c>
      <c r="E948" s="17">
        <f>IF($D948="","",IFERROR(INDEX(nrCadetAgency,MATCH($D948,rngCadetPIDs,0)),""))</f>
        <v/>
      </c>
      <c r="F948" s="16" t="n"/>
      <c r="G948" s="17">
        <f>IF($F948="","",IFERROR(INDEX(rngEPname,MATCH($F948,rngEPcode,0)),"?"))</f>
        <v/>
      </c>
      <c r="H948" s="17">
        <f>IF($F948="","",IFERROR(INDEX(rngEPtype,MATCH($F948,rngEPcode,0)),"?"))</f>
        <v/>
      </c>
      <c r="I948" s="17">
        <f>IF($F948="","",IFERROR(INDEX(rngEPseq,MATCH($F948,rngEPcode,0)),""))</f>
        <v/>
      </c>
      <c r="J948" s="17">
        <f>IF($F948="","",IFERROR(INDEX(rngEPpass,MATCH($F948,rngEPcode,0)),cfgPassingScore))</f>
        <v/>
      </c>
      <c r="K948" s="16" t="n"/>
      <c r="L948" s="16" t="n"/>
      <c r="M948" s="17">
        <f>IF($C948="","",IF($L948="","",IF(NOT(ISNUMBER($L948)),$L948,IF(N($K948)&gt;2,"",IF($K948=1,IF(COUNTIFS(nrES_PID,$D948,nrES_Code,$F948,nrES_Att,2,nrES_Raw,"&gt;=0")&gt;0,"",$L948),IF($L948&gt;=$J948,MAX($J948,cfgRetakeRecordedCap),IF(COUNTIFS(nrES_PID,$D948,nrES_Code,$F948,nrES_Att,1)=0,$L948,SUMIFS(nrES_Raw,nrES_PID,$D948,nrES_Code,$F948,nrES_Att,1))))))))</f>
        <v/>
      </c>
      <c r="N948" s="17">
        <f>IF($C948="","",IF($L948="","",IF(NOT(ISNUMBER($L948)),"(not a score)",IF($L948&gt;=$J948,"Yes","No"))))</f>
        <v/>
      </c>
      <c r="O948" s="17">
        <f>IF($C948="","",IF($M948="","",IF(NOT(ISNUMBER($M948)),"(not a score)",IF($M948&gt;=$J948,"Yes","No"))))</f>
        <v/>
      </c>
      <c r="P948" s="17">
        <f>IF($C948="","",IF($K948="","",IF(N($K948)&gt;2,"No",IF(COUNTIFS(nrES_PID,$D948,nrES_Code,$F948,nrES_Att,"&gt;"&amp;$K948,nrES_Att,"&lt;=2",nrES_Raw,"&gt;=0")=0,"Yes","No"))))</f>
        <v/>
      </c>
      <c r="Q948" s="17">
        <f>IF($C948="","",IF($L948="","",IF(AND($K948=1,ISNUMBER($L948),$L948&lt;$J948,COUNTIFS(nrES_PID,$D948,nrES_Code,$F948,nrES_Att,2,nrES_Raw,"&gt;=0")=0),"Yes","No")))</f>
        <v/>
      </c>
      <c r="R948" s="17">
        <f>IF($C948="","",IF($L948="","",IF(AND(N($K948)&gt;=2,ISNUMBER($L948),$L948&lt;$J948),"Yes","No")))</f>
        <v/>
      </c>
      <c r="S948" s="18" t="n"/>
      <c r="T948" s="19">
        <f>IF(OR($C948="",$L948="",$K948&lt;&gt;1,NOT(ISNUMBER($L948)),$L948&gt;=$J948),"",IF($S948="","(enter date)",_xlfn.LET(_xlpm.dn,_xlfn.XLOOKUP($S948,nrCDdate,nrCDnum,"",1),IF(_xlpm.dn="","(after last class day)",_xlfn.LET(_xlpm.dd,_xlfn.XLOOKUP(_xlpm.dn+cfgRetestClassDays,nrCDnum,nrCDdate,""),_xlpm.ok,_xlfn.XLOOKUP(_xlpm.dn+cfgRetestClassDays,nrCDnum,nrCDinsession,"No"),IF(OR(_xlpm.dd="",_xlpm.ok&lt;&gt;"Yes"),"(after last class day)",_xlpm.dd))))))</f>
        <v/>
      </c>
      <c r="U948" s="17">
        <f>IF($C948="","",IF(AND($Y948="Excused",$L948="",N($K948)&lt;=1),"EXCUSED - 1st attempt pending",IF(OR($L948="",$K948&lt;&gt;1,NOT(ISNUMBER($L948)),$L948&gt;=$J948),"",IF(COUNTIFS(nrES_PID,$D948,nrES_Code,$F948,nrES_Att,2,nrES_Raw,"&gt;=0")&gt;0,IF(IFERROR(_xlfn.MINIFS(nrES_Date,nrES_PID,$D948,nrES_Code,$F948,nrES_Att,2,nrES_Raw,"&gt;=0",nrES_Date,"&gt;0"),0)=0,"RETEST UNDATED",IF(NOT(ISNUMBER($T948)),"RETEST DATE UNCHECKED",IF(_xlfn.MINIFS(nrES_Date,nrES_PID,$D948,nrES_Code,$F948,nrES_Att,2,nrES_Raw,"&gt;=0",nrES_Date,"&gt;0")&gt;$T948,"LATE RETEST "&amp;TEXT(_xlfn.MINIFS(nrES_Date,nrES_PID,$D948,nrES_Code,$F948,nrES_Att,2,nrES_Raw,"&gt;=0",nrES_Date,"&gt;0"),"mm/dd")&amp;" (due "&amp;TEXT($T948,"mm/dd")&amp;")","Retested"))),IF(NOT(ISNUMBER($T948)),"CHECK DATE",IF(TODAY()&gt;$T948,"OVERDUE","Due "&amp;TEXT($T948,"mm/dd")))))))</f>
        <v/>
      </c>
      <c r="V948" s="16" t="n"/>
      <c r="W948" s="16" t="n"/>
      <c r="X948" s="17">
        <f>IF($C948="","",IF(AND($L948&lt;&gt;"",NOT(ISNUMBER($L948))),"RAW SCORE NOT A NUMBER",IF(AND(ISNUMBER($L948),OR($L948&lt;0,$L948&gt;100)),"RAW SCORE OUT OF RANGE",IF(AND($Y948="Unexcused",OR($L948="",NOT(ISNUMBER($L948)),$L948&lt;&gt;0)),"UNEXCUSED ABSENCE MUST RECORD 0",IF(COUNTIF(nrES_RecID,$B948)&gt;1,"DUPLICATE RECORD",IF(N($K948)&gt;2,"ATTEMPT 3+ NOT ALLOWED - policy 300.5 permits one retest per exam; this row records nothing",IF(AND($K948=2,COUNTIFS(nrES_PID,$D948,nrES_Code,$F948,nrES_Att,1)=0),"ATTEMPT 2 WITHOUT ATTEMPT 1",IF(AND($K948=2,$L948=""),"RETEST ROW HAS NO SCORE",IF(AND($H948="Final",$L948&lt;&gt;"",IFERROR(INDEX(nrCKfinalExamElig,MATCH($D948,rngCadetPIDs,0)),"")="No"),"FINAL EXAM AFTER FAILED FINAL PT (500.1.H)",IF(AND($K948=2,ISNUMBER($L948),COUNTIFS(nrES_PID,$D948,nrES_Code,$F948,nrES_Att,1)&gt;0,SUMIFS(nrES_Raw,nrES_PID,$D948,nrES_Code,$F948,nrES_Att,1)&gt;=$J948),"RETEST AFTER A PASSING FIRST ATTEMPT","OK"))))))))))</f>
        <v/>
      </c>
      <c r="Y948" s="16" t="n"/>
    </row>
    <row r="949">
      <c r="B949" s="17">
        <f>IF($C949="","",$D949&amp;"-"&amp;$F949&amp;"-"&amp;$K949)</f>
        <v/>
      </c>
      <c r="C949" s="16" t="n"/>
      <c r="D949" s="17">
        <f>IF($C949="","",IFERROR(INDEX(rngCadetPIDs,MATCH($C949,rngCadetNames,0)),"?"))</f>
        <v/>
      </c>
      <c r="E949" s="17">
        <f>IF($D949="","",IFERROR(INDEX(nrCadetAgency,MATCH($D949,rngCadetPIDs,0)),""))</f>
        <v/>
      </c>
      <c r="F949" s="16" t="n"/>
      <c r="G949" s="17">
        <f>IF($F949="","",IFERROR(INDEX(rngEPname,MATCH($F949,rngEPcode,0)),"?"))</f>
        <v/>
      </c>
      <c r="H949" s="17">
        <f>IF($F949="","",IFERROR(INDEX(rngEPtype,MATCH($F949,rngEPcode,0)),"?"))</f>
        <v/>
      </c>
      <c r="I949" s="17">
        <f>IF($F949="","",IFERROR(INDEX(rngEPseq,MATCH($F949,rngEPcode,0)),""))</f>
        <v/>
      </c>
      <c r="J949" s="17">
        <f>IF($F949="","",IFERROR(INDEX(rngEPpass,MATCH($F949,rngEPcode,0)),cfgPassingScore))</f>
        <v/>
      </c>
      <c r="K949" s="16" t="n"/>
      <c r="L949" s="16" t="n"/>
      <c r="M949" s="17">
        <f>IF($C949="","",IF($L949="","",IF(NOT(ISNUMBER($L949)),$L949,IF(N($K949)&gt;2,"",IF($K949=1,IF(COUNTIFS(nrES_PID,$D949,nrES_Code,$F949,nrES_Att,2,nrES_Raw,"&gt;=0")&gt;0,"",$L949),IF($L949&gt;=$J949,MAX($J949,cfgRetakeRecordedCap),IF(COUNTIFS(nrES_PID,$D949,nrES_Code,$F949,nrES_Att,1)=0,$L949,SUMIFS(nrES_Raw,nrES_PID,$D949,nrES_Code,$F949,nrES_Att,1))))))))</f>
        <v/>
      </c>
      <c r="N949" s="17">
        <f>IF($C949="","",IF($L949="","",IF(NOT(ISNUMBER($L949)),"(not a score)",IF($L949&gt;=$J949,"Yes","No"))))</f>
        <v/>
      </c>
      <c r="O949" s="17">
        <f>IF($C949="","",IF($M949="","",IF(NOT(ISNUMBER($M949)),"(not a score)",IF($M949&gt;=$J949,"Yes","No"))))</f>
        <v/>
      </c>
      <c r="P949" s="17">
        <f>IF($C949="","",IF($K949="","",IF(N($K949)&gt;2,"No",IF(COUNTIFS(nrES_PID,$D949,nrES_Code,$F949,nrES_Att,"&gt;"&amp;$K949,nrES_Att,"&lt;=2",nrES_Raw,"&gt;=0")=0,"Yes","No"))))</f>
        <v/>
      </c>
      <c r="Q949" s="17">
        <f>IF($C949="","",IF($L949="","",IF(AND($K949=1,ISNUMBER($L949),$L949&lt;$J949,COUNTIFS(nrES_PID,$D949,nrES_Code,$F949,nrES_Att,2,nrES_Raw,"&gt;=0")=0),"Yes","No")))</f>
        <v/>
      </c>
      <c r="R949" s="17">
        <f>IF($C949="","",IF($L949="","",IF(AND(N($K949)&gt;=2,ISNUMBER($L949),$L949&lt;$J949),"Yes","No")))</f>
        <v/>
      </c>
      <c r="S949" s="18" t="n"/>
      <c r="T949" s="19">
        <f>IF(OR($C949="",$L949="",$K949&lt;&gt;1,NOT(ISNUMBER($L949)),$L949&gt;=$J949),"",IF($S949="","(enter date)",_xlfn.LET(_xlpm.dn,_xlfn.XLOOKUP($S949,nrCDdate,nrCDnum,"",1),IF(_xlpm.dn="","(after last class day)",_xlfn.LET(_xlpm.dd,_xlfn.XLOOKUP(_xlpm.dn+cfgRetestClassDays,nrCDnum,nrCDdate,""),_xlpm.ok,_xlfn.XLOOKUP(_xlpm.dn+cfgRetestClassDays,nrCDnum,nrCDinsession,"No"),IF(OR(_xlpm.dd="",_xlpm.ok&lt;&gt;"Yes"),"(after last class day)",_xlpm.dd))))))</f>
        <v/>
      </c>
      <c r="U949" s="17">
        <f>IF($C949="","",IF(AND($Y949="Excused",$L949="",N($K949)&lt;=1),"EXCUSED - 1st attempt pending",IF(OR($L949="",$K949&lt;&gt;1,NOT(ISNUMBER($L949)),$L949&gt;=$J949),"",IF(COUNTIFS(nrES_PID,$D949,nrES_Code,$F949,nrES_Att,2,nrES_Raw,"&gt;=0")&gt;0,IF(IFERROR(_xlfn.MINIFS(nrES_Date,nrES_PID,$D949,nrES_Code,$F949,nrES_Att,2,nrES_Raw,"&gt;=0",nrES_Date,"&gt;0"),0)=0,"RETEST UNDATED",IF(NOT(ISNUMBER($T949)),"RETEST DATE UNCHECKED",IF(_xlfn.MINIFS(nrES_Date,nrES_PID,$D949,nrES_Code,$F949,nrES_Att,2,nrES_Raw,"&gt;=0",nrES_Date,"&gt;0")&gt;$T949,"LATE RETEST "&amp;TEXT(_xlfn.MINIFS(nrES_Date,nrES_PID,$D949,nrES_Code,$F949,nrES_Att,2,nrES_Raw,"&gt;=0",nrES_Date,"&gt;0"),"mm/dd")&amp;" (due "&amp;TEXT($T949,"mm/dd")&amp;")","Retested"))),IF(NOT(ISNUMBER($T949)),"CHECK DATE",IF(TODAY()&gt;$T949,"OVERDUE","Due "&amp;TEXT($T949,"mm/dd")))))))</f>
        <v/>
      </c>
      <c r="V949" s="16" t="n"/>
      <c r="W949" s="16" t="n"/>
      <c r="X949" s="17">
        <f>IF($C949="","",IF(AND($L949&lt;&gt;"",NOT(ISNUMBER($L949))),"RAW SCORE NOT A NUMBER",IF(AND(ISNUMBER($L949),OR($L949&lt;0,$L949&gt;100)),"RAW SCORE OUT OF RANGE",IF(AND($Y949="Unexcused",OR($L949="",NOT(ISNUMBER($L949)),$L949&lt;&gt;0)),"UNEXCUSED ABSENCE MUST RECORD 0",IF(COUNTIF(nrES_RecID,$B949)&gt;1,"DUPLICATE RECORD",IF(N($K949)&gt;2,"ATTEMPT 3+ NOT ALLOWED - policy 300.5 permits one retest per exam; this row records nothing",IF(AND($K949=2,COUNTIFS(nrES_PID,$D949,nrES_Code,$F949,nrES_Att,1)=0),"ATTEMPT 2 WITHOUT ATTEMPT 1",IF(AND($K949=2,$L949=""),"RETEST ROW HAS NO SCORE",IF(AND($H949="Final",$L949&lt;&gt;"",IFERROR(INDEX(nrCKfinalExamElig,MATCH($D949,rngCadetPIDs,0)),"")="No"),"FINAL EXAM AFTER FAILED FINAL PT (500.1.H)",IF(AND($K949=2,ISNUMBER($L949),COUNTIFS(nrES_PID,$D949,nrES_Code,$F949,nrES_Att,1)&gt;0,SUMIFS(nrES_Raw,nrES_PID,$D949,nrES_Code,$F949,nrES_Att,1)&gt;=$J949),"RETEST AFTER A PASSING FIRST ATTEMPT","OK"))))))))))</f>
        <v/>
      </c>
      <c r="Y949" s="16" t="n"/>
    </row>
    <row r="950">
      <c r="B950" s="17">
        <f>IF($C950="","",$D950&amp;"-"&amp;$F950&amp;"-"&amp;$K950)</f>
        <v/>
      </c>
      <c r="C950" s="16" t="n"/>
      <c r="D950" s="17">
        <f>IF($C950="","",IFERROR(INDEX(rngCadetPIDs,MATCH($C950,rngCadetNames,0)),"?"))</f>
        <v/>
      </c>
      <c r="E950" s="17">
        <f>IF($D950="","",IFERROR(INDEX(nrCadetAgency,MATCH($D950,rngCadetPIDs,0)),""))</f>
        <v/>
      </c>
      <c r="F950" s="16" t="n"/>
      <c r="G950" s="17">
        <f>IF($F950="","",IFERROR(INDEX(rngEPname,MATCH($F950,rngEPcode,0)),"?"))</f>
        <v/>
      </c>
      <c r="H950" s="17">
        <f>IF($F950="","",IFERROR(INDEX(rngEPtype,MATCH($F950,rngEPcode,0)),"?"))</f>
        <v/>
      </c>
      <c r="I950" s="17">
        <f>IF($F950="","",IFERROR(INDEX(rngEPseq,MATCH($F950,rngEPcode,0)),""))</f>
        <v/>
      </c>
      <c r="J950" s="17">
        <f>IF($F950="","",IFERROR(INDEX(rngEPpass,MATCH($F950,rngEPcode,0)),cfgPassingScore))</f>
        <v/>
      </c>
      <c r="K950" s="16" t="n"/>
      <c r="L950" s="16" t="n"/>
      <c r="M950" s="17">
        <f>IF($C950="","",IF($L950="","",IF(NOT(ISNUMBER($L950)),$L950,IF(N($K950)&gt;2,"",IF($K950=1,IF(COUNTIFS(nrES_PID,$D950,nrES_Code,$F950,nrES_Att,2,nrES_Raw,"&gt;=0")&gt;0,"",$L950),IF($L950&gt;=$J950,MAX($J950,cfgRetakeRecordedCap),IF(COUNTIFS(nrES_PID,$D950,nrES_Code,$F950,nrES_Att,1)=0,$L950,SUMIFS(nrES_Raw,nrES_PID,$D950,nrES_Code,$F950,nrES_Att,1))))))))</f>
        <v/>
      </c>
      <c r="N950" s="17">
        <f>IF($C950="","",IF($L950="","",IF(NOT(ISNUMBER($L950)),"(not a score)",IF($L950&gt;=$J950,"Yes","No"))))</f>
        <v/>
      </c>
      <c r="O950" s="17">
        <f>IF($C950="","",IF($M950="","",IF(NOT(ISNUMBER($M950)),"(not a score)",IF($M950&gt;=$J950,"Yes","No"))))</f>
        <v/>
      </c>
      <c r="P950" s="17">
        <f>IF($C950="","",IF($K950="","",IF(N($K950)&gt;2,"No",IF(COUNTIFS(nrES_PID,$D950,nrES_Code,$F950,nrES_Att,"&gt;"&amp;$K950,nrES_Att,"&lt;=2",nrES_Raw,"&gt;=0")=0,"Yes","No"))))</f>
        <v/>
      </c>
      <c r="Q950" s="17">
        <f>IF($C950="","",IF($L950="","",IF(AND($K950=1,ISNUMBER($L950),$L950&lt;$J950,COUNTIFS(nrES_PID,$D950,nrES_Code,$F950,nrES_Att,2,nrES_Raw,"&gt;=0")=0),"Yes","No")))</f>
        <v/>
      </c>
      <c r="R950" s="17">
        <f>IF($C950="","",IF($L950="","",IF(AND(N($K950)&gt;=2,ISNUMBER($L950),$L950&lt;$J950),"Yes","No")))</f>
        <v/>
      </c>
      <c r="S950" s="18" t="n"/>
      <c r="T950" s="19">
        <f>IF(OR($C950="",$L950="",$K950&lt;&gt;1,NOT(ISNUMBER($L950)),$L950&gt;=$J950),"",IF($S950="","(enter date)",_xlfn.LET(_xlpm.dn,_xlfn.XLOOKUP($S950,nrCDdate,nrCDnum,"",1),IF(_xlpm.dn="","(after last class day)",_xlfn.LET(_xlpm.dd,_xlfn.XLOOKUP(_xlpm.dn+cfgRetestClassDays,nrCDnum,nrCDdate,""),_xlpm.ok,_xlfn.XLOOKUP(_xlpm.dn+cfgRetestClassDays,nrCDnum,nrCDinsession,"No"),IF(OR(_xlpm.dd="",_xlpm.ok&lt;&gt;"Yes"),"(after last class day)",_xlpm.dd))))))</f>
        <v/>
      </c>
      <c r="U950" s="17">
        <f>IF($C950="","",IF(AND($Y950="Excused",$L950="",N($K950)&lt;=1),"EXCUSED - 1st attempt pending",IF(OR($L950="",$K950&lt;&gt;1,NOT(ISNUMBER($L950)),$L950&gt;=$J950),"",IF(COUNTIFS(nrES_PID,$D950,nrES_Code,$F950,nrES_Att,2,nrES_Raw,"&gt;=0")&gt;0,IF(IFERROR(_xlfn.MINIFS(nrES_Date,nrES_PID,$D950,nrES_Code,$F950,nrES_Att,2,nrES_Raw,"&gt;=0",nrES_Date,"&gt;0"),0)=0,"RETEST UNDATED",IF(NOT(ISNUMBER($T950)),"RETEST DATE UNCHECKED",IF(_xlfn.MINIFS(nrES_Date,nrES_PID,$D950,nrES_Code,$F950,nrES_Att,2,nrES_Raw,"&gt;=0",nrES_Date,"&gt;0")&gt;$T950,"LATE RETEST "&amp;TEXT(_xlfn.MINIFS(nrES_Date,nrES_PID,$D950,nrES_Code,$F950,nrES_Att,2,nrES_Raw,"&gt;=0",nrES_Date,"&gt;0"),"mm/dd")&amp;" (due "&amp;TEXT($T950,"mm/dd")&amp;")","Retested"))),IF(NOT(ISNUMBER($T950)),"CHECK DATE",IF(TODAY()&gt;$T950,"OVERDUE","Due "&amp;TEXT($T950,"mm/dd")))))))</f>
        <v/>
      </c>
      <c r="V950" s="16" t="n"/>
      <c r="W950" s="16" t="n"/>
      <c r="X950" s="17">
        <f>IF($C950="","",IF(AND($L950&lt;&gt;"",NOT(ISNUMBER($L950))),"RAW SCORE NOT A NUMBER",IF(AND(ISNUMBER($L950),OR($L950&lt;0,$L950&gt;100)),"RAW SCORE OUT OF RANGE",IF(AND($Y950="Unexcused",OR($L950="",NOT(ISNUMBER($L950)),$L950&lt;&gt;0)),"UNEXCUSED ABSENCE MUST RECORD 0",IF(COUNTIF(nrES_RecID,$B950)&gt;1,"DUPLICATE RECORD",IF(N($K950)&gt;2,"ATTEMPT 3+ NOT ALLOWED - policy 300.5 permits one retest per exam; this row records nothing",IF(AND($K950=2,COUNTIFS(nrES_PID,$D950,nrES_Code,$F950,nrES_Att,1)=0),"ATTEMPT 2 WITHOUT ATTEMPT 1",IF(AND($K950=2,$L950=""),"RETEST ROW HAS NO SCORE",IF(AND($H950="Final",$L950&lt;&gt;"",IFERROR(INDEX(nrCKfinalExamElig,MATCH($D950,rngCadetPIDs,0)),"")="No"),"FINAL EXAM AFTER FAILED FINAL PT (500.1.H)",IF(AND($K950=2,ISNUMBER($L950),COUNTIFS(nrES_PID,$D950,nrES_Code,$F950,nrES_Att,1)&gt;0,SUMIFS(nrES_Raw,nrES_PID,$D950,nrES_Code,$F950,nrES_Att,1)&gt;=$J950),"RETEST AFTER A PASSING FIRST ATTEMPT","OK"))))))))))</f>
        <v/>
      </c>
      <c r="Y950" s="16" t="n"/>
    </row>
    <row r="951">
      <c r="B951" s="17">
        <f>IF($C951="","",$D951&amp;"-"&amp;$F951&amp;"-"&amp;$K951)</f>
        <v/>
      </c>
      <c r="C951" s="16" t="n"/>
      <c r="D951" s="17">
        <f>IF($C951="","",IFERROR(INDEX(rngCadetPIDs,MATCH($C951,rngCadetNames,0)),"?"))</f>
        <v/>
      </c>
      <c r="E951" s="17">
        <f>IF($D951="","",IFERROR(INDEX(nrCadetAgency,MATCH($D951,rngCadetPIDs,0)),""))</f>
        <v/>
      </c>
      <c r="F951" s="16" t="n"/>
      <c r="G951" s="17">
        <f>IF($F951="","",IFERROR(INDEX(rngEPname,MATCH($F951,rngEPcode,0)),"?"))</f>
        <v/>
      </c>
      <c r="H951" s="17">
        <f>IF($F951="","",IFERROR(INDEX(rngEPtype,MATCH($F951,rngEPcode,0)),"?"))</f>
        <v/>
      </c>
      <c r="I951" s="17">
        <f>IF($F951="","",IFERROR(INDEX(rngEPseq,MATCH($F951,rngEPcode,0)),""))</f>
        <v/>
      </c>
      <c r="J951" s="17">
        <f>IF($F951="","",IFERROR(INDEX(rngEPpass,MATCH($F951,rngEPcode,0)),cfgPassingScore))</f>
        <v/>
      </c>
      <c r="K951" s="16" t="n"/>
      <c r="L951" s="16" t="n"/>
      <c r="M951" s="17">
        <f>IF($C951="","",IF($L951="","",IF(NOT(ISNUMBER($L951)),$L951,IF(N($K951)&gt;2,"",IF($K951=1,IF(COUNTIFS(nrES_PID,$D951,nrES_Code,$F951,nrES_Att,2,nrES_Raw,"&gt;=0")&gt;0,"",$L951),IF($L951&gt;=$J951,MAX($J951,cfgRetakeRecordedCap),IF(COUNTIFS(nrES_PID,$D951,nrES_Code,$F951,nrES_Att,1)=0,$L951,SUMIFS(nrES_Raw,nrES_PID,$D951,nrES_Code,$F951,nrES_Att,1))))))))</f>
        <v/>
      </c>
      <c r="N951" s="17">
        <f>IF($C951="","",IF($L951="","",IF(NOT(ISNUMBER($L951)),"(not a score)",IF($L951&gt;=$J951,"Yes","No"))))</f>
        <v/>
      </c>
      <c r="O951" s="17">
        <f>IF($C951="","",IF($M951="","",IF(NOT(ISNUMBER($M951)),"(not a score)",IF($M951&gt;=$J951,"Yes","No"))))</f>
        <v/>
      </c>
      <c r="P951" s="17">
        <f>IF($C951="","",IF($K951="","",IF(N($K951)&gt;2,"No",IF(COUNTIFS(nrES_PID,$D951,nrES_Code,$F951,nrES_Att,"&gt;"&amp;$K951,nrES_Att,"&lt;=2",nrES_Raw,"&gt;=0")=0,"Yes","No"))))</f>
        <v/>
      </c>
      <c r="Q951" s="17">
        <f>IF($C951="","",IF($L951="","",IF(AND($K951=1,ISNUMBER($L951),$L951&lt;$J951,COUNTIFS(nrES_PID,$D951,nrES_Code,$F951,nrES_Att,2,nrES_Raw,"&gt;=0")=0),"Yes","No")))</f>
        <v/>
      </c>
      <c r="R951" s="17">
        <f>IF($C951="","",IF($L951="","",IF(AND(N($K951)&gt;=2,ISNUMBER($L951),$L951&lt;$J951),"Yes","No")))</f>
        <v/>
      </c>
      <c r="S951" s="18" t="n"/>
      <c r="T951" s="19">
        <f>IF(OR($C951="",$L951="",$K951&lt;&gt;1,NOT(ISNUMBER($L951)),$L951&gt;=$J951),"",IF($S951="","(enter date)",_xlfn.LET(_xlpm.dn,_xlfn.XLOOKUP($S951,nrCDdate,nrCDnum,"",1),IF(_xlpm.dn="","(after last class day)",_xlfn.LET(_xlpm.dd,_xlfn.XLOOKUP(_xlpm.dn+cfgRetestClassDays,nrCDnum,nrCDdate,""),_xlpm.ok,_xlfn.XLOOKUP(_xlpm.dn+cfgRetestClassDays,nrCDnum,nrCDinsession,"No"),IF(OR(_xlpm.dd="",_xlpm.ok&lt;&gt;"Yes"),"(after last class day)",_xlpm.dd))))))</f>
        <v/>
      </c>
      <c r="U951" s="17">
        <f>IF($C951="","",IF(AND($Y951="Excused",$L951="",N($K951)&lt;=1),"EXCUSED - 1st attempt pending",IF(OR($L951="",$K951&lt;&gt;1,NOT(ISNUMBER($L951)),$L951&gt;=$J951),"",IF(COUNTIFS(nrES_PID,$D951,nrES_Code,$F951,nrES_Att,2,nrES_Raw,"&gt;=0")&gt;0,IF(IFERROR(_xlfn.MINIFS(nrES_Date,nrES_PID,$D951,nrES_Code,$F951,nrES_Att,2,nrES_Raw,"&gt;=0",nrES_Date,"&gt;0"),0)=0,"RETEST UNDATED",IF(NOT(ISNUMBER($T951)),"RETEST DATE UNCHECKED",IF(_xlfn.MINIFS(nrES_Date,nrES_PID,$D951,nrES_Code,$F951,nrES_Att,2,nrES_Raw,"&gt;=0",nrES_Date,"&gt;0")&gt;$T951,"LATE RETEST "&amp;TEXT(_xlfn.MINIFS(nrES_Date,nrES_PID,$D951,nrES_Code,$F951,nrES_Att,2,nrES_Raw,"&gt;=0",nrES_Date,"&gt;0"),"mm/dd")&amp;" (due "&amp;TEXT($T951,"mm/dd")&amp;")","Retested"))),IF(NOT(ISNUMBER($T951)),"CHECK DATE",IF(TODAY()&gt;$T951,"OVERDUE","Due "&amp;TEXT($T951,"mm/dd")))))))</f>
        <v/>
      </c>
      <c r="V951" s="16" t="n"/>
      <c r="W951" s="16" t="n"/>
      <c r="X951" s="17">
        <f>IF($C951="","",IF(AND($L951&lt;&gt;"",NOT(ISNUMBER($L951))),"RAW SCORE NOT A NUMBER",IF(AND(ISNUMBER($L951),OR($L951&lt;0,$L951&gt;100)),"RAW SCORE OUT OF RANGE",IF(AND($Y951="Unexcused",OR($L951="",NOT(ISNUMBER($L951)),$L951&lt;&gt;0)),"UNEXCUSED ABSENCE MUST RECORD 0",IF(COUNTIF(nrES_RecID,$B951)&gt;1,"DUPLICATE RECORD",IF(N($K951)&gt;2,"ATTEMPT 3+ NOT ALLOWED - policy 300.5 permits one retest per exam; this row records nothing",IF(AND($K951=2,COUNTIFS(nrES_PID,$D951,nrES_Code,$F951,nrES_Att,1)=0),"ATTEMPT 2 WITHOUT ATTEMPT 1",IF(AND($K951=2,$L951=""),"RETEST ROW HAS NO SCORE",IF(AND($H951="Final",$L951&lt;&gt;"",IFERROR(INDEX(nrCKfinalExamElig,MATCH($D951,rngCadetPIDs,0)),"")="No"),"FINAL EXAM AFTER FAILED FINAL PT (500.1.H)",IF(AND($K951=2,ISNUMBER($L951),COUNTIFS(nrES_PID,$D951,nrES_Code,$F951,nrES_Att,1)&gt;0,SUMIFS(nrES_Raw,nrES_PID,$D951,nrES_Code,$F951,nrES_Att,1)&gt;=$J951),"RETEST AFTER A PASSING FIRST ATTEMPT","OK"))))))))))</f>
        <v/>
      </c>
      <c r="Y951" s="16" t="n"/>
    </row>
    <row r="952">
      <c r="B952" s="17">
        <f>IF($C952="","",$D952&amp;"-"&amp;$F952&amp;"-"&amp;$K952)</f>
        <v/>
      </c>
      <c r="C952" s="16" t="n"/>
      <c r="D952" s="17">
        <f>IF($C952="","",IFERROR(INDEX(rngCadetPIDs,MATCH($C952,rngCadetNames,0)),"?"))</f>
        <v/>
      </c>
      <c r="E952" s="17">
        <f>IF($D952="","",IFERROR(INDEX(nrCadetAgency,MATCH($D952,rngCadetPIDs,0)),""))</f>
        <v/>
      </c>
      <c r="F952" s="16" t="n"/>
      <c r="G952" s="17">
        <f>IF($F952="","",IFERROR(INDEX(rngEPname,MATCH($F952,rngEPcode,0)),"?"))</f>
        <v/>
      </c>
      <c r="H952" s="17">
        <f>IF($F952="","",IFERROR(INDEX(rngEPtype,MATCH($F952,rngEPcode,0)),"?"))</f>
        <v/>
      </c>
      <c r="I952" s="17">
        <f>IF($F952="","",IFERROR(INDEX(rngEPseq,MATCH($F952,rngEPcode,0)),""))</f>
        <v/>
      </c>
      <c r="J952" s="17">
        <f>IF($F952="","",IFERROR(INDEX(rngEPpass,MATCH($F952,rngEPcode,0)),cfgPassingScore))</f>
        <v/>
      </c>
      <c r="K952" s="16" t="n"/>
      <c r="L952" s="16" t="n"/>
      <c r="M952" s="17">
        <f>IF($C952="","",IF($L952="","",IF(NOT(ISNUMBER($L952)),$L952,IF(N($K952)&gt;2,"",IF($K952=1,IF(COUNTIFS(nrES_PID,$D952,nrES_Code,$F952,nrES_Att,2,nrES_Raw,"&gt;=0")&gt;0,"",$L952),IF($L952&gt;=$J952,MAX($J952,cfgRetakeRecordedCap),IF(COUNTIFS(nrES_PID,$D952,nrES_Code,$F952,nrES_Att,1)=0,$L952,SUMIFS(nrES_Raw,nrES_PID,$D952,nrES_Code,$F952,nrES_Att,1))))))))</f>
        <v/>
      </c>
      <c r="N952" s="17">
        <f>IF($C952="","",IF($L952="","",IF(NOT(ISNUMBER($L952)),"(not a score)",IF($L952&gt;=$J952,"Yes","No"))))</f>
        <v/>
      </c>
      <c r="O952" s="17">
        <f>IF($C952="","",IF($M952="","",IF(NOT(ISNUMBER($M952)),"(not a score)",IF($M952&gt;=$J952,"Yes","No"))))</f>
        <v/>
      </c>
      <c r="P952" s="17">
        <f>IF($C952="","",IF($K952="","",IF(N($K952)&gt;2,"No",IF(COUNTIFS(nrES_PID,$D952,nrES_Code,$F952,nrES_Att,"&gt;"&amp;$K952,nrES_Att,"&lt;=2",nrES_Raw,"&gt;=0")=0,"Yes","No"))))</f>
        <v/>
      </c>
      <c r="Q952" s="17">
        <f>IF($C952="","",IF($L952="","",IF(AND($K952=1,ISNUMBER($L952),$L952&lt;$J952,COUNTIFS(nrES_PID,$D952,nrES_Code,$F952,nrES_Att,2,nrES_Raw,"&gt;=0")=0),"Yes","No")))</f>
        <v/>
      </c>
      <c r="R952" s="17">
        <f>IF($C952="","",IF($L952="","",IF(AND(N($K952)&gt;=2,ISNUMBER($L952),$L952&lt;$J952),"Yes","No")))</f>
        <v/>
      </c>
      <c r="S952" s="18" t="n"/>
      <c r="T952" s="19">
        <f>IF(OR($C952="",$L952="",$K952&lt;&gt;1,NOT(ISNUMBER($L952)),$L952&gt;=$J952),"",IF($S952="","(enter date)",_xlfn.LET(_xlpm.dn,_xlfn.XLOOKUP($S952,nrCDdate,nrCDnum,"",1),IF(_xlpm.dn="","(after last class day)",_xlfn.LET(_xlpm.dd,_xlfn.XLOOKUP(_xlpm.dn+cfgRetestClassDays,nrCDnum,nrCDdate,""),_xlpm.ok,_xlfn.XLOOKUP(_xlpm.dn+cfgRetestClassDays,nrCDnum,nrCDinsession,"No"),IF(OR(_xlpm.dd="",_xlpm.ok&lt;&gt;"Yes"),"(after last class day)",_xlpm.dd))))))</f>
        <v/>
      </c>
      <c r="U952" s="17">
        <f>IF($C952="","",IF(AND($Y952="Excused",$L952="",N($K952)&lt;=1),"EXCUSED - 1st attempt pending",IF(OR($L952="",$K952&lt;&gt;1,NOT(ISNUMBER($L952)),$L952&gt;=$J952),"",IF(COUNTIFS(nrES_PID,$D952,nrES_Code,$F952,nrES_Att,2,nrES_Raw,"&gt;=0")&gt;0,IF(IFERROR(_xlfn.MINIFS(nrES_Date,nrES_PID,$D952,nrES_Code,$F952,nrES_Att,2,nrES_Raw,"&gt;=0",nrES_Date,"&gt;0"),0)=0,"RETEST UNDATED",IF(NOT(ISNUMBER($T952)),"RETEST DATE UNCHECKED",IF(_xlfn.MINIFS(nrES_Date,nrES_PID,$D952,nrES_Code,$F952,nrES_Att,2,nrES_Raw,"&gt;=0",nrES_Date,"&gt;0")&gt;$T952,"LATE RETEST "&amp;TEXT(_xlfn.MINIFS(nrES_Date,nrES_PID,$D952,nrES_Code,$F952,nrES_Att,2,nrES_Raw,"&gt;=0",nrES_Date,"&gt;0"),"mm/dd")&amp;" (due "&amp;TEXT($T952,"mm/dd")&amp;")","Retested"))),IF(NOT(ISNUMBER($T952)),"CHECK DATE",IF(TODAY()&gt;$T952,"OVERDUE","Due "&amp;TEXT($T952,"mm/dd")))))))</f>
        <v/>
      </c>
      <c r="V952" s="16" t="n"/>
      <c r="W952" s="16" t="n"/>
      <c r="X952" s="17">
        <f>IF($C952="","",IF(AND($L952&lt;&gt;"",NOT(ISNUMBER($L952))),"RAW SCORE NOT A NUMBER",IF(AND(ISNUMBER($L952),OR($L952&lt;0,$L952&gt;100)),"RAW SCORE OUT OF RANGE",IF(AND($Y952="Unexcused",OR($L952="",NOT(ISNUMBER($L952)),$L952&lt;&gt;0)),"UNEXCUSED ABSENCE MUST RECORD 0",IF(COUNTIF(nrES_RecID,$B952)&gt;1,"DUPLICATE RECORD",IF(N($K952)&gt;2,"ATTEMPT 3+ NOT ALLOWED - policy 300.5 permits one retest per exam; this row records nothing",IF(AND($K952=2,COUNTIFS(nrES_PID,$D952,nrES_Code,$F952,nrES_Att,1)=0),"ATTEMPT 2 WITHOUT ATTEMPT 1",IF(AND($K952=2,$L952=""),"RETEST ROW HAS NO SCORE",IF(AND($H952="Final",$L952&lt;&gt;"",IFERROR(INDEX(nrCKfinalExamElig,MATCH($D952,rngCadetPIDs,0)),"")="No"),"FINAL EXAM AFTER FAILED FINAL PT (500.1.H)",IF(AND($K952=2,ISNUMBER($L952),COUNTIFS(nrES_PID,$D952,nrES_Code,$F952,nrES_Att,1)&gt;0,SUMIFS(nrES_Raw,nrES_PID,$D952,nrES_Code,$F952,nrES_Att,1)&gt;=$J952),"RETEST AFTER A PASSING FIRST ATTEMPT","OK"))))))))))</f>
        <v/>
      </c>
      <c r="Y952" s="16" t="n"/>
    </row>
    <row r="953">
      <c r="B953" s="17">
        <f>IF($C953="","",$D953&amp;"-"&amp;$F953&amp;"-"&amp;$K953)</f>
        <v/>
      </c>
      <c r="C953" s="16" t="n"/>
      <c r="D953" s="17">
        <f>IF($C953="","",IFERROR(INDEX(rngCadetPIDs,MATCH($C953,rngCadetNames,0)),"?"))</f>
        <v/>
      </c>
      <c r="E953" s="17">
        <f>IF($D953="","",IFERROR(INDEX(nrCadetAgency,MATCH($D953,rngCadetPIDs,0)),""))</f>
        <v/>
      </c>
      <c r="F953" s="16" t="n"/>
      <c r="G953" s="17">
        <f>IF($F953="","",IFERROR(INDEX(rngEPname,MATCH($F953,rngEPcode,0)),"?"))</f>
        <v/>
      </c>
      <c r="H953" s="17">
        <f>IF($F953="","",IFERROR(INDEX(rngEPtype,MATCH($F953,rngEPcode,0)),"?"))</f>
        <v/>
      </c>
      <c r="I953" s="17">
        <f>IF($F953="","",IFERROR(INDEX(rngEPseq,MATCH($F953,rngEPcode,0)),""))</f>
        <v/>
      </c>
      <c r="J953" s="17">
        <f>IF($F953="","",IFERROR(INDEX(rngEPpass,MATCH($F953,rngEPcode,0)),cfgPassingScore))</f>
        <v/>
      </c>
      <c r="K953" s="16" t="n"/>
      <c r="L953" s="16" t="n"/>
      <c r="M953" s="17">
        <f>IF($C953="","",IF($L953="","",IF(NOT(ISNUMBER($L953)),$L953,IF(N($K953)&gt;2,"",IF($K953=1,IF(COUNTIFS(nrES_PID,$D953,nrES_Code,$F953,nrES_Att,2,nrES_Raw,"&gt;=0")&gt;0,"",$L953),IF($L953&gt;=$J953,MAX($J953,cfgRetakeRecordedCap),IF(COUNTIFS(nrES_PID,$D953,nrES_Code,$F953,nrES_Att,1)=0,$L953,SUMIFS(nrES_Raw,nrES_PID,$D953,nrES_Code,$F953,nrES_Att,1))))))))</f>
        <v/>
      </c>
      <c r="N953" s="17">
        <f>IF($C953="","",IF($L953="","",IF(NOT(ISNUMBER($L953)),"(not a score)",IF($L953&gt;=$J953,"Yes","No"))))</f>
        <v/>
      </c>
      <c r="O953" s="17">
        <f>IF($C953="","",IF($M953="","",IF(NOT(ISNUMBER($M953)),"(not a score)",IF($M953&gt;=$J953,"Yes","No"))))</f>
        <v/>
      </c>
      <c r="P953" s="17">
        <f>IF($C953="","",IF($K953="","",IF(N($K953)&gt;2,"No",IF(COUNTIFS(nrES_PID,$D953,nrES_Code,$F953,nrES_Att,"&gt;"&amp;$K953,nrES_Att,"&lt;=2",nrES_Raw,"&gt;=0")=0,"Yes","No"))))</f>
        <v/>
      </c>
      <c r="Q953" s="17">
        <f>IF($C953="","",IF($L953="","",IF(AND($K953=1,ISNUMBER($L953),$L953&lt;$J953,COUNTIFS(nrES_PID,$D953,nrES_Code,$F953,nrES_Att,2,nrES_Raw,"&gt;=0")=0),"Yes","No")))</f>
        <v/>
      </c>
      <c r="R953" s="17">
        <f>IF($C953="","",IF($L953="","",IF(AND(N($K953)&gt;=2,ISNUMBER($L953),$L953&lt;$J953),"Yes","No")))</f>
        <v/>
      </c>
      <c r="S953" s="18" t="n"/>
      <c r="T953" s="19">
        <f>IF(OR($C953="",$L953="",$K953&lt;&gt;1,NOT(ISNUMBER($L953)),$L953&gt;=$J953),"",IF($S953="","(enter date)",_xlfn.LET(_xlpm.dn,_xlfn.XLOOKUP($S953,nrCDdate,nrCDnum,"",1),IF(_xlpm.dn="","(after last class day)",_xlfn.LET(_xlpm.dd,_xlfn.XLOOKUP(_xlpm.dn+cfgRetestClassDays,nrCDnum,nrCDdate,""),_xlpm.ok,_xlfn.XLOOKUP(_xlpm.dn+cfgRetestClassDays,nrCDnum,nrCDinsession,"No"),IF(OR(_xlpm.dd="",_xlpm.ok&lt;&gt;"Yes"),"(after last class day)",_xlpm.dd))))))</f>
        <v/>
      </c>
      <c r="U953" s="17">
        <f>IF($C953="","",IF(AND($Y953="Excused",$L953="",N($K953)&lt;=1),"EXCUSED - 1st attempt pending",IF(OR($L953="",$K953&lt;&gt;1,NOT(ISNUMBER($L953)),$L953&gt;=$J953),"",IF(COUNTIFS(nrES_PID,$D953,nrES_Code,$F953,nrES_Att,2,nrES_Raw,"&gt;=0")&gt;0,IF(IFERROR(_xlfn.MINIFS(nrES_Date,nrES_PID,$D953,nrES_Code,$F953,nrES_Att,2,nrES_Raw,"&gt;=0",nrES_Date,"&gt;0"),0)=0,"RETEST UNDATED",IF(NOT(ISNUMBER($T953)),"RETEST DATE UNCHECKED",IF(_xlfn.MINIFS(nrES_Date,nrES_PID,$D953,nrES_Code,$F953,nrES_Att,2,nrES_Raw,"&gt;=0",nrES_Date,"&gt;0")&gt;$T953,"LATE RETEST "&amp;TEXT(_xlfn.MINIFS(nrES_Date,nrES_PID,$D953,nrES_Code,$F953,nrES_Att,2,nrES_Raw,"&gt;=0",nrES_Date,"&gt;0"),"mm/dd")&amp;" (due "&amp;TEXT($T953,"mm/dd")&amp;")","Retested"))),IF(NOT(ISNUMBER($T953)),"CHECK DATE",IF(TODAY()&gt;$T953,"OVERDUE","Due "&amp;TEXT($T953,"mm/dd")))))))</f>
        <v/>
      </c>
      <c r="V953" s="16" t="n"/>
      <c r="W953" s="16" t="n"/>
      <c r="X953" s="17">
        <f>IF($C953="","",IF(AND($L953&lt;&gt;"",NOT(ISNUMBER($L953))),"RAW SCORE NOT A NUMBER",IF(AND(ISNUMBER($L953),OR($L953&lt;0,$L953&gt;100)),"RAW SCORE OUT OF RANGE",IF(AND($Y953="Unexcused",OR($L953="",NOT(ISNUMBER($L953)),$L953&lt;&gt;0)),"UNEXCUSED ABSENCE MUST RECORD 0",IF(COUNTIF(nrES_RecID,$B953)&gt;1,"DUPLICATE RECORD",IF(N($K953)&gt;2,"ATTEMPT 3+ NOT ALLOWED - policy 300.5 permits one retest per exam; this row records nothing",IF(AND($K953=2,COUNTIFS(nrES_PID,$D953,nrES_Code,$F953,nrES_Att,1)=0),"ATTEMPT 2 WITHOUT ATTEMPT 1",IF(AND($K953=2,$L953=""),"RETEST ROW HAS NO SCORE",IF(AND($H953="Final",$L953&lt;&gt;"",IFERROR(INDEX(nrCKfinalExamElig,MATCH($D953,rngCadetPIDs,0)),"")="No"),"FINAL EXAM AFTER FAILED FINAL PT (500.1.H)",IF(AND($K953=2,ISNUMBER($L953),COUNTIFS(nrES_PID,$D953,nrES_Code,$F953,nrES_Att,1)&gt;0,SUMIFS(nrES_Raw,nrES_PID,$D953,nrES_Code,$F953,nrES_Att,1)&gt;=$J953),"RETEST AFTER A PASSING FIRST ATTEMPT","OK"))))))))))</f>
        <v/>
      </c>
      <c r="Y953" s="16" t="n"/>
    </row>
    <row r="954">
      <c r="B954" s="17">
        <f>IF($C954="","",$D954&amp;"-"&amp;$F954&amp;"-"&amp;$K954)</f>
        <v/>
      </c>
      <c r="C954" s="16" t="n"/>
      <c r="D954" s="17">
        <f>IF($C954="","",IFERROR(INDEX(rngCadetPIDs,MATCH($C954,rngCadetNames,0)),"?"))</f>
        <v/>
      </c>
      <c r="E954" s="17">
        <f>IF($D954="","",IFERROR(INDEX(nrCadetAgency,MATCH($D954,rngCadetPIDs,0)),""))</f>
        <v/>
      </c>
      <c r="F954" s="16" t="n"/>
      <c r="G954" s="17">
        <f>IF($F954="","",IFERROR(INDEX(rngEPname,MATCH($F954,rngEPcode,0)),"?"))</f>
        <v/>
      </c>
      <c r="H954" s="17">
        <f>IF($F954="","",IFERROR(INDEX(rngEPtype,MATCH($F954,rngEPcode,0)),"?"))</f>
        <v/>
      </c>
      <c r="I954" s="17">
        <f>IF($F954="","",IFERROR(INDEX(rngEPseq,MATCH($F954,rngEPcode,0)),""))</f>
        <v/>
      </c>
      <c r="J954" s="17">
        <f>IF($F954="","",IFERROR(INDEX(rngEPpass,MATCH($F954,rngEPcode,0)),cfgPassingScore))</f>
        <v/>
      </c>
      <c r="K954" s="16" t="n"/>
      <c r="L954" s="16" t="n"/>
      <c r="M954" s="17">
        <f>IF($C954="","",IF($L954="","",IF(NOT(ISNUMBER($L954)),$L954,IF(N($K954)&gt;2,"",IF($K954=1,IF(COUNTIFS(nrES_PID,$D954,nrES_Code,$F954,nrES_Att,2,nrES_Raw,"&gt;=0")&gt;0,"",$L954),IF($L954&gt;=$J954,MAX($J954,cfgRetakeRecordedCap),IF(COUNTIFS(nrES_PID,$D954,nrES_Code,$F954,nrES_Att,1)=0,$L954,SUMIFS(nrES_Raw,nrES_PID,$D954,nrES_Code,$F954,nrES_Att,1))))))))</f>
        <v/>
      </c>
      <c r="N954" s="17">
        <f>IF($C954="","",IF($L954="","",IF(NOT(ISNUMBER($L954)),"(not a score)",IF($L954&gt;=$J954,"Yes","No"))))</f>
        <v/>
      </c>
      <c r="O954" s="17">
        <f>IF($C954="","",IF($M954="","",IF(NOT(ISNUMBER($M954)),"(not a score)",IF($M954&gt;=$J954,"Yes","No"))))</f>
        <v/>
      </c>
      <c r="P954" s="17">
        <f>IF($C954="","",IF($K954="","",IF(N($K954)&gt;2,"No",IF(COUNTIFS(nrES_PID,$D954,nrES_Code,$F954,nrES_Att,"&gt;"&amp;$K954,nrES_Att,"&lt;=2",nrES_Raw,"&gt;=0")=0,"Yes","No"))))</f>
        <v/>
      </c>
      <c r="Q954" s="17">
        <f>IF($C954="","",IF($L954="","",IF(AND($K954=1,ISNUMBER($L954),$L954&lt;$J954,COUNTIFS(nrES_PID,$D954,nrES_Code,$F954,nrES_Att,2,nrES_Raw,"&gt;=0")=0),"Yes","No")))</f>
        <v/>
      </c>
      <c r="R954" s="17">
        <f>IF($C954="","",IF($L954="","",IF(AND(N($K954)&gt;=2,ISNUMBER($L954),$L954&lt;$J954),"Yes","No")))</f>
        <v/>
      </c>
      <c r="S954" s="18" t="n"/>
      <c r="T954" s="19">
        <f>IF(OR($C954="",$L954="",$K954&lt;&gt;1,NOT(ISNUMBER($L954)),$L954&gt;=$J954),"",IF($S954="","(enter date)",_xlfn.LET(_xlpm.dn,_xlfn.XLOOKUP($S954,nrCDdate,nrCDnum,"",1),IF(_xlpm.dn="","(after last class day)",_xlfn.LET(_xlpm.dd,_xlfn.XLOOKUP(_xlpm.dn+cfgRetestClassDays,nrCDnum,nrCDdate,""),_xlpm.ok,_xlfn.XLOOKUP(_xlpm.dn+cfgRetestClassDays,nrCDnum,nrCDinsession,"No"),IF(OR(_xlpm.dd="",_xlpm.ok&lt;&gt;"Yes"),"(after last class day)",_xlpm.dd))))))</f>
        <v/>
      </c>
      <c r="U954" s="17">
        <f>IF($C954="","",IF(AND($Y954="Excused",$L954="",N($K954)&lt;=1),"EXCUSED - 1st attempt pending",IF(OR($L954="",$K954&lt;&gt;1,NOT(ISNUMBER($L954)),$L954&gt;=$J954),"",IF(COUNTIFS(nrES_PID,$D954,nrES_Code,$F954,nrES_Att,2,nrES_Raw,"&gt;=0")&gt;0,IF(IFERROR(_xlfn.MINIFS(nrES_Date,nrES_PID,$D954,nrES_Code,$F954,nrES_Att,2,nrES_Raw,"&gt;=0",nrES_Date,"&gt;0"),0)=0,"RETEST UNDATED",IF(NOT(ISNUMBER($T954)),"RETEST DATE UNCHECKED",IF(_xlfn.MINIFS(nrES_Date,nrES_PID,$D954,nrES_Code,$F954,nrES_Att,2,nrES_Raw,"&gt;=0",nrES_Date,"&gt;0")&gt;$T954,"LATE RETEST "&amp;TEXT(_xlfn.MINIFS(nrES_Date,nrES_PID,$D954,nrES_Code,$F954,nrES_Att,2,nrES_Raw,"&gt;=0",nrES_Date,"&gt;0"),"mm/dd")&amp;" (due "&amp;TEXT($T954,"mm/dd")&amp;")","Retested"))),IF(NOT(ISNUMBER($T954)),"CHECK DATE",IF(TODAY()&gt;$T954,"OVERDUE","Due "&amp;TEXT($T954,"mm/dd")))))))</f>
        <v/>
      </c>
      <c r="V954" s="16" t="n"/>
      <c r="W954" s="16" t="n"/>
      <c r="X954" s="17">
        <f>IF($C954="","",IF(AND($L954&lt;&gt;"",NOT(ISNUMBER($L954))),"RAW SCORE NOT A NUMBER",IF(AND(ISNUMBER($L954),OR($L954&lt;0,$L954&gt;100)),"RAW SCORE OUT OF RANGE",IF(AND($Y954="Unexcused",OR($L954="",NOT(ISNUMBER($L954)),$L954&lt;&gt;0)),"UNEXCUSED ABSENCE MUST RECORD 0",IF(COUNTIF(nrES_RecID,$B954)&gt;1,"DUPLICATE RECORD",IF(N($K954)&gt;2,"ATTEMPT 3+ NOT ALLOWED - policy 300.5 permits one retest per exam; this row records nothing",IF(AND($K954=2,COUNTIFS(nrES_PID,$D954,nrES_Code,$F954,nrES_Att,1)=0),"ATTEMPT 2 WITHOUT ATTEMPT 1",IF(AND($K954=2,$L954=""),"RETEST ROW HAS NO SCORE",IF(AND($H954="Final",$L954&lt;&gt;"",IFERROR(INDEX(nrCKfinalExamElig,MATCH($D954,rngCadetPIDs,0)),"")="No"),"FINAL EXAM AFTER FAILED FINAL PT (500.1.H)",IF(AND($K954=2,ISNUMBER($L954),COUNTIFS(nrES_PID,$D954,nrES_Code,$F954,nrES_Att,1)&gt;0,SUMIFS(nrES_Raw,nrES_PID,$D954,nrES_Code,$F954,nrES_Att,1)&gt;=$J954),"RETEST AFTER A PASSING FIRST ATTEMPT","OK"))))))))))</f>
        <v/>
      </c>
      <c r="Y954" s="16" t="n"/>
    </row>
    <row r="955">
      <c r="B955" s="17">
        <f>IF($C955="","",$D955&amp;"-"&amp;$F955&amp;"-"&amp;$K955)</f>
        <v/>
      </c>
      <c r="C955" s="16" t="n"/>
      <c r="D955" s="17">
        <f>IF($C955="","",IFERROR(INDEX(rngCadetPIDs,MATCH($C955,rngCadetNames,0)),"?"))</f>
        <v/>
      </c>
      <c r="E955" s="17">
        <f>IF($D955="","",IFERROR(INDEX(nrCadetAgency,MATCH($D955,rngCadetPIDs,0)),""))</f>
        <v/>
      </c>
      <c r="F955" s="16" t="n"/>
      <c r="G955" s="17">
        <f>IF($F955="","",IFERROR(INDEX(rngEPname,MATCH($F955,rngEPcode,0)),"?"))</f>
        <v/>
      </c>
      <c r="H955" s="17">
        <f>IF($F955="","",IFERROR(INDEX(rngEPtype,MATCH($F955,rngEPcode,0)),"?"))</f>
        <v/>
      </c>
      <c r="I955" s="17">
        <f>IF($F955="","",IFERROR(INDEX(rngEPseq,MATCH($F955,rngEPcode,0)),""))</f>
        <v/>
      </c>
      <c r="J955" s="17">
        <f>IF($F955="","",IFERROR(INDEX(rngEPpass,MATCH($F955,rngEPcode,0)),cfgPassingScore))</f>
        <v/>
      </c>
      <c r="K955" s="16" t="n"/>
      <c r="L955" s="16" t="n"/>
      <c r="M955" s="17">
        <f>IF($C955="","",IF($L955="","",IF(NOT(ISNUMBER($L955)),$L955,IF(N($K955)&gt;2,"",IF($K955=1,IF(COUNTIFS(nrES_PID,$D955,nrES_Code,$F955,nrES_Att,2,nrES_Raw,"&gt;=0")&gt;0,"",$L955),IF($L955&gt;=$J955,MAX($J955,cfgRetakeRecordedCap),IF(COUNTIFS(nrES_PID,$D955,nrES_Code,$F955,nrES_Att,1)=0,$L955,SUMIFS(nrES_Raw,nrES_PID,$D955,nrES_Code,$F955,nrES_Att,1))))))))</f>
        <v/>
      </c>
      <c r="N955" s="17">
        <f>IF($C955="","",IF($L955="","",IF(NOT(ISNUMBER($L955)),"(not a score)",IF($L955&gt;=$J955,"Yes","No"))))</f>
        <v/>
      </c>
      <c r="O955" s="17">
        <f>IF($C955="","",IF($M955="","",IF(NOT(ISNUMBER($M955)),"(not a score)",IF($M955&gt;=$J955,"Yes","No"))))</f>
        <v/>
      </c>
      <c r="P955" s="17">
        <f>IF($C955="","",IF($K955="","",IF(N($K955)&gt;2,"No",IF(COUNTIFS(nrES_PID,$D955,nrES_Code,$F955,nrES_Att,"&gt;"&amp;$K955,nrES_Att,"&lt;=2",nrES_Raw,"&gt;=0")=0,"Yes","No"))))</f>
        <v/>
      </c>
      <c r="Q955" s="17">
        <f>IF($C955="","",IF($L955="","",IF(AND($K955=1,ISNUMBER($L955),$L955&lt;$J955,COUNTIFS(nrES_PID,$D955,nrES_Code,$F955,nrES_Att,2,nrES_Raw,"&gt;=0")=0),"Yes","No")))</f>
        <v/>
      </c>
      <c r="R955" s="17">
        <f>IF($C955="","",IF($L955="","",IF(AND(N($K955)&gt;=2,ISNUMBER($L955),$L955&lt;$J955),"Yes","No")))</f>
        <v/>
      </c>
      <c r="S955" s="18" t="n"/>
      <c r="T955" s="19">
        <f>IF(OR($C955="",$L955="",$K955&lt;&gt;1,NOT(ISNUMBER($L955)),$L955&gt;=$J955),"",IF($S955="","(enter date)",_xlfn.LET(_xlpm.dn,_xlfn.XLOOKUP($S955,nrCDdate,nrCDnum,"",1),IF(_xlpm.dn="","(after last class day)",_xlfn.LET(_xlpm.dd,_xlfn.XLOOKUP(_xlpm.dn+cfgRetestClassDays,nrCDnum,nrCDdate,""),_xlpm.ok,_xlfn.XLOOKUP(_xlpm.dn+cfgRetestClassDays,nrCDnum,nrCDinsession,"No"),IF(OR(_xlpm.dd="",_xlpm.ok&lt;&gt;"Yes"),"(after last class day)",_xlpm.dd))))))</f>
        <v/>
      </c>
      <c r="U955" s="17">
        <f>IF($C955="","",IF(AND($Y955="Excused",$L955="",N($K955)&lt;=1),"EXCUSED - 1st attempt pending",IF(OR($L955="",$K955&lt;&gt;1,NOT(ISNUMBER($L955)),$L955&gt;=$J955),"",IF(COUNTIFS(nrES_PID,$D955,nrES_Code,$F955,nrES_Att,2,nrES_Raw,"&gt;=0")&gt;0,IF(IFERROR(_xlfn.MINIFS(nrES_Date,nrES_PID,$D955,nrES_Code,$F955,nrES_Att,2,nrES_Raw,"&gt;=0",nrES_Date,"&gt;0"),0)=0,"RETEST UNDATED",IF(NOT(ISNUMBER($T955)),"RETEST DATE UNCHECKED",IF(_xlfn.MINIFS(nrES_Date,nrES_PID,$D955,nrES_Code,$F955,nrES_Att,2,nrES_Raw,"&gt;=0",nrES_Date,"&gt;0")&gt;$T955,"LATE RETEST "&amp;TEXT(_xlfn.MINIFS(nrES_Date,nrES_PID,$D955,nrES_Code,$F955,nrES_Att,2,nrES_Raw,"&gt;=0",nrES_Date,"&gt;0"),"mm/dd")&amp;" (due "&amp;TEXT($T955,"mm/dd")&amp;")","Retested"))),IF(NOT(ISNUMBER($T955)),"CHECK DATE",IF(TODAY()&gt;$T955,"OVERDUE","Due "&amp;TEXT($T955,"mm/dd")))))))</f>
        <v/>
      </c>
      <c r="V955" s="16" t="n"/>
      <c r="W955" s="16" t="n"/>
      <c r="X955" s="17">
        <f>IF($C955="","",IF(AND($L955&lt;&gt;"",NOT(ISNUMBER($L955))),"RAW SCORE NOT A NUMBER",IF(AND(ISNUMBER($L955),OR($L955&lt;0,$L955&gt;100)),"RAW SCORE OUT OF RANGE",IF(AND($Y955="Unexcused",OR($L955="",NOT(ISNUMBER($L955)),$L955&lt;&gt;0)),"UNEXCUSED ABSENCE MUST RECORD 0",IF(COUNTIF(nrES_RecID,$B955)&gt;1,"DUPLICATE RECORD",IF(N($K955)&gt;2,"ATTEMPT 3+ NOT ALLOWED - policy 300.5 permits one retest per exam; this row records nothing",IF(AND($K955=2,COUNTIFS(nrES_PID,$D955,nrES_Code,$F955,nrES_Att,1)=0),"ATTEMPT 2 WITHOUT ATTEMPT 1",IF(AND($K955=2,$L955=""),"RETEST ROW HAS NO SCORE",IF(AND($H955="Final",$L955&lt;&gt;"",IFERROR(INDEX(nrCKfinalExamElig,MATCH($D955,rngCadetPIDs,0)),"")="No"),"FINAL EXAM AFTER FAILED FINAL PT (500.1.H)",IF(AND($K955=2,ISNUMBER($L955),COUNTIFS(nrES_PID,$D955,nrES_Code,$F955,nrES_Att,1)&gt;0,SUMIFS(nrES_Raw,nrES_PID,$D955,nrES_Code,$F955,nrES_Att,1)&gt;=$J955),"RETEST AFTER A PASSING FIRST ATTEMPT","OK"))))))))))</f>
        <v/>
      </c>
      <c r="Y955" s="16" t="n"/>
    </row>
    <row r="956">
      <c r="B956" s="17">
        <f>IF($C956="","",$D956&amp;"-"&amp;$F956&amp;"-"&amp;$K956)</f>
        <v/>
      </c>
      <c r="C956" s="16" t="n"/>
      <c r="D956" s="17">
        <f>IF($C956="","",IFERROR(INDEX(rngCadetPIDs,MATCH($C956,rngCadetNames,0)),"?"))</f>
        <v/>
      </c>
      <c r="E956" s="17">
        <f>IF($D956="","",IFERROR(INDEX(nrCadetAgency,MATCH($D956,rngCadetPIDs,0)),""))</f>
        <v/>
      </c>
      <c r="F956" s="16" t="n"/>
      <c r="G956" s="17">
        <f>IF($F956="","",IFERROR(INDEX(rngEPname,MATCH($F956,rngEPcode,0)),"?"))</f>
        <v/>
      </c>
      <c r="H956" s="17">
        <f>IF($F956="","",IFERROR(INDEX(rngEPtype,MATCH($F956,rngEPcode,0)),"?"))</f>
        <v/>
      </c>
      <c r="I956" s="17">
        <f>IF($F956="","",IFERROR(INDEX(rngEPseq,MATCH($F956,rngEPcode,0)),""))</f>
        <v/>
      </c>
      <c r="J956" s="17">
        <f>IF($F956="","",IFERROR(INDEX(rngEPpass,MATCH($F956,rngEPcode,0)),cfgPassingScore))</f>
        <v/>
      </c>
      <c r="K956" s="16" t="n"/>
      <c r="L956" s="16" t="n"/>
      <c r="M956" s="17">
        <f>IF($C956="","",IF($L956="","",IF(NOT(ISNUMBER($L956)),$L956,IF(N($K956)&gt;2,"",IF($K956=1,IF(COUNTIFS(nrES_PID,$D956,nrES_Code,$F956,nrES_Att,2,nrES_Raw,"&gt;=0")&gt;0,"",$L956),IF($L956&gt;=$J956,MAX($J956,cfgRetakeRecordedCap),IF(COUNTIFS(nrES_PID,$D956,nrES_Code,$F956,nrES_Att,1)=0,$L956,SUMIFS(nrES_Raw,nrES_PID,$D956,nrES_Code,$F956,nrES_Att,1))))))))</f>
        <v/>
      </c>
      <c r="N956" s="17">
        <f>IF($C956="","",IF($L956="","",IF(NOT(ISNUMBER($L956)),"(not a score)",IF($L956&gt;=$J956,"Yes","No"))))</f>
        <v/>
      </c>
      <c r="O956" s="17">
        <f>IF($C956="","",IF($M956="","",IF(NOT(ISNUMBER($M956)),"(not a score)",IF($M956&gt;=$J956,"Yes","No"))))</f>
        <v/>
      </c>
      <c r="P956" s="17">
        <f>IF($C956="","",IF($K956="","",IF(N($K956)&gt;2,"No",IF(COUNTIFS(nrES_PID,$D956,nrES_Code,$F956,nrES_Att,"&gt;"&amp;$K956,nrES_Att,"&lt;=2",nrES_Raw,"&gt;=0")=0,"Yes","No"))))</f>
        <v/>
      </c>
      <c r="Q956" s="17">
        <f>IF($C956="","",IF($L956="","",IF(AND($K956=1,ISNUMBER($L956),$L956&lt;$J956,COUNTIFS(nrES_PID,$D956,nrES_Code,$F956,nrES_Att,2,nrES_Raw,"&gt;=0")=0),"Yes","No")))</f>
        <v/>
      </c>
      <c r="R956" s="17">
        <f>IF($C956="","",IF($L956="","",IF(AND(N($K956)&gt;=2,ISNUMBER($L956),$L956&lt;$J956),"Yes","No")))</f>
        <v/>
      </c>
      <c r="S956" s="18" t="n"/>
      <c r="T956" s="19">
        <f>IF(OR($C956="",$L956="",$K956&lt;&gt;1,NOT(ISNUMBER($L956)),$L956&gt;=$J956),"",IF($S956="","(enter date)",_xlfn.LET(_xlpm.dn,_xlfn.XLOOKUP($S956,nrCDdate,nrCDnum,"",1),IF(_xlpm.dn="","(after last class day)",_xlfn.LET(_xlpm.dd,_xlfn.XLOOKUP(_xlpm.dn+cfgRetestClassDays,nrCDnum,nrCDdate,""),_xlpm.ok,_xlfn.XLOOKUP(_xlpm.dn+cfgRetestClassDays,nrCDnum,nrCDinsession,"No"),IF(OR(_xlpm.dd="",_xlpm.ok&lt;&gt;"Yes"),"(after last class day)",_xlpm.dd))))))</f>
        <v/>
      </c>
      <c r="U956" s="17">
        <f>IF($C956="","",IF(AND($Y956="Excused",$L956="",N($K956)&lt;=1),"EXCUSED - 1st attempt pending",IF(OR($L956="",$K956&lt;&gt;1,NOT(ISNUMBER($L956)),$L956&gt;=$J956),"",IF(COUNTIFS(nrES_PID,$D956,nrES_Code,$F956,nrES_Att,2,nrES_Raw,"&gt;=0")&gt;0,IF(IFERROR(_xlfn.MINIFS(nrES_Date,nrES_PID,$D956,nrES_Code,$F956,nrES_Att,2,nrES_Raw,"&gt;=0",nrES_Date,"&gt;0"),0)=0,"RETEST UNDATED",IF(NOT(ISNUMBER($T956)),"RETEST DATE UNCHECKED",IF(_xlfn.MINIFS(nrES_Date,nrES_PID,$D956,nrES_Code,$F956,nrES_Att,2,nrES_Raw,"&gt;=0",nrES_Date,"&gt;0")&gt;$T956,"LATE RETEST "&amp;TEXT(_xlfn.MINIFS(nrES_Date,nrES_PID,$D956,nrES_Code,$F956,nrES_Att,2,nrES_Raw,"&gt;=0",nrES_Date,"&gt;0"),"mm/dd")&amp;" (due "&amp;TEXT($T956,"mm/dd")&amp;")","Retested"))),IF(NOT(ISNUMBER($T956)),"CHECK DATE",IF(TODAY()&gt;$T956,"OVERDUE","Due "&amp;TEXT($T956,"mm/dd")))))))</f>
        <v/>
      </c>
      <c r="V956" s="16" t="n"/>
      <c r="W956" s="16" t="n"/>
      <c r="X956" s="17">
        <f>IF($C956="","",IF(AND($L956&lt;&gt;"",NOT(ISNUMBER($L956))),"RAW SCORE NOT A NUMBER",IF(AND(ISNUMBER($L956),OR($L956&lt;0,$L956&gt;100)),"RAW SCORE OUT OF RANGE",IF(AND($Y956="Unexcused",OR($L956="",NOT(ISNUMBER($L956)),$L956&lt;&gt;0)),"UNEXCUSED ABSENCE MUST RECORD 0",IF(COUNTIF(nrES_RecID,$B956)&gt;1,"DUPLICATE RECORD",IF(N($K956)&gt;2,"ATTEMPT 3+ NOT ALLOWED - policy 300.5 permits one retest per exam; this row records nothing",IF(AND($K956=2,COUNTIFS(nrES_PID,$D956,nrES_Code,$F956,nrES_Att,1)=0),"ATTEMPT 2 WITHOUT ATTEMPT 1",IF(AND($K956=2,$L956=""),"RETEST ROW HAS NO SCORE",IF(AND($H956="Final",$L956&lt;&gt;"",IFERROR(INDEX(nrCKfinalExamElig,MATCH($D956,rngCadetPIDs,0)),"")="No"),"FINAL EXAM AFTER FAILED FINAL PT (500.1.H)",IF(AND($K956=2,ISNUMBER($L956),COUNTIFS(nrES_PID,$D956,nrES_Code,$F956,nrES_Att,1)&gt;0,SUMIFS(nrES_Raw,nrES_PID,$D956,nrES_Code,$F956,nrES_Att,1)&gt;=$J956),"RETEST AFTER A PASSING FIRST ATTEMPT","OK"))))))))))</f>
        <v/>
      </c>
      <c r="Y956" s="16" t="n"/>
    </row>
    <row r="957">
      <c r="B957" s="17">
        <f>IF($C957="","",$D957&amp;"-"&amp;$F957&amp;"-"&amp;$K957)</f>
        <v/>
      </c>
      <c r="C957" s="16" t="n"/>
      <c r="D957" s="17">
        <f>IF($C957="","",IFERROR(INDEX(rngCadetPIDs,MATCH($C957,rngCadetNames,0)),"?"))</f>
        <v/>
      </c>
      <c r="E957" s="17">
        <f>IF($D957="","",IFERROR(INDEX(nrCadetAgency,MATCH($D957,rngCadetPIDs,0)),""))</f>
        <v/>
      </c>
      <c r="F957" s="16" t="n"/>
      <c r="G957" s="17">
        <f>IF($F957="","",IFERROR(INDEX(rngEPname,MATCH($F957,rngEPcode,0)),"?"))</f>
        <v/>
      </c>
      <c r="H957" s="17">
        <f>IF($F957="","",IFERROR(INDEX(rngEPtype,MATCH($F957,rngEPcode,0)),"?"))</f>
        <v/>
      </c>
      <c r="I957" s="17">
        <f>IF($F957="","",IFERROR(INDEX(rngEPseq,MATCH($F957,rngEPcode,0)),""))</f>
        <v/>
      </c>
      <c r="J957" s="17">
        <f>IF($F957="","",IFERROR(INDEX(rngEPpass,MATCH($F957,rngEPcode,0)),cfgPassingScore))</f>
        <v/>
      </c>
      <c r="K957" s="16" t="n"/>
      <c r="L957" s="16" t="n"/>
      <c r="M957" s="17">
        <f>IF($C957="","",IF($L957="","",IF(NOT(ISNUMBER($L957)),$L957,IF(N($K957)&gt;2,"",IF($K957=1,IF(COUNTIFS(nrES_PID,$D957,nrES_Code,$F957,nrES_Att,2,nrES_Raw,"&gt;=0")&gt;0,"",$L957),IF($L957&gt;=$J957,MAX($J957,cfgRetakeRecordedCap),IF(COUNTIFS(nrES_PID,$D957,nrES_Code,$F957,nrES_Att,1)=0,$L957,SUMIFS(nrES_Raw,nrES_PID,$D957,nrES_Code,$F957,nrES_Att,1))))))))</f>
        <v/>
      </c>
      <c r="N957" s="17">
        <f>IF($C957="","",IF($L957="","",IF(NOT(ISNUMBER($L957)),"(not a score)",IF($L957&gt;=$J957,"Yes","No"))))</f>
        <v/>
      </c>
      <c r="O957" s="17">
        <f>IF($C957="","",IF($M957="","",IF(NOT(ISNUMBER($M957)),"(not a score)",IF($M957&gt;=$J957,"Yes","No"))))</f>
        <v/>
      </c>
      <c r="P957" s="17">
        <f>IF($C957="","",IF($K957="","",IF(N($K957)&gt;2,"No",IF(COUNTIFS(nrES_PID,$D957,nrES_Code,$F957,nrES_Att,"&gt;"&amp;$K957,nrES_Att,"&lt;=2",nrES_Raw,"&gt;=0")=0,"Yes","No"))))</f>
        <v/>
      </c>
      <c r="Q957" s="17">
        <f>IF($C957="","",IF($L957="","",IF(AND($K957=1,ISNUMBER($L957),$L957&lt;$J957,COUNTIFS(nrES_PID,$D957,nrES_Code,$F957,nrES_Att,2,nrES_Raw,"&gt;=0")=0),"Yes","No")))</f>
        <v/>
      </c>
      <c r="R957" s="17">
        <f>IF($C957="","",IF($L957="","",IF(AND(N($K957)&gt;=2,ISNUMBER($L957),$L957&lt;$J957),"Yes","No")))</f>
        <v/>
      </c>
      <c r="S957" s="18" t="n"/>
      <c r="T957" s="19">
        <f>IF(OR($C957="",$L957="",$K957&lt;&gt;1,NOT(ISNUMBER($L957)),$L957&gt;=$J957),"",IF($S957="","(enter date)",_xlfn.LET(_xlpm.dn,_xlfn.XLOOKUP($S957,nrCDdate,nrCDnum,"",1),IF(_xlpm.dn="","(after last class day)",_xlfn.LET(_xlpm.dd,_xlfn.XLOOKUP(_xlpm.dn+cfgRetestClassDays,nrCDnum,nrCDdate,""),_xlpm.ok,_xlfn.XLOOKUP(_xlpm.dn+cfgRetestClassDays,nrCDnum,nrCDinsession,"No"),IF(OR(_xlpm.dd="",_xlpm.ok&lt;&gt;"Yes"),"(after last class day)",_xlpm.dd))))))</f>
        <v/>
      </c>
      <c r="U957" s="17">
        <f>IF($C957="","",IF(AND($Y957="Excused",$L957="",N($K957)&lt;=1),"EXCUSED - 1st attempt pending",IF(OR($L957="",$K957&lt;&gt;1,NOT(ISNUMBER($L957)),$L957&gt;=$J957),"",IF(COUNTIFS(nrES_PID,$D957,nrES_Code,$F957,nrES_Att,2,nrES_Raw,"&gt;=0")&gt;0,IF(IFERROR(_xlfn.MINIFS(nrES_Date,nrES_PID,$D957,nrES_Code,$F957,nrES_Att,2,nrES_Raw,"&gt;=0",nrES_Date,"&gt;0"),0)=0,"RETEST UNDATED",IF(NOT(ISNUMBER($T957)),"RETEST DATE UNCHECKED",IF(_xlfn.MINIFS(nrES_Date,nrES_PID,$D957,nrES_Code,$F957,nrES_Att,2,nrES_Raw,"&gt;=0",nrES_Date,"&gt;0")&gt;$T957,"LATE RETEST "&amp;TEXT(_xlfn.MINIFS(nrES_Date,nrES_PID,$D957,nrES_Code,$F957,nrES_Att,2,nrES_Raw,"&gt;=0",nrES_Date,"&gt;0"),"mm/dd")&amp;" (due "&amp;TEXT($T957,"mm/dd")&amp;")","Retested"))),IF(NOT(ISNUMBER($T957)),"CHECK DATE",IF(TODAY()&gt;$T957,"OVERDUE","Due "&amp;TEXT($T957,"mm/dd")))))))</f>
        <v/>
      </c>
      <c r="V957" s="16" t="n"/>
      <c r="W957" s="16" t="n"/>
      <c r="X957" s="17">
        <f>IF($C957="","",IF(AND($L957&lt;&gt;"",NOT(ISNUMBER($L957))),"RAW SCORE NOT A NUMBER",IF(AND(ISNUMBER($L957),OR($L957&lt;0,$L957&gt;100)),"RAW SCORE OUT OF RANGE",IF(AND($Y957="Unexcused",OR($L957="",NOT(ISNUMBER($L957)),$L957&lt;&gt;0)),"UNEXCUSED ABSENCE MUST RECORD 0",IF(COUNTIF(nrES_RecID,$B957)&gt;1,"DUPLICATE RECORD",IF(N($K957)&gt;2,"ATTEMPT 3+ NOT ALLOWED - policy 300.5 permits one retest per exam; this row records nothing",IF(AND($K957=2,COUNTIFS(nrES_PID,$D957,nrES_Code,$F957,nrES_Att,1)=0),"ATTEMPT 2 WITHOUT ATTEMPT 1",IF(AND($K957=2,$L957=""),"RETEST ROW HAS NO SCORE",IF(AND($H957="Final",$L957&lt;&gt;"",IFERROR(INDEX(nrCKfinalExamElig,MATCH($D957,rngCadetPIDs,0)),"")="No"),"FINAL EXAM AFTER FAILED FINAL PT (500.1.H)",IF(AND($K957=2,ISNUMBER($L957),COUNTIFS(nrES_PID,$D957,nrES_Code,$F957,nrES_Att,1)&gt;0,SUMIFS(nrES_Raw,nrES_PID,$D957,nrES_Code,$F957,nrES_Att,1)&gt;=$J957),"RETEST AFTER A PASSING FIRST ATTEMPT","OK"))))))))))</f>
        <v/>
      </c>
      <c r="Y957" s="16" t="n"/>
    </row>
    <row r="958">
      <c r="B958" s="17">
        <f>IF($C958="","",$D958&amp;"-"&amp;$F958&amp;"-"&amp;$K958)</f>
        <v/>
      </c>
      <c r="C958" s="16" t="n"/>
      <c r="D958" s="17">
        <f>IF($C958="","",IFERROR(INDEX(rngCadetPIDs,MATCH($C958,rngCadetNames,0)),"?"))</f>
        <v/>
      </c>
      <c r="E958" s="17">
        <f>IF($D958="","",IFERROR(INDEX(nrCadetAgency,MATCH($D958,rngCadetPIDs,0)),""))</f>
        <v/>
      </c>
      <c r="F958" s="16" t="n"/>
      <c r="G958" s="17">
        <f>IF($F958="","",IFERROR(INDEX(rngEPname,MATCH($F958,rngEPcode,0)),"?"))</f>
        <v/>
      </c>
      <c r="H958" s="17">
        <f>IF($F958="","",IFERROR(INDEX(rngEPtype,MATCH($F958,rngEPcode,0)),"?"))</f>
        <v/>
      </c>
      <c r="I958" s="17">
        <f>IF($F958="","",IFERROR(INDEX(rngEPseq,MATCH($F958,rngEPcode,0)),""))</f>
        <v/>
      </c>
      <c r="J958" s="17">
        <f>IF($F958="","",IFERROR(INDEX(rngEPpass,MATCH($F958,rngEPcode,0)),cfgPassingScore))</f>
        <v/>
      </c>
      <c r="K958" s="16" t="n"/>
      <c r="L958" s="16" t="n"/>
      <c r="M958" s="17">
        <f>IF($C958="","",IF($L958="","",IF(NOT(ISNUMBER($L958)),$L958,IF(N($K958)&gt;2,"",IF($K958=1,IF(COUNTIFS(nrES_PID,$D958,nrES_Code,$F958,nrES_Att,2,nrES_Raw,"&gt;=0")&gt;0,"",$L958),IF($L958&gt;=$J958,MAX($J958,cfgRetakeRecordedCap),IF(COUNTIFS(nrES_PID,$D958,nrES_Code,$F958,nrES_Att,1)=0,$L958,SUMIFS(nrES_Raw,nrES_PID,$D958,nrES_Code,$F958,nrES_Att,1))))))))</f>
        <v/>
      </c>
      <c r="N958" s="17">
        <f>IF($C958="","",IF($L958="","",IF(NOT(ISNUMBER($L958)),"(not a score)",IF($L958&gt;=$J958,"Yes","No"))))</f>
        <v/>
      </c>
      <c r="O958" s="17">
        <f>IF($C958="","",IF($M958="","",IF(NOT(ISNUMBER($M958)),"(not a score)",IF($M958&gt;=$J958,"Yes","No"))))</f>
        <v/>
      </c>
      <c r="P958" s="17">
        <f>IF($C958="","",IF($K958="","",IF(N($K958)&gt;2,"No",IF(COUNTIFS(nrES_PID,$D958,nrES_Code,$F958,nrES_Att,"&gt;"&amp;$K958,nrES_Att,"&lt;=2",nrES_Raw,"&gt;=0")=0,"Yes","No"))))</f>
        <v/>
      </c>
      <c r="Q958" s="17">
        <f>IF($C958="","",IF($L958="","",IF(AND($K958=1,ISNUMBER($L958),$L958&lt;$J958,COUNTIFS(nrES_PID,$D958,nrES_Code,$F958,nrES_Att,2,nrES_Raw,"&gt;=0")=0),"Yes","No")))</f>
        <v/>
      </c>
      <c r="R958" s="17">
        <f>IF($C958="","",IF($L958="","",IF(AND(N($K958)&gt;=2,ISNUMBER($L958),$L958&lt;$J958),"Yes","No")))</f>
        <v/>
      </c>
      <c r="S958" s="18" t="n"/>
      <c r="T958" s="19">
        <f>IF(OR($C958="",$L958="",$K958&lt;&gt;1,NOT(ISNUMBER($L958)),$L958&gt;=$J958),"",IF($S958="","(enter date)",_xlfn.LET(_xlpm.dn,_xlfn.XLOOKUP($S958,nrCDdate,nrCDnum,"",1),IF(_xlpm.dn="","(after last class day)",_xlfn.LET(_xlpm.dd,_xlfn.XLOOKUP(_xlpm.dn+cfgRetestClassDays,nrCDnum,nrCDdate,""),_xlpm.ok,_xlfn.XLOOKUP(_xlpm.dn+cfgRetestClassDays,nrCDnum,nrCDinsession,"No"),IF(OR(_xlpm.dd="",_xlpm.ok&lt;&gt;"Yes"),"(after last class day)",_xlpm.dd))))))</f>
        <v/>
      </c>
      <c r="U958" s="17">
        <f>IF($C958="","",IF(AND($Y958="Excused",$L958="",N($K958)&lt;=1),"EXCUSED - 1st attempt pending",IF(OR($L958="",$K958&lt;&gt;1,NOT(ISNUMBER($L958)),$L958&gt;=$J958),"",IF(COUNTIFS(nrES_PID,$D958,nrES_Code,$F958,nrES_Att,2,nrES_Raw,"&gt;=0")&gt;0,IF(IFERROR(_xlfn.MINIFS(nrES_Date,nrES_PID,$D958,nrES_Code,$F958,nrES_Att,2,nrES_Raw,"&gt;=0",nrES_Date,"&gt;0"),0)=0,"RETEST UNDATED",IF(NOT(ISNUMBER($T958)),"RETEST DATE UNCHECKED",IF(_xlfn.MINIFS(nrES_Date,nrES_PID,$D958,nrES_Code,$F958,nrES_Att,2,nrES_Raw,"&gt;=0",nrES_Date,"&gt;0")&gt;$T958,"LATE RETEST "&amp;TEXT(_xlfn.MINIFS(nrES_Date,nrES_PID,$D958,nrES_Code,$F958,nrES_Att,2,nrES_Raw,"&gt;=0",nrES_Date,"&gt;0"),"mm/dd")&amp;" (due "&amp;TEXT($T958,"mm/dd")&amp;")","Retested"))),IF(NOT(ISNUMBER($T958)),"CHECK DATE",IF(TODAY()&gt;$T958,"OVERDUE","Due "&amp;TEXT($T958,"mm/dd")))))))</f>
        <v/>
      </c>
      <c r="V958" s="16" t="n"/>
      <c r="W958" s="16" t="n"/>
      <c r="X958" s="17">
        <f>IF($C958="","",IF(AND($L958&lt;&gt;"",NOT(ISNUMBER($L958))),"RAW SCORE NOT A NUMBER",IF(AND(ISNUMBER($L958),OR($L958&lt;0,$L958&gt;100)),"RAW SCORE OUT OF RANGE",IF(AND($Y958="Unexcused",OR($L958="",NOT(ISNUMBER($L958)),$L958&lt;&gt;0)),"UNEXCUSED ABSENCE MUST RECORD 0",IF(COUNTIF(nrES_RecID,$B958)&gt;1,"DUPLICATE RECORD",IF(N($K958)&gt;2,"ATTEMPT 3+ NOT ALLOWED - policy 300.5 permits one retest per exam; this row records nothing",IF(AND($K958=2,COUNTIFS(nrES_PID,$D958,nrES_Code,$F958,nrES_Att,1)=0),"ATTEMPT 2 WITHOUT ATTEMPT 1",IF(AND($K958=2,$L958=""),"RETEST ROW HAS NO SCORE",IF(AND($H958="Final",$L958&lt;&gt;"",IFERROR(INDEX(nrCKfinalExamElig,MATCH($D958,rngCadetPIDs,0)),"")="No"),"FINAL EXAM AFTER FAILED FINAL PT (500.1.H)",IF(AND($K958=2,ISNUMBER($L958),COUNTIFS(nrES_PID,$D958,nrES_Code,$F958,nrES_Att,1)&gt;0,SUMIFS(nrES_Raw,nrES_PID,$D958,nrES_Code,$F958,nrES_Att,1)&gt;=$J958),"RETEST AFTER A PASSING FIRST ATTEMPT","OK"))))))))))</f>
        <v/>
      </c>
      <c r="Y958" s="16" t="n"/>
    </row>
    <row r="959">
      <c r="B959" s="17">
        <f>IF($C959="","",$D959&amp;"-"&amp;$F959&amp;"-"&amp;$K959)</f>
        <v/>
      </c>
      <c r="C959" s="16" t="n"/>
      <c r="D959" s="17">
        <f>IF($C959="","",IFERROR(INDEX(rngCadetPIDs,MATCH($C959,rngCadetNames,0)),"?"))</f>
        <v/>
      </c>
      <c r="E959" s="17">
        <f>IF($D959="","",IFERROR(INDEX(nrCadetAgency,MATCH($D959,rngCadetPIDs,0)),""))</f>
        <v/>
      </c>
      <c r="F959" s="16" t="n"/>
      <c r="G959" s="17">
        <f>IF($F959="","",IFERROR(INDEX(rngEPname,MATCH($F959,rngEPcode,0)),"?"))</f>
        <v/>
      </c>
      <c r="H959" s="17">
        <f>IF($F959="","",IFERROR(INDEX(rngEPtype,MATCH($F959,rngEPcode,0)),"?"))</f>
        <v/>
      </c>
      <c r="I959" s="17">
        <f>IF($F959="","",IFERROR(INDEX(rngEPseq,MATCH($F959,rngEPcode,0)),""))</f>
        <v/>
      </c>
      <c r="J959" s="17">
        <f>IF($F959="","",IFERROR(INDEX(rngEPpass,MATCH($F959,rngEPcode,0)),cfgPassingScore))</f>
        <v/>
      </c>
      <c r="K959" s="16" t="n"/>
      <c r="L959" s="16" t="n"/>
      <c r="M959" s="17">
        <f>IF($C959="","",IF($L959="","",IF(NOT(ISNUMBER($L959)),$L959,IF(N($K959)&gt;2,"",IF($K959=1,IF(COUNTIFS(nrES_PID,$D959,nrES_Code,$F959,nrES_Att,2,nrES_Raw,"&gt;=0")&gt;0,"",$L959),IF($L959&gt;=$J959,MAX($J959,cfgRetakeRecordedCap),IF(COUNTIFS(nrES_PID,$D959,nrES_Code,$F959,nrES_Att,1)=0,$L959,SUMIFS(nrES_Raw,nrES_PID,$D959,nrES_Code,$F959,nrES_Att,1))))))))</f>
        <v/>
      </c>
      <c r="N959" s="17">
        <f>IF($C959="","",IF($L959="","",IF(NOT(ISNUMBER($L959)),"(not a score)",IF($L959&gt;=$J959,"Yes","No"))))</f>
        <v/>
      </c>
      <c r="O959" s="17">
        <f>IF($C959="","",IF($M959="","",IF(NOT(ISNUMBER($M959)),"(not a score)",IF($M959&gt;=$J959,"Yes","No"))))</f>
        <v/>
      </c>
      <c r="P959" s="17">
        <f>IF($C959="","",IF($K959="","",IF(N($K959)&gt;2,"No",IF(COUNTIFS(nrES_PID,$D959,nrES_Code,$F959,nrES_Att,"&gt;"&amp;$K959,nrES_Att,"&lt;=2",nrES_Raw,"&gt;=0")=0,"Yes","No"))))</f>
        <v/>
      </c>
      <c r="Q959" s="17">
        <f>IF($C959="","",IF($L959="","",IF(AND($K959=1,ISNUMBER($L959),$L959&lt;$J959,COUNTIFS(nrES_PID,$D959,nrES_Code,$F959,nrES_Att,2,nrES_Raw,"&gt;=0")=0),"Yes","No")))</f>
        <v/>
      </c>
      <c r="R959" s="17">
        <f>IF($C959="","",IF($L959="","",IF(AND(N($K959)&gt;=2,ISNUMBER($L959),$L959&lt;$J959),"Yes","No")))</f>
        <v/>
      </c>
      <c r="S959" s="18" t="n"/>
      <c r="T959" s="19">
        <f>IF(OR($C959="",$L959="",$K959&lt;&gt;1,NOT(ISNUMBER($L959)),$L959&gt;=$J959),"",IF($S959="","(enter date)",_xlfn.LET(_xlpm.dn,_xlfn.XLOOKUP($S959,nrCDdate,nrCDnum,"",1),IF(_xlpm.dn="","(after last class day)",_xlfn.LET(_xlpm.dd,_xlfn.XLOOKUP(_xlpm.dn+cfgRetestClassDays,nrCDnum,nrCDdate,""),_xlpm.ok,_xlfn.XLOOKUP(_xlpm.dn+cfgRetestClassDays,nrCDnum,nrCDinsession,"No"),IF(OR(_xlpm.dd="",_xlpm.ok&lt;&gt;"Yes"),"(after last class day)",_xlpm.dd))))))</f>
        <v/>
      </c>
      <c r="U959" s="17">
        <f>IF($C959="","",IF(AND($Y959="Excused",$L959="",N($K959)&lt;=1),"EXCUSED - 1st attempt pending",IF(OR($L959="",$K959&lt;&gt;1,NOT(ISNUMBER($L959)),$L959&gt;=$J959),"",IF(COUNTIFS(nrES_PID,$D959,nrES_Code,$F959,nrES_Att,2,nrES_Raw,"&gt;=0")&gt;0,IF(IFERROR(_xlfn.MINIFS(nrES_Date,nrES_PID,$D959,nrES_Code,$F959,nrES_Att,2,nrES_Raw,"&gt;=0",nrES_Date,"&gt;0"),0)=0,"RETEST UNDATED",IF(NOT(ISNUMBER($T959)),"RETEST DATE UNCHECKED",IF(_xlfn.MINIFS(nrES_Date,nrES_PID,$D959,nrES_Code,$F959,nrES_Att,2,nrES_Raw,"&gt;=0",nrES_Date,"&gt;0")&gt;$T959,"LATE RETEST "&amp;TEXT(_xlfn.MINIFS(nrES_Date,nrES_PID,$D959,nrES_Code,$F959,nrES_Att,2,nrES_Raw,"&gt;=0",nrES_Date,"&gt;0"),"mm/dd")&amp;" (due "&amp;TEXT($T959,"mm/dd")&amp;")","Retested"))),IF(NOT(ISNUMBER($T959)),"CHECK DATE",IF(TODAY()&gt;$T959,"OVERDUE","Due "&amp;TEXT($T959,"mm/dd")))))))</f>
        <v/>
      </c>
      <c r="V959" s="16" t="n"/>
      <c r="W959" s="16" t="n"/>
      <c r="X959" s="17">
        <f>IF($C959="","",IF(AND($L959&lt;&gt;"",NOT(ISNUMBER($L959))),"RAW SCORE NOT A NUMBER",IF(AND(ISNUMBER($L959),OR($L959&lt;0,$L959&gt;100)),"RAW SCORE OUT OF RANGE",IF(AND($Y959="Unexcused",OR($L959="",NOT(ISNUMBER($L959)),$L959&lt;&gt;0)),"UNEXCUSED ABSENCE MUST RECORD 0",IF(COUNTIF(nrES_RecID,$B959)&gt;1,"DUPLICATE RECORD",IF(N($K959)&gt;2,"ATTEMPT 3+ NOT ALLOWED - policy 300.5 permits one retest per exam; this row records nothing",IF(AND($K959=2,COUNTIFS(nrES_PID,$D959,nrES_Code,$F959,nrES_Att,1)=0),"ATTEMPT 2 WITHOUT ATTEMPT 1",IF(AND($K959=2,$L959=""),"RETEST ROW HAS NO SCORE",IF(AND($H959="Final",$L959&lt;&gt;"",IFERROR(INDEX(nrCKfinalExamElig,MATCH($D959,rngCadetPIDs,0)),"")="No"),"FINAL EXAM AFTER FAILED FINAL PT (500.1.H)",IF(AND($K959=2,ISNUMBER($L959),COUNTIFS(nrES_PID,$D959,nrES_Code,$F959,nrES_Att,1)&gt;0,SUMIFS(nrES_Raw,nrES_PID,$D959,nrES_Code,$F959,nrES_Att,1)&gt;=$J959),"RETEST AFTER A PASSING FIRST ATTEMPT","OK"))))))))))</f>
        <v/>
      </c>
      <c r="Y959" s="16" t="n"/>
    </row>
    <row r="960">
      <c r="B960" s="17">
        <f>IF($C960="","",$D960&amp;"-"&amp;$F960&amp;"-"&amp;$K960)</f>
        <v/>
      </c>
      <c r="C960" s="16" t="n"/>
      <c r="D960" s="17">
        <f>IF($C960="","",IFERROR(INDEX(rngCadetPIDs,MATCH($C960,rngCadetNames,0)),"?"))</f>
        <v/>
      </c>
      <c r="E960" s="17">
        <f>IF($D960="","",IFERROR(INDEX(nrCadetAgency,MATCH($D960,rngCadetPIDs,0)),""))</f>
        <v/>
      </c>
      <c r="F960" s="16" t="n"/>
      <c r="G960" s="17">
        <f>IF($F960="","",IFERROR(INDEX(rngEPname,MATCH($F960,rngEPcode,0)),"?"))</f>
        <v/>
      </c>
      <c r="H960" s="17">
        <f>IF($F960="","",IFERROR(INDEX(rngEPtype,MATCH($F960,rngEPcode,0)),"?"))</f>
        <v/>
      </c>
      <c r="I960" s="17">
        <f>IF($F960="","",IFERROR(INDEX(rngEPseq,MATCH($F960,rngEPcode,0)),""))</f>
        <v/>
      </c>
      <c r="J960" s="17">
        <f>IF($F960="","",IFERROR(INDEX(rngEPpass,MATCH($F960,rngEPcode,0)),cfgPassingScore))</f>
        <v/>
      </c>
      <c r="K960" s="16" t="n"/>
      <c r="L960" s="16" t="n"/>
      <c r="M960" s="17">
        <f>IF($C960="","",IF($L960="","",IF(NOT(ISNUMBER($L960)),$L960,IF(N($K960)&gt;2,"",IF($K960=1,IF(COUNTIFS(nrES_PID,$D960,nrES_Code,$F960,nrES_Att,2,nrES_Raw,"&gt;=0")&gt;0,"",$L960),IF($L960&gt;=$J960,MAX($J960,cfgRetakeRecordedCap),IF(COUNTIFS(nrES_PID,$D960,nrES_Code,$F960,nrES_Att,1)=0,$L960,SUMIFS(nrES_Raw,nrES_PID,$D960,nrES_Code,$F960,nrES_Att,1))))))))</f>
        <v/>
      </c>
      <c r="N960" s="17">
        <f>IF($C960="","",IF($L960="","",IF(NOT(ISNUMBER($L960)),"(not a score)",IF($L960&gt;=$J960,"Yes","No"))))</f>
        <v/>
      </c>
      <c r="O960" s="17">
        <f>IF($C960="","",IF($M960="","",IF(NOT(ISNUMBER($M960)),"(not a score)",IF($M960&gt;=$J960,"Yes","No"))))</f>
        <v/>
      </c>
      <c r="P960" s="17">
        <f>IF($C960="","",IF($K960="","",IF(N($K960)&gt;2,"No",IF(COUNTIFS(nrES_PID,$D960,nrES_Code,$F960,nrES_Att,"&gt;"&amp;$K960,nrES_Att,"&lt;=2",nrES_Raw,"&gt;=0")=0,"Yes","No"))))</f>
        <v/>
      </c>
      <c r="Q960" s="17">
        <f>IF($C960="","",IF($L960="","",IF(AND($K960=1,ISNUMBER($L960),$L960&lt;$J960,COUNTIFS(nrES_PID,$D960,nrES_Code,$F960,nrES_Att,2,nrES_Raw,"&gt;=0")=0),"Yes","No")))</f>
        <v/>
      </c>
      <c r="R960" s="17">
        <f>IF($C960="","",IF($L960="","",IF(AND(N($K960)&gt;=2,ISNUMBER($L960),$L960&lt;$J960),"Yes","No")))</f>
        <v/>
      </c>
      <c r="S960" s="18" t="n"/>
      <c r="T960" s="19">
        <f>IF(OR($C960="",$L960="",$K960&lt;&gt;1,NOT(ISNUMBER($L960)),$L960&gt;=$J960),"",IF($S960="","(enter date)",_xlfn.LET(_xlpm.dn,_xlfn.XLOOKUP($S960,nrCDdate,nrCDnum,"",1),IF(_xlpm.dn="","(after last class day)",_xlfn.LET(_xlpm.dd,_xlfn.XLOOKUP(_xlpm.dn+cfgRetestClassDays,nrCDnum,nrCDdate,""),_xlpm.ok,_xlfn.XLOOKUP(_xlpm.dn+cfgRetestClassDays,nrCDnum,nrCDinsession,"No"),IF(OR(_xlpm.dd="",_xlpm.ok&lt;&gt;"Yes"),"(after last class day)",_xlpm.dd))))))</f>
        <v/>
      </c>
      <c r="U960" s="17">
        <f>IF($C960="","",IF(AND($Y960="Excused",$L960="",N($K960)&lt;=1),"EXCUSED - 1st attempt pending",IF(OR($L960="",$K960&lt;&gt;1,NOT(ISNUMBER($L960)),$L960&gt;=$J960),"",IF(COUNTIFS(nrES_PID,$D960,nrES_Code,$F960,nrES_Att,2,nrES_Raw,"&gt;=0")&gt;0,IF(IFERROR(_xlfn.MINIFS(nrES_Date,nrES_PID,$D960,nrES_Code,$F960,nrES_Att,2,nrES_Raw,"&gt;=0",nrES_Date,"&gt;0"),0)=0,"RETEST UNDATED",IF(NOT(ISNUMBER($T960)),"RETEST DATE UNCHECKED",IF(_xlfn.MINIFS(nrES_Date,nrES_PID,$D960,nrES_Code,$F960,nrES_Att,2,nrES_Raw,"&gt;=0",nrES_Date,"&gt;0")&gt;$T960,"LATE RETEST "&amp;TEXT(_xlfn.MINIFS(nrES_Date,nrES_PID,$D960,nrES_Code,$F960,nrES_Att,2,nrES_Raw,"&gt;=0",nrES_Date,"&gt;0"),"mm/dd")&amp;" (due "&amp;TEXT($T960,"mm/dd")&amp;")","Retested"))),IF(NOT(ISNUMBER($T960)),"CHECK DATE",IF(TODAY()&gt;$T960,"OVERDUE","Due "&amp;TEXT($T960,"mm/dd")))))))</f>
        <v/>
      </c>
      <c r="V960" s="16" t="n"/>
      <c r="W960" s="16" t="n"/>
      <c r="X960" s="17">
        <f>IF($C960="","",IF(AND($L960&lt;&gt;"",NOT(ISNUMBER($L960))),"RAW SCORE NOT A NUMBER",IF(AND(ISNUMBER($L960),OR($L960&lt;0,$L960&gt;100)),"RAW SCORE OUT OF RANGE",IF(AND($Y960="Unexcused",OR($L960="",NOT(ISNUMBER($L960)),$L960&lt;&gt;0)),"UNEXCUSED ABSENCE MUST RECORD 0",IF(COUNTIF(nrES_RecID,$B960)&gt;1,"DUPLICATE RECORD",IF(N($K960)&gt;2,"ATTEMPT 3+ NOT ALLOWED - policy 300.5 permits one retest per exam; this row records nothing",IF(AND($K960=2,COUNTIFS(nrES_PID,$D960,nrES_Code,$F960,nrES_Att,1)=0),"ATTEMPT 2 WITHOUT ATTEMPT 1",IF(AND($K960=2,$L960=""),"RETEST ROW HAS NO SCORE",IF(AND($H960="Final",$L960&lt;&gt;"",IFERROR(INDEX(nrCKfinalExamElig,MATCH($D960,rngCadetPIDs,0)),"")="No"),"FINAL EXAM AFTER FAILED FINAL PT (500.1.H)",IF(AND($K960=2,ISNUMBER($L960),COUNTIFS(nrES_PID,$D960,nrES_Code,$F960,nrES_Att,1)&gt;0,SUMIFS(nrES_Raw,nrES_PID,$D960,nrES_Code,$F960,nrES_Att,1)&gt;=$J960),"RETEST AFTER A PASSING FIRST ATTEMPT","OK"))))))))))</f>
        <v/>
      </c>
      <c r="Y960" s="16" t="n"/>
    </row>
    <row r="961">
      <c r="B961" s="17">
        <f>IF($C961="","",$D961&amp;"-"&amp;$F961&amp;"-"&amp;$K961)</f>
        <v/>
      </c>
      <c r="C961" s="16" t="n"/>
      <c r="D961" s="17">
        <f>IF($C961="","",IFERROR(INDEX(rngCadetPIDs,MATCH($C961,rngCadetNames,0)),"?"))</f>
        <v/>
      </c>
      <c r="E961" s="17">
        <f>IF($D961="","",IFERROR(INDEX(nrCadetAgency,MATCH($D961,rngCadetPIDs,0)),""))</f>
        <v/>
      </c>
      <c r="F961" s="16" t="n"/>
      <c r="G961" s="17">
        <f>IF($F961="","",IFERROR(INDEX(rngEPname,MATCH($F961,rngEPcode,0)),"?"))</f>
        <v/>
      </c>
      <c r="H961" s="17">
        <f>IF($F961="","",IFERROR(INDEX(rngEPtype,MATCH($F961,rngEPcode,0)),"?"))</f>
        <v/>
      </c>
      <c r="I961" s="17">
        <f>IF($F961="","",IFERROR(INDEX(rngEPseq,MATCH($F961,rngEPcode,0)),""))</f>
        <v/>
      </c>
      <c r="J961" s="17">
        <f>IF($F961="","",IFERROR(INDEX(rngEPpass,MATCH($F961,rngEPcode,0)),cfgPassingScore))</f>
        <v/>
      </c>
      <c r="K961" s="16" t="n"/>
      <c r="L961" s="16" t="n"/>
      <c r="M961" s="17">
        <f>IF($C961="","",IF($L961="","",IF(NOT(ISNUMBER($L961)),$L961,IF(N($K961)&gt;2,"",IF($K961=1,IF(COUNTIFS(nrES_PID,$D961,nrES_Code,$F961,nrES_Att,2,nrES_Raw,"&gt;=0")&gt;0,"",$L961),IF($L961&gt;=$J961,MAX($J961,cfgRetakeRecordedCap),IF(COUNTIFS(nrES_PID,$D961,nrES_Code,$F961,nrES_Att,1)=0,$L961,SUMIFS(nrES_Raw,nrES_PID,$D961,nrES_Code,$F961,nrES_Att,1))))))))</f>
        <v/>
      </c>
      <c r="N961" s="17">
        <f>IF($C961="","",IF($L961="","",IF(NOT(ISNUMBER($L961)),"(not a score)",IF($L961&gt;=$J961,"Yes","No"))))</f>
        <v/>
      </c>
      <c r="O961" s="17">
        <f>IF($C961="","",IF($M961="","",IF(NOT(ISNUMBER($M961)),"(not a score)",IF($M961&gt;=$J961,"Yes","No"))))</f>
        <v/>
      </c>
      <c r="P961" s="17">
        <f>IF($C961="","",IF($K961="","",IF(N($K961)&gt;2,"No",IF(COUNTIFS(nrES_PID,$D961,nrES_Code,$F961,nrES_Att,"&gt;"&amp;$K961,nrES_Att,"&lt;=2",nrES_Raw,"&gt;=0")=0,"Yes","No"))))</f>
        <v/>
      </c>
      <c r="Q961" s="17">
        <f>IF($C961="","",IF($L961="","",IF(AND($K961=1,ISNUMBER($L961),$L961&lt;$J961,COUNTIFS(nrES_PID,$D961,nrES_Code,$F961,nrES_Att,2,nrES_Raw,"&gt;=0")=0),"Yes","No")))</f>
        <v/>
      </c>
      <c r="R961" s="17">
        <f>IF($C961="","",IF($L961="","",IF(AND(N($K961)&gt;=2,ISNUMBER($L961),$L961&lt;$J961),"Yes","No")))</f>
        <v/>
      </c>
      <c r="S961" s="18" t="n"/>
      <c r="T961" s="19">
        <f>IF(OR($C961="",$L961="",$K961&lt;&gt;1,NOT(ISNUMBER($L961)),$L961&gt;=$J961),"",IF($S961="","(enter date)",_xlfn.LET(_xlpm.dn,_xlfn.XLOOKUP($S961,nrCDdate,nrCDnum,"",1),IF(_xlpm.dn="","(after last class day)",_xlfn.LET(_xlpm.dd,_xlfn.XLOOKUP(_xlpm.dn+cfgRetestClassDays,nrCDnum,nrCDdate,""),_xlpm.ok,_xlfn.XLOOKUP(_xlpm.dn+cfgRetestClassDays,nrCDnum,nrCDinsession,"No"),IF(OR(_xlpm.dd="",_xlpm.ok&lt;&gt;"Yes"),"(after last class day)",_xlpm.dd))))))</f>
        <v/>
      </c>
      <c r="U961" s="17">
        <f>IF($C961="","",IF(AND($Y961="Excused",$L961="",N($K961)&lt;=1),"EXCUSED - 1st attempt pending",IF(OR($L961="",$K961&lt;&gt;1,NOT(ISNUMBER($L961)),$L961&gt;=$J961),"",IF(COUNTIFS(nrES_PID,$D961,nrES_Code,$F961,nrES_Att,2,nrES_Raw,"&gt;=0")&gt;0,IF(IFERROR(_xlfn.MINIFS(nrES_Date,nrES_PID,$D961,nrES_Code,$F961,nrES_Att,2,nrES_Raw,"&gt;=0",nrES_Date,"&gt;0"),0)=0,"RETEST UNDATED",IF(NOT(ISNUMBER($T961)),"RETEST DATE UNCHECKED",IF(_xlfn.MINIFS(nrES_Date,nrES_PID,$D961,nrES_Code,$F961,nrES_Att,2,nrES_Raw,"&gt;=0",nrES_Date,"&gt;0")&gt;$T961,"LATE RETEST "&amp;TEXT(_xlfn.MINIFS(nrES_Date,nrES_PID,$D961,nrES_Code,$F961,nrES_Att,2,nrES_Raw,"&gt;=0",nrES_Date,"&gt;0"),"mm/dd")&amp;" (due "&amp;TEXT($T961,"mm/dd")&amp;")","Retested"))),IF(NOT(ISNUMBER($T961)),"CHECK DATE",IF(TODAY()&gt;$T961,"OVERDUE","Due "&amp;TEXT($T961,"mm/dd")))))))</f>
        <v/>
      </c>
      <c r="V961" s="16" t="n"/>
      <c r="W961" s="16" t="n"/>
      <c r="X961" s="17">
        <f>IF($C961="","",IF(AND($L961&lt;&gt;"",NOT(ISNUMBER($L961))),"RAW SCORE NOT A NUMBER",IF(AND(ISNUMBER($L961),OR($L961&lt;0,$L961&gt;100)),"RAW SCORE OUT OF RANGE",IF(AND($Y961="Unexcused",OR($L961="",NOT(ISNUMBER($L961)),$L961&lt;&gt;0)),"UNEXCUSED ABSENCE MUST RECORD 0",IF(COUNTIF(nrES_RecID,$B961)&gt;1,"DUPLICATE RECORD",IF(N($K961)&gt;2,"ATTEMPT 3+ NOT ALLOWED - policy 300.5 permits one retest per exam; this row records nothing",IF(AND($K961=2,COUNTIFS(nrES_PID,$D961,nrES_Code,$F961,nrES_Att,1)=0),"ATTEMPT 2 WITHOUT ATTEMPT 1",IF(AND($K961=2,$L961=""),"RETEST ROW HAS NO SCORE",IF(AND($H961="Final",$L961&lt;&gt;"",IFERROR(INDEX(nrCKfinalExamElig,MATCH($D961,rngCadetPIDs,0)),"")="No"),"FINAL EXAM AFTER FAILED FINAL PT (500.1.H)",IF(AND($K961=2,ISNUMBER($L961),COUNTIFS(nrES_PID,$D961,nrES_Code,$F961,nrES_Att,1)&gt;0,SUMIFS(nrES_Raw,nrES_PID,$D961,nrES_Code,$F961,nrES_Att,1)&gt;=$J961),"RETEST AFTER A PASSING FIRST ATTEMPT","OK"))))))))))</f>
        <v/>
      </c>
      <c r="Y961" s="16" t="n"/>
    </row>
    <row r="962">
      <c r="B962" s="17">
        <f>IF($C962="","",$D962&amp;"-"&amp;$F962&amp;"-"&amp;$K962)</f>
        <v/>
      </c>
      <c r="C962" s="16" t="n"/>
      <c r="D962" s="17">
        <f>IF($C962="","",IFERROR(INDEX(rngCadetPIDs,MATCH($C962,rngCadetNames,0)),"?"))</f>
        <v/>
      </c>
      <c r="E962" s="17">
        <f>IF($D962="","",IFERROR(INDEX(nrCadetAgency,MATCH($D962,rngCadetPIDs,0)),""))</f>
        <v/>
      </c>
      <c r="F962" s="16" t="n"/>
      <c r="G962" s="17">
        <f>IF($F962="","",IFERROR(INDEX(rngEPname,MATCH($F962,rngEPcode,0)),"?"))</f>
        <v/>
      </c>
      <c r="H962" s="17">
        <f>IF($F962="","",IFERROR(INDEX(rngEPtype,MATCH($F962,rngEPcode,0)),"?"))</f>
        <v/>
      </c>
      <c r="I962" s="17">
        <f>IF($F962="","",IFERROR(INDEX(rngEPseq,MATCH($F962,rngEPcode,0)),""))</f>
        <v/>
      </c>
      <c r="J962" s="17">
        <f>IF($F962="","",IFERROR(INDEX(rngEPpass,MATCH($F962,rngEPcode,0)),cfgPassingScore))</f>
        <v/>
      </c>
      <c r="K962" s="16" t="n"/>
      <c r="L962" s="16" t="n"/>
      <c r="M962" s="17">
        <f>IF($C962="","",IF($L962="","",IF(NOT(ISNUMBER($L962)),$L962,IF(N($K962)&gt;2,"",IF($K962=1,IF(COUNTIFS(nrES_PID,$D962,nrES_Code,$F962,nrES_Att,2,nrES_Raw,"&gt;=0")&gt;0,"",$L962),IF($L962&gt;=$J962,MAX($J962,cfgRetakeRecordedCap),IF(COUNTIFS(nrES_PID,$D962,nrES_Code,$F962,nrES_Att,1)=0,$L962,SUMIFS(nrES_Raw,nrES_PID,$D962,nrES_Code,$F962,nrES_Att,1))))))))</f>
        <v/>
      </c>
      <c r="N962" s="17">
        <f>IF($C962="","",IF($L962="","",IF(NOT(ISNUMBER($L962)),"(not a score)",IF($L962&gt;=$J962,"Yes","No"))))</f>
        <v/>
      </c>
      <c r="O962" s="17">
        <f>IF($C962="","",IF($M962="","",IF(NOT(ISNUMBER($M962)),"(not a score)",IF($M962&gt;=$J962,"Yes","No"))))</f>
        <v/>
      </c>
      <c r="P962" s="17">
        <f>IF($C962="","",IF($K962="","",IF(N($K962)&gt;2,"No",IF(COUNTIFS(nrES_PID,$D962,nrES_Code,$F962,nrES_Att,"&gt;"&amp;$K962,nrES_Att,"&lt;=2",nrES_Raw,"&gt;=0")=0,"Yes","No"))))</f>
        <v/>
      </c>
      <c r="Q962" s="17">
        <f>IF($C962="","",IF($L962="","",IF(AND($K962=1,ISNUMBER($L962),$L962&lt;$J962,COUNTIFS(nrES_PID,$D962,nrES_Code,$F962,nrES_Att,2,nrES_Raw,"&gt;=0")=0),"Yes","No")))</f>
        <v/>
      </c>
      <c r="R962" s="17">
        <f>IF($C962="","",IF($L962="","",IF(AND(N($K962)&gt;=2,ISNUMBER($L962),$L962&lt;$J962),"Yes","No")))</f>
        <v/>
      </c>
      <c r="S962" s="18" t="n"/>
      <c r="T962" s="19">
        <f>IF(OR($C962="",$L962="",$K962&lt;&gt;1,NOT(ISNUMBER($L962)),$L962&gt;=$J962),"",IF($S962="","(enter date)",_xlfn.LET(_xlpm.dn,_xlfn.XLOOKUP($S962,nrCDdate,nrCDnum,"",1),IF(_xlpm.dn="","(after last class day)",_xlfn.LET(_xlpm.dd,_xlfn.XLOOKUP(_xlpm.dn+cfgRetestClassDays,nrCDnum,nrCDdate,""),_xlpm.ok,_xlfn.XLOOKUP(_xlpm.dn+cfgRetestClassDays,nrCDnum,nrCDinsession,"No"),IF(OR(_xlpm.dd="",_xlpm.ok&lt;&gt;"Yes"),"(after last class day)",_xlpm.dd))))))</f>
        <v/>
      </c>
      <c r="U962" s="17">
        <f>IF($C962="","",IF(AND($Y962="Excused",$L962="",N($K962)&lt;=1),"EXCUSED - 1st attempt pending",IF(OR($L962="",$K962&lt;&gt;1,NOT(ISNUMBER($L962)),$L962&gt;=$J962),"",IF(COUNTIFS(nrES_PID,$D962,nrES_Code,$F962,nrES_Att,2,nrES_Raw,"&gt;=0")&gt;0,IF(IFERROR(_xlfn.MINIFS(nrES_Date,nrES_PID,$D962,nrES_Code,$F962,nrES_Att,2,nrES_Raw,"&gt;=0",nrES_Date,"&gt;0"),0)=0,"RETEST UNDATED",IF(NOT(ISNUMBER($T962)),"RETEST DATE UNCHECKED",IF(_xlfn.MINIFS(nrES_Date,nrES_PID,$D962,nrES_Code,$F962,nrES_Att,2,nrES_Raw,"&gt;=0",nrES_Date,"&gt;0")&gt;$T962,"LATE RETEST "&amp;TEXT(_xlfn.MINIFS(nrES_Date,nrES_PID,$D962,nrES_Code,$F962,nrES_Att,2,nrES_Raw,"&gt;=0",nrES_Date,"&gt;0"),"mm/dd")&amp;" (due "&amp;TEXT($T962,"mm/dd")&amp;")","Retested"))),IF(NOT(ISNUMBER($T962)),"CHECK DATE",IF(TODAY()&gt;$T962,"OVERDUE","Due "&amp;TEXT($T962,"mm/dd")))))))</f>
        <v/>
      </c>
      <c r="V962" s="16" t="n"/>
      <c r="W962" s="16" t="n"/>
      <c r="X962" s="17">
        <f>IF($C962="","",IF(AND($L962&lt;&gt;"",NOT(ISNUMBER($L962))),"RAW SCORE NOT A NUMBER",IF(AND(ISNUMBER($L962),OR($L962&lt;0,$L962&gt;100)),"RAW SCORE OUT OF RANGE",IF(AND($Y962="Unexcused",OR($L962="",NOT(ISNUMBER($L962)),$L962&lt;&gt;0)),"UNEXCUSED ABSENCE MUST RECORD 0",IF(COUNTIF(nrES_RecID,$B962)&gt;1,"DUPLICATE RECORD",IF(N($K962)&gt;2,"ATTEMPT 3+ NOT ALLOWED - policy 300.5 permits one retest per exam; this row records nothing",IF(AND($K962=2,COUNTIFS(nrES_PID,$D962,nrES_Code,$F962,nrES_Att,1)=0),"ATTEMPT 2 WITHOUT ATTEMPT 1",IF(AND($K962=2,$L962=""),"RETEST ROW HAS NO SCORE",IF(AND($H962="Final",$L962&lt;&gt;"",IFERROR(INDEX(nrCKfinalExamElig,MATCH($D962,rngCadetPIDs,0)),"")="No"),"FINAL EXAM AFTER FAILED FINAL PT (500.1.H)",IF(AND($K962=2,ISNUMBER($L962),COUNTIFS(nrES_PID,$D962,nrES_Code,$F962,nrES_Att,1)&gt;0,SUMIFS(nrES_Raw,nrES_PID,$D962,nrES_Code,$F962,nrES_Att,1)&gt;=$J962),"RETEST AFTER A PASSING FIRST ATTEMPT","OK"))))))))))</f>
        <v/>
      </c>
      <c r="Y962" s="16" t="n"/>
    </row>
    <row r="963">
      <c r="B963" s="17">
        <f>IF($C963="","",$D963&amp;"-"&amp;$F963&amp;"-"&amp;$K963)</f>
        <v/>
      </c>
      <c r="C963" s="16" t="n"/>
      <c r="D963" s="17">
        <f>IF($C963="","",IFERROR(INDEX(rngCadetPIDs,MATCH($C963,rngCadetNames,0)),"?"))</f>
        <v/>
      </c>
      <c r="E963" s="17">
        <f>IF($D963="","",IFERROR(INDEX(nrCadetAgency,MATCH($D963,rngCadetPIDs,0)),""))</f>
        <v/>
      </c>
      <c r="F963" s="16" t="n"/>
      <c r="G963" s="17">
        <f>IF($F963="","",IFERROR(INDEX(rngEPname,MATCH($F963,rngEPcode,0)),"?"))</f>
        <v/>
      </c>
      <c r="H963" s="17">
        <f>IF($F963="","",IFERROR(INDEX(rngEPtype,MATCH($F963,rngEPcode,0)),"?"))</f>
        <v/>
      </c>
      <c r="I963" s="17">
        <f>IF($F963="","",IFERROR(INDEX(rngEPseq,MATCH($F963,rngEPcode,0)),""))</f>
        <v/>
      </c>
      <c r="J963" s="17">
        <f>IF($F963="","",IFERROR(INDEX(rngEPpass,MATCH($F963,rngEPcode,0)),cfgPassingScore))</f>
        <v/>
      </c>
      <c r="K963" s="16" t="n"/>
      <c r="L963" s="16" t="n"/>
      <c r="M963" s="17">
        <f>IF($C963="","",IF($L963="","",IF(NOT(ISNUMBER($L963)),$L963,IF(N($K963)&gt;2,"",IF($K963=1,IF(COUNTIFS(nrES_PID,$D963,nrES_Code,$F963,nrES_Att,2,nrES_Raw,"&gt;=0")&gt;0,"",$L963),IF($L963&gt;=$J963,MAX($J963,cfgRetakeRecordedCap),IF(COUNTIFS(nrES_PID,$D963,nrES_Code,$F963,nrES_Att,1)=0,$L963,SUMIFS(nrES_Raw,nrES_PID,$D963,nrES_Code,$F963,nrES_Att,1))))))))</f>
        <v/>
      </c>
      <c r="N963" s="17">
        <f>IF($C963="","",IF($L963="","",IF(NOT(ISNUMBER($L963)),"(not a score)",IF($L963&gt;=$J963,"Yes","No"))))</f>
        <v/>
      </c>
      <c r="O963" s="17">
        <f>IF($C963="","",IF($M963="","",IF(NOT(ISNUMBER($M963)),"(not a score)",IF($M963&gt;=$J963,"Yes","No"))))</f>
        <v/>
      </c>
      <c r="P963" s="17">
        <f>IF($C963="","",IF($K963="","",IF(N($K963)&gt;2,"No",IF(COUNTIFS(nrES_PID,$D963,nrES_Code,$F963,nrES_Att,"&gt;"&amp;$K963,nrES_Att,"&lt;=2",nrES_Raw,"&gt;=0")=0,"Yes","No"))))</f>
        <v/>
      </c>
      <c r="Q963" s="17">
        <f>IF($C963="","",IF($L963="","",IF(AND($K963=1,ISNUMBER($L963),$L963&lt;$J963,COUNTIFS(nrES_PID,$D963,nrES_Code,$F963,nrES_Att,2,nrES_Raw,"&gt;=0")=0),"Yes","No")))</f>
        <v/>
      </c>
      <c r="R963" s="17">
        <f>IF($C963="","",IF($L963="","",IF(AND(N($K963)&gt;=2,ISNUMBER($L963),$L963&lt;$J963),"Yes","No")))</f>
        <v/>
      </c>
      <c r="S963" s="18" t="n"/>
      <c r="T963" s="19">
        <f>IF(OR($C963="",$L963="",$K963&lt;&gt;1,NOT(ISNUMBER($L963)),$L963&gt;=$J963),"",IF($S963="","(enter date)",_xlfn.LET(_xlpm.dn,_xlfn.XLOOKUP($S963,nrCDdate,nrCDnum,"",1),IF(_xlpm.dn="","(after last class day)",_xlfn.LET(_xlpm.dd,_xlfn.XLOOKUP(_xlpm.dn+cfgRetestClassDays,nrCDnum,nrCDdate,""),_xlpm.ok,_xlfn.XLOOKUP(_xlpm.dn+cfgRetestClassDays,nrCDnum,nrCDinsession,"No"),IF(OR(_xlpm.dd="",_xlpm.ok&lt;&gt;"Yes"),"(after last class day)",_xlpm.dd))))))</f>
        <v/>
      </c>
      <c r="U963" s="17">
        <f>IF($C963="","",IF(AND($Y963="Excused",$L963="",N($K963)&lt;=1),"EXCUSED - 1st attempt pending",IF(OR($L963="",$K963&lt;&gt;1,NOT(ISNUMBER($L963)),$L963&gt;=$J963),"",IF(COUNTIFS(nrES_PID,$D963,nrES_Code,$F963,nrES_Att,2,nrES_Raw,"&gt;=0")&gt;0,IF(IFERROR(_xlfn.MINIFS(nrES_Date,nrES_PID,$D963,nrES_Code,$F963,nrES_Att,2,nrES_Raw,"&gt;=0",nrES_Date,"&gt;0"),0)=0,"RETEST UNDATED",IF(NOT(ISNUMBER($T963)),"RETEST DATE UNCHECKED",IF(_xlfn.MINIFS(nrES_Date,nrES_PID,$D963,nrES_Code,$F963,nrES_Att,2,nrES_Raw,"&gt;=0",nrES_Date,"&gt;0")&gt;$T963,"LATE RETEST "&amp;TEXT(_xlfn.MINIFS(nrES_Date,nrES_PID,$D963,nrES_Code,$F963,nrES_Att,2,nrES_Raw,"&gt;=0",nrES_Date,"&gt;0"),"mm/dd")&amp;" (due "&amp;TEXT($T963,"mm/dd")&amp;")","Retested"))),IF(NOT(ISNUMBER($T963)),"CHECK DATE",IF(TODAY()&gt;$T963,"OVERDUE","Due "&amp;TEXT($T963,"mm/dd")))))))</f>
        <v/>
      </c>
      <c r="V963" s="16" t="n"/>
      <c r="W963" s="16" t="n"/>
      <c r="X963" s="17">
        <f>IF($C963="","",IF(AND($L963&lt;&gt;"",NOT(ISNUMBER($L963))),"RAW SCORE NOT A NUMBER",IF(AND(ISNUMBER($L963),OR($L963&lt;0,$L963&gt;100)),"RAW SCORE OUT OF RANGE",IF(AND($Y963="Unexcused",OR($L963="",NOT(ISNUMBER($L963)),$L963&lt;&gt;0)),"UNEXCUSED ABSENCE MUST RECORD 0",IF(COUNTIF(nrES_RecID,$B963)&gt;1,"DUPLICATE RECORD",IF(N($K963)&gt;2,"ATTEMPT 3+ NOT ALLOWED - policy 300.5 permits one retest per exam; this row records nothing",IF(AND($K963=2,COUNTIFS(nrES_PID,$D963,nrES_Code,$F963,nrES_Att,1)=0),"ATTEMPT 2 WITHOUT ATTEMPT 1",IF(AND($K963=2,$L963=""),"RETEST ROW HAS NO SCORE",IF(AND($H963="Final",$L963&lt;&gt;"",IFERROR(INDEX(nrCKfinalExamElig,MATCH($D963,rngCadetPIDs,0)),"")="No"),"FINAL EXAM AFTER FAILED FINAL PT (500.1.H)",IF(AND($K963=2,ISNUMBER($L963),COUNTIFS(nrES_PID,$D963,nrES_Code,$F963,nrES_Att,1)&gt;0,SUMIFS(nrES_Raw,nrES_PID,$D963,nrES_Code,$F963,nrES_Att,1)&gt;=$J963),"RETEST AFTER A PASSING FIRST ATTEMPT","OK"))))))))))</f>
        <v/>
      </c>
      <c r="Y963" s="16" t="n"/>
    </row>
    <row r="964">
      <c r="B964" s="17">
        <f>IF($C964="","",$D964&amp;"-"&amp;$F964&amp;"-"&amp;$K964)</f>
        <v/>
      </c>
      <c r="C964" s="16" t="n"/>
      <c r="D964" s="17">
        <f>IF($C964="","",IFERROR(INDEX(rngCadetPIDs,MATCH($C964,rngCadetNames,0)),"?"))</f>
        <v/>
      </c>
      <c r="E964" s="17">
        <f>IF($D964="","",IFERROR(INDEX(nrCadetAgency,MATCH($D964,rngCadetPIDs,0)),""))</f>
        <v/>
      </c>
      <c r="F964" s="16" t="n"/>
      <c r="G964" s="17">
        <f>IF($F964="","",IFERROR(INDEX(rngEPname,MATCH($F964,rngEPcode,0)),"?"))</f>
        <v/>
      </c>
      <c r="H964" s="17">
        <f>IF($F964="","",IFERROR(INDEX(rngEPtype,MATCH($F964,rngEPcode,0)),"?"))</f>
        <v/>
      </c>
      <c r="I964" s="17">
        <f>IF($F964="","",IFERROR(INDEX(rngEPseq,MATCH($F964,rngEPcode,0)),""))</f>
        <v/>
      </c>
      <c r="J964" s="17">
        <f>IF($F964="","",IFERROR(INDEX(rngEPpass,MATCH($F964,rngEPcode,0)),cfgPassingScore))</f>
        <v/>
      </c>
      <c r="K964" s="16" t="n"/>
      <c r="L964" s="16" t="n"/>
      <c r="M964" s="17">
        <f>IF($C964="","",IF($L964="","",IF(NOT(ISNUMBER($L964)),$L964,IF(N($K964)&gt;2,"",IF($K964=1,IF(COUNTIFS(nrES_PID,$D964,nrES_Code,$F964,nrES_Att,2,nrES_Raw,"&gt;=0")&gt;0,"",$L964),IF($L964&gt;=$J964,MAX($J964,cfgRetakeRecordedCap),IF(COUNTIFS(nrES_PID,$D964,nrES_Code,$F964,nrES_Att,1)=0,$L964,SUMIFS(nrES_Raw,nrES_PID,$D964,nrES_Code,$F964,nrES_Att,1))))))))</f>
        <v/>
      </c>
      <c r="N964" s="17">
        <f>IF($C964="","",IF($L964="","",IF(NOT(ISNUMBER($L964)),"(not a score)",IF($L964&gt;=$J964,"Yes","No"))))</f>
        <v/>
      </c>
      <c r="O964" s="17">
        <f>IF($C964="","",IF($M964="","",IF(NOT(ISNUMBER($M964)),"(not a score)",IF($M964&gt;=$J964,"Yes","No"))))</f>
        <v/>
      </c>
      <c r="P964" s="17">
        <f>IF($C964="","",IF($K964="","",IF(N($K964)&gt;2,"No",IF(COUNTIFS(nrES_PID,$D964,nrES_Code,$F964,nrES_Att,"&gt;"&amp;$K964,nrES_Att,"&lt;=2",nrES_Raw,"&gt;=0")=0,"Yes","No"))))</f>
        <v/>
      </c>
      <c r="Q964" s="17">
        <f>IF($C964="","",IF($L964="","",IF(AND($K964=1,ISNUMBER($L964),$L964&lt;$J964,COUNTIFS(nrES_PID,$D964,nrES_Code,$F964,nrES_Att,2,nrES_Raw,"&gt;=0")=0),"Yes","No")))</f>
        <v/>
      </c>
      <c r="R964" s="17">
        <f>IF($C964="","",IF($L964="","",IF(AND(N($K964)&gt;=2,ISNUMBER($L964),$L964&lt;$J964),"Yes","No")))</f>
        <v/>
      </c>
      <c r="S964" s="18" t="n"/>
      <c r="T964" s="19">
        <f>IF(OR($C964="",$L964="",$K964&lt;&gt;1,NOT(ISNUMBER($L964)),$L964&gt;=$J964),"",IF($S964="","(enter date)",_xlfn.LET(_xlpm.dn,_xlfn.XLOOKUP($S964,nrCDdate,nrCDnum,"",1),IF(_xlpm.dn="","(after last class day)",_xlfn.LET(_xlpm.dd,_xlfn.XLOOKUP(_xlpm.dn+cfgRetestClassDays,nrCDnum,nrCDdate,""),_xlpm.ok,_xlfn.XLOOKUP(_xlpm.dn+cfgRetestClassDays,nrCDnum,nrCDinsession,"No"),IF(OR(_xlpm.dd="",_xlpm.ok&lt;&gt;"Yes"),"(after last class day)",_xlpm.dd))))))</f>
        <v/>
      </c>
      <c r="U964" s="17">
        <f>IF($C964="","",IF(AND($Y964="Excused",$L964="",N($K964)&lt;=1),"EXCUSED - 1st attempt pending",IF(OR($L964="",$K964&lt;&gt;1,NOT(ISNUMBER($L964)),$L964&gt;=$J964),"",IF(COUNTIFS(nrES_PID,$D964,nrES_Code,$F964,nrES_Att,2,nrES_Raw,"&gt;=0")&gt;0,IF(IFERROR(_xlfn.MINIFS(nrES_Date,nrES_PID,$D964,nrES_Code,$F964,nrES_Att,2,nrES_Raw,"&gt;=0",nrES_Date,"&gt;0"),0)=0,"RETEST UNDATED",IF(NOT(ISNUMBER($T964)),"RETEST DATE UNCHECKED",IF(_xlfn.MINIFS(nrES_Date,nrES_PID,$D964,nrES_Code,$F964,nrES_Att,2,nrES_Raw,"&gt;=0",nrES_Date,"&gt;0")&gt;$T964,"LATE RETEST "&amp;TEXT(_xlfn.MINIFS(nrES_Date,nrES_PID,$D964,nrES_Code,$F964,nrES_Att,2,nrES_Raw,"&gt;=0",nrES_Date,"&gt;0"),"mm/dd")&amp;" (due "&amp;TEXT($T964,"mm/dd")&amp;")","Retested"))),IF(NOT(ISNUMBER($T964)),"CHECK DATE",IF(TODAY()&gt;$T964,"OVERDUE","Due "&amp;TEXT($T964,"mm/dd")))))))</f>
        <v/>
      </c>
      <c r="V964" s="16" t="n"/>
      <c r="W964" s="16" t="n"/>
      <c r="X964" s="17">
        <f>IF($C964="","",IF(AND($L964&lt;&gt;"",NOT(ISNUMBER($L964))),"RAW SCORE NOT A NUMBER",IF(AND(ISNUMBER($L964),OR($L964&lt;0,$L964&gt;100)),"RAW SCORE OUT OF RANGE",IF(AND($Y964="Unexcused",OR($L964="",NOT(ISNUMBER($L964)),$L964&lt;&gt;0)),"UNEXCUSED ABSENCE MUST RECORD 0",IF(COUNTIF(nrES_RecID,$B964)&gt;1,"DUPLICATE RECORD",IF(N($K964)&gt;2,"ATTEMPT 3+ NOT ALLOWED - policy 300.5 permits one retest per exam; this row records nothing",IF(AND($K964=2,COUNTIFS(nrES_PID,$D964,nrES_Code,$F964,nrES_Att,1)=0),"ATTEMPT 2 WITHOUT ATTEMPT 1",IF(AND($K964=2,$L964=""),"RETEST ROW HAS NO SCORE",IF(AND($H964="Final",$L964&lt;&gt;"",IFERROR(INDEX(nrCKfinalExamElig,MATCH($D964,rngCadetPIDs,0)),"")="No"),"FINAL EXAM AFTER FAILED FINAL PT (500.1.H)",IF(AND($K964=2,ISNUMBER($L964),COUNTIFS(nrES_PID,$D964,nrES_Code,$F964,nrES_Att,1)&gt;0,SUMIFS(nrES_Raw,nrES_PID,$D964,nrES_Code,$F964,nrES_Att,1)&gt;=$J964),"RETEST AFTER A PASSING FIRST ATTEMPT","OK"))))))))))</f>
        <v/>
      </c>
      <c r="Y964" s="16" t="n"/>
    </row>
    <row r="965">
      <c r="B965" s="17">
        <f>IF($C965="","",$D965&amp;"-"&amp;$F965&amp;"-"&amp;$K965)</f>
        <v/>
      </c>
      <c r="C965" s="16" t="n"/>
      <c r="D965" s="17">
        <f>IF($C965="","",IFERROR(INDEX(rngCadetPIDs,MATCH($C965,rngCadetNames,0)),"?"))</f>
        <v/>
      </c>
      <c r="E965" s="17">
        <f>IF($D965="","",IFERROR(INDEX(nrCadetAgency,MATCH($D965,rngCadetPIDs,0)),""))</f>
        <v/>
      </c>
      <c r="F965" s="16" t="n"/>
      <c r="G965" s="17">
        <f>IF($F965="","",IFERROR(INDEX(rngEPname,MATCH($F965,rngEPcode,0)),"?"))</f>
        <v/>
      </c>
      <c r="H965" s="17">
        <f>IF($F965="","",IFERROR(INDEX(rngEPtype,MATCH($F965,rngEPcode,0)),"?"))</f>
        <v/>
      </c>
      <c r="I965" s="17">
        <f>IF($F965="","",IFERROR(INDEX(rngEPseq,MATCH($F965,rngEPcode,0)),""))</f>
        <v/>
      </c>
      <c r="J965" s="17">
        <f>IF($F965="","",IFERROR(INDEX(rngEPpass,MATCH($F965,rngEPcode,0)),cfgPassingScore))</f>
        <v/>
      </c>
      <c r="K965" s="16" t="n"/>
      <c r="L965" s="16" t="n"/>
      <c r="M965" s="17">
        <f>IF($C965="","",IF($L965="","",IF(NOT(ISNUMBER($L965)),$L965,IF(N($K965)&gt;2,"",IF($K965=1,IF(COUNTIFS(nrES_PID,$D965,nrES_Code,$F965,nrES_Att,2,nrES_Raw,"&gt;=0")&gt;0,"",$L965),IF($L965&gt;=$J965,MAX($J965,cfgRetakeRecordedCap),IF(COUNTIFS(nrES_PID,$D965,nrES_Code,$F965,nrES_Att,1)=0,$L965,SUMIFS(nrES_Raw,nrES_PID,$D965,nrES_Code,$F965,nrES_Att,1))))))))</f>
        <v/>
      </c>
      <c r="N965" s="17">
        <f>IF($C965="","",IF($L965="","",IF(NOT(ISNUMBER($L965)),"(not a score)",IF($L965&gt;=$J965,"Yes","No"))))</f>
        <v/>
      </c>
      <c r="O965" s="17">
        <f>IF($C965="","",IF($M965="","",IF(NOT(ISNUMBER($M965)),"(not a score)",IF($M965&gt;=$J965,"Yes","No"))))</f>
        <v/>
      </c>
      <c r="P965" s="17">
        <f>IF($C965="","",IF($K965="","",IF(N($K965)&gt;2,"No",IF(COUNTIFS(nrES_PID,$D965,nrES_Code,$F965,nrES_Att,"&gt;"&amp;$K965,nrES_Att,"&lt;=2",nrES_Raw,"&gt;=0")=0,"Yes","No"))))</f>
        <v/>
      </c>
      <c r="Q965" s="17">
        <f>IF($C965="","",IF($L965="","",IF(AND($K965=1,ISNUMBER($L965),$L965&lt;$J965,COUNTIFS(nrES_PID,$D965,nrES_Code,$F965,nrES_Att,2,nrES_Raw,"&gt;=0")=0),"Yes","No")))</f>
        <v/>
      </c>
      <c r="R965" s="17">
        <f>IF($C965="","",IF($L965="","",IF(AND(N($K965)&gt;=2,ISNUMBER($L965),$L965&lt;$J965),"Yes","No")))</f>
        <v/>
      </c>
      <c r="S965" s="18" t="n"/>
      <c r="T965" s="19">
        <f>IF(OR($C965="",$L965="",$K965&lt;&gt;1,NOT(ISNUMBER($L965)),$L965&gt;=$J965),"",IF($S965="","(enter date)",_xlfn.LET(_xlpm.dn,_xlfn.XLOOKUP($S965,nrCDdate,nrCDnum,"",1),IF(_xlpm.dn="","(after last class day)",_xlfn.LET(_xlpm.dd,_xlfn.XLOOKUP(_xlpm.dn+cfgRetestClassDays,nrCDnum,nrCDdate,""),_xlpm.ok,_xlfn.XLOOKUP(_xlpm.dn+cfgRetestClassDays,nrCDnum,nrCDinsession,"No"),IF(OR(_xlpm.dd="",_xlpm.ok&lt;&gt;"Yes"),"(after last class day)",_xlpm.dd))))))</f>
        <v/>
      </c>
      <c r="U965" s="17">
        <f>IF($C965="","",IF(AND($Y965="Excused",$L965="",N($K965)&lt;=1),"EXCUSED - 1st attempt pending",IF(OR($L965="",$K965&lt;&gt;1,NOT(ISNUMBER($L965)),$L965&gt;=$J965),"",IF(COUNTIFS(nrES_PID,$D965,nrES_Code,$F965,nrES_Att,2,nrES_Raw,"&gt;=0")&gt;0,IF(IFERROR(_xlfn.MINIFS(nrES_Date,nrES_PID,$D965,nrES_Code,$F965,nrES_Att,2,nrES_Raw,"&gt;=0",nrES_Date,"&gt;0"),0)=0,"RETEST UNDATED",IF(NOT(ISNUMBER($T965)),"RETEST DATE UNCHECKED",IF(_xlfn.MINIFS(nrES_Date,nrES_PID,$D965,nrES_Code,$F965,nrES_Att,2,nrES_Raw,"&gt;=0",nrES_Date,"&gt;0")&gt;$T965,"LATE RETEST "&amp;TEXT(_xlfn.MINIFS(nrES_Date,nrES_PID,$D965,nrES_Code,$F965,nrES_Att,2,nrES_Raw,"&gt;=0",nrES_Date,"&gt;0"),"mm/dd")&amp;" (due "&amp;TEXT($T965,"mm/dd")&amp;")","Retested"))),IF(NOT(ISNUMBER($T965)),"CHECK DATE",IF(TODAY()&gt;$T965,"OVERDUE","Due "&amp;TEXT($T965,"mm/dd")))))))</f>
        <v/>
      </c>
      <c r="V965" s="16" t="n"/>
      <c r="W965" s="16" t="n"/>
      <c r="X965" s="17">
        <f>IF($C965="","",IF(AND($L965&lt;&gt;"",NOT(ISNUMBER($L965))),"RAW SCORE NOT A NUMBER",IF(AND(ISNUMBER($L965),OR($L965&lt;0,$L965&gt;100)),"RAW SCORE OUT OF RANGE",IF(AND($Y965="Unexcused",OR($L965="",NOT(ISNUMBER($L965)),$L965&lt;&gt;0)),"UNEXCUSED ABSENCE MUST RECORD 0",IF(COUNTIF(nrES_RecID,$B965)&gt;1,"DUPLICATE RECORD",IF(N($K965)&gt;2,"ATTEMPT 3+ NOT ALLOWED - policy 300.5 permits one retest per exam; this row records nothing",IF(AND($K965=2,COUNTIFS(nrES_PID,$D965,nrES_Code,$F965,nrES_Att,1)=0),"ATTEMPT 2 WITHOUT ATTEMPT 1",IF(AND($K965=2,$L965=""),"RETEST ROW HAS NO SCORE",IF(AND($H965="Final",$L965&lt;&gt;"",IFERROR(INDEX(nrCKfinalExamElig,MATCH($D965,rngCadetPIDs,0)),"")="No"),"FINAL EXAM AFTER FAILED FINAL PT (500.1.H)",IF(AND($K965=2,ISNUMBER($L965),COUNTIFS(nrES_PID,$D965,nrES_Code,$F965,nrES_Att,1)&gt;0,SUMIFS(nrES_Raw,nrES_PID,$D965,nrES_Code,$F965,nrES_Att,1)&gt;=$J965),"RETEST AFTER A PASSING FIRST ATTEMPT","OK"))))))))))</f>
        <v/>
      </c>
      <c r="Y965" s="16" t="n"/>
    </row>
    <row r="966">
      <c r="B966" s="17">
        <f>IF($C966="","",$D966&amp;"-"&amp;$F966&amp;"-"&amp;$K966)</f>
        <v/>
      </c>
      <c r="C966" s="16" t="n"/>
      <c r="D966" s="17">
        <f>IF($C966="","",IFERROR(INDEX(rngCadetPIDs,MATCH($C966,rngCadetNames,0)),"?"))</f>
        <v/>
      </c>
      <c r="E966" s="17">
        <f>IF($D966="","",IFERROR(INDEX(nrCadetAgency,MATCH($D966,rngCadetPIDs,0)),""))</f>
        <v/>
      </c>
      <c r="F966" s="16" t="n"/>
      <c r="G966" s="17">
        <f>IF($F966="","",IFERROR(INDEX(rngEPname,MATCH($F966,rngEPcode,0)),"?"))</f>
        <v/>
      </c>
      <c r="H966" s="17">
        <f>IF($F966="","",IFERROR(INDEX(rngEPtype,MATCH($F966,rngEPcode,0)),"?"))</f>
        <v/>
      </c>
      <c r="I966" s="17">
        <f>IF($F966="","",IFERROR(INDEX(rngEPseq,MATCH($F966,rngEPcode,0)),""))</f>
        <v/>
      </c>
      <c r="J966" s="17">
        <f>IF($F966="","",IFERROR(INDEX(rngEPpass,MATCH($F966,rngEPcode,0)),cfgPassingScore))</f>
        <v/>
      </c>
      <c r="K966" s="16" t="n"/>
      <c r="L966" s="16" t="n"/>
      <c r="M966" s="17">
        <f>IF($C966="","",IF($L966="","",IF(NOT(ISNUMBER($L966)),$L966,IF(N($K966)&gt;2,"",IF($K966=1,IF(COUNTIFS(nrES_PID,$D966,nrES_Code,$F966,nrES_Att,2,nrES_Raw,"&gt;=0")&gt;0,"",$L966),IF($L966&gt;=$J966,MAX($J966,cfgRetakeRecordedCap),IF(COUNTIFS(nrES_PID,$D966,nrES_Code,$F966,nrES_Att,1)=0,$L966,SUMIFS(nrES_Raw,nrES_PID,$D966,nrES_Code,$F966,nrES_Att,1))))))))</f>
        <v/>
      </c>
      <c r="N966" s="17">
        <f>IF($C966="","",IF($L966="","",IF(NOT(ISNUMBER($L966)),"(not a score)",IF($L966&gt;=$J966,"Yes","No"))))</f>
        <v/>
      </c>
      <c r="O966" s="17">
        <f>IF($C966="","",IF($M966="","",IF(NOT(ISNUMBER($M966)),"(not a score)",IF($M966&gt;=$J966,"Yes","No"))))</f>
        <v/>
      </c>
      <c r="P966" s="17">
        <f>IF($C966="","",IF($K966="","",IF(N($K966)&gt;2,"No",IF(COUNTIFS(nrES_PID,$D966,nrES_Code,$F966,nrES_Att,"&gt;"&amp;$K966,nrES_Att,"&lt;=2",nrES_Raw,"&gt;=0")=0,"Yes","No"))))</f>
        <v/>
      </c>
      <c r="Q966" s="17">
        <f>IF($C966="","",IF($L966="","",IF(AND($K966=1,ISNUMBER($L966),$L966&lt;$J966,COUNTIFS(nrES_PID,$D966,nrES_Code,$F966,nrES_Att,2,nrES_Raw,"&gt;=0")=0),"Yes","No")))</f>
        <v/>
      </c>
      <c r="R966" s="17">
        <f>IF($C966="","",IF($L966="","",IF(AND(N($K966)&gt;=2,ISNUMBER($L966),$L966&lt;$J966),"Yes","No")))</f>
        <v/>
      </c>
      <c r="S966" s="18" t="n"/>
      <c r="T966" s="19">
        <f>IF(OR($C966="",$L966="",$K966&lt;&gt;1,NOT(ISNUMBER($L966)),$L966&gt;=$J966),"",IF($S966="","(enter date)",_xlfn.LET(_xlpm.dn,_xlfn.XLOOKUP($S966,nrCDdate,nrCDnum,"",1),IF(_xlpm.dn="","(after last class day)",_xlfn.LET(_xlpm.dd,_xlfn.XLOOKUP(_xlpm.dn+cfgRetestClassDays,nrCDnum,nrCDdate,""),_xlpm.ok,_xlfn.XLOOKUP(_xlpm.dn+cfgRetestClassDays,nrCDnum,nrCDinsession,"No"),IF(OR(_xlpm.dd="",_xlpm.ok&lt;&gt;"Yes"),"(after last class day)",_xlpm.dd))))))</f>
        <v/>
      </c>
      <c r="U966" s="17">
        <f>IF($C966="","",IF(AND($Y966="Excused",$L966="",N($K966)&lt;=1),"EXCUSED - 1st attempt pending",IF(OR($L966="",$K966&lt;&gt;1,NOT(ISNUMBER($L966)),$L966&gt;=$J966),"",IF(COUNTIFS(nrES_PID,$D966,nrES_Code,$F966,nrES_Att,2,nrES_Raw,"&gt;=0")&gt;0,IF(IFERROR(_xlfn.MINIFS(nrES_Date,nrES_PID,$D966,nrES_Code,$F966,nrES_Att,2,nrES_Raw,"&gt;=0",nrES_Date,"&gt;0"),0)=0,"RETEST UNDATED",IF(NOT(ISNUMBER($T966)),"RETEST DATE UNCHECKED",IF(_xlfn.MINIFS(nrES_Date,nrES_PID,$D966,nrES_Code,$F966,nrES_Att,2,nrES_Raw,"&gt;=0",nrES_Date,"&gt;0")&gt;$T966,"LATE RETEST "&amp;TEXT(_xlfn.MINIFS(nrES_Date,nrES_PID,$D966,nrES_Code,$F966,nrES_Att,2,nrES_Raw,"&gt;=0",nrES_Date,"&gt;0"),"mm/dd")&amp;" (due "&amp;TEXT($T966,"mm/dd")&amp;")","Retested"))),IF(NOT(ISNUMBER($T966)),"CHECK DATE",IF(TODAY()&gt;$T966,"OVERDUE","Due "&amp;TEXT($T966,"mm/dd")))))))</f>
        <v/>
      </c>
      <c r="V966" s="16" t="n"/>
      <c r="W966" s="16" t="n"/>
      <c r="X966" s="17">
        <f>IF($C966="","",IF(AND($L966&lt;&gt;"",NOT(ISNUMBER($L966))),"RAW SCORE NOT A NUMBER",IF(AND(ISNUMBER($L966),OR($L966&lt;0,$L966&gt;100)),"RAW SCORE OUT OF RANGE",IF(AND($Y966="Unexcused",OR($L966="",NOT(ISNUMBER($L966)),$L966&lt;&gt;0)),"UNEXCUSED ABSENCE MUST RECORD 0",IF(COUNTIF(nrES_RecID,$B966)&gt;1,"DUPLICATE RECORD",IF(N($K966)&gt;2,"ATTEMPT 3+ NOT ALLOWED - policy 300.5 permits one retest per exam; this row records nothing",IF(AND($K966=2,COUNTIFS(nrES_PID,$D966,nrES_Code,$F966,nrES_Att,1)=0),"ATTEMPT 2 WITHOUT ATTEMPT 1",IF(AND($K966=2,$L966=""),"RETEST ROW HAS NO SCORE",IF(AND($H966="Final",$L966&lt;&gt;"",IFERROR(INDEX(nrCKfinalExamElig,MATCH($D966,rngCadetPIDs,0)),"")="No"),"FINAL EXAM AFTER FAILED FINAL PT (500.1.H)",IF(AND($K966=2,ISNUMBER($L966),COUNTIFS(nrES_PID,$D966,nrES_Code,$F966,nrES_Att,1)&gt;0,SUMIFS(nrES_Raw,nrES_PID,$D966,nrES_Code,$F966,nrES_Att,1)&gt;=$J966),"RETEST AFTER A PASSING FIRST ATTEMPT","OK"))))))))))</f>
        <v/>
      </c>
      <c r="Y966" s="16" t="n"/>
    </row>
    <row r="967">
      <c r="B967" s="17">
        <f>IF($C967="","",$D967&amp;"-"&amp;$F967&amp;"-"&amp;$K967)</f>
        <v/>
      </c>
      <c r="C967" s="16" t="n"/>
      <c r="D967" s="17">
        <f>IF($C967="","",IFERROR(INDEX(rngCadetPIDs,MATCH($C967,rngCadetNames,0)),"?"))</f>
        <v/>
      </c>
      <c r="E967" s="17">
        <f>IF($D967="","",IFERROR(INDEX(nrCadetAgency,MATCH($D967,rngCadetPIDs,0)),""))</f>
        <v/>
      </c>
      <c r="F967" s="16" t="n"/>
      <c r="G967" s="17">
        <f>IF($F967="","",IFERROR(INDEX(rngEPname,MATCH($F967,rngEPcode,0)),"?"))</f>
        <v/>
      </c>
      <c r="H967" s="17">
        <f>IF($F967="","",IFERROR(INDEX(rngEPtype,MATCH($F967,rngEPcode,0)),"?"))</f>
        <v/>
      </c>
      <c r="I967" s="17">
        <f>IF($F967="","",IFERROR(INDEX(rngEPseq,MATCH($F967,rngEPcode,0)),""))</f>
        <v/>
      </c>
      <c r="J967" s="17">
        <f>IF($F967="","",IFERROR(INDEX(rngEPpass,MATCH($F967,rngEPcode,0)),cfgPassingScore))</f>
        <v/>
      </c>
      <c r="K967" s="16" t="n"/>
      <c r="L967" s="16" t="n"/>
      <c r="M967" s="17">
        <f>IF($C967="","",IF($L967="","",IF(NOT(ISNUMBER($L967)),$L967,IF(N($K967)&gt;2,"",IF($K967=1,IF(COUNTIFS(nrES_PID,$D967,nrES_Code,$F967,nrES_Att,2,nrES_Raw,"&gt;=0")&gt;0,"",$L967),IF($L967&gt;=$J967,MAX($J967,cfgRetakeRecordedCap),IF(COUNTIFS(nrES_PID,$D967,nrES_Code,$F967,nrES_Att,1)=0,$L967,SUMIFS(nrES_Raw,nrES_PID,$D967,nrES_Code,$F967,nrES_Att,1))))))))</f>
        <v/>
      </c>
      <c r="N967" s="17">
        <f>IF($C967="","",IF($L967="","",IF(NOT(ISNUMBER($L967)),"(not a score)",IF($L967&gt;=$J967,"Yes","No"))))</f>
        <v/>
      </c>
      <c r="O967" s="17">
        <f>IF($C967="","",IF($M967="","",IF(NOT(ISNUMBER($M967)),"(not a score)",IF($M967&gt;=$J967,"Yes","No"))))</f>
        <v/>
      </c>
      <c r="P967" s="17">
        <f>IF($C967="","",IF($K967="","",IF(N($K967)&gt;2,"No",IF(COUNTIFS(nrES_PID,$D967,nrES_Code,$F967,nrES_Att,"&gt;"&amp;$K967,nrES_Att,"&lt;=2",nrES_Raw,"&gt;=0")=0,"Yes","No"))))</f>
        <v/>
      </c>
      <c r="Q967" s="17">
        <f>IF($C967="","",IF($L967="","",IF(AND($K967=1,ISNUMBER($L967),$L967&lt;$J967,COUNTIFS(nrES_PID,$D967,nrES_Code,$F967,nrES_Att,2,nrES_Raw,"&gt;=0")=0),"Yes","No")))</f>
        <v/>
      </c>
      <c r="R967" s="17">
        <f>IF($C967="","",IF($L967="","",IF(AND(N($K967)&gt;=2,ISNUMBER($L967),$L967&lt;$J967),"Yes","No")))</f>
        <v/>
      </c>
      <c r="S967" s="18" t="n"/>
      <c r="T967" s="19">
        <f>IF(OR($C967="",$L967="",$K967&lt;&gt;1,NOT(ISNUMBER($L967)),$L967&gt;=$J967),"",IF($S967="","(enter date)",_xlfn.LET(_xlpm.dn,_xlfn.XLOOKUP($S967,nrCDdate,nrCDnum,"",1),IF(_xlpm.dn="","(after last class day)",_xlfn.LET(_xlpm.dd,_xlfn.XLOOKUP(_xlpm.dn+cfgRetestClassDays,nrCDnum,nrCDdate,""),_xlpm.ok,_xlfn.XLOOKUP(_xlpm.dn+cfgRetestClassDays,nrCDnum,nrCDinsession,"No"),IF(OR(_xlpm.dd="",_xlpm.ok&lt;&gt;"Yes"),"(after last class day)",_xlpm.dd))))))</f>
        <v/>
      </c>
      <c r="U967" s="17">
        <f>IF($C967="","",IF(AND($Y967="Excused",$L967="",N($K967)&lt;=1),"EXCUSED - 1st attempt pending",IF(OR($L967="",$K967&lt;&gt;1,NOT(ISNUMBER($L967)),$L967&gt;=$J967),"",IF(COUNTIFS(nrES_PID,$D967,nrES_Code,$F967,nrES_Att,2,nrES_Raw,"&gt;=0")&gt;0,IF(IFERROR(_xlfn.MINIFS(nrES_Date,nrES_PID,$D967,nrES_Code,$F967,nrES_Att,2,nrES_Raw,"&gt;=0",nrES_Date,"&gt;0"),0)=0,"RETEST UNDATED",IF(NOT(ISNUMBER($T967)),"RETEST DATE UNCHECKED",IF(_xlfn.MINIFS(nrES_Date,nrES_PID,$D967,nrES_Code,$F967,nrES_Att,2,nrES_Raw,"&gt;=0",nrES_Date,"&gt;0")&gt;$T967,"LATE RETEST "&amp;TEXT(_xlfn.MINIFS(nrES_Date,nrES_PID,$D967,nrES_Code,$F967,nrES_Att,2,nrES_Raw,"&gt;=0",nrES_Date,"&gt;0"),"mm/dd")&amp;" (due "&amp;TEXT($T967,"mm/dd")&amp;")","Retested"))),IF(NOT(ISNUMBER($T967)),"CHECK DATE",IF(TODAY()&gt;$T967,"OVERDUE","Due "&amp;TEXT($T967,"mm/dd")))))))</f>
        <v/>
      </c>
      <c r="V967" s="16" t="n"/>
      <c r="W967" s="16" t="n"/>
      <c r="X967" s="17">
        <f>IF($C967="","",IF(AND($L967&lt;&gt;"",NOT(ISNUMBER($L967))),"RAW SCORE NOT A NUMBER",IF(AND(ISNUMBER($L967),OR($L967&lt;0,$L967&gt;100)),"RAW SCORE OUT OF RANGE",IF(AND($Y967="Unexcused",OR($L967="",NOT(ISNUMBER($L967)),$L967&lt;&gt;0)),"UNEXCUSED ABSENCE MUST RECORD 0",IF(COUNTIF(nrES_RecID,$B967)&gt;1,"DUPLICATE RECORD",IF(N($K967)&gt;2,"ATTEMPT 3+ NOT ALLOWED - policy 300.5 permits one retest per exam; this row records nothing",IF(AND($K967=2,COUNTIFS(nrES_PID,$D967,nrES_Code,$F967,nrES_Att,1)=0),"ATTEMPT 2 WITHOUT ATTEMPT 1",IF(AND($K967=2,$L967=""),"RETEST ROW HAS NO SCORE",IF(AND($H967="Final",$L967&lt;&gt;"",IFERROR(INDEX(nrCKfinalExamElig,MATCH($D967,rngCadetPIDs,0)),"")="No"),"FINAL EXAM AFTER FAILED FINAL PT (500.1.H)",IF(AND($K967=2,ISNUMBER($L967),COUNTIFS(nrES_PID,$D967,nrES_Code,$F967,nrES_Att,1)&gt;0,SUMIFS(nrES_Raw,nrES_PID,$D967,nrES_Code,$F967,nrES_Att,1)&gt;=$J967),"RETEST AFTER A PASSING FIRST ATTEMPT","OK"))))))))))</f>
        <v/>
      </c>
      <c r="Y967" s="16" t="n"/>
    </row>
    <row r="968">
      <c r="B968" s="17">
        <f>IF($C968="","",$D968&amp;"-"&amp;$F968&amp;"-"&amp;$K968)</f>
        <v/>
      </c>
      <c r="C968" s="16" t="n"/>
      <c r="D968" s="17">
        <f>IF($C968="","",IFERROR(INDEX(rngCadetPIDs,MATCH($C968,rngCadetNames,0)),"?"))</f>
        <v/>
      </c>
      <c r="E968" s="17">
        <f>IF($D968="","",IFERROR(INDEX(nrCadetAgency,MATCH($D968,rngCadetPIDs,0)),""))</f>
        <v/>
      </c>
      <c r="F968" s="16" t="n"/>
      <c r="G968" s="17">
        <f>IF($F968="","",IFERROR(INDEX(rngEPname,MATCH($F968,rngEPcode,0)),"?"))</f>
        <v/>
      </c>
      <c r="H968" s="17">
        <f>IF($F968="","",IFERROR(INDEX(rngEPtype,MATCH($F968,rngEPcode,0)),"?"))</f>
        <v/>
      </c>
      <c r="I968" s="17">
        <f>IF($F968="","",IFERROR(INDEX(rngEPseq,MATCH($F968,rngEPcode,0)),""))</f>
        <v/>
      </c>
      <c r="J968" s="17">
        <f>IF($F968="","",IFERROR(INDEX(rngEPpass,MATCH($F968,rngEPcode,0)),cfgPassingScore))</f>
        <v/>
      </c>
      <c r="K968" s="16" t="n"/>
      <c r="L968" s="16" t="n"/>
      <c r="M968" s="17">
        <f>IF($C968="","",IF($L968="","",IF(NOT(ISNUMBER($L968)),$L968,IF(N($K968)&gt;2,"",IF($K968=1,IF(COUNTIFS(nrES_PID,$D968,nrES_Code,$F968,nrES_Att,2,nrES_Raw,"&gt;=0")&gt;0,"",$L968),IF($L968&gt;=$J968,MAX($J968,cfgRetakeRecordedCap),IF(COUNTIFS(nrES_PID,$D968,nrES_Code,$F968,nrES_Att,1)=0,$L968,SUMIFS(nrES_Raw,nrES_PID,$D968,nrES_Code,$F968,nrES_Att,1))))))))</f>
        <v/>
      </c>
      <c r="N968" s="17">
        <f>IF($C968="","",IF($L968="","",IF(NOT(ISNUMBER($L968)),"(not a score)",IF($L968&gt;=$J968,"Yes","No"))))</f>
        <v/>
      </c>
      <c r="O968" s="17">
        <f>IF($C968="","",IF($M968="","",IF(NOT(ISNUMBER($M968)),"(not a score)",IF($M968&gt;=$J968,"Yes","No"))))</f>
        <v/>
      </c>
      <c r="P968" s="17">
        <f>IF($C968="","",IF($K968="","",IF(N($K968)&gt;2,"No",IF(COUNTIFS(nrES_PID,$D968,nrES_Code,$F968,nrES_Att,"&gt;"&amp;$K968,nrES_Att,"&lt;=2",nrES_Raw,"&gt;=0")=0,"Yes","No"))))</f>
        <v/>
      </c>
      <c r="Q968" s="17">
        <f>IF($C968="","",IF($L968="","",IF(AND($K968=1,ISNUMBER($L968),$L968&lt;$J968,COUNTIFS(nrES_PID,$D968,nrES_Code,$F968,nrES_Att,2,nrES_Raw,"&gt;=0")=0),"Yes","No")))</f>
        <v/>
      </c>
      <c r="R968" s="17">
        <f>IF($C968="","",IF($L968="","",IF(AND(N($K968)&gt;=2,ISNUMBER($L968),$L968&lt;$J968),"Yes","No")))</f>
        <v/>
      </c>
      <c r="S968" s="18" t="n"/>
      <c r="T968" s="19">
        <f>IF(OR($C968="",$L968="",$K968&lt;&gt;1,NOT(ISNUMBER($L968)),$L968&gt;=$J968),"",IF($S968="","(enter date)",_xlfn.LET(_xlpm.dn,_xlfn.XLOOKUP($S968,nrCDdate,nrCDnum,"",1),IF(_xlpm.dn="","(after last class day)",_xlfn.LET(_xlpm.dd,_xlfn.XLOOKUP(_xlpm.dn+cfgRetestClassDays,nrCDnum,nrCDdate,""),_xlpm.ok,_xlfn.XLOOKUP(_xlpm.dn+cfgRetestClassDays,nrCDnum,nrCDinsession,"No"),IF(OR(_xlpm.dd="",_xlpm.ok&lt;&gt;"Yes"),"(after last class day)",_xlpm.dd))))))</f>
        <v/>
      </c>
      <c r="U968" s="17">
        <f>IF($C968="","",IF(AND($Y968="Excused",$L968="",N($K968)&lt;=1),"EXCUSED - 1st attempt pending",IF(OR($L968="",$K968&lt;&gt;1,NOT(ISNUMBER($L968)),$L968&gt;=$J968),"",IF(COUNTIFS(nrES_PID,$D968,nrES_Code,$F968,nrES_Att,2,nrES_Raw,"&gt;=0")&gt;0,IF(IFERROR(_xlfn.MINIFS(nrES_Date,nrES_PID,$D968,nrES_Code,$F968,nrES_Att,2,nrES_Raw,"&gt;=0",nrES_Date,"&gt;0"),0)=0,"RETEST UNDATED",IF(NOT(ISNUMBER($T968)),"RETEST DATE UNCHECKED",IF(_xlfn.MINIFS(nrES_Date,nrES_PID,$D968,nrES_Code,$F968,nrES_Att,2,nrES_Raw,"&gt;=0",nrES_Date,"&gt;0")&gt;$T968,"LATE RETEST "&amp;TEXT(_xlfn.MINIFS(nrES_Date,nrES_PID,$D968,nrES_Code,$F968,nrES_Att,2,nrES_Raw,"&gt;=0",nrES_Date,"&gt;0"),"mm/dd")&amp;" (due "&amp;TEXT($T968,"mm/dd")&amp;")","Retested"))),IF(NOT(ISNUMBER($T968)),"CHECK DATE",IF(TODAY()&gt;$T968,"OVERDUE","Due "&amp;TEXT($T968,"mm/dd")))))))</f>
        <v/>
      </c>
      <c r="V968" s="16" t="n"/>
      <c r="W968" s="16" t="n"/>
      <c r="X968" s="17">
        <f>IF($C968="","",IF(AND($L968&lt;&gt;"",NOT(ISNUMBER($L968))),"RAW SCORE NOT A NUMBER",IF(AND(ISNUMBER($L968),OR($L968&lt;0,$L968&gt;100)),"RAW SCORE OUT OF RANGE",IF(AND($Y968="Unexcused",OR($L968="",NOT(ISNUMBER($L968)),$L968&lt;&gt;0)),"UNEXCUSED ABSENCE MUST RECORD 0",IF(COUNTIF(nrES_RecID,$B968)&gt;1,"DUPLICATE RECORD",IF(N($K968)&gt;2,"ATTEMPT 3+ NOT ALLOWED - policy 300.5 permits one retest per exam; this row records nothing",IF(AND($K968=2,COUNTIFS(nrES_PID,$D968,nrES_Code,$F968,nrES_Att,1)=0),"ATTEMPT 2 WITHOUT ATTEMPT 1",IF(AND($K968=2,$L968=""),"RETEST ROW HAS NO SCORE",IF(AND($H968="Final",$L968&lt;&gt;"",IFERROR(INDEX(nrCKfinalExamElig,MATCH($D968,rngCadetPIDs,0)),"")="No"),"FINAL EXAM AFTER FAILED FINAL PT (500.1.H)",IF(AND($K968=2,ISNUMBER($L968),COUNTIFS(nrES_PID,$D968,nrES_Code,$F968,nrES_Att,1)&gt;0,SUMIFS(nrES_Raw,nrES_PID,$D968,nrES_Code,$F968,nrES_Att,1)&gt;=$J968),"RETEST AFTER A PASSING FIRST ATTEMPT","OK"))))))))))</f>
        <v/>
      </c>
      <c r="Y968" s="16" t="n"/>
    </row>
    <row r="969">
      <c r="B969" s="17">
        <f>IF($C969="","",$D969&amp;"-"&amp;$F969&amp;"-"&amp;$K969)</f>
        <v/>
      </c>
      <c r="C969" s="16" t="n"/>
      <c r="D969" s="17">
        <f>IF($C969="","",IFERROR(INDEX(rngCadetPIDs,MATCH($C969,rngCadetNames,0)),"?"))</f>
        <v/>
      </c>
      <c r="E969" s="17">
        <f>IF($D969="","",IFERROR(INDEX(nrCadetAgency,MATCH($D969,rngCadetPIDs,0)),""))</f>
        <v/>
      </c>
      <c r="F969" s="16" t="n"/>
      <c r="G969" s="17">
        <f>IF($F969="","",IFERROR(INDEX(rngEPname,MATCH($F969,rngEPcode,0)),"?"))</f>
        <v/>
      </c>
      <c r="H969" s="17">
        <f>IF($F969="","",IFERROR(INDEX(rngEPtype,MATCH($F969,rngEPcode,0)),"?"))</f>
        <v/>
      </c>
      <c r="I969" s="17">
        <f>IF($F969="","",IFERROR(INDEX(rngEPseq,MATCH($F969,rngEPcode,0)),""))</f>
        <v/>
      </c>
      <c r="J969" s="17">
        <f>IF($F969="","",IFERROR(INDEX(rngEPpass,MATCH($F969,rngEPcode,0)),cfgPassingScore))</f>
        <v/>
      </c>
      <c r="K969" s="16" t="n"/>
      <c r="L969" s="16" t="n"/>
      <c r="M969" s="17">
        <f>IF($C969="","",IF($L969="","",IF(NOT(ISNUMBER($L969)),$L969,IF(N($K969)&gt;2,"",IF($K969=1,IF(COUNTIFS(nrES_PID,$D969,nrES_Code,$F969,nrES_Att,2,nrES_Raw,"&gt;=0")&gt;0,"",$L969),IF($L969&gt;=$J969,MAX($J969,cfgRetakeRecordedCap),IF(COUNTIFS(nrES_PID,$D969,nrES_Code,$F969,nrES_Att,1)=0,$L969,SUMIFS(nrES_Raw,nrES_PID,$D969,nrES_Code,$F969,nrES_Att,1))))))))</f>
        <v/>
      </c>
      <c r="N969" s="17">
        <f>IF($C969="","",IF($L969="","",IF(NOT(ISNUMBER($L969)),"(not a score)",IF($L969&gt;=$J969,"Yes","No"))))</f>
        <v/>
      </c>
      <c r="O969" s="17">
        <f>IF($C969="","",IF($M969="","",IF(NOT(ISNUMBER($M969)),"(not a score)",IF($M969&gt;=$J969,"Yes","No"))))</f>
        <v/>
      </c>
      <c r="P969" s="17">
        <f>IF($C969="","",IF($K969="","",IF(N($K969)&gt;2,"No",IF(COUNTIFS(nrES_PID,$D969,nrES_Code,$F969,nrES_Att,"&gt;"&amp;$K969,nrES_Att,"&lt;=2",nrES_Raw,"&gt;=0")=0,"Yes","No"))))</f>
        <v/>
      </c>
      <c r="Q969" s="17">
        <f>IF($C969="","",IF($L969="","",IF(AND($K969=1,ISNUMBER($L969),$L969&lt;$J969,COUNTIFS(nrES_PID,$D969,nrES_Code,$F969,nrES_Att,2,nrES_Raw,"&gt;=0")=0),"Yes","No")))</f>
        <v/>
      </c>
      <c r="R969" s="17">
        <f>IF($C969="","",IF($L969="","",IF(AND(N($K969)&gt;=2,ISNUMBER($L969),$L969&lt;$J969),"Yes","No")))</f>
        <v/>
      </c>
      <c r="S969" s="18" t="n"/>
      <c r="T969" s="19">
        <f>IF(OR($C969="",$L969="",$K969&lt;&gt;1,NOT(ISNUMBER($L969)),$L969&gt;=$J969),"",IF($S969="","(enter date)",_xlfn.LET(_xlpm.dn,_xlfn.XLOOKUP($S969,nrCDdate,nrCDnum,"",1),IF(_xlpm.dn="","(after last class day)",_xlfn.LET(_xlpm.dd,_xlfn.XLOOKUP(_xlpm.dn+cfgRetestClassDays,nrCDnum,nrCDdate,""),_xlpm.ok,_xlfn.XLOOKUP(_xlpm.dn+cfgRetestClassDays,nrCDnum,nrCDinsession,"No"),IF(OR(_xlpm.dd="",_xlpm.ok&lt;&gt;"Yes"),"(after last class day)",_xlpm.dd))))))</f>
        <v/>
      </c>
      <c r="U969" s="17">
        <f>IF($C969="","",IF(AND($Y969="Excused",$L969="",N($K969)&lt;=1),"EXCUSED - 1st attempt pending",IF(OR($L969="",$K969&lt;&gt;1,NOT(ISNUMBER($L969)),$L969&gt;=$J969),"",IF(COUNTIFS(nrES_PID,$D969,nrES_Code,$F969,nrES_Att,2,nrES_Raw,"&gt;=0")&gt;0,IF(IFERROR(_xlfn.MINIFS(nrES_Date,nrES_PID,$D969,nrES_Code,$F969,nrES_Att,2,nrES_Raw,"&gt;=0",nrES_Date,"&gt;0"),0)=0,"RETEST UNDATED",IF(NOT(ISNUMBER($T969)),"RETEST DATE UNCHECKED",IF(_xlfn.MINIFS(nrES_Date,nrES_PID,$D969,nrES_Code,$F969,nrES_Att,2,nrES_Raw,"&gt;=0",nrES_Date,"&gt;0")&gt;$T969,"LATE RETEST "&amp;TEXT(_xlfn.MINIFS(nrES_Date,nrES_PID,$D969,nrES_Code,$F969,nrES_Att,2,nrES_Raw,"&gt;=0",nrES_Date,"&gt;0"),"mm/dd")&amp;" (due "&amp;TEXT($T969,"mm/dd")&amp;")","Retested"))),IF(NOT(ISNUMBER($T969)),"CHECK DATE",IF(TODAY()&gt;$T969,"OVERDUE","Due "&amp;TEXT($T969,"mm/dd")))))))</f>
        <v/>
      </c>
      <c r="V969" s="16" t="n"/>
      <c r="W969" s="16" t="n"/>
      <c r="X969" s="17">
        <f>IF($C969="","",IF(AND($L969&lt;&gt;"",NOT(ISNUMBER($L969))),"RAW SCORE NOT A NUMBER",IF(AND(ISNUMBER($L969),OR($L969&lt;0,$L969&gt;100)),"RAW SCORE OUT OF RANGE",IF(AND($Y969="Unexcused",OR($L969="",NOT(ISNUMBER($L969)),$L969&lt;&gt;0)),"UNEXCUSED ABSENCE MUST RECORD 0",IF(COUNTIF(nrES_RecID,$B969)&gt;1,"DUPLICATE RECORD",IF(N($K969)&gt;2,"ATTEMPT 3+ NOT ALLOWED - policy 300.5 permits one retest per exam; this row records nothing",IF(AND($K969=2,COUNTIFS(nrES_PID,$D969,nrES_Code,$F969,nrES_Att,1)=0),"ATTEMPT 2 WITHOUT ATTEMPT 1",IF(AND($K969=2,$L969=""),"RETEST ROW HAS NO SCORE",IF(AND($H969="Final",$L969&lt;&gt;"",IFERROR(INDEX(nrCKfinalExamElig,MATCH($D969,rngCadetPIDs,0)),"")="No"),"FINAL EXAM AFTER FAILED FINAL PT (500.1.H)",IF(AND($K969=2,ISNUMBER($L969),COUNTIFS(nrES_PID,$D969,nrES_Code,$F969,nrES_Att,1)&gt;0,SUMIFS(nrES_Raw,nrES_PID,$D969,nrES_Code,$F969,nrES_Att,1)&gt;=$J969),"RETEST AFTER A PASSING FIRST ATTEMPT","OK"))))))))))</f>
        <v/>
      </c>
      <c r="Y969" s="16" t="n"/>
    </row>
    <row r="970">
      <c r="B970" s="17">
        <f>IF($C970="","",$D970&amp;"-"&amp;$F970&amp;"-"&amp;$K970)</f>
        <v/>
      </c>
      <c r="C970" s="16" t="n"/>
      <c r="D970" s="17">
        <f>IF($C970="","",IFERROR(INDEX(rngCadetPIDs,MATCH($C970,rngCadetNames,0)),"?"))</f>
        <v/>
      </c>
      <c r="E970" s="17">
        <f>IF($D970="","",IFERROR(INDEX(nrCadetAgency,MATCH($D970,rngCadetPIDs,0)),""))</f>
        <v/>
      </c>
      <c r="F970" s="16" t="n"/>
      <c r="G970" s="17">
        <f>IF($F970="","",IFERROR(INDEX(rngEPname,MATCH($F970,rngEPcode,0)),"?"))</f>
        <v/>
      </c>
      <c r="H970" s="17">
        <f>IF($F970="","",IFERROR(INDEX(rngEPtype,MATCH($F970,rngEPcode,0)),"?"))</f>
        <v/>
      </c>
      <c r="I970" s="17">
        <f>IF($F970="","",IFERROR(INDEX(rngEPseq,MATCH($F970,rngEPcode,0)),""))</f>
        <v/>
      </c>
      <c r="J970" s="17">
        <f>IF($F970="","",IFERROR(INDEX(rngEPpass,MATCH($F970,rngEPcode,0)),cfgPassingScore))</f>
        <v/>
      </c>
      <c r="K970" s="16" t="n"/>
      <c r="L970" s="16" t="n"/>
      <c r="M970" s="17">
        <f>IF($C970="","",IF($L970="","",IF(NOT(ISNUMBER($L970)),$L970,IF(N($K970)&gt;2,"",IF($K970=1,IF(COUNTIFS(nrES_PID,$D970,nrES_Code,$F970,nrES_Att,2,nrES_Raw,"&gt;=0")&gt;0,"",$L970),IF($L970&gt;=$J970,MAX($J970,cfgRetakeRecordedCap),IF(COUNTIFS(nrES_PID,$D970,nrES_Code,$F970,nrES_Att,1)=0,$L970,SUMIFS(nrES_Raw,nrES_PID,$D970,nrES_Code,$F970,nrES_Att,1))))))))</f>
        <v/>
      </c>
      <c r="N970" s="17">
        <f>IF($C970="","",IF($L970="","",IF(NOT(ISNUMBER($L970)),"(not a score)",IF($L970&gt;=$J970,"Yes","No"))))</f>
        <v/>
      </c>
      <c r="O970" s="17">
        <f>IF($C970="","",IF($M970="","",IF(NOT(ISNUMBER($M970)),"(not a score)",IF($M970&gt;=$J970,"Yes","No"))))</f>
        <v/>
      </c>
      <c r="P970" s="17">
        <f>IF($C970="","",IF($K970="","",IF(N($K970)&gt;2,"No",IF(COUNTIFS(nrES_PID,$D970,nrES_Code,$F970,nrES_Att,"&gt;"&amp;$K970,nrES_Att,"&lt;=2",nrES_Raw,"&gt;=0")=0,"Yes","No"))))</f>
        <v/>
      </c>
      <c r="Q970" s="17">
        <f>IF($C970="","",IF($L970="","",IF(AND($K970=1,ISNUMBER($L970),$L970&lt;$J970,COUNTIFS(nrES_PID,$D970,nrES_Code,$F970,nrES_Att,2,nrES_Raw,"&gt;=0")=0),"Yes","No")))</f>
        <v/>
      </c>
      <c r="R970" s="17">
        <f>IF($C970="","",IF($L970="","",IF(AND(N($K970)&gt;=2,ISNUMBER($L970),$L970&lt;$J970),"Yes","No")))</f>
        <v/>
      </c>
      <c r="S970" s="18" t="n"/>
      <c r="T970" s="19">
        <f>IF(OR($C970="",$L970="",$K970&lt;&gt;1,NOT(ISNUMBER($L970)),$L970&gt;=$J970),"",IF($S970="","(enter date)",_xlfn.LET(_xlpm.dn,_xlfn.XLOOKUP($S970,nrCDdate,nrCDnum,"",1),IF(_xlpm.dn="","(after last class day)",_xlfn.LET(_xlpm.dd,_xlfn.XLOOKUP(_xlpm.dn+cfgRetestClassDays,nrCDnum,nrCDdate,""),_xlpm.ok,_xlfn.XLOOKUP(_xlpm.dn+cfgRetestClassDays,nrCDnum,nrCDinsession,"No"),IF(OR(_xlpm.dd="",_xlpm.ok&lt;&gt;"Yes"),"(after last class day)",_xlpm.dd))))))</f>
        <v/>
      </c>
      <c r="U970" s="17">
        <f>IF($C970="","",IF(AND($Y970="Excused",$L970="",N($K970)&lt;=1),"EXCUSED - 1st attempt pending",IF(OR($L970="",$K970&lt;&gt;1,NOT(ISNUMBER($L970)),$L970&gt;=$J970),"",IF(COUNTIFS(nrES_PID,$D970,nrES_Code,$F970,nrES_Att,2,nrES_Raw,"&gt;=0")&gt;0,IF(IFERROR(_xlfn.MINIFS(nrES_Date,nrES_PID,$D970,nrES_Code,$F970,nrES_Att,2,nrES_Raw,"&gt;=0",nrES_Date,"&gt;0"),0)=0,"RETEST UNDATED",IF(NOT(ISNUMBER($T970)),"RETEST DATE UNCHECKED",IF(_xlfn.MINIFS(nrES_Date,nrES_PID,$D970,nrES_Code,$F970,nrES_Att,2,nrES_Raw,"&gt;=0",nrES_Date,"&gt;0")&gt;$T970,"LATE RETEST "&amp;TEXT(_xlfn.MINIFS(nrES_Date,nrES_PID,$D970,nrES_Code,$F970,nrES_Att,2,nrES_Raw,"&gt;=0",nrES_Date,"&gt;0"),"mm/dd")&amp;" (due "&amp;TEXT($T970,"mm/dd")&amp;")","Retested"))),IF(NOT(ISNUMBER($T970)),"CHECK DATE",IF(TODAY()&gt;$T970,"OVERDUE","Due "&amp;TEXT($T970,"mm/dd")))))))</f>
        <v/>
      </c>
      <c r="V970" s="16" t="n"/>
      <c r="W970" s="16" t="n"/>
      <c r="X970" s="17">
        <f>IF($C970="","",IF(AND($L970&lt;&gt;"",NOT(ISNUMBER($L970))),"RAW SCORE NOT A NUMBER",IF(AND(ISNUMBER($L970),OR($L970&lt;0,$L970&gt;100)),"RAW SCORE OUT OF RANGE",IF(AND($Y970="Unexcused",OR($L970="",NOT(ISNUMBER($L970)),$L970&lt;&gt;0)),"UNEXCUSED ABSENCE MUST RECORD 0",IF(COUNTIF(nrES_RecID,$B970)&gt;1,"DUPLICATE RECORD",IF(N($K970)&gt;2,"ATTEMPT 3+ NOT ALLOWED - policy 300.5 permits one retest per exam; this row records nothing",IF(AND($K970=2,COUNTIFS(nrES_PID,$D970,nrES_Code,$F970,nrES_Att,1)=0),"ATTEMPT 2 WITHOUT ATTEMPT 1",IF(AND($K970=2,$L970=""),"RETEST ROW HAS NO SCORE",IF(AND($H970="Final",$L970&lt;&gt;"",IFERROR(INDEX(nrCKfinalExamElig,MATCH($D970,rngCadetPIDs,0)),"")="No"),"FINAL EXAM AFTER FAILED FINAL PT (500.1.H)",IF(AND($K970=2,ISNUMBER($L970),COUNTIFS(nrES_PID,$D970,nrES_Code,$F970,nrES_Att,1)&gt;0,SUMIFS(nrES_Raw,nrES_PID,$D970,nrES_Code,$F970,nrES_Att,1)&gt;=$J970),"RETEST AFTER A PASSING FIRST ATTEMPT","OK"))))))))))</f>
        <v/>
      </c>
      <c r="Y970" s="16" t="n"/>
    </row>
    <row r="971">
      <c r="B971" s="17">
        <f>IF($C971="","",$D971&amp;"-"&amp;$F971&amp;"-"&amp;$K971)</f>
        <v/>
      </c>
      <c r="C971" s="16" t="n"/>
      <c r="D971" s="17">
        <f>IF($C971="","",IFERROR(INDEX(rngCadetPIDs,MATCH($C971,rngCadetNames,0)),"?"))</f>
        <v/>
      </c>
      <c r="E971" s="17">
        <f>IF($D971="","",IFERROR(INDEX(nrCadetAgency,MATCH($D971,rngCadetPIDs,0)),""))</f>
        <v/>
      </c>
      <c r="F971" s="16" t="n"/>
      <c r="G971" s="17">
        <f>IF($F971="","",IFERROR(INDEX(rngEPname,MATCH($F971,rngEPcode,0)),"?"))</f>
        <v/>
      </c>
      <c r="H971" s="17">
        <f>IF($F971="","",IFERROR(INDEX(rngEPtype,MATCH($F971,rngEPcode,0)),"?"))</f>
        <v/>
      </c>
      <c r="I971" s="17">
        <f>IF($F971="","",IFERROR(INDEX(rngEPseq,MATCH($F971,rngEPcode,0)),""))</f>
        <v/>
      </c>
      <c r="J971" s="17">
        <f>IF($F971="","",IFERROR(INDEX(rngEPpass,MATCH($F971,rngEPcode,0)),cfgPassingScore))</f>
        <v/>
      </c>
      <c r="K971" s="16" t="n"/>
      <c r="L971" s="16" t="n"/>
      <c r="M971" s="17">
        <f>IF($C971="","",IF($L971="","",IF(NOT(ISNUMBER($L971)),$L971,IF(N($K971)&gt;2,"",IF($K971=1,IF(COUNTIFS(nrES_PID,$D971,nrES_Code,$F971,nrES_Att,2,nrES_Raw,"&gt;=0")&gt;0,"",$L971),IF($L971&gt;=$J971,MAX($J971,cfgRetakeRecordedCap),IF(COUNTIFS(nrES_PID,$D971,nrES_Code,$F971,nrES_Att,1)=0,$L971,SUMIFS(nrES_Raw,nrES_PID,$D971,nrES_Code,$F971,nrES_Att,1))))))))</f>
        <v/>
      </c>
      <c r="N971" s="17">
        <f>IF($C971="","",IF($L971="","",IF(NOT(ISNUMBER($L971)),"(not a score)",IF($L971&gt;=$J971,"Yes","No"))))</f>
        <v/>
      </c>
      <c r="O971" s="17">
        <f>IF($C971="","",IF($M971="","",IF(NOT(ISNUMBER($M971)),"(not a score)",IF($M971&gt;=$J971,"Yes","No"))))</f>
        <v/>
      </c>
      <c r="P971" s="17">
        <f>IF($C971="","",IF($K971="","",IF(N($K971)&gt;2,"No",IF(COUNTIFS(nrES_PID,$D971,nrES_Code,$F971,nrES_Att,"&gt;"&amp;$K971,nrES_Att,"&lt;=2",nrES_Raw,"&gt;=0")=0,"Yes","No"))))</f>
        <v/>
      </c>
      <c r="Q971" s="17">
        <f>IF($C971="","",IF($L971="","",IF(AND($K971=1,ISNUMBER($L971),$L971&lt;$J971,COUNTIFS(nrES_PID,$D971,nrES_Code,$F971,nrES_Att,2,nrES_Raw,"&gt;=0")=0),"Yes","No")))</f>
        <v/>
      </c>
      <c r="R971" s="17">
        <f>IF($C971="","",IF($L971="","",IF(AND(N($K971)&gt;=2,ISNUMBER($L971),$L971&lt;$J971),"Yes","No")))</f>
        <v/>
      </c>
      <c r="S971" s="18" t="n"/>
      <c r="T971" s="19">
        <f>IF(OR($C971="",$L971="",$K971&lt;&gt;1,NOT(ISNUMBER($L971)),$L971&gt;=$J971),"",IF($S971="","(enter date)",_xlfn.LET(_xlpm.dn,_xlfn.XLOOKUP($S971,nrCDdate,nrCDnum,"",1),IF(_xlpm.dn="","(after last class day)",_xlfn.LET(_xlpm.dd,_xlfn.XLOOKUP(_xlpm.dn+cfgRetestClassDays,nrCDnum,nrCDdate,""),_xlpm.ok,_xlfn.XLOOKUP(_xlpm.dn+cfgRetestClassDays,nrCDnum,nrCDinsession,"No"),IF(OR(_xlpm.dd="",_xlpm.ok&lt;&gt;"Yes"),"(after last class day)",_xlpm.dd))))))</f>
        <v/>
      </c>
      <c r="U971" s="17">
        <f>IF($C971="","",IF(AND($Y971="Excused",$L971="",N($K971)&lt;=1),"EXCUSED - 1st attempt pending",IF(OR($L971="",$K971&lt;&gt;1,NOT(ISNUMBER($L971)),$L971&gt;=$J971),"",IF(COUNTIFS(nrES_PID,$D971,nrES_Code,$F971,nrES_Att,2,nrES_Raw,"&gt;=0")&gt;0,IF(IFERROR(_xlfn.MINIFS(nrES_Date,nrES_PID,$D971,nrES_Code,$F971,nrES_Att,2,nrES_Raw,"&gt;=0",nrES_Date,"&gt;0"),0)=0,"RETEST UNDATED",IF(NOT(ISNUMBER($T971)),"RETEST DATE UNCHECKED",IF(_xlfn.MINIFS(nrES_Date,nrES_PID,$D971,nrES_Code,$F971,nrES_Att,2,nrES_Raw,"&gt;=0",nrES_Date,"&gt;0")&gt;$T971,"LATE RETEST "&amp;TEXT(_xlfn.MINIFS(nrES_Date,nrES_PID,$D971,nrES_Code,$F971,nrES_Att,2,nrES_Raw,"&gt;=0",nrES_Date,"&gt;0"),"mm/dd")&amp;" (due "&amp;TEXT($T971,"mm/dd")&amp;")","Retested"))),IF(NOT(ISNUMBER($T971)),"CHECK DATE",IF(TODAY()&gt;$T971,"OVERDUE","Due "&amp;TEXT($T971,"mm/dd")))))))</f>
        <v/>
      </c>
      <c r="V971" s="16" t="n"/>
      <c r="W971" s="16" t="n"/>
      <c r="X971" s="17">
        <f>IF($C971="","",IF(AND($L971&lt;&gt;"",NOT(ISNUMBER($L971))),"RAW SCORE NOT A NUMBER",IF(AND(ISNUMBER($L971),OR($L971&lt;0,$L971&gt;100)),"RAW SCORE OUT OF RANGE",IF(AND($Y971="Unexcused",OR($L971="",NOT(ISNUMBER($L971)),$L971&lt;&gt;0)),"UNEXCUSED ABSENCE MUST RECORD 0",IF(COUNTIF(nrES_RecID,$B971)&gt;1,"DUPLICATE RECORD",IF(N($K971)&gt;2,"ATTEMPT 3+ NOT ALLOWED - policy 300.5 permits one retest per exam; this row records nothing",IF(AND($K971=2,COUNTIFS(nrES_PID,$D971,nrES_Code,$F971,nrES_Att,1)=0),"ATTEMPT 2 WITHOUT ATTEMPT 1",IF(AND($K971=2,$L971=""),"RETEST ROW HAS NO SCORE",IF(AND($H971="Final",$L971&lt;&gt;"",IFERROR(INDEX(nrCKfinalExamElig,MATCH($D971,rngCadetPIDs,0)),"")="No"),"FINAL EXAM AFTER FAILED FINAL PT (500.1.H)",IF(AND($K971=2,ISNUMBER($L971),COUNTIFS(nrES_PID,$D971,nrES_Code,$F971,nrES_Att,1)&gt;0,SUMIFS(nrES_Raw,nrES_PID,$D971,nrES_Code,$F971,nrES_Att,1)&gt;=$J971),"RETEST AFTER A PASSING FIRST ATTEMPT","OK"))))))))))</f>
        <v/>
      </c>
      <c r="Y971" s="16" t="n"/>
    </row>
    <row r="972">
      <c r="B972" s="17">
        <f>IF($C972="","",$D972&amp;"-"&amp;$F972&amp;"-"&amp;$K972)</f>
        <v/>
      </c>
      <c r="C972" s="16" t="n"/>
      <c r="D972" s="17">
        <f>IF($C972="","",IFERROR(INDEX(rngCadetPIDs,MATCH($C972,rngCadetNames,0)),"?"))</f>
        <v/>
      </c>
      <c r="E972" s="17">
        <f>IF($D972="","",IFERROR(INDEX(nrCadetAgency,MATCH($D972,rngCadetPIDs,0)),""))</f>
        <v/>
      </c>
      <c r="F972" s="16" t="n"/>
      <c r="G972" s="17">
        <f>IF($F972="","",IFERROR(INDEX(rngEPname,MATCH($F972,rngEPcode,0)),"?"))</f>
        <v/>
      </c>
      <c r="H972" s="17">
        <f>IF($F972="","",IFERROR(INDEX(rngEPtype,MATCH($F972,rngEPcode,0)),"?"))</f>
        <v/>
      </c>
      <c r="I972" s="17">
        <f>IF($F972="","",IFERROR(INDEX(rngEPseq,MATCH($F972,rngEPcode,0)),""))</f>
        <v/>
      </c>
      <c r="J972" s="17">
        <f>IF($F972="","",IFERROR(INDEX(rngEPpass,MATCH($F972,rngEPcode,0)),cfgPassingScore))</f>
        <v/>
      </c>
      <c r="K972" s="16" t="n"/>
      <c r="L972" s="16" t="n"/>
      <c r="M972" s="17">
        <f>IF($C972="","",IF($L972="","",IF(NOT(ISNUMBER($L972)),$L972,IF(N($K972)&gt;2,"",IF($K972=1,IF(COUNTIFS(nrES_PID,$D972,nrES_Code,$F972,nrES_Att,2,nrES_Raw,"&gt;=0")&gt;0,"",$L972),IF($L972&gt;=$J972,MAX($J972,cfgRetakeRecordedCap),IF(COUNTIFS(nrES_PID,$D972,nrES_Code,$F972,nrES_Att,1)=0,$L972,SUMIFS(nrES_Raw,nrES_PID,$D972,nrES_Code,$F972,nrES_Att,1))))))))</f>
        <v/>
      </c>
      <c r="N972" s="17">
        <f>IF($C972="","",IF($L972="","",IF(NOT(ISNUMBER($L972)),"(not a score)",IF($L972&gt;=$J972,"Yes","No"))))</f>
        <v/>
      </c>
      <c r="O972" s="17">
        <f>IF($C972="","",IF($M972="","",IF(NOT(ISNUMBER($M972)),"(not a score)",IF($M972&gt;=$J972,"Yes","No"))))</f>
        <v/>
      </c>
      <c r="P972" s="17">
        <f>IF($C972="","",IF($K972="","",IF(N($K972)&gt;2,"No",IF(COUNTIFS(nrES_PID,$D972,nrES_Code,$F972,nrES_Att,"&gt;"&amp;$K972,nrES_Att,"&lt;=2",nrES_Raw,"&gt;=0")=0,"Yes","No"))))</f>
        <v/>
      </c>
      <c r="Q972" s="17">
        <f>IF($C972="","",IF($L972="","",IF(AND($K972=1,ISNUMBER($L972),$L972&lt;$J972,COUNTIFS(nrES_PID,$D972,nrES_Code,$F972,nrES_Att,2,nrES_Raw,"&gt;=0")=0),"Yes","No")))</f>
        <v/>
      </c>
      <c r="R972" s="17">
        <f>IF($C972="","",IF($L972="","",IF(AND(N($K972)&gt;=2,ISNUMBER($L972),$L972&lt;$J972),"Yes","No")))</f>
        <v/>
      </c>
      <c r="S972" s="18" t="n"/>
      <c r="T972" s="19">
        <f>IF(OR($C972="",$L972="",$K972&lt;&gt;1,NOT(ISNUMBER($L972)),$L972&gt;=$J972),"",IF($S972="","(enter date)",_xlfn.LET(_xlpm.dn,_xlfn.XLOOKUP($S972,nrCDdate,nrCDnum,"",1),IF(_xlpm.dn="","(after last class day)",_xlfn.LET(_xlpm.dd,_xlfn.XLOOKUP(_xlpm.dn+cfgRetestClassDays,nrCDnum,nrCDdate,""),_xlpm.ok,_xlfn.XLOOKUP(_xlpm.dn+cfgRetestClassDays,nrCDnum,nrCDinsession,"No"),IF(OR(_xlpm.dd="",_xlpm.ok&lt;&gt;"Yes"),"(after last class day)",_xlpm.dd))))))</f>
        <v/>
      </c>
      <c r="U972" s="17">
        <f>IF($C972="","",IF(AND($Y972="Excused",$L972="",N($K972)&lt;=1),"EXCUSED - 1st attempt pending",IF(OR($L972="",$K972&lt;&gt;1,NOT(ISNUMBER($L972)),$L972&gt;=$J972),"",IF(COUNTIFS(nrES_PID,$D972,nrES_Code,$F972,nrES_Att,2,nrES_Raw,"&gt;=0")&gt;0,IF(IFERROR(_xlfn.MINIFS(nrES_Date,nrES_PID,$D972,nrES_Code,$F972,nrES_Att,2,nrES_Raw,"&gt;=0",nrES_Date,"&gt;0"),0)=0,"RETEST UNDATED",IF(NOT(ISNUMBER($T972)),"RETEST DATE UNCHECKED",IF(_xlfn.MINIFS(nrES_Date,nrES_PID,$D972,nrES_Code,$F972,nrES_Att,2,nrES_Raw,"&gt;=0",nrES_Date,"&gt;0")&gt;$T972,"LATE RETEST "&amp;TEXT(_xlfn.MINIFS(nrES_Date,nrES_PID,$D972,nrES_Code,$F972,nrES_Att,2,nrES_Raw,"&gt;=0",nrES_Date,"&gt;0"),"mm/dd")&amp;" (due "&amp;TEXT($T972,"mm/dd")&amp;")","Retested"))),IF(NOT(ISNUMBER($T972)),"CHECK DATE",IF(TODAY()&gt;$T972,"OVERDUE","Due "&amp;TEXT($T972,"mm/dd")))))))</f>
        <v/>
      </c>
      <c r="V972" s="16" t="n"/>
      <c r="W972" s="16" t="n"/>
      <c r="X972" s="17">
        <f>IF($C972="","",IF(AND($L972&lt;&gt;"",NOT(ISNUMBER($L972))),"RAW SCORE NOT A NUMBER",IF(AND(ISNUMBER($L972),OR($L972&lt;0,$L972&gt;100)),"RAW SCORE OUT OF RANGE",IF(AND($Y972="Unexcused",OR($L972="",NOT(ISNUMBER($L972)),$L972&lt;&gt;0)),"UNEXCUSED ABSENCE MUST RECORD 0",IF(COUNTIF(nrES_RecID,$B972)&gt;1,"DUPLICATE RECORD",IF(N($K972)&gt;2,"ATTEMPT 3+ NOT ALLOWED - policy 300.5 permits one retest per exam; this row records nothing",IF(AND($K972=2,COUNTIFS(nrES_PID,$D972,nrES_Code,$F972,nrES_Att,1)=0),"ATTEMPT 2 WITHOUT ATTEMPT 1",IF(AND($K972=2,$L972=""),"RETEST ROW HAS NO SCORE",IF(AND($H972="Final",$L972&lt;&gt;"",IFERROR(INDEX(nrCKfinalExamElig,MATCH($D972,rngCadetPIDs,0)),"")="No"),"FINAL EXAM AFTER FAILED FINAL PT (500.1.H)",IF(AND($K972=2,ISNUMBER($L972),COUNTIFS(nrES_PID,$D972,nrES_Code,$F972,nrES_Att,1)&gt;0,SUMIFS(nrES_Raw,nrES_PID,$D972,nrES_Code,$F972,nrES_Att,1)&gt;=$J972),"RETEST AFTER A PASSING FIRST ATTEMPT","OK"))))))))))</f>
        <v/>
      </c>
      <c r="Y972" s="16" t="n"/>
    </row>
    <row r="973">
      <c r="B973" s="17">
        <f>IF($C973="","",$D973&amp;"-"&amp;$F973&amp;"-"&amp;$K973)</f>
        <v/>
      </c>
      <c r="C973" s="16" t="n"/>
      <c r="D973" s="17">
        <f>IF($C973="","",IFERROR(INDEX(rngCadetPIDs,MATCH($C973,rngCadetNames,0)),"?"))</f>
        <v/>
      </c>
      <c r="E973" s="17">
        <f>IF($D973="","",IFERROR(INDEX(nrCadetAgency,MATCH($D973,rngCadetPIDs,0)),""))</f>
        <v/>
      </c>
      <c r="F973" s="16" t="n"/>
      <c r="G973" s="17">
        <f>IF($F973="","",IFERROR(INDEX(rngEPname,MATCH($F973,rngEPcode,0)),"?"))</f>
        <v/>
      </c>
      <c r="H973" s="17">
        <f>IF($F973="","",IFERROR(INDEX(rngEPtype,MATCH($F973,rngEPcode,0)),"?"))</f>
        <v/>
      </c>
      <c r="I973" s="17">
        <f>IF($F973="","",IFERROR(INDEX(rngEPseq,MATCH($F973,rngEPcode,0)),""))</f>
        <v/>
      </c>
      <c r="J973" s="17">
        <f>IF($F973="","",IFERROR(INDEX(rngEPpass,MATCH($F973,rngEPcode,0)),cfgPassingScore))</f>
        <v/>
      </c>
      <c r="K973" s="16" t="n"/>
      <c r="L973" s="16" t="n"/>
      <c r="M973" s="17">
        <f>IF($C973="","",IF($L973="","",IF(NOT(ISNUMBER($L973)),$L973,IF(N($K973)&gt;2,"",IF($K973=1,IF(COUNTIFS(nrES_PID,$D973,nrES_Code,$F973,nrES_Att,2,nrES_Raw,"&gt;=0")&gt;0,"",$L973),IF($L973&gt;=$J973,MAX($J973,cfgRetakeRecordedCap),IF(COUNTIFS(nrES_PID,$D973,nrES_Code,$F973,nrES_Att,1)=0,$L973,SUMIFS(nrES_Raw,nrES_PID,$D973,nrES_Code,$F973,nrES_Att,1))))))))</f>
        <v/>
      </c>
      <c r="N973" s="17">
        <f>IF($C973="","",IF($L973="","",IF(NOT(ISNUMBER($L973)),"(not a score)",IF($L973&gt;=$J973,"Yes","No"))))</f>
        <v/>
      </c>
      <c r="O973" s="17">
        <f>IF($C973="","",IF($M973="","",IF(NOT(ISNUMBER($M973)),"(not a score)",IF($M973&gt;=$J973,"Yes","No"))))</f>
        <v/>
      </c>
      <c r="P973" s="17">
        <f>IF($C973="","",IF($K973="","",IF(N($K973)&gt;2,"No",IF(COUNTIFS(nrES_PID,$D973,nrES_Code,$F973,nrES_Att,"&gt;"&amp;$K973,nrES_Att,"&lt;=2",nrES_Raw,"&gt;=0")=0,"Yes","No"))))</f>
        <v/>
      </c>
      <c r="Q973" s="17">
        <f>IF($C973="","",IF($L973="","",IF(AND($K973=1,ISNUMBER($L973),$L973&lt;$J973,COUNTIFS(nrES_PID,$D973,nrES_Code,$F973,nrES_Att,2,nrES_Raw,"&gt;=0")=0),"Yes","No")))</f>
        <v/>
      </c>
      <c r="R973" s="17">
        <f>IF($C973="","",IF($L973="","",IF(AND(N($K973)&gt;=2,ISNUMBER($L973),$L973&lt;$J973),"Yes","No")))</f>
        <v/>
      </c>
      <c r="S973" s="18" t="n"/>
      <c r="T973" s="19">
        <f>IF(OR($C973="",$L973="",$K973&lt;&gt;1,NOT(ISNUMBER($L973)),$L973&gt;=$J973),"",IF($S973="","(enter date)",_xlfn.LET(_xlpm.dn,_xlfn.XLOOKUP($S973,nrCDdate,nrCDnum,"",1),IF(_xlpm.dn="","(after last class day)",_xlfn.LET(_xlpm.dd,_xlfn.XLOOKUP(_xlpm.dn+cfgRetestClassDays,nrCDnum,nrCDdate,""),_xlpm.ok,_xlfn.XLOOKUP(_xlpm.dn+cfgRetestClassDays,nrCDnum,nrCDinsession,"No"),IF(OR(_xlpm.dd="",_xlpm.ok&lt;&gt;"Yes"),"(after last class day)",_xlpm.dd))))))</f>
        <v/>
      </c>
      <c r="U973" s="17">
        <f>IF($C973="","",IF(AND($Y973="Excused",$L973="",N($K973)&lt;=1),"EXCUSED - 1st attempt pending",IF(OR($L973="",$K973&lt;&gt;1,NOT(ISNUMBER($L973)),$L973&gt;=$J973),"",IF(COUNTIFS(nrES_PID,$D973,nrES_Code,$F973,nrES_Att,2,nrES_Raw,"&gt;=0")&gt;0,IF(IFERROR(_xlfn.MINIFS(nrES_Date,nrES_PID,$D973,nrES_Code,$F973,nrES_Att,2,nrES_Raw,"&gt;=0",nrES_Date,"&gt;0"),0)=0,"RETEST UNDATED",IF(NOT(ISNUMBER($T973)),"RETEST DATE UNCHECKED",IF(_xlfn.MINIFS(nrES_Date,nrES_PID,$D973,nrES_Code,$F973,nrES_Att,2,nrES_Raw,"&gt;=0",nrES_Date,"&gt;0")&gt;$T973,"LATE RETEST "&amp;TEXT(_xlfn.MINIFS(nrES_Date,nrES_PID,$D973,nrES_Code,$F973,nrES_Att,2,nrES_Raw,"&gt;=0",nrES_Date,"&gt;0"),"mm/dd")&amp;" (due "&amp;TEXT($T973,"mm/dd")&amp;")","Retested"))),IF(NOT(ISNUMBER($T973)),"CHECK DATE",IF(TODAY()&gt;$T973,"OVERDUE","Due "&amp;TEXT($T973,"mm/dd")))))))</f>
        <v/>
      </c>
      <c r="V973" s="16" t="n"/>
      <c r="W973" s="16" t="n"/>
      <c r="X973" s="17">
        <f>IF($C973="","",IF(AND($L973&lt;&gt;"",NOT(ISNUMBER($L973))),"RAW SCORE NOT A NUMBER",IF(AND(ISNUMBER($L973),OR($L973&lt;0,$L973&gt;100)),"RAW SCORE OUT OF RANGE",IF(AND($Y973="Unexcused",OR($L973="",NOT(ISNUMBER($L973)),$L973&lt;&gt;0)),"UNEXCUSED ABSENCE MUST RECORD 0",IF(COUNTIF(nrES_RecID,$B973)&gt;1,"DUPLICATE RECORD",IF(N($K973)&gt;2,"ATTEMPT 3+ NOT ALLOWED - policy 300.5 permits one retest per exam; this row records nothing",IF(AND($K973=2,COUNTIFS(nrES_PID,$D973,nrES_Code,$F973,nrES_Att,1)=0),"ATTEMPT 2 WITHOUT ATTEMPT 1",IF(AND($K973=2,$L973=""),"RETEST ROW HAS NO SCORE",IF(AND($H973="Final",$L973&lt;&gt;"",IFERROR(INDEX(nrCKfinalExamElig,MATCH($D973,rngCadetPIDs,0)),"")="No"),"FINAL EXAM AFTER FAILED FINAL PT (500.1.H)",IF(AND($K973=2,ISNUMBER($L973),COUNTIFS(nrES_PID,$D973,nrES_Code,$F973,nrES_Att,1)&gt;0,SUMIFS(nrES_Raw,nrES_PID,$D973,nrES_Code,$F973,nrES_Att,1)&gt;=$J973),"RETEST AFTER A PASSING FIRST ATTEMPT","OK"))))))))))</f>
        <v/>
      </c>
      <c r="Y973" s="16" t="n"/>
    </row>
    <row r="974">
      <c r="B974" s="17">
        <f>IF($C974="","",$D974&amp;"-"&amp;$F974&amp;"-"&amp;$K974)</f>
        <v/>
      </c>
      <c r="C974" s="16" t="n"/>
      <c r="D974" s="17">
        <f>IF($C974="","",IFERROR(INDEX(rngCadetPIDs,MATCH($C974,rngCadetNames,0)),"?"))</f>
        <v/>
      </c>
      <c r="E974" s="17">
        <f>IF($D974="","",IFERROR(INDEX(nrCadetAgency,MATCH($D974,rngCadetPIDs,0)),""))</f>
        <v/>
      </c>
      <c r="F974" s="16" t="n"/>
      <c r="G974" s="17">
        <f>IF($F974="","",IFERROR(INDEX(rngEPname,MATCH($F974,rngEPcode,0)),"?"))</f>
        <v/>
      </c>
      <c r="H974" s="17">
        <f>IF($F974="","",IFERROR(INDEX(rngEPtype,MATCH($F974,rngEPcode,0)),"?"))</f>
        <v/>
      </c>
      <c r="I974" s="17">
        <f>IF($F974="","",IFERROR(INDEX(rngEPseq,MATCH($F974,rngEPcode,0)),""))</f>
        <v/>
      </c>
      <c r="J974" s="17">
        <f>IF($F974="","",IFERROR(INDEX(rngEPpass,MATCH($F974,rngEPcode,0)),cfgPassingScore))</f>
        <v/>
      </c>
      <c r="K974" s="16" t="n"/>
      <c r="L974" s="16" t="n"/>
      <c r="M974" s="17">
        <f>IF($C974="","",IF($L974="","",IF(NOT(ISNUMBER($L974)),$L974,IF(N($K974)&gt;2,"",IF($K974=1,IF(COUNTIFS(nrES_PID,$D974,nrES_Code,$F974,nrES_Att,2,nrES_Raw,"&gt;=0")&gt;0,"",$L974),IF($L974&gt;=$J974,MAX($J974,cfgRetakeRecordedCap),IF(COUNTIFS(nrES_PID,$D974,nrES_Code,$F974,nrES_Att,1)=0,$L974,SUMIFS(nrES_Raw,nrES_PID,$D974,nrES_Code,$F974,nrES_Att,1))))))))</f>
        <v/>
      </c>
      <c r="N974" s="17">
        <f>IF($C974="","",IF($L974="","",IF(NOT(ISNUMBER($L974)),"(not a score)",IF($L974&gt;=$J974,"Yes","No"))))</f>
        <v/>
      </c>
      <c r="O974" s="17">
        <f>IF($C974="","",IF($M974="","",IF(NOT(ISNUMBER($M974)),"(not a score)",IF($M974&gt;=$J974,"Yes","No"))))</f>
        <v/>
      </c>
      <c r="P974" s="17">
        <f>IF($C974="","",IF($K974="","",IF(N($K974)&gt;2,"No",IF(COUNTIFS(nrES_PID,$D974,nrES_Code,$F974,nrES_Att,"&gt;"&amp;$K974,nrES_Att,"&lt;=2",nrES_Raw,"&gt;=0")=0,"Yes","No"))))</f>
        <v/>
      </c>
      <c r="Q974" s="17">
        <f>IF($C974="","",IF($L974="","",IF(AND($K974=1,ISNUMBER($L974),$L974&lt;$J974,COUNTIFS(nrES_PID,$D974,nrES_Code,$F974,nrES_Att,2,nrES_Raw,"&gt;=0")=0),"Yes","No")))</f>
        <v/>
      </c>
      <c r="R974" s="17">
        <f>IF($C974="","",IF($L974="","",IF(AND(N($K974)&gt;=2,ISNUMBER($L974),$L974&lt;$J974),"Yes","No")))</f>
        <v/>
      </c>
      <c r="S974" s="18" t="n"/>
      <c r="T974" s="19">
        <f>IF(OR($C974="",$L974="",$K974&lt;&gt;1,NOT(ISNUMBER($L974)),$L974&gt;=$J974),"",IF($S974="","(enter date)",_xlfn.LET(_xlpm.dn,_xlfn.XLOOKUP($S974,nrCDdate,nrCDnum,"",1),IF(_xlpm.dn="","(after last class day)",_xlfn.LET(_xlpm.dd,_xlfn.XLOOKUP(_xlpm.dn+cfgRetestClassDays,nrCDnum,nrCDdate,""),_xlpm.ok,_xlfn.XLOOKUP(_xlpm.dn+cfgRetestClassDays,nrCDnum,nrCDinsession,"No"),IF(OR(_xlpm.dd="",_xlpm.ok&lt;&gt;"Yes"),"(after last class day)",_xlpm.dd))))))</f>
        <v/>
      </c>
      <c r="U974" s="17">
        <f>IF($C974="","",IF(AND($Y974="Excused",$L974="",N($K974)&lt;=1),"EXCUSED - 1st attempt pending",IF(OR($L974="",$K974&lt;&gt;1,NOT(ISNUMBER($L974)),$L974&gt;=$J974),"",IF(COUNTIFS(nrES_PID,$D974,nrES_Code,$F974,nrES_Att,2,nrES_Raw,"&gt;=0")&gt;0,IF(IFERROR(_xlfn.MINIFS(nrES_Date,nrES_PID,$D974,nrES_Code,$F974,nrES_Att,2,nrES_Raw,"&gt;=0",nrES_Date,"&gt;0"),0)=0,"RETEST UNDATED",IF(NOT(ISNUMBER($T974)),"RETEST DATE UNCHECKED",IF(_xlfn.MINIFS(nrES_Date,nrES_PID,$D974,nrES_Code,$F974,nrES_Att,2,nrES_Raw,"&gt;=0",nrES_Date,"&gt;0")&gt;$T974,"LATE RETEST "&amp;TEXT(_xlfn.MINIFS(nrES_Date,nrES_PID,$D974,nrES_Code,$F974,nrES_Att,2,nrES_Raw,"&gt;=0",nrES_Date,"&gt;0"),"mm/dd")&amp;" (due "&amp;TEXT($T974,"mm/dd")&amp;")","Retested"))),IF(NOT(ISNUMBER($T974)),"CHECK DATE",IF(TODAY()&gt;$T974,"OVERDUE","Due "&amp;TEXT($T974,"mm/dd")))))))</f>
        <v/>
      </c>
      <c r="V974" s="16" t="n"/>
      <c r="W974" s="16" t="n"/>
      <c r="X974" s="17">
        <f>IF($C974="","",IF(AND($L974&lt;&gt;"",NOT(ISNUMBER($L974))),"RAW SCORE NOT A NUMBER",IF(AND(ISNUMBER($L974),OR($L974&lt;0,$L974&gt;100)),"RAW SCORE OUT OF RANGE",IF(AND($Y974="Unexcused",OR($L974="",NOT(ISNUMBER($L974)),$L974&lt;&gt;0)),"UNEXCUSED ABSENCE MUST RECORD 0",IF(COUNTIF(nrES_RecID,$B974)&gt;1,"DUPLICATE RECORD",IF(N($K974)&gt;2,"ATTEMPT 3+ NOT ALLOWED - policy 300.5 permits one retest per exam; this row records nothing",IF(AND($K974=2,COUNTIFS(nrES_PID,$D974,nrES_Code,$F974,nrES_Att,1)=0),"ATTEMPT 2 WITHOUT ATTEMPT 1",IF(AND($K974=2,$L974=""),"RETEST ROW HAS NO SCORE",IF(AND($H974="Final",$L974&lt;&gt;"",IFERROR(INDEX(nrCKfinalExamElig,MATCH($D974,rngCadetPIDs,0)),"")="No"),"FINAL EXAM AFTER FAILED FINAL PT (500.1.H)",IF(AND($K974=2,ISNUMBER($L974),COUNTIFS(nrES_PID,$D974,nrES_Code,$F974,nrES_Att,1)&gt;0,SUMIFS(nrES_Raw,nrES_PID,$D974,nrES_Code,$F974,nrES_Att,1)&gt;=$J974),"RETEST AFTER A PASSING FIRST ATTEMPT","OK"))))))))))</f>
        <v/>
      </c>
      <c r="Y974" s="16" t="n"/>
    </row>
    <row r="975">
      <c r="B975" s="17">
        <f>IF($C975="","",$D975&amp;"-"&amp;$F975&amp;"-"&amp;$K975)</f>
        <v/>
      </c>
      <c r="C975" s="16" t="n"/>
      <c r="D975" s="17">
        <f>IF($C975="","",IFERROR(INDEX(rngCadetPIDs,MATCH($C975,rngCadetNames,0)),"?"))</f>
        <v/>
      </c>
      <c r="E975" s="17">
        <f>IF($D975="","",IFERROR(INDEX(nrCadetAgency,MATCH($D975,rngCadetPIDs,0)),""))</f>
        <v/>
      </c>
      <c r="F975" s="16" t="n"/>
      <c r="G975" s="17">
        <f>IF($F975="","",IFERROR(INDEX(rngEPname,MATCH($F975,rngEPcode,0)),"?"))</f>
        <v/>
      </c>
      <c r="H975" s="17">
        <f>IF($F975="","",IFERROR(INDEX(rngEPtype,MATCH($F975,rngEPcode,0)),"?"))</f>
        <v/>
      </c>
      <c r="I975" s="17">
        <f>IF($F975="","",IFERROR(INDEX(rngEPseq,MATCH($F975,rngEPcode,0)),""))</f>
        <v/>
      </c>
      <c r="J975" s="17">
        <f>IF($F975="","",IFERROR(INDEX(rngEPpass,MATCH($F975,rngEPcode,0)),cfgPassingScore))</f>
        <v/>
      </c>
      <c r="K975" s="16" t="n"/>
      <c r="L975" s="16" t="n"/>
      <c r="M975" s="17">
        <f>IF($C975="","",IF($L975="","",IF(NOT(ISNUMBER($L975)),$L975,IF(N($K975)&gt;2,"",IF($K975=1,IF(COUNTIFS(nrES_PID,$D975,nrES_Code,$F975,nrES_Att,2,nrES_Raw,"&gt;=0")&gt;0,"",$L975),IF($L975&gt;=$J975,MAX($J975,cfgRetakeRecordedCap),IF(COUNTIFS(nrES_PID,$D975,nrES_Code,$F975,nrES_Att,1)=0,$L975,SUMIFS(nrES_Raw,nrES_PID,$D975,nrES_Code,$F975,nrES_Att,1))))))))</f>
        <v/>
      </c>
      <c r="N975" s="17">
        <f>IF($C975="","",IF($L975="","",IF(NOT(ISNUMBER($L975)),"(not a score)",IF($L975&gt;=$J975,"Yes","No"))))</f>
        <v/>
      </c>
      <c r="O975" s="17">
        <f>IF($C975="","",IF($M975="","",IF(NOT(ISNUMBER($M975)),"(not a score)",IF($M975&gt;=$J975,"Yes","No"))))</f>
        <v/>
      </c>
      <c r="P975" s="17">
        <f>IF($C975="","",IF($K975="","",IF(N($K975)&gt;2,"No",IF(COUNTIFS(nrES_PID,$D975,nrES_Code,$F975,nrES_Att,"&gt;"&amp;$K975,nrES_Att,"&lt;=2",nrES_Raw,"&gt;=0")=0,"Yes","No"))))</f>
        <v/>
      </c>
      <c r="Q975" s="17">
        <f>IF($C975="","",IF($L975="","",IF(AND($K975=1,ISNUMBER($L975),$L975&lt;$J975,COUNTIFS(nrES_PID,$D975,nrES_Code,$F975,nrES_Att,2,nrES_Raw,"&gt;=0")=0),"Yes","No")))</f>
        <v/>
      </c>
      <c r="R975" s="17">
        <f>IF($C975="","",IF($L975="","",IF(AND(N($K975)&gt;=2,ISNUMBER($L975),$L975&lt;$J975),"Yes","No")))</f>
        <v/>
      </c>
      <c r="S975" s="18" t="n"/>
      <c r="T975" s="19">
        <f>IF(OR($C975="",$L975="",$K975&lt;&gt;1,NOT(ISNUMBER($L975)),$L975&gt;=$J975),"",IF($S975="","(enter date)",_xlfn.LET(_xlpm.dn,_xlfn.XLOOKUP($S975,nrCDdate,nrCDnum,"",1),IF(_xlpm.dn="","(after last class day)",_xlfn.LET(_xlpm.dd,_xlfn.XLOOKUP(_xlpm.dn+cfgRetestClassDays,nrCDnum,nrCDdate,""),_xlpm.ok,_xlfn.XLOOKUP(_xlpm.dn+cfgRetestClassDays,nrCDnum,nrCDinsession,"No"),IF(OR(_xlpm.dd="",_xlpm.ok&lt;&gt;"Yes"),"(after last class day)",_xlpm.dd))))))</f>
        <v/>
      </c>
      <c r="U975" s="17">
        <f>IF($C975="","",IF(AND($Y975="Excused",$L975="",N($K975)&lt;=1),"EXCUSED - 1st attempt pending",IF(OR($L975="",$K975&lt;&gt;1,NOT(ISNUMBER($L975)),$L975&gt;=$J975),"",IF(COUNTIFS(nrES_PID,$D975,nrES_Code,$F975,nrES_Att,2,nrES_Raw,"&gt;=0")&gt;0,IF(IFERROR(_xlfn.MINIFS(nrES_Date,nrES_PID,$D975,nrES_Code,$F975,nrES_Att,2,nrES_Raw,"&gt;=0",nrES_Date,"&gt;0"),0)=0,"RETEST UNDATED",IF(NOT(ISNUMBER($T975)),"RETEST DATE UNCHECKED",IF(_xlfn.MINIFS(nrES_Date,nrES_PID,$D975,nrES_Code,$F975,nrES_Att,2,nrES_Raw,"&gt;=0",nrES_Date,"&gt;0")&gt;$T975,"LATE RETEST "&amp;TEXT(_xlfn.MINIFS(nrES_Date,nrES_PID,$D975,nrES_Code,$F975,nrES_Att,2,nrES_Raw,"&gt;=0",nrES_Date,"&gt;0"),"mm/dd")&amp;" (due "&amp;TEXT($T975,"mm/dd")&amp;")","Retested"))),IF(NOT(ISNUMBER($T975)),"CHECK DATE",IF(TODAY()&gt;$T975,"OVERDUE","Due "&amp;TEXT($T975,"mm/dd")))))))</f>
        <v/>
      </c>
      <c r="V975" s="16" t="n"/>
      <c r="W975" s="16" t="n"/>
      <c r="X975" s="17">
        <f>IF($C975="","",IF(AND($L975&lt;&gt;"",NOT(ISNUMBER($L975))),"RAW SCORE NOT A NUMBER",IF(AND(ISNUMBER($L975),OR($L975&lt;0,$L975&gt;100)),"RAW SCORE OUT OF RANGE",IF(AND($Y975="Unexcused",OR($L975="",NOT(ISNUMBER($L975)),$L975&lt;&gt;0)),"UNEXCUSED ABSENCE MUST RECORD 0",IF(COUNTIF(nrES_RecID,$B975)&gt;1,"DUPLICATE RECORD",IF(N($K975)&gt;2,"ATTEMPT 3+ NOT ALLOWED - policy 300.5 permits one retest per exam; this row records nothing",IF(AND($K975=2,COUNTIFS(nrES_PID,$D975,nrES_Code,$F975,nrES_Att,1)=0),"ATTEMPT 2 WITHOUT ATTEMPT 1",IF(AND($K975=2,$L975=""),"RETEST ROW HAS NO SCORE",IF(AND($H975="Final",$L975&lt;&gt;"",IFERROR(INDEX(nrCKfinalExamElig,MATCH($D975,rngCadetPIDs,0)),"")="No"),"FINAL EXAM AFTER FAILED FINAL PT (500.1.H)",IF(AND($K975=2,ISNUMBER($L975),COUNTIFS(nrES_PID,$D975,nrES_Code,$F975,nrES_Att,1)&gt;0,SUMIFS(nrES_Raw,nrES_PID,$D975,nrES_Code,$F975,nrES_Att,1)&gt;=$J975),"RETEST AFTER A PASSING FIRST ATTEMPT","OK"))))))))))</f>
        <v/>
      </c>
      <c r="Y975" s="16" t="n"/>
    </row>
    <row r="976">
      <c r="B976" s="17">
        <f>IF($C976="","",$D976&amp;"-"&amp;$F976&amp;"-"&amp;$K976)</f>
        <v/>
      </c>
      <c r="C976" s="16" t="n"/>
      <c r="D976" s="17">
        <f>IF($C976="","",IFERROR(INDEX(rngCadetPIDs,MATCH($C976,rngCadetNames,0)),"?"))</f>
        <v/>
      </c>
      <c r="E976" s="17">
        <f>IF($D976="","",IFERROR(INDEX(nrCadetAgency,MATCH($D976,rngCadetPIDs,0)),""))</f>
        <v/>
      </c>
      <c r="F976" s="16" t="n"/>
      <c r="G976" s="17">
        <f>IF($F976="","",IFERROR(INDEX(rngEPname,MATCH($F976,rngEPcode,0)),"?"))</f>
        <v/>
      </c>
      <c r="H976" s="17">
        <f>IF($F976="","",IFERROR(INDEX(rngEPtype,MATCH($F976,rngEPcode,0)),"?"))</f>
        <v/>
      </c>
      <c r="I976" s="17">
        <f>IF($F976="","",IFERROR(INDEX(rngEPseq,MATCH($F976,rngEPcode,0)),""))</f>
        <v/>
      </c>
      <c r="J976" s="17">
        <f>IF($F976="","",IFERROR(INDEX(rngEPpass,MATCH($F976,rngEPcode,0)),cfgPassingScore))</f>
        <v/>
      </c>
      <c r="K976" s="16" t="n"/>
      <c r="L976" s="16" t="n"/>
      <c r="M976" s="17">
        <f>IF($C976="","",IF($L976="","",IF(NOT(ISNUMBER($L976)),$L976,IF(N($K976)&gt;2,"",IF($K976=1,IF(COUNTIFS(nrES_PID,$D976,nrES_Code,$F976,nrES_Att,2,nrES_Raw,"&gt;=0")&gt;0,"",$L976),IF($L976&gt;=$J976,MAX($J976,cfgRetakeRecordedCap),IF(COUNTIFS(nrES_PID,$D976,nrES_Code,$F976,nrES_Att,1)=0,$L976,SUMIFS(nrES_Raw,nrES_PID,$D976,nrES_Code,$F976,nrES_Att,1))))))))</f>
        <v/>
      </c>
      <c r="N976" s="17">
        <f>IF($C976="","",IF($L976="","",IF(NOT(ISNUMBER($L976)),"(not a score)",IF($L976&gt;=$J976,"Yes","No"))))</f>
        <v/>
      </c>
      <c r="O976" s="17">
        <f>IF($C976="","",IF($M976="","",IF(NOT(ISNUMBER($M976)),"(not a score)",IF($M976&gt;=$J976,"Yes","No"))))</f>
        <v/>
      </c>
      <c r="P976" s="17">
        <f>IF($C976="","",IF($K976="","",IF(N($K976)&gt;2,"No",IF(COUNTIFS(nrES_PID,$D976,nrES_Code,$F976,nrES_Att,"&gt;"&amp;$K976,nrES_Att,"&lt;=2",nrES_Raw,"&gt;=0")=0,"Yes","No"))))</f>
        <v/>
      </c>
      <c r="Q976" s="17">
        <f>IF($C976="","",IF($L976="","",IF(AND($K976=1,ISNUMBER($L976),$L976&lt;$J976,COUNTIFS(nrES_PID,$D976,nrES_Code,$F976,nrES_Att,2,nrES_Raw,"&gt;=0")=0),"Yes","No")))</f>
        <v/>
      </c>
      <c r="R976" s="17">
        <f>IF($C976="","",IF($L976="","",IF(AND(N($K976)&gt;=2,ISNUMBER($L976),$L976&lt;$J976),"Yes","No")))</f>
        <v/>
      </c>
      <c r="S976" s="18" t="n"/>
      <c r="T976" s="19">
        <f>IF(OR($C976="",$L976="",$K976&lt;&gt;1,NOT(ISNUMBER($L976)),$L976&gt;=$J976),"",IF($S976="","(enter date)",_xlfn.LET(_xlpm.dn,_xlfn.XLOOKUP($S976,nrCDdate,nrCDnum,"",1),IF(_xlpm.dn="","(after last class day)",_xlfn.LET(_xlpm.dd,_xlfn.XLOOKUP(_xlpm.dn+cfgRetestClassDays,nrCDnum,nrCDdate,""),_xlpm.ok,_xlfn.XLOOKUP(_xlpm.dn+cfgRetestClassDays,nrCDnum,nrCDinsession,"No"),IF(OR(_xlpm.dd="",_xlpm.ok&lt;&gt;"Yes"),"(after last class day)",_xlpm.dd))))))</f>
        <v/>
      </c>
      <c r="U976" s="17">
        <f>IF($C976="","",IF(AND($Y976="Excused",$L976="",N($K976)&lt;=1),"EXCUSED - 1st attempt pending",IF(OR($L976="",$K976&lt;&gt;1,NOT(ISNUMBER($L976)),$L976&gt;=$J976),"",IF(COUNTIFS(nrES_PID,$D976,nrES_Code,$F976,nrES_Att,2,nrES_Raw,"&gt;=0")&gt;0,IF(IFERROR(_xlfn.MINIFS(nrES_Date,nrES_PID,$D976,nrES_Code,$F976,nrES_Att,2,nrES_Raw,"&gt;=0",nrES_Date,"&gt;0"),0)=0,"RETEST UNDATED",IF(NOT(ISNUMBER($T976)),"RETEST DATE UNCHECKED",IF(_xlfn.MINIFS(nrES_Date,nrES_PID,$D976,nrES_Code,$F976,nrES_Att,2,nrES_Raw,"&gt;=0",nrES_Date,"&gt;0")&gt;$T976,"LATE RETEST "&amp;TEXT(_xlfn.MINIFS(nrES_Date,nrES_PID,$D976,nrES_Code,$F976,nrES_Att,2,nrES_Raw,"&gt;=0",nrES_Date,"&gt;0"),"mm/dd")&amp;" (due "&amp;TEXT($T976,"mm/dd")&amp;")","Retested"))),IF(NOT(ISNUMBER($T976)),"CHECK DATE",IF(TODAY()&gt;$T976,"OVERDUE","Due "&amp;TEXT($T976,"mm/dd")))))))</f>
        <v/>
      </c>
      <c r="V976" s="16" t="n"/>
      <c r="W976" s="16" t="n"/>
      <c r="X976" s="17">
        <f>IF($C976="","",IF(AND($L976&lt;&gt;"",NOT(ISNUMBER($L976))),"RAW SCORE NOT A NUMBER",IF(AND(ISNUMBER($L976),OR($L976&lt;0,$L976&gt;100)),"RAW SCORE OUT OF RANGE",IF(AND($Y976="Unexcused",OR($L976="",NOT(ISNUMBER($L976)),$L976&lt;&gt;0)),"UNEXCUSED ABSENCE MUST RECORD 0",IF(COUNTIF(nrES_RecID,$B976)&gt;1,"DUPLICATE RECORD",IF(N($K976)&gt;2,"ATTEMPT 3+ NOT ALLOWED - policy 300.5 permits one retest per exam; this row records nothing",IF(AND($K976=2,COUNTIFS(nrES_PID,$D976,nrES_Code,$F976,nrES_Att,1)=0),"ATTEMPT 2 WITHOUT ATTEMPT 1",IF(AND($K976=2,$L976=""),"RETEST ROW HAS NO SCORE",IF(AND($H976="Final",$L976&lt;&gt;"",IFERROR(INDEX(nrCKfinalExamElig,MATCH($D976,rngCadetPIDs,0)),"")="No"),"FINAL EXAM AFTER FAILED FINAL PT (500.1.H)",IF(AND($K976=2,ISNUMBER($L976),COUNTIFS(nrES_PID,$D976,nrES_Code,$F976,nrES_Att,1)&gt;0,SUMIFS(nrES_Raw,nrES_PID,$D976,nrES_Code,$F976,nrES_Att,1)&gt;=$J976),"RETEST AFTER A PASSING FIRST ATTEMPT","OK"))))))))))</f>
        <v/>
      </c>
      <c r="Y976" s="16" t="n"/>
    </row>
    <row r="977">
      <c r="B977" s="17">
        <f>IF($C977="","",$D977&amp;"-"&amp;$F977&amp;"-"&amp;$K977)</f>
        <v/>
      </c>
      <c r="C977" s="16" t="n"/>
      <c r="D977" s="17">
        <f>IF($C977="","",IFERROR(INDEX(rngCadetPIDs,MATCH($C977,rngCadetNames,0)),"?"))</f>
        <v/>
      </c>
      <c r="E977" s="17">
        <f>IF($D977="","",IFERROR(INDEX(nrCadetAgency,MATCH($D977,rngCadetPIDs,0)),""))</f>
        <v/>
      </c>
      <c r="F977" s="16" t="n"/>
      <c r="G977" s="17">
        <f>IF($F977="","",IFERROR(INDEX(rngEPname,MATCH($F977,rngEPcode,0)),"?"))</f>
        <v/>
      </c>
      <c r="H977" s="17">
        <f>IF($F977="","",IFERROR(INDEX(rngEPtype,MATCH($F977,rngEPcode,0)),"?"))</f>
        <v/>
      </c>
      <c r="I977" s="17">
        <f>IF($F977="","",IFERROR(INDEX(rngEPseq,MATCH($F977,rngEPcode,0)),""))</f>
        <v/>
      </c>
      <c r="J977" s="17">
        <f>IF($F977="","",IFERROR(INDEX(rngEPpass,MATCH($F977,rngEPcode,0)),cfgPassingScore))</f>
        <v/>
      </c>
      <c r="K977" s="16" t="n"/>
      <c r="L977" s="16" t="n"/>
      <c r="M977" s="17">
        <f>IF($C977="","",IF($L977="","",IF(NOT(ISNUMBER($L977)),$L977,IF(N($K977)&gt;2,"",IF($K977=1,IF(COUNTIFS(nrES_PID,$D977,nrES_Code,$F977,nrES_Att,2,nrES_Raw,"&gt;=0")&gt;0,"",$L977),IF($L977&gt;=$J977,MAX($J977,cfgRetakeRecordedCap),IF(COUNTIFS(nrES_PID,$D977,nrES_Code,$F977,nrES_Att,1)=0,$L977,SUMIFS(nrES_Raw,nrES_PID,$D977,nrES_Code,$F977,nrES_Att,1))))))))</f>
        <v/>
      </c>
      <c r="N977" s="17">
        <f>IF($C977="","",IF($L977="","",IF(NOT(ISNUMBER($L977)),"(not a score)",IF($L977&gt;=$J977,"Yes","No"))))</f>
        <v/>
      </c>
      <c r="O977" s="17">
        <f>IF($C977="","",IF($M977="","",IF(NOT(ISNUMBER($M977)),"(not a score)",IF($M977&gt;=$J977,"Yes","No"))))</f>
        <v/>
      </c>
      <c r="P977" s="17">
        <f>IF($C977="","",IF($K977="","",IF(N($K977)&gt;2,"No",IF(COUNTIFS(nrES_PID,$D977,nrES_Code,$F977,nrES_Att,"&gt;"&amp;$K977,nrES_Att,"&lt;=2",nrES_Raw,"&gt;=0")=0,"Yes","No"))))</f>
        <v/>
      </c>
      <c r="Q977" s="17">
        <f>IF($C977="","",IF($L977="","",IF(AND($K977=1,ISNUMBER($L977),$L977&lt;$J977,COUNTIFS(nrES_PID,$D977,nrES_Code,$F977,nrES_Att,2,nrES_Raw,"&gt;=0")=0),"Yes","No")))</f>
        <v/>
      </c>
      <c r="R977" s="17">
        <f>IF($C977="","",IF($L977="","",IF(AND(N($K977)&gt;=2,ISNUMBER($L977),$L977&lt;$J977),"Yes","No")))</f>
        <v/>
      </c>
      <c r="S977" s="18" t="n"/>
      <c r="T977" s="19">
        <f>IF(OR($C977="",$L977="",$K977&lt;&gt;1,NOT(ISNUMBER($L977)),$L977&gt;=$J977),"",IF($S977="","(enter date)",_xlfn.LET(_xlpm.dn,_xlfn.XLOOKUP($S977,nrCDdate,nrCDnum,"",1),IF(_xlpm.dn="","(after last class day)",_xlfn.LET(_xlpm.dd,_xlfn.XLOOKUP(_xlpm.dn+cfgRetestClassDays,nrCDnum,nrCDdate,""),_xlpm.ok,_xlfn.XLOOKUP(_xlpm.dn+cfgRetestClassDays,nrCDnum,nrCDinsession,"No"),IF(OR(_xlpm.dd="",_xlpm.ok&lt;&gt;"Yes"),"(after last class day)",_xlpm.dd))))))</f>
        <v/>
      </c>
      <c r="U977" s="17">
        <f>IF($C977="","",IF(AND($Y977="Excused",$L977="",N($K977)&lt;=1),"EXCUSED - 1st attempt pending",IF(OR($L977="",$K977&lt;&gt;1,NOT(ISNUMBER($L977)),$L977&gt;=$J977),"",IF(COUNTIFS(nrES_PID,$D977,nrES_Code,$F977,nrES_Att,2,nrES_Raw,"&gt;=0")&gt;0,IF(IFERROR(_xlfn.MINIFS(nrES_Date,nrES_PID,$D977,nrES_Code,$F977,nrES_Att,2,nrES_Raw,"&gt;=0",nrES_Date,"&gt;0"),0)=0,"RETEST UNDATED",IF(NOT(ISNUMBER($T977)),"RETEST DATE UNCHECKED",IF(_xlfn.MINIFS(nrES_Date,nrES_PID,$D977,nrES_Code,$F977,nrES_Att,2,nrES_Raw,"&gt;=0",nrES_Date,"&gt;0")&gt;$T977,"LATE RETEST "&amp;TEXT(_xlfn.MINIFS(nrES_Date,nrES_PID,$D977,nrES_Code,$F977,nrES_Att,2,nrES_Raw,"&gt;=0",nrES_Date,"&gt;0"),"mm/dd")&amp;" (due "&amp;TEXT($T977,"mm/dd")&amp;")","Retested"))),IF(NOT(ISNUMBER($T977)),"CHECK DATE",IF(TODAY()&gt;$T977,"OVERDUE","Due "&amp;TEXT($T977,"mm/dd")))))))</f>
        <v/>
      </c>
      <c r="V977" s="16" t="n"/>
      <c r="W977" s="16" t="n"/>
      <c r="X977" s="17">
        <f>IF($C977="","",IF(AND($L977&lt;&gt;"",NOT(ISNUMBER($L977))),"RAW SCORE NOT A NUMBER",IF(AND(ISNUMBER($L977),OR($L977&lt;0,$L977&gt;100)),"RAW SCORE OUT OF RANGE",IF(AND($Y977="Unexcused",OR($L977="",NOT(ISNUMBER($L977)),$L977&lt;&gt;0)),"UNEXCUSED ABSENCE MUST RECORD 0",IF(COUNTIF(nrES_RecID,$B977)&gt;1,"DUPLICATE RECORD",IF(N($K977)&gt;2,"ATTEMPT 3+ NOT ALLOWED - policy 300.5 permits one retest per exam; this row records nothing",IF(AND($K977=2,COUNTIFS(nrES_PID,$D977,nrES_Code,$F977,nrES_Att,1)=0),"ATTEMPT 2 WITHOUT ATTEMPT 1",IF(AND($K977=2,$L977=""),"RETEST ROW HAS NO SCORE",IF(AND($H977="Final",$L977&lt;&gt;"",IFERROR(INDEX(nrCKfinalExamElig,MATCH($D977,rngCadetPIDs,0)),"")="No"),"FINAL EXAM AFTER FAILED FINAL PT (500.1.H)",IF(AND($K977=2,ISNUMBER($L977),COUNTIFS(nrES_PID,$D977,nrES_Code,$F977,nrES_Att,1)&gt;0,SUMIFS(nrES_Raw,nrES_PID,$D977,nrES_Code,$F977,nrES_Att,1)&gt;=$J977),"RETEST AFTER A PASSING FIRST ATTEMPT","OK"))))))))))</f>
        <v/>
      </c>
      <c r="Y977" s="16" t="n"/>
    </row>
    <row r="978">
      <c r="B978" s="17">
        <f>IF($C978="","",$D978&amp;"-"&amp;$F978&amp;"-"&amp;$K978)</f>
        <v/>
      </c>
      <c r="C978" s="16" t="n"/>
      <c r="D978" s="17">
        <f>IF($C978="","",IFERROR(INDEX(rngCadetPIDs,MATCH($C978,rngCadetNames,0)),"?"))</f>
        <v/>
      </c>
      <c r="E978" s="17">
        <f>IF($D978="","",IFERROR(INDEX(nrCadetAgency,MATCH($D978,rngCadetPIDs,0)),""))</f>
        <v/>
      </c>
      <c r="F978" s="16" t="n"/>
      <c r="G978" s="17">
        <f>IF($F978="","",IFERROR(INDEX(rngEPname,MATCH($F978,rngEPcode,0)),"?"))</f>
        <v/>
      </c>
      <c r="H978" s="17">
        <f>IF($F978="","",IFERROR(INDEX(rngEPtype,MATCH($F978,rngEPcode,0)),"?"))</f>
        <v/>
      </c>
      <c r="I978" s="17">
        <f>IF($F978="","",IFERROR(INDEX(rngEPseq,MATCH($F978,rngEPcode,0)),""))</f>
        <v/>
      </c>
      <c r="J978" s="17">
        <f>IF($F978="","",IFERROR(INDEX(rngEPpass,MATCH($F978,rngEPcode,0)),cfgPassingScore))</f>
        <v/>
      </c>
      <c r="K978" s="16" t="n"/>
      <c r="L978" s="16" t="n"/>
      <c r="M978" s="17">
        <f>IF($C978="","",IF($L978="","",IF(NOT(ISNUMBER($L978)),$L978,IF(N($K978)&gt;2,"",IF($K978=1,IF(COUNTIFS(nrES_PID,$D978,nrES_Code,$F978,nrES_Att,2,nrES_Raw,"&gt;=0")&gt;0,"",$L978),IF($L978&gt;=$J978,MAX($J978,cfgRetakeRecordedCap),IF(COUNTIFS(nrES_PID,$D978,nrES_Code,$F978,nrES_Att,1)=0,$L978,SUMIFS(nrES_Raw,nrES_PID,$D978,nrES_Code,$F978,nrES_Att,1))))))))</f>
        <v/>
      </c>
      <c r="N978" s="17">
        <f>IF($C978="","",IF($L978="","",IF(NOT(ISNUMBER($L978)),"(not a score)",IF($L978&gt;=$J978,"Yes","No"))))</f>
        <v/>
      </c>
      <c r="O978" s="17">
        <f>IF($C978="","",IF($M978="","",IF(NOT(ISNUMBER($M978)),"(not a score)",IF($M978&gt;=$J978,"Yes","No"))))</f>
        <v/>
      </c>
      <c r="P978" s="17">
        <f>IF($C978="","",IF($K978="","",IF(N($K978)&gt;2,"No",IF(COUNTIFS(nrES_PID,$D978,nrES_Code,$F978,nrES_Att,"&gt;"&amp;$K978,nrES_Att,"&lt;=2",nrES_Raw,"&gt;=0")=0,"Yes","No"))))</f>
        <v/>
      </c>
      <c r="Q978" s="17">
        <f>IF($C978="","",IF($L978="","",IF(AND($K978=1,ISNUMBER($L978),$L978&lt;$J978,COUNTIFS(nrES_PID,$D978,nrES_Code,$F978,nrES_Att,2,nrES_Raw,"&gt;=0")=0),"Yes","No")))</f>
        <v/>
      </c>
      <c r="R978" s="17">
        <f>IF($C978="","",IF($L978="","",IF(AND(N($K978)&gt;=2,ISNUMBER($L978),$L978&lt;$J978),"Yes","No")))</f>
        <v/>
      </c>
      <c r="S978" s="18" t="n"/>
      <c r="T978" s="19">
        <f>IF(OR($C978="",$L978="",$K978&lt;&gt;1,NOT(ISNUMBER($L978)),$L978&gt;=$J978),"",IF($S978="","(enter date)",_xlfn.LET(_xlpm.dn,_xlfn.XLOOKUP($S978,nrCDdate,nrCDnum,"",1),IF(_xlpm.dn="","(after last class day)",_xlfn.LET(_xlpm.dd,_xlfn.XLOOKUP(_xlpm.dn+cfgRetestClassDays,nrCDnum,nrCDdate,""),_xlpm.ok,_xlfn.XLOOKUP(_xlpm.dn+cfgRetestClassDays,nrCDnum,nrCDinsession,"No"),IF(OR(_xlpm.dd="",_xlpm.ok&lt;&gt;"Yes"),"(after last class day)",_xlpm.dd))))))</f>
        <v/>
      </c>
      <c r="U978" s="17">
        <f>IF($C978="","",IF(AND($Y978="Excused",$L978="",N($K978)&lt;=1),"EXCUSED - 1st attempt pending",IF(OR($L978="",$K978&lt;&gt;1,NOT(ISNUMBER($L978)),$L978&gt;=$J978),"",IF(COUNTIFS(nrES_PID,$D978,nrES_Code,$F978,nrES_Att,2,nrES_Raw,"&gt;=0")&gt;0,IF(IFERROR(_xlfn.MINIFS(nrES_Date,nrES_PID,$D978,nrES_Code,$F978,nrES_Att,2,nrES_Raw,"&gt;=0",nrES_Date,"&gt;0"),0)=0,"RETEST UNDATED",IF(NOT(ISNUMBER($T978)),"RETEST DATE UNCHECKED",IF(_xlfn.MINIFS(nrES_Date,nrES_PID,$D978,nrES_Code,$F978,nrES_Att,2,nrES_Raw,"&gt;=0",nrES_Date,"&gt;0")&gt;$T978,"LATE RETEST "&amp;TEXT(_xlfn.MINIFS(nrES_Date,nrES_PID,$D978,nrES_Code,$F978,nrES_Att,2,nrES_Raw,"&gt;=0",nrES_Date,"&gt;0"),"mm/dd")&amp;" (due "&amp;TEXT($T978,"mm/dd")&amp;")","Retested"))),IF(NOT(ISNUMBER($T978)),"CHECK DATE",IF(TODAY()&gt;$T978,"OVERDUE","Due "&amp;TEXT($T978,"mm/dd")))))))</f>
        <v/>
      </c>
      <c r="V978" s="16" t="n"/>
      <c r="W978" s="16" t="n"/>
      <c r="X978" s="17">
        <f>IF($C978="","",IF(AND($L978&lt;&gt;"",NOT(ISNUMBER($L978))),"RAW SCORE NOT A NUMBER",IF(AND(ISNUMBER($L978),OR($L978&lt;0,$L978&gt;100)),"RAW SCORE OUT OF RANGE",IF(AND($Y978="Unexcused",OR($L978="",NOT(ISNUMBER($L978)),$L978&lt;&gt;0)),"UNEXCUSED ABSENCE MUST RECORD 0",IF(COUNTIF(nrES_RecID,$B978)&gt;1,"DUPLICATE RECORD",IF(N($K978)&gt;2,"ATTEMPT 3+ NOT ALLOWED - policy 300.5 permits one retest per exam; this row records nothing",IF(AND($K978=2,COUNTIFS(nrES_PID,$D978,nrES_Code,$F978,nrES_Att,1)=0),"ATTEMPT 2 WITHOUT ATTEMPT 1",IF(AND($K978=2,$L978=""),"RETEST ROW HAS NO SCORE",IF(AND($H978="Final",$L978&lt;&gt;"",IFERROR(INDEX(nrCKfinalExamElig,MATCH($D978,rngCadetPIDs,0)),"")="No"),"FINAL EXAM AFTER FAILED FINAL PT (500.1.H)",IF(AND($K978=2,ISNUMBER($L978),COUNTIFS(nrES_PID,$D978,nrES_Code,$F978,nrES_Att,1)&gt;0,SUMIFS(nrES_Raw,nrES_PID,$D978,nrES_Code,$F978,nrES_Att,1)&gt;=$J978),"RETEST AFTER A PASSING FIRST ATTEMPT","OK"))))))))))</f>
        <v/>
      </c>
      <c r="Y978" s="16" t="n"/>
    </row>
    <row r="979">
      <c r="B979" s="17">
        <f>IF($C979="","",$D979&amp;"-"&amp;$F979&amp;"-"&amp;$K979)</f>
        <v/>
      </c>
      <c r="C979" s="16" t="n"/>
      <c r="D979" s="17">
        <f>IF($C979="","",IFERROR(INDEX(rngCadetPIDs,MATCH($C979,rngCadetNames,0)),"?"))</f>
        <v/>
      </c>
      <c r="E979" s="17">
        <f>IF($D979="","",IFERROR(INDEX(nrCadetAgency,MATCH($D979,rngCadetPIDs,0)),""))</f>
        <v/>
      </c>
      <c r="F979" s="16" t="n"/>
      <c r="G979" s="17">
        <f>IF($F979="","",IFERROR(INDEX(rngEPname,MATCH($F979,rngEPcode,0)),"?"))</f>
        <v/>
      </c>
      <c r="H979" s="17">
        <f>IF($F979="","",IFERROR(INDEX(rngEPtype,MATCH($F979,rngEPcode,0)),"?"))</f>
        <v/>
      </c>
      <c r="I979" s="17">
        <f>IF($F979="","",IFERROR(INDEX(rngEPseq,MATCH($F979,rngEPcode,0)),""))</f>
        <v/>
      </c>
      <c r="J979" s="17">
        <f>IF($F979="","",IFERROR(INDEX(rngEPpass,MATCH($F979,rngEPcode,0)),cfgPassingScore))</f>
        <v/>
      </c>
      <c r="K979" s="16" t="n"/>
      <c r="L979" s="16" t="n"/>
      <c r="M979" s="17">
        <f>IF($C979="","",IF($L979="","",IF(NOT(ISNUMBER($L979)),$L979,IF(N($K979)&gt;2,"",IF($K979=1,IF(COUNTIFS(nrES_PID,$D979,nrES_Code,$F979,nrES_Att,2,nrES_Raw,"&gt;=0")&gt;0,"",$L979),IF($L979&gt;=$J979,MAX($J979,cfgRetakeRecordedCap),IF(COUNTIFS(nrES_PID,$D979,nrES_Code,$F979,nrES_Att,1)=0,$L979,SUMIFS(nrES_Raw,nrES_PID,$D979,nrES_Code,$F979,nrES_Att,1))))))))</f>
        <v/>
      </c>
      <c r="N979" s="17">
        <f>IF($C979="","",IF($L979="","",IF(NOT(ISNUMBER($L979)),"(not a score)",IF($L979&gt;=$J979,"Yes","No"))))</f>
        <v/>
      </c>
      <c r="O979" s="17">
        <f>IF($C979="","",IF($M979="","",IF(NOT(ISNUMBER($M979)),"(not a score)",IF($M979&gt;=$J979,"Yes","No"))))</f>
        <v/>
      </c>
      <c r="P979" s="17">
        <f>IF($C979="","",IF($K979="","",IF(N($K979)&gt;2,"No",IF(COUNTIFS(nrES_PID,$D979,nrES_Code,$F979,nrES_Att,"&gt;"&amp;$K979,nrES_Att,"&lt;=2",nrES_Raw,"&gt;=0")=0,"Yes","No"))))</f>
        <v/>
      </c>
      <c r="Q979" s="17">
        <f>IF($C979="","",IF($L979="","",IF(AND($K979=1,ISNUMBER($L979),$L979&lt;$J979,COUNTIFS(nrES_PID,$D979,nrES_Code,$F979,nrES_Att,2,nrES_Raw,"&gt;=0")=0),"Yes","No")))</f>
        <v/>
      </c>
      <c r="R979" s="17">
        <f>IF($C979="","",IF($L979="","",IF(AND(N($K979)&gt;=2,ISNUMBER($L979),$L979&lt;$J979),"Yes","No")))</f>
        <v/>
      </c>
      <c r="S979" s="18" t="n"/>
      <c r="T979" s="19">
        <f>IF(OR($C979="",$L979="",$K979&lt;&gt;1,NOT(ISNUMBER($L979)),$L979&gt;=$J979),"",IF($S979="","(enter date)",_xlfn.LET(_xlpm.dn,_xlfn.XLOOKUP($S979,nrCDdate,nrCDnum,"",1),IF(_xlpm.dn="","(after last class day)",_xlfn.LET(_xlpm.dd,_xlfn.XLOOKUP(_xlpm.dn+cfgRetestClassDays,nrCDnum,nrCDdate,""),_xlpm.ok,_xlfn.XLOOKUP(_xlpm.dn+cfgRetestClassDays,nrCDnum,nrCDinsession,"No"),IF(OR(_xlpm.dd="",_xlpm.ok&lt;&gt;"Yes"),"(after last class day)",_xlpm.dd))))))</f>
        <v/>
      </c>
      <c r="U979" s="17">
        <f>IF($C979="","",IF(AND($Y979="Excused",$L979="",N($K979)&lt;=1),"EXCUSED - 1st attempt pending",IF(OR($L979="",$K979&lt;&gt;1,NOT(ISNUMBER($L979)),$L979&gt;=$J979),"",IF(COUNTIFS(nrES_PID,$D979,nrES_Code,$F979,nrES_Att,2,nrES_Raw,"&gt;=0")&gt;0,IF(IFERROR(_xlfn.MINIFS(nrES_Date,nrES_PID,$D979,nrES_Code,$F979,nrES_Att,2,nrES_Raw,"&gt;=0",nrES_Date,"&gt;0"),0)=0,"RETEST UNDATED",IF(NOT(ISNUMBER($T979)),"RETEST DATE UNCHECKED",IF(_xlfn.MINIFS(nrES_Date,nrES_PID,$D979,nrES_Code,$F979,nrES_Att,2,nrES_Raw,"&gt;=0",nrES_Date,"&gt;0")&gt;$T979,"LATE RETEST "&amp;TEXT(_xlfn.MINIFS(nrES_Date,nrES_PID,$D979,nrES_Code,$F979,nrES_Att,2,nrES_Raw,"&gt;=0",nrES_Date,"&gt;0"),"mm/dd")&amp;" (due "&amp;TEXT($T979,"mm/dd")&amp;")","Retested"))),IF(NOT(ISNUMBER($T979)),"CHECK DATE",IF(TODAY()&gt;$T979,"OVERDUE","Due "&amp;TEXT($T979,"mm/dd")))))))</f>
        <v/>
      </c>
      <c r="V979" s="16" t="n"/>
      <c r="W979" s="16" t="n"/>
      <c r="X979" s="17">
        <f>IF($C979="","",IF(AND($L979&lt;&gt;"",NOT(ISNUMBER($L979))),"RAW SCORE NOT A NUMBER",IF(AND(ISNUMBER($L979),OR($L979&lt;0,$L979&gt;100)),"RAW SCORE OUT OF RANGE",IF(AND($Y979="Unexcused",OR($L979="",NOT(ISNUMBER($L979)),$L979&lt;&gt;0)),"UNEXCUSED ABSENCE MUST RECORD 0",IF(COUNTIF(nrES_RecID,$B979)&gt;1,"DUPLICATE RECORD",IF(N($K979)&gt;2,"ATTEMPT 3+ NOT ALLOWED - policy 300.5 permits one retest per exam; this row records nothing",IF(AND($K979=2,COUNTIFS(nrES_PID,$D979,nrES_Code,$F979,nrES_Att,1)=0),"ATTEMPT 2 WITHOUT ATTEMPT 1",IF(AND($K979=2,$L979=""),"RETEST ROW HAS NO SCORE",IF(AND($H979="Final",$L979&lt;&gt;"",IFERROR(INDEX(nrCKfinalExamElig,MATCH($D979,rngCadetPIDs,0)),"")="No"),"FINAL EXAM AFTER FAILED FINAL PT (500.1.H)",IF(AND($K979=2,ISNUMBER($L979),COUNTIFS(nrES_PID,$D979,nrES_Code,$F979,nrES_Att,1)&gt;0,SUMIFS(nrES_Raw,nrES_PID,$D979,nrES_Code,$F979,nrES_Att,1)&gt;=$J979),"RETEST AFTER A PASSING FIRST ATTEMPT","OK"))))))))))</f>
        <v/>
      </c>
      <c r="Y979" s="16" t="n"/>
    </row>
    <row r="980">
      <c r="B980" s="17">
        <f>IF($C980="","",$D980&amp;"-"&amp;$F980&amp;"-"&amp;$K980)</f>
        <v/>
      </c>
      <c r="C980" s="16" t="n"/>
      <c r="D980" s="17">
        <f>IF($C980="","",IFERROR(INDEX(rngCadetPIDs,MATCH($C980,rngCadetNames,0)),"?"))</f>
        <v/>
      </c>
      <c r="E980" s="17">
        <f>IF($D980="","",IFERROR(INDEX(nrCadetAgency,MATCH($D980,rngCadetPIDs,0)),""))</f>
        <v/>
      </c>
      <c r="F980" s="16" t="n"/>
      <c r="G980" s="17">
        <f>IF($F980="","",IFERROR(INDEX(rngEPname,MATCH($F980,rngEPcode,0)),"?"))</f>
        <v/>
      </c>
      <c r="H980" s="17">
        <f>IF($F980="","",IFERROR(INDEX(rngEPtype,MATCH($F980,rngEPcode,0)),"?"))</f>
        <v/>
      </c>
      <c r="I980" s="17">
        <f>IF($F980="","",IFERROR(INDEX(rngEPseq,MATCH($F980,rngEPcode,0)),""))</f>
        <v/>
      </c>
      <c r="J980" s="17">
        <f>IF($F980="","",IFERROR(INDEX(rngEPpass,MATCH($F980,rngEPcode,0)),cfgPassingScore))</f>
        <v/>
      </c>
      <c r="K980" s="16" t="n"/>
      <c r="L980" s="16" t="n"/>
      <c r="M980" s="17">
        <f>IF($C980="","",IF($L980="","",IF(NOT(ISNUMBER($L980)),$L980,IF(N($K980)&gt;2,"",IF($K980=1,IF(COUNTIFS(nrES_PID,$D980,nrES_Code,$F980,nrES_Att,2,nrES_Raw,"&gt;=0")&gt;0,"",$L980),IF($L980&gt;=$J980,MAX($J980,cfgRetakeRecordedCap),IF(COUNTIFS(nrES_PID,$D980,nrES_Code,$F980,nrES_Att,1)=0,$L980,SUMIFS(nrES_Raw,nrES_PID,$D980,nrES_Code,$F980,nrES_Att,1))))))))</f>
        <v/>
      </c>
      <c r="N980" s="17">
        <f>IF($C980="","",IF($L980="","",IF(NOT(ISNUMBER($L980)),"(not a score)",IF($L980&gt;=$J980,"Yes","No"))))</f>
        <v/>
      </c>
      <c r="O980" s="17">
        <f>IF($C980="","",IF($M980="","",IF(NOT(ISNUMBER($M980)),"(not a score)",IF($M980&gt;=$J980,"Yes","No"))))</f>
        <v/>
      </c>
      <c r="P980" s="17">
        <f>IF($C980="","",IF($K980="","",IF(N($K980)&gt;2,"No",IF(COUNTIFS(nrES_PID,$D980,nrES_Code,$F980,nrES_Att,"&gt;"&amp;$K980,nrES_Att,"&lt;=2",nrES_Raw,"&gt;=0")=0,"Yes","No"))))</f>
        <v/>
      </c>
      <c r="Q980" s="17">
        <f>IF($C980="","",IF($L980="","",IF(AND($K980=1,ISNUMBER($L980),$L980&lt;$J980,COUNTIFS(nrES_PID,$D980,nrES_Code,$F980,nrES_Att,2,nrES_Raw,"&gt;=0")=0),"Yes","No")))</f>
        <v/>
      </c>
      <c r="R980" s="17">
        <f>IF($C980="","",IF($L980="","",IF(AND(N($K980)&gt;=2,ISNUMBER($L980),$L980&lt;$J980),"Yes","No")))</f>
        <v/>
      </c>
      <c r="S980" s="18" t="n"/>
      <c r="T980" s="19">
        <f>IF(OR($C980="",$L980="",$K980&lt;&gt;1,NOT(ISNUMBER($L980)),$L980&gt;=$J980),"",IF($S980="","(enter date)",_xlfn.LET(_xlpm.dn,_xlfn.XLOOKUP($S980,nrCDdate,nrCDnum,"",1),IF(_xlpm.dn="","(after last class day)",_xlfn.LET(_xlpm.dd,_xlfn.XLOOKUP(_xlpm.dn+cfgRetestClassDays,nrCDnum,nrCDdate,""),_xlpm.ok,_xlfn.XLOOKUP(_xlpm.dn+cfgRetestClassDays,nrCDnum,nrCDinsession,"No"),IF(OR(_xlpm.dd="",_xlpm.ok&lt;&gt;"Yes"),"(after last class day)",_xlpm.dd))))))</f>
        <v/>
      </c>
      <c r="U980" s="17">
        <f>IF($C980="","",IF(AND($Y980="Excused",$L980="",N($K980)&lt;=1),"EXCUSED - 1st attempt pending",IF(OR($L980="",$K980&lt;&gt;1,NOT(ISNUMBER($L980)),$L980&gt;=$J980),"",IF(COUNTIFS(nrES_PID,$D980,nrES_Code,$F980,nrES_Att,2,nrES_Raw,"&gt;=0")&gt;0,IF(IFERROR(_xlfn.MINIFS(nrES_Date,nrES_PID,$D980,nrES_Code,$F980,nrES_Att,2,nrES_Raw,"&gt;=0",nrES_Date,"&gt;0"),0)=0,"RETEST UNDATED",IF(NOT(ISNUMBER($T980)),"RETEST DATE UNCHECKED",IF(_xlfn.MINIFS(nrES_Date,nrES_PID,$D980,nrES_Code,$F980,nrES_Att,2,nrES_Raw,"&gt;=0",nrES_Date,"&gt;0")&gt;$T980,"LATE RETEST "&amp;TEXT(_xlfn.MINIFS(nrES_Date,nrES_PID,$D980,nrES_Code,$F980,nrES_Att,2,nrES_Raw,"&gt;=0",nrES_Date,"&gt;0"),"mm/dd")&amp;" (due "&amp;TEXT($T980,"mm/dd")&amp;")","Retested"))),IF(NOT(ISNUMBER($T980)),"CHECK DATE",IF(TODAY()&gt;$T980,"OVERDUE","Due "&amp;TEXT($T980,"mm/dd")))))))</f>
        <v/>
      </c>
      <c r="V980" s="16" t="n"/>
      <c r="W980" s="16" t="n"/>
      <c r="X980" s="17">
        <f>IF($C980="","",IF(AND($L980&lt;&gt;"",NOT(ISNUMBER($L980))),"RAW SCORE NOT A NUMBER",IF(AND(ISNUMBER($L980),OR($L980&lt;0,$L980&gt;100)),"RAW SCORE OUT OF RANGE",IF(AND($Y980="Unexcused",OR($L980="",NOT(ISNUMBER($L980)),$L980&lt;&gt;0)),"UNEXCUSED ABSENCE MUST RECORD 0",IF(COUNTIF(nrES_RecID,$B980)&gt;1,"DUPLICATE RECORD",IF(N($K980)&gt;2,"ATTEMPT 3+ NOT ALLOWED - policy 300.5 permits one retest per exam; this row records nothing",IF(AND($K980=2,COUNTIFS(nrES_PID,$D980,nrES_Code,$F980,nrES_Att,1)=0),"ATTEMPT 2 WITHOUT ATTEMPT 1",IF(AND($K980=2,$L980=""),"RETEST ROW HAS NO SCORE",IF(AND($H980="Final",$L980&lt;&gt;"",IFERROR(INDEX(nrCKfinalExamElig,MATCH($D980,rngCadetPIDs,0)),"")="No"),"FINAL EXAM AFTER FAILED FINAL PT (500.1.H)",IF(AND($K980=2,ISNUMBER($L980),COUNTIFS(nrES_PID,$D980,nrES_Code,$F980,nrES_Att,1)&gt;0,SUMIFS(nrES_Raw,nrES_PID,$D980,nrES_Code,$F980,nrES_Att,1)&gt;=$J980),"RETEST AFTER A PASSING FIRST ATTEMPT","OK"))))))))))</f>
        <v/>
      </c>
      <c r="Y980" s="16" t="n"/>
    </row>
    <row r="981">
      <c r="B981" s="17">
        <f>IF($C981="","",$D981&amp;"-"&amp;$F981&amp;"-"&amp;$K981)</f>
        <v/>
      </c>
      <c r="C981" s="16" t="n"/>
      <c r="D981" s="17">
        <f>IF($C981="","",IFERROR(INDEX(rngCadetPIDs,MATCH($C981,rngCadetNames,0)),"?"))</f>
        <v/>
      </c>
      <c r="E981" s="17">
        <f>IF($D981="","",IFERROR(INDEX(nrCadetAgency,MATCH($D981,rngCadetPIDs,0)),""))</f>
        <v/>
      </c>
      <c r="F981" s="16" t="n"/>
      <c r="G981" s="17">
        <f>IF($F981="","",IFERROR(INDEX(rngEPname,MATCH($F981,rngEPcode,0)),"?"))</f>
        <v/>
      </c>
      <c r="H981" s="17">
        <f>IF($F981="","",IFERROR(INDEX(rngEPtype,MATCH($F981,rngEPcode,0)),"?"))</f>
        <v/>
      </c>
      <c r="I981" s="17">
        <f>IF($F981="","",IFERROR(INDEX(rngEPseq,MATCH($F981,rngEPcode,0)),""))</f>
        <v/>
      </c>
      <c r="J981" s="17">
        <f>IF($F981="","",IFERROR(INDEX(rngEPpass,MATCH($F981,rngEPcode,0)),cfgPassingScore))</f>
        <v/>
      </c>
      <c r="K981" s="16" t="n"/>
      <c r="L981" s="16" t="n"/>
      <c r="M981" s="17">
        <f>IF($C981="","",IF($L981="","",IF(NOT(ISNUMBER($L981)),$L981,IF(N($K981)&gt;2,"",IF($K981=1,IF(COUNTIFS(nrES_PID,$D981,nrES_Code,$F981,nrES_Att,2,nrES_Raw,"&gt;=0")&gt;0,"",$L981),IF($L981&gt;=$J981,MAX($J981,cfgRetakeRecordedCap),IF(COUNTIFS(nrES_PID,$D981,nrES_Code,$F981,nrES_Att,1)=0,$L981,SUMIFS(nrES_Raw,nrES_PID,$D981,nrES_Code,$F981,nrES_Att,1))))))))</f>
        <v/>
      </c>
      <c r="N981" s="17">
        <f>IF($C981="","",IF($L981="","",IF(NOT(ISNUMBER($L981)),"(not a score)",IF($L981&gt;=$J981,"Yes","No"))))</f>
        <v/>
      </c>
      <c r="O981" s="17">
        <f>IF($C981="","",IF($M981="","",IF(NOT(ISNUMBER($M981)),"(not a score)",IF($M981&gt;=$J981,"Yes","No"))))</f>
        <v/>
      </c>
      <c r="P981" s="17">
        <f>IF($C981="","",IF($K981="","",IF(N($K981)&gt;2,"No",IF(COUNTIFS(nrES_PID,$D981,nrES_Code,$F981,nrES_Att,"&gt;"&amp;$K981,nrES_Att,"&lt;=2",nrES_Raw,"&gt;=0")=0,"Yes","No"))))</f>
        <v/>
      </c>
      <c r="Q981" s="17">
        <f>IF($C981="","",IF($L981="","",IF(AND($K981=1,ISNUMBER($L981),$L981&lt;$J981,COUNTIFS(nrES_PID,$D981,nrES_Code,$F981,nrES_Att,2,nrES_Raw,"&gt;=0")=0),"Yes","No")))</f>
        <v/>
      </c>
      <c r="R981" s="17">
        <f>IF($C981="","",IF($L981="","",IF(AND(N($K981)&gt;=2,ISNUMBER($L981),$L981&lt;$J981),"Yes","No")))</f>
        <v/>
      </c>
      <c r="S981" s="18" t="n"/>
      <c r="T981" s="19">
        <f>IF(OR($C981="",$L981="",$K981&lt;&gt;1,NOT(ISNUMBER($L981)),$L981&gt;=$J981),"",IF($S981="","(enter date)",_xlfn.LET(_xlpm.dn,_xlfn.XLOOKUP($S981,nrCDdate,nrCDnum,"",1),IF(_xlpm.dn="","(after last class day)",_xlfn.LET(_xlpm.dd,_xlfn.XLOOKUP(_xlpm.dn+cfgRetestClassDays,nrCDnum,nrCDdate,""),_xlpm.ok,_xlfn.XLOOKUP(_xlpm.dn+cfgRetestClassDays,nrCDnum,nrCDinsession,"No"),IF(OR(_xlpm.dd="",_xlpm.ok&lt;&gt;"Yes"),"(after last class day)",_xlpm.dd))))))</f>
        <v/>
      </c>
      <c r="U981" s="17">
        <f>IF($C981="","",IF(AND($Y981="Excused",$L981="",N($K981)&lt;=1),"EXCUSED - 1st attempt pending",IF(OR($L981="",$K981&lt;&gt;1,NOT(ISNUMBER($L981)),$L981&gt;=$J981),"",IF(COUNTIFS(nrES_PID,$D981,nrES_Code,$F981,nrES_Att,2,nrES_Raw,"&gt;=0")&gt;0,IF(IFERROR(_xlfn.MINIFS(nrES_Date,nrES_PID,$D981,nrES_Code,$F981,nrES_Att,2,nrES_Raw,"&gt;=0",nrES_Date,"&gt;0"),0)=0,"RETEST UNDATED",IF(NOT(ISNUMBER($T981)),"RETEST DATE UNCHECKED",IF(_xlfn.MINIFS(nrES_Date,nrES_PID,$D981,nrES_Code,$F981,nrES_Att,2,nrES_Raw,"&gt;=0",nrES_Date,"&gt;0")&gt;$T981,"LATE RETEST "&amp;TEXT(_xlfn.MINIFS(nrES_Date,nrES_PID,$D981,nrES_Code,$F981,nrES_Att,2,nrES_Raw,"&gt;=0",nrES_Date,"&gt;0"),"mm/dd")&amp;" (due "&amp;TEXT($T981,"mm/dd")&amp;")","Retested"))),IF(NOT(ISNUMBER($T981)),"CHECK DATE",IF(TODAY()&gt;$T981,"OVERDUE","Due "&amp;TEXT($T981,"mm/dd")))))))</f>
        <v/>
      </c>
      <c r="V981" s="16" t="n"/>
      <c r="W981" s="16" t="n"/>
      <c r="X981" s="17">
        <f>IF($C981="","",IF(AND($L981&lt;&gt;"",NOT(ISNUMBER($L981))),"RAW SCORE NOT A NUMBER",IF(AND(ISNUMBER($L981),OR($L981&lt;0,$L981&gt;100)),"RAW SCORE OUT OF RANGE",IF(AND($Y981="Unexcused",OR($L981="",NOT(ISNUMBER($L981)),$L981&lt;&gt;0)),"UNEXCUSED ABSENCE MUST RECORD 0",IF(COUNTIF(nrES_RecID,$B981)&gt;1,"DUPLICATE RECORD",IF(N($K981)&gt;2,"ATTEMPT 3+ NOT ALLOWED - policy 300.5 permits one retest per exam; this row records nothing",IF(AND($K981=2,COUNTIFS(nrES_PID,$D981,nrES_Code,$F981,nrES_Att,1)=0),"ATTEMPT 2 WITHOUT ATTEMPT 1",IF(AND($K981=2,$L981=""),"RETEST ROW HAS NO SCORE",IF(AND($H981="Final",$L981&lt;&gt;"",IFERROR(INDEX(nrCKfinalExamElig,MATCH($D981,rngCadetPIDs,0)),"")="No"),"FINAL EXAM AFTER FAILED FINAL PT (500.1.H)",IF(AND($K981=2,ISNUMBER($L981),COUNTIFS(nrES_PID,$D981,nrES_Code,$F981,nrES_Att,1)&gt;0,SUMIFS(nrES_Raw,nrES_PID,$D981,nrES_Code,$F981,nrES_Att,1)&gt;=$J981),"RETEST AFTER A PASSING FIRST ATTEMPT","OK"))))))))))</f>
        <v/>
      </c>
      <c r="Y981" s="16" t="n"/>
    </row>
    <row r="982">
      <c r="B982" s="17">
        <f>IF($C982="","",$D982&amp;"-"&amp;$F982&amp;"-"&amp;$K982)</f>
        <v/>
      </c>
      <c r="C982" s="16" t="n"/>
      <c r="D982" s="17">
        <f>IF($C982="","",IFERROR(INDEX(rngCadetPIDs,MATCH($C982,rngCadetNames,0)),"?"))</f>
        <v/>
      </c>
      <c r="E982" s="17">
        <f>IF($D982="","",IFERROR(INDEX(nrCadetAgency,MATCH($D982,rngCadetPIDs,0)),""))</f>
        <v/>
      </c>
      <c r="F982" s="16" t="n"/>
      <c r="G982" s="17">
        <f>IF($F982="","",IFERROR(INDEX(rngEPname,MATCH($F982,rngEPcode,0)),"?"))</f>
        <v/>
      </c>
      <c r="H982" s="17">
        <f>IF($F982="","",IFERROR(INDEX(rngEPtype,MATCH($F982,rngEPcode,0)),"?"))</f>
        <v/>
      </c>
      <c r="I982" s="17">
        <f>IF($F982="","",IFERROR(INDEX(rngEPseq,MATCH($F982,rngEPcode,0)),""))</f>
        <v/>
      </c>
      <c r="J982" s="17">
        <f>IF($F982="","",IFERROR(INDEX(rngEPpass,MATCH($F982,rngEPcode,0)),cfgPassingScore))</f>
        <v/>
      </c>
      <c r="K982" s="16" t="n"/>
      <c r="L982" s="16" t="n"/>
      <c r="M982" s="17">
        <f>IF($C982="","",IF($L982="","",IF(NOT(ISNUMBER($L982)),$L982,IF(N($K982)&gt;2,"",IF($K982=1,IF(COUNTIFS(nrES_PID,$D982,nrES_Code,$F982,nrES_Att,2,nrES_Raw,"&gt;=0")&gt;0,"",$L982),IF($L982&gt;=$J982,MAX($J982,cfgRetakeRecordedCap),IF(COUNTIFS(nrES_PID,$D982,nrES_Code,$F982,nrES_Att,1)=0,$L982,SUMIFS(nrES_Raw,nrES_PID,$D982,nrES_Code,$F982,nrES_Att,1))))))))</f>
        <v/>
      </c>
      <c r="N982" s="17">
        <f>IF($C982="","",IF($L982="","",IF(NOT(ISNUMBER($L982)),"(not a score)",IF($L982&gt;=$J982,"Yes","No"))))</f>
        <v/>
      </c>
      <c r="O982" s="17">
        <f>IF($C982="","",IF($M982="","",IF(NOT(ISNUMBER($M982)),"(not a score)",IF($M982&gt;=$J982,"Yes","No"))))</f>
        <v/>
      </c>
      <c r="P982" s="17">
        <f>IF($C982="","",IF($K982="","",IF(N($K982)&gt;2,"No",IF(COUNTIFS(nrES_PID,$D982,nrES_Code,$F982,nrES_Att,"&gt;"&amp;$K982,nrES_Att,"&lt;=2",nrES_Raw,"&gt;=0")=0,"Yes","No"))))</f>
        <v/>
      </c>
      <c r="Q982" s="17">
        <f>IF($C982="","",IF($L982="","",IF(AND($K982=1,ISNUMBER($L982),$L982&lt;$J982,COUNTIFS(nrES_PID,$D982,nrES_Code,$F982,nrES_Att,2,nrES_Raw,"&gt;=0")=0),"Yes","No")))</f>
        <v/>
      </c>
      <c r="R982" s="17">
        <f>IF($C982="","",IF($L982="","",IF(AND(N($K982)&gt;=2,ISNUMBER($L982),$L982&lt;$J982),"Yes","No")))</f>
        <v/>
      </c>
      <c r="S982" s="18" t="n"/>
      <c r="T982" s="19">
        <f>IF(OR($C982="",$L982="",$K982&lt;&gt;1,NOT(ISNUMBER($L982)),$L982&gt;=$J982),"",IF($S982="","(enter date)",_xlfn.LET(_xlpm.dn,_xlfn.XLOOKUP($S982,nrCDdate,nrCDnum,"",1),IF(_xlpm.dn="","(after last class day)",_xlfn.LET(_xlpm.dd,_xlfn.XLOOKUP(_xlpm.dn+cfgRetestClassDays,nrCDnum,nrCDdate,""),_xlpm.ok,_xlfn.XLOOKUP(_xlpm.dn+cfgRetestClassDays,nrCDnum,nrCDinsession,"No"),IF(OR(_xlpm.dd="",_xlpm.ok&lt;&gt;"Yes"),"(after last class day)",_xlpm.dd))))))</f>
        <v/>
      </c>
      <c r="U982" s="17">
        <f>IF($C982="","",IF(AND($Y982="Excused",$L982="",N($K982)&lt;=1),"EXCUSED - 1st attempt pending",IF(OR($L982="",$K982&lt;&gt;1,NOT(ISNUMBER($L982)),$L982&gt;=$J982),"",IF(COUNTIFS(nrES_PID,$D982,nrES_Code,$F982,nrES_Att,2,nrES_Raw,"&gt;=0")&gt;0,IF(IFERROR(_xlfn.MINIFS(nrES_Date,nrES_PID,$D982,nrES_Code,$F982,nrES_Att,2,nrES_Raw,"&gt;=0",nrES_Date,"&gt;0"),0)=0,"RETEST UNDATED",IF(NOT(ISNUMBER($T982)),"RETEST DATE UNCHECKED",IF(_xlfn.MINIFS(nrES_Date,nrES_PID,$D982,nrES_Code,$F982,nrES_Att,2,nrES_Raw,"&gt;=0",nrES_Date,"&gt;0")&gt;$T982,"LATE RETEST "&amp;TEXT(_xlfn.MINIFS(nrES_Date,nrES_PID,$D982,nrES_Code,$F982,nrES_Att,2,nrES_Raw,"&gt;=0",nrES_Date,"&gt;0"),"mm/dd")&amp;" (due "&amp;TEXT($T982,"mm/dd")&amp;")","Retested"))),IF(NOT(ISNUMBER($T982)),"CHECK DATE",IF(TODAY()&gt;$T982,"OVERDUE","Due "&amp;TEXT($T982,"mm/dd")))))))</f>
        <v/>
      </c>
      <c r="V982" s="16" t="n"/>
      <c r="W982" s="16" t="n"/>
      <c r="X982" s="17">
        <f>IF($C982="","",IF(AND($L982&lt;&gt;"",NOT(ISNUMBER($L982))),"RAW SCORE NOT A NUMBER",IF(AND(ISNUMBER($L982),OR($L982&lt;0,$L982&gt;100)),"RAW SCORE OUT OF RANGE",IF(AND($Y982="Unexcused",OR($L982="",NOT(ISNUMBER($L982)),$L982&lt;&gt;0)),"UNEXCUSED ABSENCE MUST RECORD 0",IF(COUNTIF(nrES_RecID,$B982)&gt;1,"DUPLICATE RECORD",IF(N($K982)&gt;2,"ATTEMPT 3+ NOT ALLOWED - policy 300.5 permits one retest per exam; this row records nothing",IF(AND($K982=2,COUNTIFS(nrES_PID,$D982,nrES_Code,$F982,nrES_Att,1)=0),"ATTEMPT 2 WITHOUT ATTEMPT 1",IF(AND($K982=2,$L982=""),"RETEST ROW HAS NO SCORE",IF(AND($H982="Final",$L982&lt;&gt;"",IFERROR(INDEX(nrCKfinalExamElig,MATCH($D982,rngCadetPIDs,0)),"")="No"),"FINAL EXAM AFTER FAILED FINAL PT (500.1.H)",IF(AND($K982=2,ISNUMBER($L982),COUNTIFS(nrES_PID,$D982,nrES_Code,$F982,nrES_Att,1)&gt;0,SUMIFS(nrES_Raw,nrES_PID,$D982,nrES_Code,$F982,nrES_Att,1)&gt;=$J982),"RETEST AFTER A PASSING FIRST ATTEMPT","OK"))))))))))</f>
        <v/>
      </c>
      <c r="Y982" s="16" t="n"/>
    </row>
    <row r="983">
      <c r="B983" s="17">
        <f>IF($C983="","",$D983&amp;"-"&amp;$F983&amp;"-"&amp;$K983)</f>
        <v/>
      </c>
      <c r="C983" s="16" t="n"/>
      <c r="D983" s="17">
        <f>IF($C983="","",IFERROR(INDEX(rngCadetPIDs,MATCH($C983,rngCadetNames,0)),"?"))</f>
        <v/>
      </c>
      <c r="E983" s="17">
        <f>IF($D983="","",IFERROR(INDEX(nrCadetAgency,MATCH($D983,rngCadetPIDs,0)),""))</f>
        <v/>
      </c>
      <c r="F983" s="16" t="n"/>
      <c r="G983" s="17">
        <f>IF($F983="","",IFERROR(INDEX(rngEPname,MATCH($F983,rngEPcode,0)),"?"))</f>
        <v/>
      </c>
      <c r="H983" s="17">
        <f>IF($F983="","",IFERROR(INDEX(rngEPtype,MATCH($F983,rngEPcode,0)),"?"))</f>
        <v/>
      </c>
      <c r="I983" s="17">
        <f>IF($F983="","",IFERROR(INDEX(rngEPseq,MATCH($F983,rngEPcode,0)),""))</f>
        <v/>
      </c>
      <c r="J983" s="17">
        <f>IF($F983="","",IFERROR(INDEX(rngEPpass,MATCH($F983,rngEPcode,0)),cfgPassingScore))</f>
        <v/>
      </c>
      <c r="K983" s="16" t="n"/>
      <c r="L983" s="16" t="n"/>
      <c r="M983" s="17">
        <f>IF($C983="","",IF($L983="","",IF(NOT(ISNUMBER($L983)),$L983,IF(N($K983)&gt;2,"",IF($K983=1,IF(COUNTIFS(nrES_PID,$D983,nrES_Code,$F983,nrES_Att,2,nrES_Raw,"&gt;=0")&gt;0,"",$L983),IF($L983&gt;=$J983,MAX($J983,cfgRetakeRecordedCap),IF(COUNTIFS(nrES_PID,$D983,nrES_Code,$F983,nrES_Att,1)=0,$L983,SUMIFS(nrES_Raw,nrES_PID,$D983,nrES_Code,$F983,nrES_Att,1))))))))</f>
        <v/>
      </c>
      <c r="N983" s="17">
        <f>IF($C983="","",IF($L983="","",IF(NOT(ISNUMBER($L983)),"(not a score)",IF($L983&gt;=$J983,"Yes","No"))))</f>
        <v/>
      </c>
      <c r="O983" s="17">
        <f>IF($C983="","",IF($M983="","",IF(NOT(ISNUMBER($M983)),"(not a score)",IF($M983&gt;=$J983,"Yes","No"))))</f>
        <v/>
      </c>
      <c r="P983" s="17">
        <f>IF($C983="","",IF($K983="","",IF(N($K983)&gt;2,"No",IF(COUNTIFS(nrES_PID,$D983,nrES_Code,$F983,nrES_Att,"&gt;"&amp;$K983,nrES_Att,"&lt;=2",nrES_Raw,"&gt;=0")=0,"Yes","No"))))</f>
        <v/>
      </c>
      <c r="Q983" s="17">
        <f>IF($C983="","",IF($L983="","",IF(AND($K983=1,ISNUMBER($L983),$L983&lt;$J983,COUNTIFS(nrES_PID,$D983,nrES_Code,$F983,nrES_Att,2,nrES_Raw,"&gt;=0")=0),"Yes","No")))</f>
        <v/>
      </c>
      <c r="R983" s="17">
        <f>IF($C983="","",IF($L983="","",IF(AND(N($K983)&gt;=2,ISNUMBER($L983),$L983&lt;$J983),"Yes","No")))</f>
        <v/>
      </c>
      <c r="S983" s="18" t="n"/>
      <c r="T983" s="19">
        <f>IF(OR($C983="",$L983="",$K983&lt;&gt;1,NOT(ISNUMBER($L983)),$L983&gt;=$J983),"",IF($S983="","(enter date)",_xlfn.LET(_xlpm.dn,_xlfn.XLOOKUP($S983,nrCDdate,nrCDnum,"",1),IF(_xlpm.dn="","(after last class day)",_xlfn.LET(_xlpm.dd,_xlfn.XLOOKUP(_xlpm.dn+cfgRetestClassDays,nrCDnum,nrCDdate,""),_xlpm.ok,_xlfn.XLOOKUP(_xlpm.dn+cfgRetestClassDays,nrCDnum,nrCDinsession,"No"),IF(OR(_xlpm.dd="",_xlpm.ok&lt;&gt;"Yes"),"(after last class day)",_xlpm.dd))))))</f>
        <v/>
      </c>
      <c r="U983" s="17">
        <f>IF($C983="","",IF(AND($Y983="Excused",$L983="",N($K983)&lt;=1),"EXCUSED - 1st attempt pending",IF(OR($L983="",$K983&lt;&gt;1,NOT(ISNUMBER($L983)),$L983&gt;=$J983),"",IF(COUNTIFS(nrES_PID,$D983,nrES_Code,$F983,nrES_Att,2,nrES_Raw,"&gt;=0")&gt;0,IF(IFERROR(_xlfn.MINIFS(nrES_Date,nrES_PID,$D983,nrES_Code,$F983,nrES_Att,2,nrES_Raw,"&gt;=0",nrES_Date,"&gt;0"),0)=0,"RETEST UNDATED",IF(NOT(ISNUMBER($T983)),"RETEST DATE UNCHECKED",IF(_xlfn.MINIFS(nrES_Date,nrES_PID,$D983,nrES_Code,$F983,nrES_Att,2,nrES_Raw,"&gt;=0",nrES_Date,"&gt;0")&gt;$T983,"LATE RETEST "&amp;TEXT(_xlfn.MINIFS(nrES_Date,nrES_PID,$D983,nrES_Code,$F983,nrES_Att,2,nrES_Raw,"&gt;=0",nrES_Date,"&gt;0"),"mm/dd")&amp;" (due "&amp;TEXT($T983,"mm/dd")&amp;")","Retested"))),IF(NOT(ISNUMBER($T983)),"CHECK DATE",IF(TODAY()&gt;$T983,"OVERDUE","Due "&amp;TEXT($T983,"mm/dd")))))))</f>
        <v/>
      </c>
      <c r="V983" s="16" t="n"/>
      <c r="W983" s="16" t="n"/>
      <c r="X983" s="17">
        <f>IF($C983="","",IF(AND($L983&lt;&gt;"",NOT(ISNUMBER($L983))),"RAW SCORE NOT A NUMBER",IF(AND(ISNUMBER($L983),OR($L983&lt;0,$L983&gt;100)),"RAW SCORE OUT OF RANGE",IF(AND($Y983="Unexcused",OR($L983="",NOT(ISNUMBER($L983)),$L983&lt;&gt;0)),"UNEXCUSED ABSENCE MUST RECORD 0",IF(COUNTIF(nrES_RecID,$B983)&gt;1,"DUPLICATE RECORD",IF(N($K983)&gt;2,"ATTEMPT 3+ NOT ALLOWED - policy 300.5 permits one retest per exam; this row records nothing",IF(AND($K983=2,COUNTIFS(nrES_PID,$D983,nrES_Code,$F983,nrES_Att,1)=0),"ATTEMPT 2 WITHOUT ATTEMPT 1",IF(AND($K983=2,$L983=""),"RETEST ROW HAS NO SCORE",IF(AND($H983="Final",$L983&lt;&gt;"",IFERROR(INDEX(nrCKfinalExamElig,MATCH($D983,rngCadetPIDs,0)),"")="No"),"FINAL EXAM AFTER FAILED FINAL PT (500.1.H)",IF(AND($K983=2,ISNUMBER($L983),COUNTIFS(nrES_PID,$D983,nrES_Code,$F983,nrES_Att,1)&gt;0,SUMIFS(nrES_Raw,nrES_PID,$D983,nrES_Code,$F983,nrES_Att,1)&gt;=$J983),"RETEST AFTER A PASSING FIRST ATTEMPT","OK"))))))))))</f>
        <v/>
      </c>
      <c r="Y983" s="16" t="n"/>
    </row>
    <row r="984">
      <c r="B984" s="17">
        <f>IF($C984="","",$D984&amp;"-"&amp;$F984&amp;"-"&amp;$K984)</f>
        <v/>
      </c>
      <c r="C984" s="16" t="n"/>
      <c r="D984" s="17">
        <f>IF($C984="","",IFERROR(INDEX(rngCadetPIDs,MATCH($C984,rngCadetNames,0)),"?"))</f>
        <v/>
      </c>
      <c r="E984" s="17">
        <f>IF($D984="","",IFERROR(INDEX(nrCadetAgency,MATCH($D984,rngCadetPIDs,0)),""))</f>
        <v/>
      </c>
      <c r="F984" s="16" t="n"/>
      <c r="G984" s="17">
        <f>IF($F984="","",IFERROR(INDEX(rngEPname,MATCH($F984,rngEPcode,0)),"?"))</f>
        <v/>
      </c>
      <c r="H984" s="17">
        <f>IF($F984="","",IFERROR(INDEX(rngEPtype,MATCH($F984,rngEPcode,0)),"?"))</f>
        <v/>
      </c>
      <c r="I984" s="17">
        <f>IF($F984="","",IFERROR(INDEX(rngEPseq,MATCH($F984,rngEPcode,0)),""))</f>
        <v/>
      </c>
      <c r="J984" s="17">
        <f>IF($F984="","",IFERROR(INDEX(rngEPpass,MATCH($F984,rngEPcode,0)),cfgPassingScore))</f>
        <v/>
      </c>
      <c r="K984" s="16" t="n"/>
      <c r="L984" s="16" t="n"/>
      <c r="M984" s="17">
        <f>IF($C984="","",IF($L984="","",IF(NOT(ISNUMBER($L984)),$L984,IF(N($K984)&gt;2,"",IF($K984=1,IF(COUNTIFS(nrES_PID,$D984,nrES_Code,$F984,nrES_Att,2,nrES_Raw,"&gt;=0")&gt;0,"",$L984),IF($L984&gt;=$J984,MAX($J984,cfgRetakeRecordedCap),IF(COUNTIFS(nrES_PID,$D984,nrES_Code,$F984,nrES_Att,1)=0,$L984,SUMIFS(nrES_Raw,nrES_PID,$D984,nrES_Code,$F984,nrES_Att,1))))))))</f>
        <v/>
      </c>
      <c r="N984" s="17">
        <f>IF($C984="","",IF($L984="","",IF(NOT(ISNUMBER($L984)),"(not a score)",IF($L984&gt;=$J984,"Yes","No"))))</f>
        <v/>
      </c>
      <c r="O984" s="17">
        <f>IF($C984="","",IF($M984="","",IF(NOT(ISNUMBER($M984)),"(not a score)",IF($M984&gt;=$J984,"Yes","No"))))</f>
        <v/>
      </c>
      <c r="P984" s="17">
        <f>IF($C984="","",IF($K984="","",IF(N($K984)&gt;2,"No",IF(COUNTIFS(nrES_PID,$D984,nrES_Code,$F984,nrES_Att,"&gt;"&amp;$K984,nrES_Att,"&lt;=2",nrES_Raw,"&gt;=0")=0,"Yes","No"))))</f>
        <v/>
      </c>
      <c r="Q984" s="17">
        <f>IF($C984="","",IF($L984="","",IF(AND($K984=1,ISNUMBER($L984),$L984&lt;$J984,COUNTIFS(nrES_PID,$D984,nrES_Code,$F984,nrES_Att,2,nrES_Raw,"&gt;=0")=0),"Yes","No")))</f>
        <v/>
      </c>
      <c r="R984" s="17">
        <f>IF($C984="","",IF($L984="","",IF(AND(N($K984)&gt;=2,ISNUMBER($L984),$L984&lt;$J984),"Yes","No")))</f>
        <v/>
      </c>
      <c r="S984" s="18" t="n"/>
      <c r="T984" s="19">
        <f>IF(OR($C984="",$L984="",$K984&lt;&gt;1,NOT(ISNUMBER($L984)),$L984&gt;=$J984),"",IF($S984="","(enter date)",_xlfn.LET(_xlpm.dn,_xlfn.XLOOKUP($S984,nrCDdate,nrCDnum,"",1),IF(_xlpm.dn="","(after last class day)",_xlfn.LET(_xlpm.dd,_xlfn.XLOOKUP(_xlpm.dn+cfgRetestClassDays,nrCDnum,nrCDdate,""),_xlpm.ok,_xlfn.XLOOKUP(_xlpm.dn+cfgRetestClassDays,nrCDnum,nrCDinsession,"No"),IF(OR(_xlpm.dd="",_xlpm.ok&lt;&gt;"Yes"),"(after last class day)",_xlpm.dd))))))</f>
        <v/>
      </c>
      <c r="U984" s="17">
        <f>IF($C984="","",IF(AND($Y984="Excused",$L984="",N($K984)&lt;=1),"EXCUSED - 1st attempt pending",IF(OR($L984="",$K984&lt;&gt;1,NOT(ISNUMBER($L984)),$L984&gt;=$J984),"",IF(COUNTIFS(nrES_PID,$D984,nrES_Code,$F984,nrES_Att,2,nrES_Raw,"&gt;=0")&gt;0,IF(IFERROR(_xlfn.MINIFS(nrES_Date,nrES_PID,$D984,nrES_Code,$F984,nrES_Att,2,nrES_Raw,"&gt;=0",nrES_Date,"&gt;0"),0)=0,"RETEST UNDATED",IF(NOT(ISNUMBER($T984)),"RETEST DATE UNCHECKED",IF(_xlfn.MINIFS(nrES_Date,nrES_PID,$D984,nrES_Code,$F984,nrES_Att,2,nrES_Raw,"&gt;=0",nrES_Date,"&gt;0")&gt;$T984,"LATE RETEST "&amp;TEXT(_xlfn.MINIFS(nrES_Date,nrES_PID,$D984,nrES_Code,$F984,nrES_Att,2,nrES_Raw,"&gt;=0",nrES_Date,"&gt;0"),"mm/dd")&amp;" (due "&amp;TEXT($T984,"mm/dd")&amp;")","Retested"))),IF(NOT(ISNUMBER($T984)),"CHECK DATE",IF(TODAY()&gt;$T984,"OVERDUE","Due "&amp;TEXT($T984,"mm/dd")))))))</f>
        <v/>
      </c>
      <c r="V984" s="16" t="n"/>
      <c r="W984" s="16" t="n"/>
      <c r="X984" s="17">
        <f>IF($C984="","",IF(AND($L984&lt;&gt;"",NOT(ISNUMBER($L984))),"RAW SCORE NOT A NUMBER",IF(AND(ISNUMBER($L984),OR($L984&lt;0,$L984&gt;100)),"RAW SCORE OUT OF RANGE",IF(AND($Y984="Unexcused",OR($L984="",NOT(ISNUMBER($L984)),$L984&lt;&gt;0)),"UNEXCUSED ABSENCE MUST RECORD 0",IF(COUNTIF(nrES_RecID,$B984)&gt;1,"DUPLICATE RECORD",IF(N($K984)&gt;2,"ATTEMPT 3+ NOT ALLOWED - policy 300.5 permits one retest per exam; this row records nothing",IF(AND($K984=2,COUNTIFS(nrES_PID,$D984,nrES_Code,$F984,nrES_Att,1)=0),"ATTEMPT 2 WITHOUT ATTEMPT 1",IF(AND($K984=2,$L984=""),"RETEST ROW HAS NO SCORE",IF(AND($H984="Final",$L984&lt;&gt;"",IFERROR(INDEX(nrCKfinalExamElig,MATCH($D984,rngCadetPIDs,0)),"")="No"),"FINAL EXAM AFTER FAILED FINAL PT (500.1.H)",IF(AND($K984=2,ISNUMBER($L984),COUNTIFS(nrES_PID,$D984,nrES_Code,$F984,nrES_Att,1)&gt;0,SUMIFS(nrES_Raw,nrES_PID,$D984,nrES_Code,$F984,nrES_Att,1)&gt;=$J984),"RETEST AFTER A PASSING FIRST ATTEMPT","OK"))))))))))</f>
        <v/>
      </c>
      <c r="Y984" s="16" t="n"/>
    </row>
    <row r="985">
      <c r="B985" s="17">
        <f>IF($C985="","",$D985&amp;"-"&amp;$F985&amp;"-"&amp;$K985)</f>
        <v/>
      </c>
      <c r="C985" s="16" t="n"/>
      <c r="D985" s="17">
        <f>IF($C985="","",IFERROR(INDEX(rngCadetPIDs,MATCH($C985,rngCadetNames,0)),"?"))</f>
        <v/>
      </c>
      <c r="E985" s="17">
        <f>IF($D985="","",IFERROR(INDEX(nrCadetAgency,MATCH($D985,rngCadetPIDs,0)),""))</f>
        <v/>
      </c>
      <c r="F985" s="16" t="n"/>
      <c r="G985" s="17">
        <f>IF($F985="","",IFERROR(INDEX(rngEPname,MATCH($F985,rngEPcode,0)),"?"))</f>
        <v/>
      </c>
      <c r="H985" s="17">
        <f>IF($F985="","",IFERROR(INDEX(rngEPtype,MATCH($F985,rngEPcode,0)),"?"))</f>
        <v/>
      </c>
      <c r="I985" s="17">
        <f>IF($F985="","",IFERROR(INDEX(rngEPseq,MATCH($F985,rngEPcode,0)),""))</f>
        <v/>
      </c>
      <c r="J985" s="17">
        <f>IF($F985="","",IFERROR(INDEX(rngEPpass,MATCH($F985,rngEPcode,0)),cfgPassingScore))</f>
        <v/>
      </c>
      <c r="K985" s="16" t="n"/>
      <c r="L985" s="16" t="n"/>
      <c r="M985" s="17">
        <f>IF($C985="","",IF($L985="","",IF(NOT(ISNUMBER($L985)),$L985,IF(N($K985)&gt;2,"",IF($K985=1,IF(COUNTIFS(nrES_PID,$D985,nrES_Code,$F985,nrES_Att,2,nrES_Raw,"&gt;=0")&gt;0,"",$L985),IF($L985&gt;=$J985,MAX($J985,cfgRetakeRecordedCap),IF(COUNTIFS(nrES_PID,$D985,nrES_Code,$F985,nrES_Att,1)=0,$L985,SUMIFS(nrES_Raw,nrES_PID,$D985,nrES_Code,$F985,nrES_Att,1))))))))</f>
        <v/>
      </c>
      <c r="N985" s="17">
        <f>IF($C985="","",IF($L985="","",IF(NOT(ISNUMBER($L985)),"(not a score)",IF($L985&gt;=$J985,"Yes","No"))))</f>
        <v/>
      </c>
      <c r="O985" s="17">
        <f>IF($C985="","",IF($M985="","",IF(NOT(ISNUMBER($M985)),"(not a score)",IF($M985&gt;=$J985,"Yes","No"))))</f>
        <v/>
      </c>
      <c r="P985" s="17">
        <f>IF($C985="","",IF($K985="","",IF(N($K985)&gt;2,"No",IF(COUNTIFS(nrES_PID,$D985,nrES_Code,$F985,nrES_Att,"&gt;"&amp;$K985,nrES_Att,"&lt;=2",nrES_Raw,"&gt;=0")=0,"Yes","No"))))</f>
        <v/>
      </c>
      <c r="Q985" s="17">
        <f>IF($C985="","",IF($L985="","",IF(AND($K985=1,ISNUMBER($L985),$L985&lt;$J985,COUNTIFS(nrES_PID,$D985,nrES_Code,$F985,nrES_Att,2,nrES_Raw,"&gt;=0")=0),"Yes","No")))</f>
        <v/>
      </c>
      <c r="R985" s="17">
        <f>IF($C985="","",IF($L985="","",IF(AND(N($K985)&gt;=2,ISNUMBER($L985),$L985&lt;$J985),"Yes","No")))</f>
        <v/>
      </c>
      <c r="S985" s="18" t="n"/>
      <c r="T985" s="19">
        <f>IF(OR($C985="",$L985="",$K985&lt;&gt;1,NOT(ISNUMBER($L985)),$L985&gt;=$J985),"",IF($S985="","(enter date)",_xlfn.LET(_xlpm.dn,_xlfn.XLOOKUP($S985,nrCDdate,nrCDnum,"",1),IF(_xlpm.dn="","(after last class day)",_xlfn.LET(_xlpm.dd,_xlfn.XLOOKUP(_xlpm.dn+cfgRetestClassDays,nrCDnum,nrCDdate,""),_xlpm.ok,_xlfn.XLOOKUP(_xlpm.dn+cfgRetestClassDays,nrCDnum,nrCDinsession,"No"),IF(OR(_xlpm.dd="",_xlpm.ok&lt;&gt;"Yes"),"(after last class day)",_xlpm.dd))))))</f>
        <v/>
      </c>
      <c r="U985" s="17">
        <f>IF($C985="","",IF(AND($Y985="Excused",$L985="",N($K985)&lt;=1),"EXCUSED - 1st attempt pending",IF(OR($L985="",$K985&lt;&gt;1,NOT(ISNUMBER($L985)),$L985&gt;=$J985),"",IF(COUNTIFS(nrES_PID,$D985,nrES_Code,$F985,nrES_Att,2,nrES_Raw,"&gt;=0")&gt;0,IF(IFERROR(_xlfn.MINIFS(nrES_Date,nrES_PID,$D985,nrES_Code,$F985,nrES_Att,2,nrES_Raw,"&gt;=0",nrES_Date,"&gt;0"),0)=0,"RETEST UNDATED",IF(NOT(ISNUMBER($T985)),"RETEST DATE UNCHECKED",IF(_xlfn.MINIFS(nrES_Date,nrES_PID,$D985,nrES_Code,$F985,nrES_Att,2,nrES_Raw,"&gt;=0",nrES_Date,"&gt;0")&gt;$T985,"LATE RETEST "&amp;TEXT(_xlfn.MINIFS(nrES_Date,nrES_PID,$D985,nrES_Code,$F985,nrES_Att,2,nrES_Raw,"&gt;=0",nrES_Date,"&gt;0"),"mm/dd")&amp;" (due "&amp;TEXT($T985,"mm/dd")&amp;")","Retested"))),IF(NOT(ISNUMBER($T985)),"CHECK DATE",IF(TODAY()&gt;$T985,"OVERDUE","Due "&amp;TEXT($T985,"mm/dd")))))))</f>
        <v/>
      </c>
      <c r="V985" s="16" t="n"/>
      <c r="W985" s="16" t="n"/>
      <c r="X985" s="17">
        <f>IF($C985="","",IF(AND($L985&lt;&gt;"",NOT(ISNUMBER($L985))),"RAW SCORE NOT A NUMBER",IF(AND(ISNUMBER($L985),OR($L985&lt;0,$L985&gt;100)),"RAW SCORE OUT OF RANGE",IF(AND($Y985="Unexcused",OR($L985="",NOT(ISNUMBER($L985)),$L985&lt;&gt;0)),"UNEXCUSED ABSENCE MUST RECORD 0",IF(COUNTIF(nrES_RecID,$B985)&gt;1,"DUPLICATE RECORD",IF(N($K985)&gt;2,"ATTEMPT 3+ NOT ALLOWED - policy 300.5 permits one retest per exam; this row records nothing",IF(AND($K985=2,COUNTIFS(nrES_PID,$D985,nrES_Code,$F985,nrES_Att,1)=0),"ATTEMPT 2 WITHOUT ATTEMPT 1",IF(AND($K985=2,$L985=""),"RETEST ROW HAS NO SCORE",IF(AND($H985="Final",$L985&lt;&gt;"",IFERROR(INDEX(nrCKfinalExamElig,MATCH($D985,rngCadetPIDs,0)),"")="No"),"FINAL EXAM AFTER FAILED FINAL PT (500.1.H)",IF(AND($K985=2,ISNUMBER($L985),COUNTIFS(nrES_PID,$D985,nrES_Code,$F985,nrES_Att,1)&gt;0,SUMIFS(nrES_Raw,nrES_PID,$D985,nrES_Code,$F985,nrES_Att,1)&gt;=$J985),"RETEST AFTER A PASSING FIRST ATTEMPT","OK"))))))))))</f>
        <v/>
      </c>
      <c r="Y985" s="16" t="n"/>
    </row>
    <row r="986">
      <c r="B986" s="17">
        <f>IF($C986="","",$D986&amp;"-"&amp;$F986&amp;"-"&amp;$K986)</f>
        <v/>
      </c>
      <c r="C986" s="16" t="n"/>
      <c r="D986" s="17">
        <f>IF($C986="","",IFERROR(INDEX(rngCadetPIDs,MATCH($C986,rngCadetNames,0)),"?"))</f>
        <v/>
      </c>
      <c r="E986" s="17">
        <f>IF($D986="","",IFERROR(INDEX(nrCadetAgency,MATCH($D986,rngCadetPIDs,0)),""))</f>
        <v/>
      </c>
      <c r="F986" s="16" t="n"/>
      <c r="G986" s="17">
        <f>IF($F986="","",IFERROR(INDEX(rngEPname,MATCH($F986,rngEPcode,0)),"?"))</f>
        <v/>
      </c>
      <c r="H986" s="17">
        <f>IF($F986="","",IFERROR(INDEX(rngEPtype,MATCH($F986,rngEPcode,0)),"?"))</f>
        <v/>
      </c>
      <c r="I986" s="17">
        <f>IF($F986="","",IFERROR(INDEX(rngEPseq,MATCH($F986,rngEPcode,0)),""))</f>
        <v/>
      </c>
      <c r="J986" s="17">
        <f>IF($F986="","",IFERROR(INDEX(rngEPpass,MATCH($F986,rngEPcode,0)),cfgPassingScore))</f>
        <v/>
      </c>
      <c r="K986" s="16" t="n"/>
      <c r="L986" s="16" t="n"/>
      <c r="M986" s="17">
        <f>IF($C986="","",IF($L986="","",IF(NOT(ISNUMBER($L986)),$L986,IF(N($K986)&gt;2,"",IF($K986=1,IF(COUNTIFS(nrES_PID,$D986,nrES_Code,$F986,nrES_Att,2,nrES_Raw,"&gt;=0")&gt;0,"",$L986),IF($L986&gt;=$J986,MAX($J986,cfgRetakeRecordedCap),IF(COUNTIFS(nrES_PID,$D986,nrES_Code,$F986,nrES_Att,1)=0,$L986,SUMIFS(nrES_Raw,nrES_PID,$D986,nrES_Code,$F986,nrES_Att,1))))))))</f>
        <v/>
      </c>
      <c r="N986" s="17">
        <f>IF($C986="","",IF($L986="","",IF(NOT(ISNUMBER($L986)),"(not a score)",IF($L986&gt;=$J986,"Yes","No"))))</f>
        <v/>
      </c>
      <c r="O986" s="17">
        <f>IF($C986="","",IF($M986="","",IF(NOT(ISNUMBER($M986)),"(not a score)",IF($M986&gt;=$J986,"Yes","No"))))</f>
        <v/>
      </c>
      <c r="P986" s="17">
        <f>IF($C986="","",IF($K986="","",IF(N($K986)&gt;2,"No",IF(COUNTIFS(nrES_PID,$D986,nrES_Code,$F986,nrES_Att,"&gt;"&amp;$K986,nrES_Att,"&lt;=2",nrES_Raw,"&gt;=0")=0,"Yes","No"))))</f>
        <v/>
      </c>
      <c r="Q986" s="17">
        <f>IF($C986="","",IF($L986="","",IF(AND($K986=1,ISNUMBER($L986),$L986&lt;$J986,COUNTIFS(nrES_PID,$D986,nrES_Code,$F986,nrES_Att,2,nrES_Raw,"&gt;=0")=0),"Yes","No")))</f>
        <v/>
      </c>
      <c r="R986" s="17">
        <f>IF($C986="","",IF($L986="","",IF(AND(N($K986)&gt;=2,ISNUMBER($L986),$L986&lt;$J986),"Yes","No")))</f>
        <v/>
      </c>
      <c r="S986" s="18" t="n"/>
      <c r="T986" s="19">
        <f>IF(OR($C986="",$L986="",$K986&lt;&gt;1,NOT(ISNUMBER($L986)),$L986&gt;=$J986),"",IF($S986="","(enter date)",_xlfn.LET(_xlpm.dn,_xlfn.XLOOKUP($S986,nrCDdate,nrCDnum,"",1),IF(_xlpm.dn="","(after last class day)",_xlfn.LET(_xlpm.dd,_xlfn.XLOOKUP(_xlpm.dn+cfgRetestClassDays,nrCDnum,nrCDdate,""),_xlpm.ok,_xlfn.XLOOKUP(_xlpm.dn+cfgRetestClassDays,nrCDnum,nrCDinsession,"No"),IF(OR(_xlpm.dd="",_xlpm.ok&lt;&gt;"Yes"),"(after last class day)",_xlpm.dd))))))</f>
        <v/>
      </c>
      <c r="U986" s="17">
        <f>IF($C986="","",IF(AND($Y986="Excused",$L986="",N($K986)&lt;=1),"EXCUSED - 1st attempt pending",IF(OR($L986="",$K986&lt;&gt;1,NOT(ISNUMBER($L986)),$L986&gt;=$J986),"",IF(COUNTIFS(nrES_PID,$D986,nrES_Code,$F986,nrES_Att,2,nrES_Raw,"&gt;=0")&gt;0,IF(IFERROR(_xlfn.MINIFS(nrES_Date,nrES_PID,$D986,nrES_Code,$F986,nrES_Att,2,nrES_Raw,"&gt;=0",nrES_Date,"&gt;0"),0)=0,"RETEST UNDATED",IF(NOT(ISNUMBER($T986)),"RETEST DATE UNCHECKED",IF(_xlfn.MINIFS(nrES_Date,nrES_PID,$D986,nrES_Code,$F986,nrES_Att,2,nrES_Raw,"&gt;=0",nrES_Date,"&gt;0")&gt;$T986,"LATE RETEST "&amp;TEXT(_xlfn.MINIFS(nrES_Date,nrES_PID,$D986,nrES_Code,$F986,nrES_Att,2,nrES_Raw,"&gt;=0",nrES_Date,"&gt;0"),"mm/dd")&amp;" (due "&amp;TEXT($T986,"mm/dd")&amp;")","Retested"))),IF(NOT(ISNUMBER($T986)),"CHECK DATE",IF(TODAY()&gt;$T986,"OVERDUE","Due "&amp;TEXT($T986,"mm/dd")))))))</f>
        <v/>
      </c>
      <c r="V986" s="16" t="n"/>
      <c r="W986" s="16" t="n"/>
      <c r="X986" s="17">
        <f>IF($C986="","",IF(AND($L986&lt;&gt;"",NOT(ISNUMBER($L986))),"RAW SCORE NOT A NUMBER",IF(AND(ISNUMBER($L986),OR($L986&lt;0,$L986&gt;100)),"RAW SCORE OUT OF RANGE",IF(AND($Y986="Unexcused",OR($L986="",NOT(ISNUMBER($L986)),$L986&lt;&gt;0)),"UNEXCUSED ABSENCE MUST RECORD 0",IF(COUNTIF(nrES_RecID,$B986)&gt;1,"DUPLICATE RECORD",IF(N($K986)&gt;2,"ATTEMPT 3+ NOT ALLOWED - policy 300.5 permits one retest per exam; this row records nothing",IF(AND($K986=2,COUNTIFS(nrES_PID,$D986,nrES_Code,$F986,nrES_Att,1)=0),"ATTEMPT 2 WITHOUT ATTEMPT 1",IF(AND($K986=2,$L986=""),"RETEST ROW HAS NO SCORE",IF(AND($H986="Final",$L986&lt;&gt;"",IFERROR(INDEX(nrCKfinalExamElig,MATCH($D986,rngCadetPIDs,0)),"")="No"),"FINAL EXAM AFTER FAILED FINAL PT (500.1.H)",IF(AND($K986=2,ISNUMBER($L986),COUNTIFS(nrES_PID,$D986,nrES_Code,$F986,nrES_Att,1)&gt;0,SUMIFS(nrES_Raw,nrES_PID,$D986,nrES_Code,$F986,nrES_Att,1)&gt;=$J986),"RETEST AFTER A PASSING FIRST ATTEMPT","OK"))))))))))</f>
        <v/>
      </c>
      <c r="Y986" s="16" t="n"/>
    </row>
    <row r="987">
      <c r="B987" s="17">
        <f>IF($C987="","",$D987&amp;"-"&amp;$F987&amp;"-"&amp;$K987)</f>
        <v/>
      </c>
      <c r="C987" s="16" t="n"/>
      <c r="D987" s="17">
        <f>IF($C987="","",IFERROR(INDEX(rngCadetPIDs,MATCH($C987,rngCadetNames,0)),"?"))</f>
        <v/>
      </c>
      <c r="E987" s="17">
        <f>IF($D987="","",IFERROR(INDEX(nrCadetAgency,MATCH($D987,rngCadetPIDs,0)),""))</f>
        <v/>
      </c>
      <c r="F987" s="16" t="n"/>
      <c r="G987" s="17">
        <f>IF($F987="","",IFERROR(INDEX(rngEPname,MATCH($F987,rngEPcode,0)),"?"))</f>
        <v/>
      </c>
      <c r="H987" s="17">
        <f>IF($F987="","",IFERROR(INDEX(rngEPtype,MATCH($F987,rngEPcode,0)),"?"))</f>
        <v/>
      </c>
      <c r="I987" s="17">
        <f>IF($F987="","",IFERROR(INDEX(rngEPseq,MATCH($F987,rngEPcode,0)),""))</f>
        <v/>
      </c>
      <c r="J987" s="17">
        <f>IF($F987="","",IFERROR(INDEX(rngEPpass,MATCH($F987,rngEPcode,0)),cfgPassingScore))</f>
        <v/>
      </c>
      <c r="K987" s="16" t="n"/>
      <c r="L987" s="16" t="n"/>
      <c r="M987" s="17">
        <f>IF($C987="","",IF($L987="","",IF(NOT(ISNUMBER($L987)),$L987,IF(N($K987)&gt;2,"",IF($K987=1,IF(COUNTIFS(nrES_PID,$D987,nrES_Code,$F987,nrES_Att,2,nrES_Raw,"&gt;=0")&gt;0,"",$L987),IF($L987&gt;=$J987,MAX($J987,cfgRetakeRecordedCap),IF(COUNTIFS(nrES_PID,$D987,nrES_Code,$F987,nrES_Att,1)=0,$L987,SUMIFS(nrES_Raw,nrES_PID,$D987,nrES_Code,$F987,nrES_Att,1))))))))</f>
        <v/>
      </c>
      <c r="N987" s="17">
        <f>IF($C987="","",IF($L987="","",IF(NOT(ISNUMBER($L987)),"(not a score)",IF($L987&gt;=$J987,"Yes","No"))))</f>
        <v/>
      </c>
      <c r="O987" s="17">
        <f>IF($C987="","",IF($M987="","",IF(NOT(ISNUMBER($M987)),"(not a score)",IF($M987&gt;=$J987,"Yes","No"))))</f>
        <v/>
      </c>
      <c r="P987" s="17">
        <f>IF($C987="","",IF($K987="","",IF(N($K987)&gt;2,"No",IF(COUNTIFS(nrES_PID,$D987,nrES_Code,$F987,nrES_Att,"&gt;"&amp;$K987,nrES_Att,"&lt;=2",nrES_Raw,"&gt;=0")=0,"Yes","No"))))</f>
        <v/>
      </c>
      <c r="Q987" s="17">
        <f>IF($C987="","",IF($L987="","",IF(AND($K987=1,ISNUMBER($L987),$L987&lt;$J987,COUNTIFS(nrES_PID,$D987,nrES_Code,$F987,nrES_Att,2,nrES_Raw,"&gt;=0")=0),"Yes","No")))</f>
        <v/>
      </c>
      <c r="R987" s="17">
        <f>IF($C987="","",IF($L987="","",IF(AND(N($K987)&gt;=2,ISNUMBER($L987),$L987&lt;$J987),"Yes","No")))</f>
        <v/>
      </c>
      <c r="S987" s="18" t="n"/>
      <c r="T987" s="19">
        <f>IF(OR($C987="",$L987="",$K987&lt;&gt;1,NOT(ISNUMBER($L987)),$L987&gt;=$J987),"",IF($S987="","(enter date)",_xlfn.LET(_xlpm.dn,_xlfn.XLOOKUP($S987,nrCDdate,nrCDnum,"",1),IF(_xlpm.dn="","(after last class day)",_xlfn.LET(_xlpm.dd,_xlfn.XLOOKUP(_xlpm.dn+cfgRetestClassDays,nrCDnum,nrCDdate,""),_xlpm.ok,_xlfn.XLOOKUP(_xlpm.dn+cfgRetestClassDays,nrCDnum,nrCDinsession,"No"),IF(OR(_xlpm.dd="",_xlpm.ok&lt;&gt;"Yes"),"(after last class day)",_xlpm.dd))))))</f>
        <v/>
      </c>
      <c r="U987" s="17">
        <f>IF($C987="","",IF(AND($Y987="Excused",$L987="",N($K987)&lt;=1),"EXCUSED - 1st attempt pending",IF(OR($L987="",$K987&lt;&gt;1,NOT(ISNUMBER($L987)),$L987&gt;=$J987),"",IF(COUNTIFS(nrES_PID,$D987,nrES_Code,$F987,nrES_Att,2,nrES_Raw,"&gt;=0")&gt;0,IF(IFERROR(_xlfn.MINIFS(nrES_Date,nrES_PID,$D987,nrES_Code,$F987,nrES_Att,2,nrES_Raw,"&gt;=0",nrES_Date,"&gt;0"),0)=0,"RETEST UNDATED",IF(NOT(ISNUMBER($T987)),"RETEST DATE UNCHECKED",IF(_xlfn.MINIFS(nrES_Date,nrES_PID,$D987,nrES_Code,$F987,nrES_Att,2,nrES_Raw,"&gt;=0",nrES_Date,"&gt;0")&gt;$T987,"LATE RETEST "&amp;TEXT(_xlfn.MINIFS(nrES_Date,nrES_PID,$D987,nrES_Code,$F987,nrES_Att,2,nrES_Raw,"&gt;=0",nrES_Date,"&gt;0"),"mm/dd")&amp;" (due "&amp;TEXT($T987,"mm/dd")&amp;")","Retested"))),IF(NOT(ISNUMBER($T987)),"CHECK DATE",IF(TODAY()&gt;$T987,"OVERDUE","Due "&amp;TEXT($T987,"mm/dd")))))))</f>
        <v/>
      </c>
      <c r="V987" s="16" t="n"/>
      <c r="W987" s="16" t="n"/>
      <c r="X987" s="17">
        <f>IF($C987="","",IF(AND($L987&lt;&gt;"",NOT(ISNUMBER($L987))),"RAW SCORE NOT A NUMBER",IF(AND(ISNUMBER($L987),OR($L987&lt;0,$L987&gt;100)),"RAW SCORE OUT OF RANGE",IF(AND($Y987="Unexcused",OR($L987="",NOT(ISNUMBER($L987)),$L987&lt;&gt;0)),"UNEXCUSED ABSENCE MUST RECORD 0",IF(COUNTIF(nrES_RecID,$B987)&gt;1,"DUPLICATE RECORD",IF(N($K987)&gt;2,"ATTEMPT 3+ NOT ALLOWED - policy 300.5 permits one retest per exam; this row records nothing",IF(AND($K987=2,COUNTIFS(nrES_PID,$D987,nrES_Code,$F987,nrES_Att,1)=0),"ATTEMPT 2 WITHOUT ATTEMPT 1",IF(AND($K987=2,$L987=""),"RETEST ROW HAS NO SCORE",IF(AND($H987="Final",$L987&lt;&gt;"",IFERROR(INDEX(nrCKfinalExamElig,MATCH($D987,rngCadetPIDs,0)),"")="No"),"FINAL EXAM AFTER FAILED FINAL PT (500.1.H)",IF(AND($K987=2,ISNUMBER($L987),COUNTIFS(nrES_PID,$D987,nrES_Code,$F987,nrES_Att,1)&gt;0,SUMIFS(nrES_Raw,nrES_PID,$D987,nrES_Code,$F987,nrES_Att,1)&gt;=$J987),"RETEST AFTER A PASSING FIRST ATTEMPT","OK"))))))))))</f>
        <v/>
      </c>
      <c r="Y987" s="16" t="n"/>
    </row>
    <row r="988">
      <c r="B988" s="17">
        <f>IF($C988="","",$D988&amp;"-"&amp;$F988&amp;"-"&amp;$K988)</f>
        <v/>
      </c>
      <c r="C988" s="16" t="n"/>
      <c r="D988" s="17">
        <f>IF($C988="","",IFERROR(INDEX(rngCadetPIDs,MATCH($C988,rngCadetNames,0)),"?"))</f>
        <v/>
      </c>
      <c r="E988" s="17">
        <f>IF($D988="","",IFERROR(INDEX(nrCadetAgency,MATCH($D988,rngCadetPIDs,0)),""))</f>
        <v/>
      </c>
      <c r="F988" s="16" t="n"/>
      <c r="G988" s="17">
        <f>IF($F988="","",IFERROR(INDEX(rngEPname,MATCH($F988,rngEPcode,0)),"?"))</f>
        <v/>
      </c>
      <c r="H988" s="17">
        <f>IF($F988="","",IFERROR(INDEX(rngEPtype,MATCH($F988,rngEPcode,0)),"?"))</f>
        <v/>
      </c>
      <c r="I988" s="17">
        <f>IF($F988="","",IFERROR(INDEX(rngEPseq,MATCH($F988,rngEPcode,0)),""))</f>
        <v/>
      </c>
      <c r="J988" s="17">
        <f>IF($F988="","",IFERROR(INDEX(rngEPpass,MATCH($F988,rngEPcode,0)),cfgPassingScore))</f>
        <v/>
      </c>
      <c r="K988" s="16" t="n"/>
      <c r="L988" s="16" t="n"/>
      <c r="M988" s="17">
        <f>IF($C988="","",IF($L988="","",IF(NOT(ISNUMBER($L988)),$L988,IF(N($K988)&gt;2,"",IF($K988=1,IF(COUNTIFS(nrES_PID,$D988,nrES_Code,$F988,nrES_Att,2,nrES_Raw,"&gt;=0")&gt;0,"",$L988),IF($L988&gt;=$J988,MAX($J988,cfgRetakeRecordedCap),IF(COUNTIFS(nrES_PID,$D988,nrES_Code,$F988,nrES_Att,1)=0,$L988,SUMIFS(nrES_Raw,nrES_PID,$D988,nrES_Code,$F988,nrES_Att,1))))))))</f>
        <v/>
      </c>
      <c r="N988" s="17">
        <f>IF($C988="","",IF($L988="","",IF(NOT(ISNUMBER($L988)),"(not a score)",IF($L988&gt;=$J988,"Yes","No"))))</f>
        <v/>
      </c>
      <c r="O988" s="17">
        <f>IF($C988="","",IF($M988="","",IF(NOT(ISNUMBER($M988)),"(not a score)",IF($M988&gt;=$J988,"Yes","No"))))</f>
        <v/>
      </c>
      <c r="P988" s="17">
        <f>IF($C988="","",IF($K988="","",IF(N($K988)&gt;2,"No",IF(COUNTIFS(nrES_PID,$D988,nrES_Code,$F988,nrES_Att,"&gt;"&amp;$K988,nrES_Att,"&lt;=2",nrES_Raw,"&gt;=0")=0,"Yes","No"))))</f>
        <v/>
      </c>
      <c r="Q988" s="17">
        <f>IF($C988="","",IF($L988="","",IF(AND($K988=1,ISNUMBER($L988),$L988&lt;$J988,COUNTIFS(nrES_PID,$D988,nrES_Code,$F988,nrES_Att,2,nrES_Raw,"&gt;=0")=0),"Yes","No")))</f>
        <v/>
      </c>
      <c r="R988" s="17">
        <f>IF($C988="","",IF($L988="","",IF(AND(N($K988)&gt;=2,ISNUMBER($L988),$L988&lt;$J988),"Yes","No")))</f>
        <v/>
      </c>
      <c r="S988" s="18" t="n"/>
      <c r="T988" s="19">
        <f>IF(OR($C988="",$L988="",$K988&lt;&gt;1,NOT(ISNUMBER($L988)),$L988&gt;=$J988),"",IF($S988="","(enter date)",_xlfn.LET(_xlpm.dn,_xlfn.XLOOKUP($S988,nrCDdate,nrCDnum,"",1),IF(_xlpm.dn="","(after last class day)",_xlfn.LET(_xlpm.dd,_xlfn.XLOOKUP(_xlpm.dn+cfgRetestClassDays,nrCDnum,nrCDdate,""),_xlpm.ok,_xlfn.XLOOKUP(_xlpm.dn+cfgRetestClassDays,nrCDnum,nrCDinsession,"No"),IF(OR(_xlpm.dd="",_xlpm.ok&lt;&gt;"Yes"),"(after last class day)",_xlpm.dd))))))</f>
        <v/>
      </c>
      <c r="U988" s="17">
        <f>IF($C988="","",IF(AND($Y988="Excused",$L988="",N($K988)&lt;=1),"EXCUSED - 1st attempt pending",IF(OR($L988="",$K988&lt;&gt;1,NOT(ISNUMBER($L988)),$L988&gt;=$J988),"",IF(COUNTIFS(nrES_PID,$D988,nrES_Code,$F988,nrES_Att,2,nrES_Raw,"&gt;=0")&gt;0,IF(IFERROR(_xlfn.MINIFS(nrES_Date,nrES_PID,$D988,nrES_Code,$F988,nrES_Att,2,nrES_Raw,"&gt;=0",nrES_Date,"&gt;0"),0)=0,"RETEST UNDATED",IF(NOT(ISNUMBER($T988)),"RETEST DATE UNCHECKED",IF(_xlfn.MINIFS(nrES_Date,nrES_PID,$D988,nrES_Code,$F988,nrES_Att,2,nrES_Raw,"&gt;=0",nrES_Date,"&gt;0")&gt;$T988,"LATE RETEST "&amp;TEXT(_xlfn.MINIFS(nrES_Date,nrES_PID,$D988,nrES_Code,$F988,nrES_Att,2,nrES_Raw,"&gt;=0",nrES_Date,"&gt;0"),"mm/dd")&amp;" (due "&amp;TEXT($T988,"mm/dd")&amp;")","Retested"))),IF(NOT(ISNUMBER($T988)),"CHECK DATE",IF(TODAY()&gt;$T988,"OVERDUE","Due "&amp;TEXT($T988,"mm/dd")))))))</f>
        <v/>
      </c>
      <c r="V988" s="16" t="n"/>
      <c r="W988" s="16" t="n"/>
      <c r="X988" s="17">
        <f>IF($C988="","",IF(AND($L988&lt;&gt;"",NOT(ISNUMBER($L988))),"RAW SCORE NOT A NUMBER",IF(AND(ISNUMBER($L988),OR($L988&lt;0,$L988&gt;100)),"RAW SCORE OUT OF RANGE",IF(AND($Y988="Unexcused",OR($L988="",NOT(ISNUMBER($L988)),$L988&lt;&gt;0)),"UNEXCUSED ABSENCE MUST RECORD 0",IF(COUNTIF(nrES_RecID,$B988)&gt;1,"DUPLICATE RECORD",IF(N($K988)&gt;2,"ATTEMPT 3+ NOT ALLOWED - policy 300.5 permits one retest per exam; this row records nothing",IF(AND($K988=2,COUNTIFS(nrES_PID,$D988,nrES_Code,$F988,nrES_Att,1)=0),"ATTEMPT 2 WITHOUT ATTEMPT 1",IF(AND($K988=2,$L988=""),"RETEST ROW HAS NO SCORE",IF(AND($H988="Final",$L988&lt;&gt;"",IFERROR(INDEX(nrCKfinalExamElig,MATCH($D988,rngCadetPIDs,0)),"")="No"),"FINAL EXAM AFTER FAILED FINAL PT (500.1.H)",IF(AND($K988=2,ISNUMBER($L988),COUNTIFS(nrES_PID,$D988,nrES_Code,$F988,nrES_Att,1)&gt;0,SUMIFS(nrES_Raw,nrES_PID,$D988,nrES_Code,$F988,nrES_Att,1)&gt;=$J988),"RETEST AFTER A PASSING FIRST ATTEMPT","OK"))))))))))</f>
        <v/>
      </c>
      <c r="Y988" s="16" t="n"/>
    </row>
    <row r="989">
      <c r="B989" s="17">
        <f>IF($C989="","",$D989&amp;"-"&amp;$F989&amp;"-"&amp;$K989)</f>
        <v/>
      </c>
      <c r="C989" s="16" t="n"/>
      <c r="D989" s="17">
        <f>IF($C989="","",IFERROR(INDEX(rngCadetPIDs,MATCH($C989,rngCadetNames,0)),"?"))</f>
        <v/>
      </c>
      <c r="E989" s="17">
        <f>IF($D989="","",IFERROR(INDEX(nrCadetAgency,MATCH($D989,rngCadetPIDs,0)),""))</f>
        <v/>
      </c>
      <c r="F989" s="16" t="n"/>
      <c r="G989" s="17">
        <f>IF($F989="","",IFERROR(INDEX(rngEPname,MATCH($F989,rngEPcode,0)),"?"))</f>
        <v/>
      </c>
      <c r="H989" s="17">
        <f>IF($F989="","",IFERROR(INDEX(rngEPtype,MATCH($F989,rngEPcode,0)),"?"))</f>
        <v/>
      </c>
      <c r="I989" s="17">
        <f>IF($F989="","",IFERROR(INDEX(rngEPseq,MATCH($F989,rngEPcode,0)),""))</f>
        <v/>
      </c>
      <c r="J989" s="17">
        <f>IF($F989="","",IFERROR(INDEX(rngEPpass,MATCH($F989,rngEPcode,0)),cfgPassingScore))</f>
        <v/>
      </c>
      <c r="K989" s="16" t="n"/>
      <c r="L989" s="16" t="n"/>
      <c r="M989" s="17">
        <f>IF($C989="","",IF($L989="","",IF(NOT(ISNUMBER($L989)),$L989,IF(N($K989)&gt;2,"",IF($K989=1,IF(COUNTIFS(nrES_PID,$D989,nrES_Code,$F989,nrES_Att,2,nrES_Raw,"&gt;=0")&gt;0,"",$L989),IF($L989&gt;=$J989,MAX($J989,cfgRetakeRecordedCap),IF(COUNTIFS(nrES_PID,$D989,nrES_Code,$F989,nrES_Att,1)=0,$L989,SUMIFS(nrES_Raw,nrES_PID,$D989,nrES_Code,$F989,nrES_Att,1))))))))</f>
        <v/>
      </c>
      <c r="N989" s="17">
        <f>IF($C989="","",IF($L989="","",IF(NOT(ISNUMBER($L989)),"(not a score)",IF($L989&gt;=$J989,"Yes","No"))))</f>
        <v/>
      </c>
      <c r="O989" s="17">
        <f>IF($C989="","",IF($M989="","",IF(NOT(ISNUMBER($M989)),"(not a score)",IF($M989&gt;=$J989,"Yes","No"))))</f>
        <v/>
      </c>
      <c r="P989" s="17">
        <f>IF($C989="","",IF($K989="","",IF(N($K989)&gt;2,"No",IF(COUNTIFS(nrES_PID,$D989,nrES_Code,$F989,nrES_Att,"&gt;"&amp;$K989,nrES_Att,"&lt;=2",nrES_Raw,"&gt;=0")=0,"Yes","No"))))</f>
        <v/>
      </c>
      <c r="Q989" s="17">
        <f>IF($C989="","",IF($L989="","",IF(AND($K989=1,ISNUMBER($L989),$L989&lt;$J989,COUNTIFS(nrES_PID,$D989,nrES_Code,$F989,nrES_Att,2,nrES_Raw,"&gt;=0")=0),"Yes","No")))</f>
        <v/>
      </c>
      <c r="R989" s="17">
        <f>IF($C989="","",IF($L989="","",IF(AND(N($K989)&gt;=2,ISNUMBER($L989),$L989&lt;$J989),"Yes","No")))</f>
        <v/>
      </c>
      <c r="S989" s="18" t="n"/>
      <c r="T989" s="19">
        <f>IF(OR($C989="",$L989="",$K989&lt;&gt;1,NOT(ISNUMBER($L989)),$L989&gt;=$J989),"",IF($S989="","(enter date)",_xlfn.LET(_xlpm.dn,_xlfn.XLOOKUP($S989,nrCDdate,nrCDnum,"",1),IF(_xlpm.dn="","(after last class day)",_xlfn.LET(_xlpm.dd,_xlfn.XLOOKUP(_xlpm.dn+cfgRetestClassDays,nrCDnum,nrCDdate,""),_xlpm.ok,_xlfn.XLOOKUP(_xlpm.dn+cfgRetestClassDays,nrCDnum,nrCDinsession,"No"),IF(OR(_xlpm.dd="",_xlpm.ok&lt;&gt;"Yes"),"(after last class day)",_xlpm.dd))))))</f>
        <v/>
      </c>
      <c r="U989" s="17">
        <f>IF($C989="","",IF(AND($Y989="Excused",$L989="",N($K989)&lt;=1),"EXCUSED - 1st attempt pending",IF(OR($L989="",$K989&lt;&gt;1,NOT(ISNUMBER($L989)),$L989&gt;=$J989),"",IF(COUNTIFS(nrES_PID,$D989,nrES_Code,$F989,nrES_Att,2,nrES_Raw,"&gt;=0")&gt;0,IF(IFERROR(_xlfn.MINIFS(nrES_Date,nrES_PID,$D989,nrES_Code,$F989,nrES_Att,2,nrES_Raw,"&gt;=0",nrES_Date,"&gt;0"),0)=0,"RETEST UNDATED",IF(NOT(ISNUMBER($T989)),"RETEST DATE UNCHECKED",IF(_xlfn.MINIFS(nrES_Date,nrES_PID,$D989,nrES_Code,$F989,nrES_Att,2,nrES_Raw,"&gt;=0",nrES_Date,"&gt;0")&gt;$T989,"LATE RETEST "&amp;TEXT(_xlfn.MINIFS(nrES_Date,nrES_PID,$D989,nrES_Code,$F989,nrES_Att,2,nrES_Raw,"&gt;=0",nrES_Date,"&gt;0"),"mm/dd")&amp;" (due "&amp;TEXT($T989,"mm/dd")&amp;")","Retested"))),IF(NOT(ISNUMBER($T989)),"CHECK DATE",IF(TODAY()&gt;$T989,"OVERDUE","Due "&amp;TEXT($T989,"mm/dd")))))))</f>
        <v/>
      </c>
      <c r="V989" s="16" t="n"/>
      <c r="W989" s="16" t="n"/>
      <c r="X989" s="17">
        <f>IF($C989="","",IF(AND($L989&lt;&gt;"",NOT(ISNUMBER($L989))),"RAW SCORE NOT A NUMBER",IF(AND(ISNUMBER($L989),OR($L989&lt;0,$L989&gt;100)),"RAW SCORE OUT OF RANGE",IF(AND($Y989="Unexcused",OR($L989="",NOT(ISNUMBER($L989)),$L989&lt;&gt;0)),"UNEXCUSED ABSENCE MUST RECORD 0",IF(COUNTIF(nrES_RecID,$B989)&gt;1,"DUPLICATE RECORD",IF(N($K989)&gt;2,"ATTEMPT 3+ NOT ALLOWED - policy 300.5 permits one retest per exam; this row records nothing",IF(AND($K989=2,COUNTIFS(nrES_PID,$D989,nrES_Code,$F989,nrES_Att,1)=0),"ATTEMPT 2 WITHOUT ATTEMPT 1",IF(AND($K989=2,$L989=""),"RETEST ROW HAS NO SCORE",IF(AND($H989="Final",$L989&lt;&gt;"",IFERROR(INDEX(nrCKfinalExamElig,MATCH($D989,rngCadetPIDs,0)),"")="No"),"FINAL EXAM AFTER FAILED FINAL PT (500.1.H)",IF(AND($K989=2,ISNUMBER($L989),COUNTIFS(nrES_PID,$D989,nrES_Code,$F989,nrES_Att,1)&gt;0,SUMIFS(nrES_Raw,nrES_PID,$D989,nrES_Code,$F989,nrES_Att,1)&gt;=$J989),"RETEST AFTER A PASSING FIRST ATTEMPT","OK"))))))))))</f>
        <v/>
      </c>
      <c r="Y989" s="16" t="n"/>
    </row>
    <row r="990">
      <c r="B990" s="17">
        <f>IF($C990="","",$D990&amp;"-"&amp;$F990&amp;"-"&amp;$K990)</f>
        <v/>
      </c>
      <c r="C990" s="16" t="n"/>
      <c r="D990" s="17">
        <f>IF($C990="","",IFERROR(INDEX(rngCadetPIDs,MATCH($C990,rngCadetNames,0)),"?"))</f>
        <v/>
      </c>
      <c r="E990" s="17">
        <f>IF($D990="","",IFERROR(INDEX(nrCadetAgency,MATCH($D990,rngCadetPIDs,0)),""))</f>
        <v/>
      </c>
      <c r="F990" s="16" t="n"/>
      <c r="G990" s="17">
        <f>IF($F990="","",IFERROR(INDEX(rngEPname,MATCH($F990,rngEPcode,0)),"?"))</f>
        <v/>
      </c>
      <c r="H990" s="17">
        <f>IF($F990="","",IFERROR(INDEX(rngEPtype,MATCH($F990,rngEPcode,0)),"?"))</f>
        <v/>
      </c>
      <c r="I990" s="17">
        <f>IF($F990="","",IFERROR(INDEX(rngEPseq,MATCH($F990,rngEPcode,0)),""))</f>
        <v/>
      </c>
      <c r="J990" s="17">
        <f>IF($F990="","",IFERROR(INDEX(rngEPpass,MATCH($F990,rngEPcode,0)),cfgPassingScore))</f>
        <v/>
      </c>
      <c r="K990" s="16" t="n"/>
      <c r="L990" s="16" t="n"/>
      <c r="M990" s="17">
        <f>IF($C990="","",IF($L990="","",IF(NOT(ISNUMBER($L990)),$L990,IF(N($K990)&gt;2,"",IF($K990=1,IF(COUNTIFS(nrES_PID,$D990,nrES_Code,$F990,nrES_Att,2,nrES_Raw,"&gt;=0")&gt;0,"",$L990),IF($L990&gt;=$J990,MAX($J990,cfgRetakeRecordedCap),IF(COUNTIFS(nrES_PID,$D990,nrES_Code,$F990,nrES_Att,1)=0,$L990,SUMIFS(nrES_Raw,nrES_PID,$D990,nrES_Code,$F990,nrES_Att,1))))))))</f>
        <v/>
      </c>
      <c r="N990" s="17">
        <f>IF($C990="","",IF($L990="","",IF(NOT(ISNUMBER($L990)),"(not a score)",IF($L990&gt;=$J990,"Yes","No"))))</f>
        <v/>
      </c>
      <c r="O990" s="17">
        <f>IF($C990="","",IF($M990="","",IF(NOT(ISNUMBER($M990)),"(not a score)",IF($M990&gt;=$J990,"Yes","No"))))</f>
        <v/>
      </c>
      <c r="P990" s="17">
        <f>IF($C990="","",IF($K990="","",IF(N($K990)&gt;2,"No",IF(COUNTIFS(nrES_PID,$D990,nrES_Code,$F990,nrES_Att,"&gt;"&amp;$K990,nrES_Att,"&lt;=2",nrES_Raw,"&gt;=0")=0,"Yes","No"))))</f>
        <v/>
      </c>
      <c r="Q990" s="17">
        <f>IF($C990="","",IF($L990="","",IF(AND($K990=1,ISNUMBER($L990),$L990&lt;$J990,COUNTIFS(nrES_PID,$D990,nrES_Code,$F990,nrES_Att,2,nrES_Raw,"&gt;=0")=0),"Yes","No")))</f>
        <v/>
      </c>
      <c r="R990" s="17">
        <f>IF($C990="","",IF($L990="","",IF(AND(N($K990)&gt;=2,ISNUMBER($L990),$L990&lt;$J990),"Yes","No")))</f>
        <v/>
      </c>
      <c r="S990" s="18" t="n"/>
      <c r="T990" s="19">
        <f>IF(OR($C990="",$L990="",$K990&lt;&gt;1,NOT(ISNUMBER($L990)),$L990&gt;=$J990),"",IF($S990="","(enter date)",_xlfn.LET(_xlpm.dn,_xlfn.XLOOKUP($S990,nrCDdate,nrCDnum,"",1),IF(_xlpm.dn="","(after last class day)",_xlfn.LET(_xlpm.dd,_xlfn.XLOOKUP(_xlpm.dn+cfgRetestClassDays,nrCDnum,nrCDdate,""),_xlpm.ok,_xlfn.XLOOKUP(_xlpm.dn+cfgRetestClassDays,nrCDnum,nrCDinsession,"No"),IF(OR(_xlpm.dd="",_xlpm.ok&lt;&gt;"Yes"),"(after last class day)",_xlpm.dd))))))</f>
        <v/>
      </c>
      <c r="U990" s="17">
        <f>IF($C990="","",IF(AND($Y990="Excused",$L990="",N($K990)&lt;=1),"EXCUSED - 1st attempt pending",IF(OR($L990="",$K990&lt;&gt;1,NOT(ISNUMBER($L990)),$L990&gt;=$J990),"",IF(COUNTIFS(nrES_PID,$D990,nrES_Code,$F990,nrES_Att,2,nrES_Raw,"&gt;=0")&gt;0,IF(IFERROR(_xlfn.MINIFS(nrES_Date,nrES_PID,$D990,nrES_Code,$F990,nrES_Att,2,nrES_Raw,"&gt;=0",nrES_Date,"&gt;0"),0)=0,"RETEST UNDATED",IF(NOT(ISNUMBER($T990)),"RETEST DATE UNCHECKED",IF(_xlfn.MINIFS(nrES_Date,nrES_PID,$D990,nrES_Code,$F990,nrES_Att,2,nrES_Raw,"&gt;=0",nrES_Date,"&gt;0")&gt;$T990,"LATE RETEST "&amp;TEXT(_xlfn.MINIFS(nrES_Date,nrES_PID,$D990,nrES_Code,$F990,nrES_Att,2,nrES_Raw,"&gt;=0",nrES_Date,"&gt;0"),"mm/dd")&amp;" (due "&amp;TEXT($T990,"mm/dd")&amp;")","Retested"))),IF(NOT(ISNUMBER($T990)),"CHECK DATE",IF(TODAY()&gt;$T990,"OVERDUE","Due "&amp;TEXT($T990,"mm/dd")))))))</f>
        <v/>
      </c>
      <c r="V990" s="16" t="n"/>
      <c r="W990" s="16" t="n"/>
      <c r="X990" s="17">
        <f>IF($C990="","",IF(AND($L990&lt;&gt;"",NOT(ISNUMBER($L990))),"RAW SCORE NOT A NUMBER",IF(AND(ISNUMBER($L990),OR($L990&lt;0,$L990&gt;100)),"RAW SCORE OUT OF RANGE",IF(AND($Y990="Unexcused",OR($L990="",NOT(ISNUMBER($L990)),$L990&lt;&gt;0)),"UNEXCUSED ABSENCE MUST RECORD 0",IF(COUNTIF(nrES_RecID,$B990)&gt;1,"DUPLICATE RECORD",IF(N($K990)&gt;2,"ATTEMPT 3+ NOT ALLOWED - policy 300.5 permits one retest per exam; this row records nothing",IF(AND($K990=2,COUNTIFS(nrES_PID,$D990,nrES_Code,$F990,nrES_Att,1)=0),"ATTEMPT 2 WITHOUT ATTEMPT 1",IF(AND($K990=2,$L990=""),"RETEST ROW HAS NO SCORE",IF(AND($H990="Final",$L990&lt;&gt;"",IFERROR(INDEX(nrCKfinalExamElig,MATCH($D990,rngCadetPIDs,0)),"")="No"),"FINAL EXAM AFTER FAILED FINAL PT (500.1.H)",IF(AND($K990=2,ISNUMBER($L990),COUNTIFS(nrES_PID,$D990,nrES_Code,$F990,nrES_Att,1)&gt;0,SUMIFS(nrES_Raw,nrES_PID,$D990,nrES_Code,$F990,nrES_Att,1)&gt;=$J990),"RETEST AFTER A PASSING FIRST ATTEMPT","OK"))))))))))</f>
        <v/>
      </c>
      <c r="Y990" s="16" t="n"/>
    </row>
    <row r="991">
      <c r="B991" s="17">
        <f>IF($C991="","",$D991&amp;"-"&amp;$F991&amp;"-"&amp;$K991)</f>
        <v/>
      </c>
      <c r="C991" s="16" t="n"/>
      <c r="D991" s="17">
        <f>IF($C991="","",IFERROR(INDEX(rngCadetPIDs,MATCH($C991,rngCadetNames,0)),"?"))</f>
        <v/>
      </c>
      <c r="E991" s="17">
        <f>IF($D991="","",IFERROR(INDEX(nrCadetAgency,MATCH($D991,rngCadetPIDs,0)),""))</f>
        <v/>
      </c>
      <c r="F991" s="16" t="n"/>
      <c r="G991" s="17">
        <f>IF($F991="","",IFERROR(INDEX(rngEPname,MATCH($F991,rngEPcode,0)),"?"))</f>
        <v/>
      </c>
      <c r="H991" s="17">
        <f>IF($F991="","",IFERROR(INDEX(rngEPtype,MATCH($F991,rngEPcode,0)),"?"))</f>
        <v/>
      </c>
      <c r="I991" s="17">
        <f>IF($F991="","",IFERROR(INDEX(rngEPseq,MATCH($F991,rngEPcode,0)),""))</f>
        <v/>
      </c>
      <c r="J991" s="17">
        <f>IF($F991="","",IFERROR(INDEX(rngEPpass,MATCH($F991,rngEPcode,0)),cfgPassingScore))</f>
        <v/>
      </c>
      <c r="K991" s="16" t="n"/>
      <c r="L991" s="16" t="n"/>
      <c r="M991" s="17">
        <f>IF($C991="","",IF($L991="","",IF(NOT(ISNUMBER($L991)),$L991,IF(N($K991)&gt;2,"",IF($K991=1,IF(COUNTIFS(nrES_PID,$D991,nrES_Code,$F991,nrES_Att,2,nrES_Raw,"&gt;=0")&gt;0,"",$L991),IF($L991&gt;=$J991,MAX($J991,cfgRetakeRecordedCap),IF(COUNTIFS(nrES_PID,$D991,nrES_Code,$F991,nrES_Att,1)=0,$L991,SUMIFS(nrES_Raw,nrES_PID,$D991,nrES_Code,$F991,nrES_Att,1))))))))</f>
        <v/>
      </c>
      <c r="N991" s="17">
        <f>IF($C991="","",IF($L991="","",IF(NOT(ISNUMBER($L991)),"(not a score)",IF($L991&gt;=$J991,"Yes","No"))))</f>
        <v/>
      </c>
      <c r="O991" s="17">
        <f>IF($C991="","",IF($M991="","",IF(NOT(ISNUMBER($M991)),"(not a score)",IF($M991&gt;=$J991,"Yes","No"))))</f>
        <v/>
      </c>
      <c r="P991" s="17">
        <f>IF($C991="","",IF($K991="","",IF(N($K991)&gt;2,"No",IF(COUNTIFS(nrES_PID,$D991,nrES_Code,$F991,nrES_Att,"&gt;"&amp;$K991,nrES_Att,"&lt;=2",nrES_Raw,"&gt;=0")=0,"Yes","No"))))</f>
        <v/>
      </c>
      <c r="Q991" s="17">
        <f>IF($C991="","",IF($L991="","",IF(AND($K991=1,ISNUMBER($L991),$L991&lt;$J991,COUNTIFS(nrES_PID,$D991,nrES_Code,$F991,nrES_Att,2,nrES_Raw,"&gt;=0")=0),"Yes","No")))</f>
        <v/>
      </c>
      <c r="R991" s="17">
        <f>IF($C991="","",IF($L991="","",IF(AND(N($K991)&gt;=2,ISNUMBER($L991),$L991&lt;$J991),"Yes","No")))</f>
        <v/>
      </c>
      <c r="S991" s="18" t="n"/>
      <c r="T991" s="19">
        <f>IF(OR($C991="",$L991="",$K991&lt;&gt;1,NOT(ISNUMBER($L991)),$L991&gt;=$J991),"",IF($S991="","(enter date)",_xlfn.LET(_xlpm.dn,_xlfn.XLOOKUP($S991,nrCDdate,nrCDnum,"",1),IF(_xlpm.dn="","(after last class day)",_xlfn.LET(_xlpm.dd,_xlfn.XLOOKUP(_xlpm.dn+cfgRetestClassDays,nrCDnum,nrCDdate,""),_xlpm.ok,_xlfn.XLOOKUP(_xlpm.dn+cfgRetestClassDays,nrCDnum,nrCDinsession,"No"),IF(OR(_xlpm.dd="",_xlpm.ok&lt;&gt;"Yes"),"(after last class day)",_xlpm.dd))))))</f>
        <v/>
      </c>
      <c r="U991" s="17">
        <f>IF($C991="","",IF(AND($Y991="Excused",$L991="",N($K991)&lt;=1),"EXCUSED - 1st attempt pending",IF(OR($L991="",$K991&lt;&gt;1,NOT(ISNUMBER($L991)),$L991&gt;=$J991),"",IF(COUNTIFS(nrES_PID,$D991,nrES_Code,$F991,nrES_Att,2,nrES_Raw,"&gt;=0")&gt;0,IF(IFERROR(_xlfn.MINIFS(nrES_Date,nrES_PID,$D991,nrES_Code,$F991,nrES_Att,2,nrES_Raw,"&gt;=0",nrES_Date,"&gt;0"),0)=0,"RETEST UNDATED",IF(NOT(ISNUMBER($T991)),"RETEST DATE UNCHECKED",IF(_xlfn.MINIFS(nrES_Date,nrES_PID,$D991,nrES_Code,$F991,nrES_Att,2,nrES_Raw,"&gt;=0",nrES_Date,"&gt;0")&gt;$T991,"LATE RETEST "&amp;TEXT(_xlfn.MINIFS(nrES_Date,nrES_PID,$D991,nrES_Code,$F991,nrES_Att,2,nrES_Raw,"&gt;=0",nrES_Date,"&gt;0"),"mm/dd")&amp;" (due "&amp;TEXT($T991,"mm/dd")&amp;")","Retested"))),IF(NOT(ISNUMBER($T991)),"CHECK DATE",IF(TODAY()&gt;$T991,"OVERDUE","Due "&amp;TEXT($T991,"mm/dd")))))))</f>
        <v/>
      </c>
      <c r="V991" s="16" t="n"/>
      <c r="W991" s="16" t="n"/>
      <c r="X991" s="17">
        <f>IF($C991="","",IF(AND($L991&lt;&gt;"",NOT(ISNUMBER($L991))),"RAW SCORE NOT A NUMBER",IF(AND(ISNUMBER($L991),OR($L991&lt;0,$L991&gt;100)),"RAW SCORE OUT OF RANGE",IF(AND($Y991="Unexcused",OR($L991="",NOT(ISNUMBER($L991)),$L991&lt;&gt;0)),"UNEXCUSED ABSENCE MUST RECORD 0",IF(COUNTIF(nrES_RecID,$B991)&gt;1,"DUPLICATE RECORD",IF(N($K991)&gt;2,"ATTEMPT 3+ NOT ALLOWED - policy 300.5 permits one retest per exam; this row records nothing",IF(AND($K991=2,COUNTIFS(nrES_PID,$D991,nrES_Code,$F991,nrES_Att,1)=0),"ATTEMPT 2 WITHOUT ATTEMPT 1",IF(AND($K991=2,$L991=""),"RETEST ROW HAS NO SCORE",IF(AND($H991="Final",$L991&lt;&gt;"",IFERROR(INDEX(nrCKfinalExamElig,MATCH($D991,rngCadetPIDs,0)),"")="No"),"FINAL EXAM AFTER FAILED FINAL PT (500.1.H)",IF(AND($K991=2,ISNUMBER($L991),COUNTIFS(nrES_PID,$D991,nrES_Code,$F991,nrES_Att,1)&gt;0,SUMIFS(nrES_Raw,nrES_PID,$D991,nrES_Code,$F991,nrES_Att,1)&gt;=$J991),"RETEST AFTER A PASSING FIRST ATTEMPT","OK"))))))))))</f>
        <v/>
      </c>
      <c r="Y991" s="16" t="n"/>
    </row>
    <row r="992">
      <c r="B992" s="17">
        <f>IF($C992="","",$D992&amp;"-"&amp;$F992&amp;"-"&amp;$K992)</f>
        <v/>
      </c>
      <c r="C992" s="16" t="n"/>
      <c r="D992" s="17">
        <f>IF($C992="","",IFERROR(INDEX(rngCadetPIDs,MATCH($C992,rngCadetNames,0)),"?"))</f>
        <v/>
      </c>
      <c r="E992" s="17">
        <f>IF($D992="","",IFERROR(INDEX(nrCadetAgency,MATCH($D992,rngCadetPIDs,0)),""))</f>
        <v/>
      </c>
      <c r="F992" s="16" t="n"/>
      <c r="G992" s="17">
        <f>IF($F992="","",IFERROR(INDEX(rngEPname,MATCH($F992,rngEPcode,0)),"?"))</f>
        <v/>
      </c>
      <c r="H992" s="17">
        <f>IF($F992="","",IFERROR(INDEX(rngEPtype,MATCH($F992,rngEPcode,0)),"?"))</f>
        <v/>
      </c>
      <c r="I992" s="17">
        <f>IF($F992="","",IFERROR(INDEX(rngEPseq,MATCH($F992,rngEPcode,0)),""))</f>
        <v/>
      </c>
      <c r="J992" s="17">
        <f>IF($F992="","",IFERROR(INDEX(rngEPpass,MATCH($F992,rngEPcode,0)),cfgPassingScore))</f>
        <v/>
      </c>
      <c r="K992" s="16" t="n"/>
      <c r="L992" s="16" t="n"/>
      <c r="M992" s="17">
        <f>IF($C992="","",IF($L992="","",IF(NOT(ISNUMBER($L992)),$L992,IF(N($K992)&gt;2,"",IF($K992=1,IF(COUNTIFS(nrES_PID,$D992,nrES_Code,$F992,nrES_Att,2,nrES_Raw,"&gt;=0")&gt;0,"",$L992),IF($L992&gt;=$J992,MAX($J992,cfgRetakeRecordedCap),IF(COUNTIFS(nrES_PID,$D992,nrES_Code,$F992,nrES_Att,1)=0,$L992,SUMIFS(nrES_Raw,nrES_PID,$D992,nrES_Code,$F992,nrES_Att,1))))))))</f>
        <v/>
      </c>
      <c r="N992" s="17">
        <f>IF($C992="","",IF($L992="","",IF(NOT(ISNUMBER($L992)),"(not a score)",IF($L992&gt;=$J992,"Yes","No"))))</f>
        <v/>
      </c>
      <c r="O992" s="17">
        <f>IF($C992="","",IF($M992="","",IF(NOT(ISNUMBER($M992)),"(not a score)",IF($M992&gt;=$J992,"Yes","No"))))</f>
        <v/>
      </c>
      <c r="P992" s="17">
        <f>IF($C992="","",IF($K992="","",IF(N($K992)&gt;2,"No",IF(COUNTIFS(nrES_PID,$D992,nrES_Code,$F992,nrES_Att,"&gt;"&amp;$K992,nrES_Att,"&lt;=2",nrES_Raw,"&gt;=0")=0,"Yes","No"))))</f>
        <v/>
      </c>
      <c r="Q992" s="17">
        <f>IF($C992="","",IF($L992="","",IF(AND($K992=1,ISNUMBER($L992),$L992&lt;$J992,COUNTIFS(nrES_PID,$D992,nrES_Code,$F992,nrES_Att,2,nrES_Raw,"&gt;=0")=0),"Yes","No")))</f>
        <v/>
      </c>
      <c r="R992" s="17">
        <f>IF($C992="","",IF($L992="","",IF(AND(N($K992)&gt;=2,ISNUMBER($L992),$L992&lt;$J992),"Yes","No")))</f>
        <v/>
      </c>
      <c r="S992" s="18" t="n"/>
      <c r="T992" s="19">
        <f>IF(OR($C992="",$L992="",$K992&lt;&gt;1,NOT(ISNUMBER($L992)),$L992&gt;=$J992),"",IF($S992="","(enter date)",_xlfn.LET(_xlpm.dn,_xlfn.XLOOKUP($S992,nrCDdate,nrCDnum,"",1),IF(_xlpm.dn="","(after last class day)",_xlfn.LET(_xlpm.dd,_xlfn.XLOOKUP(_xlpm.dn+cfgRetestClassDays,nrCDnum,nrCDdate,""),_xlpm.ok,_xlfn.XLOOKUP(_xlpm.dn+cfgRetestClassDays,nrCDnum,nrCDinsession,"No"),IF(OR(_xlpm.dd="",_xlpm.ok&lt;&gt;"Yes"),"(after last class day)",_xlpm.dd))))))</f>
        <v/>
      </c>
      <c r="U992" s="17">
        <f>IF($C992="","",IF(AND($Y992="Excused",$L992="",N($K992)&lt;=1),"EXCUSED - 1st attempt pending",IF(OR($L992="",$K992&lt;&gt;1,NOT(ISNUMBER($L992)),$L992&gt;=$J992),"",IF(COUNTIFS(nrES_PID,$D992,nrES_Code,$F992,nrES_Att,2,nrES_Raw,"&gt;=0")&gt;0,IF(IFERROR(_xlfn.MINIFS(nrES_Date,nrES_PID,$D992,nrES_Code,$F992,nrES_Att,2,nrES_Raw,"&gt;=0",nrES_Date,"&gt;0"),0)=0,"RETEST UNDATED",IF(NOT(ISNUMBER($T992)),"RETEST DATE UNCHECKED",IF(_xlfn.MINIFS(nrES_Date,nrES_PID,$D992,nrES_Code,$F992,nrES_Att,2,nrES_Raw,"&gt;=0",nrES_Date,"&gt;0")&gt;$T992,"LATE RETEST "&amp;TEXT(_xlfn.MINIFS(nrES_Date,nrES_PID,$D992,nrES_Code,$F992,nrES_Att,2,nrES_Raw,"&gt;=0",nrES_Date,"&gt;0"),"mm/dd")&amp;" (due "&amp;TEXT($T992,"mm/dd")&amp;")","Retested"))),IF(NOT(ISNUMBER($T992)),"CHECK DATE",IF(TODAY()&gt;$T992,"OVERDUE","Due "&amp;TEXT($T992,"mm/dd")))))))</f>
        <v/>
      </c>
      <c r="V992" s="16" t="n"/>
      <c r="W992" s="16" t="n"/>
      <c r="X992" s="17">
        <f>IF($C992="","",IF(AND($L992&lt;&gt;"",NOT(ISNUMBER($L992))),"RAW SCORE NOT A NUMBER",IF(AND(ISNUMBER($L992),OR($L992&lt;0,$L992&gt;100)),"RAW SCORE OUT OF RANGE",IF(AND($Y992="Unexcused",OR($L992="",NOT(ISNUMBER($L992)),$L992&lt;&gt;0)),"UNEXCUSED ABSENCE MUST RECORD 0",IF(COUNTIF(nrES_RecID,$B992)&gt;1,"DUPLICATE RECORD",IF(N($K992)&gt;2,"ATTEMPT 3+ NOT ALLOWED - policy 300.5 permits one retest per exam; this row records nothing",IF(AND($K992=2,COUNTIFS(nrES_PID,$D992,nrES_Code,$F992,nrES_Att,1)=0),"ATTEMPT 2 WITHOUT ATTEMPT 1",IF(AND($K992=2,$L992=""),"RETEST ROW HAS NO SCORE",IF(AND($H992="Final",$L992&lt;&gt;"",IFERROR(INDEX(nrCKfinalExamElig,MATCH($D992,rngCadetPIDs,0)),"")="No"),"FINAL EXAM AFTER FAILED FINAL PT (500.1.H)",IF(AND($K992=2,ISNUMBER($L992),COUNTIFS(nrES_PID,$D992,nrES_Code,$F992,nrES_Att,1)&gt;0,SUMIFS(nrES_Raw,nrES_PID,$D992,nrES_Code,$F992,nrES_Att,1)&gt;=$J992),"RETEST AFTER A PASSING FIRST ATTEMPT","OK"))))))))))</f>
        <v/>
      </c>
      <c r="Y992" s="16" t="n"/>
    </row>
    <row r="993">
      <c r="B993" s="17">
        <f>IF($C993="","",$D993&amp;"-"&amp;$F993&amp;"-"&amp;$K993)</f>
        <v/>
      </c>
      <c r="C993" s="16" t="n"/>
      <c r="D993" s="17">
        <f>IF($C993="","",IFERROR(INDEX(rngCadetPIDs,MATCH($C993,rngCadetNames,0)),"?"))</f>
        <v/>
      </c>
      <c r="E993" s="17">
        <f>IF($D993="","",IFERROR(INDEX(nrCadetAgency,MATCH($D993,rngCadetPIDs,0)),""))</f>
        <v/>
      </c>
      <c r="F993" s="16" t="n"/>
      <c r="G993" s="17">
        <f>IF($F993="","",IFERROR(INDEX(rngEPname,MATCH($F993,rngEPcode,0)),"?"))</f>
        <v/>
      </c>
      <c r="H993" s="17">
        <f>IF($F993="","",IFERROR(INDEX(rngEPtype,MATCH($F993,rngEPcode,0)),"?"))</f>
        <v/>
      </c>
      <c r="I993" s="17">
        <f>IF($F993="","",IFERROR(INDEX(rngEPseq,MATCH($F993,rngEPcode,0)),""))</f>
        <v/>
      </c>
      <c r="J993" s="17">
        <f>IF($F993="","",IFERROR(INDEX(rngEPpass,MATCH($F993,rngEPcode,0)),cfgPassingScore))</f>
        <v/>
      </c>
      <c r="K993" s="16" t="n"/>
      <c r="L993" s="16" t="n"/>
      <c r="M993" s="17">
        <f>IF($C993="","",IF($L993="","",IF(NOT(ISNUMBER($L993)),$L993,IF(N($K993)&gt;2,"",IF($K993=1,IF(COUNTIFS(nrES_PID,$D993,nrES_Code,$F993,nrES_Att,2,nrES_Raw,"&gt;=0")&gt;0,"",$L993),IF($L993&gt;=$J993,MAX($J993,cfgRetakeRecordedCap),IF(COUNTIFS(nrES_PID,$D993,nrES_Code,$F993,nrES_Att,1)=0,$L993,SUMIFS(nrES_Raw,nrES_PID,$D993,nrES_Code,$F993,nrES_Att,1))))))))</f>
        <v/>
      </c>
      <c r="N993" s="17">
        <f>IF($C993="","",IF($L993="","",IF(NOT(ISNUMBER($L993)),"(not a score)",IF($L993&gt;=$J993,"Yes","No"))))</f>
        <v/>
      </c>
      <c r="O993" s="17">
        <f>IF($C993="","",IF($M993="","",IF(NOT(ISNUMBER($M993)),"(not a score)",IF($M993&gt;=$J993,"Yes","No"))))</f>
        <v/>
      </c>
      <c r="P993" s="17">
        <f>IF($C993="","",IF($K993="","",IF(N($K993)&gt;2,"No",IF(COUNTIFS(nrES_PID,$D993,nrES_Code,$F993,nrES_Att,"&gt;"&amp;$K993,nrES_Att,"&lt;=2",nrES_Raw,"&gt;=0")=0,"Yes","No"))))</f>
        <v/>
      </c>
      <c r="Q993" s="17">
        <f>IF($C993="","",IF($L993="","",IF(AND($K993=1,ISNUMBER($L993),$L993&lt;$J993,COUNTIFS(nrES_PID,$D993,nrES_Code,$F993,nrES_Att,2,nrES_Raw,"&gt;=0")=0),"Yes","No")))</f>
        <v/>
      </c>
      <c r="R993" s="17">
        <f>IF($C993="","",IF($L993="","",IF(AND(N($K993)&gt;=2,ISNUMBER($L993),$L993&lt;$J993),"Yes","No")))</f>
        <v/>
      </c>
      <c r="S993" s="18" t="n"/>
      <c r="T993" s="19">
        <f>IF(OR($C993="",$L993="",$K993&lt;&gt;1,NOT(ISNUMBER($L993)),$L993&gt;=$J993),"",IF($S993="","(enter date)",_xlfn.LET(_xlpm.dn,_xlfn.XLOOKUP($S993,nrCDdate,nrCDnum,"",1),IF(_xlpm.dn="","(after last class day)",_xlfn.LET(_xlpm.dd,_xlfn.XLOOKUP(_xlpm.dn+cfgRetestClassDays,nrCDnum,nrCDdate,""),_xlpm.ok,_xlfn.XLOOKUP(_xlpm.dn+cfgRetestClassDays,nrCDnum,nrCDinsession,"No"),IF(OR(_xlpm.dd="",_xlpm.ok&lt;&gt;"Yes"),"(after last class day)",_xlpm.dd))))))</f>
        <v/>
      </c>
      <c r="U993" s="17">
        <f>IF($C993="","",IF(AND($Y993="Excused",$L993="",N($K993)&lt;=1),"EXCUSED - 1st attempt pending",IF(OR($L993="",$K993&lt;&gt;1,NOT(ISNUMBER($L993)),$L993&gt;=$J993),"",IF(COUNTIFS(nrES_PID,$D993,nrES_Code,$F993,nrES_Att,2,nrES_Raw,"&gt;=0")&gt;0,IF(IFERROR(_xlfn.MINIFS(nrES_Date,nrES_PID,$D993,nrES_Code,$F993,nrES_Att,2,nrES_Raw,"&gt;=0",nrES_Date,"&gt;0"),0)=0,"RETEST UNDATED",IF(NOT(ISNUMBER($T993)),"RETEST DATE UNCHECKED",IF(_xlfn.MINIFS(nrES_Date,nrES_PID,$D993,nrES_Code,$F993,nrES_Att,2,nrES_Raw,"&gt;=0",nrES_Date,"&gt;0")&gt;$T993,"LATE RETEST "&amp;TEXT(_xlfn.MINIFS(nrES_Date,nrES_PID,$D993,nrES_Code,$F993,nrES_Att,2,nrES_Raw,"&gt;=0",nrES_Date,"&gt;0"),"mm/dd")&amp;" (due "&amp;TEXT($T993,"mm/dd")&amp;")","Retested"))),IF(NOT(ISNUMBER($T993)),"CHECK DATE",IF(TODAY()&gt;$T993,"OVERDUE","Due "&amp;TEXT($T993,"mm/dd")))))))</f>
        <v/>
      </c>
      <c r="V993" s="16" t="n"/>
      <c r="W993" s="16" t="n"/>
      <c r="X993" s="17">
        <f>IF($C993="","",IF(AND($L993&lt;&gt;"",NOT(ISNUMBER($L993))),"RAW SCORE NOT A NUMBER",IF(AND(ISNUMBER($L993),OR($L993&lt;0,$L993&gt;100)),"RAW SCORE OUT OF RANGE",IF(AND($Y993="Unexcused",OR($L993="",NOT(ISNUMBER($L993)),$L993&lt;&gt;0)),"UNEXCUSED ABSENCE MUST RECORD 0",IF(COUNTIF(nrES_RecID,$B993)&gt;1,"DUPLICATE RECORD",IF(N($K993)&gt;2,"ATTEMPT 3+ NOT ALLOWED - policy 300.5 permits one retest per exam; this row records nothing",IF(AND($K993=2,COUNTIFS(nrES_PID,$D993,nrES_Code,$F993,nrES_Att,1)=0),"ATTEMPT 2 WITHOUT ATTEMPT 1",IF(AND($K993=2,$L993=""),"RETEST ROW HAS NO SCORE",IF(AND($H993="Final",$L993&lt;&gt;"",IFERROR(INDEX(nrCKfinalExamElig,MATCH($D993,rngCadetPIDs,0)),"")="No"),"FINAL EXAM AFTER FAILED FINAL PT (500.1.H)",IF(AND($K993=2,ISNUMBER($L993),COUNTIFS(nrES_PID,$D993,nrES_Code,$F993,nrES_Att,1)&gt;0,SUMIFS(nrES_Raw,nrES_PID,$D993,nrES_Code,$F993,nrES_Att,1)&gt;=$J993),"RETEST AFTER A PASSING FIRST ATTEMPT","OK"))))))))))</f>
        <v/>
      </c>
      <c r="Y993" s="16" t="n"/>
    </row>
    <row r="994">
      <c r="B994" s="17">
        <f>IF($C994="","",$D994&amp;"-"&amp;$F994&amp;"-"&amp;$K994)</f>
        <v/>
      </c>
      <c r="C994" s="16" t="n"/>
      <c r="D994" s="17">
        <f>IF($C994="","",IFERROR(INDEX(rngCadetPIDs,MATCH($C994,rngCadetNames,0)),"?"))</f>
        <v/>
      </c>
      <c r="E994" s="17">
        <f>IF($D994="","",IFERROR(INDEX(nrCadetAgency,MATCH($D994,rngCadetPIDs,0)),""))</f>
        <v/>
      </c>
      <c r="F994" s="16" t="n"/>
      <c r="G994" s="17">
        <f>IF($F994="","",IFERROR(INDEX(rngEPname,MATCH($F994,rngEPcode,0)),"?"))</f>
        <v/>
      </c>
      <c r="H994" s="17">
        <f>IF($F994="","",IFERROR(INDEX(rngEPtype,MATCH($F994,rngEPcode,0)),"?"))</f>
        <v/>
      </c>
      <c r="I994" s="17">
        <f>IF($F994="","",IFERROR(INDEX(rngEPseq,MATCH($F994,rngEPcode,0)),""))</f>
        <v/>
      </c>
      <c r="J994" s="17">
        <f>IF($F994="","",IFERROR(INDEX(rngEPpass,MATCH($F994,rngEPcode,0)),cfgPassingScore))</f>
        <v/>
      </c>
      <c r="K994" s="16" t="n"/>
      <c r="L994" s="16" t="n"/>
      <c r="M994" s="17">
        <f>IF($C994="","",IF($L994="","",IF(NOT(ISNUMBER($L994)),$L994,IF(N($K994)&gt;2,"",IF($K994=1,IF(COUNTIFS(nrES_PID,$D994,nrES_Code,$F994,nrES_Att,2,nrES_Raw,"&gt;=0")&gt;0,"",$L994),IF($L994&gt;=$J994,MAX($J994,cfgRetakeRecordedCap),IF(COUNTIFS(nrES_PID,$D994,nrES_Code,$F994,nrES_Att,1)=0,$L994,SUMIFS(nrES_Raw,nrES_PID,$D994,nrES_Code,$F994,nrES_Att,1))))))))</f>
        <v/>
      </c>
      <c r="N994" s="17">
        <f>IF($C994="","",IF($L994="","",IF(NOT(ISNUMBER($L994)),"(not a score)",IF($L994&gt;=$J994,"Yes","No"))))</f>
        <v/>
      </c>
      <c r="O994" s="17">
        <f>IF($C994="","",IF($M994="","",IF(NOT(ISNUMBER($M994)),"(not a score)",IF($M994&gt;=$J994,"Yes","No"))))</f>
        <v/>
      </c>
      <c r="P994" s="17">
        <f>IF($C994="","",IF($K994="","",IF(N($K994)&gt;2,"No",IF(COUNTIFS(nrES_PID,$D994,nrES_Code,$F994,nrES_Att,"&gt;"&amp;$K994,nrES_Att,"&lt;=2",nrES_Raw,"&gt;=0")=0,"Yes","No"))))</f>
        <v/>
      </c>
      <c r="Q994" s="17">
        <f>IF($C994="","",IF($L994="","",IF(AND($K994=1,ISNUMBER($L994),$L994&lt;$J994,COUNTIFS(nrES_PID,$D994,nrES_Code,$F994,nrES_Att,2,nrES_Raw,"&gt;=0")=0),"Yes","No")))</f>
        <v/>
      </c>
      <c r="R994" s="17">
        <f>IF($C994="","",IF($L994="","",IF(AND(N($K994)&gt;=2,ISNUMBER($L994),$L994&lt;$J994),"Yes","No")))</f>
        <v/>
      </c>
      <c r="S994" s="18" t="n"/>
      <c r="T994" s="19">
        <f>IF(OR($C994="",$L994="",$K994&lt;&gt;1,NOT(ISNUMBER($L994)),$L994&gt;=$J994),"",IF($S994="","(enter date)",_xlfn.LET(_xlpm.dn,_xlfn.XLOOKUP($S994,nrCDdate,nrCDnum,"",1),IF(_xlpm.dn="","(after last class day)",_xlfn.LET(_xlpm.dd,_xlfn.XLOOKUP(_xlpm.dn+cfgRetestClassDays,nrCDnum,nrCDdate,""),_xlpm.ok,_xlfn.XLOOKUP(_xlpm.dn+cfgRetestClassDays,nrCDnum,nrCDinsession,"No"),IF(OR(_xlpm.dd="",_xlpm.ok&lt;&gt;"Yes"),"(after last class day)",_xlpm.dd))))))</f>
        <v/>
      </c>
      <c r="U994" s="17">
        <f>IF($C994="","",IF(AND($Y994="Excused",$L994="",N($K994)&lt;=1),"EXCUSED - 1st attempt pending",IF(OR($L994="",$K994&lt;&gt;1,NOT(ISNUMBER($L994)),$L994&gt;=$J994),"",IF(COUNTIFS(nrES_PID,$D994,nrES_Code,$F994,nrES_Att,2,nrES_Raw,"&gt;=0")&gt;0,IF(IFERROR(_xlfn.MINIFS(nrES_Date,nrES_PID,$D994,nrES_Code,$F994,nrES_Att,2,nrES_Raw,"&gt;=0",nrES_Date,"&gt;0"),0)=0,"RETEST UNDATED",IF(NOT(ISNUMBER($T994)),"RETEST DATE UNCHECKED",IF(_xlfn.MINIFS(nrES_Date,nrES_PID,$D994,nrES_Code,$F994,nrES_Att,2,nrES_Raw,"&gt;=0",nrES_Date,"&gt;0")&gt;$T994,"LATE RETEST "&amp;TEXT(_xlfn.MINIFS(nrES_Date,nrES_PID,$D994,nrES_Code,$F994,nrES_Att,2,nrES_Raw,"&gt;=0",nrES_Date,"&gt;0"),"mm/dd")&amp;" (due "&amp;TEXT($T994,"mm/dd")&amp;")","Retested"))),IF(NOT(ISNUMBER($T994)),"CHECK DATE",IF(TODAY()&gt;$T994,"OVERDUE","Due "&amp;TEXT($T994,"mm/dd")))))))</f>
        <v/>
      </c>
      <c r="V994" s="16" t="n"/>
      <c r="W994" s="16" t="n"/>
      <c r="X994" s="17">
        <f>IF($C994="","",IF(AND($L994&lt;&gt;"",NOT(ISNUMBER($L994))),"RAW SCORE NOT A NUMBER",IF(AND(ISNUMBER($L994),OR($L994&lt;0,$L994&gt;100)),"RAW SCORE OUT OF RANGE",IF(AND($Y994="Unexcused",OR($L994="",NOT(ISNUMBER($L994)),$L994&lt;&gt;0)),"UNEXCUSED ABSENCE MUST RECORD 0",IF(COUNTIF(nrES_RecID,$B994)&gt;1,"DUPLICATE RECORD",IF(N($K994)&gt;2,"ATTEMPT 3+ NOT ALLOWED - policy 300.5 permits one retest per exam; this row records nothing",IF(AND($K994=2,COUNTIFS(nrES_PID,$D994,nrES_Code,$F994,nrES_Att,1)=0),"ATTEMPT 2 WITHOUT ATTEMPT 1",IF(AND($K994=2,$L994=""),"RETEST ROW HAS NO SCORE",IF(AND($H994="Final",$L994&lt;&gt;"",IFERROR(INDEX(nrCKfinalExamElig,MATCH($D994,rngCadetPIDs,0)),"")="No"),"FINAL EXAM AFTER FAILED FINAL PT (500.1.H)",IF(AND($K994=2,ISNUMBER($L994),COUNTIFS(nrES_PID,$D994,nrES_Code,$F994,nrES_Att,1)&gt;0,SUMIFS(nrES_Raw,nrES_PID,$D994,nrES_Code,$F994,nrES_Att,1)&gt;=$J994),"RETEST AFTER A PASSING FIRST ATTEMPT","OK"))))))))))</f>
        <v/>
      </c>
      <c r="Y994" s="16" t="n"/>
    </row>
    <row r="995">
      <c r="B995" s="17">
        <f>IF($C995="","",$D995&amp;"-"&amp;$F995&amp;"-"&amp;$K995)</f>
        <v/>
      </c>
      <c r="C995" s="16" t="n"/>
      <c r="D995" s="17">
        <f>IF($C995="","",IFERROR(INDEX(rngCadetPIDs,MATCH($C995,rngCadetNames,0)),"?"))</f>
        <v/>
      </c>
      <c r="E995" s="17">
        <f>IF($D995="","",IFERROR(INDEX(nrCadetAgency,MATCH($D995,rngCadetPIDs,0)),""))</f>
        <v/>
      </c>
      <c r="F995" s="16" t="n"/>
      <c r="G995" s="17">
        <f>IF($F995="","",IFERROR(INDEX(rngEPname,MATCH($F995,rngEPcode,0)),"?"))</f>
        <v/>
      </c>
      <c r="H995" s="17">
        <f>IF($F995="","",IFERROR(INDEX(rngEPtype,MATCH($F995,rngEPcode,0)),"?"))</f>
        <v/>
      </c>
      <c r="I995" s="17">
        <f>IF($F995="","",IFERROR(INDEX(rngEPseq,MATCH($F995,rngEPcode,0)),""))</f>
        <v/>
      </c>
      <c r="J995" s="17">
        <f>IF($F995="","",IFERROR(INDEX(rngEPpass,MATCH($F995,rngEPcode,0)),cfgPassingScore))</f>
        <v/>
      </c>
      <c r="K995" s="16" t="n"/>
      <c r="L995" s="16" t="n"/>
      <c r="M995" s="17">
        <f>IF($C995="","",IF($L995="","",IF(NOT(ISNUMBER($L995)),$L995,IF(N($K995)&gt;2,"",IF($K995=1,IF(COUNTIFS(nrES_PID,$D995,nrES_Code,$F995,nrES_Att,2,nrES_Raw,"&gt;=0")&gt;0,"",$L995),IF($L995&gt;=$J995,MAX($J995,cfgRetakeRecordedCap),IF(COUNTIFS(nrES_PID,$D995,nrES_Code,$F995,nrES_Att,1)=0,$L995,SUMIFS(nrES_Raw,nrES_PID,$D995,nrES_Code,$F995,nrES_Att,1))))))))</f>
        <v/>
      </c>
      <c r="N995" s="17">
        <f>IF($C995="","",IF($L995="","",IF(NOT(ISNUMBER($L995)),"(not a score)",IF($L995&gt;=$J995,"Yes","No"))))</f>
        <v/>
      </c>
      <c r="O995" s="17">
        <f>IF($C995="","",IF($M995="","",IF(NOT(ISNUMBER($M995)),"(not a score)",IF($M995&gt;=$J995,"Yes","No"))))</f>
        <v/>
      </c>
      <c r="P995" s="17">
        <f>IF($C995="","",IF($K995="","",IF(N($K995)&gt;2,"No",IF(COUNTIFS(nrES_PID,$D995,nrES_Code,$F995,nrES_Att,"&gt;"&amp;$K995,nrES_Att,"&lt;=2",nrES_Raw,"&gt;=0")=0,"Yes","No"))))</f>
        <v/>
      </c>
      <c r="Q995" s="17">
        <f>IF($C995="","",IF($L995="","",IF(AND($K995=1,ISNUMBER($L995),$L995&lt;$J995,COUNTIFS(nrES_PID,$D995,nrES_Code,$F995,nrES_Att,2,nrES_Raw,"&gt;=0")=0),"Yes","No")))</f>
        <v/>
      </c>
      <c r="R995" s="17">
        <f>IF($C995="","",IF($L995="","",IF(AND(N($K995)&gt;=2,ISNUMBER($L995),$L995&lt;$J995),"Yes","No")))</f>
        <v/>
      </c>
      <c r="S995" s="18" t="n"/>
      <c r="T995" s="19">
        <f>IF(OR($C995="",$L995="",$K995&lt;&gt;1,NOT(ISNUMBER($L995)),$L995&gt;=$J995),"",IF($S995="","(enter date)",_xlfn.LET(_xlpm.dn,_xlfn.XLOOKUP($S995,nrCDdate,nrCDnum,"",1),IF(_xlpm.dn="","(after last class day)",_xlfn.LET(_xlpm.dd,_xlfn.XLOOKUP(_xlpm.dn+cfgRetestClassDays,nrCDnum,nrCDdate,""),_xlpm.ok,_xlfn.XLOOKUP(_xlpm.dn+cfgRetestClassDays,nrCDnum,nrCDinsession,"No"),IF(OR(_xlpm.dd="",_xlpm.ok&lt;&gt;"Yes"),"(after last class day)",_xlpm.dd))))))</f>
        <v/>
      </c>
      <c r="U995" s="17">
        <f>IF($C995="","",IF(AND($Y995="Excused",$L995="",N($K995)&lt;=1),"EXCUSED - 1st attempt pending",IF(OR($L995="",$K995&lt;&gt;1,NOT(ISNUMBER($L995)),$L995&gt;=$J995),"",IF(COUNTIFS(nrES_PID,$D995,nrES_Code,$F995,nrES_Att,2,nrES_Raw,"&gt;=0")&gt;0,IF(IFERROR(_xlfn.MINIFS(nrES_Date,nrES_PID,$D995,nrES_Code,$F995,nrES_Att,2,nrES_Raw,"&gt;=0",nrES_Date,"&gt;0"),0)=0,"RETEST UNDATED",IF(NOT(ISNUMBER($T995)),"RETEST DATE UNCHECKED",IF(_xlfn.MINIFS(nrES_Date,nrES_PID,$D995,nrES_Code,$F995,nrES_Att,2,nrES_Raw,"&gt;=0",nrES_Date,"&gt;0")&gt;$T995,"LATE RETEST "&amp;TEXT(_xlfn.MINIFS(nrES_Date,nrES_PID,$D995,nrES_Code,$F995,nrES_Att,2,nrES_Raw,"&gt;=0",nrES_Date,"&gt;0"),"mm/dd")&amp;" (due "&amp;TEXT($T995,"mm/dd")&amp;")","Retested"))),IF(NOT(ISNUMBER($T995)),"CHECK DATE",IF(TODAY()&gt;$T995,"OVERDUE","Due "&amp;TEXT($T995,"mm/dd")))))))</f>
        <v/>
      </c>
      <c r="V995" s="16" t="n"/>
      <c r="W995" s="16" t="n"/>
      <c r="X995" s="17">
        <f>IF($C995="","",IF(AND($L995&lt;&gt;"",NOT(ISNUMBER($L995))),"RAW SCORE NOT A NUMBER",IF(AND(ISNUMBER($L995),OR($L995&lt;0,$L995&gt;100)),"RAW SCORE OUT OF RANGE",IF(AND($Y995="Unexcused",OR($L995="",NOT(ISNUMBER($L995)),$L995&lt;&gt;0)),"UNEXCUSED ABSENCE MUST RECORD 0",IF(COUNTIF(nrES_RecID,$B995)&gt;1,"DUPLICATE RECORD",IF(N($K995)&gt;2,"ATTEMPT 3+ NOT ALLOWED - policy 300.5 permits one retest per exam; this row records nothing",IF(AND($K995=2,COUNTIFS(nrES_PID,$D995,nrES_Code,$F995,nrES_Att,1)=0),"ATTEMPT 2 WITHOUT ATTEMPT 1",IF(AND($K995=2,$L995=""),"RETEST ROW HAS NO SCORE",IF(AND($H995="Final",$L995&lt;&gt;"",IFERROR(INDEX(nrCKfinalExamElig,MATCH($D995,rngCadetPIDs,0)),"")="No"),"FINAL EXAM AFTER FAILED FINAL PT (500.1.H)",IF(AND($K995=2,ISNUMBER($L995),COUNTIFS(nrES_PID,$D995,nrES_Code,$F995,nrES_Att,1)&gt;0,SUMIFS(nrES_Raw,nrES_PID,$D995,nrES_Code,$F995,nrES_Att,1)&gt;=$J995),"RETEST AFTER A PASSING FIRST ATTEMPT","OK"))))))))))</f>
        <v/>
      </c>
      <c r="Y995" s="16" t="n"/>
    </row>
    <row r="996">
      <c r="B996" s="17">
        <f>IF($C996="","",$D996&amp;"-"&amp;$F996&amp;"-"&amp;$K996)</f>
        <v/>
      </c>
      <c r="C996" s="16" t="n"/>
      <c r="D996" s="17">
        <f>IF($C996="","",IFERROR(INDEX(rngCadetPIDs,MATCH($C996,rngCadetNames,0)),"?"))</f>
        <v/>
      </c>
      <c r="E996" s="17">
        <f>IF($D996="","",IFERROR(INDEX(nrCadetAgency,MATCH($D996,rngCadetPIDs,0)),""))</f>
        <v/>
      </c>
      <c r="F996" s="16" t="n"/>
      <c r="G996" s="17">
        <f>IF($F996="","",IFERROR(INDEX(rngEPname,MATCH($F996,rngEPcode,0)),"?"))</f>
        <v/>
      </c>
      <c r="H996" s="17">
        <f>IF($F996="","",IFERROR(INDEX(rngEPtype,MATCH($F996,rngEPcode,0)),"?"))</f>
        <v/>
      </c>
      <c r="I996" s="17">
        <f>IF($F996="","",IFERROR(INDEX(rngEPseq,MATCH($F996,rngEPcode,0)),""))</f>
        <v/>
      </c>
      <c r="J996" s="17">
        <f>IF($F996="","",IFERROR(INDEX(rngEPpass,MATCH($F996,rngEPcode,0)),cfgPassingScore))</f>
        <v/>
      </c>
      <c r="K996" s="16" t="n"/>
      <c r="L996" s="16" t="n"/>
      <c r="M996" s="17">
        <f>IF($C996="","",IF($L996="","",IF(NOT(ISNUMBER($L996)),$L996,IF(N($K996)&gt;2,"",IF($K996=1,IF(COUNTIFS(nrES_PID,$D996,nrES_Code,$F996,nrES_Att,2,nrES_Raw,"&gt;=0")&gt;0,"",$L996),IF($L996&gt;=$J996,MAX($J996,cfgRetakeRecordedCap),IF(COUNTIFS(nrES_PID,$D996,nrES_Code,$F996,nrES_Att,1)=0,$L996,SUMIFS(nrES_Raw,nrES_PID,$D996,nrES_Code,$F996,nrES_Att,1))))))))</f>
        <v/>
      </c>
      <c r="N996" s="17">
        <f>IF($C996="","",IF($L996="","",IF(NOT(ISNUMBER($L996)),"(not a score)",IF($L996&gt;=$J996,"Yes","No"))))</f>
        <v/>
      </c>
      <c r="O996" s="17">
        <f>IF($C996="","",IF($M996="","",IF(NOT(ISNUMBER($M996)),"(not a score)",IF($M996&gt;=$J996,"Yes","No"))))</f>
        <v/>
      </c>
      <c r="P996" s="17">
        <f>IF($C996="","",IF($K996="","",IF(N($K996)&gt;2,"No",IF(COUNTIFS(nrES_PID,$D996,nrES_Code,$F996,nrES_Att,"&gt;"&amp;$K996,nrES_Att,"&lt;=2",nrES_Raw,"&gt;=0")=0,"Yes","No"))))</f>
        <v/>
      </c>
      <c r="Q996" s="17">
        <f>IF($C996="","",IF($L996="","",IF(AND($K996=1,ISNUMBER($L996),$L996&lt;$J996,COUNTIFS(nrES_PID,$D996,nrES_Code,$F996,nrES_Att,2,nrES_Raw,"&gt;=0")=0),"Yes","No")))</f>
        <v/>
      </c>
      <c r="R996" s="17">
        <f>IF($C996="","",IF($L996="","",IF(AND(N($K996)&gt;=2,ISNUMBER($L996),$L996&lt;$J996),"Yes","No")))</f>
        <v/>
      </c>
      <c r="S996" s="18" t="n"/>
      <c r="T996" s="19">
        <f>IF(OR($C996="",$L996="",$K996&lt;&gt;1,NOT(ISNUMBER($L996)),$L996&gt;=$J996),"",IF($S996="","(enter date)",_xlfn.LET(_xlpm.dn,_xlfn.XLOOKUP($S996,nrCDdate,nrCDnum,"",1),IF(_xlpm.dn="","(after last class day)",_xlfn.LET(_xlpm.dd,_xlfn.XLOOKUP(_xlpm.dn+cfgRetestClassDays,nrCDnum,nrCDdate,""),_xlpm.ok,_xlfn.XLOOKUP(_xlpm.dn+cfgRetestClassDays,nrCDnum,nrCDinsession,"No"),IF(OR(_xlpm.dd="",_xlpm.ok&lt;&gt;"Yes"),"(after last class day)",_xlpm.dd))))))</f>
        <v/>
      </c>
      <c r="U996" s="17">
        <f>IF($C996="","",IF(AND($Y996="Excused",$L996="",N($K996)&lt;=1),"EXCUSED - 1st attempt pending",IF(OR($L996="",$K996&lt;&gt;1,NOT(ISNUMBER($L996)),$L996&gt;=$J996),"",IF(COUNTIFS(nrES_PID,$D996,nrES_Code,$F996,nrES_Att,2,nrES_Raw,"&gt;=0")&gt;0,IF(IFERROR(_xlfn.MINIFS(nrES_Date,nrES_PID,$D996,nrES_Code,$F996,nrES_Att,2,nrES_Raw,"&gt;=0",nrES_Date,"&gt;0"),0)=0,"RETEST UNDATED",IF(NOT(ISNUMBER($T996)),"RETEST DATE UNCHECKED",IF(_xlfn.MINIFS(nrES_Date,nrES_PID,$D996,nrES_Code,$F996,nrES_Att,2,nrES_Raw,"&gt;=0",nrES_Date,"&gt;0")&gt;$T996,"LATE RETEST "&amp;TEXT(_xlfn.MINIFS(nrES_Date,nrES_PID,$D996,nrES_Code,$F996,nrES_Att,2,nrES_Raw,"&gt;=0",nrES_Date,"&gt;0"),"mm/dd")&amp;" (due "&amp;TEXT($T996,"mm/dd")&amp;")","Retested"))),IF(NOT(ISNUMBER($T996)),"CHECK DATE",IF(TODAY()&gt;$T996,"OVERDUE","Due "&amp;TEXT($T996,"mm/dd")))))))</f>
        <v/>
      </c>
      <c r="V996" s="16" t="n"/>
      <c r="W996" s="16" t="n"/>
      <c r="X996" s="17">
        <f>IF($C996="","",IF(AND($L996&lt;&gt;"",NOT(ISNUMBER($L996))),"RAW SCORE NOT A NUMBER",IF(AND(ISNUMBER($L996),OR($L996&lt;0,$L996&gt;100)),"RAW SCORE OUT OF RANGE",IF(AND($Y996="Unexcused",OR($L996="",NOT(ISNUMBER($L996)),$L996&lt;&gt;0)),"UNEXCUSED ABSENCE MUST RECORD 0",IF(COUNTIF(nrES_RecID,$B996)&gt;1,"DUPLICATE RECORD",IF(N($K996)&gt;2,"ATTEMPT 3+ NOT ALLOWED - policy 300.5 permits one retest per exam; this row records nothing",IF(AND($K996=2,COUNTIFS(nrES_PID,$D996,nrES_Code,$F996,nrES_Att,1)=0),"ATTEMPT 2 WITHOUT ATTEMPT 1",IF(AND($K996=2,$L996=""),"RETEST ROW HAS NO SCORE",IF(AND($H996="Final",$L996&lt;&gt;"",IFERROR(INDEX(nrCKfinalExamElig,MATCH($D996,rngCadetPIDs,0)),"")="No"),"FINAL EXAM AFTER FAILED FINAL PT (500.1.H)",IF(AND($K996=2,ISNUMBER($L996),COUNTIFS(nrES_PID,$D996,nrES_Code,$F996,nrES_Att,1)&gt;0,SUMIFS(nrES_Raw,nrES_PID,$D996,nrES_Code,$F996,nrES_Att,1)&gt;=$J996),"RETEST AFTER A PASSING FIRST ATTEMPT","OK"))))))))))</f>
        <v/>
      </c>
      <c r="Y996" s="16" t="n"/>
    </row>
    <row r="997">
      <c r="B997" s="17">
        <f>IF($C997="","",$D997&amp;"-"&amp;$F997&amp;"-"&amp;$K997)</f>
        <v/>
      </c>
      <c r="C997" s="16" t="n"/>
      <c r="D997" s="17">
        <f>IF($C997="","",IFERROR(INDEX(rngCadetPIDs,MATCH($C997,rngCadetNames,0)),"?"))</f>
        <v/>
      </c>
      <c r="E997" s="17">
        <f>IF($D997="","",IFERROR(INDEX(nrCadetAgency,MATCH($D997,rngCadetPIDs,0)),""))</f>
        <v/>
      </c>
      <c r="F997" s="16" t="n"/>
      <c r="G997" s="17">
        <f>IF($F997="","",IFERROR(INDEX(rngEPname,MATCH($F997,rngEPcode,0)),"?"))</f>
        <v/>
      </c>
      <c r="H997" s="17">
        <f>IF($F997="","",IFERROR(INDEX(rngEPtype,MATCH($F997,rngEPcode,0)),"?"))</f>
        <v/>
      </c>
      <c r="I997" s="17">
        <f>IF($F997="","",IFERROR(INDEX(rngEPseq,MATCH($F997,rngEPcode,0)),""))</f>
        <v/>
      </c>
      <c r="J997" s="17">
        <f>IF($F997="","",IFERROR(INDEX(rngEPpass,MATCH($F997,rngEPcode,0)),cfgPassingScore))</f>
        <v/>
      </c>
      <c r="K997" s="16" t="n"/>
      <c r="L997" s="16" t="n"/>
      <c r="M997" s="17">
        <f>IF($C997="","",IF($L997="","",IF(NOT(ISNUMBER($L997)),$L997,IF(N($K997)&gt;2,"",IF($K997=1,IF(COUNTIFS(nrES_PID,$D997,nrES_Code,$F997,nrES_Att,2,nrES_Raw,"&gt;=0")&gt;0,"",$L997),IF($L997&gt;=$J997,MAX($J997,cfgRetakeRecordedCap),IF(COUNTIFS(nrES_PID,$D997,nrES_Code,$F997,nrES_Att,1)=0,$L997,SUMIFS(nrES_Raw,nrES_PID,$D997,nrES_Code,$F997,nrES_Att,1))))))))</f>
        <v/>
      </c>
      <c r="N997" s="17">
        <f>IF($C997="","",IF($L997="","",IF(NOT(ISNUMBER($L997)),"(not a score)",IF($L997&gt;=$J997,"Yes","No"))))</f>
        <v/>
      </c>
      <c r="O997" s="17">
        <f>IF($C997="","",IF($M997="","",IF(NOT(ISNUMBER($M997)),"(not a score)",IF($M997&gt;=$J997,"Yes","No"))))</f>
        <v/>
      </c>
      <c r="P997" s="17">
        <f>IF($C997="","",IF($K997="","",IF(N($K997)&gt;2,"No",IF(COUNTIFS(nrES_PID,$D997,nrES_Code,$F997,nrES_Att,"&gt;"&amp;$K997,nrES_Att,"&lt;=2",nrES_Raw,"&gt;=0")=0,"Yes","No"))))</f>
        <v/>
      </c>
      <c r="Q997" s="17">
        <f>IF($C997="","",IF($L997="","",IF(AND($K997=1,ISNUMBER($L997),$L997&lt;$J997,COUNTIFS(nrES_PID,$D997,nrES_Code,$F997,nrES_Att,2,nrES_Raw,"&gt;=0")=0),"Yes","No")))</f>
        <v/>
      </c>
      <c r="R997" s="17">
        <f>IF($C997="","",IF($L997="","",IF(AND(N($K997)&gt;=2,ISNUMBER($L997),$L997&lt;$J997),"Yes","No")))</f>
        <v/>
      </c>
      <c r="S997" s="18" t="n"/>
      <c r="T997" s="19">
        <f>IF(OR($C997="",$L997="",$K997&lt;&gt;1,NOT(ISNUMBER($L997)),$L997&gt;=$J997),"",IF($S997="","(enter date)",_xlfn.LET(_xlpm.dn,_xlfn.XLOOKUP($S997,nrCDdate,nrCDnum,"",1),IF(_xlpm.dn="","(after last class day)",_xlfn.LET(_xlpm.dd,_xlfn.XLOOKUP(_xlpm.dn+cfgRetestClassDays,nrCDnum,nrCDdate,""),_xlpm.ok,_xlfn.XLOOKUP(_xlpm.dn+cfgRetestClassDays,nrCDnum,nrCDinsession,"No"),IF(OR(_xlpm.dd="",_xlpm.ok&lt;&gt;"Yes"),"(after last class day)",_xlpm.dd))))))</f>
        <v/>
      </c>
      <c r="U997" s="17">
        <f>IF($C997="","",IF(AND($Y997="Excused",$L997="",N($K997)&lt;=1),"EXCUSED - 1st attempt pending",IF(OR($L997="",$K997&lt;&gt;1,NOT(ISNUMBER($L997)),$L997&gt;=$J997),"",IF(COUNTIFS(nrES_PID,$D997,nrES_Code,$F997,nrES_Att,2,nrES_Raw,"&gt;=0")&gt;0,IF(IFERROR(_xlfn.MINIFS(nrES_Date,nrES_PID,$D997,nrES_Code,$F997,nrES_Att,2,nrES_Raw,"&gt;=0",nrES_Date,"&gt;0"),0)=0,"RETEST UNDATED",IF(NOT(ISNUMBER($T997)),"RETEST DATE UNCHECKED",IF(_xlfn.MINIFS(nrES_Date,nrES_PID,$D997,nrES_Code,$F997,nrES_Att,2,nrES_Raw,"&gt;=0",nrES_Date,"&gt;0")&gt;$T997,"LATE RETEST "&amp;TEXT(_xlfn.MINIFS(nrES_Date,nrES_PID,$D997,nrES_Code,$F997,nrES_Att,2,nrES_Raw,"&gt;=0",nrES_Date,"&gt;0"),"mm/dd")&amp;" (due "&amp;TEXT($T997,"mm/dd")&amp;")","Retested"))),IF(NOT(ISNUMBER($T997)),"CHECK DATE",IF(TODAY()&gt;$T997,"OVERDUE","Due "&amp;TEXT($T997,"mm/dd")))))))</f>
        <v/>
      </c>
      <c r="V997" s="16" t="n"/>
      <c r="W997" s="16" t="n"/>
      <c r="X997" s="17">
        <f>IF($C997="","",IF(AND($L997&lt;&gt;"",NOT(ISNUMBER($L997))),"RAW SCORE NOT A NUMBER",IF(AND(ISNUMBER($L997),OR($L997&lt;0,$L997&gt;100)),"RAW SCORE OUT OF RANGE",IF(AND($Y997="Unexcused",OR($L997="",NOT(ISNUMBER($L997)),$L997&lt;&gt;0)),"UNEXCUSED ABSENCE MUST RECORD 0",IF(COUNTIF(nrES_RecID,$B997)&gt;1,"DUPLICATE RECORD",IF(N($K997)&gt;2,"ATTEMPT 3+ NOT ALLOWED - policy 300.5 permits one retest per exam; this row records nothing",IF(AND($K997=2,COUNTIFS(nrES_PID,$D997,nrES_Code,$F997,nrES_Att,1)=0),"ATTEMPT 2 WITHOUT ATTEMPT 1",IF(AND($K997=2,$L997=""),"RETEST ROW HAS NO SCORE",IF(AND($H997="Final",$L997&lt;&gt;"",IFERROR(INDEX(nrCKfinalExamElig,MATCH($D997,rngCadetPIDs,0)),"")="No"),"FINAL EXAM AFTER FAILED FINAL PT (500.1.H)",IF(AND($K997=2,ISNUMBER($L997),COUNTIFS(nrES_PID,$D997,nrES_Code,$F997,nrES_Att,1)&gt;0,SUMIFS(nrES_Raw,nrES_PID,$D997,nrES_Code,$F997,nrES_Att,1)&gt;=$J997),"RETEST AFTER A PASSING FIRST ATTEMPT","OK"))))))))))</f>
        <v/>
      </c>
      <c r="Y997" s="16" t="n"/>
    </row>
    <row r="998">
      <c r="B998" s="17">
        <f>IF($C998="","",$D998&amp;"-"&amp;$F998&amp;"-"&amp;$K998)</f>
        <v/>
      </c>
      <c r="C998" s="16" t="n"/>
      <c r="D998" s="17">
        <f>IF($C998="","",IFERROR(INDEX(rngCadetPIDs,MATCH($C998,rngCadetNames,0)),"?"))</f>
        <v/>
      </c>
      <c r="E998" s="17">
        <f>IF($D998="","",IFERROR(INDEX(nrCadetAgency,MATCH($D998,rngCadetPIDs,0)),""))</f>
        <v/>
      </c>
      <c r="F998" s="16" t="n"/>
      <c r="G998" s="17">
        <f>IF($F998="","",IFERROR(INDEX(rngEPname,MATCH($F998,rngEPcode,0)),"?"))</f>
        <v/>
      </c>
      <c r="H998" s="17">
        <f>IF($F998="","",IFERROR(INDEX(rngEPtype,MATCH($F998,rngEPcode,0)),"?"))</f>
        <v/>
      </c>
      <c r="I998" s="17">
        <f>IF($F998="","",IFERROR(INDEX(rngEPseq,MATCH($F998,rngEPcode,0)),""))</f>
        <v/>
      </c>
      <c r="J998" s="17">
        <f>IF($F998="","",IFERROR(INDEX(rngEPpass,MATCH($F998,rngEPcode,0)),cfgPassingScore))</f>
        <v/>
      </c>
      <c r="K998" s="16" t="n"/>
      <c r="L998" s="16" t="n"/>
      <c r="M998" s="17">
        <f>IF($C998="","",IF($L998="","",IF(NOT(ISNUMBER($L998)),$L998,IF(N($K998)&gt;2,"",IF($K998=1,IF(COUNTIFS(nrES_PID,$D998,nrES_Code,$F998,nrES_Att,2,nrES_Raw,"&gt;=0")&gt;0,"",$L998),IF($L998&gt;=$J998,MAX($J998,cfgRetakeRecordedCap),IF(COUNTIFS(nrES_PID,$D998,nrES_Code,$F998,nrES_Att,1)=0,$L998,SUMIFS(nrES_Raw,nrES_PID,$D998,nrES_Code,$F998,nrES_Att,1))))))))</f>
        <v/>
      </c>
      <c r="N998" s="17">
        <f>IF($C998="","",IF($L998="","",IF(NOT(ISNUMBER($L998)),"(not a score)",IF($L998&gt;=$J998,"Yes","No"))))</f>
        <v/>
      </c>
      <c r="O998" s="17">
        <f>IF($C998="","",IF($M998="","",IF(NOT(ISNUMBER($M998)),"(not a score)",IF($M998&gt;=$J998,"Yes","No"))))</f>
        <v/>
      </c>
      <c r="P998" s="17">
        <f>IF($C998="","",IF($K998="","",IF(N($K998)&gt;2,"No",IF(COUNTIFS(nrES_PID,$D998,nrES_Code,$F998,nrES_Att,"&gt;"&amp;$K998,nrES_Att,"&lt;=2",nrES_Raw,"&gt;=0")=0,"Yes","No"))))</f>
        <v/>
      </c>
      <c r="Q998" s="17">
        <f>IF($C998="","",IF($L998="","",IF(AND($K998=1,ISNUMBER($L998),$L998&lt;$J998,COUNTIFS(nrES_PID,$D998,nrES_Code,$F998,nrES_Att,2,nrES_Raw,"&gt;=0")=0),"Yes","No")))</f>
        <v/>
      </c>
      <c r="R998" s="17">
        <f>IF($C998="","",IF($L998="","",IF(AND(N($K998)&gt;=2,ISNUMBER($L998),$L998&lt;$J998),"Yes","No")))</f>
        <v/>
      </c>
      <c r="S998" s="18" t="n"/>
      <c r="T998" s="19">
        <f>IF(OR($C998="",$L998="",$K998&lt;&gt;1,NOT(ISNUMBER($L998)),$L998&gt;=$J998),"",IF($S998="","(enter date)",_xlfn.LET(_xlpm.dn,_xlfn.XLOOKUP($S998,nrCDdate,nrCDnum,"",1),IF(_xlpm.dn="","(after last class day)",_xlfn.LET(_xlpm.dd,_xlfn.XLOOKUP(_xlpm.dn+cfgRetestClassDays,nrCDnum,nrCDdate,""),_xlpm.ok,_xlfn.XLOOKUP(_xlpm.dn+cfgRetestClassDays,nrCDnum,nrCDinsession,"No"),IF(OR(_xlpm.dd="",_xlpm.ok&lt;&gt;"Yes"),"(after last class day)",_xlpm.dd))))))</f>
        <v/>
      </c>
      <c r="U998" s="17">
        <f>IF($C998="","",IF(AND($Y998="Excused",$L998="",N($K998)&lt;=1),"EXCUSED - 1st attempt pending",IF(OR($L998="",$K998&lt;&gt;1,NOT(ISNUMBER($L998)),$L998&gt;=$J998),"",IF(COUNTIFS(nrES_PID,$D998,nrES_Code,$F998,nrES_Att,2,nrES_Raw,"&gt;=0")&gt;0,IF(IFERROR(_xlfn.MINIFS(nrES_Date,nrES_PID,$D998,nrES_Code,$F998,nrES_Att,2,nrES_Raw,"&gt;=0",nrES_Date,"&gt;0"),0)=0,"RETEST UNDATED",IF(NOT(ISNUMBER($T998)),"RETEST DATE UNCHECKED",IF(_xlfn.MINIFS(nrES_Date,nrES_PID,$D998,nrES_Code,$F998,nrES_Att,2,nrES_Raw,"&gt;=0",nrES_Date,"&gt;0")&gt;$T998,"LATE RETEST "&amp;TEXT(_xlfn.MINIFS(nrES_Date,nrES_PID,$D998,nrES_Code,$F998,nrES_Att,2,nrES_Raw,"&gt;=0",nrES_Date,"&gt;0"),"mm/dd")&amp;" (due "&amp;TEXT($T998,"mm/dd")&amp;")","Retested"))),IF(NOT(ISNUMBER($T998)),"CHECK DATE",IF(TODAY()&gt;$T998,"OVERDUE","Due "&amp;TEXT($T998,"mm/dd")))))))</f>
        <v/>
      </c>
      <c r="V998" s="16" t="n"/>
      <c r="W998" s="16" t="n"/>
      <c r="X998" s="17">
        <f>IF($C998="","",IF(AND($L998&lt;&gt;"",NOT(ISNUMBER($L998))),"RAW SCORE NOT A NUMBER",IF(AND(ISNUMBER($L998),OR($L998&lt;0,$L998&gt;100)),"RAW SCORE OUT OF RANGE",IF(AND($Y998="Unexcused",OR($L998="",NOT(ISNUMBER($L998)),$L998&lt;&gt;0)),"UNEXCUSED ABSENCE MUST RECORD 0",IF(COUNTIF(nrES_RecID,$B998)&gt;1,"DUPLICATE RECORD",IF(N($K998)&gt;2,"ATTEMPT 3+ NOT ALLOWED - policy 300.5 permits one retest per exam; this row records nothing",IF(AND($K998=2,COUNTIFS(nrES_PID,$D998,nrES_Code,$F998,nrES_Att,1)=0),"ATTEMPT 2 WITHOUT ATTEMPT 1",IF(AND($K998=2,$L998=""),"RETEST ROW HAS NO SCORE",IF(AND($H998="Final",$L998&lt;&gt;"",IFERROR(INDEX(nrCKfinalExamElig,MATCH($D998,rngCadetPIDs,0)),"")="No"),"FINAL EXAM AFTER FAILED FINAL PT (500.1.H)",IF(AND($K998=2,ISNUMBER($L998),COUNTIFS(nrES_PID,$D998,nrES_Code,$F998,nrES_Att,1)&gt;0,SUMIFS(nrES_Raw,nrES_PID,$D998,nrES_Code,$F998,nrES_Att,1)&gt;=$J998),"RETEST AFTER A PASSING FIRST ATTEMPT","OK"))))))))))</f>
        <v/>
      </c>
      <c r="Y998" s="16" t="n"/>
    </row>
    <row r="999">
      <c r="B999" s="17">
        <f>IF($C999="","",$D999&amp;"-"&amp;$F999&amp;"-"&amp;$K999)</f>
        <v/>
      </c>
      <c r="C999" s="16" t="n"/>
      <c r="D999" s="17">
        <f>IF($C999="","",IFERROR(INDEX(rngCadetPIDs,MATCH($C999,rngCadetNames,0)),"?"))</f>
        <v/>
      </c>
      <c r="E999" s="17">
        <f>IF($D999="","",IFERROR(INDEX(nrCadetAgency,MATCH($D999,rngCadetPIDs,0)),""))</f>
        <v/>
      </c>
      <c r="F999" s="16" t="n"/>
      <c r="G999" s="17">
        <f>IF($F999="","",IFERROR(INDEX(rngEPname,MATCH($F999,rngEPcode,0)),"?"))</f>
        <v/>
      </c>
      <c r="H999" s="17">
        <f>IF($F999="","",IFERROR(INDEX(rngEPtype,MATCH($F999,rngEPcode,0)),"?"))</f>
        <v/>
      </c>
      <c r="I999" s="17">
        <f>IF($F999="","",IFERROR(INDEX(rngEPseq,MATCH($F999,rngEPcode,0)),""))</f>
        <v/>
      </c>
      <c r="J999" s="17">
        <f>IF($F999="","",IFERROR(INDEX(rngEPpass,MATCH($F999,rngEPcode,0)),cfgPassingScore))</f>
        <v/>
      </c>
      <c r="K999" s="16" t="n"/>
      <c r="L999" s="16" t="n"/>
      <c r="M999" s="17">
        <f>IF($C999="","",IF($L999="","",IF(NOT(ISNUMBER($L999)),$L999,IF(N($K999)&gt;2,"",IF($K999=1,IF(COUNTIFS(nrES_PID,$D999,nrES_Code,$F999,nrES_Att,2,nrES_Raw,"&gt;=0")&gt;0,"",$L999),IF($L999&gt;=$J999,MAX($J999,cfgRetakeRecordedCap),IF(COUNTIFS(nrES_PID,$D999,nrES_Code,$F999,nrES_Att,1)=0,$L999,SUMIFS(nrES_Raw,nrES_PID,$D999,nrES_Code,$F999,nrES_Att,1))))))))</f>
        <v/>
      </c>
      <c r="N999" s="17">
        <f>IF($C999="","",IF($L999="","",IF(NOT(ISNUMBER($L999)),"(not a score)",IF($L999&gt;=$J999,"Yes","No"))))</f>
        <v/>
      </c>
      <c r="O999" s="17">
        <f>IF($C999="","",IF($M999="","",IF(NOT(ISNUMBER($M999)),"(not a score)",IF($M999&gt;=$J999,"Yes","No"))))</f>
        <v/>
      </c>
      <c r="P999" s="17">
        <f>IF($C999="","",IF($K999="","",IF(N($K999)&gt;2,"No",IF(COUNTIFS(nrES_PID,$D999,nrES_Code,$F999,nrES_Att,"&gt;"&amp;$K999,nrES_Att,"&lt;=2",nrES_Raw,"&gt;=0")=0,"Yes","No"))))</f>
        <v/>
      </c>
      <c r="Q999" s="17">
        <f>IF($C999="","",IF($L999="","",IF(AND($K999=1,ISNUMBER($L999),$L999&lt;$J999,COUNTIFS(nrES_PID,$D999,nrES_Code,$F999,nrES_Att,2,nrES_Raw,"&gt;=0")=0),"Yes","No")))</f>
        <v/>
      </c>
      <c r="R999" s="17">
        <f>IF($C999="","",IF($L999="","",IF(AND(N($K999)&gt;=2,ISNUMBER($L999),$L999&lt;$J999),"Yes","No")))</f>
        <v/>
      </c>
      <c r="S999" s="18" t="n"/>
      <c r="T999" s="19">
        <f>IF(OR($C999="",$L999="",$K999&lt;&gt;1,NOT(ISNUMBER($L999)),$L999&gt;=$J999),"",IF($S999="","(enter date)",_xlfn.LET(_xlpm.dn,_xlfn.XLOOKUP($S999,nrCDdate,nrCDnum,"",1),IF(_xlpm.dn="","(after last class day)",_xlfn.LET(_xlpm.dd,_xlfn.XLOOKUP(_xlpm.dn+cfgRetestClassDays,nrCDnum,nrCDdate,""),_xlpm.ok,_xlfn.XLOOKUP(_xlpm.dn+cfgRetestClassDays,nrCDnum,nrCDinsession,"No"),IF(OR(_xlpm.dd="",_xlpm.ok&lt;&gt;"Yes"),"(after last class day)",_xlpm.dd))))))</f>
        <v/>
      </c>
      <c r="U999" s="17">
        <f>IF($C999="","",IF(AND($Y999="Excused",$L999="",N($K999)&lt;=1),"EXCUSED - 1st attempt pending",IF(OR($L999="",$K999&lt;&gt;1,NOT(ISNUMBER($L999)),$L999&gt;=$J999),"",IF(COUNTIFS(nrES_PID,$D999,nrES_Code,$F999,nrES_Att,2,nrES_Raw,"&gt;=0")&gt;0,IF(IFERROR(_xlfn.MINIFS(nrES_Date,nrES_PID,$D999,nrES_Code,$F999,nrES_Att,2,nrES_Raw,"&gt;=0",nrES_Date,"&gt;0"),0)=0,"RETEST UNDATED",IF(NOT(ISNUMBER($T999)),"RETEST DATE UNCHECKED",IF(_xlfn.MINIFS(nrES_Date,nrES_PID,$D999,nrES_Code,$F999,nrES_Att,2,nrES_Raw,"&gt;=0",nrES_Date,"&gt;0")&gt;$T999,"LATE RETEST "&amp;TEXT(_xlfn.MINIFS(nrES_Date,nrES_PID,$D999,nrES_Code,$F999,nrES_Att,2,nrES_Raw,"&gt;=0",nrES_Date,"&gt;0"),"mm/dd")&amp;" (due "&amp;TEXT($T999,"mm/dd")&amp;")","Retested"))),IF(NOT(ISNUMBER($T999)),"CHECK DATE",IF(TODAY()&gt;$T999,"OVERDUE","Due "&amp;TEXT($T999,"mm/dd")))))))</f>
        <v/>
      </c>
      <c r="V999" s="16" t="n"/>
      <c r="W999" s="16" t="n"/>
      <c r="X999" s="17">
        <f>IF($C999="","",IF(AND($L999&lt;&gt;"",NOT(ISNUMBER($L999))),"RAW SCORE NOT A NUMBER",IF(AND(ISNUMBER($L999),OR($L999&lt;0,$L999&gt;100)),"RAW SCORE OUT OF RANGE",IF(AND($Y999="Unexcused",OR($L999="",NOT(ISNUMBER($L999)),$L999&lt;&gt;0)),"UNEXCUSED ABSENCE MUST RECORD 0",IF(COUNTIF(nrES_RecID,$B999)&gt;1,"DUPLICATE RECORD",IF(N($K999)&gt;2,"ATTEMPT 3+ NOT ALLOWED - policy 300.5 permits one retest per exam; this row records nothing",IF(AND($K999=2,COUNTIFS(nrES_PID,$D999,nrES_Code,$F999,nrES_Att,1)=0),"ATTEMPT 2 WITHOUT ATTEMPT 1",IF(AND($K999=2,$L999=""),"RETEST ROW HAS NO SCORE",IF(AND($H999="Final",$L999&lt;&gt;"",IFERROR(INDEX(nrCKfinalExamElig,MATCH($D999,rngCadetPIDs,0)),"")="No"),"FINAL EXAM AFTER FAILED FINAL PT (500.1.H)",IF(AND($K999=2,ISNUMBER($L999),COUNTIFS(nrES_PID,$D999,nrES_Code,$F999,nrES_Att,1)&gt;0,SUMIFS(nrES_Raw,nrES_PID,$D999,nrES_Code,$F999,nrES_Att,1)&gt;=$J999),"RETEST AFTER A PASSING FIRST ATTEMPT","OK"))))))))))</f>
        <v/>
      </c>
      <c r="Y999" s="16" t="n"/>
    </row>
    <row r="1000">
      <c r="B1000" s="17">
        <f>IF($C1000="","",$D1000&amp;"-"&amp;$F1000&amp;"-"&amp;$K1000)</f>
        <v/>
      </c>
      <c r="C1000" s="16" t="n"/>
      <c r="D1000" s="17">
        <f>IF($C1000="","",IFERROR(INDEX(rngCadetPIDs,MATCH($C1000,rngCadetNames,0)),"?"))</f>
        <v/>
      </c>
      <c r="E1000" s="17">
        <f>IF($D1000="","",IFERROR(INDEX(nrCadetAgency,MATCH($D1000,rngCadetPIDs,0)),""))</f>
        <v/>
      </c>
      <c r="F1000" s="16" t="n"/>
      <c r="G1000" s="17">
        <f>IF($F1000="","",IFERROR(INDEX(rngEPname,MATCH($F1000,rngEPcode,0)),"?"))</f>
        <v/>
      </c>
      <c r="H1000" s="17">
        <f>IF($F1000="","",IFERROR(INDEX(rngEPtype,MATCH($F1000,rngEPcode,0)),"?"))</f>
        <v/>
      </c>
      <c r="I1000" s="17">
        <f>IF($F1000="","",IFERROR(INDEX(rngEPseq,MATCH($F1000,rngEPcode,0)),""))</f>
        <v/>
      </c>
      <c r="J1000" s="17">
        <f>IF($F1000="","",IFERROR(INDEX(rngEPpass,MATCH($F1000,rngEPcode,0)),cfgPassingScore))</f>
        <v/>
      </c>
      <c r="K1000" s="16" t="n"/>
      <c r="L1000" s="16" t="n"/>
      <c r="M1000" s="17">
        <f>IF($C1000="","",IF($L1000="","",IF(NOT(ISNUMBER($L1000)),$L1000,IF(N($K1000)&gt;2,"",IF($K1000=1,IF(COUNTIFS(nrES_PID,$D1000,nrES_Code,$F1000,nrES_Att,2,nrES_Raw,"&gt;=0")&gt;0,"",$L1000),IF($L1000&gt;=$J1000,MAX($J1000,cfgRetakeRecordedCap),IF(COUNTIFS(nrES_PID,$D1000,nrES_Code,$F1000,nrES_Att,1)=0,$L1000,SUMIFS(nrES_Raw,nrES_PID,$D1000,nrES_Code,$F1000,nrES_Att,1))))))))</f>
        <v/>
      </c>
      <c r="N1000" s="17">
        <f>IF($C1000="","",IF($L1000="","",IF(NOT(ISNUMBER($L1000)),"(not a score)",IF($L1000&gt;=$J1000,"Yes","No"))))</f>
        <v/>
      </c>
      <c r="O1000" s="17">
        <f>IF($C1000="","",IF($M1000="","",IF(NOT(ISNUMBER($M1000)),"(not a score)",IF($M1000&gt;=$J1000,"Yes","No"))))</f>
        <v/>
      </c>
      <c r="P1000" s="17">
        <f>IF($C1000="","",IF($K1000="","",IF(N($K1000)&gt;2,"No",IF(COUNTIFS(nrES_PID,$D1000,nrES_Code,$F1000,nrES_Att,"&gt;"&amp;$K1000,nrES_Att,"&lt;=2",nrES_Raw,"&gt;=0")=0,"Yes","No"))))</f>
        <v/>
      </c>
      <c r="Q1000" s="17">
        <f>IF($C1000="","",IF($L1000="","",IF(AND($K1000=1,ISNUMBER($L1000),$L1000&lt;$J1000,COUNTIFS(nrES_PID,$D1000,nrES_Code,$F1000,nrES_Att,2,nrES_Raw,"&gt;=0")=0),"Yes","No")))</f>
        <v/>
      </c>
      <c r="R1000" s="17">
        <f>IF($C1000="","",IF($L1000="","",IF(AND(N($K1000)&gt;=2,ISNUMBER($L1000),$L1000&lt;$J1000),"Yes","No")))</f>
        <v/>
      </c>
      <c r="S1000" s="18" t="n"/>
      <c r="T1000" s="19">
        <f>IF(OR($C1000="",$L1000="",$K1000&lt;&gt;1,NOT(ISNUMBER($L1000)),$L1000&gt;=$J1000),"",IF($S1000="","(enter date)",_xlfn.LET(_xlpm.dn,_xlfn.XLOOKUP($S1000,nrCDdate,nrCDnum,"",1),IF(_xlpm.dn="","(after last class day)",_xlfn.LET(_xlpm.dd,_xlfn.XLOOKUP(_xlpm.dn+cfgRetestClassDays,nrCDnum,nrCDdate,""),_xlpm.ok,_xlfn.XLOOKUP(_xlpm.dn+cfgRetestClassDays,nrCDnum,nrCDinsession,"No"),IF(OR(_xlpm.dd="",_xlpm.ok&lt;&gt;"Yes"),"(after last class day)",_xlpm.dd))))))</f>
        <v/>
      </c>
      <c r="U1000" s="17">
        <f>IF($C1000="","",IF(AND($Y1000="Excused",$L1000="",N($K1000)&lt;=1),"EXCUSED - 1st attempt pending",IF(OR($L1000="",$K1000&lt;&gt;1,NOT(ISNUMBER($L1000)),$L1000&gt;=$J1000),"",IF(COUNTIFS(nrES_PID,$D1000,nrES_Code,$F1000,nrES_Att,2,nrES_Raw,"&gt;=0")&gt;0,IF(IFERROR(_xlfn.MINIFS(nrES_Date,nrES_PID,$D1000,nrES_Code,$F1000,nrES_Att,2,nrES_Raw,"&gt;=0",nrES_Date,"&gt;0"),0)=0,"RETEST UNDATED",IF(NOT(ISNUMBER($T1000)),"RETEST DATE UNCHECKED",IF(_xlfn.MINIFS(nrES_Date,nrES_PID,$D1000,nrES_Code,$F1000,nrES_Att,2,nrES_Raw,"&gt;=0",nrES_Date,"&gt;0")&gt;$T1000,"LATE RETEST "&amp;TEXT(_xlfn.MINIFS(nrES_Date,nrES_PID,$D1000,nrES_Code,$F1000,nrES_Att,2,nrES_Raw,"&gt;=0",nrES_Date,"&gt;0"),"mm/dd")&amp;" (due "&amp;TEXT($T1000,"mm/dd")&amp;")","Retested"))),IF(NOT(ISNUMBER($T1000)),"CHECK DATE",IF(TODAY()&gt;$T1000,"OVERDUE","Due "&amp;TEXT($T1000,"mm/dd")))))))</f>
        <v/>
      </c>
      <c r="V1000" s="16" t="n"/>
      <c r="W1000" s="16" t="n"/>
      <c r="X1000" s="17">
        <f>IF($C1000="","",IF(AND($L1000&lt;&gt;"",NOT(ISNUMBER($L1000))),"RAW SCORE NOT A NUMBER",IF(AND(ISNUMBER($L1000),OR($L1000&lt;0,$L1000&gt;100)),"RAW SCORE OUT OF RANGE",IF(AND($Y1000="Unexcused",OR($L1000="",NOT(ISNUMBER($L1000)),$L1000&lt;&gt;0)),"UNEXCUSED ABSENCE MUST RECORD 0",IF(COUNTIF(nrES_RecID,$B1000)&gt;1,"DUPLICATE RECORD",IF(N($K1000)&gt;2,"ATTEMPT 3+ NOT ALLOWED - policy 300.5 permits one retest per exam; this row records nothing",IF(AND($K1000=2,COUNTIFS(nrES_PID,$D1000,nrES_Code,$F1000,nrES_Att,1)=0),"ATTEMPT 2 WITHOUT ATTEMPT 1",IF(AND($K1000=2,$L1000=""),"RETEST ROW HAS NO SCORE",IF(AND($H1000="Final",$L1000&lt;&gt;"",IFERROR(INDEX(nrCKfinalExamElig,MATCH($D1000,rngCadetPIDs,0)),"")="No"),"FINAL EXAM AFTER FAILED FINAL PT (500.1.H)",IF(AND($K1000=2,ISNUMBER($L1000),COUNTIFS(nrES_PID,$D1000,nrES_Code,$F1000,nrES_Att,1)&gt;0,SUMIFS(nrES_Raw,nrES_PID,$D1000,nrES_Code,$F1000,nrES_Att,1)&gt;=$J1000),"RETEST AFTER A PASSING FIRST ATTEMPT","OK"))))))))))</f>
        <v/>
      </c>
      <c r="Y1000" s="16" t="n"/>
    </row>
    <row r="1001">
      <c r="B1001" s="17">
        <f>IF($C1001="","",$D1001&amp;"-"&amp;$F1001&amp;"-"&amp;$K1001)</f>
        <v/>
      </c>
      <c r="C1001" s="16" t="n"/>
      <c r="D1001" s="17">
        <f>IF($C1001="","",IFERROR(INDEX(rngCadetPIDs,MATCH($C1001,rngCadetNames,0)),"?"))</f>
        <v/>
      </c>
      <c r="E1001" s="17">
        <f>IF($D1001="","",IFERROR(INDEX(nrCadetAgency,MATCH($D1001,rngCadetPIDs,0)),""))</f>
        <v/>
      </c>
      <c r="F1001" s="16" t="n"/>
      <c r="G1001" s="17">
        <f>IF($F1001="","",IFERROR(INDEX(rngEPname,MATCH($F1001,rngEPcode,0)),"?"))</f>
        <v/>
      </c>
      <c r="H1001" s="17">
        <f>IF($F1001="","",IFERROR(INDEX(rngEPtype,MATCH($F1001,rngEPcode,0)),"?"))</f>
        <v/>
      </c>
      <c r="I1001" s="17">
        <f>IF($F1001="","",IFERROR(INDEX(rngEPseq,MATCH($F1001,rngEPcode,0)),""))</f>
        <v/>
      </c>
      <c r="J1001" s="17">
        <f>IF($F1001="","",IFERROR(INDEX(rngEPpass,MATCH($F1001,rngEPcode,0)),cfgPassingScore))</f>
        <v/>
      </c>
      <c r="K1001" s="16" t="n"/>
      <c r="L1001" s="16" t="n"/>
      <c r="M1001" s="17">
        <f>IF($C1001="","",IF($L1001="","",IF(NOT(ISNUMBER($L1001)),$L1001,IF(N($K1001)&gt;2,"",IF($K1001=1,IF(COUNTIFS(nrES_PID,$D1001,nrES_Code,$F1001,nrES_Att,2,nrES_Raw,"&gt;=0")&gt;0,"",$L1001),IF($L1001&gt;=$J1001,MAX($J1001,cfgRetakeRecordedCap),IF(COUNTIFS(nrES_PID,$D1001,nrES_Code,$F1001,nrES_Att,1)=0,$L1001,SUMIFS(nrES_Raw,nrES_PID,$D1001,nrES_Code,$F1001,nrES_Att,1))))))))</f>
        <v/>
      </c>
      <c r="N1001" s="17">
        <f>IF($C1001="","",IF($L1001="","",IF(NOT(ISNUMBER($L1001)),"(not a score)",IF($L1001&gt;=$J1001,"Yes","No"))))</f>
        <v/>
      </c>
      <c r="O1001" s="17">
        <f>IF($C1001="","",IF($M1001="","",IF(NOT(ISNUMBER($M1001)),"(not a score)",IF($M1001&gt;=$J1001,"Yes","No"))))</f>
        <v/>
      </c>
      <c r="P1001" s="17">
        <f>IF($C1001="","",IF($K1001="","",IF(N($K1001)&gt;2,"No",IF(COUNTIFS(nrES_PID,$D1001,nrES_Code,$F1001,nrES_Att,"&gt;"&amp;$K1001,nrES_Att,"&lt;=2",nrES_Raw,"&gt;=0")=0,"Yes","No"))))</f>
        <v/>
      </c>
      <c r="Q1001" s="17">
        <f>IF($C1001="","",IF($L1001="","",IF(AND($K1001=1,ISNUMBER($L1001),$L1001&lt;$J1001,COUNTIFS(nrES_PID,$D1001,nrES_Code,$F1001,nrES_Att,2,nrES_Raw,"&gt;=0")=0),"Yes","No")))</f>
        <v/>
      </c>
      <c r="R1001" s="17">
        <f>IF($C1001="","",IF($L1001="","",IF(AND(N($K1001)&gt;=2,ISNUMBER($L1001),$L1001&lt;$J1001),"Yes","No")))</f>
        <v/>
      </c>
      <c r="S1001" s="18" t="n"/>
      <c r="T1001" s="19">
        <f>IF(OR($C1001="",$L1001="",$K1001&lt;&gt;1,NOT(ISNUMBER($L1001)),$L1001&gt;=$J1001),"",IF($S1001="","(enter date)",_xlfn.LET(_xlpm.dn,_xlfn.XLOOKUP($S1001,nrCDdate,nrCDnum,"",1),IF(_xlpm.dn="","(after last class day)",_xlfn.LET(_xlpm.dd,_xlfn.XLOOKUP(_xlpm.dn+cfgRetestClassDays,nrCDnum,nrCDdate,""),_xlpm.ok,_xlfn.XLOOKUP(_xlpm.dn+cfgRetestClassDays,nrCDnum,nrCDinsession,"No"),IF(OR(_xlpm.dd="",_xlpm.ok&lt;&gt;"Yes"),"(after last class day)",_xlpm.dd))))))</f>
        <v/>
      </c>
      <c r="U1001" s="17">
        <f>IF($C1001="","",IF(AND($Y1001="Excused",$L1001="",N($K1001)&lt;=1),"EXCUSED - 1st attempt pending",IF(OR($L1001="",$K1001&lt;&gt;1,NOT(ISNUMBER($L1001)),$L1001&gt;=$J1001),"",IF(COUNTIFS(nrES_PID,$D1001,nrES_Code,$F1001,nrES_Att,2,nrES_Raw,"&gt;=0")&gt;0,IF(IFERROR(_xlfn.MINIFS(nrES_Date,nrES_PID,$D1001,nrES_Code,$F1001,nrES_Att,2,nrES_Raw,"&gt;=0",nrES_Date,"&gt;0"),0)=0,"RETEST UNDATED",IF(NOT(ISNUMBER($T1001)),"RETEST DATE UNCHECKED",IF(_xlfn.MINIFS(nrES_Date,nrES_PID,$D1001,nrES_Code,$F1001,nrES_Att,2,nrES_Raw,"&gt;=0",nrES_Date,"&gt;0")&gt;$T1001,"LATE RETEST "&amp;TEXT(_xlfn.MINIFS(nrES_Date,nrES_PID,$D1001,nrES_Code,$F1001,nrES_Att,2,nrES_Raw,"&gt;=0",nrES_Date,"&gt;0"),"mm/dd")&amp;" (due "&amp;TEXT($T1001,"mm/dd")&amp;")","Retested"))),IF(NOT(ISNUMBER($T1001)),"CHECK DATE",IF(TODAY()&gt;$T1001,"OVERDUE","Due "&amp;TEXT($T1001,"mm/dd")))))))</f>
        <v/>
      </c>
      <c r="V1001" s="16" t="n"/>
      <c r="W1001" s="16" t="n"/>
      <c r="X1001" s="17">
        <f>IF($C1001="","",IF(AND($L1001&lt;&gt;"",NOT(ISNUMBER($L1001))),"RAW SCORE NOT A NUMBER",IF(AND(ISNUMBER($L1001),OR($L1001&lt;0,$L1001&gt;100)),"RAW SCORE OUT OF RANGE",IF(AND($Y1001="Unexcused",OR($L1001="",NOT(ISNUMBER($L1001)),$L1001&lt;&gt;0)),"UNEXCUSED ABSENCE MUST RECORD 0",IF(COUNTIF(nrES_RecID,$B1001)&gt;1,"DUPLICATE RECORD",IF(N($K1001)&gt;2,"ATTEMPT 3+ NOT ALLOWED - policy 300.5 permits one retest per exam; this row records nothing",IF(AND($K1001=2,COUNTIFS(nrES_PID,$D1001,nrES_Code,$F1001,nrES_Att,1)=0),"ATTEMPT 2 WITHOUT ATTEMPT 1",IF(AND($K1001=2,$L1001=""),"RETEST ROW HAS NO SCORE",IF(AND($H1001="Final",$L1001&lt;&gt;"",IFERROR(INDEX(nrCKfinalExamElig,MATCH($D1001,rngCadetPIDs,0)),"")="No"),"FINAL EXAM AFTER FAILED FINAL PT (500.1.H)",IF(AND($K1001=2,ISNUMBER($L1001),COUNTIFS(nrES_PID,$D1001,nrES_Code,$F1001,nrES_Att,1)&gt;0,SUMIFS(nrES_Raw,nrES_PID,$D1001,nrES_Code,$F1001,nrES_Att,1)&gt;=$J1001),"RETEST AFTER A PASSING FIRST ATTEMPT","OK"))))))))))</f>
        <v/>
      </c>
      <c r="Y1001" s="16" t="n"/>
    </row>
    <row r="1002">
      <c r="B1002" s="17">
        <f>IF($C1002="","",$D1002&amp;"-"&amp;$F1002&amp;"-"&amp;$K1002)</f>
        <v/>
      </c>
      <c r="C1002" s="16" t="n"/>
      <c r="D1002" s="17">
        <f>IF($C1002="","",IFERROR(INDEX(rngCadetPIDs,MATCH($C1002,rngCadetNames,0)),"?"))</f>
        <v/>
      </c>
      <c r="E1002" s="17">
        <f>IF($D1002="","",IFERROR(INDEX(nrCadetAgency,MATCH($D1002,rngCadetPIDs,0)),""))</f>
        <v/>
      </c>
      <c r="F1002" s="16" t="n"/>
      <c r="G1002" s="17">
        <f>IF($F1002="","",IFERROR(INDEX(rngEPname,MATCH($F1002,rngEPcode,0)),"?"))</f>
        <v/>
      </c>
      <c r="H1002" s="17">
        <f>IF($F1002="","",IFERROR(INDEX(rngEPtype,MATCH($F1002,rngEPcode,0)),"?"))</f>
        <v/>
      </c>
      <c r="I1002" s="17">
        <f>IF($F1002="","",IFERROR(INDEX(rngEPseq,MATCH($F1002,rngEPcode,0)),""))</f>
        <v/>
      </c>
      <c r="J1002" s="17">
        <f>IF($F1002="","",IFERROR(INDEX(rngEPpass,MATCH($F1002,rngEPcode,0)),cfgPassingScore))</f>
        <v/>
      </c>
      <c r="K1002" s="16" t="n"/>
      <c r="L1002" s="16" t="n"/>
      <c r="M1002" s="17">
        <f>IF($C1002="","",IF($L1002="","",IF(NOT(ISNUMBER($L1002)),$L1002,IF(N($K1002)&gt;2,"",IF($K1002=1,IF(COUNTIFS(nrES_PID,$D1002,nrES_Code,$F1002,nrES_Att,2,nrES_Raw,"&gt;=0")&gt;0,"",$L1002),IF($L1002&gt;=$J1002,MAX($J1002,cfgRetakeRecordedCap),IF(COUNTIFS(nrES_PID,$D1002,nrES_Code,$F1002,nrES_Att,1)=0,$L1002,SUMIFS(nrES_Raw,nrES_PID,$D1002,nrES_Code,$F1002,nrES_Att,1))))))))</f>
        <v/>
      </c>
      <c r="N1002" s="17">
        <f>IF($C1002="","",IF($L1002="","",IF(NOT(ISNUMBER($L1002)),"(not a score)",IF($L1002&gt;=$J1002,"Yes","No"))))</f>
        <v/>
      </c>
      <c r="O1002" s="17">
        <f>IF($C1002="","",IF($M1002="","",IF(NOT(ISNUMBER($M1002)),"(not a score)",IF($M1002&gt;=$J1002,"Yes","No"))))</f>
        <v/>
      </c>
      <c r="P1002" s="17">
        <f>IF($C1002="","",IF($K1002="","",IF(N($K1002)&gt;2,"No",IF(COUNTIFS(nrES_PID,$D1002,nrES_Code,$F1002,nrES_Att,"&gt;"&amp;$K1002,nrES_Att,"&lt;=2",nrES_Raw,"&gt;=0")=0,"Yes","No"))))</f>
        <v/>
      </c>
      <c r="Q1002" s="17">
        <f>IF($C1002="","",IF($L1002="","",IF(AND($K1002=1,ISNUMBER($L1002),$L1002&lt;$J1002,COUNTIFS(nrES_PID,$D1002,nrES_Code,$F1002,nrES_Att,2,nrES_Raw,"&gt;=0")=0),"Yes","No")))</f>
        <v/>
      </c>
      <c r="R1002" s="17">
        <f>IF($C1002="","",IF($L1002="","",IF(AND(N($K1002)&gt;=2,ISNUMBER($L1002),$L1002&lt;$J1002),"Yes","No")))</f>
        <v/>
      </c>
      <c r="S1002" s="18" t="n"/>
      <c r="T1002" s="19">
        <f>IF(OR($C1002="",$L1002="",$K1002&lt;&gt;1,NOT(ISNUMBER($L1002)),$L1002&gt;=$J1002),"",IF($S1002="","(enter date)",_xlfn.LET(_xlpm.dn,_xlfn.XLOOKUP($S1002,nrCDdate,nrCDnum,"",1),IF(_xlpm.dn="","(after last class day)",_xlfn.LET(_xlpm.dd,_xlfn.XLOOKUP(_xlpm.dn+cfgRetestClassDays,nrCDnum,nrCDdate,""),_xlpm.ok,_xlfn.XLOOKUP(_xlpm.dn+cfgRetestClassDays,nrCDnum,nrCDinsession,"No"),IF(OR(_xlpm.dd="",_xlpm.ok&lt;&gt;"Yes"),"(after last class day)",_xlpm.dd))))))</f>
        <v/>
      </c>
      <c r="U1002" s="17">
        <f>IF($C1002="","",IF(AND($Y1002="Excused",$L1002="",N($K1002)&lt;=1),"EXCUSED - 1st attempt pending",IF(OR($L1002="",$K1002&lt;&gt;1,NOT(ISNUMBER($L1002)),$L1002&gt;=$J1002),"",IF(COUNTIFS(nrES_PID,$D1002,nrES_Code,$F1002,nrES_Att,2,nrES_Raw,"&gt;=0")&gt;0,IF(IFERROR(_xlfn.MINIFS(nrES_Date,nrES_PID,$D1002,nrES_Code,$F1002,nrES_Att,2,nrES_Raw,"&gt;=0",nrES_Date,"&gt;0"),0)=0,"RETEST UNDATED",IF(NOT(ISNUMBER($T1002)),"RETEST DATE UNCHECKED",IF(_xlfn.MINIFS(nrES_Date,nrES_PID,$D1002,nrES_Code,$F1002,nrES_Att,2,nrES_Raw,"&gt;=0",nrES_Date,"&gt;0")&gt;$T1002,"LATE RETEST "&amp;TEXT(_xlfn.MINIFS(nrES_Date,nrES_PID,$D1002,nrES_Code,$F1002,nrES_Att,2,nrES_Raw,"&gt;=0",nrES_Date,"&gt;0"),"mm/dd")&amp;" (due "&amp;TEXT($T1002,"mm/dd")&amp;")","Retested"))),IF(NOT(ISNUMBER($T1002)),"CHECK DATE",IF(TODAY()&gt;$T1002,"OVERDUE","Due "&amp;TEXT($T1002,"mm/dd")))))))</f>
        <v/>
      </c>
      <c r="V1002" s="16" t="n"/>
      <c r="W1002" s="16" t="n"/>
      <c r="X1002" s="17">
        <f>IF($C1002="","",IF(AND($L1002&lt;&gt;"",NOT(ISNUMBER($L1002))),"RAW SCORE NOT A NUMBER",IF(AND(ISNUMBER($L1002),OR($L1002&lt;0,$L1002&gt;100)),"RAW SCORE OUT OF RANGE",IF(AND($Y1002="Unexcused",OR($L1002="",NOT(ISNUMBER($L1002)),$L1002&lt;&gt;0)),"UNEXCUSED ABSENCE MUST RECORD 0",IF(COUNTIF(nrES_RecID,$B1002)&gt;1,"DUPLICATE RECORD",IF(N($K1002)&gt;2,"ATTEMPT 3+ NOT ALLOWED - policy 300.5 permits one retest per exam; this row records nothing",IF(AND($K1002=2,COUNTIFS(nrES_PID,$D1002,nrES_Code,$F1002,nrES_Att,1)=0),"ATTEMPT 2 WITHOUT ATTEMPT 1",IF(AND($K1002=2,$L1002=""),"RETEST ROW HAS NO SCORE",IF(AND($H1002="Final",$L1002&lt;&gt;"",IFERROR(INDEX(nrCKfinalExamElig,MATCH($D1002,rngCadetPIDs,0)),"")="No"),"FINAL EXAM AFTER FAILED FINAL PT (500.1.H)",IF(AND($K1002=2,ISNUMBER($L1002),COUNTIFS(nrES_PID,$D1002,nrES_Code,$F1002,nrES_Att,1)&gt;0,SUMIFS(nrES_Raw,nrES_PID,$D1002,nrES_Code,$F1002,nrES_Att,1)&gt;=$J1002),"RETEST AFTER A PASSING FIRST ATTEMPT","OK"))))))))))</f>
        <v/>
      </c>
      <c r="Y1002" s="16" t="n"/>
    </row>
    <row r="1003">
      <c r="B1003" s="17">
        <f>IF($C1003="","",$D1003&amp;"-"&amp;$F1003&amp;"-"&amp;$K1003)</f>
        <v/>
      </c>
      <c r="C1003" s="16" t="n"/>
      <c r="D1003" s="17">
        <f>IF($C1003="","",IFERROR(INDEX(rngCadetPIDs,MATCH($C1003,rngCadetNames,0)),"?"))</f>
        <v/>
      </c>
      <c r="E1003" s="17">
        <f>IF($D1003="","",IFERROR(INDEX(nrCadetAgency,MATCH($D1003,rngCadetPIDs,0)),""))</f>
        <v/>
      </c>
      <c r="F1003" s="16" t="n"/>
      <c r="G1003" s="17">
        <f>IF($F1003="","",IFERROR(INDEX(rngEPname,MATCH($F1003,rngEPcode,0)),"?"))</f>
        <v/>
      </c>
      <c r="H1003" s="17">
        <f>IF($F1003="","",IFERROR(INDEX(rngEPtype,MATCH($F1003,rngEPcode,0)),"?"))</f>
        <v/>
      </c>
      <c r="I1003" s="17">
        <f>IF($F1003="","",IFERROR(INDEX(rngEPseq,MATCH($F1003,rngEPcode,0)),""))</f>
        <v/>
      </c>
      <c r="J1003" s="17">
        <f>IF($F1003="","",IFERROR(INDEX(rngEPpass,MATCH($F1003,rngEPcode,0)),cfgPassingScore))</f>
        <v/>
      </c>
      <c r="K1003" s="16" t="n"/>
      <c r="L1003" s="16" t="n"/>
      <c r="M1003" s="17">
        <f>IF($C1003="","",IF($L1003="","",IF(NOT(ISNUMBER($L1003)),$L1003,IF(N($K1003)&gt;2,"",IF($K1003=1,IF(COUNTIFS(nrES_PID,$D1003,nrES_Code,$F1003,nrES_Att,2,nrES_Raw,"&gt;=0")&gt;0,"",$L1003),IF($L1003&gt;=$J1003,MAX($J1003,cfgRetakeRecordedCap),IF(COUNTIFS(nrES_PID,$D1003,nrES_Code,$F1003,nrES_Att,1)=0,$L1003,SUMIFS(nrES_Raw,nrES_PID,$D1003,nrES_Code,$F1003,nrES_Att,1))))))))</f>
        <v/>
      </c>
      <c r="N1003" s="17">
        <f>IF($C1003="","",IF($L1003="","",IF(NOT(ISNUMBER($L1003)),"(not a score)",IF($L1003&gt;=$J1003,"Yes","No"))))</f>
        <v/>
      </c>
      <c r="O1003" s="17">
        <f>IF($C1003="","",IF($M1003="","",IF(NOT(ISNUMBER($M1003)),"(not a score)",IF($M1003&gt;=$J1003,"Yes","No"))))</f>
        <v/>
      </c>
      <c r="P1003" s="17">
        <f>IF($C1003="","",IF($K1003="","",IF(N($K1003)&gt;2,"No",IF(COUNTIFS(nrES_PID,$D1003,nrES_Code,$F1003,nrES_Att,"&gt;"&amp;$K1003,nrES_Att,"&lt;=2",nrES_Raw,"&gt;=0")=0,"Yes","No"))))</f>
        <v/>
      </c>
      <c r="Q1003" s="17">
        <f>IF($C1003="","",IF($L1003="","",IF(AND($K1003=1,ISNUMBER($L1003),$L1003&lt;$J1003,COUNTIFS(nrES_PID,$D1003,nrES_Code,$F1003,nrES_Att,2,nrES_Raw,"&gt;=0")=0),"Yes","No")))</f>
        <v/>
      </c>
      <c r="R1003" s="17">
        <f>IF($C1003="","",IF($L1003="","",IF(AND(N($K1003)&gt;=2,ISNUMBER($L1003),$L1003&lt;$J1003),"Yes","No")))</f>
        <v/>
      </c>
      <c r="S1003" s="18" t="n"/>
      <c r="T1003" s="19">
        <f>IF(OR($C1003="",$L1003="",$K1003&lt;&gt;1,NOT(ISNUMBER($L1003)),$L1003&gt;=$J1003),"",IF($S1003="","(enter date)",_xlfn.LET(_xlpm.dn,_xlfn.XLOOKUP($S1003,nrCDdate,nrCDnum,"",1),IF(_xlpm.dn="","(after last class day)",_xlfn.LET(_xlpm.dd,_xlfn.XLOOKUP(_xlpm.dn+cfgRetestClassDays,nrCDnum,nrCDdate,""),_xlpm.ok,_xlfn.XLOOKUP(_xlpm.dn+cfgRetestClassDays,nrCDnum,nrCDinsession,"No"),IF(OR(_xlpm.dd="",_xlpm.ok&lt;&gt;"Yes"),"(after last class day)",_xlpm.dd))))))</f>
        <v/>
      </c>
      <c r="U1003" s="17">
        <f>IF($C1003="","",IF(AND($Y1003="Excused",$L1003="",N($K1003)&lt;=1),"EXCUSED - 1st attempt pending",IF(OR($L1003="",$K1003&lt;&gt;1,NOT(ISNUMBER($L1003)),$L1003&gt;=$J1003),"",IF(COUNTIFS(nrES_PID,$D1003,nrES_Code,$F1003,nrES_Att,2,nrES_Raw,"&gt;=0")&gt;0,IF(IFERROR(_xlfn.MINIFS(nrES_Date,nrES_PID,$D1003,nrES_Code,$F1003,nrES_Att,2,nrES_Raw,"&gt;=0",nrES_Date,"&gt;0"),0)=0,"RETEST UNDATED",IF(NOT(ISNUMBER($T1003)),"RETEST DATE UNCHECKED",IF(_xlfn.MINIFS(nrES_Date,nrES_PID,$D1003,nrES_Code,$F1003,nrES_Att,2,nrES_Raw,"&gt;=0",nrES_Date,"&gt;0")&gt;$T1003,"LATE RETEST "&amp;TEXT(_xlfn.MINIFS(nrES_Date,nrES_PID,$D1003,nrES_Code,$F1003,nrES_Att,2,nrES_Raw,"&gt;=0",nrES_Date,"&gt;0"),"mm/dd")&amp;" (due "&amp;TEXT($T1003,"mm/dd")&amp;")","Retested"))),IF(NOT(ISNUMBER($T1003)),"CHECK DATE",IF(TODAY()&gt;$T1003,"OVERDUE","Due "&amp;TEXT($T1003,"mm/dd")))))))</f>
        <v/>
      </c>
      <c r="V1003" s="16" t="n"/>
      <c r="W1003" s="16" t="n"/>
      <c r="X1003" s="17">
        <f>IF($C1003="","",IF(AND($L1003&lt;&gt;"",NOT(ISNUMBER($L1003))),"RAW SCORE NOT A NUMBER",IF(AND(ISNUMBER($L1003),OR($L1003&lt;0,$L1003&gt;100)),"RAW SCORE OUT OF RANGE",IF(AND($Y1003="Unexcused",OR($L1003="",NOT(ISNUMBER($L1003)),$L1003&lt;&gt;0)),"UNEXCUSED ABSENCE MUST RECORD 0",IF(COUNTIF(nrES_RecID,$B1003)&gt;1,"DUPLICATE RECORD",IF(N($K1003)&gt;2,"ATTEMPT 3+ NOT ALLOWED - policy 300.5 permits one retest per exam; this row records nothing",IF(AND($K1003=2,COUNTIFS(nrES_PID,$D1003,nrES_Code,$F1003,nrES_Att,1)=0),"ATTEMPT 2 WITHOUT ATTEMPT 1",IF(AND($K1003=2,$L1003=""),"RETEST ROW HAS NO SCORE",IF(AND($H1003="Final",$L1003&lt;&gt;"",IFERROR(INDEX(nrCKfinalExamElig,MATCH($D1003,rngCadetPIDs,0)),"")="No"),"FINAL EXAM AFTER FAILED FINAL PT (500.1.H)",IF(AND($K1003=2,ISNUMBER($L1003),COUNTIFS(nrES_PID,$D1003,nrES_Code,$F1003,nrES_Att,1)&gt;0,SUMIFS(nrES_Raw,nrES_PID,$D1003,nrES_Code,$F1003,nrES_Att,1)&gt;=$J1003),"RETEST AFTER A PASSING FIRST ATTEMPT","OK"))))))))))</f>
        <v/>
      </c>
      <c r="Y1003" s="16" t="n"/>
    </row>
    <row r="1004">
      <c r="B1004" s="17">
        <f>IF($C1004="","",$D1004&amp;"-"&amp;$F1004&amp;"-"&amp;$K1004)</f>
        <v/>
      </c>
      <c r="C1004" s="16" t="n"/>
      <c r="D1004" s="17">
        <f>IF($C1004="","",IFERROR(INDEX(rngCadetPIDs,MATCH($C1004,rngCadetNames,0)),"?"))</f>
        <v/>
      </c>
      <c r="E1004" s="17">
        <f>IF($D1004="","",IFERROR(INDEX(nrCadetAgency,MATCH($D1004,rngCadetPIDs,0)),""))</f>
        <v/>
      </c>
      <c r="F1004" s="16" t="n"/>
      <c r="G1004" s="17">
        <f>IF($F1004="","",IFERROR(INDEX(rngEPname,MATCH($F1004,rngEPcode,0)),"?"))</f>
        <v/>
      </c>
      <c r="H1004" s="17">
        <f>IF($F1004="","",IFERROR(INDEX(rngEPtype,MATCH($F1004,rngEPcode,0)),"?"))</f>
        <v/>
      </c>
      <c r="I1004" s="17">
        <f>IF($F1004="","",IFERROR(INDEX(rngEPseq,MATCH($F1004,rngEPcode,0)),""))</f>
        <v/>
      </c>
      <c r="J1004" s="17">
        <f>IF($F1004="","",IFERROR(INDEX(rngEPpass,MATCH($F1004,rngEPcode,0)),cfgPassingScore))</f>
        <v/>
      </c>
      <c r="K1004" s="16" t="n"/>
      <c r="L1004" s="16" t="n"/>
      <c r="M1004" s="17">
        <f>IF($C1004="","",IF($L1004="","",IF(NOT(ISNUMBER($L1004)),$L1004,IF(N($K1004)&gt;2,"",IF($K1004=1,IF(COUNTIFS(nrES_PID,$D1004,nrES_Code,$F1004,nrES_Att,2,nrES_Raw,"&gt;=0")&gt;0,"",$L1004),IF($L1004&gt;=$J1004,MAX($J1004,cfgRetakeRecordedCap),IF(COUNTIFS(nrES_PID,$D1004,nrES_Code,$F1004,nrES_Att,1)=0,$L1004,SUMIFS(nrES_Raw,nrES_PID,$D1004,nrES_Code,$F1004,nrES_Att,1))))))))</f>
        <v/>
      </c>
      <c r="N1004" s="17">
        <f>IF($C1004="","",IF($L1004="","",IF(NOT(ISNUMBER($L1004)),"(not a score)",IF($L1004&gt;=$J1004,"Yes","No"))))</f>
        <v/>
      </c>
      <c r="O1004" s="17">
        <f>IF($C1004="","",IF($M1004="","",IF(NOT(ISNUMBER($M1004)),"(not a score)",IF($M1004&gt;=$J1004,"Yes","No"))))</f>
        <v/>
      </c>
      <c r="P1004" s="17">
        <f>IF($C1004="","",IF($K1004="","",IF(N($K1004)&gt;2,"No",IF(COUNTIFS(nrES_PID,$D1004,nrES_Code,$F1004,nrES_Att,"&gt;"&amp;$K1004,nrES_Att,"&lt;=2",nrES_Raw,"&gt;=0")=0,"Yes","No"))))</f>
        <v/>
      </c>
      <c r="Q1004" s="17">
        <f>IF($C1004="","",IF($L1004="","",IF(AND($K1004=1,ISNUMBER($L1004),$L1004&lt;$J1004,COUNTIFS(nrES_PID,$D1004,nrES_Code,$F1004,nrES_Att,2,nrES_Raw,"&gt;=0")=0),"Yes","No")))</f>
        <v/>
      </c>
      <c r="R1004" s="17">
        <f>IF($C1004="","",IF($L1004="","",IF(AND(N($K1004)&gt;=2,ISNUMBER($L1004),$L1004&lt;$J1004),"Yes","No")))</f>
        <v/>
      </c>
      <c r="S1004" s="18" t="n"/>
      <c r="T1004" s="19">
        <f>IF(OR($C1004="",$L1004="",$K1004&lt;&gt;1,NOT(ISNUMBER($L1004)),$L1004&gt;=$J1004),"",IF($S1004="","(enter date)",_xlfn.LET(_xlpm.dn,_xlfn.XLOOKUP($S1004,nrCDdate,nrCDnum,"",1),IF(_xlpm.dn="","(after last class day)",_xlfn.LET(_xlpm.dd,_xlfn.XLOOKUP(_xlpm.dn+cfgRetestClassDays,nrCDnum,nrCDdate,""),_xlpm.ok,_xlfn.XLOOKUP(_xlpm.dn+cfgRetestClassDays,nrCDnum,nrCDinsession,"No"),IF(OR(_xlpm.dd="",_xlpm.ok&lt;&gt;"Yes"),"(after last class day)",_xlpm.dd))))))</f>
        <v/>
      </c>
      <c r="U1004" s="17">
        <f>IF($C1004="","",IF(AND($Y1004="Excused",$L1004="",N($K1004)&lt;=1),"EXCUSED - 1st attempt pending",IF(OR($L1004="",$K1004&lt;&gt;1,NOT(ISNUMBER($L1004)),$L1004&gt;=$J1004),"",IF(COUNTIFS(nrES_PID,$D1004,nrES_Code,$F1004,nrES_Att,2,nrES_Raw,"&gt;=0")&gt;0,IF(IFERROR(_xlfn.MINIFS(nrES_Date,nrES_PID,$D1004,nrES_Code,$F1004,nrES_Att,2,nrES_Raw,"&gt;=0",nrES_Date,"&gt;0"),0)=0,"RETEST UNDATED",IF(NOT(ISNUMBER($T1004)),"RETEST DATE UNCHECKED",IF(_xlfn.MINIFS(nrES_Date,nrES_PID,$D1004,nrES_Code,$F1004,nrES_Att,2,nrES_Raw,"&gt;=0",nrES_Date,"&gt;0")&gt;$T1004,"LATE RETEST "&amp;TEXT(_xlfn.MINIFS(nrES_Date,nrES_PID,$D1004,nrES_Code,$F1004,nrES_Att,2,nrES_Raw,"&gt;=0",nrES_Date,"&gt;0"),"mm/dd")&amp;" (due "&amp;TEXT($T1004,"mm/dd")&amp;")","Retested"))),IF(NOT(ISNUMBER($T1004)),"CHECK DATE",IF(TODAY()&gt;$T1004,"OVERDUE","Due "&amp;TEXT($T1004,"mm/dd")))))))</f>
        <v/>
      </c>
      <c r="V1004" s="16" t="n"/>
      <c r="W1004" s="16" t="n"/>
      <c r="X1004" s="17">
        <f>IF($C1004="","",IF(AND($L1004&lt;&gt;"",NOT(ISNUMBER($L1004))),"RAW SCORE NOT A NUMBER",IF(AND(ISNUMBER($L1004),OR($L1004&lt;0,$L1004&gt;100)),"RAW SCORE OUT OF RANGE",IF(AND($Y1004="Unexcused",OR($L1004="",NOT(ISNUMBER($L1004)),$L1004&lt;&gt;0)),"UNEXCUSED ABSENCE MUST RECORD 0",IF(COUNTIF(nrES_RecID,$B1004)&gt;1,"DUPLICATE RECORD",IF(N($K1004)&gt;2,"ATTEMPT 3+ NOT ALLOWED - policy 300.5 permits one retest per exam; this row records nothing",IF(AND($K1004=2,COUNTIFS(nrES_PID,$D1004,nrES_Code,$F1004,nrES_Att,1)=0),"ATTEMPT 2 WITHOUT ATTEMPT 1",IF(AND($K1004=2,$L1004=""),"RETEST ROW HAS NO SCORE",IF(AND($H1004="Final",$L1004&lt;&gt;"",IFERROR(INDEX(nrCKfinalExamElig,MATCH($D1004,rngCadetPIDs,0)),"")="No"),"FINAL EXAM AFTER FAILED FINAL PT (500.1.H)",IF(AND($K1004=2,ISNUMBER($L1004),COUNTIFS(nrES_PID,$D1004,nrES_Code,$F1004,nrES_Att,1)&gt;0,SUMIFS(nrES_Raw,nrES_PID,$D1004,nrES_Code,$F1004,nrES_Att,1)&gt;=$J1004),"RETEST AFTER A PASSING FIRST ATTEMPT","OK"))))))))))</f>
        <v/>
      </c>
      <c r="Y1004" s="16" t="n"/>
    </row>
    <row r="1005">
      <c r="B1005" s="17">
        <f>IF($C1005="","",$D1005&amp;"-"&amp;$F1005&amp;"-"&amp;$K1005)</f>
        <v/>
      </c>
      <c r="C1005" s="16" t="n"/>
      <c r="D1005" s="17">
        <f>IF($C1005="","",IFERROR(INDEX(rngCadetPIDs,MATCH($C1005,rngCadetNames,0)),"?"))</f>
        <v/>
      </c>
      <c r="E1005" s="17">
        <f>IF($D1005="","",IFERROR(INDEX(nrCadetAgency,MATCH($D1005,rngCadetPIDs,0)),""))</f>
        <v/>
      </c>
      <c r="F1005" s="16" t="n"/>
      <c r="G1005" s="17">
        <f>IF($F1005="","",IFERROR(INDEX(rngEPname,MATCH($F1005,rngEPcode,0)),"?"))</f>
        <v/>
      </c>
      <c r="H1005" s="17">
        <f>IF($F1005="","",IFERROR(INDEX(rngEPtype,MATCH($F1005,rngEPcode,0)),"?"))</f>
        <v/>
      </c>
      <c r="I1005" s="17">
        <f>IF($F1005="","",IFERROR(INDEX(rngEPseq,MATCH($F1005,rngEPcode,0)),""))</f>
        <v/>
      </c>
      <c r="J1005" s="17">
        <f>IF($F1005="","",IFERROR(INDEX(rngEPpass,MATCH($F1005,rngEPcode,0)),cfgPassingScore))</f>
        <v/>
      </c>
      <c r="K1005" s="16" t="n"/>
      <c r="L1005" s="16" t="n"/>
      <c r="M1005" s="17">
        <f>IF($C1005="","",IF($L1005="","",IF(NOT(ISNUMBER($L1005)),$L1005,IF(N($K1005)&gt;2,"",IF($K1005=1,IF(COUNTIFS(nrES_PID,$D1005,nrES_Code,$F1005,nrES_Att,2,nrES_Raw,"&gt;=0")&gt;0,"",$L1005),IF($L1005&gt;=$J1005,MAX($J1005,cfgRetakeRecordedCap),IF(COUNTIFS(nrES_PID,$D1005,nrES_Code,$F1005,nrES_Att,1)=0,$L1005,SUMIFS(nrES_Raw,nrES_PID,$D1005,nrES_Code,$F1005,nrES_Att,1))))))))</f>
        <v/>
      </c>
      <c r="N1005" s="17">
        <f>IF($C1005="","",IF($L1005="","",IF(NOT(ISNUMBER($L1005)),"(not a score)",IF($L1005&gt;=$J1005,"Yes","No"))))</f>
        <v/>
      </c>
      <c r="O1005" s="17">
        <f>IF($C1005="","",IF($M1005="","",IF(NOT(ISNUMBER($M1005)),"(not a score)",IF($M1005&gt;=$J1005,"Yes","No"))))</f>
        <v/>
      </c>
      <c r="P1005" s="17">
        <f>IF($C1005="","",IF($K1005="","",IF(N($K1005)&gt;2,"No",IF(COUNTIFS(nrES_PID,$D1005,nrES_Code,$F1005,nrES_Att,"&gt;"&amp;$K1005,nrES_Att,"&lt;=2",nrES_Raw,"&gt;=0")=0,"Yes","No"))))</f>
        <v/>
      </c>
      <c r="Q1005" s="17">
        <f>IF($C1005="","",IF($L1005="","",IF(AND($K1005=1,ISNUMBER($L1005),$L1005&lt;$J1005,COUNTIFS(nrES_PID,$D1005,nrES_Code,$F1005,nrES_Att,2,nrES_Raw,"&gt;=0")=0),"Yes","No")))</f>
        <v/>
      </c>
      <c r="R1005" s="17">
        <f>IF($C1005="","",IF($L1005="","",IF(AND(N($K1005)&gt;=2,ISNUMBER($L1005),$L1005&lt;$J1005),"Yes","No")))</f>
        <v/>
      </c>
      <c r="S1005" s="18" t="n"/>
      <c r="T1005" s="19">
        <f>IF(OR($C1005="",$L1005="",$K1005&lt;&gt;1,NOT(ISNUMBER($L1005)),$L1005&gt;=$J1005),"",IF($S1005="","(enter date)",_xlfn.LET(_xlpm.dn,_xlfn.XLOOKUP($S1005,nrCDdate,nrCDnum,"",1),IF(_xlpm.dn="","(after last class day)",_xlfn.LET(_xlpm.dd,_xlfn.XLOOKUP(_xlpm.dn+cfgRetestClassDays,nrCDnum,nrCDdate,""),_xlpm.ok,_xlfn.XLOOKUP(_xlpm.dn+cfgRetestClassDays,nrCDnum,nrCDinsession,"No"),IF(OR(_xlpm.dd="",_xlpm.ok&lt;&gt;"Yes"),"(after last class day)",_xlpm.dd))))))</f>
        <v/>
      </c>
      <c r="U1005" s="17">
        <f>IF($C1005="","",IF(AND($Y1005="Excused",$L1005="",N($K1005)&lt;=1),"EXCUSED - 1st attempt pending",IF(OR($L1005="",$K1005&lt;&gt;1,NOT(ISNUMBER($L1005)),$L1005&gt;=$J1005),"",IF(COUNTIFS(nrES_PID,$D1005,nrES_Code,$F1005,nrES_Att,2,nrES_Raw,"&gt;=0")&gt;0,IF(IFERROR(_xlfn.MINIFS(nrES_Date,nrES_PID,$D1005,nrES_Code,$F1005,nrES_Att,2,nrES_Raw,"&gt;=0",nrES_Date,"&gt;0"),0)=0,"RETEST UNDATED",IF(NOT(ISNUMBER($T1005)),"RETEST DATE UNCHECKED",IF(_xlfn.MINIFS(nrES_Date,nrES_PID,$D1005,nrES_Code,$F1005,nrES_Att,2,nrES_Raw,"&gt;=0",nrES_Date,"&gt;0")&gt;$T1005,"LATE RETEST "&amp;TEXT(_xlfn.MINIFS(nrES_Date,nrES_PID,$D1005,nrES_Code,$F1005,nrES_Att,2,nrES_Raw,"&gt;=0",nrES_Date,"&gt;0"),"mm/dd")&amp;" (due "&amp;TEXT($T1005,"mm/dd")&amp;")","Retested"))),IF(NOT(ISNUMBER($T1005)),"CHECK DATE",IF(TODAY()&gt;$T1005,"OVERDUE","Due "&amp;TEXT($T1005,"mm/dd")))))))</f>
        <v/>
      </c>
      <c r="V1005" s="16" t="n"/>
      <c r="W1005" s="16" t="n"/>
      <c r="X1005" s="17">
        <f>IF($C1005="","",IF(AND($L1005&lt;&gt;"",NOT(ISNUMBER($L1005))),"RAW SCORE NOT A NUMBER",IF(AND(ISNUMBER($L1005),OR($L1005&lt;0,$L1005&gt;100)),"RAW SCORE OUT OF RANGE",IF(AND($Y1005="Unexcused",OR($L1005="",NOT(ISNUMBER($L1005)),$L1005&lt;&gt;0)),"UNEXCUSED ABSENCE MUST RECORD 0",IF(COUNTIF(nrES_RecID,$B1005)&gt;1,"DUPLICATE RECORD",IF(N($K1005)&gt;2,"ATTEMPT 3+ NOT ALLOWED - policy 300.5 permits one retest per exam; this row records nothing",IF(AND($K1005=2,COUNTIFS(nrES_PID,$D1005,nrES_Code,$F1005,nrES_Att,1)=0),"ATTEMPT 2 WITHOUT ATTEMPT 1",IF(AND($K1005=2,$L1005=""),"RETEST ROW HAS NO SCORE",IF(AND($H1005="Final",$L1005&lt;&gt;"",IFERROR(INDEX(nrCKfinalExamElig,MATCH($D1005,rngCadetPIDs,0)),"")="No"),"FINAL EXAM AFTER FAILED FINAL PT (500.1.H)",IF(AND($K1005=2,ISNUMBER($L1005),COUNTIFS(nrES_PID,$D1005,nrES_Code,$F1005,nrES_Att,1)&gt;0,SUMIFS(nrES_Raw,nrES_PID,$D1005,nrES_Code,$F1005,nrES_Att,1)&gt;=$J1005),"RETEST AFTER A PASSING FIRST ATTEMPT","OK"))))))))))</f>
        <v/>
      </c>
      <c r="Y1005" s="16" t="n"/>
    </row>
    <row r="1006">
      <c r="B1006" s="17">
        <f>IF($C1006="","",$D1006&amp;"-"&amp;$F1006&amp;"-"&amp;$K1006)</f>
        <v/>
      </c>
      <c r="C1006" s="16" t="n"/>
      <c r="D1006" s="17">
        <f>IF($C1006="","",IFERROR(INDEX(rngCadetPIDs,MATCH($C1006,rngCadetNames,0)),"?"))</f>
        <v/>
      </c>
      <c r="E1006" s="17">
        <f>IF($D1006="","",IFERROR(INDEX(nrCadetAgency,MATCH($D1006,rngCadetPIDs,0)),""))</f>
        <v/>
      </c>
      <c r="F1006" s="16" t="n"/>
      <c r="G1006" s="17">
        <f>IF($F1006="","",IFERROR(INDEX(rngEPname,MATCH($F1006,rngEPcode,0)),"?"))</f>
        <v/>
      </c>
      <c r="H1006" s="17">
        <f>IF($F1006="","",IFERROR(INDEX(rngEPtype,MATCH($F1006,rngEPcode,0)),"?"))</f>
        <v/>
      </c>
      <c r="I1006" s="17">
        <f>IF($F1006="","",IFERROR(INDEX(rngEPseq,MATCH($F1006,rngEPcode,0)),""))</f>
        <v/>
      </c>
      <c r="J1006" s="17">
        <f>IF($F1006="","",IFERROR(INDEX(rngEPpass,MATCH($F1006,rngEPcode,0)),cfgPassingScore))</f>
        <v/>
      </c>
      <c r="K1006" s="16" t="n"/>
      <c r="L1006" s="16" t="n"/>
      <c r="M1006" s="17">
        <f>IF($C1006="","",IF($L1006="","",IF(NOT(ISNUMBER($L1006)),$L1006,IF(N($K1006)&gt;2,"",IF($K1006=1,IF(COUNTIFS(nrES_PID,$D1006,nrES_Code,$F1006,nrES_Att,2,nrES_Raw,"&gt;=0")&gt;0,"",$L1006),IF($L1006&gt;=$J1006,MAX($J1006,cfgRetakeRecordedCap),IF(COUNTIFS(nrES_PID,$D1006,nrES_Code,$F1006,nrES_Att,1)=0,$L1006,SUMIFS(nrES_Raw,nrES_PID,$D1006,nrES_Code,$F1006,nrES_Att,1))))))))</f>
        <v/>
      </c>
      <c r="N1006" s="17">
        <f>IF($C1006="","",IF($L1006="","",IF(NOT(ISNUMBER($L1006)),"(not a score)",IF($L1006&gt;=$J1006,"Yes","No"))))</f>
        <v/>
      </c>
      <c r="O1006" s="17">
        <f>IF($C1006="","",IF($M1006="","",IF(NOT(ISNUMBER($M1006)),"(not a score)",IF($M1006&gt;=$J1006,"Yes","No"))))</f>
        <v/>
      </c>
      <c r="P1006" s="17">
        <f>IF($C1006="","",IF($K1006="","",IF(N($K1006)&gt;2,"No",IF(COUNTIFS(nrES_PID,$D1006,nrES_Code,$F1006,nrES_Att,"&gt;"&amp;$K1006,nrES_Att,"&lt;=2",nrES_Raw,"&gt;=0")=0,"Yes","No"))))</f>
        <v/>
      </c>
      <c r="Q1006" s="17">
        <f>IF($C1006="","",IF($L1006="","",IF(AND($K1006=1,ISNUMBER($L1006),$L1006&lt;$J1006,COUNTIFS(nrES_PID,$D1006,nrES_Code,$F1006,nrES_Att,2,nrES_Raw,"&gt;=0")=0),"Yes","No")))</f>
        <v/>
      </c>
      <c r="R1006" s="17">
        <f>IF($C1006="","",IF($L1006="","",IF(AND(N($K1006)&gt;=2,ISNUMBER($L1006),$L1006&lt;$J1006),"Yes","No")))</f>
        <v/>
      </c>
      <c r="S1006" s="18" t="n"/>
      <c r="T1006" s="19">
        <f>IF(OR($C1006="",$L1006="",$K1006&lt;&gt;1,NOT(ISNUMBER($L1006)),$L1006&gt;=$J1006),"",IF($S1006="","(enter date)",_xlfn.LET(_xlpm.dn,_xlfn.XLOOKUP($S1006,nrCDdate,nrCDnum,"",1),IF(_xlpm.dn="","(after last class day)",_xlfn.LET(_xlpm.dd,_xlfn.XLOOKUP(_xlpm.dn+cfgRetestClassDays,nrCDnum,nrCDdate,""),_xlpm.ok,_xlfn.XLOOKUP(_xlpm.dn+cfgRetestClassDays,nrCDnum,nrCDinsession,"No"),IF(OR(_xlpm.dd="",_xlpm.ok&lt;&gt;"Yes"),"(after last class day)",_xlpm.dd))))))</f>
        <v/>
      </c>
      <c r="U1006" s="17">
        <f>IF($C1006="","",IF(AND($Y1006="Excused",$L1006="",N($K1006)&lt;=1),"EXCUSED - 1st attempt pending",IF(OR($L1006="",$K1006&lt;&gt;1,NOT(ISNUMBER($L1006)),$L1006&gt;=$J1006),"",IF(COUNTIFS(nrES_PID,$D1006,nrES_Code,$F1006,nrES_Att,2,nrES_Raw,"&gt;=0")&gt;0,IF(IFERROR(_xlfn.MINIFS(nrES_Date,nrES_PID,$D1006,nrES_Code,$F1006,nrES_Att,2,nrES_Raw,"&gt;=0",nrES_Date,"&gt;0"),0)=0,"RETEST UNDATED",IF(NOT(ISNUMBER($T1006)),"RETEST DATE UNCHECKED",IF(_xlfn.MINIFS(nrES_Date,nrES_PID,$D1006,nrES_Code,$F1006,nrES_Att,2,nrES_Raw,"&gt;=0",nrES_Date,"&gt;0")&gt;$T1006,"LATE RETEST "&amp;TEXT(_xlfn.MINIFS(nrES_Date,nrES_PID,$D1006,nrES_Code,$F1006,nrES_Att,2,nrES_Raw,"&gt;=0",nrES_Date,"&gt;0"),"mm/dd")&amp;" (due "&amp;TEXT($T1006,"mm/dd")&amp;")","Retested"))),IF(NOT(ISNUMBER($T1006)),"CHECK DATE",IF(TODAY()&gt;$T1006,"OVERDUE","Due "&amp;TEXT($T1006,"mm/dd")))))))</f>
        <v/>
      </c>
      <c r="V1006" s="16" t="n"/>
      <c r="W1006" s="16" t="n"/>
      <c r="X1006" s="17">
        <f>IF($C1006="","",IF(AND($L1006&lt;&gt;"",NOT(ISNUMBER($L1006))),"RAW SCORE NOT A NUMBER",IF(AND(ISNUMBER($L1006),OR($L1006&lt;0,$L1006&gt;100)),"RAW SCORE OUT OF RANGE",IF(AND($Y1006="Unexcused",OR($L1006="",NOT(ISNUMBER($L1006)),$L1006&lt;&gt;0)),"UNEXCUSED ABSENCE MUST RECORD 0",IF(COUNTIF(nrES_RecID,$B1006)&gt;1,"DUPLICATE RECORD",IF(N($K1006)&gt;2,"ATTEMPT 3+ NOT ALLOWED - policy 300.5 permits one retest per exam; this row records nothing",IF(AND($K1006=2,COUNTIFS(nrES_PID,$D1006,nrES_Code,$F1006,nrES_Att,1)=0),"ATTEMPT 2 WITHOUT ATTEMPT 1",IF(AND($K1006=2,$L1006=""),"RETEST ROW HAS NO SCORE",IF(AND($H1006="Final",$L1006&lt;&gt;"",IFERROR(INDEX(nrCKfinalExamElig,MATCH($D1006,rngCadetPIDs,0)),"")="No"),"FINAL EXAM AFTER FAILED FINAL PT (500.1.H)",IF(AND($K1006=2,ISNUMBER($L1006),COUNTIFS(nrES_PID,$D1006,nrES_Code,$F1006,nrES_Att,1)&gt;0,SUMIFS(nrES_Raw,nrES_PID,$D1006,nrES_Code,$F1006,nrES_Att,1)&gt;=$J1006),"RETEST AFTER A PASSING FIRST ATTEMPT","OK"))))))))))</f>
        <v/>
      </c>
      <c r="Y1006" s="16" t="n"/>
    </row>
    <row r="1007">
      <c r="B1007" s="17">
        <f>IF($C1007="","",$D1007&amp;"-"&amp;$F1007&amp;"-"&amp;$K1007)</f>
        <v/>
      </c>
      <c r="C1007" s="16" t="n"/>
      <c r="D1007" s="17">
        <f>IF($C1007="","",IFERROR(INDEX(rngCadetPIDs,MATCH($C1007,rngCadetNames,0)),"?"))</f>
        <v/>
      </c>
      <c r="E1007" s="17">
        <f>IF($D1007="","",IFERROR(INDEX(nrCadetAgency,MATCH($D1007,rngCadetPIDs,0)),""))</f>
        <v/>
      </c>
      <c r="F1007" s="16" t="n"/>
      <c r="G1007" s="17">
        <f>IF($F1007="","",IFERROR(INDEX(rngEPname,MATCH($F1007,rngEPcode,0)),"?"))</f>
        <v/>
      </c>
      <c r="H1007" s="17">
        <f>IF($F1007="","",IFERROR(INDEX(rngEPtype,MATCH($F1007,rngEPcode,0)),"?"))</f>
        <v/>
      </c>
      <c r="I1007" s="17">
        <f>IF($F1007="","",IFERROR(INDEX(rngEPseq,MATCH($F1007,rngEPcode,0)),""))</f>
        <v/>
      </c>
      <c r="J1007" s="17">
        <f>IF($F1007="","",IFERROR(INDEX(rngEPpass,MATCH($F1007,rngEPcode,0)),cfgPassingScore))</f>
        <v/>
      </c>
      <c r="K1007" s="16" t="n"/>
      <c r="L1007" s="16" t="n"/>
      <c r="M1007" s="17">
        <f>IF($C1007="","",IF($L1007="","",IF(NOT(ISNUMBER($L1007)),$L1007,IF(N($K1007)&gt;2,"",IF($K1007=1,IF(COUNTIFS(nrES_PID,$D1007,nrES_Code,$F1007,nrES_Att,2,nrES_Raw,"&gt;=0")&gt;0,"",$L1007),IF($L1007&gt;=$J1007,MAX($J1007,cfgRetakeRecordedCap),IF(COUNTIFS(nrES_PID,$D1007,nrES_Code,$F1007,nrES_Att,1)=0,$L1007,SUMIFS(nrES_Raw,nrES_PID,$D1007,nrES_Code,$F1007,nrES_Att,1))))))))</f>
        <v/>
      </c>
      <c r="N1007" s="17">
        <f>IF($C1007="","",IF($L1007="","",IF(NOT(ISNUMBER($L1007)),"(not a score)",IF($L1007&gt;=$J1007,"Yes","No"))))</f>
        <v/>
      </c>
      <c r="O1007" s="17">
        <f>IF($C1007="","",IF($M1007="","",IF(NOT(ISNUMBER($M1007)),"(not a score)",IF($M1007&gt;=$J1007,"Yes","No"))))</f>
        <v/>
      </c>
      <c r="P1007" s="17">
        <f>IF($C1007="","",IF($K1007="","",IF(N($K1007)&gt;2,"No",IF(COUNTIFS(nrES_PID,$D1007,nrES_Code,$F1007,nrES_Att,"&gt;"&amp;$K1007,nrES_Att,"&lt;=2",nrES_Raw,"&gt;=0")=0,"Yes","No"))))</f>
        <v/>
      </c>
      <c r="Q1007" s="17">
        <f>IF($C1007="","",IF($L1007="","",IF(AND($K1007=1,ISNUMBER($L1007),$L1007&lt;$J1007,COUNTIFS(nrES_PID,$D1007,nrES_Code,$F1007,nrES_Att,2,nrES_Raw,"&gt;=0")=0),"Yes","No")))</f>
        <v/>
      </c>
      <c r="R1007" s="17">
        <f>IF($C1007="","",IF($L1007="","",IF(AND(N($K1007)&gt;=2,ISNUMBER($L1007),$L1007&lt;$J1007),"Yes","No")))</f>
        <v/>
      </c>
      <c r="S1007" s="18" t="n"/>
      <c r="T1007" s="19">
        <f>IF(OR($C1007="",$L1007="",$K1007&lt;&gt;1,NOT(ISNUMBER($L1007)),$L1007&gt;=$J1007),"",IF($S1007="","(enter date)",_xlfn.LET(_xlpm.dn,_xlfn.XLOOKUP($S1007,nrCDdate,nrCDnum,"",1),IF(_xlpm.dn="","(after last class day)",_xlfn.LET(_xlpm.dd,_xlfn.XLOOKUP(_xlpm.dn+cfgRetestClassDays,nrCDnum,nrCDdate,""),_xlpm.ok,_xlfn.XLOOKUP(_xlpm.dn+cfgRetestClassDays,nrCDnum,nrCDinsession,"No"),IF(OR(_xlpm.dd="",_xlpm.ok&lt;&gt;"Yes"),"(after last class day)",_xlpm.dd))))))</f>
        <v/>
      </c>
      <c r="U1007" s="17">
        <f>IF($C1007="","",IF(AND($Y1007="Excused",$L1007="",N($K1007)&lt;=1),"EXCUSED - 1st attempt pending",IF(OR($L1007="",$K1007&lt;&gt;1,NOT(ISNUMBER($L1007)),$L1007&gt;=$J1007),"",IF(COUNTIFS(nrES_PID,$D1007,nrES_Code,$F1007,nrES_Att,2,nrES_Raw,"&gt;=0")&gt;0,IF(IFERROR(_xlfn.MINIFS(nrES_Date,nrES_PID,$D1007,nrES_Code,$F1007,nrES_Att,2,nrES_Raw,"&gt;=0",nrES_Date,"&gt;0"),0)=0,"RETEST UNDATED",IF(NOT(ISNUMBER($T1007)),"RETEST DATE UNCHECKED",IF(_xlfn.MINIFS(nrES_Date,nrES_PID,$D1007,nrES_Code,$F1007,nrES_Att,2,nrES_Raw,"&gt;=0",nrES_Date,"&gt;0")&gt;$T1007,"LATE RETEST "&amp;TEXT(_xlfn.MINIFS(nrES_Date,nrES_PID,$D1007,nrES_Code,$F1007,nrES_Att,2,nrES_Raw,"&gt;=0",nrES_Date,"&gt;0"),"mm/dd")&amp;" (due "&amp;TEXT($T1007,"mm/dd")&amp;")","Retested"))),IF(NOT(ISNUMBER($T1007)),"CHECK DATE",IF(TODAY()&gt;$T1007,"OVERDUE","Due "&amp;TEXT($T1007,"mm/dd")))))))</f>
        <v/>
      </c>
      <c r="V1007" s="16" t="n"/>
      <c r="W1007" s="16" t="n"/>
      <c r="X1007" s="17">
        <f>IF($C1007="","",IF(AND($L1007&lt;&gt;"",NOT(ISNUMBER($L1007))),"RAW SCORE NOT A NUMBER",IF(AND(ISNUMBER($L1007),OR($L1007&lt;0,$L1007&gt;100)),"RAW SCORE OUT OF RANGE",IF(AND($Y1007="Unexcused",OR($L1007="",NOT(ISNUMBER($L1007)),$L1007&lt;&gt;0)),"UNEXCUSED ABSENCE MUST RECORD 0",IF(COUNTIF(nrES_RecID,$B1007)&gt;1,"DUPLICATE RECORD",IF(N($K1007)&gt;2,"ATTEMPT 3+ NOT ALLOWED - policy 300.5 permits one retest per exam; this row records nothing",IF(AND($K1007=2,COUNTIFS(nrES_PID,$D1007,nrES_Code,$F1007,nrES_Att,1)=0),"ATTEMPT 2 WITHOUT ATTEMPT 1",IF(AND($K1007=2,$L1007=""),"RETEST ROW HAS NO SCORE",IF(AND($H1007="Final",$L1007&lt;&gt;"",IFERROR(INDEX(nrCKfinalExamElig,MATCH($D1007,rngCadetPIDs,0)),"")="No"),"FINAL EXAM AFTER FAILED FINAL PT (500.1.H)",IF(AND($K1007=2,ISNUMBER($L1007),COUNTIFS(nrES_PID,$D1007,nrES_Code,$F1007,nrES_Att,1)&gt;0,SUMIFS(nrES_Raw,nrES_PID,$D1007,nrES_Code,$F1007,nrES_Att,1)&gt;=$J1007),"RETEST AFTER A PASSING FIRST ATTEMPT","OK"))))))))))</f>
        <v/>
      </c>
      <c r="Y1007" s="16" t="n"/>
    </row>
    <row r="1008">
      <c r="B1008" s="17">
        <f>IF($C1008="","",$D1008&amp;"-"&amp;$F1008&amp;"-"&amp;$K1008)</f>
        <v/>
      </c>
      <c r="C1008" s="16" t="n"/>
      <c r="D1008" s="17">
        <f>IF($C1008="","",IFERROR(INDEX(rngCadetPIDs,MATCH($C1008,rngCadetNames,0)),"?"))</f>
        <v/>
      </c>
      <c r="E1008" s="17">
        <f>IF($D1008="","",IFERROR(INDEX(nrCadetAgency,MATCH($D1008,rngCadetPIDs,0)),""))</f>
        <v/>
      </c>
      <c r="F1008" s="16" t="n"/>
      <c r="G1008" s="17">
        <f>IF($F1008="","",IFERROR(INDEX(rngEPname,MATCH($F1008,rngEPcode,0)),"?"))</f>
        <v/>
      </c>
      <c r="H1008" s="17">
        <f>IF($F1008="","",IFERROR(INDEX(rngEPtype,MATCH($F1008,rngEPcode,0)),"?"))</f>
        <v/>
      </c>
      <c r="I1008" s="17">
        <f>IF($F1008="","",IFERROR(INDEX(rngEPseq,MATCH($F1008,rngEPcode,0)),""))</f>
        <v/>
      </c>
      <c r="J1008" s="17">
        <f>IF($F1008="","",IFERROR(INDEX(rngEPpass,MATCH($F1008,rngEPcode,0)),cfgPassingScore))</f>
        <v/>
      </c>
      <c r="K1008" s="16" t="n"/>
      <c r="L1008" s="16" t="n"/>
      <c r="M1008" s="17">
        <f>IF($C1008="","",IF($L1008="","",IF(NOT(ISNUMBER($L1008)),$L1008,IF(N($K1008)&gt;2,"",IF($K1008=1,IF(COUNTIFS(nrES_PID,$D1008,nrES_Code,$F1008,nrES_Att,2,nrES_Raw,"&gt;=0")&gt;0,"",$L1008),IF($L1008&gt;=$J1008,MAX($J1008,cfgRetakeRecordedCap),IF(COUNTIFS(nrES_PID,$D1008,nrES_Code,$F1008,nrES_Att,1)=0,$L1008,SUMIFS(nrES_Raw,nrES_PID,$D1008,nrES_Code,$F1008,nrES_Att,1))))))))</f>
        <v/>
      </c>
      <c r="N1008" s="17">
        <f>IF($C1008="","",IF($L1008="","",IF(NOT(ISNUMBER($L1008)),"(not a score)",IF($L1008&gt;=$J1008,"Yes","No"))))</f>
        <v/>
      </c>
      <c r="O1008" s="17">
        <f>IF($C1008="","",IF($M1008="","",IF(NOT(ISNUMBER($M1008)),"(not a score)",IF($M1008&gt;=$J1008,"Yes","No"))))</f>
        <v/>
      </c>
      <c r="P1008" s="17">
        <f>IF($C1008="","",IF($K1008="","",IF(N($K1008)&gt;2,"No",IF(COUNTIFS(nrES_PID,$D1008,nrES_Code,$F1008,nrES_Att,"&gt;"&amp;$K1008,nrES_Att,"&lt;=2",nrES_Raw,"&gt;=0")=0,"Yes","No"))))</f>
        <v/>
      </c>
      <c r="Q1008" s="17">
        <f>IF($C1008="","",IF($L1008="","",IF(AND($K1008=1,ISNUMBER($L1008),$L1008&lt;$J1008,COUNTIFS(nrES_PID,$D1008,nrES_Code,$F1008,nrES_Att,2,nrES_Raw,"&gt;=0")=0),"Yes","No")))</f>
        <v/>
      </c>
      <c r="R1008" s="17">
        <f>IF($C1008="","",IF($L1008="","",IF(AND(N($K1008)&gt;=2,ISNUMBER($L1008),$L1008&lt;$J1008),"Yes","No")))</f>
        <v/>
      </c>
      <c r="S1008" s="18" t="n"/>
      <c r="T1008" s="19">
        <f>IF(OR($C1008="",$L1008="",$K1008&lt;&gt;1,NOT(ISNUMBER($L1008)),$L1008&gt;=$J1008),"",IF($S1008="","(enter date)",_xlfn.LET(_xlpm.dn,_xlfn.XLOOKUP($S1008,nrCDdate,nrCDnum,"",1),IF(_xlpm.dn="","(after last class day)",_xlfn.LET(_xlpm.dd,_xlfn.XLOOKUP(_xlpm.dn+cfgRetestClassDays,nrCDnum,nrCDdate,""),_xlpm.ok,_xlfn.XLOOKUP(_xlpm.dn+cfgRetestClassDays,nrCDnum,nrCDinsession,"No"),IF(OR(_xlpm.dd="",_xlpm.ok&lt;&gt;"Yes"),"(after last class day)",_xlpm.dd))))))</f>
        <v/>
      </c>
      <c r="U1008" s="17">
        <f>IF($C1008="","",IF(AND($Y1008="Excused",$L1008="",N($K1008)&lt;=1),"EXCUSED - 1st attempt pending",IF(OR($L1008="",$K1008&lt;&gt;1,NOT(ISNUMBER($L1008)),$L1008&gt;=$J1008),"",IF(COUNTIFS(nrES_PID,$D1008,nrES_Code,$F1008,nrES_Att,2,nrES_Raw,"&gt;=0")&gt;0,IF(IFERROR(_xlfn.MINIFS(nrES_Date,nrES_PID,$D1008,nrES_Code,$F1008,nrES_Att,2,nrES_Raw,"&gt;=0",nrES_Date,"&gt;0"),0)=0,"RETEST UNDATED",IF(NOT(ISNUMBER($T1008)),"RETEST DATE UNCHECKED",IF(_xlfn.MINIFS(nrES_Date,nrES_PID,$D1008,nrES_Code,$F1008,nrES_Att,2,nrES_Raw,"&gt;=0",nrES_Date,"&gt;0")&gt;$T1008,"LATE RETEST "&amp;TEXT(_xlfn.MINIFS(nrES_Date,nrES_PID,$D1008,nrES_Code,$F1008,nrES_Att,2,nrES_Raw,"&gt;=0",nrES_Date,"&gt;0"),"mm/dd")&amp;" (due "&amp;TEXT($T1008,"mm/dd")&amp;")","Retested"))),IF(NOT(ISNUMBER($T1008)),"CHECK DATE",IF(TODAY()&gt;$T1008,"OVERDUE","Due "&amp;TEXT($T1008,"mm/dd")))))))</f>
        <v/>
      </c>
      <c r="V1008" s="16" t="n"/>
      <c r="W1008" s="16" t="n"/>
      <c r="X1008" s="17">
        <f>IF($C1008="","",IF(AND($L1008&lt;&gt;"",NOT(ISNUMBER($L1008))),"RAW SCORE NOT A NUMBER",IF(AND(ISNUMBER($L1008),OR($L1008&lt;0,$L1008&gt;100)),"RAW SCORE OUT OF RANGE",IF(AND($Y1008="Unexcused",OR($L1008="",NOT(ISNUMBER($L1008)),$L1008&lt;&gt;0)),"UNEXCUSED ABSENCE MUST RECORD 0",IF(COUNTIF(nrES_RecID,$B1008)&gt;1,"DUPLICATE RECORD",IF(N($K1008)&gt;2,"ATTEMPT 3+ NOT ALLOWED - policy 300.5 permits one retest per exam; this row records nothing",IF(AND($K1008=2,COUNTIFS(nrES_PID,$D1008,nrES_Code,$F1008,nrES_Att,1)=0),"ATTEMPT 2 WITHOUT ATTEMPT 1",IF(AND($K1008=2,$L1008=""),"RETEST ROW HAS NO SCORE",IF(AND($H1008="Final",$L1008&lt;&gt;"",IFERROR(INDEX(nrCKfinalExamElig,MATCH($D1008,rngCadetPIDs,0)),"")="No"),"FINAL EXAM AFTER FAILED FINAL PT (500.1.H)",IF(AND($K1008=2,ISNUMBER($L1008),COUNTIFS(nrES_PID,$D1008,nrES_Code,$F1008,nrES_Att,1)&gt;0,SUMIFS(nrES_Raw,nrES_PID,$D1008,nrES_Code,$F1008,nrES_Att,1)&gt;=$J1008),"RETEST AFTER A PASSING FIRST ATTEMPT","OK"))))))))))</f>
        <v/>
      </c>
      <c r="Y1008" s="16" t="n"/>
    </row>
    <row r="1009">
      <c r="B1009" s="17">
        <f>IF($C1009="","",$D1009&amp;"-"&amp;$F1009&amp;"-"&amp;$K1009)</f>
        <v/>
      </c>
      <c r="C1009" s="16" t="n"/>
      <c r="D1009" s="17">
        <f>IF($C1009="","",IFERROR(INDEX(rngCadetPIDs,MATCH($C1009,rngCadetNames,0)),"?"))</f>
        <v/>
      </c>
      <c r="E1009" s="17">
        <f>IF($D1009="","",IFERROR(INDEX(nrCadetAgency,MATCH($D1009,rngCadetPIDs,0)),""))</f>
        <v/>
      </c>
      <c r="F1009" s="16" t="n"/>
      <c r="G1009" s="17">
        <f>IF($F1009="","",IFERROR(INDEX(rngEPname,MATCH($F1009,rngEPcode,0)),"?"))</f>
        <v/>
      </c>
      <c r="H1009" s="17">
        <f>IF($F1009="","",IFERROR(INDEX(rngEPtype,MATCH($F1009,rngEPcode,0)),"?"))</f>
        <v/>
      </c>
      <c r="I1009" s="17">
        <f>IF($F1009="","",IFERROR(INDEX(rngEPseq,MATCH($F1009,rngEPcode,0)),""))</f>
        <v/>
      </c>
      <c r="J1009" s="17">
        <f>IF($F1009="","",IFERROR(INDEX(rngEPpass,MATCH($F1009,rngEPcode,0)),cfgPassingScore))</f>
        <v/>
      </c>
      <c r="K1009" s="16" t="n"/>
      <c r="L1009" s="16" t="n"/>
      <c r="M1009" s="17">
        <f>IF($C1009="","",IF($L1009="","",IF(NOT(ISNUMBER($L1009)),$L1009,IF(N($K1009)&gt;2,"",IF($K1009=1,IF(COUNTIFS(nrES_PID,$D1009,nrES_Code,$F1009,nrES_Att,2,nrES_Raw,"&gt;=0")&gt;0,"",$L1009),IF($L1009&gt;=$J1009,MAX($J1009,cfgRetakeRecordedCap),IF(COUNTIFS(nrES_PID,$D1009,nrES_Code,$F1009,nrES_Att,1)=0,$L1009,SUMIFS(nrES_Raw,nrES_PID,$D1009,nrES_Code,$F1009,nrES_Att,1))))))))</f>
        <v/>
      </c>
      <c r="N1009" s="17">
        <f>IF($C1009="","",IF($L1009="","",IF(NOT(ISNUMBER($L1009)),"(not a score)",IF($L1009&gt;=$J1009,"Yes","No"))))</f>
        <v/>
      </c>
      <c r="O1009" s="17">
        <f>IF($C1009="","",IF($M1009="","",IF(NOT(ISNUMBER($M1009)),"(not a score)",IF($M1009&gt;=$J1009,"Yes","No"))))</f>
        <v/>
      </c>
      <c r="P1009" s="17">
        <f>IF($C1009="","",IF($K1009="","",IF(N($K1009)&gt;2,"No",IF(COUNTIFS(nrES_PID,$D1009,nrES_Code,$F1009,nrES_Att,"&gt;"&amp;$K1009,nrES_Att,"&lt;=2",nrES_Raw,"&gt;=0")=0,"Yes","No"))))</f>
        <v/>
      </c>
      <c r="Q1009" s="17">
        <f>IF($C1009="","",IF($L1009="","",IF(AND($K1009=1,ISNUMBER($L1009),$L1009&lt;$J1009,COUNTIFS(nrES_PID,$D1009,nrES_Code,$F1009,nrES_Att,2,nrES_Raw,"&gt;=0")=0),"Yes","No")))</f>
        <v/>
      </c>
      <c r="R1009" s="17">
        <f>IF($C1009="","",IF($L1009="","",IF(AND(N($K1009)&gt;=2,ISNUMBER($L1009),$L1009&lt;$J1009),"Yes","No")))</f>
        <v/>
      </c>
      <c r="S1009" s="18" t="n"/>
      <c r="T1009" s="19">
        <f>IF(OR($C1009="",$L1009="",$K1009&lt;&gt;1,NOT(ISNUMBER($L1009)),$L1009&gt;=$J1009),"",IF($S1009="","(enter date)",_xlfn.LET(_xlpm.dn,_xlfn.XLOOKUP($S1009,nrCDdate,nrCDnum,"",1),IF(_xlpm.dn="","(after last class day)",_xlfn.LET(_xlpm.dd,_xlfn.XLOOKUP(_xlpm.dn+cfgRetestClassDays,nrCDnum,nrCDdate,""),_xlpm.ok,_xlfn.XLOOKUP(_xlpm.dn+cfgRetestClassDays,nrCDnum,nrCDinsession,"No"),IF(OR(_xlpm.dd="",_xlpm.ok&lt;&gt;"Yes"),"(after last class day)",_xlpm.dd))))))</f>
        <v/>
      </c>
      <c r="U1009" s="17">
        <f>IF($C1009="","",IF(AND($Y1009="Excused",$L1009="",N($K1009)&lt;=1),"EXCUSED - 1st attempt pending",IF(OR($L1009="",$K1009&lt;&gt;1,NOT(ISNUMBER($L1009)),$L1009&gt;=$J1009),"",IF(COUNTIFS(nrES_PID,$D1009,nrES_Code,$F1009,nrES_Att,2,nrES_Raw,"&gt;=0")&gt;0,IF(IFERROR(_xlfn.MINIFS(nrES_Date,nrES_PID,$D1009,nrES_Code,$F1009,nrES_Att,2,nrES_Raw,"&gt;=0",nrES_Date,"&gt;0"),0)=0,"RETEST UNDATED",IF(NOT(ISNUMBER($T1009)),"RETEST DATE UNCHECKED",IF(_xlfn.MINIFS(nrES_Date,nrES_PID,$D1009,nrES_Code,$F1009,nrES_Att,2,nrES_Raw,"&gt;=0",nrES_Date,"&gt;0")&gt;$T1009,"LATE RETEST "&amp;TEXT(_xlfn.MINIFS(nrES_Date,nrES_PID,$D1009,nrES_Code,$F1009,nrES_Att,2,nrES_Raw,"&gt;=0",nrES_Date,"&gt;0"),"mm/dd")&amp;" (due "&amp;TEXT($T1009,"mm/dd")&amp;")","Retested"))),IF(NOT(ISNUMBER($T1009)),"CHECK DATE",IF(TODAY()&gt;$T1009,"OVERDUE","Due "&amp;TEXT($T1009,"mm/dd")))))))</f>
        <v/>
      </c>
      <c r="V1009" s="16" t="n"/>
      <c r="W1009" s="16" t="n"/>
      <c r="X1009" s="17">
        <f>IF($C1009="","",IF(AND($L1009&lt;&gt;"",NOT(ISNUMBER($L1009))),"RAW SCORE NOT A NUMBER",IF(AND(ISNUMBER($L1009),OR($L1009&lt;0,$L1009&gt;100)),"RAW SCORE OUT OF RANGE",IF(AND($Y1009="Unexcused",OR($L1009="",NOT(ISNUMBER($L1009)),$L1009&lt;&gt;0)),"UNEXCUSED ABSENCE MUST RECORD 0",IF(COUNTIF(nrES_RecID,$B1009)&gt;1,"DUPLICATE RECORD",IF(N($K1009)&gt;2,"ATTEMPT 3+ NOT ALLOWED - policy 300.5 permits one retest per exam; this row records nothing",IF(AND($K1009=2,COUNTIFS(nrES_PID,$D1009,nrES_Code,$F1009,nrES_Att,1)=0),"ATTEMPT 2 WITHOUT ATTEMPT 1",IF(AND($K1009=2,$L1009=""),"RETEST ROW HAS NO SCORE",IF(AND($H1009="Final",$L1009&lt;&gt;"",IFERROR(INDEX(nrCKfinalExamElig,MATCH($D1009,rngCadetPIDs,0)),"")="No"),"FINAL EXAM AFTER FAILED FINAL PT (500.1.H)",IF(AND($K1009=2,ISNUMBER($L1009),COUNTIFS(nrES_PID,$D1009,nrES_Code,$F1009,nrES_Att,1)&gt;0,SUMIFS(nrES_Raw,nrES_PID,$D1009,nrES_Code,$F1009,nrES_Att,1)&gt;=$J1009),"RETEST AFTER A PASSING FIRST ATTEMPT","OK"))))))))))</f>
        <v/>
      </c>
      <c r="Y1009" s="16" t="n"/>
    </row>
    <row r="1010">
      <c r="B1010" s="17">
        <f>IF($C1010="","",$D1010&amp;"-"&amp;$F1010&amp;"-"&amp;$K1010)</f>
        <v/>
      </c>
      <c r="C1010" s="16" t="n"/>
      <c r="D1010" s="17">
        <f>IF($C1010="","",IFERROR(INDEX(rngCadetPIDs,MATCH($C1010,rngCadetNames,0)),"?"))</f>
        <v/>
      </c>
      <c r="E1010" s="17">
        <f>IF($D1010="","",IFERROR(INDEX(nrCadetAgency,MATCH($D1010,rngCadetPIDs,0)),""))</f>
        <v/>
      </c>
      <c r="F1010" s="16" t="n"/>
      <c r="G1010" s="17">
        <f>IF($F1010="","",IFERROR(INDEX(rngEPname,MATCH($F1010,rngEPcode,0)),"?"))</f>
        <v/>
      </c>
      <c r="H1010" s="17">
        <f>IF($F1010="","",IFERROR(INDEX(rngEPtype,MATCH($F1010,rngEPcode,0)),"?"))</f>
        <v/>
      </c>
      <c r="I1010" s="17">
        <f>IF($F1010="","",IFERROR(INDEX(rngEPseq,MATCH($F1010,rngEPcode,0)),""))</f>
        <v/>
      </c>
      <c r="J1010" s="17">
        <f>IF($F1010="","",IFERROR(INDEX(rngEPpass,MATCH($F1010,rngEPcode,0)),cfgPassingScore))</f>
        <v/>
      </c>
      <c r="K1010" s="16" t="n"/>
      <c r="L1010" s="16" t="n"/>
      <c r="M1010" s="17">
        <f>IF($C1010="","",IF($L1010="","",IF(NOT(ISNUMBER($L1010)),$L1010,IF(N($K1010)&gt;2,"",IF($K1010=1,IF(COUNTIFS(nrES_PID,$D1010,nrES_Code,$F1010,nrES_Att,2,nrES_Raw,"&gt;=0")&gt;0,"",$L1010),IF($L1010&gt;=$J1010,MAX($J1010,cfgRetakeRecordedCap),IF(COUNTIFS(nrES_PID,$D1010,nrES_Code,$F1010,nrES_Att,1)=0,$L1010,SUMIFS(nrES_Raw,nrES_PID,$D1010,nrES_Code,$F1010,nrES_Att,1))))))))</f>
        <v/>
      </c>
      <c r="N1010" s="17">
        <f>IF($C1010="","",IF($L1010="","",IF(NOT(ISNUMBER($L1010)),"(not a score)",IF($L1010&gt;=$J1010,"Yes","No"))))</f>
        <v/>
      </c>
      <c r="O1010" s="17">
        <f>IF($C1010="","",IF($M1010="","",IF(NOT(ISNUMBER($M1010)),"(not a score)",IF($M1010&gt;=$J1010,"Yes","No"))))</f>
        <v/>
      </c>
      <c r="P1010" s="17">
        <f>IF($C1010="","",IF($K1010="","",IF(N($K1010)&gt;2,"No",IF(COUNTIFS(nrES_PID,$D1010,nrES_Code,$F1010,nrES_Att,"&gt;"&amp;$K1010,nrES_Att,"&lt;=2",nrES_Raw,"&gt;=0")=0,"Yes","No"))))</f>
        <v/>
      </c>
      <c r="Q1010" s="17">
        <f>IF($C1010="","",IF($L1010="","",IF(AND($K1010=1,ISNUMBER($L1010),$L1010&lt;$J1010,COUNTIFS(nrES_PID,$D1010,nrES_Code,$F1010,nrES_Att,2,nrES_Raw,"&gt;=0")=0),"Yes","No")))</f>
        <v/>
      </c>
      <c r="R1010" s="17">
        <f>IF($C1010="","",IF($L1010="","",IF(AND(N($K1010)&gt;=2,ISNUMBER($L1010),$L1010&lt;$J1010),"Yes","No")))</f>
        <v/>
      </c>
      <c r="S1010" s="18" t="n"/>
      <c r="T1010" s="19">
        <f>IF(OR($C1010="",$L1010="",$K1010&lt;&gt;1,NOT(ISNUMBER($L1010)),$L1010&gt;=$J1010),"",IF($S1010="","(enter date)",_xlfn.LET(_xlpm.dn,_xlfn.XLOOKUP($S1010,nrCDdate,nrCDnum,"",1),IF(_xlpm.dn="","(after last class day)",_xlfn.LET(_xlpm.dd,_xlfn.XLOOKUP(_xlpm.dn+cfgRetestClassDays,nrCDnum,nrCDdate,""),_xlpm.ok,_xlfn.XLOOKUP(_xlpm.dn+cfgRetestClassDays,nrCDnum,nrCDinsession,"No"),IF(OR(_xlpm.dd="",_xlpm.ok&lt;&gt;"Yes"),"(after last class day)",_xlpm.dd))))))</f>
        <v/>
      </c>
      <c r="U1010" s="17">
        <f>IF($C1010="","",IF(AND($Y1010="Excused",$L1010="",N($K1010)&lt;=1),"EXCUSED - 1st attempt pending",IF(OR($L1010="",$K1010&lt;&gt;1,NOT(ISNUMBER($L1010)),$L1010&gt;=$J1010),"",IF(COUNTIFS(nrES_PID,$D1010,nrES_Code,$F1010,nrES_Att,2,nrES_Raw,"&gt;=0")&gt;0,IF(IFERROR(_xlfn.MINIFS(nrES_Date,nrES_PID,$D1010,nrES_Code,$F1010,nrES_Att,2,nrES_Raw,"&gt;=0",nrES_Date,"&gt;0"),0)=0,"RETEST UNDATED",IF(NOT(ISNUMBER($T1010)),"RETEST DATE UNCHECKED",IF(_xlfn.MINIFS(nrES_Date,nrES_PID,$D1010,nrES_Code,$F1010,nrES_Att,2,nrES_Raw,"&gt;=0",nrES_Date,"&gt;0")&gt;$T1010,"LATE RETEST "&amp;TEXT(_xlfn.MINIFS(nrES_Date,nrES_PID,$D1010,nrES_Code,$F1010,nrES_Att,2,nrES_Raw,"&gt;=0",nrES_Date,"&gt;0"),"mm/dd")&amp;" (due "&amp;TEXT($T1010,"mm/dd")&amp;")","Retested"))),IF(NOT(ISNUMBER($T1010)),"CHECK DATE",IF(TODAY()&gt;$T1010,"OVERDUE","Due "&amp;TEXT($T1010,"mm/dd")))))))</f>
        <v/>
      </c>
      <c r="V1010" s="16" t="n"/>
      <c r="W1010" s="16" t="n"/>
      <c r="X1010" s="17">
        <f>IF($C1010="","",IF(AND($L1010&lt;&gt;"",NOT(ISNUMBER($L1010))),"RAW SCORE NOT A NUMBER",IF(AND(ISNUMBER($L1010),OR($L1010&lt;0,$L1010&gt;100)),"RAW SCORE OUT OF RANGE",IF(AND($Y1010="Unexcused",OR($L1010="",NOT(ISNUMBER($L1010)),$L1010&lt;&gt;0)),"UNEXCUSED ABSENCE MUST RECORD 0",IF(COUNTIF(nrES_RecID,$B1010)&gt;1,"DUPLICATE RECORD",IF(N($K1010)&gt;2,"ATTEMPT 3+ NOT ALLOWED - policy 300.5 permits one retest per exam; this row records nothing",IF(AND($K1010=2,COUNTIFS(nrES_PID,$D1010,nrES_Code,$F1010,nrES_Att,1)=0),"ATTEMPT 2 WITHOUT ATTEMPT 1",IF(AND($K1010=2,$L1010=""),"RETEST ROW HAS NO SCORE",IF(AND($H1010="Final",$L1010&lt;&gt;"",IFERROR(INDEX(nrCKfinalExamElig,MATCH($D1010,rngCadetPIDs,0)),"")="No"),"FINAL EXAM AFTER FAILED FINAL PT (500.1.H)",IF(AND($K1010=2,ISNUMBER($L1010),COUNTIFS(nrES_PID,$D1010,nrES_Code,$F1010,nrES_Att,1)&gt;0,SUMIFS(nrES_Raw,nrES_PID,$D1010,nrES_Code,$F1010,nrES_Att,1)&gt;=$J1010),"RETEST AFTER A PASSING FIRST ATTEMPT","OK"))))))))))</f>
        <v/>
      </c>
      <c r="Y1010" s="16" t="n"/>
    </row>
    <row r="1011">
      <c r="B1011" s="17">
        <f>IF($C1011="","",$D1011&amp;"-"&amp;$F1011&amp;"-"&amp;$K1011)</f>
        <v/>
      </c>
      <c r="C1011" s="16" t="n"/>
      <c r="D1011" s="17">
        <f>IF($C1011="","",IFERROR(INDEX(rngCadetPIDs,MATCH($C1011,rngCadetNames,0)),"?"))</f>
        <v/>
      </c>
      <c r="E1011" s="17">
        <f>IF($D1011="","",IFERROR(INDEX(nrCadetAgency,MATCH($D1011,rngCadetPIDs,0)),""))</f>
        <v/>
      </c>
      <c r="F1011" s="16" t="n"/>
      <c r="G1011" s="17">
        <f>IF($F1011="","",IFERROR(INDEX(rngEPname,MATCH($F1011,rngEPcode,0)),"?"))</f>
        <v/>
      </c>
      <c r="H1011" s="17">
        <f>IF($F1011="","",IFERROR(INDEX(rngEPtype,MATCH($F1011,rngEPcode,0)),"?"))</f>
        <v/>
      </c>
      <c r="I1011" s="17">
        <f>IF($F1011="","",IFERROR(INDEX(rngEPseq,MATCH($F1011,rngEPcode,0)),""))</f>
        <v/>
      </c>
      <c r="J1011" s="17">
        <f>IF($F1011="","",IFERROR(INDEX(rngEPpass,MATCH($F1011,rngEPcode,0)),cfgPassingScore))</f>
        <v/>
      </c>
      <c r="K1011" s="16" t="n"/>
      <c r="L1011" s="16" t="n"/>
      <c r="M1011" s="17">
        <f>IF($C1011="","",IF($L1011="","",IF(NOT(ISNUMBER($L1011)),$L1011,IF(N($K1011)&gt;2,"",IF($K1011=1,IF(COUNTIFS(nrES_PID,$D1011,nrES_Code,$F1011,nrES_Att,2,nrES_Raw,"&gt;=0")&gt;0,"",$L1011),IF($L1011&gt;=$J1011,MAX($J1011,cfgRetakeRecordedCap),IF(COUNTIFS(nrES_PID,$D1011,nrES_Code,$F1011,nrES_Att,1)=0,$L1011,SUMIFS(nrES_Raw,nrES_PID,$D1011,nrES_Code,$F1011,nrES_Att,1))))))))</f>
        <v/>
      </c>
      <c r="N1011" s="17">
        <f>IF($C1011="","",IF($L1011="","",IF(NOT(ISNUMBER($L1011)),"(not a score)",IF($L1011&gt;=$J1011,"Yes","No"))))</f>
        <v/>
      </c>
      <c r="O1011" s="17">
        <f>IF($C1011="","",IF($M1011="","",IF(NOT(ISNUMBER($M1011)),"(not a score)",IF($M1011&gt;=$J1011,"Yes","No"))))</f>
        <v/>
      </c>
      <c r="P1011" s="17">
        <f>IF($C1011="","",IF($K1011="","",IF(N($K1011)&gt;2,"No",IF(COUNTIFS(nrES_PID,$D1011,nrES_Code,$F1011,nrES_Att,"&gt;"&amp;$K1011,nrES_Att,"&lt;=2",nrES_Raw,"&gt;=0")=0,"Yes","No"))))</f>
        <v/>
      </c>
      <c r="Q1011" s="17">
        <f>IF($C1011="","",IF($L1011="","",IF(AND($K1011=1,ISNUMBER($L1011),$L1011&lt;$J1011,COUNTIFS(nrES_PID,$D1011,nrES_Code,$F1011,nrES_Att,2,nrES_Raw,"&gt;=0")=0),"Yes","No")))</f>
        <v/>
      </c>
      <c r="R1011" s="17">
        <f>IF($C1011="","",IF($L1011="","",IF(AND(N($K1011)&gt;=2,ISNUMBER($L1011),$L1011&lt;$J1011),"Yes","No")))</f>
        <v/>
      </c>
      <c r="S1011" s="18" t="n"/>
      <c r="T1011" s="19">
        <f>IF(OR($C1011="",$L1011="",$K1011&lt;&gt;1,NOT(ISNUMBER($L1011)),$L1011&gt;=$J1011),"",IF($S1011="","(enter date)",_xlfn.LET(_xlpm.dn,_xlfn.XLOOKUP($S1011,nrCDdate,nrCDnum,"",1),IF(_xlpm.dn="","(after last class day)",_xlfn.LET(_xlpm.dd,_xlfn.XLOOKUP(_xlpm.dn+cfgRetestClassDays,nrCDnum,nrCDdate,""),_xlpm.ok,_xlfn.XLOOKUP(_xlpm.dn+cfgRetestClassDays,nrCDnum,nrCDinsession,"No"),IF(OR(_xlpm.dd="",_xlpm.ok&lt;&gt;"Yes"),"(after last class day)",_xlpm.dd))))))</f>
        <v/>
      </c>
      <c r="U1011" s="17">
        <f>IF($C1011="","",IF(AND($Y1011="Excused",$L1011="",N($K1011)&lt;=1),"EXCUSED - 1st attempt pending",IF(OR($L1011="",$K1011&lt;&gt;1,NOT(ISNUMBER($L1011)),$L1011&gt;=$J1011),"",IF(COUNTIFS(nrES_PID,$D1011,nrES_Code,$F1011,nrES_Att,2,nrES_Raw,"&gt;=0")&gt;0,IF(IFERROR(_xlfn.MINIFS(nrES_Date,nrES_PID,$D1011,nrES_Code,$F1011,nrES_Att,2,nrES_Raw,"&gt;=0",nrES_Date,"&gt;0"),0)=0,"RETEST UNDATED",IF(NOT(ISNUMBER($T1011)),"RETEST DATE UNCHECKED",IF(_xlfn.MINIFS(nrES_Date,nrES_PID,$D1011,nrES_Code,$F1011,nrES_Att,2,nrES_Raw,"&gt;=0",nrES_Date,"&gt;0")&gt;$T1011,"LATE RETEST "&amp;TEXT(_xlfn.MINIFS(nrES_Date,nrES_PID,$D1011,nrES_Code,$F1011,nrES_Att,2,nrES_Raw,"&gt;=0",nrES_Date,"&gt;0"),"mm/dd")&amp;" (due "&amp;TEXT($T1011,"mm/dd")&amp;")","Retested"))),IF(NOT(ISNUMBER($T1011)),"CHECK DATE",IF(TODAY()&gt;$T1011,"OVERDUE","Due "&amp;TEXT($T1011,"mm/dd")))))))</f>
        <v/>
      </c>
      <c r="V1011" s="16" t="n"/>
      <c r="W1011" s="16" t="n"/>
      <c r="X1011" s="17">
        <f>IF($C1011="","",IF(AND($L1011&lt;&gt;"",NOT(ISNUMBER($L1011))),"RAW SCORE NOT A NUMBER",IF(AND(ISNUMBER($L1011),OR($L1011&lt;0,$L1011&gt;100)),"RAW SCORE OUT OF RANGE",IF(AND($Y1011="Unexcused",OR($L1011="",NOT(ISNUMBER($L1011)),$L1011&lt;&gt;0)),"UNEXCUSED ABSENCE MUST RECORD 0",IF(COUNTIF(nrES_RecID,$B1011)&gt;1,"DUPLICATE RECORD",IF(N($K1011)&gt;2,"ATTEMPT 3+ NOT ALLOWED - policy 300.5 permits one retest per exam; this row records nothing",IF(AND($K1011=2,COUNTIFS(nrES_PID,$D1011,nrES_Code,$F1011,nrES_Att,1)=0),"ATTEMPT 2 WITHOUT ATTEMPT 1",IF(AND($K1011=2,$L1011=""),"RETEST ROW HAS NO SCORE",IF(AND($H1011="Final",$L1011&lt;&gt;"",IFERROR(INDEX(nrCKfinalExamElig,MATCH($D1011,rngCadetPIDs,0)),"")="No"),"FINAL EXAM AFTER FAILED FINAL PT (500.1.H)",IF(AND($K1011=2,ISNUMBER($L1011),COUNTIFS(nrES_PID,$D1011,nrES_Code,$F1011,nrES_Att,1)&gt;0,SUMIFS(nrES_Raw,nrES_PID,$D1011,nrES_Code,$F1011,nrES_Att,1)&gt;=$J1011),"RETEST AFTER A PASSING FIRST ATTEMPT","OK"))))))))))</f>
        <v/>
      </c>
      <c r="Y1011" s="16" t="n"/>
    </row>
    <row r="1012">
      <c r="B1012" s="17">
        <f>IF($C1012="","",$D1012&amp;"-"&amp;$F1012&amp;"-"&amp;$K1012)</f>
        <v/>
      </c>
      <c r="C1012" s="16" t="n"/>
      <c r="D1012" s="17">
        <f>IF($C1012="","",IFERROR(INDEX(rngCadetPIDs,MATCH($C1012,rngCadetNames,0)),"?"))</f>
        <v/>
      </c>
      <c r="E1012" s="17">
        <f>IF($D1012="","",IFERROR(INDEX(nrCadetAgency,MATCH($D1012,rngCadetPIDs,0)),""))</f>
        <v/>
      </c>
      <c r="F1012" s="16" t="n"/>
      <c r="G1012" s="17">
        <f>IF($F1012="","",IFERROR(INDEX(rngEPname,MATCH($F1012,rngEPcode,0)),"?"))</f>
        <v/>
      </c>
      <c r="H1012" s="17">
        <f>IF($F1012="","",IFERROR(INDEX(rngEPtype,MATCH($F1012,rngEPcode,0)),"?"))</f>
        <v/>
      </c>
      <c r="I1012" s="17">
        <f>IF($F1012="","",IFERROR(INDEX(rngEPseq,MATCH($F1012,rngEPcode,0)),""))</f>
        <v/>
      </c>
      <c r="J1012" s="17">
        <f>IF($F1012="","",IFERROR(INDEX(rngEPpass,MATCH($F1012,rngEPcode,0)),cfgPassingScore))</f>
        <v/>
      </c>
      <c r="K1012" s="16" t="n"/>
      <c r="L1012" s="16" t="n"/>
      <c r="M1012" s="17">
        <f>IF($C1012="","",IF($L1012="","",IF(NOT(ISNUMBER($L1012)),$L1012,IF(N($K1012)&gt;2,"",IF($K1012=1,IF(COUNTIFS(nrES_PID,$D1012,nrES_Code,$F1012,nrES_Att,2,nrES_Raw,"&gt;=0")&gt;0,"",$L1012),IF($L1012&gt;=$J1012,MAX($J1012,cfgRetakeRecordedCap),IF(COUNTIFS(nrES_PID,$D1012,nrES_Code,$F1012,nrES_Att,1)=0,$L1012,SUMIFS(nrES_Raw,nrES_PID,$D1012,nrES_Code,$F1012,nrES_Att,1))))))))</f>
        <v/>
      </c>
      <c r="N1012" s="17">
        <f>IF($C1012="","",IF($L1012="","",IF(NOT(ISNUMBER($L1012)),"(not a score)",IF($L1012&gt;=$J1012,"Yes","No"))))</f>
        <v/>
      </c>
      <c r="O1012" s="17">
        <f>IF($C1012="","",IF($M1012="","",IF(NOT(ISNUMBER($M1012)),"(not a score)",IF($M1012&gt;=$J1012,"Yes","No"))))</f>
        <v/>
      </c>
      <c r="P1012" s="17">
        <f>IF($C1012="","",IF($K1012="","",IF(N($K1012)&gt;2,"No",IF(COUNTIFS(nrES_PID,$D1012,nrES_Code,$F1012,nrES_Att,"&gt;"&amp;$K1012,nrES_Att,"&lt;=2",nrES_Raw,"&gt;=0")=0,"Yes","No"))))</f>
        <v/>
      </c>
      <c r="Q1012" s="17">
        <f>IF($C1012="","",IF($L1012="","",IF(AND($K1012=1,ISNUMBER($L1012),$L1012&lt;$J1012,COUNTIFS(nrES_PID,$D1012,nrES_Code,$F1012,nrES_Att,2,nrES_Raw,"&gt;=0")=0),"Yes","No")))</f>
        <v/>
      </c>
      <c r="R1012" s="17">
        <f>IF($C1012="","",IF($L1012="","",IF(AND(N($K1012)&gt;=2,ISNUMBER($L1012),$L1012&lt;$J1012),"Yes","No")))</f>
        <v/>
      </c>
      <c r="S1012" s="18" t="n"/>
      <c r="T1012" s="19">
        <f>IF(OR($C1012="",$L1012="",$K1012&lt;&gt;1,NOT(ISNUMBER($L1012)),$L1012&gt;=$J1012),"",IF($S1012="","(enter date)",_xlfn.LET(_xlpm.dn,_xlfn.XLOOKUP($S1012,nrCDdate,nrCDnum,"",1),IF(_xlpm.dn="","(after last class day)",_xlfn.LET(_xlpm.dd,_xlfn.XLOOKUP(_xlpm.dn+cfgRetestClassDays,nrCDnum,nrCDdate,""),_xlpm.ok,_xlfn.XLOOKUP(_xlpm.dn+cfgRetestClassDays,nrCDnum,nrCDinsession,"No"),IF(OR(_xlpm.dd="",_xlpm.ok&lt;&gt;"Yes"),"(after last class day)",_xlpm.dd))))))</f>
        <v/>
      </c>
      <c r="U1012" s="17">
        <f>IF($C1012="","",IF(AND($Y1012="Excused",$L1012="",N($K1012)&lt;=1),"EXCUSED - 1st attempt pending",IF(OR($L1012="",$K1012&lt;&gt;1,NOT(ISNUMBER($L1012)),$L1012&gt;=$J1012),"",IF(COUNTIFS(nrES_PID,$D1012,nrES_Code,$F1012,nrES_Att,2,nrES_Raw,"&gt;=0")&gt;0,IF(IFERROR(_xlfn.MINIFS(nrES_Date,nrES_PID,$D1012,nrES_Code,$F1012,nrES_Att,2,nrES_Raw,"&gt;=0",nrES_Date,"&gt;0"),0)=0,"RETEST UNDATED",IF(NOT(ISNUMBER($T1012)),"RETEST DATE UNCHECKED",IF(_xlfn.MINIFS(nrES_Date,nrES_PID,$D1012,nrES_Code,$F1012,nrES_Att,2,nrES_Raw,"&gt;=0",nrES_Date,"&gt;0")&gt;$T1012,"LATE RETEST "&amp;TEXT(_xlfn.MINIFS(nrES_Date,nrES_PID,$D1012,nrES_Code,$F1012,nrES_Att,2,nrES_Raw,"&gt;=0",nrES_Date,"&gt;0"),"mm/dd")&amp;" (due "&amp;TEXT($T1012,"mm/dd")&amp;")","Retested"))),IF(NOT(ISNUMBER($T1012)),"CHECK DATE",IF(TODAY()&gt;$T1012,"OVERDUE","Due "&amp;TEXT($T1012,"mm/dd")))))))</f>
        <v/>
      </c>
      <c r="V1012" s="16" t="n"/>
      <c r="W1012" s="16" t="n"/>
      <c r="X1012" s="17">
        <f>IF($C1012="","",IF(AND($L1012&lt;&gt;"",NOT(ISNUMBER($L1012))),"RAW SCORE NOT A NUMBER",IF(AND(ISNUMBER($L1012),OR($L1012&lt;0,$L1012&gt;100)),"RAW SCORE OUT OF RANGE",IF(AND($Y1012="Unexcused",OR($L1012="",NOT(ISNUMBER($L1012)),$L1012&lt;&gt;0)),"UNEXCUSED ABSENCE MUST RECORD 0",IF(COUNTIF(nrES_RecID,$B1012)&gt;1,"DUPLICATE RECORD",IF(N($K1012)&gt;2,"ATTEMPT 3+ NOT ALLOWED - policy 300.5 permits one retest per exam; this row records nothing",IF(AND($K1012=2,COUNTIFS(nrES_PID,$D1012,nrES_Code,$F1012,nrES_Att,1)=0),"ATTEMPT 2 WITHOUT ATTEMPT 1",IF(AND($K1012=2,$L1012=""),"RETEST ROW HAS NO SCORE",IF(AND($H1012="Final",$L1012&lt;&gt;"",IFERROR(INDEX(nrCKfinalExamElig,MATCH($D1012,rngCadetPIDs,0)),"")="No"),"FINAL EXAM AFTER FAILED FINAL PT (500.1.H)",IF(AND($K1012=2,ISNUMBER($L1012),COUNTIFS(nrES_PID,$D1012,nrES_Code,$F1012,nrES_Att,1)&gt;0,SUMIFS(nrES_Raw,nrES_PID,$D1012,nrES_Code,$F1012,nrES_Att,1)&gt;=$J1012),"RETEST AFTER A PASSING FIRST ATTEMPT","OK"))))))))))</f>
        <v/>
      </c>
      <c r="Y1012" s="16" t="n"/>
    </row>
    <row r="1013">
      <c r="B1013" s="17">
        <f>IF($C1013="","",$D1013&amp;"-"&amp;$F1013&amp;"-"&amp;$K1013)</f>
        <v/>
      </c>
      <c r="C1013" s="16" t="n"/>
      <c r="D1013" s="17">
        <f>IF($C1013="","",IFERROR(INDEX(rngCadetPIDs,MATCH($C1013,rngCadetNames,0)),"?"))</f>
        <v/>
      </c>
      <c r="E1013" s="17">
        <f>IF($D1013="","",IFERROR(INDEX(nrCadetAgency,MATCH($D1013,rngCadetPIDs,0)),""))</f>
        <v/>
      </c>
      <c r="F1013" s="16" t="n"/>
      <c r="G1013" s="17">
        <f>IF($F1013="","",IFERROR(INDEX(rngEPname,MATCH($F1013,rngEPcode,0)),"?"))</f>
        <v/>
      </c>
      <c r="H1013" s="17">
        <f>IF($F1013="","",IFERROR(INDEX(rngEPtype,MATCH($F1013,rngEPcode,0)),"?"))</f>
        <v/>
      </c>
      <c r="I1013" s="17">
        <f>IF($F1013="","",IFERROR(INDEX(rngEPseq,MATCH($F1013,rngEPcode,0)),""))</f>
        <v/>
      </c>
      <c r="J1013" s="17">
        <f>IF($F1013="","",IFERROR(INDEX(rngEPpass,MATCH($F1013,rngEPcode,0)),cfgPassingScore))</f>
        <v/>
      </c>
      <c r="K1013" s="16" t="n"/>
      <c r="L1013" s="16" t="n"/>
      <c r="M1013" s="17">
        <f>IF($C1013="","",IF($L1013="","",IF(NOT(ISNUMBER($L1013)),$L1013,IF(N($K1013)&gt;2,"",IF($K1013=1,IF(COUNTIFS(nrES_PID,$D1013,nrES_Code,$F1013,nrES_Att,2,nrES_Raw,"&gt;=0")&gt;0,"",$L1013),IF($L1013&gt;=$J1013,MAX($J1013,cfgRetakeRecordedCap),IF(COUNTIFS(nrES_PID,$D1013,nrES_Code,$F1013,nrES_Att,1)=0,$L1013,SUMIFS(nrES_Raw,nrES_PID,$D1013,nrES_Code,$F1013,nrES_Att,1))))))))</f>
        <v/>
      </c>
      <c r="N1013" s="17">
        <f>IF($C1013="","",IF($L1013="","",IF(NOT(ISNUMBER($L1013)),"(not a score)",IF($L1013&gt;=$J1013,"Yes","No"))))</f>
        <v/>
      </c>
      <c r="O1013" s="17">
        <f>IF($C1013="","",IF($M1013="","",IF(NOT(ISNUMBER($M1013)),"(not a score)",IF($M1013&gt;=$J1013,"Yes","No"))))</f>
        <v/>
      </c>
      <c r="P1013" s="17">
        <f>IF($C1013="","",IF($K1013="","",IF(N($K1013)&gt;2,"No",IF(COUNTIFS(nrES_PID,$D1013,nrES_Code,$F1013,nrES_Att,"&gt;"&amp;$K1013,nrES_Att,"&lt;=2",nrES_Raw,"&gt;=0")=0,"Yes","No"))))</f>
        <v/>
      </c>
      <c r="Q1013" s="17">
        <f>IF($C1013="","",IF($L1013="","",IF(AND($K1013=1,ISNUMBER($L1013),$L1013&lt;$J1013,COUNTIFS(nrES_PID,$D1013,nrES_Code,$F1013,nrES_Att,2,nrES_Raw,"&gt;=0")=0),"Yes","No")))</f>
        <v/>
      </c>
      <c r="R1013" s="17">
        <f>IF($C1013="","",IF($L1013="","",IF(AND(N($K1013)&gt;=2,ISNUMBER($L1013),$L1013&lt;$J1013),"Yes","No")))</f>
        <v/>
      </c>
      <c r="S1013" s="18" t="n"/>
      <c r="T1013" s="19">
        <f>IF(OR($C1013="",$L1013="",$K1013&lt;&gt;1,NOT(ISNUMBER($L1013)),$L1013&gt;=$J1013),"",IF($S1013="","(enter date)",_xlfn.LET(_xlpm.dn,_xlfn.XLOOKUP($S1013,nrCDdate,nrCDnum,"",1),IF(_xlpm.dn="","(after last class day)",_xlfn.LET(_xlpm.dd,_xlfn.XLOOKUP(_xlpm.dn+cfgRetestClassDays,nrCDnum,nrCDdate,""),_xlpm.ok,_xlfn.XLOOKUP(_xlpm.dn+cfgRetestClassDays,nrCDnum,nrCDinsession,"No"),IF(OR(_xlpm.dd="",_xlpm.ok&lt;&gt;"Yes"),"(after last class day)",_xlpm.dd))))))</f>
        <v/>
      </c>
      <c r="U1013" s="17">
        <f>IF($C1013="","",IF(AND($Y1013="Excused",$L1013="",N($K1013)&lt;=1),"EXCUSED - 1st attempt pending",IF(OR($L1013="",$K1013&lt;&gt;1,NOT(ISNUMBER($L1013)),$L1013&gt;=$J1013),"",IF(COUNTIFS(nrES_PID,$D1013,nrES_Code,$F1013,nrES_Att,2,nrES_Raw,"&gt;=0")&gt;0,IF(IFERROR(_xlfn.MINIFS(nrES_Date,nrES_PID,$D1013,nrES_Code,$F1013,nrES_Att,2,nrES_Raw,"&gt;=0",nrES_Date,"&gt;0"),0)=0,"RETEST UNDATED",IF(NOT(ISNUMBER($T1013)),"RETEST DATE UNCHECKED",IF(_xlfn.MINIFS(nrES_Date,nrES_PID,$D1013,nrES_Code,$F1013,nrES_Att,2,nrES_Raw,"&gt;=0",nrES_Date,"&gt;0")&gt;$T1013,"LATE RETEST "&amp;TEXT(_xlfn.MINIFS(nrES_Date,nrES_PID,$D1013,nrES_Code,$F1013,nrES_Att,2,nrES_Raw,"&gt;=0",nrES_Date,"&gt;0"),"mm/dd")&amp;" (due "&amp;TEXT($T1013,"mm/dd")&amp;")","Retested"))),IF(NOT(ISNUMBER($T1013)),"CHECK DATE",IF(TODAY()&gt;$T1013,"OVERDUE","Due "&amp;TEXT($T1013,"mm/dd")))))))</f>
        <v/>
      </c>
      <c r="V1013" s="16" t="n"/>
      <c r="W1013" s="16" t="n"/>
      <c r="X1013" s="17">
        <f>IF($C1013="","",IF(AND($L1013&lt;&gt;"",NOT(ISNUMBER($L1013))),"RAW SCORE NOT A NUMBER",IF(AND(ISNUMBER($L1013),OR($L1013&lt;0,$L1013&gt;100)),"RAW SCORE OUT OF RANGE",IF(AND($Y1013="Unexcused",OR($L1013="",NOT(ISNUMBER($L1013)),$L1013&lt;&gt;0)),"UNEXCUSED ABSENCE MUST RECORD 0",IF(COUNTIF(nrES_RecID,$B1013)&gt;1,"DUPLICATE RECORD",IF(N($K1013)&gt;2,"ATTEMPT 3+ NOT ALLOWED - policy 300.5 permits one retest per exam; this row records nothing",IF(AND($K1013=2,COUNTIFS(nrES_PID,$D1013,nrES_Code,$F1013,nrES_Att,1)=0),"ATTEMPT 2 WITHOUT ATTEMPT 1",IF(AND($K1013=2,$L1013=""),"RETEST ROW HAS NO SCORE",IF(AND($H1013="Final",$L1013&lt;&gt;"",IFERROR(INDEX(nrCKfinalExamElig,MATCH($D1013,rngCadetPIDs,0)),"")="No"),"FINAL EXAM AFTER FAILED FINAL PT (500.1.H)",IF(AND($K1013=2,ISNUMBER($L1013),COUNTIFS(nrES_PID,$D1013,nrES_Code,$F1013,nrES_Att,1)&gt;0,SUMIFS(nrES_Raw,nrES_PID,$D1013,nrES_Code,$F1013,nrES_Att,1)&gt;=$J1013),"RETEST AFTER A PASSING FIRST ATTEMPT","OK"))))))))))</f>
        <v/>
      </c>
      <c r="Y1013" s="16" t="n"/>
    </row>
    <row r="1014">
      <c r="B1014" s="17">
        <f>IF($C1014="","",$D1014&amp;"-"&amp;$F1014&amp;"-"&amp;$K1014)</f>
        <v/>
      </c>
      <c r="C1014" s="16" t="n"/>
      <c r="D1014" s="17">
        <f>IF($C1014="","",IFERROR(INDEX(rngCadetPIDs,MATCH($C1014,rngCadetNames,0)),"?"))</f>
        <v/>
      </c>
      <c r="E1014" s="17">
        <f>IF($D1014="","",IFERROR(INDEX(nrCadetAgency,MATCH($D1014,rngCadetPIDs,0)),""))</f>
        <v/>
      </c>
      <c r="F1014" s="16" t="n"/>
      <c r="G1014" s="17">
        <f>IF($F1014="","",IFERROR(INDEX(rngEPname,MATCH($F1014,rngEPcode,0)),"?"))</f>
        <v/>
      </c>
      <c r="H1014" s="17">
        <f>IF($F1014="","",IFERROR(INDEX(rngEPtype,MATCH($F1014,rngEPcode,0)),"?"))</f>
        <v/>
      </c>
      <c r="I1014" s="17">
        <f>IF($F1014="","",IFERROR(INDEX(rngEPseq,MATCH($F1014,rngEPcode,0)),""))</f>
        <v/>
      </c>
      <c r="J1014" s="17">
        <f>IF($F1014="","",IFERROR(INDEX(rngEPpass,MATCH($F1014,rngEPcode,0)),cfgPassingScore))</f>
        <v/>
      </c>
      <c r="K1014" s="16" t="n"/>
      <c r="L1014" s="16" t="n"/>
      <c r="M1014" s="17">
        <f>IF($C1014="","",IF($L1014="","",IF(NOT(ISNUMBER($L1014)),$L1014,IF(N($K1014)&gt;2,"",IF($K1014=1,IF(COUNTIFS(nrES_PID,$D1014,nrES_Code,$F1014,nrES_Att,2,nrES_Raw,"&gt;=0")&gt;0,"",$L1014),IF($L1014&gt;=$J1014,MAX($J1014,cfgRetakeRecordedCap),IF(COUNTIFS(nrES_PID,$D1014,nrES_Code,$F1014,nrES_Att,1)=0,$L1014,SUMIFS(nrES_Raw,nrES_PID,$D1014,nrES_Code,$F1014,nrES_Att,1))))))))</f>
        <v/>
      </c>
      <c r="N1014" s="17">
        <f>IF($C1014="","",IF($L1014="","",IF(NOT(ISNUMBER($L1014)),"(not a score)",IF($L1014&gt;=$J1014,"Yes","No"))))</f>
        <v/>
      </c>
      <c r="O1014" s="17">
        <f>IF($C1014="","",IF($M1014="","",IF(NOT(ISNUMBER($M1014)),"(not a score)",IF($M1014&gt;=$J1014,"Yes","No"))))</f>
        <v/>
      </c>
      <c r="P1014" s="17">
        <f>IF($C1014="","",IF($K1014="","",IF(N($K1014)&gt;2,"No",IF(COUNTIFS(nrES_PID,$D1014,nrES_Code,$F1014,nrES_Att,"&gt;"&amp;$K1014,nrES_Att,"&lt;=2",nrES_Raw,"&gt;=0")=0,"Yes","No"))))</f>
        <v/>
      </c>
      <c r="Q1014" s="17">
        <f>IF($C1014="","",IF($L1014="","",IF(AND($K1014=1,ISNUMBER($L1014),$L1014&lt;$J1014,COUNTIFS(nrES_PID,$D1014,nrES_Code,$F1014,nrES_Att,2,nrES_Raw,"&gt;=0")=0),"Yes","No")))</f>
        <v/>
      </c>
      <c r="R1014" s="17">
        <f>IF($C1014="","",IF($L1014="","",IF(AND(N($K1014)&gt;=2,ISNUMBER($L1014),$L1014&lt;$J1014),"Yes","No")))</f>
        <v/>
      </c>
      <c r="S1014" s="18" t="n"/>
      <c r="T1014" s="19">
        <f>IF(OR($C1014="",$L1014="",$K1014&lt;&gt;1,NOT(ISNUMBER($L1014)),$L1014&gt;=$J1014),"",IF($S1014="","(enter date)",_xlfn.LET(_xlpm.dn,_xlfn.XLOOKUP($S1014,nrCDdate,nrCDnum,"",1),IF(_xlpm.dn="","(after last class day)",_xlfn.LET(_xlpm.dd,_xlfn.XLOOKUP(_xlpm.dn+cfgRetestClassDays,nrCDnum,nrCDdate,""),_xlpm.ok,_xlfn.XLOOKUP(_xlpm.dn+cfgRetestClassDays,nrCDnum,nrCDinsession,"No"),IF(OR(_xlpm.dd="",_xlpm.ok&lt;&gt;"Yes"),"(after last class day)",_xlpm.dd))))))</f>
        <v/>
      </c>
      <c r="U1014" s="17">
        <f>IF($C1014="","",IF(AND($Y1014="Excused",$L1014="",N($K1014)&lt;=1),"EXCUSED - 1st attempt pending",IF(OR($L1014="",$K1014&lt;&gt;1,NOT(ISNUMBER($L1014)),$L1014&gt;=$J1014),"",IF(COUNTIFS(nrES_PID,$D1014,nrES_Code,$F1014,nrES_Att,2,nrES_Raw,"&gt;=0")&gt;0,IF(IFERROR(_xlfn.MINIFS(nrES_Date,nrES_PID,$D1014,nrES_Code,$F1014,nrES_Att,2,nrES_Raw,"&gt;=0",nrES_Date,"&gt;0"),0)=0,"RETEST UNDATED",IF(NOT(ISNUMBER($T1014)),"RETEST DATE UNCHECKED",IF(_xlfn.MINIFS(nrES_Date,nrES_PID,$D1014,nrES_Code,$F1014,nrES_Att,2,nrES_Raw,"&gt;=0",nrES_Date,"&gt;0")&gt;$T1014,"LATE RETEST "&amp;TEXT(_xlfn.MINIFS(nrES_Date,nrES_PID,$D1014,nrES_Code,$F1014,nrES_Att,2,nrES_Raw,"&gt;=0",nrES_Date,"&gt;0"),"mm/dd")&amp;" (due "&amp;TEXT($T1014,"mm/dd")&amp;")","Retested"))),IF(NOT(ISNUMBER($T1014)),"CHECK DATE",IF(TODAY()&gt;$T1014,"OVERDUE","Due "&amp;TEXT($T1014,"mm/dd")))))))</f>
        <v/>
      </c>
      <c r="V1014" s="16" t="n"/>
      <c r="W1014" s="16" t="n"/>
      <c r="X1014" s="17">
        <f>IF($C1014="","",IF(AND($L1014&lt;&gt;"",NOT(ISNUMBER($L1014))),"RAW SCORE NOT A NUMBER",IF(AND(ISNUMBER($L1014),OR($L1014&lt;0,$L1014&gt;100)),"RAW SCORE OUT OF RANGE",IF(AND($Y1014="Unexcused",OR($L1014="",NOT(ISNUMBER($L1014)),$L1014&lt;&gt;0)),"UNEXCUSED ABSENCE MUST RECORD 0",IF(COUNTIF(nrES_RecID,$B1014)&gt;1,"DUPLICATE RECORD",IF(N($K1014)&gt;2,"ATTEMPT 3+ NOT ALLOWED - policy 300.5 permits one retest per exam; this row records nothing",IF(AND($K1014=2,COUNTIFS(nrES_PID,$D1014,nrES_Code,$F1014,nrES_Att,1)=0),"ATTEMPT 2 WITHOUT ATTEMPT 1",IF(AND($K1014=2,$L1014=""),"RETEST ROW HAS NO SCORE",IF(AND($H1014="Final",$L1014&lt;&gt;"",IFERROR(INDEX(nrCKfinalExamElig,MATCH($D1014,rngCadetPIDs,0)),"")="No"),"FINAL EXAM AFTER FAILED FINAL PT (500.1.H)",IF(AND($K1014=2,ISNUMBER($L1014),COUNTIFS(nrES_PID,$D1014,nrES_Code,$F1014,nrES_Att,1)&gt;0,SUMIFS(nrES_Raw,nrES_PID,$D1014,nrES_Code,$F1014,nrES_Att,1)&gt;=$J1014),"RETEST AFTER A PASSING FIRST ATTEMPT","OK"))))))))))</f>
        <v/>
      </c>
      <c r="Y1014" s="16" t="n"/>
    </row>
    <row r="1015">
      <c r="B1015" s="17">
        <f>IF($C1015="","",$D1015&amp;"-"&amp;$F1015&amp;"-"&amp;$K1015)</f>
        <v/>
      </c>
      <c r="C1015" s="16" t="n"/>
      <c r="D1015" s="17">
        <f>IF($C1015="","",IFERROR(INDEX(rngCadetPIDs,MATCH($C1015,rngCadetNames,0)),"?"))</f>
        <v/>
      </c>
      <c r="E1015" s="17">
        <f>IF($D1015="","",IFERROR(INDEX(nrCadetAgency,MATCH($D1015,rngCadetPIDs,0)),""))</f>
        <v/>
      </c>
      <c r="F1015" s="16" t="n"/>
      <c r="G1015" s="17">
        <f>IF($F1015="","",IFERROR(INDEX(rngEPname,MATCH($F1015,rngEPcode,0)),"?"))</f>
        <v/>
      </c>
      <c r="H1015" s="17">
        <f>IF($F1015="","",IFERROR(INDEX(rngEPtype,MATCH($F1015,rngEPcode,0)),"?"))</f>
        <v/>
      </c>
      <c r="I1015" s="17">
        <f>IF($F1015="","",IFERROR(INDEX(rngEPseq,MATCH($F1015,rngEPcode,0)),""))</f>
        <v/>
      </c>
      <c r="J1015" s="17">
        <f>IF($F1015="","",IFERROR(INDEX(rngEPpass,MATCH($F1015,rngEPcode,0)),cfgPassingScore))</f>
        <v/>
      </c>
      <c r="K1015" s="16" t="n"/>
      <c r="L1015" s="16" t="n"/>
      <c r="M1015" s="17">
        <f>IF($C1015="","",IF($L1015="","",IF(NOT(ISNUMBER($L1015)),$L1015,IF(N($K1015)&gt;2,"",IF($K1015=1,IF(COUNTIFS(nrES_PID,$D1015,nrES_Code,$F1015,nrES_Att,2,nrES_Raw,"&gt;=0")&gt;0,"",$L1015),IF($L1015&gt;=$J1015,MAX($J1015,cfgRetakeRecordedCap),IF(COUNTIFS(nrES_PID,$D1015,nrES_Code,$F1015,nrES_Att,1)=0,$L1015,SUMIFS(nrES_Raw,nrES_PID,$D1015,nrES_Code,$F1015,nrES_Att,1))))))))</f>
        <v/>
      </c>
      <c r="N1015" s="17">
        <f>IF($C1015="","",IF($L1015="","",IF(NOT(ISNUMBER($L1015)),"(not a score)",IF($L1015&gt;=$J1015,"Yes","No"))))</f>
        <v/>
      </c>
      <c r="O1015" s="17">
        <f>IF($C1015="","",IF($M1015="","",IF(NOT(ISNUMBER($M1015)),"(not a score)",IF($M1015&gt;=$J1015,"Yes","No"))))</f>
        <v/>
      </c>
      <c r="P1015" s="17">
        <f>IF($C1015="","",IF($K1015="","",IF(N($K1015)&gt;2,"No",IF(COUNTIFS(nrES_PID,$D1015,nrES_Code,$F1015,nrES_Att,"&gt;"&amp;$K1015,nrES_Att,"&lt;=2",nrES_Raw,"&gt;=0")=0,"Yes","No"))))</f>
        <v/>
      </c>
      <c r="Q1015" s="17">
        <f>IF($C1015="","",IF($L1015="","",IF(AND($K1015=1,ISNUMBER($L1015),$L1015&lt;$J1015,COUNTIFS(nrES_PID,$D1015,nrES_Code,$F1015,nrES_Att,2,nrES_Raw,"&gt;=0")=0),"Yes","No")))</f>
        <v/>
      </c>
      <c r="R1015" s="17">
        <f>IF($C1015="","",IF($L1015="","",IF(AND(N($K1015)&gt;=2,ISNUMBER($L1015),$L1015&lt;$J1015),"Yes","No")))</f>
        <v/>
      </c>
      <c r="S1015" s="18" t="n"/>
      <c r="T1015" s="19">
        <f>IF(OR($C1015="",$L1015="",$K1015&lt;&gt;1,NOT(ISNUMBER($L1015)),$L1015&gt;=$J1015),"",IF($S1015="","(enter date)",_xlfn.LET(_xlpm.dn,_xlfn.XLOOKUP($S1015,nrCDdate,nrCDnum,"",1),IF(_xlpm.dn="","(after last class day)",_xlfn.LET(_xlpm.dd,_xlfn.XLOOKUP(_xlpm.dn+cfgRetestClassDays,nrCDnum,nrCDdate,""),_xlpm.ok,_xlfn.XLOOKUP(_xlpm.dn+cfgRetestClassDays,nrCDnum,nrCDinsession,"No"),IF(OR(_xlpm.dd="",_xlpm.ok&lt;&gt;"Yes"),"(after last class day)",_xlpm.dd))))))</f>
        <v/>
      </c>
      <c r="U1015" s="17">
        <f>IF($C1015="","",IF(AND($Y1015="Excused",$L1015="",N($K1015)&lt;=1),"EXCUSED - 1st attempt pending",IF(OR($L1015="",$K1015&lt;&gt;1,NOT(ISNUMBER($L1015)),$L1015&gt;=$J1015),"",IF(COUNTIFS(nrES_PID,$D1015,nrES_Code,$F1015,nrES_Att,2,nrES_Raw,"&gt;=0")&gt;0,IF(IFERROR(_xlfn.MINIFS(nrES_Date,nrES_PID,$D1015,nrES_Code,$F1015,nrES_Att,2,nrES_Raw,"&gt;=0",nrES_Date,"&gt;0"),0)=0,"RETEST UNDATED",IF(NOT(ISNUMBER($T1015)),"RETEST DATE UNCHECKED",IF(_xlfn.MINIFS(nrES_Date,nrES_PID,$D1015,nrES_Code,$F1015,nrES_Att,2,nrES_Raw,"&gt;=0",nrES_Date,"&gt;0")&gt;$T1015,"LATE RETEST "&amp;TEXT(_xlfn.MINIFS(nrES_Date,nrES_PID,$D1015,nrES_Code,$F1015,nrES_Att,2,nrES_Raw,"&gt;=0",nrES_Date,"&gt;0"),"mm/dd")&amp;" (due "&amp;TEXT($T1015,"mm/dd")&amp;")","Retested"))),IF(NOT(ISNUMBER($T1015)),"CHECK DATE",IF(TODAY()&gt;$T1015,"OVERDUE","Due "&amp;TEXT($T1015,"mm/dd")))))))</f>
        <v/>
      </c>
      <c r="V1015" s="16" t="n"/>
      <c r="W1015" s="16" t="n"/>
      <c r="X1015" s="17">
        <f>IF($C1015="","",IF(AND($L1015&lt;&gt;"",NOT(ISNUMBER($L1015))),"RAW SCORE NOT A NUMBER",IF(AND(ISNUMBER($L1015),OR($L1015&lt;0,$L1015&gt;100)),"RAW SCORE OUT OF RANGE",IF(AND($Y1015="Unexcused",OR($L1015="",NOT(ISNUMBER($L1015)),$L1015&lt;&gt;0)),"UNEXCUSED ABSENCE MUST RECORD 0",IF(COUNTIF(nrES_RecID,$B1015)&gt;1,"DUPLICATE RECORD",IF(N($K1015)&gt;2,"ATTEMPT 3+ NOT ALLOWED - policy 300.5 permits one retest per exam; this row records nothing",IF(AND($K1015=2,COUNTIFS(nrES_PID,$D1015,nrES_Code,$F1015,nrES_Att,1)=0),"ATTEMPT 2 WITHOUT ATTEMPT 1",IF(AND($K1015=2,$L1015=""),"RETEST ROW HAS NO SCORE",IF(AND($H1015="Final",$L1015&lt;&gt;"",IFERROR(INDEX(nrCKfinalExamElig,MATCH($D1015,rngCadetPIDs,0)),"")="No"),"FINAL EXAM AFTER FAILED FINAL PT (500.1.H)",IF(AND($K1015=2,ISNUMBER($L1015),COUNTIFS(nrES_PID,$D1015,nrES_Code,$F1015,nrES_Att,1)&gt;0,SUMIFS(nrES_Raw,nrES_PID,$D1015,nrES_Code,$F1015,nrES_Att,1)&gt;=$J1015),"RETEST AFTER A PASSING FIRST ATTEMPT","OK"))))))))))</f>
        <v/>
      </c>
      <c r="Y1015" s="16" t="n"/>
    </row>
    <row r="1016">
      <c r="B1016" s="17">
        <f>IF($C1016="","",$D1016&amp;"-"&amp;$F1016&amp;"-"&amp;$K1016)</f>
        <v/>
      </c>
      <c r="C1016" s="16" t="n"/>
      <c r="D1016" s="17">
        <f>IF($C1016="","",IFERROR(INDEX(rngCadetPIDs,MATCH($C1016,rngCadetNames,0)),"?"))</f>
        <v/>
      </c>
      <c r="E1016" s="17">
        <f>IF($D1016="","",IFERROR(INDEX(nrCadetAgency,MATCH($D1016,rngCadetPIDs,0)),""))</f>
        <v/>
      </c>
      <c r="F1016" s="16" t="n"/>
      <c r="G1016" s="17">
        <f>IF($F1016="","",IFERROR(INDEX(rngEPname,MATCH($F1016,rngEPcode,0)),"?"))</f>
        <v/>
      </c>
      <c r="H1016" s="17">
        <f>IF($F1016="","",IFERROR(INDEX(rngEPtype,MATCH($F1016,rngEPcode,0)),"?"))</f>
        <v/>
      </c>
      <c r="I1016" s="17">
        <f>IF($F1016="","",IFERROR(INDEX(rngEPseq,MATCH($F1016,rngEPcode,0)),""))</f>
        <v/>
      </c>
      <c r="J1016" s="17">
        <f>IF($F1016="","",IFERROR(INDEX(rngEPpass,MATCH($F1016,rngEPcode,0)),cfgPassingScore))</f>
        <v/>
      </c>
      <c r="K1016" s="16" t="n"/>
      <c r="L1016" s="16" t="n"/>
      <c r="M1016" s="17">
        <f>IF($C1016="","",IF($L1016="","",IF(NOT(ISNUMBER($L1016)),$L1016,IF(N($K1016)&gt;2,"",IF($K1016=1,IF(COUNTIFS(nrES_PID,$D1016,nrES_Code,$F1016,nrES_Att,2,nrES_Raw,"&gt;=0")&gt;0,"",$L1016),IF($L1016&gt;=$J1016,MAX($J1016,cfgRetakeRecordedCap),IF(COUNTIFS(nrES_PID,$D1016,nrES_Code,$F1016,nrES_Att,1)=0,$L1016,SUMIFS(nrES_Raw,nrES_PID,$D1016,nrES_Code,$F1016,nrES_Att,1))))))))</f>
        <v/>
      </c>
      <c r="N1016" s="17">
        <f>IF($C1016="","",IF($L1016="","",IF(NOT(ISNUMBER($L1016)),"(not a score)",IF($L1016&gt;=$J1016,"Yes","No"))))</f>
        <v/>
      </c>
      <c r="O1016" s="17">
        <f>IF($C1016="","",IF($M1016="","",IF(NOT(ISNUMBER($M1016)),"(not a score)",IF($M1016&gt;=$J1016,"Yes","No"))))</f>
        <v/>
      </c>
      <c r="P1016" s="17">
        <f>IF($C1016="","",IF($K1016="","",IF(N($K1016)&gt;2,"No",IF(COUNTIFS(nrES_PID,$D1016,nrES_Code,$F1016,nrES_Att,"&gt;"&amp;$K1016,nrES_Att,"&lt;=2",nrES_Raw,"&gt;=0")=0,"Yes","No"))))</f>
        <v/>
      </c>
      <c r="Q1016" s="17">
        <f>IF($C1016="","",IF($L1016="","",IF(AND($K1016=1,ISNUMBER($L1016),$L1016&lt;$J1016,COUNTIFS(nrES_PID,$D1016,nrES_Code,$F1016,nrES_Att,2,nrES_Raw,"&gt;=0")=0),"Yes","No")))</f>
        <v/>
      </c>
      <c r="R1016" s="17">
        <f>IF($C1016="","",IF($L1016="","",IF(AND(N($K1016)&gt;=2,ISNUMBER($L1016),$L1016&lt;$J1016),"Yes","No")))</f>
        <v/>
      </c>
      <c r="S1016" s="18" t="n"/>
      <c r="T1016" s="19">
        <f>IF(OR($C1016="",$L1016="",$K1016&lt;&gt;1,NOT(ISNUMBER($L1016)),$L1016&gt;=$J1016),"",IF($S1016="","(enter date)",_xlfn.LET(_xlpm.dn,_xlfn.XLOOKUP($S1016,nrCDdate,nrCDnum,"",1),IF(_xlpm.dn="","(after last class day)",_xlfn.LET(_xlpm.dd,_xlfn.XLOOKUP(_xlpm.dn+cfgRetestClassDays,nrCDnum,nrCDdate,""),_xlpm.ok,_xlfn.XLOOKUP(_xlpm.dn+cfgRetestClassDays,nrCDnum,nrCDinsession,"No"),IF(OR(_xlpm.dd="",_xlpm.ok&lt;&gt;"Yes"),"(after last class day)",_xlpm.dd))))))</f>
        <v/>
      </c>
      <c r="U1016" s="17">
        <f>IF($C1016="","",IF(AND($Y1016="Excused",$L1016="",N($K1016)&lt;=1),"EXCUSED - 1st attempt pending",IF(OR($L1016="",$K1016&lt;&gt;1,NOT(ISNUMBER($L1016)),$L1016&gt;=$J1016),"",IF(COUNTIFS(nrES_PID,$D1016,nrES_Code,$F1016,nrES_Att,2,nrES_Raw,"&gt;=0")&gt;0,IF(IFERROR(_xlfn.MINIFS(nrES_Date,nrES_PID,$D1016,nrES_Code,$F1016,nrES_Att,2,nrES_Raw,"&gt;=0",nrES_Date,"&gt;0"),0)=0,"RETEST UNDATED",IF(NOT(ISNUMBER($T1016)),"RETEST DATE UNCHECKED",IF(_xlfn.MINIFS(nrES_Date,nrES_PID,$D1016,nrES_Code,$F1016,nrES_Att,2,nrES_Raw,"&gt;=0",nrES_Date,"&gt;0")&gt;$T1016,"LATE RETEST "&amp;TEXT(_xlfn.MINIFS(nrES_Date,nrES_PID,$D1016,nrES_Code,$F1016,nrES_Att,2,nrES_Raw,"&gt;=0",nrES_Date,"&gt;0"),"mm/dd")&amp;" (due "&amp;TEXT($T1016,"mm/dd")&amp;")","Retested"))),IF(NOT(ISNUMBER($T1016)),"CHECK DATE",IF(TODAY()&gt;$T1016,"OVERDUE","Due "&amp;TEXT($T1016,"mm/dd")))))))</f>
        <v/>
      </c>
      <c r="V1016" s="16" t="n"/>
      <c r="W1016" s="16" t="n"/>
      <c r="X1016" s="17">
        <f>IF($C1016="","",IF(AND($L1016&lt;&gt;"",NOT(ISNUMBER($L1016))),"RAW SCORE NOT A NUMBER",IF(AND(ISNUMBER($L1016),OR($L1016&lt;0,$L1016&gt;100)),"RAW SCORE OUT OF RANGE",IF(AND($Y1016="Unexcused",OR($L1016="",NOT(ISNUMBER($L1016)),$L1016&lt;&gt;0)),"UNEXCUSED ABSENCE MUST RECORD 0",IF(COUNTIF(nrES_RecID,$B1016)&gt;1,"DUPLICATE RECORD",IF(N($K1016)&gt;2,"ATTEMPT 3+ NOT ALLOWED - policy 300.5 permits one retest per exam; this row records nothing",IF(AND($K1016=2,COUNTIFS(nrES_PID,$D1016,nrES_Code,$F1016,nrES_Att,1)=0),"ATTEMPT 2 WITHOUT ATTEMPT 1",IF(AND($K1016=2,$L1016=""),"RETEST ROW HAS NO SCORE",IF(AND($H1016="Final",$L1016&lt;&gt;"",IFERROR(INDEX(nrCKfinalExamElig,MATCH($D1016,rngCadetPIDs,0)),"")="No"),"FINAL EXAM AFTER FAILED FINAL PT (500.1.H)",IF(AND($K1016=2,ISNUMBER($L1016),COUNTIFS(nrES_PID,$D1016,nrES_Code,$F1016,nrES_Att,1)&gt;0,SUMIFS(nrES_Raw,nrES_PID,$D1016,nrES_Code,$F1016,nrES_Att,1)&gt;=$J1016),"RETEST AFTER A PASSING FIRST ATTEMPT","OK"))))))))))</f>
        <v/>
      </c>
      <c r="Y1016" s="16" t="n"/>
    </row>
    <row r="1017">
      <c r="B1017" s="17">
        <f>IF($C1017="","",$D1017&amp;"-"&amp;$F1017&amp;"-"&amp;$K1017)</f>
        <v/>
      </c>
      <c r="C1017" s="16" t="n"/>
      <c r="D1017" s="17">
        <f>IF($C1017="","",IFERROR(INDEX(rngCadetPIDs,MATCH($C1017,rngCadetNames,0)),"?"))</f>
        <v/>
      </c>
      <c r="E1017" s="17">
        <f>IF($D1017="","",IFERROR(INDEX(nrCadetAgency,MATCH($D1017,rngCadetPIDs,0)),""))</f>
        <v/>
      </c>
      <c r="F1017" s="16" t="n"/>
      <c r="G1017" s="17">
        <f>IF($F1017="","",IFERROR(INDEX(rngEPname,MATCH($F1017,rngEPcode,0)),"?"))</f>
        <v/>
      </c>
      <c r="H1017" s="17">
        <f>IF($F1017="","",IFERROR(INDEX(rngEPtype,MATCH($F1017,rngEPcode,0)),"?"))</f>
        <v/>
      </c>
      <c r="I1017" s="17">
        <f>IF($F1017="","",IFERROR(INDEX(rngEPseq,MATCH($F1017,rngEPcode,0)),""))</f>
        <v/>
      </c>
      <c r="J1017" s="17">
        <f>IF($F1017="","",IFERROR(INDEX(rngEPpass,MATCH($F1017,rngEPcode,0)),cfgPassingScore))</f>
        <v/>
      </c>
      <c r="K1017" s="16" t="n"/>
      <c r="L1017" s="16" t="n"/>
      <c r="M1017" s="17">
        <f>IF($C1017="","",IF($L1017="","",IF(NOT(ISNUMBER($L1017)),$L1017,IF(N($K1017)&gt;2,"",IF($K1017=1,IF(COUNTIFS(nrES_PID,$D1017,nrES_Code,$F1017,nrES_Att,2,nrES_Raw,"&gt;=0")&gt;0,"",$L1017),IF($L1017&gt;=$J1017,MAX($J1017,cfgRetakeRecordedCap),IF(COUNTIFS(nrES_PID,$D1017,nrES_Code,$F1017,nrES_Att,1)=0,$L1017,SUMIFS(nrES_Raw,nrES_PID,$D1017,nrES_Code,$F1017,nrES_Att,1))))))))</f>
        <v/>
      </c>
      <c r="N1017" s="17">
        <f>IF($C1017="","",IF($L1017="","",IF(NOT(ISNUMBER($L1017)),"(not a score)",IF($L1017&gt;=$J1017,"Yes","No"))))</f>
        <v/>
      </c>
      <c r="O1017" s="17">
        <f>IF($C1017="","",IF($M1017="","",IF(NOT(ISNUMBER($M1017)),"(not a score)",IF($M1017&gt;=$J1017,"Yes","No"))))</f>
        <v/>
      </c>
      <c r="P1017" s="17">
        <f>IF($C1017="","",IF($K1017="","",IF(N($K1017)&gt;2,"No",IF(COUNTIFS(nrES_PID,$D1017,nrES_Code,$F1017,nrES_Att,"&gt;"&amp;$K1017,nrES_Att,"&lt;=2",nrES_Raw,"&gt;=0")=0,"Yes","No"))))</f>
        <v/>
      </c>
      <c r="Q1017" s="17">
        <f>IF($C1017="","",IF($L1017="","",IF(AND($K1017=1,ISNUMBER($L1017),$L1017&lt;$J1017,COUNTIFS(nrES_PID,$D1017,nrES_Code,$F1017,nrES_Att,2,nrES_Raw,"&gt;=0")=0),"Yes","No")))</f>
        <v/>
      </c>
      <c r="R1017" s="17">
        <f>IF($C1017="","",IF($L1017="","",IF(AND(N($K1017)&gt;=2,ISNUMBER($L1017),$L1017&lt;$J1017),"Yes","No")))</f>
        <v/>
      </c>
      <c r="S1017" s="18" t="n"/>
      <c r="T1017" s="19">
        <f>IF(OR($C1017="",$L1017="",$K1017&lt;&gt;1,NOT(ISNUMBER($L1017)),$L1017&gt;=$J1017),"",IF($S1017="","(enter date)",_xlfn.LET(_xlpm.dn,_xlfn.XLOOKUP($S1017,nrCDdate,nrCDnum,"",1),IF(_xlpm.dn="","(after last class day)",_xlfn.LET(_xlpm.dd,_xlfn.XLOOKUP(_xlpm.dn+cfgRetestClassDays,nrCDnum,nrCDdate,""),_xlpm.ok,_xlfn.XLOOKUP(_xlpm.dn+cfgRetestClassDays,nrCDnum,nrCDinsession,"No"),IF(OR(_xlpm.dd="",_xlpm.ok&lt;&gt;"Yes"),"(after last class day)",_xlpm.dd))))))</f>
        <v/>
      </c>
      <c r="U1017" s="17">
        <f>IF($C1017="","",IF(AND($Y1017="Excused",$L1017="",N($K1017)&lt;=1),"EXCUSED - 1st attempt pending",IF(OR($L1017="",$K1017&lt;&gt;1,NOT(ISNUMBER($L1017)),$L1017&gt;=$J1017),"",IF(COUNTIFS(nrES_PID,$D1017,nrES_Code,$F1017,nrES_Att,2,nrES_Raw,"&gt;=0")&gt;0,IF(IFERROR(_xlfn.MINIFS(nrES_Date,nrES_PID,$D1017,nrES_Code,$F1017,nrES_Att,2,nrES_Raw,"&gt;=0",nrES_Date,"&gt;0"),0)=0,"RETEST UNDATED",IF(NOT(ISNUMBER($T1017)),"RETEST DATE UNCHECKED",IF(_xlfn.MINIFS(nrES_Date,nrES_PID,$D1017,nrES_Code,$F1017,nrES_Att,2,nrES_Raw,"&gt;=0",nrES_Date,"&gt;0")&gt;$T1017,"LATE RETEST "&amp;TEXT(_xlfn.MINIFS(nrES_Date,nrES_PID,$D1017,nrES_Code,$F1017,nrES_Att,2,nrES_Raw,"&gt;=0",nrES_Date,"&gt;0"),"mm/dd")&amp;" (due "&amp;TEXT($T1017,"mm/dd")&amp;")","Retested"))),IF(NOT(ISNUMBER($T1017)),"CHECK DATE",IF(TODAY()&gt;$T1017,"OVERDUE","Due "&amp;TEXT($T1017,"mm/dd")))))))</f>
        <v/>
      </c>
      <c r="V1017" s="16" t="n"/>
      <c r="W1017" s="16" t="n"/>
      <c r="X1017" s="17">
        <f>IF($C1017="","",IF(AND($L1017&lt;&gt;"",NOT(ISNUMBER($L1017))),"RAW SCORE NOT A NUMBER",IF(AND(ISNUMBER($L1017),OR($L1017&lt;0,$L1017&gt;100)),"RAW SCORE OUT OF RANGE",IF(AND($Y1017="Unexcused",OR($L1017="",NOT(ISNUMBER($L1017)),$L1017&lt;&gt;0)),"UNEXCUSED ABSENCE MUST RECORD 0",IF(COUNTIF(nrES_RecID,$B1017)&gt;1,"DUPLICATE RECORD",IF(N($K1017)&gt;2,"ATTEMPT 3+ NOT ALLOWED - policy 300.5 permits one retest per exam; this row records nothing",IF(AND($K1017=2,COUNTIFS(nrES_PID,$D1017,nrES_Code,$F1017,nrES_Att,1)=0),"ATTEMPT 2 WITHOUT ATTEMPT 1",IF(AND($K1017=2,$L1017=""),"RETEST ROW HAS NO SCORE",IF(AND($H1017="Final",$L1017&lt;&gt;"",IFERROR(INDEX(nrCKfinalExamElig,MATCH($D1017,rngCadetPIDs,0)),"")="No"),"FINAL EXAM AFTER FAILED FINAL PT (500.1.H)",IF(AND($K1017=2,ISNUMBER($L1017),COUNTIFS(nrES_PID,$D1017,nrES_Code,$F1017,nrES_Att,1)&gt;0,SUMIFS(nrES_Raw,nrES_PID,$D1017,nrES_Code,$F1017,nrES_Att,1)&gt;=$J1017),"RETEST AFTER A PASSING FIRST ATTEMPT","OK"))))))))))</f>
        <v/>
      </c>
      <c r="Y1017" s="16" t="n"/>
    </row>
    <row r="1018">
      <c r="B1018" s="17">
        <f>IF($C1018="","",$D1018&amp;"-"&amp;$F1018&amp;"-"&amp;$K1018)</f>
        <v/>
      </c>
      <c r="C1018" s="16" t="n"/>
      <c r="D1018" s="17">
        <f>IF($C1018="","",IFERROR(INDEX(rngCadetPIDs,MATCH($C1018,rngCadetNames,0)),"?"))</f>
        <v/>
      </c>
      <c r="E1018" s="17">
        <f>IF($D1018="","",IFERROR(INDEX(nrCadetAgency,MATCH($D1018,rngCadetPIDs,0)),""))</f>
        <v/>
      </c>
      <c r="F1018" s="16" t="n"/>
      <c r="G1018" s="17">
        <f>IF($F1018="","",IFERROR(INDEX(rngEPname,MATCH($F1018,rngEPcode,0)),"?"))</f>
        <v/>
      </c>
      <c r="H1018" s="17">
        <f>IF($F1018="","",IFERROR(INDEX(rngEPtype,MATCH($F1018,rngEPcode,0)),"?"))</f>
        <v/>
      </c>
      <c r="I1018" s="17">
        <f>IF($F1018="","",IFERROR(INDEX(rngEPseq,MATCH($F1018,rngEPcode,0)),""))</f>
        <v/>
      </c>
      <c r="J1018" s="17">
        <f>IF($F1018="","",IFERROR(INDEX(rngEPpass,MATCH($F1018,rngEPcode,0)),cfgPassingScore))</f>
        <v/>
      </c>
      <c r="K1018" s="16" t="n"/>
      <c r="L1018" s="16" t="n"/>
      <c r="M1018" s="17">
        <f>IF($C1018="","",IF($L1018="","",IF(NOT(ISNUMBER($L1018)),$L1018,IF(N($K1018)&gt;2,"",IF($K1018=1,IF(COUNTIFS(nrES_PID,$D1018,nrES_Code,$F1018,nrES_Att,2,nrES_Raw,"&gt;=0")&gt;0,"",$L1018),IF($L1018&gt;=$J1018,MAX($J1018,cfgRetakeRecordedCap),IF(COUNTIFS(nrES_PID,$D1018,nrES_Code,$F1018,nrES_Att,1)=0,$L1018,SUMIFS(nrES_Raw,nrES_PID,$D1018,nrES_Code,$F1018,nrES_Att,1))))))))</f>
        <v/>
      </c>
      <c r="N1018" s="17">
        <f>IF($C1018="","",IF($L1018="","",IF(NOT(ISNUMBER($L1018)),"(not a score)",IF($L1018&gt;=$J1018,"Yes","No"))))</f>
        <v/>
      </c>
      <c r="O1018" s="17">
        <f>IF($C1018="","",IF($M1018="","",IF(NOT(ISNUMBER($M1018)),"(not a score)",IF($M1018&gt;=$J1018,"Yes","No"))))</f>
        <v/>
      </c>
      <c r="P1018" s="17">
        <f>IF($C1018="","",IF($K1018="","",IF(N($K1018)&gt;2,"No",IF(COUNTIFS(nrES_PID,$D1018,nrES_Code,$F1018,nrES_Att,"&gt;"&amp;$K1018,nrES_Att,"&lt;=2",nrES_Raw,"&gt;=0")=0,"Yes","No"))))</f>
        <v/>
      </c>
      <c r="Q1018" s="17">
        <f>IF($C1018="","",IF($L1018="","",IF(AND($K1018=1,ISNUMBER($L1018),$L1018&lt;$J1018,COUNTIFS(nrES_PID,$D1018,nrES_Code,$F1018,nrES_Att,2,nrES_Raw,"&gt;=0")=0),"Yes","No")))</f>
        <v/>
      </c>
      <c r="R1018" s="17">
        <f>IF($C1018="","",IF($L1018="","",IF(AND(N($K1018)&gt;=2,ISNUMBER($L1018),$L1018&lt;$J1018),"Yes","No")))</f>
        <v/>
      </c>
      <c r="S1018" s="18" t="n"/>
      <c r="T1018" s="19">
        <f>IF(OR($C1018="",$L1018="",$K1018&lt;&gt;1,NOT(ISNUMBER($L1018)),$L1018&gt;=$J1018),"",IF($S1018="","(enter date)",_xlfn.LET(_xlpm.dn,_xlfn.XLOOKUP($S1018,nrCDdate,nrCDnum,"",1),IF(_xlpm.dn="","(after last class day)",_xlfn.LET(_xlpm.dd,_xlfn.XLOOKUP(_xlpm.dn+cfgRetestClassDays,nrCDnum,nrCDdate,""),_xlpm.ok,_xlfn.XLOOKUP(_xlpm.dn+cfgRetestClassDays,nrCDnum,nrCDinsession,"No"),IF(OR(_xlpm.dd="",_xlpm.ok&lt;&gt;"Yes"),"(after last class day)",_xlpm.dd))))))</f>
        <v/>
      </c>
      <c r="U1018" s="17">
        <f>IF($C1018="","",IF(AND($Y1018="Excused",$L1018="",N($K1018)&lt;=1),"EXCUSED - 1st attempt pending",IF(OR($L1018="",$K1018&lt;&gt;1,NOT(ISNUMBER($L1018)),$L1018&gt;=$J1018),"",IF(COUNTIFS(nrES_PID,$D1018,nrES_Code,$F1018,nrES_Att,2,nrES_Raw,"&gt;=0")&gt;0,IF(IFERROR(_xlfn.MINIFS(nrES_Date,nrES_PID,$D1018,nrES_Code,$F1018,nrES_Att,2,nrES_Raw,"&gt;=0",nrES_Date,"&gt;0"),0)=0,"RETEST UNDATED",IF(NOT(ISNUMBER($T1018)),"RETEST DATE UNCHECKED",IF(_xlfn.MINIFS(nrES_Date,nrES_PID,$D1018,nrES_Code,$F1018,nrES_Att,2,nrES_Raw,"&gt;=0",nrES_Date,"&gt;0")&gt;$T1018,"LATE RETEST "&amp;TEXT(_xlfn.MINIFS(nrES_Date,nrES_PID,$D1018,nrES_Code,$F1018,nrES_Att,2,nrES_Raw,"&gt;=0",nrES_Date,"&gt;0"),"mm/dd")&amp;" (due "&amp;TEXT($T1018,"mm/dd")&amp;")","Retested"))),IF(NOT(ISNUMBER($T1018)),"CHECK DATE",IF(TODAY()&gt;$T1018,"OVERDUE","Due "&amp;TEXT($T1018,"mm/dd")))))))</f>
        <v/>
      </c>
      <c r="V1018" s="16" t="n"/>
      <c r="W1018" s="16" t="n"/>
      <c r="X1018" s="17">
        <f>IF($C1018="","",IF(AND($L1018&lt;&gt;"",NOT(ISNUMBER($L1018))),"RAW SCORE NOT A NUMBER",IF(AND(ISNUMBER($L1018),OR($L1018&lt;0,$L1018&gt;100)),"RAW SCORE OUT OF RANGE",IF(AND($Y1018="Unexcused",OR($L1018="",NOT(ISNUMBER($L1018)),$L1018&lt;&gt;0)),"UNEXCUSED ABSENCE MUST RECORD 0",IF(COUNTIF(nrES_RecID,$B1018)&gt;1,"DUPLICATE RECORD",IF(N($K1018)&gt;2,"ATTEMPT 3+ NOT ALLOWED - policy 300.5 permits one retest per exam; this row records nothing",IF(AND($K1018=2,COUNTIFS(nrES_PID,$D1018,nrES_Code,$F1018,nrES_Att,1)=0),"ATTEMPT 2 WITHOUT ATTEMPT 1",IF(AND($K1018=2,$L1018=""),"RETEST ROW HAS NO SCORE",IF(AND($H1018="Final",$L1018&lt;&gt;"",IFERROR(INDEX(nrCKfinalExamElig,MATCH($D1018,rngCadetPIDs,0)),"")="No"),"FINAL EXAM AFTER FAILED FINAL PT (500.1.H)",IF(AND($K1018=2,ISNUMBER($L1018),COUNTIFS(nrES_PID,$D1018,nrES_Code,$F1018,nrES_Att,1)&gt;0,SUMIFS(nrES_Raw,nrES_PID,$D1018,nrES_Code,$F1018,nrES_Att,1)&gt;=$J1018),"RETEST AFTER A PASSING FIRST ATTEMPT","OK"))))))))))</f>
        <v/>
      </c>
      <c r="Y1018" s="16" t="n"/>
    </row>
    <row r="1019">
      <c r="B1019" s="17">
        <f>IF($C1019="","",$D1019&amp;"-"&amp;$F1019&amp;"-"&amp;$K1019)</f>
        <v/>
      </c>
      <c r="C1019" s="16" t="n"/>
      <c r="D1019" s="17">
        <f>IF($C1019="","",IFERROR(INDEX(rngCadetPIDs,MATCH($C1019,rngCadetNames,0)),"?"))</f>
        <v/>
      </c>
      <c r="E1019" s="17">
        <f>IF($D1019="","",IFERROR(INDEX(nrCadetAgency,MATCH($D1019,rngCadetPIDs,0)),""))</f>
        <v/>
      </c>
      <c r="F1019" s="16" t="n"/>
      <c r="G1019" s="17">
        <f>IF($F1019="","",IFERROR(INDEX(rngEPname,MATCH($F1019,rngEPcode,0)),"?"))</f>
        <v/>
      </c>
      <c r="H1019" s="17">
        <f>IF($F1019="","",IFERROR(INDEX(rngEPtype,MATCH($F1019,rngEPcode,0)),"?"))</f>
        <v/>
      </c>
      <c r="I1019" s="17">
        <f>IF($F1019="","",IFERROR(INDEX(rngEPseq,MATCH($F1019,rngEPcode,0)),""))</f>
        <v/>
      </c>
      <c r="J1019" s="17">
        <f>IF($F1019="","",IFERROR(INDEX(rngEPpass,MATCH($F1019,rngEPcode,0)),cfgPassingScore))</f>
        <v/>
      </c>
      <c r="K1019" s="16" t="n"/>
      <c r="L1019" s="16" t="n"/>
      <c r="M1019" s="17">
        <f>IF($C1019="","",IF($L1019="","",IF(NOT(ISNUMBER($L1019)),$L1019,IF(N($K1019)&gt;2,"",IF($K1019=1,IF(COUNTIFS(nrES_PID,$D1019,nrES_Code,$F1019,nrES_Att,2,nrES_Raw,"&gt;=0")&gt;0,"",$L1019),IF($L1019&gt;=$J1019,MAX($J1019,cfgRetakeRecordedCap),IF(COUNTIFS(nrES_PID,$D1019,nrES_Code,$F1019,nrES_Att,1)=0,$L1019,SUMIFS(nrES_Raw,nrES_PID,$D1019,nrES_Code,$F1019,nrES_Att,1))))))))</f>
        <v/>
      </c>
      <c r="N1019" s="17">
        <f>IF($C1019="","",IF($L1019="","",IF(NOT(ISNUMBER($L1019)),"(not a score)",IF($L1019&gt;=$J1019,"Yes","No"))))</f>
        <v/>
      </c>
      <c r="O1019" s="17">
        <f>IF($C1019="","",IF($M1019="","",IF(NOT(ISNUMBER($M1019)),"(not a score)",IF($M1019&gt;=$J1019,"Yes","No"))))</f>
        <v/>
      </c>
      <c r="P1019" s="17">
        <f>IF($C1019="","",IF($K1019="","",IF(N($K1019)&gt;2,"No",IF(COUNTIFS(nrES_PID,$D1019,nrES_Code,$F1019,nrES_Att,"&gt;"&amp;$K1019,nrES_Att,"&lt;=2",nrES_Raw,"&gt;=0")=0,"Yes","No"))))</f>
        <v/>
      </c>
      <c r="Q1019" s="17">
        <f>IF($C1019="","",IF($L1019="","",IF(AND($K1019=1,ISNUMBER($L1019),$L1019&lt;$J1019,COUNTIFS(nrES_PID,$D1019,nrES_Code,$F1019,nrES_Att,2,nrES_Raw,"&gt;=0")=0),"Yes","No")))</f>
        <v/>
      </c>
      <c r="R1019" s="17">
        <f>IF($C1019="","",IF($L1019="","",IF(AND(N($K1019)&gt;=2,ISNUMBER($L1019),$L1019&lt;$J1019),"Yes","No")))</f>
        <v/>
      </c>
      <c r="S1019" s="18" t="n"/>
      <c r="T1019" s="19">
        <f>IF(OR($C1019="",$L1019="",$K1019&lt;&gt;1,NOT(ISNUMBER($L1019)),$L1019&gt;=$J1019),"",IF($S1019="","(enter date)",_xlfn.LET(_xlpm.dn,_xlfn.XLOOKUP($S1019,nrCDdate,nrCDnum,"",1),IF(_xlpm.dn="","(after last class day)",_xlfn.LET(_xlpm.dd,_xlfn.XLOOKUP(_xlpm.dn+cfgRetestClassDays,nrCDnum,nrCDdate,""),_xlpm.ok,_xlfn.XLOOKUP(_xlpm.dn+cfgRetestClassDays,nrCDnum,nrCDinsession,"No"),IF(OR(_xlpm.dd="",_xlpm.ok&lt;&gt;"Yes"),"(after last class day)",_xlpm.dd))))))</f>
        <v/>
      </c>
      <c r="U1019" s="17">
        <f>IF($C1019="","",IF(AND($Y1019="Excused",$L1019="",N($K1019)&lt;=1),"EXCUSED - 1st attempt pending",IF(OR($L1019="",$K1019&lt;&gt;1,NOT(ISNUMBER($L1019)),$L1019&gt;=$J1019),"",IF(COUNTIFS(nrES_PID,$D1019,nrES_Code,$F1019,nrES_Att,2,nrES_Raw,"&gt;=0")&gt;0,IF(IFERROR(_xlfn.MINIFS(nrES_Date,nrES_PID,$D1019,nrES_Code,$F1019,nrES_Att,2,nrES_Raw,"&gt;=0",nrES_Date,"&gt;0"),0)=0,"RETEST UNDATED",IF(NOT(ISNUMBER($T1019)),"RETEST DATE UNCHECKED",IF(_xlfn.MINIFS(nrES_Date,nrES_PID,$D1019,nrES_Code,$F1019,nrES_Att,2,nrES_Raw,"&gt;=0",nrES_Date,"&gt;0")&gt;$T1019,"LATE RETEST "&amp;TEXT(_xlfn.MINIFS(nrES_Date,nrES_PID,$D1019,nrES_Code,$F1019,nrES_Att,2,nrES_Raw,"&gt;=0",nrES_Date,"&gt;0"),"mm/dd")&amp;" (due "&amp;TEXT($T1019,"mm/dd")&amp;")","Retested"))),IF(NOT(ISNUMBER($T1019)),"CHECK DATE",IF(TODAY()&gt;$T1019,"OVERDUE","Due "&amp;TEXT($T1019,"mm/dd")))))))</f>
        <v/>
      </c>
      <c r="V1019" s="16" t="n"/>
      <c r="W1019" s="16" t="n"/>
      <c r="X1019" s="17">
        <f>IF($C1019="","",IF(AND($L1019&lt;&gt;"",NOT(ISNUMBER($L1019))),"RAW SCORE NOT A NUMBER",IF(AND(ISNUMBER($L1019),OR($L1019&lt;0,$L1019&gt;100)),"RAW SCORE OUT OF RANGE",IF(AND($Y1019="Unexcused",OR($L1019="",NOT(ISNUMBER($L1019)),$L1019&lt;&gt;0)),"UNEXCUSED ABSENCE MUST RECORD 0",IF(COUNTIF(nrES_RecID,$B1019)&gt;1,"DUPLICATE RECORD",IF(N($K1019)&gt;2,"ATTEMPT 3+ NOT ALLOWED - policy 300.5 permits one retest per exam; this row records nothing",IF(AND($K1019=2,COUNTIFS(nrES_PID,$D1019,nrES_Code,$F1019,nrES_Att,1)=0),"ATTEMPT 2 WITHOUT ATTEMPT 1",IF(AND($K1019=2,$L1019=""),"RETEST ROW HAS NO SCORE",IF(AND($H1019="Final",$L1019&lt;&gt;"",IFERROR(INDEX(nrCKfinalExamElig,MATCH($D1019,rngCadetPIDs,0)),"")="No"),"FINAL EXAM AFTER FAILED FINAL PT (500.1.H)",IF(AND($K1019=2,ISNUMBER($L1019),COUNTIFS(nrES_PID,$D1019,nrES_Code,$F1019,nrES_Att,1)&gt;0,SUMIFS(nrES_Raw,nrES_PID,$D1019,nrES_Code,$F1019,nrES_Att,1)&gt;=$J1019),"RETEST AFTER A PASSING FIRST ATTEMPT","OK"))))))))))</f>
        <v/>
      </c>
      <c r="Y1019" s="16" t="n"/>
    </row>
    <row r="1020">
      <c r="B1020" s="17">
        <f>IF($C1020="","",$D1020&amp;"-"&amp;$F1020&amp;"-"&amp;$K1020)</f>
        <v/>
      </c>
      <c r="C1020" s="16" t="n"/>
      <c r="D1020" s="17">
        <f>IF($C1020="","",IFERROR(INDEX(rngCadetPIDs,MATCH($C1020,rngCadetNames,0)),"?"))</f>
        <v/>
      </c>
      <c r="E1020" s="17">
        <f>IF($D1020="","",IFERROR(INDEX(nrCadetAgency,MATCH($D1020,rngCadetPIDs,0)),""))</f>
        <v/>
      </c>
      <c r="F1020" s="16" t="n"/>
      <c r="G1020" s="17">
        <f>IF($F1020="","",IFERROR(INDEX(rngEPname,MATCH($F1020,rngEPcode,0)),"?"))</f>
        <v/>
      </c>
      <c r="H1020" s="17">
        <f>IF($F1020="","",IFERROR(INDEX(rngEPtype,MATCH($F1020,rngEPcode,0)),"?"))</f>
        <v/>
      </c>
      <c r="I1020" s="17">
        <f>IF($F1020="","",IFERROR(INDEX(rngEPseq,MATCH($F1020,rngEPcode,0)),""))</f>
        <v/>
      </c>
      <c r="J1020" s="17">
        <f>IF($F1020="","",IFERROR(INDEX(rngEPpass,MATCH($F1020,rngEPcode,0)),cfgPassingScore))</f>
        <v/>
      </c>
      <c r="K1020" s="16" t="n"/>
      <c r="L1020" s="16" t="n"/>
      <c r="M1020" s="17">
        <f>IF($C1020="","",IF($L1020="","",IF(NOT(ISNUMBER($L1020)),$L1020,IF(N($K1020)&gt;2,"",IF($K1020=1,IF(COUNTIFS(nrES_PID,$D1020,nrES_Code,$F1020,nrES_Att,2,nrES_Raw,"&gt;=0")&gt;0,"",$L1020),IF($L1020&gt;=$J1020,MAX($J1020,cfgRetakeRecordedCap),IF(COUNTIFS(nrES_PID,$D1020,nrES_Code,$F1020,nrES_Att,1)=0,$L1020,SUMIFS(nrES_Raw,nrES_PID,$D1020,nrES_Code,$F1020,nrES_Att,1))))))))</f>
        <v/>
      </c>
      <c r="N1020" s="17">
        <f>IF($C1020="","",IF($L1020="","",IF(NOT(ISNUMBER($L1020)),"(not a score)",IF($L1020&gt;=$J1020,"Yes","No"))))</f>
        <v/>
      </c>
      <c r="O1020" s="17">
        <f>IF($C1020="","",IF($M1020="","",IF(NOT(ISNUMBER($M1020)),"(not a score)",IF($M1020&gt;=$J1020,"Yes","No"))))</f>
        <v/>
      </c>
      <c r="P1020" s="17">
        <f>IF($C1020="","",IF($K1020="","",IF(N($K1020)&gt;2,"No",IF(COUNTIFS(nrES_PID,$D1020,nrES_Code,$F1020,nrES_Att,"&gt;"&amp;$K1020,nrES_Att,"&lt;=2",nrES_Raw,"&gt;=0")=0,"Yes","No"))))</f>
        <v/>
      </c>
      <c r="Q1020" s="17">
        <f>IF($C1020="","",IF($L1020="","",IF(AND($K1020=1,ISNUMBER($L1020),$L1020&lt;$J1020,COUNTIFS(nrES_PID,$D1020,nrES_Code,$F1020,nrES_Att,2,nrES_Raw,"&gt;=0")=0),"Yes","No")))</f>
        <v/>
      </c>
      <c r="R1020" s="17">
        <f>IF($C1020="","",IF($L1020="","",IF(AND(N($K1020)&gt;=2,ISNUMBER($L1020),$L1020&lt;$J1020),"Yes","No")))</f>
        <v/>
      </c>
      <c r="S1020" s="18" t="n"/>
      <c r="T1020" s="19">
        <f>IF(OR($C1020="",$L1020="",$K1020&lt;&gt;1,NOT(ISNUMBER($L1020)),$L1020&gt;=$J1020),"",IF($S1020="","(enter date)",_xlfn.LET(_xlpm.dn,_xlfn.XLOOKUP($S1020,nrCDdate,nrCDnum,"",1),IF(_xlpm.dn="","(after last class day)",_xlfn.LET(_xlpm.dd,_xlfn.XLOOKUP(_xlpm.dn+cfgRetestClassDays,nrCDnum,nrCDdate,""),_xlpm.ok,_xlfn.XLOOKUP(_xlpm.dn+cfgRetestClassDays,nrCDnum,nrCDinsession,"No"),IF(OR(_xlpm.dd="",_xlpm.ok&lt;&gt;"Yes"),"(after last class day)",_xlpm.dd))))))</f>
        <v/>
      </c>
      <c r="U1020" s="17">
        <f>IF($C1020="","",IF(AND($Y1020="Excused",$L1020="",N($K1020)&lt;=1),"EXCUSED - 1st attempt pending",IF(OR($L1020="",$K1020&lt;&gt;1,NOT(ISNUMBER($L1020)),$L1020&gt;=$J1020),"",IF(COUNTIFS(nrES_PID,$D1020,nrES_Code,$F1020,nrES_Att,2,nrES_Raw,"&gt;=0")&gt;0,IF(IFERROR(_xlfn.MINIFS(nrES_Date,nrES_PID,$D1020,nrES_Code,$F1020,nrES_Att,2,nrES_Raw,"&gt;=0",nrES_Date,"&gt;0"),0)=0,"RETEST UNDATED",IF(NOT(ISNUMBER($T1020)),"RETEST DATE UNCHECKED",IF(_xlfn.MINIFS(nrES_Date,nrES_PID,$D1020,nrES_Code,$F1020,nrES_Att,2,nrES_Raw,"&gt;=0",nrES_Date,"&gt;0")&gt;$T1020,"LATE RETEST "&amp;TEXT(_xlfn.MINIFS(nrES_Date,nrES_PID,$D1020,nrES_Code,$F1020,nrES_Att,2,nrES_Raw,"&gt;=0",nrES_Date,"&gt;0"),"mm/dd")&amp;" (due "&amp;TEXT($T1020,"mm/dd")&amp;")","Retested"))),IF(NOT(ISNUMBER($T1020)),"CHECK DATE",IF(TODAY()&gt;$T1020,"OVERDUE","Due "&amp;TEXT($T1020,"mm/dd")))))))</f>
        <v/>
      </c>
      <c r="V1020" s="16" t="n"/>
      <c r="W1020" s="16" t="n"/>
      <c r="X1020" s="17">
        <f>IF($C1020="","",IF(AND($L1020&lt;&gt;"",NOT(ISNUMBER($L1020))),"RAW SCORE NOT A NUMBER",IF(AND(ISNUMBER($L1020),OR($L1020&lt;0,$L1020&gt;100)),"RAW SCORE OUT OF RANGE",IF(AND($Y1020="Unexcused",OR($L1020="",NOT(ISNUMBER($L1020)),$L1020&lt;&gt;0)),"UNEXCUSED ABSENCE MUST RECORD 0",IF(COUNTIF(nrES_RecID,$B1020)&gt;1,"DUPLICATE RECORD",IF(N($K1020)&gt;2,"ATTEMPT 3+ NOT ALLOWED - policy 300.5 permits one retest per exam; this row records nothing",IF(AND($K1020=2,COUNTIFS(nrES_PID,$D1020,nrES_Code,$F1020,nrES_Att,1)=0),"ATTEMPT 2 WITHOUT ATTEMPT 1",IF(AND($K1020=2,$L1020=""),"RETEST ROW HAS NO SCORE",IF(AND($H1020="Final",$L1020&lt;&gt;"",IFERROR(INDEX(nrCKfinalExamElig,MATCH($D1020,rngCadetPIDs,0)),"")="No"),"FINAL EXAM AFTER FAILED FINAL PT (500.1.H)",IF(AND($K1020=2,ISNUMBER($L1020),COUNTIFS(nrES_PID,$D1020,nrES_Code,$F1020,nrES_Att,1)&gt;0,SUMIFS(nrES_Raw,nrES_PID,$D1020,nrES_Code,$F1020,nrES_Att,1)&gt;=$J1020),"RETEST AFTER A PASSING FIRST ATTEMPT","OK"))))))))))</f>
        <v/>
      </c>
      <c r="Y1020" s="16" t="n"/>
    </row>
    <row r="1021">
      <c r="B1021" s="17">
        <f>IF($C1021="","",$D1021&amp;"-"&amp;$F1021&amp;"-"&amp;$K1021)</f>
        <v/>
      </c>
      <c r="C1021" s="16" t="n"/>
      <c r="D1021" s="17">
        <f>IF($C1021="","",IFERROR(INDEX(rngCadetPIDs,MATCH($C1021,rngCadetNames,0)),"?"))</f>
        <v/>
      </c>
      <c r="E1021" s="17">
        <f>IF($D1021="","",IFERROR(INDEX(nrCadetAgency,MATCH($D1021,rngCadetPIDs,0)),""))</f>
        <v/>
      </c>
      <c r="F1021" s="16" t="n"/>
      <c r="G1021" s="17">
        <f>IF($F1021="","",IFERROR(INDEX(rngEPname,MATCH($F1021,rngEPcode,0)),"?"))</f>
        <v/>
      </c>
      <c r="H1021" s="17">
        <f>IF($F1021="","",IFERROR(INDEX(rngEPtype,MATCH($F1021,rngEPcode,0)),"?"))</f>
        <v/>
      </c>
      <c r="I1021" s="17">
        <f>IF($F1021="","",IFERROR(INDEX(rngEPseq,MATCH($F1021,rngEPcode,0)),""))</f>
        <v/>
      </c>
      <c r="J1021" s="17">
        <f>IF($F1021="","",IFERROR(INDEX(rngEPpass,MATCH($F1021,rngEPcode,0)),cfgPassingScore))</f>
        <v/>
      </c>
      <c r="K1021" s="16" t="n"/>
      <c r="L1021" s="16" t="n"/>
      <c r="M1021" s="17">
        <f>IF($C1021="","",IF($L1021="","",IF(NOT(ISNUMBER($L1021)),$L1021,IF(N($K1021)&gt;2,"",IF($K1021=1,IF(COUNTIFS(nrES_PID,$D1021,nrES_Code,$F1021,nrES_Att,2,nrES_Raw,"&gt;=0")&gt;0,"",$L1021),IF($L1021&gt;=$J1021,MAX($J1021,cfgRetakeRecordedCap),IF(COUNTIFS(nrES_PID,$D1021,nrES_Code,$F1021,nrES_Att,1)=0,$L1021,SUMIFS(nrES_Raw,nrES_PID,$D1021,nrES_Code,$F1021,nrES_Att,1))))))))</f>
        <v/>
      </c>
      <c r="N1021" s="17">
        <f>IF($C1021="","",IF($L1021="","",IF(NOT(ISNUMBER($L1021)),"(not a score)",IF($L1021&gt;=$J1021,"Yes","No"))))</f>
        <v/>
      </c>
      <c r="O1021" s="17">
        <f>IF($C1021="","",IF($M1021="","",IF(NOT(ISNUMBER($M1021)),"(not a score)",IF($M1021&gt;=$J1021,"Yes","No"))))</f>
        <v/>
      </c>
      <c r="P1021" s="17">
        <f>IF($C1021="","",IF($K1021="","",IF(N($K1021)&gt;2,"No",IF(COUNTIFS(nrES_PID,$D1021,nrES_Code,$F1021,nrES_Att,"&gt;"&amp;$K1021,nrES_Att,"&lt;=2",nrES_Raw,"&gt;=0")=0,"Yes","No"))))</f>
        <v/>
      </c>
      <c r="Q1021" s="17">
        <f>IF($C1021="","",IF($L1021="","",IF(AND($K1021=1,ISNUMBER($L1021),$L1021&lt;$J1021,COUNTIFS(nrES_PID,$D1021,nrES_Code,$F1021,nrES_Att,2,nrES_Raw,"&gt;=0")=0),"Yes","No")))</f>
        <v/>
      </c>
      <c r="R1021" s="17">
        <f>IF($C1021="","",IF($L1021="","",IF(AND(N($K1021)&gt;=2,ISNUMBER($L1021),$L1021&lt;$J1021),"Yes","No")))</f>
        <v/>
      </c>
      <c r="S1021" s="18" t="n"/>
      <c r="T1021" s="19">
        <f>IF(OR($C1021="",$L1021="",$K1021&lt;&gt;1,NOT(ISNUMBER($L1021)),$L1021&gt;=$J1021),"",IF($S1021="","(enter date)",_xlfn.LET(_xlpm.dn,_xlfn.XLOOKUP($S1021,nrCDdate,nrCDnum,"",1),IF(_xlpm.dn="","(after last class day)",_xlfn.LET(_xlpm.dd,_xlfn.XLOOKUP(_xlpm.dn+cfgRetestClassDays,nrCDnum,nrCDdate,""),_xlpm.ok,_xlfn.XLOOKUP(_xlpm.dn+cfgRetestClassDays,nrCDnum,nrCDinsession,"No"),IF(OR(_xlpm.dd="",_xlpm.ok&lt;&gt;"Yes"),"(after last class day)",_xlpm.dd))))))</f>
        <v/>
      </c>
      <c r="U1021" s="17">
        <f>IF($C1021="","",IF(AND($Y1021="Excused",$L1021="",N($K1021)&lt;=1),"EXCUSED - 1st attempt pending",IF(OR($L1021="",$K1021&lt;&gt;1,NOT(ISNUMBER($L1021)),$L1021&gt;=$J1021),"",IF(COUNTIFS(nrES_PID,$D1021,nrES_Code,$F1021,nrES_Att,2,nrES_Raw,"&gt;=0")&gt;0,IF(IFERROR(_xlfn.MINIFS(nrES_Date,nrES_PID,$D1021,nrES_Code,$F1021,nrES_Att,2,nrES_Raw,"&gt;=0",nrES_Date,"&gt;0"),0)=0,"RETEST UNDATED",IF(NOT(ISNUMBER($T1021)),"RETEST DATE UNCHECKED",IF(_xlfn.MINIFS(nrES_Date,nrES_PID,$D1021,nrES_Code,$F1021,nrES_Att,2,nrES_Raw,"&gt;=0",nrES_Date,"&gt;0")&gt;$T1021,"LATE RETEST "&amp;TEXT(_xlfn.MINIFS(nrES_Date,nrES_PID,$D1021,nrES_Code,$F1021,nrES_Att,2,nrES_Raw,"&gt;=0",nrES_Date,"&gt;0"),"mm/dd")&amp;" (due "&amp;TEXT($T1021,"mm/dd")&amp;")","Retested"))),IF(NOT(ISNUMBER($T1021)),"CHECK DATE",IF(TODAY()&gt;$T1021,"OVERDUE","Due "&amp;TEXT($T1021,"mm/dd")))))))</f>
        <v/>
      </c>
      <c r="V1021" s="16" t="n"/>
      <c r="W1021" s="16" t="n"/>
      <c r="X1021" s="17">
        <f>IF($C1021="","",IF(AND($L1021&lt;&gt;"",NOT(ISNUMBER($L1021))),"RAW SCORE NOT A NUMBER",IF(AND(ISNUMBER($L1021),OR($L1021&lt;0,$L1021&gt;100)),"RAW SCORE OUT OF RANGE",IF(AND($Y1021="Unexcused",OR($L1021="",NOT(ISNUMBER($L1021)),$L1021&lt;&gt;0)),"UNEXCUSED ABSENCE MUST RECORD 0",IF(COUNTIF(nrES_RecID,$B1021)&gt;1,"DUPLICATE RECORD",IF(N($K1021)&gt;2,"ATTEMPT 3+ NOT ALLOWED - policy 300.5 permits one retest per exam; this row records nothing",IF(AND($K1021=2,COUNTIFS(nrES_PID,$D1021,nrES_Code,$F1021,nrES_Att,1)=0),"ATTEMPT 2 WITHOUT ATTEMPT 1",IF(AND($K1021=2,$L1021=""),"RETEST ROW HAS NO SCORE",IF(AND($H1021="Final",$L1021&lt;&gt;"",IFERROR(INDEX(nrCKfinalExamElig,MATCH($D1021,rngCadetPIDs,0)),"")="No"),"FINAL EXAM AFTER FAILED FINAL PT (500.1.H)",IF(AND($K1021=2,ISNUMBER($L1021),COUNTIFS(nrES_PID,$D1021,nrES_Code,$F1021,nrES_Att,1)&gt;0,SUMIFS(nrES_Raw,nrES_PID,$D1021,nrES_Code,$F1021,nrES_Att,1)&gt;=$J1021),"RETEST AFTER A PASSING FIRST ATTEMPT","OK"))))))))))</f>
        <v/>
      </c>
      <c r="Y1021" s="16" t="n"/>
    </row>
    <row r="1022">
      <c r="B1022" s="17">
        <f>IF($C1022="","",$D1022&amp;"-"&amp;$F1022&amp;"-"&amp;$K1022)</f>
        <v/>
      </c>
      <c r="C1022" s="16" t="n"/>
      <c r="D1022" s="17">
        <f>IF($C1022="","",IFERROR(INDEX(rngCadetPIDs,MATCH($C1022,rngCadetNames,0)),"?"))</f>
        <v/>
      </c>
      <c r="E1022" s="17">
        <f>IF($D1022="","",IFERROR(INDEX(nrCadetAgency,MATCH($D1022,rngCadetPIDs,0)),""))</f>
        <v/>
      </c>
      <c r="F1022" s="16" t="n"/>
      <c r="G1022" s="17">
        <f>IF($F1022="","",IFERROR(INDEX(rngEPname,MATCH($F1022,rngEPcode,0)),"?"))</f>
        <v/>
      </c>
      <c r="H1022" s="17">
        <f>IF($F1022="","",IFERROR(INDEX(rngEPtype,MATCH($F1022,rngEPcode,0)),"?"))</f>
        <v/>
      </c>
      <c r="I1022" s="17">
        <f>IF($F1022="","",IFERROR(INDEX(rngEPseq,MATCH($F1022,rngEPcode,0)),""))</f>
        <v/>
      </c>
      <c r="J1022" s="17">
        <f>IF($F1022="","",IFERROR(INDEX(rngEPpass,MATCH($F1022,rngEPcode,0)),cfgPassingScore))</f>
        <v/>
      </c>
      <c r="K1022" s="16" t="n"/>
      <c r="L1022" s="16" t="n"/>
      <c r="M1022" s="17">
        <f>IF($C1022="","",IF($L1022="","",IF(NOT(ISNUMBER($L1022)),$L1022,IF(N($K1022)&gt;2,"",IF($K1022=1,IF(COUNTIFS(nrES_PID,$D1022,nrES_Code,$F1022,nrES_Att,2,nrES_Raw,"&gt;=0")&gt;0,"",$L1022),IF($L1022&gt;=$J1022,MAX($J1022,cfgRetakeRecordedCap),IF(COUNTIFS(nrES_PID,$D1022,nrES_Code,$F1022,nrES_Att,1)=0,$L1022,SUMIFS(nrES_Raw,nrES_PID,$D1022,nrES_Code,$F1022,nrES_Att,1))))))))</f>
        <v/>
      </c>
      <c r="N1022" s="17">
        <f>IF($C1022="","",IF($L1022="","",IF(NOT(ISNUMBER($L1022)),"(not a score)",IF($L1022&gt;=$J1022,"Yes","No"))))</f>
        <v/>
      </c>
      <c r="O1022" s="17">
        <f>IF($C1022="","",IF($M1022="","",IF(NOT(ISNUMBER($M1022)),"(not a score)",IF($M1022&gt;=$J1022,"Yes","No"))))</f>
        <v/>
      </c>
      <c r="P1022" s="17">
        <f>IF($C1022="","",IF($K1022="","",IF(N($K1022)&gt;2,"No",IF(COUNTIFS(nrES_PID,$D1022,nrES_Code,$F1022,nrES_Att,"&gt;"&amp;$K1022,nrES_Att,"&lt;=2",nrES_Raw,"&gt;=0")=0,"Yes","No"))))</f>
        <v/>
      </c>
      <c r="Q1022" s="17">
        <f>IF($C1022="","",IF($L1022="","",IF(AND($K1022=1,ISNUMBER($L1022),$L1022&lt;$J1022,COUNTIFS(nrES_PID,$D1022,nrES_Code,$F1022,nrES_Att,2,nrES_Raw,"&gt;=0")=0),"Yes","No")))</f>
        <v/>
      </c>
      <c r="R1022" s="17">
        <f>IF($C1022="","",IF($L1022="","",IF(AND(N($K1022)&gt;=2,ISNUMBER($L1022),$L1022&lt;$J1022),"Yes","No")))</f>
        <v/>
      </c>
      <c r="S1022" s="18" t="n"/>
      <c r="T1022" s="19">
        <f>IF(OR($C1022="",$L1022="",$K1022&lt;&gt;1,NOT(ISNUMBER($L1022)),$L1022&gt;=$J1022),"",IF($S1022="","(enter date)",_xlfn.LET(_xlpm.dn,_xlfn.XLOOKUP($S1022,nrCDdate,nrCDnum,"",1),IF(_xlpm.dn="","(after last class day)",_xlfn.LET(_xlpm.dd,_xlfn.XLOOKUP(_xlpm.dn+cfgRetestClassDays,nrCDnum,nrCDdate,""),_xlpm.ok,_xlfn.XLOOKUP(_xlpm.dn+cfgRetestClassDays,nrCDnum,nrCDinsession,"No"),IF(OR(_xlpm.dd="",_xlpm.ok&lt;&gt;"Yes"),"(after last class day)",_xlpm.dd))))))</f>
        <v/>
      </c>
      <c r="U1022" s="17">
        <f>IF($C1022="","",IF(AND($Y1022="Excused",$L1022="",N($K1022)&lt;=1),"EXCUSED - 1st attempt pending",IF(OR($L1022="",$K1022&lt;&gt;1,NOT(ISNUMBER($L1022)),$L1022&gt;=$J1022),"",IF(COUNTIFS(nrES_PID,$D1022,nrES_Code,$F1022,nrES_Att,2,nrES_Raw,"&gt;=0")&gt;0,IF(IFERROR(_xlfn.MINIFS(nrES_Date,nrES_PID,$D1022,nrES_Code,$F1022,nrES_Att,2,nrES_Raw,"&gt;=0",nrES_Date,"&gt;0"),0)=0,"RETEST UNDATED",IF(NOT(ISNUMBER($T1022)),"RETEST DATE UNCHECKED",IF(_xlfn.MINIFS(nrES_Date,nrES_PID,$D1022,nrES_Code,$F1022,nrES_Att,2,nrES_Raw,"&gt;=0",nrES_Date,"&gt;0")&gt;$T1022,"LATE RETEST "&amp;TEXT(_xlfn.MINIFS(nrES_Date,nrES_PID,$D1022,nrES_Code,$F1022,nrES_Att,2,nrES_Raw,"&gt;=0",nrES_Date,"&gt;0"),"mm/dd")&amp;" (due "&amp;TEXT($T1022,"mm/dd")&amp;")","Retested"))),IF(NOT(ISNUMBER($T1022)),"CHECK DATE",IF(TODAY()&gt;$T1022,"OVERDUE","Due "&amp;TEXT($T1022,"mm/dd")))))))</f>
        <v/>
      </c>
      <c r="V1022" s="16" t="n"/>
      <c r="W1022" s="16" t="n"/>
      <c r="X1022" s="17">
        <f>IF($C1022="","",IF(AND($L1022&lt;&gt;"",NOT(ISNUMBER($L1022))),"RAW SCORE NOT A NUMBER",IF(AND(ISNUMBER($L1022),OR($L1022&lt;0,$L1022&gt;100)),"RAW SCORE OUT OF RANGE",IF(AND($Y1022="Unexcused",OR($L1022="",NOT(ISNUMBER($L1022)),$L1022&lt;&gt;0)),"UNEXCUSED ABSENCE MUST RECORD 0",IF(COUNTIF(nrES_RecID,$B1022)&gt;1,"DUPLICATE RECORD",IF(N($K1022)&gt;2,"ATTEMPT 3+ NOT ALLOWED - policy 300.5 permits one retest per exam; this row records nothing",IF(AND($K1022=2,COUNTIFS(nrES_PID,$D1022,nrES_Code,$F1022,nrES_Att,1)=0),"ATTEMPT 2 WITHOUT ATTEMPT 1",IF(AND($K1022=2,$L1022=""),"RETEST ROW HAS NO SCORE",IF(AND($H1022="Final",$L1022&lt;&gt;"",IFERROR(INDEX(nrCKfinalExamElig,MATCH($D1022,rngCadetPIDs,0)),"")="No"),"FINAL EXAM AFTER FAILED FINAL PT (500.1.H)",IF(AND($K1022=2,ISNUMBER($L1022),COUNTIFS(nrES_PID,$D1022,nrES_Code,$F1022,nrES_Att,1)&gt;0,SUMIFS(nrES_Raw,nrES_PID,$D1022,nrES_Code,$F1022,nrES_Att,1)&gt;=$J1022),"RETEST AFTER A PASSING FIRST ATTEMPT","OK"))))))))))</f>
        <v/>
      </c>
      <c r="Y1022" s="16" t="n"/>
    </row>
    <row r="1023">
      <c r="B1023" s="17">
        <f>IF($C1023="","",$D1023&amp;"-"&amp;$F1023&amp;"-"&amp;$K1023)</f>
        <v/>
      </c>
      <c r="C1023" s="16" t="n"/>
      <c r="D1023" s="17">
        <f>IF($C1023="","",IFERROR(INDEX(rngCadetPIDs,MATCH($C1023,rngCadetNames,0)),"?"))</f>
        <v/>
      </c>
      <c r="E1023" s="17">
        <f>IF($D1023="","",IFERROR(INDEX(nrCadetAgency,MATCH($D1023,rngCadetPIDs,0)),""))</f>
        <v/>
      </c>
      <c r="F1023" s="16" t="n"/>
      <c r="G1023" s="17">
        <f>IF($F1023="","",IFERROR(INDEX(rngEPname,MATCH($F1023,rngEPcode,0)),"?"))</f>
        <v/>
      </c>
      <c r="H1023" s="17">
        <f>IF($F1023="","",IFERROR(INDEX(rngEPtype,MATCH($F1023,rngEPcode,0)),"?"))</f>
        <v/>
      </c>
      <c r="I1023" s="17">
        <f>IF($F1023="","",IFERROR(INDEX(rngEPseq,MATCH($F1023,rngEPcode,0)),""))</f>
        <v/>
      </c>
      <c r="J1023" s="17">
        <f>IF($F1023="","",IFERROR(INDEX(rngEPpass,MATCH($F1023,rngEPcode,0)),cfgPassingScore))</f>
        <v/>
      </c>
      <c r="K1023" s="16" t="n"/>
      <c r="L1023" s="16" t="n"/>
      <c r="M1023" s="17">
        <f>IF($C1023="","",IF($L1023="","",IF(NOT(ISNUMBER($L1023)),$L1023,IF(N($K1023)&gt;2,"",IF($K1023=1,IF(COUNTIFS(nrES_PID,$D1023,nrES_Code,$F1023,nrES_Att,2,nrES_Raw,"&gt;=0")&gt;0,"",$L1023),IF($L1023&gt;=$J1023,MAX($J1023,cfgRetakeRecordedCap),IF(COUNTIFS(nrES_PID,$D1023,nrES_Code,$F1023,nrES_Att,1)=0,$L1023,SUMIFS(nrES_Raw,nrES_PID,$D1023,nrES_Code,$F1023,nrES_Att,1))))))))</f>
        <v/>
      </c>
      <c r="N1023" s="17">
        <f>IF($C1023="","",IF($L1023="","",IF(NOT(ISNUMBER($L1023)),"(not a score)",IF($L1023&gt;=$J1023,"Yes","No"))))</f>
        <v/>
      </c>
      <c r="O1023" s="17">
        <f>IF($C1023="","",IF($M1023="","",IF(NOT(ISNUMBER($M1023)),"(not a score)",IF($M1023&gt;=$J1023,"Yes","No"))))</f>
        <v/>
      </c>
      <c r="P1023" s="17">
        <f>IF($C1023="","",IF($K1023="","",IF(N($K1023)&gt;2,"No",IF(COUNTIFS(nrES_PID,$D1023,nrES_Code,$F1023,nrES_Att,"&gt;"&amp;$K1023,nrES_Att,"&lt;=2",nrES_Raw,"&gt;=0")=0,"Yes","No"))))</f>
        <v/>
      </c>
      <c r="Q1023" s="17">
        <f>IF($C1023="","",IF($L1023="","",IF(AND($K1023=1,ISNUMBER($L1023),$L1023&lt;$J1023,COUNTIFS(nrES_PID,$D1023,nrES_Code,$F1023,nrES_Att,2,nrES_Raw,"&gt;=0")=0),"Yes","No")))</f>
        <v/>
      </c>
      <c r="R1023" s="17">
        <f>IF($C1023="","",IF($L1023="","",IF(AND(N($K1023)&gt;=2,ISNUMBER($L1023),$L1023&lt;$J1023),"Yes","No")))</f>
        <v/>
      </c>
      <c r="S1023" s="18" t="n"/>
      <c r="T1023" s="19">
        <f>IF(OR($C1023="",$L1023="",$K1023&lt;&gt;1,NOT(ISNUMBER($L1023)),$L1023&gt;=$J1023),"",IF($S1023="","(enter date)",_xlfn.LET(_xlpm.dn,_xlfn.XLOOKUP($S1023,nrCDdate,nrCDnum,"",1),IF(_xlpm.dn="","(after last class day)",_xlfn.LET(_xlpm.dd,_xlfn.XLOOKUP(_xlpm.dn+cfgRetestClassDays,nrCDnum,nrCDdate,""),_xlpm.ok,_xlfn.XLOOKUP(_xlpm.dn+cfgRetestClassDays,nrCDnum,nrCDinsession,"No"),IF(OR(_xlpm.dd="",_xlpm.ok&lt;&gt;"Yes"),"(after last class day)",_xlpm.dd))))))</f>
        <v/>
      </c>
      <c r="U1023" s="17">
        <f>IF($C1023="","",IF(AND($Y1023="Excused",$L1023="",N($K1023)&lt;=1),"EXCUSED - 1st attempt pending",IF(OR($L1023="",$K1023&lt;&gt;1,NOT(ISNUMBER($L1023)),$L1023&gt;=$J1023),"",IF(COUNTIFS(nrES_PID,$D1023,nrES_Code,$F1023,nrES_Att,2,nrES_Raw,"&gt;=0")&gt;0,IF(IFERROR(_xlfn.MINIFS(nrES_Date,nrES_PID,$D1023,nrES_Code,$F1023,nrES_Att,2,nrES_Raw,"&gt;=0",nrES_Date,"&gt;0"),0)=0,"RETEST UNDATED",IF(NOT(ISNUMBER($T1023)),"RETEST DATE UNCHECKED",IF(_xlfn.MINIFS(nrES_Date,nrES_PID,$D1023,nrES_Code,$F1023,nrES_Att,2,nrES_Raw,"&gt;=0",nrES_Date,"&gt;0")&gt;$T1023,"LATE RETEST "&amp;TEXT(_xlfn.MINIFS(nrES_Date,nrES_PID,$D1023,nrES_Code,$F1023,nrES_Att,2,nrES_Raw,"&gt;=0",nrES_Date,"&gt;0"),"mm/dd")&amp;" (due "&amp;TEXT($T1023,"mm/dd")&amp;")","Retested"))),IF(NOT(ISNUMBER($T1023)),"CHECK DATE",IF(TODAY()&gt;$T1023,"OVERDUE","Due "&amp;TEXT($T1023,"mm/dd")))))))</f>
        <v/>
      </c>
      <c r="V1023" s="16" t="n"/>
      <c r="W1023" s="16" t="n"/>
      <c r="X1023" s="17">
        <f>IF($C1023="","",IF(AND($L1023&lt;&gt;"",NOT(ISNUMBER($L1023))),"RAW SCORE NOT A NUMBER",IF(AND(ISNUMBER($L1023),OR($L1023&lt;0,$L1023&gt;100)),"RAW SCORE OUT OF RANGE",IF(AND($Y1023="Unexcused",OR($L1023="",NOT(ISNUMBER($L1023)),$L1023&lt;&gt;0)),"UNEXCUSED ABSENCE MUST RECORD 0",IF(COUNTIF(nrES_RecID,$B1023)&gt;1,"DUPLICATE RECORD",IF(N($K1023)&gt;2,"ATTEMPT 3+ NOT ALLOWED - policy 300.5 permits one retest per exam; this row records nothing",IF(AND($K1023=2,COUNTIFS(nrES_PID,$D1023,nrES_Code,$F1023,nrES_Att,1)=0),"ATTEMPT 2 WITHOUT ATTEMPT 1",IF(AND($K1023=2,$L1023=""),"RETEST ROW HAS NO SCORE",IF(AND($H1023="Final",$L1023&lt;&gt;"",IFERROR(INDEX(nrCKfinalExamElig,MATCH($D1023,rngCadetPIDs,0)),"")="No"),"FINAL EXAM AFTER FAILED FINAL PT (500.1.H)",IF(AND($K1023=2,ISNUMBER($L1023),COUNTIFS(nrES_PID,$D1023,nrES_Code,$F1023,nrES_Att,1)&gt;0,SUMIFS(nrES_Raw,nrES_PID,$D1023,nrES_Code,$F1023,nrES_Att,1)&gt;=$J1023),"RETEST AFTER A PASSING FIRST ATTEMPT","OK"))))))))))</f>
        <v/>
      </c>
      <c r="Y1023" s="16" t="n"/>
    </row>
    <row r="1024">
      <c r="B1024" s="17">
        <f>IF($C1024="","",$D1024&amp;"-"&amp;$F1024&amp;"-"&amp;$K1024)</f>
        <v/>
      </c>
      <c r="C1024" s="16" t="n"/>
      <c r="D1024" s="17">
        <f>IF($C1024="","",IFERROR(INDEX(rngCadetPIDs,MATCH($C1024,rngCadetNames,0)),"?"))</f>
        <v/>
      </c>
      <c r="E1024" s="17">
        <f>IF($D1024="","",IFERROR(INDEX(nrCadetAgency,MATCH($D1024,rngCadetPIDs,0)),""))</f>
        <v/>
      </c>
      <c r="F1024" s="16" t="n"/>
      <c r="G1024" s="17">
        <f>IF($F1024="","",IFERROR(INDEX(rngEPname,MATCH($F1024,rngEPcode,0)),"?"))</f>
        <v/>
      </c>
      <c r="H1024" s="17">
        <f>IF($F1024="","",IFERROR(INDEX(rngEPtype,MATCH($F1024,rngEPcode,0)),"?"))</f>
        <v/>
      </c>
      <c r="I1024" s="17">
        <f>IF($F1024="","",IFERROR(INDEX(rngEPseq,MATCH($F1024,rngEPcode,0)),""))</f>
        <v/>
      </c>
      <c r="J1024" s="17">
        <f>IF($F1024="","",IFERROR(INDEX(rngEPpass,MATCH($F1024,rngEPcode,0)),cfgPassingScore))</f>
        <v/>
      </c>
      <c r="K1024" s="16" t="n"/>
      <c r="L1024" s="16" t="n"/>
      <c r="M1024" s="17">
        <f>IF($C1024="","",IF($L1024="","",IF(NOT(ISNUMBER($L1024)),$L1024,IF(N($K1024)&gt;2,"",IF($K1024=1,IF(COUNTIFS(nrES_PID,$D1024,nrES_Code,$F1024,nrES_Att,2,nrES_Raw,"&gt;=0")&gt;0,"",$L1024),IF($L1024&gt;=$J1024,MAX($J1024,cfgRetakeRecordedCap),IF(COUNTIFS(nrES_PID,$D1024,nrES_Code,$F1024,nrES_Att,1)=0,$L1024,SUMIFS(nrES_Raw,nrES_PID,$D1024,nrES_Code,$F1024,nrES_Att,1))))))))</f>
        <v/>
      </c>
      <c r="N1024" s="17">
        <f>IF($C1024="","",IF($L1024="","",IF(NOT(ISNUMBER($L1024)),"(not a score)",IF($L1024&gt;=$J1024,"Yes","No"))))</f>
        <v/>
      </c>
      <c r="O1024" s="17">
        <f>IF($C1024="","",IF($M1024="","",IF(NOT(ISNUMBER($M1024)),"(not a score)",IF($M1024&gt;=$J1024,"Yes","No"))))</f>
        <v/>
      </c>
      <c r="P1024" s="17">
        <f>IF($C1024="","",IF($K1024="","",IF(N($K1024)&gt;2,"No",IF(COUNTIFS(nrES_PID,$D1024,nrES_Code,$F1024,nrES_Att,"&gt;"&amp;$K1024,nrES_Att,"&lt;=2",nrES_Raw,"&gt;=0")=0,"Yes","No"))))</f>
        <v/>
      </c>
      <c r="Q1024" s="17">
        <f>IF($C1024="","",IF($L1024="","",IF(AND($K1024=1,ISNUMBER($L1024),$L1024&lt;$J1024,COUNTIFS(nrES_PID,$D1024,nrES_Code,$F1024,nrES_Att,2,nrES_Raw,"&gt;=0")=0),"Yes","No")))</f>
        <v/>
      </c>
      <c r="R1024" s="17">
        <f>IF($C1024="","",IF($L1024="","",IF(AND(N($K1024)&gt;=2,ISNUMBER($L1024),$L1024&lt;$J1024),"Yes","No")))</f>
        <v/>
      </c>
      <c r="S1024" s="18" t="n"/>
      <c r="T1024" s="19">
        <f>IF(OR($C1024="",$L1024="",$K1024&lt;&gt;1,NOT(ISNUMBER($L1024)),$L1024&gt;=$J1024),"",IF($S1024="","(enter date)",_xlfn.LET(_xlpm.dn,_xlfn.XLOOKUP($S1024,nrCDdate,nrCDnum,"",1),IF(_xlpm.dn="","(after last class day)",_xlfn.LET(_xlpm.dd,_xlfn.XLOOKUP(_xlpm.dn+cfgRetestClassDays,nrCDnum,nrCDdate,""),_xlpm.ok,_xlfn.XLOOKUP(_xlpm.dn+cfgRetestClassDays,nrCDnum,nrCDinsession,"No"),IF(OR(_xlpm.dd="",_xlpm.ok&lt;&gt;"Yes"),"(after last class day)",_xlpm.dd))))))</f>
        <v/>
      </c>
      <c r="U1024" s="17">
        <f>IF($C1024="","",IF(AND($Y1024="Excused",$L1024="",N($K1024)&lt;=1),"EXCUSED - 1st attempt pending",IF(OR($L1024="",$K1024&lt;&gt;1,NOT(ISNUMBER($L1024)),$L1024&gt;=$J1024),"",IF(COUNTIFS(nrES_PID,$D1024,nrES_Code,$F1024,nrES_Att,2,nrES_Raw,"&gt;=0")&gt;0,IF(IFERROR(_xlfn.MINIFS(nrES_Date,nrES_PID,$D1024,nrES_Code,$F1024,nrES_Att,2,nrES_Raw,"&gt;=0",nrES_Date,"&gt;0"),0)=0,"RETEST UNDATED",IF(NOT(ISNUMBER($T1024)),"RETEST DATE UNCHECKED",IF(_xlfn.MINIFS(nrES_Date,nrES_PID,$D1024,nrES_Code,$F1024,nrES_Att,2,nrES_Raw,"&gt;=0",nrES_Date,"&gt;0")&gt;$T1024,"LATE RETEST "&amp;TEXT(_xlfn.MINIFS(nrES_Date,nrES_PID,$D1024,nrES_Code,$F1024,nrES_Att,2,nrES_Raw,"&gt;=0",nrES_Date,"&gt;0"),"mm/dd")&amp;" (due "&amp;TEXT($T1024,"mm/dd")&amp;")","Retested"))),IF(NOT(ISNUMBER($T1024)),"CHECK DATE",IF(TODAY()&gt;$T1024,"OVERDUE","Due "&amp;TEXT($T1024,"mm/dd")))))))</f>
        <v/>
      </c>
      <c r="V1024" s="16" t="n"/>
      <c r="W1024" s="16" t="n"/>
      <c r="X1024" s="17">
        <f>IF($C1024="","",IF(AND($L1024&lt;&gt;"",NOT(ISNUMBER($L1024))),"RAW SCORE NOT A NUMBER",IF(AND(ISNUMBER($L1024),OR($L1024&lt;0,$L1024&gt;100)),"RAW SCORE OUT OF RANGE",IF(AND($Y1024="Unexcused",OR($L1024="",NOT(ISNUMBER($L1024)),$L1024&lt;&gt;0)),"UNEXCUSED ABSENCE MUST RECORD 0",IF(COUNTIF(nrES_RecID,$B1024)&gt;1,"DUPLICATE RECORD",IF(N($K1024)&gt;2,"ATTEMPT 3+ NOT ALLOWED - policy 300.5 permits one retest per exam; this row records nothing",IF(AND($K1024=2,COUNTIFS(nrES_PID,$D1024,nrES_Code,$F1024,nrES_Att,1)=0),"ATTEMPT 2 WITHOUT ATTEMPT 1",IF(AND($K1024=2,$L1024=""),"RETEST ROW HAS NO SCORE",IF(AND($H1024="Final",$L1024&lt;&gt;"",IFERROR(INDEX(nrCKfinalExamElig,MATCH($D1024,rngCadetPIDs,0)),"")="No"),"FINAL EXAM AFTER FAILED FINAL PT (500.1.H)",IF(AND($K1024=2,ISNUMBER($L1024),COUNTIFS(nrES_PID,$D1024,nrES_Code,$F1024,nrES_Att,1)&gt;0,SUMIFS(nrES_Raw,nrES_PID,$D1024,nrES_Code,$F1024,nrES_Att,1)&gt;=$J1024),"RETEST AFTER A PASSING FIRST ATTEMPT","OK"))))))))))</f>
        <v/>
      </c>
      <c r="Y1024" s="16" t="n"/>
    </row>
    <row r="1025">
      <c r="B1025" s="17">
        <f>IF($C1025="","",$D1025&amp;"-"&amp;$F1025&amp;"-"&amp;$K1025)</f>
        <v/>
      </c>
      <c r="C1025" s="16" t="n"/>
      <c r="D1025" s="17">
        <f>IF($C1025="","",IFERROR(INDEX(rngCadetPIDs,MATCH($C1025,rngCadetNames,0)),"?"))</f>
        <v/>
      </c>
      <c r="E1025" s="17">
        <f>IF($D1025="","",IFERROR(INDEX(nrCadetAgency,MATCH($D1025,rngCadetPIDs,0)),""))</f>
        <v/>
      </c>
      <c r="F1025" s="16" t="n"/>
      <c r="G1025" s="17">
        <f>IF($F1025="","",IFERROR(INDEX(rngEPname,MATCH($F1025,rngEPcode,0)),"?"))</f>
        <v/>
      </c>
      <c r="H1025" s="17">
        <f>IF($F1025="","",IFERROR(INDEX(rngEPtype,MATCH($F1025,rngEPcode,0)),"?"))</f>
        <v/>
      </c>
      <c r="I1025" s="17">
        <f>IF($F1025="","",IFERROR(INDEX(rngEPseq,MATCH($F1025,rngEPcode,0)),""))</f>
        <v/>
      </c>
      <c r="J1025" s="17">
        <f>IF($F1025="","",IFERROR(INDEX(rngEPpass,MATCH($F1025,rngEPcode,0)),cfgPassingScore))</f>
        <v/>
      </c>
      <c r="K1025" s="16" t="n"/>
      <c r="L1025" s="16" t="n"/>
      <c r="M1025" s="17">
        <f>IF($C1025="","",IF($L1025="","",IF(NOT(ISNUMBER($L1025)),$L1025,IF(N($K1025)&gt;2,"",IF($K1025=1,IF(COUNTIFS(nrES_PID,$D1025,nrES_Code,$F1025,nrES_Att,2,nrES_Raw,"&gt;=0")&gt;0,"",$L1025),IF($L1025&gt;=$J1025,MAX($J1025,cfgRetakeRecordedCap),IF(COUNTIFS(nrES_PID,$D1025,nrES_Code,$F1025,nrES_Att,1)=0,$L1025,SUMIFS(nrES_Raw,nrES_PID,$D1025,nrES_Code,$F1025,nrES_Att,1))))))))</f>
        <v/>
      </c>
      <c r="N1025" s="17">
        <f>IF($C1025="","",IF($L1025="","",IF(NOT(ISNUMBER($L1025)),"(not a score)",IF($L1025&gt;=$J1025,"Yes","No"))))</f>
        <v/>
      </c>
      <c r="O1025" s="17">
        <f>IF($C1025="","",IF($M1025="","",IF(NOT(ISNUMBER($M1025)),"(not a score)",IF($M1025&gt;=$J1025,"Yes","No"))))</f>
        <v/>
      </c>
      <c r="P1025" s="17">
        <f>IF($C1025="","",IF($K1025="","",IF(N($K1025)&gt;2,"No",IF(COUNTIFS(nrES_PID,$D1025,nrES_Code,$F1025,nrES_Att,"&gt;"&amp;$K1025,nrES_Att,"&lt;=2",nrES_Raw,"&gt;=0")=0,"Yes","No"))))</f>
        <v/>
      </c>
      <c r="Q1025" s="17">
        <f>IF($C1025="","",IF($L1025="","",IF(AND($K1025=1,ISNUMBER($L1025),$L1025&lt;$J1025,COUNTIFS(nrES_PID,$D1025,nrES_Code,$F1025,nrES_Att,2,nrES_Raw,"&gt;=0")=0),"Yes","No")))</f>
        <v/>
      </c>
      <c r="R1025" s="17">
        <f>IF($C1025="","",IF($L1025="","",IF(AND(N($K1025)&gt;=2,ISNUMBER($L1025),$L1025&lt;$J1025),"Yes","No")))</f>
        <v/>
      </c>
      <c r="S1025" s="18" t="n"/>
      <c r="T1025" s="19">
        <f>IF(OR($C1025="",$L1025="",$K1025&lt;&gt;1,NOT(ISNUMBER($L1025)),$L1025&gt;=$J1025),"",IF($S1025="","(enter date)",_xlfn.LET(_xlpm.dn,_xlfn.XLOOKUP($S1025,nrCDdate,nrCDnum,"",1),IF(_xlpm.dn="","(after last class day)",_xlfn.LET(_xlpm.dd,_xlfn.XLOOKUP(_xlpm.dn+cfgRetestClassDays,nrCDnum,nrCDdate,""),_xlpm.ok,_xlfn.XLOOKUP(_xlpm.dn+cfgRetestClassDays,nrCDnum,nrCDinsession,"No"),IF(OR(_xlpm.dd="",_xlpm.ok&lt;&gt;"Yes"),"(after last class day)",_xlpm.dd))))))</f>
        <v/>
      </c>
      <c r="U1025" s="17">
        <f>IF($C1025="","",IF(AND($Y1025="Excused",$L1025="",N($K1025)&lt;=1),"EXCUSED - 1st attempt pending",IF(OR($L1025="",$K1025&lt;&gt;1,NOT(ISNUMBER($L1025)),$L1025&gt;=$J1025),"",IF(COUNTIFS(nrES_PID,$D1025,nrES_Code,$F1025,nrES_Att,2,nrES_Raw,"&gt;=0")&gt;0,IF(IFERROR(_xlfn.MINIFS(nrES_Date,nrES_PID,$D1025,nrES_Code,$F1025,nrES_Att,2,nrES_Raw,"&gt;=0",nrES_Date,"&gt;0"),0)=0,"RETEST UNDATED",IF(NOT(ISNUMBER($T1025)),"RETEST DATE UNCHECKED",IF(_xlfn.MINIFS(nrES_Date,nrES_PID,$D1025,nrES_Code,$F1025,nrES_Att,2,nrES_Raw,"&gt;=0",nrES_Date,"&gt;0")&gt;$T1025,"LATE RETEST "&amp;TEXT(_xlfn.MINIFS(nrES_Date,nrES_PID,$D1025,nrES_Code,$F1025,nrES_Att,2,nrES_Raw,"&gt;=0",nrES_Date,"&gt;0"),"mm/dd")&amp;" (due "&amp;TEXT($T1025,"mm/dd")&amp;")","Retested"))),IF(NOT(ISNUMBER($T1025)),"CHECK DATE",IF(TODAY()&gt;$T1025,"OVERDUE","Due "&amp;TEXT($T1025,"mm/dd")))))))</f>
        <v/>
      </c>
      <c r="V1025" s="16" t="n"/>
      <c r="W1025" s="16" t="n"/>
      <c r="X1025" s="17">
        <f>IF($C1025="","",IF(AND($L1025&lt;&gt;"",NOT(ISNUMBER($L1025))),"RAW SCORE NOT A NUMBER",IF(AND(ISNUMBER($L1025),OR($L1025&lt;0,$L1025&gt;100)),"RAW SCORE OUT OF RANGE",IF(AND($Y1025="Unexcused",OR($L1025="",NOT(ISNUMBER($L1025)),$L1025&lt;&gt;0)),"UNEXCUSED ABSENCE MUST RECORD 0",IF(COUNTIF(nrES_RecID,$B1025)&gt;1,"DUPLICATE RECORD",IF(N($K1025)&gt;2,"ATTEMPT 3+ NOT ALLOWED - policy 300.5 permits one retest per exam; this row records nothing",IF(AND($K1025=2,COUNTIFS(nrES_PID,$D1025,nrES_Code,$F1025,nrES_Att,1)=0),"ATTEMPT 2 WITHOUT ATTEMPT 1",IF(AND($K1025=2,$L1025=""),"RETEST ROW HAS NO SCORE",IF(AND($H1025="Final",$L1025&lt;&gt;"",IFERROR(INDEX(nrCKfinalExamElig,MATCH($D1025,rngCadetPIDs,0)),"")="No"),"FINAL EXAM AFTER FAILED FINAL PT (500.1.H)",IF(AND($K1025=2,ISNUMBER($L1025),COUNTIFS(nrES_PID,$D1025,nrES_Code,$F1025,nrES_Att,1)&gt;0,SUMIFS(nrES_Raw,nrES_PID,$D1025,nrES_Code,$F1025,nrES_Att,1)&gt;=$J1025),"RETEST AFTER A PASSING FIRST ATTEMPT","OK"))))))))))</f>
        <v/>
      </c>
      <c r="Y1025" s="16" t="n"/>
    </row>
    <row r="1026">
      <c r="B1026" s="17">
        <f>IF($C1026="","",$D1026&amp;"-"&amp;$F1026&amp;"-"&amp;$K1026)</f>
        <v/>
      </c>
      <c r="C1026" s="16" t="n"/>
      <c r="D1026" s="17">
        <f>IF($C1026="","",IFERROR(INDEX(rngCadetPIDs,MATCH($C1026,rngCadetNames,0)),"?"))</f>
        <v/>
      </c>
      <c r="E1026" s="17">
        <f>IF($D1026="","",IFERROR(INDEX(nrCadetAgency,MATCH($D1026,rngCadetPIDs,0)),""))</f>
        <v/>
      </c>
      <c r="F1026" s="16" t="n"/>
      <c r="G1026" s="17">
        <f>IF($F1026="","",IFERROR(INDEX(rngEPname,MATCH($F1026,rngEPcode,0)),"?"))</f>
        <v/>
      </c>
      <c r="H1026" s="17">
        <f>IF($F1026="","",IFERROR(INDEX(rngEPtype,MATCH($F1026,rngEPcode,0)),"?"))</f>
        <v/>
      </c>
      <c r="I1026" s="17">
        <f>IF($F1026="","",IFERROR(INDEX(rngEPseq,MATCH($F1026,rngEPcode,0)),""))</f>
        <v/>
      </c>
      <c r="J1026" s="17">
        <f>IF($F1026="","",IFERROR(INDEX(rngEPpass,MATCH($F1026,rngEPcode,0)),cfgPassingScore))</f>
        <v/>
      </c>
      <c r="K1026" s="16" t="n"/>
      <c r="L1026" s="16" t="n"/>
      <c r="M1026" s="17">
        <f>IF($C1026="","",IF($L1026="","",IF(NOT(ISNUMBER($L1026)),$L1026,IF(N($K1026)&gt;2,"",IF($K1026=1,IF(COUNTIFS(nrES_PID,$D1026,nrES_Code,$F1026,nrES_Att,2,nrES_Raw,"&gt;=0")&gt;0,"",$L1026),IF($L1026&gt;=$J1026,MAX($J1026,cfgRetakeRecordedCap),IF(COUNTIFS(nrES_PID,$D1026,nrES_Code,$F1026,nrES_Att,1)=0,$L1026,SUMIFS(nrES_Raw,nrES_PID,$D1026,nrES_Code,$F1026,nrES_Att,1))))))))</f>
        <v/>
      </c>
      <c r="N1026" s="17">
        <f>IF($C1026="","",IF($L1026="","",IF(NOT(ISNUMBER($L1026)),"(not a score)",IF($L1026&gt;=$J1026,"Yes","No"))))</f>
        <v/>
      </c>
      <c r="O1026" s="17">
        <f>IF($C1026="","",IF($M1026="","",IF(NOT(ISNUMBER($M1026)),"(not a score)",IF($M1026&gt;=$J1026,"Yes","No"))))</f>
        <v/>
      </c>
      <c r="P1026" s="17">
        <f>IF($C1026="","",IF($K1026="","",IF(N($K1026)&gt;2,"No",IF(COUNTIFS(nrES_PID,$D1026,nrES_Code,$F1026,nrES_Att,"&gt;"&amp;$K1026,nrES_Att,"&lt;=2",nrES_Raw,"&gt;=0")=0,"Yes","No"))))</f>
        <v/>
      </c>
      <c r="Q1026" s="17">
        <f>IF($C1026="","",IF($L1026="","",IF(AND($K1026=1,ISNUMBER($L1026),$L1026&lt;$J1026,COUNTIFS(nrES_PID,$D1026,nrES_Code,$F1026,nrES_Att,2,nrES_Raw,"&gt;=0")=0),"Yes","No")))</f>
        <v/>
      </c>
      <c r="R1026" s="17">
        <f>IF($C1026="","",IF($L1026="","",IF(AND(N($K1026)&gt;=2,ISNUMBER($L1026),$L1026&lt;$J1026),"Yes","No")))</f>
        <v/>
      </c>
      <c r="S1026" s="18" t="n"/>
      <c r="T1026" s="19">
        <f>IF(OR($C1026="",$L1026="",$K1026&lt;&gt;1,NOT(ISNUMBER($L1026)),$L1026&gt;=$J1026),"",IF($S1026="","(enter date)",_xlfn.LET(_xlpm.dn,_xlfn.XLOOKUP($S1026,nrCDdate,nrCDnum,"",1),IF(_xlpm.dn="","(after last class day)",_xlfn.LET(_xlpm.dd,_xlfn.XLOOKUP(_xlpm.dn+cfgRetestClassDays,nrCDnum,nrCDdate,""),_xlpm.ok,_xlfn.XLOOKUP(_xlpm.dn+cfgRetestClassDays,nrCDnum,nrCDinsession,"No"),IF(OR(_xlpm.dd="",_xlpm.ok&lt;&gt;"Yes"),"(after last class day)",_xlpm.dd))))))</f>
        <v/>
      </c>
      <c r="U1026" s="17">
        <f>IF($C1026="","",IF(AND($Y1026="Excused",$L1026="",N($K1026)&lt;=1),"EXCUSED - 1st attempt pending",IF(OR($L1026="",$K1026&lt;&gt;1,NOT(ISNUMBER($L1026)),$L1026&gt;=$J1026),"",IF(COUNTIFS(nrES_PID,$D1026,nrES_Code,$F1026,nrES_Att,2,nrES_Raw,"&gt;=0")&gt;0,IF(IFERROR(_xlfn.MINIFS(nrES_Date,nrES_PID,$D1026,nrES_Code,$F1026,nrES_Att,2,nrES_Raw,"&gt;=0",nrES_Date,"&gt;0"),0)=0,"RETEST UNDATED",IF(NOT(ISNUMBER($T1026)),"RETEST DATE UNCHECKED",IF(_xlfn.MINIFS(nrES_Date,nrES_PID,$D1026,nrES_Code,$F1026,nrES_Att,2,nrES_Raw,"&gt;=0",nrES_Date,"&gt;0")&gt;$T1026,"LATE RETEST "&amp;TEXT(_xlfn.MINIFS(nrES_Date,nrES_PID,$D1026,nrES_Code,$F1026,nrES_Att,2,nrES_Raw,"&gt;=0",nrES_Date,"&gt;0"),"mm/dd")&amp;" (due "&amp;TEXT($T1026,"mm/dd")&amp;")","Retested"))),IF(NOT(ISNUMBER($T1026)),"CHECK DATE",IF(TODAY()&gt;$T1026,"OVERDUE","Due "&amp;TEXT($T1026,"mm/dd")))))))</f>
        <v/>
      </c>
      <c r="V1026" s="16" t="n"/>
      <c r="W1026" s="16" t="n"/>
      <c r="X1026" s="17">
        <f>IF($C1026="","",IF(AND($L1026&lt;&gt;"",NOT(ISNUMBER($L1026))),"RAW SCORE NOT A NUMBER",IF(AND(ISNUMBER($L1026),OR($L1026&lt;0,$L1026&gt;100)),"RAW SCORE OUT OF RANGE",IF(AND($Y1026="Unexcused",OR($L1026="",NOT(ISNUMBER($L1026)),$L1026&lt;&gt;0)),"UNEXCUSED ABSENCE MUST RECORD 0",IF(COUNTIF(nrES_RecID,$B1026)&gt;1,"DUPLICATE RECORD",IF(N($K1026)&gt;2,"ATTEMPT 3+ NOT ALLOWED - policy 300.5 permits one retest per exam; this row records nothing",IF(AND($K1026=2,COUNTIFS(nrES_PID,$D1026,nrES_Code,$F1026,nrES_Att,1)=0),"ATTEMPT 2 WITHOUT ATTEMPT 1",IF(AND($K1026=2,$L1026=""),"RETEST ROW HAS NO SCORE",IF(AND($H1026="Final",$L1026&lt;&gt;"",IFERROR(INDEX(nrCKfinalExamElig,MATCH($D1026,rngCadetPIDs,0)),"")="No"),"FINAL EXAM AFTER FAILED FINAL PT (500.1.H)",IF(AND($K1026=2,ISNUMBER($L1026),COUNTIFS(nrES_PID,$D1026,nrES_Code,$F1026,nrES_Att,1)&gt;0,SUMIFS(nrES_Raw,nrES_PID,$D1026,nrES_Code,$F1026,nrES_Att,1)&gt;=$J1026),"RETEST AFTER A PASSING FIRST ATTEMPT","OK"))))))))))</f>
        <v/>
      </c>
      <c r="Y1026" s="16" t="n"/>
    </row>
    <row r="1027">
      <c r="B1027" s="17">
        <f>IF($C1027="","",$D1027&amp;"-"&amp;$F1027&amp;"-"&amp;$K1027)</f>
        <v/>
      </c>
      <c r="C1027" s="16" t="n"/>
      <c r="D1027" s="17">
        <f>IF($C1027="","",IFERROR(INDEX(rngCadetPIDs,MATCH($C1027,rngCadetNames,0)),"?"))</f>
        <v/>
      </c>
      <c r="E1027" s="17">
        <f>IF($D1027="","",IFERROR(INDEX(nrCadetAgency,MATCH($D1027,rngCadetPIDs,0)),""))</f>
        <v/>
      </c>
      <c r="F1027" s="16" t="n"/>
      <c r="G1027" s="17">
        <f>IF($F1027="","",IFERROR(INDEX(rngEPname,MATCH($F1027,rngEPcode,0)),"?"))</f>
        <v/>
      </c>
      <c r="H1027" s="17">
        <f>IF($F1027="","",IFERROR(INDEX(rngEPtype,MATCH($F1027,rngEPcode,0)),"?"))</f>
        <v/>
      </c>
      <c r="I1027" s="17">
        <f>IF($F1027="","",IFERROR(INDEX(rngEPseq,MATCH($F1027,rngEPcode,0)),""))</f>
        <v/>
      </c>
      <c r="J1027" s="17">
        <f>IF($F1027="","",IFERROR(INDEX(rngEPpass,MATCH($F1027,rngEPcode,0)),cfgPassingScore))</f>
        <v/>
      </c>
      <c r="K1027" s="16" t="n"/>
      <c r="L1027" s="16" t="n"/>
      <c r="M1027" s="17">
        <f>IF($C1027="","",IF($L1027="","",IF(NOT(ISNUMBER($L1027)),$L1027,IF(N($K1027)&gt;2,"",IF($K1027=1,IF(COUNTIFS(nrES_PID,$D1027,nrES_Code,$F1027,nrES_Att,2,nrES_Raw,"&gt;=0")&gt;0,"",$L1027),IF($L1027&gt;=$J1027,MAX($J1027,cfgRetakeRecordedCap),IF(COUNTIFS(nrES_PID,$D1027,nrES_Code,$F1027,nrES_Att,1)=0,$L1027,SUMIFS(nrES_Raw,nrES_PID,$D1027,nrES_Code,$F1027,nrES_Att,1))))))))</f>
        <v/>
      </c>
      <c r="N1027" s="17">
        <f>IF($C1027="","",IF($L1027="","",IF(NOT(ISNUMBER($L1027)),"(not a score)",IF($L1027&gt;=$J1027,"Yes","No"))))</f>
        <v/>
      </c>
      <c r="O1027" s="17">
        <f>IF($C1027="","",IF($M1027="","",IF(NOT(ISNUMBER($M1027)),"(not a score)",IF($M1027&gt;=$J1027,"Yes","No"))))</f>
        <v/>
      </c>
      <c r="P1027" s="17">
        <f>IF($C1027="","",IF($K1027="","",IF(N($K1027)&gt;2,"No",IF(COUNTIFS(nrES_PID,$D1027,nrES_Code,$F1027,nrES_Att,"&gt;"&amp;$K1027,nrES_Att,"&lt;=2",nrES_Raw,"&gt;=0")=0,"Yes","No"))))</f>
        <v/>
      </c>
      <c r="Q1027" s="17">
        <f>IF($C1027="","",IF($L1027="","",IF(AND($K1027=1,ISNUMBER($L1027),$L1027&lt;$J1027,COUNTIFS(nrES_PID,$D1027,nrES_Code,$F1027,nrES_Att,2,nrES_Raw,"&gt;=0")=0),"Yes","No")))</f>
        <v/>
      </c>
      <c r="R1027" s="17">
        <f>IF($C1027="","",IF($L1027="","",IF(AND(N($K1027)&gt;=2,ISNUMBER($L1027),$L1027&lt;$J1027),"Yes","No")))</f>
        <v/>
      </c>
      <c r="S1027" s="18" t="n"/>
      <c r="T1027" s="19">
        <f>IF(OR($C1027="",$L1027="",$K1027&lt;&gt;1,NOT(ISNUMBER($L1027)),$L1027&gt;=$J1027),"",IF($S1027="","(enter date)",_xlfn.LET(_xlpm.dn,_xlfn.XLOOKUP($S1027,nrCDdate,nrCDnum,"",1),IF(_xlpm.dn="","(after last class day)",_xlfn.LET(_xlpm.dd,_xlfn.XLOOKUP(_xlpm.dn+cfgRetestClassDays,nrCDnum,nrCDdate,""),_xlpm.ok,_xlfn.XLOOKUP(_xlpm.dn+cfgRetestClassDays,nrCDnum,nrCDinsession,"No"),IF(OR(_xlpm.dd="",_xlpm.ok&lt;&gt;"Yes"),"(after last class day)",_xlpm.dd))))))</f>
        <v/>
      </c>
      <c r="U1027" s="17">
        <f>IF($C1027="","",IF(AND($Y1027="Excused",$L1027="",N($K1027)&lt;=1),"EXCUSED - 1st attempt pending",IF(OR($L1027="",$K1027&lt;&gt;1,NOT(ISNUMBER($L1027)),$L1027&gt;=$J1027),"",IF(COUNTIFS(nrES_PID,$D1027,nrES_Code,$F1027,nrES_Att,2,nrES_Raw,"&gt;=0")&gt;0,IF(IFERROR(_xlfn.MINIFS(nrES_Date,nrES_PID,$D1027,nrES_Code,$F1027,nrES_Att,2,nrES_Raw,"&gt;=0",nrES_Date,"&gt;0"),0)=0,"RETEST UNDATED",IF(NOT(ISNUMBER($T1027)),"RETEST DATE UNCHECKED",IF(_xlfn.MINIFS(nrES_Date,nrES_PID,$D1027,nrES_Code,$F1027,nrES_Att,2,nrES_Raw,"&gt;=0",nrES_Date,"&gt;0")&gt;$T1027,"LATE RETEST "&amp;TEXT(_xlfn.MINIFS(nrES_Date,nrES_PID,$D1027,nrES_Code,$F1027,nrES_Att,2,nrES_Raw,"&gt;=0",nrES_Date,"&gt;0"),"mm/dd")&amp;" (due "&amp;TEXT($T1027,"mm/dd")&amp;")","Retested"))),IF(NOT(ISNUMBER($T1027)),"CHECK DATE",IF(TODAY()&gt;$T1027,"OVERDUE","Due "&amp;TEXT($T1027,"mm/dd")))))))</f>
        <v/>
      </c>
      <c r="V1027" s="16" t="n"/>
      <c r="W1027" s="16" t="n"/>
      <c r="X1027" s="17">
        <f>IF($C1027="","",IF(AND($L1027&lt;&gt;"",NOT(ISNUMBER($L1027))),"RAW SCORE NOT A NUMBER",IF(AND(ISNUMBER($L1027),OR($L1027&lt;0,$L1027&gt;100)),"RAW SCORE OUT OF RANGE",IF(AND($Y1027="Unexcused",OR($L1027="",NOT(ISNUMBER($L1027)),$L1027&lt;&gt;0)),"UNEXCUSED ABSENCE MUST RECORD 0",IF(COUNTIF(nrES_RecID,$B1027)&gt;1,"DUPLICATE RECORD",IF(N($K1027)&gt;2,"ATTEMPT 3+ NOT ALLOWED - policy 300.5 permits one retest per exam; this row records nothing",IF(AND($K1027=2,COUNTIFS(nrES_PID,$D1027,nrES_Code,$F1027,nrES_Att,1)=0),"ATTEMPT 2 WITHOUT ATTEMPT 1",IF(AND($K1027=2,$L1027=""),"RETEST ROW HAS NO SCORE",IF(AND($H1027="Final",$L1027&lt;&gt;"",IFERROR(INDEX(nrCKfinalExamElig,MATCH($D1027,rngCadetPIDs,0)),"")="No"),"FINAL EXAM AFTER FAILED FINAL PT (500.1.H)",IF(AND($K1027=2,ISNUMBER($L1027),COUNTIFS(nrES_PID,$D1027,nrES_Code,$F1027,nrES_Att,1)&gt;0,SUMIFS(nrES_Raw,nrES_PID,$D1027,nrES_Code,$F1027,nrES_Att,1)&gt;=$J1027),"RETEST AFTER A PASSING FIRST ATTEMPT","OK"))))))))))</f>
        <v/>
      </c>
      <c r="Y1027" s="16" t="n"/>
    </row>
    <row r="1028">
      <c r="B1028" s="17">
        <f>IF($C1028="","",$D1028&amp;"-"&amp;$F1028&amp;"-"&amp;$K1028)</f>
        <v/>
      </c>
      <c r="C1028" s="16" t="n"/>
      <c r="D1028" s="17">
        <f>IF($C1028="","",IFERROR(INDEX(rngCadetPIDs,MATCH($C1028,rngCadetNames,0)),"?"))</f>
        <v/>
      </c>
      <c r="E1028" s="17">
        <f>IF($D1028="","",IFERROR(INDEX(nrCadetAgency,MATCH($D1028,rngCadetPIDs,0)),""))</f>
        <v/>
      </c>
      <c r="F1028" s="16" t="n"/>
      <c r="G1028" s="17">
        <f>IF($F1028="","",IFERROR(INDEX(rngEPname,MATCH($F1028,rngEPcode,0)),"?"))</f>
        <v/>
      </c>
      <c r="H1028" s="17">
        <f>IF($F1028="","",IFERROR(INDEX(rngEPtype,MATCH($F1028,rngEPcode,0)),"?"))</f>
        <v/>
      </c>
      <c r="I1028" s="17">
        <f>IF($F1028="","",IFERROR(INDEX(rngEPseq,MATCH($F1028,rngEPcode,0)),""))</f>
        <v/>
      </c>
      <c r="J1028" s="17">
        <f>IF($F1028="","",IFERROR(INDEX(rngEPpass,MATCH($F1028,rngEPcode,0)),cfgPassingScore))</f>
        <v/>
      </c>
      <c r="K1028" s="16" t="n"/>
      <c r="L1028" s="16" t="n"/>
      <c r="M1028" s="17">
        <f>IF($C1028="","",IF($L1028="","",IF(NOT(ISNUMBER($L1028)),$L1028,IF(N($K1028)&gt;2,"",IF($K1028=1,IF(COUNTIFS(nrES_PID,$D1028,nrES_Code,$F1028,nrES_Att,2,nrES_Raw,"&gt;=0")&gt;0,"",$L1028),IF($L1028&gt;=$J1028,MAX($J1028,cfgRetakeRecordedCap),IF(COUNTIFS(nrES_PID,$D1028,nrES_Code,$F1028,nrES_Att,1)=0,$L1028,SUMIFS(nrES_Raw,nrES_PID,$D1028,nrES_Code,$F1028,nrES_Att,1))))))))</f>
        <v/>
      </c>
      <c r="N1028" s="17">
        <f>IF($C1028="","",IF($L1028="","",IF(NOT(ISNUMBER($L1028)),"(not a score)",IF($L1028&gt;=$J1028,"Yes","No"))))</f>
        <v/>
      </c>
      <c r="O1028" s="17">
        <f>IF($C1028="","",IF($M1028="","",IF(NOT(ISNUMBER($M1028)),"(not a score)",IF($M1028&gt;=$J1028,"Yes","No"))))</f>
        <v/>
      </c>
      <c r="P1028" s="17">
        <f>IF($C1028="","",IF($K1028="","",IF(N($K1028)&gt;2,"No",IF(COUNTIFS(nrES_PID,$D1028,nrES_Code,$F1028,nrES_Att,"&gt;"&amp;$K1028,nrES_Att,"&lt;=2",nrES_Raw,"&gt;=0")=0,"Yes","No"))))</f>
        <v/>
      </c>
      <c r="Q1028" s="17">
        <f>IF($C1028="","",IF($L1028="","",IF(AND($K1028=1,ISNUMBER($L1028),$L1028&lt;$J1028,COUNTIFS(nrES_PID,$D1028,nrES_Code,$F1028,nrES_Att,2,nrES_Raw,"&gt;=0")=0),"Yes","No")))</f>
        <v/>
      </c>
      <c r="R1028" s="17">
        <f>IF($C1028="","",IF($L1028="","",IF(AND(N($K1028)&gt;=2,ISNUMBER($L1028),$L1028&lt;$J1028),"Yes","No")))</f>
        <v/>
      </c>
      <c r="S1028" s="18" t="n"/>
      <c r="T1028" s="19">
        <f>IF(OR($C1028="",$L1028="",$K1028&lt;&gt;1,NOT(ISNUMBER($L1028)),$L1028&gt;=$J1028),"",IF($S1028="","(enter date)",_xlfn.LET(_xlpm.dn,_xlfn.XLOOKUP($S1028,nrCDdate,nrCDnum,"",1),IF(_xlpm.dn="","(after last class day)",_xlfn.LET(_xlpm.dd,_xlfn.XLOOKUP(_xlpm.dn+cfgRetestClassDays,nrCDnum,nrCDdate,""),_xlpm.ok,_xlfn.XLOOKUP(_xlpm.dn+cfgRetestClassDays,nrCDnum,nrCDinsession,"No"),IF(OR(_xlpm.dd="",_xlpm.ok&lt;&gt;"Yes"),"(after last class day)",_xlpm.dd))))))</f>
        <v/>
      </c>
      <c r="U1028" s="17">
        <f>IF($C1028="","",IF(AND($Y1028="Excused",$L1028="",N($K1028)&lt;=1),"EXCUSED - 1st attempt pending",IF(OR($L1028="",$K1028&lt;&gt;1,NOT(ISNUMBER($L1028)),$L1028&gt;=$J1028),"",IF(COUNTIFS(nrES_PID,$D1028,nrES_Code,$F1028,nrES_Att,2,nrES_Raw,"&gt;=0")&gt;0,IF(IFERROR(_xlfn.MINIFS(nrES_Date,nrES_PID,$D1028,nrES_Code,$F1028,nrES_Att,2,nrES_Raw,"&gt;=0",nrES_Date,"&gt;0"),0)=0,"RETEST UNDATED",IF(NOT(ISNUMBER($T1028)),"RETEST DATE UNCHECKED",IF(_xlfn.MINIFS(nrES_Date,nrES_PID,$D1028,nrES_Code,$F1028,nrES_Att,2,nrES_Raw,"&gt;=0",nrES_Date,"&gt;0")&gt;$T1028,"LATE RETEST "&amp;TEXT(_xlfn.MINIFS(nrES_Date,nrES_PID,$D1028,nrES_Code,$F1028,nrES_Att,2,nrES_Raw,"&gt;=0",nrES_Date,"&gt;0"),"mm/dd")&amp;" (due "&amp;TEXT($T1028,"mm/dd")&amp;")","Retested"))),IF(NOT(ISNUMBER($T1028)),"CHECK DATE",IF(TODAY()&gt;$T1028,"OVERDUE","Due "&amp;TEXT($T1028,"mm/dd")))))))</f>
        <v/>
      </c>
      <c r="V1028" s="16" t="n"/>
      <c r="W1028" s="16" t="n"/>
      <c r="X1028" s="17">
        <f>IF($C1028="","",IF(AND($L1028&lt;&gt;"",NOT(ISNUMBER($L1028))),"RAW SCORE NOT A NUMBER",IF(AND(ISNUMBER($L1028),OR($L1028&lt;0,$L1028&gt;100)),"RAW SCORE OUT OF RANGE",IF(AND($Y1028="Unexcused",OR($L1028="",NOT(ISNUMBER($L1028)),$L1028&lt;&gt;0)),"UNEXCUSED ABSENCE MUST RECORD 0",IF(COUNTIF(nrES_RecID,$B1028)&gt;1,"DUPLICATE RECORD",IF(N($K1028)&gt;2,"ATTEMPT 3+ NOT ALLOWED - policy 300.5 permits one retest per exam; this row records nothing",IF(AND($K1028=2,COUNTIFS(nrES_PID,$D1028,nrES_Code,$F1028,nrES_Att,1)=0),"ATTEMPT 2 WITHOUT ATTEMPT 1",IF(AND($K1028=2,$L1028=""),"RETEST ROW HAS NO SCORE",IF(AND($H1028="Final",$L1028&lt;&gt;"",IFERROR(INDEX(nrCKfinalExamElig,MATCH($D1028,rngCadetPIDs,0)),"")="No"),"FINAL EXAM AFTER FAILED FINAL PT (500.1.H)",IF(AND($K1028=2,ISNUMBER($L1028),COUNTIFS(nrES_PID,$D1028,nrES_Code,$F1028,nrES_Att,1)&gt;0,SUMIFS(nrES_Raw,nrES_PID,$D1028,nrES_Code,$F1028,nrES_Att,1)&gt;=$J1028),"RETEST AFTER A PASSING FIRST ATTEMPT","OK"))))))))))</f>
        <v/>
      </c>
      <c r="Y1028" s="16" t="n"/>
    </row>
    <row r="1029">
      <c r="B1029" s="17">
        <f>IF($C1029="","",$D1029&amp;"-"&amp;$F1029&amp;"-"&amp;$K1029)</f>
        <v/>
      </c>
      <c r="C1029" s="16" t="n"/>
      <c r="D1029" s="17">
        <f>IF($C1029="","",IFERROR(INDEX(rngCadetPIDs,MATCH($C1029,rngCadetNames,0)),"?"))</f>
        <v/>
      </c>
      <c r="E1029" s="17">
        <f>IF($D1029="","",IFERROR(INDEX(nrCadetAgency,MATCH($D1029,rngCadetPIDs,0)),""))</f>
        <v/>
      </c>
      <c r="F1029" s="16" t="n"/>
      <c r="G1029" s="17">
        <f>IF($F1029="","",IFERROR(INDEX(rngEPname,MATCH($F1029,rngEPcode,0)),"?"))</f>
        <v/>
      </c>
      <c r="H1029" s="17">
        <f>IF($F1029="","",IFERROR(INDEX(rngEPtype,MATCH($F1029,rngEPcode,0)),"?"))</f>
        <v/>
      </c>
      <c r="I1029" s="17">
        <f>IF($F1029="","",IFERROR(INDEX(rngEPseq,MATCH($F1029,rngEPcode,0)),""))</f>
        <v/>
      </c>
      <c r="J1029" s="17">
        <f>IF($F1029="","",IFERROR(INDEX(rngEPpass,MATCH($F1029,rngEPcode,0)),cfgPassingScore))</f>
        <v/>
      </c>
      <c r="K1029" s="16" t="n"/>
      <c r="L1029" s="16" t="n"/>
      <c r="M1029" s="17">
        <f>IF($C1029="","",IF($L1029="","",IF(NOT(ISNUMBER($L1029)),$L1029,IF(N($K1029)&gt;2,"",IF($K1029=1,IF(COUNTIFS(nrES_PID,$D1029,nrES_Code,$F1029,nrES_Att,2,nrES_Raw,"&gt;=0")&gt;0,"",$L1029),IF($L1029&gt;=$J1029,MAX($J1029,cfgRetakeRecordedCap),IF(COUNTIFS(nrES_PID,$D1029,nrES_Code,$F1029,nrES_Att,1)=0,$L1029,SUMIFS(nrES_Raw,nrES_PID,$D1029,nrES_Code,$F1029,nrES_Att,1))))))))</f>
        <v/>
      </c>
      <c r="N1029" s="17">
        <f>IF($C1029="","",IF($L1029="","",IF(NOT(ISNUMBER($L1029)),"(not a score)",IF($L1029&gt;=$J1029,"Yes","No"))))</f>
        <v/>
      </c>
      <c r="O1029" s="17">
        <f>IF($C1029="","",IF($M1029="","",IF(NOT(ISNUMBER($M1029)),"(not a score)",IF($M1029&gt;=$J1029,"Yes","No"))))</f>
        <v/>
      </c>
      <c r="P1029" s="17">
        <f>IF($C1029="","",IF($K1029="","",IF(N($K1029)&gt;2,"No",IF(COUNTIFS(nrES_PID,$D1029,nrES_Code,$F1029,nrES_Att,"&gt;"&amp;$K1029,nrES_Att,"&lt;=2",nrES_Raw,"&gt;=0")=0,"Yes","No"))))</f>
        <v/>
      </c>
      <c r="Q1029" s="17">
        <f>IF($C1029="","",IF($L1029="","",IF(AND($K1029=1,ISNUMBER($L1029),$L1029&lt;$J1029,COUNTIFS(nrES_PID,$D1029,nrES_Code,$F1029,nrES_Att,2,nrES_Raw,"&gt;=0")=0),"Yes","No")))</f>
        <v/>
      </c>
      <c r="R1029" s="17">
        <f>IF($C1029="","",IF($L1029="","",IF(AND(N($K1029)&gt;=2,ISNUMBER($L1029),$L1029&lt;$J1029),"Yes","No")))</f>
        <v/>
      </c>
      <c r="S1029" s="18" t="n"/>
      <c r="T1029" s="19">
        <f>IF(OR($C1029="",$L1029="",$K1029&lt;&gt;1,NOT(ISNUMBER($L1029)),$L1029&gt;=$J1029),"",IF($S1029="","(enter date)",_xlfn.LET(_xlpm.dn,_xlfn.XLOOKUP($S1029,nrCDdate,nrCDnum,"",1),IF(_xlpm.dn="","(after last class day)",_xlfn.LET(_xlpm.dd,_xlfn.XLOOKUP(_xlpm.dn+cfgRetestClassDays,nrCDnum,nrCDdate,""),_xlpm.ok,_xlfn.XLOOKUP(_xlpm.dn+cfgRetestClassDays,nrCDnum,nrCDinsession,"No"),IF(OR(_xlpm.dd="",_xlpm.ok&lt;&gt;"Yes"),"(after last class day)",_xlpm.dd))))))</f>
        <v/>
      </c>
      <c r="U1029" s="17">
        <f>IF($C1029="","",IF(AND($Y1029="Excused",$L1029="",N($K1029)&lt;=1),"EXCUSED - 1st attempt pending",IF(OR($L1029="",$K1029&lt;&gt;1,NOT(ISNUMBER($L1029)),$L1029&gt;=$J1029),"",IF(COUNTIFS(nrES_PID,$D1029,nrES_Code,$F1029,nrES_Att,2,nrES_Raw,"&gt;=0")&gt;0,IF(IFERROR(_xlfn.MINIFS(nrES_Date,nrES_PID,$D1029,nrES_Code,$F1029,nrES_Att,2,nrES_Raw,"&gt;=0",nrES_Date,"&gt;0"),0)=0,"RETEST UNDATED",IF(NOT(ISNUMBER($T1029)),"RETEST DATE UNCHECKED",IF(_xlfn.MINIFS(nrES_Date,nrES_PID,$D1029,nrES_Code,$F1029,nrES_Att,2,nrES_Raw,"&gt;=0",nrES_Date,"&gt;0")&gt;$T1029,"LATE RETEST "&amp;TEXT(_xlfn.MINIFS(nrES_Date,nrES_PID,$D1029,nrES_Code,$F1029,nrES_Att,2,nrES_Raw,"&gt;=0",nrES_Date,"&gt;0"),"mm/dd")&amp;" (due "&amp;TEXT($T1029,"mm/dd")&amp;")","Retested"))),IF(NOT(ISNUMBER($T1029)),"CHECK DATE",IF(TODAY()&gt;$T1029,"OVERDUE","Due "&amp;TEXT($T1029,"mm/dd")))))))</f>
        <v/>
      </c>
      <c r="V1029" s="16" t="n"/>
      <c r="W1029" s="16" t="n"/>
      <c r="X1029" s="17">
        <f>IF($C1029="","",IF(AND($L1029&lt;&gt;"",NOT(ISNUMBER($L1029))),"RAW SCORE NOT A NUMBER",IF(AND(ISNUMBER($L1029),OR($L1029&lt;0,$L1029&gt;100)),"RAW SCORE OUT OF RANGE",IF(AND($Y1029="Unexcused",OR($L1029="",NOT(ISNUMBER($L1029)),$L1029&lt;&gt;0)),"UNEXCUSED ABSENCE MUST RECORD 0",IF(COUNTIF(nrES_RecID,$B1029)&gt;1,"DUPLICATE RECORD",IF(N($K1029)&gt;2,"ATTEMPT 3+ NOT ALLOWED - policy 300.5 permits one retest per exam; this row records nothing",IF(AND($K1029=2,COUNTIFS(nrES_PID,$D1029,nrES_Code,$F1029,nrES_Att,1)=0),"ATTEMPT 2 WITHOUT ATTEMPT 1",IF(AND($K1029=2,$L1029=""),"RETEST ROW HAS NO SCORE",IF(AND($H1029="Final",$L1029&lt;&gt;"",IFERROR(INDEX(nrCKfinalExamElig,MATCH($D1029,rngCadetPIDs,0)),"")="No"),"FINAL EXAM AFTER FAILED FINAL PT (500.1.H)",IF(AND($K1029=2,ISNUMBER($L1029),COUNTIFS(nrES_PID,$D1029,nrES_Code,$F1029,nrES_Att,1)&gt;0,SUMIFS(nrES_Raw,nrES_PID,$D1029,nrES_Code,$F1029,nrES_Att,1)&gt;=$J1029),"RETEST AFTER A PASSING FIRST ATTEMPT","OK"))))))))))</f>
        <v/>
      </c>
      <c r="Y1029" s="16" t="n"/>
    </row>
    <row r="1030">
      <c r="B1030" s="17">
        <f>IF($C1030="","",$D1030&amp;"-"&amp;$F1030&amp;"-"&amp;$K1030)</f>
        <v/>
      </c>
      <c r="C1030" s="16" t="n"/>
      <c r="D1030" s="17">
        <f>IF($C1030="","",IFERROR(INDEX(rngCadetPIDs,MATCH($C1030,rngCadetNames,0)),"?"))</f>
        <v/>
      </c>
      <c r="E1030" s="17">
        <f>IF($D1030="","",IFERROR(INDEX(nrCadetAgency,MATCH($D1030,rngCadetPIDs,0)),""))</f>
        <v/>
      </c>
      <c r="F1030" s="16" t="n"/>
      <c r="G1030" s="17">
        <f>IF($F1030="","",IFERROR(INDEX(rngEPname,MATCH($F1030,rngEPcode,0)),"?"))</f>
        <v/>
      </c>
      <c r="H1030" s="17">
        <f>IF($F1030="","",IFERROR(INDEX(rngEPtype,MATCH($F1030,rngEPcode,0)),"?"))</f>
        <v/>
      </c>
      <c r="I1030" s="17">
        <f>IF($F1030="","",IFERROR(INDEX(rngEPseq,MATCH($F1030,rngEPcode,0)),""))</f>
        <v/>
      </c>
      <c r="J1030" s="17">
        <f>IF($F1030="","",IFERROR(INDEX(rngEPpass,MATCH($F1030,rngEPcode,0)),cfgPassingScore))</f>
        <v/>
      </c>
      <c r="K1030" s="16" t="n"/>
      <c r="L1030" s="16" t="n"/>
      <c r="M1030" s="17">
        <f>IF($C1030="","",IF($L1030="","",IF(NOT(ISNUMBER($L1030)),$L1030,IF(N($K1030)&gt;2,"",IF($K1030=1,IF(COUNTIFS(nrES_PID,$D1030,nrES_Code,$F1030,nrES_Att,2,nrES_Raw,"&gt;=0")&gt;0,"",$L1030),IF($L1030&gt;=$J1030,MAX($J1030,cfgRetakeRecordedCap),IF(COUNTIFS(nrES_PID,$D1030,nrES_Code,$F1030,nrES_Att,1)=0,$L1030,SUMIFS(nrES_Raw,nrES_PID,$D1030,nrES_Code,$F1030,nrES_Att,1))))))))</f>
        <v/>
      </c>
      <c r="N1030" s="17">
        <f>IF($C1030="","",IF($L1030="","",IF(NOT(ISNUMBER($L1030)),"(not a score)",IF($L1030&gt;=$J1030,"Yes","No"))))</f>
        <v/>
      </c>
      <c r="O1030" s="17">
        <f>IF($C1030="","",IF($M1030="","",IF(NOT(ISNUMBER($M1030)),"(not a score)",IF($M1030&gt;=$J1030,"Yes","No"))))</f>
        <v/>
      </c>
      <c r="P1030" s="17">
        <f>IF($C1030="","",IF($K1030="","",IF(N($K1030)&gt;2,"No",IF(COUNTIFS(nrES_PID,$D1030,nrES_Code,$F1030,nrES_Att,"&gt;"&amp;$K1030,nrES_Att,"&lt;=2",nrES_Raw,"&gt;=0")=0,"Yes","No"))))</f>
        <v/>
      </c>
      <c r="Q1030" s="17">
        <f>IF($C1030="","",IF($L1030="","",IF(AND($K1030=1,ISNUMBER($L1030),$L1030&lt;$J1030,COUNTIFS(nrES_PID,$D1030,nrES_Code,$F1030,nrES_Att,2,nrES_Raw,"&gt;=0")=0),"Yes","No")))</f>
        <v/>
      </c>
      <c r="R1030" s="17">
        <f>IF($C1030="","",IF($L1030="","",IF(AND(N($K1030)&gt;=2,ISNUMBER($L1030),$L1030&lt;$J1030),"Yes","No")))</f>
        <v/>
      </c>
      <c r="S1030" s="18" t="n"/>
      <c r="T1030" s="19">
        <f>IF(OR($C1030="",$L1030="",$K1030&lt;&gt;1,NOT(ISNUMBER($L1030)),$L1030&gt;=$J1030),"",IF($S1030="","(enter date)",_xlfn.LET(_xlpm.dn,_xlfn.XLOOKUP($S1030,nrCDdate,nrCDnum,"",1),IF(_xlpm.dn="","(after last class day)",_xlfn.LET(_xlpm.dd,_xlfn.XLOOKUP(_xlpm.dn+cfgRetestClassDays,nrCDnum,nrCDdate,""),_xlpm.ok,_xlfn.XLOOKUP(_xlpm.dn+cfgRetestClassDays,nrCDnum,nrCDinsession,"No"),IF(OR(_xlpm.dd="",_xlpm.ok&lt;&gt;"Yes"),"(after last class day)",_xlpm.dd))))))</f>
        <v/>
      </c>
      <c r="U1030" s="17">
        <f>IF($C1030="","",IF(AND($Y1030="Excused",$L1030="",N($K1030)&lt;=1),"EXCUSED - 1st attempt pending",IF(OR($L1030="",$K1030&lt;&gt;1,NOT(ISNUMBER($L1030)),$L1030&gt;=$J1030),"",IF(COUNTIFS(nrES_PID,$D1030,nrES_Code,$F1030,nrES_Att,2,nrES_Raw,"&gt;=0")&gt;0,IF(IFERROR(_xlfn.MINIFS(nrES_Date,nrES_PID,$D1030,nrES_Code,$F1030,nrES_Att,2,nrES_Raw,"&gt;=0",nrES_Date,"&gt;0"),0)=0,"RETEST UNDATED",IF(NOT(ISNUMBER($T1030)),"RETEST DATE UNCHECKED",IF(_xlfn.MINIFS(nrES_Date,nrES_PID,$D1030,nrES_Code,$F1030,nrES_Att,2,nrES_Raw,"&gt;=0",nrES_Date,"&gt;0")&gt;$T1030,"LATE RETEST "&amp;TEXT(_xlfn.MINIFS(nrES_Date,nrES_PID,$D1030,nrES_Code,$F1030,nrES_Att,2,nrES_Raw,"&gt;=0",nrES_Date,"&gt;0"),"mm/dd")&amp;" (due "&amp;TEXT($T1030,"mm/dd")&amp;")","Retested"))),IF(NOT(ISNUMBER($T1030)),"CHECK DATE",IF(TODAY()&gt;$T1030,"OVERDUE","Due "&amp;TEXT($T1030,"mm/dd")))))))</f>
        <v/>
      </c>
      <c r="V1030" s="16" t="n"/>
      <c r="W1030" s="16" t="n"/>
      <c r="X1030" s="17">
        <f>IF($C1030="","",IF(AND($L1030&lt;&gt;"",NOT(ISNUMBER($L1030))),"RAW SCORE NOT A NUMBER",IF(AND(ISNUMBER($L1030),OR($L1030&lt;0,$L1030&gt;100)),"RAW SCORE OUT OF RANGE",IF(AND($Y1030="Unexcused",OR($L1030="",NOT(ISNUMBER($L1030)),$L1030&lt;&gt;0)),"UNEXCUSED ABSENCE MUST RECORD 0",IF(COUNTIF(nrES_RecID,$B1030)&gt;1,"DUPLICATE RECORD",IF(N($K1030)&gt;2,"ATTEMPT 3+ NOT ALLOWED - policy 300.5 permits one retest per exam; this row records nothing",IF(AND($K1030=2,COUNTIFS(nrES_PID,$D1030,nrES_Code,$F1030,nrES_Att,1)=0),"ATTEMPT 2 WITHOUT ATTEMPT 1",IF(AND($K1030=2,$L1030=""),"RETEST ROW HAS NO SCORE",IF(AND($H1030="Final",$L1030&lt;&gt;"",IFERROR(INDEX(nrCKfinalExamElig,MATCH($D1030,rngCadetPIDs,0)),"")="No"),"FINAL EXAM AFTER FAILED FINAL PT (500.1.H)",IF(AND($K1030=2,ISNUMBER($L1030),COUNTIFS(nrES_PID,$D1030,nrES_Code,$F1030,nrES_Att,1)&gt;0,SUMIFS(nrES_Raw,nrES_PID,$D1030,nrES_Code,$F1030,nrES_Att,1)&gt;=$J1030),"RETEST AFTER A PASSING FIRST ATTEMPT","OK"))))))))))</f>
        <v/>
      </c>
      <c r="Y1030" s="16" t="n"/>
    </row>
    <row r="1031">
      <c r="B1031" s="17">
        <f>IF($C1031="","",$D1031&amp;"-"&amp;$F1031&amp;"-"&amp;$K1031)</f>
        <v/>
      </c>
      <c r="C1031" s="16" t="n"/>
      <c r="D1031" s="17">
        <f>IF($C1031="","",IFERROR(INDEX(rngCadetPIDs,MATCH($C1031,rngCadetNames,0)),"?"))</f>
        <v/>
      </c>
      <c r="E1031" s="17">
        <f>IF($D1031="","",IFERROR(INDEX(nrCadetAgency,MATCH($D1031,rngCadetPIDs,0)),""))</f>
        <v/>
      </c>
      <c r="F1031" s="16" t="n"/>
      <c r="G1031" s="17">
        <f>IF($F1031="","",IFERROR(INDEX(rngEPname,MATCH($F1031,rngEPcode,0)),"?"))</f>
        <v/>
      </c>
      <c r="H1031" s="17">
        <f>IF($F1031="","",IFERROR(INDEX(rngEPtype,MATCH($F1031,rngEPcode,0)),"?"))</f>
        <v/>
      </c>
      <c r="I1031" s="17">
        <f>IF($F1031="","",IFERROR(INDEX(rngEPseq,MATCH($F1031,rngEPcode,0)),""))</f>
        <v/>
      </c>
      <c r="J1031" s="17">
        <f>IF($F1031="","",IFERROR(INDEX(rngEPpass,MATCH($F1031,rngEPcode,0)),cfgPassingScore))</f>
        <v/>
      </c>
      <c r="K1031" s="16" t="n"/>
      <c r="L1031" s="16" t="n"/>
      <c r="M1031" s="17">
        <f>IF($C1031="","",IF($L1031="","",IF(NOT(ISNUMBER($L1031)),$L1031,IF(N($K1031)&gt;2,"",IF($K1031=1,IF(COUNTIFS(nrES_PID,$D1031,nrES_Code,$F1031,nrES_Att,2,nrES_Raw,"&gt;=0")&gt;0,"",$L1031),IF($L1031&gt;=$J1031,MAX($J1031,cfgRetakeRecordedCap),IF(COUNTIFS(nrES_PID,$D1031,nrES_Code,$F1031,nrES_Att,1)=0,$L1031,SUMIFS(nrES_Raw,nrES_PID,$D1031,nrES_Code,$F1031,nrES_Att,1))))))))</f>
        <v/>
      </c>
      <c r="N1031" s="17">
        <f>IF($C1031="","",IF($L1031="","",IF(NOT(ISNUMBER($L1031)),"(not a score)",IF($L1031&gt;=$J1031,"Yes","No"))))</f>
        <v/>
      </c>
      <c r="O1031" s="17">
        <f>IF($C1031="","",IF($M1031="","",IF(NOT(ISNUMBER($M1031)),"(not a score)",IF($M1031&gt;=$J1031,"Yes","No"))))</f>
        <v/>
      </c>
      <c r="P1031" s="17">
        <f>IF($C1031="","",IF($K1031="","",IF(N($K1031)&gt;2,"No",IF(COUNTIFS(nrES_PID,$D1031,nrES_Code,$F1031,nrES_Att,"&gt;"&amp;$K1031,nrES_Att,"&lt;=2",nrES_Raw,"&gt;=0")=0,"Yes","No"))))</f>
        <v/>
      </c>
      <c r="Q1031" s="17">
        <f>IF($C1031="","",IF($L1031="","",IF(AND($K1031=1,ISNUMBER($L1031),$L1031&lt;$J1031,COUNTIFS(nrES_PID,$D1031,nrES_Code,$F1031,nrES_Att,2,nrES_Raw,"&gt;=0")=0),"Yes","No")))</f>
        <v/>
      </c>
      <c r="R1031" s="17">
        <f>IF($C1031="","",IF($L1031="","",IF(AND(N($K1031)&gt;=2,ISNUMBER($L1031),$L1031&lt;$J1031),"Yes","No")))</f>
        <v/>
      </c>
      <c r="S1031" s="18" t="n"/>
      <c r="T1031" s="19">
        <f>IF(OR($C1031="",$L1031="",$K1031&lt;&gt;1,NOT(ISNUMBER($L1031)),$L1031&gt;=$J1031),"",IF($S1031="","(enter date)",_xlfn.LET(_xlpm.dn,_xlfn.XLOOKUP($S1031,nrCDdate,nrCDnum,"",1),IF(_xlpm.dn="","(after last class day)",_xlfn.LET(_xlpm.dd,_xlfn.XLOOKUP(_xlpm.dn+cfgRetestClassDays,nrCDnum,nrCDdate,""),_xlpm.ok,_xlfn.XLOOKUP(_xlpm.dn+cfgRetestClassDays,nrCDnum,nrCDinsession,"No"),IF(OR(_xlpm.dd="",_xlpm.ok&lt;&gt;"Yes"),"(after last class day)",_xlpm.dd))))))</f>
        <v/>
      </c>
      <c r="U1031" s="17">
        <f>IF($C1031="","",IF(AND($Y1031="Excused",$L1031="",N($K1031)&lt;=1),"EXCUSED - 1st attempt pending",IF(OR($L1031="",$K1031&lt;&gt;1,NOT(ISNUMBER($L1031)),$L1031&gt;=$J1031),"",IF(COUNTIFS(nrES_PID,$D1031,nrES_Code,$F1031,nrES_Att,2,nrES_Raw,"&gt;=0")&gt;0,IF(IFERROR(_xlfn.MINIFS(nrES_Date,nrES_PID,$D1031,nrES_Code,$F1031,nrES_Att,2,nrES_Raw,"&gt;=0",nrES_Date,"&gt;0"),0)=0,"RETEST UNDATED",IF(NOT(ISNUMBER($T1031)),"RETEST DATE UNCHECKED",IF(_xlfn.MINIFS(nrES_Date,nrES_PID,$D1031,nrES_Code,$F1031,nrES_Att,2,nrES_Raw,"&gt;=0",nrES_Date,"&gt;0")&gt;$T1031,"LATE RETEST "&amp;TEXT(_xlfn.MINIFS(nrES_Date,nrES_PID,$D1031,nrES_Code,$F1031,nrES_Att,2,nrES_Raw,"&gt;=0",nrES_Date,"&gt;0"),"mm/dd")&amp;" (due "&amp;TEXT($T1031,"mm/dd")&amp;")","Retested"))),IF(NOT(ISNUMBER($T1031)),"CHECK DATE",IF(TODAY()&gt;$T1031,"OVERDUE","Due "&amp;TEXT($T1031,"mm/dd")))))))</f>
        <v/>
      </c>
      <c r="V1031" s="16" t="n"/>
      <c r="W1031" s="16" t="n"/>
      <c r="X1031" s="17">
        <f>IF($C1031="","",IF(AND($L1031&lt;&gt;"",NOT(ISNUMBER($L1031))),"RAW SCORE NOT A NUMBER",IF(AND(ISNUMBER($L1031),OR($L1031&lt;0,$L1031&gt;100)),"RAW SCORE OUT OF RANGE",IF(AND($Y1031="Unexcused",OR($L1031="",NOT(ISNUMBER($L1031)),$L1031&lt;&gt;0)),"UNEXCUSED ABSENCE MUST RECORD 0",IF(COUNTIF(nrES_RecID,$B1031)&gt;1,"DUPLICATE RECORD",IF(N($K1031)&gt;2,"ATTEMPT 3+ NOT ALLOWED - policy 300.5 permits one retest per exam; this row records nothing",IF(AND($K1031=2,COUNTIFS(nrES_PID,$D1031,nrES_Code,$F1031,nrES_Att,1)=0),"ATTEMPT 2 WITHOUT ATTEMPT 1",IF(AND($K1031=2,$L1031=""),"RETEST ROW HAS NO SCORE",IF(AND($H1031="Final",$L1031&lt;&gt;"",IFERROR(INDEX(nrCKfinalExamElig,MATCH($D1031,rngCadetPIDs,0)),"")="No"),"FINAL EXAM AFTER FAILED FINAL PT (500.1.H)",IF(AND($K1031=2,ISNUMBER($L1031),COUNTIFS(nrES_PID,$D1031,nrES_Code,$F1031,nrES_Att,1)&gt;0,SUMIFS(nrES_Raw,nrES_PID,$D1031,nrES_Code,$F1031,nrES_Att,1)&gt;=$J1031),"RETEST AFTER A PASSING FIRST ATTEMPT","OK"))))))))))</f>
        <v/>
      </c>
      <c r="Y1031" s="16" t="n"/>
    </row>
    <row r="1032">
      <c r="B1032" s="17">
        <f>IF($C1032="","",$D1032&amp;"-"&amp;$F1032&amp;"-"&amp;$K1032)</f>
        <v/>
      </c>
      <c r="C1032" s="16" t="n"/>
      <c r="D1032" s="17">
        <f>IF($C1032="","",IFERROR(INDEX(rngCadetPIDs,MATCH($C1032,rngCadetNames,0)),"?"))</f>
        <v/>
      </c>
      <c r="E1032" s="17">
        <f>IF($D1032="","",IFERROR(INDEX(nrCadetAgency,MATCH($D1032,rngCadetPIDs,0)),""))</f>
        <v/>
      </c>
      <c r="F1032" s="16" t="n"/>
      <c r="G1032" s="17">
        <f>IF($F1032="","",IFERROR(INDEX(rngEPname,MATCH($F1032,rngEPcode,0)),"?"))</f>
        <v/>
      </c>
      <c r="H1032" s="17">
        <f>IF($F1032="","",IFERROR(INDEX(rngEPtype,MATCH($F1032,rngEPcode,0)),"?"))</f>
        <v/>
      </c>
      <c r="I1032" s="17">
        <f>IF($F1032="","",IFERROR(INDEX(rngEPseq,MATCH($F1032,rngEPcode,0)),""))</f>
        <v/>
      </c>
      <c r="J1032" s="17">
        <f>IF($F1032="","",IFERROR(INDEX(rngEPpass,MATCH($F1032,rngEPcode,0)),cfgPassingScore))</f>
        <v/>
      </c>
      <c r="K1032" s="16" t="n"/>
      <c r="L1032" s="16" t="n"/>
      <c r="M1032" s="17">
        <f>IF($C1032="","",IF($L1032="","",IF(NOT(ISNUMBER($L1032)),$L1032,IF(N($K1032)&gt;2,"",IF($K1032=1,IF(COUNTIFS(nrES_PID,$D1032,nrES_Code,$F1032,nrES_Att,2,nrES_Raw,"&gt;=0")&gt;0,"",$L1032),IF($L1032&gt;=$J1032,MAX($J1032,cfgRetakeRecordedCap),IF(COUNTIFS(nrES_PID,$D1032,nrES_Code,$F1032,nrES_Att,1)=0,$L1032,SUMIFS(nrES_Raw,nrES_PID,$D1032,nrES_Code,$F1032,nrES_Att,1))))))))</f>
        <v/>
      </c>
      <c r="N1032" s="17">
        <f>IF($C1032="","",IF($L1032="","",IF(NOT(ISNUMBER($L1032)),"(not a score)",IF($L1032&gt;=$J1032,"Yes","No"))))</f>
        <v/>
      </c>
      <c r="O1032" s="17">
        <f>IF($C1032="","",IF($M1032="","",IF(NOT(ISNUMBER($M1032)),"(not a score)",IF($M1032&gt;=$J1032,"Yes","No"))))</f>
        <v/>
      </c>
      <c r="P1032" s="17">
        <f>IF($C1032="","",IF($K1032="","",IF(N($K1032)&gt;2,"No",IF(COUNTIFS(nrES_PID,$D1032,nrES_Code,$F1032,nrES_Att,"&gt;"&amp;$K1032,nrES_Att,"&lt;=2",nrES_Raw,"&gt;=0")=0,"Yes","No"))))</f>
        <v/>
      </c>
      <c r="Q1032" s="17">
        <f>IF($C1032="","",IF($L1032="","",IF(AND($K1032=1,ISNUMBER($L1032),$L1032&lt;$J1032,COUNTIFS(nrES_PID,$D1032,nrES_Code,$F1032,nrES_Att,2,nrES_Raw,"&gt;=0")=0),"Yes","No")))</f>
        <v/>
      </c>
      <c r="R1032" s="17">
        <f>IF($C1032="","",IF($L1032="","",IF(AND(N($K1032)&gt;=2,ISNUMBER($L1032),$L1032&lt;$J1032),"Yes","No")))</f>
        <v/>
      </c>
      <c r="S1032" s="18" t="n"/>
      <c r="T1032" s="19">
        <f>IF(OR($C1032="",$L1032="",$K1032&lt;&gt;1,NOT(ISNUMBER($L1032)),$L1032&gt;=$J1032),"",IF($S1032="","(enter date)",_xlfn.LET(_xlpm.dn,_xlfn.XLOOKUP($S1032,nrCDdate,nrCDnum,"",1),IF(_xlpm.dn="","(after last class day)",_xlfn.LET(_xlpm.dd,_xlfn.XLOOKUP(_xlpm.dn+cfgRetestClassDays,nrCDnum,nrCDdate,""),_xlpm.ok,_xlfn.XLOOKUP(_xlpm.dn+cfgRetestClassDays,nrCDnum,nrCDinsession,"No"),IF(OR(_xlpm.dd="",_xlpm.ok&lt;&gt;"Yes"),"(after last class day)",_xlpm.dd))))))</f>
        <v/>
      </c>
      <c r="U1032" s="17">
        <f>IF($C1032="","",IF(AND($Y1032="Excused",$L1032="",N($K1032)&lt;=1),"EXCUSED - 1st attempt pending",IF(OR($L1032="",$K1032&lt;&gt;1,NOT(ISNUMBER($L1032)),$L1032&gt;=$J1032),"",IF(COUNTIFS(nrES_PID,$D1032,nrES_Code,$F1032,nrES_Att,2,nrES_Raw,"&gt;=0")&gt;0,IF(IFERROR(_xlfn.MINIFS(nrES_Date,nrES_PID,$D1032,nrES_Code,$F1032,nrES_Att,2,nrES_Raw,"&gt;=0",nrES_Date,"&gt;0"),0)=0,"RETEST UNDATED",IF(NOT(ISNUMBER($T1032)),"RETEST DATE UNCHECKED",IF(_xlfn.MINIFS(nrES_Date,nrES_PID,$D1032,nrES_Code,$F1032,nrES_Att,2,nrES_Raw,"&gt;=0",nrES_Date,"&gt;0")&gt;$T1032,"LATE RETEST "&amp;TEXT(_xlfn.MINIFS(nrES_Date,nrES_PID,$D1032,nrES_Code,$F1032,nrES_Att,2,nrES_Raw,"&gt;=0",nrES_Date,"&gt;0"),"mm/dd")&amp;" (due "&amp;TEXT($T1032,"mm/dd")&amp;")","Retested"))),IF(NOT(ISNUMBER($T1032)),"CHECK DATE",IF(TODAY()&gt;$T1032,"OVERDUE","Due "&amp;TEXT($T1032,"mm/dd")))))))</f>
        <v/>
      </c>
      <c r="V1032" s="16" t="n"/>
      <c r="W1032" s="16" t="n"/>
      <c r="X1032" s="17">
        <f>IF($C1032="","",IF(AND($L1032&lt;&gt;"",NOT(ISNUMBER($L1032))),"RAW SCORE NOT A NUMBER",IF(AND(ISNUMBER($L1032),OR($L1032&lt;0,$L1032&gt;100)),"RAW SCORE OUT OF RANGE",IF(AND($Y1032="Unexcused",OR($L1032="",NOT(ISNUMBER($L1032)),$L1032&lt;&gt;0)),"UNEXCUSED ABSENCE MUST RECORD 0",IF(COUNTIF(nrES_RecID,$B1032)&gt;1,"DUPLICATE RECORD",IF(N($K1032)&gt;2,"ATTEMPT 3+ NOT ALLOWED - policy 300.5 permits one retest per exam; this row records nothing",IF(AND($K1032=2,COUNTIFS(nrES_PID,$D1032,nrES_Code,$F1032,nrES_Att,1)=0),"ATTEMPT 2 WITHOUT ATTEMPT 1",IF(AND($K1032=2,$L1032=""),"RETEST ROW HAS NO SCORE",IF(AND($H1032="Final",$L1032&lt;&gt;"",IFERROR(INDEX(nrCKfinalExamElig,MATCH($D1032,rngCadetPIDs,0)),"")="No"),"FINAL EXAM AFTER FAILED FINAL PT (500.1.H)",IF(AND($K1032=2,ISNUMBER($L1032),COUNTIFS(nrES_PID,$D1032,nrES_Code,$F1032,nrES_Att,1)&gt;0,SUMIFS(nrES_Raw,nrES_PID,$D1032,nrES_Code,$F1032,nrES_Att,1)&gt;=$J1032),"RETEST AFTER A PASSING FIRST ATTEMPT","OK"))))))))))</f>
        <v/>
      </c>
      <c r="Y1032" s="16" t="n"/>
    </row>
    <row r="1033">
      <c r="B1033" s="17">
        <f>IF($C1033="","",$D1033&amp;"-"&amp;$F1033&amp;"-"&amp;$K1033)</f>
        <v/>
      </c>
      <c r="C1033" s="16" t="n"/>
      <c r="D1033" s="17">
        <f>IF($C1033="","",IFERROR(INDEX(rngCadetPIDs,MATCH($C1033,rngCadetNames,0)),"?"))</f>
        <v/>
      </c>
      <c r="E1033" s="17">
        <f>IF($D1033="","",IFERROR(INDEX(nrCadetAgency,MATCH($D1033,rngCadetPIDs,0)),""))</f>
        <v/>
      </c>
      <c r="F1033" s="16" t="n"/>
      <c r="G1033" s="17">
        <f>IF($F1033="","",IFERROR(INDEX(rngEPname,MATCH($F1033,rngEPcode,0)),"?"))</f>
        <v/>
      </c>
      <c r="H1033" s="17">
        <f>IF($F1033="","",IFERROR(INDEX(rngEPtype,MATCH($F1033,rngEPcode,0)),"?"))</f>
        <v/>
      </c>
      <c r="I1033" s="17">
        <f>IF($F1033="","",IFERROR(INDEX(rngEPseq,MATCH($F1033,rngEPcode,0)),""))</f>
        <v/>
      </c>
      <c r="J1033" s="17">
        <f>IF($F1033="","",IFERROR(INDEX(rngEPpass,MATCH($F1033,rngEPcode,0)),cfgPassingScore))</f>
        <v/>
      </c>
      <c r="K1033" s="16" t="n"/>
      <c r="L1033" s="16" t="n"/>
      <c r="M1033" s="17">
        <f>IF($C1033="","",IF($L1033="","",IF(NOT(ISNUMBER($L1033)),$L1033,IF(N($K1033)&gt;2,"",IF($K1033=1,IF(COUNTIFS(nrES_PID,$D1033,nrES_Code,$F1033,nrES_Att,2,nrES_Raw,"&gt;=0")&gt;0,"",$L1033),IF($L1033&gt;=$J1033,MAX($J1033,cfgRetakeRecordedCap),IF(COUNTIFS(nrES_PID,$D1033,nrES_Code,$F1033,nrES_Att,1)=0,$L1033,SUMIFS(nrES_Raw,nrES_PID,$D1033,nrES_Code,$F1033,nrES_Att,1))))))))</f>
        <v/>
      </c>
      <c r="N1033" s="17">
        <f>IF($C1033="","",IF($L1033="","",IF(NOT(ISNUMBER($L1033)),"(not a score)",IF($L1033&gt;=$J1033,"Yes","No"))))</f>
        <v/>
      </c>
      <c r="O1033" s="17">
        <f>IF($C1033="","",IF($M1033="","",IF(NOT(ISNUMBER($M1033)),"(not a score)",IF($M1033&gt;=$J1033,"Yes","No"))))</f>
        <v/>
      </c>
      <c r="P1033" s="17">
        <f>IF($C1033="","",IF($K1033="","",IF(N($K1033)&gt;2,"No",IF(COUNTIFS(nrES_PID,$D1033,nrES_Code,$F1033,nrES_Att,"&gt;"&amp;$K1033,nrES_Att,"&lt;=2",nrES_Raw,"&gt;=0")=0,"Yes","No"))))</f>
        <v/>
      </c>
      <c r="Q1033" s="17">
        <f>IF($C1033="","",IF($L1033="","",IF(AND($K1033=1,ISNUMBER($L1033),$L1033&lt;$J1033,COUNTIFS(nrES_PID,$D1033,nrES_Code,$F1033,nrES_Att,2,nrES_Raw,"&gt;=0")=0),"Yes","No")))</f>
        <v/>
      </c>
      <c r="R1033" s="17">
        <f>IF($C1033="","",IF($L1033="","",IF(AND(N($K1033)&gt;=2,ISNUMBER($L1033),$L1033&lt;$J1033),"Yes","No")))</f>
        <v/>
      </c>
      <c r="S1033" s="18" t="n"/>
      <c r="T1033" s="19">
        <f>IF(OR($C1033="",$L1033="",$K1033&lt;&gt;1,NOT(ISNUMBER($L1033)),$L1033&gt;=$J1033),"",IF($S1033="","(enter date)",_xlfn.LET(_xlpm.dn,_xlfn.XLOOKUP($S1033,nrCDdate,nrCDnum,"",1),IF(_xlpm.dn="","(after last class day)",_xlfn.LET(_xlpm.dd,_xlfn.XLOOKUP(_xlpm.dn+cfgRetestClassDays,nrCDnum,nrCDdate,""),_xlpm.ok,_xlfn.XLOOKUP(_xlpm.dn+cfgRetestClassDays,nrCDnum,nrCDinsession,"No"),IF(OR(_xlpm.dd="",_xlpm.ok&lt;&gt;"Yes"),"(after last class day)",_xlpm.dd))))))</f>
        <v/>
      </c>
      <c r="U1033" s="17">
        <f>IF($C1033="","",IF(AND($Y1033="Excused",$L1033="",N($K1033)&lt;=1),"EXCUSED - 1st attempt pending",IF(OR($L1033="",$K1033&lt;&gt;1,NOT(ISNUMBER($L1033)),$L1033&gt;=$J1033),"",IF(COUNTIFS(nrES_PID,$D1033,nrES_Code,$F1033,nrES_Att,2,nrES_Raw,"&gt;=0")&gt;0,IF(IFERROR(_xlfn.MINIFS(nrES_Date,nrES_PID,$D1033,nrES_Code,$F1033,nrES_Att,2,nrES_Raw,"&gt;=0",nrES_Date,"&gt;0"),0)=0,"RETEST UNDATED",IF(NOT(ISNUMBER($T1033)),"RETEST DATE UNCHECKED",IF(_xlfn.MINIFS(nrES_Date,nrES_PID,$D1033,nrES_Code,$F1033,nrES_Att,2,nrES_Raw,"&gt;=0",nrES_Date,"&gt;0")&gt;$T1033,"LATE RETEST "&amp;TEXT(_xlfn.MINIFS(nrES_Date,nrES_PID,$D1033,nrES_Code,$F1033,nrES_Att,2,nrES_Raw,"&gt;=0",nrES_Date,"&gt;0"),"mm/dd")&amp;" (due "&amp;TEXT($T1033,"mm/dd")&amp;")","Retested"))),IF(NOT(ISNUMBER($T1033)),"CHECK DATE",IF(TODAY()&gt;$T1033,"OVERDUE","Due "&amp;TEXT($T1033,"mm/dd")))))))</f>
        <v/>
      </c>
      <c r="V1033" s="16" t="n"/>
      <c r="W1033" s="16" t="n"/>
      <c r="X1033" s="17">
        <f>IF($C1033="","",IF(AND($L1033&lt;&gt;"",NOT(ISNUMBER($L1033))),"RAW SCORE NOT A NUMBER",IF(AND(ISNUMBER($L1033),OR($L1033&lt;0,$L1033&gt;100)),"RAW SCORE OUT OF RANGE",IF(AND($Y1033="Unexcused",OR($L1033="",NOT(ISNUMBER($L1033)),$L1033&lt;&gt;0)),"UNEXCUSED ABSENCE MUST RECORD 0",IF(COUNTIF(nrES_RecID,$B1033)&gt;1,"DUPLICATE RECORD",IF(N($K1033)&gt;2,"ATTEMPT 3+ NOT ALLOWED - policy 300.5 permits one retest per exam; this row records nothing",IF(AND($K1033=2,COUNTIFS(nrES_PID,$D1033,nrES_Code,$F1033,nrES_Att,1)=0),"ATTEMPT 2 WITHOUT ATTEMPT 1",IF(AND($K1033=2,$L1033=""),"RETEST ROW HAS NO SCORE",IF(AND($H1033="Final",$L1033&lt;&gt;"",IFERROR(INDEX(nrCKfinalExamElig,MATCH($D1033,rngCadetPIDs,0)),"")="No"),"FINAL EXAM AFTER FAILED FINAL PT (500.1.H)",IF(AND($K1033=2,ISNUMBER($L1033),COUNTIFS(nrES_PID,$D1033,nrES_Code,$F1033,nrES_Att,1)&gt;0,SUMIFS(nrES_Raw,nrES_PID,$D1033,nrES_Code,$F1033,nrES_Att,1)&gt;=$J1033),"RETEST AFTER A PASSING FIRST ATTEMPT","OK"))))))))))</f>
        <v/>
      </c>
      <c r="Y1033" s="16" t="n"/>
    </row>
    <row r="1034">
      <c r="B1034" s="17">
        <f>IF($C1034="","",$D1034&amp;"-"&amp;$F1034&amp;"-"&amp;$K1034)</f>
        <v/>
      </c>
      <c r="C1034" s="16" t="n"/>
      <c r="D1034" s="17">
        <f>IF($C1034="","",IFERROR(INDEX(rngCadetPIDs,MATCH($C1034,rngCadetNames,0)),"?"))</f>
        <v/>
      </c>
      <c r="E1034" s="17">
        <f>IF($D1034="","",IFERROR(INDEX(nrCadetAgency,MATCH($D1034,rngCadetPIDs,0)),""))</f>
        <v/>
      </c>
      <c r="F1034" s="16" t="n"/>
      <c r="G1034" s="17">
        <f>IF($F1034="","",IFERROR(INDEX(rngEPname,MATCH($F1034,rngEPcode,0)),"?"))</f>
        <v/>
      </c>
      <c r="H1034" s="17">
        <f>IF($F1034="","",IFERROR(INDEX(rngEPtype,MATCH($F1034,rngEPcode,0)),"?"))</f>
        <v/>
      </c>
      <c r="I1034" s="17">
        <f>IF($F1034="","",IFERROR(INDEX(rngEPseq,MATCH($F1034,rngEPcode,0)),""))</f>
        <v/>
      </c>
      <c r="J1034" s="17">
        <f>IF($F1034="","",IFERROR(INDEX(rngEPpass,MATCH($F1034,rngEPcode,0)),cfgPassingScore))</f>
        <v/>
      </c>
      <c r="K1034" s="16" t="n"/>
      <c r="L1034" s="16" t="n"/>
      <c r="M1034" s="17">
        <f>IF($C1034="","",IF($L1034="","",IF(NOT(ISNUMBER($L1034)),$L1034,IF(N($K1034)&gt;2,"",IF($K1034=1,IF(COUNTIFS(nrES_PID,$D1034,nrES_Code,$F1034,nrES_Att,2,nrES_Raw,"&gt;=0")&gt;0,"",$L1034),IF($L1034&gt;=$J1034,MAX($J1034,cfgRetakeRecordedCap),IF(COUNTIFS(nrES_PID,$D1034,nrES_Code,$F1034,nrES_Att,1)=0,$L1034,SUMIFS(nrES_Raw,nrES_PID,$D1034,nrES_Code,$F1034,nrES_Att,1))))))))</f>
        <v/>
      </c>
      <c r="N1034" s="17">
        <f>IF($C1034="","",IF($L1034="","",IF(NOT(ISNUMBER($L1034)),"(not a score)",IF($L1034&gt;=$J1034,"Yes","No"))))</f>
        <v/>
      </c>
      <c r="O1034" s="17">
        <f>IF($C1034="","",IF($M1034="","",IF(NOT(ISNUMBER($M1034)),"(not a score)",IF($M1034&gt;=$J1034,"Yes","No"))))</f>
        <v/>
      </c>
      <c r="P1034" s="17">
        <f>IF($C1034="","",IF($K1034="","",IF(N($K1034)&gt;2,"No",IF(COUNTIFS(nrES_PID,$D1034,nrES_Code,$F1034,nrES_Att,"&gt;"&amp;$K1034,nrES_Att,"&lt;=2",nrES_Raw,"&gt;=0")=0,"Yes","No"))))</f>
        <v/>
      </c>
      <c r="Q1034" s="17">
        <f>IF($C1034="","",IF($L1034="","",IF(AND($K1034=1,ISNUMBER($L1034),$L1034&lt;$J1034,COUNTIFS(nrES_PID,$D1034,nrES_Code,$F1034,nrES_Att,2,nrES_Raw,"&gt;=0")=0),"Yes","No")))</f>
        <v/>
      </c>
      <c r="R1034" s="17">
        <f>IF($C1034="","",IF($L1034="","",IF(AND(N($K1034)&gt;=2,ISNUMBER($L1034),$L1034&lt;$J1034),"Yes","No")))</f>
        <v/>
      </c>
      <c r="S1034" s="18" t="n"/>
      <c r="T1034" s="19">
        <f>IF(OR($C1034="",$L1034="",$K1034&lt;&gt;1,NOT(ISNUMBER($L1034)),$L1034&gt;=$J1034),"",IF($S1034="","(enter date)",_xlfn.LET(_xlpm.dn,_xlfn.XLOOKUP($S1034,nrCDdate,nrCDnum,"",1),IF(_xlpm.dn="","(after last class day)",_xlfn.LET(_xlpm.dd,_xlfn.XLOOKUP(_xlpm.dn+cfgRetestClassDays,nrCDnum,nrCDdate,""),_xlpm.ok,_xlfn.XLOOKUP(_xlpm.dn+cfgRetestClassDays,nrCDnum,nrCDinsession,"No"),IF(OR(_xlpm.dd="",_xlpm.ok&lt;&gt;"Yes"),"(after last class day)",_xlpm.dd))))))</f>
        <v/>
      </c>
      <c r="U1034" s="17">
        <f>IF($C1034="","",IF(AND($Y1034="Excused",$L1034="",N($K1034)&lt;=1),"EXCUSED - 1st attempt pending",IF(OR($L1034="",$K1034&lt;&gt;1,NOT(ISNUMBER($L1034)),$L1034&gt;=$J1034),"",IF(COUNTIFS(nrES_PID,$D1034,nrES_Code,$F1034,nrES_Att,2,nrES_Raw,"&gt;=0")&gt;0,IF(IFERROR(_xlfn.MINIFS(nrES_Date,nrES_PID,$D1034,nrES_Code,$F1034,nrES_Att,2,nrES_Raw,"&gt;=0",nrES_Date,"&gt;0"),0)=0,"RETEST UNDATED",IF(NOT(ISNUMBER($T1034)),"RETEST DATE UNCHECKED",IF(_xlfn.MINIFS(nrES_Date,nrES_PID,$D1034,nrES_Code,$F1034,nrES_Att,2,nrES_Raw,"&gt;=0",nrES_Date,"&gt;0")&gt;$T1034,"LATE RETEST "&amp;TEXT(_xlfn.MINIFS(nrES_Date,nrES_PID,$D1034,nrES_Code,$F1034,nrES_Att,2,nrES_Raw,"&gt;=0",nrES_Date,"&gt;0"),"mm/dd")&amp;" (due "&amp;TEXT($T1034,"mm/dd")&amp;")","Retested"))),IF(NOT(ISNUMBER($T1034)),"CHECK DATE",IF(TODAY()&gt;$T1034,"OVERDUE","Due "&amp;TEXT($T1034,"mm/dd")))))))</f>
        <v/>
      </c>
      <c r="V1034" s="16" t="n"/>
      <c r="W1034" s="16" t="n"/>
      <c r="X1034" s="17">
        <f>IF($C1034="","",IF(AND($L1034&lt;&gt;"",NOT(ISNUMBER($L1034))),"RAW SCORE NOT A NUMBER",IF(AND(ISNUMBER($L1034),OR($L1034&lt;0,$L1034&gt;100)),"RAW SCORE OUT OF RANGE",IF(AND($Y1034="Unexcused",OR($L1034="",NOT(ISNUMBER($L1034)),$L1034&lt;&gt;0)),"UNEXCUSED ABSENCE MUST RECORD 0",IF(COUNTIF(nrES_RecID,$B1034)&gt;1,"DUPLICATE RECORD",IF(N($K1034)&gt;2,"ATTEMPT 3+ NOT ALLOWED - policy 300.5 permits one retest per exam; this row records nothing",IF(AND($K1034=2,COUNTIFS(nrES_PID,$D1034,nrES_Code,$F1034,nrES_Att,1)=0),"ATTEMPT 2 WITHOUT ATTEMPT 1",IF(AND($K1034=2,$L1034=""),"RETEST ROW HAS NO SCORE",IF(AND($H1034="Final",$L1034&lt;&gt;"",IFERROR(INDEX(nrCKfinalExamElig,MATCH($D1034,rngCadetPIDs,0)),"")="No"),"FINAL EXAM AFTER FAILED FINAL PT (500.1.H)",IF(AND($K1034=2,ISNUMBER($L1034),COUNTIFS(nrES_PID,$D1034,nrES_Code,$F1034,nrES_Att,1)&gt;0,SUMIFS(nrES_Raw,nrES_PID,$D1034,nrES_Code,$F1034,nrES_Att,1)&gt;=$J1034),"RETEST AFTER A PASSING FIRST ATTEMPT","OK"))))))))))</f>
        <v/>
      </c>
      <c r="Y1034" s="16" t="n"/>
    </row>
    <row r="1035">
      <c r="B1035" s="17">
        <f>IF($C1035="","",$D1035&amp;"-"&amp;$F1035&amp;"-"&amp;$K1035)</f>
        <v/>
      </c>
      <c r="C1035" s="16" t="n"/>
      <c r="D1035" s="17">
        <f>IF($C1035="","",IFERROR(INDEX(rngCadetPIDs,MATCH($C1035,rngCadetNames,0)),"?"))</f>
        <v/>
      </c>
      <c r="E1035" s="17">
        <f>IF($D1035="","",IFERROR(INDEX(nrCadetAgency,MATCH($D1035,rngCadetPIDs,0)),""))</f>
        <v/>
      </c>
      <c r="F1035" s="16" t="n"/>
      <c r="G1035" s="17">
        <f>IF($F1035="","",IFERROR(INDEX(rngEPname,MATCH($F1035,rngEPcode,0)),"?"))</f>
        <v/>
      </c>
      <c r="H1035" s="17">
        <f>IF($F1035="","",IFERROR(INDEX(rngEPtype,MATCH($F1035,rngEPcode,0)),"?"))</f>
        <v/>
      </c>
      <c r="I1035" s="17">
        <f>IF($F1035="","",IFERROR(INDEX(rngEPseq,MATCH($F1035,rngEPcode,0)),""))</f>
        <v/>
      </c>
      <c r="J1035" s="17">
        <f>IF($F1035="","",IFERROR(INDEX(rngEPpass,MATCH($F1035,rngEPcode,0)),cfgPassingScore))</f>
        <v/>
      </c>
      <c r="K1035" s="16" t="n"/>
      <c r="L1035" s="16" t="n"/>
      <c r="M1035" s="17">
        <f>IF($C1035="","",IF($L1035="","",IF(NOT(ISNUMBER($L1035)),$L1035,IF(N($K1035)&gt;2,"",IF($K1035=1,IF(COUNTIFS(nrES_PID,$D1035,nrES_Code,$F1035,nrES_Att,2,nrES_Raw,"&gt;=0")&gt;0,"",$L1035),IF($L1035&gt;=$J1035,MAX($J1035,cfgRetakeRecordedCap),IF(COUNTIFS(nrES_PID,$D1035,nrES_Code,$F1035,nrES_Att,1)=0,$L1035,SUMIFS(nrES_Raw,nrES_PID,$D1035,nrES_Code,$F1035,nrES_Att,1))))))))</f>
        <v/>
      </c>
      <c r="N1035" s="17">
        <f>IF($C1035="","",IF($L1035="","",IF(NOT(ISNUMBER($L1035)),"(not a score)",IF($L1035&gt;=$J1035,"Yes","No"))))</f>
        <v/>
      </c>
      <c r="O1035" s="17">
        <f>IF($C1035="","",IF($M1035="","",IF(NOT(ISNUMBER($M1035)),"(not a score)",IF($M1035&gt;=$J1035,"Yes","No"))))</f>
        <v/>
      </c>
      <c r="P1035" s="17">
        <f>IF($C1035="","",IF($K1035="","",IF(N($K1035)&gt;2,"No",IF(COUNTIFS(nrES_PID,$D1035,nrES_Code,$F1035,nrES_Att,"&gt;"&amp;$K1035,nrES_Att,"&lt;=2",nrES_Raw,"&gt;=0")=0,"Yes","No"))))</f>
        <v/>
      </c>
      <c r="Q1035" s="17">
        <f>IF($C1035="","",IF($L1035="","",IF(AND($K1035=1,ISNUMBER($L1035),$L1035&lt;$J1035,COUNTIFS(nrES_PID,$D1035,nrES_Code,$F1035,nrES_Att,2,nrES_Raw,"&gt;=0")=0),"Yes","No")))</f>
        <v/>
      </c>
      <c r="R1035" s="17">
        <f>IF($C1035="","",IF($L1035="","",IF(AND(N($K1035)&gt;=2,ISNUMBER($L1035),$L1035&lt;$J1035),"Yes","No")))</f>
        <v/>
      </c>
      <c r="S1035" s="18" t="n"/>
      <c r="T1035" s="19">
        <f>IF(OR($C1035="",$L1035="",$K1035&lt;&gt;1,NOT(ISNUMBER($L1035)),$L1035&gt;=$J1035),"",IF($S1035="","(enter date)",_xlfn.LET(_xlpm.dn,_xlfn.XLOOKUP($S1035,nrCDdate,nrCDnum,"",1),IF(_xlpm.dn="","(after last class day)",_xlfn.LET(_xlpm.dd,_xlfn.XLOOKUP(_xlpm.dn+cfgRetestClassDays,nrCDnum,nrCDdate,""),_xlpm.ok,_xlfn.XLOOKUP(_xlpm.dn+cfgRetestClassDays,nrCDnum,nrCDinsession,"No"),IF(OR(_xlpm.dd="",_xlpm.ok&lt;&gt;"Yes"),"(after last class day)",_xlpm.dd))))))</f>
        <v/>
      </c>
      <c r="U1035" s="17">
        <f>IF($C1035="","",IF(AND($Y1035="Excused",$L1035="",N($K1035)&lt;=1),"EXCUSED - 1st attempt pending",IF(OR($L1035="",$K1035&lt;&gt;1,NOT(ISNUMBER($L1035)),$L1035&gt;=$J1035),"",IF(COUNTIFS(nrES_PID,$D1035,nrES_Code,$F1035,nrES_Att,2,nrES_Raw,"&gt;=0")&gt;0,IF(IFERROR(_xlfn.MINIFS(nrES_Date,nrES_PID,$D1035,nrES_Code,$F1035,nrES_Att,2,nrES_Raw,"&gt;=0",nrES_Date,"&gt;0"),0)=0,"RETEST UNDATED",IF(NOT(ISNUMBER($T1035)),"RETEST DATE UNCHECKED",IF(_xlfn.MINIFS(nrES_Date,nrES_PID,$D1035,nrES_Code,$F1035,nrES_Att,2,nrES_Raw,"&gt;=0",nrES_Date,"&gt;0")&gt;$T1035,"LATE RETEST "&amp;TEXT(_xlfn.MINIFS(nrES_Date,nrES_PID,$D1035,nrES_Code,$F1035,nrES_Att,2,nrES_Raw,"&gt;=0",nrES_Date,"&gt;0"),"mm/dd")&amp;" (due "&amp;TEXT($T1035,"mm/dd")&amp;")","Retested"))),IF(NOT(ISNUMBER($T1035)),"CHECK DATE",IF(TODAY()&gt;$T1035,"OVERDUE","Due "&amp;TEXT($T1035,"mm/dd")))))))</f>
        <v/>
      </c>
      <c r="V1035" s="16" t="n"/>
      <c r="W1035" s="16" t="n"/>
      <c r="X1035" s="17">
        <f>IF($C1035="","",IF(AND($L1035&lt;&gt;"",NOT(ISNUMBER($L1035))),"RAW SCORE NOT A NUMBER",IF(AND(ISNUMBER($L1035),OR($L1035&lt;0,$L1035&gt;100)),"RAW SCORE OUT OF RANGE",IF(AND($Y1035="Unexcused",OR($L1035="",NOT(ISNUMBER($L1035)),$L1035&lt;&gt;0)),"UNEXCUSED ABSENCE MUST RECORD 0",IF(COUNTIF(nrES_RecID,$B1035)&gt;1,"DUPLICATE RECORD",IF(N($K1035)&gt;2,"ATTEMPT 3+ NOT ALLOWED - policy 300.5 permits one retest per exam; this row records nothing",IF(AND($K1035=2,COUNTIFS(nrES_PID,$D1035,nrES_Code,$F1035,nrES_Att,1)=0),"ATTEMPT 2 WITHOUT ATTEMPT 1",IF(AND($K1035=2,$L1035=""),"RETEST ROW HAS NO SCORE",IF(AND($H1035="Final",$L1035&lt;&gt;"",IFERROR(INDEX(nrCKfinalExamElig,MATCH($D1035,rngCadetPIDs,0)),"")="No"),"FINAL EXAM AFTER FAILED FINAL PT (500.1.H)",IF(AND($K1035=2,ISNUMBER($L1035),COUNTIFS(nrES_PID,$D1035,nrES_Code,$F1035,nrES_Att,1)&gt;0,SUMIFS(nrES_Raw,nrES_PID,$D1035,nrES_Code,$F1035,nrES_Att,1)&gt;=$J1035),"RETEST AFTER A PASSING FIRST ATTEMPT","OK"))))))))))</f>
        <v/>
      </c>
      <c r="Y1035" s="16" t="n"/>
    </row>
    <row r="1036">
      <c r="B1036" s="17">
        <f>IF($C1036="","",$D1036&amp;"-"&amp;$F1036&amp;"-"&amp;$K1036)</f>
        <v/>
      </c>
      <c r="C1036" s="16" t="n"/>
      <c r="D1036" s="17">
        <f>IF($C1036="","",IFERROR(INDEX(rngCadetPIDs,MATCH($C1036,rngCadetNames,0)),"?"))</f>
        <v/>
      </c>
      <c r="E1036" s="17">
        <f>IF($D1036="","",IFERROR(INDEX(nrCadetAgency,MATCH($D1036,rngCadetPIDs,0)),""))</f>
        <v/>
      </c>
      <c r="F1036" s="16" t="n"/>
      <c r="G1036" s="17">
        <f>IF($F1036="","",IFERROR(INDEX(rngEPname,MATCH($F1036,rngEPcode,0)),"?"))</f>
        <v/>
      </c>
      <c r="H1036" s="17">
        <f>IF($F1036="","",IFERROR(INDEX(rngEPtype,MATCH($F1036,rngEPcode,0)),"?"))</f>
        <v/>
      </c>
      <c r="I1036" s="17">
        <f>IF($F1036="","",IFERROR(INDEX(rngEPseq,MATCH($F1036,rngEPcode,0)),""))</f>
        <v/>
      </c>
      <c r="J1036" s="17">
        <f>IF($F1036="","",IFERROR(INDEX(rngEPpass,MATCH($F1036,rngEPcode,0)),cfgPassingScore))</f>
        <v/>
      </c>
      <c r="K1036" s="16" t="n"/>
      <c r="L1036" s="16" t="n"/>
      <c r="M1036" s="17">
        <f>IF($C1036="","",IF($L1036="","",IF(NOT(ISNUMBER($L1036)),$L1036,IF(N($K1036)&gt;2,"",IF($K1036=1,IF(COUNTIFS(nrES_PID,$D1036,nrES_Code,$F1036,nrES_Att,2,nrES_Raw,"&gt;=0")&gt;0,"",$L1036),IF($L1036&gt;=$J1036,MAX($J1036,cfgRetakeRecordedCap),IF(COUNTIFS(nrES_PID,$D1036,nrES_Code,$F1036,nrES_Att,1)=0,$L1036,SUMIFS(nrES_Raw,nrES_PID,$D1036,nrES_Code,$F1036,nrES_Att,1))))))))</f>
        <v/>
      </c>
      <c r="N1036" s="17">
        <f>IF($C1036="","",IF($L1036="","",IF(NOT(ISNUMBER($L1036)),"(not a score)",IF($L1036&gt;=$J1036,"Yes","No"))))</f>
        <v/>
      </c>
      <c r="O1036" s="17">
        <f>IF($C1036="","",IF($M1036="","",IF(NOT(ISNUMBER($M1036)),"(not a score)",IF($M1036&gt;=$J1036,"Yes","No"))))</f>
        <v/>
      </c>
      <c r="P1036" s="17">
        <f>IF($C1036="","",IF($K1036="","",IF(N($K1036)&gt;2,"No",IF(COUNTIFS(nrES_PID,$D1036,nrES_Code,$F1036,nrES_Att,"&gt;"&amp;$K1036,nrES_Att,"&lt;=2",nrES_Raw,"&gt;=0")=0,"Yes","No"))))</f>
        <v/>
      </c>
      <c r="Q1036" s="17">
        <f>IF($C1036="","",IF($L1036="","",IF(AND($K1036=1,ISNUMBER($L1036),$L1036&lt;$J1036,COUNTIFS(nrES_PID,$D1036,nrES_Code,$F1036,nrES_Att,2,nrES_Raw,"&gt;=0")=0),"Yes","No")))</f>
        <v/>
      </c>
      <c r="R1036" s="17">
        <f>IF($C1036="","",IF($L1036="","",IF(AND(N($K1036)&gt;=2,ISNUMBER($L1036),$L1036&lt;$J1036),"Yes","No")))</f>
        <v/>
      </c>
      <c r="S1036" s="18" t="n"/>
      <c r="T1036" s="19">
        <f>IF(OR($C1036="",$L1036="",$K1036&lt;&gt;1,NOT(ISNUMBER($L1036)),$L1036&gt;=$J1036),"",IF($S1036="","(enter date)",_xlfn.LET(_xlpm.dn,_xlfn.XLOOKUP($S1036,nrCDdate,nrCDnum,"",1),IF(_xlpm.dn="","(after last class day)",_xlfn.LET(_xlpm.dd,_xlfn.XLOOKUP(_xlpm.dn+cfgRetestClassDays,nrCDnum,nrCDdate,""),_xlpm.ok,_xlfn.XLOOKUP(_xlpm.dn+cfgRetestClassDays,nrCDnum,nrCDinsession,"No"),IF(OR(_xlpm.dd="",_xlpm.ok&lt;&gt;"Yes"),"(after last class day)",_xlpm.dd))))))</f>
        <v/>
      </c>
      <c r="U1036" s="17">
        <f>IF($C1036="","",IF(AND($Y1036="Excused",$L1036="",N($K1036)&lt;=1),"EXCUSED - 1st attempt pending",IF(OR($L1036="",$K1036&lt;&gt;1,NOT(ISNUMBER($L1036)),$L1036&gt;=$J1036),"",IF(COUNTIFS(nrES_PID,$D1036,nrES_Code,$F1036,nrES_Att,2,nrES_Raw,"&gt;=0")&gt;0,IF(IFERROR(_xlfn.MINIFS(nrES_Date,nrES_PID,$D1036,nrES_Code,$F1036,nrES_Att,2,nrES_Raw,"&gt;=0",nrES_Date,"&gt;0"),0)=0,"RETEST UNDATED",IF(NOT(ISNUMBER($T1036)),"RETEST DATE UNCHECKED",IF(_xlfn.MINIFS(nrES_Date,nrES_PID,$D1036,nrES_Code,$F1036,nrES_Att,2,nrES_Raw,"&gt;=0",nrES_Date,"&gt;0")&gt;$T1036,"LATE RETEST "&amp;TEXT(_xlfn.MINIFS(nrES_Date,nrES_PID,$D1036,nrES_Code,$F1036,nrES_Att,2,nrES_Raw,"&gt;=0",nrES_Date,"&gt;0"),"mm/dd")&amp;" (due "&amp;TEXT($T1036,"mm/dd")&amp;")","Retested"))),IF(NOT(ISNUMBER($T1036)),"CHECK DATE",IF(TODAY()&gt;$T1036,"OVERDUE","Due "&amp;TEXT($T1036,"mm/dd")))))))</f>
        <v/>
      </c>
      <c r="V1036" s="16" t="n"/>
      <c r="W1036" s="16" t="n"/>
      <c r="X1036" s="17">
        <f>IF($C1036="","",IF(AND($L1036&lt;&gt;"",NOT(ISNUMBER($L1036))),"RAW SCORE NOT A NUMBER",IF(AND(ISNUMBER($L1036),OR($L1036&lt;0,$L1036&gt;100)),"RAW SCORE OUT OF RANGE",IF(AND($Y1036="Unexcused",OR($L1036="",NOT(ISNUMBER($L1036)),$L1036&lt;&gt;0)),"UNEXCUSED ABSENCE MUST RECORD 0",IF(COUNTIF(nrES_RecID,$B1036)&gt;1,"DUPLICATE RECORD",IF(N($K1036)&gt;2,"ATTEMPT 3+ NOT ALLOWED - policy 300.5 permits one retest per exam; this row records nothing",IF(AND($K1036=2,COUNTIFS(nrES_PID,$D1036,nrES_Code,$F1036,nrES_Att,1)=0),"ATTEMPT 2 WITHOUT ATTEMPT 1",IF(AND($K1036=2,$L1036=""),"RETEST ROW HAS NO SCORE",IF(AND($H1036="Final",$L1036&lt;&gt;"",IFERROR(INDEX(nrCKfinalExamElig,MATCH($D1036,rngCadetPIDs,0)),"")="No"),"FINAL EXAM AFTER FAILED FINAL PT (500.1.H)",IF(AND($K1036=2,ISNUMBER($L1036),COUNTIFS(nrES_PID,$D1036,nrES_Code,$F1036,nrES_Att,1)&gt;0,SUMIFS(nrES_Raw,nrES_PID,$D1036,nrES_Code,$F1036,nrES_Att,1)&gt;=$J1036),"RETEST AFTER A PASSING FIRST ATTEMPT","OK"))))))))))</f>
        <v/>
      </c>
      <c r="Y1036" s="16" t="n"/>
    </row>
    <row r="1037">
      <c r="B1037" s="17">
        <f>IF($C1037="","",$D1037&amp;"-"&amp;$F1037&amp;"-"&amp;$K1037)</f>
        <v/>
      </c>
      <c r="C1037" s="16" t="n"/>
      <c r="D1037" s="17">
        <f>IF($C1037="","",IFERROR(INDEX(rngCadetPIDs,MATCH($C1037,rngCadetNames,0)),"?"))</f>
        <v/>
      </c>
      <c r="E1037" s="17">
        <f>IF($D1037="","",IFERROR(INDEX(nrCadetAgency,MATCH($D1037,rngCadetPIDs,0)),""))</f>
        <v/>
      </c>
      <c r="F1037" s="16" t="n"/>
      <c r="G1037" s="17">
        <f>IF($F1037="","",IFERROR(INDEX(rngEPname,MATCH($F1037,rngEPcode,0)),"?"))</f>
        <v/>
      </c>
      <c r="H1037" s="17">
        <f>IF($F1037="","",IFERROR(INDEX(rngEPtype,MATCH($F1037,rngEPcode,0)),"?"))</f>
        <v/>
      </c>
      <c r="I1037" s="17">
        <f>IF($F1037="","",IFERROR(INDEX(rngEPseq,MATCH($F1037,rngEPcode,0)),""))</f>
        <v/>
      </c>
      <c r="J1037" s="17">
        <f>IF($F1037="","",IFERROR(INDEX(rngEPpass,MATCH($F1037,rngEPcode,0)),cfgPassingScore))</f>
        <v/>
      </c>
      <c r="K1037" s="16" t="n"/>
      <c r="L1037" s="16" t="n"/>
      <c r="M1037" s="17">
        <f>IF($C1037="","",IF($L1037="","",IF(NOT(ISNUMBER($L1037)),$L1037,IF(N($K1037)&gt;2,"",IF($K1037=1,IF(COUNTIFS(nrES_PID,$D1037,nrES_Code,$F1037,nrES_Att,2,nrES_Raw,"&gt;=0")&gt;0,"",$L1037),IF($L1037&gt;=$J1037,MAX($J1037,cfgRetakeRecordedCap),IF(COUNTIFS(nrES_PID,$D1037,nrES_Code,$F1037,nrES_Att,1)=0,$L1037,SUMIFS(nrES_Raw,nrES_PID,$D1037,nrES_Code,$F1037,nrES_Att,1))))))))</f>
        <v/>
      </c>
      <c r="N1037" s="17">
        <f>IF($C1037="","",IF($L1037="","",IF(NOT(ISNUMBER($L1037)),"(not a score)",IF($L1037&gt;=$J1037,"Yes","No"))))</f>
        <v/>
      </c>
      <c r="O1037" s="17">
        <f>IF($C1037="","",IF($M1037="","",IF(NOT(ISNUMBER($M1037)),"(not a score)",IF($M1037&gt;=$J1037,"Yes","No"))))</f>
        <v/>
      </c>
      <c r="P1037" s="17">
        <f>IF($C1037="","",IF($K1037="","",IF(N($K1037)&gt;2,"No",IF(COUNTIFS(nrES_PID,$D1037,nrES_Code,$F1037,nrES_Att,"&gt;"&amp;$K1037,nrES_Att,"&lt;=2",nrES_Raw,"&gt;=0")=0,"Yes","No"))))</f>
        <v/>
      </c>
      <c r="Q1037" s="17">
        <f>IF($C1037="","",IF($L1037="","",IF(AND($K1037=1,ISNUMBER($L1037),$L1037&lt;$J1037,COUNTIFS(nrES_PID,$D1037,nrES_Code,$F1037,nrES_Att,2,nrES_Raw,"&gt;=0")=0),"Yes","No")))</f>
        <v/>
      </c>
      <c r="R1037" s="17">
        <f>IF($C1037="","",IF($L1037="","",IF(AND(N($K1037)&gt;=2,ISNUMBER($L1037),$L1037&lt;$J1037),"Yes","No")))</f>
        <v/>
      </c>
      <c r="S1037" s="18" t="n"/>
      <c r="T1037" s="19">
        <f>IF(OR($C1037="",$L1037="",$K1037&lt;&gt;1,NOT(ISNUMBER($L1037)),$L1037&gt;=$J1037),"",IF($S1037="","(enter date)",_xlfn.LET(_xlpm.dn,_xlfn.XLOOKUP($S1037,nrCDdate,nrCDnum,"",1),IF(_xlpm.dn="","(after last class day)",_xlfn.LET(_xlpm.dd,_xlfn.XLOOKUP(_xlpm.dn+cfgRetestClassDays,nrCDnum,nrCDdate,""),_xlpm.ok,_xlfn.XLOOKUP(_xlpm.dn+cfgRetestClassDays,nrCDnum,nrCDinsession,"No"),IF(OR(_xlpm.dd="",_xlpm.ok&lt;&gt;"Yes"),"(after last class day)",_xlpm.dd))))))</f>
        <v/>
      </c>
      <c r="U1037" s="17">
        <f>IF($C1037="","",IF(AND($Y1037="Excused",$L1037="",N($K1037)&lt;=1),"EXCUSED - 1st attempt pending",IF(OR($L1037="",$K1037&lt;&gt;1,NOT(ISNUMBER($L1037)),$L1037&gt;=$J1037),"",IF(COUNTIFS(nrES_PID,$D1037,nrES_Code,$F1037,nrES_Att,2,nrES_Raw,"&gt;=0")&gt;0,IF(IFERROR(_xlfn.MINIFS(nrES_Date,nrES_PID,$D1037,nrES_Code,$F1037,nrES_Att,2,nrES_Raw,"&gt;=0",nrES_Date,"&gt;0"),0)=0,"RETEST UNDATED",IF(NOT(ISNUMBER($T1037)),"RETEST DATE UNCHECKED",IF(_xlfn.MINIFS(nrES_Date,nrES_PID,$D1037,nrES_Code,$F1037,nrES_Att,2,nrES_Raw,"&gt;=0",nrES_Date,"&gt;0")&gt;$T1037,"LATE RETEST "&amp;TEXT(_xlfn.MINIFS(nrES_Date,nrES_PID,$D1037,nrES_Code,$F1037,nrES_Att,2,nrES_Raw,"&gt;=0",nrES_Date,"&gt;0"),"mm/dd")&amp;" (due "&amp;TEXT($T1037,"mm/dd")&amp;")","Retested"))),IF(NOT(ISNUMBER($T1037)),"CHECK DATE",IF(TODAY()&gt;$T1037,"OVERDUE","Due "&amp;TEXT($T1037,"mm/dd")))))))</f>
        <v/>
      </c>
      <c r="V1037" s="16" t="n"/>
      <c r="W1037" s="16" t="n"/>
      <c r="X1037" s="17">
        <f>IF($C1037="","",IF(AND($L1037&lt;&gt;"",NOT(ISNUMBER($L1037))),"RAW SCORE NOT A NUMBER",IF(AND(ISNUMBER($L1037),OR($L1037&lt;0,$L1037&gt;100)),"RAW SCORE OUT OF RANGE",IF(AND($Y1037="Unexcused",OR($L1037="",NOT(ISNUMBER($L1037)),$L1037&lt;&gt;0)),"UNEXCUSED ABSENCE MUST RECORD 0",IF(COUNTIF(nrES_RecID,$B1037)&gt;1,"DUPLICATE RECORD",IF(N($K1037)&gt;2,"ATTEMPT 3+ NOT ALLOWED - policy 300.5 permits one retest per exam; this row records nothing",IF(AND($K1037=2,COUNTIFS(nrES_PID,$D1037,nrES_Code,$F1037,nrES_Att,1)=0),"ATTEMPT 2 WITHOUT ATTEMPT 1",IF(AND($K1037=2,$L1037=""),"RETEST ROW HAS NO SCORE",IF(AND($H1037="Final",$L1037&lt;&gt;"",IFERROR(INDEX(nrCKfinalExamElig,MATCH($D1037,rngCadetPIDs,0)),"")="No"),"FINAL EXAM AFTER FAILED FINAL PT (500.1.H)",IF(AND($K1037=2,ISNUMBER($L1037),COUNTIFS(nrES_PID,$D1037,nrES_Code,$F1037,nrES_Att,1)&gt;0,SUMIFS(nrES_Raw,nrES_PID,$D1037,nrES_Code,$F1037,nrES_Att,1)&gt;=$J1037),"RETEST AFTER A PASSING FIRST ATTEMPT","OK"))))))))))</f>
        <v/>
      </c>
      <c r="Y1037" s="16" t="n"/>
    </row>
    <row r="1038">
      <c r="B1038" s="17">
        <f>IF($C1038="","",$D1038&amp;"-"&amp;$F1038&amp;"-"&amp;$K1038)</f>
        <v/>
      </c>
      <c r="C1038" s="16" t="n"/>
      <c r="D1038" s="17">
        <f>IF($C1038="","",IFERROR(INDEX(rngCadetPIDs,MATCH($C1038,rngCadetNames,0)),"?"))</f>
        <v/>
      </c>
      <c r="E1038" s="17">
        <f>IF($D1038="","",IFERROR(INDEX(nrCadetAgency,MATCH($D1038,rngCadetPIDs,0)),""))</f>
        <v/>
      </c>
      <c r="F1038" s="16" t="n"/>
      <c r="G1038" s="17">
        <f>IF($F1038="","",IFERROR(INDEX(rngEPname,MATCH($F1038,rngEPcode,0)),"?"))</f>
        <v/>
      </c>
      <c r="H1038" s="17">
        <f>IF($F1038="","",IFERROR(INDEX(rngEPtype,MATCH($F1038,rngEPcode,0)),"?"))</f>
        <v/>
      </c>
      <c r="I1038" s="17">
        <f>IF($F1038="","",IFERROR(INDEX(rngEPseq,MATCH($F1038,rngEPcode,0)),""))</f>
        <v/>
      </c>
      <c r="J1038" s="17">
        <f>IF($F1038="","",IFERROR(INDEX(rngEPpass,MATCH($F1038,rngEPcode,0)),cfgPassingScore))</f>
        <v/>
      </c>
      <c r="K1038" s="16" t="n"/>
      <c r="L1038" s="16" t="n"/>
      <c r="M1038" s="17">
        <f>IF($C1038="","",IF($L1038="","",IF(NOT(ISNUMBER($L1038)),$L1038,IF(N($K1038)&gt;2,"",IF($K1038=1,IF(COUNTIFS(nrES_PID,$D1038,nrES_Code,$F1038,nrES_Att,2,nrES_Raw,"&gt;=0")&gt;0,"",$L1038),IF($L1038&gt;=$J1038,MAX($J1038,cfgRetakeRecordedCap),IF(COUNTIFS(nrES_PID,$D1038,nrES_Code,$F1038,nrES_Att,1)=0,$L1038,SUMIFS(nrES_Raw,nrES_PID,$D1038,nrES_Code,$F1038,nrES_Att,1))))))))</f>
        <v/>
      </c>
      <c r="N1038" s="17">
        <f>IF($C1038="","",IF($L1038="","",IF(NOT(ISNUMBER($L1038)),"(not a score)",IF($L1038&gt;=$J1038,"Yes","No"))))</f>
        <v/>
      </c>
      <c r="O1038" s="17">
        <f>IF($C1038="","",IF($M1038="","",IF(NOT(ISNUMBER($M1038)),"(not a score)",IF($M1038&gt;=$J1038,"Yes","No"))))</f>
        <v/>
      </c>
      <c r="P1038" s="17">
        <f>IF($C1038="","",IF($K1038="","",IF(N($K1038)&gt;2,"No",IF(COUNTIFS(nrES_PID,$D1038,nrES_Code,$F1038,nrES_Att,"&gt;"&amp;$K1038,nrES_Att,"&lt;=2",nrES_Raw,"&gt;=0")=0,"Yes","No"))))</f>
        <v/>
      </c>
      <c r="Q1038" s="17">
        <f>IF($C1038="","",IF($L1038="","",IF(AND($K1038=1,ISNUMBER($L1038),$L1038&lt;$J1038,COUNTIFS(nrES_PID,$D1038,nrES_Code,$F1038,nrES_Att,2,nrES_Raw,"&gt;=0")=0),"Yes","No")))</f>
        <v/>
      </c>
      <c r="R1038" s="17">
        <f>IF($C1038="","",IF($L1038="","",IF(AND(N($K1038)&gt;=2,ISNUMBER($L1038),$L1038&lt;$J1038),"Yes","No")))</f>
        <v/>
      </c>
      <c r="S1038" s="18" t="n"/>
      <c r="T1038" s="19">
        <f>IF(OR($C1038="",$L1038="",$K1038&lt;&gt;1,NOT(ISNUMBER($L1038)),$L1038&gt;=$J1038),"",IF($S1038="","(enter date)",_xlfn.LET(_xlpm.dn,_xlfn.XLOOKUP($S1038,nrCDdate,nrCDnum,"",1),IF(_xlpm.dn="","(after last class day)",_xlfn.LET(_xlpm.dd,_xlfn.XLOOKUP(_xlpm.dn+cfgRetestClassDays,nrCDnum,nrCDdate,""),_xlpm.ok,_xlfn.XLOOKUP(_xlpm.dn+cfgRetestClassDays,nrCDnum,nrCDinsession,"No"),IF(OR(_xlpm.dd="",_xlpm.ok&lt;&gt;"Yes"),"(after last class day)",_xlpm.dd))))))</f>
        <v/>
      </c>
      <c r="U1038" s="17">
        <f>IF($C1038="","",IF(AND($Y1038="Excused",$L1038="",N($K1038)&lt;=1),"EXCUSED - 1st attempt pending",IF(OR($L1038="",$K1038&lt;&gt;1,NOT(ISNUMBER($L1038)),$L1038&gt;=$J1038),"",IF(COUNTIFS(nrES_PID,$D1038,nrES_Code,$F1038,nrES_Att,2,nrES_Raw,"&gt;=0")&gt;0,IF(IFERROR(_xlfn.MINIFS(nrES_Date,nrES_PID,$D1038,nrES_Code,$F1038,nrES_Att,2,nrES_Raw,"&gt;=0",nrES_Date,"&gt;0"),0)=0,"RETEST UNDATED",IF(NOT(ISNUMBER($T1038)),"RETEST DATE UNCHECKED",IF(_xlfn.MINIFS(nrES_Date,nrES_PID,$D1038,nrES_Code,$F1038,nrES_Att,2,nrES_Raw,"&gt;=0",nrES_Date,"&gt;0")&gt;$T1038,"LATE RETEST "&amp;TEXT(_xlfn.MINIFS(nrES_Date,nrES_PID,$D1038,nrES_Code,$F1038,nrES_Att,2,nrES_Raw,"&gt;=0",nrES_Date,"&gt;0"),"mm/dd")&amp;" (due "&amp;TEXT($T1038,"mm/dd")&amp;")","Retested"))),IF(NOT(ISNUMBER($T1038)),"CHECK DATE",IF(TODAY()&gt;$T1038,"OVERDUE","Due "&amp;TEXT($T1038,"mm/dd")))))))</f>
        <v/>
      </c>
      <c r="V1038" s="16" t="n"/>
      <c r="W1038" s="16" t="n"/>
      <c r="X1038" s="17">
        <f>IF($C1038="","",IF(AND($L1038&lt;&gt;"",NOT(ISNUMBER($L1038))),"RAW SCORE NOT A NUMBER",IF(AND(ISNUMBER($L1038),OR($L1038&lt;0,$L1038&gt;100)),"RAW SCORE OUT OF RANGE",IF(AND($Y1038="Unexcused",OR($L1038="",NOT(ISNUMBER($L1038)),$L1038&lt;&gt;0)),"UNEXCUSED ABSENCE MUST RECORD 0",IF(COUNTIF(nrES_RecID,$B1038)&gt;1,"DUPLICATE RECORD",IF(N($K1038)&gt;2,"ATTEMPT 3+ NOT ALLOWED - policy 300.5 permits one retest per exam; this row records nothing",IF(AND($K1038=2,COUNTIFS(nrES_PID,$D1038,nrES_Code,$F1038,nrES_Att,1)=0),"ATTEMPT 2 WITHOUT ATTEMPT 1",IF(AND($K1038=2,$L1038=""),"RETEST ROW HAS NO SCORE",IF(AND($H1038="Final",$L1038&lt;&gt;"",IFERROR(INDEX(nrCKfinalExamElig,MATCH($D1038,rngCadetPIDs,0)),"")="No"),"FINAL EXAM AFTER FAILED FINAL PT (500.1.H)",IF(AND($K1038=2,ISNUMBER($L1038),COUNTIFS(nrES_PID,$D1038,nrES_Code,$F1038,nrES_Att,1)&gt;0,SUMIFS(nrES_Raw,nrES_PID,$D1038,nrES_Code,$F1038,nrES_Att,1)&gt;=$J1038),"RETEST AFTER A PASSING FIRST ATTEMPT","OK"))))))))))</f>
        <v/>
      </c>
      <c r="Y1038" s="16" t="n"/>
    </row>
    <row r="1039">
      <c r="B1039" s="17">
        <f>IF($C1039="","",$D1039&amp;"-"&amp;$F1039&amp;"-"&amp;$K1039)</f>
        <v/>
      </c>
      <c r="C1039" s="16" t="n"/>
      <c r="D1039" s="17">
        <f>IF($C1039="","",IFERROR(INDEX(rngCadetPIDs,MATCH($C1039,rngCadetNames,0)),"?"))</f>
        <v/>
      </c>
      <c r="E1039" s="17">
        <f>IF($D1039="","",IFERROR(INDEX(nrCadetAgency,MATCH($D1039,rngCadetPIDs,0)),""))</f>
        <v/>
      </c>
      <c r="F1039" s="16" t="n"/>
      <c r="G1039" s="17">
        <f>IF($F1039="","",IFERROR(INDEX(rngEPname,MATCH($F1039,rngEPcode,0)),"?"))</f>
        <v/>
      </c>
      <c r="H1039" s="17">
        <f>IF($F1039="","",IFERROR(INDEX(rngEPtype,MATCH($F1039,rngEPcode,0)),"?"))</f>
        <v/>
      </c>
      <c r="I1039" s="17">
        <f>IF($F1039="","",IFERROR(INDEX(rngEPseq,MATCH($F1039,rngEPcode,0)),""))</f>
        <v/>
      </c>
      <c r="J1039" s="17">
        <f>IF($F1039="","",IFERROR(INDEX(rngEPpass,MATCH($F1039,rngEPcode,0)),cfgPassingScore))</f>
        <v/>
      </c>
      <c r="K1039" s="16" t="n"/>
      <c r="L1039" s="16" t="n"/>
      <c r="M1039" s="17">
        <f>IF($C1039="","",IF($L1039="","",IF(NOT(ISNUMBER($L1039)),$L1039,IF(N($K1039)&gt;2,"",IF($K1039=1,IF(COUNTIFS(nrES_PID,$D1039,nrES_Code,$F1039,nrES_Att,2,nrES_Raw,"&gt;=0")&gt;0,"",$L1039),IF($L1039&gt;=$J1039,MAX($J1039,cfgRetakeRecordedCap),IF(COUNTIFS(nrES_PID,$D1039,nrES_Code,$F1039,nrES_Att,1)=0,$L1039,SUMIFS(nrES_Raw,nrES_PID,$D1039,nrES_Code,$F1039,nrES_Att,1))))))))</f>
        <v/>
      </c>
      <c r="N1039" s="17">
        <f>IF($C1039="","",IF($L1039="","",IF(NOT(ISNUMBER($L1039)),"(not a score)",IF($L1039&gt;=$J1039,"Yes","No"))))</f>
        <v/>
      </c>
      <c r="O1039" s="17">
        <f>IF($C1039="","",IF($M1039="","",IF(NOT(ISNUMBER($M1039)),"(not a score)",IF($M1039&gt;=$J1039,"Yes","No"))))</f>
        <v/>
      </c>
      <c r="P1039" s="17">
        <f>IF($C1039="","",IF($K1039="","",IF(N($K1039)&gt;2,"No",IF(COUNTIFS(nrES_PID,$D1039,nrES_Code,$F1039,nrES_Att,"&gt;"&amp;$K1039,nrES_Att,"&lt;=2",nrES_Raw,"&gt;=0")=0,"Yes","No"))))</f>
        <v/>
      </c>
      <c r="Q1039" s="17">
        <f>IF($C1039="","",IF($L1039="","",IF(AND($K1039=1,ISNUMBER($L1039),$L1039&lt;$J1039,COUNTIFS(nrES_PID,$D1039,nrES_Code,$F1039,nrES_Att,2,nrES_Raw,"&gt;=0")=0),"Yes","No")))</f>
        <v/>
      </c>
      <c r="R1039" s="17">
        <f>IF($C1039="","",IF($L1039="","",IF(AND(N($K1039)&gt;=2,ISNUMBER($L1039),$L1039&lt;$J1039),"Yes","No")))</f>
        <v/>
      </c>
      <c r="S1039" s="18" t="n"/>
      <c r="T1039" s="19">
        <f>IF(OR($C1039="",$L1039="",$K1039&lt;&gt;1,NOT(ISNUMBER($L1039)),$L1039&gt;=$J1039),"",IF($S1039="","(enter date)",_xlfn.LET(_xlpm.dn,_xlfn.XLOOKUP($S1039,nrCDdate,nrCDnum,"",1),IF(_xlpm.dn="","(after last class day)",_xlfn.LET(_xlpm.dd,_xlfn.XLOOKUP(_xlpm.dn+cfgRetestClassDays,nrCDnum,nrCDdate,""),_xlpm.ok,_xlfn.XLOOKUP(_xlpm.dn+cfgRetestClassDays,nrCDnum,nrCDinsession,"No"),IF(OR(_xlpm.dd="",_xlpm.ok&lt;&gt;"Yes"),"(after last class day)",_xlpm.dd))))))</f>
        <v/>
      </c>
      <c r="U1039" s="17">
        <f>IF($C1039="","",IF(AND($Y1039="Excused",$L1039="",N($K1039)&lt;=1),"EXCUSED - 1st attempt pending",IF(OR($L1039="",$K1039&lt;&gt;1,NOT(ISNUMBER($L1039)),$L1039&gt;=$J1039),"",IF(COUNTIFS(nrES_PID,$D1039,nrES_Code,$F1039,nrES_Att,2,nrES_Raw,"&gt;=0")&gt;0,IF(IFERROR(_xlfn.MINIFS(nrES_Date,nrES_PID,$D1039,nrES_Code,$F1039,nrES_Att,2,nrES_Raw,"&gt;=0",nrES_Date,"&gt;0"),0)=0,"RETEST UNDATED",IF(NOT(ISNUMBER($T1039)),"RETEST DATE UNCHECKED",IF(_xlfn.MINIFS(nrES_Date,nrES_PID,$D1039,nrES_Code,$F1039,nrES_Att,2,nrES_Raw,"&gt;=0",nrES_Date,"&gt;0")&gt;$T1039,"LATE RETEST "&amp;TEXT(_xlfn.MINIFS(nrES_Date,nrES_PID,$D1039,nrES_Code,$F1039,nrES_Att,2,nrES_Raw,"&gt;=0",nrES_Date,"&gt;0"),"mm/dd")&amp;" (due "&amp;TEXT($T1039,"mm/dd")&amp;")","Retested"))),IF(NOT(ISNUMBER($T1039)),"CHECK DATE",IF(TODAY()&gt;$T1039,"OVERDUE","Due "&amp;TEXT($T1039,"mm/dd")))))))</f>
        <v/>
      </c>
      <c r="V1039" s="16" t="n"/>
      <c r="W1039" s="16" t="n"/>
      <c r="X1039" s="17">
        <f>IF($C1039="","",IF(AND($L1039&lt;&gt;"",NOT(ISNUMBER($L1039))),"RAW SCORE NOT A NUMBER",IF(AND(ISNUMBER($L1039),OR($L1039&lt;0,$L1039&gt;100)),"RAW SCORE OUT OF RANGE",IF(AND($Y1039="Unexcused",OR($L1039="",NOT(ISNUMBER($L1039)),$L1039&lt;&gt;0)),"UNEXCUSED ABSENCE MUST RECORD 0",IF(COUNTIF(nrES_RecID,$B1039)&gt;1,"DUPLICATE RECORD",IF(N($K1039)&gt;2,"ATTEMPT 3+ NOT ALLOWED - policy 300.5 permits one retest per exam; this row records nothing",IF(AND($K1039=2,COUNTIFS(nrES_PID,$D1039,nrES_Code,$F1039,nrES_Att,1)=0),"ATTEMPT 2 WITHOUT ATTEMPT 1",IF(AND($K1039=2,$L1039=""),"RETEST ROW HAS NO SCORE",IF(AND($H1039="Final",$L1039&lt;&gt;"",IFERROR(INDEX(nrCKfinalExamElig,MATCH($D1039,rngCadetPIDs,0)),"")="No"),"FINAL EXAM AFTER FAILED FINAL PT (500.1.H)",IF(AND($K1039=2,ISNUMBER($L1039),COUNTIFS(nrES_PID,$D1039,nrES_Code,$F1039,nrES_Att,1)&gt;0,SUMIFS(nrES_Raw,nrES_PID,$D1039,nrES_Code,$F1039,nrES_Att,1)&gt;=$J1039),"RETEST AFTER A PASSING FIRST ATTEMPT","OK"))))))))))</f>
        <v/>
      </c>
      <c r="Y1039" s="16" t="n"/>
    </row>
    <row r="1040">
      <c r="B1040" s="17">
        <f>IF($C1040="","",$D1040&amp;"-"&amp;$F1040&amp;"-"&amp;$K1040)</f>
        <v/>
      </c>
      <c r="C1040" s="16" t="n"/>
      <c r="D1040" s="17">
        <f>IF($C1040="","",IFERROR(INDEX(rngCadetPIDs,MATCH($C1040,rngCadetNames,0)),"?"))</f>
        <v/>
      </c>
      <c r="E1040" s="17">
        <f>IF($D1040="","",IFERROR(INDEX(nrCadetAgency,MATCH($D1040,rngCadetPIDs,0)),""))</f>
        <v/>
      </c>
      <c r="F1040" s="16" t="n"/>
      <c r="G1040" s="17">
        <f>IF($F1040="","",IFERROR(INDEX(rngEPname,MATCH($F1040,rngEPcode,0)),"?"))</f>
        <v/>
      </c>
      <c r="H1040" s="17">
        <f>IF($F1040="","",IFERROR(INDEX(rngEPtype,MATCH($F1040,rngEPcode,0)),"?"))</f>
        <v/>
      </c>
      <c r="I1040" s="17">
        <f>IF($F1040="","",IFERROR(INDEX(rngEPseq,MATCH($F1040,rngEPcode,0)),""))</f>
        <v/>
      </c>
      <c r="J1040" s="17">
        <f>IF($F1040="","",IFERROR(INDEX(rngEPpass,MATCH($F1040,rngEPcode,0)),cfgPassingScore))</f>
        <v/>
      </c>
      <c r="K1040" s="16" t="n"/>
      <c r="L1040" s="16" t="n"/>
      <c r="M1040" s="17">
        <f>IF($C1040="","",IF($L1040="","",IF(NOT(ISNUMBER($L1040)),$L1040,IF(N($K1040)&gt;2,"",IF($K1040=1,IF(COUNTIFS(nrES_PID,$D1040,nrES_Code,$F1040,nrES_Att,2,nrES_Raw,"&gt;=0")&gt;0,"",$L1040),IF($L1040&gt;=$J1040,MAX($J1040,cfgRetakeRecordedCap),IF(COUNTIFS(nrES_PID,$D1040,nrES_Code,$F1040,nrES_Att,1)=0,$L1040,SUMIFS(nrES_Raw,nrES_PID,$D1040,nrES_Code,$F1040,nrES_Att,1))))))))</f>
        <v/>
      </c>
      <c r="N1040" s="17">
        <f>IF($C1040="","",IF($L1040="","",IF(NOT(ISNUMBER($L1040)),"(not a score)",IF($L1040&gt;=$J1040,"Yes","No"))))</f>
        <v/>
      </c>
      <c r="O1040" s="17">
        <f>IF($C1040="","",IF($M1040="","",IF(NOT(ISNUMBER($M1040)),"(not a score)",IF($M1040&gt;=$J1040,"Yes","No"))))</f>
        <v/>
      </c>
      <c r="P1040" s="17">
        <f>IF($C1040="","",IF($K1040="","",IF(N($K1040)&gt;2,"No",IF(COUNTIFS(nrES_PID,$D1040,nrES_Code,$F1040,nrES_Att,"&gt;"&amp;$K1040,nrES_Att,"&lt;=2",nrES_Raw,"&gt;=0")=0,"Yes","No"))))</f>
        <v/>
      </c>
      <c r="Q1040" s="17">
        <f>IF($C1040="","",IF($L1040="","",IF(AND($K1040=1,ISNUMBER($L1040),$L1040&lt;$J1040,COUNTIFS(nrES_PID,$D1040,nrES_Code,$F1040,nrES_Att,2,nrES_Raw,"&gt;=0")=0),"Yes","No")))</f>
        <v/>
      </c>
      <c r="R1040" s="17">
        <f>IF($C1040="","",IF($L1040="","",IF(AND(N($K1040)&gt;=2,ISNUMBER($L1040),$L1040&lt;$J1040),"Yes","No")))</f>
        <v/>
      </c>
      <c r="S1040" s="18" t="n"/>
      <c r="T1040" s="19">
        <f>IF(OR($C1040="",$L1040="",$K1040&lt;&gt;1,NOT(ISNUMBER($L1040)),$L1040&gt;=$J1040),"",IF($S1040="","(enter date)",_xlfn.LET(_xlpm.dn,_xlfn.XLOOKUP($S1040,nrCDdate,nrCDnum,"",1),IF(_xlpm.dn="","(after last class day)",_xlfn.LET(_xlpm.dd,_xlfn.XLOOKUP(_xlpm.dn+cfgRetestClassDays,nrCDnum,nrCDdate,""),_xlpm.ok,_xlfn.XLOOKUP(_xlpm.dn+cfgRetestClassDays,nrCDnum,nrCDinsession,"No"),IF(OR(_xlpm.dd="",_xlpm.ok&lt;&gt;"Yes"),"(after last class day)",_xlpm.dd))))))</f>
        <v/>
      </c>
      <c r="U1040" s="17">
        <f>IF($C1040="","",IF(AND($Y1040="Excused",$L1040="",N($K1040)&lt;=1),"EXCUSED - 1st attempt pending",IF(OR($L1040="",$K1040&lt;&gt;1,NOT(ISNUMBER($L1040)),$L1040&gt;=$J1040),"",IF(COUNTIFS(nrES_PID,$D1040,nrES_Code,$F1040,nrES_Att,2,nrES_Raw,"&gt;=0")&gt;0,IF(IFERROR(_xlfn.MINIFS(nrES_Date,nrES_PID,$D1040,nrES_Code,$F1040,nrES_Att,2,nrES_Raw,"&gt;=0",nrES_Date,"&gt;0"),0)=0,"RETEST UNDATED",IF(NOT(ISNUMBER($T1040)),"RETEST DATE UNCHECKED",IF(_xlfn.MINIFS(nrES_Date,nrES_PID,$D1040,nrES_Code,$F1040,nrES_Att,2,nrES_Raw,"&gt;=0",nrES_Date,"&gt;0")&gt;$T1040,"LATE RETEST "&amp;TEXT(_xlfn.MINIFS(nrES_Date,nrES_PID,$D1040,nrES_Code,$F1040,nrES_Att,2,nrES_Raw,"&gt;=0",nrES_Date,"&gt;0"),"mm/dd")&amp;" (due "&amp;TEXT($T1040,"mm/dd")&amp;")","Retested"))),IF(NOT(ISNUMBER($T1040)),"CHECK DATE",IF(TODAY()&gt;$T1040,"OVERDUE","Due "&amp;TEXT($T1040,"mm/dd")))))))</f>
        <v/>
      </c>
      <c r="V1040" s="16" t="n"/>
      <c r="W1040" s="16" t="n"/>
      <c r="X1040" s="17">
        <f>IF($C1040="","",IF(AND($L1040&lt;&gt;"",NOT(ISNUMBER($L1040))),"RAW SCORE NOT A NUMBER",IF(AND(ISNUMBER($L1040),OR($L1040&lt;0,$L1040&gt;100)),"RAW SCORE OUT OF RANGE",IF(AND($Y1040="Unexcused",OR($L1040="",NOT(ISNUMBER($L1040)),$L1040&lt;&gt;0)),"UNEXCUSED ABSENCE MUST RECORD 0",IF(COUNTIF(nrES_RecID,$B1040)&gt;1,"DUPLICATE RECORD",IF(N($K1040)&gt;2,"ATTEMPT 3+ NOT ALLOWED - policy 300.5 permits one retest per exam; this row records nothing",IF(AND($K1040=2,COUNTIFS(nrES_PID,$D1040,nrES_Code,$F1040,nrES_Att,1)=0),"ATTEMPT 2 WITHOUT ATTEMPT 1",IF(AND($K1040=2,$L1040=""),"RETEST ROW HAS NO SCORE",IF(AND($H1040="Final",$L1040&lt;&gt;"",IFERROR(INDEX(nrCKfinalExamElig,MATCH($D1040,rngCadetPIDs,0)),"")="No"),"FINAL EXAM AFTER FAILED FINAL PT (500.1.H)",IF(AND($K1040=2,ISNUMBER($L1040),COUNTIFS(nrES_PID,$D1040,nrES_Code,$F1040,nrES_Att,1)&gt;0,SUMIFS(nrES_Raw,nrES_PID,$D1040,nrES_Code,$F1040,nrES_Att,1)&gt;=$J1040),"RETEST AFTER A PASSING FIRST ATTEMPT","OK"))))))))))</f>
        <v/>
      </c>
      <c r="Y1040" s="16" t="n"/>
    </row>
    <row r="1041">
      <c r="B1041" s="17">
        <f>IF($C1041="","",$D1041&amp;"-"&amp;$F1041&amp;"-"&amp;$K1041)</f>
        <v/>
      </c>
      <c r="C1041" s="16" t="n"/>
      <c r="D1041" s="17">
        <f>IF($C1041="","",IFERROR(INDEX(rngCadetPIDs,MATCH($C1041,rngCadetNames,0)),"?"))</f>
        <v/>
      </c>
      <c r="E1041" s="17">
        <f>IF($D1041="","",IFERROR(INDEX(nrCadetAgency,MATCH($D1041,rngCadetPIDs,0)),""))</f>
        <v/>
      </c>
      <c r="F1041" s="16" t="n"/>
      <c r="G1041" s="17">
        <f>IF($F1041="","",IFERROR(INDEX(rngEPname,MATCH($F1041,rngEPcode,0)),"?"))</f>
        <v/>
      </c>
      <c r="H1041" s="17">
        <f>IF($F1041="","",IFERROR(INDEX(rngEPtype,MATCH($F1041,rngEPcode,0)),"?"))</f>
        <v/>
      </c>
      <c r="I1041" s="17">
        <f>IF($F1041="","",IFERROR(INDEX(rngEPseq,MATCH($F1041,rngEPcode,0)),""))</f>
        <v/>
      </c>
      <c r="J1041" s="17">
        <f>IF($F1041="","",IFERROR(INDEX(rngEPpass,MATCH($F1041,rngEPcode,0)),cfgPassingScore))</f>
        <v/>
      </c>
      <c r="K1041" s="16" t="n"/>
      <c r="L1041" s="16" t="n"/>
      <c r="M1041" s="17">
        <f>IF($C1041="","",IF($L1041="","",IF(NOT(ISNUMBER($L1041)),$L1041,IF(N($K1041)&gt;2,"",IF($K1041=1,IF(COUNTIFS(nrES_PID,$D1041,nrES_Code,$F1041,nrES_Att,2,nrES_Raw,"&gt;=0")&gt;0,"",$L1041),IF($L1041&gt;=$J1041,MAX($J1041,cfgRetakeRecordedCap),IF(COUNTIFS(nrES_PID,$D1041,nrES_Code,$F1041,nrES_Att,1)=0,$L1041,SUMIFS(nrES_Raw,nrES_PID,$D1041,nrES_Code,$F1041,nrES_Att,1))))))))</f>
        <v/>
      </c>
      <c r="N1041" s="17">
        <f>IF($C1041="","",IF($L1041="","",IF(NOT(ISNUMBER($L1041)),"(not a score)",IF($L1041&gt;=$J1041,"Yes","No"))))</f>
        <v/>
      </c>
      <c r="O1041" s="17">
        <f>IF($C1041="","",IF($M1041="","",IF(NOT(ISNUMBER($M1041)),"(not a score)",IF($M1041&gt;=$J1041,"Yes","No"))))</f>
        <v/>
      </c>
      <c r="P1041" s="17">
        <f>IF($C1041="","",IF($K1041="","",IF(N($K1041)&gt;2,"No",IF(COUNTIFS(nrES_PID,$D1041,nrES_Code,$F1041,nrES_Att,"&gt;"&amp;$K1041,nrES_Att,"&lt;=2",nrES_Raw,"&gt;=0")=0,"Yes","No"))))</f>
        <v/>
      </c>
      <c r="Q1041" s="17">
        <f>IF($C1041="","",IF($L1041="","",IF(AND($K1041=1,ISNUMBER($L1041),$L1041&lt;$J1041,COUNTIFS(nrES_PID,$D1041,nrES_Code,$F1041,nrES_Att,2,nrES_Raw,"&gt;=0")=0),"Yes","No")))</f>
        <v/>
      </c>
      <c r="R1041" s="17">
        <f>IF($C1041="","",IF($L1041="","",IF(AND(N($K1041)&gt;=2,ISNUMBER($L1041),$L1041&lt;$J1041),"Yes","No")))</f>
        <v/>
      </c>
      <c r="S1041" s="18" t="n"/>
      <c r="T1041" s="19">
        <f>IF(OR($C1041="",$L1041="",$K1041&lt;&gt;1,NOT(ISNUMBER($L1041)),$L1041&gt;=$J1041),"",IF($S1041="","(enter date)",_xlfn.LET(_xlpm.dn,_xlfn.XLOOKUP($S1041,nrCDdate,nrCDnum,"",1),IF(_xlpm.dn="","(after last class day)",_xlfn.LET(_xlpm.dd,_xlfn.XLOOKUP(_xlpm.dn+cfgRetestClassDays,nrCDnum,nrCDdate,""),_xlpm.ok,_xlfn.XLOOKUP(_xlpm.dn+cfgRetestClassDays,nrCDnum,nrCDinsession,"No"),IF(OR(_xlpm.dd="",_xlpm.ok&lt;&gt;"Yes"),"(after last class day)",_xlpm.dd))))))</f>
        <v/>
      </c>
      <c r="U1041" s="17">
        <f>IF($C1041="","",IF(AND($Y1041="Excused",$L1041="",N($K1041)&lt;=1),"EXCUSED - 1st attempt pending",IF(OR($L1041="",$K1041&lt;&gt;1,NOT(ISNUMBER($L1041)),$L1041&gt;=$J1041),"",IF(COUNTIFS(nrES_PID,$D1041,nrES_Code,$F1041,nrES_Att,2,nrES_Raw,"&gt;=0")&gt;0,IF(IFERROR(_xlfn.MINIFS(nrES_Date,nrES_PID,$D1041,nrES_Code,$F1041,nrES_Att,2,nrES_Raw,"&gt;=0",nrES_Date,"&gt;0"),0)=0,"RETEST UNDATED",IF(NOT(ISNUMBER($T1041)),"RETEST DATE UNCHECKED",IF(_xlfn.MINIFS(nrES_Date,nrES_PID,$D1041,nrES_Code,$F1041,nrES_Att,2,nrES_Raw,"&gt;=0",nrES_Date,"&gt;0")&gt;$T1041,"LATE RETEST "&amp;TEXT(_xlfn.MINIFS(nrES_Date,nrES_PID,$D1041,nrES_Code,$F1041,nrES_Att,2,nrES_Raw,"&gt;=0",nrES_Date,"&gt;0"),"mm/dd")&amp;" (due "&amp;TEXT($T1041,"mm/dd")&amp;")","Retested"))),IF(NOT(ISNUMBER($T1041)),"CHECK DATE",IF(TODAY()&gt;$T1041,"OVERDUE","Due "&amp;TEXT($T1041,"mm/dd")))))))</f>
        <v/>
      </c>
      <c r="V1041" s="16" t="n"/>
      <c r="W1041" s="16" t="n"/>
      <c r="X1041" s="17">
        <f>IF($C1041="","",IF(AND($L1041&lt;&gt;"",NOT(ISNUMBER($L1041))),"RAW SCORE NOT A NUMBER",IF(AND(ISNUMBER($L1041),OR($L1041&lt;0,$L1041&gt;100)),"RAW SCORE OUT OF RANGE",IF(AND($Y1041="Unexcused",OR($L1041="",NOT(ISNUMBER($L1041)),$L1041&lt;&gt;0)),"UNEXCUSED ABSENCE MUST RECORD 0",IF(COUNTIF(nrES_RecID,$B1041)&gt;1,"DUPLICATE RECORD",IF(N($K1041)&gt;2,"ATTEMPT 3+ NOT ALLOWED - policy 300.5 permits one retest per exam; this row records nothing",IF(AND($K1041=2,COUNTIFS(nrES_PID,$D1041,nrES_Code,$F1041,nrES_Att,1)=0),"ATTEMPT 2 WITHOUT ATTEMPT 1",IF(AND($K1041=2,$L1041=""),"RETEST ROW HAS NO SCORE",IF(AND($H1041="Final",$L1041&lt;&gt;"",IFERROR(INDEX(nrCKfinalExamElig,MATCH($D1041,rngCadetPIDs,0)),"")="No"),"FINAL EXAM AFTER FAILED FINAL PT (500.1.H)",IF(AND($K1041=2,ISNUMBER($L1041),COUNTIFS(nrES_PID,$D1041,nrES_Code,$F1041,nrES_Att,1)&gt;0,SUMIFS(nrES_Raw,nrES_PID,$D1041,nrES_Code,$F1041,nrES_Att,1)&gt;=$J1041),"RETEST AFTER A PASSING FIRST ATTEMPT","OK"))))))))))</f>
        <v/>
      </c>
      <c r="Y1041" s="16" t="n"/>
    </row>
    <row r="1042">
      <c r="B1042" s="17">
        <f>IF($C1042="","",$D1042&amp;"-"&amp;$F1042&amp;"-"&amp;$K1042)</f>
        <v/>
      </c>
      <c r="C1042" s="16" t="n"/>
      <c r="D1042" s="17">
        <f>IF($C1042="","",IFERROR(INDEX(rngCadetPIDs,MATCH($C1042,rngCadetNames,0)),"?"))</f>
        <v/>
      </c>
      <c r="E1042" s="17">
        <f>IF($D1042="","",IFERROR(INDEX(nrCadetAgency,MATCH($D1042,rngCadetPIDs,0)),""))</f>
        <v/>
      </c>
      <c r="F1042" s="16" t="n"/>
      <c r="G1042" s="17">
        <f>IF($F1042="","",IFERROR(INDEX(rngEPname,MATCH($F1042,rngEPcode,0)),"?"))</f>
        <v/>
      </c>
      <c r="H1042" s="17">
        <f>IF($F1042="","",IFERROR(INDEX(rngEPtype,MATCH($F1042,rngEPcode,0)),"?"))</f>
        <v/>
      </c>
      <c r="I1042" s="17">
        <f>IF($F1042="","",IFERROR(INDEX(rngEPseq,MATCH($F1042,rngEPcode,0)),""))</f>
        <v/>
      </c>
      <c r="J1042" s="17">
        <f>IF($F1042="","",IFERROR(INDEX(rngEPpass,MATCH($F1042,rngEPcode,0)),cfgPassingScore))</f>
        <v/>
      </c>
      <c r="K1042" s="16" t="n"/>
      <c r="L1042" s="16" t="n"/>
      <c r="M1042" s="17">
        <f>IF($C1042="","",IF($L1042="","",IF(NOT(ISNUMBER($L1042)),$L1042,IF(N($K1042)&gt;2,"",IF($K1042=1,IF(COUNTIFS(nrES_PID,$D1042,nrES_Code,$F1042,nrES_Att,2,nrES_Raw,"&gt;=0")&gt;0,"",$L1042),IF($L1042&gt;=$J1042,MAX($J1042,cfgRetakeRecordedCap),IF(COUNTIFS(nrES_PID,$D1042,nrES_Code,$F1042,nrES_Att,1)=0,$L1042,SUMIFS(nrES_Raw,nrES_PID,$D1042,nrES_Code,$F1042,nrES_Att,1))))))))</f>
        <v/>
      </c>
      <c r="N1042" s="17">
        <f>IF($C1042="","",IF($L1042="","",IF(NOT(ISNUMBER($L1042)),"(not a score)",IF($L1042&gt;=$J1042,"Yes","No"))))</f>
        <v/>
      </c>
      <c r="O1042" s="17">
        <f>IF($C1042="","",IF($M1042="","",IF(NOT(ISNUMBER($M1042)),"(not a score)",IF($M1042&gt;=$J1042,"Yes","No"))))</f>
        <v/>
      </c>
      <c r="P1042" s="17">
        <f>IF($C1042="","",IF($K1042="","",IF(N($K1042)&gt;2,"No",IF(COUNTIFS(nrES_PID,$D1042,nrES_Code,$F1042,nrES_Att,"&gt;"&amp;$K1042,nrES_Att,"&lt;=2",nrES_Raw,"&gt;=0")=0,"Yes","No"))))</f>
        <v/>
      </c>
      <c r="Q1042" s="17">
        <f>IF($C1042="","",IF($L1042="","",IF(AND($K1042=1,ISNUMBER($L1042),$L1042&lt;$J1042,COUNTIFS(nrES_PID,$D1042,nrES_Code,$F1042,nrES_Att,2,nrES_Raw,"&gt;=0")=0),"Yes","No")))</f>
        <v/>
      </c>
      <c r="R1042" s="17">
        <f>IF($C1042="","",IF($L1042="","",IF(AND(N($K1042)&gt;=2,ISNUMBER($L1042),$L1042&lt;$J1042),"Yes","No")))</f>
        <v/>
      </c>
      <c r="S1042" s="18" t="n"/>
      <c r="T1042" s="19">
        <f>IF(OR($C1042="",$L1042="",$K1042&lt;&gt;1,NOT(ISNUMBER($L1042)),$L1042&gt;=$J1042),"",IF($S1042="","(enter date)",_xlfn.LET(_xlpm.dn,_xlfn.XLOOKUP($S1042,nrCDdate,nrCDnum,"",1),IF(_xlpm.dn="","(after last class day)",_xlfn.LET(_xlpm.dd,_xlfn.XLOOKUP(_xlpm.dn+cfgRetestClassDays,nrCDnum,nrCDdate,""),_xlpm.ok,_xlfn.XLOOKUP(_xlpm.dn+cfgRetestClassDays,nrCDnum,nrCDinsession,"No"),IF(OR(_xlpm.dd="",_xlpm.ok&lt;&gt;"Yes"),"(after last class day)",_xlpm.dd))))))</f>
        <v/>
      </c>
      <c r="U1042" s="17">
        <f>IF($C1042="","",IF(AND($Y1042="Excused",$L1042="",N($K1042)&lt;=1),"EXCUSED - 1st attempt pending",IF(OR($L1042="",$K1042&lt;&gt;1,NOT(ISNUMBER($L1042)),$L1042&gt;=$J1042),"",IF(COUNTIFS(nrES_PID,$D1042,nrES_Code,$F1042,nrES_Att,2,nrES_Raw,"&gt;=0")&gt;0,IF(IFERROR(_xlfn.MINIFS(nrES_Date,nrES_PID,$D1042,nrES_Code,$F1042,nrES_Att,2,nrES_Raw,"&gt;=0",nrES_Date,"&gt;0"),0)=0,"RETEST UNDATED",IF(NOT(ISNUMBER($T1042)),"RETEST DATE UNCHECKED",IF(_xlfn.MINIFS(nrES_Date,nrES_PID,$D1042,nrES_Code,$F1042,nrES_Att,2,nrES_Raw,"&gt;=0",nrES_Date,"&gt;0")&gt;$T1042,"LATE RETEST "&amp;TEXT(_xlfn.MINIFS(nrES_Date,nrES_PID,$D1042,nrES_Code,$F1042,nrES_Att,2,nrES_Raw,"&gt;=0",nrES_Date,"&gt;0"),"mm/dd")&amp;" (due "&amp;TEXT($T1042,"mm/dd")&amp;")","Retested"))),IF(NOT(ISNUMBER($T1042)),"CHECK DATE",IF(TODAY()&gt;$T1042,"OVERDUE","Due "&amp;TEXT($T1042,"mm/dd")))))))</f>
        <v/>
      </c>
      <c r="V1042" s="16" t="n"/>
      <c r="W1042" s="16" t="n"/>
      <c r="X1042" s="17">
        <f>IF($C1042="","",IF(AND($L1042&lt;&gt;"",NOT(ISNUMBER($L1042))),"RAW SCORE NOT A NUMBER",IF(AND(ISNUMBER($L1042),OR($L1042&lt;0,$L1042&gt;100)),"RAW SCORE OUT OF RANGE",IF(AND($Y1042="Unexcused",OR($L1042="",NOT(ISNUMBER($L1042)),$L1042&lt;&gt;0)),"UNEXCUSED ABSENCE MUST RECORD 0",IF(COUNTIF(nrES_RecID,$B1042)&gt;1,"DUPLICATE RECORD",IF(N($K1042)&gt;2,"ATTEMPT 3+ NOT ALLOWED - policy 300.5 permits one retest per exam; this row records nothing",IF(AND($K1042=2,COUNTIFS(nrES_PID,$D1042,nrES_Code,$F1042,nrES_Att,1)=0),"ATTEMPT 2 WITHOUT ATTEMPT 1",IF(AND($K1042=2,$L1042=""),"RETEST ROW HAS NO SCORE",IF(AND($H1042="Final",$L1042&lt;&gt;"",IFERROR(INDEX(nrCKfinalExamElig,MATCH($D1042,rngCadetPIDs,0)),"")="No"),"FINAL EXAM AFTER FAILED FINAL PT (500.1.H)",IF(AND($K1042=2,ISNUMBER($L1042),COUNTIFS(nrES_PID,$D1042,nrES_Code,$F1042,nrES_Att,1)&gt;0,SUMIFS(nrES_Raw,nrES_PID,$D1042,nrES_Code,$F1042,nrES_Att,1)&gt;=$J1042),"RETEST AFTER A PASSING FIRST ATTEMPT","OK"))))))))))</f>
        <v/>
      </c>
      <c r="Y1042" s="16" t="n"/>
    </row>
    <row r="1043">
      <c r="B1043" s="17">
        <f>IF($C1043="","",$D1043&amp;"-"&amp;$F1043&amp;"-"&amp;$K1043)</f>
        <v/>
      </c>
      <c r="C1043" s="16" t="n"/>
      <c r="D1043" s="17">
        <f>IF($C1043="","",IFERROR(INDEX(rngCadetPIDs,MATCH($C1043,rngCadetNames,0)),"?"))</f>
        <v/>
      </c>
      <c r="E1043" s="17">
        <f>IF($D1043="","",IFERROR(INDEX(nrCadetAgency,MATCH($D1043,rngCadetPIDs,0)),""))</f>
        <v/>
      </c>
      <c r="F1043" s="16" t="n"/>
      <c r="G1043" s="17">
        <f>IF($F1043="","",IFERROR(INDEX(rngEPname,MATCH($F1043,rngEPcode,0)),"?"))</f>
        <v/>
      </c>
      <c r="H1043" s="17">
        <f>IF($F1043="","",IFERROR(INDEX(rngEPtype,MATCH($F1043,rngEPcode,0)),"?"))</f>
        <v/>
      </c>
      <c r="I1043" s="17">
        <f>IF($F1043="","",IFERROR(INDEX(rngEPseq,MATCH($F1043,rngEPcode,0)),""))</f>
        <v/>
      </c>
      <c r="J1043" s="17">
        <f>IF($F1043="","",IFERROR(INDEX(rngEPpass,MATCH($F1043,rngEPcode,0)),cfgPassingScore))</f>
        <v/>
      </c>
      <c r="K1043" s="16" t="n"/>
      <c r="L1043" s="16" t="n"/>
      <c r="M1043" s="17">
        <f>IF($C1043="","",IF($L1043="","",IF(NOT(ISNUMBER($L1043)),$L1043,IF(N($K1043)&gt;2,"",IF($K1043=1,IF(COUNTIFS(nrES_PID,$D1043,nrES_Code,$F1043,nrES_Att,2,nrES_Raw,"&gt;=0")&gt;0,"",$L1043),IF($L1043&gt;=$J1043,MAX($J1043,cfgRetakeRecordedCap),IF(COUNTIFS(nrES_PID,$D1043,nrES_Code,$F1043,nrES_Att,1)=0,$L1043,SUMIFS(nrES_Raw,nrES_PID,$D1043,nrES_Code,$F1043,nrES_Att,1))))))))</f>
        <v/>
      </c>
      <c r="N1043" s="17">
        <f>IF($C1043="","",IF($L1043="","",IF(NOT(ISNUMBER($L1043)),"(not a score)",IF($L1043&gt;=$J1043,"Yes","No"))))</f>
        <v/>
      </c>
      <c r="O1043" s="17">
        <f>IF($C1043="","",IF($M1043="","",IF(NOT(ISNUMBER($M1043)),"(not a score)",IF($M1043&gt;=$J1043,"Yes","No"))))</f>
        <v/>
      </c>
      <c r="P1043" s="17">
        <f>IF($C1043="","",IF($K1043="","",IF(N($K1043)&gt;2,"No",IF(COUNTIFS(nrES_PID,$D1043,nrES_Code,$F1043,nrES_Att,"&gt;"&amp;$K1043,nrES_Att,"&lt;=2",nrES_Raw,"&gt;=0")=0,"Yes","No"))))</f>
        <v/>
      </c>
      <c r="Q1043" s="17">
        <f>IF($C1043="","",IF($L1043="","",IF(AND($K1043=1,ISNUMBER($L1043),$L1043&lt;$J1043,COUNTIFS(nrES_PID,$D1043,nrES_Code,$F1043,nrES_Att,2,nrES_Raw,"&gt;=0")=0),"Yes","No")))</f>
        <v/>
      </c>
      <c r="R1043" s="17">
        <f>IF($C1043="","",IF($L1043="","",IF(AND(N($K1043)&gt;=2,ISNUMBER($L1043),$L1043&lt;$J1043),"Yes","No")))</f>
        <v/>
      </c>
      <c r="S1043" s="18" t="n"/>
      <c r="T1043" s="19">
        <f>IF(OR($C1043="",$L1043="",$K1043&lt;&gt;1,NOT(ISNUMBER($L1043)),$L1043&gt;=$J1043),"",IF($S1043="","(enter date)",_xlfn.LET(_xlpm.dn,_xlfn.XLOOKUP($S1043,nrCDdate,nrCDnum,"",1),IF(_xlpm.dn="","(after last class day)",_xlfn.LET(_xlpm.dd,_xlfn.XLOOKUP(_xlpm.dn+cfgRetestClassDays,nrCDnum,nrCDdate,""),_xlpm.ok,_xlfn.XLOOKUP(_xlpm.dn+cfgRetestClassDays,nrCDnum,nrCDinsession,"No"),IF(OR(_xlpm.dd="",_xlpm.ok&lt;&gt;"Yes"),"(after last class day)",_xlpm.dd))))))</f>
        <v/>
      </c>
      <c r="U1043" s="17">
        <f>IF($C1043="","",IF(AND($Y1043="Excused",$L1043="",N($K1043)&lt;=1),"EXCUSED - 1st attempt pending",IF(OR($L1043="",$K1043&lt;&gt;1,NOT(ISNUMBER($L1043)),$L1043&gt;=$J1043),"",IF(COUNTIFS(nrES_PID,$D1043,nrES_Code,$F1043,nrES_Att,2,nrES_Raw,"&gt;=0")&gt;0,IF(IFERROR(_xlfn.MINIFS(nrES_Date,nrES_PID,$D1043,nrES_Code,$F1043,nrES_Att,2,nrES_Raw,"&gt;=0",nrES_Date,"&gt;0"),0)=0,"RETEST UNDATED",IF(NOT(ISNUMBER($T1043)),"RETEST DATE UNCHECKED",IF(_xlfn.MINIFS(nrES_Date,nrES_PID,$D1043,nrES_Code,$F1043,nrES_Att,2,nrES_Raw,"&gt;=0",nrES_Date,"&gt;0")&gt;$T1043,"LATE RETEST "&amp;TEXT(_xlfn.MINIFS(nrES_Date,nrES_PID,$D1043,nrES_Code,$F1043,nrES_Att,2,nrES_Raw,"&gt;=0",nrES_Date,"&gt;0"),"mm/dd")&amp;" (due "&amp;TEXT($T1043,"mm/dd")&amp;")","Retested"))),IF(NOT(ISNUMBER($T1043)),"CHECK DATE",IF(TODAY()&gt;$T1043,"OVERDUE","Due "&amp;TEXT($T1043,"mm/dd")))))))</f>
        <v/>
      </c>
      <c r="V1043" s="16" t="n"/>
      <c r="W1043" s="16" t="n"/>
      <c r="X1043" s="17">
        <f>IF($C1043="","",IF(AND($L1043&lt;&gt;"",NOT(ISNUMBER($L1043))),"RAW SCORE NOT A NUMBER",IF(AND(ISNUMBER($L1043),OR($L1043&lt;0,$L1043&gt;100)),"RAW SCORE OUT OF RANGE",IF(AND($Y1043="Unexcused",OR($L1043="",NOT(ISNUMBER($L1043)),$L1043&lt;&gt;0)),"UNEXCUSED ABSENCE MUST RECORD 0",IF(COUNTIF(nrES_RecID,$B1043)&gt;1,"DUPLICATE RECORD",IF(N($K1043)&gt;2,"ATTEMPT 3+ NOT ALLOWED - policy 300.5 permits one retest per exam; this row records nothing",IF(AND($K1043=2,COUNTIFS(nrES_PID,$D1043,nrES_Code,$F1043,nrES_Att,1)=0),"ATTEMPT 2 WITHOUT ATTEMPT 1",IF(AND($K1043=2,$L1043=""),"RETEST ROW HAS NO SCORE",IF(AND($H1043="Final",$L1043&lt;&gt;"",IFERROR(INDEX(nrCKfinalExamElig,MATCH($D1043,rngCadetPIDs,0)),"")="No"),"FINAL EXAM AFTER FAILED FINAL PT (500.1.H)",IF(AND($K1043=2,ISNUMBER($L1043),COUNTIFS(nrES_PID,$D1043,nrES_Code,$F1043,nrES_Att,1)&gt;0,SUMIFS(nrES_Raw,nrES_PID,$D1043,nrES_Code,$F1043,nrES_Att,1)&gt;=$J1043),"RETEST AFTER A PASSING FIRST ATTEMPT","OK"))))))))))</f>
        <v/>
      </c>
      <c r="Y1043" s="16" t="n"/>
    </row>
    <row r="1044">
      <c r="B1044" s="17">
        <f>IF($C1044="","",$D1044&amp;"-"&amp;$F1044&amp;"-"&amp;$K1044)</f>
        <v/>
      </c>
      <c r="C1044" s="16" t="n"/>
      <c r="D1044" s="17">
        <f>IF($C1044="","",IFERROR(INDEX(rngCadetPIDs,MATCH($C1044,rngCadetNames,0)),"?"))</f>
        <v/>
      </c>
      <c r="E1044" s="17">
        <f>IF($D1044="","",IFERROR(INDEX(nrCadetAgency,MATCH($D1044,rngCadetPIDs,0)),""))</f>
        <v/>
      </c>
      <c r="F1044" s="16" t="n"/>
      <c r="G1044" s="17">
        <f>IF($F1044="","",IFERROR(INDEX(rngEPname,MATCH($F1044,rngEPcode,0)),"?"))</f>
        <v/>
      </c>
      <c r="H1044" s="17">
        <f>IF($F1044="","",IFERROR(INDEX(rngEPtype,MATCH($F1044,rngEPcode,0)),"?"))</f>
        <v/>
      </c>
      <c r="I1044" s="17">
        <f>IF($F1044="","",IFERROR(INDEX(rngEPseq,MATCH($F1044,rngEPcode,0)),""))</f>
        <v/>
      </c>
      <c r="J1044" s="17">
        <f>IF($F1044="","",IFERROR(INDEX(rngEPpass,MATCH($F1044,rngEPcode,0)),cfgPassingScore))</f>
        <v/>
      </c>
      <c r="K1044" s="16" t="n"/>
      <c r="L1044" s="16" t="n"/>
      <c r="M1044" s="17">
        <f>IF($C1044="","",IF($L1044="","",IF(NOT(ISNUMBER($L1044)),$L1044,IF(N($K1044)&gt;2,"",IF($K1044=1,IF(COUNTIFS(nrES_PID,$D1044,nrES_Code,$F1044,nrES_Att,2,nrES_Raw,"&gt;=0")&gt;0,"",$L1044),IF($L1044&gt;=$J1044,MAX($J1044,cfgRetakeRecordedCap),IF(COUNTIFS(nrES_PID,$D1044,nrES_Code,$F1044,nrES_Att,1)=0,$L1044,SUMIFS(nrES_Raw,nrES_PID,$D1044,nrES_Code,$F1044,nrES_Att,1))))))))</f>
        <v/>
      </c>
      <c r="N1044" s="17">
        <f>IF($C1044="","",IF($L1044="","",IF(NOT(ISNUMBER($L1044)),"(not a score)",IF($L1044&gt;=$J1044,"Yes","No"))))</f>
        <v/>
      </c>
      <c r="O1044" s="17">
        <f>IF($C1044="","",IF($M1044="","",IF(NOT(ISNUMBER($M1044)),"(not a score)",IF($M1044&gt;=$J1044,"Yes","No"))))</f>
        <v/>
      </c>
      <c r="P1044" s="17">
        <f>IF($C1044="","",IF($K1044="","",IF(N($K1044)&gt;2,"No",IF(COUNTIFS(nrES_PID,$D1044,nrES_Code,$F1044,nrES_Att,"&gt;"&amp;$K1044,nrES_Att,"&lt;=2",nrES_Raw,"&gt;=0")=0,"Yes","No"))))</f>
        <v/>
      </c>
      <c r="Q1044" s="17">
        <f>IF($C1044="","",IF($L1044="","",IF(AND($K1044=1,ISNUMBER($L1044),$L1044&lt;$J1044,COUNTIFS(nrES_PID,$D1044,nrES_Code,$F1044,nrES_Att,2,nrES_Raw,"&gt;=0")=0),"Yes","No")))</f>
        <v/>
      </c>
      <c r="R1044" s="17">
        <f>IF($C1044="","",IF($L1044="","",IF(AND(N($K1044)&gt;=2,ISNUMBER($L1044),$L1044&lt;$J1044),"Yes","No")))</f>
        <v/>
      </c>
      <c r="S1044" s="18" t="n"/>
      <c r="T1044" s="19">
        <f>IF(OR($C1044="",$L1044="",$K1044&lt;&gt;1,NOT(ISNUMBER($L1044)),$L1044&gt;=$J1044),"",IF($S1044="","(enter date)",_xlfn.LET(_xlpm.dn,_xlfn.XLOOKUP($S1044,nrCDdate,nrCDnum,"",1),IF(_xlpm.dn="","(after last class day)",_xlfn.LET(_xlpm.dd,_xlfn.XLOOKUP(_xlpm.dn+cfgRetestClassDays,nrCDnum,nrCDdate,""),_xlpm.ok,_xlfn.XLOOKUP(_xlpm.dn+cfgRetestClassDays,nrCDnum,nrCDinsession,"No"),IF(OR(_xlpm.dd="",_xlpm.ok&lt;&gt;"Yes"),"(after last class day)",_xlpm.dd))))))</f>
        <v/>
      </c>
      <c r="U1044" s="17">
        <f>IF($C1044="","",IF(AND($Y1044="Excused",$L1044="",N($K1044)&lt;=1),"EXCUSED - 1st attempt pending",IF(OR($L1044="",$K1044&lt;&gt;1,NOT(ISNUMBER($L1044)),$L1044&gt;=$J1044),"",IF(COUNTIFS(nrES_PID,$D1044,nrES_Code,$F1044,nrES_Att,2,nrES_Raw,"&gt;=0")&gt;0,IF(IFERROR(_xlfn.MINIFS(nrES_Date,nrES_PID,$D1044,nrES_Code,$F1044,nrES_Att,2,nrES_Raw,"&gt;=0",nrES_Date,"&gt;0"),0)=0,"RETEST UNDATED",IF(NOT(ISNUMBER($T1044)),"RETEST DATE UNCHECKED",IF(_xlfn.MINIFS(nrES_Date,nrES_PID,$D1044,nrES_Code,$F1044,nrES_Att,2,nrES_Raw,"&gt;=0",nrES_Date,"&gt;0")&gt;$T1044,"LATE RETEST "&amp;TEXT(_xlfn.MINIFS(nrES_Date,nrES_PID,$D1044,nrES_Code,$F1044,nrES_Att,2,nrES_Raw,"&gt;=0",nrES_Date,"&gt;0"),"mm/dd")&amp;" (due "&amp;TEXT($T1044,"mm/dd")&amp;")","Retested"))),IF(NOT(ISNUMBER($T1044)),"CHECK DATE",IF(TODAY()&gt;$T1044,"OVERDUE","Due "&amp;TEXT($T1044,"mm/dd")))))))</f>
        <v/>
      </c>
      <c r="V1044" s="16" t="n"/>
      <c r="W1044" s="16" t="n"/>
      <c r="X1044" s="17">
        <f>IF($C1044="","",IF(AND($L1044&lt;&gt;"",NOT(ISNUMBER($L1044))),"RAW SCORE NOT A NUMBER",IF(AND(ISNUMBER($L1044),OR($L1044&lt;0,$L1044&gt;100)),"RAW SCORE OUT OF RANGE",IF(AND($Y1044="Unexcused",OR($L1044="",NOT(ISNUMBER($L1044)),$L1044&lt;&gt;0)),"UNEXCUSED ABSENCE MUST RECORD 0",IF(COUNTIF(nrES_RecID,$B1044)&gt;1,"DUPLICATE RECORD",IF(N($K1044)&gt;2,"ATTEMPT 3+ NOT ALLOWED - policy 300.5 permits one retest per exam; this row records nothing",IF(AND($K1044=2,COUNTIFS(nrES_PID,$D1044,nrES_Code,$F1044,nrES_Att,1)=0),"ATTEMPT 2 WITHOUT ATTEMPT 1",IF(AND($K1044=2,$L1044=""),"RETEST ROW HAS NO SCORE",IF(AND($H1044="Final",$L1044&lt;&gt;"",IFERROR(INDEX(nrCKfinalExamElig,MATCH($D1044,rngCadetPIDs,0)),"")="No"),"FINAL EXAM AFTER FAILED FINAL PT (500.1.H)",IF(AND($K1044=2,ISNUMBER($L1044),COUNTIFS(nrES_PID,$D1044,nrES_Code,$F1044,nrES_Att,1)&gt;0,SUMIFS(nrES_Raw,nrES_PID,$D1044,nrES_Code,$F1044,nrES_Att,1)&gt;=$J1044),"RETEST AFTER A PASSING FIRST ATTEMPT","OK"))))))))))</f>
        <v/>
      </c>
      <c r="Y1044" s="16" t="n"/>
    </row>
    <row r="1045">
      <c r="B1045" s="17">
        <f>IF($C1045="","",$D1045&amp;"-"&amp;$F1045&amp;"-"&amp;$K1045)</f>
        <v/>
      </c>
      <c r="C1045" s="16" t="n"/>
      <c r="D1045" s="17">
        <f>IF($C1045="","",IFERROR(INDEX(rngCadetPIDs,MATCH($C1045,rngCadetNames,0)),"?"))</f>
        <v/>
      </c>
      <c r="E1045" s="17">
        <f>IF($D1045="","",IFERROR(INDEX(nrCadetAgency,MATCH($D1045,rngCadetPIDs,0)),""))</f>
        <v/>
      </c>
      <c r="F1045" s="16" t="n"/>
      <c r="G1045" s="17">
        <f>IF($F1045="","",IFERROR(INDEX(rngEPname,MATCH($F1045,rngEPcode,0)),"?"))</f>
        <v/>
      </c>
      <c r="H1045" s="17">
        <f>IF($F1045="","",IFERROR(INDEX(rngEPtype,MATCH($F1045,rngEPcode,0)),"?"))</f>
        <v/>
      </c>
      <c r="I1045" s="17">
        <f>IF($F1045="","",IFERROR(INDEX(rngEPseq,MATCH($F1045,rngEPcode,0)),""))</f>
        <v/>
      </c>
      <c r="J1045" s="17">
        <f>IF($F1045="","",IFERROR(INDEX(rngEPpass,MATCH($F1045,rngEPcode,0)),cfgPassingScore))</f>
        <v/>
      </c>
      <c r="K1045" s="16" t="n"/>
      <c r="L1045" s="16" t="n"/>
      <c r="M1045" s="17">
        <f>IF($C1045="","",IF($L1045="","",IF(NOT(ISNUMBER($L1045)),$L1045,IF(N($K1045)&gt;2,"",IF($K1045=1,IF(COUNTIFS(nrES_PID,$D1045,nrES_Code,$F1045,nrES_Att,2,nrES_Raw,"&gt;=0")&gt;0,"",$L1045),IF($L1045&gt;=$J1045,MAX($J1045,cfgRetakeRecordedCap),IF(COUNTIFS(nrES_PID,$D1045,nrES_Code,$F1045,nrES_Att,1)=0,$L1045,SUMIFS(nrES_Raw,nrES_PID,$D1045,nrES_Code,$F1045,nrES_Att,1))))))))</f>
        <v/>
      </c>
      <c r="N1045" s="17">
        <f>IF($C1045="","",IF($L1045="","",IF(NOT(ISNUMBER($L1045)),"(not a score)",IF($L1045&gt;=$J1045,"Yes","No"))))</f>
        <v/>
      </c>
      <c r="O1045" s="17">
        <f>IF($C1045="","",IF($M1045="","",IF(NOT(ISNUMBER($M1045)),"(not a score)",IF($M1045&gt;=$J1045,"Yes","No"))))</f>
        <v/>
      </c>
      <c r="P1045" s="17">
        <f>IF($C1045="","",IF($K1045="","",IF(N($K1045)&gt;2,"No",IF(COUNTIFS(nrES_PID,$D1045,nrES_Code,$F1045,nrES_Att,"&gt;"&amp;$K1045,nrES_Att,"&lt;=2",nrES_Raw,"&gt;=0")=0,"Yes","No"))))</f>
        <v/>
      </c>
      <c r="Q1045" s="17">
        <f>IF($C1045="","",IF($L1045="","",IF(AND($K1045=1,ISNUMBER($L1045),$L1045&lt;$J1045,COUNTIFS(nrES_PID,$D1045,nrES_Code,$F1045,nrES_Att,2,nrES_Raw,"&gt;=0")=0),"Yes","No")))</f>
        <v/>
      </c>
      <c r="R1045" s="17">
        <f>IF($C1045="","",IF($L1045="","",IF(AND(N($K1045)&gt;=2,ISNUMBER($L1045),$L1045&lt;$J1045),"Yes","No")))</f>
        <v/>
      </c>
      <c r="S1045" s="18" t="n"/>
      <c r="T1045" s="19">
        <f>IF(OR($C1045="",$L1045="",$K1045&lt;&gt;1,NOT(ISNUMBER($L1045)),$L1045&gt;=$J1045),"",IF($S1045="","(enter date)",_xlfn.LET(_xlpm.dn,_xlfn.XLOOKUP($S1045,nrCDdate,nrCDnum,"",1),IF(_xlpm.dn="","(after last class day)",_xlfn.LET(_xlpm.dd,_xlfn.XLOOKUP(_xlpm.dn+cfgRetestClassDays,nrCDnum,nrCDdate,""),_xlpm.ok,_xlfn.XLOOKUP(_xlpm.dn+cfgRetestClassDays,nrCDnum,nrCDinsession,"No"),IF(OR(_xlpm.dd="",_xlpm.ok&lt;&gt;"Yes"),"(after last class day)",_xlpm.dd))))))</f>
        <v/>
      </c>
      <c r="U1045" s="17">
        <f>IF($C1045="","",IF(AND($Y1045="Excused",$L1045="",N($K1045)&lt;=1),"EXCUSED - 1st attempt pending",IF(OR($L1045="",$K1045&lt;&gt;1,NOT(ISNUMBER($L1045)),$L1045&gt;=$J1045),"",IF(COUNTIFS(nrES_PID,$D1045,nrES_Code,$F1045,nrES_Att,2,nrES_Raw,"&gt;=0")&gt;0,IF(IFERROR(_xlfn.MINIFS(nrES_Date,nrES_PID,$D1045,nrES_Code,$F1045,nrES_Att,2,nrES_Raw,"&gt;=0",nrES_Date,"&gt;0"),0)=0,"RETEST UNDATED",IF(NOT(ISNUMBER($T1045)),"RETEST DATE UNCHECKED",IF(_xlfn.MINIFS(nrES_Date,nrES_PID,$D1045,nrES_Code,$F1045,nrES_Att,2,nrES_Raw,"&gt;=0",nrES_Date,"&gt;0")&gt;$T1045,"LATE RETEST "&amp;TEXT(_xlfn.MINIFS(nrES_Date,nrES_PID,$D1045,nrES_Code,$F1045,nrES_Att,2,nrES_Raw,"&gt;=0",nrES_Date,"&gt;0"),"mm/dd")&amp;" (due "&amp;TEXT($T1045,"mm/dd")&amp;")","Retested"))),IF(NOT(ISNUMBER($T1045)),"CHECK DATE",IF(TODAY()&gt;$T1045,"OVERDUE","Due "&amp;TEXT($T1045,"mm/dd")))))))</f>
        <v/>
      </c>
      <c r="V1045" s="16" t="n"/>
      <c r="W1045" s="16" t="n"/>
      <c r="X1045" s="17">
        <f>IF($C1045="","",IF(AND($L1045&lt;&gt;"",NOT(ISNUMBER($L1045))),"RAW SCORE NOT A NUMBER",IF(AND(ISNUMBER($L1045),OR($L1045&lt;0,$L1045&gt;100)),"RAW SCORE OUT OF RANGE",IF(AND($Y1045="Unexcused",OR($L1045="",NOT(ISNUMBER($L1045)),$L1045&lt;&gt;0)),"UNEXCUSED ABSENCE MUST RECORD 0",IF(COUNTIF(nrES_RecID,$B1045)&gt;1,"DUPLICATE RECORD",IF(N($K1045)&gt;2,"ATTEMPT 3+ NOT ALLOWED - policy 300.5 permits one retest per exam; this row records nothing",IF(AND($K1045=2,COUNTIFS(nrES_PID,$D1045,nrES_Code,$F1045,nrES_Att,1)=0),"ATTEMPT 2 WITHOUT ATTEMPT 1",IF(AND($K1045=2,$L1045=""),"RETEST ROW HAS NO SCORE",IF(AND($H1045="Final",$L1045&lt;&gt;"",IFERROR(INDEX(nrCKfinalExamElig,MATCH($D1045,rngCadetPIDs,0)),"")="No"),"FINAL EXAM AFTER FAILED FINAL PT (500.1.H)",IF(AND($K1045=2,ISNUMBER($L1045),COUNTIFS(nrES_PID,$D1045,nrES_Code,$F1045,nrES_Att,1)&gt;0,SUMIFS(nrES_Raw,nrES_PID,$D1045,nrES_Code,$F1045,nrES_Att,1)&gt;=$J1045),"RETEST AFTER A PASSING FIRST ATTEMPT","OK"))))))))))</f>
        <v/>
      </c>
      <c r="Y1045" s="16" t="n"/>
    </row>
    <row r="1046">
      <c r="B1046" s="17">
        <f>IF($C1046="","",$D1046&amp;"-"&amp;$F1046&amp;"-"&amp;$K1046)</f>
        <v/>
      </c>
      <c r="C1046" s="16" t="n"/>
      <c r="D1046" s="17">
        <f>IF($C1046="","",IFERROR(INDEX(rngCadetPIDs,MATCH($C1046,rngCadetNames,0)),"?"))</f>
        <v/>
      </c>
      <c r="E1046" s="17">
        <f>IF($D1046="","",IFERROR(INDEX(nrCadetAgency,MATCH($D1046,rngCadetPIDs,0)),""))</f>
        <v/>
      </c>
      <c r="F1046" s="16" t="n"/>
      <c r="G1046" s="17">
        <f>IF($F1046="","",IFERROR(INDEX(rngEPname,MATCH($F1046,rngEPcode,0)),"?"))</f>
        <v/>
      </c>
      <c r="H1046" s="17">
        <f>IF($F1046="","",IFERROR(INDEX(rngEPtype,MATCH($F1046,rngEPcode,0)),"?"))</f>
        <v/>
      </c>
      <c r="I1046" s="17">
        <f>IF($F1046="","",IFERROR(INDEX(rngEPseq,MATCH($F1046,rngEPcode,0)),""))</f>
        <v/>
      </c>
      <c r="J1046" s="17">
        <f>IF($F1046="","",IFERROR(INDEX(rngEPpass,MATCH($F1046,rngEPcode,0)),cfgPassingScore))</f>
        <v/>
      </c>
      <c r="K1046" s="16" t="n"/>
      <c r="L1046" s="16" t="n"/>
      <c r="M1046" s="17">
        <f>IF($C1046="","",IF($L1046="","",IF(NOT(ISNUMBER($L1046)),$L1046,IF(N($K1046)&gt;2,"",IF($K1046=1,IF(COUNTIFS(nrES_PID,$D1046,nrES_Code,$F1046,nrES_Att,2,nrES_Raw,"&gt;=0")&gt;0,"",$L1046),IF($L1046&gt;=$J1046,MAX($J1046,cfgRetakeRecordedCap),IF(COUNTIFS(nrES_PID,$D1046,nrES_Code,$F1046,nrES_Att,1)=0,$L1046,SUMIFS(nrES_Raw,nrES_PID,$D1046,nrES_Code,$F1046,nrES_Att,1))))))))</f>
        <v/>
      </c>
      <c r="N1046" s="17">
        <f>IF($C1046="","",IF($L1046="","",IF(NOT(ISNUMBER($L1046)),"(not a score)",IF($L1046&gt;=$J1046,"Yes","No"))))</f>
        <v/>
      </c>
      <c r="O1046" s="17">
        <f>IF($C1046="","",IF($M1046="","",IF(NOT(ISNUMBER($M1046)),"(not a score)",IF($M1046&gt;=$J1046,"Yes","No"))))</f>
        <v/>
      </c>
      <c r="P1046" s="17">
        <f>IF($C1046="","",IF($K1046="","",IF(N($K1046)&gt;2,"No",IF(COUNTIFS(nrES_PID,$D1046,nrES_Code,$F1046,nrES_Att,"&gt;"&amp;$K1046,nrES_Att,"&lt;=2",nrES_Raw,"&gt;=0")=0,"Yes","No"))))</f>
        <v/>
      </c>
      <c r="Q1046" s="17">
        <f>IF($C1046="","",IF($L1046="","",IF(AND($K1046=1,ISNUMBER($L1046),$L1046&lt;$J1046,COUNTIFS(nrES_PID,$D1046,nrES_Code,$F1046,nrES_Att,2,nrES_Raw,"&gt;=0")=0),"Yes","No")))</f>
        <v/>
      </c>
      <c r="R1046" s="17">
        <f>IF($C1046="","",IF($L1046="","",IF(AND(N($K1046)&gt;=2,ISNUMBER($L1046),$L1046&lt;$J1046),"Yes","No")))</f>
        <v/>
      </c>
      <c r="S1046" s="18" t="n"/>
      <c r="T1046" s="19">
        <f>IF(OR($C1046="",$L1046="",$K1046&lt;&gt;1,NOT(ISNUMBER($L1046)),$L1046&gt;=$J1046),"",IF($S1046="","(enter date)",_xlfn.LET(_xlpm.dn,_xlfn.XLOOKUP($S1046,nrCDdate,nrCDnum,"",1),IF(_xlpm.dn="","(after last class day)",_xlfn.LET(_xlpm.dd,_xlfn.XLOOKUP(_xlpm.dn+cfgRetestClassDays,nrCDnum,nrCDdate,""),_xlpm.ok,_xlfn.XLOOKUP(_xlpm.dn+cfgRetestClassDays,nrCDnum,nrCDinsession,"No"),IF(OR(_xlpm.dd="",_xlpm.ok&lt;&gt;"Yes"),"(after last class day)",_xlpm.dd))))))</f>
        <v/>
      </c>
      <c r="U1046" s="17">
        <f>IF($C1046="","",IF(AND($Y1046="Excused",$L1046="",N($K1046)&lt;=1),"EXCUSED - 1st attempt pending",IF(OR($L1046="",$K1046&lt;&gt;1,NOT(ISNUMBER($L1046)),$L1046&gt;=$J1046),"",IF(COUNTIFS(nrES_PID,$D1046,nrES_Code,$F1046,nrES_Att,2,nrES_Raw,"&gt;=0")&gt;0,IF(IFERROR(_xlfn.MINIFS(nrES_Date,nrES_PID,$D1046,nrES_Code,$F1046,nrES_Att,2,nrES_Raw,"&gt;=0",nrES_Date,"&gt;0"),0)=0,"RETEST UNDATED",IF(NOT(ISNUMBER($T1046)),"RETEST DATE UNCHECKED",IF(_xlfn.MINIFS(nrES_Date,nrES_PID,$D1046,nrES_Code,$F1046,nrES_Att,2,nrES_Raw,"&gt;=0",nrES_Date,"&gt;0")&gt;$T1046,"LATE RETEST "&amp;TEXT(_xlfn.MINIFS(nrES_Date,nrES_PID,$D1046,nrES_Code,$F1046,nrES_Att,2,nrES_Raw,"&gt;=0",nrES_Date,"&gt;0"),"mm/dd")&amp;" (due "&amp;TEXT($T1046,"mm/dd")&amp;")","Retested"))),IF(NOT(ISNUMBER($T1046)),"CHECK DATE",IF(TODAY()&gt;$T1046,"OVERDUE","Due "&amp;TEXT($T1046,"mm/dd")))))))</f>
        <v/>
      </c>
      <c r="V1046" s="16" t="n"/>
      <c r="W1046" s="16" t="n"/>
      <c r="X1046" s="17">
        <f>IF($C1046="","",IF(AND($L1046&lt;&gt;"",NOT(ISNUMBER($L1046))),"RAW SCORE NOT A NUMBER",IF(AND(ISNUMBER($L1046),OR($L1046&lt;0,$L1046&gt;100)),"RAW SCORE OUT OF RANGE",IF(AND($Y1046="Unexcused",OR($L1046="",NOT(ISNUMBER($L1046)),$L1046&lt;&gt;0)),"UNEXCUSED ABSENCE MUST RECORD 0",IF(COUNTIF(nrES_RecID,$B1046)&gt;1,"DUPLICATE RECORD",IF(N($K1046)&gt;2,"ATTEMPT 3+ NOT ALLOWED - policy 300.5 permits one retest per exam; this row records nothing",IF(AND($K1046=2,COUNTIFS(nrES_PID,$D1046,nrES_Code,$F1046,nrES_Att,1)=0),"ATTEMPT 2 WITHOUT ATTEMPT 1",IF(AND($K1046=2,$L1046=""),"RETEST ROW HAS NO SCORE",IF(AND($H1046="Final",$L1046&lt;&gt;"",IFERROR(INDEX(nrCKfinalExamElig,MATCH($D1046,rngCadetPIDs,0)),"")="No"),"FINAL EXAM AFTER FAILED FINAL PT (500.1.H)",IF(AND($K1046=2,ISNUMBER($L1046),COUNTIFS(nrES_PID,$D1046,nrES_Code,$F1046,nrES_Att,1)&gt;0,SUMIFS(nrES_Raw,nrES_PID,$D1046,nrES_Code,$F1046,nrES_Att,1)&gt;=$J1046),"RETEST AFTER A PASSING FIRST ATTEMPT","OK"))))))))))</f>
        <v/>
      </c>
      <c r="Y1046" s="16" t="n"/>
    </row>
    <row r="1047">
      <c r="B1047" s="17">
        <f>IF($C1047="","",$D1047&amp;"-"&amp;$F1047&amp;"-"&amp;$K1047)</f>
        <v/>
      </c>
      <c r="C1047" s="16" t="n"/>
      <c r="D1047" s="17">
        <f>IF($C1047="","",IFERROR(INDEX(rngCadetPIDs,MATCH($C1047,rngCadetNames,0)),"?"))</f>
        <v/>
      </c>
      <c r="E1047" s="17">
        <f>IF($D1047="","",IFERROR(INDEX(nrCadetAgency,MATCH($D1047,rngCadetPIDs,0)),""))</f>
        <v/>
      </c>
      <c r="F1047" s="16" t="n"/>
      <c r="G1047" s="17">
        <f>IF($F1047="","",IFERROR(INDEX(rngEPname,MATCH($F1047,rngEPcode,0)),"?"))</f>
        <v/>
      </c>
      <c r="H1047" s="17">
        <f>IF($F1047="","",IFERROR(INDEX(rngEPtype,MATCH($F1047,rngEPcode,0)),"?"))</f>
        <v/>
      </c>
      <c r="I1047" s="17">
        <f>IF($F1047="","",IFERROR(INDEX(rngEPseq,MATCH($F1047,rngEPcode,0)),""))</f>
        <v/>
      </c>
      <c r="J1047" s="17">
        <f>IF($F1047="","",IFERROR(INDEX(rngEPpass,MATCH($F1047,rngEPcode,0)),cfgPassingScore))</f>
        <v/>
      </c>
      <c r="K1047" s="16" t="n"/>
      <c r="L1047" s="16" t="n"/>
      <c r="M1047" s="17">
        <f>IF($C1047="","",IF($L1047="","",IF(NOT(ISNUMBER($L1047)),$L1047,IF(N($K1047)&gt;2,"",IF($K1047=1,IF(COUNTIFS(nrES_PID,$D1047,nrES_Code,$F1047,nrES_Att,2,nrES_Raw,"&gt;=0")&gt;0,"",$L1047),IF($L1047&gt;=$J1047,MAX($J1047,cfgRetakeRecordedCap),IF(COUNTIFS(nrES_PID,$D1047,nrES_Code,$F1047,nrES_Att,1)=0,$L1047,SUMIFS(nrES_Raw,nrES_PID,$D1047,nrES_Code,$F1047,nrES_Att,1))))))))</f>
        <v/>
      </c>
      <c r="N1047" s="17">
        <f>IF($C1047="","",IF($L1047="","",IF(NOT(ISNUMBER($L1047)),"(not a score)",IF($L1047&gt;=$J1047,"Yes","No"))))</f>
        <v/>
      </c>
      <c r="O1047" s="17">
        <f>IF($C1047="","",IF($M1047="","",IF(NOT(ISNUMBER($M1047)),"(not a score)",IF($M1047&gt;=$J1047,"Yes","No"))))</f>
        <v/>
      </c>
      <c r="P1047" s="17">
        <f>IF($C1047="","",IF($K1047="","",IF(N($K1047)&gt;2,"No",IF(COUNTIFS(nrES_PID,$D1047,nrES_Code,$F1047,nrES_Att,"&gt;"&amp;$K1047,nrES_Att,"&lt;=2",nrES_Raw,"&gt;=0")=0,"Yes","No"))))</f>
        <v/>
      </c>
      <c r="Q1047" s="17">
        <f>IF($C1047="","",IF($L1047="","",IF(AND($K1047=1,ISNUMBER($L1047),$L1047&lt;$J1047,COUNTIFS(nrES_PID,$D1047,nrES_Code,$F1047,nrES_Att,2,nrES_Raw,"&gt;=0")=0),"Yes","No")))</f>
        <v/>
      </c>
      <c r="R1047" s="17">
        <f>IF($C1047="","",IF($L1047="","",IF(AND(N($K1047)&gt;=2,ISNUMBER($L1047),$L1047&lt;$J1047),"Yes","No")))</f>
        <v/>
      </c>
      <c r="S1047" s="18" t="n"/>
      <c r="T1047" s="19">
        <f>IF(OR($C1047="",$L1047="",$K1047&lt;&gt;1,NOT(ISNUMBER($L1047)),$L1047&gt;=$J1047),"",IF($S1047="","(enter date)",_xlfn.LET(_xlpm.dn,_xlfn.XLOOKUP($S1047,nrCDdate,nrCDnum,"",1),IF(_xlpm.dn="","(after last class day)",_xlfn.LET(_xlpm.dd,_xlfn.XLOOKUP(_xlpm.dn+cfgRetestClassDays,nrCDnum,nrCDdate,""),_xlpm.ok,_xlfn.XLOOKUP(_xlpm.dn+cfgRetestClassDays,nrCDnum,nrCDinsession,"No"),IF(OR(_xlpm.dd="",_xlpm.ok&lt;&gt;"Yes"),"(after last class day)",_xlpm.dd))))))</f>
        <v/>
      </c>
      <c r="U1047" s="17">
        <f>IF($C1047="","",IF(AND($Y1047="Excused",$L1047="",N($K1047)&lt;=1),"EXCUSED - 1st attempt pending",IF(OR($L1047="",$K1047&lt;&gt;1,NOT(ISNUMBER($L1047)),$L1047&gt;=$J1047),"",IF(COUNTIFS(nrES_PID,$D1047,nrES_Code,$F1047,nrES_Att,2,nrES_Raw,"&gt;=0")&gt;0,IF(IFERROR(_xlfn.MINIFS(nrES_Date,nrES_PID,$D1047,nrES_Code,$F1047,nrES_Att,2,nrES_Raw,"&gt;=0",nrES_Date,"&gt;0"),0)=0,"RETEST UNDATED",IF(NOT(ISNUMBER($T1047)),"RETEST DATE UNCHECKED",IF(_xlfn.MINIFS(nrES_Date,nrES_PID,$D1047,nrES_Code,$F1047,nrES_Att,2,nrES_Raw,"&gt;=0",nrES_Date,"&gt;0")&gt;$T1047,"LATE RETEST "&amp;TEXT(_xlfn.MINIFS(nrES_Date,nrES_PID,$D1047,nrES_Code,$F1047,nrES_Att,2,nrES_Raw,"&gt;=0",nrES_Date,"&gt;0"),"mm/dd")&amp;" (due "&amp;TEXT($T1047,"mm/dd")&amp;")","Retested"))),IF(NOT(ISNUMBER($T1047)),"CHECK DATE",IF(TODAY()&gt;$T1047,"OVERDUE","Due "&amp;TEXT($T1047,"mm/dd")))))))</f>
        <v/>
      </c>
      <c r="V1047" s="16" t="n"/>
      <c r="W1047" s="16" t="n"/>
      <c r="X1047" s="17">
        <f>IF($C1047="","",IF(AND($L1047&lt;&gt;"",NOT(ISNUMBER($L1047))),"RAW SCORE NOT A NUMBER",IF(AND(ISNUMBER($L1047),OR($L1047&lt;0,$L1047&gt;100)),"RAW SCORE OUT OF RANGE",IF(AND($Y1047="Unexcused",OR($L1047="",NOT(ISNUMBER($L1047)),$L1047&lt;&gt;0)),"UNEXCUSED ABSENCE MUST RECORD 0",IF(COUNTIF(nrES_RecID,$B1047)&gt;1,"DUPLICATE RECORD",IF(N($K1047)&gt;2,"ATTEMPT 3+ NOT ALLOWED - policy 300.5 permits one retest per exam; this row records nothing",IF(AND($K1047=2,COUNTIFS(nrES_PID,$D1047,nrES_Code,$F1047,nrES_Att,1)=0),"ATTEMPT 2 WITHOUT ATTEMPT 1",IF(AND($K1047=2,$L1047=""),"RETEST ROW HAS NO SCORE",IF(AND($H1047="Final",$L1047&lt;&gt;"",IFERROR(INDEX(nrCKfinalExamElig,MATCH($D1047,rngCadetPIDs,0)),"")="No"),"FINAL EXAM AFTER FAILED FINAL PT (500.1.H)",IF(AND($K1047=2,ISNUMBER($L1047),COUNTIFS(nrES_PID,$D1047,nrES_Code,$F1047,nrES_Att,1)&gt;0,SUMIFS(nrES_Raw,nrES_PID,$D1047,nrES_Code,$F1047,nrES_Att,1)&gt;=$J1047),"RETEST AFTER A PASSING FIRST ATTEMPT","OK"))))))))))</f>
        <v/>
      </c>
      <c r="Y1047" s="16" t="n"/>
    </row>
    <row r="1048">
      <c r="B1048" s="17">
        <f>IF($C1048="","",$D1048&amp;"-"&amp;$F1048&amp;"-"&amp;$K1048)</f>
        <v/>
      </c>
      <c r="C1048" s="16" t="n"/>
      <c r="D1048" s="17">
        <f>IF($C1048="","",IFERROR(INDEX(rngCadetPIDs,MATCH($C1048,rngCadetNames,0)),"?"))</f>
        <v/>
      </c>
      <c r="E1048" s="17">
        <f>IF($D1048="","",IFERROR(INDEX(nrCadetAgency,MATCH($D1048,rngCadetPIDs,0)),""))</f>
        <v/>
      </c>
      <c r="F1048" s="16" t="n"/>
      <c r="G1048" s="17">
        <f>IF($F1048="","",IFERROR(INDEX(rngEPname,MATCH($F1048,rngEPcode,0)),"?"))</f>
        <v/>
      </c>
      <c r="H1048" s="17">
        <f>IF($F1048="","",IFERROR(INDEX(rngEPtype,MATCH($F1048,rngEPcode,0)),"?"))</f>
        <v/>
      </c>
      <c r="I1048" s="17">
        <f>IF($F1048="","",IFERROR(INDEX(rngEPseq,MATCH($F1048,rngEPcode,0)),""))</f>
        <v/>
      </c>
      <c r="J1048" s="17">
        <f>IF($F1048="","",IFERROR(INDEX(rngEPpass,MATCH($F1048,rngEPcode,0)),cfgPassingScore))</f>
        <v/>
      </c>
      <c r="K1048" s="16" t="n"/>
      <c r="L1048" s="16" t="n"/>
      <c r="M1048" s="17">
        <f>IF($C1048="","",IF($L1048="","",IF(NOT(ISNUMBER($L1048)),$L1048,IF(N($K1048)&gt;2,"",IF($K1048=1,IF(COUNTIFS(nrES_PID,$D1048,nrES_Code,$F1048,nrES_Att,2,nrES_Raw,"&gt;=0")&gt;0,"",$L1048),IF($L1048&gt;=$J1048,MAX($J1048,cfgRetakeRecordedCap),IF(COUNTIFS(nrES_PID,$D1048,nrES_Code,$F1048,nrES_Att,1)=0,$L1048,SUMIFS(nrES_Raw,nrES_PID,$D1048,nrES_Code,$F1048,nrES_Att,1))))))))</f>
        <v/>
      </c>
      <c r="N1048" s="17">
        <f>IF($C1048="","",IF($L1048="","",IF(NOT(ISNUMBER($L1048)),"(not a score)",IF($L1048&gt;=$J1048,"Yes","No"))))</f>
        <v/>
      </c>
      <c r="O1048" s="17">
        <f>IF($C1048="","",IF($M1048="","",IF(NOT(ISNUMBER($M1048)),"(not a score)",IF($M1048&gt;=$J1048,"Yes","No"))))</f>
        <v/>
      </c>
      <c r="P1048" s="17">
        <f>IF($C1048="","",IF($K1048="","",IF(N($K1048)&gt;2,"No",IF(COUNTIFS(nrES_PID,$D1048,nrES_Code,$F1048,nrES_Att,"&gt;"&amp;$K1048,nrES_Att,"&lt;=2",nrES_Raw,"&gt;=0")=0,"Yes","No"))))</f>
        <v/>
      </c>
      <c r="Q1048" s="17">
        <f>IF($C1048="","",IF($L1048="","",IF(AND($K1048=1,ISNUMBER($L1048),$L1048&lt;$J1048,COUNTIFS(nrES_PID,$D1048,nrES_Code,$F1048,nrES_Att,2,nrES_Raw,"&gt;=0")=0),"Yes","No")))</f>
        <v/>
      </c>
      <c r="R1048" s="17">
        <f>IF($C1048="","",IF($L1048="","",IF(AND(N($K1048)&gt;=2,ISNUMBER($L1048),$L1048&lt;$J1048),"Yes","No")))</f>
        <v/>
      </c>
      <c r="S1048" s="18" t="n"/>
      <c r="T1048" s="19">
        <f>IF(OR($C1048="",$L1048="",$K1048&lt;&gt;1,NOT(ISNUMBER($L1048)),$L1048&gt;=$J1048),"",IF($S1048="","(enter date)",_xlfn.LET(_xlpm.dn,_xlfn.XLOOKUP($S1048,nrCDdate,nrCDnum,"",1),IF(_xlpm.dn="","(after last class day)",_xlfn.LET(_xlpm.dd,_xlfn.XLOOKUP(_xlpm.dn+cfgRetestClassDays,nrCDnum,nrCDdate,""),_xlpm.ok,_xlfn.XLOOKUP(_xlpm.dn+cfgRetestClassDays,nrCDnum,nrCDinsession,"No"),IF(OR(_xlpm.dd="",_xlpm.ok&lt;&gt;"Yes"),"(after last class day)",_xlpm.dd))))))</f>
        <v/>
      </c>
      <c r="U1048" s="17">
        <f>IF($C1048="","",IF(AND($Y1048="Excused",$L1048="",N($K1048)&lt;=1),"EXCUSED - 1st attempt pending",IF(OR($L1048="",$K1048&lt;&gt;1,NOT(ISNUMBER($L1048)),$L1048&gt;=$J1048),"",IF(COUNTIFS(nrES_PID,$D1048,nrES_Code,$F1048,nrES_Att,2,nrES_Raw,"&gt;=0")&gt;0,IF(IFERROR(_xlfn.MINIFS(nrES_Date,nrES_PID,$D1048,nrES_Code,$F1048,nrES_Att,2,nrES_Raw,"&gt;=0",nrES_Date,"&gt;0"),0)=0,"RETEST UNDATED",IF(NOT(ISNUMBER($T1048)),"RETEST DATE UNCHECKED",IF(_xlfn.MINIFS(nrES_Date,nrES_PID,$D1048,nrES_Code,$F1048,nrES_Att,2,nrES_Raw,"&gt;=0",nrES_Date,"&gt;0")&gt;$T1048,"LATE RETEST "&amp;TEXT(_xlfn.MINIFS(nrES_Date,nrES_PID,$D1048,nrES_Code,$F1048,nrES_Att,2,nrES_Raw,"&gt;=0",nrES_Date,"&gt;0"),"mm/dd")&amp;" (due "&amp;TEXT($T1048,"mm/dd")&amp;")","Retested"))),IF(NOT(ISNUMBER($T1048)),"CHECK DATE",IF(TODAY()&gt;$T1048,"OVERDUE","Due "&amp;TEXT($T1048,"mm/dd")))))))</f>
        <v/>
      </c>
      <c r="V1048" s="16" t="n"/>
      <c r="W1048" s="16" t="n"/>
      <c r="X1048" s="17">
        <f>IF($C1048="","",IF(AND($L1048&lt;&gt;"",NOT(ISNUMBER($L1048))),"RAW SCORE NOT A NUMBER",IF(AND(ISNUMBER($L1048),OR($L1048&lt;0,$L1048&gt;100)),"RAW SCORE OUT OF RANGE",IF(AND($Y1048="Unexcused",OR($L1048="",NOT(ISNUMBER($L1048)),$L1048&lt;&gt;0)),"UNEXCUSED ABSENCE MUST RECORD 0",IF(COUNTIF(nrES_RecID,$B1048)&gt;1,"DUPLICATE RECORD",IF(N($K1048)&gt;2,"ATTEMPT 3+ NOT ALLOWED - policy 300.5 permits one retest per exam; this row records nothing",IF(AND($K1048=2,COUNTIFS(nrES_PID,$D1048,nrES_Code,$F1048,nrES_Att,1)=0),"ATTEMPT 2 WITHOUT ATTEMPT 1",IF(AND($K1048=2,$L1048=""),"RETEST ROW HAS NO SCORE",IF(AND($H1048="Final",$L1048&lt;&gt;"",IFERROR(INDEX(nrCKfinalExamElig,MATCH($D1048,rngCadetPIDs,0)),"")="No"),"FINAL EXAM AFTER FAILED FINAL PT (500.1.H)",IF(AND($K1048=2,ISNUMBER($L1048),COUNTIFS(nrES_PID,$D1048,nrES_Code,$F1048,nrES_Att,1)&gt;0,SUMIFS(nrES_Raw,nrES_PID,$D1048,nrES_Code,$F1048,nrES_Att,1)&gt;=$J1048),"RETEST AFTER A PASSING FIRST ATTEMPT","OK"))))))))))</f>
        <v/>
      </c>
      <c r="Y1048" s="16" t="n"/>
    </row>
    <row r="1049">
      <c r="B1049" s="17">
        <f>IF($C1049="","",$D1049&amp;"-"&amp;$F1049&amp;"-"&amp;$K1049)</f>
        <v/>
      </c>
      <c r="C1049" s="16" t="n"/>
      <c r="D1049" s="17">
        <f>IF($C1049="","",IFERROR(INDEX(rngCadetPIDs,MATCH($C1049,rngCadetNames,0)),"?"))</f>
        <v/>
      </c>
      <c r="E1049" s="17">
        <f>IF($D1049="","",IFERROR(INDEX(nrCadetAgency,MATCH($D1049,rngCadetPIDs,0)),""))</f>
        <v/>
      </c>
      <c r="F1049" s="16" t="n"/>
      <c r="G1049" s="17">
        <f>IF($F1049="","",IFERROR(INDEX(rngEPname,MATCH($F1049,rngEPcode,0)),"?"))</f>
        <v/>
      </c>
      <c r="H1049" s="17">
        <f>IF($F1049="","",IFERROR(INDEX(rngEPtype,MATCH($F1049,rngEPcode,0)),"?"))</f>
        <v/>
      </c>
      <c r="I1049" s="17">
        <f>IF($F1049="","",IFERROR(INDEX(rngEPseq,MATCH($F1049,rngEPcode,0)),""))</f>
        <v/>
      </c>
      <c r="J1049" s="17">
        <f>IF($F1049="","",IFERROR(INDEX(rngEPpass,MATCH($F1049,rngEPcode,0)),cfgPassingScore))</f>
        <v/>
      </c>
      <c r="K1049" s="16" t="n"/>
      <c r="L1049" s="16" t="n"/>
      <c r="M1049" s="17">
        <f>IF($C1049="","",IF($L1049="","",IF(NOT(ISNUMBER($L1049)),$L1049,IF(N($K1049)&gt;2,"",IF($K1049=1,IF(COUNTIFS(nrES_PID,$D1049,nrES_Code,$F1049,nrES_Att,2,nrES_Raw,"&gt;=0")&gt;0,"",$L1049),IF($L1049&gt;=$J1049,MAX($J1049,cfgRetakeRecordedCap),IF(COUNTIFS(nrES_PID,$D1049,nrES_Code,$F1049,nrES_Att,1)=0,$L1049,SUMIFS(nrES_Raw,nrES_PID,$D1049,nrES_Code,$F1049,nrES_Att,1))))))))</f>
        <v/>
      </c>
      <c r="N1049" s="17">
        <f>IF($C1049="","",IF($L1049="","",IF(NOT(ISNUMBER($L1049)),"(not a score)",IF($L1049&gt;=$J1049,"Yes","No"))))</f>
        <v/>
      </c>
      <c r="O1049" s="17">
        <f>IF($C1049="","",IF($M1049="","",IF(NOT(ISNUMBER($M1049)),"(not a score)",IF($M1049&gt;=$J1049,"Yes","No"))))</f>
        <v/>
      </c>
      <c r="P1049" s="17">
        <f>IF($C1049="","",IF($K1049="","",IF(N($K1049)&gt;2,"No",IF(COUNTIFS(nrES_PID,$D1049,nrES_Code,$F1049,nrES_Att,"&gt;"&amp;$K1049,nrES_Att,"&lt;=2",nrES_Raw,"&gt;=0")=0,"Yes","No"))))</f>
        <v/>
      </c>
      <c r="Q1049" s="17">
        <f>IF($C1049="","",IF($L1049="","",IF(AND($K1049=1,ISNUMBER($L1049),$L1049&lt;$J1049,COUNTIFS(nrES_PID,$D1049,nrES_Code,$F1049,nrES_Att,2,nrES_Raw,"&gt;=0")=0),"Yes","No")))</f>
        <v/>
      </c>
      <c r="R1049" s="17">
        <f>IF($C1049="","",IF($L1049="","",IF(AND(N($K1049)&gt;=2,ISNUMBER($L1049),$L1049&lt;$J1049),"Yes","No")))</f>
        <v/>
      </c>
      <c r="S1049" s="18" t="n"/>
      <c r="T1049" s="19">
        <f>IF(OR($C1049="",$L1049="",$K1049&lt;&gt;1,NOT(ISNUMBER($L1049)),$L1049&gt;=$J1049),"",IF($S1049="","(enter date)",_xlfn.LET(_xlpm.dn,_xlfn.XLOOKUP($S1049,nrCDdate,nrCDnum,"",1),IF(_xlpm.dn="","(after last class day)",_xlfn.LET(_xlpm.dd,_xlfn.XLOOKUP(_xlpm.dn+cfgRetestClassDays,nrCDnum,nrCDdate,""),_xlpm.ok,_xlfn.XLOOKUP(_xlpm.dn+cfgRetestClassDays,nrCDnum,nrCDinsession,"No"),IF(OR(_xlpm.dd="",_xlpm.ok&lt;&gt;"Yes"),"(after last class day)",_xlpm.dd))))))</f>
        <v/>
      </c>
      <c r="U1049" s="17">
        <f>IF($C1049="","",IF(AND($Y1049="Excused",$L1049="",N($K1049)&lt;=1),"EXCUSED - 1st attempt pending",IF(OR($L1049="",$K1049&lt;&gt;1,NOT(ISNUMBER($L1049)),$L1049&gt;=$J1049),"",IF(COUNTIFS(nrES_PID,$D1049,nrES_Code,$F1049,nrES_Att,2,nrES_Raw,"&gt;=0")&gt;0,IF(IFERROR(_xlfn.MINIFS(nrES_Date,nrES_PID,$D1049,nrES_Code,$F1049,nrES_Att,2,nrES_Raw,"&gt;=0",nrES_Date,"&gt;0"),0)=0,"RETEST UNDATED",IF(NOT(ISNUMBER($T1049)),"RETEST DATE UNCHECKED",IF(_xlfn.MINIFS(nrES_Date,nrES_PID,$D1049,nrES_Code,$F1049,nrES_Att,2,nrES_Raw,"&gt;=0",nrES_Date,"&gt;0")&gt;$T1049,"LATE RETEST "&amp;TEXT(_xlfn.MINIFS(nrES_Date,nrES_PID,$D1049,nrES_Code,$F1049,nrES_Att,2,nrES_Raw,"&gt;=0",nrES_Date,"&gt;0"),"mm/dd")&amp;" (due "&amp;TEXT($T1049,"mm/dd")&amp;")","Retested"))),IF(NOT(ISNUMBER($T1049)),"CHECK DATE",IF(TODAY()&gt;$T1049,"OVERDUE","Due "&amp;TEXT($T1049,"mm/dd")))))))</f>
        <v/>
      </c>
      <c r="V1049" s="16" t="n"/>
      <c r="W1049" s="16" t="n"/>
      <c r="X1049" s="17">
        <f>IF($C1049="","",IF(AND($L1049&lt;&gt;"",NOT(ISNUMBER($L1049))),"RAW SCORE NOT A NUMBER",IF(AND(ISNUMBER($L1049),OR($L1049&lt;0,$L1049&gt;100)),"RAW SCORE OUT OF RANGE",IF(AND($Y1049="Unexcused",OR($L1049="",NOT(ISNUMBER($L1049)),$L1049&lt;&gt;0)),"UNEXCUSED ABSENCE MUST RECORD 0",IF(COUNTIF(nrES_RecID,$B1049)&gt;1,"DUPLICATE RECORD",IF(N($K1049)&gt;2,"ATTEMPT 3+ NOT ALLOWED - policy 300.5 permits one retest per exam; this row records nothing",IF(AND($K1049=2,COUNTIFS(nrES_PID,$D1049,nrES_Code,$F1049,nrES_Att,1)=0),"ATTEMPT 2 WITHOUT ATTEMPT 1",IF(AND($K1049=2,$L1049=""),"RETEST ROW HAS NO SCORE",IF(AND($H1049="Final",$L1049&lt;&gt;"",IFERROR(INDEX(nrCKfinalExamElig,MATCH($D1049,rngCadetPIDs,0)),"")="No"),"FINAL EXAM AFTER FAILED FINAL PT (500.1.H)",IF(AND($K1049=2,ISNUMBER($L1049),COUNTIFS(nrES_PID,$D1049,nrES_Code,$F1049,nrES_Att,1)&gt;0,SUMIFS(nrES_Raw,nrES_PID,$D1049,nrES_Code,$F1049,nrES_Att,1)&gt;=$J1049),"RETEST AFTER A PASSING FIRST ATTEMPT","OK"))))))))))</f>
        <v/>
      </c>
      <c r="Y1049" s="16" t="n"/>
    </row>
    <row r="1050">
      <c r="B1050" s="17">
        <f>IF($C1050="","",$D1050&amp;"-"&amp;$F1050&amp;"-"&amp;$K1050)</f>
        <v/>
      </c>
      <c r="C1050" s="16" t="n"/>
      <c r="D1050" s="17">
        <f>IF($C1050="","",IFERROR(INDEX(rngCadetPIDs,MATCH($C1050,rngCadetNames,0)),"?"))</f>
        <v/>
      </c>
      <c r="E1050" s="17">
        <f>IF($D1050="","",IFERROR(INDEX(nrCadetAgency,MATCH($D1050,rngCadetPIDs,0)),""))</f>
        <v/>
      </c>
      <c r="F1050" s="16" t="n"/>
      <c r="G1050" s="17">
        <f>IF($F1050="","",IFERROR(INDEX(rngEPname,MATCH($F1050,rngEPcode,0)),"?"))</f>
        <v/>
      </c>
      <c r="H1050" s="17">
        <f>IF($F1050="","",IFERROR(INDEX(rngEPtype,MATCH($F1050,rngEPcode,0)),"?"))</f>
        <v/>
      </c>
      <c r="I1050" s="17">
        <f>IF($F1050="","",IFERROR(INDEX(rngEPseq,MATCH($F1050,rngEPcode,0)),""))</f>
        <v/>
      </c>
      <c r="J1050" s="17">
        <f>IF($F1050="","",IFERROR(INDEX(rngEPpass,MATCH($F1050,rngEPcode,0)),cfgPassingScore))</f>
        <v/>
      </c>
      <c r="K1050" s="16" t="n"/>
      <c r="L1050" s="16" t="n"/>
      <c r="M1050" s="17">
        <f>IF($C1050="","",IF($L1050="","",IF(NOT(ISNUMBER($L1050)),$L1050,IF(N($K1050)&gt;2,"",IF($K1050=1,IF(COUNTIFS(nrES_PID,$D1050,nrES_Code,$F1050,nrES_Att,2,nrES_Raw,"&gt;=0")&gt;0,"",$L1050),IF($L1050&gt;=$J1050,MAX($J1050,cfgRetakeRecordedCap),IF(COUNTIFS(nrES_PID,$D1050,nrES_Code,$F1050,nrES_Att,1)=0,$L1050,SUMIFS(nrES_Raw,nrES_PID,$D1050,nrES_Code,$F1050,nrES_Att,1))))))))</f>
        <v/>
      </c>
      <c r="N1050" s="17">
        <f>IF($C1050="","",IF($L1050="","",IF(NOT(ISNUMBER($L1050)),"(not a score)",IF($L1050&gt;=$J1050,"Yes","No"))))</f>
        <v/>
      </c>
      <c r="O1050" s="17">
        <f>IF($C1050="","",IF($M1050="","",IF(NOT(ISNUMBER($M1050)),"(not a score)",IF($M1050&gt;=$J1050,"Yes","No"))))</f>
        <v/>
      </c>
      <c r="P1050" s="17">
        <f>IF($C1050="","",IF($K1050="","",IF(N($K1050)&gt;2,"No",IF(COUNTIFS(nrES_PID,$D1050,nrES_Code,$F1050,nrES_Att,"&gt;"&amp;$K1050,nrES_Att,"&lt;=2",nrES_Raw,"&gt;=0")=0,"Yes","No"))))</f>
        <v/>
      </c>
      <c r="Q1050" s="17">
        <f>IF($C1050="","",IF($L1050="","",IF(AND($K1050=1,ISNUMBER($L1050),$L1050&lt;$J1050,COUNTIFS(nrES_PID,$D1050,nrES_Code,$F1050,nrES_Att,2,nrES_Raw,"&gt;=0")=0),"Yes","No")))</f>
        <v/>
      </c>
      <c r="R1050" s="17">
        <f>IF($C1050="","",IF($L1050="","",IF(AND(N($K1050)&gt;=2,ISNUMBER($L1050),$L1050&lt;$J1050),"Yes","No")))</f>
        <v/>
      </c>
      <c r="S1050" s="18" t="n"/>
      <c r="T1050" s="19">
        <f>IF(OR($C1050="",$L1050="",$K1050&lt;&gt;1,NOT(ISNUMBER($L1050)),$L1050&gt;=$J1050),"",IF($S1050="","(enter date)",_xlfn.LET(_xlpm.dn,_xlfn.XLOOKUP($S1050,nrCDdate,nrCDnum,"",1),IF(_xlpm.dn="","(after last class day)",_xlfn.LET(_xlpm.dd,_xlfn.XLOOKUP(_xlpm.dn+cfgRetestClassDays,nrCDnum,nrCDdate,""),_xlpm.ok,_xlfn.XLOOKUP(_xlpm.dn+cfgRetestClassDays,nrCDnum,nrCDinsession,"No"),IF(OR(_xlpm.dd="",_xlpm.ok&lt;&gt;"Yes"),"(after last class day)",_xlpm.dd))))))</f>
        <v/>
      </c>
      <c r="U1050" s="17">
        <f>IF($C1050="","",IF(AND($Y1050="Excused",$L1050="",N($K1050)&lt;=1),"EXCUSED - 1st attempt pending",IF(OR($L1050="",$K1050&lt;&gt;1,NOT(ISNUMBER($L1050)),$L1050&gt;=$J1050),"",IF(COUNTIFS(nrES_PID,$D1050,nrES_Code,$F1050,nrES_Att,2,nrES_Raw,"&gt;=0")&gt;0,IF(IFERROR(_xlfn.MINIFS(nrES_Date,nrES_PID,$D1050,nrES_Code,$F1050,nrES_Att,2,nrES_Raw,"&gt;=0",nrES_Date,"&gt;0"),0)=0,"RETEST UNDATED",IF(NOT(ISNUMBER($T1050)),"RETEST DATE UNCHECKED",IF(_xlfn.MINIFS(nrES_Date,nrES_PID,$D1050,nrES_Code,$F1050,nrES_Att,2,nrES_Raw,"&gt;=0",nrES_Date,"&gt;0")&gt;$T1050,"LATE RETEST "&amp;TEXT(_xlfn.MINIFS(nrES_Date,nrES_PID,$D1050,nrES_Code,$F1050,nrES_Att,2,nrES_Raw,"&gt;=0",nrES_Date,"&gt;0"),"mm/dd")&amp;" (due "&amp;TEXT($T1050,"mm/dd")&amp;")","Retested"))),IF(NOT(ISNUMBER($T1050)),"CHECK DATE",IF(TODAY()&gt;$T1050,"OVERDUE","Due "&amp;TEXT($T1050,"mm/dd")))))))</f>
        <v/>
      </c>
      <c r="V1050" s="16" t="n"/>
      <c r="W1050" s="16" t="n"/>
      <c r="X1050" s="17">
        <f>IF($C1050="","",IF(AND($L1050&lt;&gt;"",NOT(ISNUMBER($L1050))),"RAW SCORE NOT A NUMBER",IF(AND(ISNUMBER($L1050),OR($L1050&lt;0,$L1050&gt;100)),"RAW SCORE OUT OF RANGE",IF(AND($Y1050="Unexcused",OR($L1050="",NOT(ISNUMBER($L1050)),$L1050&lt;&gt;0)),"UNEXCUSED ABSENCE MUST RECORD 0",IF(COUNTIF(nrES_RecID,$B1050)&gt;1,"DUPLICATE RECORD",IF(N($K1050)&gt;2,"ATTEMPT 3+ NOT ALLOWED - policy 300.5 permits one retest per exam; this row records nothing",IF(AND($K1050=2,COUNTIFS(nrES_PID,$D1050,nrES_Code,$F1050,nrES_Att,1)=0),"ATTEMPT 2 WITHOUT ATTEMPT 1",IF(AND($K1050=2,$L1050=""),"RETEST ROW HAS NO SCORE",IF(AND($H1050="Final",$L1050&lt;&gt;"",IFERROR(INDEX(nrCKfinalExamElig,MATCH($D1050,rngCadetPIDs,0)),"")="No"),"FINAL EXAM AFTER FAILED FINAL PT (500.1.H)",IF(AND($K1050=2,ISNUMBER($L1050),COUNTIFS(nrES_PID,$D1050,nrES_Code,$F1050,nrES_Att,1)&gt;0,SUMIFS(nrES_Raw,nrES_PID,$D1050,nrES_Code,$F1050,nrES_Att,1)&gt;=$J1050),"RETEST AFTER A PASSING FIRST ATTEMPT","OK"))))))))))</f>
        <v/>
      </c>
      <c r="Y1050" s="16" t="n"/>
    </row>
    <row r="1051">
      <c r="B1051" s="17">
        <f>IF($C1051="","",$D1051&amp;"-"&amp;$F1051&amp;"-"&amp;$K1051)</f>
        <v/>
      </c>
      <c r="C1051" s="16" t="n"/>
      <c r="D1051" s="17">
        <f>IF($C1051="","",IFERROR(INDEX(rngCadetPIDs,MATCH($C1051,rngCadetNames,0)),"?"))</f>
        <v/>
      </c>
      <c r="E1051" s="17">
        <f>IF($D1051="","",IFERROR(INDEX(nrCadetAgency,MATCH($D1051,rngCadetPIDs,0)),""))</f>
        <v/>
      </c>
      <c r="F1051" s="16" t="n"/>
      <c r="G1051" s="17">
        <f>IF($F1051="","",IFERROR(INDEX(rngEPname,MATCH($F1051,rngEPcode,0)),"?"))</f>
        <v/>
      </c>
      <c r="H1051" s="17">
        <f>IF($F1051="","",IFERROR(INDEX(rngEPtype,MATCH($F1051,rngEPcode,0)),"?"))</f>
        <v/>
      </c>
      <c r="I1051" s="17">
        <f>IF($F1051="","",IFERROR(INDEX(rngEPseq,MATCH($F1051,rngEPcode,0)),""))</f>
        <v/>
      </c>
      <c r="J1051" s="17">
        <f>IF($F1051="","",IFERROR(INDEX(rngEPpass,MATCH($F1051,rngEPcode,0)),cfgPassingScore))</f>
        <v/>
      </c>
      <c r="K1051" s="16" t="n"/>
      <c r="L1051" s="16" t="n"/>
      <c r="M1051" s="17">
        <f>IF($C1051="","",IF($L1051="","",IF(NOT(ISNUMBER($L1051)),$L1051,IF(N($K1051)&gt;2,"",IF($K1051=1,IF(COUNTIFS(nrES_PID,$D1051,nrES_Code,$F1051,nrES_Att,2,nrES_Raw,"&gt;=0")&gt;0,"",$L1051),IF($L1051&gt;=$J1051,MAX($J1051,cfgRetakeRecordedCap),IF(COUNTIFS(nrES_PID,$D1051,nrES_Code,$F1051,nrES_Att,1)=0,$L1051,SUMIFS(nrES_Raw,nrES_PID,$D1051,nrES_Code,$F1051,nrES_Att,1))))))))</f>
        <v/>
      </c>
      <c r="N1051" s="17">
        <f>IF($C1051="","",IF($L1051="","",IF(NOT(ISNUMBER($L1051)),"(not a score)",IF($L1051&gt;=$J1051,"Yes","No"))))</f>
        <v/>
      </c>
      <c r="O1051" s="17">
        <f>IF($C1051="","",IF($M1051="","",IF(NOT(ISNUMBER($M1051)),"(not a score)",IF($M1051&gt;=$J1051,"Yes","No"))))</f>
        <v/>
      </c>
      <c r="P1051" s="17">
        <f>IF($C1051="","",IF($K1051="","",IF(N($K1051)&gt;2,"No",IF(COUNTIFS(nrES_PID,$D1051,nrES_Code,$F1051,nrES_Att,"&gt;"&amp;$K1051,nrES_Att,"&lt;=2",nrES_Raw,"&gt;=0")=0,"Yes","No"))))</f>
        <v/>
      </c>
      <c r="Q1051" s="17">
        <f>IF($C1051="","",IF($L1051="","",IF(AND($K1051=1,ISNUMBER($L1051),$L1051&lt;$J1051,COUNTIFS(nrES_PID,$D1051,nrES_Code,$F1051,nrES_Att,2,nrES_Raw,"&gt;=0")=0),"Yes","No")))</f>
        <v/>
      </c>
      <c r="R1051" s="17">
        <f>IF($C1051="","",IF($L1051="","",IF(AND(N($K1051)&gt;=2,ISNUMBER($L1051),$L1051&lt;$J1051),"Yes","No")))</f>
        <v/>
      </c>
      <c r="S1051" s="18" t="n"/>
      <c r="T1051" s="19">
        <f>IF(OR($C1051="",$L1051="",$K1051&lt;&gt;1,NOT(ISNUMBER($L1051)),$L1051&gt;=$J1051),"",IF($S1051="","(enter date)",_xlfn.LET(_xlpm.dn,_xlfn.XLOOKUP($S1051,nrCDdate,nrCDnum,"",1),IF(_xlpm.dn="","(after last class day)",_xlfn.LET(_xlpm.dd,_xlfn.XLOOKUP(_xlpm.dn+cfgRetestClassDays,nrCDnum,nrCDdate,""),_xlpm.ok,_xlfn.XLOOKUP(_xlpm.dn+cfgRetestClassDays,nrCDnum,nrCDinsession,"No"),IF(OR(_xlpm.dd="",_xlpm.ok&lt;&gt;"Yes"),"(after last class day)",_xlpm.dd))))))</f>
        <v/>
      </c>
      <c r="U1051" s="17">
        <f>IF($C1051="","",IF(AND($Y1051="Excused",$L1051="",N($K1051)&lt;=1),"EXCUSED - 1st attempt pending",IF(OR($L1051="",$K1051&lt;&gt;1,NOT(ISNUMBER($L1051)),$L1051&gt;=$J1051),"",IF(COUNTIFS(nrES_PID,$D1051,nrES_Code,$F1051,nrES_Att,2,nrES_Raw,"&gt;=0")&gt;0,IF(IFERROR(_xlfn.MINIFS(nrES_Date,nrES_PID,$D1051,nrES_Code,$F1051,nrES_Att,2,nrES_Raw,"&gt;=0",nrES_Date,"&gt;0"),0)=0,"RETEST UNDATED",IF(NOT(ISNUMBER($T1051)),"RETEST DATE UNCHECKED",IF(_xlfn.MINIFS(nrES_Date,nrES_PID,$D1051,nrES_Code,$F1051,nrES_Att,2,nrES_Raw,"&gt;=0",nrES_Date,"&gt;0")&gt;$T1051,"LATE RETEST "&amp;TEXT(_xlfn.MINIFS(nrES_Date,nrES_PID,$D1051,nrES_Code,$F1051,nrES_Att,2,nrES_Raw,"&gt;=0",nrES_Date,"&gt;0"),"mm/dd")&amp;" (due "&amp;TEXT($T1051,"mm/dd")&amp;")","Retested"))),IF(NOT(ISNUMBER($T1051)),"CHECK DATE",IF(TODAY()&gt;$T1051,"OVERDUE","Due "&amp;TEXT($T1051,"mm/dd")))))))</f>
        <v/>
      </c>
      <c r="V1051" s="16" t="n"/>
      <c r="W1051" s="16" t="n"/>
      <c r="X1051" s="17">
        <f>IF($C1051="","",IF(AND($L1051&lt;&gt;"",NOT(ISNUMBER($L1051))),"RAW SCORE NOT A NUMBER",IF(AND(ISNUMBER($L1051),OR($L1051&lt;0,$L1051&gt;100)),"RAW SCORE OUT OF RANGE",IF(AND($Y1051="Unexcused",OR($L1051="",NOT(ISNUMBER($L1051)),$L1051&lt;&gt;0)),"UNEXCUSED ABSENCE MUST RECORD 0",IF(COUNTIF(nrES_RecID,$B1051)&gt;1,"DUPLICATE RECORD",IF(N($K1051)&gt;2,"ATTEMPT 3+ NOT ALLOWED - policy 300.5 permits one retest per exam; this row records nothing",IF(AND($K1051=2,COUNTIFS(nrES_PID,$D1051,nrES_Code,$F1051,nrES_Att,1)=0),"ATTEMPT 2 WITHOUT ATTEMPT 1",IF(AND($K1051=2,$L1051=""),"RETEST ROW HAS NO SCORE",IF(AND($H1051="Final",$L1051&lt;&gt;"",IFERROR(INDEX(nrCKfinalExamElig,MATCH($D1051,rngCadetPIDs,0)),"")="No"),"FINAL EXAM AFTER FAILED FINAL PT (500.1.H)",IF(AND($K1051=2,ISNUMBER($L1051),COUNTIFS(nrES_PID,$D1051,nrES_Code,$F1051,nrES_Att,1)&gt;0,SUMIFS(nrES_Raw,nrES_PID,$D1051,nrES_Code,$F1051,nrES_Att,1)&gt;=$J1051),"RETEST AFTER A PASSING FIRST ATTEMPT","OK"))))))))))</f>
        <v/>
      </c>
      <c r="Y1051" s="16" t="n"/>
    </row>
    <row r="1052">
      <c r="B1052" s="17">
        <f>IF($C1052="","",$D1052&amp;"-"&amp;$F1052&amp;"-"&amp;$K1052)</f>
        <v/>
      </c>
      <c r="C1052" s="16" t="n"/>
      <c r="D1052" s="17">
        <f>IF($C1052="","",IFERROR(INDEX(rngCadetPIDs,MATCH($C1052,rngCadetNames,0)),"?"))</f>
        <v/>
      </c>
      <c r="E1052" s="17">
        <f>IF($D1052="","",IFERROR(INDEX(nrCadetAgency,MATCH($D1052,rngCadetPIDs,0)),""))</f>
        <v/>
      </c>
      <c r="F1052" s="16" t="n"/>
      <c r="G1052" s="17">
        <f>IF($F1052="","",IFERROR(INDEX(rngEPname,MATCH($F1052,rngEPcode,0)),"?"))</f>
        <v/>
      </c>
      <c r="H1052" s="17">
        <f>IF($F1052="","",IFERROR(INDEX(rngEPtype,MATCH($F1052,rngEPcode,0)),"?"))</f>
        <v/>
      </c>
      <c r="I1052" s="17">
        <f>IF($F1052="","",IFERROR(INDEX(rngEPseq,MATCH($F1052,rngEPcode,0)),""))</f>
        <v/>
      </c>
      <c r="J1052" s="17">
        <f>IF($F1052="","",IFERROR(INDEX(rngEPpass,MATCH($F1052,rngEPcode,0)),cfgPassingScore))</f>
        <v/>
      </c>
      <c r="K1052" s="16" t="n"/>
      <c r="L1052" s="16" t="n"/>
      <c r="M1052" s="17">
        <f>IF($C1052="","",IF($L1052="","",IF(NOT(ISNUMBER($L1052)),$L1052,IF(N($K1052)&gt;2,"",IF($K1052=1,IF(COUNTIFS(nrES_PID,$D1052,nrES_Code,$F1052,nrES_Att,2,nrES_Raw,"&gt;=0")&gt;0,"",$L1052),IF($L1052&gt;=$J1052,MAX($J1052,cfgRetakeRecordedCap),IF(COUNTIFS(nrES_PID,$D1052,nrES_Code,$F1052,nrES_Att,1)=0,$L1052,SUMIFS(nrES_Raw,nrES_PID,$D1052,nrES_Code,$F1052,nrES_Att,1))))))))</f>
        <v/>
      </c>
      <c r="N1052" s="17">
        <f>IF($C1052="","",IF($L1052="","",IF(NOT(ISNUMBER($L1052)),"(not a score)",IF($L1052&gt;=$J1052,"Yes","No"))))</f>
        <v/>
      </c>
      <c r="O1052" s="17">
        <f>IF($C1052="","",IF($M1052="","",IF(NOT(ISNUMBER($M1052)),"(not a score)",IF($M1052&gt;=$J1052,"Yes","No"))))</f>
        <v/>
      </c>
      <c r="P1052" s="17">
        <f>IF($C1052="","",IF($K1052="","",IF(N($K1052)&gt;2,"No",IF(COUNTIFS(nrES_PID,$D1052,nrES_Code,$F1052,nrES_Att,"&gt;"&amp;$K1052,nrES_Att,"&lt;=2",nrES_Raw,"&gt;=0")=0,"Yes","No"))))</f>
        <v/>
      </c>
      <c r="Q1052" s="17">
        <f>IF($C1052="","",IF($L1052="","",IF(AND($K1052=1,ISNUMBER($L1052),$L1052&lt;$J1052,COUNTIFS(nrES_PID,$D1052,nrES_Code,$F1052,nrES_Att,2,nrES_Raw,"&gt;=0")=0),"Yes","No")))</f>
        <v/>
      </c>
      <c r="R1052" s="17">
        <f>IF($C1052="","",IF($L1052="","",IF(AND(N($K1052)&gt;=2,ISNUMBER($L1052),$L1052&lt;$J1052),"Yes","No")))</f>
        <v/>
      </c>
      <c r="S1052" s="18" t="n"/>
      <c r="T1052" s="19">
        <f>IF(OR($C1052="",$L1052="",$K1052&lt;&gt;1,NOT(ISNUMBER($L1052)),$L1052&gt;=$J1052),"",IF($S1052="","(enter date)",_xlfn.LET(_xlpm.dn,_xlfn.XLOOKUP($S1052,nrCDdate,nrCDnum,"",1),IF(_xlpm.dn="","(after last class day)",_xlfn.LET(_xlpm.dd,_xlfn.XLOOKUP(_xlpm.dn+cfgRetestClassDays,nrCDnum,nrCDdate,""),_xlpm.ok,_xlfn.XLOOKUP(_xlpm.dn+cfgRetestClassDays,nrCDnum,nrCDinsession,"No"),IF(OR(_xlpm.dd="",_xlpm.ok&lt;&gt;"Yes"),"(after last class day)",_xlpm.dd))))))</f>
        <v/>
      </c>
      <c r="U1052" s="17">
        <f>IF($C1052="","",IF(AND($Y1052="Excused",$L1052="",N($K1052)&lt;=1),"EXCUSED - 1st attempt pending",IF(OR($L1052="",$K1052&lt;&gt;1,NOT(ISNUMBER($L1052)),$L1052&gt;=$J1052),"",IF(COUNTIFS(nrES_PID,$D1052,nrES_Code,$F1052,nrES_Att,2,nrES_Raw,"&gt;=0")&gt;0,IF(IFERROR(_xlfn.MINIFS(nrES_Date,nrES_PID,$D1052,nrES_Code,$F1052,nrES_Att,2,nrES_Raw,"&gt;=0",nrES_Date,"&gt;0"),0)=0,"RETEST UNDATED",IF(NOT(ISNUMBER($T1052)),"RETEST DATE UNCHECKED",IF(_xlfn.MINIFS(nrES_Date,nrES_PID,$D1052,nrES_Code,$F1052,nrES_Att,2,nrES_Raw,"&gt;=0",nrES_Date,"&gt;0")&gt;$T1052,"LATE RETEST "&amp;TEXT(_xlfn.MINIFS(nrES_Date,nrES_PID,$D1052,nrES_Code,$F1052,nrES_Att,2,nrES_Raw,"&gt;=0",nrES_Date,"&gt;0"),"mm/dd")&amp;" (due "&amp;TEXT($T1052,"mm/dd")&amp;")","Retested"))),IF(NOT(ISNUMBER($T1052)),"CHECK DATE",IF(TODAY()&gt;$T1052,"OVERDUE","Due "&amp;TEXT($T1052,"mm/dd")))))))</f>
        <v/>
      </c>
      <c r="V1052" s="16" t="n"/>
      <c r="W1052" s="16" t="n"/>
      <c r="X1052" s="17">
        <f>IF($C1052="","",IF(AND($L1052&lt;&gt;"",NOT(ISNUMBER($L1052))),"RAW SCORE NOT A NUMBER",IF(AND(ISNUMBER($L1052),OR($L1052&lt;0,$L1052&gt;100)),"RAW SCORE OUT OF RANGE",IF(AND($Y1052="Unexcused",OR($L1052="",NOT(ISNUMBER($L1052)),$L1052&lt;&gt;0)),"UNEXCUSED ABSENCE MUST RECORD 0",IF(COUNTIF(nrES_RecID,$B1052)&gt;1,"DUPLICATE RECORD",IF(N($K1052)&gt;2,"ATTEMPT 3+ NOT ALLOWED - policy 300.5 permits one retest per exam; this row records nothing",IF(AND($K1052=2,COUNTIFS(nrES_PID,$D1052,nrES_Code,$F1052,nrES_Att,1)=0),"ATTEMPT 2 WITHOUT ATTEMPT 1",IF(AND($K1052=2,$L1052=""),"RETEST ROW HAS NO SCORE",IF(AND($H1052="Final",$L1052&lt;&gt;"",IFERROR(INDEX(nrCKfinalExamElig,MATCH($D1052,rngCadetPIDs,0)),"")="No"),"FINAL EXAM AFTER FAILED FINAL PT (500.1.H)",IF(AND($K1052=2,ISNUMBER($L1052),COUNTIFS(nrES_PID,$D1052,nrES_Code,$F1052,nrES_Att,1)&gt;0,SUMIFS(nrES_Raw,nrES_PID,$D1052,nrES_Code,$F1052,nrES_Att,1)&gt;=$J1052),"RETEST AFTER A PASSING FIRST ATTEMPT","OK"))))))))))</f>
        <v/>
      </c>
      <c r="Y1052" s="16" t="n"/>
    </row>
    <row r="1053">
      <c r="B1053" s="17">
        <f>IF($C1053="","",$D1053&amp;"-"&amp;$F1053&amp;"-"&amp;$K1053)</f>
        <v/>
      </c>
      <c r="C1053" s="16" t="n"/>
      <c r="D1053" s="17">
        <f>IF($C1053="","",IFERROR(INDEX(rngCadetPIDs,MATCH($C1053,rngCadetNames,0)),"?"))</f>
        <v/>
      </c>
      <c r="E1053" s="17">
        <f>IF($D1053="","",IFERROR(INDEX(nrCadetAgency,MATCH($D1053,rngCadetPIDs,0)),""))</f>
        <v/>
      </c>
      <c r="F1053" s="16" t="n"/>
      <c r="G1053" s="17">
        <f>IF($F1053="","",IFERROR(INDEX(rngEPname,MATCH($F1053,rngEPcode,0)),"?"))</f>
        <v/>
      </c>
      <c r="H1053" s="17">
        <f>IF($F1053="","",IFERROR(INDEX(rngEPtype,MATCH($F1053,rngEPcode,0)),"?"))</f>
        <v/>
      </c>
      <c r="I1053" s="17">
        <f>IF($F1053="","",IFERROR(INDEX(rngEPseq,MATCH($F1053,rngEPcode,0)),""))</f>
        <v/>
      </c>
      <c r="J1053" s="17">
        <f>IF($F1053="","",IFERROR(INDEX(rngEPpass,MATCH($F1053,rngEPcode,0)),cfgPassingScore))</f>
        <v/>
      </c>
      <c r="K1053" s="16" t="n"/>
      <c r="L1053" s="16" t="n"/>
      <c r="M1053" s="17">
        <f>IF($C1053="","",IF($L1053="","",IF(NOT(ISNUMBER($L1053)),$L1053,IF(N($K1053)&gt;2,"",IF($K1053=1,IF(COUNTIFS(nrES_PID,$D1053,nrES_Code,$F1053,nrES_Att,2,nrES_Raw,"&gt;=0")&gt;0,"",$L1053),IF($L1053&gt;=$J1053,MAX($J1053,cfgRetakeRecordedCap),IF(COUNTIFS(nrES_PID,$D1053,nrES_Code,$F1053,nrES_Att,1)=0,$L1053,SUMIFS(nrES_Raw,nrES_PID,$D1053,nrES_Code,$F1053,nrES_Att,1))))))))</f>
        <v/>
      </c>
      <c r="N1053" s="17">
        <f>IF($C1053="","",IF($L1053="","",IF(NOT(ISNUMBER($L1053)),"(not a score)",IF($L1053&gt;=$J1053,"Yes","No"))))</f>
        <v/>
      </c>
      <c r="O1053" s="17">
        <f>IF($C1053="","",IF($M1053="","",IF(NOT(ISNUMBER($M1053)),"(not a score)",IF($M1053&gt;=$J1053,"Yes","No"))))</f>
        <v/>
      </c>
      <c r="P1053" s="17">
        <f>IF($C1053="","",IF($K1053="","",IF(N($K1053)&gt;2,"No",IF(COUNTIFS(nrES_PID,$D1053,nrES_Code,$F1053,nrES_Att,"&gt;"&amp;$K1053,nrES_Att,"&lt;=2",nrES_Raw,"&gt;=0")=0,"Yes","No"))))</f>
        <v/>
      </c>
      <c r="Q1053" s="17">
        <f>IF($C1053="","",IF($L1053="","",IF(AND($K1053=1,ISNUMBER($L1053),$L1053&lt;$J1053,COUNTIFS(nrES_PID,$D1053,nrES_Code,$F1053,nrES_Att,2,nrES_Raw,"&gt;=0")=0),"Yes","No")))</f>
        <v/>
      </c>
      <c r="R1053" s="17">
        <f>IF($C1053="","",IF($L1053="","",IF(AND(N($K1053)&gt;=2,ISNUMBER($L1053),$L1053&lt;$J1053),"Yes","No")))</f>
        <v/>
      </c>
      <c r="S1053" s="18" t="n"/>
      <c r="T1053" s="19">
        <f>IF(OR($C1053="",$L1053="",$K1053&lt;&gt;1,NOT(ISNUMBER($L1053)),$L1053&gt;=$J1053),"",IF($S1053="","(enter date)",_xlfn.LET(_xlpm.dn,_xlfn.XLOOKUP($S1053,nrCDdate,nrCDnum,"",1),IF(_xlpm.dn="","(after last class day)",_xlfn.LET(_xlpm.dd,_xlfn.XLOOKUP(_xlpm.dn+cfgRetestClassDays,nrCDnum,nrCDdate,""),_xlpm.ok,_xlfn.XLOOKUP(_xlpm.dn+cfgRetestClassDays,nrCDnum,nrCDinsession,"No"),IF(OR(_xlpm.dd="",_xlpm.ok&lt;&gt;"Yes"),"(after last class day)",_xlpm.dd))))))</f>
        <v/>
      </c>
      <c r="U1053" s="17">
        <f>IF($C1053="","",IF(AND($Y1053="Excused",$L1053="",N($K1053)&lt;=1),"EXCUSED - 1st attempt pending",IF(OR($L1053="",$K1053&lt;&gt;1,NOT(ISNUMBER($L1053)),$L1053&gt;=$J1053),"",IF(COUNTIFS(nrES_PID,$D1053,nrES_Code,$F1053,nrES_Att,2,nrES_Raw,"&gt;=0")&gt;0,IF(IFERROR(_xlfn.MINIFS(nrES_Date,nrES_PID,$D1053,nrES_Code,$F1053,nrES_Att,2,nrES_Raw,"&gt;=0",nrES_Date,"&gt;0"),0)=0,"RETEST UNDATED",IF(NOT(ISNUMBER($T1053)),"RETEST DATE UNCHECKED",IF(_xlfn.MINIFS(nrES_Date,nrES_PID,$D1053,nrES_Code,$F1053,nrES_Att,2,nrES_Raw,"&gt;=0",nrES_Date,"&gt;0")&gt;$T1053,"LATE RETEST "&amp;TEXT(_xlfn.MINIFS(nrES_Date,nrES_PID,$D1053,nrES_Code,$F1053,nrES_Att,2,nrES_Raw,"&gt;=0",nrES_Date,"&gt;0"),"mm/dd")&amp;" (due "&amp;TEXT($T1053,"mm/dd")&amp;")","Retested"))),IF(NOT(ISNUMBER($T1053)),"CHECK DATE",IF(TODAY()&gt;$T1053,"OVERDUE","Due "&amp;TEXT($T1053,"mm/dd")))))))</f>
        <v/>
      </c>
      <c r="V1053" s="16" t="n"/>
      <c r="W1053" s="16" t="n"/>
      <c r="X1053" s="17">
        <f>IF($C1053="","",IF(AND($L1053&lt;&gt;"",NOT(ISNUMBER($L1053))),"RAW SCORE NOT A NUMBER",IF(AND(ISNUMBER($L1053),OR($L1053&lt;0,$L1053&gt;100)),"RAW SCORE OUT OF RANGE",IF(AND($Y1053="Unexcused",OR($L1053="",NOT(ISNUMBER($L1053)),$L1053&lt;&gt;0)),"UNEXCUSED ABSENCE MUST RECORD 0",IF(COUNTIF(nrES_RecID,$B1053)&gt;1,"DUPLICATE RECORD",IF(N($K1053)&gt;2,"ATTEMPT 3+ NOT ALLOWED - policy 300.5 permits one retest per exam; this row records nothing",IF(AND($K1053=2,COUNTIFS(nrES_PID,$D1053,nrES_Code,$F1053,nrES_Att,1)=0),"ATTEMPT 2 WITHOUT ATTEMPT 1",IF(AND($K1053=2,$L1053=""),"RETEST ROW HAS NO SCORE",IF(AND($H1053="Final",$L1053&lt;&gt;"",IFERROR(INDEX(nrCKfinalExamElig,MATCH($D1053,rngCadetPIDs,0)),"")="No"),"FINAL EXAM AFTER FAILED FINAL PT (500.1.H)",IF(AND($K1053=2,ISNUMBER($L1053),COUNTIFS(nrES_PID,$D1053,nrES_Code,$F1053,nrES_Att,1)&gt;0,SUMIFS(nrES_Raw,nrES_PID,$D1053,nrES_Code,$F1053,nrES_Att,1)&gt;=$J1053),"RETEST AFTER A PASSING FIRST ATTEMPT","OK"))))))))))</f>
        <v/>
      </c>
      <c r="Y1053" s="16" t="n"/>
    </row>
    <row r="1054">
      <c r="B1054" s="17">
        <f>IF($C1054="","",$D1054&amp;"-"&amp;$F1054&amp;"-"&amp;$K1054)</f>
        <v/>
      </c>
      <c r="C1054" s="16" t="n"/>
      <c r="D1054" s="17">
        <f>IF($C1054="","",IFERROR(INDEX(rngCadetPIDs,MATCH($C1054,rngCadetNames,0)),"?"))</f>
        <v/>
      </c>
      <c r="E1054" s="17">
        <f>IF($D1054="","",IFERROR(INDEX(nrCadetAgency,MATCH($D1054,rngCadetPIDs,0)),""))</f>
        <v/>
      </c>
      <c r="F1054" s="16" t="n"/>
      <c r="G1054" s="17">
        <f>IF($F1054="","",IFERROR(INDEX(rngEPname,MATCH($F1054,rngEPcode,0)),"?"))</f>
        <v/>
      </c>
      <c r="H1054" s="17">
        <f>IF($F1054="","",IFERROR(INDEX(rngEPtype,MATCH($F1054,rngEPcode,0)),"?"))</f>
        <v/>
      </c>
      <c r="I1054" s="17">
        <f>IF($F1054="","",IFERROR(INDEX(rngEPseq,MATCH($F1054,rngEPcode,0)),""))</f>
        <v/>
      </c>
      <c r="J1054" s="17">
        <f>IF($F1054="","",IFERROR(INDEX(rngEPpass,MATCH($F1054,rngEPcode,0)),cfgPassingScore))</f>
        <v/>
      </c>
      <c r="K1054" s="16" t="n"/>
      <c r="L1054" s="16" t="n"/>
      <c r="M1054" s="17">
        <f>IF($C1054="","",IF($L1054="","",IF(NOT(ISNUMBER($L1054)),$L1054,IF(N($K1054)&gt;2,"",IF($K1054=1,IF(COUNTIFS(nrES_PID,$D1054,nrES_Code,$F1054,nrES_Att,2,nrES_Raw,"&gt;=0")&gt;0,"",$L1054),IF($L1054&gt;=$J1054,MAX($J1054,cfgRetakeRecordedCap),IF(COUNTIFS(nrES_PID,$D1054,nrES_Code,$F1054,nrES_Att,1)=0,$L1054,SUMIFS(nrES_Raw,nrES_PID,$D1054,nrES_Code,$F1054,nrES_Att,1))))))))</f>
        <v/>
      </c>
      <c r="N1054" s="17">
        <f>IF($C1054="","",IF($L1054="","",IF(NOT(ISNUMBER($L1054)),"(not a score)",IF($L1054&gt;=$J1054,"Yes","No"))))</f>
        <v/>
      </c>
      <c r="O1054" s="17">
        <f>IF($C1054="","",IF($M1054="","",IF(NOT(ISNUMBER($M1054)),"(not a score)",IF($M1054&gt;=$J1054,"Yes","No"))))</f>
        <v/>
      </c>
      <c r="P1054" s="17">
        <f>IF($C1054="","",IF($K1054="","",IF(N($K1054)&gt;2,"No",IF(COUNTIFS(nrES_PID,$D1054,nrES_Code,$F1054,nrES_Att,"&gt;"&amp;$K1054,nrES_Att,"&lt;=2",nrES_Raw,"&gt;=0")=0,"Yes","No"))))</f>
        <v/>
      </c>
      <c r="Q1054" s="17">
        <f>IF($C1054="","",IF($L1054="","",IF(AND($K1054=1,ISNUMBER($L1054),$L1054&lt;$J1054,COUNTIFS(nrES_PID,$D1054,nrES_Code,$F1054,nrES_Att,2,nrES_Raw,"&gt;=0")=0),"Yes","No")))</f>
        <v/>
      </c>
      <c r="R1054" s="17">
        <f>IF($C1054="","",IF($L1054="","",IF(AND(N($K1054)&gt;=2,ISNUMBER($L1054),$L1054&lt;$J1054),"Yes","No")))</f>
        <v/>
      </c>
      <c r="S1054" s="18" t="n"/>
      <c r="T1054" s="19">
        <f>IF(OR($C1054="",$L1054="",$K1054&lt;&gt;1,NOT(ISNUMBER($L1054)),$L1054&gt;=$J1054),"",IF($S1054="","(enter date)",_xlfn.LET(_xlpm.dn,_xlfn.XLOOKUP($S1054,nrCDdate,nrCDnum,"",1),IF(_xlpm.dn="","(after last class day)",_xlfn.LET(_xlpm.dd,_xlfn.XLOOKUP(_xlpm.dn+cfgRetestClassDays,nrCDnum,nrCDdate,""),_xlpm.ok,_xlfn.XLOOKUP(_xlpm.dn+cfgRetestClassDays,nrCDnum,nrCDinsession,"No"),IF(OR(_xlpm.dd="",_xlpm.ok&lt;&gt;"Yes"),"(after last class day)",_xlpm.dd))))))</f>
        <v/>
      </c>
      <c r="U1054" s="17">
        <f>IF($C1054="","",IF(AND($Y1054="Excused",$L1054="",N($K1054)&lt;=1),"EXCUSED - 1st attempt pending",IF(OR($L1054="",$K1054&lt;&gt;1,NOT(ISNUMBER($L1054)),$L1054&gt;=$J1054),"",IF(COUNTIFS(nrES_PID,$D1054,nrES_Code,$F1054,nrES_Att,2,nrES_Raw,"&gt;=0")&gt;0,IF(IFERROR(_xlfn.MINIFS(nrES_Date,nrES_PID,$D1054,nrES_Code,$F1054,nrES_Att,2,nrES_Raw,"&gt;=0",nrES_Date,"&gt;0"),0)=0,"RETEST UNDATED",IF(NOT(ISNUMBER($T1054)),"RETEST DATE UNCHECKED",IF(_xlfn.MINIFS(nrES_Date,nrES_PID,$D1054,nrES_Code,$F1054,nrES_Att,2,nrES_Raw,"&gt;=0",nrES_Date,"&gt;0")&gt;$T1054,"LATE RETEST "&amp;TEXT(_xlfn.MINIFS(nrES_Date,nrES_PID,$D1054,nrES_Code,$F1054,nrES_Att,2,nrES_Raw,"&gt;=0",nrES_Date,"&gt;0"),"mm/dd")&amp;" (due "&amp;TEXT($T1054,"mm/dd")&amp;")","Retested"))),IF(NOT(ISNUMBER($T1054)),"CHECK DATE",IF(TODAY()&gt;$T1054,"OVERDUE","Due "&amp;TEXT($T1054,"mm/dd")))))))</f>
        <v/>
      </c>
      <c r="V1054" s="16" t="n"/>
      <c r="W1054" s="16" t="n"/>
      <c r="X1054" s="17">
        <f>IF($C1054="","",IF(AND($L1054&lt;&gt;"",NOT(ISNUMBER($L1054))),"RAW SCORE NOT A NUMBER",IF(AND(ISNUMBER($L1054),OR($L1054&lt;0,$L1054&gt;100)),"RAW SCORE OUT OF RANGE",IF(AND($Y1054="Unexcused",OR($L1054="",NOT(ISNUMBER($L1054)),$L1054&lt;&gt;0)),"UNEXCUSED ABSENCE MUST RECORD 0",IF(COUNTIF(nrES_RecID,$B1054)&gt;1,"DUPLICATE RECORD",IF(N($K1054)&gt;2,"ATTEMPT 3+ NOT ALLOWED - policy 300.5 permits one retest per exam; this row records nothing",IF(AND($K1054=2,COUNTIFS(nrES_PID,$D1054,nrES_Code,$F1054,nrES_Att,1)=0),"ATTEMPT 2 WITHOUT ATTEMPT 1",IF(AND($K1054=2,$L1054=""),"RETEST ROW HAS NO SCORE",IF(AND($H1054="Final",$L1054&lt;&gt;"",IFERROR(INDEX(nrCKfinalExamElig,MATCH($D1054,rngCadetPIDs,0)),"")="No"),"FINAL EXAM AFTER FAILED FINAL PT (500.1.H)",IF(AND($K1054=2,ISNUMBER($L1054),COUNTIFS(nrES_PID,$D1054,nrES_Code,$F1054,nrES_Att,1)&gt;0,SUMIFS(nrES_Raw,nrES_PID,$D1054,nrES_Code,$F1054,nrES_Att,1)&gt;=$J1054),"RETEST AFTER A PASSING FIRST ATTEMPT","OK"))))))))))</f>
        <v/>
      </c>
      <c r="Y1054" s="16" t="n"/>
    </row>
    <row r="1055">
      <c r="B1055" s="17">
        <f>IF($C1055="","",$D1055&amp;"-"&amp;$F1055&amp;"-"&amp;$K1055)</f>
        <v/>
      </c>
      <c r="C1055" s="16" t="n"/>
      <c r="D1055" s="17">
        <f>IF($C1055="","",IFERROR(INDEX(rngCadetPIDs,MATCH($C1055,rngCadetNames,0)),"?"))</f>
        <v/>
      </c>
      <c r="E1055" s="17">
        <f>IF($D1055="","",IFERROR(INDEX(nrCadetAgency,MATCH($D1055,rngCadetPIDs,0)),""))</f>
        <v/>
      </c>
      <c r="F1055" s="16" t="n"/>
      <c r="G1055" s="17">
        <f>IF($F1055="","",IFERROR(INDEX(rngEPname,MATCH($F1055,rngEPcode,0)),"?"))</f>
        <v/>
      </c>
      <c r="H1055" s="17">
        <f>IF($F1055="","",IFERROR(INDEX(rngEPtype,MATCH($F1055,rngEPcode,0)),"?"))</f>
        <v/>
      </c>
      <c r="I1055" s="17">
        <f>IF($F1055="","",IFERROR(INDEX(rngEPseq,MATCH($F1055,rngEPcode,0)),""))</f>
        <v/>
      </c>
      <c r="J1055" s="17">
        <f>IF($F1055="","",IFERROR(INDEX(rngEPpass,MATCH($F1055,rngEPcode,0)),cfgPassingScore))</f>
        <v/>
      </c>
      <c r="K1055" s="16" t="n"/>
      <c r="L1055" s="16" t="n"/>
      <c r="M1055" s="17">
        <f>IF($C1055="","",IF($L1055="","",IF(NOT(ISNUMBER($L1055)),$L1055,IF(N($K1055)&gt;2,"",IF($K1055=1,IF(COUNTIFS(nrES_PID,$D1055,nrES_Code,$F1055,nrES_Att,2,nrES_Raw,"&gt;=0")&gt;0,"",$L1055),IF($L1055&gt;=$J1055,MAX($J1055,cfgRetakeRecordedCap),IF(COUNTIFS(nrES_PID,$D1055,nrES_Code,$F1055,nrES_Att,1)=0,$L1055,SUMIFS(nrES_Raw,nrES_PID,$D1055,nrES_Code,$F1055,nrES_Att,1))))))))</f>
        <v/>
      </c>
      <c r="N1055" s="17">
        <f>IF($C1055="","",IF($L1055="","",IF(NOT(ISNUMBER($L1055)),"(not a score)",IF($L1055&gt;=$J1055,"Yes","No"))))</f>
        <v/>
      </c>
      <c r="O1055" s="17">
        <f>IF($C1055="","",IF($M1055="","",IF(NOT(ISNUMBER($M1055)),"(not a score)",IF($M1055&gt;=$J1055,"Yes","No"))))</f>
        <v/>
      </c>
      <c r="P1055" s="17">
        <f>IF($C1055="","",IF($K1055="","",IF(N($K1055)&gt;2,"No",IF(COUNTIFS(nrES_PID,$D1055,nrES_Code,$F1055,nrES_Att,"&gt;"&amp;$K1055,nrES_Att,"&lt;=2",nrES_Raw,"&gt;=0")=0,"Yes","No"))))</f>
        <v/>
      </c>
      <c r="Q1055" s="17">
        <f>IF($C1055="","",IF($L1055="","",IF(AND($K1055=1,ISNUMBER($L1055),$L1055&lt;$J1055,COUNTIFS(nrES_PID,$D1055,nrES_Code,$F1055,nrES_Att,2,nrES_Raw,"&gt;=0")=0),"Yes","No")))</f>
        <v/>
      </c>
      <c r="R1055" s="17">
        <f>IF($C1055="","",IF($L1055="","",IF(AND(N($K1055)&gt;=2,ISNUMBER($L1055),$L1055&lt;$J1055),"Yes","No")))</f>
        <v/>
      </c>
      <c r="S1055" s="18" t="n"/>
      <c r="T1055" s="19">
        <f>IF(OR($C1055="",$L1055="",$K1055&lt;&gt;1,NOT(ISNUMBER($L1055)),$L1055&gt;=$J1055),"",IF($S1055="","(enter date)",_xlfn.LET(_xlpm.dn,_xlfn.XLOOKUP($S1055,nrCDdate,nrCDnum,"",1),IF(_xlpm.dn="","(after last class day)",_xlfn.LET(_xlpm.dd,_xlfn.XLOOKUP(_xlpm.dn+cfgRetestClassDays,nrCDnum,nrCDdate,""),_xlpm.ok,_xlfn.XLOOKUP(_xlpm.dn+cfgRetestClassDays,nrCDnum,nrCDinsession,"No"),IF(OR(_xlpm.dd="",_xlpm.ok&lt;&gt;"Yes"),"(after last class day)",_xlpm.dd))))))</f>
        <v/>
      </c>
      <c r="U1055" s="17">
        <f>IF($C1055="","",IF(AND($Y1055="Excused",$L1055="",N($K1055)&lt;=1),"EXCUSED - 1st attempt pending",IF(OR($L1055="",$K1055&lt;&gt;1,NOT(ISNUMBER($L1055)),$L1055&gt;=$J1055),"",IF(COUNTIFS(nrES_PID,$D1055,nrES_Code,$F1055,nrES_Att,2,nrES_Raw,"&gt;=0")&gt;0,IF(IFERROR(_xlfn.MINIFS(nrES_Date,nrES_PID,$D1055,nrES_Code,$F1055,nrES_Att,2,nrES_Raw,"&gt;=0",nrES_Date,"&gt;0"),0)=0,"RETEST UNDATED",IF(NOT(ISNUMBER($T1055)),"RETEST DATE UNCHECKED",IF(_xlfn.MINIFS(nrES_Date,nrES_PID,$D1055,nrES_Code,$F1055,nrES_Att,2,nrES_Raw,"&gt;=0",nrES_Date,"&gt;0")&gt;$T1055,"LATE RETEST "&amp;TEXT(_xlfn.MINIFS(nrES_Date,nrES_PID,$D1055,nrES_Code,$F1055,nrES_Att,2,nrES_Raw,"&gt;=0",nrES_Date,"&gt;0"),"mm/dd")&amp;" (due "&amp;TEXT($T1055,"mm/dd")&amp;")","Retested"))),IF(NOT(ISNUMBER($T1055)),"CHECK DATE",IF(TODAY()&gt;$T1055,"OVERDUE","Due "&amp;TEXT($T1055,"mm/dd")))))))</f>
        <v/>
      </c>
      <c r="V1055" s="16" t="n"/>
      <c r="W1055" s="16" t="n"/>
      <c r="X1055" s="17">
        <f>IF($C1055="","",IF(AND($L1055&lt;&gt;"",NOT(ISNUMBER($L1055))),"RAW SCORE NOT A NUMBER",IF(AND(ISNUMBER($L1055),OR($L1055&lt;0,$L1055&gt;100)),"RAW SCORE OUT OF RANGE",IF(AND($Y1055="Unexcused",OR($L1055="",NOT(ISNUMBER($L1055)),$L1055&lt;&gt;0)),"UNEXCUSED ABSENCE MUST RECORD 0",IF(COUNTIF(nrES_RecID,$B1055)&gt;1,"DUPLICATE RECORD",IF(N($K1055)&gt;2,"ATTEMPT 3+ NOT ALLOWED - policy 300.5 permits one retest per exam; this row records nothing",IF(AND($K1055=2,COUNTIFS(nrES_PID,$D1055,nrES_Code,$F1055,nrES_Att,1)=0),"ATTEMPT 2 WITHOUT ATTEMPT 1",IF(AND($K1055=2,$L1055=""),"RETEST ROW HAS NO SCORE",IF(AND($H1055="Final",$L1055&lt;&gt;"",IFERROR(INDEX(nrCKfinalExamElig,MATCH($D1055,rngCadetPIDs,0)),"")="No"),"FINAL EXAM AFTER FAILED FINAL PT (500.1.H)",IF(AND($K1055=2,ISNUMBER($L1055),COUNTIFS(nrES_PID,$D1055,nrES_Code,$F1055,nrES_Att,1)&gt;0,SUMIFS(nrES_Raw,nrES_PID,$D1055,nrES_Code,$F1055,nrES_Att,1)&gt;=$J1055),"RETEST AFTER A PASSING FIRST ATTEMPT","OK"))))))))))</f>
        <v/>
      </c>
      <c r="Y1055" s="16" t="n"/>
    </row>
    <row r="1056">
      <c r="B1056" s="17">
        <f>IF($C1056="","",$D1056&amp;"-"&amp;$F1056&amp;"-"&amp;$K1056)</f>
        <v/>
      </c>
      <c r="C1056" s="16" t="n"/>
      <c r="D1056" s="17">
        <f>IF($C1056="","",IFERROR(INDEX(rngCadetPIDs,MATCH($C1056,rngCadetNames,0)),"?"))</f>
        <v/>
      </c>
      <c r="E1056" s="17">
        <f>IF($D1056="","",IFERROR(INDEX(nrCadetAgency,MATCH($D1056,rngCadetPIDs,0)),""))</f>
        <v/>
      </c>
      <c r="F1056" s="16" t="n"/>
      <c r="G1056" s="17">
        <f>IF($F1056="","",IFERROR(INDEX(rngEPname,MATCH($F1056,rngEPcode,0)),"?"))</f>
        <v/>
      </c>
      <c r="H1056" s="17">
        <f>IF($F1056="","",IFERROR(INDEX(rngEPtype,MATCH($F1056,rngEPcode,0)),"?"))</f>
        <v/>
      </c>
      <c r="I1056" s="17">
        <f>IF($F1056="","",IFERROR(INDEX(rngEPseq,MATCH($F1056,rngEPcode,0)),""))</f>
        <v/>
      </c>
      <c r="J1056" s="17">
        <f>IF($F1056="","",IFERROR(INDEX(rngEPpass,MATCH($F1056,rngEPcode,0)),cfgPassingScore))</f>
        <v/>
      </c>
      <c r="K1056" s="16" t="n"/>
      <c r="L1056" s="16" t="n"/>
      <c r="M1056" s="17">
        <f>IF($C1056="","",IF($L1056="","",IF(NOT(ISNUMBER($L1056)),$L1056,IF(N($K1056)&gt;2,"",IF($K1056=1,IF(COUNTIFS(nrES_PID,$D1056,nrES_Code,$F1056,nrES_Att,2,nrES_Raw,"&gt;=0")&gt;0,"",$L1056),IF($L1056&gt;=$J1056,MAX($J1056,cfgRetakeRecordedCap),IF(COUNTIFS(nrES_PID,$D1056,nrES_Code,$F1056,nrES_Att,1)=0,$L1056,SUMIFS(nrES_Raw,nrES_PID,$D1056,nrES_Code,$F1056,nrES_Att,1))))))))</f>
        <v/>
      </c>
      <c r="N1056" s="17">
        <f>IF($C1056="","",IF($L1056="","",IF(NOT(ISNUMBER($L1056)),"(not a score)",IF($L1056&gt;=$J1056,"Yes","No"))))</f>
        <v/>
      </c>
      <c r="O1056" s="17">
        <f>IF($C1056="","",IF($M1056="","",IF(NOT(ISNUMBER($M1056)),"(not a score)",IF($M1056&gt;=$J1056,"Yes","No"))))</f>
        <v/>
      </c>
      <c r="P1056" s="17">
        <f>IF($C1056="","",IF($K1056="","",IF(N($K1056)&gt;2,"No",IF(COUNTIFS(nrES_PID,$D1056,nrES_Code,$F1056,nrES_Att,"&gt;"&amp;$K1056,nrES_Att,"&lt;=2",nrES_Raw,"&gt;=0")=0,"Yes","No"))))</f>
        <v/>
      </c>
      <c r="Q1056" s="17">
        <f>IF($C1056="","",IF($L1056="","",IF(AND($K1056=1,ISNUMBER($L1056),$L1056&lt;$J1056,COUNTIFS(nrES_PID,$D1056,nrES_Code,$F1056,nrES_Att,2,nrES_Raw,"&gt;=0")=0),"Yes","No")))</f>
        <v/>
      </c>
      <c r="R1056" s="17">
        <f>IF($C1056="","",IF($L1056="","",IF(AND(N($K1056)&gt;=2,ISNUMBER($L1056),$L1056&lt;$J1056),"Yes","No")))</f>
        <v/>
      </c>
      <c r="S1056" s="18" t="n"/>
      <c r="T1056" s="19">
        <f>IF(OR($C1056="",$L1056="",$K1056&lt;&gt;1,NOT(ISNUMBER($L1056)),$L1056&gt;=$J1056),"",IF($S1056="","(enter date)",_xlfn.LET(_xlpm.dn,_xlfn.XLOOKUP($S1056,nrCDdate,nrCDnum,"",1),IF(_xlpm.dn="","(after last class day)",_xlfn.LET(_xlpm.dd,_xlfn.XLOOKUP(_xlpm.dn+cfgRetestClassDays,nrCDnum,nrCDdate,""),_xlpm.ok,_xlfn.XLOOKUP(_xlpm.dn+cfgRetestClassDays,nrCDnum,nrCDinsession,"No"),IF(OR(_xlpm.dd="",_xlpm.ok&lt;&gt;"Yes"),"(after last class day)",_xlpm.dd))))))</f>
        <v/>
      </c>
      <c r="U1056" s="17">
        <f>IF($C1056="","",IF(AND($Y1056="Excused",$L1056="",N($K1056)&lt;=1),"EXCUSED - 1st attempt pending",IF(OR($L1056="",$K1056&lt;&gt;1,NOT(ISNUMBER($L1056)),$L1056&gt;=$J1056),"",IF(COUNTIFS(nrES_PID,$D1056,nrES_Code,$F1056,nrES_Att,2,nrES_Raw,"&gt;=0")&gt;0,IF(IFERROR(_xlfn.MINIFS(nrES_Date,nrES_PID,$D1056,nrES_Code,$F1056,nrES_Att,2,nrES_Raw,"&gt;=0",nrES_Date,"&gt;0"),0)=0,"RETEST UNDATED",IF(NOT(ISNUMBER($T1056)),"RETEST DATE UNCHECKED",IF(_xlfn.MINIFS(nrES_Date,nrES_PID,$D1056,nrES_Code,$F1056,nrES_Att,2,nrES_Raw,"&gt;=0",nrES_Date,"&gt;0")&gt;$T1056,"LATE RETEST "&amp;TEXT(_xlfn.MINIFS(nrES_Date,nrES_PID,$D1056,nrES_Code,$F1056,nrES_Att,2,nrES_Raw,"&gt;=0",nrES_Date,"&gt;0"),"mm/dd")&amp;" (due "&amp;TEXT($T1056,"mm/dd")&amp;")","Retested"))),IF(NOT(ISNUMBER($T1056)),"CHECK DATE",IF(TODAY()&gt;$T1056,"OVERDUE","Due "&amp;TEXT($T1056,"mm/dd")))))))</f>
        <v/>
      </c>
      <c r="V1056" s="16" t="n"/>
      <c r="W1056" s="16" t="n"/>
      <c r="X1056" s="17">
        <f>IF($C1056="","",IF(AND($L1056&lt;&gt;"",NOT(ISNUMBER($L1056))),"RAW SCORE NOT A NUMBER",IF(AND(ISNUMBER($L1056),OR($L1056&lt;0,$L1056&gt;100)),"RAW SCORE OUT OF RANGE",IF(AND($Y1056="Unexcused",OR($L1056="",NOT(ISNUMBER($L1056)),$L1056&lt;&gt;0)),"UNEXCUSED ABSENCE MUST RECORD 0",IF(COUNTIF(nrES_RecID,$B1056)&gt;1,"DUPLICATE RECORD",IF(N($K1056)&gt;2,"ATTEMPT 3+ NOT ALLOWED - policy 300.5 permits one retest per exam; this row records nothing",IF(AND($K1056=2,COUNTIFS(nrES_PID,$D1056,nrES_Code,$F1056,nrES_Att,1)=0),"ATTEMPT 2 WITHOUT ATTEMPT 1",IF(AND($K1056=2,$L1056=""),"RETEST ROW HAS NO SCORE",IF(AND($H1056="Final",$L1056&lt;&gt;"",IFERROR(INDEX(nrCKfinalExamElig,MATCH($D1056,rngCadetPIDs,0)),"")="No"),"FINAL EXAM AFTER FAILED FINAL PT (500.1.H)",IF(AND($K1056=2,ISNUMBER($L1056),COUNTIFS(nrES_PID,$D1056,nrES_Code,$F1056,nrES_Att,1)&gt;0,SUMIFS(nrES_Raw,nrES_PID,$D1056,nrES_Code,$F1056,nrES_Att,1)&gt;=$J1056),"RETEST AFTER A PASSING FIRST ATTEMPT","OK"))))))))))</f>
        <v/>
      </c>
      <c r="Y1056" s="16" t="n"/>
    </row>
    <row r="1057">
      <c r="B1057" s="17">
        <f>IF($C1057="","",$D1057&amp;"-"&amp;$F1057&amp;"-"&amp;$K1057)</f>
        <v/>
      </c>
      <c r="C1057" s="16" t="n"/>
      <c r="D1057" s="17">
        <f>IF($C1057="","",IFERROR(INDEX(rngCadetPIDs,MATCH($C1057,rngCadetNames,0)),"?"))</f>
        <v/>
      </c>
      <c r="E1057" s="17">
        <f>IF($D1057="","",IFERROR(INDEX(nrCadetAgency,MATCH($D1057,rngCadetPIDs,0)),""))</f>
        <v/>
      </c>
      <c r="F1057" s="16" t="n"/>
      <c r="G1057" s="17">
        <f>IF($F1057="","",IFERROR(INDEX(rngEPname,MATCH($F1057,rngEPcode,0)),"?"))</f>
        <v/>
      </c>
      <c r="H1057" s="17">
        <f>IF($F1057="","",IFERROR(INDEX(rngEPtype,MATCH($F1057,rngEPcode,0)),"?"))</f>
        <v/>
      </c>
      <c r="I1057" s="17">
        <f>IF($F1057="","",IFERROR(INDEX(rngEPseq,MATCH($F1057,rngEPcode,0)),""))</f>
        <v/>
      </c>
      <c r="J1057" s="17">
        <f>IF($F1057="","",IFERROR(INDEX(rngEPpass,MATCH($F1057,rngEPcode,0)),cfgPassingScore))</f>
        <v/>
      </c>
      <c r="K1057" s="16" t="n"/>
      <c r="L1057" s="16" t="n"/>
      <c r="M1057" s="17">
        <f>IF($C1057="","",IF($L1057="","",IF(NOT(ISNUMBER($L1057)),$L1057,IF(N($K1057)&gt;2,"",IF($K1057=1,IF(COUNTIFS(nrES_PID,$D1057,nrES_Code,$F1057,nrES_Att,2,nrES_Raw,"&gt;=0")&gt;0,"",$L1057),IF($L1057&gt;=$J1057,MAX($J1057,cfgRetakeRecordedCap),IF(COUNTIFS(nrES_PID,$D1057,nrES_Code,$F1057,nrES_Att,1)=0,$L1057,SUMIFS(nrES_Raw,nrES_PID,$D1057,nrES_Code,$F1057,nrES_Att,1))))))))</f>
        <v/>
      </c>
      <c r="N1057" s="17">
        <f>IF($C1057="","",IF($L1057="","",IF(NOT(ISNUMBER($L1057)),"(not a score)",IF($L1057&gt;=$J1057,"Yes","No"))))</f>
        <v/>
      </c>
      <c r="O1057" s="17">
        <f>IF($C1057="","",IF($M1057="","",IF(NOT(ISNUMBER($M1057)),"(not a score)",IF($M1057&gt;=$J1057,"Yes","No"))))</f>
        <v/>
      </c>
      <c r="P1057" s="17">
        <f>IF($C1057="","",IF($K1057="","",IF(N($K1057)&gt;2,"No",IF(COUNTIFS(nrES_PID,$D1057,nrES_Code,$F1057,nrES_Att,"&gt;"&amp;$K1057,nrES_Att,"&lt;=2",nrES_Raw,"&gt;=0")=0,"Yes","No"))))</f>
        <v/>
      </c>
      <c r="Q1057" s="17">
        <f>IF($C1057="","",IF($L1057="","",IF(AND($K1057=1,ISNUMBER($L1057),$L1057&lt;$J1057,COUNTIFS(nrES_PID,$D1057,nrES_Code,$F1057,nrES_Att,2,nrES_Raw,"&gt;=0")=0),"Yes","No")))</f>
        <v/>
      </c>
      <c r="R1057" s="17">
        <f>IF($C1057="","",IF($L1057="","",IF(AND(N($K1057)&gt;=2,ISNUMBER($L1057),$L1057&lt;$J1057),"Yes","No")))</f>
        <v/>
      </c>
      <c r="S1057" s="18" t="n"/>
      <c r="T1057" s="19">
        <f>IF(OR($C1057="",$L1057="",$K1057&lt;&gt;1,NOT(ISNUMBER($L1057)),$L1057&gt;=$J1057),"",IF($S1057="","(enter date)",_xlfn.LET(_xlpm.dn,_xlfn.XLOOKUP($S1057,nrCDdate,nrCDnum,"",1),IF(_xlpm.dn="","(after last class day)",_xlfn.LET(_xlpm.dd,_xlfn.XLOOKUP(_xlpm.dn+cfgRetestClassDays,nrCDnum,nrCDdate,""),_xlpm.ok,_xlfn.XLOOKUP(_xlpm.dn+cfgRetestClassDays,nrCDnum,nrCDinsession,"No"),IF(OR(_xlpm.dd="",_xlpm.ok&lt;&gt;"Yes"),"(after last class day)",_xlpm.dd))))))</f>
        <v/>
      </c>
      <c r="U1057" s="17">
        <f>IF($C1057="","",IF(AND($Y1057="Excused",$L1057="",N($K1057)&lt;=1),"EXCUSED - 1st attempt pending",IF(OR($L1057="",$K1057&lt;&gt;1,NOT(ISNUMBER($L1057)),$L1057&gt;=$J1057),"",IF(COUNTIFS(nrES_PID,$D1057,nrES_Code,$F1057,nrES_Att,2,nrES_Raw,"&gt;=0")&gt;0,IF(IFERROR(_xlfn.MINIFS(nrES_Date,nrES_PID,$D1057,nrES_Code,$F1057,nrES_Att,2,nrES_Raw,"&gt;=0",nrES_Date,"&gt;0"),0)=0,"RETEST UNDATED",IF(NOT(ISNUMBER($T1057)),"RETEST DATE UNCHECKED",IF(_xlfn.MINIFS(nrES_Date,nrES_PID,$D1057,nrES_Code,$F1057,nrES_Att,2,nrES_Raw,"&gt;=0",nrES_Date,"&gt;0")&gt;$T1057,"LATE RETEST "&amp;TEXT(_xlfn.MINIFS(nrES_Date,nrES_PID,$D1057,nrES_Code,$F1057,nrES_Att,2,nrES_Raw,"&gt;=0",nrES_Date,"&gt;0"),"mm/dd")&amp;" (due "&amp;TEXT($T1057,"mm/dd")&amp;")","Retested"))),IF(NOT(ISNUMBER($T1057)),"CHECK DATE",IF(TODAY()&gt;$T1057,"OVERDUE","Due "&amp;TEXT($T1057,"mm/dd")))))))</f>
        <v/>
      </c>
      <c r="V1057" s="16" t="n"/>
      <c r="W1057" s="16" t="n"/>
      <c r="X1057" s="17">
        <f>IF($C1057="","",IF(AND($L1057&lt;&gt;"",NOT(ISNUMBER($L1057))),"RAW SCORE NOT A NUMBER",IF(AND(ISNUMBER($L1057),OR($L1057&lt;0,$L1057&gt;100)),"RAW SCORE OUT OF RANGE",IF(AND($Y1057="Unexcused",OR($L1057="",NOT(ISNUMBER($L1057)),$L1057&lt;&gt;0)),"UNEXCUSED ABSENCE MUST RECORD 0",IF(COUNTIF(nrES_RecID,$B1057)&gt;1,"DUPLICATE RECORD",IF(N($K1057)&gt;2,"ATTEMPT 3+ NOT ALLOWED - policy 300.5 permits one retest per exam; this row records nothing",IF(AND($K1057=2,COUNTIFS(nrES_PID,$D1057,nrES_Code,$F1057,nrES_Att,1)=0),"ATTEMPT 2 WITHOUT ATTEMPT 1",IF(AND($K1057=2,$L1057=""),"RETEST ROW HAS NO SCORE",IF(AND($H1057="Final",$L1057&lt;&gt;"",IFERROR(INDEX(nrCKfinalExamElig,MATCH($D1057,rngCadetPIDs,0)),"")="No"),"FINAL EXAM AFTER FAILED FINAL PT (500.1.H)",IF(AND($K1057=2,ISNUMBER($L1057),COUNTIFS(nrES_PID,$D1057,nrES_Code,$F1057,nrES_Att,1)&gt;0,SUMIFS(nrES_Raw,nrES_PID,$D1057,nrES_Code,$F1057,nrES_Att,1)&gt;=$J1057),"RETEST AFTER A PASSING FIRST ATTEMPT","OK"))))))))))</f>
        <v/>
      </c>
      <c r="Y1057" s="16" t="n"/>
    </row>
    <row r="1058">
      <c r="B1058" s="17">
        <f>IF($C1058="","",$D1058&amp;"-"&amp;$F1058&amp;"-"&amp;$K1058)</f>
        <v/>
      </c>
      <c r="C1058" s="16" t="n"/>
      <c r="D1058" s="17">
        <f>IF($C1058="","",IFERROR(INDEX(rngCadetPIDs,MATCH($C1058,rngCadetNames,0)),"?"))</f>
        <v/>
      </c>
      <c r="E1058" s="17">
        <f>IF($D1058="","",IFERROR(INDEX(nrCadetAgency,MATCH($D1058,rngCadetPIDs,0)),""))</f>
        <v/>
      </c>
      <c r="F1058" s="16" t="n"/>
      <c r="G1058" s="17">
        <f>IF($F1058="","",IFERROR(INDEX(rngEPname,MATCH($F1058,rngEPcode,0)),"?"))</f>
        <v/>
      </c>
      <c r="H1058" s="17">
        <f>IF($F1058="","",IFERROR(INDEX(rngEPtype,MATCH($F1058,rngEPcode,0)),"?"))</f>
        <v/>
      </c>
      <c r="I1058" s="17">
        <f>IF($F1058="","",IFERROR(INDEX(rngEPseq,MATCH($F1058,rngEPcode,0)),""))</f>
        <v/>
      </c>
      <c r="J1058" s="17">
        <f>IF($F1058="","",IFERROR(INDEX(rngEPpass,MATCH($F1058,rngEPcode,0)),cfgPassingScore))</f>
        <v/>
      </c>
      <c r="K1058" s="16" t="n"/>
      <c r="L1058" s="16" t="n"/>
      <c r="M1058" s="17">
        <f>IF($C1058="","",IF($L1058="","",IF(NOT(ISNUMBER($L1058)),$L1058,IF(N($K1058)&gt;2,"",IF($K1058=1,IF(COUNTIFS(nrES_PID,$D1058,nrES_Code,$F1058,nrES_Att,2,nrES_Raw,"&gt;=0")&gt;0,"",$L1058),IF($L1058&gt;=$J1058,MAX($J1058,cfgRetakeRecordedCap),IF(COUNTIFS(nrES_PID,$D1058,nrES_Code,$F1058,nrES_Att,1)=0,$L1058,SUMIFS(nrES_Raw,nrES_PID,$D1058,nrES_Code,$F1058,nrES_Att,1))))))))</f>
        <v/>
      </c>
      <c r="N1058" s="17">
        <f>IF($C1058="","",IF($L1058="","",IF(NOT(ISNUMBER($L1058)),"(not a score)",IF($L1058&gt;=$J1058,"Yes","No"))))</f>
        <v/>
      </c>
      <c r="O1058" s="17">
        <f>IF($C1058="","",IF($M1058="","",IF(NOT(ISNUMBER($M1058)),"(not a score)",IF($M1058&gt;=$J1058,"Yes","No"))))</f>
        <v/>
      </c>
      <c r="P1058" s="17">
        <f>IF($C1058="","",IF($K1058="","",IF(N($K1058)&gt;2,"No",IF(COUNTIFS(nrES_PID,$D1058,nrES_Code,$F1058,nrES_Att,"&gt;"&amp;$K1058,nrES_Att,"&lt;=2",nrES_Raw,"&gt;=0")=0,"Yes","No"))))</f>
        <v/>
      </c>
      <c r="Q1058" s="17">
        <f>IF($C1058="","",IF($L1058="","",IF(AND($K1058=1,ISNUMBER($L1058),$L1058&lt;$J1058,COUNTIFS(nrES_PID,$D1058,nrES_Code,$F1058,nrES_Att,2,nrES_Raw,"&gt;=0")=0),"Yes","No")))</f>
        <v/>
      </c>
      <c r="R1058" s="17">
        <f>IF($C1058="","",IF($L1058="","",IF(AND(N($K1058)&gt;=2,ISNUMBER($L1058),$L1058&lt;$J1058),"Yes","No")))</f>
        <v/>
      </c>
      <c r="S1058" s="18" t="n"/>
      <c r="T1058" s="19">
        <f>IF(OR($C1058="",$L1058="",$K1058&lt;&gt;1,NOT(ISNUMBER($L1058)),$L1058&gt;=$J1058),"",IF($S1058="","(enter date)",_xlfn.LET(_xlpm.dn,_xlfn.XLOOKUP($S1058,nrCDdate,nrCDnum,"",1),IF(_xlpm.dn="","(after last class day)",_xlfn.LET(_xlpm.dd,_xlfn.XLOOKUP(_xlpm.dn+cfgRetestClassDays,nrCDnum,nrCDdate,""),_xlpm.ok,_xlfn.XLOOKUP(_xlpm.dn+cfgRetestClassDays,nrCDnum,nrCDinsession,"No"),IF(OR(_xlpm.dd="",_xlpm.ok&lt;&gt;"Yes"),"(after last class day)",_xlpm.dd))))))</f>
        <v/>
      </c>
      <c r="U1058" s="17">
        <f>IF($C1058="","",IF(AND($Y1058="Excused",$L1058="",N($K1058)&lt;=1),"EXCUSED - 1st attempt pending",IF(OR($L1058="",$K1058&lt;&gt;1,NOT(ISNUMBER($L1058)),$L1058&gt;=$J1058),"",IF(COUNTIFS(nrES_PID,$D1058,nrES_Code,$F1058,nrES_Att,2,nrES_Raw,"&gt;=0")&gt;0,IF(IFERROR(_xlfn.MINIFS(nrES_Date,nrES_PID,$D1058,nrES_Code,$F1058,nrES_Att,2,nrES_Raw,"&gt;=0",nrES_Date,"&gt;0"),0)=0,"RETEST UNDATED",IF(NOT(ISNUMBER($T1058)),"RETEST DATE UNCHECKED",IF(_xlfn.MINIFS(nrES_Date,nrES_PID,$D1058,nrES_Code,$F1058,nrES_Att,2,nrES_Raw,"&gt;=0",nrES_Date,"&gt;0")&gt;$T1058,"LATE RETEST "&amp;TEXT(_xlfn.MINIFS(nrES_Date,nrES_PID,$D1058,nrES_Code,$F1058,nrES_Att,2,nrES_Raw,"&gt;=0",nrES_Date,"&gt;0"),"mm/dd")&amp;" (due "&amp;TEXT($T1058,"mm/dd")&amp;")","Retested"))),IF(NOT(ISNUMBER($T1058)),"CHECK DATE",IF(TODAY()&gt;$T1058,"OVERDUE","Due "&amp;TEXT($T1058,"mm/dd")))))))</f>
        <v/>
      </c>
      <c r="V1058" s="16" t="n"/>
      <c r="W1058" s="16" t="n"/>
      <c r="X1058" s="17">
        <f>IF($C1058="","",IF(AND($L1058&lt;&gt;"",NOT(ISNUMBER($L1058))),"RAW SCORE NOT A NUMBER",IF(AND(ISNUMBER($L1058),OR($L1058&lt;0,$L1058&gt;100)),"RAW SCORE OUT OF RANGE",IF(AND($Y1058="Unexcused",OR($L1058="",NOT(ISNUMBER($L1058)),$L1058&lt;&gt;0)),"UNEXCUSED ABSENCE MUST RECORD 0",IF(COUNTIF(nrES_RecID,$B1058)&gt;1,"DUPLICATE RECORD",IF(N($K1058)&gt;2,"ATTEMPT 3+ NOT ALLOWED - policy 300.5 permits one retest per exam; this row records nothing",IF(AND($K1058=2,COUNTIFS(nrES_PID,$D1058,nrES_Code,$F1058,nrES_Att,1)=0),"ATTEMPT 2 WITHOUT ATTEMPT 1",IF(AND($K1058=2,$L1058=""),"RETEST ROW HAS NO SCORE",IF(AND($H1058="Final",$L1058&lt;&gt;"",IFERROR(INDEX(nrCKfinalExamElig,MATCH($D1058,rngCadetPIDs,0)),"")="No"),"FINAL EXAM AFTER FAILED FINAL PT (500.1.H)",IF(AND($K1058=2,ISNUMBER($L1058),COUNTIFS(nrES_PID,$D1058,nrES_Code,$F1058,nrES_Att,1)&gt;0,SUMIFS(nrES_Raw,nrES_PID,$D1058,nrES_Code,$F1058,nrES_Att,1)&gt;=$J1058),"RETEST AFTER A PASSING FIRST ATTEMPT","OK"))))))))))</f>
        <v/>
      </c>
      <c r="Y1058" s="16" t="n"/>
    </row>
    <row r="1059">
      <c r="B1059" s="17">
        <f>IF($C1059="","",$D1059&amp;"-"&amp;$F1059&amp;"-"&amp;$K1059)</f>
        <v/>
      </c>
      <c r="C1059" s="16" t="n"/>
      <c r="D1059" s="17">
        <f>IF($C1059="","",IFERROR(INDEX(rngCadetPIDs,MATCH($C1059,rngCadetNames,0)),"?"))</f>
        <v/>
      </c>
      <c r="E1059" s="17">
        <f>IF($D1059="","",IFERROR(INDEX(nrCadetAgency,MATCH($D1059,rngCadetPIDs,0)),""))</f>
        <v/>
      </c>
      <c r="F1059" s="16" t="n"/>
      <c r="G1059" s="17">
        <f>IF($F1059="","",IFERROR(INDEX(rngEPname,MATCH($F1059,rngEPcode,0)),"?"))</f>
        <v/>
      </c>
      <c r="H1059" s="17">
        <f>IF($F1059="","",IFERROR(INDEX(rngEPtype,MATCH($F1059,rngEPcode,0)),"?"))</f>
        <v/>
      </c>
      <c r="I1059" s="17">
        <f>IF($F1059="","",IFERROR(INDEX(rngEPseq,MATCH($F1059,rngEPcode,0)),""))</f>
        <v/>
      </c>
      <c r="J1059" s="17">
        <f>IF($F1059="","",IFERROR(INDEX(rngEPpass,MATCH($F1059,rngEPcode,0)),cfgPassingScore))</f>
        <v/>
      </c>
      <c r="K1059" s="16" t="n"/>
      <c r="L1059" s="16" t="n"/>
      <c r="M1059" s="17">
        <f>IF($C1059="","",IF($L1059="","",IF(NOT(ISNUMBER($L1059)),$L1059,IF(N($K1059)&gt;2,"",IF($K1059=1,IF(COUNTIFS(nrES_PID,$D1059,nrES_Code,$F1059,nrES_Att,2,nrES_Raw,"&gt;=0")&gt;0,"",$L1059),IF($L1059&gt;=$J1059,MAX($J1059,cfgRetakeRecordedCap),IF(COUNTIFS(nrES_PID,$D1059,nrES_Code,$F1059,nrES_Att,1)=0,$L1059,SUMIFS(nrES_Raw,nrES_PID,$D1059,nrES_Code,$F1059,nrES_Att,1))))))))</f>
        <v/>
      </c>
      <c r="N1059" s="17">
        <f>IF($C1059="","",IF($L1059="","",IF(NOT(ISNUMBER($L1059)),"(not a score)",IF($L1059&gt;=$J1059,"Yes","No"))))</f>
        <v/>
      </c>
      <c r="O1059" s="17">
        <f>IF($C1059="","",IF($M1059="","",IF(NOT(ISNUMBER($M1059)),"(not a score)",IF($M1059&gt;=$J1059,"Yes","No"))))</f>
        <v/>
      </c>
      <c r="P1059" s="17">
        <f>IF($C1059="","",IF($K1059="","",IF(N($K1059)&gt;2,"No",IF(COUNTIFS(nrES_PID,$D1059,nrES_Code,$F1059,nrES_Att,"&gt;"&amp;$K1059,nrES_Att,"&lt;=2",nrES_Raw,"&gt;=0")=0,"Yes","No"))))</f>
        <v/>
      </c>
      <c r="Q1059" s="17">
        <f>IF($C1059="","",IF($L1059="","",IF(AND($K1059=1,ISNUMBER($L1059),$L1059&lt;$J1059,COUNTIFS(nrES_PID,$D1059,nrES_Code,$F1059,nrES_Att,2,nrES_Raw,"&gt;=0")=0),"Yes","No")))</f>
        <v/>
      </c>
      <c r="R1059" s="17">
        <f>IF($C1059="","",IF($L1059="","",IF(AND(N($K1059)&gt;=2,ISNUMBER($L1059),$L1059&lt;$J1059),"Yes","No")))</f>
        <v/>
      </c>
      <c r="S1059" s="18" t="n"/>
      <c r="T1059" s="19">
        <f>IF(OR($C1059="",$L1059="",$K1059&lt;&gt;1,NOT(ISNUMBER($L1059)),$L1059&gt;=$J1059),"",IF($S1059="","(enter date)",_xlfn.LET(_xlpm.dn,_xlfn.XLOOKUP($S1059,nrCDdate,nrCDnum,"",1),IF(_xlpm.dn="","(after last class day)",_xlfn.LET(_xlpm.dd,_xlfn.XLOOKUP(_xlpm.dn+cfgRetestClassDays,nrCDnum,nrCDdate,""),_xlpm.ok,_xlfn.XLOOKUP(_xlpm.dn+cfgRetestClassDays,nrCDnum,nrCDinsession,"No"),IF(OR(_xlpm.dd="",_xlpm.ok&lt;&gt;"Yes"),"(after last class day)",_xlpm.dd))))))</f>
        <v/>
      </c>
      <c r="U1059" s="17">
        <f>IF($C1059="","",IF(AND($Y1059="Excused",$L1059="",N($K1059)&lt;=1),"EXCUSED - 1st attempt pending",IF(OR($L1059="",$K1059&lt;&gt;1,NOT(ISNUMBER($L1059)),$L1059&gt;=$J1059),"",IF(COUNTIFS(nrES_PID,$D1059,nrES_Code,$F1059,nrES_Att,2,nrES_Raw,"&gt;=0")&gt;0,IF(IFERROR(_xlfn.MINIFS(nrES_Date,nrES_PID,$D1059,nrES_Code,$F1059,nrES_Att,2,nrES_Raw,"&gt;=0",nrES_Date,"&gt;0"),0)=0,"RETEST UNDATED",IF(NOT(ISNUMBER($T1059)),"RETEST DATE UNCHECKED",IF(_xlfn.MINIFS(nrES_Date,nrES_PID,$D1059,nrES_Code,$F1059,nrES_Att,2,nrES_Raw,"&gt;=0",nrES_Date,"&gt;0")&gt;$T1059,"LATE RETEST "&amp;TEXT(_xlfn.MINIFS(nrES_Date,nrES_PID,$D1059,nrES_Code,$F1059,nrES_Att,2,nrES_Raw,"&gt;=0",nrES_Date,"&gt;0"),"mm/dd")&amp;" (due "&amp;TEXT($T1059,"mm/dd")&amp;")","Retested"))),IF(NOT(ISNUMBER($T1059)),"CHECK DATE",IF(TODAY()&gt;$T1059,"OVERDUE","Due "&amp;TEXT($T1059,"mm/dd")))))))</f>
        <v/>
      </c>
      <c r="V1059" s="16" t="n"/>
      <c r="W1059" s="16" t="n"/>
      <c r="X1059" s="17">
        <f>IF($C1059="","",IF(AND($L1059&lt;&gt;"",NOT(ISNUMBER($L1059))),"RAW SCORE NOT A NUMBER",IF(AND(ISNUMBER($L1059),OR($L1059&lt;0,$L1059&gt;100)),"RAW SCORE OUT OF RANGE",IF(AND($Y1059="Unexcused",OR($L1059="",NOT(ISNUMBER($L1059)),$L1059&lt;&gt;0)),"UNEXCUSED ABSENCE MUST RECORD 0",IF(COUNTIF(nrES_RecID,$B1059)&gt;1,"DUPLICATE RECORD",IF(N($K1059)&gt;2,"ATTEMPT 3+ NOT ALLOWED - policy 300.5 permits one retest per exam; this row records nothing",IF(AND($K1059=2,COUNTIFS(nrES_PID,$D1059,nrES_Code,$F1059,nrES_Att,1)=0),"ATTEMPT 2 WITHOUT ATTEMPT 1",IF(AND($K1059=2,$L1059=""),"RETEST ROW HAS NO SCORE",IF(AND($H1059="Final",$L1059&lt;&gt;"",IFERROR(INDEX(nrCKfinalExamElig,MATCH($D1059,rngCadetPIDs,0)),"")="No"),"FINAL EXAM AFTER FAILED FINAL PT (500.1.H)",IF(AND($K1059=2,ISNUMBER($L1059),COUNTIFS(nrES_PID,$D1059,nrES_Code,$F1059,nrES_Att,1)&gt;0,SUMIFS(nrES_Raw,nrES_PID,$D1059,nrES_Code,$F1059,nrES_Att,1)&gt;=$J1059),"RETEST AFTER A PASSING FIRST ATTEMPT","OK"))))))))))</f>
        <v/>
      </c>
      <c r="Y1059" s="16" t="n"/>
    </row>
    <row r="1060">
      <c r="B1060" s="17">
        <f>IF($C1060="","",$D1060&amp;"-"&amp;$F1060&amp;"-"&amp;$K1060)</f>
        <v/>
      </c>
      <c r="C1060" s="16" t="n"/>
      <c r="D1060" s="17">
        <f>IF($C1060="","",IFERROR(INDEX(rngCadetPIDs,MATCH($C1060,rngCadetNames,0)),"?"))</f>
        <v/>
      </c>
      <c r="E1060" s="17">
        <f>IF($D1060="","",IFERROR(INDEX(nrCadetAgency,MATCH($D1060,rngCadetPIDs,0)),""))</f>
        <v/>
      </c>
      <c r="F1060" s="16" t="n"/>
      <c r="G1060" s="17">
        <f>IF($F1060="","",IFERROR(INDEX(rngEPname,MATCH($F1060,rngEPcode,0)),"?"))</f>
        <v/>
      </c>
      <c r="H1060" s="17">
        <f>IF($F1060="","",IFERROR(INDEX(rngEPtype,MATCH($F1060,rngEPcode,0)),"?"))</f>
        <v/>
      </c>
      <c r="I1060" s="17">
        <f>IF($F1060="","",IFERROR(INDEX(rngEPseq,MATCH($F1060,rngEPcode,0)),""))</f>
        <v/>
      </c>
      <c r="J1060" s="17">
        <f>IF($F1060="","",IFERROR(INDEX(rngEPpass,MATCH($F1060,rngEPcode,0)),cfgPassingScore))</f>
        <v/>
      </c>
      <c r="K1060" s="16" t="n"/>
      <c r="L1060" s="16" t="n"/>
      <c r="M1060" s="17">
        <f>IF($C1060="","",IF($L1060="","",IF(NOT(ISNUMBER($L1060)),$L1060,IF(N($K1060)&gt;2,"",IF($K1060=1,IF(COUNTIFS(nrES_PID,$D1060,nrES_Code,$F1060,nrES_Att,2,nrES_Raw,"&gt;=0")&gt;0,"",$L1060),IF($L1060&gt;=$J1060,MAX($J1060,cfgRetakeRecordedCap),IF(COUNTIFS(nrES_PID,$D1060,nrES_Code,$F1060,nrES_Att,1)=0,$L1060,SUMIFS(nrES_Raw,nrES_PID,$D1060,nrES_Code,$F1060,nrES_Att,1))))))))</f>
        <v/>
      </c>
      <c r="N1060" s="17">
        <f>IF($C1060="","",IF($L1060="","",IF(NOT(ISNUMBER($L1060)),"(not a score)",IF($L1060&gt;=$J1060,"Yes","No"))))</f>
        <v/>
      </c>
      <c r="O1060" s="17">
        <f>IF($C1060="","",IF($M1060="","",IF(NOT(ISNUMBER($M1060)),"(not a score)",IF($M1060&gt;=$J1060,"Yes","No"))))</f>
        <v/>
      </c>
      <c r="P1060" s="17">
        <f>IF($C1060="","",IF($K1060="","",IF(N($K1060)&gt;2,"No",IF(COUNTIFS(nrES_PID,$D1060,nrES_Code,$F1060,nrES_Att,"&gt;"&amp;$K1060,nrES_Att,"&lt;=2",nrES_Raw,"&gt;=0")=0,"Yes","No"))))</f>
        <v/>
      </c>
      <c r="Q1060" s="17">
        <f>IF($C1060="","",IF($L1060="","",IF(AND($K1060=1,ISNUMBER($L1060),$L1060&lt;$J1060,COUNTIFS(nrES_PID,$D1060,nrES_Code,$F1060,nrES_Att,2,nrES_Raw,"&gt;=0")=0),"Yes","No")))</f>
        <v/>
      </c>
      <c r="R1060" s="17">
        <f>IF($C1060="","",IF($L1060="","",IF(AND(N($K1060)&gt;=2,ISNUMBER($L1060),$L1060&lt;$J1060),"Yes","No")))</f>
        <v/>
      </c>
      <c r="S1060" s="18" t="n"/>
      <c r="T1060" s="19">
        <f>IF(OR($C1060="",$L1060="",$K1060&lt;&gt;1,NOT(ISNUMBER($L1060)),$L1060&gt;=$J1060),"",IF($S1060="","(enter date)",_xlfn.LET(_xlpm.dn,_xlfn.XLOOKUP($S1060,nrCDdate,nrCDnum,"",1),IF(_xlpm.dn="","(after last class day)",_xlfn.LET(_xlpm.dd,_xlfn.XLOOKUP(_xlpm.dn+cfgRetestClassDays,nrCDnum,nrCDdate,""),_xlpm.ok,_xlfn.XLOOKUP(_xlpm.dn+cfgRetestClassDays,nrCDnum,nrCDinsession,"No"),IF(OR(_xlpm.dd="",_xlpm.ok&lt;&gt;"Yes"),"(after last class day)",_xlpm.dd))))))</f>
        <v/>
      </c>
      <c r="U1060" s="17">
        <f>IF($C1060="","",IF(AND($Y1060="Excused",$L1060="",N($K1060)&lt;=1),"EXCUSED - 1st attempt pending",IF(OR($L1060="",$K1060&lt;&gt;1,NOT(ISNUMBER($L1060)),$L1060&gt;=$J1060),"",IF(COUNTIFS(nrES_PID,$D1060,nrES_Code,$F1060,nrES_Att,2,nrES_Raw,"&gt;=0")&gt;0,IF(IFERROR(_xlfn.MINIFS(nrES_Date,nrES_PID,$D1060,nrES_Code,$F1060,nrES_Att,2,nrES_Raw,"&gt;=0",nrES_Date,"&gt;0"),0)=0,"RETEST UNDATED",IF(NOT(ISNUMBER($T1060)),"RETEST DATE UNCHECKED",IF(_xlfn.MINIFS(nrES_Date,nrES_PID,$D1060,nrES_Code,$F1060,nrES_Att,2,nrES_Raw,"&gt;=0",nrES_Date,"&gt;0")&gt;$T1060,"LATE RETEST "&amp;TEXT(_xlfn.MINIFS(nrES_Date,nrES_PID,$D1060,nrES_Code,$F1060,nrES_Att,2,nrES_Raw,"&gt;=0",nrES_Date,"&gt;0"),"mm/dd")&amp;" (due "&amp;TEXT($T1060,"mm/dd")&amp;")","Retested"))),IF(NOT(ISNUMBER($T1060)),"CHECK DATE",IF(TODAY()&gt;$T1060,"OVERDUE","Due "&amp;TEXT($T1060,"mm/dd")))))))</f>
        <v/>
      </c>
      <c r="V1060" s="16" t="n"/>
      <c r="W1060" s="16" t="n"/>
      <c r="X1060" s="17">
        <f>IF($C1060="","",IF(AND($L1060&lt;&gt;"",NOT(ISNUMBER($L1060))),"RAW SCORE NOT A NUMBER",IF(AND(ISNUMBER($L1060),OR($L1060&lt;0,$L1060&gt;100)),"RAW SCORE OUT OF RANGE",IF(AND($Y1060="Unexcused",OR($L1060="",NOT(ISNUMBER($L1060)),$L1060&lt;&gt;0)),"UNEXCUSED ABSENCE MUST RECORD 0",IF(COUNTIF(nrES_RecID,$B1060)&gt;1,"DUPLICATE RECORD",IF(N($K1060)&gt;2,"ATTEMPT 3+ NOT ALLOWED - policy 300.5 permits one retest per exam; this row records nothing",IF(AND($K1060=2,COUNTIFS(nrES_PID,$D1060,nrES_Code,$F1060,nrES_Att,1)=0),"ATTEMPT 2 WITHOUT ATTEMPT 1",IF(AND($K1060=2,$L1060=""),"RETEST ROW HAS NO SCORE",IF(AND($H1060="Final",$L1060&lt;&gt;"",IFERROR(INDEX(nrCKfinalExamElig,MATCH($D1060,rngCadetPIDs,0)),"")="No"),"FINAL EXAM AFTER FAILED FINAL PT (500.1.H)",IF(AND($K1060=2,ISNUMBER($L1060),COUNTIFS(nrES_PID,$D1060,nrES_Code,$F1060,nrES_Att,1)&gt;0,SUMIFS(nrES_Raw,nrES_PID,$D1060,nrES_Code,$F1060,nrES_Att,1)&gt;=$J1060),"RETEST AFTER A PASSING FIRST ATTEMPT","OK"))))))))))</f>
        <v/>
      </c>
      <c r="Y1060" s="16" t="n"/>
    </row>
    <row r="1061">
      <c r="B1061" s="17">
        <f>IF($C1061="","",$D1061&amp;"-"&amp;$F1061&amp;"-"&amp;$K1061)</f>
        <v/>
      </c>
      <c r="C1061" s="16" t="n"/>
      <c r="D1061" s="17">
        <f>IF($C1061="","",IFERROR(INDEX(rngCadetPIDs,MATCH($C1061,rngCadetNames,0)),"?"))</f>
        <v/>
      </c>
      <c r="E1061" s="17">
        <f>IF($D1061="","",IFERROR(INDEX(nrCadetAgency,MATCH($D1061,rngCadetPIDs,0)),""))</f>
        <v/>
      </c>
      <c r="F1061" s="16" t="n"/>
      <c r="G1061" s="17">
        <f>IF($F1061="","",IFERROR(INDEX(rngEPname,MATCH($F1061,rngEPcode,0)),"?"))</f>
        <v/>
      </c>
      <c r="H1061" s="17">
        <f>IF($F1061="","",IFERROR(INDEX(rngEPtype,MATCH($F1061,rngEPcode,0)),"?"))</f>
        <v/>
      </c>
      <c r="I1061" s="17">
        <f>IF($F1061="","",IFERROR(INDEX(rngEPseq,MATCH($F1061,rngEPcode,0)),""))</f>
        <v/>
      </c>
      <c r="J1061" s="17">
        <f>IF($F1061="","",IFERROR(INDEX(rngEPpass,MATCH($F1061,rngEPcode,0)),cfgPassingScore))</f>
        <v/>
      </c>
      <c r="K1061" s="16" t="n"/>
      <c r="L1061" s="16" t="n"/>
      <c r="M1061" s="17">
        <f>IF($C1061="","",IF($L1061="","",IF(NOT(ISNUMBER($L1061)),$L1061,IF(N($K1061)&gt;2,"",IF($K1061=1,IF(COUNTIFS(nrES_PID,$D1061,nrES_Code,$F1061,nrES_Att,2,nrES_Raw,"&gt;=0")&gt;0,"",$L1061),IF($L1061&gt;=$J1061,MAX($J1061,cfgRetakeRecordedCap),IF(COUNTIFS(nrES_PID,$D1061,nrES_Code,$F1061,nrES_Att,1)=0,$L1061,SUMIFS(nrES_Raw,nrES_PID,$D1061,nrES_Code,$F1061,nrES_Att,1))))))))</f>
        <v/>
      </c>
      <c r="N1061" s="17">
        <f>IF($C1061="","",IF($L1061="","",IF(NOT(ISNUMBER($L1061)),"(not a score)",IF($L1061&gt;=$J1061,"Yes","No"))))</f>
        <v/>
      </c>
      <c r="O1061" s="17">
        <f>IF($C1061="","",IF($M1061="","",IF(NOT(ISNUMBER($M1061)),"(not a score)",IF($M1061&gt;=$J1061,"Yes","No"))))</f>
        <v/>
      </c>
      <c r="P1061" s="17">
        <f>IF($C1061="","",IF($K1061="","",IF(N($K1061)&gt;2,"No",IF(COUNTIFS(nrES_PID,$D1061,nrES_Code,$F1061,nrES_Att,"&gt;"&amp;$K1061,nrES_Att,"&lt;=2",nrES_Raw,"&gt;=0")=0,"Yes","No"))))</f>
        <v/>
      </c>
      <c r="Q1061" s="17">
        <f>IF($C1061="","",IF($L1061="","",IF(AND($K1061=1,ISNUMBER($L1061),$L1061&lt;$J1061,COUNTIFS(nrES_PID,$D1061,nrES_Code,$F1061,nrES_Att,2,nrES_Raw,"&gt;=0")=0),"Yes","No")))</f>
        <v/>
      </c>
      <c r="R1061" s="17">
        <f>IF($C1061="","",IF($L1061="","",IF(AND(N($K1061)&gt;=2,ISNUMBER($L1061),$L1061&lt;$J1061),"Yes","No")))</f>
        <v/>
      </c>
      <c r="S1061" s="18" t="n"/>
      <c r="T1061" s="19">
        <f>IF(OR($C1061="",$L1061="",$K1061&lt;&gt;1,NOT(ISNUMBER($L1061)),$L1061&gt;=$J1061),"",IF($S1061="","(enter date)",_xlfn.LET(_xlpm.dn,_xlfn.XLOOKUP($S1061,nrCDdate,nrCDnum,"",1),IF(_xlpm.dn="","(after last class day)",_xlfn.LET(_xlpm.dd,_xlfn.XLOOKUP(_xlpm.dn+cfgRetestClassDays,nrCDnum,nrCDdate,""),_xlpm.ok,_xlfn.XLOOKUP(_xlpm.dn+cfgRetestClassDays,nrCDnum,nrCDinsession,"No"),IF(OR(_xlpm.dd="",_xlpm.ok&lt;&gt;"Yes"),"(after last class day)",_xlpm.dd))))))</f>
        <v/>
      </c>
      <c r="U1061" s="17">
        <f>IF($C1061="","",IF(AND($Y1061="Excused",$L1061="",N($K1061)&lt;=1),"EXCUSED - 1st attempt pending",IF(OR($L1061="",$K1061&lt;&gt;1,NOT(ISNUMBER($L1061)),$L1061&gt;=$J1061),"",IF(COUNTIFS(nrES_PID,$D1061,nrES_Code,$F1061,nrES_Att,2,nrES_Raw,"&gt;=0")&gt;0,IF(IFERROR(_xlfn.MINIFS(nrES_Date,nrES_PID,$D1061,nrES_Code,$F1061,nrES_Att,2,nrES_Raw,"&gt;=0",nrES_Date,"&gt;0"),0)=0,"RETEST UNDATED",IF(NOT(ISNUMBER($T1061)),"RETEST DATE UNCHECKED",IF(_xlfn.MINIFS(nrES_Date,nrES_PID,$D1061,nrES_Code,$F1061,nrES_Att,2,nrES_Raw,"&gt;=0",nrES_Date,"&gt;0")&gt;$T1061,"LATE RETEST "&amp;TEXT(_xlfn.MINIFS(nrES_Date,nrES_PID,$D1061,nrES_Code,$F1061,nrES_Att,2,nrES_Raw,"&gt;=0",nrES_Date,"&gt;0"),"mm/dd")&amp;" (due "&amp;TEXT($T1061,"mm/dd")&amp;")","Retested"))),IF(NOT(ISNUMBER($T1061)),"CHECK DATE",IF(TODAY()&gt;$T1061,"OVERDUE","Due "&amp;TEXT($T1061,"mm/dd")))))))</f>
        <v/>
      </c>
      <c r="V1061" s="16" t="n"/>
      <c r="W1061" s="16" t="n"/>
      <c r="X1061" s="17">
        <f>IF($C1061="","",IF(AND($L1061&lt;&gt;"",NOT(ISNUMBER($L1061))),"RAW SCORE NOT A NUMBER",IF(AND(ISNUMBER($L1061),OR($L1061&lt;0,$L1061&gt;100)),"RAW SCORE OUT OF RANGE",IF(AND($Y1061="Unexcused",OR($L1061="",NOT(ISNUMBER($L1061)),$L1061&lt;&gt;0)),"UNEXCUSED ABSENCE MUST RECORD 0",IF(COUNTIF(nrES_RecID,$B1061)&gt;1,"DUPLICATE RECORD",IF(N($K1061)&gt;2,"ATTEMPT 3+ NOT ALLOWED - policy 300.5 permits one retest per exam; this row records nothing",IF(AND($K1061=2,COUNTIFS(nrES_PID,$D1061,nrES_Code,$F1061,nrES_Att,1)=0),"ATTEMPT 2 WITHOUT ATTEMPT 1",IF(AND($K1061=2,$L1061=""),"RETEST ROW HAS NO SCORE",IF(AND($H1061="Final",$L1061&lt;&gt;"",IFERROR(INDEX(nrCKfinalExamElig,MATCH($D1061,rngCadetPIDs,0)),"")="No"),"FINAL EXAM AFTER FAILED FINAL PT (500.1.H)",IF(AND($K1061=2,ISNUMBER($L1061),COUNTIFS(nrES_PID,$D1061,nrES_Code,$F1061,nrES_Att,1)&gt;0,SUMIFS(nrES_Raw,nrES_PID,$D1061,nrES_Code,$F1061,nrES_Att,1)&gt;=$J1061),"RETEST AFTER A PASSING FIRST ATTEMPT","OK"))))))))))</f>
        <v/>
      </c>
      <c r="Y1061" s="16" t="n"/>
    </row>
    <row r="1062">
      <c r="B1062" s="17">
        <f>IF($C1062="","",$D1062&amp;"-"&amp;$F1062&amp;"-"&amp;$K1062)</f>
        <v/>
      </c>
      <c r="C1062" s="16" t="n"/>
      <c r="D1062" s="17">
        <f>IF($C1062="","",IFERROR(INDEX(rngCadetPIDs,MATCH($C1062,rngCadetNames,0)),"?"))</f>
        <v/>
      </c>
      <c r="E1062" s="17">
        <f>IF($D1062="","",IFERROR(INDEX(nrCadetAgency,MATCH($D1062,rngCadetPIDs,0)),""))</f>
        <v/>
      </c>
      <c r="F1062" s="16" t="n"/>
      <c r="G1062" s="17">
        <f>IF($F1062="","",IFERROR(INDEX(rngEPname,MATCH($F1062,rngEPcode,0)),"?"))</f>
        <v/>
      </c>
      <c r="H1062" s="17">
        <f>IF($F1062="","",IFERROR(INDEX(rngEPtype,MATCH($F1062,rngEPcode,0)),"?"))</f>
        <v/>
      </c>
      <c r="I1062" s="17">
        <f>IF($F1062="","",IFERROR(INDEX(rngEPseq,MATCH($F1062,rngEPcode,0)),""))</f>
        <v/>
      </c>
      <c r="J1062" s="17">
        <f>IF($F1062="","",IFERROR(INDEX(rngEPpass,MATCH($F1062,rngEPcode,0)),cfgPassingScore))</f>
        <v/>
      </c>
      <c r="K1062" s="16" t="n"/>
      <c r="L1062" s="16" t="n"/>
      <c r="M1062" s="17">
        <f>IF($C1062="","",IF($L1062="","",IF(NOT(ISNUMBER($L1062)),$L1062,IF(N($K1062)&gt;2,"",IF($K1062=1,IF(COUNTIFS(nrES_PID,$D1062,nrES_Code,$F1062,nrES_Att,2,nrES_Raw,"&gt;=0")&gt;0,"",$L1062),IF($L1062&gt;=$J1062,MAX($J1062,cfgRetakeRecordedCap),IF(COUNTIFS(nrES_PID,$D1062,nrES_Code,$F1062,nrES_Att,1)=0,$L1062,SUMIFS(nrES_Raw,nrES_PID,$D1062,nrES_Code,$F1062,nrES_Att,1))))))))</f>
        <v/>
      </c>
      <c r="N1062" s="17">
        <f>IF($C1062="","",IF($L1062="","",IF(NOT(ISNUMBER($L1062)),"(not a score)",IF($L1062&gt;=$J1062,"Yes","No"))))</f>
        <v/>
      </c>
      <c r="O1062" s="17">
        <f>IF($C1062="","",IF($M1062="","",IF(NOT(ISNUMBER($M1062)),"(not a score)",IF($M1062&gt;=$J1062,"Yes","No"))))</f>
        <v/>
      </c>
      <c r="P1062" s="17">
        <f>IF($C1062="","",IF($K1062="","",IF(N($K1062)&gt;2,"No",IF(COUNTIFS(nrES_PID,$D1062,nrES_Code,$F1062,nrES_Att,"&gt;"&amp;$K1062,nrES_Att,"&lt;=2",nrES_Raw,"&gt;=0")=0,"Yes","No"))))</f>
        <v/>
      </c>
      <c r="Q1062" s="17">
        <f>IF($C1062="","",IF($L1062="","",IF(AND($K1062=1,ISNUMBER($L1062),$L1062&lt;$J1062,COUNTIFS(nrES_PID,$D1062,nrES_Code,$F1062,nrES_Att,2,nrES_Raw,"&gt;=0")=0),"Yes","No")))</f>
        <v/>
      </c>
      <c r="R1062" s="17">
        <f>IF($C1062="","",IF($L1062="","",IF(AND(N($K1062)&gt;=2,ISNUMBER($L1062),$L1062&lt;$J1062),"Yes","No")))</f>
        <v/>
      </c>
      <c r="S1062" s="18" t="n"/>
      <c r="T1062" s="19">
        <f>IF(OR($C1062="",$L1062="",$K1062&lt;&gt;1,NOT(ISNUMBER($L1062)),$L1062&gt;=$J1062),"",IF($S1062="","(enter date)",_xlfn.LET(_xlpm.dn,_xlfn.XLOOKUP($S1062,nrCDdate,nrCDnum,"",1),IF(_xlpm.dn="","(after last class day)",_xlfn.LET(_xlpm.dd,_xlfn.XLOOKUP(_xlpm.dn+cfgRetestClassDays,nrCDnum,nrCDdate,""),_xlpm.ok,_xlfn.XLOOKUP(_xlpm.dn+cfgRetestClassDays,nrCDnum,nrCDinsession,"No"),IF(OR(_xlpm.dd="",_xlpm.ok&lt;&gt;"Yes"),"(after last class day)",_xlpm.dd))))))</f>
        <v/>
      </c>
      <c r="U1062" s="17">
        <f>IF($C1062="","",IF(AND($Y1062="Excused",$L1062="",N($K1062)&lt;=1),"EXCUSED - 1st attempt pending",IF(OR($L1062="",$K1062&lt;&gt;1,NOT(ISNUMBER($L1062)),$L1062&gt;=$J1062),"",IF(COUNTIFS(nrES_PID,$D1062,nrES_Code,$F1062,nrES_Att,2,nrES_Raw,"&gt;=0")&gt;0,IF(IFERROR(_xlfn.MINIFS(nrES_Date,nrES_PID,$D1062,nrES_Code,$F1062,nrES_Att,2,nrES_Raw,"&gt;=0",nrES_Date,"&gt;0"),0)=0,"RETEST UNDATED",IF(NOT(ISNUMBER($T1062)),"RETEST DATE UNCHECKED",IF(_xlfn.MINIFS(nrES_Date,nrES_PID,$D1062,nrES_Code,$F1062,nrES_Att,2,nrES_Raw,"&gt;=0",nrES_Date,"&gt;0")&gt;$T1062,"LATE RETEST "&amp;TEXT(_xlfn.MINIFS(nrES_Date,nrES_PID,$D1062,nrES_Code,$F1062,nrES_Att,2,nrES_Raw,"&gt;=0",nrES_Date,"&gt;0"),"mm/dd")&amp;" (due "&amp;TEXT($T1062,"mm/dd")&amp;")","Retested"))),IF(NOT(ISNUMBER($T1062)),"CHECK DATE",IF(TODAY()&gt;$T1062,"OVERDUE","Due "&amp;TEXT($T1062,"mm/dd")))))))</f>
        <v/>
      </c>
      <c r="V1062" s="16" t="n"/>
      <c r="W1062" s="16" t="n"/>
      <c r="X1062" s="17">
        <f>IF($C1062="","",IF(AND($L1062&lt;&gt;"",NOT(ISNUMBER($L1062))),"RAW SCORE NOT A NUMBER",IF(AND(ISNUMBER($L1062),OR($L1062&lt;0,$L1062&gt;100)),"RAW SCORE OUT OF RANGE",IF(AND($Y1062="Unexcused",OR($L1062="",NOT(ISNUMBER($L1062)),$L1062&lt;&gt;0)),"UNEXCUSED ABSENCE MUST RECORD 0",IF(COUNTIF(nrES_RecID,$B1062)&gt;1,"DUPLICATE RECORD",IF(N($K1062)&gt;2,"ATTEMPT 3+ NOT ALLOWED - policy 300.5 permits one retest per exam; this row records nothing",IF(AND($K1062=2,COUNTIFS(nrES_PID,$D1062,nrES_Code,$F1062,nrES_Att,1)=0),"ATTEMPT 2 WITHOUT ATTEMPT 1",IF(AND($K1062=2,$L1062=""),"RETEST ROW HAS NO SCORE",IF(AND($H1062="Final",$L1062&lt;&gt;"",IFERROR(INDEX(nrCKfinalExamElig,MATCH($D1062,rngCadetPIDs,0)),"")="No"),"FINAL EXAM AFTER FAILED FINAL PT (500.1.H)",IF(AND($K1062=2,ISNUMBER($L1062),COUNTIFS(nrES_PID,$D1062,nrES_Code,$F1062,nrES_Att,1)&gt;0,SUMIFS(nrES_Raw,nrES_PID,$D1062,nrES_Code,$F1062,nrES_Att,1)&gt;=$J1062),"RETEST AFTER A PASSING FIRST ATTEMPT","OK"))))))))))</f>
        <v/>
      </c>
      <c r="Y1062" s="16" t="n"/>
    </row>
    <row r="1063">
      <c r="B1063" s="17">
        <f>IF($C1063="","",$D1063&amp;"-"&amp;$F1063&amp;"-"&amp;$K1063)</f>
        <v/>
      </c>
      <c r="C1063" s="16" t="n"/>
      <c r="D1063" s="17">
        <f>IF($C1063="","",IFERROR(INDEX(rngCadetPIDs,MATCH($C1063,rngCadetNames,0)),"?"))</f>
        <v/>
      </c>
      <c r="E1063" s="17">
        <f>IF($D1063="","",IFERROR(INDEX(nrCadetAgency,MATCH($D1063,rngCadetPIDs,0)),""))</f>
        <v/>
      </c>
      <c r="F1063" s="16" t="n"/>
      <c r="G1063" s="17">
        <f>IF($F1063="","",IFERROR(INDEX(rngEPname,MATCH($F1063,rngEPcode,0)),"?"))</f>
        <v/>
      </c>
      <c r="H1063" s="17">
        <f>IF($F1063="","",IFERROR(INDEX(rngEPtype,MATCH($F1063,rngEPcode,0)),"?"))</f>
        <v/>
      </c>
      <c r="I1063" s="17">
        <f>IF($F1063="","",IFERROR(INDEX(rngEPseq,MATCH($F1063,rngEPcode,0)),""))</f>
        <v/>
      </c>
      <c r="J1063" s="17">
        <f>IF($F1063="","",IFERROR(INDEX(rngEPpass,MATCH($F1063,rngEPcode,0)),cfgPassingScore))</f>
        <v/>
      </c>
      <c r="K1063" s="16" t="n"/>
      <c r="L1063" s="16" t="n"/>
      <c r="M1063" s="17">
        <f>IF($C1063="","",IF($L1063="","",IF(NOT(ISNUMBER($L1063)),$L1063,IF(N($K1063)&gt;2,"",IF($K1063=1,IF(COUNTIFS(nrES_PID,$D1063,nrES_Code,$F1063,nrES_Att,2,nrES_Raw,"&gt;=0")&gt;0,"",$L1063),IF($L1063&gt;=$J1063,MAX($J1063,cfgRetakeRecordedCap),IF(COUNTIFS(nrES_PID,$D1063,nrES_Code,$F1063,nrES_Att,1)=0,$L1063,SUMIFS(nrES_Raw,nrES_PID,$D1063,nrES_Code,$F1063,nrES_Att,1))))))))</f>
        <v/>
      </c>
      <c r="N1063" s="17">
        <f>IF($C1063="","",IF($L1063="","",IF(NOT(ISNUMBER($L1063)),"(not a score)",IF($L1063&gt;=$J1063,"Yes","No"))))</f>
        <v/>
      </c>
      <c r="O1063" s="17">
        <f>IF($C1063="","",IF($M1063="","",IF(NOT(ISNUMBER($M1063)),"(not a score)",IF($M1063&gt;=$J1063,"Yes","No"))))</f>
        <v/>
      </c>
      <c r="P1063" s="17">
        <f>IF($C1063="","",IF($K1063="","",IF(N($K1063)&gt;2,"No",IF(COUNTIFS(nrES_PID,$D1063,nrES_Code,$F1063,nrES_Att,"&gt;"&amp;$K1063,nrES_Att,"&lt;=2",nrES_Raw,"&gt;=0")=0,"Yes","No"))))</f>
        <v/>
      </c>
      <c r="Q1063" s="17">
        <f>IF($C1063="","",IF($L1063="","",IF(AND($K1063=1,ISNUMBER($L1063),$L1063&lt;$J1063,COUNTIFS(nrES_PID,$D1063,nrES_Code,$F1063,nrES_Att,2,nrES_Raw,"&gt;=0")=0),"Yes","No")))</f>
        <v/>
      </c>
      <c r="R1063" s="17">
        <f>IF($C1063="","",IF($L1063="","",IF(AND(N($K1063)&gt;=2,ISNUMBER($L1063),$L1063&lt;$J1063),"Yes","No")))</f>
        <v/>
      </c>
      <c r="S1063" s="18" t="n"/>
      <c r="T1063" s="19">
        <f>IF(OR($C1063="",$L1063="",$K1063&lt;&gt;1,NOT(ISNUMBER($L1063)),$L1063&gt;=$J1063),"",IF($S1063="","(enter date)",_xlfn.LET(_xlpm.dn,_xlfn.XLOOKUP($S1063,nrCDdate,nrCDnum,"",1),IF(_xlpm.dn="","(after last class day)",_xlfn.LET(_xlpm.dd,_xlfn.XLOOKUP(_xlpm.dn+cfgRetestClassDays,nrCDnum,nrCDdate,""),_xlpm.ok,_xlfn.XLOOKUP(_xlpm.dn+cfgRetestClassDays,nrCDnum,nrCDinsession,"No"),IF(OR(_xlpm.dd="",_xlpm.ok&lt;&gt;"Yes"),"(after last class day)",_xlpm.dd))))))</f>
        <v/>
      </c>
      <c r="U1063" s="17">
        <f>IF($C1063="","",IF(AND($Y1063="Excused",$L1063="",N($K1063)&lt;=1),"EXCUSED - 1st attempt pending",IF(OR($L1063="",$K1063&lt;&gt;1,NOT(ISNUMBER($L1063)),$L1063&gt;=$J1063),"",IF(COUNTIFS(nrES_PID,$D1063,nrES_Code,$F1063,nrES_Att,2,nrES_Raw,"&gt;=0")&gt;0,IF(IFERROR(_xlfn.MINIFS(nrES_Date,nrES_PID,$D1063,nrES_Code,$F1063,nrES_Att,2,nrES_Raw,"&gt;=0",nrES_Date,"&gt;0"),0)=0,"RETEST UNDATED",IF(NOT(ISNUMBER($T1063)),"RETEST DATE UNCHECKED",IF(_xlfn.MINIFS(nrES_Date,nrES_PID,$D1063,nrES_Code,$F1063,nrES_Att,2,nrES_Raw,"&gt;=0",nrES_Date,"&gt;0")&gt;$T1063,"LATE RETEST "&amp;TEXT(_xlfn.MINIFS(nrES_Date,nrES_PID,$D1063,nrES_Code,$F1063,nrES_Att,2,nrES_Raw,"&gt;=0",nrES_Date,"&gt;0"),"mm/dd")&amp;" (due "&amp;TEXT($T1063,"mm/dd")&amp;")","Retested"))),IF(NOT(ISNUMBER($T1063)),"CHECK DATE",IF(TODAY()&gt;$T1063,"OVERDUE","Due "&amp;TEXT($T1063,"mm/dd")))))))</f>
        <v/>
      </c>
      <c r="V1063" s="16" t="n"/>
      <c r="W1063" s="16" t="n"/>
      <c r="X1063" s="17">
        <f>IF($C1063="","",IF(AND($L1063&lt;&gt;"",NOT(ISNUMBER($L1063))),"RAW SCORE NOT A NUMBER",IF(AND(ISNUMBER($L1063),OR($L1063&lt;0,$L1063&gt;100)),"RAW SCORE OUT OF RANGE",IF(AND($Y1063="Unexcused",OR($L1063="",NOT(ISNUMBER($L1063)),$L1063&lt;&gt;0)),"UNEXCUSED ABSENCE MUST RECORD 0",IF(COUNTIF(nrES_RecID,$B1063)&gt;1,"DUPLICATE RECORD",IF(N($K1063)&gt;2,"ATTEMPT 3+ NOT ALLOWED - policy 300.5 permits one retest per exam; this row records nothing",IF(AND($K1063=2,COUNTIFS(nrES_PID,$D1063,nrES_Code,$F1063,nrES_Att,1)=0),"ATTEMPT 2 WITHOUT ATTEMPT 1",IF(AND($K1063=2,$L1063=""),"RETEST ROW HAS NO SCORE",IF(AND($H1063="Final",$L1063&lt;&gt;"",IFERROR(INDEX(nrCKfinalExamElig,MATCH($D1063,rngCadetPIDs,0)),"")="No"),"FINAL EXAM AFTER FAILED FINAL PT (500.1.H)",IF(AND($K1063=2,ISNUMBER($L1063),COUNTIFS(nrES_PID,$D1063,nrES_Code,$F1063,nrES_Att,1)&gt;0,SUMIFS(nrES_Raw,nrES_PID,$D1063,nrES_Code,$F1063,nrES_Att,1)&gt;=$J1063),"RETEST AFTER A PASSING FIRST ATTEMPT","OK"))))))))))</f>
        <v/>
      </c>
      <c r="Y1063" s="16" t="n"/>
    </row>
    <row r="1064">
      <c r="B1064" s="17">
        <f>IF($C1064="","",$D1064&amp;"-"&amp;$F1064&amp;"-"&amp;$K1064)</f>
        <v/>
      </c>
      <c r="C1064" s="16" t="n"/>
      <c r="D1064" s="17">
        <f>IF($C1064="","",IFERROR(INDEX(rngCadetPIDs,MATCH($C1064,rngCadetNames,0)),"?"))</f>
        <v/>
      </c>
      <c r="E1064" s="17">
        <f>IF($D1064="","",IFERROR(INDEX(nrCadetAgency,MATCH($D1064,rngCadetPIDs,0)),""))</f>
        <v/>
      </c>
      <c r="F1064" s="16" t="n"/>
      <c r="G1064" s="17">
        <f>IF($F1064="","",IFERROR(INDEX(rngEPname,MATCH($F1064,rngEPcode,0)),"?"))</f>
        <v/>
      </c>
      <c r="H1064" s="17">
        <f>IF($F1064="","",IFERROR(INDEX(rngEPtype,MATCH($F1064,rngEPcode,0)),"?"))</f>
        <v/>
      </c>
      <c r="I1064" s="17">
        <f>IF($F1064="","",IFERROR(INDEX(rngEPseq,MATCH($F1064,rngEPcode,0)),""))</f>
        <v/>
      </c>
      <c r="J1064" s="17">
        <f>IF($F1064="","",IFERROR(INDEX(rngEPpass,MATCH($F1064,rngEPcode,0)),cfgPassingScore))</f>
        <v/>
      </c>
      <c r="K1064" s="16" t="n"/>
      <c r="L1064" s="16" t="n"/>
      <c r="M1064" s="17">
        <f>IF($C1064="","",IF($L1064="","",IF(NOT(ISNUMBER($L1064)),$L1064,IF(N($K1064)&gt;2,"",IF($K1064=1,IF(COUNTIFS(nrES_PID,$D1064,nrES_Code,$F1064,nrES_Att,2,nrES_Raw,"&gt;=0")&gt;0,"",$L1064),IF($L1064&gt;=$J1064,MAX($J1064,cfgRetakeRecordedCap),IF(COUNTIFS(nrES_PID,$D1064,nrES_Code,$F1064,nrES_Att,1)=0,$L1064,SUMIFS(nrES_Raw,nrES_PID,$D1064,nrES_Code,$F1064,nrES_Att,1))))))))</f>
        <v/>
      </c>
      <c r="N1064" s="17">
        <f>IF($C1064="","",IF($L1064="","",IF(NOT(ISNUMBER($L1064)),"(not a score)",IF($L1064&gt;=$J1064,"Yes","No"))))</f>
        <v/>
      </c>
      <c r="O1064" s="17">
        <f>IF($C1064="","",IF($M1064="","",IF(NOT(ISNUMBER($M1064)),"(not a score)",IF($M1064&gt;=$J1064,"Yes","No"))))</f>
        <v/>
      </c>
      <c r="P1064" s="17">
        <f>IF($C1064="","",IF($K1064="","",IF(N($K1064)&gt;2,"No",IF(COUNTIFS(nrES_PID,$D1064,nrES_Code,$F1064,nrES_Att,"&gt;"&amp;$K1064,nrES_Att,"&lt;=2",nrES_Raw,"&gt;=0")=0,"Yes","No"))))</f>
        <v/>
      </c>
      <c r="Q1064" s="17">
        <f>IF($C1064="","",IF($L1064="","",IF(AND($K1064=1,ISNUMBER($L1064),$L1064&lt;$J1064,COUNTIFS(nrES_PID,$D1064,nrES_Code,$F1064,nrES_Att,2,nrES_Raw,"&gt;=0")=0),"Yes","No")))</f>
        <v/>
      </c>
      <c r="R1064" s="17">
        <f>IF($C1064="","",IF($L1064="","",IF(AND(N($K1064)&gt;=2,ISNUMBER($L1064),$L1064&lt;$J1064),"Yes","No")))</f>
        <v/>
      </c>
      <c r="S1064" s="18" t="n"/>
      <c r="T1064" s="19">
        <f>IF(OR($C1064="",$L1064="",$K1064&lt;&gt;1,NOT(ISNUMBER($L1064)),$L1064&gt;=$J1064),"",IF($S1064="","(enter date)",_xlfn.LET(_xlpm.dn,_xlfn.XLOOKUP($S1064,nrCDdate,nrCDnum,"",1),IF(_xlpm.dn="","(after last class day)",_xlfn.LET(_xlpm.dd,_xlfn.XLOOKUP(_xlpm.dn+cfgRetestClassDays,nrCDnum,nrCDdate,""),_xlpm.ok,_xlfn.XLOOKUP(_xlpm.dn+cfgRetestClassDays,nrCDnum,nrCDinsession,"No"),IF(OR(_xlpm.dd="",_xlpm.ok&lt;&gt;"Yes"),"(after last class day)",_xlpm.dd))))))</f>
        <v/>
      </c>
      <c r="U1064" s="17">
        <f>IF($C1064="","",IF(AND($Y1064="Excused",$L1064="",N($K1064)&lt;=1),"EXCUSED - 1st attempt pending",IF(OR($L1064="",$K1064&lt;&gt;1,NOT(ISNUMBER($L1064)),$L1064&gt;=$J1064),"",IF(COUNTIFS(nrES_PID,$D1064,nrES_Code,$F1064,nrES_Att,2,nrES_Raw,"&gt;=0")&gt;0,IF(IFERROR(_xlfn.MINIFS(nrES_Date,nrES_PID,$D1064,nrES_Code,$F1064,nrES_Att,2,nrES_Raw,"&gt;=0",nrES_Date,"&gt;0"),0)=0,"RETEST UNDATED",IF(NOT(ISNUMBER($T1064)),"RETEST DATE UNCHECKED",IF(_xlfn.MINIFS(nrES_Date,nrES_PID,$D1064,nrES_Code,$F1064,nrES_Att,2,nrES_Raw,"&gt;=0",nrES_Date,"&gt;0")&gt;$T1064,"LATE RETEST "&amp;TEXT(_xlfn.MINIFS(nrES_Date,nrES_PID,$D1064,nrES_Code,$F1064,nrES_Att,2,nrES_Raw,"&gt;=0",nrES_Date,"&gt;0"),"mm/dd")&amp;" (due "&amp;TEXT($T1064,"mm/dd")&amp;")","Retested"))),IF(NOT(ISNUMBER($T1064)),"CHECK DATE",IF(TODAY()&gt;$T1064,"OVERDUE","Due "&amp;TEXT($T1064,"mm/dd")))))))</f>
        <v/>
      </c>
      <c r="V1064" s="16" t="n"/>
      <c r="W1064" s="16" t="n"/>
      <c r="X1064" s="17">
        <f>IF($C1064="","",IF(AND($L1064&lt;&gt;"",NOT(ISNUMBER($L1064))),"RAW SCORE NOT A NUMBER",IF(AND(ISNUMBER($L1064),OR($L1064&lt;0,$L1064&gt;100)),"RAW SCORE OUT OF RANGE",IF(AND($Y1064="Unexcused",OR($L1064="",NOT(ISNUMBER($L1064)),$L1064&lt;&gt;0)),"UNEXCUSED ABSENCE MUST RECORD 0",IF(COUNTIF(nrES_RecID,$B1064)&gt;1,"DUPLICATE RECORD",IF(N($K1064)&gt;2,"ATTEMPT 3+ NOT ALLOWED - policy 300.5 permits one retest per exam; this row records nothing",IF(AND($K1064=2,COUNTIFS(nrES_PID,$D1064,nrES_Code,$F1064,nrES_Att,1)=0),"ATTEMPT 2 WITHOUT ATTEMPT 1",IF(AND($K1064=2,$L1064=""),"RETEST ROW HAS NO SCORE",IF(AND($H1064="Final",$L1064&lt;&gt;"",IFERROR(INDEX(nrCKfinalExamElig,MATCH($D1064,rngCadetPIDs,0)),"")="No"),"FINAL EXAM AFTER FAILED FINAL PT (500.1.H)",IF(AND($K1064=2,ISNUMBER($L1064),COUNTIFS(nrES_PID,$D1064,nrES_Code,$F1064,nrES_Att,1)&gt;0,SUMIFS(nrES_Raw,nrES_PID,$D1064,nrES_Code,$F1064,nrES_Att,1)&gt;=$J1064),"RETEST AFTER A PASSING FIRST ATTEMPT","OK"))))))))))</f>
        <v/>
      </c>
      <c r="Y1064" s="16" t="n"/>
    </row>
    <row r="1065">
      <c r="B1065" s="17">
        <f>IF($C1065="","",$D1065&amp;"-"&amp;$F1065&amp;"-"&amp;$K1065)</f>
        <v/>
      </c>
      <c r="C1065" s="16" t="n"/>
      <c r="D1065" s="17">
        <f>IF($C1065="","",IFERROR(INDEX(rngCadetPIDs,MATCH($C1065,rngCadetNames,0)),"?"))</f>
        <v/>
      </c>
      <c r="E1065" s="17">
        <f>IF($D1065="","",IFERROR(INDEX(nrCadetAgency,MATCH($D1065,rngCadetPIDs,0)),""))</f>
        <v/>
      </c>
      <c r="F1065" s="16" t="n"/>
      <c r="G1065" s="17">
        <f>IF($F1065="","",IFERROR(INDEX(rngEPname,MATCH($F1065,rngEPcode,0)),"?"))</f>
        <v/>
      </c>
      <c r="H1065" s="17">
        <f>IF($F1065="","",IFERROR(INDEX(rngEPtype,MATCH($F1065,rngEPcode,0)),"?"))</f>
        <v/>
      </c>
      <c r="I1065" s="17">
        <f>IF($F1065="","",IFERROR(INDEX(rngEPseq,MATCH($F1065,rngEPcode,0)),""))</f>
        <v/>
      </c>
      <c r="J1065" s="17">
        <f>IF($F1065="","",IFERROR(INDEX(rngEPpass,MATCH($F1065,rngEPcode,0)),cfgPassingScore))</f>
        <v/>
      </c>
      <c r="K1065" s="16" t="n"/>
      <c r="L1065" s="16" t="n"/>
      <c r="M1065" s="17">
        <f>IF($C1065="","",IF($L1065="","",IF(NOT(ISNUMBER($L1065)),$L1065,IF(N($K1065)&gt;2,"",IF($K1065=1,IF(COUNTIFS(nrES_PID,$D1065,nrES_Code,$F1065,nrES_Att,2,nrES_Raw,"&gt;=0")&gt;0,"",$L1065),IF($L1065&gt;=$J1065,MAX($J1065,cfgRetakeRecordedCap),IF(COUNTIFS(nrES_PID,$D1065,nrES_Code,$F1065,nrES_Att,1)=0,$L1065,SUMIFS(nrES_Raw,nrES_PID,$D1065,nrES_Code,$F1065,nrES_Att,1))))))))</f>
        <v/>
      </c>
      <c r="N1065" s="17">
        <f>IF($C1065="","",IF($L1065="","",IF(NOT(ISNUMBER($L1065)),"(not a score)",IF($L1065&gt;=$J1065,"Yes","No"))))</f>
        <v/>
      </c>
      <c r="O1065" s="17">
        <f>IF($C1065="","",IF($M1065="","",IF(NOT(ISNUMBER($M1065)),"(not a score)",IF($M1065&gt;=$J1065,"Yes","No"))))</f>
        <v/>
      </c>
      <c r="P1065" s="17">
        <f>IF($C1065="","",IF($K1065="","",IF(N($K1065)&gt;2,"No",IF(COUNTIFS(nrES_PID,$D1065,nrES_Code,$F1065,nrES_Att,"&gt;"&amp;$K1065,nrES_Att,"&lt;=2",nrES_Raw,"&gt;=0")=0,"Yes","No"))))</f>
        <v/>
      </c>
      <c r="Q1065" s="17">
        <f>IF($C1065="","",IF($L1065="","",IF(AND($K1065=1,ISNUMBER($L1065),$L1065&lt;$J1065,COUNTIFS(nrES_PID,$D1065,nrES_Code,$F1065,nrES_Att,2,nrES_Raw,"&gt;=0")=0),"Yes","No")))</f>
        <v/>
      </c>
      <c r="R1065" s="17">
        <f>IF($C1065="","",IF($L1065="","",IF(AND(N($K1065)&gt;=2,ISNUMBER($L1065),$L1065&lt;$J1065),"Yes","No")))</f>
        <v/>
      </c>
      <c r="S1065" s="18" t="n"/>
      <c r="T1065" s="19">
        <f>IF(OR($C1065="",$L1065="",$K1065&lt;&gt;1,NOT(ISNUMBER($L1065)),$L1065&gt;=$J1065),"",IF($S1065="","(enter date)",_xlfn.LET(_xlpm.dn,_xlfn.XLOOKUP($S1065,nrCDdate,nrCDnum,"",1),IF(_xlpm.dn="","(after last class day)",_xlfn.LET(_xlpm.dd,_xlfn.XLOOKUP(_xlpm.dn+cfgRetestClassDays,nrCDnum,nrCDdate,""),_xlpm.ok,_xlfn.XLOOKUP(_xlpm.dn+cfgRetestClassDays,nrCDnum,nrCDinsession,"No"),IF(OR(_xlpm.dd="",_xlpm.ok&lt;&gt;"Yes"),"(after last class day)",_xlpm.dd))))))</f>
        <v/>
      </c>
      <c r="U1065" s="17">
        <f>IF($C1065="","",IF(AND($Y1065="Excused",$L1065="",N($K1065)&lt;=1),"EXCUSED - 1st attempt pending",IF(OR($L1065="",$K1065&lt;&gt;1,NOT(ISNUMBER($L1065)),$L1065&gt;=$J1065),"",IF(COUNTIFS(nrES_PID,$D1065,nrES_Code,$F1065,nrES_Att,2,nrES_Raw,"&gt;=0")&gt;0,IF(IFERROR(_xlfn.MINIFS(nrES_Date,nrES_PID,$D1065,nrES_Code,$F1065,nrES_Att,2,nrES_Raw,"&gt;=0",nrES_Date,"&gt;0"),0)=0,"RETEST UNDATED",IF(NOT(ISNUMBER($T1065)),"RETEST DATE UNCHECKED",IF(_xlfn.MINIFS(nrES_Date,nrES_PID,$D1065,nrES_Code,$F1065,nrES_Att,2,nrES_Raw,"&gt;=0",nrES_Date,"&gt;0")&gt;$T1065,"LATE RETEST "&amp;TEXT(_xlfn.MINIFS(nrES_Date,nrES_PID,$D1065,nrES_Code,$F1065,nrES_Att,2,nrES_Raw,"&gt;=0",nrES_Date,"&gt;0"),"mm/dd")&amp;" (due "&amp;TEXT($T1065,"mm/dd")&amp;")","Retested"))),IF(NOT(ISNUMBER($T1065)),"CHECK DATE",IF(TODAY()&gt;$T1065,"OVERDUE","Due "&amp;TEXT($T1065,"mm/dd")))))))</f>
        <v/>
      </c>
      <c r="V1065" s="16" t="n"/>
      <c r="W1065" s="16" t="n"/>
      <c r="X1065" s="17">
        <f>IF($C1065="","",IF(AND($L1065&lt;&gt;"",NOT(ISNUMBER($L1065))),"RAW SCORE NOT A NUMBER",IF(AND(ISNUMBER($L1065),OR($L1065&lt;0,$L1065&gt;100)),"RAW SCORE OUT OF RANGE",IF(AND($Y1065="Unexcused",OR($L1065="",NOT(ISNUMBER($L1065)),$L1065&lt;&gt;0)),"UNEXCUSED ABSENCE MUST RECORD 0",IF(COUNTIF(nrES_RecID,$B1065)&gt;1,"DUPLICATE RECORD",IF(N($K1065)&gt;2,"ATTEMPT 3+ NOT ALLOWED - policy 300.5 permits one retest per exam; this row records nothing",IF(AND($K1065=2,COUNTIFS(nrES_PID,$D1065,nrES_Code,$F1065,nrES_Att,1)=0),"ATTEMPT 2 WITHOUT ATTEMPT 1",IF(AND($K1065=2,$L1065=""),"RETEST ROW HAS NO SCORE",IF(AND($H1065="Final",$L1065&lt;&gt;"",IFERROR(INDEX(nrCKfinalExamElig,MATCH($D1065,rngCadetPIDs,0)),"")="No"),"FINAL EXAM AFTER FAILED FINAL PT (500.1.H)",IF(AND($K1065=2,ISNUMBER($L1065),COUNTIFS(nrES_PID,$D1065,nrES_Code,$F1065,nrES_Att,1)&gt;0,SUMIFS(nrES_Raw,nrES_PID,$D1065,nrES_Code,$F1065,nrES_Att,1)&gt;=$J1065),"RETEST AFTER A PASSING FIRST ATTEMPT","OK"))))))))))</f>
        <v/>
      </c>
      <c r="Y1065" s="16" t="n"/>
    </row>
    <row r="1066">
      <c r="B1066" s="17">
        <f>IF($C1066="","",$D1066&amp;"-"&amp;$F1066&amp;"-"&amp;$K1066)</f>
        <v/>
      </c>
      <c r="C1066" s="16" t="n"/>
      <c r="D1066" s="17">
        <f>IF($C1066="","",IFERROR(INDEX(rngCadetPIDs,MATCH($C1066,rngCadetNames,0)),"?"))</f>
        <v/>
      </c>
      <c r="E1066" s="17">
        <f>IF($D1066="","",IFERROR(INDEX(nrCadetAgency,MATCH($D1066,rngCadetPIDs,0)),""))</f>
        <v/>
      </c>
      <c r="F1066" s="16" t="n"/>
      <c r="G1066" s="17">
        <f>IF($F1066="","",IFERROR(INDEX(rngEPname,MATCH($F1066,rngEPcode,0)),"?"))</f>
        <v/>
      </c>
      <c r="H1066" s="17">
        <f>IF($F1066="","",IFERROR(INDEX(rngEPtype,MATCH($F1066,rngEPcode,0)),"?"))</f>
        <v/>
      </c>
      <c r="I1066" s="17">
        <f>IF($F1066="","",IFERROR(INDEX(rngEPseq,MATCH($F1066,rngEPcode,0)),""))</f>
        <v/>
      </c>
      <c r="J1066" s="17">
        <f>IF($F1066="","",IFERROR(INDEX(rngEPpass,MATCH($F1066,rngEPcode,0)),cfgPassingScore))</f>
        <v/>
      </c>
      <c r="K1066" s="16" t="n"/>
      <c r="L1066" s="16" t="n"/>
      <c r="M1066" s="17">
        <f>IF($C1066="","",IF($L1066="","",IF(NOT(ISNUMBER($L1066)),$L1066,IF(N($K1066)&gt;2,"",IF($K1066=1,IF(COUNTIFS(nrES_PID,$D1066,nrES_Code,$F1066,nrES_Att,2,nrES_Raw,"&gt;=0")&gt;0,"",$L1066),IF($L1066&gt;=$J1066,MAX($J1066,cfgRetakeRecordedCap),IF(COUNTIFS(nrES_PID,$D1066,nrES_Code,$F1066,nrES_Att,1)=0,$L1066,SUMIFS(nrES_Raw,nrES_PID,$D1066,nrES_Code,$F1066,nrES_Att,1))))))))</f>
        <v/>
      </c>
      <c r="N1066" s="17">
        <f>IF($C1066="","",IF($L1066="","",IF(NOT(ISNUMBER($L1066)),"(not a score)",IF($L1066&gt;=$J1066,"Yes","No"))))</f>
        <v/>
      </c>
      <c r="O1066" s="17">
        <f>IF($C1066="","",IF($M1066="","",IF(NOT(ISNUMBER($M1066)),"(not a score)",IF($M1066&gt;=$J1066,"Yes","No"))))</f>
        <v/>
      </c>
      <c r="P1066" s="17">
        <f>IF($C1066="","",IF($K1066="","",IF(N($K1066)&gt;2,"No",IF(COUNTIFS(nrES_PID,$D1066,nrES_Code,$F1066,nrES_Att,"&gt;"&amp;$K1066,nrES_Att,"&lt;=2",nrES_Raw,"&gt;=0")=0,"Yes","No"))))</f>
        <v/>
      </c>
      <c r="Q1066" s="17">
        <f>IF($C1066="","",IF($L1066="","",IF(AND($K1066=1,ISNUMBER($L1066),$L1066&lt;$J1066,COUNTIFS(nrES_PID,$D1066,nrES_Code,$F1066,nrES_Att,2,nrES_Raw,"&gt;=0")=0),"Yes","No")))</f>
        <v/>
      </c>
      <c r="R1066" s="17">
        <f>IF($C1066="","",IF($L1066="","",IF(AND(N($K1066)&gt;=2,ISNUMBER($L1066),$L1066&lt;$J1066),"Yes","No")))</f>
        <v/>
      </c>
      <c r="S1066" s="18" t="n"/>
      <c r="T1066" s="19">
        <f>IF(OR($C1066="",$L1066="",$K1066&lt;&gt;1,NOT(ISNUMBER($L1066)),$L1066&gt;=$J1066),"",IF($S1066="","(enter date)",_xlfn.LET(_xlpm.dn,_xlfn.XLOOKUP($S1066,nrCDdate,nrCDnum,"",1),IF(_xlpm.dn="","(after last class day)",_xlfn.LET(_xlpm.dd,_xlfn.XLOOKUP(_xlpm.dn+cfgRetestClassDays,nrCDnum,nrCDdate,""),_xlpm.ok,_xlfn.XLOOKUP(_xlpm.dn+cfgRetestClassDays,nrCDnum,nrCDinsession,"No"),IF(OR(_xlpm.dd="",_xlpm.ok&lt;&gt;"Yes"),"(after last class day)",_xlpm.dd))))))</f>
        <v/>
      </c>
      <c r="U1066" s="17">
        <f>IF($C1066="","",IF(AND($Y1066="Excused",$L1066="",N($K1066)&lt;=1),"EXCUSED - 1st attempt pending",IF(OR($L1066="",$K1066&lt;&gt;1,NOT(ISNUMBER($L1066)),$L1066&gt;=$J1066),"",IF(COUNTIFS(nrES_PID,$D1066,nrES_Code,$F1066,nrES_Att,2,nrES_Raw,"&gt;=0")&gt;0,IF(IFERROR(_xlfn.MINIFS(nrES_Date,nrES_PID,$D1066,nrES_Code,$F1066,nrES_Att,2,nrES_Raw,"&gt;=0",nrES_Date,"&gt;0"),0)=0,"RETEST UNDATED",IF(NOT(ISNUMBER($T1066)),"RETEST DATE UNCHECKED",IF(_xlfn.MINIFS(nrES_Date,nrES_PID,$D1066,nrES_Code,$F1066,nrES_Att,2,nrES_Raw,"&gt;=0",nrES_Date,"&gt;0")&gt;$T1066,"LATE RETEST "&amp;TEXT(_xlfn.MINIFS(nrES_Date,nrES_PID,$D1066,nrES_Code,$F1066,nrES_Att,2,nrES_Raw,"&gt;=0",nrES_Date,"&gt;0"),"mm/dd")&amp;" (due "&amp;TEXT($T1066,"mm/dd")&amp;")","Retested"))),IF(NOT(ISNUMBER($T1066)),"CHECK DATE",IF(TODAY()&gt;$T1066,"OVERDUE","Due "&amp;TEXT($T1066,"mm/dd")))))))</f>
        <v/>
      </c>
      <c r="V1066" s="16" t="n"/>
      <c r="W1066" s="16" t="n"/>
      <c r="X1066" s="17">
        <f>IF($C1066="","",IF(AND($L1066&lt;&gt;"",NOT(ISNUMBER($L1066))),"RAW SCORE NOT A NUMBER",IF(AND(ISNUMBER($L1066),OR($L1066&lt;0,$L1066&gt;100)),"RAW SCORE OUT OF RANGE",IF(AND($Y1066="Unexcused",OR($L1066="",NOT(ISNUMBER($L1066)),$L1066&lt;&gt;0)),"UNEXCUSED ABSENCE MUST RECORD 0",IF(COUNTIF(nrES_RecID,$B1066)&gt;1,"DUPLICATE RECORD",IF(N($K1066)&gt;2,"ATTEMPT 3+ NOT ALLOWED - policy 300.5 permits one retest per exam; this row records nothing",IF(AND($K1066=2,COUNTIFS(nrES_PID,$D1066,nrES_Code,$F1066,nrES_Att,1)=0),"ATTEMPT 2 WITHOUT ATTEMPT 1",IF(AND($K1066=2,$L1066=""),"RETEST ROW HAS NO SCORE",IF(AND($H1066="Final",$L1066&lt;&gt;"",IFERROR(INDEX(nrCKfinalExamElig,MATCH($D1066,rngCadetPIDs,0)),"")="No"),"FINAL EXAM AFTER FAILED FINAL PT (500.1.H)",IF(AND($K1066=2,ISNUMBER($L1066),COUNTIFS(nrES_PID,$D1066,nrES_Code,$F1066,nrES_Att,1)&gt;0,SUMIFS(nrES_Raw,nrES_PID,$D1066,nrES_Code,$F1066,nrES_Att,1)&gt;=$J1066),"RETEST AFTER A PASSING FIRST ATTEMPT","OK"))))))))))</f>
        <v/>
      </c>
      <c r="Y1066" s="16" t="n"/>
    </row>
    <row r="1067">
      <c r="B1067" s="17">
        <f>IF($C1067="","",$D1067&amp;"-"&amp;$F1067&amp;"-"&amp;$K1067)</f>
        <v/>
      </c>
      <c r="C1067" s="16" t="n"/>
      <c r="D1067" s="17">
        <f>IF($C1067="","",IFERROR(INDEX(rngCadetPIDs,MATCH($C1067,rngCadetNames,0)),"?"))</f>
        <v/>
      </c>
      <c r="E1067" s="17">
        <f>IF($D1067="","",IFERROR(INDEX(nrCadetAgency,MATCH($D1067,rngCadetPIDs,0)),""))</f>
        <v/>
      </c>
      <c r="F1067" s="16" t="n"/>
      <c r="G1067" s="17">
        <f>IF($F1067="","",IFERROR(INDEX(rngEPname,MATCH($F1067,rngEPcode,0)),"?"))</f>
        <v/>
      </c>
      <c r="H1067" s="17">
        <f>IF($F1067="","",IFERROR(INDEX(rngEPtype,MATCH($F1067,rngEPcode,0)),"?"))</f>
        <v/>
      </c>
      <c r="I1067" s="17">
        <f>IF($F1067="","",IFERROR(INDEX(rngEPseq,MATCH($F1067,rngEPcode,0)),""))</f>
        <v/>
      </c>
      <c r="J1067" s="17">
        <f>IF($F1067="","",IFERROR(INDEX(rngEPpass,MATCH($F1067,rngEPcode,0)),cfgPassingScore))</f>
        <v/>
      </c>
      <c r="K1067" s="16" t="n"/>
      <c r="L1067" s="16" t="n"/>
      <c r="M1067" s="17">
        <f>IF($C1067="","",IF($L1067="","",IF(NOT(ISNUMBER($L1067)),$L1067,IF(N($K1067)&gt;2,"",IF($K1067=1,IF(COUNTIFS(nrES_PID,$D1067,nrES_Code,$F1067,nrES_Att,2,nrES_Raw,"&gt;=0")&gt;0,"",$L1067),IF($L1067&gt;=$J1067,MAX($J1067,cfgRetakeRecordedCap),IF(COUNTIFS(nrES_PID,$D1067,nrES_Code,$F1067,nrES_Att,1)=0,$L1067,SUMIFS(nrES_Raw,nrES_PID,$D1067,nrES_Code,$F1067,nrES_Att,1))))))))</f>
        <v/>
      </c>
      <c r="N1067" s="17">
        <f>IF($C1067="","",IF($L1067="","",IF(NOT(ISNUMBER($L1067)),"(not a score)",IF($L1067&gt;=$J1067,"Yes","No"))))</f>
        <v/>
      </c>
      <c r="O1067" s="17">
        <f>IF($C1067="","",IF($M1067="","",IF(NOT(ISNUMBER($M1067)),"(not a score)",IF($M1067&gt;=$J1067,"Yes","No"))))</f>
        <v/>
      </c>
      <c r="P1067" s="17">
        <f>IF($C1067="","",IF($K1067="","",IF(N($K1067)&gt;2,"No",IF(COUNTIFS(nrES_PID,$D1067,nrES_Code,$F1067,nrES_Att,"&gt;"&amp;$K1067,nrES_Att,"&lt;=2",nrES_Raw,"&gt;=0")=0,"Yes","No"))))</f>
        <v/>
      </c>
      <c r="Q1067" s="17">
        <f>IF($C1067="","",IF($L1067="","",IF(AND($K1067=1,ISNUMBER($L1067),$L1067&lt;$J1067,COUNTIFS(nrES_PID,$D1067,nrES_Code,$F1067,nrES_Att,2,nrES_Raw,"&gt;=0")=0),"Yes","No")))</f>
        <v/>
      </c>
      <c r="R1067" s="17">
        <f>IF($C1067="","",IF($L1067="","",IF(AND(N($K1067)&gt;=2,ISNUMBER($L1067),$L1067&lt;$J1067),"Yes","No")))</f>
        <v/>
      </c>
      <c r="S1067" s="18" t="n"/>
      <c r="T1067" s="19">
        <f>IF(OR($C1067="",$L1067="",$K1067&lt;&gt;1,NOT(ISNUMBER($L1067)),$L1067&gt;=$J1067),"",IF($S1067="","(enter date)",_xlfn.LET(_xlpm.dn,_xlfn.XLOOKUP($S1067,nrCDdate,nrCDnum,"",1),IF(_xlpm.dn="","(after last class day)",_xlfn.LET(_xlpm.dd,_xlfn.XLOOKUP(_xlpm.dn+cfgRetestClassDays,nrCDnum,nrCDdate,""),_xlpm.ok,_xlfn.XLOOKUP(_xlpm.dn+cfgRetestClassDays,nrCDnum,nrCDinsession,"No"),IF(OR(_xlpm.dd="",_xlpm.ok&lt;&gt;"Yes"),"(after last class day)",_xlpm.dd))))))</f>
        <v/>
      </c>
      <c r="U1067" s="17">
        <f>IF($C1067="","",IF(AND($Y1067="Excused",$L1067="",N($K1067)&lt;=1),"EXCUSED - 1st attempt pending",IF(OR($L1067="",$K1067&lt;&gt;1,NOT(ISNUMBER($L1067)),$L1067&gt;=$J1067),"",IF(COUNTIFS(nrES_PID,$D1067,nrES_Code,$F1067,nrES_Att,2,nrES_Raw,"&gt;=0")&gt;0,IF(IFERROR(_xlfn.MINIFS(nrES_Date,nrES_PID,$D1067,nrES_Code,$F1067,nrES_Att,2,nrES_Raw,"&gt;=0",nrES_Date,"&gt;0"),0)=0,"RETEST UNDATED",IF(NOT(ISNUMBER($T1067)),"RETEST DATE UNCHECKED",IF(_xlfn.MINIFS(nrES_Date,nrES_PID,$D1067,nrES_Code,$F1067,nrES_Att,2,nrES_Raw,"&gt;=0",nrES_Date,"&gt;0")&gt;$T1067,"LATE RETEST "&amp;TEXT(_xlfn.MINIFS(nrES_Date,nrES_PID,$D1067,nrES_Code,$F1067,nrES_Att,2,nrES_Raw,"&gt;=0",nrES_Date,"&gt;0"),"mm/dd")&amp;" (due "&amp;TEXT($T1067,"mm/dd")&amp;")","Retested"))),IF(NOT(ISNUMBER($T1067)),"CHECK DATE",IF(TODAY()&gt;$T1067,"OVERDUE","Due "&amp;TEXT($T1067,"mm/dd")))))))</f>
        <v/>
      </c>
      <c r="V1067" s="16" t="n"/>
      <c r="W1067" s="16" t="n"/>
      <c r="X1067" s="17">
        <f>IF($C1067="","",IF(AND($L1067&lt;&gt;"",NOT(ISNUMBER($L1067))),"RAW SCORE NOT A NUMBER",IF(AND(ISNUMBER($L1067),OR($L1067&lt;0,$L1067&gt;100)),"RAW SCORE OUT OF RANGE",IF(AND($Y1067="Unexcused",OR($L1067="",NOT(ISNUMBER($L1067)),$L1067&lt;&gt;0)),"UNEXCUSED ABSENCE MUST RECORD 0",IF(COUNTIF(nrES_RecID,$B1067)&gt;1,"DUPLICATE RECORD",IF(N($K1067)&gt;2,"ATTEMPT 3+ NOT ALLOWED - policy 300.5 permits one retest per exam; this row records nothing",IF(AND($K1067=2,COUNTIFS(nrES_PID,$D1067,nrES_Code,$F1067,nrES_Att,1)=0),"ATTEMPT 2 WITHOUT ATTEMPT 1",IF(AND($K1067=2,$L1067=""),"RETEST ROW HAS NO SCORE",IF(AND($H1067="Final",$L1067&lt;&gt;"",IFERROR(INDEX(nrCKfinalExamElig,MATCH($D1067,rngCadetPIDs,0)),"")="No"),"FINAL EXAM AFTER FAILED FINAL PT (500.1.H)",IF(AND($K1067=2,ISNUMBER($L1067),COUNTIFS(nrES_PID,$D1067,nrES_Code,$F1067,nrES_Att,1)&gt;0,SUMIFS(nrES_Raw,nrES_PID,$D1067,nrES_Code,$F1067,nrES_Att,1)&gt;=$J1067),"RETEST AFTER A PASSING FIRST ATTEMPT","OK"))))))))))</f>
        <v/>
      </c>
      <c r="Y1067" s="16" t="n"/>
    </row>
    <row r="1068">
      <c r="B1068" s="17">
        <f>IF($C1068="","",$D1068&amp;"-"&amp;$F1068&amp;"-"&amp;$K1068)</f>
        <v/>
      </c>
      <c r="C1068" s="16" t="n"/>
      <c r="D1068" s="17">
        <f>IF($C1068="","",IFERROR(INDEX(rngCadetPIDs,MATCH($C1068,rngCadetNames,0)),"?"))</f>
        <v/>
      </c>
      <c r="E1068" s="17">
        <f>IF($D1068="","",IFERROR(INDEX(nrCadetAgency,MATCH($D1068,rngCadetPIDs,0)),""))</f>
        <v/>
      </c>
      <c r="F1068" s="16" t="n"/>
      <c r="G1068" s="17">
        <f>IF($F1068="","",IFERROR(INDEX(rngEPname,MATCH($F1068,rngEPcode,0)),"?"))</f>
        <v/>
      </c>
      <c r="H1068" s="17">
        <f>IF($F1068="","",IFERROR(INDEX(rngEPtype,MATCH($F1068,rngEPcode,0)),"?"))</f>
        <v/>
      </c>
      <c r="I1068" s="17">
        <f>IF($F1068="","",IFERROR(INDEX(rngEPseq,MATCH($F1068,rngEPcode,0)),""))</f>
        <v/>
      </c>
      <c r="J1068" s="17">
        <f>IF($F1068="","",IFERROR(INDEX(rngEPpass,MATCH($F1068,rngEPcode,0)),cfgPassingScore))</f>
        <v/>
      </c>
      <c r="K1068" s="16" t="n"/>
      <c r="L1068" s="16" t="n"/>
      <c r="M1068" s="17">
        <f>IF($C1068="","",IF($L1068="","",IF(NOT(ISNUMBER($L1068)),$L1068,IF(N($K1068)&gt;2,"",IF($K1068=1,IF(COUNTIFS(nrES_PID,$D1068,nrES_Code,$F1068,nrES_Att,2,nrES_Raw,"&gt;=0")&gt;0,"",$L1068),IF($L1068&gt;=$J1068,MAX($J1068,cfgRetakeRecordedCap),IF(COUNTIFS(nrES_PID,$D1068,nrES_Code,$F1068,nrES_Att,1)=0,$L1068,SUMIFS(nrES_Raw,nrES_PID,$D1068,nrES_Code,$F1068,nrES_Att,1))))))))</f>
        <v/>
      </c>
      <c r="N1068" s="17">
        <f>IF($C1068="","",IF($L1068="","",IF(NOT(ISNUMBER($L1068)),"(not a score)",IF($L1068&gt;=$J1068,"Yes","No"))))</f>
        <v/>
      </c>
      <c r="O1068" s="17">
        <f>IF($C1068="","",IF($M1068="","",IF(NOT(ISNUMBER($M1068)),"(not a score)",IF($M1068&gt;=$J1068,"Yes","No"))))</f>
        <v/>
      </c>
      <c r="P1068" s="17">
        <f>IF($C1068="","",IF($K1068="","",IF(N($K1068)&gt;2,"No",IF(COUNTIFS(nrES_PID,$D1068,nrES_Code,$F1068,nrES_Att,"&gt;"&amp;$K1068,nrES_Att,"&lt;=2",nrES_Raw,"&gt;=0")=0,"Yes","No"))))</f>
        <v/>
      </c>
      <c r="Q1068" s="17">
        <f>IF($C1068="","",IF($L1068="","",IF(AND($K1068=1,ISNUMBER($L1068),$L1068&lt;$J1068,COUNTIFS(nrES_PID,$D1068,nrES_Code,$F1068,nrES_Att,2,nrES_Raw,"&gt;=0")=0),"Yes","No")))</f>
        <v/>
      </c>
      <c r="R1068" s="17">
        <f>IF($C1068="","",IF($L1068="","",IF(AND(N($K1068)&gt;=2,ISNUMBER($L1068),$L1068&lt;$J1068),"Yes","No")))</f>
        <v/>
      </c>
      <c r="S1068" s="18" t="n"/>
      <c r="T1068" s="19">
        <f>IF(OR($C1068="",$L1068="",$K1068&lt;&gt;1,NOT(ISNUMBER($L1068)),$L1068&gt;=$J1068),"",IF($S1068="","(enter date)",_xlfn.LET(_xlpm.dn,_xlfn.XLOOKUP($S1068,nrCDdate,nrCDnum,"",1),IF(_xlpm.dn="","(after last class day)",_xlfn.LET(_xlpm.dd,_xlfn.XLOOKUP(_xlpm.dn+cfgRetestClassDays,nrCDnum,nrCDdate,""),_xlpm.ok,_xlfn.XLOOKUP(_xlpm.dn+cfgRetestClassDays,nrCDnum,nrCDinsession,"No"),IF(OR(_xlpm.dd="",_xlpm.ok&lt;&gt;"Yes"),"(after last class day)",_xlpm.dd))))))</f>
        <v/>
      </c>
      <c r="U1068" s="17">
        <f>IF($C1068="","",IF(AND($Y1068="Excused",$L1068="",N($K1068)&lt;=1),"EXCUSED - 1st attempt pending",IF(OR($L1068="",$K1068&lt;&gt;1,NOT(ISNUMBER($L1068)),$L1068&gt;=$J1068),"",IF(COUNTIFS(nrES_PID,$D1068,nrES_Code,$F1068,nrES_Att,2,nrES_Raw,"&gt;=0")&gt;0,IF(IFERROR(_xlfn.MINIFS(nrES_Date,nrES_PID,$D1068,nrES_Code,$F1068,nrES_Att,2,nrES_Raw,"&gt;=0",nrES_Date,"&gt;0"),0)=0,"RETEST UNDATED",IF(NOT(ISNUMBER($T1068)),"RETEST DATE UNCHECKED",IF(_xlfn.MINIFS(nrES_Date,nrES_PID,$D1068,nrES_Code,$F1068,nrES_Att,2,nrES_Raw,"&gt;=0",nrES_Date,"&gt;0")&gt;$T1068,"LATE RETEST "&amp;TEXT(_xlfn.MINIFS(nrES_Date,nrES_PID,$D1068,nrES_Code,$F1068,nrES_Att,2,nrES_Raw,"&gt;=0",nrES_Date,"&gt;0"),"mm/dd")&amp;" (due "&amp;TEXT($T1068,"mm/dd")&amp;")","Retested"))),IF(NOT(ISNUMBER($T1068)),"CHECK DATE",IF(TODAY()&gt;$T1068,"OVERDUE","Due "&amp;TEXT($T1068,"mm/dd")))))))</f>
        <v/>
      </c>
      <c r="V1068" s="16" t="n"/>
      <c r="W1068" s="16" t="n"/>
      <c r="X1068" s="17">
        <f>IF($C1068="","",IF(AND($L1068&lt;&gt;"",NOT(ISNUMBER($L1068))),"RAW SCORE NOT A NUMBER",IF(AND(ISNUMBER($L1068),OR($L1068&lt;0,$L1068&gt;100)),"RAW SCORE OUT OF RANGE",IF(AND($Y1068="Unexcused",OR($L1068="",NOT(ISNUMBER($L1068)),$L1068&lt;&gt;0)),"UNEXCUSED ABSENCE MUST RECORD 0",IF(COUNTIF(nrES_RecID,$B1068)&gt;1,"DUPLICATE RECORD",IF(N($K1068)&gt;2,"ATTEMPT 3+ NOT ALLOWED - policy 300.5 permits one retest per exam; this row records nothing",IF(AND($K1068=2,COUNTIFS(nrES_PID,$D1068,nrES_Code,$F1068,nrES_Att,1)=0),"ATTEMPT 2 WITHOUT ATTEMPT 1",IF(AND($K1068=2,$L1068=""),"RETEST ROW HAS NO SCORE",IF(AND($H1068="Final",$L1068&lt;&gt;"",IFERROR(INDEX(nrCKfinalExamElig,MATCH($D1068,rngCadetPIDs,0)),"")="No"),"FINAL EXAM AFTER FAILED FINAL PT (500.1.H)",IF(AND($K1068=2,ISNUMBER($L1068),COUNTIFS(nrES_PID,$D1068,nrES_Code,$F1068,nrES_Att,1)&gt;0,SUMIFS(nrES_Raw,nrES_PID,$D1068,nrES_Code,$F1068,nrES_Att,1)&gt;=$J1068),"RETEST AFTER A PASSING FIRST ATTEMPT","OK"))))))))))</f>
        <v/>
      </c>
      <c r="Y1068" s="16" t="n"/>
    </row>
    <row r="1069">
      <c r="B1069" s="17">
        <f>IF($C1069="","",$D1069&amp;"-"&amp;$F1069&amp;"-"&amp;$K1069)</f>
        <v/>
      </c>
      <c r="C1069" s="16" t="n"/>
      <c r="D1069" s="17">
        <f>IF($C1069="","",IFERROR(INDEX(rngCadetPIDs,MATCH($C1069,rngCadetNames,0)),"?"))</f>
        <v/>
      </c>
      <c r="E1069" s="17">
        <f>IF($D1069="","",IFERROR(INDEX(nrCadetAgency,MATCH($D1069,rngCadetPIDs,0)),""))</f>
        <v/>
      </c>
      <c r="F1069" s="16" t="n"/>
      <c r="G1069" s="17">
        <f>IF($F1069="","",IFERROR(INDEX(rngEPname,MATCH($F1069,rngEPcode,0)),"?"))</f>
        <v/>
      </c>
      <c r="H1069" s="17">
        <f>IF($F1069="","",IFERROR(INDEX(rngEPtype,MATCH($F1069,rngEPcode,0)),"?"))</f>
        <v/>
      </c>
      <c r="I1069" s="17">
        <f>IF($F1069="","",IFERROR(INDEX(rngEPseq,MATCH($F1069,rngEPcode,0)),""))</f>
        <v/>
      </c>
      <c r="J1069" s="17">
        <f>IF($F1069="","",IFERROR(INDEX(rngEPpass,MATCH($F1069,rngEPcode,0)),cfgPassingScore))</f>
        <v/>
      </c>
      <c r="K1069" s="16" t="n"/>
      <c r="L1069" s="16" t="n"/>
      <c r="M1069" s="17">
        <f>IF($C1069="","",IF($L1069="","",IF(NOT(ISNUMBER($L1069)),$L1069,IF(N($K1069)&gt;2,"",IF($K1069=1,IF(COUNTIFS(nrES_PID,$D1069,nrES_Code,$F1069,nrES_Att,2,nrES_Raw,"&gt;=0")&gt;0,"",$L1069),IF($L1069&gt;=$J1069,MAX($J1069,cfgRetakeRecordedCap),IF(COUNTIFS(nrES_PID,$D1069,nrES_Code,$F1069,nrES_Att,1)=0,$L1069,SUMIFS(nrES_Raw,nrES_PID,$D1069,nrES_Code,$F1069,nrES_Att,1))))))))</f>
        <v/>
      </c>
      <c r="N1069" s="17">
        <f>IF($C1069="","",IF($L1069="","",IF(NOT(ISNUMBER($L1069)),"(not a score)",IF($L1069&gt;=$J1069,"Yes","No"))))</f>
        <v/>
      </c>
      <c r="O1069" s="17">
        <f>IF($C1069="","",IF($M1069="","",IF(NOT(ISNUMBER($M1069)),"(not a score)",IF($M1069&gt;=$J1069,"Yes","No"))))</f>
        <v/>
      </c>
      <c r="P1069" s="17">
        <f>IF($C1069="","",IF($K1069="","",IF(N($K1069)&gt;2,"No",IF(COUNTIFS(nrES_PID,$D1069,nrES_Code,$F1069,nrES_Att,"&gt;"&amp;$K1069,nrES_Att,"&lt;=2",nrES_Raw,"&gt;=0")=0,"Yes","No"))))</f>
        <v/>
      </c>
      <c r="Q1069" s="17">
        <f>IF($C1069="","",IF($L1069="","",IF(AND($K1069=1,ISNUMBER($L1069),$L1069&lt;$J1069,COUNTIFS(nrES_PID,$D1069,nrES_Code,$F1069,nrES_Att,2,nrES_Raw,"&gt;=0")=0),"Yes","No")))</f>
        <v/>
      </c>
      <c r="R1069" s="17">
        <f>IF($C1069="","",IF($L1069="","",IF(AND(N($K1069)&gt;=2,ISNUMBER($L1069),$L1069&lt;$J1069),"Yes","No")))</f>
        <v/>
      </c>
      <c r="S1069" s="18" t="n"/>
      <c r="T1069" s="19">
        <f>IF(OR($C1069="",$L1069="",$K1069&lt;&gt;1,NOT(ISNUMBER($L1069)),$L1069&gt;=$J1069),"",IF($S1069="","(enter date)",_xlfn.LET(_xlpm.dn,_xlfn.XLOOKUP($S1069,nrCDdate,nrCDnum,"",1),IF(_xlpm.dn="","(after last class day)",_xlfn.LET(_xlpm.dd,_xlfn.XLOOKUP(_xlpm.dn+cfgRetestClassDays,nrCDnum,nrCDdate,""),_xlpm.ok,_xlfn.XLOOKUP(_xlpm.dn+cfgRetestClassDays,nrCDnum,nrCDinsession,"No"),IF(OR(_xlpm.dd="",_xlpm.ok&lt;&gt;"Yes"),"(after last class day)",_xlpm.dd))))))</f>
        <v/>
      </c>
      <c r="U1069" s="17">
        <f>IF($C1069="","",IF(AND($Y1069="Excused",$L1069="",N($K1069)&lt;=1),"EXCUSED - 1st attempt pending",IF(OR($L1069="",$K1069&lt;&gt;1,NOT(ISNUMBER($L1069)),$L1069&gt;=$J1069),"",IF(COUNTIFS(nrES_PID,$D1069,nrES_Code,$F1069,nrES_Att,2,nrES_Raw,"&gt;=0")&gt;0,IF(IFERROR(_xlfn.MINIFS(nrES_Date,nrES_PID,$D1069,nrES_Code,$F1069,nrES_Att,2,nrES_Raw,"&gt;=0",nrES_Date,"&gt;0"),0)=0,"RETEST UNDATED",IF(NOT(ISNUMBER($T1069)),"RETEST DATE UNCHECKED",IF(_xlfn.MINIFS(nrES_Date,nrES_PID,$D1069,nrES_Code,$F1069,nrES_Att,2,nrES_Raw,"&gt;=0",nrES_Date,"&gt;0")&gt;$T1069,"LATE RETEST "&amp;TEXT(_xlfn.MINIFS(nrES_Date,nrES_PID,$D1069,nrES_Code,$F1069,nrES_Att,2,nrES_Raw,"&gt;=0",nrES_Date,"&gt;0"),"mm/dd")&amp;" (due "&amp;TEXT($T1069,"mm/dd")&amp;")","Retested"))),IF(NOT(ISNUMBER($T1069)),"CHECK DATE",IF(TODAY()&gt;$T1069,"OVERDUE","Due "&amp;TEXT($T1069,"mm/dd")))))))</f>
        <v/>
      </c>
      <c r="V1069" s="16" t="n"/>
      <c r="W1069" s="16" t="n"/>
      <c r="X1069" s="17">
        <f>IF($C1069="","",IF(AND($L1069&lt;&gt;"",NOT(ISNUMBER($L1069))),"RAW SCORE NOT A NUMBER",IF(AND(ISNUMBER($L1069),OR($L1069&lt;0,$L1069&gt;100)),"RAW SCORE OUT OF RANGE",IF(AND($Y1069="Unexcused",OR($L1069="",NOT(ISNUMBER($L1069)),$L1069&lt;&gt;0)),"UNEXCUSED ABSENCE MUST RECORD 0",IF(COUNTIF(nrES_RecID,$B1069)&gt;1,"DUPLICATE RECORD",IF(N($K1069)&gt;2,"ATTEMPT 3+ NOT ALLOWED - policy 300.5 permits one retest per exam; this row records nothing",IF(AND($K1069=2,COUNTIFS(nrES_PID,$D1069,nrES_Code,$F1069,nrES_Att,1)=0),"ATTEMPT 2 WITHOUT ATTEMPT 1",IF(AND($K1069=2,$L1069=""),"RETEST ROW HAS NO SCORE",IF(AND($H1069="Final",$L1069&lt;&gt;"",IFERROR(INDEX(nrCKfinalExamElig,MATCH($D1069,rngCadetPIDs,0)),"")="No"),"FINAL EXAM AFTER FAILED FINAL PT (500.1.H)",IF(AND($K1069=2,ISNUMBER($L1069),COUNTIFS(nrES_PID,$D1069,nrES_Code,$F1069,nrES_Att,1)&gt;0,SUMIFS(nrES_Raw,nrES_PID,$D1069,nrES_Code,$F1069,nrES_Att,1)&gt;=$J1069),"RETEST AFTER A PASSING FIRST ATTEMPT","OK"))))))))))</f>
        <v/>
      </c>
      <c r="Y1069" s="16" t="n"/>
    </row>
    <row r="1070">
      <c r="B1070" s="17">
        <f>IF($C1070="","",$D1070&amp;"-"&amp;$F1070&amp;"-"&amp;$K1070)</f>
        <v/>
      </c>
      <c r="C1070" s="16" t="n"/>
      <c r="D1070" s="17">
        <f>IF($C1070="","",IFERROR(INDEX(rngCadetPIDs,MATCH($C1070,rngCadetNames,0)),"?"))</f>
        <v/>
      </c>
      <c r="E1070" s="17">
        <f>IF($D1070="","",IFERROR(INDEX(nrCadetAgency,MATCH($D1070,rngCadetPIDs,0)),""))</f>
        <v/>
      </c>
      <c r="F1070" s="16" t="n"/>
      <c r="G1070" s="17">
        <f>IF($F1070="","",IFERROR(INDEX(rngEPname,MATCH($F1070,rngEPcode,0)),"?"))</f>
        <v/>
      </c>
      <c r="H1070" s="17">
        <f>IF($F1070="","",IFERROR(INDEX(rngEPtype,MATCH($F1070,rngEPcode,0)),"?"))</f>
        <v/>
      </c>
      <c r="I1070" s="17">
        <f>IF($F1070="","",IFERROR(INDEX(rngEPseq,MATCH($F1070,rngEPcode,0)),""))</f>
        <v/>
      </c>
      <c r="J1070" s="17">
        <f>IF($F1070="","",IFERROR(INDEX(rngEPpass,MATCH($F1070,rngEPcode,0)),cfgPassingScore))</f>
        <v/>
      </c>
      <c r="K1070" s="16" t="n"/>
      <c r="L1070" s="16" t="n"/>
      <c r="M1070" s="17">
        <f>IF($C1070="","",IF($L1070="","",IF(NOT(ISNUMBER($L1070)),$L1070,IF(N($K1070)&gt;2,"",IF($K1070=1,IF(COUNTIFS(nrES_PID,$D1070,nrES_Code,$F1070,nrES_Att,2,nrES_Raw,"&gt;=0")&gt;0,"",$L1070),IF($L1070&gt;=$J1070,MAX($J1070,cfgRetakeRecordedCap),IF(COUNTIFS(nrES_PID,$D1070,nrES_Code,$F1070,nrES_Att,1)=0,$L1070,SUMIFS(nrES_Raw,nrES_PID,$D1070,nrES_Code,$F1070,nrES_Att,1))))))))</f>
        <v/>
      </c>
      <c r="N1070" s="17">
        <f>IF($C1070="","",IF($L1070="","",IF(NOT(ISNUMBER($L1070)),"(not a score)",IF($L1070&gt;=$J1070,"Yes","No"))))</f>
        <v/>
      </c>
      <c r="O1070" s="17">
        <f>IF($C1070="","",IF($M1070="","",IF(NOT(ISNUMBER($M1070)),"(not a score)",IF($M1070&gt;=$J1070,"Yes","No"))))</f>
        <v/>
      </c>
      <c r="P1070" s="17">
        <f>IF($C1070="","",IF($K1070="","",IF(N($K1070)&gt;2,"No",IF(COUNTIFS(nrES_PID,$D1070,nrES_Code,$F1070,nrES_Att,"&gt;"&amp;$K1070,nrES_Att,"&lt;=2",nrES_Raw,"&gt;=0")=0,"Yes","No"))))</f>
        <v/>
      </c>
      <c r="Q1070" s="17">
        <f>IF($C1070="","",IF($L1070="","",IF(AND($K1070=1,ISNUMBER($L1070),$L1070&lt;$J1070,COUNTIFS(nrES_PID,$D1070,nrES_Code,$F1070,nrES_Att,2,nrES_Raw,"&gt;=0")=0),"Yes","No")))</f>
        <v/>
      </c>
      <c r="R1070" s="17">
        <f>IF($C1070="","",IF($L1070="","",IF(AND(N($K1070)&gt;=2,ISNUMBER($L1070),$L1070&lt;$J1070),"Yes","No")))</f>
        <v/>
      </c>
      <c r="S1070" s="18" t="n"/>
      <c r="T1070" s="19">
        <f>IF(OR($C1070="",$L1070="",$K1070&lt;&gt;1,NOT(ISNUMBER($L1070)),$L1070&gt;=$J1070),"",IF($S1070="","(enter date)",_xlfn.LET(_xlpm.dn,_xlfn.XLOOKUP($S1070,nrCDdate,nrCDnum,"",1),IF(_xlpm.dn="","(after last class day)",_xlfn.LET(_xlpm.dd,_xlfn.XLOOKUP(_xlpm.dn+cfgRetestClassDays,nrCDnum,nrCDdate,""),_xlpm.ok,_xlfn.XLOOKUP(_xlpm.dn+cfgRetestClassDays,nrCDnum,nrCDinsession,"No"),IF(OR(_xlpm.dd="",_xlpm.ok&lt;&gt;"Yes"),"(after last class day)",_xlpm.dd))))))</f>
        <v/>
      </c>
      <c r="U1070" s="17">
        <f>IF($C1070="","",IF(AND($Y1070="Excused",$L1070="",N($K1070)&lt;=1),"EXCUSED - 1st attempt pending",IF(OR($L1070="",$K1070&lt;&gt;1,NOT(ISNUMBER($L1070)),$L1070&gt;=$J1070),"",IF(COUNTIFS(nrES_PID,$D1070,nrES_Code,$F1070,nrES_Att,2,nrES_Raw,"&gt;=0")&gt;0,IF(IFERROR(_xlfn.MINIFS(nrES_Date,nrES_PID,$D1070,nrES_Code,$F1070,nrES_Att,2,nrES_Raw,"&gt;=0",nrES_Date,"&gt;0"),0)=0,"RETEST UNDATED",IF(NOT(ISNUMBER($T1070)),"RETEST DATE UNCHECKED",IF(_xlfn.MINIFS(nrES_Date,nrES_PID,$D1070,nrES_Code,$F1070,nrES_Att,2,nrES_Raw,"&gt;=0",nrES_Date,"&gt;0")&gt;$T1070,"LATE RETEST "&amp;TEXT(_xlfn.MINIFS(nrES_Date,nrES_PID,$D1070,nrES_Code,$F1070,nrES_Att,2,nrES_Raw,"&gt;=0",nrES_Date,"&gt;0"),"mm/dd")&amp;" (due "&amp;TEXT($T1070,"mm/dd")&amp;")","Retested"))),IF(NOT(ISNUMBER($T1070)),"CHECK DATE",IF(TODAY()&gt;$T1070,"OVERDUE","Due "&amp;TEXT($T1070,"mm/dd")))))))</f>
        <v/>
      </c>
      <c r="V1070" s="16" t="n"/>
      <c r="W1070" s="16" t="n"/>
      <c r="X1070" s="17">
        <f>IF($C1070="","",IF(AND($L1070&lt;&gt;"",NOT(ISNUMBER($L1070))),"RAW SCORE NOT A NUMBER",IF(AND(ISNUMBER($L1070),OR($L1070&lt;0,$L1070&gt;100)),"RAW SCORE OUT OF RANGE",IF(AND($Y1070="Unexcused",OR($L1070="",NOT(ISNUMBER($L1070)),$L1070&lt;&gt;0)),"UNEXCUSED ABSENCE MUST RECORD 0",IF(COUNTIF(nrES_RecID,$B1070)&gt;1,"DUPLICATE RECORD",IF(N($K1070)&gt;2,"ATTEMPT 3+ NOT ALLOWED - policy 300.5 permits one retest per exam; this row records nothing",IF(AND($K1070=2,COUNTIFS(nrES_PID,$D1070,nrES_Code,$F1070,nrES_Att,1)=0),"ATTEMPT 2 WITHOUT ATTEMPT 1",IF(AND($K1070=2,$L1070=""),"RETEST ROW HAS NO SCORE",IF(AND($H1070="Final",$L1070&lt;&gt;"",IFERROR(INDEX(nrCKfinalExamElig,MATCH($D1070,rngCadetPIDs,0)),"")="No"),"FINAL EXAM AFTER FAILED FINAL PT (500.1.H)",IF(AND($K1070=2,ISNUMBER($L1070),COUNTIFS(nrES_PID,$D1070,nrES_Code,$F1070,nrES_Att,1)&gt;0,SUMIFS(nrES_Raw,nrES_PID,$D1070,nrES_Code,$F1070,nrES_Att,1)&gt;=$J1070),"RETEST AFTER A PASSING FIRST ATTEMPT","OK"))))))))))</f>
        <v/>
      </c>
      <c r="Y1070" s="16" t="n"/>
    </row>
    <row r="1071">
      <c r="B1071" s="17">
        <f>IF($C1071="","",$D1071&amp;"-"&amp;$F1071&amp;"-"&amp;$K1071)</f>
        <v/>
      </c>
      <c r="C1071" s="16" t="n"/>
      <c r="D1071" s="17">
        <f>IF($C1071="","",IFERROR(INDEX(rngCadetPIDs,MATCH($C1071,rngCadetNames,0)),"?"))</f>
        <v/>
      </c>
      <c r="E1071" s="17">
        <f>IF($D1071="","",IFERROR(INDEX(nrCadetAgency,MATCH($D1071,rngCadetPIDs,0)),""))</f>
        <v/>
      </c>
      <c r="F1071" s="16" t="n"/>
      <c r="G1071" s="17">
        <f>IF($F1071="","",IFERROR(INDEX(rngEPname,MATCH($F1071,rngEPcode,0)),"?"))</f>
        <v/>
      </c>
      <c r="H1071" s="17">
        <f>IF($F1071="","",IFERROR(INDEX(rngEPtype,MATCH($F1071,rngEPcode,0)),"?"))</f>
        <v/>
      </c>
      <c r="I1071" s="17">
        <f>IF($F1071="","",IFERROR(INDEX(rngEPseq,MATCH($F1071,rngEPcode,0)),""))</f>
        <v/>
      </c>
      <c r="J1071" s="17">
        <f>IF($F1071="","",IFERROR(INDEX(rngEPpass,MATCH($F1071,rngEPcode,0)),cfgPassingScore))</f>
        <v/>
      </c>
      <c r="K1071" s="16" t="n"/>
      <c r="L1071" s="16" t="n"/>
      <c r="M1071" s="17">
        <f>IF($C1071="","",IF($L1071="","",IF(NOT(ISNUMBER($L1071)),$L1071,IF(N($K1071)&gt;2,"",IF($K1071=1,IF(COUNTIFS(nrES_PID,$D1071,nrES_Code,$F1071,nrES_Att,2,nrES_Raw,"&gt;=0")&gt;0,"",$L1071),IF($L1071&gt;=$J1071,MAX($J1071,cfgRetakeRecordedCap),IF(COUNTIFS(nrES_PID,$D1071,nrES_Code,$F1071,nrES_Att,1)=0,$L1071,SUMIFS(nrES_Raw,nrES_PID,$D1071,nrES_Code,$F1071,nrES_Att,1))))))))</f>
        <v/>
      </c>
      <c r="N1071" s="17">
        <f>IF($C1071="","",IF($L1071="","",IF(NOT(ISNUMBER($L1071)),"(not a score)",IF($L1071&gt;=$J1071,"Yes","No"))))</f>
        <v/>
      </c>
      <c r="O1071" s="17">
        <f>IF($C1071="","",IF($M1071="","",IF(NOT(ISNUMBER($M1071)),"(not a score)",IF($M1071&gt;=$J1071,"Yes","No"))))</f>
        <v/>
      </c>
      <c r="P1071" s="17">
        <f>IF($C1071="","",IF($K1071="","",IF(N($K1071)&gt;2,"No",IF(COUNTIFS(nrES_PID,$D1071,nrES_Code,$F1071,nrES_Att,"&gt;"&amp;$K1071,nrES_Att,"&lt;=2",nrES_Raw,"&gt;=0")=0,"Yes","No"))))</f>
        <v/>
      </c>
      <c r="Q1071" s="17">
        <f>IF($C1071="","",IF($L1071="","",IF(AND($K1071=1,ISNUMBER($L1071),$L1071&lt;$J1071,COUNTIFS(nrES_PID,$D1071,nrES_Code,$F1071,nrES_Att,2,nrES_Raw,"&gt;=0")=0),"Yes","No")))</f>
        <v/>
      </c>
      <c r="R1071" s="17">
        <f>IF($C1071="","",IF($L1071="","",IF(AND(N($K1071)&gt;=2,ISNUMBER($L1071),$L1071&lt;$J1071),"Yes","No")))</f>
        <v/>
      </c>
      <c r="S1071" s="18" t="n"/>
      <c r="T1071" s="19">
        <f>IF(OR($C1071="",$L1071="",$K1071&lt;&gt;1,NOT(ISNUMBER($L1071)),$L1071&gt;=$J1071),"",IF($S1071="","(enter date)",_xlfn.LET(_xlpm.dn,_xlfn.XLOOKUP($S1071,nrCDdate,nrCDnum,"",1),IF(_xlpm.dn="","(after last class day)",_xlfn.LET(_xlpm.dd,_xlfn.XLOOKUP(_xlpm.dn+cfgRetestClassDays,nrCDnum,nrCDdate,""),_xlpm.ok,_xlfn.XLOOKUP(_xlpm.dn+cfgRetestClassDays,nrCDnum,nrCDinsession,"No"),IF(OR(_xlpm.dd="",_xlpm.ok&lt;&gt;"Yes"),"(after last class day)",_xlpm.dd))))))</f>
        <v/>
      </c>
      <c r="U1071" s="17">
        <f>IF($C1071="","",IF(AND($Y1071="Excused",$L1071="",N($K1071)&lt;=1),"EXCUSED - 1st attempt pending",IF(OR($L1071="",$K1071&lt;&gt;1,NOT(ISNUMBER($L1071)),$L1071&gt;=$J1071),"",IF(COUNTIFS(nrES_PID,$D1071,nrES_Code,$F1071,nrES_Att,2,nrES_Raw,"&gt;=0")&gt;0,IF(IFERROR(_xlfn.MINIFS(nrES_Date,nrES_PID,$D1071,nrES_Code,$F1071,nrES_Att,2,nrES_Raw,"&gt;=0",nrES_Date,"&gt;0"),0)=0,"RETEST UNDATED",IF(NOT(ISNUMBER($T1071)),"RETEST DATE UNCHECKED",IF(_xlfn.MINIFS(nrES_Date,nrES_PID,$D1071,nrES_Code,$F1071,nrES_Att,2,nrES_Raw,"&gt;=0",nrES_Date,"&gt;0")&gt;$T1071,"LATE RETEST "&amp;TEXT(_xlfn.MINIFS(nrES_Date,nrES_PID,$D1071,nrES_Code,$F1071,nrES_Att,2,nrES_Raw,"&gt;=0",nrES_Date,"&gt;0"),"mm/dd")&amp;" (due "&amp;TEXT($T1071,"mm/dd")&amp;")","Retested"))),IF(NOT(ISNUMBER($T1071)),"CHECK DATE",IF(TODAY()&gt;$T1071,"OVERDUE","Due "&amp;TEXT($T1071,"mm/dd")))))))</f>
        <v/>
      </c>
      <c r="V1071" s="16" t="n"/>
      <c r="W1071" s="16" t="n"/>
      <c r="X1071" s="17">
        <f>IF($C1071="","",IF(AND($L1071&lt;&gt;"",NOT(ISNUMBER($L1071))),"RAW SCORE NOT A NUMBER",IF(AND(ISNUMBER($L1071),OR($L1071&lt;0,$L1071&gt;100)),"RAW SCORE OUT OF RANGE",IF(AND($Y1071="Unexcused",OR($L1071="",NOT(ISNUMBER($L1071)),$L1071&lt;&gt;0)),"UNEXCUSED ABSENCE MUST RECORD 0",IF(COUNTIF(nrES_RecID,$B1071)&gt;1,"DUPLICATE RECORD",IF(N($K1071)&gt;2,"ATTEMPT 3+ NOT ALLOWED - policy 300.5 permits one retest per exam; this row records nothing",IF(AND($K1071=2,COUNTIFS(nrES_PID,$D1071,nrES_Code,$F1071,nrES_Att,1)=0),"ATTEMPT 2 WITHOUT ATTEMPT 1",IF(AND($K1071=2,$L1071=""),"RETEST ROW HAS NO SCORE",IF(AND($H1071="Final",$L1071&lt;&gt;"",IFERROR(INDEX(nrCKfinalExamElig,MATCH($D1071,rngCadetPIDs,0)),"")="No"),"FINAL EXAM AFTER FAILED FINAL PT (500.1.H)",IF(AND($K1071=2,ISNUMBER($L1071),COUNTIFS(nrES_PID,$D1071,nrES_Code,$F1071,nrES_Att,1)&gt;0,SUMIFS(nrES_Raw,nrES_PID,$D1071,nrES_Code,$F1071,nrES_Att,1)&gt;=$J1071),"RETEST AFTER A PASSING FIRST ATTEMPT","OK"))))))))))</f>
        <v/>
      </c>
      <c r="Y1071" s="16" t="n"/>
    </row>
    <row r="1072">
      <c r="B1072" s="17">
        <f>IF($C1072="","",$D1072&amp;"-"&amp;$F1072&amp;"-"&amp;$K1072)</f>
        <v/>
      </c>
      <c r="C1072" s="16" t="n"/>
      <c r="D1072" s="17">
        <f>IF($C1072="","",IFERROR(INDEX(rngCadetPIDs,MATCH($C1072,rngCadetNames,0)),"?"))</f>
        <v/>
      </c>
      <c r="E1072" s="17">
        <f>IF($D1072="","",IFERROR(INDEX(nrCadetAgency,MATCH($D1072,rngCadetPIDs,0)),""))</f>
        <v/>
      </c>
      <c r="F1072" s="16" t="n"/>
      <c r="G1072" s="17">
        <f>IF($F1072="","",IFERROR(INDEX(rngEPname,MATCH($F1072,rngEPcode,0)),"?"))</f>
        <v/>
      </c>
      <c r="H1072" s="17">
        <f>IF($F1072="","",IFERROR(INDEX(rngEPtype,MATCH($F1072,rngEPcode,0)),"?"))</f>
        <v/>
      </c>
      <c r="I1072" s="17">
        <f>IF($F1072="","",IFERROR(INDEX(rngEPseq,MATCH($F1072,rngEPcode,0)),""))</f>
        <v/>
      </c>
      <c r="J1072" s="17">
        <f>IF($F1072="","",IFERROR(INDEX(rngEPpass,MATCH($F1072,rngEPcode,0)),cfgPassingScore))</f>
        <v/>
      </c>
      <c r="K1072" s="16" t="n"/>
      <c r="L1072" s="16" t="n"/>
      <c r="M1072" s="17">
        <f>IF($C1072="","",IF($L1072="","",IF(NOT(ISNUMBER($L1072)),$L1072,IF(N($K1072)&gt;2,"",IF($K1072=1,IF(COUNTIFS(nrES_PID,$D1072,nrES_Code,$F1072,nrES_Att,2,nrES_Raw,"&gt;=0")&gt;0,"",$L1072),IF($L1072&gt;=$J1072,MAX($J1072,cfgRetakeRecordedCap),IF(COUNTIFS(nrES_PID,$D1072,nrES_Code,$F1072,nrES_Att,1)=0,$L1072,SUMIFS(nrES_Raw,nrES_PID,$D1072,nrES_Code,$F1072,nrES_Att,1))))))))</f>
        <v/>
      </c>
      <c r="N1072" s="17">
        <f>IF($C1072="","",IF($L1072="","",IF(NOT(ISNUMBER($L1072)),"(not a score)",IF($L1072&gt;=$J1072,"Yes","No"))))</f>
        <v/>
      </c>
      <c r="O1072" s="17">
        <f>IF($C1072="","",IF($M1072="","",IF(NOT(ISNUMBER($M1072)),"(not a score)",IF($M1072&gt;=$J1072,"Yes","No"))))</f>
        <v/>
      </c>
      <c r="P1072" s="17">
        <f>IF($C1072="","",IF($K1072="","",IF(N($K1072)&gt;2,"No",IF(COUNTIFS(nrES_PID,$D1072,nrES_Code,$F1072,nrES_Att,"&gt;"&amp;$K1072,nrES_Att,"&lt;=2",nrES_Raw,"&gt;=0")=0,"Yes","No"))))</f>
        <v/>
      </c>
      <c r="Q1072" s="17">
        <f>IF($C1072="","",IF($L1072="","",IF(AND($K1072=1,ISNUMBER($L1072),$L1072&lt;$J1072,COUNTIFS(nrES_PID,$D1072,nrES_Code,$F1072,nrES_Att,2,nrES_Raw,"&gt;=0")=0),"Yes","No")))</f>
        <v/>
      </c>
      <c r="R1072" s="17">
        <f>IF($C1072="","",IF($L1072="","",IF(AND(N($K1072)&gt;=2,ISNUMBER($L1072),$L1072&lt;$J1072),"Yes","No")))</f>
        <v/>
      </c>
      <c r="S1072" s="18" t="n"/>
      <c r="T1072" s="19">
        <f>IF(OR($C1072="",$L1072="",$K1072&lt;&gt;1,NOT(ISNUMBER($L1072)),$L1072&gt;=$J1072),"",IF($S1072="","(enter date)",_xlfn.LET(_xlpm.dn,_xlfn.XLOOKUP($S1072,nrCDdate,nrCDnum,"",1),IF(_xlpm.dn="","(after last class day)",_xlfn.LET(_xlpm.dd,_xlfn.XLOOKUP(_xlpm.dn+cfgRetestClassDays,nrCDnum,nrCDdate,""),_xlpm.ok,_xlfn.XLOOKUP(_xlpm.dn+cfgRetestClassDays,nrCDnum,nrCDinsession,"No"),IF(OR(_xlpm.dd="",_xlpm.ok&lt;&gt;"Yes"),"(after last class day)",_xlpm.dd))))))</f>
        <v/>
      </c>
      <c r="U1072" s="17">
        <f>IF($C1072="","",IF(AND($Y1072="Excused",$L1072="",N($K1072)&lt;=1),"EXCUSED - 1st attempt pending",IF(OR($L1072="",$K1072&lt;&gt;1,NOT(ISNUMBER($L1072)),$L1072&gt;=$J1072),"",IF(COUNTIFS(nrES_PID,$D1072,nrES_Code,$F1072,nrES_Att,2,nrES_Raw,"&gt;=0")&gt;0,IF(IFERROR(_xlfn.MINIFS(nrES_Date,nrES_PID,$D1072,nrES_Code,$F1072,nrES_Att,2,nrES_Raw,"&gt;=0",nrES_Date,"&gt;0"),0)=0,"RETEST UNDATED",IF(NOT(ISNUMBER($T1072)),"RETEST DATE UNCHECKED",IF(_xlfn.MINIFS(nrES_Date,nrES_PID,$D1072,nrES_Code,$F1072,nrES_Att,2,nrES_Raw,"&gt;=0",nrES_Date,"&gt;0")&gt;$T1072,"LATE RETEST "&amp;TEXT(_xlfn.MINIFS(nrES_Date,nrES_PID,$D1072,nrES_Code,$F1072,nrES_Att,2,nrES_Raw,"&gt;=0",nrES_Date,"&gt;0"),"mm/dd")&amp;" (due "&amp;TEXT($T1072,"mm/dd")&amp;")","Retested"))),IF(NOT(ISNUMBER($T1072)),"CHECK DATE",IF(TODAY()&gt;$T1072,"OVERDUE","Due "&amp;TEXT($T1072,"mm/dd")))))))</f>
        <v/>
      </c>
      <c r="V1072" s="16" t="n"/>
      <c r="W1072" s="16" t="n"/>
      <c r="X1072" s="17">
        <f>IF($C1072="","",IF(AND($L1072&lt;&gt;"",NOT(ISNUMBER($L1072))),"RAW SCORE NOT A NUMBER",IF(AND(ISNUMBER($L1072),OR($L1072&lt;0,$L1072&gt;100)),"RAW SCORE OUT OF RANGE",IF(AND($Y1072="Unexcused",OR($L1072="",NOT(ISNUMBER($L1072)),$L1072&lt;&gt;0)),"UNEXCUSED ABSENCE MUST RECORD 0",IF(COUNTIF(nrES_RecID,$B1072)&gt;1,"DUPLICATE RECORD",IF(N($K1072)&gt;2,"ATTEMPT 3+ NOT ALLOWED - policy 300.5 permits one retest per exam; this row records nothing",IF(AND($K1072=2,COUNTIFS(nrES_PID,$D1072,nrES_Code,$F1072,nrES_Att,1)=0),"ATTEMPT 2 WITHOUT ATTEMPT 1",IF(AND($K1072=2,$L1072=""),"RETEST ROW HAS NO SCORE",IF(AND($H1072="Final",$L1072&lt;&gt;"",IFERROR(INDEX(nrCKfinalExamElig,MATCH($D1072,rngCadetPIDs,0)),"")="No"),"FINAL EXAM AFTER FAILED FINAL PT (500.1.H)",IF(AND($K1072=2,ISNUMBER($L1072),COUNTIFS(nrES_PID,$D1072,nrES_Code,$F1072,nrES_Att,1)&gt;0,SUMIFS(nrES_Raw,nrES_PID,$D1072,nrES_Code,$F1072,nrES_Att,1)&gt;=$J1072),"RETEST AFTER A PASSING FIRST ATTEMPT","OK"))))))))))</f>
        <v/>
      </c>
      <c r="Y1072" s="16" t="n"/>
    </row>
    <row r="1073">
      <c r="B1073" s="17">
        <f>IF($C1073="","",$D1073&amp;"-"&amp;$F1073&amp;"-"&amp;$K1073)</f>
        <v/>
      </c>
      <c r="C1073" s="16" t="n"/>
      <c r="D1073" s="17">
        <f>IF($C1073="","",IFERROR(INDEX(rngCadetPIDs,MATCH($C1073,rngCadetNames,0)),"?"))</f>
        <v/>
      </c>
      <c r="E1073" s="17">
        <f>IF($D1073="","",IFERROR(INDEX(nrCadetAgency,MATCH($D1073,rngCadetPIDs,0)),""))</f>
        <v/>
      </c>
      <c r="F1073" s="16" t="n"/>
      <c r="G1073" s="17">
        <f>IF($F1073="","",IFERROR(INDEX(rngEPname,MATCH($F1073,rngEPcode,0)),"?"))</f>
        <v/>
      </c>
      <c r="H1073" s="17">
        <f>IF($F1073="","",IFERROR(INDEX(rngEPtype,MATCH($F1073,rngEPcode,0)),"?"))</f>
        <v/>
      </c>
      <c r="I1073" s="17">
        <f>IF($F1073="","",IFERROR(INDEX(rngEPseq,MATCH($F1073,rngEPcode,0)),""))</f>
        <v/>
      </c>
      <c r="J1073" s="17">
        <f>IF($F1073="","",IFERROR(INDEX(rngEPpass,MATCH($F1073,rngEPcode,0)),cfgPassingScore))</f>
        <v/>
      </c>
      <c r="K1073" s="16" t="n"/>
      <c r="L1073" s="16" t="n"/>
      <c r="M1073" s="17">
        <f>IF($C1073="","",IF($L1073="","",IF(NOT(ISNUMBER($L1073)),$L1073,IF(N($K1073)&gt;2,"",IF($K1073=1,IF(COUNTIFS(nrES_PID,$D1073,nrES_Code,$F1073,nrES_Att,2,nrES_Raw,"&gt;=0")&gt;0,"",$L1073),IF($L1073&gt;=$J1073,MAX($J1073,cfgRetakeRecordedCap),IF(COUNTIFS(nrES_PID,$D1073,nrES_Code,$F1073,nrES_Att,1)=0,$L1073,SUMIFS(nrES_Raw,nrES_PID,$D1073,nrES_Code,$F1073,nrES_Att,1))))))))</f>
        <v/>
      </c>
      <c r="N1073" s="17">
        <f>IF($C1073="","",IF($L1073="","",IF(NOT(ISNUMBER($L1073)),"(not a score)",IF($L1073&gt;=$J1073,"Yes","No"))))</f>
        <v/>
      </c>
      <c r="O1073" s="17">
        <f>IF($C1073="","",IF($M1073="","",IF(NOT(ISNUMBER($M1073)),"(not a score)",IF($M1073&gt;=$J1073,"Yes","No"))))</f>
        <v/>
      </c>
      <c r="P1073" s="17">
        <f>IF($C1073="","",IF($K1073="","",IF(N($K1073)&gt;2,"No",IF(COUNTIFS(nrES_PID,$D1073,nrES_Code,$F1073,nrES_Att,"&gt;"&amp;$K1073,nrES_Att,"&lt;=2",nrES_Raw,"&gt;=0")=0,"Yes","No"))))</f>
        <v/>
      </c>
      <c r="Q1073" s="17">
        <f>IF($C1073="","",IF($L1073="","",IF(AND($K1073=1,ISNUMBER($L1073),$L1073&lt;$J1073,COUNTIFS(nrES_PID,$D1073,nrES_Code,$F1073,nrES_Att,2,nrES_Raw,"&gt;=0")=0),"Yes","No")))</f>
        <v/>
      </c>
      <c r="R1073" s="17">
        <f>IF($C1073="","",IF($L1073="","",IF(AND(N($K1073)&gt;=2,ISNUMBER($L1073),$L1073&lt;$J1073),"Yes","No")))</f>
        <v/>
      </c>
      <c r="S1073" s="18" t="n"/>
      <c r="T1073" s="19">
        <f>IF(OR($C1073="",$L1073="",$K1073&lt;&gt;1,NOT(ISNUMBER($L1073)),$L1073&gt;=$J1073),"",IF($S1073="","(enter date)",_xlfn.LET(_xlpm.dn,_xlfn.XLOOKUP($S1073,nrCDdate,nrCDnum,"",1),IF(_xlpm.dn="","(after last class day)",_xlfn.LET(_xlpm.dd,_xlfn.XLOOKUP(_xlpm.dn+cfgRetestClassDays,nrCDnum,nrCDdate,""),_xlpm.ok,_xlfn.XLOOKUP(_xlpm.dn+cfgRetestClassDays,nrCDnum,nrCDinsession,"No"),IF(OR(_xlpm.dd="",_xlpm.ok&lt;&gt;"Yes"),"(after last class day)",_xlpm.dd))))))</f>
        <v/>
      </c>
      <c r="U1073" s="17">
        <f>IF($C1073="","",IF(AND($Y1073="Excused",$L1073="",N($K1073)&lt;=1),"EXCUSED - 1st attempt pending",IF(OR($L1073="",$K1073&lt;&gt;1,NOT(ISNUMBER($L1073)),$L1073&gt;=$J1073),"",IF(COUNTIFS(nrES_PID,$D1073,nrES_Code,$F1073,nrES_Att,2,nrES_Raw,"&gt;=0")&gt;0,IF(IFERROR(_xlfn.MINIFS(nrES_Date,nrES_PID,$D1073,nrES_Code,$F1073,nrES_Att,2,nrES_Raw,"&gt;=0",nrES_Date,"&gt;0"),0)=0,"RETEST UNDATED",IF(NOT(ISNUMBER($T1073)),"RETEST DATE UNCHECKED",IF(_xlfn.MINIFS(nrES_Date,nrES_PID,$D1073,nrES_Code,$F1073,nrES_Att,2,nrES_Raw,"&gt;=0",nrES_Date,"&gt;0")&gt;$T1073,"LATE RETEST "&amp;TEXT(_xlfn.MINIFS(nrES_Date,nrES_PID,$D1073,nrES_Code,$F1073,nrES_Att,2,nrES_Raw,"&gt;=0",nrES_Date,"&gt;0"),"mm/dd")&amp;" (due "&amp;TEXT($T1073,"mm/dd")&amp;")","Retested"))),IF(NOT(ISNUMBER($T1073)),"CHECK DATE",IF(TODAY()&gt;$T1073,"OVERDUE","Due "&amp;TEXT($T1073,"mm/dd")))))))</f>
        <v/>
      </c>
      <c r="V1073" s="16" t="n"/>
      <c r="W1073" s="16" t="n"/>
      <c r="X1073" s="17">
        <f>IF($C1073="","",IF(AND($L1073&lt;&gt;"",NOT(ISNUMBER($L1073))),"RAW SCORE NOT A NUMBER",IF(AND(ISNUMBER($L1073),OR($L1073&lt;0,$L1073&gt;100)),"RAW SCORE OUT OF RANGE",IF(AND($Y1073="Unexcused",OR($L1073="",NOT(ISNUMBER($L1073)),$L1073&lt;&gt;0)),"UNEXCUSED ABSENCE MUST RECORD 0",IF(COUNTIF(nrES_RecID,$B1073)&gt;1,"DUPLICATE RECORD",IF(N($K1073)&gt;2,"ATTEMPT 3+ NOT ALLOWED - policy 300.5 permits one retest per exam; this row records nothing",IF(AND($K1073=2,COUNTIFS(nrES_PID,$D1073,nrES_Code,$F1073,nrES_Att,1)=0),"ATTEMPT 2 WITHOUT ATTEMPT 1",IF(AND($K1073=2,$L1073=""),"RETEST ROW HAS NO SCORE",IF(AND($H1073="Final",$L1073&lt;&gt;"",IFERROR(INDEX(nrCKfinalExamElig,MATCH($D1073,rngCadetPIDs,0)),"")="No"),"FINAL EXAM AFTER FAILED FINAL PT (500.1.H)",IF(AND($K1073=2,ISNUMBER($L1073),COUNTIFS(nrES_PID,$D1073,nrES_Code,$F1073,nrES_Att,1)&gt;0,SUMIFS(nrES_Raw,nrES_PID,$D1073,nrES_Code,$F1073,nrES_Att,1)&gt;=$J1073),"RETEST AFTER A PASSING FIRST ATTEMPT","OK"))))))))))</f>
        <v/>
      </c>
      <c r="Y1073" s="16" t="n"/>
    </row>
    <row r="1074">
      <c r="B1074" s="17">
        <f>IF($C1074="","",$D1074&amp;"-"&amp;$F1074&amp;"-"&amp;$K1074)</f>
        <v/>
      </c>
      <c r="C1074" s="16" t="n"/>
      <c r="D1074" s="17">
        <f>IF($C1074="","",IFERROR(INDEX(rngCadetPIDs,MATCH($C1074,rngCadetNames,0)),"?"))</f>
        <v/>
      </c>
      <c r="E1074" s="17">
        <f>IF($D1074="","",IFERROR(INDEX(nrCadetAgency,MATCH($D1074,rngCadetPIDs,0)),""))</f>
        <v/>
      </c>
      <c r="F1074" s="16" t="n"/>
      <c r="G1074" s="17">
        <f>IF($F1074="","",IFERROR(INDEX(rngEPname,MATCH($F1074,rngEPcode,0)),"?"))</f>
        <v/>
      </c>
      <c r="H1074" s="17">
        <f>IF($F1074="","",IFERROR(INDEX(rngEPtype,MATCH($F1074,rngEPcode,0)),"?"))</f>
        <v/>
      </c>
      <c r="I1074" s="17">
        <f>IF($F1074="","",IFERROR(INDEX(rngEPseq,MATCH($F1074,rngEPcode,0)),""))</f>
        <v/>
      </c>
      <c r="J1074" s="17">
        <f>IF($F1074="","",IFERROR(INDEX(rngEPpass,MATCH($F1074,rngEPcode,0)),cfgPassingScore))</f>
        <v/>
      </c>
      <c r="K1074" s="16" t="n"/>
      <c r="L1074" s="16" t="n"/>
      <c r="M1074" s="17">
        <f>IF($C1074="","",IF($L1074="","",IF(NOT(ISNUMBER($L1074)),$L1074,IF(N($K1074)&gt;2,"",IF($K1074=1,IF(COUNTIFS(nrES_PID,$D1074,nrES_Code,$F1074,nrES_Att,2,nrES_Raw,"&gt;=0")&gt;0,"",$L1074),IF($L1074&gt;=$J1074,MAX($J1074,cfgRetakeRecordedCap),IF(COUNTIFS(nrES_PID,$D1074,nrES_Code,$F1074,nrES_Att,1)=0,$L1074,SUMIFS(nrES_Raw,nrES_PID,$D1074,nrES_Code,$F1074,nrES_Att,1))))))))</f>
        <v/>
      </c>
      <c r="N1074" s="17">
        <f>IF($C1074="","",IF($L1074="","",IF(NOT(ISNUMBER($L1074)),"(not a score)",IF($L1074&gt;=$J1074,"Yes","No"))))</f>
        <v/>
      </c>
      <c r="O1074" s="17">
        <f>IF($C1074="","",IF($M1074="","",IF(NOT(ISNUMBER($M1074)),"(not a score)",IF($M1074&gt;=$J1074,"Yes","No"))))</f>
        <v/>
      </c>
      <c r="P1074" s="17">
        <f>IF($C1074="","",IF($K1074="","",IF(N($K1074)&gt;2,"No",IF(COUNTIFS(nrES_PID,$D1074,nrES_Code,$F1074,nrES_Att,"&gt;"&amp;$K1074,nrES_Att,"&lt;=2",nrES_Raw,"&gt;=0")=0,"Yes","No"))))</f>
        <v/>
      </c>
      <c r="Q1074" s="17">
        <f>IF($C1074="","",IF($L1074="","",IF(AND($K1074=1,ISNUMBER($L1074),$L1074&lt;$J1074,COUNTIFS(nrES_PID,$D1074,nrES_Code,$F1074,nrES_Att,2,nrES_Raw,"&gt;=0")=0),"Yes","No")))</f>
        <v/>
      </c>
      <c r="R1074" s="17">
        <f>IF($C1074="","",IF($L1074="","",IF(AND(N($K1074)&gt;=2,ISNUMBER($L1074),$L1074&lt;$J1074),"Yes","No")))</f>
        <v/>
      </c>
      <c r="S1074" s="18" t="n"/>
      <c r="T1074" s="19">
        <f>IF(OR($C1074="",$L1074="",$K1074&lt;&gt;1,NOT(ISNUMBER($L1074)),$L1074&gt;=$J1074),"",IF($S1074="","(enter date)",_xlfn.LET(_xlpm.dn,_xlfn.XLOOKUP($S1074,nrCDdate,nrCDnum,"",1),IF(_xlpm.dn="","(after last class day)",_xlfn.LET(_xlpm.dd,_xlfn.XLOOKUP(_xlpm.dn+cfgRetestClassDays,nrCDnum,nrCDdate,""),_xlpm.ok,_xlfn.XLOOKUP(_xlpm.dn+cfgRetestClassDays,nrCDnum,nrCDinsession,"No"),IF(OR(_xlpm.dd="",_xlpm.ok&lt;&gt;"Yes"),"(after last class day)",_xlpm.dd))))))</f>
        <v/>
      </c>
      <c r="U1074" s="17">
        <f>IF($C1074="","",IF(AND($Y1074="Excused",$L1074="",N($K1074)&lt;=1),"EXCUSED - 1st attempt pending",IF(OR($L1074="",$K1074&lt;&gt;1,NOT(ISNUMBER($L1074)),$L1074&gt;=$J1074),"",IF(COUNTIFS(nrES_PID,$D1074,nrES_Code,$F1074,nrES_Att,2,nrES_Raw,"&gt;=0")&gt;0,IF(IFERROR(_xlfn.MINIFS(nrES_Date,nrES_PID,$D1074,nrES_Code,$F1074,nrES_Att,2,nrES_Raw,"&gt;=0",nrES_Date,"&gt;0"),0)=0,"RETEST UNDATED",IF(NOT(ISNUMBER($T1074)),"RETEST DATE UNCHECKED",IF(_xlfn.MINIFS(nrES_Date,nrES_PID,$D1074,nrES_Code,$F1074,nrES_Att,2,nrES_Raw,"&gt;=0",nrES_Date,"&gt;0")&gt;$T1074,"LATE RETEST "&amp;TEXT(_xlfn.MINIFS(nrES_Date,nrES_PID,$D1074,nrES_Code,$F1074,nrES_Att,2,nrES_Raw,"&gt;=0",nrES_Date,"&gt;0"),"mm/dd")&amp;" (due "&amp;TEXT($T1074,"mm/dd")&amp;")","Retested"))),IF(NOT(ISNUMBER($T1074)),"CHECK DATE",IF(TODAY()&gt;$T1074,"OVERDUE","Due "&amp;TEXT($T1074,"mm/dd")))))))</f>
        <v/>
      </c>
      <c r="V1074" s="16" t="n"/>
      <c r="W1074" s="16" t="n"/>
      <c r="X1074" s="17">
        <f>IF($C1074="","",IF(AND($L1074&lt;&gt;"",NOT(ISNUMBER($L1074))),"RAW SCORE NOT A NUMBER",IF(AND(ISNUMBER($L1074),OR($L1074&lt;0,$L1074&gt;100)),"RAW SCORE OUT OF RANGE",IF(AND($Y1074="Unexcused",OR($L1074="",NOT(ISNUMBER($L1074)),$L1074&lt;&gt;0)),"UNEXCUSED ABSENCE MUST RECORD 0",IF(COUNTIF(nrES_RecID,$B1074)&gt;1,"DUPLICATE RECORD",IF(N($K1074)&gt;2,"ATTEMPT 3+ NOT ALLOWED - policy 300.5 permits one retest per exam; this row records nothing",IF(AND($K1074=2,COUNTIFS(nrES_PID,$D1074,nrES_Code,$F1074,nrES_Att,1)=0),"ATTEMPT 2 WITHOUT ATTEMPT 1",IF(AND($K1074=2,$L1074=""),"RETEST ROW HAS NO SCORE",IF(AND($H1074="Final",$L1074&lt;&gt;"",IFERROR(INDEX(nrCKfinalExamElig,MATCH($D1074,rngCadetPIDs,0)),"")="No"),"FINAL EXAM AFTER FAILED FINAL PT (500.1.H)",IF(AND($K1074=2,ISNUMBER($L1074),COUNTIFS(nrES_PID,$D1074,nrES_Code,$F1074,nrES_Att,1)&gt;0,SUMIFS(nrES_Raw,nrES_PID,$D1074,nrES_Code,$F1074,nrES_Att,1)&gt;=$J1074),"RETEST AFTER A PASSING FIRST ATTEMPT","OK"))))))))))</f>
        <v/>
      </c>
      <c r="Y1074" s="16" t="n"/>
    </row>
    <row r="1075">
      <c r="B1075" s="17">
        <f>IF($C1075="","",$D1075&amp;"-"&amp;$F1075&amp;"-"&amp;$K1075)</f>
        <v/>
      </c>
      <c r="C1075" s="16" t="n"/>
      <c r="D1075" s="17">
        <f>IF($C1075="","",IFERROR(INDEX(rngCadetPIDs,MATCH($C1075,rngCadetNames,0)),"?"))</f>
        <v/>
      </c>
      <c r="E1075" s="17">
        <f>IF($D1075="","",IFERROR(INDEX(nrCadetAgency,MATCH($D1075,rngCadetPIDs,0)),""))</f>
        <v/>
      </c>
      <c r="F1075" s="16" t="n"/>
      <c r="G1075" s="17">
        <f>IF($F1075="","",IFERROR(INDEX(rngEPname,MATCH($F1075,rngEPcode,0)),"?"))</f>
        <v/>
      </c>
      <c r="H1075" s="17">
        <f>IF($F1075="","",IFERROR(INDEX(rngEPtype,MATCH($F1075,rngEPcode,0)),"?"))</f>
        <v/>
      </c>
      <c r="I1075" s="17">
        <f>IF($F1075="","",IFERROR(INDEX(rngEPseq,MATCH($F1075,rngEPcode,0)),""))</f>
        <v/>
      </c>
      <c r="J1075" s="17">
        <f>IF($F1075="","",IFERROR(INDEX(rngEPpass,MATCH($F1075,rngEPcode,0)),cfgPassingScore))</f>
        <v/>
      </c>
      <c r="K1075" s="16" t="n"/>
      <c r="L1075" s="16" t="n"/>
      <c r="M1075" s="17">
        <f>IF($C1075="","",IF($L1075="","",IF(NOT(ISNUMBER($L1075)),$L1075,IF(N($K1075)&gt;2,"",IF($K1075=1,IF(COUNTIFS(nrES_PID,$D1075,nrES_Code,$F1075,nrES_Att,2,nrES_Raw,"&gt;=0")&gt;0,"",$L1075),IF($L1075&gt;=$J1075,MAX($J1075,cfgRetakeRecordedCap),IF(COUNTIFS(nrES_PID,$D1075,nrES_Code,$F1075,nrES_Att,1)=0,$L1075,SUMIFS(nrES_Raw,nrES_PID,$D1075,nrES_Code,$F1075,nrES_Att,1))))))))</f>
        <v/>
      </c>
      <c r="N1075" s="17">
        <f>IF($C1075="","",IF($L1075="","",IF(NOT(ISNUMBER($L1075)),"(not a score)",IF($L1075&gt;=$J1075,"Yes","No"))))</f>
        <v/>
      </c>
      <c r="O1075" s="17">
        <f>IF($C1075="","",IF($M1075="","",IF(NOT(ISNUMBER($M1075)),"(not a score)",IF($M1075&gt;=$J1075,"Yes","No"))))</f>
        <v/>
      </c>
      <c r="P1075" s="17">
        <f>IF($C1075="","",IF($K1075="","",IF(N($K1075)&gt;2,"No",IF(COUNTIFS(nrES_PID,$D1075,nrES_Code,$F1075,nrES_Att,"&gt;"&amp;$K1075,nrES_Att,"&lt;=2",nrES_Raw,"&gt;=0")=0,"Yes","No"))))</f>
        <v/>
      </c>
      <c r="Q1075" s="17">
        <f>IF($C1075="","",IF($L1075="","",IF(AND($K1075=1,ISNUMBER($L1075),$L1075&lt;$J1075,COUNTIFS(nrES_PID,$D1075,nrES_Code,$F1075,nrES_Att,2,nrES_Raw,"&gt;=0")=0),"Yes","No")))</f>
        <v/>
      </c>
      <c r="R1075" s="17">
        <f>IF($C1075="","",IF($L1075="","",IF(AND(N($K1075)&gt;=2,ISNUMBER($L1075),$L1075&lt;$J1075),"Yes","No")))</f>
        <v/>
      </c>
      <c r="S1075" s="18" t="n"/>
      <c r="T1075" s="19">
        <f>IF(OR($C1075="",$L1075="",$K1075&lt;&gt;1,NOT(ISNUMBER($L1075)),$L1075&gt;=$J1075),"",IF($S1075="","(enter date)",_xlfn.LET(_xlpm.dn,_xlfn.XLOOKUP($S1075,nrCDdate,nrCDnum,"",1),IF(_xlpm.dn="","(after last class day)",_xlfn.LET(_xlpm.dd,_xlfn.XLOOKUP(_xlpm.dn+cfgRetestClassDays,nrCDnum,nrCDdate,""),_xlpm.ok,_xlfn.XLOOKUP(_xlpm.dn+cfgRetestClassDays,nrCDnum,nrCDinsession,"No"),IF(OR(_xlpm.dd="",_xlpm.ok&lt;&gt;"Yes"),"(after last class day)",_xlpm.dd))))))</f>
        <v/>
      </c>
      <c r="U1075" s="17">
        <f>IF($C1075="","",IF(AND($Y1075="Excused",$L1075="",N($K1075)&lt;=1),"EXCUSED - 1st attempt pending",IF(OR($L1075="",$K1075&lt;&gt;1,NOT(ISNUMBER($L1075)),$L1075&gt;=$J1075),"",IF(COUNTIFS(nrES_PID,$D1075,nrES_Code,$F1075,nrES_Att,2,nrES_Raw,"&gt;=0")&gt;0,IF(IFERROR(_xlfn.MINIFS(nrES_Date,nrES_PID,$D1075,nrES_Code,$F1075,nrES_Att,2,nrES_Raw,"&gt;=0",nrES_Date,"&gt;0"),0)=0,"RETEST UNDATED",IF(NOT(ISNUMBER($T1075)),"RETEST DATE UNCHECKED",IF(_xlfn.MINIFS(nrES_Date,nrES_PID,$D1075,nrES_Code,$F1075,nrES_Att,2,nrES_Raw,"&gt;=0",nrES_Date,"&gt;0")&gt;$T1075,"LATE RETEST "&amp;TEXT(_xlfn.MINIFS(nrES_Date,nrES_PID,$D1075,nrES_Code,$F1075,nrES_Att,2,nrES_Raw,"&gt;=0",nrES_Date,"&gt;0"),"mm/dd")&amp;" (due "&amp;TEXT($T1075,"mm/dd")&amp;")","Retested"))),IF(NOT(ISNUMBER($T1075)),"CHECK DATE",IF(TODAY()&gt;$T1075,"OVERDUE","Due "&amp;TEXT($T1075,"mm/dd")))))))</f>
        <v/>
      </c>
      <c r="V1075" s="16" t="n"/>
      <c r="W1075" s="16" t="n"/>
      <c r="X1075" s="17">
        <f>IF($C1075="","",IF(AND($L1075&lt;&gt;"",NOT(ISNUMBER($L1075))),"RAW SCORE NOT A NUMBER",IF(AND(ISNUMBER($L1075),OR($L1075&lt;0,$L1075&gt;100)),"RAW SCORE OUT OF RANGE",IF(AND($Y1075="Unexcused",OR($L1075="",NOT(ISNUMBER($L1075)),$L1075&lt;&gt;0)),"UNEXCUSED ABSENCE MUST RECORD 0",IF(COUNTIF(nrES_RecID,$B1075)&gt;1,"DUPLICATE RECORD",IF(N($K1075)&gt;2,"ATTEMPT 3+ NOT ALLOWED - policy 300.5 permits one retest per exam; this row records nothing",IF(AND($K1075=2,COUNTIFS(nrES_PID,$D1075,nrES_Code,$F1075,nrES_Att,1)=0),"ATTEMPT 2 WITHOUT ATTEMPT 1",IF(AND($K1075=2,$L1075=""),"RETEST ROW HAS NO SCORE",IF(AND($H1075="Final",$L1075&lt;&gt;"",IFERROR(INDEX(nrCKfinalExamElig,MATCH($D1075,rngCadetPIDs,0)),"")="No"),"FINAL EXAM AFTER FAILED FINAL PT (500.1.H)",IF(AND($K1075=2,ISNUMBER($L1075),COUNTIFS(nrES_PID,$D1075,nrES_Code,$F1075,nrES_Att,1)&gt;0,SUMIFS(nrES_Raw,nrES_PID,$D1075,nrES_Code,$F1075,nrES_Att,1)&gt;=$J1075),"RETEST AFTER A PASSING FIRST ATTEMPT","OK"))))))))))</f>
        <v/>
      </c>
      <c r="Y1075" s="16" t="n"/>
    </row>
    <row r="1076">
      <c r="B1076" s="17">
        <f>IF($C1076="","",$D1076&amp;"-"&amp;$F1076&amp;"-"&amp;$K1076)</f>
        <v/>
      </c>
      <c r="C1076" s="16" t="n"/>
      <c r="D1076" s="17">
        <f>IF($C1076="","",IFERROR(INDEX(rngCadetPIDs,MATCH($C1076,rngCadetNames,0)),"?"))</f>
        <v/>
      </c>
      <c r="E1076" s="17">
        <f>IF($D1076="","",IFERROR(INDEX(nrCadetAgency,MATCH($D1076,rngCadetPIDs,0)),""))</f>
        <v/>
      </c>
      <c r="F1076" s="16" t="n"/>
      <c r="G1076" s="17">
        <f>IF($F1076="","",IFERROR(INDEX(rngEPname,MATCH($F1076,rngEPcode,0)),"?"))</f>
        <v/>
      </c>
      <c r="H1076" s="17">
        <f>IF($F1076="","",IFERROR(INDEX(rngEPtype,MATCH($F1076,rngEPcode,0)),"?"))</f>
        <v/>
      </c>
      <c r="I1076" s="17">
        <f>IF($F1076="","",IFERROR(INDEX(rngEPseq,MATCH($F1076,rngEPcode,0)),""))</f>
        <v/>
      </c>
      <c r="J1076" s="17">
        <f>IF($F1076="","",IFERROR(INDEX(rngEPpass,MATCH($F1076,rngEPcode,0)),cfgPassingScore))</f>
        <v/>
      </c>
      <c r="K1076" s="16" t="n"/>
      <c r="L1076" s="16" t="n"/>
      <c r="M1076" s="17">
        <f>IF($C1076="","",IF($L1076="","",IF(NOT(ISNUMBER($L1076)),$L1076,IF(N($K1076)&gt;2,"",IF($K1076=1,IF(COUNTIFS(nrES_PID,$D1076,nrES_Code,$F1076,nrES_Att,2,nrES_Raw,"&gt;=0")&gt;0,"",$L1076),IF($L1076&gt;=$J1076,MAX($J1076,cfgRetakeRecordedCap),IF(COUNTIFS(nrES_PID,$D1076,nrES_Code,$F1076,nrES_Att,1)=0,$L1076,SUMIFS(nrES_Raw,nrES_PID,$D1076,nrES_Code,$F1076,nrES_Att,1))))))))</f>
        <v/>
      </c>
      <c r="N1076" s="17">
        <f>IF($C1076="","",IF($L1076="","",IF(NOT(ISNUMBER($L1076)),"(not a score)",IF($L1076&gt;=$J1076,"Yes","No"))))</f>
        <v/>
      </c>
      <c r="O1076" s="17">
        <f>IF($C1076="","",IF($M1076="","",IF(NOT(ISNUMBER($M1076)),"(not a score)",IF($M1076&gt;=$J1076,"Yes","No"))))</f>
        <v/>
      </c>
      <c r="P1076" s="17">
        <f>IF($C1076="","",IF($K1076="","",IF(N($K1076)&gt;2,"No",IF(COUNTIFS(nrES_PID,$D1076,nrES_Code,$F1076,nrES_Att,"&gt;"&amp;$K1076,nrES_Att,"&lt;=2",nrES_Raw,"&gt;=0")=0,"Yes","No"))))</f>
        <v/>
      </c>
      <c r="Q1076" s="17">
        <f>IF($C1076="","",IF($L1076="","",IF(AND($K1076=1,ISNUMBER($L1076),$L1076&lt;$J1076,COUNTIFS(nrES_PID,$D1076,nrES_Code,$F1076,nrES_Att,2,nrES_Raw,"&gt;=0")=0),"Yes","No")))</f>
        <v/>
      </c>
      <c r="R1076" s="17">
        <f>IF($C1076="","",IF($L1076="","",IF(AND(N($K1076)&gt;=2,ISNUMBER($L1076),$L1076&lt;$J1076),"Yes","No")))</f>
        <v/>
      </c>
      <c r="S1076" s="18" t="n"/>
      <c r="T1076" s="19">
        <f>IF(OR($C1076="",$L1076="",$K1076&lt;&gt;1,NOT(ISNUMBER($L1076)),$L1076&gt;=$J1076),"",IF($S1076="","(enter date)",_xlfn.LET(_xlpm.dn,_xlfn.XLOOKUP($S1076,nrCDdate,nrCDnum,"",1),IF(_xlpm.dn="","(after last class day)",_xlfn.LET(_xlpm.dd,_xlfn.XLOOKUP(_xlpm.dn+cfgRetestClassDays,nrCDnum,nrCDdate,""),_xlpm.ok,_xlfn.XLOOKUP(_xlpm.dn+cfgRetestClassDays,nrCDnum,nrCDinsession,"No"),IF(OR(_xlpm.dd="",_xlpm.ok&lt;&gt;"Yes"),"(after last class day)",_xlpm.dd))))))</f>
        <v/>
      </c>
      <c r="U1076" s="17">
        <f>IF($C1076="","",IF(AND($Y1076="Excused",$L1076="",N($K1076)&lt;=1),"EXCUSED - 1st attempt pending",IF(OR($L1076="",$K1076&lt;&gt;1,NOT(ISNUMBER($L1076)),$L1076&gt;=$J1076),"",IF(COUNTIFS(nrES_PID,$D1076,nrES_Code,$F1076,nrES_Att,2,nrES_Raw,"&gt;=0")&gt;0,IF(IFERROR(_xlfn.MINIFS(nrES_Date,nrES_PID,$D1076,nrES_Code,$F1076,nrES_Att,2,nrES_Raw,"&gt;=0",nrES_Date,"&gt;0"),0)=0,"RETEST UNDATED",IF(NOT(ISNUMBER($T1076)),"RETEST DATE UNCHECKED",IF(_xlfn.MINIFS(nrES_Date,nrES_PID,$D1076,nrES_Code,$F1076,nrES_Att,2,nrES_Raw,"&gt;=0",nrES_Date,"&gt;0")&gt;$T1076,"LATE RETEST "&amp;TEXT(_xlfn.MINIFS(nrES_Date,nrES_PID,$D1076,nrES_Code,$F1076,nrES_Att,2,nrES_Raw,"&gt;=0",nrES_Date,"&gt;0"),"mm/dd")&amp;" (due "&amp;TEXT($T1076,"mm/dd")&amp;")","Retested"))),IF(NOT(ISNUMBER($T1076)),"CHECK DATE",IF(TODAY()&gt;$T1076,"OVERDUE","Due "&amp;TEXT($T1076,"mm/dd")))))))</f>
        <v/>
      </c>
      <c r="V1076" s="16" t="n"/>
      <c r="W1076" s="16" t="n"/>
      <c r="X1076" s="17">
        <f>IF($C1076="","",IF(AND($L1076&lt;&gt;"",NOT(ISNUMBER($L1076))),"RAW SCORE NOT A NUMBER",IF(AND(ISNUMBER($L1076),OR($L1076&lt;0,$L1076&gt;100)),"RAW SCORE OUT OF RANGE",IF(AND($Y1076="Unexcused",OR($L1076="",NOT(ISNUMBER($L1076)),$L1076&lt;&gt;0)),"UNEXCUSED ABSENCE MUST RECORD 0",IF(COUNTIF(nrES_RecID,$B1076)&gt;1,"DUPLICATE RECORD",IF(N($K1076)&gt;2,"ATTEMPT 3+ NOT ALLOWED - policy 300.5 permits one retest per exam; this row records nothing",IF(AND($K1076=2,COUNTIFS(nrES_PID,$D1076,nrES_Code,$F1076,nrES_Att,1)=0),"ATTEMPT 2 WITHOUT ATTEMPT 1",IF(AND($K1076=2,$L1076=""),"RETEST ROW HAS NO SCORE",IF(AND($H1076="Final",$L1076&lt;&gt;"",IFERROR(INDEX(nrCKfinalExamElig,MATCH($D1076,rngCadetPIDs,0)),"")="No"),"FINAL EXAM AFTER FAILED FINAL PT (500.1.H)",IF(AND($K1076=2,ISNUMBER($L1076),COUNTIFS(nrES_PID,$D1076,nrES_Code,$F1076,nrES_Att,1)&gt;0,SUMIFS(nrES_Raw,nrES_PID,$D1076,nrES_Code,$F1076,nrES_Att,1)&gt;=$J1076),"RETEST AFTER A PASSING FIRST ATTEMPT","OK"))))))))))</f>
        <v/>
      </c>
      <c r="Y1076" s="16" t="n"/>
    </row>
    <row r="1077">
      <c r="B1077" s="17">
        <f>IF($C1077="","",$D1077&amp;"-"&amp;$F1077&amp;"-"&amp;$K1077)</f>
        <v/>
      </c>
      <c r="C1077" s="16" t="n"/>
      <c r="D1077" s="17">
        <f>IF($C1077="","",IFERROR(INDEX(rngCadetPIDs,MATCH($C1077,rngCadetNames,0)),"?"))</f>
        <v/>
      </c>
      <c r="E1077" s="17">
        <f>IF($D1077="","",IFERROR(INDEX(nrCadetAgency,MATCH($D1077,rngCadetPIDs,0)),""))</f>
        <v/>
      </c>
      <c r="F1077" s="16" t="n"/>
      <c r="G1077" s="17">
        <f>IF($F1077="","",IFERROR(INDEX(rngEPname,MATCH($F1077,rngEPcode,0)),"?"))</f>
        <v/>
      </c>
      <c r="H1077" s="17">
        <f>IF($F1077="","",IFERROR(INDEX(rngEPtype,MATCH($F1077,rngEPcode,0)),"?"))</f>
        <v/>
      </c>
      <c r="I1077" s="17">
        <f>IF($F1077="","",IFERROR(INDEX(rngEPseq,MATCH($F1077,rngEPcode,0)),""))</f>
        <v/>
      </c>
      <c r="J1077" s="17">
        <f>IF($F1077="","",IFERROR(INDEX(rngEPpass,MATCH($F1077,rngEPcode,0)),cfgPassingScore))</f>
        <v/>
      </c>
      <c r="K1077" s="16" t="n"/>
      <c r="L1077" s="16" t="n"/>
      <c r="M1077" s="17">
        <f>IF($C1077="","",IF($L1077="","",IF(NOT(ISNUMBER($L1077)),$L1077,IF(N($K1077)&gt;2,"",IF($K1077=1,IF(COUNTIFS(nrES_PID,$D1077,nrES_Code,$F1077,nrES_Att,2,nrES_Raw,"&gt;=0")&gt;0,"",$L1077),IF($L1077&gt;=$J1077,MAX($J1077,cfgRetakeRecordedCap),IF(COUNTIFS(nrES_PID,$D1077,nrES_Code,$F1077,nrES_Att,1)=0,$L1077,SUMIFS(nrES_Raw,nrES_PID,$D1077,nrES_Code,$F1077,nrES_Att,1))))))))</f>
        <v/>
      </c>
      <c r="N1077" s="17">
        <f>IF($C1077="","",IF($L1077="","",IF(NOT(ISNUMBER($L1077)),"(not a score)",IF($L1077&gt;=$J1077,"Yes","No"))))</f>
        <v/>
      </c>
      <c r="O1077" s="17">
        <f>IF($C1077="","",IF($M1077="","",IF(NOT(ISNUMBER($M1077)),"(not a score)",IF($M1077&gt;=$J1077,"Yes","No"))))</f>
        <v/>
      </c>
      <c r="P1077" s="17">
        <f>IF($C1077="","",IF($K1077="","",IF(N($K1077)&gt;2,"No",IF(COUNTIFS(nrES_PID,$D1077,nrES_Code,$F1077,nrES_Att,"&gt;"&amp;$K1077,nrES_Att,"&lt;=2",nrES_Raw,"&gt;=0")=0,"Yes","No"))))</f>
        <v/>
      </c>
      <c r="Q1077" s="17">
        <f>IF($C1077="","",IF($L1077="","",IF(AND($K1077=1,ISNUMBER($L1077),$L1077&lt;$J1077,COUNTIFS(nrES_PID,$D1077,nrES_Code,$F1077,nrES_Att,2,nrES_Raw,"&gt;=0")=0),"Yes","No")))</f>
        <v/>
      </c>
      <c r="R1077" s="17">
        <f>IF($C1077="","",IF($L1077="","",IF(AND(N($K1077)&gt;=2,ISNUMBER($L1077),$L1077&lt;$J1077),"Yes","No")))</f>
        <v/>
      </c>
      <c r="S1077" s="18" t="n"/>
      <c r="T1077" s="19">
        <f>IF(OR($C1077="",$L1077="",$K1077&lt;&gt;1,NOT(ISNUMBER($L1077)),$L1077&gt;=$J1077),"",IF($S1077="","(enter date)",_xlfn.LET(_xlpm.dn,_xlfn.XLOOKUP($S1077,nrCDdate,nrCDnum,"",1),IF(_xlpm.dn="","(after last class day)",_xlfn.LET(_xlpm.dd,_xlfn.XLOOKUP(_xlpm.dn+cfgRetestClassDays,nrCDnum,nrCDdate,""),_xlpm.ok,_xlfn.XLOOKUP(_xlpm.dn+cfgRetestClassDays,nrCDnum,nrCDinsession,"No"),IF(OR(_xlpm.dd="",_xlpm.ok&lt;&gt;"Yes"),"(after last class day)",_xlpm.dd))))))</f>
        <v/>
      </c>
      <c r="U1077" s="17">
        <f>IF($C1077="","",IF(AND($Y1077="Excused",$L1077="",N($K1077)&lt;=1),"EXCUSED - 1st attempt pending",IF(OR($L1077="",$K1077&lt;&gt;1,NOT(ISNUMBER($L1077)),$L1077&gt;=$J1077),"",IF(COUNTIFS(nrES_PID,$D1077,nrES_Code,$F1077,nrES_Att,2,nrES_Raw,"&gt;=0")&gt;0,IF(IFERROR(_xlfn.MINIFS(nrES_Date,nrES_PID,$D1077,nrES_Code,$F1077,nrES_Att,2,nrES_Raw,"&gt;=0",nrES_Date,"&gt;0"),0)=0,"RETEST UNDATED",IF(NOT(ISNUMBER($T1077)),"RETEST DATE UNCHECKED",IF(_xlfn.MINIFS(nrES_Date,nrES_PID,$D1077,nrES_Code,$F1077,nrES_Att,2,nrES_Raw,"&gt;=0",nrES_Date,"&gt;0")&gt;$T1077,"LATE RETEST "&amp;TEXT(_xlfn.MINIFS(nrES_Date,nrES_PID,$D1077,nrES_Code,$F1077,nrES_Att,2,nrES_Raw,"&gt;=0",nrES_Date,"&gt;0"),"mm/dd")&amp;" (due "&amp;TEXT($T1077,"mm/dd")&amp;")","Retested"))),IF(NOT(ISNUMBER($T1077)),"CHECK DATE",IF(TODAY()&gt;$T1077,"OVERDUE","Due "&amp;TEXT($T1077,"mm/dd")))))))</f>
        <v/>
      </c>
      <c r="V1077" s="16" t="n"/>
      <c r="W1077" s="16" t="n"/>
      <c r="X1077" s="17">
        <f>IF($C1077="","",IF(AND($L1077&lt;&gt;"",NOT(ISNUMBER($L1077))),"RAW SCORE NOT A NUMBER",IF(AND(ISNUMBER($L1077),OR($L1077&lt;0,$L1077&gt;100)),"RAW SCORE OUT OF RANGE",IF(AND($Y1077="Unexcused",OR($L1077="",NOT(ISNUMBER($L1077)),$L1077&lt;&gt;0)),"UNEXCUSED ABSENCE MUST RECORD 0",IF(COUNTIF(nrES_RecID,$B1077)&gt;1,"DUPLICATE RECORD",IF(N($K1077)&gt;2,"ATTEMPT 3+ NOT ALLOWED - policy 300.5 permits one retest per exam; this row records nothing",IF(AND($K1077=2,COUNTIFS(nrES_PID,$D1077,nrES_Code,$F1077,nrES_Att,1)=0),"ATTEMPT 2 WITHOUT ATTEMPT 1",IF(AND($K1077=2,$L1077=""),"RETEST ROW HAS NO SCORE",IF(AND($H1077="Final",$L1077&lt;&gt;"",IFERROR(INDEX(nrCKfinalExamElig,MATCH($D1077,rngCadetPIDs,0)),"")="No"),"FINAL EXAM AFTER FAILED FINAL PT (500.1.H)",IF(AND($K1077=2,ISNUMBER($L1077),COUNTIFS(nrES_PID,$D1077,nrES_Code,$F1077,nrES_Att,1)&gt;0,SUMIFS(nrES_Raw,nrES_PID,$D1077,nrES_Code,$F1077,nrES_Att,1)&gt;=$J1077),"RETEST AFTER A PASSING FIRST ATTEMPT","OK"))))))))))</f>
        <v/>
      </c>
      <c r="Y1077" s="16" t="n"/>
    </row>
    <row r="1078">
      <c r="B1078" s="17">
        <f>IF($C1078="","",$D1078&amp;"-"&amp;$F1078&amp;"-"&amp;$K1078)</f>
        <v/>
      </c>
      <c r="C1078" s="16" t="n"/>
      <c r="D1078" s="17">
        <f>IF($C1078="","",IFERROR(INDEX(rngCadetPIDs,MATCH($C1078,rngCadetNames,0)),"?"))</f>
        <v/>
      </c>
      <c r="E1078" s="17">
        <f>IF($D1078="","",IFERROR(INDEX(nrCadetAgency,MATCH($D1078,rngCadetPIDs,0)),""))</f>
        <v/>
      </c>
      <c r="F1078" s="16" t="n"/>
      <c r="G1078" s="17">
        <f>IF($F1078="","",IFERROR(INDEX(rngEPname,MATCH($F1078,rngEPcode,0)),"?"))</f>
        <v/>
      </c>
      <c r="H1078" s="17">
        <f>IF($F1078="","",IFERROR(INDEX(rngEPtype,MATCH($F1078,rngEPcode,0)),"?"))</f>
        <v/>
      </c>
      <c r="I1078" s="17">
        <f>IF($F1078="","",IFERROR(INDEX(rngEPseq,MATCH($F1078,rngEPcode,0)),""))</f>
        <v/>
      </c>
      <c r="J1078" s="17">
        <f>IF($F1078="","",IFERROR(INDEX(rngEPpass,MATCH($F1078,rngEPcode,0)),cfgPassingScore))</f>
        <v/>
      </c>
      <c r="K1078" s="16" t="n"/>
      <c r="L1078" s="16" t="n"/>
      <c r="M1078" s="17">
        <f>IF($C1078="","",IF($L1078="","",IF(NOT(ISNUMBER($L1078)),$L1078,IF(N($K1078)&gt;2,"",IF($K1078=1,IF(COUNTIFS(nrES_PID,$D1078,nrES_Code,$F1078,nrES_Att,2,nrES_Raw,"&gt;=0")&gt;0,"",$L1078),IF($L1078&gt;=$J1078,MAX($J1078,cfgRetakeRecordedCap),IF(COUNTIFS(nrES_PID,$D1078,nrES_Code,$F1078,nrES_Att,1)=0,$L1078,SUMIFS(nrES_Raw,nrES_PID,$D1078,nrES_Code,$F1078,nrES_Att,1))))))))</f>
        <v/>
      </c>
      <c r="N1078" s="17">
        <f>IF($C1078="","",IF($L1078="","",IF(NOT(ISNUMBER($L1078)),"(not a score)",IF($L1078&gt;=$J1078,"Yes","No"))))</f>
        <v/>
      </c>
      <c r="O1078" s="17">
        <f>IF($C1078="","",IF($M1078="","",IF(NOT(ISNUMBER($M1078)),"(not a score)",IF($M1078&gt;=$J1078,"Yes","No"))))</f>
        <v/>
      </c>
      <c r="P1078" s="17">
        <f>IF($C1078="","",IF($K1078="","",IF(N($K1078)&gt;2,"No",IF(COUNTIFS(nrES_PID,$D1078,nrES_Code,$F1078,nrES_Att,"&gt;"&amp;$K1078,nrES_Att,"&lt;=2",nrES_Raw,"&gt;=0")=0,"Yes","No"))))</f>
        <v/>
      </c>
      <c r="Q1078" s="17">
        <f>IF($C1078="","",IF($L1078="","",IF(AND($K1078=1,ISNUMBER($L1078),$L1078&lt;$J1078,COUNTIFS(nrES_PID,$D1078,nrES_Code,$F1078,nrES_Att,2,nrES_Raw,"&gt;=0")=0),"Yes","No")))</f>
        <v/>
      </c>
      <c r="R1078" s="17">
        <f>IF($C1078="","",IF($L1078="","",IF(AND(N($K1078)&gt;=2,ISNUMBER($L1078),$L1078&lt;$J1078),"Yes","No")))</f>
        <v/>
      </c>
      <c r="S1078" s="18" t="n"/>
      <c r="T1078" s="19">
        <f>IF(OR($C1078="",$L1078="",$K1078&lt;&gt;1,NOT(ISNUMBER($L1078)),$L1078&gt;=$J1078),"",IF($S1078="","(enter date)",_xlfn.LET(_xlpm.dn,_xlfn.XLOOKUP($S1078,nrCDdate,nrCDnum,"",1),IF(_xlpm.dn="","(after last class day)",_xlfn.LET(_xlpm.dd,_xlfn.XLOOKUP(_xlpm.dn+cfgRetestClassDays,nrCDnum,nrCDdate,""),_xlpm.ok,_xlfn.XLOOKUP(_xlpm.dn+cfgRetestClassDays,nrCDnum,nrCDinsession,"No"),IF(OR(_xlpm.dd="",_xlpm.ok&lt;&gt;"Yes"),"(after last class day)",_xlpm.dd))))))</f>
        <v/>
      </c>
      <c r="U1078" s="17">
        <f>IF($C1078="","",IF(AND($Y1078="Excused",$L1078="",N($K1078)&lt;=1),"EXCUSED - 1st attempt pending",IF(OR($L1078="",$K1078&lt;&gt;1,NOT(ISNUMBER($L1078)),$L1078&gt;=$J1078),"",IF(COUNTIFS(nrES_PID,$D1078,nrES_Code,$F1078,nrES_Att,2,nrES_Raw,"&gt;=0")&gt;0,IF(IFERROR(_xlfn.MINIFS(nrES_Date,nrES_PID,$D1078,nrES_Code,$F1078,nrES_Att,2,nrES_Raw,"&gt;=0",nrES_Date,"&gt;0"),0)=0,"RETEST UNDATED",IF(NOT(ISNUMBER($T1078)),"RETEST DATE UNCHECKED",IF(_xlfn.MINIFS(nrES_Date,nrES_PID,$D1078,nrES_Code,$F1078,nrES_Att,2,nrES_Raw,"&gt;=0",nrES_Date,"&gt;0")&gt;$T1078,"LATE RETEST "&amp;TEXT(_xlfn.MINIFS(nrES_Date,nrES_PID,$D1078,nrES_Code,$F1078,nrES_Att,2,nrES_Raw,"&gt;=0",nrES_Date,"&gt;0"),"mm/dd")&amp;" (due "&amp;TEXT($T1078,"mm/dd")&amp;")","Retested"))),IF(NOT(ISNUMBER($T1078)),"CHECK DATE",IF(TODAY()&gt;$T1078,"OVERDUE","Due "&amp;TEXT($T1078,"mm/dd")))))))</f>
        <v/>
      </c>
      <c r="V1078" s="16" t="n"/>
      <c r="W1078" s="16" t="n"/>
      <c r="X1078" s="17">
        <f>IF($C1078="","",IF(AND($L1078&lt;&gt;"",NOT(ISNUMBER($L1078))),"RAW SCORE NOT A NUMBER",IF(AND(ISNUMBER($L1078),OR($L1078&lt;0,$L1078&gt;100)),"RAW SCORE OUT OF RANGE",IF(AND($Y1078="Unexcused",OR($L1078="",NOT(ISNUMBER($L1078)),$L1078&lt;&gt;0)),"UNEXCUSED ABSENCE MUST RECORD 0",IF(COUNTIF(nrES_RecID,$B1078)&gt;1,"DUPLICATE RECORD",IF(N($K1078)&gt;2,"ATTEMPT 3+ NOT ALLOWED - policy 300.5 permits one retest per exam; this row records nothing",IF(AND($K1078=2,COUNTIFS(nrES_PID,$D1078,nrES_Code,$F1078,nrES_Att,1)=0),"ATTEMPT 2 WITHOUT ATTEMPT 1",IF(AND($K1078=2,$L1078=""),"RETEST ROW HAS NO SCORE",IF(AND($H1078="Final",$L1078&lt;&gt;"",IFERROR(INDEX(nrCKfinalExamElig,MATCH($D1078,rngCadetPIDs,0)),"")="No"),"FINAL EXAM AFTER FAILED FINAL PT (500.1.H)",IF(AND($K1078=2,ISNUMBER($L1078),COUNTIFS(nrES_PID,$D1078,nrES_Code,$F1078,nrES_Att,1)&gt;0,SUMIFS(nrES_Raw,nrES_PID,$D1078,nrES_Code,$F1078,nrES_Att,1)&gt;=$J1078),"RETEST AFTER A PASSING FIRST ATTEMPT","OK"))))))))))</f>
        <v/>
      </c>
      <c r="Y1078" s="16" t="n"/>
    </row>
    <row r="1079">
      <c r="B1079" s="17">
        <f>IF($C1079="","",$D1079&amp;"-"&amp;$F1079&amp;"-"&amp;$K1079)</f>
        <v/>
      </c>
      <c r="C1079" s="16" t="n"/>
      <c r="D1079" s="17">
        <f>IF($C1079="","",IFERROR(INDEX(rngCadetPIDs,MATCH($C1079,rngCadetNames,0)),"?"))</f>
        <v/>
      </c>
      <c r="E1079" s="17">
        <f>IF($D1079="","",IFERROR(INDEX(nrCadetAgency,MATCH($D1079,rngCadetPIDs,0)),""))</f>
        <v/>
      </c>
      <c r="F1079" s="16" t="n"/>
      <c r="G1079" s="17">
        <f>IF($F1079="","",IFERROR(INDEX(rngEPname,MATCH($F1079,rngEPcode,0)),"?"))</f>
        <v/>
      </c>
      <c r="H1079" s="17">
        <f>IF($F1079="","",IFERROR(INDEX(rngEPtype,MATCH($F1079,rngEPcode,0)),"?"))</f>
        <v/>
      </c>
      <c r="I1079" s="17">
        <f>IF($F1079="","",IFERROR(INDEX(rngEPseq,MATCH($F1079,rngEPcode,0)),""))</f>
        <v/>
      </c>
      <c r="J1079" s="17">
        <f>IF($F1079="","",IFERROR(INDEX(rngEPpass,MATCH($F1079,rngEPcode,0)),cfgPassingScore))</f>
        <v/>
      </c>
      <c r="K1079" s="16" t="n"/>
      <c r="L1079" s="16" t="n"/>
      <c r="M1079" s="17">
        <f>IF($C1079="","",IF($L1079="","",IF(NOT(ISNUMBER($L1079)),$L1079,IF(N($K1079)&gt;2,"",IF($K1079=1,IF(COUNTIFS(nrES_PID,$D1079,nrES_Code,$F1079,nrES_Att,2,nrES_Raw,"&gt;=0")&gt;0,"",$L1079),IF($L1079&gt;=$J1079,MAX($J1079,cfgRetakeRecordedCap),IF(COUNTIFS(nrES_PID,$D1079,nrES_Code,$F1079,nrES_Att,1)=0,$L1079,SUMIFS(nrES_Raw,nrES_PID,$D1079,nrES_Code,$F1079,nrES_Att,1))))))))</f>
        <v/>
      </c>
      <c r="N1079" s="17">
        <f>IF($C1079="","",IF($L1079="","",IF(NOT(ISNUMBER($L1079)),"(not a score)",IF($L1079&gt;=$J1079,"Yes","No"))))</f>
        <v/>
      </c>
      <c r="O1079" s="17">
        <f>IF($C1079="","",IF($M1079="","",IF(NOT(ISNUMBER($M1079)),"(not a score)",IF($M1079&gt;=$J1079,"Yes","No"))))</f>
        <v/>
      </c>
      <c r="P1079" s="17">
        <f>IF($C1079="","",IF($K1079="","",IF(N($K1079)&gt;2,"No",IF(COUNTIFS(nrES_PID,$D1079,nrES_Code,$F1079,nrES_Att,"&gt;"&amp;$K1079,nrES_Att,"&lt;=2",nrES_Raw,"&gt;=0")=0,"Yes","No"))))</f>
        <v/>
      </c>
      <c r="Q1079" s="17">
        <f>IF($C1079="","",IF($L1079="","",IF(AND($K1079=1,ISNUMBER($L1079),$L1079&lt;$J1079,COUNTIFS(nrES_PID,$D1079,nrES_Code,$F1079,nrES_Att,2,nrES_Raw,"&gt;=0")=0),"Yes","No")))</f>
        <v/>
      </c>
      <c r="R1079" s="17">
        <f>IF($C1079="","",IF($L1079="","",IF(AND(N($K1079)&gt;=2,ISNUMBER($L1079),$L1079&lt;$J1079),"Yes","No")))</f>
        <v/>
      </c>
      <c r="S1079" s="18" t="n"/>
      <c r="T1079" s="19">
        <f>IF(OR($C1079="",$L1079="",$K1079&lt;&gt;1,NOT(ISNUMBER($L1079)),$L1079&gt;=$J1079),"",IF($S1079="","(enter date)",_xlfn.LET(_xlpm.dn,_xlfn.XLOOKUP($S1079,nrCDdate,nrCDnum,"",1),IF(_xlpm.dn="","(after last class day)",_xlfn.LET(_xlpm.dd,_xlfn.XLOOKUP(_xlpm.dn+cfgRetestClassDays,nrCDnum,nrCDdate,""),_xlpm.ok,_xlfn.XLOOKUP(_xlpm.dn+cfgRetestClassDays,nrCDnum,nrCDinsession,"No"),IF(OR(_xlpm.dd="",_xlpm.ok&lt;&gt;"Yes"),"(after last class day)",_xlpm.dd))))))</f>
        <v/>
      </c>
      <c r="U1079" s="17">
        <f>IF($C1079="","",IF(AND($Y1079="Excused",$L1079="",N($K1079)&lt;=1),"EXCUSED - 1st attempt pending",IF(OR($L1079="",$K1079&lt;&gt;1,NOT(ISNUMBER($L1079)),$L1079&gt;=$J1079),"",IF(COUNTIFS(nrES_PID,$D1079,nrES_Code,$F1079,nrES_Att,2,nrES_Raw,"&gt;=0")&gt;0,IF(IFERROR(_xlfn.MINIFS(nrES_Date,nrES_PID,$D1079,nrES_Code,$F1079,nrES_Att,2,nrES_Raw,"&gt;=0",nrES_Date,"&gt;0"),0)=0,"RETEST UNDATED",IF(NOT(ISNUMBER($T1079)),"RETEST DATE UNCHECKED",IF(_xlfn.MINIFS(nrES_Date,nrES_PID,$D1079,nrES_Code,$F1079,nrES_Att,2,nrES_Raw,"&gt;=0",nrES_Date,"&gt;0")&gt;$T1079,"LATE RETEST "&amp;TEXT(_xlfn.MINIFS(nrES_Date,nrES_PID,$D1079,nrES_Code,$F1079,nrES_Att,2,nrES_Raw,"&gt;=0",nrES_Date,"&gt;0"),"mm/dd")&amp;" (due "&amp;TEXT($T1079,"mm/dd")&amp;")","Retested"))),IF(NOT(ISNUMBER($T1079)),"CHECK DATE",IF(TODAY()&gt;$T1079,"OVERDUE","Due "&amp;TEXT($T1079,"mm/dd")))))))</f>
        <v/>
      </c>
      <c r="V1079" s="16" t="n"/>
      <c r="W1079" s="16" t="n"/>
      <c r="X1079" s="17">
        <f>IF($C1079="","",IF(AND($L1079&lt;&gt;"",NOT(ISNUMBER($L1079))),"RAW SCORE NOT A NUMBER",IF(AND(ISNUMBER($L1079),OR($L1079&lt;0,$L1079&gt;100)),"RAW SCORE OUT OF RANGE",IF(AND($Y1079="Unexcused",OR($L1079="",NOT(ISNUMBER($L1079)),$L1079&lt;&gt;0)),"UNEXCUSED ABSENCE MUST RECORD 0",IF(COUNTIF(nrES_RecID,$B1079)&gt;1,"DUPLICATE RECORD",IF(N($K1079)&gt;2,"ATTEMPT 3+ NOT ALLOWED - policy 300.5 permits one retest per exam; this row records nothing",IF(AND($K1079=2,COUNTIFS(nrES_PID,$D1079,nrES_Code,$F1079,nrES_Att,1)=0),"ATTEMPT 2 WITHOUT ATTEMPT 1",IF(AND($K1079=2,$L1079=""),"RETEST ROW HAS NO SCORE",IF(AND($H1079="Final",$L1079&lt;&gt;"",IFERROR(INDEX(nrCKfinalExamElig,MATCH($D1079,rngCadetPIDs,0)),"")="No"),"FINAL EXAM AFTER FAILED FINAL PT (500.1.H)",IF(AND($K1079=2,ISNUMBER($L1079),COUNTIFS(nrES_PID,$D1079,nrES_Code,$F1079,nrES_Att,1)&gt;0,SUMIFS(nrES_Raw,nrES_PID,$D1079,nrES_Code,$F1079,nrES_Att,1)&gt;=$J1079),"RETEST AFTER A PASSING FIRST ATTEMPT","OK"))))))))))</f>
        <v/>
      </c>
      <c r="Y1079" s="16" t="n"/>
    </row>
    <row r="1080">
      <c r="B1080" s="17">
        <f>IF($C1080="","",$D1080&amp;"-"&amp;$F1080&amp;"-"&amp;$K1080)</f>
        <v/>
      </c>
      <c r="C1080" s="16" t="n"/>
      <c r="D1080" s="17">
        <f>IF($C1080="","",IFERROR(INDEX(rngCadetPIDs,MATCH($C1080,rngCadetNames,0)),"?"))</f>
        <v/>
      </c>
      <c r="E1080" s="17">
        <f>IF($D1080="","",IFERROR(INDEX(nrCadetAgency,MATCH($D1080,rngCadetPIDs,0)),""))</f>
        <v/>
      </c>
      <c r="F1080" s="16" t="n"/>
      <c r="G1080" s="17">
        <f>IF($F1080="","",IFERROR(INDEX(rngEPname,MATCH($F1080,rngEPcode,0)),"?"))</f>
        <v/>
      </c>
      <c r="H1080" s="17">
        <f>IF($F1080="","",IFERROR(INDEX(rngEPtype,MATCH($F1080,rngEPcode,0)),"?"))</f>
        <v/>
      </c>
      <c r="I1080" s="17">
        <f>IF($F1080="","",IFERROR(INDEX(rngEPseq,MATCH($F1080,rngEPcode,0)),""))</f>
        <v/>
      </c>
      <c r="J1080" s="17">
        <f>IF($F1080="","",IFERROR(INDEX(rngEPpass,MATCH($F1080,rngEPcode,0)),cfgPassingScore))</f>
        <v/>
      </c>
      <c r="K1080" s="16" t="n"/>
      <c r="L1080" s="16" t="n"/>
      <c r="M1080" s="17">
        <f>IF($C1080="","",IF($L1080="","",IF(NOT(ISNUMBER($L1080)),$L1080,IF(N($K1080)&gt;2,"",IF($K1080=1,IF(COUNTIFS(nrES_PID,$D1080,nrES_Code,$F1080,nrES_Att,2,nrES_Raw,"&gt;=0")&gt;0,"",$L1080),IF($L1080&gt;=$J1080,MAX($J1080,cfgRetakeRecordedCap),IF(COUNTIFS(nrES_PID,$D1080,nrES_Code,$F1080,nrES_Att,1)=0,$L1080,SUMIFS(nrES_Raw,nrES_PID,$D1080,nrES_Code,$F1080,nrES_Att,1))))))))</f>
        <v/>
      </c>
      <c r="N1080" s="17">
        <f>IF($C1080="","",IF($L1080="","",IF(NOT(ISNUMBER($L1080)),"(not a score)",IF($L1080&gt;=$J1080,"Yes","No"))))</f>
        <v/>
      </c>
      <c r="O1080" s="17">
        <f>IF($C1080="","",IF($M1080="","",IF(NOT(ISNUMBER($M1080)),"(not a score)",IF($M1080&gt;=$J1080,"Yes","No"))))</f>
        <v/>
      </c>
      <c r="P1080" s="17">
        <f>IF($C1080="","",IF($K1080="","",IF(N($K1080)&gt;2,"No",IF(COUNTIFS(nrES_PID,$D1080,nrES_Code,$F1080,nrES_Att,"&gt;"&amp;$K1080,nrES_Att,"&lt;=2",nrES_Raw,"&gt;=0")=0,"Yes","No"))))</f>
        <v/>
      </c>
      <c r="Q1080" s="17">
        <f>IF($C1080="","",IF($L1080="","",IF(AND($K1080=1,ISNUMBER($L1080),$L1080&lt;$J1080,COUNTIFS(nrES_PID,$D1080,nrES_Code,$F1080,nrES_Att,2,nrES_Raw,"&gt;=0")=0),"Yes","No")))</f>
        <v/>
      </c>
      <c r="R1080" s="17">
        <f>IF($C1080="","",IF($L1080="","",IF(AND(N($K1080)&gt;=2,ISNUMBER($L1080),$L1080&lt;$J1080),"Yes","No")))</f>
        <v/>
      </c>
      <c r="S1080" s="18" t="n"/>
      <c r="T1080" s="19">
        <f>IF(OR($C1080="",$L1080="",$K1080&lt;&gt;1,NOT(ISNUMBER($L1080)),$L1080&gt;=$J1080),"",IF($S1080="","(enter date)",_xlfn.LET(_xlpm.dn,_xlfn.XLOOKUP($S1080,nrCDdate,nrCDnum,"",1),IF(_xlpm.dn="","(after last class day)",_xlfn.LET(_xlpm.dd,_xlfn.XLOOKUP(_xlpm.dn+cfgRetestClassDays,nrCDnum,nrCDdate,""),_xlpm.ok,_xlfn.XLOOKUP(_xlpm.dn+cfgRetestClassDays,nrCDnum,nrCDinsession,"No"),IF(OR(_xlpm.dd="",_xlpm.ok&lt;&gt;"Yes"),"(after last class day)",_xlpm.dd))))))</f>
        <v/>
      </c>
      <c r="U1080" s="17">
        <f>IF($C1080="","",IF(AND($Y1080="Excused",$L1080="",N($K1080)&lt;=1),"EXCUSED - 1st attempt pending",IF(OR($L1080="",$K1080&lt;&gt;1,NOT(ISNUMBER($L1080)),$L1080&gt;=$J1080),"",IF(COUNTIFS(nrES_PID,$D1080,nrES_Code,$F1080,nrES_Att,2,nrES_Raw,"&gt;=0")&gt;0,IF(IFERROR(_xlfn.MINIFS(nrES_Date,nrES_PID,$D1080,nrES_Code,$F1080,nrES_Att,2,nrES_Raw,"&gt;=0",nrES_Date,"&gt;0"),0)=0,"RETEST UNDATED",IF(NOT(ISNUMBER($T1080)),"RETEST DATE UNCHECKED",IF(_xlfn.MINIFS(nrES_Date,nrES_PID,$D1080,nrES_Code,$F1080,nrES_Att,2,nrES_Raw,"&gt;=0",nrES_Date,"&gt;0")&gt;$T1080,"LATE RETEST "&amp;TEXT(_xlfn.MINIFS(nrES_Date,nrES_PID,$D1080,nrES_Code,$F1080,nrES_Att,2,nrES_Raw,"&gt;=0",nrES_Date,"&gt;0"),"mm/dd")&amp;" (due "&amp;TEXT($T1080,"mm/dd")&amp;")","Retested"))),IF(NOT(ISNUMBER($T1080)),"CHECK DATE",IF(TODAY()&gt;$T1080,"OVERDUE","Due "&amp;TEXT($T1080,"mm/dd")))))))</f>
        <v/>
      </c>
      <c r="V1080" s="16" t="n"/>
      <c r="W1080" s="16" t="n"/>
      <c r="X1080" s="17">
        <f>IF($C1080="","",IF(AND($L1080&lt;&gt;"",NOT(ISNUMBER($L1080))),"RAW SCORE NOT A NUMBER",IF(AND(ISNUMBER($L1080),OR($L1080&lt;0,$L1080&gt;100)),"RAW SCORE OUT OF RANGE",IF(AND($Y1080="Unexcused",OR($L1080="",NOT(ISNUMBER($L1080)),$L1080&lt;&gt;0)),"UNEXCUSED ABSENCE MUST RECORD 0",IF(COUNTIF(nrES_RecID,$B1080)&gt;1,"DUPLICATE RECORD",IF(N($K1080)&gt;2,"ATTEMPT 3+ NOT ALLOWED - policy 300.5 permits one retest per exam; this row records nothing",IF(AND($K1080=2,COUNTIFS(nrES_PID,$D1080,nrES_Code,$F1080,nrES_Att,1)=0),"ATTEMPT 2 WITHOUT ATTEMPT 1",IF(AND($K1080=2,$L1080=""),"RETEST ROW HAS NO SCORE",IF(AND($H1080="Final",$L1080&lt;&gt;"",IFERROR(INDEX(nrCKfinalExamElig,MATCH($D1080,rngCadetPIDs,0)),"")="No"),"FINAL EXAM AFTER FAILED FINAL PT (500.1.H)",IF(AND($K1080=2,ISNUMBER($L1080),COUNTIFS(nrES_PID,$D1080,nrES_Code,$F1080,nrES_Att,1)&gt;0,SUMIFS(nrES_Raw,nrES_PID,$D1080,nrES_Code,$F1080,nrES_Att,1)&gt;=$J1080),"RETEST AFTER A PASSING FIRST ATTEMPT","OK"))))))))))</f>
        <v/>
      </c>
      <c r="Y1080" s="16" t="n"/>
    </row>
    <row r="1081">
      <c r="B1081" s="17">
        <f>IF($C1081="","",$D1081&amp;"-"&amp;$F1081&amp;"-"&amp;$K1081)</f>
        <v/>
      </c>
      <c r="C1081" s="16" t="n"/>
      <c r="D1081" s="17">
        <f>IF($C1081="","",IFERROR(INDEX(rngCadetPIDs,MATCH($C1081,rngCadetNames,0)),"?"))</f>
        <v/>
      </c>
      <c r="E1081" s="17">
        <f>IF($D1081="","",IFERROR(INDEX(nrCadetAgency,MATCH($D1081,rngCadetPIDs,0)),""))</f>
        <v/>
      </c>
      <c r="F1081" s="16" t="n"/>
      <c r="G1081" s="17">
        <f>IF($F1081="","",IFERROR(INDEX(rngEPname,MATCH($F1081,rngEPcode,0)),"?"))</f>
        <v/>
      </c>
      <c r="H1081" s="17">
        <f>IF($F1081="","",IFERROR(INDEX(rngEPtype,MATCH($F1081,rngEPcode,0)),"?"))</f>
        <v/>
      </c>
      <c r="I1081" s="17">
        <f>IF($F1081="","",IFERROR(INDEX(rngEPseq,MATCH($F1081,rngEPcode,0)),""))</f>
        <v/>
      </c>
      <c r="J1081" s="17">
        <f>IF($F1081="","",IFERROR(INDEX(rngEPpass,MATCH($F1081,rngEPcode,0)),cfgPassingScore))</f>
        <v/>
      </c>
      <c r="K1081" s="16" t="n"/>
      <c r="L1081" s="16" t="n"/>
      <c r="M1081" s="17">
        <f>IF($C1081="","",IF($L1081="","",IF(NOT(ISNUMBER($L1081)),$L1081,IF(N($K1081)&gt;2,"",IF($K1081=1,IF(COUNTIFS(nrES_PID,$D1081,nrES_Code,$F1081,nrES_Att,2,nrES_Raw,"&gt;=0")&gt;0,"",$L1081),IF($L1081&gt;=$J1081,MAX($J1081,cfgRetakeRecordedCap),IF(COUNTIFS(nrES_PID,$D1081,nrES_Code,$F1081,nrES_Att,1)=0,$L1081,SUMIFS(nrES_Raw,nrES_PID,$D1081,nrES_Code,$F1081,nrES_Att,1))))))))</f>
        <v/>
      </c>
      <c r="N1081" s="17">
        <f>IF($C1081="","",IF($L1081="","",IF(NOT(ISNUMBER($L1081)),"(not a score)",IF($L1081&gt;=$J1081,"Yes","No"))))</f>
        <v/>
      </c>
      <c r="O1081" s="17">
        <f>IF($C1081="","",IF($M1081="","",IF(NOT(ISNUMBER($M1081)),"(not a score)",IF($M1081&gt;=$J1081,"Yes","No"))))</f>
        <v/>
      </c>
      <c r="P1081" s="17">
        <f>IF($C1081="","",IF($K1081="","",IF(N($K1081)&gt;2,"No",IF(COUNTIFS(nrES_PID,$D1081,nrES_Code,$F1081,nrES_Att,"&gt;"&amp;$K1081,nrES_Att,"&lt;=2",nrES_Raw,"&gt;=0")=0,"Yes","No"))))</f>
        <v/>
      </c>
      <c r="Q1081" s="17">
        <f>IF($C1081="","",IF($L1081="","",IF(AND($K1081=1,ISNUMBER($L1081),$L1081&lt;$J1081,COUNTIFS(nrES_PID,$D1081,nrES_Code,$F1081,nrES_Att,2,nrES_Raw,"&gt;=0")=0),"Yes","No")))</f>
        <v/>
      </c>
      <c r="R1081" s="17">
        <f>IF($C1081="","",IF($L1081="","",IF(AND(N($K1081)&gt;=2,ISNUMBER($L1081),$L1081&lt;$J1081),"Yes","No")))</f>
        <v/>
      </c>
      <c r="S1081" s="18" t="n"/>
      <c r="T1081" s="19">
        <f>IF(OR($C1081="",$L1081="",$K1081&lt;&gt;1,NOT(ISNUMBER($L1081)),$L1081&gt;=$J1081),"",IF($S1081="","(enter date)",_xlfn.LET(_xlpm.dn,_xlfn.XLOOKUP($S1081,nrCDdate,nrCDnum,"",1),IF(_xlpm.dn="","(after last class day)",_xlfn.LET(_xlpm.dd,_xlfn.XLOOKUP(_xlpm.dn+cfgRetestClassDays,nrCDnum,nrCDdate,""),_xlpm.ok,_xlfn.XLOOKUP(_xlpm.dn+cfgRetestClassDays,nrCDnum,nrCDinsession,"No"),IF(OR(_xlpm.dd="",_xlpm.ok&lt;&gt;"Yes"),"(after last class day)",_xlpm.dd))))))</f>
        <v/>
      </c>
      <c r="U1081" s="17">
        <f>IF($C1081="","",IF(AND($Y1081="Excused",$L1081="",N($K1081)&lt;=1),"EXCUSED - 1st attempt pending",IF(OR($L1081="",$K1081&lt;&gt;1,NOT(ISNUMBER($L1081)),$L1081&gt;=$J1081),"",IF(COUNTIFS(nrES_PID,$D1081,nrES_Code,$F1081,nrES_Att,2,nrES_Raw,"&gt;=0")&gt;0,IF(IFERROR(_xlfn.MINIFS(nrES_Date,nrES_PID,$D1081,nrES_Code,$F1081,nrES_Att,2,nrES_Raw,"&gt;=0",nrES_Date,"&gt;0"),0)=0,"RETEST UNDATED",IF(NOT(ISNUMBER($T1081)),"RETEST DATE UNCHECKED",IF(_xlfn.MINIFS(nrES_Date,nrES_PID,$D1081,nrES_Code,$F1081,nrES_Att,2,nrES_Raw,"&gt;=0",nrES_Date,"&gt;0")&gt;$T1081,"LATE RETEST "&amp;TEXT(_xlfn.MINIFS(nrES_Date,nrES_PID,$D1081,nrES_Code,$F1081,nrES_Att,2,nrES_Raw,"&gt;=0",nrES_Date,"&gt;0"),"mm/dd")&amp;" (due "&amp;TEXT($T1081,"mm/dd")&amp;")","Retested"))),IF(NOT(ISNUMBER($T1081)),"CHECK DATE",IF(TODAY()&gt;$T1081,"OVERDUE","Due "&amp;TEXT($T1081,"mm/dd")))))))</f>
        <v/>
      </c>
      <c r="V1081" s="16" t="n"/>
      <c r="W1081" s="16" t="n"/>
      <c r="X1081" s="17">
        <f>IF($C1081="","",IF(AND($L1081&lt;&gt;"",NOT(ISNUMBER($L1081))),"RAW SCORE NOT A NUMBER",IF(AND(ISNUMBER($L1081),OR($L1081&lt;0,$L1081&gt;100)),"RAW SCORE OUT OF RANGE",IF(AND($Y1081="Unexcused",OR($L1081="",NOT(ISNUMBER($L1081)),$L1081&lt;&gt;0)),"UNEXCUSED ABSENCE MUST RECORD 0",IF(COUNTIF(nrES_RecID,$B1081)&gt;1,"DUPLICATE RECORD",IF(N($K1081)&gt;2,"ATTEMPT 3+ NOT ALLOWED - policy 300.5 permits one retest per exam; this row records nothing",IF(AND($K1081=2,COUNTIFS(nrES_PID,$D1081,nrES_Code,$F1081,nrES_Att,1)=0),"ATTEMPT 2 WITHOUT ATTEMPT 1",IF(AND($K1081=2,$L1081=""),"RETEST ROW HAS NO SCORE",IF(AND($H1081="Final",$L1081&lt;&gt;"",IFERROR(INDEX(nrCKfinalExamElig,MATCH($D1081,rngCadetPIDs,0)),"")="No"),"FINAL EXAM AFTER FAILED FINAL PT (500.1.H)",IF(AND($K1081=2,ISNUMBER($L1081),COUNTIFS(nrES_PID,$D1081,nrES_Code,$F1081,nrES_Att,1)&gt;0,SUMIFS(nrES_Raw,nrES_PID,$D1081,nrES_Code,$F1081,nrES_Att,1)&gt;=$J1081),"RETEST AFTER A PASSING FIRST ATTEMPT","OK"))))))))))</f>
        <v/>
      </c>
      <c r="Y1081" s="16" t="n"/>
    </row>
    <row r="1082">
      <c r="B1082" s="17">
        <f>IF($C1082="","",$D1082&amp;"-"&amp;$F1082&amp;"-"&amp;$K1082)</f>
        <v/>
      </c>
      <c r="C1082" s="16" t="n"/>
      <c r="D1082" s="17">
        <f>IF($C1082="","",IFERROR(INDEX(rngCadetPIDs,MATCH($C1082,rngCadetNames,0)),"?"))</f>
        <v/>
      </c>
      <c r="E1082" s="17">
        <f>IF($D1082="","",IFERROR(INDEX(nrCadetAgency,MATCH($D1082,rngCadetPIDs,0)),""))</f>
        <v/>
      </c>
      <c r="F1082" s="16" t="n"/>
      <c r="G1082" s="17">
        <f>IF($F1082="","",IFERROR(INDEX(rngEPname,MATCH($F1082,rngEPcode,0)),"?"))</f>
        <v/>
      </c>
      <c r="H1082" s="17">
        <f>IF($F1082="","",IFERROR(INDEX(rngEPtype,MATCH($F1082,rngEPcode,0)),"?"))</f>
        <v/>
      </c>
      <c r="I1082" s="17">
        <f>IF($F1082="","",IFERROR(INDEX(rngEPseq,MATCH($F1082,rngEPcode,0)),""))</f>
        <v/>
      </c>
      <c r="J1082" s="17">
        <f>IF($F1082="","",IFERROR(INDEX(rngEPpass,MATCH($F1082,rngEPcode,0)),cfgPassingScore))</f>
        <v/>
      </c>
      <c r="K1082" s="16" t="n"/>
      <c r="L1082" s="16" t="n"/>
      <c r="M1082" s="17">
        <f>IF($C1082="","",IF($L1082="","",IF(NOT(ISNUMBER($L1082)),$L1082,IF(N($K1082)&gt;2,"",IF($K1082=1,IF(COUNTIFS(nrES_PID,$D1082,nrES_Code,$F1082,nrES_Att,2,nrES_Raw,"&gt;=0")&gt;0,"",$L1082),IF($L1082&gt;=$J1082,MAX($J1082,cfgRetakeRecordedCap),IF(COUNTIFS(nrES_PID,$D1082,nrES_Code,$F1082,nrES_Att,1)=0,$L1082,SUMIFS(nrES_Raw,nrES_PID,$D1082,nrES_Code,$F1082,nrES_Att,1))))))))</f>
        <v/>
      </c>
      <c r="N1082" s="17">
        <f>IF($C1082="","",IF($L1082="","",IF(NOT(ISNUMBER($L1082)),"(not a score)",IF($L1082&gt;=$J1082,"Yes","No"))))</f>
        <v/>
      </c>
      <c r="O1082" s="17">
        <f>IF($C1082="","",IF($M1082="","",IF(NOT(ISNUMBER($M1082)),"(not a score)",IF($M1082&gt;=$J1082,"Yes","No"))))</f>
        <v/>
      </c>
      <c r="P1082" s="17">
        <f>IF($C1082="","",IF($K1082="","",IF(N($K1082)&gt;2,"No",IF(COUNTIFS(nrES_PID,$D1082,nrES_Code,$F1082,nrES_Att,"&gt;"&amp;$K1082,nrES_Att,"&lt;=2",nrES_Raw,"&gt;=0")=0,"Yes","No"))))</f>
        <v/>
      </c>
      <c r="Q1082" s="17">
        <f>IF($C1082="","",IF($L1082="","",IF(AND($K1082=1,ISNUMBER($L1082),$L1082&lt;$J1082,COUNTIFS(nrES_PID,$D1082,nrES_Code,$F1082,nrES_Att,2,nrES_Raw,"&gt;=0")=0),"Yes","No")))</f>
        <v/>
      </c>
      <c r="R1082" s="17">
        <f>IF($C1082="","",IF($L1082="","",IF(AND(N($K1082)&gt;=2,ISNUMBER($L1082),$L1082&lt;$J1082),"Yes","No")))</f>
        <v/>
      </c>
      <c r="S1082" s="18" t="n"/>
      <c r="T1082" s="19">
        <f>IF(OR($C1082="",$L1082="",$K1082&lt;&gt;1,NOT(ISNUMBER($L1082)),$L1082&gt;=$J1082),"",IF($S1082="","(enter date)",_xlfn.LET(_xlpm.dn,_xlfn.XLOOKUP($S1082,nrCDdate,nrCDnum,"",1),IF(_xlpm.dn="","(after last class day)",_xlfn.LET(_xlpm.dd,_xlfn.XLOOKUP(_xlpm.dn+cfgRetestClassDays,nrCDnum,nrCDdate,""),_xlpm.ok,_xlfn.XLOOKUP(_xlpm.dn+cfgRetestClassDays,nrCDnum,nrCDinsession,"No"),IF(OR(_xlpm.dd="",_xlpm.ok&lt;&gt;"Yes"),"(after last class day)",_xlpm.dd))))))</f>
        <v/>
      </c>
      <c r="U1082" s="17">
        <f>IF($C1082="","",IF(AND($Y1082="Excused",$L1082="",N($K1082)&lt;=1),"EXCUSED - 1st attempt pending",IF(OR($L1082="",$K1082&lt;&gt;1,NOT(ISNUMBER($L1082)),$L1082&gt;=$J1082),"",IF(COUNTIFS(nrES_PID,$D1082,nrES_Code,$F1082,nrES_Att,2,nrES_Raw,"&gt;=0")&gt;0,IF(IFERROR(_xlfn.MINIFS(nrES_Date,nrES_PID,$D1082,nrES_Code,$F1082,nrES_Att,2,nrES_Raw,"&gt;=0",nrES_Date,"&gt;0"),0)=0,"RETEST UNDATED",IF(NOT(ISNUMBER($T1082)),"RETEST DATE UNCHECKED",IF(_xlfn.MINIFS(nrES_Date,nrES_PID,$D1082,nrES_Code,$F1082,nrES_Att,2,nrES_Raw,"&gt;=0",nrES_Date,"&gt;0")&gt;$T1082,"LATE RETEST "&amp;TEXT(_xlfn.MINIFS(nrES_Date,nrES_PID,$D1082,nrES_Code,$F1082,nrES_Att,2,nrES_Raw,"&gt;=0",nrES_Date,"&gt;0"),"mm/dd")&amp;" (due "&amp;TEXT($T1082,"mm/dd")&amp;")","Retested"))),IF(NOT(ISNUMBER($T1082)),"CHECK DATE",IF(TODAY()&gt;$T1082,"OVERDUE","Due "&amp;TEXT($T1082,"mm/dd")))))))</f>
        <v/>
      </c>
      <c r="V1082" s="16" t="n"/>
      <c r="W1082" s="16" t="n"/>
      <c r="X1082" s="17">
        <f>IF($C1082="","",IF(AND($L1082&lt;&gt;"",NOT(ISNUMBER($L1082))),"RAW SCORE NOT A NUMBER",IF(AND(ISNUMBER($L1082),OR($L1082&lt;0,$L1082&gt;100)),"RAW SCORE OUT OF RANGE",IF(AND($Y1082="Unexcused",OR($L1082="",NOT(ISNUMBER($L1082)),$L1082&lt;&gt;0)),"UNEXCUSED ABSENCE MUST RECORD 0",IF(COUNTIF(nrES_RecID,$B1082)&gt;1,"DUPLICATE RECORD",IF(N($K1082)&gt;2,"ATTEMPT 3+ NOT ALLOWED - policy 300.5 permits one retest per exam; this row records nothing",IF(AND($K1082=2,COUNTIFS(nrES_PID,$D1082,nrES_Code,$F1082,nrES_Att,1)=0),"ATTEMPT 2 WITHOUT ATTEMPT 1",IF(AND($K1082=2,$L1082=""),"RETEST ROW HAS NO SCORE",IF(AND($H1082="Final",$L1082&lt;&gt;"",IFERROR(INDEX(nrCKfinalExamElig,MATCH($D1082,rngCadetPIDs,0)),"")="No"),"FINAL EXAM AFTER FAILED FINAL PT (500.1.H)",IF(AND($K1082=2,ISNUMBER($L1082),COUNTIFS(nrES_PID,$D1082,nrES_Code,$F1082,nrES_Att,1)&gt;0,SUMIFS(nrES_Raw,nrES_PID,$D1082,nrES_Code,$F1082,nrES_Att,1)&gt;=$J1082),"RETEST AFTER A PASSING FIRST ATTEMPT","OK"))))))))))</f>
        <v/>
      </c>
      <c r="Y1082" s="16" t="n"/>
    </row>
    <row r="1083">
      <c r="B1083" s="17">
        <f>IF($C1083="","",$D1083&amp;"-"&amp;$F1083&amp;"-"&amp;$K1083)</f>
        <v/>
      </c>
      <c r="C1083" s="16" t="n"/>
      <c r="D1083" s="17">
        <f>IF($C1083="","",IFERROR(INDEX(rngCadetPIDs,MATCH($C1083,rngCadetNames,0)),"?"))</f>
        <v/>
      </c>
      <c r="E1083" s="17">
        <f>IF($D1083="","",IFERROR(INDEX(nrCadetAgency,MATCH($D1083,rngCadetPIDs,0)),""))</f>
        <v/>
      </c>
      <c r="F1083" s="16" t="n"/>
      <c r="G1083" s="17">
        <f>IF($F1083="","",IFERROR(INDEX(rngEPname,MATCH($F1083,rngEPcode,0)),"?"))</f>
        <v/>
      </c>
      <c r="H1083" s="17">
        <f>IF($F1083="","",IFERROR(INDEX(rngEPtype,MATCH($F1083,rngEPcode,0)),"?"))</f>
        <v/>
      </c>
      <c r="I1083" s="17">
        <f>IF($F1083="","",IFERROR(INDEX(rngEPseq,MATCH($F1083,rngEPcode,0)),""))</f>
        <v/>
      </c>
      <c r="J1083" s="17">
        <f>IF($F1083="","",IFERROR(INDEX(rngEPpass,MATCH($F1083,rngEPcode,0)),cfgPassingScore))</f>
        <v/>
      </c>
      <c r="K1083" s="16" t="n"/>
      <c r="L1083" s="16" t="n"/>
      <c r="M1083" s="17">
        <f>IF($C1083="","",IF($L1083="","",IF(NOT(ISNUMBER($L1083)),$L1083,IF(N($K1083)&gt;2,"",IF($K1083=1,IF(COUNTIFS(nrES_PID,$D1083,nrES_Code,$F1083,nrES_Att,2,nrES_Raw,"&gt;=0")&gt;0,"",$L1083),IF($L1083&gt;=$J1083,MAX($J1083,cfgRetakeRecordedCap),IF(COUNTIFS(nrES_PID,$D1083,nrES_Code,$F1083,nrES_Att,1)=0,$L1083,SUMIFS(nrES_Raw,nrES_PID,$D1083,nrES_Code,$F1083,nrES_Att,1))))))))</f>
        <v/>
      </c>
      <c r="N1083" s="17">
        <f>IF($C1083="","",IF($L1083="","",IF(NOT(ISNUMBER($L1083)),"(not a score)",IF($L1083&gt;=$J1083,"Yes","No"))))</f>
        <v/>
      </c>
      <c r="O1083" s="17">
        <f>IF($C1083="","",IF($M1083="","",IF(NOT(ISNUMBER($M1083)),"(not a score)",IF($M1083&gt;=$J1083,"Yes","No"))))</f>
        <v/>
      </c>
      <c r="P1083" s="17">
        <f>IF($C1083="","",IF($K1083="","",IF(N($K1083)&gt;2,"No",IF(COUNTIFS(nrES_PID,$D1083,nrES_Code,$F1083,nrES_Att,"&gt;"&amp;$K1083,nrES_Att,"&lt;=2",nrES_Raw,"&gt;=0")=0,"Yes","No"))))</f>
        <v/>
      </c>
      <c r="Q1083" s="17">
        <f>IF($C1083="","",IF($L1083="","",IF(AND($K1083=1,ISNUMBER($L1083),$L1083&lt;$J1083,COUNTIFS(nrES_PID,$D1083,nrES_Code,$F1083,nrES_Att,2,nrES_Raw,"&gt;=0")=0),"Yes","No")))</f>
        <v/>
      </c>
      <c r="R1083" s="17">
        <f>IF($C1083="","",IF($L1083="","",IF(AND(N($K1083)&gt;=2,ISNUMBER($L1083),$L1083&lt;$J1083),"Yes","No")))</f>
        <v/>
      </c>
      <c r="S1083" s="18" t="n"/>
      <c r="T1083" s="19">
        <f>IF(OR($C1083="",$L1083="",$K1083&lt;&gt;1,NOT(ISNUMBER($L1083)),$L1083&gt;=$J1083),"",IF($S1083="","(enter date)",_xlfn.LET(_xlpm.dn,_xlfn.XLOOKUP($S1083,nrCDdate,nrCDnum,"",1),IF(_xlpm.dn="","(after last class day)",_xlfn.LET(_xlpm.dd,_xlfn.XLOOKUP(_xlpm.dn+cfgRetestClassDays,nrCDnum,nrCDdate,""),_xlpm.ok,_xlfn.XLOOKUP(_xlpm.dn+cfgRetestClassDays,nrCDnum,nrCDinsession,"No"),IF(OR(_xlpm.dd="",_xlpm.ok&lt;&gt;"Yes"),"(after last class day)",_xlpm.dd))))))</f>
        <v/>
      </c>
      <c r="U1083" s="17">
        <f>IF($C1083="","",IF(AND($Y1083="Excused",$L1083="",N($K1083)&lt;=1),"EXCUSED - 1st attempt pending",IF(OR($L1083="",$K1083&lt;&gt;1,NOT(ISNUMBER($L1083)),$L1083&gt;=$J1083),"",IF(COUNTIFS(nrES_PID,$D1083,nrES_Code,$F1083,nrES_Att,2,nrES_Raw,"&gt;=0")&gt;0,IF(IFERROR(_xlfn.MINIFS(nrES_Date,nrES_PID,$D1083,nrES_Code,$F1083,nrES_Att,2,nrES_Raw,"&gt;=0",nrES_Date,"&gt;0"),0)=0,"RETEST UNDATED",IF(NOT(ISNUMBER($T1083)),"RETEST DATE UNCHECKED",IF(_xlfn.MINIFS(nrES_Date,nrES_PID,$D1083,nrES_Code,$F1083,nrES_Att,2,nrES_Raw,"&gt;=0",nrES_Date,"&gt;0")&gt;$T1083,"LATE RETEST "&amp;TEXT(_xlfn.MINIFS(nrES_Date,nrES_PID,$D1083,nrES_Code,$F1083,nrES_Att,2,nrES_Raw,"&gt;=0",nrES_Date,"&gt;0"),"mm/dd")&amp;" (due "&amp;TEXT($T1083,"mm/dd")&amp;")","Retested"))),IF(NOT(ISNUMBER($T1083)),"CHECK DATE",IF(TODAY()&gt;$T1083,"OVERDUE","Due "&amp;TEXT($T1083,"mm/dd")))))))</f>
        <v/>
      </c>
      <c r="V1083" s="16" t="n"/>
      <c r="W1083" s="16" t="n"/>
      <c r="X1083" s="17">
        <f>IF($C1083="","",IF(AND($L1083&lt;&gt;"",NOT(ISNUMBER($L1083))),"RAW SCORE NOT A NUMBER",IF(AND(ISNUMBER($L1083),OR($L1083&lt;0,$L1083&gt;100)),"RAW SCORE OUT OF RANGE",IF(AND($Y1083="Unexcused",OR($L1083="",NOT(ISNUMBER($L1083)),$L1083&lt;&gt;0)),"UNEXCUSED ABSENCE MUST RECORD 0",IF(COUNTIF(nrES_RecID,$B1083)&gt;1,"DUPLICATE RECORD",IF(N($K1083)&gt;2,"ATTEMPT 3+ NOT ALLOWED - policy 300.5 permits one retest per exam; this row records nothing",IF(AND($K1083=2,COUNTIFS(nrES_PID,$D1083,nrES_Code,$F1083,nrES_Att,1)=0),"ATTEMPT 2 WITHOUT ATTEMPT 1",IF(AND($K1083=2,$L1083=""),"RETEST ROW HAS NO SCORE",IF(AND($H1083="Final",$L1083&lt;&gt;"",IFERROR(INDEX(nrCKfinalExamElig,MATCH($D1083,rngCadetPIDs,0)),"")="No"),"FINAL EXAM AFTER FAILED FINAL PT (500.1.H)",IF(AND($K1083=2,ISNUMBER($L1083),COUNTIFS(nrES_PID,$D1083,nrES_Code,$F1083,nrES_Att,1)&gt;0,SUMIFS(nrES_Raw,nrES_PID,$D1083,nrES_Code,$F1083,nrES_Att,1)&gt;=$J1083),"RETEST AFTER A PASSING FIRST ATTEMPT","OK"))))))))))</f>
        <v/>
      </c>
      <c r="Y1083" s="16" t="n"/>
    </row>
    <row r="1084">
      <c r="B1084" s="17">
        <f>IF($C1084="","",$D1084&amp;"-"&amp;$F1084&amp;"-"&amp;$K1084)</f>
        <v/>
      </c>
      <c r="C1084" s="16" t="n"/>
      <c r="D1084" s="17">
        <f>IF($C1084="","",IFERROR(INDEX(rngCadetPIDs,MATCH($C1084,rngCadetNames,0)),"?"))</f>
        <v/>
      </c>
      <c r="E1084" s="17">
        <f>IF($D1084="","",IFERROR(INDEX(nrCadetAgency,MATCH($D1084,rngCadetPIDs,0)),""))</f>
        <v/>
      </c>
      <c r="F1084" s="16" t="n"/>
      <c r="G1084" s="17">
        <f>IF($F1084="","",IFERROR(INDEX(rngEPname,MATCH($F1084,rngEPcode,0)),"?"))</f>
        <v/>
      </c>
      <c r="H1084" s="17">
        <f>IF($F1084="","",IFERROR(INDEX(rngEPtype,MATCH($F1084,rngEPcode,0)),"?"))</f>
        <v/>
      </c>
      <c r="I1084" s="17">
        <f>IF($F1084="","",IFERROR(INDEX(rngEPseq,MATCH($F1084,rngEPcode,0)),""))</f>
        <v/>
      </c>
      <c r="J1084" s="17">
        <f>IF($F1084="","",IFERROR(INDEX(rngEPpass,MATCH($F1084,rngEPcode,0)),cfgPassingScore))</f>
        <v/>
      </c>
      <c r="K1084" s="16" t="n"/>
      <c r="L1084" s="16" t="n"/>
      <c r="M1084" s="17">
        <f>IF($C1084="","",IF($L1084="","",IF(NOT(ISNUMBER($L1084)),$L1084,IF(N($K1084)&gt;2,"",IF($K1084=1,IF(COUNTIFS(nrES_PID,$D1084,nrES_Code,$F1084,nrES_Att,2,nrES_Raw,"&gt;=0")&gt;0,"",$L1084),IF($L1084&gt;=$J1084,MAX($J1084,cfgRetakeRecordedCap),IF(COUNTIFS(nrES_PID,$D1084,nrES_Code,$F1084,nrES_Att,1)=0,$L1084,SUMIFS(nrES_Raw,nrES_PID,$D1084,nrES_Code,$F1084,nrES_Att,1))))))))</f>
        <v/>
      </c>
      <c r="N1084" s="17">
        <f>IF($C1084="","",IF($L1084="","",IF(NOT(ISNUMBER($L1084)),"(not a score)",IF($L1084&gt;=$J1084,"Yes","No"))))</f>
        <v/>
      </c>
      <c r="O1084" s="17">
        <f>IF($C1084="","",IF($M1084="","",IF(NOT(ISNUMBER($M1084)),"(not a score)",IF($M1084&gt;=$J1084,"Yes","No"))))</f>
        <v/>
      </c>
      <c r="P1084" s="17">
        <f>IF($C1084="","",IF($K1084="","",IF(N($K1084)&gt;2,"No",IF(COUNTIFS(nrES_PID,$D1084,nrES_Code,$F1084,nrES_Att,"&gt;"&amp;$K1084,nrES_Att,"&lt;=2",nrES_Raw,"&gt;=0")=0,"Yes","No"))))</f>
        <v/>
      </c>
      <c r="Q1084" s="17">
        <f>IF($C1084="","",IF($L1084="","",IF(AND($K1084=1,ISNUMBER($L1084),$L1084&lt;$J1084,COUNTIFS(nrES_PID,$D1084,nrES_Code,$F1084,nrES_Att,2,nrES_Raw,"&gt;=0")=0),"Yes","No")))</f>
        <v/>
      </c>
      <c r="R1084" s="17">
        <f>IF($C1084="","",IF($L1084="","",IF(AND(N($K1084)&gt;=2,ISNUMBER($L1084),$L1084&lt;$J1084),"Yes","No")))</f>
        <v/>
      </c>
      <c r="S1084" s="18" t="n"/>
      <c r="T1084" s="19">
        <f>IF(OR($C1084="",$L1084="",$K1084&lt;&gt;1,NOT(ISNUMBER($L1084)),$L1084&gt;=$J1084),"",IF($S1084="","(enter date)",_xlfn.LET(_xlpm.dn,_xlfn.XLOOKUP($S1084,nrCDdate,nrCDnum,"",1),IF(_xlpm.dn="","(after last class day)",_xlfn.LET(_xlpm.dd,_xlfn.XLOOKUP(_xlpm.dn+cfgRetestClassDays,nrCDnum,nrCDdate,""),_xlpm.ok,_xlfn.XLOOKUP(_xlpm.dn+cfgRetestClassDays,nrCDnum,nrCDinsession,"No"),IF(OR(_xlpm.dd="",_xlpm.ok&lt;&gt;"Yes"),"(after last class day)",_xlpm.dd))))))</f>
        <v/>
      </c>
      <c r="U1084" s="17">
        <f>IF($C1084="","",IF(AND($Y1084="Excused",$L1084="",N($K1084)&lt;=1),"EXCUSED - 1st attempt pending",IF(OR($L1084="",$K1084&lt;&gt;1,NOT(ISNUMBER($L1084)),$L1084&gt;=$J1084),"",IF(COUNTIFS(nrES_PID,$D1084,nrES_Code,$F1084,nrES_Att,2,nrES_Raw,"&gt;=0")&gt;0,IF(IFERROR(_xlfn.MINIFS(nrES_Date,nrES_PID,$D1084,nrES_Code,$F1084,nrES_Att,2,nrES_Raw,"&gt;=0",nrES_Date,"&gt;0"),0)=0,"RETEST UNDATED",IF(NOT(ISNUMBER($T1084)),"RETEST DATE UNCHECKED",IF(_xlfn.MINIFS(nrES_Date,nrES_PID,$D1084,nrES_Code,$F1084,nrES_Att,2,nrES_Raw,"&gt;=0",nrES_Date,"&gt;0")&gt;$T1084,"LATE RETEST "&amp;TEXT(_xlfn.MINIFS(nrES_Date,nrES_PID,$D1084,nrES_Code,$F1084,nrES_Att,2,nrES_Raw,"&gt;=0",nrES_Date,"&gt;0"),"mm/dd")&amp;" (due "&amp;TEXT($T1084,"mm/dd")&amp;")","Retested"))),IF(NOT(ISNUMBER($T1084)),"CHECK DATE",IF(TODAY()&gt;$T1084,"OVERDUE","Due "&amp;TEXT($T1084,"mm/dd")))))))</f>
        <v/>
      </c>
      <c r="V1084" s="16" t="n"/>
      <c r="W1084" s="16" t="n"/>
      <c r="X1084" s="17">
        <f>IF($C1084="","",IF(AND($L1084&lt;&gt;"",NOT(ISNUMBER($L1084))),"RAW SCORE NOT A NUMBER",IF(AND(ISNUMBER($L1084),OR($L1084&lt;0,$L1084&gt;100)),"RAW SCORE OUT OF RANGE",IF(AND($Y1084="Unexcused",OR($L1084="",NOT(ISNUMBER($L1084)),$L1084&lt;&gt;0)),"UNEXCUSED ABSENCE MUST RECORD 0",IF(COUNTIF(nrES_RecID,$B1084)&gt;1,"DUPLICATE RECORD",IF(N($K1084)&gt;2,"ATTEMPT 3+ NOT ALLOWED - policy 300.5 permits one retest per exam; this row records nothing",IF(AND($K1084=2,COUNTIFS(nrES_PID,$D1084,nrES_Code,$F1084,nrES_Att,1)=0),"ATTEMPT 2 WITHOUT ATTEMPT 1",IF(AND($K1084=2,$L1084=""),"RETEST ROW HAS NO SCORE",IF(AND($H1084="Final",$L1084&lt;&gt;"",IFERROR(INDEX(nrCKfinalExamElig,MATCH($D1084,rngCadetPIDs,0)),"")="No"),"FINAL EXAM AFTER FAILED FINAL PT (500.1.H)",IF(AND($K1084=2,ISNUMBER($L1084),COUNTIFS(nrES_PID,$D1084,nrES_Code,$F1084,nrES_Att,1)&gt;0,SUMIFS(nrES_Raw,nrES_PID,$D1084,nrES_Code,$F1084,nrES_Att,1)&gt;=$J1084),"RETEST AFTER A PASSING FIRST ATTEMPT","OK"))))))))))</f>
        <v/>
      </c>
      <c r="Y1084" s="16" t="n"/>
    </row>
    <row r="1085">
      <c r="B1085" s="17">
        <f>IF($C1085="","",$D1085&amp;"-"&amp;$F1085&amp;"-"&amp;$K1085)</f>
        <v/>
      </c>
      <c r="C1085" s="16" t="n"/>
      <c r="D1085" s="17">
        <f>IF($C1085="","",IFERROR(INDEX(rngCadetPIDs,MATCH($C1085,rngCadetNames,0)),"?"))</f>
        <v/>
      </c>
      <c r="E1085" s="17">
        <f>IF($D1085="","",IFERROR(INDEX(nrCadetAgency,MATCH($D1085,rngCadetPIDs,0)),""))</f>
        <v/>
      </c>
      <c r="F1085" s="16" t="n"/>
      <c r="G1085" s="17">
        <f>IF($F1085="","",IFERROR(INDEX(rngEPname,MATCH($F1085,rngEPcode,0)),"?"))</f>
        <v/>
      </c>
      <c r="H1085" s="17">
        <f>IF($F1085="","",IFERROR(INDEX(rngEPtype,MATCH($F1085,rngEPcode,0)),"?"))</f>
        <v/>
      </c>
      <c r="I1085" s="17">
        <f>IF($F1085="","",IFERROR(INDEX(rngEPseq,MATCH($F1085,rngEPcode,0)),""))</f>
        <v/>
      </c>
      <c r="J1085" s="17">
        <f>IF($F1085="","",IFERROR(INDEX(rngEPpass,MATCH($F1085,rngEPcode,0)),cfgPassingScore))</f>
        <v/>
      </c>
      <c r="K1085" s="16" t="n"/>
      <c r="L1085" s="16" t="n"/>
      <c r="M1085" s="17">
        <f>IF($C1085="","",IF($L1085="","",IF(NOT(ISNUMBER($L1085)),$L1085,IF(N($K1085)&gt;2,"",IF($K1085=1,IF(COUNTIFS(nrES_PID,$D1085,nrES_Code,$F1085,nrES_Att,2,nrES_Raw,"&gt;=0")&gt;0,"",$L1085),IF($L1085&gt;=$J1085,MAX($J1085,cfgRetakeRecordedCap),IF(COUNTIFS(nrES_PID,$D1085,nrES_Code,$F1085,nrES_Att,1)=0,$L1085,SUMIFS(nrES_Raw,nrES_PID,$D1085,nrES_Code,$F1085,nrES_Att,1))))))))</f>
        <v/>
      </c>
      <c r="N1085" s="17">
        <f>IF($C1085="","",IF($L1085="","",IF(NOT(ISNUMBER($L1085)),"(not a score)",IF($L1085&gt;=$J1085,"Yes","No"))))</f>
        <v/>
      </c>
      <c r="O1085" s="17">
        <f>IF($C1085="","",IF($M1085="","",IF(NOT(ISNUMBER($M1085)),"(not a score)",IF($M1085&gt;=$J1085,"Yes","No"))))</f>
        <v/>
      </c>
      <c r="P1085" s="17">
        <f>IF($C1085="","",IF($K1085="","",IF(N($K1085)&gt;2,"No",IF(COUNTIFS(nrES_PID,$D1085,nrES_Code,$F1085,nrES_Att,"&gt;"&amp;$K1085,nrES_Att,"&lt;=2",nrES_Raw,"&gt;=0")=0,"Yes","No"))))</f>
        <v/>
      </c>
      <c r="Q1085" s="17">
        <f>IF($C1085="","",IF($L1085="","",IF(AND($K1085=1,ISNUMBER($L1085),$L1085&lt;$J1085,COUNTIFS(nrES_PID,$D1085,nrES_Code,$F1085,nrES_Att,2,nrES_Raw,"&gt;=0")=0),"Yes","No")))</f>
        <v/>
      </c>
      <c r="R1085" s="17">
        <f>IF($C1085="","",IF($L1085="","",IF(AND(N($K1085)&gt;=2,ISNUMBER($L1085),$L1085&lt;$J1085),"Yes","No")))</f>
        <v/>
      </c>
      <c r="S1085" s="18" t="n"/>
      <c r="T1085" s="19">
        <f>IF(OR($C1085="",$L1085="",$K1085&lt;&gt;1,NOT(ISNUMBER($L1085)),$L1085&gt;=$J1085),"",IF($S1085="","(enter date)",_xlfn.LET(_xlpm.dn,_xlfn.XLOOKUP($S1085,nrCDdate,nrCDnum,"",1),IF(_xlpm.dn="","(after last class day)",_xlfn.LET(_xlpm.dd,_xlfn.XLOOKUP(_xlpm.dn+cfgRetestClassDays,nrCDnum,nrCDdate,""),_xlpm.ok,_xlfn.XLOOKUP(_xlpm.dn+cfgRetestClassDays,nrCDnum,nrCDinsession,"No"),IF(OR(_xlpm.dd="",_xlpm.ok&lt;&gt;"Yes"),"(after last class day)",_xlpm.dd))))))</f>
        <v/>
      </c>
      <c r="U1085" s="17">
        <f>IF($C1085="","",IF(AND($Y1085="Excused",$L1085="",N($K1085)&lt;=1),"EXCUSED - 1st attempt pending",IF(OR($L1085="",$K1085&lt;&gt;1,NOT(ISNUMBER($L1085)),$L1085&gt;=$J1085),"",IF(COUNTIFS(nrES_PID,$D1085,nrES_Code,$F1085,nrES_Att,2,nrES_Raw,"&gt;=0")&gt;0,IF(IFERROR(_xlfn.MINIFS(nrES_Date,nrES_PID,$D1085,nrES_Code,$F1085,nrES_Att,2,nrES_Raw,"&gt;=0",nrES_Date,"&gt;0"),0)=0,"RETEST UNDATED",IF(NOT(ISNUMBER($T1085)),"RETEST DATE UNCHECKED",IF(_xlfn.MINIFS(nrES_Date,nrES_PID,$D1085,nrES_Code,$F1085,nrES_Att,2,nrES_Raw,"&gt;=0",nrES_Date,"&gt;0")&gt;$T1085,"LATE RETEST "&amp;TEXT(_xlfn.MINIFS(nrES_Date,nrES_PID,$D1085,nrES_Code,$F1085,nrES_Att,2,nrES_Raw,"&gt;=0",nrES_Date,"&gt;0"),"mm/dd")&amp;" (due "&amp;TEXT($T1085,"mm/dd")&amp;")","Retested"))),IF(NOT(ISNUMBER($T1085)),"CHECK DATE",IF(TODAY()&gt;$T1085,"OVERDUE","Due "&amp;TEXT($T1085,"mm/dd")))))))</f>
        <v/>
      </c>
      <c r="V1085" s="16" t="n"/>
      <c r="W1085" s="16" t="n"/>
      <c r="X1085" s="17">
        <f>IF($C1085="","",IF(AND($L1085&lt;&gt;"",NOT(ISNUMBER($L1085))),"RAW SCORE NOT A NUMBER",IF(AND(ISNUMBER($L1085),OR($L1085&lt;0,$L1085&gt;100)),"RAW SCORE OUT OF RANGE",IF(AND($Y1085="Unexcused",OR($L1085="",NOT(ISNUMBER($L1085)),$L1085&lt;&gt;0)),"UNEXCUSED ABSENCE MUST RECORD 0",IF(COUNTIF(nrES_RecID,$B1085)&gt;1,"DUPLICATE RECORD",IF(N($K1085)&gt;2,"ATTEMPT 3+ NOT ALLOWED - policy 300.5 permits one retest per exam; this row records nothing",IF(AND($K1085=2,COUNTIFS(nrES_PID,$D1085,nrES_Code,$F1085,nrES_Att,1)=0),"ATTEMPT 2 WITHOUT ATTEMPT 1",IF(AND($K1085=2,$L1085=""),"RETEST ROW HAS NO SCORE",IF(AND($H1085="Final",$L1085&lt;&gt;"",IFERROR(INDEX(nrCKfinalExamElig,MATCH($D1085,rngCadetPIDs,0)),"")="No"),"FINAL EXAM AFTER FAILED FINAL PT (500.1.H)",IF(AND($K1085=2,ISNUMBER($L1085),COUNTIFS(nrES_PID,$D1085,nrES_Code,$F1085,nrES_Att,1)&gt;0,SUMIFS(nrES_Raw,nrES_PID,$D1085,nrES_Code,$F1085,nrES_Att,1)&gt;=$J1085),"RETEST AFTER A PASSING FIRST ATTEMPT","OK"))))))))))</f>
        <v/>
      </c>
      <c r="Y1085" s="16" t="n"/>
    </row>
    <row r="1086">
      <c r="B1086" s="17">
        <f>IF($C1086="","",$D1086&amp;"-"&amp;$F1086&amp;"-"&amp;$K1086)</f>
        <v/>
      </c>
      <c r="C1086" s="16" t="n"/>
      <c r="D1086" s="17">
        <f>IF($C1086="","",IFERROR(INDEX(rngCadetPIDs,MATCH($C1086,rngCadetNames,0)),"?"))</f>
        <v/>
      </c>
      <c r="E1086" s="17">
        <f>IF($D1086="","",IFERROR(INDEX(nrCadetAgency,MATCH($D1086,rngCadetPIDs,0)),""))</f>
        <v/>
      </c>
      <c r="F1086" s="16" t="n"/>
      <c r="G1086" s="17">
        <f>IF($F1086="","",IFERROR(INDEX(rngEPname,MATCH($F1086,rngEPcode,0)),"?"))</f>
        <v/>
      </c>
      <c r="H1086" s="17">
        <f>IF($F1086="","",IFERROR(INDEX(rngEPtype,MATCH($F1086,rngEPcode,0)),"?"))</f>
        <v/>
      </c>
      <c r="I1086" s="17">
        <f>IF($F1086="","",IFERROR(INDEX(rngEPseq,MATCH($F1086,rngEPcode,0)),""))</f>
        <v/>
      </c>
      <c r="J1086" s="17">
        <f>IF($F1086="","",IFERROR(INDEX(rngEPpass,MATCH($F1086,rngEPcode,0)),cfgPassingScore))</f>
        <v/>
      </c>
      <c r="K1086" s="16" t="n"/>
      <c r="L1086" s="16" t="n"/>
      <c r="M1086" s="17">
        <f>IF($C1086="","",IF($L1086="","",IF(NOT(ISNUMBER($L1086)),$L1086,IF(N($K1086)&gt;2,"",IF($K1086=1,IF(COUNTIFS(nrES_PID,$D1086,nrES_Code,$F1086,nrES_Att,2,nrES_Raw,"&gt;=0")&gt;0,"",$L1086),IF($L1086&gt;=$J1086,MAX($J1086,cfgRetakeRecordedCap),IF(COUNTIFS(nrES_PID,$D1086,nrES_Code,$F1086,nrES_Att,1)=0,$L1086,SUMIFS(nrES_Raw,nrES_PID,$D1086,nrES_Code,$F1086,nrES_Att,1))))))))</f>
        <v/>
      </c>
      <c r="N1086" s="17">
        <f>IF($C1086="","",IF($L1086="","",IF(NOT(ISNUMBER($L1086)),"(not a score)",IF($L1086&gt;=$J1086,"Yes","No"))))</f>
        <v/>
      </c>
      <c r="O1086" s="17">
        <f>IF($C1086="","",IF($M1086="","",IF(NOT(ISNUMBER($M1086)),"(not a score)",IF($M1086&gt;=$J1086,"Yes","No"))))</f>
        <v/>
      </c>
      <c r="P1086" s="17">
        <f>IF($C1086="","",IF($K1086="","",IF(N($K1086)&gt;2,"No",IF(COUNTIFS(nrES_PID,$D1086,nrES_Code,$F1086,nrES_Att,"&gt;"&amp;$K1086,nrES_Att,"&lt;=2",nrES_Raw,"&gt;=0")=0,"Yes","No"))))</f>
        <v/>
      </c>
      <c r="Q1086" s="17">
        <f>IF($C1086="","",IF($L1086="","",IF(AND($K1086=1,ISNUMBER($L1086),$L1086&lt;$J1086,COUNTIFS(nrES_PID,$D1086,nrES_Code,$F1086,nrES_Att,2,nrES_Raw,"&gt;=0")=0),"Yes","No")))</f>
        <v/>
      </c>
      <c r="R1086" s="17">
        <f>IF($C1086="","",IF($L1086="","",IF(AND(N($K1086)&gt;=2,ISNUMBER($L1086),$L1086&lt;$J1086),"Yes","No")))</f>
        <v/>
      </c>
      <c r="S1086" s="18" t="n"/>
      <c r="T1086" s="19">
        <f>IF(OR($C1086="",$L1086="",$K1086&lt;&gt;1,NOT(ISNUMBER($L1086)),$L1086&gt;=$J1086),"",IF($S1086="","(enter date)",_xlfn.LET(_xlpm.dn,_xlfn.XLOOKUP($S1086,nrCDdate,nrCDnum,"",1),IF(_xlpm.dn="","(after last class day)",_xlfn.LET(_xlpm.dd,_xlfn.XLOOKUP(_xlpm.dn+cfgRetestClassDays,nrCDnum,nrCDdate,""),_xlpm.ok,_xlfn.XLOOKUP(_xlpm.dn+cfgRetestClassDays,nrCDnum,nrCDinsession,"No"),IF(OR(_xlpm.dd="",_xlpm.ok&lt;&gt;"Yes"),"(after last class day)",_xlpm.dd))))))</f>
        <v/>
      </c>
      <c r="U1086" s="17">
        <f>IF($C1086="","",IF(AND($Y1086="Excused",$L1086="",N($K1086)&lt;=1),"EXCUSED - 1st attempt pending",IF(OR($L1086="",$K1086&lt;&gt;1,NOT(ISNUMBER($L1086)),$L1086&gt;=$J1086),"",IF(COUNTIFS(nrES_PID,$D1086,nrES_Code,$F1086,nrES_Att,2,nrES_Raw,"&gt;=0")&gt;0,IF(IFERROR(_xlfn.MINIFS(nrES_Date,nrES_PID,$D1086,nrES_Code,$F1086,nrES_Att,2,nrES_Raw,"&gt;=0",nrES_Date,"&gt;0"),0)=0,"RETEST UNDATED",IF(NOT(ISNUMBER($T1086)),"RETEST DATE UNCHECKED",IF(_xlfn.MINIFS(nrES_Date,nrES_PID,$D1086,nrES_Code,$F1086,nrES_Att,2,nrES_Raw,"&gt;=0",nrES_Date,"&gt;0")&gt;$T1086,"LATE RETEST "&amp;TEXT(_xlfn.MINIFS(nrES_Date,nrES_PID,$D1086,nrES_Code,$F1086,nrES_Att,2,nrES_Raw,"&gt;=0",nrES_Date,"&gt;0"),"mm/dd")&amp;" (due "&amp;TEXT($T1086,"mm/dd")&amp;")","Retested"))),IF(NOT(ISNUMBER($T1086)),"CHECK DATE",IF(TODAY()&gt;$T1086,"OVERDUE","Due "&amp;TEXT($T1086,"mm/dd")))))))</f>
        <v/>
      </c>
      <c r="V1086" s="16" t="n"/>
      <c r="W1086" s="16" t="n"/>
      <c r="X1086" s="17">
        <f>IF($C1086="","",IF(AND($L1086&lt;&gt;"",NOT(ISNUMBER($L1086))),"RAW SCORE NOT A NUMBER",IF(AND(ISNUMBER($L1086),OR($L1086&lt;0,$L1086&gt;100)),"RAW SCORE OUT OF RANGE",IF(AND($Y1086="Unexcused",OR($L1086="",NOT(ISNUMBER($L1086)),$L1086&lt;&gt;0)),"UNEXCUSED ABSENCE MUST RECORD 0",IF(COUNTIF(nrES_RecID,$B1086)&gt;1,"DUPLICATE RECORD",IF(N($K1086)&gt;2,"ATTEMPT 3+ NOT ALLOWED - policy 300.5 permits one retest per exam; this row records nothing",IF(AND($K1086=2,COUNTIFS(nrES_PID,$D1086,nrES_Code,$F1086,nrES_Att,1)=0),"ATTEMPT 2 WITHOUT ATTEMPT 1",IF(AND($K1086=2,$L1086=""),"RETEST ROW HAS NO SCORE",IF(AND($H1086="Final",$L1086&lt;&gt;"",IFERROR(INDEX(nrCKfinalExamElig,MATCH($D1086,rngCadetPIDs,0)),"")="No"),"FINAL EXAM AFTER FAILED FINAL PT (500.1.H)",IF(AND($K1086=2,ISNUMBER($L1086),COUNTIFS(nrES_PID,$D1086,nrES_Code,$F1086,nrES_Att,1)&gt;0,SUMIFS(nrES_Raw,nrES_PID,$D1086,nrES_Code,$F1086,nrES_Att,1)&gt;=$J1086),"RETEST AFTER A PASSING FIRST ATTEMPT","OK"))))))))))</f>
        <v/>
      </c>
      <c r="Y1086" s="16" t="n"/>
    </row>
    <row r="1087">
      <c r="B1087" s="17">
        <f>IF($C1087="","",$D1087&amp;"-"&amp;$F1087&amp;"-"&amp;$K1087)</f>
        <v/>
      </c>
      <c r="C1087" s="16" t="n"/>
      <c r="D1087" s="17">
        <f>IF($C1087="","",IFERROR(INDEX(rngCadetPIDs,MATCH($C1087,rngCadetNames,0)),"?"))</f>
        <v/>
      </c>
      <c r="E1087" s="17">
        <f>IF($D1087="","",IFERROR(INDEX(nrCadetAgency,MATCH($D1087,rngCadetPIDs,0)),""))</f>
        <v/>
      </c>
      <c r="F1087" s="16" t="n"/>
      <c r="G1087" s="17">
        <f>IF($F1087="","",IFERROR(INDEX(rngEPname,MATCH($F1087,rngEPcode,0)),"?"))</f>
        <v/>
      </c>
      <c r="H1087" s="17">
        <f>IF($F1087="","",IFERROR(INDEX(rngEPtype,MATCH($F1087,rngEPcode,0)),"?"))</f>
        <v/>
      </c>
      <c r="I1087" s="17">
        <f>IF($F1087="","",IFERROR(INDEX(rngEPseq,MATCH($F1087,rngEPcode,0)),""))</f>
        <v/>
      </c>
      <c r="J1087" s="17">
        <f>IF($F1087="","",IFERROR(INDEX(rngEPpass,MATCH($F1087,rngEPcode,0)),cfgPassingScore))</f>
        <v/>
      </c>
      <c r="K1087" s="16" t="n"/>
      <c r="L1087" s="16" t="n"/>
      <c r="M1087" s="17">
        <f>IF($C1087="","",IF($L1087="","",IF(NOT(ISNUMBER($L1087)),$L1087,IF(N($K1087)&gt;2,"",IF($K1087=1,IF(COUNTIFS(nrES_PID,$D1087,nrES_Code,$F1087,nrES_Att,2,nrES_Raw,"&gt;=0")&gt;0,"",$L1087),IF($L1087&gt;=$J1087,MAX($J1087,cfgRetakeRecordedCap),IF(COUNTIFS(nrES_PID,$D1087,nrES_Code,$F1087,nrES_Att,1)=0,$L1087,SUMIFS(nrES_Raw,nrES_PID,$D1087,nrES_Code,$F1087,nrES_Att,1))))))))</f>
        <v/>
      </c>
      <c r="N1087" s="17">
        <f>IF($C1087="","",IF($L1087="","",IF(NOT(ISNUMBER($L1087)),"(not a score)",IF($L1087&gt;=$J1087,"Yes","No"))))</f>
        <v/>
      </c>
      <c r="O1087" s="17">
        <f>IF($C1087="","",IF($M1087="","",IF(NOT(ISNUMBER($M1087)),"(not a score)",IF($M1087&gt;=$J1087,"Yes","No"))))</f>
        <v/>
      </c>
      <c r="P1087" s="17">
        <f>IF($C1087="","",IF($K1087="","",IF(N($K1087)&gt;2,"No",IF(COUNTIFS(nrES_PID,$D1087,nrES_Code,$F1087,nrES_Att,"&gt;"&amp;$K1087,nrES_Att,"&lt;=2",nrES_Raw,"&gt;=0")=0,"Yes","No"))))</f>
        <v/>
      </c>
      <c r="Q1087" s="17">
        <f>IF($C1087="","",IF($L1087="","",IF(AND($K1087=1,ISNUMBER($L1087),$L1087&lt;$J1087,COUNTIFS(nrES_PID,$D1087,nrES_Code,$F1087,nrES_Att,2,nrES_Raw,"&gt;=0")=0),"Yes","No")))</f>
        <v/>
      </c>
      <c r="R1087" s="17">
        <f>IF($C1087="","",IF($L1087="","",IF(AND(N($K1087)&gt;=2,ISNUMBER($L1087),$L1087&lt;$J1087),"Yes","No")))</f>
        <v/>
      </c>
      <c r="S1087" s="18" t="n"/>
      <c r="T1087" s="19">
        <f>IF(OR($C1087="",$L1087="",$K1087&lt;&gt;1,NOT(ISNUMBER($L1087)),$L1087&gt;=$J1087),"",IF($S1087="","(enter date)",_xlfn.LET(_xlpm.dn,_xlfn.XLOOKUP($S1087,nrCDdate,nrCDnum,"",1),IF(_xlpm.dn="","(after last class day)",_xlfn.LET(_xlpm.dd,_xlfn.XLOOKUP(_xlpm.dn+cfgRetestClassDays,nrCDnum,nrCDdate,""),_xlpm.ok,_xlfn.XLOOKUP(_xlpm.dn+cfgRetestClassDays,nrCDnum,nrCDinsession,"No"),IF(OR(_xlpm.dd="",_xlpm.ok&lt;&gt;"Yes"),"(after last class day)",_xlpm.dd))))))</f>
        <v/>
      </c>
      <c r="U1087" s="17">
        <f>IF($C1087="","",IF(AND($Y1087="Excused",$L1087="",N($K1087)&lt;=1),"EXCUSED - 1st attempt pending",IF(OR($L1087="",$K1087&lt;&gt;1,NOT(ISNUMBER($L1087)),$L1087&gt;=$J1087),"",IF(COUNTIFS(nrES_PID,$D1087,nrES_Code,$F1087,nrES_Att,2,nrES_Raw,"&gt;=0")&gt;0,IF(IFERROR(_xlfn.MINIFS(nrES_Date,nrES_PID,$D1087,nrES_Code,$F1087,nrES_Att,2,nrES_Raw,"&gt;=0",nrES_Date,"&gt;0"),0)=0,"RETEST UNDATED",IF(NOT(ISNUMBER($T1087)),"RETEST DATE UNCHECKED",IF(_xlfn.MINIFS(nrES_Date,nrES_PID,$D1087,nrES_Code,$F1087,nrES_Att,2,nrES_Raw,"&gt;=0",nrES_Date,"&gt;0")&gt;$T1087,"LATE RETEST "&amp;TEXT(_xlfn.MINIFS(nrES_Date,nrES_PID,$D1087,nrES_Code,$F1087,nrES_Att,2,nrES_Raw,"&gt;=0",nrES_Date,"&gt;0"),"mm/dd")&amp;" (due "&amp;TEXT($T1087,"mm/dd")&amp;")","Retested"))),IF(NOT(ISNUMBER($T1087)),"CHECK DATE",IF(TODAY()&gt;$T1087,"OVERDUE","Due "&amp;TEXT($T1087,"mm/dd")))))))</f>
        <v/>
      </c>
      <c r="V1087" s="16" t="n"/>
      <c r="W1087" s="16" t="n"/>
      <c r="X1087" s="17">
        <f>IF($C1087="","",IF(AND($L1087&lt;&gt;"",NOT(ISNUMBER($L1087))),"RAW SCORE NOT A NUMBER",IF(AND(ISNUMBER($L1087),OR($L1087&lt;0,$L1087&gt;100)),"RAW SCORE OUT OF RANGE",IF(AND($Y1087="Unexcused",OR($L1087="",NOT(ISNUMBER($L1087)),$L1087&lt;&gt;0)),"UNEXCUSED ABSENCE MUST RECORD 0",IF(COUNTIF(nrES_RecID,$B1087)&gt;1,"DUPLICATE RECORD",IF(N($K1087)&gt;2,"ATTEMPT 3+ NOT ALLOWED - policy 300.5 permits one retest per exam; this row records nothing",IF(AND($K1087=2,COUNTIFS(nrES_PID,$D1087,nrES_Code,$F1087,nrES_Att,1)=0),"ATTEMPT 2 WITHOUT ATTEMPT 1",IF(AND($K1087=2,$L1087=""),"RETEST ROW HAS NO SCORE",IF(AND($H1087="Final",$L1087&lt;&gt;"",IFERROR(INDEX(nrCKfinalExamElig,MATCH($D1087,rngCadetPIDs,0)),"")="No"),"FINAL EXAM AFTER FAILED FINAL PT (500.1.H)",IF(AND($K1087=2,ISNUMBER($L1087),COUNTIFS(nrES_PID,$D1087,nrES_Code,$F1087,nrES_Att,1)&gt;0,SUMIFS(nrES_Raw,nrES_PID,$D1087,nrES_Code,$F1087,nrES_Att,1)&gt;=$J1087),"RETEST AFTER A PASSING FIRST ATTEMPT","OK"))))))))))</f>
        <v/>
      </c>
      <c r="Y1087" s="16" t="n"/>
    </row>
    <row r="1088">
      <c r="B1088" s="17">
        <f>IF($C1088="","",$D1088&amp;"-"&amp;$F1088&amp;"-"&amp;$K1088)</f>
        <v/>
      </c>
      <c r="C1088" s="16" t="n"/>
      <c r="D1088" s="17">
        <f>IF($C1088="","",IFERROR(INDEX(rngCadetPIDs,MATCH($C1088,rngCadetNames,0)),"?"))</f>
        <v/>
      </c>
      <c r="E1088" s="17">
        <f>IF($D1088="","",IFERROR(INDEX(nrCadetAgency,MATCH($D1088,rngCadetPIDs,0)),""))</f>
        <v/>
      </c>
      <c r="F1088" s="16" t="n"/>
      <c r="G1088" s="17">
        <f>IF($F1088="","",IFERROR(INDEX(rngEPname,MATCH($F1088,rngEPcode,0)),"?"))</f>
        <v/>
      </c>
      <c r="H1088" s="17">
        <f>IF($F1088="","",IFERROR(INDEX(rngEPtype,MATCH($F1088,rngEPcode,0)),"?"))</f>
        <v/>
      </c>
      <c r="I1088" s="17">
        <f>IF($F1088="","",IFERROR(INDEX(rngEPseq,MATCH($F1088,rngEPcode,0)),""))</f>
        <v/>
      </c>
      <c r="J1088" s="17">
        <f>IF($F1088="","",IFERROR(INDEX(rngEPpass,MATCH($F1088,rngEPcode,0)),cfgPassingScore))</f>
        <v/>
      </c>
      <c r="K1088" s="16" t="n"/>
      <c r="L1088" s="16" t="n"/>
      <c r="M1088" s="17">
        <f>IF($C1088="","",IF($L1088="","",IF(NOT(ISNUMBER($L1088)),$L1088,IF(N($K1088)&gt;2,"",IF($K1088=1,IF(COUNTIFS(nrES_PID,$D1088,nrES_Code,$F1088,nrES_Att,2,nrES_Raw,"&gt;=0")&gt;0,"",$L1088),IF($L1088&gt;=$J1088,MAX($J1088,cfgRetakeRecordedCap),IF(COUNTIFS(nrES_PID,$D1088,nrES_Code,$F1088,nrES_Att,1)=0,$L1088,SUMIFS(nrES_Raw,nrES_PID,$D1088,nrES_Code,$F1088,nrES_Att,1))))))))</f>
        <v/>
      </c>
      <c r="N1088" s="17">
        <f>IF($C1088="","",IF($L1088="","",IF(NOT(ISNUMBER($L1088)),"(not a score)",IF($L1088&gt;=$J1088,"Yes","No"))))</f>
        <v/>
      </c>
      <c r="O1088" s="17">
        <f>IF($C1088="","",IF($M1088="","",IF(NOT(ISNUMBER($M1088)),"(not a score)",IF($M1088&gt;=$J1088,"Yes","No"))))</f>
        <v/>
      </c>
      <c r="P1088" s="17">
        <f>IF($C1088="","",IF($K1088="","",IF(N($K1088)&gt;2,"No",IF(COUNTIFS(nrES_PID,$D1088,nrES_Code,$F1088,nrES_Att,"&gt;"&amp;$K1088,nrES_Att,"&lt;=2",nrES_Raw,"&gt;=0")=0,"Yes","No"))))</f>
        <v/>
      </c>
      <c r="Q1088" s="17">
        <f>IF($C1088="","",IF($L1088="","",IF(AND($K1088=1,ISNUMBER($L1088),$L1088&lt;$J1088,COUNTIFS(nrES_PID,$D1088,nrES_Code,$F1088,nrES_Att,2,nrES_Raw,"&gt;=0")=0),"Yes","No")))</f>
        <v/>
      </c>
      <c r="R1088" s="17">
        <f>IF($C1088="","",IF($L1088="","",IF(AND(N($K1088)&gt;=2,ISNUMBER($L1088),$L1088&lt;$J1088),"Yes","No")))</f>
        <v/>
      </c>
      <c r="S1088" s="18" t="n"/>
      <c r="T1088" s="19">
        <f>IF(OR($C1088="",$L1088="",$K1088&lt;&gt;1,NOT(ISNUMBER($L1088)),$L1088&gt;=$J1088),"",IF($S1088="","(enter date)",_xlfn.LET(_xlpm.dn,_xlfn.XLOOKUP($S1088,nrCDdate,nrCDnum,"",1),IF(_xlpm.dn="","(after last class day)",_xlfn.LET(_xlpm.dd,_xlfn.XLOOKUP(_xlpm.dn+cfgRetestClassDays,nrCDnum,nrCDdate,""),_xlpm.ok,_xlfn.XLOOKUP(_xlpm.dn+cfgRetestClassDays,nrCDnum,nrCDinsession,"No"),IF(OR(_xlpm.dd="",_xlpm.ok&lt;&gt;"Yes"),"(after last class day)",_xlpm.dd))))))</f>
        <v/>
      </c>
      <c r="U1088" s="17">
        <f>IF($C1088="","",IF(AND($Y1088="Excused",$L1088="",N($K1088)&lt;=1),"EXCUSED - 1st attempt pending",IF(OR($L1088="",$K1088&lt;&gt;1,NOT(ISNUMBER($L1088)),$L1088&gt;=$J1088),"",IF(COUNTIFS(nrES_PID,$D1088,nrES_Code,$F1088,nrES_Att,2,nrES_Raw,"&gt;=0")&gt;0,IF(IFERROR(_xlfn.MINIFS(nrES_Date,nrES_PID,$D1088,nrES_Code,$F1088,nrES_Att,2,nrES_Raw,"&gt;=0",nrES_Date,"&gt;0"),0)=0,"RETEST UNDATED",IF(NOT(ISNUMBER($T1088)),"RETEST DATE UNCHECKED",IF(_xlfn.MINIFS(nrES_Date,nrES_PID,$D1088,nrES_Code,$F1088,nrES_Att,2,nrES_Raw,"&gt;=0",nrES_Date,"&gt;0")&gt;$T1088,"LATE RETEST "&amp;TEXT(_xlfn.MINIFS(nrES_Date,nrES_PID,$D1088,nrES_Code,$F1088,nrES_Att,2,nrES_Raw,"&gt;=0",nrES_Date,"&gt;0"),"mm/dd")&amp;" (due "&amp;TEXT($T1088,"mm/dd")&amp;")","Retested"))),IF(NOT(ISNUMBER($T1088)),"CHECK DATE",IF(TODAY()&gt;$T1088,"OVERDUE","Due "&amp;TEXT($T1088,"mm/dd")))))))</f>
        <v/>
      </c>
      <c r="V1088" s="16" t="n"/>
      <c r="W1088" s="16" t="n"/>
      <c r="X1088" s="17">
        <f>IF($C1088="","",IF(AND($L1088&lt;&gt;"",NOT(ISNUMBER($L1088))),"RAW SCORE NOT A NUMBER",IF(AND(ISNUMBER($L1088),OR($L1088&lt;0,$L1088&gt;100)),"RAW SCORE OUT OF RANGE",IF(AND($Y1088="Unexcused",OR($L1088="",NOT(ISNUMBER($L1088)),$L1088&lt;&gt;0)),"UNEXCUSED ABSENCE MUST RECORD 0",IF(COUNTIF(nrES_RecID,$B1088)&gt;1,"DUPLICATE RECORD",IF(N($K1088)&gt;2,"ATTEMPT 3+ NOT ALLOWED - policy 300.5 permits one retest per exam; this row records nothing",IF(AND($K1088=2,COUNTIFS(nrES_PID,$D1088,nrES_Code,$F1088,nrES_Att,1)=0),"ATTEMPT 2 WITHOUT ATTEMPT 1",IF(AND($K1088=2,$L1088=""),"RETEST ROW HAS NO SCORE",IF(AND($H1088="Final",$L1088&lt;&gt;"",IFERROR(INDEX(nrCKfinalExamElig,MATCH($D1088,rngCadetPIDs,0)),"")="No"),"FINAL EXAM AFTER FAILED FINAL PT (500.1.H)",IF(AND($K1088=2,ISNUMBER($L1088),COUNTIFS(nrES_PID,$D1088,nrES_Code,$F1088,nrES_Att,1)&gt;0,SUMIFS(nrES_Raw,nrES_PID,$D1088,nrES_Code,$F1088,nrES_Att,1)&gt;=$J1088),"RETEST AFTER A PASSING FIRST ATTEMPT","OK"))))))))))</f>
        <v/>
      </c>
      <c r="Y1088" s="16" t="n"/>
    </row>
    <row r="1089">
      <c r="B1089" s="17">
        <f>IF($C1089="","",$D1089&amp;"-"&amp;$F1089&amp;"-"&amp;$K1089)</f>
        <v/>
      </c>
      <c r="C1089" s="16" t="n"/>
      <c r="D1089" s="17">
        <f>IF($C1089="","",IFERROR(INDEX(rngCadetPIDs,MATCH($C1089,rngCadetNames,0)),"?"))</f>
        <v/>
      </c>
      <c r="E1089" s="17">
        <f>IF($D1089="","",IFERROR(INDEX(nrCadetAgency,MATCH($D1089,rngCadetPIDs,0)),""))</f>
        <v/>
      </c>
      <c r="F1089" s="16" t="n"/>
      <c r="G1089" s="17">
        <f>IF($F1089="","",IFERROR(INDEX(rngEPname,MATCH($F1089,rngEPcode,0)),"?"))</f>
        <v/>
      </c>
      <c r="H1089" s="17">
        <f>IF($F1089="","",IFERROR(INDEX(rngEPtype,MATCH($F1089,rngEPcode,0)),"?"))</f>
        <v/>
      </c>
      <c r="I1089" s="17">
        <f>IF($F1089="","",IFERROR(INDEX(rngEPseq,MATCH($F1089,rngEPcode,0)),""))</f>
        <v/>
      </c>
      <c r="J1089" s="17">
        <f>IF($F1089="","",IFERROR(INDEX(rngEPpass,MATCH($F1089,rngEPcode,0)),cfgPassingScore))</f>
        <v/>
      </c>
      <c r="K1089" s="16" t="n"/>
      <c r="L1089" s="16" t="n"/>
      <c r="M1089" s="17">
        <f>IF($C1089="","",IF($L1089="","",IF(NOT(ISNUMBER($L1089)),$L1089,IF(N($K1089)&gt;2,"",IF($K1089=1,IF(COUNTIFS(nrES_PID,$D1089,nrES_Code,$F1089,nrES_Att,2,nrES_Raw,"&gt;=0")&gt;0,"",$L1089),IF($L1089&gt;=$J1089,MAX($J1089,cfgRetakeRecordedCap),IF(COUNTIFS(nrES_PID,$D1089,nrES_Code,$F1089,nrES_Att,1)=0,$L1089,SUMIFS(nrES_Raw,nrES_PID,$D1089,nrES_Code,$F1089,nrES_Att,1))))))))</f>
        <v/>
      </c>
      <c r="N1089" s="17">
        <f>IF($C1089="","",IF($L1089="","",IF(NOT(ISNUMBER($L1089)),"(not a score)",IF($L1089&gt;=$J1089,"Yes","No"))))</f>
        <v/>
      </c>
      <c r="O1089" s="17">
        <f>IF($C1089="","",IF($M1089="","",IF(NOT(ISNUMBER($M1089)),"(not a score)",IF($M1089&gt;=$J1089,"Yes","No"))))</f>
        <v/>
      </c>
      <c r="P1089" s="17">
        <f>IF($C1089="","",IF($K1089="","",IF(N($K1089)&gt;2,"No",IF(COUNTIFS(nrES_PID,$D1089,nrES_Code,$F1089,nrES_Att,"&gt;"&amp;$K1089,nrES_Att,"&lt;=2",nrES_Raw,"&gt;=0")=0,"Yes","No"))))</f>
        <v/>
      </c>
      <c r="Q1089" s="17">
        <f>IF($C1089="","",IF($L1089="","",IF(AND($K1089=1,ISNUMBER($L1089),$L1089&lt;$J1089,COUNTIFS(nrES_PID,$D1089,nrES_Code,$F1089,nrES_Att,2,nrES_Raw,"&gt;=0")=0),"Yes","No")))</f>
        <v/>
      </c>
      <c r="R1089" s="17">
        <f>IF($C1089="","",IF($L1089="","",IF(AND(N($K1089)&gt;=2,ISNUMBER($L1089),$L1089&lt;$J1089),"Yes","No")))</f>
        <v/>
      </c>
      <c r="S1089" s="18" t="n"/>
      <c r="T1089" s="19">
        <f>IF(OR($C1089="",$L1089="",$K1089&lt;&gt;1,NOT(ISNUMBER($L1089)),$L1089&gt;=$J1089),"",IF($S1089="","(enter date)",_xlfn.LET(_xlpm.dn,_xlfn.XLOOKUP($S1089,nrCDdate,nrCDnum,"",1),IF(_xlpm.dn="","(after last class day)",_xlfn.LET(_xlpm.dd,_xlfn.XLOOKUP(_xlpm.dn+cfgRetestClassDays,nrCDnum,nrCDdate,""),_xlpm.ok,_xlfn.XLOOKUP(_xlpm.dn+cfgRetestClassDays,nrCDnum,nrCDinsession,"No"),IF(OR(_xlpm.dd="",_xlpm.ok&lt;&gt;"Yes"),"(after last class day)",_xlpm.dd))))))</f>
        <v/>
      </c>
      <c r="U1089" s="17">
        <f>IF($C1089="","",IF(AND($Y1089="Excused",$L1089="",N($K1089)&lt;=1),"EXCUSED - 1st attempt pending",IF(OR($L1089="",$K1089&lt;&gt;1,NOT(ISNUMBER($L1089)),$L1089&gt;=$J1089),"",IF(COUNTIFS(nrES_PID,$D1089,nrES_Code,$F1089,nrES_Att,2,nrES_Raw,"&gt;=0")&gt;0,IF(IFERROR(_xlfn.MINIFS(nrES_Date,nrES_PID,$D1089,nrES_Code,$F1089,nrES_Att,2,nrES_Raw,"&gt;=0",nrES_Date,"&gt;0"),0)=0,"RETEST UNDATED",IF(NOT(ISNUMBER($T1089)),"RETEST DATE UNCHECKED",IF(_xlfn.MINIFS(nrES_Date,nrES_PID,$D1089,nrES_Code,$F1089,nrES_Att,2,nrES_Raw,"&gt;=0",nrES_Date,"&gt;0")&gt;$T1089,"LATE RETEST "&amp;TEXT(_xlfn.MINIFS(nrES_Date,nrES_PID,$D1089,nrES_Code,$F1089,nrES_Att,2,nrES_Raw,"&gt;=0",nrES_Date,"&gt;0"),"mm/dd")&amp;" (due "&amp;TEXT($T1089,"mm/dd")&amp;")","Retested"))),IF(NOT(ISNUMBER($T1089)),"CHECK DATE",IF(TODAY()&gt;$T1089,"OVERDUE","Due "&amp;TEXT($T1089,"mm/dd")))))))</f>
        <v/>
      </c>
      <c r="V1089" s="16" t="n"/>
      <c r="W1089" s="16" t="n"/>
      <c r="X1089" s="17">
        <f>IF($C1089="","",IF(AND($L1089&lt;&gt;"",NOT(ISNUMBER($L1089))),"RAW SCORE NOT A NUMBER",IF(AND(ISNUMBER($L1089),OR($L1089&lt;0,$L1089&gt;100)),"RAW SCORE OUT OF RANGE",IF(AND($Y1089="Unexcused",OR($L1089="",NOT(ISNUMBER($L1089)),$L1089&lt;&gt;0)),"UNEXCUSED ABSENCE MUST RECORD 0",IF(COUNTIF(nrES_RecID,$B1089)&gt;1,"DUPLICATE RECORD",IF(N($K1089)&gt;2,"ATTEMPT 3+ NOT ALLOWED - policy 300.5 permits one retest per exam; this row records nothing",IF(AND($K1089=2,COUNTIFS(nrES_PID,$D1089,nrES_Code,$F1089,nrES_Att,1)=0),"ATTEMPT 2 WITHOUT ATTEMPT 1",IF(AND($K1089=2,$L1089=""),"RETEST ROW HAS NO SCORE",IF(AND($H1089="Final",$L1089&lt;&gt;"",IFERROR(INDEX(nrCKfinalExamElig,MATCH($D1089,rngCadetPIDs,0)),"")="No"),"FINAL EXAM AFTER FAILED FINAL PT (500.1.H)",IF(AND($K1089=2,ISNUMBER($L1089),COUNTIFS(nrES_PID,$D1089,nrES_Code,$F1089,nrES_Att,1)&gt;0,SUMIFS(nrES_Raw,nrES_PID,$D1089,nrES_Code,$F1089,nrES_Att,1)&gt;=$J1089),"RETEST AFTER A PASSING FIRST ATTEMPT","OK"))))))))))</f>
        <v/>
      </c>
      <c r="Y1089" s="16" t="n"/>
    </row>
    <row r="1090">
      <c r="B1090" s="17">
        <f>IF($C1090="","",$D1090&amp;"-"&amp;$F1090&amp;"-"&amp;$K1090)</f>
        <v/>
      </c>
      <c r="C1090" s="16" t="n"/>
      <c r="D1090" s="17">
        <f>IF($C1090="","",IFERROR(INDEX(rngCadetPIDs,MATCH($C1090,rngCadetNames,0)),"?"))</f>
        <v/>
      </c>
      <c r="E1090" s="17">
        <f>IF($D1090="","",IFERROR(INDEX(nrCadetAgency,MATCH($D1090,rngCadetPIDs,0)),""))</f>
        <v/>
      </c>
      <c r="F1090" s="16" t="n"/>
      <c r="G1090" s="17">
        <f>IF($F1090="","",IFERROR(INDEX(rngEPname,MATCH($F1090,rngEPcode,0)),"?"))</f>
        <v/>
      </c>
      <c r="H1090" s="17">
        <f>IF($F1090="","",IFERROR(INDEX(rngEPtype,MATCH($F1090,rngEPcode,0)),"?"))</f>
        <v/>
      </c>
      <c r="I1090" s="17">
        <f>IF($F1090="","",IFERROR(INDEX(rngEPseq,MATCH($F1090,rngEPcode,0)),""))</f>
        <v/>
      </c>
      <c r="J1090" s="17">
        <f>IF($F1090="","",IFERROR(INDEX(rngEPpass,MATCH($F1090,rngEPcode,0)),cfgPassingScore))</f>
        <v/>
      </c>
      <c r="K1090" s="16" t="n"/>
      <c r="L1090" s="16" t="n"/>
      <c r="M1090" s="17">
        <f>IF($C1090="","",IF($L1090="","",IF(NOT(ISNUMBER($L1090)),$L1090,IF(N($K1090)&gt;2,"",IF($K1090=1,IF(COUNTIFS(nrES_PID,$D1090,nrES_Code,$F1090,nrES_Att,2,nrES_Raw,"&gt;=0")&gt;0,"",$L1090),IF($L1090&gt;=$J1090,MAX($J1090,cfgRetakeRecordedCap),IF(COUNTIFS(nrES_PID,$D1090,nrES_Code,$F1090,nrES_Att,1)=0,$L1090,SUMIFS(nrES_Raw,nrES_PID,$D1090,nrES_Code,$F1090,nrES_Att,1))))))))</f>
        <v/>
      </c>
      <c r="N1090" s="17">
        <f>IF($C1090="","",IF($L1090="","",IF(NOT(ISNUMBER($L1090)),"(not a score)",IF($L1090&gt;=$J1090,"Yes","No"))))</f>
        <v/>
      </c>
      <c r="O1090" s="17">
        <f>IF($C1090="","",IF($M1090="","",IF(NOT(ISNUMBER($M1090)),"(not a score)",IF($M1090&gt;=$J1090,"Yes","No"))))</f>
        <v/>
      </c>
      <c r="P1090" s="17">
        <f>IF($C1090="","",IF($K1090="","",IF(N($K1090)&gt;2,"No",IF(COUNTIFS(nrES_PID,$D1090,nrES_Code,$F1090,nrES_Att,"&gt;"&amp;$K1090,nrES_Att,"&lt;=2",nrES_Raw,"&gt;=0")=0,"Yes","No"))))</f>
        <v/>
      </c>
      <c r="Q1090" s="17">
        <f>IF($C1090="","",IF($L1090="","",IF(AND($K1090=1,ISNUMBER($L1090),$L1090&lt;$J1090,COUNTIFS(nrES_PID,$D1090,nrES_Code,$F1090,nrES_Att,2,nrES_Raw,"&gt;=0")=0),"Yes","No")))</f>
        <v/>
      </c>
      <c r="R1090" s="17">
        <f>IF($C1090="","",IF($L1090="","",IF(AND(N($K1090)&gt;=2,ISNUMBER($L1090),$L1090&lt;$J1090),"Yes","No")))</f>
        <v/>
      </c>
      <c r="S1090" s="18" t="n"/>
      <c r="T1090" s="19">
        <f>IF(OR($C1090="",$L1090="",$K1090&lt;&gt;1,NOT(ISNUMBER($L1090)),$L1090&gt;=$J1090),"",IF($S1090="","(enter date)",_xlfn.LET(_xlpm.dn,_xlfn.XLOOKUP($S1090,nrCDdate,nrCDnum,"",1),IF(_xlpm.dn="","(after last class day)",_xlfn.LET(_xlpm.dd,_xlfn.XLOOKUP(_xlpm.dn+cfgRetestClassDays,nrCDnum,nrCDdate,""),_xlpm.ok,_xlfn.XLOOKUP(_xlpm.dn+cfgRetestClassDays,nrCDnum,nrCDinsession,"No"),IF(OR(_xlpm.dd="",_xlpm.ok&lt;&gt;"Yes"),"(after last class day)",_xlpm.dd))))))</f>
        <v/>
      </c>
      <c r="U1090" s="17">
        <f>IF($C1090="","",IF(AND($Y1090="Excused",$L1090="",N($K1090)&lt;=1),"EXCUSED - 1st attempt pending",IF(OR($L1090="",$K1090&lt;&gt;1,NOT(ISNUMBER($L1090)),$L1090&gt;=$J1090),"",IF(COUNTIFS(nrES_PID,$D1090,nrES_Code,$F1090,nrES_Att,2,nrES_Raw,"&gt;=0")&gt;0,IF(IFERROR(_xlfn.MINIFS(nrES_Date,nrES_PID,$D1090,nrES_Code,$F1090,nrES_Att,2,nrES_Raw,"&gt;=0",nrES_Date,"&gt;0"),0)=0,"RETEST UNDATED",IF(NOT(ISNUMBER($T1090)),"RETEST DATE UNCHECKED",IF(_xlfn.MINIFS(nrES_Date,nrES_PID,$D1090,nrES_Code,$F1090,nrES_Att,2,nrES_Raw,"&gt;=0",nrES_Date,"&gt;0")&gt;$T1090,"LATE RETEST "&amp;TEXT(_xlfn.MINIFS(nrES_Date,nrES_PID,$D1090,nrES_Code,$F1090,nrES_Att,2,nrES_Raw,"&gt;=0",nrES_Date,"&gt;0"),"mm/dd")&amp;" (due "&amp;TEXT($T1090,"mm/dd")&amp;")","Retested"))),IF(NOT(ISNUMBER($T1090)),"CHECK DATE",IF(TODAY()&gt;$T1090,"OVERDUE","Due "&amp;TEXT($T1090,"mm/dd")))))))</f>
        <v/>
      </c>
      <c r="V1090" s="16" t="n"/>
      <c r="W1090" s="16" t="n"/>
      <c r="X1090" s="17">
        <f>IF($C1090="","",IF(AND($L1090&lt;&gt;"",NOT(ISNUMBER($L1090))),"RAW SCORE NOT A NUMBER",IF(AND(ISNUMBER($L1090),OR($L1090&lt;0,$L1090&gt;100)),"RAW SCORE OUT OF RANGE",IF(AND($Y1090="Unexcused",OR($L1090="",NOT(ISNUMBER($L1090)),$L1090&lt;&gt;0)),"UNEXCUSED ABSENCE MUST RECORD 0",IF(COUNTIF(nrES_RecID,$B1090)&gt;1,"DUPLICATE RECORD",IF(N($K1090)&gt;2,"ATTEMPT 3+ NOT ALLOWED - policy 300.5 permits one retest per exam; this row records nothing",IF(AND($K1090=2,COUNTIFS(nrES_PID,$D1090,nrES_Code,$F1090,nrES_Att,1)=0),"ATTEMPT 2 WITHOUT ATTEMPT 1",IF(AND($K1090=2,$L1090=""),"RETEST ROW HAS NO SCORE",IF(AND($H1090="Final",$L1090&lt;&gt;"",IFERROR(INDEX(nrCKfinalExamElig,MATCH($D1090,rngCadetPIDs,0)),"")="No"),"FINAL EXAM AFTER FAILED FINAL PT (500.1.H)",IF(AND($K1090=2,ISNUMBER($L1090),COUNTIFS(nrES_PID,$D1090,nrES_Code,$F1090,nrES_Att,1)&gt;0,SUMIFS(nrES_Raw,nrES_PID,$D1090,nrES_Code,$F1090,nrES_Att,1)&gt;=$J1090),"RETEST AFTER A PASSING FIRST ATTEMPT","OK"))))))))))</f>
        <v/>
      </c>
      <c r="Y1090" s="16" t="n"/>
    </row>
    <row r="1091">
      <c r="B1091" s="17">
        <f>IF($C1091="","",$D1091&amp;"-"&amp;$F1091&amp;"-"&amp;$K1091)</f>
        <v/>
      </c>
      <c r="C1091" s="16" t="n"/>
      <c r="D1091" s="17">
        <f>IF($C1091="","",IFERROR(INDEX(rngCadetPIDs,MATCH($C1091,rngCadetNames,0)),"?"))</f>
        <v/>
      </c>
      <c r="E1091" s="17">
        <f>IF($D1091="","",IFERROR(INDEX(nrCadetAgency,MATCH($D1091,rngCadetPIDs,0)),""))</f>
        <v/>
      </c>
      <c r="F1091" s="16" t="n"/>
      <c r="G1091" s="17">
        <f>IF($F1091="","",IFERROR(INDEX(rngEPname,MATCH($F1091,rngEPcode,0)),"?"))</f>
        <v/>
      </c>
      <c r="H1091" s="17">
        <f>IF($F1091="","",IFERROR(INDEX(rngEPtype,MATCH($F1091,rngEPcode,0)),"?"))</f>
        <v/>
      </c>
      <c r="I1091" s="17">
        <f>IF($F1091="","",IFERROR(INDEX(rngEPseq,MATCH($F1091,rngEPcode,0)),""))</f>
        <v/>
      </c>
      <c r="J1091" s="17">
        <f>IF($F1091="","",IFERROR(INDEX(rngEPpass,MATCH($F1091,rngEPcode,0)),cfgPassingScore))</f>
        <v/>
      </c>
      <c r="K1091" s="16" t="n"/>
      <c r="L1091" s="16" t="n"/>
      <c r="M1091" s="17">
        <f>IF($C1091="","",IF($L1091="","",IF(NOT(ISNUMBER($L1091)),$L1091,IF(N($K1091)&gt;2,"",IF($K1091=1,IF(COUNTIFS(nrES_PID,$D1091,nrES_Code,$F1091,nrES_Att,2,nrES_Raw,"&gt;=0")&gt;0,"",$L1091),IF($L1091&gt;=$J1091,MAX($J1091,cfgRetakeRecordedCap),IF(COUNTIFS(nrES_PID,$D1091,nrES_Code,$F1091,nrES_Att,1)=0,$L1091,SUMIFS(nrES_Raw,nrES_PID,$D1091,nrES_Code,$F1091,nrES_Att,1))))))))</f>
        <v/>
      </c>
      <c r="N1091" s="17">
        <f>IF($C1091="","",IF($L1091="","",IF(NOT(ISNUMBER($L1091)),"(not a score)",IF($L1091&gt;=$J1091,"Yes","No"))))</f>
        <v/>
      </c>
      <c r="O1091" s="17">
        <f>IF($C1091="","",IF($M1091="","",IF(NOT(ISNUMBER($M1091)),"(not a score)",IF($M1091&gt;=$J1091,"Yes","No"))))</f>
        <v/>
      </c>
      <c r="P1091" s="17">
        <f>IF($C1091="","",IF($K1091="","",IF(N($K1091)&gt;2,"No",IF(COUNTIFS(nrES_PID,$D1091,nrES_Code,$F1091,nrES_Att,"&gt;"&amp;$K1091,nrES_Att,"&lt;=2",nrES_Raw,"&gt;=0")=0,"Yes","No"))))</f>
        <v/>
      </c>
      <c r="Q1091" s="17">
        <f>IF($C1091="","",IF($L1091="","",IF(AND($K1091=1,ISNUMBER($L1091),$L1091&lt;$J1091,COUNTIFS(nrES_PID,$D1091,nrES_Code,$F1091,nrES_Att,2,nrES_Raw,"&gt;=0")=0),"Yes","No")))</f>
        <v/>
      </c>
      <c r="R1091" s="17">
        <f>IF($C1091="","",IF($L1091="","",IF(AND(N($K1091)&gt;=2,ISNUMBER($L1091),$L1091&lt;$J1091),"Yes","No")))</f>
        <v/>
      </c>
      <c r="S1091" s="18" t="n"/>
      <c r="T1091" s="19">
        <f>IF(OR($C1091="",$L1091="",$K1091&lt;&gt;1,NOT(ISNUMBER($L1091)),$L1091&gt;=$J1091),"",IF($S1091="","(enter date)",_xlfn.LET(_xlpm.dn,_xlfn.XLOOKUP($S1091,nrCDdate,nrCDnum,"",1),IF(_xlpm.dn="","(after last class day)",_xlfn.LET(_xlpm.dd,_xlfn.XLOOKUP(_xlpm.dn+cfgRetestClassDays,nrCDnum,nrCDdate,""),_xlpm.ok,_xlfn.XLOOKUP(_xlpm.dn+cfgRetestClassDays,nrCDnum,nrCDinsession,"No"),IF(OR(_xlpm.dd="",_xlpm.ok&lt;&gt;"Yes"),"(after last class day)",_xlpm.dd))))))</f>
        <v/>
      </c>
      <c r="U1091" s="17">
        <f>IF($C1091="","",IF(AND($Y1091="Excused",$L1091="",N($K1091)&lt;=1),"EXCUSED - 1st attempt pending",IF(OR($L1091="",$K1091&lt;&gt;1,NOT(ISNUMBER($L1091)),$L1091&gt;=$J1091),"",IF(COUNTIFS(nrES_PID,$D1091,nrES_Code,$F1091,nrES_Att,2,nrES_Raw,"&gt;=0")&gt;0,IF(IFERROR(_xlfn.MINIFS(nrES_Date,nrES_PID,$D1091,nrES_Code,$F1091,nrES_Att,2,nrES_Raw,"&gt;=0",nrES_Date,"&gt;0"),0)=0,"RETEST UNDATED",IF(NOT(ISNUMBER($T1091)),"RETEST DATE UNCHECKED",IF(_xlfn.MINIFS(nrES_Date,nrES_PID,$D1091,nrES_Code,$F1091,nrES_Att,2,nrES_Raw,"&gt;=0",nrES_Date,"&gt;0")&gt;$T1091,"LATE RETEST "&amp;TEXT(_xlfn.MINIFS(nrES_Date,nrES_PID,$D1091,nrES_Code,$F1091,nrES_Att,2,nrES_Raw,"&gt;=0",nrES_Date,"&gt;0"),"mm/dd")&amp;" (due "&amp;TEXT($T1091,"mm/dd")&amp;")","Retested"))),IF(NOT(ISNUMBER($T1091)),"CHECK DATE",IF(TODAY()&gt;$T1091,"OVERDUE","Due "&amp;TEXT($T1091,"mm/dd")))))))</f>
        <v/>
      </c>
      <c r="V1091" s="16" t="n"/>
      <c r="W1091" s="16" t="n"/>
      <c r="X1091" s="17">
        <f>IF($C1091="","",IF(AND($L1091&lt;&gt;"",NOT(ISNUMBER($L1091))),"RAW SCORE NOT A NUMBER",IF(AND(ISNUMBER($L1091),OR($L1091&lt;0,$L1091&gt;100)),"RAW SCORE OUT OF RANGE",IF(AND($Y1091="Unexcused",OR($L1091="",NOT(ISNUMBER($L1091)),$L1091&lt;&gt;0)),"UNEXCUSED ABSENCE MUST RECORD 0",IF(COUNTIF(nrES_RecID,$B1091)&gt;1,"DUPLICATE RECORD",IF(N($K1091)&gt;2,"ATTEMPT 3+ NOT ALLOWED - policy 300.5 permits one retest per exam; this row records nothing",IF(AND($K1091=2,COUNTIFS(nrES_PID,$D1091,nrES_Code,$F1091,nrES_Att,1)=0),"ATTEMPT 2 WITHOUT ATTEMPT 1",IF(AND($K1091=2,$L1091=""),"RETEST ROW HAS NO SCORE",IF(AND($H1091="Final",$L1091&lt;&gt;"",IFERROR(INDEX(nrCKfinalExamElig,MATCH($D1091,rngCadetPIDs,0)),"")="No"),"FINAL EXAM AFTER FAILED FINAL PT (500.1.H)",IF(AND($K1091=2,ISNUMBER($L1091),COUNTIFS(nrES_PID,$D1091,nrES_Code,$F1091,nrES_Att,1)&gt;0,SUMIFS(nrES_Raw,nrES_PID,$D1091,nrES_Code,$F1091,nrES_Att,1)&gt;=$J1091),"RETEST AFTER A PASSING FIRST ATTEMPT","OK"))))))))))</f>
        <v/>
      </c>
      <c r="Y1091" s="16" t="n"/>
    </row>
    <row r="1092">
      <c r="B1092" s="17">
        <f>IF($C1092="","",$D1092&amp;"-"&amp;$F1092&amp;"-"&amp;$K1092)</f>
        <v/>
      </c>
      <c r="C1092" s="16" t="n"/>
      <c r="D1092" s="17">
        <f>IF($C1092="","",IFERROR(INDEX(rngCadetPIDs,MATCH($C1092,rngCadetNames,0)),"?"))</f>
        <v/>
      </c>
      <c r="E1092" s="17">
        <f>IF($D1092="","",IFERROR(INDEX(nrCadetAgency,MATCH($D1092,rngCadetPIDs,0)),""))</f>
        <v/>
      </c>
      <c r="F1092" s="16" t="n"/>
      <c r="G1092" s="17">
        <f>IF($F1092="","",IFERROR(INDEX(rngEPname,MATCH($F1092,rngEPcode,0)),"?"))</f>
        <v/>
      </c>
      <c r="H1092" s="17">
        <f>IF($F1092="","",IFERROR(INDEX(rngEPtype,MATCH($F1092,rngEPcode,0)),"?"))</f>
        <v/>
      </c>
      <c r="I1092" s="17">
        <f>IF($F1092="","",IFERROR(INDEX(rngEPseq,MATCH($F1092,rngEPcode,0)),""))</f>
        <v/>
      </c>
      <c r="J1092" s="17">
        <f>IF($F1092="","",IFERROR(INDEX(rngEPpass,MATCH($F1092,rngEPcode,0)),cfgPassingScore))</f>
        <v/>
      </c>
      <c r="K1092" s="16" t="n"/>
      <c r="L1092" s="16" t="n"/>
      <c r="M1092" s="17">
        <f>IF($C1092="","",IF($L1092="","",IF(NOT(ISNUMBER($L1092)),$L1092,IF(N($K1092)&gt;2,"",IF($K1092=1,IF(COUNTIFS(nrES_PID,$D1092,nrES_Code,$F1092,nrES_Att,2,nrES_Raw,"&gt;=0")&gt;0,"",$L1092),IF($L1092&gt;=$J1092,MAX($J1092,cfgRetakeRecordedCap),IF(COUNTIFS(nrES_PID,$D1092,nrES_Code,$F1092,nrES_Att,1)=0,$L1092,SUMIFS(nrES_Raw,nrES_PID,$D1092,nrES_Code,$F1092,nrES_Att,1))))))))</f>
        <v/>
      </c>
      <c r="N1092" s="17">
        <f>IF($C1092="","",IF($L1092="","",IF(NOT(ISNUMBER($L1092)),"(not a score)",IF($L1092&gt;=$J1092,"Yes","No"))))</f>
        <v/>
      </c>
      <c r="O1092" s="17">
        <f>IF($C1092="","",IF($M1092="","",IF(NOT(ISNUMBER($M1092)),"(not a score)",IF($M1092&gt;=$J1092,"Yes","No"))))</f>
        <v/>
      </c>
      <c r="P1092" s="17">
        <f>IF($C1092="","",IF($K1092="","",IF(N($K1092)&gt;2,"No",IF(COUNTIFS(nrES_PID,$D1092,nrES_Code,$F1092,nrES_Att,"&gt;"&amp;$K1092,nrES_Att,"&lt;=2",nrES_Raw,"&gt;=0")=0,"Yes","No"))))</f>
        <v/>
      </c>
      <c r="Q1092" s="17">
        <f>IF($C1092="","",IF($L1092="","",IF(AND($K1092=1,ISNUMBER($L1092),$L1092&lt;$J1092,COUNTIFS(nrES_PID,$D1092,nrES_Code,$F1092,nrES_Att,2,nrES_Raw,"&gt;=0")=0),"Yes","No")))</f>
        <v/>
      </c>
      <c r="R1092" s="17">
        <f>IF($C1092="","",IF($L1092="","",IF(AND(N($K1092)&gt;=2,ISNUMBER($L1092),$L1092&lt;$J1092),"Yes","No")))</f>
        <v/>
      </c>
      <c r="S1092" s="18" t="n"/>
      <c r="T1092" s="19">
        <f>IF(OR($C1092="",$L1092="",$K1092&lt;&gt;1,NOT(ISNUMBER($L1092)),$L1092&gt;=$J1092),"",IF($S1092="","(enter date)",_xlfn.LET(_xlpm.dn,_xlfn.XLOOKUP($S1092,nrCDdate,nrCDnum,"",1),IF(_xlpm.dn="","(after last class day)",_xlfn.LET(_xlpm.dd,_xlfn.XLOOKUP(_xlpm.dn+cfgRetestClassDays,nrCDnum,nrCDdate,""),_xlpm.ok,_xlfn.XLOOKUP(_xlpm.dn+cfgRetestClassDays,nrCDnum,nrCDinsession,"No"),IF(OR(_xlpm.dd="",_xlpm.ok&lt;&gt;"Yes"),"(after last class day)",_xlpm.dd))))))</f>
        <v/>
      </c>
      <c r="U1092" s="17">
        <f>IF($C1092="","",IF(AND($Y1092="Excused",$L1092="",N($K1092)&lt;=1),"EXCUSED - 1st attempt pending",IF(OR($L1092="",$K1092&lt;&gt;1,NOT(ISNUMBER($L1092)),$L1092&gt;=$J1092),"",IF(COUNTIFS(nrES_PID,$D1092,nrES_Code,$F1092,nrES_Att,2,nrES_Raw,"&gt;=0")&gt;0,IF(IFERROR(_xlfn.MINIFS(nrES_Date,nrES_PID,$D1092,nrES_Code,$F1092,nrES_Att,2,nrES_Raw,"&gt;=0",nrES_Date,"&gt;0"),0)=0,"RETEST UNDATED",IF(NOT(ISNUMBER($T1092)),"RETEST DATE UNCHECKED",IF(_xlfn.MINIFS(nrES_Date,nrES_PID,$D1092,nrES_Code,$F1092,nrES_Att,2,nrES_Raw,"&gt;=0",nrES_Date,"&gt;0")&gt;$T1092,"LATE RETEST "&amp;TEXT(_xlfn.MINIFS(nrES_Date,nrES_PID,$D1092,nrES_Code,$F1092,nrES_Att,2,nrES_Raw,"&gt;=0",nrES_Date,"&gt;0"),"mm/dd")&amp;" (due "&amp;TEXT($T1092,"mm/dd")&amp;")","Retested"))),IF(NOT(ISNUMBER($T1092)),"CHECK DATE",IF(TODAY()&gt;$T1092,"OVERDUE","Due "&amp;TEXT($T1092,"mm/dd")))))))</f>
        <v/>
      </c>
      <c r="V1092" s="16" t="n"/>
      <c r="W1092" s="16" t="n"/>
      <c r="X1092" s="17">
        <f>IF($C1092="","",IF(AND($L1092&lt;&gt;"",NOT(ISNUMBER($L1092))),"RAW SCORE NOT A NUMBER",IF(AND(ISNUMBER($L1092),OR($L1092&lt;0,$L1092&gt;100)),"RAW SCORE OUT OF RANGE",IF(AND($Y1092="Unexcused",OR($L1092="",NOT(ISNUMBER($L1092)),$L1092&lt;&gt;0)),"UNEXCUSED ABSENCE MUST RECORD 0",IF(COUNTIF(nrES_RecID,$B1092)&gt;1,"DUPLICATE RECORD",IF(N($K1092)&gt;2,"ATTEMPT 3+ NOT ALLOWED - policy 300.5 permits one retest per exam; this row records nothing",IF(AND($K1092=2,COUNTIFS(nrES_PID,$D1092,nrES_Code,$F1092,nrES_Att,1)=0),"ATTEMPT 2 WITHOUT ATTEMPT 1",IF(AND($K1092=2,$L1092=""),"RETEST ROW HAS NO SCORE",IF(AND($H1092="Final",$L1092&lt;&gt;"",IFERROR(INDEX(nrCKfinalExamElig,MATCH($D1092,rngCadetPIDs,0)),"")="No"),"FINAL EXAM AFTER FAILED FINAL PT (500.1.H)",IF(AND($K1092=2,ISNUMBER($L1092),COUNTIFS(nrES_PID,$D1092,nrES_Code,$F1092,nrES_Att,1)&gt;0,SUMIFS(nrES_Raw,nrES_PID,$D1092,nrES_Code,$F1092,nrES_Att,1)&gt;=$J1092),"RETEST AFTER A PASSING FIRST ATTEMPT","OK"))))))))))</f>
        <v/>
      </c>
      <c r="Y1092" s="16" t="n"/>
    </row>
    <row r="1093">
      <c r="B1093" s="17">
        <f>IF($C1093="","",$D1093&amp;"-"&amp;$F1093&amp;"-"&amp;$K1093)</f>
        <v/>
      </c>
      <c r="C1093" s="16" t="n"/>
      <c r="D1093" s="17">
        <f>IF($C1093="","",IFERROR(INDEX(rngCadetPIDs,MATCH($C1093,rngCadetNames,0)),"?"))</f>
        <v/>
      </c>
      <c r="E1093" s="17">
        <f>IF($D1093="","",IFERROR(INDEX(nrCadetAgency,MATCH($D1093,rngCadetPIDs,0)),""))</f>
        <v/>
      </c>
      <c r="F1093" s="16" t="n"/>
      <c r="G1093" s="17">
        <f>IF($F1093="","",IFERROR(INDEX(rngEPname,MATCH($F1093,rngEPcode,0)),"?"))</f>
        <v/>
      </c>
      <c r="H1093" s="17">
        <f>IF($F1093="","",IFERROR(INDEX(rngEPtype,MATCH($F1093,rngEPcode,0)),"?"))</f>
        <v/>
      </c>
      <c r="I1093" s="17">
        <f>IF($F1093="","",IFERROR(INDEX(rngEPseq,MATCH($F1093,rngEPcode,0)),""))</f>
        <v/>
      </c>
      <c r="J1093" s="17">
        <f>IF($F1093="","",IFERROR(INDEX(rngEPpass,MATCH($F1093,rngEPcode,0)),cfgPassingScore))</f>
        <v/>
      </c>
      <c r="K1093" s="16" t="n"/>
      <c r="L1093" s="16" t="n"/>
      <c r="M1093" s="17">
        <f>IF($C1093="","",IF($L1093="","",IF(NOT(ISNUMBER($L1093)),$L1093,IF(N($K1093)&gt;2,"",IF($K1093=1,IF(COUNTIFS(nrES_PID,$D1093,nrES_Code,$F1093,nrES_Att,2,nrES_Raw,"&gt;=0")&gt;0,"",$L1093),IF($L1093&gt;=$J1093,MAX($J1093,cfgRetakeRecordedCap),IF(COUNTIFS(nrES_PID,$D1093,nrES_Code,$F1093,nrES_Att,1)=0,$L1093,SUMIFS(nrES_Raw,nrES_PID,$D1093,nrES_Code,$F1093,nrES_Att,1))))))))</f>
        <v/>
      </c>
      <c r="N1093" s="17">
        <f>IF($C1093="","",IF($L1093="","",IF(NOT(ISNUMBER($L1093)),"(not a score)",IF($L1093&gt;=$J1093,"Yes","No"))))</f>
        <v/>
      </c>
      <c r="O1093" s="17">
        <f>IF($C1093="","",IF($M1093="","",IF(NOT(ISNUMBER($M1093)),"(not a score)",IF($M1093&gt;=$J1093,"Yes","No"))))</f>
        <v/>
      </c>
      <c r="P1093" s="17">
        <f>IF($C1093="","",IF($K1093="","",IF(N($K1093)&gt;2,"No",IF(COUNTIFS(nrES_PID,$D1093,nrES_Code,$F1093,nrES_Att,"&gt;"&amp;$K1093,nrES_Att,"&lt;=2",nrES_Raw,"&gt;=0")=0,"Yes","No"))))</f>
        <v/>
      </c>
      <c r="Q1093" s="17">
        <f>IF($C1093="","",IF($L1093="","",IF(AND($K1093=1,ISNUMBER($L1093),$L1093&lt;$J1093,COUNTIFS(nrES_PID,$D1093,nrES_Code,$F1093,nrES_Att,2,nrES_Raw,"&gt;=0")=0),"Yes","No")))</f>
        <v/>
      </c>
      <c r="R1093" s="17">
        <f>IF($C1093="","",IF($L1093="","",IF(AND(N($K1093)&gt;=2,ISNUMBER($L1093),$L1093&lt;$J1093),"Yes","No")))</f>
        <v/>
      </c>
      <c r="S1093" s="18" t="n"/>
      <c r="T1093" s="19">
        <f>IF(OR($C1093="",$L1093="",$K1093&lt;&gt;1,NOT(ISNUMBER($L1093)),$L1093&gt;=$J1093),"",IF($S1093="","(enter date)",_xlfn.LET(_xlpm.dn,_xlfn.XLOOKUP($S1093,nrCDdate,nrCDnum,"",1),IF(_xlpm.dn="","(after last class day)",_xlfn.LET(_xlpm.dd,_xlfn.XLOOKUP(_xlpm.dn+cfgRetestClassDays,nrCDnum,nrCDdate,""),_xlpm.ok,_xlfn.XLOOKUP(_xlpm.dn+cfgRetestClassDays,nrCDnum,nrCDinsession,"No"),IF(OR(_xlpm.dd="",_xlpm.ok&lt;&gt;"Yes"),"(after last class day)",_xlpm.dd))))))</f>
        <v/>
      </c>
      <c r="U1093" s="17">
        <f>IF($C1093="","",IF(AND($Y1093="Excused",$L1093="",N($K1093)&lt;=1),"EXCUSED - 1st attempt pending",IF(OR($L1093="",$K1093&lt;&gt;1,NOT(ISNUMBER($L1093)),$L1093&gt;=$J1093),"",IF(COUNTIFS(nrES_PID,$D1093,nrES_Code,$F1093,nrES_Att,2,nrES_Raw,"&gt;=0")&gt;0,IF(IFERROR(_xlfn.MINIFS(nrES_Date,nrES_PID,$D1093,nrES_Code,$F1093,nrES_Att,2,nrES_Raw,"&gt;=0",nrES_Date,"&gt;0"),0)=0,"RETEST UNDATED",IF(NOT(ISNUMBER($T1093)),"RETEST DATE UNCHECKED",IF(_xlfn.MINIFS(nrES_Date,nrES_PID,$D1093,nrES_Code,$F1093,nrES_Att,2,nrES_Raw,"&gt;=0",nrES_Date,"&gt;0")&gt;$T1093,"LATE RETEST "&amp;TEXT(_xlfn.MINIFS(nrES_Date,nrES_PID,$D1093,nrES_Code,$F1093,nrES_Att,2,nrES_Raw,"&gt;=0",nrES_Date,"&gt;0"),"mm/dd")&amp;" (due "&amp;TEXT($T1093,"mm/dd")&amp;")","Retested"))),IF(NOT(ISNUMBER($T1093)),"CHECK DATE",IF(TODAY()&gt;$T1093,"OVERDUE","Due "&amp;TEXT($T1093,"mm/dd")))))))</f>
        <v/>
      </c>
      <c r="V1093" s="16" t="n"/>
      <c r="W1093" s="16" t="n"/>
      <c r="X1093" s="17">
        <f>IF($C1093="","",IF(AND($L1093&lt;&gt;"",NOT(ISNUMBER($L1093))),"RAW SCORE NOT A NUMBER",IF(AND(ISNUMBER($L1093),OR($L1093&lt;0,$L1093&gt;100)),"RAW SCORE OUT OF RANGE",IF(AND($Y1093="Unexcused",OR($L1093="",NOT(ISNUMBER($L1093)),$L1093&lt;&gt;0)),"UNEXCUSED ABSENCE MUST RECORD 0",IF(COUNTIF(nrES_RecID,$B1093)&gt;1,"DUPLICATE RECORD",IF(N($K1093)&gt;2,"ATTEMPT 3+ NOT ALLOWED - policy 300.5 permits one retest per exam; this row records nothing",IF(AND($K1093=2,COUNTIFS(nrES_PID,$D1093,nrES_Code,$F1093,nrES_Att,1)=0),"ATTEMPT 2 WITHOUT ATTEMPT 1",IF(AND($K1093=2,$L1093=""),"RETEST ROW HAS NO SCORE",IF(AND($H1093="Final",$L1093&lt;&gt;"",IFERROR(INDEX(nrCKfinalExamElig,MATCH($D1093,rngCadetPIDs,0)),"")="No"),"FINAL EXAM AFTER FAILED FINAL PT (500.1.H)",IF(AND($K1093=2,ISNUMBER($L1093),COUNTIFS(nrES_PID,$D1093,nrES_Code,$F1093,nrES_Att,1)&gt;0,SUMIFS(nrES_Raw,nrES_PID,$D1093,nrES_Code,$F1093,nrES_Att,1)&gt;=$J1093),"RETEST AFTER A PASSING FIRST ATTEMPT","OK"))))))))))</f>
        <v/>
      </c>
      <c r="Y1093" s="16" t="n"/>
    </row>
    <row r="1094">
      <c r="B1094" s="17">
        <f>IF($C1094="","",$D1094&amp;"-"&amp;$F1094&amp;"-"&amp;$K1094)</f>
        <v/>
      </c>
      <c r="C1094" s="16" t="n"/>
      <c r="D1094" s="17">
        <f>IF($C1094="","",IFERROR(INDEX(rngCadetPIDs,MATCH($C1094,rngCadetNames,0)),"?"))</f>
        <v/>
      </c>
      <c r="E1094" s="17">
        <f>IF($D1094="","",IFERROR(INDEX(nrCadetAgency,MATCH($D1094,rngCadetPIDs,0)),""))</f>
        <v/>
      </c>
      <c r="F1094" s="16" t="n"/>
      <c r="G1094" s="17">
        <f>IF($F1094="","",IFERROR(INDEX(rngEPname,MATCH($F1094,rngEPcode,0)),"?"))</f>
        <v/>
      </c>
      <c r="H1094" s="17">
        <f>IF($F1094="","",IFERROR(INDEX(rngEPtype,MATCH($F1094,rngEPcode,0)),"?"))</f>
        <v/>
      </c>
      <c r="I1094" s="17">
        <f>IF($F1094="","",IFERROR(INDEX(rngEPseq,MATCH($F1094,rngEPcode,0)),""))</f>
        <v/>
      </c>
      <c r="J1094" s="17">
        <f>IF($F1094="","",IFERROR(INDEX(rngEPpass,MATCH($F1094,rngEPcode,0)),cfgPassingScore))</f>
        <v/>
      </c>
      <c r="K1094" s="16" t="n"/>
      <c r="L1094" s="16" t="n"/>
      <c r="M1094" s="17">
        <f>IF($C1094="","",IF($L1094="","",IF(NOT(ISNUMBER($L1094)),$L1094,IF(N($K1094)&gt;2,"",IF($K1094=1,IF(COUNTIFS(nrES_PID,$D1094,nrES_Code,$F1094,nrES_Att,2,nrES_Raw,"&gt;=0")&gt;0,"",$L1094),IF($L1094&gt;=$J1094,MAX($J1094,cfgRetakeRecordedCap),IF(COUNTIFS(nrES_PID,$D1094,nrES_Code,$F1094,nrES_Att,1)=0,$L1094,SUMIFS(nrES_Raw,nrES_PID,$D1094,nrES_Code,$F1094,nrES_Att,1))))))))</f>
        <v/>
      </c>
      <c r="N1094" s="17">
        <f>IF($C1094="","",IF($L1094="","",IF(NOT(ISNUMBER($L1094)),"(not a score)",IF($L1094&gt;=$J1094,"Yes","No"))))</f>
        <v/>
      </c>
      <c r="O1094" s="17">
        <f>IF($C1094="","",IF($M1094="","",IF(NOT(ISNUMBER($M1094)),"(not a score)",IF($M1094&gt;=$J1094,"Yes","No"))))</f>
        <v/>
      </c>
      <c r="P1094" s="17">
        <f>IF($C1094="","",IF($K1094="","",IF(N($K1094)&gt;2,"No",IF(COUNTIFS(nrES_PID,$D1094,nrES_Code,$F1094,nrES_Att,"&gt;"&amp;$K1094,nrES_Att,"&lt;=2",nrES_Raw,"&gt;=0")=0,"Yes","No"))))</f>
        <v/>
      </c>
      <c r="Q1094" s="17">
        <f>IF($C1094="","",IF($L1094="","",IF(AND($K1094=1,ISNUMBER($L1094),$L1094&lt;$J1094,COUNTIFS(nrES_PID,$D1094,nrES_Code,$F1094,nrES_Att,2,nrES_Raw,"&gt;=0")=0),"Yes","No")))</f>
        <v/>
      </c>
      <c r="R1094" s="17">
        <f>IF($C1094="","",IF($L1094="","",IF(AND(N($K1094)&gt;=2,ISNUMBER($L1094),$L1094&lt;$J1094),"Yes","No")))</f>
        <v/>
      </c>
      <c r="S1094" s="18" t="n"/>
      <c r="T1094" s="19">
        <f>IF(OR($C1094="",$L1094="",$K1094&lt;&gt;1,NOT(ISNUMBER($L1094)),$L1094&gt;=$J1094),"",IF($S1094="","(enter date)",_xlfn.LET(_xlpm.dn,_xlfn.XLOOKUP($S1094,nrCDdate,nrCDnum,"",1),IF(_xlpm.dn="","(after last class day)",_xlfn.LET(_xlpm.dd,_xlfn.XLOOKUP(_xlpm.dn+cfgRetestClassDays,nrCDnum,nrCDdate,""),_xlpm.ok,_xlfn.XLOOKUP(_xlpm.dn+cfgRetestClassDays,nrCDnum,nrCDinsession,"No"),IF(OR(_xlpm.dd="",_xlpm.ok&lt;&gt;"Yes"),"(after last class day)",_xlpm.dd))))))</f>
        <v/>
      </c>
      <c r="U1094" s="17">
        <f>IF($C1094="","",IF(AND($Y1094="Excused",$L1094="",N($K1094)&lt;=1),"EXCUSED - 1st attempt pending",IF(OR($L1094="",$K1094&lt;&gt;1,NOT(ISNUMBER($L1094)),$L1094&gt;=$J1094),"",IF(COUNTIFS(nrES_PID,$D1094,nrES_Code,$F1094,nrES_Att,2,nrES_Raw,"&gt;=0")&gt;0,IF(IFERROR(_xlfn.MINIFS(nrES_Date,nrES_PID,$D1094,nrES_Code,$F1094,nrES_Att,2,nrES_Raw,"&gt;=0",nrES_Date,"&gt;0"),0)=0,"RETEST UNDATED",IF(NOT(ISNUMBER($T1094)),"RETEST DATE UNCHECKED",IF(_xlfn.MINIFS(nrES_Date,nrES_PID,$D1094,nrES_Code,$F1094,nrES_Att,2,nrES_Raw,"&gt;=0",nrES_Date,"&gt;0")&gt;$T1094,"LATE RETEST "&amp;TEXT(_xlfn.MINIFS(nrES_Date,nrES_PID,$D1094,nrES_Code,$F1094,nrES_Att,2,nrES_Raw,"&gt;=0",nrES_Date,"&gt;0"),"mm/dd")&amp;" (due "&amp;TEXT($T1094,"mm/dd")&amp;")","Retested"))),IF(NOT(ISNUMBER($T1094)),"CHECK DATE",IF(TODAY()&gt;$T1094,"OVERDUE","Due "&amp;TEXT($T1094,"mm/dd")))))))</f>
        <v/>
      </c>
      <c r="V1094" s="16" t="n"/>
      <c r="W1094" s="16" t="n"/>
      <c r="X1094" s="17">
        <f>IF($C1094="","",IF(AND($L1094&lt;&gt;"",NOT(ISNUMBER($L1094))),"RAW SCORE NOT A NUMBER",IF(AND(ISNUMBER($L1094),OR($L1094&lt;0,$L1094&gt;100)),"RAW SCORE OUT OF RANGE",IF(AND($Y1094="Unexcused",OR($L1094="",NOT(ISNUMBER($L1094)),$L1094&lt;&gt;0)),"UNEXCUSED ABSENCE MUST RECORD 0",IF(COUNTIF(nrES_RecID,$B1094)&gt;1,"DUPLICATE RECORD",IF(N($K1094)&gt;2,"ATTEMPT 3+ NOT ALLOWED - policy 300.5 permits one retest per exam; this row records nothing",IF(AND($K1094=2,COUNTIFS(nrES_PID,$D1094,nrES_Code,$F1094,nrES_Att,1)=0),"ATTEMPT 2 WITHOUT ATTEMPT 1",IF(AND($K1094=2,$L1094=""),"RETEST ROW HAS NO SCORE",IF(AND($H1094="Final",$L1094&lt;&gt;"",IFERROR(INDEX(nrCKfinalExamElig,MATCH($D1094,rngCadetPIDs,0)),"")="No"),"FINAL EXAM AFTER FAILED FINAL PT (500.1.H)",IF(AND($K1094=2,ISNUMBER($L1094),COUNTIFS(nrES_PID,$D1094,nrES_Code,$F1094,nrES_Att,1)&gt;0,SUMIFS(nrES_Raw,nrES_PID,$D1094,nrES_Code,$F1094,nrES_Att,1)&gt;=$J1094),"RETEST AFTER A PASSING FIRST ATTEMPT","OK"))))))))))</f>
        <v/>
      </c>
      <c r="Y1094" s="16" t="n"/>
    </row>
    <row r="1095">
      <c r="B1095" s="17">
        <f>IF($C1095="","",$D1095&amp;"-"&amp;$F1095&amp;"-"&amp;$K1095)</f>
        <v/>
      </c>
      <c r="C1095" s="16" t="n"/>
      <c r="D1095" s="17">
        <f>IF($C1095="","",IFERROR(INDEX(rngCadetPIDs,MATCH($C1095,rngCadetNames,0)),"?"))</f>
        <v/>
      </c>
      <c r="E1095" s="17">
        <f>IF($D1095="","",IFERROR(INDEX(nrCadetAgency,MATCH($D1095,rngCadetPIDs,0)),""))</f>
        <v/>
      </c>
      <c r="F1095" s="16" t="n"/>
      <c r="G1095" s="17">
        <f>IF($F1095="","",IFERROR(INDEX(rngEPname,MATCH($F1095,rngEPcode,0)),"?"))</f>
        <v/>
      </c>
      <c r="H1095" s="17">
        <f>IF($F1095="","",IFERROR(INDEX(rngEPtype,MATCH($F1095,rngEPcode,0)),"?"))</f>
        <v/>
      </c>
      <c r="I1095" s="17">
        <f>IF($F1095="","",IFERROR(INDEX(rngEPseq,MATCH($F1095,rngEPcode,0)),""))</f>
        <v/>
      </c>
      <c r="J1095" s="17">
        <f>IF($F1095="","",IFERROR(INDEX(rngEPpass,MATCH($F1095,rngEPcode,0)),cfgPassingScore))</f>
        <v/>
      </c>
      <c r="K1095" s="16" t="n"/>
      <c r="L1095" s="16" t="n"/>
      <c r="M1095" s="17">
        <f>IF($C1095="","",IF($L1095="","",IF(NOT(ISNUMBER($L1095)),$L1095,IF(N($K1095)&gt;2,"",IF($K1095=1,IF(COUNTIFS(nrES_PID,$D1095,nrES_Code,$F1095,nrES_Att,2,nrES_Raw,"&gt;=0")&gt;0,"",$L1095),IF($L1095&gt;=$J1095,MAX($J1095,cfgRetakeRecordedCap),IF(COUNTIFS(nrES_PID,$D1095,nrES_Code,$F1095,nrES_Att,1)=0,$L1095,SUMIFS(nrES_Raw,nrES_PID,$D1095,nrES_Code,$F1095,nrES_Att,1))))))))</f>
        <v/>
      </c>
      <c r="N1095" s="17">
        <f>IF($C1095="","",IF($L1095="","",IF(NOT(ISNUMBER($L1095)),"(not a score)",IF($L1095&gt;=$J1095,"Yes","No"))))</f>
        <v/>
      </c>
      <c r="O1095" s="17">
        <f>IF($C1095="","",IF($M1095="","",IF(NOT(ISNUMBER($M1095)),"(not a score)",IF($M1095&gt;=$J1095,"Yes","No"))))</f>
        <v/>
      </c>
      <c r="P1095" s="17">
        <f>IF($C1095="","",IF($K1095="","",IF(N($K1095)&gt;2,"No",IF(COUNTIFS(nrES_PID,$D1095,nrES_Code,$F1095,nrES_Att,"&gt;"&amp;$K1095,nrES_Att,"&lt;=2",nrES_Raw,"&gt;=0")=0,"Yes","No"))))</f>
        <v/>
      </c>
      <c r="Q1095" s="17">
        <f>IF($C1095="","",IF($L1095="","",IF(AND($K1095=1,ISNUMBER($L1095),$L1095&lt;$J1095,COUNTIFS(nrES_PID,$D1095,nrES_Code,$F1095,nrES_Att,2,nrES_Raw,"&gt;=0")=0),"Yes","No")))</f>
        <v/>
      </c>
      <c r="R1095" s="17">
        <f>IF($C1095="","",IF($L1095="","",IF(AND(N($K1095)&gt;=2,ISNUMBER($L1095),$L1095&lt;$J1095),"Yes","No")))</f>
        <v/>
      </c>
      <c r="S1095" s="18" t="n"/>
      <c r="T1095" s="19">
        <f>IF(OR($C1095="",$L1095="",$K1095&lt;&gt;1,NOT(ISNUMBER($L1095)),$L1095&gt;=$J1095),"",IF($S1095="","(enter date)",_xlfn.LET(_xlpm.dn,_xlfn.XLOOKUP($S1095,nrCDdate,nrCDnum,"",1),IF(_xlpm.dn="","(after last class day)",_xlfn.LET(_xlpm.dd,_xlfn.XLOOKUP(_xlpm.dn+cfgRetestClassDays,nrCDnum,nrCDdate,""),_xlpm.ok,_xlfn.XLOOKUP(_xlpm.dn+cfgRetestClassDays,nrCDnum,nrCDinsession,"No"),IF(OR(_xlpm.dd="",_xlpm.ok&lt;&gt;"Yes"),"(after last class day)",_xlpm.dd))))))</f>
        <v/>
      </c>
      <c r="U1095" s="17">
        <f>IF($C1095="","",IF(AND($Y1095="Excused",$L1095="",N($K1095)&lt;=1),"EXCUSED - 1st attempt pending",IF(OR($L1095="",$K1095&lt;&gt;1,NOT(ISNUMBER($L1095)),$L1095&gt;=$J1095),"",IF(COUNTIFS(nrES_PID,$D1095,nrES_Code,$F1095,nrES_Att,2,nrES_Raw,"&gt;=0")&gt;0,IF(IFERROR(_xlfn.MINIFS(nrES_Date,nrES_PID,$D1095,nrES_Code,$F1095,nrES_Att,2,nrES_Raw,"&gt;=0",nrES_Date,"&gt;0"),0)=0,"RETEST UNDATED",IF(NOT(ISNUMBER($T1095)),"RETEST DATE UNCHECKED",IF(_xlfn.MINIFS(nrES_Date,nrES_PID,$D1095,nrES_Code,$F1095,nrES_Att,2,nrES_Raw,"&gt;=0",nrES_Date,"&gt;0")&gt;$T1095,"LATE RETEST "&amp;TEXT(_xlfn.MINIFS(nrES_Date,nrES_PID,$D1095,nrES_Code,$F1095,nrES_Att,2,nrES_Raw,"&gt;=0",nrES_Date,"&gt;0"),"mm/dd")&amp;" (due "&amp;TEXT($T1095,"mm/dd")&amp;")","Retested"))),IF(NOT(ISNUMBER($T1095)),"CHECK DATE",IF(TODAY()&gt;$T1095,"OVERDUE","Due "&amp;TEXT($T1095,"mm/dd")))))))</f>
        <v/>
      </c>
      <c r="V1095" s="16" t="n"/>
      <c r="W1095" s="16" t="n"/>
      <c r="X1095" s="17">
        <f>IF($C1095="","",IF(AND($L1095&lt;&gt;"",NOT(ISNUMBER($L1095))),"RAW SCORE NOT A NUMBER",IF(AND(ISNUMBER($L1095),OR($L1095&lt;0,$L1095&gt;100)),"RAW SCORE OUT OF RANGE",IF(AND($Y1095="Unexcused",OR($L1095="",NOT(ISNUMBER($L1095)),$L1095&lt;&gt;0)),"UNEXCUSED ABSENCE MUST RECORD 0",IF(COUNTIF(nrES_RecID,$B1095)&gt;1,"DUPLICATE RECORD",IF(N($K1095)&gt;2,"ATTEMPT 3+ NOT ALLOWED - policy 300.5 permits one retest per exam; this row records nothing",IF(AND($K1095=2,COUNTIFS(nrES_PID,$D1095,nrES_Code,$F1095,nrES_Att,1)=0),"ATTEMPT 2 WITHOUT ATTEMPT 1",IF(AND($K1095=2,$L1095=""),"RETEST ROW HAS NO SCORE",IF(AND($H1095="Final",$L1095&lt;&gt;"",IFERROR(INDEX(nrCKfinalExamElig,MATCH($D1095,rngCadetPIDs,0)),"")="No"),"FINAL EXAM AFTER FAILED FINAL PT (500.1.H)",IF(AND($K1095=2,ISNUMBER($L1095),COUNTIFS(nrES_PID,$D1095,nrES_Code,$F1095,nrES_Att,1)&gt;0,SUMIFS(nrES_Raw,nrES_PID,$D1095,nrES_Code,$F1095,nrES_Att,1)&gt;=$J1095),"RETEST AFTER A PASSING FIRST ATTEMPT","OK"))))))))))</f>
        <v/>
      </c>
      <c r="Y1095" s="16" t="n"/>
    </row>
    <row r="1096">
      <c r="B1096" s="17">
        <f>IF($C1096="","",$D1096&amp;"-"&amp;$F1096&amp;"-"&amp;$K1096)</f>
        <v/>
      </c>
      <c r="C1096" s="16" t="n"/>
      <c r="D1096" s="17">
        <f>IF($C1096="","",IFERROR(INDEX(rngCadetPIDs,MATCH($C1096,rngCadetNames,0)),"?"))</f>
        <v/>
      </c>
      <c r="E1096" s="17">
        <f>IF($D1096="","",IFERROR(INDEX(nrCadetAgency,MATCH($D1096,rngCadetPIDs,0)),""))</f>
        <v/>
      </c>
      <c r="F1096" s="16" t="n"/>
      <c r="G1096" s="17">
        <f>IF($F1096="","",IFERROR(INDEX(rngEPname,MATCH($F1096,rngEPcode,0)),"?"))</f>
        <v/>
      </c>
      <c r="H1096" s="17">
        <f>IF($F1096="","",IFERROR(INDEX(rngEPtype,MATCH($F1096,rngEPcode,0)),"?"))</f>
        <v/>
      </c>
      <c r="I1096" s="17">
        <f>IF($F1096="","",IFERROR(INDEX(rngEPseq,MATCH($F1096,rngEPcode,0)),""))</f>
        <v/>
      </c>
      <c r="J1096" s="17">
        <f>IF($F1096="","",IFERROR(INDEX(rngEPpass,MATCH($F1096,rngEPcode,0)),cfgPassingScore))</f>
        <v/>
      </c>
      <c r="K1096" s="16" t="n"/>
      <c r="L1096" s="16" t="n"/>
      <c r="M1096" s="17">
        <f>IF($C1096="","",IF($L1096="","",IF(NOT(ISNUMBER($L1096)),$L1096,IF(N($K1096)&gt;2,"",IF($K1096=1,IF(COUNTIFS(nrES_PID,$D1096,nrES_Code,$F1096,nrES_Att,2,nrES_Raw,"&gt;=0")&gt;0,"",$L1096),IF($L1096&gt;=$J1096,MAX($J1096,cfgRetakeRecordedCap),IF(COUNTIFS(nrES_PID,$D1096,nrES_Code,$F1096,nrES_Att,1)=0,$L1096,SUMIFS(nrES_Raw,nrES_PID,$D1096,nrES_Code,$F1096,nrES_Att,1))))))))</f>
        <v/>
      </c>
      <c r="N1096" s="17">
        <f>IF($C1096="","",IF($L1096="","",IF(NOT(ISNUMBER($L1096)),"(not a score)",IF($L1096&gt;=$J1096,"Yes","No"))))</f>
        <v/>
      </c>
      <c r="O1096" s="17">
        <f>IF($C1096="","",IF($M1096="","",IF(NOT(ISNUMBER($M1096)),"(not a score)",IF($M1096&gt;=$J1096,"Yes","No"))))</f>
        <v/>
      </c>
      <c r="P1096" s="17">
        <f>IF($C1096="","",IF($K1096="","",IF(N($K1096)&gt;2,"No",IF(COUNTIFS(nrES_PID,$D1096,nrES_Code,$F1096,nrES_Att,"&gt;"&amp;$K1096,nrES_Att,"&lt;=2",nrES_Raw,"&gt;=0")=0,"Yes","No"))))</f>
        <v/>
      </c>
      <c r="Q1096" s="17">
        <f>IF($C1096="","",IF($L1096="","",IF(AND($K1096=1,ISNUMBER($L1096),$L1096&lt;$J1096,COUNTIFS(nrES_PID,$D1096,nrES_Code,$F1096,nrES_Att,2,nrES_Raw,"&gt;=0")=0),"Yes","No")))</f>
        <v/>
      </c>
      <c r="R1096" s="17">
        <f>IF($C1096="","",IF($L1096="","",IF(AND(N($K1096)&gt;=2,ISNUMBER($L1096),$L1096&lt;$J1096),"Yes","No")))</f>
        <v/>
      </c>
      <c r="S1096" s="18" t="n"/>
      <c r="T1096" s="19">
        <f>IF(OR($C1096="",$L1096="",$K1096&lt;&gt;1,NOT(ISNUMBER($L1096)),$L1096&gt;=$J1096),"",IF($S1096="","(enter date)",_xlfn.LET(_xlpm.dn,_xlfn.XLOOKUP($S1096,nrCDdate,nrCDnum,"",1),IF(_xlpm.dn="","(after last class day)",_xlfn.LET(_xlpm.dd,_xlfn.XLOOKUP(_xlpm.dn+cfgRetestClassDays,nrCDnum,nrCDdate,""),_xlpm.ok,_xlfn.XLOOKUP(_xlpm.dn+cfgRetestClassDays,nrCDnum,nrCDinsession,"No"),IF(OR(_xlpm.dd="",_xlpm.ok&lt;&gt;"Yes"),"(after last class day)",_xlpm.dd))))))</f>
        <v/>
      </c>
      <c r="U1096" s="17">
        <f>IF($C1096="","",IF(AND($Y1096="Excused",$L1096="",N($K1096)&lt;=1),"EXCUSED - 1st attempt pending",IF(OR($L1096="",$K1096&lt;&gt;1,NOT(ISNUMBER($L1096)),$L1096&gt;=$J1096),"",IF(COUNTIFS(nrES_PID,$D1096,nrES_Code,$F1096,nrES_Att,2,nrES_Raw,"&gt;=0")&gt;0,IF(IFERROR(_xlfn.MINIFS(nrES_Date,nrES_PID,$D1096,nrES_Code,$F1096,nrES_Att,2,nrES_Raw,"&gt;=0",nrES_Date,"&gt;0"),0)=0,"RETEST UNDATED",IF(NOT(ISNUMBER($T1096)),"RETEST DATE UNCHECKED",IF(_xlfn.MINIFS(nrES_Date,nrES_PID,$D1096,nrES_Code,$F1096,nrES_Att,2,nrES_Raw,"&gt;=0",nrES_Date,"&gt;0")&gt;$T1096,"LATE RETEST "&amp;TEXT(_xlfn.MINIFS(nrES_Date,nrES_PID,$D1096,nrES_Code,$F1096,nrES_Att,2,nrES_Raw,"&gt;=0",nrES_Date,"&gt;0"),"mm/dd")&amp;" (due "&amp;TEXT($T1096,"mm/dd")&amp;")","Retested"))),IF(NOT(ISNUMBER($T1096)),"CHECK DATE",IF(TODAY()&gt;$T1096,"OVERDUE","Due "&amp;TEXT($T1096,"mm/dd")))))))</f>
        <v/>
      </c>
      <c r="V1096" s="16" t="n"/>
      <c r="W1096" s="16" t="n"/>
      <c r="X1096" s="17">
        <f>IF($C1096="","",IF(AND($L1096&lt;&gt;"",NOT(ISNUMBER($L1096))),"RAW SCORE NOT A NUMBER",IF(AND(ISNUMBER($L1096),OR($L1096&lt;0,$L1096&gt;100)),"RAW SCORE OUT OF RANGE",IF(AND($Y1096="Unexcused",OR($L1096="",NOT(ISNUMBER($L1096)),$L1096&lt;&gt;0)),"UNEXCUSED ABSENCE MUST RECORD 0",IF(COUNTIF(nrES_RecID,$B1096)&gt;1,"DUPLICATE RECORD",IF(N($K1096)&gt;2,"ATTEMPT 3+ NOT ALLOWED - policy 300.5 permits one retest per exam; this row records nothing",IF(AND($K1096=2,COUNTIFS(nrES_PID,$D1096,nrES_Code,$F1096,nrES_Att,1)=0),"ATTEMPT 2 WITHOUT ATTEMPT 1",IF(AND($K1096=2,$L1096=""),"RETEST ROW HAS NO SCORE",IF(AND($H1096="Final",$L1096&lt;&gt;"",IFERROR(INDEX(nrCKfinalExamElig,MATCH($D1096,rngCadetPIDs,0)),"")="No"),"FINAL EXAM AFTER FAILED FINAL PT (500.1.H)",IF(AND($K1096=2,ISNUMBER($L1096),COUNTIFS(nrES_PID,$D1096,nrES_Code,$F1096,nrES_Att,1)&gt;0,SUMIFS(nrES_Raw,nrES_PID,$D1096,nrES_Code,$F1096,nrES_Att,1)&gt;=$J1096),"RETEST AFTER A PASSING FIRST ATTEMPT","OK"))))))))))</f>
        <v/>
      </c>
      <c r="Y1096" s="16" t="n"/>
    </row>
    <row r="1097">
      <c r="B1097" s="17">
        <f>IF($C1097="","",$D1097&amp;"-"&amp;$F1097&amp;"-"&amp;$K1097)</f>
        <v/>
      </c>
      <c r="C1097" s="16" t="n"/>
      <c r="D1097" s="17">
        <f>IF($C1097="","",IFERROR(INDEX(rngCadetPIDs,MATCH($C1097,rngCadetNames,0)),"?"))</f>
        <v/>
      </c>
      <c r="E1097" s="17">
        <f>IF($D1097="","",IFERROR(INDEX(nrCadetAgency,MATCH($D1097,rngCadetPIDs,0)),""))</f>
        <v/>
      </c>
      <c r="F1097" s="16" t="n"/>
      <c r="G1097" s="17">
        <f>IF($F1097="","",IFERROR(INDEX(rngEPname,MATCH($F1097,rngEPcode,0)),"?"))</f>
        <v/>
      </c>
      <c r="H1097" s="17">
        <f>IF($F1097="","",IFERROR(INDEX(rngEPtype,MATCH($F1097,rngEPcode,0)),"?"))</f>
        <v/>
      </c>
      <c r="I1097" s="17">
        <f>IF($F1097="","",IFERROR(INDEX(rngEPseq,MATCH($F1097,rngEPcode,0)),""))</f>
        <v/>
      </c>
      <c r="J1097" s="17">
        <f>IF($F1097="","",IFERROR(INDEX(rngEPpass,MATCH($F1097,rngEPcode,0)),cfgPassingScore))</f>
        <v/>
      </c>
      <c r="K1097" s="16" t="n"/>
      <c r="L1097" s="16" t="n"/>
      <c r="M1097" s="17">
        <f>IF($C1097="","",IF($L1097="","",IF(NOT(ISNUMBER($L1097)),$L1097,IF(N($K1097)&gt;2,"",IF($K1097=1,IF(COUNTIFS(nrES_PID,$D1097,nrES_Code,$F1097,nrES_Att,2,nrES_Raw,"&gt;=0")&gt;0,"",$L1097),IF($L1097&gt;=$J1097,MAX($J1097,cfgRetakeRecordedCap),IF(COUNTIFS(nrES_PID,$D1097,nrES_Code,$F1097,nrES_Att,1)=0,$L1097,SUMIFS(nrES_Raw,nrES_PID,$D1097,nrES_Code,$F1097,nrES_Att,1))))))))</f>
        <v/>
      </c>
      <c r="N1097" s="17">
        <f>IF($C1097="","",IF($L1097="","",IF(NOT(ISNUMBER($L1097)),"(not a score)",IF($L1097&gt;=$J1097,"Yes","No"))))</f>
        <v/>
      </c>
      <c r="O1097" s="17">
        <f>IF($C1097="","",IF($M1097="","",IF(NOT(ISNUMBER($M1097)),"(not a score)",IF($M1097&gt;=$J1097,"Yes","No"))))</f>
        <v/>
      </c>
      <c r="P1097" s="17">
        <f>IF($C1097="","",IF($K1097="","",IF(N($K1097)&gt;2,"No",IF(COUNTIFS(nrES_PID,$D1097,nrES_Code,$F1097,nrES_Att,"&gt;"&amp;$K1097,nrES_Att,"&lt;=2",nrES_Raw,"&gt;=0")=0,"Yes","No"))))</f>
        <v/>
      </c>
      <c r="Q1097" s="17">
        <f>IF($C1097="","",IF($L1097="","",IF(AND($K1097=1,ISNUMBER($L1097),$L1097&lt;$J1097,COUNTIFS(nrES_PID,$D1097,nrES_Code,$F1097,nrES_Att,2,nrES_Raw,"&gt;=0")=0),"Yes","No")))</f>
        <v/>
      </c>
      <c r="R1097" s="17">
        <f>IF($C1097="","",IF($L1097="","",IF(AND(N($K1097)&gt;=2,ISNUMBER($L1097),$L1097&lt;$J1097),"Yes","No")))</f>
        <v/>
      </c>
      <c r="S1097" s="18" t="n"/>
      <c r="T1097" s="19">
        <f>IF(OR($C1097="",$L1097="",$K1097&lt;&gt;1,NOT(ISNUMBER($L1097)),$L1097&gt;=$J1097),"",IF($S1097="","(enter date)",_xlfn.LET(_xlpm.dn,_xlfn.XLOOKUP($S1097,nrCDdate,nrCDnum,"",1),IF(_xlpm.dn="","(after last class day)",_xlfn.LET(_xlpm.dd,_xlfn.XLOOKUP(_xlpm.dn+cfgRetestClassDays,nrCDnum,nrCDdate,""),_xlpm.ok,_xlfn.XLOOKUP(_xlpm.dn+cfgRetestClassDays,nrCDnum,nrCDinsession,"No"),IF(OR(_xlpm.dd="",_xlpm.ok&lt;&gt;"Yes"),"(after last class day)",_xlpm.dd))))))</f>
        <v/>
      </c>
      <c r="U1097" s="17">
        <f>IF($C1097="","",IF(AND($Y1097="Excused",$L1097="",N($K1097)&lt;=1),"EXCUSED - 1st attempt pending",IF(OR($L1097="",$K1097&lt;&gt;1,NOT(ISNUMBER($L1097)),$L1097&gt;=$J1097),"",IF(COUNTIFS(nrES_PID,$D1097,nrES_Code,$F1097,nrES_Att,2,nrES_Raw,"&gt;=0")&gt;0,IF(IFERROR(_xlfn.MINIFS(nrES_Date,nrES_PID,$D1097,nrES_Code,$F1097,nrES_Att,2,nrES_Raw,"&gt;=0",nrES_Date,"&gt;0"),0)=0,"RETEST UNDATED",IF(NOT(ISNUMBER($T1097)),"RETEST DATE UNCHECKED",IF(_xlfn.MINIFS(nrES_Date,nrES_PID,$D1097,nrES_Code,$F1097,nrES_Att,2,nrES_Raw,"&gt;=0",nrES_Date,"&gt;0")&gt;$T1097,"LATE RETEST "&amp;TEXT(_xlfn.MINIFS(nrES_Date,nrES_PID,$D1097,nrES_Code,$F1097,nrES_Att,2,nrES_Raw,"&gt;=0",nrES_Date,"&gt;0"),"mm/dd")&amp;" (due "&amp;TEXT($T1097,"mm/dd")&amp;")","Retested"))),IF(NOT(ISNUMBER($T1097)),"CHECK DATE",IF(TODAY()&gt;$T1097,"OVERDUE","Due "&amp;TEXT($T1097,"mm/dd")))))))</f>
        <v/>
      </c>
      <c r="V1097" s="16" t="n"/>
      <c r="W1097" s="16" t="n"/>
      <c r="X1097" s="17">
        <f>IF($C1097="","",IF(AND($L1097&lt;&gt;"",NOT(ISNUMBER($L1097))),"RAW SCORE NOT A NUMBER",IF(AND(ISNUMBER($L1097),OR($L1097&lt;0,$L1097&gt;100)),"RAW SCORE OUT OF RANGE",IF(AND($Y1097="Unexcused",OR($L1097="",NOT(ISNUMBER($L1097)),$L1097&lt;&gt;0)),"UNEXCUSED ABSENCE MUST RECORD 0",IF(COUNTIF(nrES_RecID,$B1097)&gt;1,"DUPLICATE RECORD",IF(N($K1097)&gt;2,"ATTEMPT 3+ NOT ALLOWED - policy 300.5 permits one retest per exam; this row records nothing",IF(AND($K1097=2,COUNTIFS(nrES_PID,$D1097,nrES_Code,$F1097,nrES_Att,1)=0),"ATTEMPT 2 WITHOUT ATTEMPT 1",IF(AND($K1097=2,$L1097=""),"RETEST ROW HAS NO SCORE",IF(AND($H1097="Final",$L1097&lt;&gt;"",IFERROR(INDEX(nrCKfinalExamElig,MATCH($D1097,rngCadetPIDs,0)),"")="No"),"FINAL EXAM AFTER FAILED FINAL PT (500.1.H)",IF(AND($K1097=2,ISNUMBER($L1097),COUNTIFS(nrES_PID,$D1097,nrES_Code,$F1097,nrES_Att,1)&gt;0,SUMIFS(nrES_Raw,nrES_PID,$D1097,nrES_Code,$F1097,nrES_Att,1)&gt;=$J1097),"RETEST AFTER A PASSING FIRST ATTEMPT","OK"))))))))))</f>
        <v/>
      </c>
      <c r="Y1097" s="16" t="n"/>
    </row>
    <row r="1098">
      <c r="B1098" s="17">
        <f>IF($C1098="","",$D1098&amp;"-"&amp;$F1098&amp;"-"&amp;$K1098)</f>
        <v/>
      </c>
      <c r="C1098" s="16" t="n"/>
      <c r="D1098" s="17">
        <f>IF($C1098="","",IFERROR(INDEX(rngCadetPIDs,MATCH($C1098,rngCadetNames,0)),"?"))</f>
        <v/>
      </c>
      <c r="E1098" s="17">
        <f>IF($D1098="","",IFERROR(INDEX(nrCadetAgency,MATCH($D1098,rngCadetPIDs,0)),""))</f>
        <v/>
      </c>
      <c r="F1098" s="16" t="n"/>
      <c r="G1098" s="17">
        <f>IF($F1098="","",IFERROR(INDEX(rngEPname,MATCH($F1098,rngEPcode,0)),"?"))</f>
        <v/>
      </c>
      <c r="H1098" s="17">
        <f>IF($F1098="","",IFERROR(INDEX(rngEPtype,MATCH($F1098,rngEPcode,0)),"?"))</f>
        <v/>
      </c>
      <c r="I1098" s="17">
        <f>IF($F1098="","",IFERROR(INDEX(rngEPseq,MATCH($F1098,rngEPcode,0)),""))</f>
        <v/>
      </c>
      <c r="J1098" s="17">
        <f>IF($F1098="","",IFERROR(INDEX(rngEPpass,MATCH($F1098,rngEPcode,0)),cfgPassingScore))</f>
        <v/>
      </c>
      <c r="K1098" s="16" t="n"/>
      <c r="L1098" s="16" t="n"/>
      <c r="M1098" s="17">
        <f>IF($C1098="","",IF($L1098="","",IF(NOT(ISNUMBER($L1098)),$L1098,IF(N($K1098)&gt;2,"",IF($K1098=1,IF(COUNTIFS(nrES_PID,$D1098,nrES_Code,$F1098,nrES_Att,2,nrES_Raw,"&gt;=0")&gt;0,"",$L1098),IF($L1098&gt;=$J1098,MAX($J1098,cfgRetakeRecordedCap),IF(COUNTIFS(nrES_PID,$D1098,nrES_Code,$F1098,nrES_Att,1)=0,$L1098,SUMIFS(nrES_Raw,nrES_PID,$D1098,nrES_Code,$F1098,nrES_Att,1))))))))</f>
        <v/>
      </c>
      <c r="N1098" s="17">
        <f>IF($C1098="","",IF($L1098="","",IF(NOT(ISNUMBER($L1098)),"(not a score)",IF($L1098&gt;=$J1098,"Yes","No"))))</f>
        <v/>
      </c>
      <c r="O1098" s="17">
        <f>IF($C1098="","",IF($M1098="","",IF(NOT(ISNUMBER($M1098)),"(not a score)",IF($M1098&gt;=$J1098,"Yes","No"))))</f>
        <v/>
      </c>
      <c r="P1098" s="17">
        <f>IF($C1098="","",IF($K1098="","",IF(N($K1098)&gt;2,"No",IF(COUNTIFS(nrES_PID,$D1098,nrES_Code,$F1098,nrES_Att,"&gt;"&amp;$K1098,nrES_Att,"&lt;=2",nrES_Raw,"&gt;=0")=0,"Yes","No"))))</f>
        <v/>
      </c>
      <c r="Q1098" s="17">
        <f>IF($C1098="","",IF($L1098="","",IF(AND($K1098=1,ISNUMBER($L1098),$L1098&lt;$J1098,COUNTIFS(nrES_PID,$D1098,nrES_Code,$F1098,nrES_Att,2,nrES_Raw,"&gt;=0")=0),"Yes","No")))</f>
        <v/>
      </c>
      <c r="R1098" s="17">
        <f>IF($C1098="","",IF($L1098="","",IF(AND(N($K1098)&gt;=2,ISNUMBER($L1098),$L1098&lt;$J1098),"Yes","No")))</f>
        <v/>
      </c>
      <c r="S1098" s="18" t="n"/>
      <c r="T1098" s="19">
        <f>IF(OR($C1098="",$L1098="",$K1098&lt;&gt;1,NOT(ISNUMBER($L1098)),$L1098&gt;=$J1098),"",IF($S1098="","(enter date)",_xlfn.LET(_xlpm.dn,_xlfn.XLOOKUP($S1098,nrCDdate,nrCDnum,"",1),IF(_xlpm.dn="","(after last class day)",_xlfn.LET(_xlpm.dd,_xlfn.XLOOKUP(_xlpm.dn+cfgRetestClassDays,nrCDnum,nrCDdate,""),_xlpm.ok,_xlfn.XLOOKUP(_xlpm.dn+cfgRetestClassDays,nrCDnum,nrCDinsession,"No"),IF(OR(_xlpm.dd="",_xlpm.ok&lt;&gt;"Yes"),"(after last class day)",_xlpm.dd))))))</f>
        <v/>
      </c>
      <c r="U1098" s="17">
        <f>IF($C1098="","",IF(AND($Y1098="Excused",$L1098="",N($K1098)&lt;=1),"EXCUSED - 1st attempt pending",IF(OR($L1098="",$K1098&lt;&gt;1,NOT(ISNUMBER($L1098)),$L1098&gt;=$J1098),"",IF(COUNTIFS(nrES_PID,$D1098,nrES_Code,$F1098,nrES_Att,2,nrES_Raw,"&gt;=0")&gt;0,IF(IFERROR(_xlfn.MINIFS(nrES_Date,nrES_PID,$D1098,nrES_Code,$F1098,nrES_Att,2,nrES_Raw,"&gt;=0",nrES_Date,"&gt;0"),0)=0,"RETEST UNDATED",IF(NOT(ISNUMBER($T1098)),"RETEST DATE UNCHECKED",IF(_xlfn.MINIFS(nrES_Date,nrES_PID,$D1098,nrES_Code,$F1098,nrES_Att,2,nrES_Raw,"&gt;=0",nrES_Date,"&gt;0")&gt;$T1098,"LATE RETEST "&amp;TEXT(_xlfn.MINIFS(nrES_Date,nrES_PID,$D1098,nrES_Code,$F1098,nrES_Att,2,nrES_Raw,"&gt;=0",nrES_Date,"&gt;0"),"mm/dd")&amp;" (due "&amp;TEXT($T1098,"mm/dd")&amp;")","Retested"))),IF(NOT(ISNUMBER($T1098)),"CHECK DATE",IF(TODAY()&gt;$T1098,"OVERDUE","Due "&amp;TEXT($T1098,"mm/dd")))))))</f>
        <v/>
      </c>
      <c r="V1098" s="16" t="n"/>
      <c r="W1098" s="16" t="n"/>
      <c r="X1098" s="17">
        <f>IF($C1098="","",IF(AND($L1098&lt;&gt;"",NOT(ISNUMBER($L1098))),"RAW SCORE NOT A NUMBER",IF(AND(ISNUMBER($L1098),OR($L1098&lt;0,$L1098&gt;100)),"RAW SCORE OUT OF RANGE",IF(AND($Y1098="Unexcused",OR($L1098="",NOT(ISNUMBER($L1098)),$L1098&lt;&gt;0)),"UNEXCUSED ABSENCE MUST RECORD 0",IF(COUNTIF(nrES_RecID,$B1098)&gt;1,"DUPLICATE RECORD",IF(N($K1098)&gt;2,"ATTEMPT 3+ NOT ALLOWED - policy 300.5 permits one retest per exam; this row records nothing",IF(AND($K1098=2,COUNTIFS(nrES_PID,$D1098,nrES_Code,$F1098,nrES_Att,1)=0),"ATTEMPT 2 WITHOUT ATTEMPT 1",IF(AND($K1098=2,$L1098=""),"RETEST ROW HAS NO SCORE",IF(AND($H1098="Final",$L1098&lt;&gt;"",IFERROR(INDEX(nrCKfinalExamElig,MATCH($D1098,rngCadetPIDs,0)),"")="No"),"FINAL EXAM AFTER FAILED FINAL PT (500.1.H)",IF(AND($K1098=2,ISNUMBER($L1098),COUNTIFS(nrES_PID,$D1098,nrES_Code,$F1098,nrES_Att,1)&gt;0,SUMIFS(nrES_Raw,nrES_PID,$D1098,nrES_Code,$F1098,nrES_Att,1)&gt;=$J1098),"RETEST AFTER A PASSING FIRST ATTEMPT","OK"))))))))))</f>
        <v/>
      </c>
      <c r="Y1098" s="16" t="n"/>
    </row>
    <row r="1099">
      <c r="B1099" s="17">
        <f>IF($C1099="","",$D1099&amp;"-"&amp;$F1099&amp;"-"&amp;$K1099)</f>
        <v/>
      </c>
      <c r="C1099" s="16" t="n"/>
      <c r="D1099" s="17">
        <f>IF($C1099="","",IFERROR(INDEX(rngCadetPIDs,MATCH($C1099,rngCadetNames,0)),"?"))</f>
        <v/>
      </c>
      <c r="E1099" s="17">
        <f>IF($D1099="","",IFERROR(INDEX(nrCadetAgency,MATCH($D1099,rngCadetPIDs,0)),""))</f>
        <v/>
      </c>
      <c r="F1099" s="16" t="n"/>
      <c r="G1099" s="17">
        <f>IF($F1099="","",IFERROR(INDEX(rngEPname,MATCH($F1099,rngEPcode,0)),"?"))</f>
        <v/>
      </c>
      <c r="H1099" s="17">
        <f>IF($F1099="","",IFERROR(INDEX(rngEPtype,MATCH($F1099,rngEPcode,0)),"?"))</f>
        <v/>
      </c>
      <c r="I1099" s="17">
        <f>IF($F1099="","",IFERROR(INDEX(rngEPseq,MATCH($F1099,rngEPcode,0)),""))</f>
        <v/>
      </c>
      <c r="J1099" s="17">
        <f>IF($F1099="","",IFERROR(INDEX(rngEPpass,MATCH($F1099,rngEPcode,0)),cfgPassingScore))</f>
        <v/>
      </c>
      <c r="K1099" s="16" t="n"/>
      <c r="L1099" s="16" t="n"/>
      <c r="M1099" s="17">
        <f>IF($C1099="","",IF($L1099="","",IF(NOT(ISNUMBER($L1099)),$L1099,IF(N($K1099)&gt;2,"",IF($K1099=1,IF(COUNTIFS(nrES_PID,$D1099,nrES_Code,$F1099,nrES_Att,2,nrES_Raw,"&gt;=0")&gt;0,"",$L1099),IF($L1099&gt;=$J1099,MAX($J1099,cfgRetakeRecordedCap),IF(COUNTIFS(nrES_PID,$D1099,nrES_Code,$F1099,nrES_Att,1)=0,$L1099,SUMIFS(nrES_Raw,nrES_PID,$D1099,nrES_Code,$F1099,nrES_Att,1))))))))</f>
        <v/>
      </c>
      <c r="N1099" s="17">
        <f>IF($C1099="","",IF($L1099="","",IF(NOT(ISNUMBER($L1099)),"(not a score)",IF($L1099&gt;=$J1099,"Yes","No"))))</f>
        <v/>
      </c>
      <c r="O1099" s="17">
        <f>IF($C1099="","",IF($M1099="","",IF(NOT(ISNUMBER($M1099)),"(not a score)",IF($M1099&gt;=$J1099,"Yes","No"))))</f>
        <v/>
      </c>
      <c r="P1099" s="17">
        <f>IF($C1099="","",IF($K1099="","",IF(N($K1099)&gt;2,"No",IF(COUNTIFS(nrES_PID,$D1099,nrES_Code,$F1099,nrES_Att,"&gt;"&amp;$K1099,nrES_Att,"&lt;=2",nrES_Raw,"&gt;=0")=0,"Yes","No"))))</f>
        <v/>
      </c>
      <c r="Q1099" s="17">
        <f>IF($C1099="","",IF($L1099="","",IF(AND($K1099=1,ISNUMBER($L1099),$L1099&lt;$J1099,COUNTIFS(nrES_PID,$D1099,nrES_Code,$F1099,nrES_Att,2,nrES_Raw,"&gt;=0")=0),"Yes","No")))</f>
        <v/>
      </c>
      <c r="R1099" s="17">
        <f>IF($C1099="","",IF($L1099="","",IF(AND(N($K1099)&gt;=2,ISNUMBER($L1099),$L1099&lt;$J1099),"Yes","No")))</f>
        <v/>
      </c>
      <c r="S1099" s="18" t="n"/>
      <c r="T1099" s="19">
        <f>IF(OR($C1099="",$L1099="",$K1099&lt;&gt;1,NOT(ISNUMBER($L1099)),$L1099&gt;=$J1099),"",IF($S1099="","(enter date)",_xlfn.LET(_xlpm.dn,_xlfn.XLOOKUP($S1099,nrCDdate,nrCDnum,"",1),IF(_xlpm.dn="","(after last class day)",_xlfn.LET(_xlpm.dd,_xlfn.XLOOKUP(_xlpm.dn+cfgRetestClassDays,nrCDnum,nrCDdate,""),_xlpm.ok,_xlfn.XLOOKUP(_xlpm.dn+cfgRetestClassDays,nrCDnum,nrCDinsession,"No"),IF(OR(_xlpm.dd="",_xlpm.ok&lt;&gt;"Yes"),"(after last class day)",_xlpm.dd))))))</f>
        <v/>
      </c>
      <c r="U1099" s="17">
        <f>IF($C1099="","",IF(AND($Y1099="Excused",$L1099="",N($K1099)&lt;=1),"EXCUSED - 1st attempt pending",IF(OR($L1099="",$K1099&lt;&gt;1,NOT(ISNUMBER($L1099)),$L1099&gt;=$J1099),"",IF(COUNTIFS(nrES_PID,$D1099,nrES_Code,$F1099,nrES_Att,2,nrES_Raw,"&gt;=0")&gt;0,IF(IFERROR(_xlfn.MINIFS(nrES_Date,nrES_PID,$D1099,nrES_Code,$F1099,nrES_Att,2,nrES_Raw,"&gt;=0",nrES_Date,"&gt;0"),0)=0,"RETEST UNDATED",IF(NOT(ISNUMBER($T1099)),"RETEST DATE UNCHECKED",IF(_xlfn.MINIFS(nrES_Date,nrES_PID,$D1099,nrES_Code,$F1099,nrES_Att,2,nrES_Raw,"&gt;=0",nrES_Date,"&gt;0")&gt;$T1099,"LATE RETEST "&amp;TEXT(_xlfn.MINIFS(nrES_Date,nrES_PID,$D1099,nrES_Code,$F1099,nrES_Att,2,nrES_Raw,"&gt;=0",nrES_Date,"&gt;0"),"mm/dd")&amp;" (due "&amp;TEXT($T1099,"mm/dd")&amp;")","Retested"))),IF(NOT(ISNUMBER($T1099)),"CHECK DATE",IF(TODAY()&gt;$T1099,"OVERDUE","Due "&amp;TEXT($T1099,"mm/dd")))))))</f>
        <v/>
      </c>
      <c r="V1099" s="16" t="n"/>
      <c r="W1099" s="16" t="n"/>
      <c r="X1099" s="17">
        <f>IF($C1099="","",IF(AND($L1099&lt;&gt;"",NOT(ISNUMBER($L1099))),"RAW SCORE NOT A NUMBER",IF(AND(ISNUMBER($L1099),OR($L1099&lt;0,$L1099&gt;100)),"RAW SCORE OUT OF RANGE",IF(AND($Y1099="Unexcused",OR($L1099="",NOT(ISNUMBER($L1099)),$L1099&lt;&gt;0)),"UNEXCUSED ABSENCE MUST RECORD 0",IF(COUNTIF(nrES_RecID,$B1099)&gt;1,"DUPLICATE RECORD",IF(N($K1099)&gt;2,"ATTEMPT 3+ NOT ALLOWED - policy 300.5 permits one retest per exam; this row records nothing",IF(AND($K1099=2,COUNTIFS(nrES_PID,$D1099,nrES_Code,$F1099,nrES_Att,1)=0),"ATTEMPT 2 WITHOUT ATTEMPT 1",IF(AND($K1099=2,$L1099=""),"RETEST ROW HAS NO SCORE",IF(AND($H1099="Final",$L1099&lt;&gt;"",IFERROR(INDEX(nrCKfinalExamElig,MATCH($D1099,rngCadetPIDs,0)),"")="No"),"FINAL EXAM AFTER FAILED FINAL PT (500.1.H)",IF(AND($K1099=2,ISNUMBER($L1099),COUNTIFS(nrES_PID,$D1099,nrES_Code,$F1099,nrES_Att,1)&gt;0,SUMIFS(nrES_Raw,nrES_PID,$D1099,nrES_Code,$F1099,nrES_Att,1)&gt;=$J1099),"RETEST AFTER A PASSING FIRST ATTEMPT","OK"))))))))))</f>
        <v/>
      </c>
      <c r="Y1099" s="16" t="n"/>
    </row>
    <row r="1100">
      <c r="B1100" s="17">
        <f>IF($C1100="","",$D1100&amp;"-"&amp;$F1100&amp;"-"&amp;$K1100)</f>
        <v/>
      </c>
      <c r="C1100" s="16" t="n"/>
      <c r="D1100" s="17">
        <f>IF($C1100="","",IFERROR(INDEX(rngCadetPIDs,MATCH($C1100,rngCadetNames,0)),"?"))</f>
        <v/>
      </c>
      <c r="E1100" s="17">
        <f>IF($D1100="","",IFERROR(INDEX(nrCadetAgency,MATCH($D1100,rngCadetPIDs,0)),""))</f>
        <v/>
      </c>
      <c r="F1100" s="16" t="n"/>
      <c r="G1100" s="17">
        <f>IF($F1100="","",IFERROR(INDEX(rngEPname,MATCH($F1100,rngEPcode,0)),"?"))</f>
        <v/>
      </c>
      <c r="H1100" s="17">
        <f>IF($F1100="","",IFERROR(INDEX(rngEPtype,MATCH($F1100,rngEPcode,0)),"?"))</f>
        <v/>
      </c>
      <c r="I1100" s="17">
        <f>IF($F1100="","",IFERROR(INDEX(rngEPseq,MATCH($F1100,rngEPcode,0)),""))</f>
        <v/>
      </c>
      <c r="J1100" s="17">
        <f>IF($F1100="","",IFERROR(INDEX(rngEPpass,MATCH($F1100,rngEPcode,0)),cfgPassingScore))</f>
        <v/>
      </c>
      <c r="K1100" s="16" t="n"/>
      <c r="L1100" s="16" t="n"/>
      <c r="M1100" s="17">
        <f>IF($C1100="","",IF($L1100="","",IF(NOT(ISNUMBER($L1100)),$L1100,IF(N($K1100)&gt;2,"",IF($K1100=1,IF(COUNTIFS(nrES_PID,$D1100,nrES_Code,$F1100,nrES_Att,2,nrES_Raw,"&gt;=0")&gt;0,"",$L1100),IF($L1100&gt;=$J1100,MAX($J1100,cfgRetakeRecordedCap),IF(COUNTIFS(nrES_PID,$D1100,nrES_Code,$F1100,nrES_Att,1)=0,$L1100,SUMIFS(nrES_Raw,nrES_PID,$D1100,nrES_Code,$F1100,nrES_Att,1))))))))</f>
        <v/>
      </c>
      <c r="N1100" s="17">
        <f>IF($C1100="","",IF($L1100="","",IF(NOT(ISNUMBER($L1100)),"(not a score)",IF($L1100&gt;=$J1100,"Yes","No"))))</f>
        <v/>
      </c>
      <c r="O1100" s="17">
        <f>IF($C1100="","",IF($M1100="","",IF(NOT(ISNUMBER($M1100)),"(not a score)",IF($M1100&gt;=$J1100,"Yes","No"))))</f>
        <v/>
      </c>
      <c r="P1100" s="17">
        <f>IF($C1100="","",IF($K1100="","",IF(N($K1100)&gt;2,"No",IF(COUNTIFS(nrES_PID,$D1100,nrES_Code,$F1100,nrES_Att,"&gt;"&amp;$K1100,nrES_Att,"&lt;=2",nrES_Raw,"&gt;=0")=0,"Yes","No"))))</f>
        <v/>
      </c>
      <c r="Q1100" s="17">
        <f>IF($C1100="","",IF($L1100="","",IF(AND($K1100=1,ISNUMBER($L1100),$L1100&lt;$J1100,COUNTIFS(nrES_PID,$D1100,nrES_Code,$F1100,nrES_Att,2,nrES_Raw,"&gt;=0")=0),"Yes","No")))</f>
        <v/>
      </c>
      <c r="R1100" s="17">
        <f>IF($C1100="","",IF($L1100="","",IF(AND(N($K1100)&gt;=2,ISNUMBER($L1100),$L1100&lt;$J1100),"Yes","No")))</f>
        <v/>
      </c>
      <c r="S1100" s="18" t="n"/>
      <c r="T1100" s="19">
        <f>IF(OR($C1100="",$L1100="",$K1100&lt;&gt;1,NOT(ISNUMBER($L1100)),$L1100&gt;=$J1100),"",IF($S1100="","(enter date)",_xlfn.LET(_xlpm.dn,_xlfn.XLOOKUP($S1100,nrCDdate,nrCDnum,"",1),IF(_xlpm.dn="","(after last class day)",_xlfn.LET(_xlpm.dd,_xlfn.XLOOKUP(_xlpm.dn+cfgRetestClassDays,nrCDnum,nrCDdate,""),_xlpm.ok,_xlfn.XLOOKUP(_xlpm.dn+cfgRetestClassDays,nrCDnum,nrCDinsession,"No"),IF(OR(_xlpm.dd="",_xlpm.ok&lt;&gt;"Yes"),"(after last class day)",_xlpm.dd))))))</f>
        <v/>
      </c>
      <c r="U1100" s="17">
        <f>IF($C1100="","",IF(AND($Y1100="Excused",$L1100="",N($K1100)&lt;=1),"EXCUSED - 1st attempt pending",IF(OR($L1100="",$K1100&lt;&gt;1,NOT(ISNUMBER($L1100)),$L1100&gt;=$J1100),"",IF(COUNTIFS(nrES_PID,$D1100,nrES_Code,$F1100,nrES_Att,2,nrES_Raw,"&gt;=0")&gt;0,IF(IFERROR(_xlfn.MINIFS(nrES_Date,nrES_PID,$D1100,nrES_Code,$F1100,nrES_Att,2,nrES_Raw,"&gt;=0",nrES_Date,"&gt;0"),0)=0,"RETEST UNDATED",IF(NOT(ISNUMBER($T1100)),"RETEST DATE UNCHECKED",IF(_xlfn.MINIFS(nrES_Date,nrES_PID,$D1100,nrES_Code,$F1100,nrES_Att,2,nrES_Raw,"&gt;=0",nrES_Date,"&gt;0")&gt;$T1100,"LATE RETEST "&amp;TEXT(_xlfn.MINIFS(nrES_Date,nrES_PID,$D1100,nrES_Code,$F1100,nrES_Att,2,nrES_Raw,"&gt;=0",nrES_Date,"&gt;0"),"mm/dd")&amp;" (due "&amp;TEXT($T1100,"mm/dd")&amp;")","Retested"))),IF(NOT(ISNUMBER($T1100)),"CHECK DATE",IF(TODAY()&gt;$T1100,"OVERDUE","Due "&amp;TEXT($T1100,"mm/dd")))))))</f>
        <v/>
      </c>
      <c r="V1100" s="16" t="n"/>
      <c r="W1100" s="16" t="n"/>
      <c r="X1100" s="17">
        <f>IF($C1100="","",IF(AND($L1100&lt;&gt;"",NOT(ISNUMBER($L1100))),"RAW SCORE NOT A NUMBER",IF(AND(ISNUMBER($L1100),OR($L1100&lt;0,$L1100&gt;100)),"RAW SCORE OUT OF RANGE",IF(AND($Y1100="Unexcused",OR($L1100="",NOT(ISNUMBER($L1100)),$L1100&lt;&gt;0)),"UNEXCUSED ABSENCE MUST RECORD 0",IF(COUNTIF(nrES_RecID,$B1100)&gt;1,"DUPLICATE RECORD",IF(N($K1100)&gt;2,"ATTEMPT 3+ NOT ALLOWED - policy 300.5 permits one retest per exam; this row records nothing",IF(AND($K1100=2,COUNTIFS(nrES_PID,$D1100,nrES_Code,$F1100,nrES_Att,1)=0),"ATTEMPT 2 WITHOUT ATTEMPT 1",IF(AND($K1100=2,$L1100=""),"RETEST ROW HAS NO SCORE",IF(AND($H1100="Final",$L1100&lt;&gt;"",IFERROR(INDEX(nrCKfinalExamElig,MATCH($D1100,rngCadetPIDs,0)),"")="No"),"FINAL EXAM AFTER FAILED FINAL PT (500.1.H)",IF(AND($K1100=2,ISNUMBER($L1100),COUNTIFS(nrES_PID,$D1100,nrES_Code,$F1100,nrES_Att,1)&gt;0,SUMIFS(nrES_Raw,nrES_PID,$D1100,nrES_Code,$F1100,nrES_Att,1)&gt;=$J1100),"RETEST AFTER A PASSING FIRST ATTEMPT","OK"))))))))))</f>
        <v/>
      </c>
      <c r="Y1100" s="16" t="n"/>
    </row>
    <row r="1101">
      <c r="B1101" s="17">
        <f>IF($C1101="","",$D1101&amp;"-"&amp;$F1101&amp;"-"&amp;$K1101)</f>
        <v/>
      </c>
      <c r="C1101" s="16" t="n"/>
      <c r="D1101" s="17">
        <f>IF($C1101="","",IFERROR(INDEX(rngCadetPIDs,MATCH($C1101,rngCadetNames,0)),"?"))</f>
        <v/>
      </c>
      <c r="E1101" s="17">
        <f>IF($D1101="","",IFERROR(INDEX(nrCadetAgency,MATCH($D1101,rngCadetPIDs,0)),""))</f>
        <v/>
      </c>
      <c r="F1101" s="16" t="n"/>
      <c r="G1101" s="17">
        <f>IF($F1101="","",IFERROR(INDEX(rngEPname,MATCH($F1101,rngEPcode,0)),"?"))</f>
        <v/>
      </c>
      <c r="H1101" s="17">
        <f>IF($F1101="","",IFERROR(INDEX(rngEPtype,MATCH($F1101,rngEPcode,0)),"?"))</f>
        <v/>
      </c>
      <c r="I1101" s="17">
        <f>IF($F1101="","",IFERROR(INDEX(rngEPseq,MATCH($F1101,rngEPcode,0)),""))</f>
        <v/>
      </c>
      <c r="J1101" s="17">
        <f>IF($F1101="","",IFERROR(INDEX(rngEPpass,MATCH($F1101,rngEPcode,0)),cfgPassingScore))</f>
        <v/>
      </c>
      <c r="K1101" s="16" t="n"/>
      <c r="L1101" s="16" t="n"/>
      <c r="M1101" s="17">
        <f>IF($C1101="","",IF($L1101="","",IF(NOT(ISNUMBER($L1101)),$L1101,IF(N($K1101)&gt;2,"",IF($K1101=1,IF(COUNTIFS(nrES_PID,$D1101,nrES_Code,$F1101,nrES_Att,2,nrES_Raw,"&gt;=0")&gt;0,"",$L1101),IF($L1101&gt;=$J1101,MAX($J1101,cfgRetakeRecordedCap),IF(COUNTIFS(nrES_PID,$D1101,nrES_Code,$F1101,nrES_Att,1)=0,$L1101,SUMIFS(nrES_Raw,nrES_PID,$D1101,nrES_Code,$F1101,nrES_Att,1))))))))</f>
        <v/>
      </c>
      <c r="N1101" s="17">
        <f>IF($C1101="","",IF($L1101="","",IF(NOT(ISNUMBER($L1101)),"(not a score)",IF($L1101&gt;=$J1101,"Yes","No"))))</f>
        <v/>
      </c>
      <c r="O1101" s="17">
        <f>IF($C1101="","",IF($M1101="","",IF(NOT(ISNUMBER($M1101)),"(not a score)",IF($M1101&gt;=$J1101,"Yes","No"))))</f>
        <v/>
      </c>
      <c r="P1101" s="17">
        <f>IF($C1101="","",IF($K1101="","",IF(N($K1101)&gt;2,"No",IF(COUNTIFS(nrES_PID,$D1101,nrES_Code,$F1101,nrES_Att,"&gt;"&amp;$K1101,nrES_Att,"&lt;=2",nrES_Raw,"&gt;=0")=0,"Yes","No"))))</f>
        <v/>
      </c>
      <c r="Q1101" s="17">
        <f>IF($C1101="","",IF($L1101="","",IF(AND($K1101=1,ISNUMBER($L1101),$L1101&lt;$J1101,COUNTIFS(nrES_PID,$D1101,nrES_Code,$F1101,nrES_Att,2,nrES_Raw,"&gt;=0")=0),"Yes","No")))</f>
        <v/>
      </c>
      <c r="R1101" s="17">
        <f>IF($C1101="","",IF($L1101="","",IF(AND(N($K1101)&gt;=2,ISNUMBER($L1101),$L1101&lt;$J1101),"Yes","No")))</f>
        <v/>
      </c>
      <c r="S1101" s="18" t="n"/>
      <c r="T1101" s="19">
        <f>IF(OR($C1101="",$L1101="",$K1101&lt;&gt;1,NOT(ISNUMBER($L1101)),$L1101&gt;=$J1101),"",IF($S1101="","(enter date)",_xlfn.LET(_xlpm.dn,_xlfn.XLOOKUP($S1101,nrCDdate,nrCDnum,"",1),IF(_xlpm.dn="","(after last class day)",_xlfn.LET(_xlpm.dd,_xlfn.XLOOKUP(_xlpm.dn+cfgRetestClassDays,nrCDnum,nrCDdate,""),_xlpm.ok,_xlfn.XLOOKUP(_xlpm.dn+cfgRetestClassDays,nrCDnum,nrCDinsession,"No"),IF(OR(_xlpm.dd="",_xlpm.ok&lt;&gt;"Yes"),"(after last class day)",_xlpm.dd))))))</f>
        <v/>
      </c>
      <c r="U1101" s="17">
        <f>IF($C1101="","",IF(AND($Y1101="Excused",$L1101="",N($K1101)&lt;=1),"EXCUSED - 1st attempt pending",IF(OR($L1101="",$K1101&lt;&gt;1,NOT(ISNUMBER($L1101)),$L1101&gt;=$J1101),"",IF(COUNTIFS(nrES_PID,$D1101,nrES_Code,$F1101,nrES_Att,2,nrES_Raw,"&gt;=0")&gt;0,IF(IFERROR(_xlfn.MINIFS(nrES_Date,nrES_PID,$D1101,nrES_Code,$F1101,nrES_Att,2,nrES_Raw,"&gt;=0",nrES_Date,"&gt;0"),0)=0,"RETEST UNDATED",IF(NOT(ISNUMBER($T1101)),"RETEST DATE UNCHECKED",IF(_xlfn.MINIFS(nrES_Date,nrES_PID,$D1101,nrES_Code,$F1101,nrES_Att,2,nrES_Raw,"&gt;=0",nrES_Date,"&gt;0")&gt;$T1101,"LATE RETEST "&amp;TEXT(_xlfn.MINIFS(nrES_Date,nrES_PID,$D1101,nrES_Code,$F1101,nrES_Att,2,nrES_Raw,"&gt;=0",nrES_Date,"&gt;0"),"mm/dd")&amp;" (due "&amp;TEXT($T1101,"mm/dd")&amp;")","Retested"))),IF(NOT(ISNUMBER($T1101)),"CHECK DATE",IF(TODAY()&gt;$T1101,"OVERDUE","Due "&amp;TEXT($T1101,"mm/dd")))))))</f>
        <v/>
      </c>
      <c r="V1101" s="16" t="n"/>
      <c r="W1101" s="16" t="n"/>
      <c r="X1101" s="17">
        <f>IF($C1101="","",IF(AND($L1101&lt;&gt;"",NOT(ISNUMBER($L1101))),"RAW SCORE NOT A NUMBER",IF(AND(ISNUMBER($L1101),OR($L1101&lt;0,$L1101&gt;100)),"RAW SCORE OUT OF RANGE",IF(AND($Y1101="Unexcused",OR($L1101="",NOT(ISNUMBER($L1101)),$L1101&lt;&gt;0)),"UNEXCUSED ABSENCE MUST RECORD 0",IF(COUNTIF(nrES_RecID,$B1101)&gt;1,"DUPLICATE RECORD",IF(N($K1101)&gt;2,"ATTEMPT 3+ NOT ALLOWED - policy 300.5 permits one retest per exam; this row records nothing",IF(AND($K1101=2,COUNTIFS(nrES_PID,$D1101,nrES_Code,$F1101,nrES_Att,1)=0),"ATTEMPT 2 WITHOUT ATTEMPT 1",IF(AND($K1101=2,$L1101=""),"RETEST ROW HAS NO SCORE",IF(AND($H1101="Final",$L1101&lt;&gt;"",IFERROR(INDEX(nrCKfinalExamElig,MATCH($D1101,rngCadetPIDs,0)),"")="No"),"FINAL EXAM AFTER FAILED FINAL PT (500.1.H)",IF(AND($K1101=2,ISNUMBER($L1101),COUNTIFS(nrES_PID,$D1101,nrES_Code,$F1101,nrES_Att,1)&gt;0,SUMIFS(nrES_Raw,nrES_PID,$D1101,nrES_Code,$F1101,nrES_Att,1)&gt;=$J1101),"RETEST AFTER A PASSING FIRST ATTEMPT","OK"))))))))))</f>
        <v/>
      </c>
      <c r="Y1101" s="16" t="n"/>
    </row>
    <row r="1102">
      <c r="B1102" s="17">
        <f>IF($C1102="","",$D1102&amp;"-"&amp;$F1102&amp;"-"&amp;$K1102)</f>
        <v/>
      </c>
      <c r="C1102" s="16" t="n"/>
      <c r="D1102" s="17">
        <f>IF($C1102="","",IFERROR(INDEX(rngCadetPIDs,MATCH($C1102,rngCadetNames,0)),"?"))</f>
        <v/>
      </c>
      <c r="E1102" s="17">
        <f>IF($D1102="","",IFERROR(INDEX(nrCadetAgency,MATCH($D1102,rngCadetPIDs,0)),""))</f>
        <v/>
      </c>
      <c r="F1102" s="16" t="n"/>
      <c r="G1102" s="17">
        <f>IF($F1102="","",IFERROR(INDEX(rngEPname,MATCH($F1102,rngEPcode,0)),"?"))</f>
        <v/>
      </c>
      <c r="H1102" s="17">
        <f>IF($F1102="","",IFERROR(INDEX(rngEPtype,MATCH($F1102,rngEPcode,0)),"?"))</f>
        <v/>
      </c>
      <c r="I1102" s="17">
        <f>IF($F1102="","",IFERROR(INDEX(rngEPseq,MATCH($F1102,rngEPcode,0)),""))</f>
        <v/>
      </c>
      <c r="J1102" s="17">
        <f>IF($F1102="","",IFERROR(INDEX(rngEPpass,MATCH($F1102,rngEPcode,0)),cfgPassingScore))</f>
        <v/>
      </c>
      <c r="K1102" s="16" t="n"/>
      <c r="L1102" s="16" t="n"/>
      <c r="M1102" s="17">
        <f>IF($C1102="","",IF($L1102="","",IF(NOT(ISNUMBER($L1102)),$L1102,IF(N($K1102)&gt;2,"",IF($K1102=1,IF(COUNTIFS(nrES_PID,$D1102,nrES_Code,$F1102,nrES_Att,2,nrES_Raw,"&gt;=0")&gt;0,"",$L1102),IF($L1102&gt;=$J1102,MAX($J1102,cfgRetakeRecordedCap),IF(COUNTIFS(nrES_PID,$D1102,nrES_Code,$F1102,nrES_Att,1)=0,$L1102,SUMIFS(nrES_Raw,nrES_PID,$D1102,nrES_Code,$F1102,nrES_Att,1))))))))</f>
        <v/>
      </c>
      <c r="N1102" s="17">
        <f>IF($C1102="","",IF($L1102="","",IF(NOT(ISNUMBER($L1102)),"(not a score)",IF($L1102&gt;=$J1102,"Yes","No"))))</f>
        <v/>
      </c>
      <c r="O1102" s="17">
        <f>IF($C1102="","",IF($M1102="","",IF(NOT(ISNUMBER($M1102)),"(not a score)",IF($M1102&gt;=$J1102,"Yes","No"))))</f>
        <v/>
      </c>
      <c r="P1102" s="17">
        <f>IF($C1102="","",IF($K1102="","",IF(N($K1102)&gt;2,"No",IF(COUNTIFS(nrES_PID,$D1102,nrES_Code,$F1102,nrES_Att,"&gt;"&amp;$K1102,nrES_Att,"&lt;=2",nrES_Raw,"&gt;=0")=0,"Yes","No"))))</f>
        <v/>
      </c>
      <c r="Q1102" s="17">
        <f>IF($C1102="","",IF($L1102="","",IF(AND($K1102=1,ISNUMBER($L1102),$L1102&lt;$J1102,COUNTIFS(nrES_PID,$D1102,nrES_Code,$F1102,nrES_Att,2,nrES_Raw,"&gt;=0")=0),"Yes","No")))</f>
        <v/>
      </c>
      <c r="R1102" s="17">
        <f>IF($C1102="","",IF($L1102="","",IF(AND(N($K1102)&gt;=2,ISNUMBER($L1102),$L1102&lt;$J1102),"Yes","No")))</f>
        <v/>
      </c>
      <c r="S1102" s="18" t="n"/>
      <c r="T1102" s="19">
        <f>IF(OR($C1102="",$L1102="",$K1102&lt;&gt;1,NOT(ISNUMBER($L1102)),$L1102&gt;=$J1102),"",IF($S1102="","(enter date)",_xlfn.LET(_xlpm.dn,_xlfn.XLOOKUP($S1102,nrCDdate,nrCDnum,"",1),IF(_xlpm.dn="","(after last class day)",_xlfn.LET(_xlpm.dd,_xlfn.XLOOKUP(_xlpm.dn+cfgRetestClassDays,nrCDnum,nrCDdate,""),_xlpm.ok,_xlfn.XLOOKUP(_xlpm.dn+cfgRetestClassDays,nrCDnum,nrCDinsession,"No"),IF(OR(_xlpm.dd="",_xlpm.ok&lt;&gt;"Yes"),"(after last class day)",_xlpm.dd))))))</f>
        <v/>
      </c>
      <c r="U1102" s="17">
        <f>IF($C1102="","",IF(AND($Y1102="Excused",$L1102="",N($K1102)&lt;=1),"EXCUSED - 1st attempt pending",IF(OR($L1102="",$K1102&lt;&gt;1,NOT(ISNUMBER($L1102)),$L1102&gt;=$J1102),"",IF(COUNTIFS(nrES_PID,$D1102,nrES_Code,$F1102,nrES_Att,2,nrES_Raw,"&gt;=0")&gt;0,IF(IFERROR(_xlfn.MINIFS(nrES_Date,nrES_PID,$D1102,nrES_Code,$F1102,nrES_Att,2,nrES_Raw,"&gt;=0",nrES_Date,"&gt;0"),0)=0,"RETEST UNDATED",IF(NOT(ISNUMBER($T1102)),"RETEST DATE UNCHECKED",IF(_xlfn.MINIFS(nrES_Date,nrES_PID,$D1102,nrES_Code,$F1102,nrES_Att,2,nrES_Raw,"&gt;=0",nrES_Date,"&gt;0")&gt;$T1102,"LATE RETEST "&amp;TEXT(_xlfn.MINIFS(nrES_Date,nrES_PID,$D1102,nrES_Code,$F1102,nrES_Att,2,nrES_Raw,"&gt;=0",nrES_Date,"&gt;0"),"mm/dd")&amp;" (due "&amp;TEXT($T1102,"mm/dd")&amp;")","Retested"))),IF(NOT(ISNUMBER($T1102)),"CHECK DATE",IF(TODAY()&gt;$T1102,"OVERDUE","Due "&amp;TEXT($T1102,"mm/dd")))))))</f>
        <v/>
      </c>
      <c r="V1102" s="16" t="n"/>
      <c r="W1102" s="16" t="n"/>
      <c r="X1102" s="17">
        <f>IF($C1102="","",IF(AND($L1102&lt;&gt;"",NOT(ISNUMBER($L1102))),"RAW SCORE NOT A NUMBER",IF(AND(ISNUMBER($L1102),OR($L1102&lt;0,$L1102&gt;100)),"RAW SCORE OUT OF RANGE",IF(AND($Y1102="Unexcused",OR($L1102="",NOT(ISNUMBER($L1102)),$L1102&lt;&gt;0)),"UNEXCUSED ABSENCE MUST RECORD 0",IF(COUNTIF(nrES_RecID,$B1102)&gt;1,"DUPLICATE RECORD",IF(N($K1102)&gt;2,"ATTEMPT 3+ NOT ALLOWED - policy 300.5 permits one retest per exam; this row records nothing",IF(AND($K1102=2,COUNTIFS(nrES_PID,$D1102,nrES_Code,$F1102,nrES_Att,1)=0),"ATTEMPT 2 WITHOUT ATTEMPT 1",IF(AND($K1102=2,$L1102=""),"RETEST ROW HAS NO SCORE",IF(AND($H1102="Final",$L1102&lt;&gt;"",IFERROR(INDEX(nrCKfinalExamElig,MATCH($D1102,rngCadetPIDs,0)),"")="No"),"FINAL EXAM AFTER FAILED FINAL PT (500.1.H)",IF(AND($K1102=2,ISNUMBER($L1102),COUNTIFS(nrES_PID,$D1102,nrES_Code,$F1102,nrES_Att,1)&gt;0,SUMIFS(nrES_Raw,nrES_PID,$D1102,nrES_Code,$F1102,nrES_Att,1)&gt;=$J1102),"RETEST AFTER A PASSING FIRST ATTEMPT","OK"))))))))))</f>
        <v/>
      </c>
      <c r="Y1102" s="16" t="n"/>
    </row>
    <row r="1103">
      <c r="B1103" s="17">
        <f>IF($C1103="","",$D1103&amp;"-"&amp;$F1103&amp;"-"&amp;$K1103)</f>
        <v/>
      </c>
      <c r="C1103" s="16" t="n"/>
      <c r="D1103" s="17">
        <f>IF($C1103="","",IFERROR(INDEX(rngCadetPIDs,MATCH($C1103,rngCadetNames,0)),"?"))</f>
        <v/>
      </c>
      <c r="E1103" s="17">
        <f>IF($D1103="","",IFERROR(INDEX(nrCadetAgency,MATCH($D1103,rngCadetPIDs,0)),""))</f>
        <v/>
      </c>
      <c r="F1103" s="16" t="n"/>
      <c r="G1103" s="17">
        <f>IF($F1103="","",IFERROR(INDEX(rngEPname,MATCH($F1103,rngEPcode,0)),"?"))</f>
        <v/>
      </c>
      <c r="H1103" s="17">
        <f>IF($F1103="","",IFERROR(INDEX(rngEPtype,MATCH($F1103,rngEPcode,0)),"?"))</f>
        <v/>
      </c>
      <c r="I1103" s="17">
        <f>IF($F1103="","",IFERROR(INDEX(rngEPseq,MATCH($F1103,rngEPcode,0)),""))</f>
        <v/>
      </c>
      <c r="J1103" s="17">
        <f>IF($F1103="","",IFERROR(INDEX(rngEPpass,MATCH($F1103,rngEPcode,0)),cfgPassingScore))</f>
        <v/>
      </c>
      <c r="K1103" s="16" t="n"/>
      <c r="L1103" s="16" t="n"/>
      <c r="M1103" s="17">
        <f>IF($C1103="","",IF($L1103="","",IF(NOT(ISNUMBER($L1103)),$L1103,IF(N($K1103)&gt;2,"",IF($K1103=1,IF(COUNTIFS(nrES_PID,$D1103,nrES_Code,$F1103,nrES_Att,2,nrES_Raw,"&gt;=0")&gt;0,"",$L1103),IF($L1103&gt;=$J1103,MAX($J1103,cfgRetakeRecordedCap),IF(COUNTIFS(nrES_PID,$D1103,nrES_Code,$F1103,nrES_Att,1)=0,$L1103,SUMIFS(nrES_Raw,nrES_PID,$D1103,nrES_Code,$F1103,nrES_Att,1))))))))</f>
        <v/>
      </c>
      <c r="N1103" s="17">
        <f>IF($C1103="","",IF($L1103="","",IF(NOT(ISNUMBER($L1103)),"(not a score)",IF($L1103&gt;=$J1103,"Yes","No"))))</f>
        <v/>
      </c>
      <c r="O1103" s="17">
        <f>IF($C1103="","",IF($M1103="","",IF(NOT(ISNUMBER($M1103)),"(not a score)",IF($M1103&gt;=$J1103,"Yes","No"))))</f>
        <v/>
      </c>
      <c r="P1103" s="17">
        <f>IF($C1103="","",IF($K1103="","",IF(N($K1103)&gt;2,"No",IF(COUNTIFS(nrES_PID,$D1103,nrES_Code,$F1103,nrES_Att,"&gt;"&amp;$K1103,nrES_Att,"&lt;=2",nrES_Raw,"&gt;=0")=0,"Yes","No"))))</f>
        <v/>
      </c>
      <c r="Q1103" s="17">
        <f>IF($C1103="","",IF($L1103="","",IF(AND($K1103=1,ISNUMBER($L1103),$L1103&lt;$J1103,COUNTIFS(nrES_PID,$D1103,nrES_Code,$F1103,nrES_Att,2,nrES_Raw,"&gt;=0")=0),"Yes","No")))</f>
        <v/>
      </c>
      <c r="R1103" s="17">
        <f>IF($C1103="","",IF($L1103="","",IF(AND(N($K1103)&gt;=2,ISNUMBER($L1103),$L1103&lt;$J1103),"Yes","No")))</f>
        <v/>
      </c>
      <c r="S1103" s="18" t="n"/>
      <c r="T1103" s="19">
        <f>IF(OR($C1103="",$L1103="",$K1103&lt;&gt;1,NOT(ISNUMBER($L1103)),$L1103&gt;=$J1103),"",IF($S1103="","(enter date)",_xlfn.LET(_xlpm.dn,_xlfn.XLOOKUP($S1103,nrCDdate,nrCDnum,"",1),IF(_xlpm.dn="","(after last class day)",_xlfn.LET(_xlpm.dd,_xlfn.XLOOKUP(_xlpm.dn+cfgRetestClassDays,nrCDnum,nrCDdate,""),_xlpm.ok,_xlfn.XLOOKUP(_xlpm.dn+cfgRetestClassDays,nrCDnum,nrCDinsession,"No"),IF(OR(_xlpm.dd="",_xlpm.ok&lt;&gt;"Yes"),"(after last class day)",_xlpm.dd))))))</f>
        <v/>
      </c>
      <c r="U1103" s="17">
        <f>IF($C1103="","",IF(AND($Y1103="Excused",$L1103="",N($K1103)&lt;=1),"EXCUSED - 1st attempt pending",IF(OR($L1103="",$K1103&lt;&gt;1,NOT(ISNUMBER($L1103)),$L1103&gt;=$J1103),"",IF(COUNTIFS(nrES_PID,$D1103,nrES_Code,$F1103,nrES_Att,2,nrES_Raw,"&gt;=0")&gt;0,IF(IFERROR(_xlfn.MINIFS(nrES_Date,nrES_PID,$D1103,nrES_Code,$F1103,nrES_Att,2,nrES_Raw,"&gt;=0",nrES_Date,"&gt;0"),0)=0,"RETEST UNDATED",IF(NOT(ISNUMBER($T1103)),"RETEST DATE UNCHECKED",IF(_xlfn.MINIFS(nrES_Date,nrES_PID,$D1103,nrES_Code,$F1103,nrES_Att,2,nrES_Raw,"&gt;=0",nrES_Date,"&gt;0")&gt;$T1103,"LATE RETEST "&amp;TEXT(_xlfn.MINIFS(nrES_Date,nrES_PID,$D1103,nrES_Code,$F1103,nrES_Att,2,nrES_Raw,"&gt;=0",nrES_Date,"&gt;0"),"mm/dd")&amp;" (due "&amp;TEXT($T1103,"mm/dd")&amp;")","Retested"))),IF(NOT(ISNUMBER($T1103)),"CHECK DATE",IF(TODAY()&gt;$T1103,"OVERDUE","Due "&amp;TEXT($T1103,"mm/dd")))))))</f>
        <v/>
      </c>
      <c r="V1103" s="16" t="n"/>
      <c r="W1103" s="16" t="n"/>
      <c r="X1103" s="17">
        <f>IF($C1103="","",IF(AND($L1103&lt;&gt;"",NOT(ISNUMBER($L1103))),"RAW SCORE NOT A NUMBER",IF(AND(ISNUMBER($L1103),OR($L1103&lt;0,$L1103&gt;100)),"RAW SCORE OUT OF RANGE",IF(AND($Y1103="Unexcused",OR($L1103="",NOT(ISNUMBER($L1103)),$L1103&lt;&gt;0)),"UNEXCUSED ABSENCE MUST RECORD 0",IF(COUNTIF(nrES_RecID,$B1103)&gt;1,"DUPLICATE RECORD",IF(N($K1103)&gt;2,"ATTEMPT 3+ NOT ALLOWED - policy 300.5 permits one retest per exam; this row records nothing",IF(AND($K1103=2,COUNTIFS(nrES_PID,$D1103,nrES_Code,$F1103,nrES_Att,1)=0),"ATTEMPT 2 WITHOUT ATTEMPT 1",IF(AND($K1103=2,$L1103=""),"RETEST ROW HAS NO SCORE",IF(AND($H1103="Final",$L1103&lt;&gt;"",IFERROR(INDEX(nrCKfinalExamElig,MATCH($D1103,rngCadetPIDs,0)),"")="No"),"FINAL EXAM AFTER FAILED FINAL PT (500.1.H)",IF(AND($K1103=2,ISNUMBER($L1103),COUNTIFS(nrES_PID,$D1103,nrES_Code,$F1103,nrES_Att,1)&gt;0,SUMIFS(nrES_Raw,nrES_PID,$D1103,nrES_Code,$F1103,nrES_Att,1)&gt;=$J1103),"RETEST AFTER A PASSING FIRST ATTEMPT","OK"))))))))))</f>
        <v/>
      </c>
      <c r="Y1103" s="16" t="n"/>
    </row>
    <row r="1104">
      <c r="B1104" s="17">
        <f>IF($C1104="","",$D1104&amp;"-"&amp;$F1104&amp;"-"&amp;$K1104)</f>
        <v/>
      </c>
      <c r="C1104" s="16" t="n"/>
      <c r="D1104" s="17">
        <f>IF($C1104="","",IFERROR(INDEX(rngCadetPIDs,MATCH($C1104,rngCadetNames,0)),"?"))</f>
        <v/>
      </c>
      <c r="E1104" s="17">
        <f>IF($D1104="","",IFERROR(INDEX(nrCadetAgency,MATCH($D1104,rngCadetPIDs,0)),""))</f>
        <v/>
      </c>
      <c r="F1104" s="16" t="n"/>
      <c r="G1104" s="17">
        <f>IF($F1104="","",IFERROR(INDEX(rngEPname,MATCH($F1104,rngEPcode,0)),"?"))</f>
        <v/>
      </c>
      <c r="H1104" s="17">
        <f>IF($F1104="","",IFERROR(INDEX(rngEPtype,MATCH($F1104,rngEPcode,0)),"?"))</f>
        <v/>
      </c>
      <c r="I1104" s="17">
        <f>IF($F1104="","",IFERROR(INDEX(rngEPseq,MATCH($F1104,rngEPcode,0)),""))</f>
        <v/>
      </c>
      <c r="J1104" s="17">
        <f>IF($F1104="","",IFERROR(INDEX(rngEPpass,MATCH($F1104,rngEPcode,0)),cfgPassingScore))</f>
        <v/>
      </c>
      <c r="K1104" s="16" t="n"/>
      <c r="L1104" s="16" t="n"/>
      <c r="M1104" s="17">
        <f>IF($C1104="","",IF($L1104="","",IF(NOT(ISNUMBER($L1104)),$L1104,IF(N($K1104)&gt;2,"",IF($K1104=1,IF(COUNTIFS(nrES_PID,$D1104,nrES_Code,$F1104,nrES_Att,2,nrES_Raw,"&gt;=0")&gt;0,"",$L1104),IF($L1104&gt;=$J1104,MAX($J1104,cfgRetakeRecordedCap),IF(COUNTIFS(nrES_PID,$D1104,nrES_Code,$F1104,nrES_Att,1)=0,$L1104,SUMIFS(nrES_Raw,nrES_PID,$D1104,nrES_Code,$F1104,nrES_Att,1))))))))</f>
        <v/>
      </c>
      <c r="N1104" s="17">
        <f>IF($C1104="","",IF($L1104="","",IF(NOT(ISNUMBER($L1104)),"(not a score)",IF($L1104&gt;=$J1104,"Yes","No"))))</f>
        <v/>
      </c>
      <c r="O1104" s="17">
        <f>IF($C1104="","",IF($M1104="","",IF(NOT(ISNUMBER($M1104)),"(not a score)",IF($M1104&gt;=$J1104,"Yes","No"))))</f>
        <v/>
      </c>
      <c r="P1104" s="17">
        <f>IF($C1104="","",IF($K1104="","",IF(N($K1104)&gt;2,"No",IF(COUNTIFS(nrES_PID,$D1104,nrES_Code,$F1104,nrES_Att,"&gt;"&amp;$K1104,nrES_Att,"&lt;=2",nrES_Raw,"&gt;=0")=0,"Yes","No"))))</f>
        <v/>
      </c>
      <c r="Q1104" s="17">
        <f>IF($C1104="","",IF($L1104="","",IF(AND($K1104=1,ISNUMBER($L1104),$L1104&lt;$J1104,COUNTIFS(nrES_PID,$D1104,nrES_Code,$F1104,nrES_Att,2,nrES_Raw,"&gt;=0")=0),"Yes","No")))</f>
        <v/>
      </c>
      <c r="R1104" s="17">
        <f>IF($C1104="","",IF($L1104="","",IF(AND(N($K1104)&gt;=2,ISNUMBER($L1104),$L1104&lt;$J1104),"Yes","No")))</f>
        <v/>
      </c>
      <c r="S1104" s="18" t="n"/>
      <c r="T1104" s="19">
        <f>IF(OR($C1104="",$L1104="",$K1104&lt;&gt;1,NOT(ISNUMBER($L1104)),$L1104&gt;=$J1104),"",IF($S1104="","(enter date)",_xlfn.LET(_xlpm.dn,_xlfn.XLOOKUP($S1104,nrCDdate,nrCDnum,"",1),IF(_xlpm.dn="","(after last class day)",_xlfn.LET(_xlpm.dd,_xlfn.XLOOKUP(_xlpm.dn+cfgRetestClassDays,nrCDnum,nrCDdate,""),_xlpm.ok,_xlfn.XLOOKUP(_xlpm.dn+cfgRetestClassDays,nrCDnum,nrCDinsession,"No"),IF(OR(_xlpm.dd="",_xlpm.ok&lt;&gt;"Yes"),"(after last class day)",_xlpm.dd))))))</f>
        <v/>
      </c>
      <c r="U1104" s="17">
        <f>IF($C1104="","",IF(AND($Y1104="Excused",$L1104="",N($K1104)&lt;=1),"EXCUSED - 1st attempt pending",IF(OR($L1104="",$K1104&lt;&gt;1,NOT(ISNUMBER($L1104)),$L1104&gt;=$J1104),"",IF(COUNTIFS(nrES_PID,$D1104,nrES_Code,$F1104,nrES_Att,2,nrES_Raw,"&gt;=0")&gt;0,IF(IFERROR(_xlfn.MINIFS(nrES_Date,nrES_PID,$D1104,nrES_Code,$F1104,nrES_Att,2,nrES_Raw,"&gt;=0",nrES_Date,"&gt;0"),0)=0,"RETEST UNDATED",IF(NOT(ISNUMBER($T1104)),"RETEST DATE UNCHECKED",IF(_xlfn.MINIFS(nrES_Date,nrES_PID,$D1104,nrES_Code,$F1104,nrES_Att,2,nrES_Raw,"&gt;=0",nrES_Date,"&gt;0")&gt;$T1104,"LATE RETEST "&amp;TEXT(_xlfn.MINIFS(nrES_Date,nrES_PID,$D1104,nrES_Code,$F1104,nrES_Att,2,nrES_Raw,"&gt;=0",nrES_Date,"&gt;0"),"mm/dd")&amp;" (due "&amp;TEXT($T1104,"mm/dd")&amp;")","Retested"))),IF(NOT(ISNUMBER($T1104)),"CHECK DATE",IF(TODAY()&gt;$T1104,"OVERDUE","Due "&amp;TEXT($T1104,"mm/dd")))))))</f>
        <v/>
      </c>
      <c r="V1104" s="16" t="n"/>
      <c r="W1104" s="16" t="n"/>
      <c r="X1104" s="17">
        <f>IF($C1104="","",IF(AND($L1104&lt;&gt;"",NOT(ISNUMBER($L1104))),"RAW SCORE NOT A NUMBER",IF(AND(ISNUMBER($L1104),OR($L1104&lt;0,$L1104&gt;100)),"RAW SCORE OUT OF RANGE",IF(AND($Y1104="Unexcused",OR($L1104="",NOT(ISNUMBER($L1104)),$L1104&lt;&gt;0)),"UNEXCUSED ABSENCE MUST RECORD 0",IF(COUNTIF(nrES_RecID,$B1104)&gt;1,"DUPLICATE RECORD",IF(N($K1104)&gt;2,"ATTEMPT 3+ NOT ALLOWED - policy 300.5 permits one retest per exam; this row records nothing",IF(AND($K1104=2,COUNTIFS(nrES_PID,$D1104,nrES_Code,$F1104,nrES_Att,1)=0),"ATTEMPT 2 WITHOUT ATTEMPT 1",IF(AND($K1104=2,$L1104=""),"RETEST ROW HAS NO SCORE",IF(AND($H1104="Final",$L1104&lt;&gt;"",IFERROR(INDEX(nrCKfinalExamElig,MATCH($D1104,rngCadetPIDs,0)),"")="No"),"FINAL EXAM AFTER FAILED FINAL PT (500.1.H)",IF(AND($K1104=2,ISNUMBER($L1104),COUNTIFS(nrES_PID,$D1104,nrES_Code,$F1104,nrES_Att,1)&gt;0,SUMIFS(nrES_Raw,nrES_PID,$D1104,nrES_Code,$F1104,nrES_Att,1)&gt;=$J1104),"RETEST AFTER A PASSING FIRST ATTEMPT","OK"))))))))))</f>
        <v/>
      </c>
      <c r="Y1104" s="16" t="n"/>
    </row>
    <row r="1105">
      <c r="B1105" s="17">
        <f>IF($C1105="","",$D1105&amp;"-"&amp;$F1105&amp;"-"&amp;$K1105)</f>
        <v/>
      </c>
      <c r="C1105" s="16" t="n"/>
      <c r="D1105" s="17">
        <f>IF($C1105="","",IFERROR(INDEX(rngCadetPIDs,MATCH($C1105,rngCadetNames,0)),"?"))</f>
        <v/>
      </c>
      <c r="E1105" s="17">
        <f>IF($D1105="","",IFERROR(INDEX(nrCadetAgency,MATCH($D1105,rngCadetPIDs,0)),""))</f>
        <v/>
      </c>
      <c r="F1105" s="16" t="n"/>
      <c r="G1105" s="17">
        <f>IF($F1105="","",IFERROR(INDEX(rngEPname,MATCH($F1105,rngEPcode,0)),"?"))</f>
        <v/>
      </c>
      <c r="H1105" s="17">
        <f>IF($F1105="","",IFERROR(INDEX(rngEPtype,MATCH($F1105,rngEPcode,0)),"?"))</f>
        <v/>
      </c>
      <c r="I1105" s="17">
        <f>IF($F1105="","",IFERROR(INDEX(rngEPseq,MATCH($F1105,rngEPcode,0)),""))</f>
        <v/>
      </c>
      <c r="J1105" s="17">
        <f>IF($F1105="","",IFERROR(INDEX(rngEPpass,MATCH($F1105,rngEPcode,0)),cfgPassingScore))</f>
        <v/>
      </c>
      <c r="K1105" s="16" t="n"/>
      <c r="L1105" s="16" t="n"/>
      <c r="M1105" s="17">
        <f>IF($C1105="","",IF($L1105="","",IF(NOT(ISNUMBER($L1105)),$L1105,IF(N($K1105)&gt;2,"",IF($K1105=1,IF(COUNTIFS(nrES_PID,$D1105,nrES_Code,$F1105,nrES_Att,2,nrES_Raw,"&gt;=0")&gt;0,"",$L1105),IF($L1105&gt;=$J1105,MAX($J1105,cfgRetakeRecordedCap),IF(COUNTIFS(nrES_PID,$D1105,nrES_Code,$F1105,nrES_Att,1)=0,$L1105,SUMIFS(nrES_Raw,nrES_PID,$D1105,nrES_Code,$F1105,nrES_Att,1))))))))</f>
        <v/>
      </c>
      <c r="N1105" s="17">
        <f>IF($C1105="","",IF($L1105="","",IF(NOT(ISNUMBER($L1105)),"(not a score)",IF($L1105&gt;=$J1105,"Yes","No"))))</f>
        <v/>
      </c>
      <c r="O1105" s="17">
        <f>IF($C1105="","",IF($M1105="","",IF(NOT(ISNUMBER($M1105)),"(not a score)",IF($M1105&gt;=$J1105,"Yes","No"))))</f>
        <v/>
      </c>
      <c r="P1105" s="17">
        <f>IF($C1105="","",IF($K1105="","",IF(N($K1105)&gt;2,"No",IF(COUNTIFS(nrES_PID,$D1105,nrES_Code,$F1105,nrES_Att,"&gt;"&amp;$K1105,nrES_Att,"&lt;=2",nrES_Raw,"&gt;=0")=0,"Yes","No"))))</f>
        <v/>
      </c>
      <c r="Q1105" s="17">
        <f>IF($C1105="","",IF($L1105="","",IF(AND($K1105=1,ISNUMBER($L1105),$L1105&lt;$J1105,COUNTIFS(nrES_PID,$D1105,nrES_Code,$F1105,nrES_Att,2,nrES_Raw,"&gt;=0")=0),"Yes","No")))</f>
        <v/>
      </c>
      <c r="R1105" s="17">
        <f>IF($C1105="","",IF($L1105="","",IF(AND(N($K1105)&gt;=2,ISNUMBER($L1105),$L1105&lt;$J1105),"Yes","No")))</f>
        <v/>
      </c>
      <c r="S1105" s="18" t="n"/>
      <c r="T1105" s="19">
        <f>IF(OR($C1105="",$L1105="",$K1105&lt;&gt;1,NOT(ISNUMBER($L1105)),$L1105&gt;=$J1105),"",IF($S1105="","(enter date)",_xlfn.LET(_xlpm.dn,_xlfn.XLOOKUP($S1105,nrCDdate,nrCDnum,"",1),IF(_xlpm.dn="","(after last class day)",_xlfn.LET(_xlpm.dd,_xlfn.XLOOKUP(_xlpm.dn+cfgRetestClassDays,nrCDnum,nrCDdate,""),_xlpm.ok,_xlfn.XLOOKUP(_xlpm.dn+cfgRetestClassDays,nrCDnum,nrCDinsession,"No"),IF(OR(_xlpm.dd="",_xlpm.ok&lt;&gt;"Yes"),"(after last class day)",_xlpm.dd))))))</f>
        <v/>
      </c>
      <c r="U1105" s="17">
        <f>IF($C1105="","",IF(AND($Y1105="Excused",$L1105="",N($K1105)&lt;=1),"EXCUSED - 1st attempt pending",IF(OR($L1105="",$K1105&lt;&gt;1,NOT(ISNUMBER($L1105)),$L1105&gt;=$J1105),"",IF(COUNTIFS(nrES_PID,$D1105,nrES_Code,$F1105,nrES_Att,2,nrES_Raw,"&gt;=0")&gt;0,IF(IFERROR(_xlfn.MINIFS(nrES_Date,nrES_PID,$D1105,nrES_Code,$F1105,nrES_Att,2,nrES_Raw,"&gt;=0",nrES_Date,"&gt;0"),0)=0,"RETEST UNDATED",IF(NOT(ISNUMBER($T1105)),"RETEST DATE UNCHECKED",IF(_xlfn.MINIFS(nrES_Date,nrES_PID,$D1105,nrES_Code,$F1105,nrES_Att,2,nrES_Raw,"&gt;=0",nrES_Date,"&gt;0")&gt;$T1105,"LATE RETEST "&amp;TEXT(_xlfn.MINIFS(nrES_Date,nrES_PID,$D1105,nrES_Code,$F1105,nrES_Att,2,nrES_Raw,"&gt;=0",nrES_Date,"&gt;0"),"mm/dd")&amp;" (due "&amp;TEXT($T1105,"mm/dd")&amp;")","Retested"))),IF(NOT(ISNUMBER($T1105)),"CHECK DATE",IF(TODAY()&gt;$T1105,"OVERDUE","Due "&amp;TEXT($T1105,"mm/dd")))))))</f>
        <v/>
      </c>
      <c r="V1105" s="16" t="n"/>
      <c r="W1105" s="16" t="n"/>
      <c r="X1105" s="17">
        <f>IF($C1105="","",IF(AND($L1105&lt;&gt;"",NOT(ISNUMBER($L1105))),"RAW SCORE NOT A NUMBER",IF(AND(ISNUMBER($L1105),OR($L1105&lt;0,$L1105&gt;100)),"RAW SCORE OUT OF RANGE",IF(AND($Y1105="Unexcused",OR($L1105="",NOT(ISNUMBER($L1105)),$L1105&lt;&gt;0)),"UNEXCUSED ABSENCE MUST RECORD 0",IF(COUNTIF(nrES_RecID,$B1105)&gt;1,"DUPLICATE RECORD",IF(N($K1105)&gt;2,"ATTEMPT 3+ NOT ALLOWED - policy 300.5 permits one retest per exam; this row records nothing",IF(AND($K1105=2,COUNTIFS(nrES_PID,$D1105,nrES_Code,$F1105,nrES_Att,1)=0),"ATTEMPT 2 WITHOUT ATTEMPT 1",IF(AND($K1105=2,$L1105=""),"RETEST ROW HAS NO SCORE",IF(AND($H1105="Final",$L1105&lt;&gt;"",IFERROR(INDEX(nrCKfinalExamElig,MATCH($D1105,rngCadetPIDs,0)),"")="No"),"FINAL EXAM AFTER FAILED FINAL PT (500.1.H)",IF(AND($K1105=2,ISNUMBER($L1105),COUNTIFS(nrES_PID,$D1105,nrES_Code,$F1105,nrES_Att,1)&gt;0,SUMIFS(nrES_Raw,nrES_PID,$D1105,nrES_Code,$F1105,nrES_Att,1)&gt;=$J1105),"RETEST AFTER A PASSING FIRST ATTEMPT","OK"))))))))))</f>
        <v/>
      </c>
      <c r="Y1105" s="16" t="n"/>
    </row>
    <row r="1106">
      <c r="B1106" s="17">
        <f>IF($C1106="","",$D1106&amp;"-"&amp;$F1106&amp;"-"&amp;$K1106)</f>
        <v/>
      </c>
      <c r="C1106" s="16" t="n"/>
      <c r="D1106" s="17">
        <f>IF($C1106="","",IFERROR(INDEX(rngCadetPIDs,MATCH($C1106,rngCadetNames,0)),"?"))</f>
        <v/>
      </c>
      <c r="E1106" s="17">
        <f>IF($D1106="","",IFERROR(INDEX(nrCadetAgency,MATCH($D1106,rngCadetPIDs,0)),""))</f>
        <v/>
      </c>
      <c r="F1106" s="16" t="n"/>
      <c r="G1106" s="17">
        <f>IF($F1106="","",IFERROR(INDEX(rngEPname,MATCH($F1106,rngEPcode,0)),"?"))</f>
        <v/>
      </c>
      <c r="H1106" s="17">
        <f>IF($F1106="","",IFERROR(INDEX(rngEPtype,MATCH($F1106,rngEPcode,0)),"?"))</f>
        <v/>
      </c>
      <c r="I1106" s="17">
        <f>IF($F1106="","",IFERROR(INDEX(rngEPseq,MATCH($F1106,rngEPcode,0)),""))</f>
        <v/>
      </c>
      <c r="J1106" s="17">
        <f>IF($F1106="","",IFERROR(INDEX(rngEPpass,MATCH($F1106,rngEPcode,0)),cfgPassingScore))</f>
        <v/>
      </c>
      <c r="K1106" s="16" t="n"/>
      <c r="L1106" s="16" t="n"/>
      <c r="M1106" s="17">
        <f>IF($C1106="","",IF($L1106="","",IF(NOT(ISNUMBER($L1106)),$L1106,IF(N($K1106)&gt;2,"",IF($K1106=1,IF(COUNTIFS(nrES_PID,$D1106,nrES_Code,$F1106,nrES_Att,2,nrES_Raw,"&gt;=0")&gt;0,"",$L1106),IF($L1106&gt;=$J1106,MAX($J1106,cfgRetakeRecordedCap),IF(COUNTIFS(nrES_PID,$D1106,nrES_Code,$F1106,nrES_Att,1)=0,$L1106,SUMIFS(nrES_Raw,nrES_PID,$D1106,nrES_Code,$F1106,nrES_Att,1))))))))</f>
        <v/>
      </c>
      <c r="N1106" s="17">
        <f>IF($C1106="","",IF($L1106="","",IF(NOT(ISNUMBER($L1106)),"(not a score)",IF($L1106&gt;=$J1106,"Yes","No"))))</f>
        <v/>
      </c>
      <c r="O1106" s="17">
        <f>IF($C1106="","",IF($M1106="","",IF(NOT(ISNUMBER($M1106)),"(not a score)",IF($M1106&gt;=$J1106,"Yes","No"))))</f>
        <v/>
      </c>
      <c r="P1106" s="17">
        <f>IF($C1106="","",IF($K1106="","",IF(N($K1106)&gt;2,"No",IF(COUNTIFS(nrES_PID,$D1106,nrES_Code,$F1106,nrES_Att,"&gt;"&amp;$K1106,nrES_Att,"&lt;=2",nrES_Raw,"&gt;=0")=0,"Yes","No"))))</f>
        <v/>
      </c>
      <c r="Q1106" s="17">
        <f>IF($C1106="","",IF($L1106="","",IF(AND($K1106=1,ISNUMBER($L1106),$L1106&lt;$J1106,COUNTIFS(nrES_PID,$D1106,nrES_Code,$F1106,nrES_Att,2,nrES_Raw,"&gt;=0")=0),"Yes","No")))</f>
        <v/>
      </c>
      <c r="R1106" s="17">
        <f>IF($C1106="","",IF($L1106="","",IF(AND(N($K1106)&gt;=2,ISNUMBER($L1106),$L1106&lt;$J1106),"Yes","No")))</f>
        <v/>
      </c>
      <c r="S1106" s="18" t="n"/>
      <c r="T1106" s="19">
        <f>IF(OR($C1106="",$L1106="",$K1106&lt;&gt;1,NOT(ISNUMBER($L1106)),$L1106&gt;=$J1106),"",IF($S1106="","(enter date)",_xlfn.LET(_xlpm.dn,_xlfn.XLOOKUP($S1106,nrCDdate,nrCDnum,"",1),IF(_xlpm.dn="","(after last class day)",_xlfn.LET(_xlpm.dd,_xlfn.XLOOKUP(_xlpm.dn+cfgRetestClassDays,nrCDnum,nrCDdate,""),_xlpm.ok,_xlfn.XLOOKUP(_xlpm.dn+cfgRetestClassDays,nrCDnum,nrCDinsession,"No"),IF(OR(_xlpm.dd="",_xlpm.ok&lt;&gt;"Yes"),"(after last class day)",_xlpm.dd))))))</f>
        <v/>
      </c>
      <c r="U1106" s="17">
        <f>IF($C1106="","",IF(AND($Y1106="Excused",$L1106="",N($K1106)&lt;=1),"EXCUSED - 1st attempt pending",IF(OR($L1106="",$K1106&lt;&gt;1,NOT(ISNUMBER($L1106)),$L1106&gt;=$J1106),"",IF(COUNTIFS(nrES_PID,$D1106,nrES_Code,$F1106,nrES_Att,2,nrES_Raw,"&gt;=0")&gt;0,IF(IFERROR(_xlfn.MINIFS(nrES_Date,nrES_PID,$D1106,nrES_Code,$F1106,nrES_Att,2,nrES_Raw,"&gt;=0",nrES_Date,"&gt;0"),0)=0,"RETEST UNDATED",IF(NOT(ISNUMBER($T1106)),"RETEST DATE UNCHECKED",IF(_xlfn.MINIFS(nrES_Date,nrES_PID,$D1106,nrES_Code,$F1106,nrES_Att,2,nrES_Raw,"&gt;=0",nrES_Date,"&gt;0")&gt;$T1106,"LATE RETEST "&amp;TEXT(_xlfn.MINIFS(nrES_Date,nrES_PID,$D1106,nrES_Code,$F1106,nrES_Att,2,nrES_Raw,"&gt;=0",nrES_Date,"&gt;0"),"mm/dd")&amp;" (due "&amp;TEXT($T1106,"mm/dd")&amp;")","Retested"))),IF(NOT(ISNUMBER($T1106)),"CHECK DATE",IF(TODAY()&gt;$T1106,"OVERDUE","Due "&amp;TEXT($T1106,"mm/dd")))))))</f>
        <v/>
      </c>
      <c r="V1106" s="16" t="n"/>
      <c r="W1106" s="16" t="n"/>
      <c r="X1106" s="17">
        <f>IF($C1106="","",IF(AND($L1106&lt;&gt;"",NOT(ISNUMBER($L1106))),"RAW SCORE NOT A NUMBER",IF(AND(ISNUMBER($L1106),OR($L1106&lt;0,$L1106&gt;100)),"RAW SCORE OUT OF RANGE",IF(AND($Y1106="Unexcused",OR($L1106="",NOT(ISNUMBER($L1106)),$L1106&lt;&gt;0)),"UNEXCUSED ABSENCE MUST RECORD 0",IF(COUNTIF(nrES_RecID,$B1106)&gt;1,"DUPLICATE RECORD",IF(N($K1106)&gt;2,"ATTEMPT 3+ NOT ALLOWED - policy 300.5 permits one retest per exam; this row records nothing",IF(AND($K1106=2,COUNTIFS(nrES_PID,$D1106,nrES_Code,$F1106,nrES_Att,1)=0),"ATTEMPT 2 WITHOUT ATTEMPT 1",IF(AND($K1106=2,$L1106=""),"RETEST ROW HAS NO SCORE",IF(AND($H1106="Final",$L1106&lt;&gt;"",IFERROR(INDEX(nrCKfinalExamElig,MATCH($D1106,rngCadetPIDs,0)),"")="No"),"FINAL EXAM AFTER FAILED FINAL PT (500.1.H)",IF(AND($K1106=2,ISNUMBER($L1106),COUNTIFS(nrES_PID,$D1106,nrES_Code,$F1106,nrES_Att,1)&gt;0,SUMIFS(nrES_Raw,nrES_PID,$D1106,nrES_Code,$F1106,nrES_Att,1)&gt;=$J1106),"RETEST AFTER A PASSING FIRST ATTEMPT","OK"))))))))))</f>
        <v/>
      </c>
      <c r="Y1106" s="16" t="n"/>
    </row>
    <row r="1107">
      <c r="B1107" s="17">
        <f>IF($C1107="","",$D1107&amp;"-"&amp;$F1107&amp;"-"&amp;$K1107)</f>
        <v/>
      </c>
      <c r="C1107" s="16" t="n"/>
      <c r="D1107" s="17">
        <f>IF($C1107="","",IFERROR(INDEX(rngCadetPIDs,MATCH($C1107,rngCadetNames,0)),"?"))</f>
        <v/>
      </c>
      <c r="E1107" s="17">
        <f>IF($D1107="","",IFERROR(INDEX(nrCadetAgency,MATCH($D1107,rngCadetPIDs,0)),""))</f>
        <v/>
      </c>
      <c r="F1107" s="16" t="n"/>
      <c r="G1107" s="17">
        <f>IF($F1107="","",IFERROR(INDEX(rngEPname,MATCH($F1107,rngEPcode,0)),"?"))</f>
        <v/>
      </c>
      <c r="H1107" s="17">
        <f>IF($F1107="","",IFERROR(INDEX(rngEPtype,MATCH($F1107,rngEPcode,0)),"?"))</f>
        <v/>
      </c>
      <c r="I1107" s="17">
        <f>IF($F1107="","",IFERROR(INDEX(rngEPseq,MATCH($F1107,rngEPcode,0)),""))</f>
        <v/>
      </c>
      <c r="J1107" s="17">
        <f>IF($F1107="","",IFERROR(INDEX(rngEPpass,MATCH($F1107,rngEPcode,0)),cfgPassingScore))</f>
        <v/>
      </c>
      <c r="K1107" s="16" t="n"/>
      <c r="L1107" s="16" t="n"/>
      <c r="M1107" s="17">
        <f>IF($C1107="","",IF($L1107="","",IF(NOT(ISNUMBER($L1107)),$L1107,IF(N($K1107)&gt;2,"",IF($K1107=1,IF(COUNTIFS(nrES_PID,$D1107,nrES_Code,$F1107,nrES_Att,2,nrES_Raw,"&gt;=0")&gt;0,"",$L1107),IF($L1107&gt;=$J1107,MAX($J1107,cfgRetakeRecordedCap),IF(COUNTIFS(nrES_PID,$D1107,nrES_Code,$F1107,nrES_Att,1)=0,$L1107,SUMIFS(nrES_Raw,nrES_PID,$D1107,nrES_Code,$F1107,nrES_Att,1))))))))</f>
        <v/>
      </c>
      <c r="N1107" s="17">
        <f>IF($C1107="","",IF($L1107="","",IF(NOT(ISNUMBER($L1107)),"(not a score)",IF($L1107&gt;=$J1107,"Yes","No"))))</f>
        <v/>
      </c>
      <c r="O1107" s="17">
        <f>IF($C1107="","",IF($M1107="","",IF(NOT(ISNUMBER($M1107)),"(not a score)",IF($M1107&gt;=$J1107,"Yes","No"))))</f>
        <v/>
      </c>
      <c r="P1107" s="17">
        <f>IF($C1107="","",IF($K1107="","",IF(N($K1107)&gt;2,"No",IF(COUNTIFS(nrES_PID,$D1107,nrES_Code,$F1107,nrES_Att,"&gt;"&amp;$K1107,nrES_Att,"&lt;=2",nrES_Raw,"&gt;=0")=0,"Yes","No"))))</f>
        <v/>
      </c>
      <c r="Q1107" s="17">
        <f>IF($C1107="","",IF($L1107="","",IF(AND($K1107=1,ISNUMBER($L1107),$L1107&lt;$J1107,COUNTIFS(nrES_PID,$D1107,nrES_Code,$F1107,nrES_Att,2,nrES_Raw,"&gt;=0")=0),"Yes","No")))</f>
        <v/>
      </c>
      <c r="R1107" s="17">
        <f>IF($C1107="","",IF($L1107="","",IF(AND(N($K1107)&gt;=2,ISNUMBER($L1107),$L1107&lt;$J1107),"Yes","No")))</f>
        <v/>
      </c>
      <c r="S1107" s="18" t="n"/>
      <c r="T1107" s="19">
        <f>IF(OR($C1107="",$L1107="",$K1107&lt;&gt;1,NOT(ISNUMBER($L1107)),$L1107&gt;=$J1107),"",IF($S1107="","(enter date)",_xlfn.LET(_xlpm.dn,_xlfn.XLOOKUP($S1107,nrCDdate,nrCDnum,"",1),IF(_xlpm.dn="","(after last class day)",_xlfn.LET(_xlpm.dd,_xlfn.XLOOKUP(_xlpm.dn+cfgRetestClassDays,nrCDnum,nrCDdate,""),_xlpm.ok,_xlfn.XLOOKUP(_xlpm.dn+cfgRetestClassDays,nrCDnum,nrCDinsession,"No"),IF(OR(_xlpm.dd="",_xlpm.ok&lt;&gt;"Yes"),"(after last class day)",_xlpm.dd))))))</f>
        <v/>
      </c>
      <c r="U1107" s="17">
        <f>IF($C1107="","",IF(AND($Y1107="Excused",$L1107="",N($K1107)&lt;=1),"EXCUSED - 1st attempt pending",IF(OR($L1107="",$K1107&lt;&gt;1,NOT(ISNUMBER($L1107)),$L1107&gt;=$J1107),"",IF(COUNTIFS(nrES_PID,$D1107,nrES_Code,$F1107,nrES_Att,2,nrES_Raw,"&gt;=0")&gt;0,IF(IFERROR(_xlfn.MINIFS(nrES_Date,nrES_PID,$D1107,nrES_Code,$F1107,nrES_Att,2,nrES_Raw,"&gt;=0",nrES_Date,"&gt;0"),0)=0,"RETEST UNDATED",IF(NOT(ISNUMBER($T1107)),"RETEST DATE UNCHECKED",IF(_xlfn.MINIFS(nrES_Date,nrES_PID,$D1107,nrES_Code,$F1107,nrES_Att,2,nrES_Raw,"&gt;=0",nrES_Date,"&gt;0")&gt;$T1107,"LATE RETEST "&amp;TEXT(_xlfn.MINIFS(nrES_Date,nrES_PID,$D1107,nrES_Code,$F1107,nrES_Att,2,nrES_Raw,"&gt;=0",nrES_Date,"&gt;0"),"mm/dd")&amp;" (due "&amp;TEXT($T1107,"mm/dd")&amp;")","Retested"))),IF(NOT(ISNUMBER($T1107)),"CHECK DATE",IF(TODAY()&gt;$T1107,"OVERDUE","Due "&amp;TEXT($T1107,"mm/dd")))))))</f>
        <v/>
      </c>
      <c r="V1107" s="16" t="n"/>
      <c r="W1107" s="16" t="n"/>
      <c r="X1107" s="17">
        <f>IF($C1107="","",IF(AND($L1107&lt;&gt;"",NOT(ISNUMBER($L1107))),"RAW SCORE NOT A NUMBER",IF(AND(ISNUMBER($L1107),OR($L1107&lt;0,$L1107&gt;100)),"RAW SCORE OUT OF RANGE",IF(AND($Y1107="Unexcused",OR($L1107="",NOT(ISNUMBER($L1107)),$L1107&lt;&gt;0)),"UNEXCUSED ABSENCE MUST RECORD 0",IF(COUNTIF(nrES_RecID,$B1107)&gt;1,"DUPLICATE RECORD",IF(N($K1107)&gt;2,"ATTEMPT 3+ NOT ALLOWED - policy 300.5 permits one retest per exam; this row records nothing",IF(AND($K1107=2,COUNTIFS(nrES_PID,$D1107,nrES_Code,$F1107,nrES_Att,1)=0),"ATTEMPT 2 WITHOUT ATTEMPT 1",IF(AND($K1107=2,$L1107=""),"RETEST ROW HAS NO SCORE",IF(AND($H1107="Final",$L1107&lt;&gt;"",IFERROR(INDEX(nrCKfinalExamElig,MATCH($D1107,rngCadetPIDs,0)),"")="No"),"FINAL EXAM AFTER FAILED FINAL PT (500.1.H)",IF(AND($K1107=2,ISNUMBER($L1107),COUNTIFS(nrES_PID,$D1107,nrES_Code,$F1107,nrES_Att,1)&gt;0,SUMIFS(nrES_Raw,nrES_PID,$D1107,nrES_Code,$F1107,nrES_Att,1)&gt;=$J1107),"RETEST AFTER A PASSING FIRST ATTEMPT","OK"))))))))))</f>
        <v/>
      </c>
      <c r="Y1107" s="16" t="n"/>
    </row>
    <row r="1108">
      <c r="B1108" s="17">
        <f>IF($C1108="","",$D1108&amp;"-"&amp;$F1108&amp;"-"&amp;$K1108)</f>
        <v/>
      </c>
      <c r="C1108" s="16" t="n"/>
      <c r="D1108" s="17">
        <f>IF($C1108="","",IFERROR(INDEX(rngCadetPIDs,MATCH($C1108,rngCadetNames,0)),"?"))</f>
        <v/>
      </c>
      <c r="E1108" s="17">
        <f>IF($D1108="","",IFERROR(INDEX(nrCadetAgency,MATCH($D1108,rngCadetPIDs,0)),""))</f>
        <v/>
      </c>
      <c r="F1108" s="16" t="n"/>
      <c r="G1108" s="17">
        <f>IF($F1108="","",IFERROR(INDEX(rngEPname,MATCH($F1108,rngEPcode,0)),"?"))</f>
        <v/>
      </c>
      <c r="H1108" s="17">
        <f>IF($F1108="","",IFERROR(INDEX(rngEPtype,MATCH($F1108,rngEPcode,0)),"?"))</f>
        <v/>
      </c>
      <c r="I1108" s="17">
        <f>IF($F1108="","",IFERROR(INDEX(rngEPseq,MATCH($F1108,rngEPcode,0)),""))</f>
        <v/>
      </c>
      <c r="J1108" s="17">
        <f>IF($F1108="","",IFERROR(INDEX(rngEPpass,MATCH($F1108,rngEPcode,0)),cfgPassingScore))</f>
        <v/>
      </c>
      <c r="K1108" s="16" t="n"/>
      <c r="L1108" s="16" t="n"/>
      <c r="M1108" s="17">
        <f>IF($C1108="","",IF($L1108="","",IF(NOT(ISNUMBER($L1108)),$L1108,IF(N($K1108)&gt;2,"",IF($K1108=1,IF(COUNTIFS(nrES_PID,$D1108,nrES_Code,$F1108,nrES_Att,2,nrES_Raw,"&gt;=0")&gt;0,"",$L1108),IF($L1108&gt;=$J1108,MAX($J1108,cfgRetakeRecordedCap),IF(COUNTIFS(nrES_PID,$D1108,nrES_Code,$F1108,nrES_Att,1)=0,$L1108,SUMIFS(nrES_Raw,nrES_PID,$D1108,nrES_Code,$F1108,nrES_Att,1))))))))</f>
        <v/>
      </c>
      <c r="N1108" s="17">
        <f>IF($C1108="","",IF($L1108="","",IF(NOT(ISNUMBER($L1108)),"(not a score)",IF($L1108&gt;=$J1108,"Yes","No"))))</f>
        <v/>
      </c>
      <c r="O1108" s="17">
        <f>IF($C1108="","",IF($M1108="","",IF(NOT(ISNUMBER($M1108)),"(not a score)",IF($M1108&gt;=$J1108,"Yes","No"))))</f>
        <v/>
      </c>
      <c r="P1108" s="17">
        <f>IF($C1108="","",IF($K1108="","",IF(N($K1108)&gt;2,"No",IF(COUNTIFS(nrES_PID,$D1108,nrES_Code,$F1108,nrES_Att,"&gt;"&amp;$K1108,nrES_Att,"&lt;=2",nrES_Raw,"&gt;=0")=0,"Yes","No"))))</f>
        <v/>
      </c>
      <c r="Q1108" s="17">
        <f>IF($C1108="","",IF($L1108="","",IF(AND($K1108=1,ISNUMBER($L1108),$L1108&lt;$J1108,COUNTIFS(nrES_PID,$D1108,nrES_Code,$F1108,nrES_Att,2,nrES_Raw,"&gt;=0")=0),"Yes","No")))</f>
        <v/>
      </c>
      <c r="R1108" s="17">
        <f>IF($C1108="","",IF($L1108="","",IF(AND(N($K1108)&gt;=2,ISNUMBER($L1108),$L1108&lt;$J1108),"Yes","No")))</f>
        <v/>
      </c>
      <c r="S1108" s="18" t="n"/>
      <c r="T1108" s="19">
        <f>IF(OR($C1108="",$L1108="",$K1108&lt;&gt;1,NOT(ISNUMBER($L1108)),$L1108&gt;=$J1108),"",IF($S1108="","(enter date)",_xlfn.LET(_xlpm.dn,_xlfn.XLOOKUP($S1108,nrCDdate,nrCDnum,"",1),IF(_xlpm.dn="","(after last class day)",_xlfn.LET(_xlpm.dd,_xlfn.XLOOKUP(_xlpm.dn+cfgRetestClassDays,nrCDnum,nrCDdate,""),_xlpm.ok,_xlfn.XLOOKUP(_xlpm.dn+cfgRetestClassDays,nrCDnum,nrCDinsession,"No"),IF(OR(_xlpm.dd="",_xlpm.ok&lt;&gt;"Yes"),"(after last class day)",_xlpm.dd))))))</f>
        <v/>
      </c>
      <c r="U1108" s="17">
        <f>IF($C1108="","",IF(AND($Y1108="Excused",$L1108="",N($K1108)&lt;=1),"EXCUSED - 1st attempt pending",IF(OR($L1108="",$K1108&lt;&gt;1,NOT(ISNUMBER($L1108)),$L1108&gt;=$J1108),"",IF(COUNTIFS(nrES_PID,$D1108,nrES_Code,$F1108,nrES_Att,2,nrES_Raw,"&gt;=0")&gt;0,IF(IFERROR(_xlfn.MINIFS(nrES_Date,nrES_PID,$D1108,nrES_Code,$F1108,nrES_Att,2,nrES_Raw,"&gt;=0",nrES_Date,"&gt;0"),0)=0,"RETEST UNDATED",IF(NOT(ISNUMBER($T1108)),"RETEST DATE UNCHECKED",IF(_xlfn.MINIFS(nrES_Date,nrES_PID,$D1108,nrES_Code,$F1108,nrES_Att,2,nrES_Raw,"&gt;=0",nrES_Date,"&gt;0")&gt;$T1108,"LATE RETEST "&amp;TEXT(_xlfn.MINIFS(nrES_Date,nrES_PID,$D1108,nrES_Code,$F1108,nrES_Att,2,nrES_Raw,"&gt;=0",nrES_Date,"&gt;0"),"mm/dd")&amp;" (due "&amp;TEXT($T1108,"mm/dd")&amp;")","Retested"))),IF(NOT(ISNUMBER($T1108)),"CHECK DATE",IF(TODAY()&gt;$T1108,"OVERDUE","Due "&amp;TEXT($T1108,"mm/dd")))))))</f>
        <v/>
      </c>
      <c r="V1108" s="16" t="n"/>
      <c r="W1108" s="16" t="n"/>
      <c r="X1108" s="17">
        <f>IF($C1108="","",IF(AND($L1108&lt;&gt;"",NOT(ISNUMBER($L1108))),"RAW SCORE NOT A NUMBER",IF(AND(ISNUMBER($L1108),OR($L1108&lt;0,$L1108&gt;100)),"RAW SCORE OUT OF RANGE",IF(AND($Y1108="Unexcused",OR($L1108="",NOT(ISNUMBER($L1108)),$L1108&lt;&gt;0)),"UNEXCUSED ABSENCE MUST RECORD 0",IF(COUNTIF(nrES_RecID,$B1108)&gt;1,"DUPLICATE RECORD",IF(N($K1108)&gt;2,"ATTEMPT 3+ NOT ALLOWED - policy 300.5 permits one retest per exam; this row records nothing",IF(AND($K1108=2,COUNTIFS(nrES_PID,$D1108,nrES_Code,$F1108,nrES_Att,1)=0),"ATTEMPT 2 WITHOUT ATTEMPT 1",IF(AND($K1108=2,$L1108=""),"RETEST ROW HAS NO SCORE",IF(AND($H1108="Final",$L1108&lt;&gt;"",IFERROR(INDEX(nrCKfinalExamElig,MATCH($D1108,rngCadetPIDs,0)),"")="No"),"FINAL EXAM AFTER FAILED FINAL PT (500.1.H)",IF(AND($K1108=2,ISNUMBER($L1108),COUNTIFS(nrES_PID,$D1108,nrES_Code,$F1108,nrES_Att,1)&gt;0,SUMIFS(nrES_Raw,nrES_PID,$D1108,nrES_Code,$F1108,nrES_Att,1)&gt;=$J1108),"RETEST AFTER A PASSING FIRST ATTEMPT","OK"))))))))))</f>
        <v/>
      </c>
      <c r="Y1108" s="16" t="n"/>
    </row>
    <row r="1109">
      <c r="B1109" s="17">
        <f>IF($C1109="","",$D1109&amp;"-"&amp;$F1109&amp;"-"&amp;$K1109)</f>
        <v/>
      </c>
      <c r="C1109" s="16" t="n"/>
      <c r="D1109" s="17">
        <f>IF($C1109="","",IFERROR(INDEX(rngCadetPIDs,MATCH($C1109,rngCadetNames,0)),"?"))</f>
        <v/>
      </c>
      <c r="E1109" s="17">
        <f>IF($D1109="","",IFERROR(INDEX(nrCadetAgency,MATCH($D1109,rngCadetPIDs,0)),""))</f>
        <v/>
      </c>
      <c r="F1109" s="16" t="n"/>
      <c r="G1109" s="17">
        <f>IF($F1109="","",IFERROR(INDEX(rngEPname,MATCH($F1109,rngEPcode,0)),"?"))</f>
        <v/>
      </c>
      <c r="H1109" s="17">
        <f>IF($F1109="","",IFERROR(INDEX(rngEPtype,MATCH($F1109,rngEPcode,0)),"?"))</f>
        <v/>
      </c>
      <c r="I1109" s="17">
        <f>IF($F1109="","",IFERROR(INDEX(rngEPseq,MATCH($F1109,rngEPcode,0)),""))</f>
        <v/>
      </c>
      <c r="J1109" s="17">
        <f>IF($F1109="","",IFERROR(INDEX(rngEPpass,MATCH($F1109,rngEPcode,0)),cfgPassingScore))</f>
        <v/>
      </c>
      <c r="K1109" s="16" t="n"/>
      <c r="L1109" s="16" t="n"/>
      <c r="M1109" s="17">
        <f>IF($C1109="","",IF($L1109="","",IF(NOT(ISNUMBER($L1109)),$L1109,IF(N($K1109)&gt;2,"",IF($K1109=1,IF(COUNTIFS(nrES_PID,$D1109,nrES_Code,$F1109,nrES_Att,2,nrES_Raw,"&gt;=0")&gt;0,"",$L1109),IF($L1109&gt;=$J1109,MAX($J1109,cfgRetakeRecordedCap),IF(COUNTIFS(nrES_PID,$D1109,nrES_Code,$F1109,nrES_Att,1)=0,$L1109,SUMIFS(nrES_Raw,nrES_PID,$D1109,nrES_Code,$F1109,nrES_Att,1))))))))</f>
        <v/>
      </c>
      <c r="N1109" s="17">
        <f>IF($C1109="","",IF($L1109="","",IF(NOT(ISNUMBER($L1109)),"(not a score)",IF($L1109&gt;=$J1109,"Yes","No"))))</f>
        <v/>
      </c>
      <c r="O1109" s="17">
        <f>IF($C1109="","",IF($M1109="","",IF(NOT(ISNUMBER($M1109)),"(not a score)",IF($M1109&gt;=$J1109,"Yes","No"))))</f>
        <v/>
      </c>
      <c r="P1109" s="17">
        <f>IF($C1109="","",IF($K1109="","",IF(N($K1109)&gt;2,"No",IF(COUNTIFS(nrES_PID,$D1109,nrES_Code,$F1109,nrES_Att,"&gt;"&amp;$K1109,nrES_Att,"&lt;=2",nrES_Raw,"&gt;=0")=0,"Yes","No"))))</f>
        <v/>
      </c>
      <c r="Q1109" s="17">
        <f>IF($C1109="","",IF($L1109="","",IF(AND($K1109=1,ISNUMBER($L1109),$L1109&lt;$J1109,COUNTIFS(nrES_PID,$D1109,nrES_Code,$F1109,nrES_Att,2,nrES_Raw,"&gt;=0")=0),"Yes","No")))</f>
        <v/>
      </c>
      <c r="R1109" s="17">
        <f>IF($C1109="","",IF($L1109="","",IF(AND(N($K1109)&gt;=2,ISNUMBER($L1109),$L1109&lt;$J1109),"Yes","No")))</f>
        <v/>
      </c>
      <c r="S1109" s="18" t="n"/>
      <c r="T1109" s="19">
        <f>IF(OR($C1109="",$L1109="",$K1109&lt;&gt;1,NOT(ISNUMBER($L1109)),$L1109&gt;=$J1109),"",IF($S1109="","(enter date)",_xlfn.LET(_xlpm.dn,_xlfn.XLOOKUP($S1109,nrCDdate,nrCDnum,"",1),IF(_xlpm.dn="","(after last class day)",_xlfn.LET(_xlpm.dd,_xlfn.XLOOKUP(_xlpm.dn+cfgRetestClassDays,nrCDnum,nrCDdate,""),_xlpm.ok,_xlfn.XLOOKUP(_xlpm.dn+cfgRetestClassDays,nrCDnum,nrCDinsession,"No"),IF(OR(_xlpm.dd="",_xlpm.ok&lt;&gt;"Yes"),"(after last class day)",_xlpm.dd))))))</f>
        <v/>
      </c>
      <c r="U1109" s="17">
        <f>IF($C1109="","",IF(AND($Y1109="Excused",$L1109="",N($K1109)&lt;=1),"EXCUSED - 1st attempt pending",IF(OR($L1109="",$K1109&lt;&gt;1,NOT(ISNUMBER($L1109)),$L1109&gt;=$J1109),"",IF(COUNTIFS(nrES_PID,$D1109,nrES_Code,$F1109,nrES_Att,2,nrES_Raw,"&gt;=0")&gt;0,IF(IFERROR(_xlfn.MINIFS(nrES_Date,nrES_PID,$D1109,nrES_Code,$F1109,nrES_Att,2,nrES_Raw,"&gt;=0",nrES_Date,"&gt;0"),0)=0,"RETEST UNDATED",IF(NOT(ISNUMBER($T1109)),"RETEST DATE UNCHECKED",IF(_xlfn.MINIFS(nrES_Date,nrES_PID,$D1109,nrES_Code,$F1109,nrES_Att,2,nrES_Raw,"&gt;=0",nrES_Date,"&gt;0")&gt;$T1109,"LATE RETEST "&amp;TEXT(_xlfn.MINIFS(nrES_Date,nrES_PID,$D1109,nrES_Code,$F1109,nrES_Att,2,nrES_Raw,"&gt;=0",nrES_Date,"&gt;0"),"mm/dd")&amp;" (due "&amp;TEXT($T1109,"mm/dd")&amp;")","Retested"))),IF(NOT(ISNUMBER($T1109)),"CHECK DATE",IF(TODAY()&gt;$T1109,"OVERDUE","Due "&amp;TEXT($T1109,"mm/dd")))))))</f>
        <v/>
      </c>
      <c r="V1109" s="16" t="n"/>
      <c r="W1109" s="16" t="n"/>
      <c r="X1109" s="17">
        <f>IF($C1109="","",IF(AND($L1109&lt;&gt;"",NOT(ISNUMBER($L1109))),"RAW SCORE NOT A NUMBER",IF(AND(ISNUMBER($L1109),OR($L1109&lt;0,$L1109&gt;100)),"RAW SCORE OUT OF RANGE",IF(AND($Y1109="Unexcused",OR($L1109="",NOT(ISNUMBER($L1109)),$L1109&lt;&gt;0)),"UNEXCUSED ABSENCE MUST RECORD 0",IF(COUNTIF(nrES_RecID,$B1109)&gt;1,"DUPLICATE RECORD",IF(N($K1109)&gt;2,"ATTEMPT 3+ NOT ALLOWED - policy 300.5 permits one retest per exam; this row records nothing",IF(AND($K1109=2,COUNTIFS(nrES_PID,$D1109,nrES_Code,$F1109,nrES_Att,1)=0),"ATTEMPT 2 WITHOUT ATTEMPT 1",IF(AND($K1109=2,$L1109=""),"RETEST ROW HAS NO SCORE",IF(AND($H1109="Final",$L1109&lt;&gt;"",IFERROR(INDEX(nrCKfinalExamElig,MATCH($D1109,rngCadetPIDs,0)),"")="No"),"FINAL EXAM AFTER FAILED FINAL PT (500.1.H)",IF(AND($K1109=2,ISNUMBER($L1109),COUNTIFS(nrES_PID,$D1109,nrES_Code,$F1109,nrES_Att,1)&gt;0,SUMIFS(nrES_Raw,nrES_PID,$D1109,nrES_Code,$F1109,nrES_Att,1)&gt;=$J1109),"RETEST AFTER A PASSING FIRST ATTEMPT","OK"))))))))))</f>
        <v/>
      </c>
      <c r="Y1109" s="16" t="n"/>
    </row>
    <row r="1110">
      <c r="B1110" s="17">
        <f>IF($C1110="","",$D1110&amp;"-"&amp;$F1110&amp;"-"&amp;$K1110)</f>
        <v/>
      </c>
      <c r="C1110" s="16" t="n"/>
      <c r="D1110" s="17">
        <f>IF($C1110="","",IFERROR(INDEX(rngCadetPIDs,MATCH($C1110,rngCadetNames,0)),"?"))</f>
        <v/>
      </c>
      <c r="E1110" s="17">
        <f>IF($D1110="","",IFERROR(INDEX(nrCadetAgency,MATCH($D1110,rngCadetPIDs,0)),""))</f>
        <v/>
      </c>
      <c r="F1110" s="16" t="n"/>
      <c r="G1110" s="17">
        <f>IF($F1110="","",IFERROR(INDEX(rngEPname,MATCH($F1110,rngEPcode,0)),"?"))</f>
        <v/>
      </c>
      <c r="H1110" s="17">
        <f>IF($F1110="","",IFERROR(INDEX(rngEPtype,MATCH($F1110,rngEPcode,0)),"?"))</f>
        <v/>
      </c>
      <c r="I1110" s="17">
        <f>IF($F1110="","",IFERROR(INDEX(rngEPseq,MATCH($F1110,rngEPcode,0)),""))</f>
        <v/>
      </c>
      <c r="J1110" s="17">
        <f>IF($F1110="","",IFERROR(INDEX(rngEPpass,MATCH($F1110,rngEPcode,0)),cfgPassingScore))</f>
        <v/>
      </c>
      <c r="K1110" s="16" t="n"/>
      <c r="L1110" s="16" t="n"/>
      <c r="M1110" s="17">
        <f>IF($C1110="","",IF($L1110="","",IF(NOT(ISNUMBER($L1110)),$L1110,IF(N($K1110)&gt;2,"",IF($K1110=1,IF(COUNTIFS(nrES_PID,$D1110,nrES_Code,$F1110,nrES_Att,2,nrES_Raw,"&gt;=0")&gt;0,"",$L1110),IF($L1110&gt;=$J1110,MAX($J1110,cfgRetakeRecordedCap),IF(COUNTIFS(nrES_PID,$D1110,nrES_Code,$F1110,nrES_Att,1)=0,$L1110,SUMIFS(nrES_Raw,nrES_PID,$D1110,nrES_Code,$F1110,nrES_Att,1))))))))</f>
        <v/>
      </c>
      <c r="N1110" s="17">
        <f>IF($C1110="","",IF($L1110="","",IF(NOT(ISNUMBER($L1110)),"(not a score)",IF($L1110&gt;=$J1110,"Yes","No"))))</f>
        <v/>
      </c>
      <c r="O1110" s="17">
        <f>IF($C1110="","",IF($M1110="","",IF(NOT(ISNUMBER($M1110)),"(not a score)",IF($M1110&gt;=$J1110,"Yes","No"))))</f>
        <v/>
      </c>
      <c r="P1110" s="17">
        <f>IF($C1110="","",IF($K1110="","",IF(N($K1110)&gt;2,"No",IF(COUNTIFS(nrES_PID,$D1110,nrES_Code,$F1110,nrES_Att,"&gt;"&amp;$K1110,nrES_Att,"&lt;=2",nrES_Raw,"&gt;=0")=0,"Yes","No"))))</f>
        <v/>
      </c>
      <c r="Q1110" s="17">
        <f>IF($C1110="","",IF($L1110="","",IF(AND($K1110=1,ISNUMBER($L1110),$L1110&lt;$J1110,COUNTIFS(nrES_PID,$D1110,nrES_Code,$F1110,nrES_Att,2,nrES_Raw,"&gt;=0")=0),"Yes","No")))</f>
        <v/>
      </c>
      <c r="R1110" s="17">
        <f>IF($C1110="","",IF($L1110="","",IF(AND(N($K1110)&gt;=2,ISNUMBER($L1110),$L1110&lt;$J1110),"Yes","No")))</f>
        <v/>
      </c>
      <c r="S1110" s="18" t="n"/>
      <c r="T1110" s="19">
        <f>IF(OR($C1110="",$L1110="",$K1110&lt;&gt;1,NOT(ISNUMBER($L1110)),$L1110&gt;=$J1110),"",IF($S1110="","(enter date)",_xlfn.LET(_xlpm.dn,_xlfn.XLOOKUP($S1110,nrCDdate,nrCDnum,"",1),IF(_xlpm.dn="","(after last class day)",_xlfn.LET(_xlpm.dd,_xlfn.XLOOKUP(_xlpm.dn+cfgRetestClassDays,nrCDnum,nrCDdate,""),_xlpm.ok,_xlfn.XLOOKUP(_xlpm.dn+cfgRetestClassDays,nrCDnum,nrCDinsession,"No"),IF(OR(_xlpm.dd="",_xlpm.ok&lt;&gt;"Yes"),"(after last class day)",_xlpm.dd))))))</f>
        <v/>
      </c>
      <c r="U1110" s="17">
        <f>IF($C1110="","",IF(AND($Y1110="Excused",$L1110="",N($K1110)&lt;=1),"EXCUSED - 1st attempt pending",IF(OR($L1110="",$K1110&lt;&gt;1,NOT(ISNUMBER($L1110)),$L1110&gt;=$J1110),"",IF(COUNTIFS(nrES_PID,$D1110,nrES_Code,$F1110,nrES_Att,2,nrES_Raw,"&gt;=0")&gt;0,IF(IFERROR(_xlfn.MINIFS(nrES_Date,nrES_PID,$D1110,nrES_Code,$F1110,nrES_Att,2,nrES_Raw,"&gt;=0",nrES_Date,"&gt;0"),0)=0,"RETEST UNDATED",IF(NOT(ISNUMBER($T1110)),"RETEST DATE UNCHECKED",IF(_xlfn.MINIFS(nrES_Date,nrES_PID,$D1110,nrES_Code,$F1110,nrES_Att,2,nrES_Raw,"&gt;=0",nrES_Date,"&gt;0")&gt;$T1110,"LATE RETEST "&amp;TEXT(_xlfn.MINIFS(nrES_Date,nrES_PID,$D1110,nrES_Code,$F1110,nrES_Att,2,nrES_Raw,"&gt;=0",nrES_Date,"&gt;0"),"mm/dd")&amp;" (due "&amp;TEXT($T1110,"mm/dd")&amp;")","Retested"))),IF(NOT(ISNUMBER($T1110)),"CHECK DATE",IF(TODAY()&gt;$T1110,"OVERDUE","Due "&amp;TEXT($T1110,"mm/dd")))))))</f>
        <v/>
      </c>
      <c r="V1110" s="16" t="n"/>
      <c r="W1110" s="16" t="n"/>
      <c r="X1110" s="17">
        <f>IF($C1110="","",IF(AND($L1110&lt;&gt;"",NOT(ISNUMBER($L1110))),"RAW SCORE NOT A NUMBER",IF(AND(ISNUMBER($L1110),OR($L1110&lt;0,$L1110&gt;100)),"RAW SCORE OUT OF RANGE",IF(AND($Y1110="Unexcused",OR($L1110="",NOT(ISNUMBER($L1110)),$L1110&lt;&gt;0)),"UNEXCUSED ABSENCE MUST RECORD 0",IF(COUNTIF(nrES_RecID,$B1110)&gt;1,"DUPLICATE RECORD",IF(N($K1110)&gt;2,"ATTEMPT 3+ NOT ALLOWED - policy 300.5 permits one retest per exam; this row records nothing",IF(AND($K1110=2,COUNTIFS(nrES_PID,$D1110,nrES_Code,$F1110,nrES_Att,1)=0),"ATTEMPT 2 WITHOUT ATTEMPT 1",IF(AND($K1110=2,$L1110=""),"RETEST ROW HAS NO SCORE",IF(AND($H1110="Final",$L1110&lt;&gt;"",IFERROR(INDEX(nrCKfinalExamElig,MATCH($D1110,rngCadetPIDs,0)),"")="No"),"FINAL EXAM AFTER FAILED FINAL PT (500.1.H)",IF(AND($K1110=2,ISNUMBER($L1110),COUNTIFS(nrES_PID,$D1110,nrES_Code,$F1110,nrES_Att,1)&gt;0,SUMIFS(nrES_Raw,nrES_PID,$D1110,nrES_Code,$F1110,nrES_Att,1)&gt;=$J1110),"RETEST AFTER A PASSING FIRST ATTEMPT","OK"))))))))))</f>
        <v/>
      </c>
      <c r="Y1110" s="16" t="n"/>
    </row>
    <row r="1111">
      <c r="B1111" s="17">
        <f>IF($C1111="","",$D1111&amp;"-"&amp;$F1111&amp;"-"&amp;$K1111)</f>
        <v/>
      </c>
      <c r="C1111" s="16" t="n"/>
      <c r="D1111" s="17">
        <f>IF($C1111="","",IFERROR(INDEX(rngCadetPIDs,MATCH($C1111,rngCadetNames,0)),"?"))</f>
        <v/>
      </c>
      <c r="E1111" s="17">
        <f>IF($D1111="","",IFERROR(INDEX(nrCadetAgency,MATCH($D1111,rngCadetPIDs,0)),""))</f>
        <v/>
      </c>
      <c r="F1111" s="16" t="n"/>
      <c r="G1111" s="17">
        <f>IF($F1111="","",IFERROR(INDEX(rngEPname,MATCH($F1111,rngEPcode,0)),"?"))</f>
        <v/>
      </c>
      <c r="H1111" s="17">
        <f>IF($F1111="","",IFERROR(INDEX(rngEPtype,MATCH($F1111,rngEPcode,0)),"?"))</f>
        <v/>
      </c>
      <c r="I1111" s="17">
        <f>IF($F1111="","",IFERROR(INDEX(rngEPseq,MATCH($F1111,rngEPcode,0)),""))</f>
        <v/>
      </c>
      <c r="J1111" s="17">
        <f>IF($F1111="","",IFERROR(INDEX(rngEPpass,MATCH($F1111,rngEPcode,0)),cfgPassingScore))</f>
        <v/>
      </c>
      <c r="K1111" s="16" t="n"/>
      <c r="L1111" s="16" t="n"/>
      <c r="M1111" s="17">
        <f>IF($C1111="","",IF($L1111="","",IF(NOT(ISNUMBER($L1111)),$L1111,IF(N($K1111)&gt;2,"",IF($K1111=1,IF(COUNTIFS(nrES_PID,$D1111,nrES_Code,$F1111,nrES_Att,2,nrES_Raw,"&gt;=0")&gt;0,"",$L1111),IF($L1111&gt;=$J1111,MAX($J1111,cfgRetakeRecordedCap),IF(COUNTIFS(nrES_PID,$D1111,nrES_Code,$F1111,nrES_Att,1)=0,$L1111,SUMIFS(nrES_Raw,nrES_PID,$D1111,nrES_Code,$F1111,nrES_Att,1))))))))</f>
        <v/>
      </c>
      <c r="N1111" s="17">
        <f>IF($C1111="","",IF($L1111="","",IF(NOT(ISNUMBER($L1111)),"(not a score)",IF($L1111&gt;=$J1111,"Yes","No"))))</f>
        <v/>
      </c>
      <c r="O1111" s="17">
        <f>IF($C1111="","",IF($M1111="","",IF(NOT(ISNUMBER($M1111)),"(not a score)",IF($M1111&gt;=$J1111,"Yes","No"))))</f>
        <v/>
      </c>
      <c r="P1111" s="17">
        <f>IF($C1111="","",IF($K1111="","",IF(N($K1111)&gt;2,"No",IF(COUNTIFS(nrES_PID,$D1111,nrES_Code,$F1111,nrES_Att,"&gt;"&amp;$K1111,nrES_Att,"&lt;=2",nrES_Raw,"&gt;=0")=0,"Yes","No"))))</f>
        <v/>
      </c>
      <c r="Q1111" s="17">
        <f>IF($C1111="","",IF($L1111="","",IF(AND($K1111=1,ISNUMBER($L1111),$L1111&lt;$J1111,COUNTIFS(nrES_PID,$D1111,nrES_Code,$F1111,nrES_Att,2,nrES_Raw,"&gt;=0")=0),"Yes","No")))</f>
        <v/>
      </c>
      <c r="R1111" s="17">
        <f>IF($C1111="","",IF($L1111="","",IF(AND(N($K1111)&gt;=2,ISNUMBER($L1111),$L1111&lt;$J1111),"Yes","No")))</f>
        <v/>
      </c>
      <c r="S1111" s="18" t="n"/>
      <c r="T1111" s="19">
        <f>IF(OR($C1111="",$L1111="",$K1111&lt;&gt;1,NOT(ISNUMBER($L1111)),$L1111&gt;=$J1111),"",IF($S1111="","(enter date)",_xlfn.LET(_xlpm.dn,_xlfn.XLOOKUP($S1111,nrCDdate,nrCDnum,"",1),IF(_xlpm.dn="","(after last class day)",_xlfn.LET(_xlpm.dd,_xlfn.XLOOKUP(_xlpm.dn+cfgRetestClassDays,nrCDnum,nrCDdate,""),_xlpm.ok,_xlfn.XLOOKUP(_xlpm.dn+cfgRetestClassDays,nrCDnum,nrCDinsession,"No"),IF(OR(_xlpm.dd="",_xlpm.ok&lt;&gt;"Yes"),"(after last class day)",_xlpm.dd))))))</f>
        <v/>
      </c>
      <c r="U1111" s="17">
        <f>IF($C1111="","",IF(AND($Y1111="Excused",$L1111="",N($K1111)&lt;=1),"EXCUSED - 1st attempt pending",IF(OR($L1111="",$K1111&lt;&gt;1,NOT(ISNUMBER($L1111)),$L1111&gt;=$J1111),"",IF(COUNTIFS(nrES_PID,$D1111,nrES_Code,$F1111,nrES_Att,2,nrES_Raw,"&gt;=0")&gt;0,IF(IFERROR(_xlfn.MINIFS(nrES_Date,nrES_PID,$D1111,nrES_Code,$F1111,nrES_Att,2,nrES_Raw,"&gt;=0",nrES_Date,"&gt;0"),0)=0,"RETEST UNDATED",IF(NOT(ISNUMBER($T1111)),"RETEST DATE UNCHECKED",IF(_xlfn.MINIFS(nrES_Date,nrES_PID,$D1111,nrES_Code,$F1111,nrES_Att,2,nrES_Raw,"&gt;=0",nrES_Date,"&gt;0")&gt;$T1111,"LATE RETEST "&amp;TEXT(_xlfn.MINIFS(nrES_Date,nrES_PID,$D1111,nrES_Code,$F1111,nrES_Att,2,nrES_Raw,"&gt;=0",nrES_Date,"&gt;0"),"mm/dd")&amp;" (due "&amp;TEXT($T1111,"mm/dd")&amp;")","Retested"))),IF(NOT(ISNUMBER($T1111)),"CHECK DATE",IF(TODAY()&gt;$T1111,"OVERDUE","Due "&amp;TEXT($T1111,"mm/dd")))))))</f>
        <v/>
      </c>
      <c r="V1111" s="16" t="n"/>
      <c r="W1111" s="16" t="n"/>
      <c r="X1111" s="17">
        <f>IF($C1111="","",IF(AND($L1111&lt;&gt;"",NOT(ISNUMBER($L1111))),"RAW SCORE NOT A NUMBER",IF(AND(ISNUMBER($L1111),OR($L1111&lt;0,$L1111&gt;100)),"RAW SCORE OUT OF RANGE",IF(AND($Y1111="Unexcused",OR($L1111="",NOT(ISNUMBER($L1111)),$L1111&lt;&gt;0)),"UNEXCUSED ABSENCE MUST RECORD 0",IF(COUNTIF(nrES_RecID,$B1111)&gt;1,"DUPLICATE RECORD",IF(N($K1111)&gt;2,"ATTEMPT 3+ NOT ALLOWED - policy 300.5 permits one retest per exam; this row records nothing",IF(AND($K1111=2,COUNTIFS(nrES_PID,$D1111,nrES_Code,$F1111,nrES_Att,1)=0),"ATTEMPT 2 WITHOUT ATTEMPT 1",IF(AND($K1111=2,$L1111=""),"RETEST ROW HAS NO SCORE",IF(AND($H1111="Final",$L1111&lt;&gt;"",IFERROR(INDEX(nrCKfinalExamElig,MATCH($D1111,rngCadetPIDs,0)),"")="No"),"FINAL EXAM AFTER FAILED FINAL PT (500.1.H)",IF(AND($K1111=2,ISNUMBER($L1111),COUNTIFS(nrES_PID,$D1111,nrES_Code,$F1111,nrES_Att,1)&gt;0,SUMIFS(nrES_Raw,nrES_PID,$D1111,nrES_Code,$F1111,nrES_Att,1)&gt;=$J1111),"RETEST AFTER A PASSING FIRST ATTEMPT","OK"))))))))))</f>
        <v/>
      </c>
      <c r="Y1111" s="16" t="n"/>
    </row>
    <row r="1112">
      <c r="B1112" s="17">
        <f>IF($C1112="","",$D1112&amp;"-"&amp;$F1112&amp;"-"&amp;$K1112)</f>
        <v/>
      </c>
      <c r="C1112" s="16" t="n"/>
      <c r="D1112" s="17">
        <f>IF($C1112="","",IFERROR(INDEX(rngCadetPIDs,MATCH($C1112,rngCadetNames,0)),"?"))</f>
        <v/>
      </c>
      <c r="E1112" s="17">
        <f>IF($D1112="","",IFERROR(INDEX(nrCadetAgency,MATCH($D1112,rngCadetPIDs,0)),""))</f>
        <v/>
      </c>
      <c r="F1112" s="16" t="n"/>
      <c r="G1112" s="17">
        <f>IF($F1112="","",IFERROR(INDEX(rngEPname,MATCH($F1112,rngEPcode,0)),"?"))</f>
        <v/>
      </c>
      <c r="H1112" s="17">
        <f>IF($F1112="","",IFERROR(INDEX(rngEPtype,MATCH($F1112,rngEPcode,0)),"?"))</f>
        <v/>
      </c>
      <c r="I1112" s="17">
        <f>IF($F1112="","",IFERROR(INDEX(rngEPseq,MATCH($F1112,rngEPcode,0)),""))</f>
        <v/>
      </c>
      <c r="J1112" s="17">
        <f>IF($F1112="","",IFERROR(INDEX(rngEPpass,MATCH($F1112,rngEPcode,0)),cfgPassingScore))</f>
        <v/>
      </c>
      <c r="K1112" s="16" t="n"/>
      <c r="L1112" s="16" t="n"/>
      <c r="M1112" s="17">
        <f>IF($C1112="","",IF($L1112="","",IF(NOT(ISNUMBER($L1112)),$L1112,IF(N($K1112)&gt;2,"",IF($K1112=1,IF(COUNTIFS(nrES_PID,$D1112,nrES_Code,$F1112,nrES_Att,2,nrES_Raw,"&gt;=0")&gt;0,"",$L1112),IF($L1112&gt;=$J1112,MAX($J1112,cfgRetakeRecordedCap),IF(COUNTIFS(nrES_PID,$D1112,nrES_Code,$F1112,nrES_Att,1)=0,$L1112,SUMIFS(nrES_Raw,nrES_PID,$D1112,nrES_Code,$F1112,nrES_Att,1))))))))</f>
        <v/>
      </c>
      <c r="N1112" s="17">
        <f>IF($C1112="","",IF($L1112="","",IF(NOT(ISNUMBER($L1112)),"(not a score)",IF($L1112&gt;=$J1112,"Yes","No"))))</f>
        <v/>
      </c>
      <c r="O1112" s="17">
        <f>IF($C1112="","",IF($M1112="","",IF(NOT(ISNUMBER($M1112)),"(not a score)",IF($M1112&gt;=$J1112,"Yes","No"))))</f>
        <v/>
      </c>
      <c r="P1112" s="17">
        <f>IF($C1112="","",IF($K1112="","",IF(N($K1112)&gt;2,"No",IF(COUNTIFS(nrES_PID,$D1112,nrES_Code,$F1112,nrES_Att,"&gt;"&amp;$K1112,nrES_Att,"&lt;=2",nrES_Raw,"&gt;=0")=0,"Yes","No"))))</f>
        <v/>
      </c>
      <c r="Q1112" s="17">
        <f>IF($C1112="","",IF($L1112="","",IF(AND($K1112=1,ISNUMBER($L1112),$L1112&lt;$J1112,COUNTIFS(nrES_PID,$D1112,nrES_Code,$F1112,nrES_Att,2,nrES_Raw,"&gt;=0")=0),"Yes","No")))</f>
        <v/>
      </c>
      <c r="R1112" s="17">
        <f>IF($C1112="","",IF($L1112="","",IF(AND(N($K1112)&gt;=2,ISNUMBER($L1112),$L1112&lt;$J1112),"Yes","No")))</f>
        <v/>
      </c>
      <c r="S1112" s="18" t="n"/>
      <c r="T1112" s="19">
        <f>IF(OR($C1112="",$L1112="",$K1112&lt;&gt;1,NOT(ISNUMBER($L1112)),$L1112&gt;=$J1112),"",IF($S1112="","(enter date)",_xlfn.LET(_xlpm.dn,_xlfn.XLOOKUP($S1112,nrCDdate,nrCDnum,"",1),IF(_xlpm.dn="","(after last class day)",_xlfn.LET(_xlpm.dd,_xlfn.XLOOKUP(_xlpm.dn+cfgRetestClassDays,nrCDnum,nrCDdate,""),_xlpm.ok,_xlfn.XLOOKUP(_xlpm.dn+cfgRetestClassDays,nrCDnum,nrCDinsession,"No"),IF(OR(_xlpm.dd="",_xlpm.ok&lt;&gt;"Yes"),"(after last class day)",_xlpm.dd))))))</f>
        <v/>
      </c>
      <c r="U1112" s="17">
        <f>IF($C1112="","",IF(AND($Y1112="Excused",$L1112="",N($K1112)&lt;=1),"EXCUSED - 1st attempt pending",IF(OR($L1112="",$K1112&lt;&gt;1,NOT(ISNUMBER($L1112)),$L1112&gt;=$J1112),"",IF(COUNTIFS(nrES_PID,$D1112,nrES_Code,$F1112,nrES_Att,2,nrES_Raw,"&gt;=0")&gt;0,IF(IFERROR(_xlfn.MINIFS(nrES_Date,nrES_PID,$D1112,nrES_Code,$F1112,nrES_Att,2,nrES_Raw,"&gt;=0",nrES_Date,"&gt;0"),0)=0,"RETEST UNDATED",IF(NOT(ISNUMBER($T1112)),"RETEST DATE UNCHECKED",IF(_xlfn.MINIFS(nrES_Date,nrES_PID,$D1112,nrES_Code,$F1112,nrES_Att,2,nrES_Raw,"&gt;=0",nrES_Date,"&gt;0")&gt;$T1112,"LATE RETEST "&amp;TEXT(_xlfn.MINIFS(nrES_Date,nrES_PID,$D1112,nrES_Code,$F1112,nrES_Att,2,nrES_Raw,"&gt;=0",nrES_Date,"&gt;0"),"mm/dd")&amp;" (due "&amp;TEXT($T1112,"mm/dd")&amp;")","Retested"))),IF(NOT(ISNUMBER($T1112)),"CHECK DATE",IF(TODAY()&gt;$T1112,"OVERDUE","Due "&amp;TEXT($T1112,"mm/dd")))))))</f>
        <v/>
      </c>
      <c r="V1112" s="16" t="n"/>
      <c r="W1112" s="16" t="n"/>
      <c r="X1112" s="17">
        <f>IF($C1112="","",IF(AND($L1112&lt;&gt;"",NOT(ISNUMBER($L1112))),"RAW SCORE NOT A NUMBER",IF(AND(ISNUMBER($L1112),OR($L1112&lt;0,$L1112&gt;100)),"RAW SCORE OUT OF RANGE",IF(AND($Y1112="Unexcused",OR($L1112="",NOT(ISNUMBER($L1112)),$L1112&lt;&gt;0)),"UNEXCUSED ABSENCE MUST RECORD 0",IF(COUNTIF(nrES_RecID,$B1112)&gt;1,"DUPLICATE RECORD",IF(N($K1112)&gt;2,"ATTEMPT 3+ NOT ALLOWED - policy 300.5 permits one retest per exam; this row records nothing",IF(AND($K1112=2,COUNTIFS(nrES_PID,$D1112,nrES_Code,$F1112,nrES_Att,1)=0),"ATTEMPT 2 WITHOUT ATTEMPT 1",IF(AND($K1112=2,$L1112=""),"RETEST ROW HAS NO SCORE",IF(AND($H1112="Final",$L1112&lt;&gt;"",IFERROR(INDEX(nrCKfinalExamElig,MATCH($D1112,rngCadetPIDs,0)),"")="No"),"FINAL EXAM AFTER FAILED FINAL PT (500.1.H)",IF(AND($K1112=2,ISNUMBER($L1112),COUNTIFS(nrES_PID,$D1112,nrES_Code,$F1112,nrES_Att,1)&gt;0,SUMIFS(nrES_Raw,nrES_PID,$D1112,nrES_Code,$F1112,nrES_Att,1)&gt;=$J1112),"RETEST AFTER A PASSING FIRST ATTEMPT","OK"))))))))))</f>
        <v/>
      </c>
      <c r="Y1112" s="16" t="n"/>
    </row>
    <row r="1113">
      <c r="B1113" s="17">
        <f>IF($C1113="","",$D1113&amp;"-"&amp;$F1113&amp;"-"&amp;$K1113)</f>
        <v/>
      </c>
      <c r="C1113" s="16" t="n"/>
      <c r="D1113" s="17">
        <f>IF($C1113="","",IFERROR(INDEX(rngCadetPIDs,MATCH($C1113,rngCadetNames,0)),"?"))</f>
        <v/>
      </c>
      <c r="E1113" s="17">
        <f>IF($D1113="","",IFERROR(INDEX(nrCadetAgency,MATCH($D1113,rngCadetPIDs,0)),""))</f>
        <v/>
      </c>
      <c r="F1113" s="16" t="n"/>
      <c r="G1113" s="17">
        <f>IF($F1113="","",IFERROR(INDEX(rngEPname,MATCH($F1113,rngEPcode,0)),"?"))</f>
        <v/>
      </c>
      <c r="H1113" s="17">
        <f>IF($F1113="","",IFERROR(INDEX(rngEPtype,MATCH($F1113,rngEPcode,0)),"?"))</f>
        <v/>
      </c>
      <c r="I1113" s="17">
        <f>IF($F1113="","",IFERROR(INDEX(rngEPseq,MATCH($F1113,rngEPcode,0)),""))</f>
        <v/>
      </c>
      <c r="J1113" s="17">
        <f>IF($F1113="","",IFERROR(INDEX(rngEPpass,MATCH($F1113,rngEPcode,0)),cfgPassingScore))</f>
        <v/>
      </c>
      <c r="K1113" s="16" t="n"/>
      <c r="L1113" s="16" t="n"/>
      <c r="M1113" s="17">
        <f>IF($C1113="","",IF($L1113="","",IF(NOT(ISNUMBER($L1113)),$L1113,IF(N($K1113)&gt;2,"",IF($K1113=1,IF(COUNTIFS(nrES_PID,$D1113,nrES_Code,$F1113,nrES_Att,2,nrES_Raw,"&gt;=0")&gt;0,"",$L1113),IF($L1113&gt;=$J1113,MAX($J1113,cfgRetakeRecordedCap),IF(COUNTIFS(nrES_PID,$D1113,nrES_Code,$F1113,nrES_Att,1)=0,$L1113,SUMIFS(nrES_Raw,nrES_PID,$D1113,nrES_Code,$F1113,nrES_Att,1))))))))</f>
        <v/>
      </c>
      <c r="N1113" s="17">
        <f>IF($C1113="","",IF($L1113="","",IF(NOT(ISNUMBER($L1113)),"(not a score)",IF($L1113&gt;=$J1113,"Yes","No"))))</f>
        <v/>
      </c>
      <c r="O1113" s="17">
        <f>IF($C1113="","",IF($M1113="","",IF(NOT(ISNUMBER($M1113)),"(not a score)",IF($M1113&gt;=$J1113,"Yes","No"))))</f>
        <v/>
      </c>
      <c r="P1113" s="17">
        <f>IF($C1113="","",IF($K1113="","",IF(N($K1113)&gt;2,"No",IF(COUNTIFS(nrES_PID,$D1113,nrES_Code,$F1113,nrES_Att,"&gt;"&amp;$K1113,nrES_Att,"&lt;=2",nrES_Raw,"&gt;=0")=0,"Yes","No"))))</f>
        <v/>
      </c>
      <c r="Q1113" s="17">
        <f>IF($C1113="","",IF($L1113="","",IF(AND($K1113=1,ISNUMBER($L1113),$L1113&lt;$J1113,COUNTIFS(nrES_PID,$D1113,nrES_Code,$F1113,nrES_Att,2,nrES_Raw,"&gt;=0")=0),"Yes","No")))</f>
        <v/>
      </c>
      <c r="R1113" s="17">
        <f>IF($C1113="","",IF($L1113="","",IF(AND(N($K1113)&gt;=2,ISNUMBER($L1113),$L1113&lt;$J1113),"Yes","No")))</f>
        <v/>
      </c>
      <c r="S1113" s="18" t="n"/>
      <c r="T1113" s="19">
        <f>IF(OR($C1113="",$L1113="",$K1113&lt;&gt;1,NOT(ISNUMBER($L1113)),$L1113&gt;=$J1113),"",IF($S1113="","(enter date)",_xlfn.LET(_xlpm.dn,_xlfn.XLOOKUP($S1113,nrCDdate,nrCDnum,"",1),IF(_xlpm.dn="","(after last class day)",_xlfn.LET(_xlpm.dd,_xlfn.XLOOKUP(_xlpm.dn+cfgRetestClassDays,nrCDnum,nrCDdate,""),_xlpm.ok,_xlfn.XLOOKUP(_xlpm.dn+cfgRetestClassDays,nrCDnum,nrCDinsession,"No"),IF(OR(_xlpm.dd="",_xlpm.ok&lt;&gt;"Yes"),"(after last class day)",_xlpm.dd))))))</f>
        <v/>
      </c>
      <c r="U1113" s="17">
        <f>IF($C1113="","",IF(AND($Y1113="Excused",$L1113="",N($K1113)&lt;=1),"EXCUSED - 1st attempt pending",IF(OR($L1113="",$K1113&lt;&gt;1,NOT(ISNUMBER($L1113)),$L1113&gt;=$J1113),"",IF(COUNTIFS(nrES_PID,$D1113,nrES_Code,$F1113,nrES_Att,2,nrES_Raw,"&gt;=0")&gt;0,IF(IFERROR(_xlfn.MINIFS(nrES_Date,nrES_PID,$D1113,nrES_Code,$F1113,nrES_Att,2,nrES_Raw,"&gt;=0",nrES_Date,"&gt;0"),0)=0,"RETEST UNDATED",IF(NOT(ISNUMBER($T1113)),"RETEST DATE UNCHECKED",IF(_xlfn.MINIFS(nrES_Date,nrES_PID,$D1113,nrES_Code,$F1113,nrES_Att,2,nrES_Raw,"&gt;=0",nrES_Date,"&gt;0")&gt;$T1113,"LATE RETEST "&amp;TEXT(_xlfn.MINIFS(nrES_Date,nrES_PID,$D1113,nrES_Code,$F1113,nrES_Att,2,nrES_Raw,"&gt;=0",nrES_Date,"&gt;0"),"mm/dd")&amp;" (due "&amp;TEXT($T1113,"mm/dd")&amp;")","Retested"))),IF(NOT(ISNUMBER($T1113)),"CHECK DATE",IF(TODAY()&gt;$T1113,"OVERDUE","Due "&amp;TEXT($T1113,"mm/dd")))))))</f>
        <v/>
      </c>
      <c r="V1113" s="16" t="n"/>
      <c r="W1113" s="16" t="n"/>
      <c r="X1113" s="17">
        <f>IF($C1113="","",IF(AND($L1113&lt;&gt;"",NOT(ISNUMBER($L1113))),"RAW SCORE NOT A NUMBER",IF(AND(ISNUMBER($L1113),OR($L1113&lt;0,$L1113&gt;100)),"RAW SCORE OUT OF RANGE",IF(AND($Y1113="Unexcused",OR($L1113="",NOT(ISNUMBER($L1113)),$L1113&lt;&gt;0)),"UNEXCUSED ABSENCE MUST RECORD 0",IF(COUNTIF(nrES_RecID,$B1113)&gt;1,"DUPLICATE RECORD",IF(N($K1113)&gt;2,"ATTEMPT 3+ NOT ALLOWED - policy 300.5 permits one retest per exam; this row records nothing",IF(AND($K1113=2,COUNTIFS(nrES_PID,$D1113,nrES_Code,$F1113,nrES_Att,1)=0),"ATTEMPT 2 WITHOUT ATTEMPT 1",IF(AND($K1113=2,$L1113=""),"RETEST ROW HAS NO SCORE",IF(AND($H1113="Final",$L1113&lt;&gt;"",IFERROR(INDEX(nrCKfinalExamElig,MATCH($D1113,rngCadetPIDs,0)),"")="No"),"FINAL EXAM AFTER FAILED FINAL PT (500.1.H)",IF(AND($K1113=2,ISNUMBER($L1113),COUNTIFS(nrES_PID,$D1113,nrES_Code,$F1113,nrES_Att,1)&gt;0,SUMIFS(nrES_Raw,nrES_PID,$D1113,nrES_Code,$F1113,nrES_Att,1)&gt;=$J1113),"RETEST AFTER A PASSING FIRST ATTEMPT","OK"))))))))))</f>
        <v/>
      </c>
      <c r="Y1113" s="16" t="n"/>
    </row>
    <row r="1114">
      <c r="B1114" s="17">
        <f>IF($C1114="","",$D1114&amp;"-"&amp;$F1114&amp;"-"&amp;$K1114)</f>
        <v/>
      </c>
      <c r="C1114" s="16" t="n"/>
      <c r="D1114" s="17">
        <f>IF($C1114="","",IFERROR(INDEX(rngCadetPIDs,MATCH($C1114,rngCadetNames,0)),"?"))</f>
        <v/>
      </c>
      <c r="E1114" s="17">
        <f>IF($D1114="","",IFERROR(INDEX(nrCadetAgency,MATCH($D1114,rngCadetPIDs,0)),""))</f>
        <v/>
      </c>
      <c r="F1114" s="16" t="n"/>
      <c r="G1114" s="17">
        <f>IF($F1114="","",IFERROR(INDEX(rngEPname,MATCH($F1114,rngEPcode,0)),"?"))</f>
        <v/>
      </c>
      <c r="H1114" s="17">
        <f>IF($F1114="","",IFERROR(INDEX(rngEPtype,MATCH($F1114,rngEPcode,0)),"?"))</f>
        <v/>
      </c>
      <c r="I1114" s="17">
        <f>IF($F1114="","",IFERROR(INDEX(rngEPseq,MATCH($F1114,rngEPcode,0)),""))</f>
        <v/>
      </c>
      <c r="J1114" s="17">
        <f>IF($F1114="","",IFERROR(INDEX(rngEPpass,MATCH($F1114,rngEPcode,0)),cfgPassingScore))</f>
        <v/>
      </c>
      <c r="K1114" s="16" t="n"/>
      <c r="L1114" s="16" t="n"/>
      <c r="M1114" s="17">
        <f>IF($C1114="","",IF($L1114="","",IF(NOT(ISNUMBER($L1114)),$L1114,IF(N($K1114)&gt;2,"",IF($K1114=1,IF(COUNTIFS(nrES_PID,$D1114,nrES_Code,$F1114,nrES_Att,2,nrES_Raw,"&gt;=0")&gt;0,"",$L1114),IF($L1114&gt;=$J1114,MAX($J1114,cfgRetakeRecordedCap),IF(COUNTIFS(nrES_PID,$D1114,nrES_Code,$F1114,nrES_Att,1)=0,$L1114,SUMIFS(nrES_Raw,nrES_PID,$D1114,nrES_Code,$F1114,nrES_Att,1))))))))</f>
        <v/>
      </c>
      <c r="N1114" s="17">
        <f>IF($C1114="","",IF($L1114="","",IF(NOT(ISNUMBER($L1114)),"(not a score)",IF($L1114&gt;=$J1114,"Yes","No"))))</f>
        <v/>
      </c>
      <c r="O1114" s="17">
        <f>IF($C1114="","",IF($M1114="","",IF(NOT(ISNUMBER($M1114)),"(not a score)",IF($M1114&gt;=$J1114,"Yes","No"))))</f>
        <v/>
      </c>
      <c r="P1114" s="17">
        <f>IF($C1114="","",IF($K1114="","",IF(N($K1114)&gt;2,"No",IF(COUNTIFS(nrES_PID,$D1114,nrES_Code,$F1114,nrES_Att,"&gt;"&amp;$K1114,nrES_Att,"&lt;=2",nrES_Raw,"&gt;=0")=0,"Yes","No"))))</f>
        <v/>
      </c>
      <c r="Q1114" s="17">
        <f>IF($C1114="","",IF($L1114="","",IF(AND($K1114=1,ISNUMBER($L1114),$L1114&lt;$J1114,COUNTIFS(nrES_PID,$D1114,nrES_Code,$F1114,nrES_Att,2,nrES_Raw,"&gt;=0")=0),"Yes","No")))</f>
        <v/>
      </c>
      <c r="R1114" s="17">
        <f>IF($C1114="","",IF($L1114="","",IF(AND(N($K1114)&gt;=2,ISNUMBER($L1114),$L1114&lt;$J1114),"Yes","No")))</f>
        <v/>
      </c>
      <c r="S1114" s="18" t="n"/>
      <c r="T1114" s="19">
        <f>IF(OR($C1114="",$L1114="",$K1114&lt;&gt;1,NOT(ISNUMBER($L1114)),$L1114&gt;=$J1114),"",IF($S1114="","(enter date)",_xlfn.LET(_xlpm.dn,_xlfn.XLOOKUP($S1114,nrCDdate,nrCDnum,"",1),IF(_xlpm.dn="","(after last class day)",_xlfn.LET(_xlpm.dd,_xlfn.XLOOKUP(_xlpm.dn+cfgRetestClassDays,nrCDnum,nrCDdate,""),_xlpm.ok,_xlfn.XLOOKUP(_xlpm.dn+cfgRetestClassDays,nrCDnum,nrCDinsession,"No"),IF(OR(_xlpm.dd="",_xlpm.ok&lt;&gt;"Yes"),"(after last class day)",_xlpm.dd))))))</f>
        <v/>
      </c>
      <c r="U1114" s="17">
        <f>IF($C1114="","",IF(AND($Y1114="Excused",$L1114="",N($K1114)&lt;=1),"EXCUSED - 1st attempt pending",IF(OR($L1114="",$K1114&lt;&gt;1,NOT(ISNUMBER($L1114)),$L1114&gt;=$J1114),"",IF(COUNTIFS(nrES_PID,$D1114,nrES_Code,$F1114,nrES_Att,2,nrES_Raw,"&gt;=0")&gt;0,IF(IFERROR(_xlfn.MINIFS(nrES_Date,nrES_PID,$D1114,nrES_Code,$F1114,nrES_Att,2,nrES_Raw,"&gt;=0",nrES_Date,"&gt;0"),0)=0,"RETEST UNDATED",IF(NOT(ISNUMBER($T1114)),"RETEST DATE UNCHECKED",IF(_xlfn.MINIFS(nrES_Date,nrES_PID,$D1114,nrES_Code,$F1114,nrES_Att,2,nrES_Raw,"&gt;=0",nrES_Date,"&gt;0")&gt;$T1114,"LATE RETEST "&amp;TEXT(_xlfn.MINIFS(nrES_Date,nrES_PID,$D1114,nrES_Code,$F1114,nrES_Att,2,nrES_Raw,"&gt;=0",nrES_Date,"&gt;0"),"mm/dd")&amp;" (due "&amp;TEXT($T1114,"mm/dd")&amp;")","Retested"))),IF(NOT(ISNUMBER($T1114)),"CHECK DATE",IF(TODAY()&gt;$T1114,"OVERDUE","Due "&amp;TEXT($T1114,"mm/dd")))))))</f>
        <v/>
      </c>
      <c r="V1114" s="16" t="n"/>
      <c r="W1114" s="16" t="n"/>
      <c r="X1114" s="17">
        <f>IF($C1114="","",IF(AND($L1114&lt;&gt;"",NOT(ISNUMBER($L1114))),"RAW SCORE NOT A NUMBER",IF(AND(ISNUMBER($L1114),OR($L1114&lt;0,$L1114&gt;100)),"RAW SCORE OUT OF RANGE",IF(AND($Y1114="Unexcused",OR($L1114="",NOT(ISNUMBER($L1114)),$L1114&lt;&gt;0)),"UNEXCUSED ABSENCE MUST RECORD 0",IF(COUNTIF(nrES_RecID,$B1114)&gt;1,"DUPLICATE RECORD",IF(N($K1114)&gt;2,"ATTEMPT 3+ NOT ALLOWED - policy 300.5 permits one retest per exam; this row records nothing",IF(AND($K1114=2,COUNTIFS(nrES_PID,$D1114,nrES_Code,$F1114,nrES_Att,1)=0),"ATTEMPT 2 WITHOUT ATTEMPT 1",IF(AND($K1114=2,$L1114=""),"RETEST ROW HAS NO SCORE",IF(AND($H1114="Final",$L1114&lt;&gt;"",IFERROR(INDEX(nrCKfinalExamElig,MATCH($D1114,rngCadetPIDs,0)),"")="No"),"FINAL EXAM AFTER FAILED FINAL PT (500.1.H)",IF(AND($K1114=2,ISNUMBER($L1114),COUNTIFS(nrES_PID,$D1114,nrES_Code,$F1114,nrES_Att,1)&gt;0,SUMIFS(nrES_Raw,nrES_PID,$D1114,nrES_Code,$F1114,nrES_Att,1)&gt;=$J1114),"RETEST AFTER A PASSING FIRST ATTEMPT","OK"))))))))))</f>
        <v/>
      </c>
      <c r="Y1114" s="16" t="n"/>
    </row>
    <row r="1115">
      <c r="B1115" s="17">
        <f>IF($C1115="","",$D1115&amp;"-"&amp;$F1115&amp;"-"&amp;$K1115)</f>
        <v/>
      </c>
      <c r="C1115" s="16" t="n"/>
      <c r="D1115" s="17">
        <f>IF($C1115="","",IFERROR(INDEX(rngCadetPIDs,MATCH($C1115,rngCadetNames,0)),"?"))</f>
        <v/>
      </c>
      <c r="E1115" s="17">
        <f>IF($D1115="","",IFERROR(INDEX(nrCadetAgency,MATCH($D1115,rngCadetPIDs,0)),""))</f>
        <v/>
      </c>
      <c r="F1115" s="16" t="n"/>
      <c r="G1115" s="17">
        <f>IF($F1115="","",IFERROR(INDEX(rngEPname,MATCH($F1115,rngEPcode,0)),"?"))</f>
        <v/>
      </c>
      <c r="H1115" s="17">
        <f>IF($F1115="","",IFERROR(INDEX(rngEPtype,MATCH($F1115,rngEPcode,0)),"?"))</f>
        <v/>
      </c>
      <c r="I1115" s="17">
        <f>IF($F1115="","",IFERROR(INDEX(rngEPseq,MATCH($F1115,rngEPcode,0)),""))</f>
        <v/>
      </c>
      <c r="J1115" s="17">
        <f>IF($F1115="","",IFERROR(INDEX(rngEPpass,MATCH($F1115,rngEPcode,0)),cfgPassingScore))</f>
        <v/>
      </c>
      <c r="K1115" s="16" t="n"/>
      <c r="L1115" s="16" t="n"/>
      <c r="M1115" s="17">
        <f>IF($C1115="","",IF($L1115="","",IF(NOT(ISNUMBER($L1115)),$L1115,IF(N($K1115)&gt;2,"",IF($K1115=1,IF(COUNTIFS(nrES_PID,$D1115,nrES_Code,$F1115,nrES_Att,2,nrES_Raw,"&gt;=0")&gt;0,"",$L1115),IF($L1115&gt;=$J1115,MAX($J1115,cfgRetakeRecordedCap),IF(COUNTIFS(nrES_PID,$D1115,nrES_Code,$F1115,nrES_Att,1)=0,$L1115,SUMIFS(nrES_Raw,nrES_PID,$D1115,nrES_Code,$F1115,nrES_Att,1))))))))</f>
        <v/>
      </c>
      <c r="N1115" s="17">
        <f>IF($C1115="","",IF($L1115="","",IF(NOT(ISNUMBER($L1115)),"(not a score)",IF($L1115&gt;=$J1115,"Yes","No"))))</f>
        <v/>
      </c>
      <c r="O1115" s="17">
        <f>IF($C1115="","",IF($M1115="","",IF(NOT(ISNUMBER($M1115)),"(not a score)",IF($M1115&gt;=$J1115,"Yes","No"))))</f>
        <v/>
      </c>
      <c r="P1115" s="17">
        <f>IF($C1115="","",IF($K1115="","",IF(N($K1115)&gt;2,"No",IF(COUNTIFS(nrES_PID,$D1115,nrES_Code,$F1115,nrES_Att,"&gt;"&amp;$K1115,nrES_Att,"&lt;=2",nrES_Raw,"&gt;=0")=0,"Yes","No"))))</f>
        <v/>
      </c>
      <c r="Q1115" s="17">
        <f>IF($C1115="","",IF($L1115="","",IF(AND($K1115=1,ISNUMBER($L1115),$L1115&lt;$J1115,COUNTIFS(nrES_PID,$D1115,nrES_Code,$F1115,nrES_Att,2,nrES_Raw,"&gt;=0")=0),"Yes","No")))</f>
        <v/>
      </c>
      <c r="R1115" s="17">
        <f>IF($C1115="","",IF($L1115="","",IF(AND(N($K1115)&gt;=2,ISNUMBER($L1115),$L1115&lt;$J1115),"Yes","No")))</f>
        <v/>
      </c>
      <c r="S1115" s="18" t="n"/>
      <c r="T1115" s="19">
        <f>IF(OR($C1115="",$L1115="",$K1115&lt;&gt;1,NOT(ISNUMBER($L1115)),$L1115&gt;=$J1115),"",IF($S1115="","(enter date)",_xlfn.LET(_xlpm.dn,_xlfn.XLOOKUP($S1115,nrCDdate,nrCDnum,"",1),IF(_xlpm.dn="","(after last class day)",_xlfn.LET(_xlpm.dd,_xlfn.XLOOKUP(_xlpm.dn+cfgRetestClassDays,nrCDnum,nrCDdate,""),_xlpm.ok,_xlfn.XLOOKUP(_xlpm.dn+cfgRetestClassDays,nrCDnum,nrCDinsession,"No"),IF(OR(_xlpm.dd="",_xlpm.ok&lt;&gt;"Yes"),"(after last class day)",_xlpm.dd))))))</f>
        <v/>
      </c>
      <c r="U1115" s="17">
        <f>IF($C1115="","",IF(AND($Y1115="Excused",$L1115="",N($K1115)&lt;=1),"EXCUSED - 1st attempt pending",IF(OR($L1115="",$K1115&lt;&gt;1,NOT(ISNUMBER($L1115)),$L1115&gt;=$J1115),"",IF(COUNTIFS(nrES_PID,$D1115,nrES_Code,$F1115,nrES_Att,2,nrES_Raw,"&gt;=0")&gt;0,IF(IFERROR(_xlfn.MINIFS(nrES_Date,nrES_PID,$D1115,nrES_Code,$F1115,nrES_Att,2,nrES_Raw,"&gt;=0",nrES_Date,"&gt;0"),0)=0,"RETEST UNDATED",IF(NOT(ISNUMBER($T1115)),"RETEST DATE UNCHECKED",IF(_xlfn.MINIFS(nrES_Date,nrES_PID,$D1115,nrES_Code,$F1115,nrES_Att,2,nrES_Raw,"&gt;=0",nrES_Date,"&gt;0")&gt;$T1115,"LATE RETEST "&amp;TEXT(_xlfn.MINIFS(nrES_Date,nrES_PID,$D1115,nrES_Code,$F1115,nrES_Att,2,nrES_Raw,"&gt;=0",nrES_Date,"&gt;0"),"mm/dd")&amp;" (due "&amp;TEXT($T1115,"mm/dd")&amp;")","Retested"))),IF(NOT(ISNUMBER($T1115)),"CHECK DATE",IF(TODAY()&gt;$T1115,"OVERDUE","Due "&amp;TEXT($T1115,"mm/dd")))))))</f>
        <v/>
      </c>
      <c r="V1115" s="16" t="n"/>
      <c r="W1115" s="16" t="n"/>
      <c r="X1115" s="17">
        <f>IF($C1115="","",IF(AND($L1115&lt;&gt;"",NOT(ISNUMBER($L1115))),"RAW SCORE NOT A NUMBER",IF(AND(ISNUMBER($L1115),OR($L1115&lt;0,$L1115&gt;100)),"RAW SCORE OUT OF RANGE",IF(AND($Y1115="Unexcused",OR($L1115="",NOT(ISNUMBER($L1115)),$L1115&lt;&gt;0)),"UNEXCUSED ABSENCE MUST RECORD 0",IF(COUNTIF(nrES_RecID,$B1115)&gt;1,"DUPLICATE RECORD",IF(N($K1115)&gt;2,"ATTEMPT 3+ NOT ALLOWED - policy 300.5 permits one retest per exam; this row records nothing",IF(AND($K1115=2,COUNTIFS(nrES_PID,$D1115,nrES_Code,$F1115,nrES_Att,1)=0),"ATTEMPT 2 WITHOUT ATTEMPT 1",IF(AND($K1115=2,$L1115=""),"RETEST ROW HAS NO SCORE",IF(AND($H1115="Final",$L1115&lt;&gt;"",IFERROR(INDEX(nrCKfinalExamElig,MATCH($D1115,rngCadetPIDs,0)),"")="No"),"FINAL EXAM AFTER FAILED FINAL PT (500.1.H)",IF(AND($K1115=2,ISNUMBER($L1115),COUNTIFS(nrES_PID,$D1115,nrES_Code,$F1115,nrES_Att,1)&gt;0,SUMIFS(nrES_Raw,nrES_PID,$D1115,nrES_Code,$F1115,nrES_Att,1)&gt;=$J1115),"RETEST AFTER A PASSING FIRST ATTEMPT","OK"))))))))))</f>
        <v/>
      </c>
      <c r="Y1115" s="16" t="n"/>
    </row>
    <row r="1116">
      <c r="B1116" s="17">
        <f>IF($C1116="","",$D1116&amp;"-"&amp;$F1116&amp;"-"&amp;$K1116)</f>
        <v/>
      </c>
      <c r="C1116" s="16" t="n"/>
      <c r="D1116" s="17">
        <f>IF($C1116="","",IFERROR(INDEX(rngCadetPIDs,MATCH($C1116,rngCadetNames,0)),"?"))</f>
        <v/>
      </c>
      <c r="E1116" s="17">
        <f>IF($D1116="","",IFERROR(INDEX(nrCadetAgency,MATCH($D1116,rngCadetPIDs,0)),""))</f>
        <v/>
      </c>
      <c r="F1116" s="16" t="n"/>
      <c r="G1116" s="17">
        <f>IF($F1116="","",IFERROR(INDEX(rngEPname,MATCH($F1116,rngEPcode,0)),"?"))</f>
        <v/>
      </c>
      <c r="H1116" s="17">
        <f>IF($F1116="","",IFERROR(INDEX(rngEPtype,MATCH($F1116,rngEPcode,0)),"?"))</f>
        <v/>
      </c>
      <c r="I1116" s="17">
        <f>IF($F1116="","",IFERROR(INDEX(rngEPseq,MATCH($F1116,rngEPcode,0)),""))</f>
        <v/>
      </c>
      <c r="J1116" s="17">
        <f>IF($F1116="","",IFERROR(INDEX(rngEPpass,MATCH($F1116,rngEPcode,0)),cfgPassingScore))</f>
        <v/>
      </c>
      <c r="K1116" s="16" t="n"/>
      <c r="L1116" s="16" t="n"/>
      <c r="M1116" s="17">
        <f>IF($C1116="","",IF($L1116="","",IF(NOT(ISNUMBER($L1116)),$L1116,IF(N($K1116)&gt;2,"",IF($K1116=1,IF(COUNTIFS(nrES_PID,$D1116,nrES_Code,$F1116,nrES_Att,2,nrES_Raw,"&gt;=0")&gt;0,"",$L1116),IF($L1116&gt;=$J1116,MAX($J1116,cfgRetakeRecordedCap),IF(COUNTIFS(nrES_PID,$D1116,nrES_Code,$F1116,nrES_Att,1)=0,$L1116,SUMIFS(nrES_Raw,nrES_PID,$D1116,nrES_Code,$F1116,nrES_Att,1))))))))</f>
        <v/>
      </c>
      <c r="N1116" s="17">
        <f>IF($C1116="","",IF($L1116="","",IF(NOT(ISNUMBER($L1116)),"(not a score)",IF($L1116&gt;=$J1116,"Yes","No"))))</f>
        <v/>
      </c>
      <c r="O1116" s="17">
        <f>IF($C1116="","",IF($M1116="","",IF(NOT(ISNUMBER($M1116)),"(not a score)",IF($M1116&gt;=$J1116,"Yes","No"))))</f>
        <v/>
      </c>
      <c r="P1116" s="17">
        <f>IF($C1116="","",IF($K1116="","",IF(N($K1116)&gt;2,"No",IF(COUNTIFS(nrES_PID,$D1116,nrES_Code,$F1116,nrES_Att,"&gt;"&amp;$K1116,nrES_Att,"&lt;=2",nrES_Raw,"&gt;=0")=0,"Yes","No"))))</f>
        <v/>
      </c>
      <c r="Q1116" s="17">
        <f>IF($C1116="","",IF($L1116="","",IF(AND($K1116=1,ISNUMBER($L1116),$L1116&lt;$J1116,COUNTIFS(nrES_PID,$D1116,nrES_Code,$F1116,nrES_Att,2,nrES_Raw,"&gt;=0")=0),"Yes","No")))</f>
        <v/>
      </c>
      <c r="R1116" s="17">
        <f>IF($C1116="","",IF($L1116="","",IF(AND(N($K1116)&gt;=2,ISNUMBER($L1116),$L1116&lt;$J1116),"Yes","No")))</f>
        <v/>
      </c>
      <c r="S1116" s="18" t="n"/>
      <c r="T1116" s="19">
        <f>IF(OR($C1116="",$L1116="",$K1116&lt;&gt;1,NOT(ISNUMBER($L1116)),$L1116&gt;=$J1116),"",IF($S1116="","(enter date)",_xlfn.LET(_xlpm.dn,_xlfn.XLOOKUP($S1116,nrCDdate,nrCDnum,"",1),IF(_xlpm.dn="","(after last class day)",_xlfn.LET(_xlpm.dd,_xlfn.XLOOKUP(_xlpm.dn+cfgRetestClassDays,nrCDnum,nrCDdate,""),_xlpm.ok,_xlfn.XLOOKUP(_xlpm.dn+cfgRetestClassDays,nrCDnum,nrCDinsession,"No"),IF(OR(_xlpm.dd="",_xlpm.ok&lt;&gt;"Yes"),"(after last class day)",_xlpm.dd))))))</f>
        <v/>
      </c>
      <c r="U1116" s="17">
        <f>IF($C1116="","",IF(AND($Y1116="Excused",$L1116="",N($K1116)&lt;=1),"EXCUSED - 1st attempt pending",IF(OR($L1116="",$K1116&lt;&gt;1,NOT(ISNUMBER($L1116)),$L1116&gt;=$J1116),"",IF(COUNTIFS(nrES_PID,$D1116,nrES_Code,$F1116,nrES_Att,2,nrES_Raw,"&gt;=0")&gt;0,IF(IFERROR(_xlfn.MINIFS(nrES_Date,nrES_PID,$D1116,nrES_Code,$F1116,nrES_Att,2,nrES_Raw,"&gt;=0",nrES_Date,"&gt;0"),0)=0,"RETEST UNDATED",IF(NOT(ISNUMBER($T1116)),"RETEST DATE UNCHECKED",IF(_xlfn.MINIFS(nrES_Date,nrES_PID,$D1116,nrES_Code,$F1116,nrES_Att,2,nrES_Raw,"&gt;=0",nrES_Date,"&gt;0")&gt;$T1116,"LATE RETEST "&amp;TEXT(_xlfn.MINIFS(nrES_Date,nrES_PID,$D1116,nrES_Code,$F1116,nrES_Att,2,nrES_Raw,"&gt;=0",nrES_Date,"&gt;0"),"mm/dd")&amp;" (due "&amp;TEXT($T1116,"mm/dd")&amp;")","Retested"))),IF(NOT(ISNUMBER($T1116)),"CHECK DATE",IF(TODAY()&gt;$T1116,"OVERDUE","Due "&amp;TEXT($T1116,"mm/dd")))))))</f>
        <v/>
      </c>
      <c r="V1116" s="16" t="n"/>
      <c r="W1116" s="16" t="n"/>
      <c r="X1116" s="17">
        <f>IF($C1116="","",IF(AND($L1116&lt;&gt;"",NOT(ISNUMBER($L1116))),"RAW SCORE NOT A NUMBER",IF(AND(ISNUMBER($L1116),OR($L1116&lt;0,$L1116&gt;100)),"RAW SCORE OUT OF RANGE",IF(AND($Y1116="Unexcused",OR($L1116="",NOT(ISNUMBER($L1116)),$L1116&lt;&gt;0)),"UNEXCUSED ABSENCE MUST RECORD 0",IF(COUNTIF(nrES_RecID,$B1116)&gt;1,"DUPLICATE RECORD",IF(N($K1116)&gt;2,"ATTEMPT 3+ NOT ALLOWED - policy 300.5 permits one retest per exam; this row records nothing",IF(AND($K1116=2,COUNTIFS(nrES_PID,$D1116,nrES_Code,$F1116,nrES_Att,1)=0),"ATTEMPT 2 WITHOUT ATTEMPT 1",IF(AND($K1116=2,$L1116=""),"RETEST ROW HAS NO SCORE",IF(AND($H1116="Final",$L1116&lt;&gt;"",IFERROR(INDEX(nrCKfinalExamElig,MATCH($D1116,rngCadetPIDs,0)),"")="No"),"FINAL EXAM AFTER FAILED FINAL PT (500.1.H)",IF(AND($K1116=2,ISNUMBER($L1116),COUNTIFS(nrES_PID,$D1116,nrES_Code,$F1116,nrES_Att,1)&gt;0,SUMIFS(nrES_Raw,nrES_PID,$D1116,nrES_Code,$F1116,nrES_Att,1)&gt;=$J1116),"RETEST AFTER A PASSING FIRST ATTEMPT","OK"))))))))))</f>
        <v/>
      </c>
      <c r="Y1116" s="16" t="n"/>
    </row>
    <row r="1117">
      <c r="B1117" s="17">
        <f>IF($C1117="","",$D1117&amp;"-"&amp;$F1117&amp;"-"&amp;$K1117)</f>
        <v/>
      </c>
      <c r="C1117" s="16" t="n"/>
      <c r="D1117" s="17">
        <f>IF($C1117="","",IFERROR(INDEX(rngCadetPIDs,MATCH($C1117,rngCadetNames,0)),"?"))</f>
        <v/>
      </c>
      <c r="E1117" s="17">
        <f>IF($D1117="","",IFERROR(INDEX(nrCadetAgency,MATCH($D1117,rngCadetPIDs,0)),""))</f>
        <v/>
      </c>
      <c r="F1117" s="16" t="n"/>
      <c r="G1117" s="17">
        <f>IF($F1117="","",IFERROR(INDEX(rngEPname,MATCH($F1117,rngEPcode,0)),"?"))</f>
        <v/>
      </c>
      <c r="H1117" s="17">
        <f>IF($F1117="","",IFERROR(INDEX(rngEPtype,MATCH($F1117,rngEPcode,0)),"?"))</f>
        <v/>
      </c>
      <c r="I1117" s="17">
        <f>IF($F1117="","",IFERROR(INDEX(rngEPseq,MATCH($F1117,rngEPcode,0)),""))</f>
        <v/>
      </c>
      <c r="J1117" s="17">
        <f>IF($F1117="","",IFERROR(INDEX(rngEPpass,MATCH($F1117,rngEPcode,0)),cfgPassingScore))</f>
        <v/>
      </c>
      <c r="K1117" s="16" t="n"/>
      <c r="L1117" s="16" t="n"/>
      <c r="M1117" s="17">
        <f>IF($C1117="","",IF($L1117="","",IF(NOT(ISNUMBER($L1117)),$L1117,IF(N($K1117)&gt;2,"",IF($K1117=1,IF(COUNTIFS(nrES_PID,$D1117,nrES_Code,$F1117,nrES_Att,2,nrES_Raw,"&gt;=0")&gt;0,"",$L1117),IF($L1117&gt;=$J1117,MAX($J1117,cfgRetakeRecordedCap),IF(COUNTIFS(nrES_PID,$D1117,nrES_Code,$F1117,nrES_Att,1)=0,$L1117,SUMIFS(nrES_Raw,nrES_PID,$D1117,nrES_Code,$F1117,nrES_Att,1))))))))</f>
        <v/>
      </c>
      <c r="N1117" s="17">
        <f>IF($C1117="","",IF($L1117="","",IF(NOT(ISNUMBER($L1117)),"(not a score)",IF($L1117&gt;=$J1117,"Yes","No"))))</f>
        <v/>
      </c>
      <c r="O1117" s="17">
        <f>IF($C1117="","",IF($M1117="","",IF(NOT(ISNUMBER($M1117)),"(not a score)",IF($M1117&gt;=$J1117,"Yes","No"))))</f>
        <v/>
      </c>
      <c r="P1117" s="17">
        <f>IF($C1117="","",IF($K1117="","",IF(N($K1117)&gt;2,"No",IF(COUNTIFS(nrES_PID,$D1117,nrES_Code,$F1117,nrES_Att,"&gt;"&amp;$K1117,nrES_Att,"&lt;=2",nrES_Raw,"&gt;=0")=0,"Yes","No"))))</f>
        <v/>
      </c>
      <c r="Q1117" s="17">
        <f>IF($C1117="","",IF($L1117="","",IF(AND($K1117=1,ISNUMBER($L1117),$L1117&lt;$J1117,COUNTIFS(nrES_PID,$D1117,nrES_Code,$F1117,nrES_Att,2,nrES_Raw,"&gt;=0")=0),"Yes","No")))</f>
        <v/>
      </c>
      <c r="R1117" s="17">
        <f>IF($C1117="","",IF($L1117="","",IF(AND(N($K1117)&gt;=2,ISNUMBER($L1117),$L1117&lt;$J1117),"Yes","No")))</f>
        <v/>
      </c>
      <c r="S1117" s="18" t="n"/>
      <c r="T1117" s="19">
        <f>IF(OR($C1117="",$L1117="",$K1117&lt;&gt;1,NOT(ISNUMBER($L1117)),$L1117&gt;=$J1117),"",IF($S1117="","(enter date)",_xlfn.LET(_xlpm.dn,_xlfn.XLOOKUP($S1117,nrCDdate,nrCDnum,"",1),IF(_xlpm.dn="","(after last class day)",_xlfn.LET(_xlpm.dd,_xlfn.XLOOKUP(_xlpm.dn+cfgRetestClassDays,nrCDnum,nrCDdate,""),_xlpm.ok,_xlfn.XLOOKUP(_xlpm.dn+cfgRetestClassDays,nrCDnum,nrCDinsession,"No"),IF(OR(_xlpm.dd="",_xlpm.ok&lt;&gt;"Yes"),"(after last class day)",_xlpm.dd))))))</f>
        <v/>
      </c>
      <c r="U1117" s="17">
        <f>IF($C1117="","",IF(AND($Y1117="Excused",$L1117="",N($K1117)&lt;=1),"EXCUSED - 1st attempt pending",IF(OR($L1117="",$K1117&lt;&gt;1,NOT(ISNUMBER($L1117)),$L1117&gt;=$J1117),"",IF(COUNTIFS(nrES_PID,$D1117,nrES_Code,$F1117,nrES_Att,2,nrES_Raw,"&gt;=0")&gt;0,IF(IFERROR(_xlfn.MINIFS(nrES_Date,nrES_PID,$D1117,nrES_Code,$F1117,nrES_Att,2,nrES_Raw,"&gt;=0",nrES_Date,"&gt;0"),0)=0,"RETEST UNDATED",IF(NOT(ISNUMBER($T1117)),"RETEST DATE UNCHECKED",IF(_xlfn.MINIFS(nrES_Date,nrES_PID,$D1117,nrES_Code,$F1117,nrES_Att,2,nrES_Raw,"&gt;=0",nrES_Date,"&gt;0")&gt;$T1117,"LATE RETEST "&amp;TEXT(_xlfn.MINIFS(nrES_Date,nrES_PID,$D1117,nrES_Code,$F1117,nrES_Att,2,nrES_Raw,"&gt;=0",nrES_Date,"&gt;0"),"mm/dd")&amp;" (due "&amp;TEXT($T1117,"mm/dd")&amp;")","Retested"))),IF(NOT(ISNUMBER($T1117)),"CHECK DATE",IF(TODAY()&gt;$T1117,"OVERDUE","Due "&amp;TEXT($T1117,"mm/dd")))))))</f>
        <v/>
      </c>
      <c r="V1117" s="16" t="n"/>
      <c r="W1117" s="16" t="n"/>
      <c r="X1117" s="17">
        <f>IF($C1117="","",IF(AND($L1117&lt;&gt;"",NOT(ISNUMBER($L1117))),"RAW SCORE NOT A NUMBER",IF(AND(ISNUMBER($L1117),OR($L1117&lt;0,$L1117&gt;100)),"RAW SCORE OUT OF RANGE",IF(AND($Y1117="Unexcused",OR($L1117="",NOT(ISNUMBER($L1117)),$L1117&lt;&gt;0)),"UNEXCUSED ABSENCE MUST RECORD 0",IF(COUNTIF(nrES_RecID,$B1117)&gt;1,"DUPLICATE RECORD",IF(N($K1117)&gt;2,"ATTEMPT 3+ NOT ALLOWED - policy 300.5 permits one retest per exam; this row records nothing",IF(AND($K1117=2,COUNTIFS(nrES_PID,$D1117,nrES_Code,$F1117,nrES_Att,1)=0),"ATTEMPT 2 WITHOUT ATTEMPT 1",IF(AND($K1117=2,$L1117=""),"RETEST ROW HAS NO SCORE",IF(AND($H1117="Final",$L1117&lt;&gt;"",IFERROR(INDEX(nrCKfinalExamElig,MATCH($D1117,rngCadetPIDs,0)),"")="No"),"FINAL EXAM AFTER FAILED FINAL PT (500.1.H)",IF(AND($K1117=2,ISNUMBER($L1117),COUNTIFS(nrES_PID,$D1117,nrES_Code,$F1117,nrES_Att,1)&gt;0,SUMIFS(nrES_Raw,nrES_PID,$D1117,nrES_Code,$F1117,nrES_Att,1)&gt;=$J1117),"RETEST AFTER A PASSING FIRST ATTEMPT","OK"))))))))))</f>
        <v/>
      </c>
      <c r="Y1117" s="16" t="n"/>
    </row>
    <row r="1118">
      <c r="B1118" s="17">
        <f>IF($C1118="","",$D1118&amp;"-"&amp;$F1118&amp;"-"&amp;$K1118)</f>
        <v/>
      </c>
      <c r="C1118" s="16" t="n"/>
      <c r="D1118" s="17">
        <f>IF($C1118="","",IFERROR(INDEX(rngCadetPIDs,MATCH($C1118,rngCadetNames,0)),"?"))</f>
        <v/>
      </c>
      <c r="E1118" s="17">
        <f>IF($D1118="","",IFERROR(INDEX(nrCadetAgency,MATCH($D1118,rngCadetPIDs,0)),""))</f>
        <v/>
      </c>
      <c r="F1118" s="16" t="n"/>
      <c r="G1118" s="17">
        <f>IF($F1118="","",IFERROR(INDEX(rngEPname,MATCH($F1118,rngEPcode,0)),"?"))</f>
        <v/>
      </c>
      <c r="H1118" s="17">
        <f>IF($F1118="","",IFERROR(INDEX(rngEPtype,MATCH($F1118,rngEPcode,0)),"?"))</f>
        <v/>
      </c>
      <c r="I1118" s="17">
        <f>IF($F1118="","",IFERROR(INDEX(rngEPseq,MATCH($F1118,rngEPcode,0)),""))</f>
        <v/>
      </c>
      <c r="J1118" s="17">
        <f>IF($F1118="","",IFERROR(INDEX(rngEPpass,MATCH($F1118,rngEPcode,0)),cfgPassingScore))</f>
        <v/>
      </c>
      <c r="K1118" s="16" t="n"/>
      <c r="L1118" s="16" t="n"/>
      <c r="M1118" s="17">
        <f>IF($C1118="","",IF($L1118="","",IF(NOT(ISNUMBER($L1118)),$L1118,IF(N($K1118)&gt;2,"",IF($K1118=1,IF(COUNTIFS(nrES_PID,$D1118,nrES_Code,$F1118,nrES_Att,2,nrES_Raw,"&gt;=0")&gt;0,"",$L1118),IF($L1118&gt;=$J1118,MAX($J1118,cfgRetakeRecordedCap),IF(COUNTIFS(nrES_PID,$D1118,nrES_Code,$F1118,nrES_Att,1)=0,$L1118,SUMIFS(nrES_Raw,nrES_PID,$D1118,nrES_Code,$F1118,nrES_Att,1))))))))</f>
        <v/>
      </c>
      <c r="N1118" s="17">
        <f>IF($C1118="","",IF($L1118="","",IF(NOT(ISNUMBER($L1118)),"(not a score)",IF($L1118&gt;=$J1118,"Yes","No"))))</f>
        <v/>
      </c>
      <c r="O1118" s="17">
        <f>IF($C1118="","",IF($M1118="","",IF(NOT(ISNUMBER($M1118)),"(not a score)",IF($M1118&gt;=$J1118,"Yes","No"))))</f>
        <v/>
      </c>
      <c r="P1118" s="17">
        <f>IF($C1118="","",IF($K1118="","",IF(N($K1118)&gt;2,"No",IF(COUNTIFS(nrES_PID,$D1118,nrES_Code,$F1118,nrES_Att,"&gt;"&amp;$K1118,nrES_Att,"&lt;=2",nrES_Raw,"&gt;=0")=0,"Yes","No"))))</f>
        <v/>
      </c>
      <c r="Q1118" s="17">
        <f>IF($C1118="","",IF($L1118="","",IF(AND($K1118=1,ISNUMBER($L1118),$L1118&lt;$J1118,COUNTIFS(nrES_PID,$D1118,nrES_Code,$F1118,nrES_Att,2,nrES_Raw,"&gt;=0")=0),"Yes","No")))</f>
        <v/>
      </c>
      <c r="R1118" s="17">
        <f>IF($C1118="","",IF($L1118="","",IF(AND(N($K1118)&gt;=2,ISNUMBER($L1118),$L1118&lt;$J1118),"Yes","No")))</f>
        <v/>
      </c>
      <c r="S1118" s="18" t="n"/>
      <c r="T1118" s="19">
        <f>IF(OR($C1118="",$L1118="",$K1118&lt;&gt;1,NOT(ISNUMBER($L1118)),$L1118&gt;=$J1118),"",IF($S1118="","(enter date)",_xlfn.LET(_xlpm.dn,_xlfn.XLOOKUP($S1118,nrCDdate,nrCDnum,"",1),IF(_xlpm.dn="","(after last class day)",_xlfn.LET(_xlpm.dd,_xlfn.XLOOKUP(_xlpm.dn+cfgRetestClassDays,nrCDnum,nrCDdate,""),_xlpm.ok,_xlfn.XLOOKUP(_xlpm.dn+cfgRetestClassDays,nrCDnum,nrCDinsession,"No"),IF(OR(_xlpm.dd="",_xlpm.ok&lt;&gt;"Yes"),"(after last class day)",_xlpm.dd))))))</f>
        <v/>
      </c>
      <c r="U1118" s="17">
        <f>IF($C1118="","",IF(AND($Y1118="Excused",$L1118="",N($K1118)&lt;=1),"EXCUSED - 1st attempt pending",IF(OR($L1118="",$K1118&lt;&gt;1,NOT(ISNUMBER($L1118)),$L1118&gt;=$J1118),"",IF(COUNTIFS(nrES_PID,$D1118,nrES_Code,$F1118,nrES_Att,2,nrES_Raw,"&gt;=0")&gt;0,IF(IFERROR(_xlfn.MINIFS(nrES_Date,nrES_PID,$D1118,nrES_Code,$F1118,nrES_Att,2,nrES_Raw,"&gt;=0",nrES_Date,"&gt;0"),0)=0,"RETEST UNDATED",IF(NOT(ISNUMBER($T1118)),"RETEST DATE UNCHECKED",IF(_xlfn.MINIFS(nrES_Date,nrES_PID,$D1118,nrES_Code,$F1118,nrES_Att,2,nrES_Raw,"&gt;=0",nrES_Date,"&gt;0")&gt;$T1118,"LATE RETEST "&amp;TEXT(_xlfn.MINIFS(nrES_Date,nrES_PID,$D1118,nrES_Code,$F1118,nrES_Att,2,nrES_Raw,"&gt;=0",nrES_Date,"&gt;0"),"mm/dd")&amp;" (due "&amp;TEXT($T1118,"mm/dd")&amp;")","Retested"))),IF(NOT(ISNUMBER($T1118)),"CHECK DATE",IF(TODAY()&gt;$T1118,"OVERDUE","Due "&amp;TEXT($T1118,"mm/dd")))))))</f>
        <v/>
      </c>
      <c r="V1118" s="16" t="n"/>
      <c r="W1118" s="16" t="n"/>
      <c r="X1118" s="17">
        <f>IF($C1118="","",IF(AND($L1118&lt;&gt;"",NOT(ISNUMBER($L1118))),"RAW SCORE NOT A NUMBER",IF(AND(ISNUMBER($L1118),OR($L1118&lt;0,$L1118&gt;100)),"RAW SCORE OUT OF RANGE",IF(AND($Y1118="Unexcused",OR($L1118="",NOT(ISNUMBER($L1118)),$L1118&lt;&gt;0)),"UNEXCUSED ABSENCE MUST RECORD 0",IF(COUNTIF(nrES_RecID,$B1118)&gt;1,"DUPLICATE RECORD",IF(N($K1118)&gt;2,"ATTEMPT 3+ NOT ALLOWED - policy 300.5 permits one retest per exam; this row records nothing",IF(AND($K1118=2,COUNTIFS(nrES_PID,$D1118,nrES_Code,$F1118,nrES_Att,1)=0),"ATTEMPT 2 WITHOUT ATTEMPT 1",IF(AND($K1118=2,$L1118=""),"RETEST ROW HAS NO SCORE",IF(AND($H1118="Final",$L1118&lt;&gt;"",IFERROR(INDEX(nrCKfinalExamElig,MATCH($D1118,rngCadetPIDs,0)),"")="No"),"FINAL EXAM AFTER FAILED FINAL PT (500.1.H)",IF(AND($K1118=2,ISNUMBER($L1118),COUNTIFS(nrES_PID,$D1118,nrES_Code,$F1118,nrES_Att,1)&gt;0,SUMIFS(nrES_Raw,nrES_PID,$D1118,nrES_Code,$F1118,nrES_Att,1)&gt;=$J1118),"RETEST AFTER A PASSING FIRST ATTEMPT","OK"))))))))))</f>
        <v/>
      </c>
      <c r="Y1118" s="16" t="n"/>
    </row>
    <row r="1119">
      <c r="B1119" s="17">
        <f>IF($C1119="","",$D1119&amp;"-"&amp;$F1119&amp;"-"&amp;$K1119)</f>
        <v/>
      </c>
      <c r="C1119" s="16" t="n"/>
      <c r="D1119" s="17">
        <f>IF($C1119="","",IFERROR(INDEX(rngCadetPIDs,MATCH($C1119,rngCadetNames,0)),"?"))</f>
        <v/>
      </c>
      <c r="E1119" s="17">
        <f>IF($D1119="","",IFERROR(INDEX(nrCadetAgency,MATCH($D1119,rngCadetPIDs,0)),""))</f>
        <v/>
      </c>
      <c r="F1119" s="16" t="n"/>
      <c r="G1119" s="17">
        <f>IF($F1119="","",IFERROR(INDEX(rngEPname,MATCH($F1119,rngEPcode,0)),"?"))</f>
        <v/>
      </c>
      <c r="H1119" s="17">
        <f>IF($F1119="","",IFERROR(INDEX(rngEPtype,MATCH($F1119,rngEPcode,0)),"?"))</f>
        <v/>
      </c>
      <c r="I1119" s="17">
        <f>IF($F1119="","",IFERROR(INDEX(rngEPseq,MATCH($F1119,rngEPcode,0)),""))</f>
        <v/>
      </c>
      <c r="J1119" s="17">
        <f>IF($F1119="","",IFERROR(INDEX(rngEPpass,MATCH($F1119,rngEPcode,0)),cfgPassingScore))</f>
        <v/>
      </c>
      <c r="K1119" s="16" t="n"/>
      <c r="L1119" s="16" t="n"/>
      <c r="M1119" s="17">
        <f>IF($C1119="","",IF($L1119="","",IF(NOT(ISNUMBER($L1119)),$L1119,IF(N($K1119)&gt;2,"",IF($K1119=1,IF(COUNTIFS(nrES_PID,$D1119,nrES_Code,$F1119,nrES_Att,2,nrES_Raw,"&gt;=0")&gt;0,"",$L1119),IF($L1119&gt;=$J1119,MAX($J1119,cfgRetakeRecordedCap),IF(COUNTIFS(nrES_PID,$D1119,nrES_Code,$F1119,nrES_Att,1)=0,$L1119,SUMIFS(nrES_Raw,nrES_PID,$D1119,nrES_Code,$F1119,nrES_Att,1))))))))</f>
        <v/>
      </c>
      <c r="N1119" s="17">
        <f>IF($C1119="","",IF($L1119="","",IF(NOT(ISNUMBER($L1119)),"(not a score)",IF($L1119&gt;=$J1119,"Yes","No"))))</f>
        <v/>
      </c>
      <c r="O1119" s="17">
        <f>IF($C1119="","",IF($M1119="","",IF(NOT(ISNUMBER($M1119)),"(not a score)",IF($M1119&gt;=$J1119,"Yes","No"))))</f>
        <v/>
      </c>
      <c r="P1119" s="17">
        <f>IF($C1119="","",IF($K1119="","",IF(N($K1119)&gt;2,"No",IF(COUNTIFS(nrES_PID,$D1119,nrES_Code,$F1119,nrES_Att,"&gt;"&amp;$K1119,nrES_Att,"&lt;=2",nrES_Raw,"&gt;=0")=0,"Yes","No"))))</f>
        <v/>
      </c>
      <c r="Q1119" s="17">
        <f>IF($C1119="","",IF($L1119="","",IF(AND($K1119=1,ISNUMBER($L1119),$L1119&lt;$J1119,COUNTIFS(nrES_PID,$D1119,nrES_Code,$F1119,nrES_Att,2,nrES_Raw,"&gt;=0")=0),"Yes","No")))</f>
        <v/>
      </c>
      <c r="R1119" s="17">
        <f>IF($C1119="","",IF($L1119="","",IF(AND(N($K1119)&gt;=2,ISNUMBER($L1119),$L1119&lt;$J1119),"Yes","No")))</f>
        <v/>
      </c>
      <c r="S1119" s="18" t="n"/>
      <c r="T1119" s="19">
        <f>IF(OR($C1119="",$L1119="",$K1119&lt;&gt;1,NOT(ISNUMBER($L1119)),$L1119&gt;=$J1119),"",IF($S1119="","(enter date)",_xlfn.LET(_xlpm.dn,_xlfn.XLOOKUP($S1119,nrCDdate,nrCDnum,"",1),IF(_xlpm.dn="","(after last class day)",_xlfn.LET(_xlpm.dd,_xlfn.XLOOKUP(_xlpm.dn+cfgRetestClassDays,nrCDnum,nrCDdate,""),_xlpm.ok,_xlfn.XLOOKUP(_xlpm.dn+cfgRetestClassDays,nrCDnum,nrCDinsession,"No"),IF(OR(_xlpm.dd="",_xlpm.ok&lt;&gt;"Yes"),"(after last class day)",_xlpm.dd))))))</f>
        <v/>
      </c>
      <c r="U1119" s="17">
        <f>IF($C1119="","",IF(AND($Y1119="Excused",$L1119="",N($K1119)&lt;=1),"EXCUSED - 1st attempt pending",IF(OR($L1119="",$K1119&lt;&gt;1,NOT(ISNUMBER($L1119)),$L1119&gt;=$J1119),"",IF(COUNTIFS(nrES_PID,$D1119,nrES_Code,$F1119,nrES_Att,2,nrES_Raw,"&gt;=0")&gt;0,IF(IFERROR(_xlfn.MINIFS(nrES_Date,nrES_PID,$D1119,nrES_Code,$F1119,nrES_Att,2,nrES_Raw,"&gt;=0",nrES_Date,"&gt;0"),0)=0,"RETEST UNDATED",IF(NOT(ISNUMBER($T1119)),"RETEST DATE UNCHECKED",IF(_xlfn.MINIFS(nrES_Date,nrES_PID,$D1119,nrES_Code,$F1119,nrES_Att,2,nrES_Raw,"&gt;=0",nrES_Date,"&gt;0")&gt;$T1119,"LATE RETEST "&amp;TEXT(_xlfn.MINIFS(nrES_Date,nrES_PID,$D1119,nrES_Code,$F1119,nrES_Att,2,nrES_Raw,"&gt;=0",nrES_Date,"&gt;0"),"mm/dd")&amp;" (due "&amp;TEXT($T1119,"mm/dd")&amp;")","Retested"))),IF(NOT(ISNUMBER($T1119)),"CHECK DATE",IF(TODAY()&gt;$T1119,"OVERDUE","Due "&amp;TEXT($T1119,"mm/dd")))))))</f>
        <v/>
      </c>
      <c r="V1119" s="16" t="n"/>
      <c r="W1119" s="16" t="n"/>
      <c r="X1119" s="17">
        <f>IF($C1119="","",IF(AND($L1119&lt;&gt;"",NOT(ISNUMBER($L1119))),"RAW SCORE NOT A NUMBER",IF(AND(ISNUMBER($L1119),OR($L1119&lt;0,$L1119&gt;100)),"RAW SCORE OUT OF RANGE",IF(AND($Y1119="Unexcused",OR($L1119="",NOT(ISNUMBER($L1119)),$L1119&lt;&gt;0)),"UNEXCUSED ABSENCE MUST RECORD 0",IF(COUNTIF(nrES_RecID,$B1119)&gt;1,"DUPLICATE RECORD",IF(N($K1119)&gt;2,"ATTEMPT 3+ NOT ALLOWED - policy 300.5 permits one retest per exam; this row records nothing",IF(AND($K1119=2,COUNTIFS(nrES_PID,$D1119,nrES_Code,$F1119,nrES_Att,1)=0),"ATTEMPT 2 WITHOUT ATTEMPT 1",IF(AND($K1119=2,$L1119=""),"RETEST ROW HAS NO SCORE",IF(AND($H1119="Final",$L1119&lt;&gt;"",IFERROR(INDEX(nrCKfinalExamElig,MATCH($D1119,rngCadetPIDs,0)),"")="No"),"FINAL EXAM AFTER FAILED FINAL PT (500.1.H)",IF(AND($K1119=2,ISNUMBER($L1119),COUNTIFS(nrES_PID,$D1119,nrES_Code,$F1119,nrES_Att,1)&gt;0,SUMIFS(nrES_Raw,nrES_PID,$D1119,nrES_Code,$F1119,nrES_Att,1)&gt;=$J1119),"RETEST AFTER A PASSING FIRST ATTEMPT","OK"))))))))))</f>
        <v/>
      </c>
      <c r="Y1119" s="16" t="n"/>
    </row>
    <row r="1120">
      <c r="B1120" s="17">
        <f>IF($C1120="","",$D1120&amp;"-"&amp;$F1120&amp;"-"&amp;$K1120)</f>
        <v/>
      </c>
      <c r="C1120" s="16" t="n"/>
      <c r="D1120" s="17">
        <f>IF($C1120="","",IFERROR(INDEX(rngCadetPIDs,MATCH($C1120,rngCadetNames,0)),"?"))</f>
        <v/>
      </c>
      <c r="E1120" s="17">
        <f>IF($D1120="","",IFERROR(INDEX(nrCadetAgency,MATCH($D1120,rngCadetPIDs,0)),""))</f>
        <v/>
      </c>
      <c r="F1120" s="16" t="n"/>
      <c r="G1120" s="17">
        <f>IF($F1120="","",IFERROR(INDEX(rngEPname,MATCH($F1120,rngEPcode,0)),"?"))</f>
        <v/>
      </c>
      <c r="H1120" s="17">
        <f>IF($F1120="","",IFERROR(INDEX(rngEPtype,MATCH($F1120,rngEPcode,0)),"?"))</f>
        <v/>
      </c>
      <c r="I1120" s="17">
        <f>IF($F1120="","",IFERROR(INDEX(rngEPseq,MATCH($F1120,rngEPcode,0)),""))</f>
        <v/>
      </c>
      <c r="J1120" s="17">
        <f>IF($F1120="","",IFERROR(INDEX(rngEPpass,MATCH($F1120,rngEPcode,0)),cfgPassingScore))</f>
        <v/>
      </c>
      <c r="K1120" s="16" t="n"/>
      <c r="L1120" s="16" t="n"/>
      <c r="M1120" s="17">
        <f>IF($C1120="","",IF($L1120="","",IF(NOT(ISNUMBER($L1120)),$L1120,IF(N($K1120)&gt;2,"",IF($K1120=1,IF(COUNTIFS(nrES_PID,$D1120,nrES_Code,$F1120,nrES_Att,2,nrES_Raw,"&gt;=0")&gt;0,"",$L1120),IF($L1120&gt;=$J1120,MAX($J1120,cfgRetakeRecordedCap),IF(COUNTIFS(nrES_PID,$D1120,nrES_Code,$F1120,nrES_Att,1)=0,$L1120,SUMIFS(nrES_Raw,nrES_PID,$D1120,nrES_Code,$F1120,nrES_Att,1))))))))</f>
        <v/>
      </c>
      <c r="N1120" s="17">
        <f>IF($C1120="","",IF($L1120="","",IF(NOT(ISNUMBER($L1120)),"(not a score)",IF($L1120&gt;=$J1120,"Yes","No"))))</f>
        <v/>
      </c>
      <c r="O1120" s="17">
        <f>IF($C1120="","",IF($M1120="","",IF(NOT(ISNUMBER($M1120)),"(not a score)",IF($M1120&gt;=$J1120,"Yes","No"))))</f>
        <v/>
      </c>
      <c r="P1120" s="17">
        <f>IF($C1120="","",IF($K1120="","",IF(N($K1120)&gt;2,"No",IF(COUNTIFS(nrES_PID,$D1120,nrES_Code,$F1120,nrES_Att,"&gt;"&amp;$K1120,nrES_Att,"&lt;=2",nrES_Raw,"&gt;=0")=0,"Yes","No"))))</f>
        <v/>
      </c>
      <c r="Q1120" s="17">
        <f>IF($C1120="","",IF($L1120="","",IF(AND($K1120=1,ISNUMBER($L1120),$L1120&lt;$J1120,COUNTIFS(nrES_PID,$D1120,nrES_Code,$F1120,nrES_Att,2,nrES_Raw,"&gt;=0")=0),"Yes","No")))</f>
        <v/>
      </c>
      <c r="R1120" s="17">
        <f>IF($C1120="","",IF($L1120="","",IF(AND(N($K1120)&gt;=2,ISNUMBER($L1120),$L1120&lt;$J1120),"Yes","No")))</f>
        <v/>
      </c>
      <c r="S1120" s="18" t="n"/>
      <c r="T1120" s="19">
        <f>IF(OR($C1120="",$L1120="",$K1120&lt;&gt;1,NOT(ISNUMBER($L1120)),$L1120&gt;=$J1120),"",IF($S1120="","(enter date)",_xlfn.LET(_xlpm.dn,_xlfn.XLOOKUP($S1120,nrCDdate,nrCDnum,"",1),IF(_xlpm.dn="","(after last class day)",_xlfn.LET(_xlpm.dd,_xlfn.XLOOKUP(_xlpm.dn+cfgRetestClassDays,nrCDnum,nrCDdate,""),_xlpm.ok,_xlfn.XLOOKUP(_xlpm.dn+cfgRetestClassDays,nrCDnum,nrCDinsession,"No"),IF(OR(_xlpm.dd="",_xlpm.ok&lt;&gt;"Yes"),"(after last class day)",_xlpm.dd))))))</f>
        <v/>
      </c>
      <c r="U1120" s="17">
        <f>IF($C1120="","",IF(AND($Y1120="Excused",$L1120="",N($K1120)&lt;=1),"EXCUSED - 1st attempt pending",IF(OR($L1120="",$K1120&lt;&gt;1,NOT(ISNUMBER($L1120)),$L1120&gt;=$J1120),"",IF(COUNTIFS(nrES_PID,$D1120,nrES_Code,$F1120,nrES_Att,2,nrES_Raw,"&gt;=0")&gt;0,IF(IFERROR(_xlfn.MINIFS(nrES_Date,nrES_PID,$D1120,nrES_Code,$F1120,nrES_Att,2,nrES_Raw,"&gt;=0",nrES_Date,"&gt;0"),0)=0,"RETEST UNDATED",IF(NOT(ISNUMBER($T1120)),"RETEST DATE UNCHECKED",IF(_xlfn.MINIFS(nrES_Date,nrES_PID,$D1120,nrES_Code,$F1120,nrES_Att,2,nrES_Raw,"&gt;=0",nrES_Date,"&gt;0")&gt;$T1120,"LATE RETEST "&amp;TEXT(_xlfn.MINIFS(nrES_Date,nrES_PID,$D1120,nrES_Code,$F1120,nrES_Att,2,nrES_Raw,"&gt;=0",nrES_Date,"&gt;0"),"mm/dd")&amp;" (due "&amp;TEXT($T1120,"mm/dd")&amp;")","Retested"))),IF(NOT(ISNUMBER($T1120)),"CHECK DATE",IF(TODAY()&gt;$T1120,"OVERDUE","Due "&amp;TEXT($T1120,"mm/dd")))))))</f>
        <v/>
      </c>
      <c r="V1120" s="16" t="n"/>
      <c r="W1120" s="16" t="n"/>
      <c r="X1120" s="17">
        <f>IF($C1120="","",IF(AND($L1120&lt;&gt;"",NOT(ISNUMBER($L1120))),"RAW SCORE NOT A NUMBER",IF(AND(ISNUMBER($L1120),OR($L1120&lt;0,$L1120&gt;100)),"RAW SCORE OUT OF RANGE",IF(AND($Y1120="Unexcused",OR($L1120="",NOT(ISNUMBER($L1120)),$L1120&lt;&gt;0)),"UNEXCUSED ABSENCE MUST RECORD 0",IF(COUNTIF(nrES_RecID,$B1120)&gt;1,"DUPLICATE RECORD",IF(N($K1120)&gt;2,"ATTEMPT 3+ NOT ALLOWED - policy 300.5 permits one retest per exam; this row records nothing",IF(AND($K1120=2,COUNTIFS(nrES_PID,$D1120,nrES_Code,$F1120,nrES_Att,1)=0),"ATTEMPT 2 WITHOUT ATTEMPT 1",IF(AND($K1120=2,$L1120=""),"RETEST ROW HAS NO SCORE",IF(AND($H1120="Final",$L1120&lt;&gt;"",IFERROR(INDEX(nrCKfinalExamElig,MATCH($D1120,rngCadetPIDs,0)),"")="No"),"FINAL EXAM AFTER FAILED FINAL PT (500.1.H)",IF(AND($K1120=2,ISNUMBER($L1120),COUNTIFS(nrES_PID,$D1120,nrES_Code,$F1120,nrES_Att,1)&gt;0,SUMIFS(nrES_Raw,nrES_PID,$D1120,nrES_Code,$F1120,nrES_Att,1)&gt;=$J1120),"RETEST AFTER A PASSING FIRST ATTEMPT","OK"))))))))))</f>
        <v/>
      </c>
      <c r="Y1120" s="16" t="n"/>
    </row>
    <row r="1121">
      <c r="B1121" s="17">
        <f>IF($C1121="","",$D1121&amp;"-"&amp;$F1121&amp;"-"&amp;$K1121)</f>
        <v/>
      </c>
      <c r="C1121" s="16" t="n"/>
      <c r="D1121" s="17">
        <f>IF($C1121="","",IFERROR(INDEX(rngCadetPIDs,MATCH($C1121,rngCadetNames,0)),"?"))</f>
        <v/>
      </c>
      <c r="E1121" s="17">
        <f>IF($D1121="","",IFERROR(INDEX(nrCadetAgency,MATCH($D1121,rngCadetPIDs,0)),""))</f>
        <v/>
      </c>
      <c r="F1121" s="16" t="n"/>
      <c r="G1121" s="17">
        <f>IF($F1121="","",IFERROR(INDEX(rngEPname,MATCH($F1121,rngEPcode,0)),"?"))</f>
        <v/>
      </c>
      <c r="H1121" s="17">
        <f>IF($F1121="","",IFERROR(INDEX(rngEPtype,MATCH($F1121,rngEPcode,0)),"?"))</f>
        <v/>
      </c>
      <c r="I1121" s="17">
        <f>IF($F1121="","",IFERROR(INDEX(rngEPseq,MATCH($F1121,rngEPcode,0)),""))</f>
        <v/>
      </c>
      <c r="J1121" s="17">
        <f>IF($F1121="","",IFERROR(INDEX(rngEPpass,MATCH($F1121,rngEPcode,0)),cfgPassingScore))</f>
        <v/>
      </c>
      <c r="K1121" s="16" t="n"/>
      <c r="L1121" s="16" t="n"/>
      <c r="M1121" s="17">
        <f>IF($C1121="","",IF($L1121="","",IF(NOT(ISNUMBER($L1121)),$L1121,IF(N($K1121)&gt;2,"",IF($K1121=1,IF(COUNTIFS(nrES_PID,$D1121,nrES_Code,$F1121,nrES_Att,2,nrES_Raw,"&gt;=0")&gt;0,"",$L1121),IF($L1121&gt;=$J1121,MAX($J1121,cfgRetakeRecordedCap),IF(COUNTIFS(nrES_PID,$D1121,nrES_Code,$F1121,nrES_Att,1)=0,$L1121,SUMIFS(nrES_Raw,nrES_PID,$D1121,nrES_Code,$F1121,nrES_Att,1))))))))</f>
        <v/>
      </c>
      <c r="N1121" s="17">
        <f>IF($C1121="","",IF($L1121="","",IF(NOT(ISNUMBER($L1121)),"(not a score)",IF($L1121&gt;=$J1121,"Yes","No"))))</f>
        <v/>
      </c>
      <c r="O1121" s="17">
        <f>IF($C1121="","",IF($M1121="","",IF(NOT(ISNUMBER($M1121)),"(not a score)",IF($M1121&gt;=$J1121,"Yes","No"))))</f>
        <v/>
      </c>
      <c r="P1121" s="17">
        <f>IF($C1121="","",IF($K1121="","",IF(N($K1121)&gt;2,"No",IF(COUNTIFS(nrES_PID,$D1121,nrES_Code,$F1121,nrES_Att,"&gt;"&amp;$K1121,nrES_Att,"&lt;=2",nrES_Raw,"&gt;=0")=0,"Yes","No"))))</f>
        <v/>
      </c>
      <c r="Q1121" s="17">
        <f>IF($C1121="","",IF($L1121="","",IF(AND($K1121=1,ISNUMBER($L1121),$L1121&lt;$J1121,COUNTIFS(nrES_PID,$D1121,nrES_Code,$F1121,nrES_Att,2,nrES_Raw,"&gt;=0")=0),"Yes","No")))</f>
        <v/>
      </c>
      <c r="R1121" s="17">
        <f>IF($C1121="","",IF($L1121="","",IF(AND(N($K1121)&gt;=2,ISNUMBER($L1121),$L1121&lt;$J1121),"Yes","No")))</f>
        <v/>
      </c>
      <c r="S1121" s="18" t="n"/>
      <c r="T1121" s="19">
        <f>IF(OR($C1121="",$L1121="",$K1121&lt;&gt;1,NOT(ISNUMBER($L1121)),$L1121&gt;=$J1121),"",IF($S1121="","(enter date)",_xlfn.LET(_xlpm.dn,_xlfn.XLOOKUP($S1121,nrCDdate,nrCDnum,"",1),IF(_xlpm.dn="","(after last class day)",_xlfn.LET(_xlpm.dd,_xlfn.XLOOKUP(_xlpm.dn+cfgRetestClassDays,nrCDnum,nrCDdate,""),_xlpm.ok,_xlfn.XLOOKUP(_xlpm.dn+cfgRetestClassDays,nrCDnum,nrCDinsession,"No"),IF(OR(_xlpm.dd="",_xlpm.ok&lt;&gt;"Yes"),"(after last class day)",_xlpm.dd))))))</f>
        <v/>
      </c>
      <c r="U1121" s="17">
        <f>IF($C1121="","",IF(AND($Y1121="Excused",$L1121="",N($K1121)&lt;=1),"EXCUSED - 1st attempt pending",IF(OR($L1121="",$K1121&lt;&gt;1,NOT(ISNUMBER($L1121)),$L1121&gt;=$J1121),"",IF(COUNTIFS(nrES_PID,$D1121,nrES_Code,$F1121,nrES_Att,2,nrES_Raw,"&gt;=0")&gt;0,IF(IFERROR(_xlfn.MINIFS(nrES_Date,nrES_PID,$D1121,nrES_Code,$F1121,nrES_Att,2,nrES_Raw,"&gt;=0",nrES_Date,"&gt;0"),0)=0,"RETEST UNDATED",IF(NOT(ISNUMBER($T1121)),"RETEST DATE UNCHECKED",IF(_xlfn.MINIFS(nrES_Date,nrES_PID,$D1121,nrES_Code,$F1121,nrES_Att,2,nrES_Raw,"&gt;=0",nrES_Date,"&gt;0")&gt;$T1121,"LATE RETEST "&amp;TEXT(_xlfn.MINIFS(nrES_Date,nrES_PID,$D1121,nrES_Code,$F1121,nrES_Att,2,nrES_Raw,"&gt;=0",nrES_Date,"&gt;0"),"mm/dd")&amp;" (due "&amp;TEXT($T1121,"mm/dd")&amp;")","Retested"))),IF(NOT(ISNUMBER($T1121)),"CHECK DATE",IF(TODAY()&gt;$T1121,"OVERDUE","Due "&amp;TEXT($T1121,"mm/dd")))))))</f>
        <v/>
      </c>
      <c r="V1121" s="16" t="n"/>
      <c r="W1121" s="16" t="n"/>
      <c r="X1121" s="17">
        <f>IF($C1121="","",IF(AND($L1121&lt;&gt;"",NOT(ISNUMBER($L1121))),"RAW SCORE NOT A NUMBER",IF(AND(ISNUMBER($L1121),OR($L1121&lt;0,$L1121&gt;100)),"RAW SCORE OUT OF RANGE",IF(AND($Y1121="Unexcused",OR($L1121="",NOT(ISNUMBER($L1121)),$L1121&lt;&gt;0)),"UNEXCUSED ABSENCE MUST RECORD 0",IF(COUNTIF(nrES_RecID,$B1121)&gt;1,"DUPLICATE RECORD",IF(N($K1121)&gt;2,"ATTEMPT 3+ NOT ALLOWED - policy 300.5 permits one retest per exam; this row records nothing",IF(AND($K1121=2,COUNTIFS(nrES_PID,$D1121,nrES_Code,$F1121,nrES_Att,1)=0),"ATTEMPT 2 WITHOUT ATTEMPT 1",IF(AND($K1121=2,$L1121=""),"RETEST ROW HAS NO SCORE",IF(AND($H1121="Final",$L1121&lt;&gt;"",IFERROR(INDEX(nrCKfinalExamElig,MATCH($D1121,rngCadetPIDs,0)),"")="No"),"FINAL EXAM AFTER FAILED FINAL PT (500.1.H)",IF(AND($K1121=2,ISNUMBER($L1121),COUNTIFS(nrES_PID,$D1121,nrES_Code,$F1121,nrES_Att,1)&gt;0,SUMIFS(nrES_Raw,nrES_PID,$D1121,nrES_Code,$F1121,nrES_Att,1)&gt;=$J1121),"RETEST AFTER A PASSING FIRST ATTEMPT","OK"))))))))))</f>
        <v/>
      </c>
      <c r="Y1121" s="16" t="n"/>
    </row>
    <row r="1122">
      <c r="B1122" s="17">
        <f>IF($C1122="","",$D1122&amp;"-"&amp;$F1122&amp;"-"&amp;$K1122)</f>
        <v/>
      </c>
      <c r="C1122" s="16" t="n"/>
      <c r="D1122" s="17">
        <f>IF($C1122="","",IFERROR(INDEX(rngCadetPIDs,MATCH($C1122,rngCadetNames,0)),"?"))</f>
        <v/>
      </c>
      <c r="E1122" s="17">
        <f>IF($D1122="","",IFERROR(INDEX(nrCadetAgency,MATCH($D1122,rngCadetPIDs,0)),""))</f>
        <v/>
      </c>
      <c r="F1122" s="16" t="n"/>
      <c r="G1122" s="17">
        <f>IF($F1122="","",IFERROR(INDEX(rngEPname,MATCH($F1122,rngEPcode,0)),"?"))</f>
        <v/>
      </c>
      <c r="H1122" s="17">
        <f>IF($F1122="","",IFERROR(INDEX(rngEPtype,MATCH($F1122,rngEPcode,0)),"?"))</f>
        <v/>
      </c>
      <c r="I1122" s="17">
        <f>IF($F1122="","",IFERROR(INDEX(rngEPseq,MATCH($F1122,rngEPcode,0)),""))</f>
        <v/>
      </c>
      <c r="J1122" s="17">
        <f>IF($F1122="","",IFERROR(INDEX(rngEPpass,MATCH($F1122,rngEPcode,0)),cfgPassingScore))</f>
        <v/>
      </c>
      <c r="K1122" s="16" t="n"/>
      <c r="L1122" s="16" t="n"/>
      <c r="M1122" s="17">
        <f>IF($C1122="","",IF($L1122="","",IF(NOT(ISNUMBER($L1122)),$L1122,IF(N($K1122)&gt;2,"",IF($K1122=1,IF(COUNTIFS(nrES_PID,$D1122,nrES_Code,$F1122,nrES_Att,2,nrES_Raw,"&gt;=0")&gt;0,"",$L1122),IF($L1122&gt;=$J1122,MAX($J1122,cfgRetakeRecordedCap),IF(COUNTIFS(nrES_PID,$D1122,nrES_Code,$F1122,nrES_Att,1)=0,$L1122,SUMIFS(nrES_Raw,nrES_PID,$D1122,nrES_Code,$F1122,nrES_Att,1))))))))</f>
        <v/>
      </c>
      <c r="N1122" s="17">
        <f>IF($C1122="","",IF($L1122="","",IF(NOT(ISNUMBER($L1122)),"(not a score)",IF($L1122&gt;=$J1122,"Yes","No"))))</f>
        <v/>
      </c>
      <c r="O1122" s="17">
        <f>IF($C1122="","",IF($M1122="","",IF(NOT(ISNUMBER($M1122)),"(not a score)",IF($M1122&gt;=$J1122,"Yes","No"))))</f>
        <v/>
      </c>
      <c r="P1122" s="17">
        <f>IF($C1122="","",IF($K1122="","",IF(N($K1122)&gt;2,"No",IF(COUNTIFS(nrES_PID,$D1122,nrES_Code,$F1122,nrES_Att,"&gt;"&amp;$K1122,nrES_Att,"&lt;=2",nrES_Raw,"&gt;=0")=0,"Yes","No"))))</f>
        <v/>
      </c>
      <c r="Q1122" s="17">
        <f>IF($C1122="","",IF($L1122="","",IF(AND($K1122=1,ISNUMBER($L1122),$L1122&lt;$J1122,COUNTIFS(nrES_PID,$D1122,nrES_Code,$F1122,nrES_Att,2,nrES_Raw,"&gt;=0")=0),"Yes","No")))</f>
        <v/>
      </c>
      <c r="R1122" s="17">
        <f>IF($C1122="","",IF($L1122="","",IF(AND(N($K1122)&gt;=2,ISNUMBER($L1122),$L1122&lt;$J1122),"Yes","No")))</f>
        <v/>
      </c>
      <c r="S1122" s="18" t="n"/>
      <c r="T1122" s="19">
        <f>IF(OR($C1122="",$L1122="",$K1122&lt;&gt;1,NOT(ISNUMBER($L1122)),$L1122&gt;=$J1122),"",IF($S1122="","(enter date)",_xlfn.LET(_xlpm.dn,_xlfn.XLOOKUP($S1122,nrCDdate,nrCDnum,"",1),IF(_xlpm.dn="","(after last class day)",_xlfn.LET(_xlpm.dd,_xlfn.XLOOKUP(_xlpm.dn+cfgRetestClassDays,nrCDnum,nrCDdate,""),_xlpm.ok,_xlfn.XLOOKUP(_xlpm.dn+cfgRetestClassDays,nrCDnum,nrCDinsession,"No"),IF(OR(_xlpm.dd="",_xlpm.ok&lt;&gt;"Yes"),"(after last class day)",_xlpm.dd))))))</f>
        <v/>
      </c>
      <c r="U1122" s="17">
        <f>IF($C1122="","",IF(AND($Y1122="Excused",$L1122="",N($K1122)&lt;=1),"EXCUSED - 1st attempt pending",IF(OR($L1122="",$K1122&lt;&gt;1,NOT(ISNUMBER($L1122)),$L1122&gt;=$J1122),"",IF(COUNTIFS(nrES_PID,$D1122,nrES_Code,$F1122,nrES_Att,2,nrES_Raw,"&gt;=0")&gt;0,IF(IFERROR(_xlfn.MINIFS(nrES_Date,nrES_PID,$D1122,nrES_Code,$F1122,nrES_Att,2,nrES_Raw,"&gt;=0",nrES_Date,"&gt;0"),0)=0,"RETEST UNDATED",IF(NOT(ISNUMBER($T1122)),"RETEST DATE UNCHECKED",IF(_xlfn.MINIFS(nrES_Date,nrES_PID,$D1122,nrES_Code,$F1122,nrES_Att,2,nrES_Raw,"&gt;=0",nrES_Date,"&gt;0")&gt;$T1122,"LATE RETEST "&amp;TEXT(_xlfn.MINIFS(nrES_Date,nrES_PID,$D1122,nrES_Code,$F1122,nrES_Att,2,nrES_Raw,"&gt;=0",nrES_Date,"&gt;0"),"mm/dd")&amp;" (due "&amp;TEXT($T1122,"mm/dd")&amp;")","Retested"))),IF(NOT(ISNUMBER($T1122)),"CHECK DATE",IF(TODAY()&gt;$T1122,"OVERDUE","Due "&amp;TEXT($T1122,"mm/dd")))))))</f>
        <v/>
      </c>
      <c r="V1122" s="16" t="n"/>
      <c r="W1122" s="16" t="n"/>
      <c r="X1122" s="17">
        <f>IF($C1122="","",IF(AND($L1122&lt;&gt;"",NOT(ISNUMBER($L1122))),"RAW SCORE NOT A NUMBER",IF(AND(ISNUMBER($L1122),OR($L1122&lt;0,$L1122&gt;100)),"RAW SCORE OUT OF RANGE",IF(AND($Y1122="Unexcused",OR($L1122="",NOT(ISNUMBER($L1122)),$L1122&lt;&gt;0)),"UNEXCUSED ABSENCE MUST RECORD 0",IF(COUNTIF(nrES_RecID,$B1122)&gt;1,"DUPLICATE RECORD",IF(N($K1122)&gt;2,"ATTEMPT 3+ NOT ALLOWED - policy 300.5 permits one retest per exam; this row records nothing",IF(AND($K1122=2,COUNTIFS(nrES_PID,$D1122,nrES_Code,$F1122,nrES_Att,1)=0),"ATTEMPT 2 WITHOUT ATTEMPT 1",IF(AND($K1122=2,$L1122=""),"RETEST ROW HAS NO SCORE",IF(AND($H1122="Final",$L1122&lt;&gt;"",IFERROR(INDEX(nrCKfinalExamElig,MATCH($D1122,rngCadetPIDs,0)),"")="No"),"FINAL EXAM AFTER FAILED FINAL PT (500.1.H)",IF(AND($K1122=2,ISNUMBER($L1122),COUNTIFS(nrES_PID,$D1122,nrES_Code,$F1122,nrES_Att,1)&gt;0,SUMIFS(nrES_Raw,nrES_PID,$D1122,nrES_Code,$F1122,nrES_Att,1)&gt;=$J1122),"RETEST AFTER A PASSING FIRST ATTEMPT","OK"))))))))))</f>
        <v/>
      </c>
      <c r="Y1122" s="16" t="n"/>
    </row>
    <row r="1123">
      <c r="B1123" s="17">
        <f>IF($C1123="","",$D1123&amp;"-"&amp;$F1123&amp;"-"&amp;$K1123)</f>
        <v/>
      </c>
      <c r="C1123" s="16" t="n"/>
      <c r="D1123" s="17">
        <f>IF($C1123="","",IFERROR(INDEX(rngCadetPIDs,MATCH($C1123,rngCadetNames,0)),"?"))</f>
        <v/>
      </c>
      <c r="E1123" s="17">
        <f>IF($D1123="","",IFERROR(INDEX(nrCadetAgency,MATCH($D1123,rngCadetPIDs,0)),""))</f>
        <v/>
      </c>
      <c r="F1123" s="16" t="n"/>
      <c r="G1123" s="17">
        <f>IF($F1123="","",IFERROR(INDEX(rngEPname,MATCH($F1123,rngEPcode,0)),"?"))</f>
        <v/>
      </c>
      <c r="H1123" s="17">
        <f>IF($F1123="","",IFERROR(INDEX(rngEPtype,MATCH($F1123,rngEPcode,0)),"?"))</f>
        <v/>
      </c>
      <c r="I1123" s="17">
        <f>IF($F1123="","",IFERROR(INDEX(rngEPseq,MATCH($F1123,rngEPcode,0)),""))</f>
        <v/>
      </c>
      <c r="J1123" s="17">
        <f>IF($F1123="","",IFERROR(INDEX(rngEPpass,MATCH($F1123,rngEPcode,0)),cfgPassingScore))</f>
        <v/>
      </c>
      <c r="K1123" s="16" t="n"/>
      <c r="L1123" s="16" t="n"/>
      <c r="M1123" s="17">
        <f>IF($C1123="","",IF($L1123="","",IF(NOT(ISNUMBER($L1123)),$L1123,IF(N($K1123)&gt;2,"",IF($K1123=1,IF(COUNTIFS(nrES_PID,$D1123,nrES_Code,$F1123,nrES_Att,2,nrES_Raw,"&gt;=0")&gt;0,"",$L1123),IF($L1123&gt;=$J1123,MAX($J1123,cfgRetakeRecordedCap),IF(COUNTIFS(nrES_PID,$D1123,nrES_Code,$F1123,nrES_Att,1)=0,$L1123,SUMIFS(nrES_Raw,nrES_PID,$D1123,nrES_Code,$F1123,nrES_Att,1))))))))</f>
        <v/>
      </c>
      <c r="N1123" s="17">
        <f>IF($C1123="","",IF($L1123="","",IF(NOT(ISNUMBER($L1123)),"(not a score)",IF($L1123&gt;=$J1123,"Yes","No"))))</f>
        <v/>
      </c>
      <c r="O1123" s="17">
        <f>IF($C1123="","",IF($M1123="","",IF(NOT(ISNUMBER($M1123)),"(not a score)",IF($M1123&gt;=$J1123,"Yes","No"))))</f>
        <v/>
      </c>
      <c r="P1123" s="17">
        <f>IF($C1123="","",IF($K1123="","",IF(N($K1123)&gt;2,"No",IF(COUNTIFS(nrES_PID,$D1123,nrES_Code,$F1123,nrES_Att,"&gt;"&amp;$K1123,nrES_Att,"&lt;=2",nrES_Raw,"&gt;=0")=0,"Yes","No"))))</f>
        <v/>
      </c>
      <c r="Q1123" s="17">
        <f>IF($C1123="","",IF($L1123="","",IF(AND($K1123=1,ISNUMBER($L1123),$L1123&lt;$J1123,COUNTIFS(nrES_PID,$D1123,nrES_Code,$F1123,nrES_Att,2,nrES_Raw,"&gt;=0")=0),"Yes","No")))</f>
        <v/>
      </c>
      <c r="R1123" s="17">
        <f>IF($C1123="","",IF($L1123="","",IF(AND(N($K1123)&gt;=2,ISNUMBER($L1123),$L1123&lt;$J1123),"Yes","No")))</f>
        <v/>
      </c>
      <c r="S1123" s="18" t="n"/>
      <c r="T1123" s="19">
        <f>IF(OR($C1123="",$L1123="",$K1123&lt;&gt;1,NOT(ISNUMBER($L1123)),$L1123&gt;=$J1123),"",IF($S1123="","(enter date)",_xlfn.LET(_xlpm.dn,_xlfn.XLOOKUP($S1123,nrCDdate,nrCDnum,"",1),IF(_xlpm.dn="","(after last class day)",_xlfn.LET(_xlpm.dd,_xlfn.XLOOKUP(_xlpm.dn+cfgRetestClassDays,nrCDnum,nrCDdate,""),_xlpm.ok,_xlfn.XLOOKUP(_xlpm.dn+cfgRetestClassDays,nrCDnum,nrCDinsession,"No"),IF(OR(_xlpm.dd="",_xlpm.ok&lt;&gt;"Yes"),"(after last class day)",_xlpm.dd))))))</f>
        <v/>
      </c>
      <c r="U1123" s="17">
        <f>IF($C1123="","",IF(AND($Y1123="Excused",$L1123="",N($K1123)&lt;=1),"EXCUSED - 1st attempt pending",IF(OR($L1123="",$K1123&lt;&gt;1,NOT(ISNUMBER($L1123)),$L1123&gt;=$J1123),"",IF(COUNTIFS(nrES_PID,$D1123,nrES_Code,$F1123,nrES_Att,2,nrES_Raw,"&gt;=0")&gt;0,IF(IFERROR(_xlfn.MINIFS(nrES_Date,nrES_PID,$D1123,nrES_Code,$F1123,nrES_Att,2,nrES_Raw,"&gt;=0",nrES_Date,"&gt;0"),0)=0,"RETEST UNDATED",IF(NOT(ISNUMBER($T1123)),"RETEST DATE UNCHECKED",IF(_xlfn.MINIFS(nrES_Date,nrES_PID,$D1123,nrES_Code,$F1123,nrES_Att,2,nrES_Raw,"&gt;=0",nrES_Date,"&gt;0")&gt;$T1123,"LATE RETEST "&amp;TEXT(_xlfn.MINIFS(nrES_Date,nrES_PID,$D1123,nrES_Code,$F1123,nrES_Att,2,nrES_Raw,"&gt;=0",nrES_Date,"&gt;0"),"mm/dd")&amp;" (due "&amp;TEXT($T1123,"mm/dd")&amp;")","Retested"))),IF(NOT(ISNUMBER($T1123)),"CHECK DATE",IF(TODAY()&gt;$T1123,"OVERDUE","Due "&amp;TEXT($T1123,"mm/dd")))))))</f>
        <v/>
      </c>
      <c r="V1123" s="16" t="n"/>
      <c r="W1123" s="16" t="n"/>
      <c r="X1123" s="17">
        <f>IF($C1123="","",IF(AND($L1123&lt;&gt;"",NOT(ISNUMBER($L1123))),"RAW SCORE NOT A NUMBER",IF(AND(ISNUMBER($L1123),OR($L1123&lt;0,$L1123&gt;100)),"RAW SCORE OUT OF RANGE",IF(AND($Y1123="Unexcused",OR($L1123="",NOT(ISNUMBER($L1123)),$L1123&lt;&gt;0)),"UNEXCUSED ABSENCE MUST RECORD 0",IF(COUNTIF(nrES_RecID,$B1123)&gt;1,"DUPLICATE RECORD",IF(N($K1123)&gt;2,"ATTEMPT 3+ NOT ALLOWED - policy 300.5 permits one retest per exam; this row records nothing",IF(AND($K1123=2,COUNTIFS(nrES_PID,$D1123,nrES_Code,$F1123,nrES_Att,1)=0),"ATTEMPT 2 WITHOUT ATTEMPT 1",IF(AND($K1123=2,$L1123=""),"RETEST ROW HAS NO SCORE",IF(AND($H1123="Final",$L1123&lt;&gt;"",IFERROR(INDEX(nrCKfinalExamElig,MATCH($D1123,rngCadetPIDs,0)),"")="No"),"FINAL EXAM AFTER FAILED FINAL PT (500.1.H)",IF(AND($K1123=2,ISNUMBER($L1123),COUNTIFS(nrES_PID,$D1123,nrES_Code,$F1123,nrES_Att,1)&gt;0,SUMIFS(nrES_Raw,nrES_PID,$D1123,nrES_Code,$F1123,nrES_Att,1)&gt;=$J1123),"RETEST AFTER A PASSING FIRST ATTEMPT","OK"))))))))))</f>
        <v/>
      </c>
      <c r="Y1123" s="16" t="n"/>
    </row>
    <row r="1124">
      <c r="B1124" s="17">
        <f>IF($C1124="","",$D1124&amp;"-"&amp;$F1124&amp;"-"&amp;$K1124)</f>
        <v/>
      </c>
      <c r="C1124" s="16" t="n"/>
      <c r="D1124" s="17">
        <f>IF($C1124="","",IFERROR(INDEX(rngCadetPIDs,MATCH($C1124,rngCadetNames,0)),"?"))</f>
        <v/>
      </c>
      <c r="E1124" s="17">
        <f>IF($D1124="","",IFERROR(INDEX(nrCadetAgency,MATCH($D1124,rngCadetPIDs,0)),""))</f>
        <v/>
      </c>
      <c r="F1124" s="16" t="n"/>
      <c r="G1124" s="17">
        <f>IF($F1124="","",IFERROR(INDEX(rngEPname,MATCH($F1124,rngEPcode,0)),"?"))</f>
        <v/>
      </c>
      <c r="H1124" s="17">
        <f>IF($F1124="","",IFERROR(INDEX(rngEPtype,MATCH($F1124,rngEPcode,0)),"?"))</f>
        <v/>
      </c>
      <c r="I1124" s="17">
        <f>IF($F1124="","",IFERROR(INDEX(rngEPseq,MATCH($F1124,rngEPcode,0)),""))</f>
        <v/>
      </c>
      <c r="J1124" s="17">
        <f>IF($F1124="","",IFERROR(INDEX(rngEPpass,MATCH($F1124,rngEPcode,0)),cfgPassingScore))</f>
        <v/>
      </c>
      <c r="K1124" s="16" t="n"/>
      <c r="L1124" s="16" t="n"/>
      <c r="M1124" s="17">
        <f>IF($C1124="","",IF($L1124="","",IF(NOT(ISNUMBER($L1124)),$L1124,IF(N($K1124)&gt;2,"",IF($K1124=1,IF(COUNTIFS(nrES_PID,$D1124,nrES_Code,$F1124,nrES_Att,2,nrES_Raw,"&gt;=0")&gt;0,"",$L1124),IF($L1124&gt;=$J1124,MAX($J1124,cfgRetakeRecordedCap),IF(COUNTIFS(nrES_PID,$D1124,nrES_Code,$F1124,nrES_Att,1)=0,$L1124,SUMIFS(nrES_Raw,nrES_PID,$D1124,nrES_Code,$F1124,nrES_Att,1))))))))</f>
        <v/>
      </c>
      <c r="N1124" s="17">
        <f>IF($C1124="","",IF($L1124="","",IF(NOT(ISNUMBER($L1124)),"(not a score)",IF($L1124&gt;=$J1124,"Yes","No"))))</f>
        <v/>
      </c>
      <c r="O1124" s="17">
        <f>IF($C1124="","",IF($M1124="","",IF(NOT(ISNUMBER($M1124)),"(not a score)",IF($M1124&gt;=$J1124,"Yes","No"))))</f>
        <v/>
      </c>
      <c r="P1124" s="17">
        <f>IF($C1124="","",IF($K1124="","",IF(N($K1124)&gt;2,"No",IF(COUNTIFS(nrES_PID,$D1124,nrES_Code,$F1124,nrES_Att,"&gt;"&amp;$K1124,nrES_Att,"&lt;=2",nrES_Raw,"&gt;=0")=0,"Yes","No"))))</f>
        <v/>
      </c>
      <c r="Q1124" s="17">
        <f>IF($C1124="","",IF($L1124="","",IF(AND($K1124=1,ISNUMBER($L1124),$L1124&lt;$J1124,COUNTIFS(nrES_PID,$D1124,nrES_Code,$F1124,nrES_Att,2,nrES_Raw,"&gt;=0")=0),"Yes","No")))</f>
        <v/>
      </c>
      <c r="R1124" s="17">
        <f>IF($C1124="","",IF($L1124="","",IF(AND(N($K1124)&gt;=2,ISNUMBER($L1124),$L1124&lt;$J1124),"Yes","No")))</f>
        <v/>
      </c>
      <c r="S1124" s="18" t="n"/>
      <c r="T1124" s="19">
        <f>IF(OR($C1124="",$L1124="",$K1124&lt;&gt;1,NOT(ISNUMBER($L1124)),$L1124&gt;=$J1124),"",IF($S1124="","(enter date)",_xlfn.LET(_xlpm.dn,_xlfn.XLOOKUP($S1124,nrCDdate,nrCDnum,"",1),IF(_xlpm.dn="","(after last class day)",_xlfn.LET(_xlpm.dd,_xlfn.XLOOKUP(_xlpm.dn+cfgRetestClassDays,nrCDnum,nrCDdate,""),_xlpm.ok,_xlfn.XLOOKUP(_xlpm.dn+cfgRetestClassDays,nrCDnum,nrCDinsession,"No"),IF(OR(_xlpm.dd="",_xlpm.ok&lt;&gt;"Yes"),"(after last class day)",_xlpm.dd))))))</f>
        <v/>
      </c>
      <c r="U1124" s="17">
        <f>IF($C1124="","",IF(AND($Y1124="Excused",$L1124="",N($K1124)&lt;=1),"EXCUSED - 1st attempt pending",IF(OR($L1124="",$K1124&lt;&gt;1,NOT(ISNUMBER($L1124)),$L1124&gt;=$J1124),"",IF(COUNTIFS(nrES_PID,$D1124,nrES_Code,$F1124,nrES_Att,2,nrES_Raw,"&gt;=0")&gt;0,IF(IFERROR(_xlfn.MINIFS(nrES_Date,nrES_PID,$D1124,nrES_Code,$F1124,nrES_Att,2,nrES_Raw,"&gt;=0",nrES_Date,"&gt;0"),0)=0,"RETEST UNDATED",IF(NOT(ISNUMBER($T1124)),"RETEST DATE UNCHECKED",IF(_xlfn.MINIFS(nrES_Date,nrES_PID,$D1124,nrES_Code,$F1124,nrES_Att,2,nrES_Raw,"&gt;=0",nrES_Date,"&gt;0")&gt;$T1124,"LATE RETEST "&amp;TEXT(_xlfn.MINIFS(nrES_Date,nrES_PID,$D1124,nrES_Code,$F1124,nrES_Att,2,nrES_Raw,"&gt;=0",nrES_Date,"&gt;0"),"mm/dd")&amp;" (due "&amp;TEXT($T1124,"mm/dd")&amp;")","Retested"))),IF(NOT(ISNUMBER($T1124)),"CHECK DATE",IF(TODAY()&gt;$T1124,"OVERDUE","Due "&amp;TEXT($T1124,"mm/dd")))))))</f>
        <v/>
      </c>
      <c r="V1124" s="16" t="n"/>
      <c r="W1124" s="16" t="n"/>
      <c r="X1124" s="17">
        <f>IF($C1124="","",IF(AND($L1124&lt;&gt;"",NOT(ISNUMBER($L1124))),"RAW SCORE NOT A NUMBER",IF(AND(ISNUMBER($L1124),OR($L1124&lt;0,$L1124&gt;100)),"RAW SCORE OUT OF RANGE",IF(AND($Y1124="Unexcused",OR($L1124="",NOT(ISNUMBER($L1124)),$L1124&lt;&gt;0)),"UNEXCUSED ABSENCE MUST RECORD 0",IF(COUNTIF(nrES_RecID,$B1124)&gt;1,"DUPLICATE RECORD",IF(N($K1124)&gt;2,"ATTEMPT 3+ NOT ALLOWED - policy 300.5 permits one retest per exam; this row records nothing",IF(AND($K1124=2,COUNTIFS(nrES_PID,$D1124,nrES_Code,$F1124,nrES_Att,1)=0),"ATTEMPT 2 WITHOUT ATTEMPT 1",IF(AND($K1124=2,$L1124=""),"RETEST ROW HAS NO SCORE",IF(AND($H1124="Final",$L1124&lt;&gt;"",IFERROR(INDEX(nrCKfinalExamElig,MATCH($D1124,rngCadetPIDs,0)),"")="No"),"FINAL EXAM AFTER FAILED FINAL PT (500.1.H)",IF(AND($K1124=2,ISNUMBER($L1124),COUNTIFS(nrES_PID,$D1124,nrES_Code,$F1124,nrES_Att,1)&gt;0,SUMIFS(nrES_Raw,nrES_PID,$D1124,nrES_Code,$F1124,nrES_Att,1)&gt;=$J1124),"RETEST AFTER A PASSING FIRST ATTEMPT","OK"))))))))))</f>
        <v/>
      </c>
      <c r="Y1124" s="16" t="n"/>
    </row>
    <row r="1125">
      <c r="B1125" s="17">
        <f>IF($C1125="","",$D1125&amp;"-"&amp;$F1125&amp;"-"&amp;$K1125)</f>
        <v/>
      </c>
      <c r="C1125" s="16" t="n"/>
      <c r="D1125" s="17">
        <f>IF($C1125="","",IFERROR(INDEX(rngCadetPIDs,MATCH($C1125,rngCadetNames,0)),"?"))</f>
        <v/>
      </c>
      <c r="E1125" s="17">
        <f>IF($D1125="","",IFERROR(INDEX(nrCadetAgency,MATCH($D1125,rngCadetPIDs,0)),""))</f>
        <v/>
      </c>
      <c r="F1125" s="16" t="n"/>
      <c r="G1125" s="17">
        <f>IF($F1125="","",IFERROR(INDEX(rngEPname,MATCH($F1125,rngEPcode,0)),"?"))</f>
        <v/>
      </c>
      <c r="H1125" s="17">
        <f>IF($F1125="","",IFERROR(INDEX(rngEPtype,MATCH($F1125,rngEPcode,0)),"?"))</f>
        <v/>
      </c>
      <c r="I1125" s="17">
        <f>IF($F1125="","",IFERROR(INDEX(rngEPseq,MATCH($F1125,rngEPcode,0)),""))</f>
        <v/>
      </c>
      <c r="J1125" s="17">
        <f>IF($F1125="","",IFERROR(INDEX(rngEPpass,MATCH($F1125,rngEPcode,0)),cfgPassingScore))</f>
        <v/>
      </c>
      <c r="K1125" s="16" t="n"/>
      <c r="L1125" s="16" t="n"/>
      <c r="M1125" s="17">
        <f>IF($C1125="","",IF($L1125="","",IF(NOT(ISNUMBER($L1125)),$L1125,IF(N($K1125)&gt;2,"",IF($K1125=1,IF(COUNTIFS(nrES_PID,$D1125,nrES_Code,$F1125,nrES_Att,2,nrES_Raw,"&gt;=0")&gt;0,"",$L1125),IF($L1125&gt;=$J1125,MAX($J1125,cfgRetakeRecordedCap),IF(COUNTIFS(nrES_PID,$D1125,nrES_Code,$F1125,nrES_Att,1)=0,$L1125,SUMIFS(nrES_Raw,nrES_PID,$D1125,nrES_Code,$F1125,nrES_Att,1))))))))</f>
        <v/>
      </c>
      <c r="N1125" s="17">
        <f>IF($C1125="","",IF($L1125="","",IF(NOT(ISNUMBER($L1125)),"(not a score)",IF($L1125&gt;=$J1125,"Yes","No"))))</f>
        <v/>
      </c>
      <c r="O1125" s="17">
        <f>IF($C1125="","",IF($M1125="","",IF(NOT(ISNUMBER($M1125)),"(not a score)",IF($M1125&gt;=$J1125,"Yes","No"))))</f>
        <v/>
      </c>
      <c r="P1125" s="17">
        <f>IF($C1125="","",IF($K1125="","",IF(N($K1125)&gt;2,"No",IF(COUNTIFS(nrES_PID,$D1125,nrES_Code,$F1125,nrES_Att,"&gt;"&amp;$K1125,nrES_Att,"&lt;=2",nrES_Raw,"&gt;=0")=0,"Yes","No"))))</f>
        <v/>
      </c>
      <c r="Q1125" s="17">
        <f>IF($C1125="","",IF($L1125="","",IF(AND($K1125=1,ISNUMBER($L1125),$L1125&lt;$J1125,COUNTIFS(nrES_PID,$D1125,nrES_Code,$F1125,nrES_Att,2,nrES_Raw,"&gt;=0")=0),"Yes","No")))</f>
        <v/>
      </c>
      <c r="R1125" s="17">
        <f>IF($C1125="","",IF($L1125="","",IF(AND(N($K1125)&gt;=2,ISNUMBER($L1125),$L1125&lt;$J1125),"Yes","No")))</f>
        <v/>
      </c>
      <c r="S1125" s="18" t="n"/>
      <c r="T1125" s="19">
        <f>IF(OR($C1125="",$L1125="",$K1125&lt;&gt;1,NOT(ISNUMBER($L1125)),$L1125&gt;=$J1125),"",IF($S1125="","(enter date)",_xlfn.LET(_xlpm.dn,_xlfn.XLOOKUP($S1125,nrCDdate,nrCDnum,"",1),IF(_xlpm.dn="","(after last class day)",_xlfn.LET(_xlpm.dd,_xlfn.XLOOKUP(_xlpm.dn+cfgRetestClassDays,nrCDnum,nrCDdate,""),_xlpm.ok,_xlfn.XLOOKUP(_xlpm.dn+cfgRetestClassDays,nrCDnum,nrCDinsession,"No"),IF(OR(_xlpm.dd="",_xlpm.ok&lt;&gt;"Yes"),"(after last class day)",_xlpm.dd))))))</f>
        <v/>
      </c>
      <c r="U1125" s="17">
        <f>IF($C1125="","",IF(AND($Y1125="Excused",$L1125="",N($K1125)&lt;=1),"EXCUSED - 1st attempt pending",IF(OR($L1125="",$K1125&lt;&gt;1,NOT(ISNUMBER($L1125)),$L1125&gt;=$J1125),"",IF(COUNTIFS(nrES_PID,$D1125,nrES_Code,$F1125,nrES_Att,2,nrES_Raw,"&gt;=0")&gt;0,IF(IFERROR(_xlfn.MINIFS(nrES_Date,nrES_PID,$D1125,nrES_Code,$F1125,nrES_Att,2,nrES_Raw,"&gt;=0",nrES_Date,"&gt;0"),0)=0,"RETEST UNDATED",IF(NOT(ISNUMBER($T1125)),"RETEST DATE UNCHECKED",IF(_xlfn.MINIFS(nrES_Date,nrES_PID,$D1125,nrES_Code,$F1125,nrES_Att,2,nrES_Raw,"&gt;=0",nrES_Date,"&gt;0")&gt;$T1125,"LATE RETEST "&amp;TEXT(_xlfn.MINIFS(nrES_Date,nrES_PID,$D1125,nrES_Code,$F1125,nrES_Att,2,nrES_Raw,"&gt;=0",nrES_Date,"&gt;0"),"mm/dd")&amp;" (due "&amp;TEXT($T1125,"mm/dd")&amp;")","Retested"))),IF(NOT(ISNUMBER($T1125)),"CHECK DATE",IF(TODAY()&gt;$T1125,"OVERDUE","Due "&amp;TEXT($T1125,"mm/dd")))))))</f>
        <v/>
      </c>
      <c r="V1125" s="16" t="n"/>
      <c r="W1125" s="16" t="n"/>
      <c r="X1125" s="17">
        <f>IF($C1125="","",IF(AND($L1125&lt;&gt;"",NOT(ISNUMBER($L1125))),"RAW SCORE NOT A NUMBER",IF(AND(ISNUMBER($L1125),OR($L1125&lt;0,$L1125&gt;100)),"RAW SCORE OUT OF RANGE",IF(AND($Y1125="Unexcused",OR($L1125="",NOT(ISNUMBER($L1125)),$L1125&lt;&gt;0)),"UNEXCUSED ABSENCE MUST RECORD 0",IF(COUNTIF(nrES_RecID,$B1125)&gt;1,"DUPLICATE RECORD",IF(N($K1125)&gt;2,"ATTEMPT 3+ NOT ALLOWED - policy 300.5 permits one retest per exam; this row records nothing",IF(AND($K1125=2,COUNTIFS(nrES_PID,$D1125,nrES_Code,$F1125,nrES_Att,1)=0),"ATTEMPT 2 WITHOUT ATTEMPT 1",IF(AND($K1125=2,$L1125=""),"RETEST ROW HAS NO SCORE",IF(AND($H1125="Final",$L1125&lt;&gt;"",IFERROR(INDEX(nrCKfinalExamElig,MATCH($D1125,rngCadetPIDs,0)),"")="No"),"FINAL EXAM AFTER FAILED FINAL PT (500.1.H)",IF(AND($K1125=2,ISNUMBER($L1125),COUNTIFS(nrES_PID,$D1125,nrES_Code,$F1125,nrES_Att,1)&gt;0,SUMIFS(nrES_Raw,nrES_PID,$D1125,nrES_Code,$F1125,nrES_Att,1)&gt;=$J1125),"RETEST AFTER A PASSING FIRST ATTEMPT","OK"))))))))))</f>
        <v/>
      </c>
      <c r="Y1125" s="16" t="n"/>
    </row>
    <row r="1126">
      <c r="B1126" s="17">
        <f>IF($C1126="","",$D1126&amp;"-"&amp;$F1126&amp;"-"&amp;$K1126)</f>
        <v/>
      </c>
      <c r="C1126" s="16" t="n"/>
      <c r="D1126" s="17">
        <f>IF($C1126="","",IFERROR(INDEX(rngCadetPIDs,MATCH($C1126,rngCadetNames,0)),"?"))</f>
        <v/>
      </c>
      <c r="E1126" s="17">
        <f>IF($D1126="","",IFERROR(INDEX(nrCadetAgency,MATCH($D1126,rngCadetPIDs,0)),""))</f>
        <v/>
      </c>
      <c r="F1126" s="16" t="n"/>
      <c r="G1126" s="17">
        <f>IF($F1126="","",IFERROR(INDEX(rngEPname,MATCH($F1126,rngEPcode,0)),"?"))</f>
        <v/>
      </c>
      <c r="H1126" s="17">
        <f>IF($F1126="","",IFERROR(INDEX(rngEPtype,MATCH($F1126,rngEPcode,0)),"?"))</f>
        <v/>
      </c>
      <c r="I1126" s="17">
        <f>IF($F1126="","",IFERROR(INDEX(rngEPseq,MATCH($F1126,rngEPcode,0)),""))</f>
        <v/>
      </c>
      <c r="J1126" s="17">
        <f>IF($F1126="","",IFERROR(INDEX(rngEPpass,MATCH($F1126,rngEPcode,0)),cfgPassingScore))</f>
        <v/>
      </c>
      <c r="K1126" s="16" t="n"/>
      <c r="L1126" s="16" t="n"/>
      <c r="M1126" s="17">
        <f>IF($C1126="","",IF($L1126="","",IF(NOT(ISNUMBER($L1126)),$L1126,IF(N($K1126)&gt;2,"",IF($K1126=1,IF(COUNTIFS(nrES_PID,$D1126,nrES_Code,$F1126,nrES_Att,2,nrES_Raw,"&gt;=0")&gt;0,"",$L1126),IF($L1126&gt;=$J1126,MAX($J1126,cfgRetakeRecordedCap),IF(COUNTIFS(nrES_PID,$D1126,nrES_Code,$F1126,nrES_Att,1)=0,$L1126,SUMIFS(nrES_Raw,nrES_PID,$D1126,nrES_Code,$F1126,nrES_Att,1))))))))</f>
        <v/>
      </c>
      <c r="N1126" s="17">
        <f>IF($C1126="","",IF($L1126="","",IF(NOT(ISNUMBER($L1126)),"(not a score)",IF($L1126&gt;=$J1126,"Yes","No"))))</f>
        <v/>
      </c>
      <c r="O1126" s="17">
        <f>IF($C1126="","",IF($M1126="","",IF(NOT(ISNUMBER($M1126)),"(not a score)",IF($M1126&gt;=$J1126,"Yes","No"))))</f>
        <v/>
      </c>
      <c r="P1126" s="17">
        <f>IF($C1126="","",IF($K1126="","",IF(N($K1126)&gt;2,"No",IF(COUNTIFS(nrES_PID,$D1126,nrES_Code,$F1126,nrES_Att,"&gt;"&amp;$K1126,nrES_Att,"&lt;=2",nrES_Raw,"&gt;=0")=0,"Yes","No"))))</f>
        <v/>
      </c>
      <c r="Q1126" s="17">
        <f>IF($C1126="","",IF($L1126="","",IF(AND($K1126=1,ISNUMBER($L1126),$L1126&lt;$J1126,COUNTIFS(nrES_PID,$D1126,nrES_Code,$F1126,nrES_Att,2,nrES_Raw,"&gt;=0")=0),"Yes","No")))</f>
        <v/>
      </c>
      <c r="R1126" s="17">
        <f>IF($C1126="","",IF($L1126="","",IF(AND(N($K1126)&gt;=2,ISNUMBER($L1126),$L1126&lt;$J1126),"Yes","No")))</f>
        <v/>
      </c>
      <c r="S1126" s="18" t="n"/>
      <c r="T1126" s="19">
        <f>IF(OR($C1126="",$L1126="",$K1126&lt;&gt;1,NOT(ISNUMBER($L1126)),$L1126&gt;=$J1126),"",IF($S1126="","(enter date)",_xlfn.LET(_xlpm.dn,_xlfn.XLOOKUP($S1126,nrCDdate,nrCDnum,"",1),IF(_xlpm.dn="","(after last class day)",_xlfn.LET(_xlpm.dd,_xlfn.XLOOKUP(_xlpm.dn+cfgRetestClassDays,nrCDnum,nrCDdate,""),_xlpm.ok,_xlfn.XLOOKUP(_xlpm.dn+cfgRetestClassDays,nrCDnum,nrCDinsession,"No"),IF(OR(_xlpm.dd="",_xlpm.ok&lt;&gt;"Yes"),"(after last class day)",_xlpm.dd))))))</f>
        <v/>
      </c>
      <c r="U1126" s="17">
        <f>IF($C1126="","",IF(AND($Y1126="Excused",$L1126="",N($K1126)&lt;=1),"EXCUSED - 1st attempt pending",IF(OR($L1126="",$K1126&lt;&gt;1,NOT(ISNUMBER($L1126)),$L1126&gt;=$J1126),"",IF(COUNTIFS(nrES_PID,$D1126,nrES_Code,$F1126,nrES_Att,2,nrES_Raw,"&gt;=0")&gt;0,IF(IFERROR(_xlfn.MINIFS(nrES_Date,nrES_PID,$D1126,nrES_Code,$F1126,nrES_Att,2,nrES_Raw,"&gt;=0",nrES_Date,"&gt;0"),0)=0,"RETEST UNDATED",IF(NOT(ISNUMBER($T1126)),"RETEST DATE UNCHECKED",IF(_xlfn.MINIFS(nrES_Date,nrES_PID,$D1126,nrES_Code,$F1126,nrES_Att,2,nrES_Raw,"&gt;=0",nrES_Date,"&gt;0")&gt;$T1126,"LATE RETEST "&amp;TEXT(_xlfn.MINIFS(nrES_Date,nrES_PID,$D1126,nrES_Code,$F1126,nrES_Att,2,nrES_Raw,"&gt;=0",nrES_Date,"&gt;0"),"mm/dd")&amp;" (due "&amp;TEXT($T1126,"mm/dd")&amp;")","Retested"))),IF(NOT(ISNUMBER($T1126)),"CHECK DATE",IF(TODAY()&gt;$T1126,"OVERDUE","Due "&amp;TEXT($T1126,"mm/dd")))))))</f>
        <v/>
      </c>
      <c r="V1126" s="16" t="n"/>
      <c r="W1126" s="16" t="n"/>
      <c r="X1126" s="17">
        <f>IF($C1126="","",IF(AND($L1126&lt;&gt;"",NOT(ISNUMBER($L1126))),"RAW SCORE NOT A NUMBER",IF(AND(ISNUMBER($L1126),OR($L1126&lt;0,$L1126&gt;100)),"RAW SCORE OUT OF RANGE",IF(AND($Y1126="Unexcused",OR($L1126="",NOT(ISNUMBER($L1126)),$L1126&lt;&gt;0)),"UNEXCUSED ABSENCE MUST RECORD 0",IF(COUNTIF(nrES_RecID,$B1126)&gt;1,"DUPLICATE RECORD",IF(N($K1126)&gt;2,"ATTEMPT 3+ NOT ALLOWED - policy 300.5 permits one retest per exam; this row records nothing",IF(AND($K1126=2,COUNTIFS(nrES_PID,$D1126,nrES_Code,$F1126,nrES_Att,1)=0),"ATTEMPT 2 WITHOUT ATTEMPT 1",IF(AND($K1126=2,$L1126=""),"RETEST ROW HAS NO SCORE",IF(AND($H1126="Final",$L1126&lt;&gt;"",IFERROR(INDEX(nrCKfinalExamElig,MATCH($D1126,rngCadetPIDs,0)),"")="No"),"FINAL EXAM AFTER FAILED FINAL PT (500.1.H)",IF(AND($K1126=2,ISNUMBER($L1126),COUNTIFS(nrES_PID,$D1126,nrES_Code,$F1126,nrES_Att,1)&gt;0,SUMIFS(nrES_Raw,nrES_PID,$D1126,nrES_Code,$F1126,nrES_Att,1)&gt;=$J1126),"RETEST AFTER A PASSING FIRST ATTEMPT","OK"))))))))))</f>
        <v/>
      </c>
      <c r="Y1126" s="16" t="n"/>
    </row>
    <row r="1127">
      <c r="B1127" s="17">
        <f>IF($C1127="","",$D1127&amp;"-"&amp;$F1127&amp;"-"&amp;$K1127)</f>
        <v/>
      </c>
      <c r="C1127" s="16" t="n"/>
      <c r="D1127" s="17">
        <f>IF($C1127="","",IFERROR(INDEX(rngCadetPIDs,MATCH($C1127,rngCadetNames,0)),"?"))</f>
        <v/>
      </c>
      <c r="E1127" s="17">
        <f>IF($D1127="","",IFERROR(INDEX(nrCadetAgency,MATCH($D1127,rngCadetPIDs,0)),""))</f>
        <v/>
      </c>
      <c r="F1127" s="16" t="n"/>
      <c r="G1127" s="17">
        <f>IF($F1127="","",IFERROR(INDEX(rngEPname,MATCH($F1127,rngEPcode,0)),"?"))</f>
        <v/>
      </c>
      <c r="H1127" s="17">
        <f>IF($F1127="","",IFERROR(INDEX(rngEPtype,MATCH($F1127,rngEPcode,0)),"?"))</f>
        <v/>
      </c>
      <c r="I1127" s="17">
        <f>IF($F1127="","",IFERROR(INDEX(rngEPseq,MATCH($F1127,rngEPcode,0)),""))</f>
        <v/>
      </c>
      <c r="J1127" s="17">
        <f>IF($F1127="","",IFERROR(INDEX(rngEPpass,MATCH($F1127,rngEPcode,0)),cfgPassingScore))</f>
        <v/>
      </c>
      <c r="K1127" s="16" t="n"/>
      <c r="L1127" s="16" t="n"/>
      <c r="M1127" s="17">
        <f>IF($C1127="","",IF($L1127="","",IF(NOT(ISNUMBER($L1127)),$L1127,IF(N($K1127)&gt;2,"",IF($K1127=1,IF(COUNTIFS(nrES_PID,$D1127,nrES_Code,$F1127,nrES_Att,2,nrES_Raw,"&gt;=0")&gt;0,"",$L1127),IF($L1127&gt;=$J1127,MAX($J1127,cfgRetakeRecordedCap),IF(COUNTIFS(nrES_PID,$D1127,nrES_Code,$F1127,nrES_Att,1)=0,$L1127,SUMIFS(nrES_Raw,nrES_PID,$D1127,nrES_Code,$F1127,nrES_Att,1))))))))</f>
        <v/>
      </c>
      <c r="N1127" s="17">
        <f>IF($C1127="","",IF($L1127="","",IF(NOT(ISNUMBER($L1127)),"(not a score)",IF($L1127&gt;=$J1127,"Yes","No"))))</f>
        <v/>
      </c>
      <c r="O1127" s="17">
        <f>IF($C1127="","",IF($M1127="","",IF(NOT(ISNUMBER($M1127)),"(not a score)",IF($M1127&gt;=$J1127,"Yes","No"))))</f>
        <v/>
      </c>
      <c r="P1127" s="17">
        <f>IF($C1127="","",IF($K1127="","",IF(N($K1127)&gt;2,"No",IF(COUNTIFS(nrES_PID,$D1127,nrES_Code,$F1127,nrES_Att,"&gt;"&amp;$K1127,nrES_Att,"&lt;=2",nrES_Raw,"&gt;=0")=0,"Yes","No"))))</f>
        <v/>
      </c>
      <c r="Q1127" s="17">
        <f>IF($C1127="","",IF($L1127="","",IF(AND($K1127=1,ISNUMBER($L1127),$L1127&lt;$J1127,COUNTIFS(nrES_PID,$D1127,nrES_Code,$F1127,nrES_Att,2,nrES_Raw,"&gt;=0")=0),"Yes","No")))</f>
        <v/>
      </c>
      <c r="R1127" s="17">
        <f>IF($C1127="","",IF($L1127="","",IF(AND(N($K1127)&gt;=2,ISNUMBER($L1127),$L1127&lt;$J1127),"Yes","No")))</f>
        <v/>
      </c>
      <c r="S1127" s="18" t="n"/>
      <c r="T1127" s="19">
        <f>IF(OR($C1127="",$L1127="",$K1127&lt;&gt;1,NOT(ISNUMBER($L1127)),$L1127&gt;=$J1127),"",IF($S1127="","(enter date)",_xlfn.LET(_xlpm.dn,_xlfn.XLOOKUP($S1127,nrCDdate,nrCDnum,"",1),IF(_xlpm.dn="","(after last class day)",_xlfn.LET(_xlpm.dd,_xlfn.XLOOKUP(_xlpm.dn+cfgRetestClassDays,nrCDnum,nrCDdate,""),_xlpm.ok,_xlfn.XLOOKUP(_xlpm.dn+cfgRetestClassDays,nrCDnum,nrCDinsession,"No"),IF(OR(_xlpm.dd="",_xlpm.ok&lt;&gt;"Yes"),"(after last class day)",_xlpm.dd))))))</f>
        <v/>
      </c>
      <c r="U1127" s="17">
        <f>IF($C1127="","",IF(AND($Y1127="Excused",$L1127="",N($K1127)&lt;=1),"EXCUSED - 1st attempt pending",IF(OR($L1127="",$K1127&lt;&gt;1,NOT(ISNUMBER($L1127)),$L1127&gt;=$J1127),"",IF(COUNTIFS(nrES_PID,$D1127,nrES_Code,$F1127,nrES_Att,2,nrES_Raw,"&gt;=0")&gt;0,IF(IFERROR(_xlfn.MINIFS(nrES_Date,nrES_PID,$D1127,nrES_Code,$F1127,nrES_Att,2,nrES_Raw,"&gt;=0",nrES_Date,"&gt;0"),0)=0,"RETEST UNDATED",IF(NOT(ISNUMBER($T1127)),"RETEST DATE UNCHECKED",IF(_xlfn.MINIFS(nrES_Date,nrES_PID,$D1127,nrES_Code,$F1127,nrES_Att,2,nrES_Raw,"&gt;=0",nrES_Date,"&gt;0")&gt;$T1127,"LATE RETEST "&amp;TEXT(_xlfn.MINIFS(nrES_Date,nrES_PID,$D1127,nrES_Code,$F1127,nrES_Att,2,nrES_Raw,"&gt;=0",nrES_Date,"&gt;0"),"mm/dd")&amp;" (due "&amp;TEXT($T1127,"mm/dd")&amp;")","Retested"))),IF(NOT(ISNUMBER($T1127)),"CHECK DATE",IF(TODAY()&gt;$T1127,"OVERDUE","Due "&amp;TEXT($T1127,"mm/dd")))))))</f>
        <v/>
      </c>
      <c r="V1127" s="16" t="n"/>
      <c r="W1127" s="16" t="n"/>
      <c r="X1127" s="17">
        <f>IF($C1127="","",IF(AND($L1127&lt;&gt;"",NOT(ISNUMBER($L1127))),"RAW SCORE NOT A NUMBER",IF(AND(ISNUMBER($L1127),OR($L1127&lt;0,$L1127&gt;100)),"RAW SCORE OUT OF RANGE",IF(AND($Y1127="Unexcused",OR($L1127="",NOT(ISNUMBER($L1127)),$L1127&lt;&gt;0)),"UNEXCUSED ABSENCE MUST RECORD 0",IF(COUNTIF(nrES_RecID,$B1127)&gt;1,"DUPLICATE RECORD",IF(N($K1127)&gt;2,"ATTEMPT 3+ NOT ALLOWED - policy 300.5 permits one retest per exam; this row records nothing",IF(AND($K1127=2,COUNTIFS(nrES_PID,$D1127,nrES_Code,$F1127,nrES_Att,1)=0),"ATTEMPT 2 WITHOUT ATTEMPT 1",IF(AND($K1127=2,$L1127=""),"RETEST ROW HAS NO SCORE",IF(AND($H1127="Final",$L1127&lt;&gt;"",IFERROR(INDEX(nrCKfinalExamElig,MATCH($D1127,rngCadetPIDs,0)),"")="No"),"FINAL EXAM AFTER FAILED FINAL PT (500.1.H)",IF(AND($K1127=2,ISNUMBER($L1127),COUNTIFS(nrES_PID,$D1127,nrES_Code,$F1127,nrES_Att,1)&gt;0,SUMIFS(nrES_Raw,nrES_PID,$D1127,nrES_Code,$F1127,nrES_Att,1)&gt;=$J1127),"RETEST AFTER A PASSING FIRST ATTEMPT","OK"))))))))))</f>
        <v/>
      </c>
      <c r="Y1127" s="16" t="n"/>
    </row>
    <row r="1128">
      <c r="B1128" s="17">
        <f>IF($C1128="","",$D1128&amp;"-"&amp;$F1128&amp;"-"&amp;$K1128)</f>
        <v/>
      </c>
      <c r="C1128" s="16" t="n"/>
      <c r="D1128" s="17">
        <f>IF($C1128="","",IFERROR(INDEX(rngCadetPIDs,MATCH($C1128,rngCadetNames,0)),"?"))</f>
        <v/>
      </c>
      <c r="E1128" s="17">
        <f>IF($D1128="","",IFERROR(INDEX(nrCadetAgency,MATCH($D1128,rngCadetPIDs,0)),""))</f>
        <v/>
      </c>
      <c r="F1128" s="16" t="n"/>
      <c r="G1128" s="17">
        <f>IF($F1128="","",IFERROR(INDEX(rngEPname,MATCH($F1128,rngEPcode,0)),"?"))</f>
        <v/>
      </c>
      <c r="H1128" s="17">
        <f>IF($F1128="","",IFERROR(INDEX(rngEPtype,MATCH($F1128,rngEPcode,0)),"?"))</f>
        <v/>
      </c>
      <c r="I1128" s="17">
        <f>IF($F1128="","",IFERROR(INDEX(rngEPseq,MATCH($F1128,rngEPcode,0)),""))</f>
        <v/>
      </c>
      <c r="J1128" s="17">
        <f>IF($F1128="","",IFERROR(INDEX(rngEPpass,MATCH($F1128,rngEPcode,0)),cfgPassingScore))</f>
        <v/>
      </c>
      <c r="K1128" s="16" t="n"/>
      <c r="L1128" s="16" t="n"/>
      <c r="M1128" s="17">
        <f>IF($C1128="","",IF($L1128="","",IF(NOT(ISNUMBER($L1128)),$L1128,IF(N($K1128)&gt;2,"",IF($K1128=1,IF(COUNTIFS(nrES_PID,$D1128,nrES_Code,$F1128,nrES_Att,2,nrES_Raw,"&gt;=0")&gt;0,"",$L1128),IF($L1128&gt;=$J1128,MAX($J1128,cfgRetakeRecordedCap),IF(COUNTIFS(nrES_PID,$D1128,nrES_Code,$F1128,nrES_Att,1)=0,$L1128,SUMIFS(nrES_Raw,nrES_PID,$D1128,nrES_Code,$F1128,nrES_Att,1))))))))</f>
        <v/>
      </c>
      <c r="N1128" s="17">
        <f>IF($C1128="","",IF($L1128="","",IF(NOT(ISNUMBER($L1128)),"(not a score)",IF($L1128&gt;=$J1128,"Yes","No"))))</f>
        <v/>
      </c>
      <c r="O1128" s="17">
        <f>IF($C1128="","",IF($M1128="","",IF(NOT(ISNUMBER($M1128)),"(not a score)",IF($M1128&gt;=$J1128,"Yes","No"))))</f>
        <v/>
      </c>
      <c r="P1128" s="17">
        <f>IF($C1128="","",IF($K1128="","",IF(N($K1128)&gt;2,"No",IF(COUNTIFS(nrES_PID,$D1128,nrES_Code,$F1128,nrES_Att,"&gt;"&amp;$K1128,nrES_Att,"&lt;=2",nrES_Raw,"&gt;=0")=0,"Yes","No"))))</f>
        <v/>
      </c>
      <c r="Q1128" s="17">
        <f>IF($C1128="","",IF($L1128="","",IF(AND($K1128=1,ISNUMBER($L1128),$L1128&lt;$J1128,COUNTIFS(nrES_PID,$D1128,nrES_Code,$F1128,nrES_Att,2,nrES_Raw,"&gt;=0")=0),"Yes","No")))</f>
        <v/>
      </c>
      <c r="R1128" s="17">
        <f>IF($C1128="","",IF($L1128="","",IF(AND(N($K1128)&gt;=2,ISNUMBER($L1128),$L1128&lt;$J1128),"Yes","No")))</f>
        <v/>
      </c>
      <c r="S1128" s="18" t="n"/>
      <c r="T1128" s="19">
        <f>IF(OR($C1128="",$L1128="",$K1128&lt;&gt;1,NOT(ISNUMBER($L1128)),$L1128&gt;=$J1128),"",IF($S1128="","(enter date)",_xlfn.LET(_xlpm.dn,_xlfn.XLOOKUP($S1128,nrCDdate,nrCDnum,"",1),IF(_xlpm.dn="","(after last class day)",_xlfn.LET(_xlpm.dd,_xlfn.XLOOKUP(_xlpm.dn+cfgRetestClassDays,nrCDnum,nrCDdate,""),_xlpm.ok,_xlfn.XLOOKUP(_xlpm.dn+cfgRetestClassDays,nrCDnum,nrCDinsession,"No"),IF(OR(_xlpm.dd="",_xlpm.ok&lt;&gt;"Yes"),"(after last class day)",_xlpm.dd))))))</f>
        <v/>
      </c>
      <c r="U1128" s="17">
        <f>IF($C1128="","",IF(AND($Y1128="Excused",$L1128="",N($K1128)&lt;=1),"EXCUSED - 1st attempt pending",IF(OR($L1128="",$K1128&lt;&gt;1,NOT(ISNUMBER($L1128)),$L1128&gt;=$J1128),"",IF(COUNTIFS(nrES_PID,$D1128,nrES_Code,$F1128,nrES_Att,2,nrES_Raw,"&gt;=0")&gt;0,IF(IFERROR(_xlfn.MINIFS(nrES_Date,nrES_PID,$D1128,nrES_Code,$F1128,nrES_Att,2,nrES_Raw,"&gt;=0",nrES_Date,"&gt;0"),0)=0,"RETEST UNDATED",IF(NOT(ISNUMBER($T1128)),"RETEST DATE UNCHECKED",IF(_xlfn.MINIFS(nrES_Date,nrES_PID,$D1128,nrES_Code,$F1128,nrES_Att,2,nrES_Raw,"&gt;=0",nrES_Date,"&gt;0")&gt;$T1128,"LATE RETEST "&amp;TEXT(_xlfn.MINIFS(nrES_Date,nrES_PID,$D1128,nrES_Code,$F1128,nrES_Att,2,nrES_Raw,"&gt;=0",nrES_Date,"&gt;0"),"mm/dd")&amp;" (due "&amp;TEXT($T1128,"mm/dd")&amp;")","Retested"))),IF(NOT(ISNUMBER($T1128)),"CHECK DATE",IF(TODAY()&gt;$T1128,"OVERDUE","Due "&amp;TEXT($T1128,"mm/dd")))))))</f>
        <v/>
      </c>
      <c r="V1128" s="16" t="n"/>
      <c r="W1128" s="16" t="n"/>
      <c r="X1128" s="17">
        <f>IF($C1128="","",IF(AND($L1128&lt;&gt;"",NOT(ISNUMBER($L1128))),"RAW SCORE NOT A NUMBER",IF(AND(ISNUMBER($L1128),OR($L1128&lt;0,$L1128&gt;100)),"RAW SCORE OUT OF RANGE",IF(AND($Y1128="Unexcused",OR($L1128="",NOT(ISNUMBER($L1128)),$L1128&lt;&gt;0)),"UNEXCUSED ABSENCE MUST RECORD 0",IF(COUNTIF(nrES_RecID,$B1128)&gt;1,"DUPLICATE RECORD",IF(N($K1128)&gt;2,"ATTEMPT 3+ NOT ALLOWED - policy 300.5 permits one retest per exam; this row records nothing",IF(AND($K1128=2,COUNTIFS(nrES_PID,$D1128,nrES_Code,$F1128,nrES_Att,1)=0),"ATTEMPT 2 WITHOUT ATTEMPT 1",IF(AND($K1128=2,$L1128=""),"RETEST ROW HAS NO SCORE",IF(AND($H1128="Final",$L1128&lt;&gt;"",IFERROR(INDEX(nrCKfinalExamElig,MATCH($D1128,rngCadetPIDs,0)),"")="No"),"FINAL EXAM AFTER FAILED FINAL PT (500.1.H)",IF(AND($K1128=2,ISNUMBER($L1128),COUNTIFS(nrES_PID,$D1128,nrES_Code,$F1128,nrES_Att,1)&gt;0,SUMIFS(nrES_Raw,nrES_PID,$D1128,nrES_Code,$F1128,nrES_Att,1)&gt;=$J1128),"RETEST AFTER A PASSING FIRST ATTEMPT","OK"))))))))))</f>
        <v/>
      </c>
      <c r="Y1128" s="16" t="n"/>
    </row>
    <row r="1129">
      <c r="B1129" s="17">
        <f>IF($C1129="","",$D1129&amp;"-"&amp;$F1129&amp;"-"&amp;$K1129)</f>
        <v/>
      </c>
      <c r="C1129" s="16" t="n"/>
      <c r="D1129" s="17">
        <f>IF($C1129="","",IFERROR(INDEX(rngCadetPIDs,MATCH($C1129,rngCadetNames,0)),"?"))</f>
        <v/>
      </c>
      <c r="E1129" s="17">
        <f>IF($D1129="","",IFERROR(INDEX(nrCadetAgency,MATCH($D1129,rngCadetPIDs,0)),""))</f>
        <v/>
      </c>
      <c r="F1129" s="16" t="n"/>
      <c r="G1129" s="17">
        <f>IF($F1129="","",IFERROR(INDEX(rngEPname,MATCH($F1129,rngEPcode,0)),"?"))</f>
        <v/>
      </c>
      <c r="H1129" s="17">
        <f>IF($F1129="","",IFERROR(INDEX(rngEPtype,MATCH($F1129,rngEPcode,0)),"?"))</f>
        <v/>
      </c>
      <c r="I1129" s="17">
        <f>IF($F1129="","",IFERROR(INDEX(rngEPseq,MATCH($F1129,rngEPcode,0)),""))</f>
        <v/>
      </c>
      <c r="J1129" s="17">
        <f>IF($F1129="","",IFERROR(INDEX(rngEPpass,MATCH($F1129,rngEPcode,0)),cfgPassingScore))</f>
        <v/>
      </c>
      <c r="K1129" s="16" t="n"/>
      <c r="L1129" s="16" t="n"/>
      <c r="M1129" s="17">
        <f>IF($C1129="","",IF($L1129="","",IF(NOT(ISNUMBER($L1129)),$L1129,IF(N($K1129)&gt;2,"",IF($K1129=1,IF(COUNTIFS(nrES_PID,$D1129,nrES_Code,$F1129,nrES_Att,2,nrES_Raw,"&gt;=0")&gt;0,"",$L1129),IF($L1129&gt;=$J1129,MAX($J1129,cfgRetakeRecordedCap),IF(COUNTIFS(nrES_PID,$D1129,nrES_Code,$F1129,nrES_Att,1)=0,$L1129,SUMIFS(nrES_Raw,nrES_PID,$D1129,nrES_Code,$F1129,nrES_Att,1))))))))</f>
        <v/>
      </c>
      <c r="N1129" s="17">
        <f>IF($C1129="","",IF($L1129="","",IF(NOT(ISNUMBER($L1129)),"(not a score)",IF($L1129&gt;=$J1129,"Yes","No"))))</f>
        <v/>
      </c>
      <c r="O1129" s="17">
        <f>IF($C1129="","",IF($M1129="","",IF(NOT(ISNUMBER($M1129)),"(not a score)",IF($M1129&gt;=$J1129,"Yes","No"))))</f>
        <v/>
      </c>
      <c r="P1129" s="17">
        <f>IF($C1129="","",IF($K1129="","",IF(N($K1129)&gt;2,"No",IF(COUNTIFS(nrES_PID,$D1129,nrES_Code,$F1129,nrES_Att,"&gt;"&amp;$K1129,nrES_Att,"&lt;=2",nrES_Raw,"&gt;=0")=0,"Yes","No"))))</f>
        <v/>
      </c>
      <c r="Q1129" s="17">
        <f>IF($C1129="","",IF($L1129="","",IF(AND($K1129=1,ISNUMBER($L1129),$L1129&lt;$J1129,COUNTIFS(nrES_PID,$D1129,nrES_Code,$F1129,nrES_Att,2,nrES_Raw,"&gt;=0")=0),"Yes","No")))</f>
        <v/>
      </c>
      <c r="R1129" s="17">
        <f>IF($C1129="","",IF($L1129="","",IF(AND(N($K1129)&gt;=2,ISNUMBER($L1129),$L1129&lt;$J1129),"Yes","No")))</f>
        <v/>
      </c>
      <c r="S1129" s="18" t="n"/>
      <c r="T1129" s="19">
        <f>IF(OR($C1129="",$L1129="",$K1129&lt;&gt;1,NOT(ISNUMBER($L1129)),$L1129&gt;=$J1129),"",IF($S1129="","(enter date)",_xlfn.LET(_xlpm.dn,_xlfn.XLOOKUP($S1129,nrCDdate,nrCDnum,"",1),IF(_xlpm.dn="","(after last class day)",_xlfn.LET(_xlpm.dd,_xlfn.XLOOKUP(_xlpm.dn+cfgRetestClassDays,nrCDnum,nrCDdate,""),_xlpm.ok,_xlfn.XLOOKUP(_xlpm.dn+cfgRetestClassDays,nrCDnum,nrCDinsession,"No"),IF(OR(_xlpm.dd="",_xlpm.ok&lt;&gt;"Yes"),"(after last class day)",_xlpm.dd))))))</f>
        <v/>
      </c>
      <c r="U1129" s="17">
        <f>IF($C1129="","",IF(AND($Y1129="Excused",$L1129="",N($K1129)&lt;=1),"EXCUSED - 1st attempt pending",IF(OR($L1129="",$K1129&lt;&gt;1,NOT(ISNUMBER($L1129)),$L1129&gt;=$J1129),"",IF(COUNTIFS(nrES_PID,$D1129,nrES_Code,$F1129,nrES_Att,2,nrES_Raw,"&gt;=0")&gt;0,IF(IFERROR(_xlfn.MINIFS(nrES_Date,nrES_PID,$D1129,nrES_Code,$F1129,nrES_Att,2,nrES_Raw,"&gt;=0",nrES_Date,"&gt;0"),0)=0,"RETEST UNDATED",IF(NOT(ISNUMBER($T1129)),"RETEST DATE UNCHECKED",IF(_xlfn.MINIFS(nrES_Date,nrES_PID,$D1129,nrES_Code,$F1129,nrES_Att,2,nrES_Raw,"&gt;=0",nrES_Date,"&gt;0")&gt;$T1129,"LATE RETEST "&amp;TEXT(_xlfn.MINIFS(nrES_Date,nrES_PID,$D1129,nrES_Code,$F1129,nrES_Att,2,nrES_Raw,"&gt;=0",nrES_Date,"&gt;0"),"mm/dd")&amp;" (due "&amp;TEXT($T1129,"mm/dd")&amp;")","Retested"))),IF(NOT(ISNUMBER($T1129)),"CHECK DATE",IF(TODAY()&gt;$T1129,"OVERDUE","Due "&amp;TEXT($T1129,"mm/dd")))))))</f>
        <v/>
      </c>
      <c r="V1129" s="16" t="n"/>
      <c r="W1129" s="16" t="n"/>
      <c r="X1129" s="17">
        <f>IF($C1129="","",IF(AND($L1129&lt;&gt;"",NOT(ISNUMBER($L1129))),"RAW SCORE NOT A NUMBER",IF(AND(ISNUMBER($L1129),OR($L1129&lt;0,$L1129&gt;100)),"RAW SCORE OUT OF RANGE",IF(AND($Y1129="Unexcused",OR($L1129="",NOT(ISNUMBER($L1129)),$L1129&lt;&gt;0)),"UNEXCUSED ABSENCE MUST RECORD 0",IF(COUNTIF(nrES_RecID,$B1129)&gt;1,"DUPLICATE RECORD",IF(N($K1129)&gt;2,"ATTEMPT 3+ NOT ALLOWED - policy 300.5 permits one retest per exam; this row records nothing",IF(AND($K1129=2,COUNTIFS(nrES_PID,$D1129,nrES_Code,$F1129,nrES_Att,1)=0),"ATTEMPT 2 WITHOUT ATTEMPT 1",IF(AND($K1129=2,$L1129=""),"RETEST ROW HAS NO SCORE",IF(AND($H1129="Final",$L1129&lt;&gt;"",IFERROR(INDEX(nrCKfinalExamElig,MATCH($D1129,rngCadetPIDs,0)),"")="No"),"FINAL EXAM AFTER FAILED FINAL PT (500.1.H)",IF(AND($K1129=2,ISNUMBER($L1129),COUNTIFS(nrES_PID,$D1129,nrES_Code,$F1129,nrES_Att,1)&gt;0,SUMIFS(nrES_Raw,nrES_PID,$D1129,nrES_Code,$F1129,nrES_Att,1)&gt;=$J1129),"RETEST AFTER A PASSING FIRST ATTEMPT","OK"))))))))))</f>
        <v/>
      </c>
      <c r="Y1129" s="16" t="n"/>
    </row>
    <row r="1130">
      <c r="B1130" s="17">
        <f>IF($C1130="","",$D1130&amp;"-"&amp;$F1130&amp;"-"&amp;$K1130)</f>
        <v/>
      </c>
      <c r="C1130" s="16" t="n"/>
      <c r="D1130" s="17">
        <f>IF($C1130="","",IFERROR(INDEX(rngCadetPIDs,MATCH($C1130,rngCadetNames,0)),"?"))</f>
        <v/>
      </c>
      <c r="E1130" s="17">
        <f>IF($D1130="","",IFERROR(INDEX(nrCadetAgency,MATCH($D1130,rngCadetPIDs,0)),""))</f>
        <v/>
      </c>
      <c r="F1130" s="16" t="n"/>
      <c r="G1130" s="17">
        <f>IF($F1130="","",IFERROR(INDEX(rngEPname,MATCH($F1130,rngEPcode,0)),"?"))</f>
        <v/>
      </c>
      <c r="H1130" s="17">
        <f>IF($F1130="","",IFERROR(INDEX(rngEPtype,MATCH($F1130,rngEPcode,0)),"?"))</f>
        <v/>
      </c>
      <c r="I1130" s="17">
        <f>IF($F1130="","",IFERROR(INDEX(rngEPseq,MATCH($F1130,rngEPcode,0)),""))</f>
        <v/>
      </c>
      <c r="J1130" s="17">
        <f>IF($F1130="","",IFERROR(INDEX(rngEPpass,MATCH($F1130,rngEPcode,0)),cfgPassingScore))</f>
        <v/>
      </c>
      <c r="K1130" s="16" t="n"/>
      <c r="L1130" s="16" t="n"/>
      <c r="M1130" s="17">
        <f>IF($C1130="","",IF($L1130="","",IF(NOT(ISNUMBER($L1130)),$L1130,IF(N($K1130)&gt;2,"",IF($K1130=1,IF(COUNTIFS(nrES_PID,$D1130,nrES_Code,$F1130,nrES_Att,2,nrES_Raw,"&gt;=0")&gt;0,"",$L1130),IF($L1130&gt;=$J1130,MAX($J1130,cfgRetakeRecordedCap),IF(COUNTIFS(nrES_PID,$D1130,nrES_Code,$F1130,nrES_Att,1)=0,$L1130,SUMIFS(nrES_Raw,nrES_PID,$D1130,nrES_Code,$F1130,nrES_Att,1))))))))</f>
        <v/>
      </c>
      <c r="N1130" s="17">
        <f>IF($C1130="","",IF($L1130="","",IF(NOT(ISNUMBER($L1130)),"(not a score)",IF($L1130&gt;=$J1130,"Yes","No"))))</f>
        <v/>
      </c>
      <c r="O1130" s="17">
        <f>IF($C1130="","",IF($M1130="","",IF(NOT(ISNUMBER($M1130)),"(not a score)",IF($M1130&gt;=$J1130,"Yes","No"))))</f>
        <v/>
      </c>
      <c r="P1130" s="17">
        <f>IF($C1130="","",IF($K1130="","",IF(N($K1130)&gt;2,"No",IF(COUNTIFS(nrES_PID,$D1130,nrES_Code,$F1130,nrES_Att,"&gt;"&amp;$K1130,nrES_Att,"&lt;=2",nrES_Raw,"&gt;=0")=0,"Yes","No"))))</f>
        <v/>
      </c>
      <c r="Q1130" s="17">
        <f>IF($C1130="","",IF($L1130="","",IF(AND($K1130=1,ISNUMBER($L1130),$L1130&lt;$J1130,COUNTIFS(nrES_PID,$D1130,nrES_Code,$F1130,nrES_Att,2,nrES_Raw,"&gt;=0")=0),"Yes","No")))</f>
        <v/>
      </c>
      <c r="R1130" s="17">
        <f>IF($C1130="","",IF($L1130="","",IF(AND(N($K1130)&gt;=2,ISNUMBER($L1130),$L1130&lt;$J1130),"Yes","No")))</f>
        <v/>
      </c>
      <c r="S1130" s="18" t="n"/>
      <c r="T1130" s="19">
        <f>IF(OR($C1130="",$L1130="",$K1130&lt;&gt;1,NOT(ISNUMBER($L1130)),$L1130&gt;=$J1130),"",IF($S1130="","(enter date)",_xlfn.LET(_xlpm.dn,_xlfn.XLOOKUP($S1130,nrCDdate,nrCDnum,"",1),IF(_xlpm.dn="","(after last class day)",_xlfn.LET(_xlpm.dd,_xlfn.XLOOKUP(_xlpm.dn+cfgRetestClassDays,nrCDnum,nrCDdate,""),_xlpm.ok,_xlfn.XLOOKUP(_xlpm.dn+cfgRetestClassDays,nrCDnum,nrCDinsession,"No"),IF(OR(_xlpm.dd="",_xlpm.ok&lt;&gt;"Yes"),"(after last class day)",_xlpm.dd))))))</f>
        <v/>
      </c>
      <c r="U1130" s="17">
        <f>IF($C1130="","",IF(AND($Y1130="Excused",$L1130="",N($K1130)&lt;=1),"EXCUSED - 1st attempt pending",IF(OR($L1130="",$K1130&lt;&gt;1,NOT(ISNUMBER($L1130)),$L1130&gt;=$J1130),"",IF(COUNTIFS(nrES_PID,$D1130,nrES_Code,$F1130,nrES_Att,2,nrES_Raw,"&gt;=0")&gt;0,IF(IFERROR(_xlfn.MINIFS(nrES_Date,nrES_PID,$D1130,nrES_Code,$F1130,nrES_Att,2,nrES_Raw,"&gt;=0",nrES_Date,"&gt;0"),0)=0,"RETEST UNDATED",IF(NOT(ISNUMBER($T1130)),"RETEST DATE UNCHECKED",IF(_xlfn.MINIFS(nrES_Date,nrES_PID,$D1130,nrES_Code,$F1130,nrES_Att,2,nrES_Raw,"&gt;=0",nrES_Date,"&gt;0")&gt;$T1130,"LATE RETEST "&amp;TEXT(_xlfn.MINIFS(nrES_Date,nrES_PID,$D1130,nrES_Code,$F1130,nrES_Att,2,nrES_Raw,"&gt;=0",nrES_Date,"&gt;0"),"mm/dd")&amp;" (due "&amp;TEXT($T1130,"mm/dd")&amp;")","Retested"))),IF(NOT(ISNUMBER($T1130)),"CHECK DATE",IF(TODAY()&gt;$T1130,"OVERDUE","Due "&amp;TEXT($T1130,"mm/dd")))))))</f>
        <v/>
      </c>
      <c r="V1130" s="16" t="n"/>
      <c r="W1130" s="16" t="n"/>
      <c r="X1130" s="17">
        <f>IF($C1130="","",IF(AND($L1130&lt;&gt;"",NOT(ISNUMBER($L1130))),"RAW SCORE NOT A NUMBER",IF(AND(ISNUMBER($L1130),OR($L1130&lt;0,$L1130&gt;100)),"RAW SCORE OUT OF RANGE",IF(AND($Y1130="Unexcused",OR($L1130="",NOT(ISNUMBER($L1130)),$L1130&lt;&gt;0)),"UNEXCUSED ABSENCE MUST RECORD 0",IF(COUNTIF(nrES_RecID,$B1130)&gt;1,"DUPLICATE RECORD",IF(N($K1130)&gt;2,"ATTEMPT 3+ NOT ALLOWED - policy 300.5 permits one retest per exam; this row records nothing",IF(AND($K1130=2,COUNTIFS(nrES_PID,$D1130,nrES_Code,$F1130,nrES_Att,1)=0),"ATTEMPT 2 WITHOUT ATTEMPT 1",IF(AND($K1130=2,$L1130=""),"RETEST ROW HAS NO SCORE",IF(AND($H1130="Final",$L1130&lt;&gt;"",IFERROR(INDEX(nrCKfinalExamElig,MATCH($D1130,rngCadetPIDs,0)),"")="No"),"FINAL EXAM AFTER FAILED FINAL PT (500.1.H)",IF(AND($K1130=2,ISNUMBER($L1130),COUNTIFS(nrES_PID,$D1130,nrES_Code,$F1130,nrES_Att,1)&gt;0,SUMIFS(nrES_Raw,nrES_PID,$D1130,nrES_Code,$F1130,nrES_Att,1)&gt;=$J1130),"RETEST AFTER A PASSING FIRST ATTEMPT","OK"))))))))))</f>
        <v/>
      </c>
      <c r="Y1130" s="16" t="n"/>
    </row>
    <row r="1131">
      <c r="B1131" s="17">
        <f>IF($C1131="","",$D1131&amp;"-"&amp;$F1131&amp;"-"&amp;$K1131)</f>
        <v/>
      </c>
      <c r="C1131" s="16" t="n"/>
      <c r="D1131" s="17">
        <f>IF($C1131="","",IFERROR(INDEX(rngCadetPIDs,MATCH($C1131,rngCadetNames,0)),"?"))</f>
        <v/>
      </c>
      <c r="E1131" s="17">
        <f>IF($D1131="","",IFERROR(INDEX(nrCadetAgency,MATCH($D1131,rngCadetPIDs,0)),""))</f>
        <v/>
      </c>
      <c r="F1131" s="16" t="n"/>
      <c r="G1131" s="17">
        <f>IF($F1131="","",IFERROR(INDEX(rngEPname,MATCH($F1131,rngEPcode,0)),"?"))</f>
        <v/>
      </c>
      <c r="H1131" s="17">
        <f>IF($F1131="","",IFERROR(INDEX(rngEPtype,MATCH($F1131,rngEPcode,0)),"?"))</f>
        <v/>
      </c>
      <c r="I1131" s="17">
        <f>IF($F1131="","",IFERROR(INDEX(rngEPseq,MATCH($F1131,rngEPcode,0)),""))</f>
        <v/>
      </c>
      <c r="J1131" s="17">
        <f>IF($F1131="","",IFERROR(INDEX(rngEPpass,MATCH($F1131,rngEPcode,0)),cfgPassingScore))</f>
        <v/>
      </c>
      <c r="K1131" s="16" t="n"/>
      <c r="L1131" s="16" t="n"/>
      <c r="M1131" s="17">
        <f>IF($C1131="","",IF($L1131="","",IF(NOT(ISNUMBER($L1131)),$L1131,IF(N($K1131)&gt;2,"",IF($K1131=1,IF(COUNTIFS(nrES_PID,$D1131,nrES_Code,$F1131,nrES_Att,2,nrES_Raw,"&gt;=0")&gt;0,"",$L1131),IF($L1131&gt;=$J1131,MAX($J1131,cfgRetakeRecordedCap),IF(COUNTIFS(nrES_PID,$D1131,nrES_Code,$F1131,nrES_Att,1)=0,$L1131,SUMIFS(nrES_Raw,nrES_PID,$D1131,nrES_Code,$F1131,nrES_Att,1))))))))</f>
        <v/>
      </c>
      <c r="N1131" s="17">
        <f>IF($C1131="","",IF($L1131="","",IF(NOT(ISNUMBER($L1131)),"(not a score)",IF($L1131&gt;=$J1131,"Yes","No"))))</f>
        <v/>
      </c>
      <c r="O1131" s="17">
        <f>IF($C1131="","",IF($M1131="","",IF(NOT(ISNUMBER($M1131)),"(not a score)",IF($M1131&gt;=$J1131,"Yes","No"))))</f>
        <v/>
      </c>
      <c r="P1131" s="17">
        <f>IF($C1131="","",IF($K1131="","",IF(N($K1131)&gt;2,"No",IF(COUNTIFS(nrES_PID,$D1131,nrES_Code,$F1131,nrES_Att,"&gt;"&amp;$K1131,nrES_Att,"&lt;=2",nrES_Raw,"&gt;=0")=0,"Yes","No"))))</f>
        <v/>
      </c>
      <c r="Q1131" s="17">
        <f>IF($C1131="","",IF($L1131="","",IF(AND($K1131=1,ISNUMBER($L1131),$L1131&lt;$J1131,COUNTIFS(nrES_PID,$D1131,nrES_Code,$F1131,nrES_Att,2,nrES_Raw,"&gt;=0")=0),"Yes","No")))</f>
        <v/>
      </c>
      <c r="R1131" s="17">
        <f>IF($C1131="","",IF($L1131="","",IF(AND(N($K1131)&gt;=2,ISNUMBER($L1131),$L1131&lt;$J1131),"Yes","No")))</f>
        <v/>
      </c>
      <c r="S1131" s="18" t="n"/>
      <c r="T1131" s="19">
        <f>IF(OR($C1131="",$L1131="",$K1131&lt;&gt;1,NOT(ISNUMBER($L1131)),$L1131&gt;=$J1131),"",IF($S1131="","(enter date)",_xlfn.LET(_xlpm.dn,_xlfn.XLOOKUP($S1131,nrCDdate,nrCDnum,"",1),IF(_xlpm.dn="","(after last class day)",_xlfn.LET(_xlpm.dd,_xlfn.XLOOKUP(_xlpm.dn+cfgRetestClassDays,nrCDnum,nrCDdate,""),_xlpm.ok,_xlfn.XLOOKUP(_xlpm.dn+cfgRetestClassDays,nrCDnum,nrCDinsession,"No"),IF(OR(_xlpm.dd="",_xlpm.ok&lt;&gt;"Yes"),"(after last class day)",_xlpm.dd))))))</f>
        <v/>
      </c>
      <c r="U1131" s="17">
        <f>IF($C1131="","",IF(AND($Y1131="Excused",$L1131="",N($K1131)&lt;=1),"EXCUSED - 1st attempt pending",IF(OR($L1131="",$K1131&lt;&gt;1,NOT(ISNUMBER($L1131)),$L1131&gt;=$J1131),"",IF(COUNTIFS(nrES_PID,$D1131,nrES_Code,$F1131,nrES_Att,2,nrES_Raw,"&gt;=0")&gt;0,IF(IFERROR(_xlfn.MINIFS(nrES_Date,nrES_PID,$D1131,nrES_Code,$F1131,nrES_Att,2,nrES_Raw,"&gt;=0",nrES_Date,"&gt;0"),0)=0,"RETEST UNDATED",IF(NOT(ISNUMBER($T1131)),"RETEST DATE UNCHECKED",IF(_xlfn.MINIFS(nrES_Date,nrES_PID,$D1131,nrES_Code,$F1131,nrES_Att,2,nrES_Raw,"&gt;=0",nrES_Date,"&gt;0")&gt;$T1131,"LATE RETEST "&amp;TEXT(_xlfn.MINIFS(nrES_Date,nrES_PID,$D1131,nrES_Code,$F1131,nrES_Att,2,nrES_Raw,"&gt;=0",nrES_Date,"&gt;0"),"mm/dd")&amp;" (due "&amp;TEXT($T1131,"mm/dd")&amp;")","Retested"))),IF(NOT(ISNUMBER($T1131)),"CHECK DATE",IF(TODAY()&gt;$T1131,"OVERDUE","Due "&amp;TEXT($T1131,"mm/dd")))))))</f>
        <v/>
      </c>
      <c r="V1131" s="16" t="n"/>
      <c r="W1131" s="16" t="n"/>
      <c r="X1131" s="17">
        <f>IF($C1131="","",IF(AND($L1131&lt;&gt;"",NOT(ISNUMBER($L1131))),"RAW SCORE NOT A NUMBER",IF(AND(ISNUMBER($L1131),OR($L1131&lt;0,$L1131&gt;100)),"RAW SCORE OUT OF RANGE",IF(AND($Y1131="Unexcused",OR($L1131="",NOT(ISNUMBER($L1131)),$L1131&lt;&gt;0)),"UNEXCUSED ABSENCE MUST RECORD 0",IF(COUNTIF(nrES_RecID,$B1131)&gt;1,"DUPLICATE RECORD",IF(N($K1131)&gt;2,"ATTEMPT 3+ NOT ALLOWED - policy 300.5 permits one retest per exam; this row records nothing",IF(AND($K1131=2,COUNTIFS(nrES_PID,$D1131,nrES_Code,$F1131,nrES_Att,1)=0),"ATTEMPT 2 WITHOUT ATTEMPT 1",IF(AND($K1131=2,$L1131=""),"RETEST ROW HAS NO SCORE",IF(AND($H1131="Final",$L1131&lt;&gt;"",IFERROR(INDEX(nrCKfinalExamElig,MATCH($D1131,rngCadetPIDs,0)),"")="No"),"FINAL EXAM AFTER FAILED FINAL PT (500.1.H)",IF(AND($K1131=2,ISNUMBER($L1131),COUNTIFS(nrES_PID,$D1131,nrES_Code,$F1131,nrES_Att,1)&gt;0,SUMIFS(nrES_Raw,nrES_PID,$D1131,nrES_Code,$F1131,nrES_Att,1)&gt;=$J1131),"RETEST AFTER A PASSING FIRST ATTEMPT","OK"))))))))))</f>
        <v/>
      </c>
      <c r="Y1131" s="16" t="n"/>
    </row>
    <row r="1132">
      <c r="B1132" s="17">
        <f>IF($C1132="","",$D1132&amp;"-"&amp;$F1132&amp;"-"&amp;$K1132)</f>
        <v/>
      </c>
      <c r="C1132" s="16" t="n"/>
      <c r="D1132" s="17">
        <f>IF($C1132="","",IFERROR(INDEX(rngCadetPIDs,MATCH($C1132,rngCadetNames,0)),"?"))</f>
        <v/>
      </c>
      <c r="E1132" s="17">
        <f>IF($D1132="","",IFERROR(INDEX(nrCadetAgency,MATCH($D1132,rngCadetPIDs,0)),""))</f>
        <v/>
      </c>
      <c r="F1132" s="16" t="n"/>
      <c r="G1132" s="17">
        <f>IF($F1132="","",IFERROR(INDEX(rngEPname,MATCH($F1132,rngEPcode,0)),"?"))</f>
        <v/>
      </c>
      <c r="H1132" s="17">
        <f>IF($F1132="","",IFERROR(INDEX(rngEPtype,MATCH($F1132,rngEPcode,0)),"?"))</f>
        <v/>
      </c>
      <c r="I1132" s="17">
        <f>IF($F1132="","",IFERROR(INDEX(rngEPseq,MATCH($F1132,rngEPcode,0)),""))</f>
        <v/>
      </c>
      <c r="J1132" s="17">
        <f>IF($F1132="","",IFERROR(INDEX(rngEPpass,MATCH($F1132,rngEPcode,0)),cfgPassingScore))</f>
        <v/>
      </c>
      <c r="K1132" s="16" t="n"/>
      <c r="L1132" s="16" t="n"/>
      <c r="M1132" s="17">
        <f>IF($C1132="","",IF($L1132="","",IF(NOT(ISNUMBER($L1132)),$L1132,IF(N($K1132)&gt;2,"",IF($K1132=1,IF(COUNTIFS(nrES_PID,$D1132,nrES_Code,$F1132,nrES_Att,2,nrES_Raw,"&gt;=0")&gt;0,"",$L1132),IF($L1132&gt;=$J1132,MAX($J1132,cfgRetakeRecordedCap),IF(COUNTIFS(nrES_PID,$D1132,nrES_Code,$F1132,nrES_Att,1)=0,$L1132,SUMIFS(nrES_Raw,nrES_PID,$D1132,nrES_Code,$F1132,nrES_Att,1))))))))</f>
        <v/>
      </c>
      <c r="N1132" s="17">
        <f>IF($C1132="","",IF($L1132="","",IF(NOT(ISNUMBER($L1132)),"(not a score)",IF($L1132&gt;=$J1132,"Yes","No"))))</f>
        <v/>
      </c>
      <c r="O1132" s="17">
        <f>IF($C1132="","",IF($M1132="","",IF(NOT(ISNUMBER($M1132)),"(not a score)",IF($M1132&gt;=$J1132,"Yes","No"))))</f>
        <v/>
      </c>
      <c r="P1132" s="17">
        <f>IF($C1132="","",IF($K1132="","",IF(N($K1132)&gt;2,"No",IF(COUNTIFS(nrES_PID,$D1132,nrES_Code,$F1132,nrES_Att,"&gt;"&amp;$K1132,nrES_Att,"&lt;=2",nrES_Raw,"&gt;=0")=0,"Yes","No"))))</f>
        <v/>
      </c>
      <c r="Q1132" s="17">
        <f>IF($C1132="","",IF($L1132="","",IF(AND($K1132=1,ISNUMBER($L1132),$L1132&lt;$J1132,COUNTIFS(nrES_PID,$D1132,nrES_Code,$F1132,nrES_Att,2,nrES_Raw,"&gt;=0")=0),"Yes","No")))</f>
        <v/>
      </c>
      <c r="R1132" s="17">
        <f>IF($C1132="","",IF($L1132="","",IF(AND(N($K1132)&gt;=2,ISNUMBER($L1132),$L1132&lt;$J1132),"Yes","No")))</f>
        <v/>
      </c>
      <c r="S1132" s="18" t="n"/>
      <c r="T1132" s="19">
        <f>IF(OR($C1132="",$L1132="",$K1132&lt;&gt;1,NOT(ISNUMBER($L1132)),$L1132&gt;=$J1132),"",IF($S1132="","(enter date)",_xlfn.LET(_xlpm.dn,_xlfn.XLOOKUP($S1132,nrCDdate,nrCDnum,"",1),IF(_xlpm.dn="","(after last class day)",_xlfn.LET(_xlpm.dd,_xlfn.XLOOKUP(_xlpm.dn+cfgRetestClassDays,nrCDnum,nrCDdate,""),_xlpm.ok,_xlfn.XLOOKUP(_xlpm.dn+cfgRetestClassDays,nrCDnum,nrCDinsession,"No"),IF(OR(_xlpm.dd="",_xlpm.ok&lt;&gt;"Yes"),"(after last class day)",_xlpm.dd))))))</f>
        <v/>
      </c>
      <c r="U1132" s="17">
        <f>IF($C1132="","",IF(AND($Y1132="Excused",$L1132="",N($K1132)&lt;=1),"EXCUSED - 1st attempt pending",IF(OR($L1132="",$K1132&lt;&gt;1,NOT(ISNUMBER($L1132)),$L1132&gt;=$J1132),"",IF(COUNTIFS(nrES_PID,$D1132,nrES_Code,$F1132,nrES_Att,2,nrES_Raw,"&gt;=0")&gt;0,IF(IFERROR(_xlfn.MINIFS(nrES_Date,nrES_PID,$D1132,nrES_Code,$F1132,nrES_Att,2,nrES_Raw,"&gt;=0",nrES_Date,"&gt;0"),0)=0,"RETEST UNDATED",IF(NOT(ISNUMBER($T1132)),"RETEST DATE UNCHECKED",IF(_xlfn.MINIFS(nrES_Date,nrES_PID,$D1132,nrES_Code,$F1132,nrES_Att,2,nrES_Raw,"&gt;=0",nrES_Date,"&gt;0")&gt;$T1132,"LATE RETEST "&amp;TEXT(_xlfn.MINIFS(nrES_Date,nrES_PID,$D1132,nrES_Code,$F1132,nrES_Att,2,nrES_Raw,"&gt;=0",nrES_Date,"&gt;0"),"mm/dd")&amp;" (due "&amp;TEXT($T1132,"mm/dd")&amp;")","Retested"))),IF(NOT(ISNUMBER($T1132)),"CHECK DATE",IF(TODAY()&gt;$T1132,"OVERDUE","Due "&amp;TEXT($T1132,"mm/dd")))))))</f>
        <v/>
      </c>
      <c r="V1132" s="16" t="n"/>
      <c r="W1132" s="16" t="n"/>
      <c r="X1132" s="17">
        <f>IF($C1132="","",IF(AND($L1132&lt;&gt;"",NOT(ISNUMBER($L1132))),"RAW SCORE NOT A NUMBER",IF(AND(ISNUMBER($L1132),OR($L1132&lt;0,$L1132&gt;100)),"RAW SCORE OUT OF RANGE",IF(AND($Y1132="Unexcused",OR($L1132="",NOT(ISNUMBER($L1132)),$L1132&lt;&gt;0)),"UNEXCUSED ABSENCE MUST RECORD 0",IF(COUNTIF(nrES_RecID,$B1132)&gt;1,"DUPLICATE RECORD",IF(N($K1132)&gt;2,"ATTEMPT 3+ NOT ALLOWED - policy 300.5 permits one retest per exam; this row records nothing",IF(AND($K1132=2,COUNTIFS(nrES_PID,$D1132,nrES_Code,$F1132,nrES_Att,1)=0),"ATTEMPT 2 WITHOUT ATTEMPT 1",IF(AND($K1132=2,$L1132=""),"RETEST ROW HAS NO SCORE",IF(AND($H1132="Final",$L1132&lt;&gt;"",IFERROR(INDEX(nrCKfinalExamElig,MATCH($D1132,rngCadetPIDs,0)),"")="No"),"FINAL EXAM AFTER FAILED FINAL PT (500.1.H)",IF(AND($K1132=2,ISNUMBER($L1132),COUNTIFS(nrES_PID,$D1132,nrES_Code,$F1132,nrES_Att,1)&gt;0,SUMIFS(nrES_Raw,nrES_PID,$D1132,nrES_Code,$F1132,nrES_Att,1)&gt;=$J1132),"RETEST AFTER A PASSING FIRST ATTEMPT","OK"))))))))))</f>
        <v/>
      </c>
      <c r="Y1132" s="16" t="n"/>
    </row>
    <row r="1133">
      <c r="B1133" s="17">
        <f>IF($C1133="","",$D1133&amp;"-"&amp;$F1133&amp;"-"&amp;$K1133)</f>
        <v/>
      </c>
      <c r="C1133" s="16" t="n"/>
      <c r="D1133" s="17">
        <f>IF($C1133="","",IFERROR(INDEX(rngCadetPIDs,MATCH($C1133,rngCadetNames,0)),"?"))</f>
        <v/>
      </c>
      <c r="E1133" s="17">
        <f>IF($D1133="","",IFERROR(INDEX(nrCadetAgency,MATCH($D1133,rngCadetPIDs,0)),""))</f>
        <v/>
      </c>
      <c r="F1133" s="16" t="n"/>
      <c r="G1133" s="17">
        <f>IF($F1133="","",IFERROR(INDEX(rngEPname,MATCH($F1133,rngEPcode,0)),"?"))</f>
        <v/>
      </c>
      <c r="H1133" s="17">
        <f>IF($F1133="","",IFERROR(INDEX(rngEPtype,MATCH($F1133,rngEPcode,0)),"?"))</f>
        <v/>
      </c>
      <c r="I1133" s="17">
        <f>IF($F1133="","",IFERROR(INDEX(rngEPseq,MATCH($F1133,rngEPcode,0)),""))</f>
        <v/>
      </c>
      <c r="J1133" s="17">
        <f>IF($F1133="","",IFERROR(INDEX(rngEPpass,MATCH($F1133,rngEPcode,0)),cfgPassingScore))</f>
        <v/>
      </c>
      <c r="K1133" s="16" t="n"/>
      <c r="L1133" s="16" t="n"/>
      <c r="M1133" s="17">
        <f>IF($C1133="","",IF($L1133="","",IF(NOT(ISNUMBER($L1133)),$L1133,IF(N($K1133)&gt;2,"",IF($K1133=1,IF(COUNTIFS(nrES_PID,$D1133,nrES_Code,$F1133,nrES_Att,2,nrES_Raw,"&gt;=0")&gt;0,"",$L1133),IF($L1133&gt;=$J1133,MAX($J1133,cfgRetakeRecordedCap),IF(COUNTIFS(nrES_PID,$D1133,nrES_Code,$F1133,nrES_Att,1)=0,$L1133,SUMIFS(nrES_Raw,nrES_PID,$D1133,nrES_Code,$F1133,nrES_Att,1))))))))</f>
        <v/>
      </c>
      <c r="N1133" s="17">
        <f>IF($C1133="","",IF($L1133="","",IF(NOT(ISNUMBER($L1133)),"(not a score)",IF($L1133&gt;=$J1133,"Yes","No"))))</f>
        <v/>
      </c>
      <c r="O1133" s="17">
        <f>IF($C1133="","",IF($M1133="","",IF(NOT(ISNUMBER($M1133)),"(not a score)",IF($M1133&gt;=$J1133,"Yes","No"))))</f>
        <v/>
      </c>
      <c r="P1133" s="17">
        <f>IF($C1133="","",IF($K1133="","",IF(N($K1133)&gt;2,"No",IF(COUNTIFS(nrES_PID,$D1133,nrES_Code,$F1133,nrES_Att,"&gt;"&amp;$K1133,nrES_Att,"&lt;=2",nrES_Raw,"&gt;=0")=0,"Yes","No"))))</f>
        <v/>
      </c>
      <c r="Q1133" s="17">
        <f>IF($C1133="","",IF($L1133="","",IF(AND($K1133=1,ISNUMBER($L1133),$L1133&lt;$J1133,COUNTIFS(nrES_PID,$D1133,nrES_Code,$F1133,nrES_Att,2,nrES_Raw,"&gt;=0")=0),"Yes","No")))</f>
        <v/>
      </c>
      <c r="R1133" s="17">
        <f>IF($C1133="","",IF($L1133="","",IF(AND(N($K1133)&gt;=2,ISNUMBER($L1133),$L1133&lt;$J1133),"Yes","No")))</f>
        <v/>
      </c>
      <c r="S1133" s="18" t="n"/>
      <c r="T1133" s="19">
        <f>IF(OR($C1133="",$L1133="",$K1133&lt;&gt;1,NOT(ISNUMBER($L1133)),$L1133&gt;=$J1133),"",IF($S1133="","(enter date)",_xlfn.LET(_xlpm.dn,_xlfn.XLOOKUP($S1133,nrCDdate,nrCDnum,"",1),IF(_xlpm.dn="","(after last class day)",_xlfn.LET(_xlpm.dd,_xlfn.XLOOKUP(_xlpm.dn+cfgRetestClassDays,nrCDnum,nrCDdate,""),_xlpm.ok,_xlfn.XLOOKUP(_xlpm.dn+cfgRetestClassDays,nrCDnum,nrCDinsession,"No"),IF(OR(_xlpm.dd="",_xlpm.ok&lt;&gt;"Yes"),"(after last class day)",_xlpm.dd))))))</f>
        <v/>
      </c>
      <c r="U1133" s="17">
        <f>IF($C1133="","",IF(AND($Y1133="Excused",$L1133="",N($K1133)&lt;=1),"EXCUSED - 1st attempt pending",IF(OR($L1133="",$K1133&lt;&gt;1,NOT(ISNUMBER($L1133)),$L1133&gt;=$J1133),"",IF(COUNTIFS(nrES_PID,$D1133,nrES_Code,$F1133,nrES_Att,2,nrES_Raw,"&gt;=0")&gt;0,IF(IFERROR(_xlfn.MINIFS(nrES_Date,nrES_PID,$D1133,nrES_Code,$F1133,nrES_Att,2,nrES_Raw,"&gt;=0",nrES_Date,"&gt;0"),0)=0,"RETEST UNDATED",IF(NOT(ISNUMBER($T1133)),"RETEST DATE UNCHECKED",IF(_xlfn.MINIFS(nrES_Date,nrES_PID,$D1133,nrES_Code,$F1133,nrES_Att,2,nrES_Raw,"&gt;=0",nrES_Date,"&gt;0")&gt;$T1133,"LATE RETEST "&amp;TEXT(_xlfn.MINIFS(nrES_Date,nrES_PID,$D1133,nrES_Code,$F1133,nrES_Att,2,nrES_Raw,"&gt;=0",nrES_Date,"&gt;0"),"mm/dd")&amp;" (due "&amp;TEXT($T1133,"mm/dd")&amp;")","Retested"))),IF(NOT(ISNUMBER($T1133)),"CHECK DATE",IF(TODAY()&gt;$T1133,"OVERDUE","Due "&amp;TEXT($T1133,"mm/dd")))))))</f>
        <v/>
      </c>
      <c r="V1133" s="16" t="n"/>
      <c r="W1133" s="16" t="n"/>
      <c r="X1133" s="17">
        <f>IF($C1133="","",IF(AND($L1133&lt;&gt;"",NOT(ISNUMBER($L1133))),"RAW SCORE NOT A NUMBER",IF(AND(ISNUMBER($L1133),OR($L1133&lt;0,$L1133&gt;100)),"RAW SCORE OUT OF RANGE",IF(AND($Y1133="Unexcused",OR($L1133="",NOT(ISNUMBER($L1133)),$L1133&lt;&gt;0)),"UNEXCUSED ABSENCE MUST RECORD 0",IF(COUNTIF(nrES_RecID,$B1133)&gt;1,"DUPLICATE RECORD",IF(N($K1133)&gt;2,"ATTEMPT 3+ NOT ALLOWED - policy 300.5 permits one retest per exam; this row records nothing",IF(AND($K1133=2,COUNTIFS(nrES_PID,$D1133,nrES_Code,$F1133,nrES_Att,1)=0),"ATTEMPT 2 WITHOUT ATTEMPT 1",IF(AND($K1133=2,$L1133=""),"RETEST ROW HAS NO SCORE",IF(AND($H1133="Final",$L1133&lt;&gt;"",IFERROR(INDEX(nrCKfinalExamElig,MATCH($D1133,rngCadetPIDs,0)),"")="No"),"FINAL EXAM AFTER FAILED FINAL PT (500.1.H)",IF(AND($K1133=2,ISNUMBER($L1133),COUNTIFS(nrES_PID,$D1133,nrES_Code,$F1133,nrES_Att,1)&gt;0,SUMIFS(nrES_Raw,nrES_PID,$D1133,nrES_Code,$F1133,nrES_Att,1)&gt;=$J1133),"RETEST AFTER A PASSING FIRST ATTEMPT","OK"))))))))))</f>
        <v/>
      </c>
      <c r="Y1133" s="16" t="n"/>
    </row>
    <row r="1134">
      <c r="B1134" s="17">
        <f>IF($C1134="","",$D1134&amp;"-"&amp;$F1134&amp;"-"&amp;$K1134)</f>
        <v/>
      </c>
      <c r="C1134" s="16" t="n"/>
      <c r="D1134" s="17">
        <f>IF($C1134="","",IFERROR(INDEX(rngCadetPIDs,MATCH($C1134,rngCadetNames,0)),"?"))</f>
        <v/>
      </c>
      <c r="E1134" s="17">
        <f>IF($D1134="","",IFERROR(INDEX(nrCadetAgency,MATCH($D1134,rngCadetPIDs,0)),""))</f>
        <v/>
      </c>
      <c r="F1134" s="16" t="n"/>
      <c r="G1134" s="17">
        <f>IF($F1134="","",IFERROR(INDEX(rngEPname,MATCH($F1134,rngEPcode,0)),"?"))</f>
        <v/>
      </c>
      <c r="H1134" s="17">
        <f>IF($F1134="","",IFERROR(INDEX(rngEPtype,MATCH($F1134,rngEPcode,0)),"?"))</f>
        <v/>
      </c>
      <c r="I1134" s="17">
        <f>IF($F1134="","",IFERROR(INDEX(rngEPseq,MATCH($F1134,rngEPcode,0)),""))</f>
        <v/>
      </c>
      <c r="J1134" s="17">
        <f>IF($F1134="","",IFERROR(INDEX(rngEPpass,MATCH($F1134,rngEPcode,0)),cfgPassingScore))</f>
        <v/>
      </c>
      <c r="K1134" s="16" t="n"/>
      <c r="L1134" s="16" t="n"/>
      <c r="M1134" s="17">
        <f>IF($C1134="","",IF($L1134="","",IF(NOT(ISNUMBER($L1134)),$L1134,IF(N($K1134)&gt;2,"",IF($K1134=1,IF(COUNTIFS(nrES_PID,$D1134,nrES_Code,$F1134,nrES_Att,2,nrES_Raw,"&gt;=0")&gt;0,"",$L1134),IF($L1134&gt;=$J1134,MAX($J1134,cfgRetakeRecordedCap),IF(COUNTIFS(nrES_PID,$D1134,nrES_Code,$F1134,nrES_Att,1)=0,$L1134,SUMIFS(nrES_Raw,nrES_PID,$D1134,nrES_Code,$F1134,nrES_Att,1))))))))</f>
        <v/>
      </c>
      <c r="N1134" s="17">
        <f>IF($C1134="","",IF($L1134="","",IF(NOT(ISNUMBER($L1134)),"(not a score)",IF($L1134&gt;=$J1134,"Yes","No"))))</f>
        <v/>
      </c>
      <c r="O1134" s="17">
        <f>IF($C1134="","",IF($M1134="","",IF(NOT(ISNUMBER($M1134)),"(not a score)",IF($M1134&gt;=$J1134,"Yes","No"))))</f>
        <v/>
      </c>
      <c r="P1134" s="17">
        <f>IF($C1134="","",IF($K1134="","",IF(N($K1134)&gt;2,"No",IF(COUNTIFS(nrES_PID,$D1134,nrES_Code,$F1134,nrES_Att,"&gt;"&amp;$K1134,nrES_Att,"&lt;=2",nrES_Raw,"&gt;=0")=0,"Yes","No"))))</f>
        <v/>
      </c>
      <c r="Q1134" s="17">
        <f>IF($C1134="","",IF($L1134="","",IF(AND($K1134=1,ISNUMBER($L1134),$L1134&lt;$J1134,COUNTIFS(nrES_PID,$D1134,nrES_Code,$F1134,nrES_Att,2,nrES_Raw,"&gt;=0")=0),"Yes","No")))</f>
        <v/>
      </c>
      <c r="R1134" s="17">
        <f>IF($C1134="","",IF($L1134="","",IF(AND(N($K1134)&gt;=2,ISNUMBER($L1134),$L1134&lt;$J1134),"Yes","No")))</f>
        <v/>
      </c>
      <c r="S1134" s="18" t="n"/>
      <c r="T1134" s="19">
        <f>IF(OR($C1134="",$L1134="",$K1134&lt;&gt;1,NOT(ISNUMBER($L1134)),$L1134&gt;=$J1134),"",IF($S1134="","(enter date)",_xlfn.LET(_xlpm.dn,_xlfn.XLOOKUP($S1134,nrCDdate,nrCDnum,"",1),IF(_xlpm.dn="","(after last class day)",_xlfn.LET(_xlpm.dd,_xlfn.XLOOKUP(_xlpm.dn+cfgRetestClassDays,nrCDnum,nrCDdate,""),_xlpm.ok,_xlfn.XLOOKUP(_xlpm.dn+cfgRetestClassDays,nrCDnum,nrCDinsession,"No"),IF(OR(_xlpm.dd="",_xlpm.ok&lt;&gt;"Yes"),"(after last class day)",_xlpm.dd))))))</f>
        <v/>
      </c>
      <c r="U1134" s="17">
        <f>IF($C1134="","",IF(AND($Y1134="Excused",$L1134="",N($K1134)&lt;=1),"EXCUSED - 1st attempt pending",IF(OR($L1134="",$K1134&lt;&gt;1,NOT(ISNUMBER($L1134)),$L1134&gt;=$J1134),"",IF(COUNTIFS(nrES_PID,$D1134,nrES_Code,$F1134,nrES_Att,2,nrES_Raw,"&gt;=0")&gt;0,IF(IFERROR(_xlfn.MINIFS(nrES_Date,nrES_PID,$D1134,nrES_Code,$F1134,nrES_Att,2,nrES_Raw,"&gt;=0",nrES_Date,"&gt;0"),0)=0,"RETEST UNDATED",IF(NOT(ISNUMBER($T1134)),"RETEST DATE UNCHECKED",IF(_xlfn.MINIFS(nrES_Date,nrES_PID,$D1134,nrES_Code,$F1134,nrES_Att,2,nrES_Raw,"&gt;=0",nrES_Date,"&gt;0")&gt;$T1134,"LATE RETEST "&amp;TEXT(_xlfn.MINIFS(nrES_Date,nrES_PID,$D1134,nrES_Code,$F1134,nrES_Att,2,nrES_Raw,"&gt;=0",nrES_Date,"&gt;0"),"mm/dd")&amp;" (due "&amp;TEXT($T1134,"mm/dd")&amp;")","Retested"))),IF(NOT(ISNUMBER($T1134)),"CHECK DATE",IF(TODAY()&gt;$T1134,"OVERDUE","Due "&amp;TEXT($T1134,"mm/dd")))))))</f>
        <v/>
      </c>
      <c r="V1134" s="16" t="n"/>
      <c r="W1134" s="16" t="n"/>
      <c r="X1134" s="17">
        <f>IF($C1134="","",IF(AND($L1134&lt;&gt;"",NOT(ISNUMBER($L1134))),"RAW SCORE NOT A NUMBER",IF(AND(ISNUMBER($L1134),OR($L1134&lt;0,$L1134&gt;100)),"RAW SCORE OUT OF RANGE",IF(AND($Y1134="Unexcused",OR($L1134="",NOT(ISNUMBER($L1134)),$L1134&lt;&gt;0)),"UNEXCUSED ABSENCE MUST RECORD 0",IF(COUNTIF(nrES_RecID,$B1134)&gt;1,"DUPLICATE RECORD",IF(N($K1134)&gt;2,"ATTEMPT 3+ NOT ALLOWED - policy 300.5 permits one retest per exam; this row records nothing",IF(AND($K1134=2,COUNTIFS(nrES_PID,$D1134,nrES_Code,$F1134,nrES_Att,1)=0),"ATTEMPT 2 WITHOUT ATTEMPT 1",IF(AND($K1134=2,$L1134=""),"RETEST ROW HAS NO SCORE",IF(AND($H1134="Final",$L1134&lt;&gt;"",IFERROR(INDEX(nrCKfinalExamElig,MATCH($D1134,rngCadetPIDs,0)),"")="No"),"FINAL EXAM AFTER FAILED FINAL PT (500.1.H)",IF(AND($K1134=2,ISNUMBER($L1134),COUNTIFS(nrES_PID,$D1134,nrES_Code,$F1134,nrES_Att,1)&gt;0,SUMIFS(nrES_Raw,nrES_PID,$D1134,nrES_Code,$F1134,nrES_Att,1)&gt;=$J1134),"RETEST AFTER A PASSING FIRST ATTEMPT","OK"))))))))))</f>
        <v/>
      </c>
      <c r="Y1134" s="16" t="n"/>
    </row>
    <row r="1135">
      <c r="B1135" s="17">
        <f>IF($C1135="","",$D1135&amp;"-"&amp;$F1135&amp;"-"&amp;$K1135)</f>
        <v/>
      </c>
      <c r="C1135" s="16" t="n"/>
      <c r="D1135" s="17">
        <f>IF($C1135="","",IFERROR(INDEX(rngCadetPIDs,MATCH($C1135,rngCadetNames,0)),"?"))</f>
        <v/>
      </c>
      <c r="E1135" s="17">
        <f>IF($D1135="","",IFERROR(INDEX(nrCadetAgency,MATCH($D1135,rngCadetPIDs,0)),""))</f>
        <v/>
      </c>
      <c r="F1135" s="16" t="n"/>
      <c r="G1135" s="17">
        <f>IF($F1135="","",IFERROR(INDEX(rngEPname,MATCH($F1135,rngEPcode,0)),"?"))</f>
        <v/>
      </c>
      <c r="H1135" s="17">
        <f>IF($F1135="","",IFERROR(INDEX(rngEPtype,MATCH($F1135,rngEPcode,0)),"?"))</f>
        <v/>
      </c>
      <c r="I1135" s="17">
        <f>IF($F1135="","",IFERROR(INDEX(rngEPseq,MATCH($F1135,rngEPcode,0)),""))</f>
        <v/>
      </c>
      <c r="J1135" s="17">
        <f>IF($F1135="","",IFERROR(INDEX(rngEPpass,MATCH($F1135,rngEPcode,0)),cfgPassingScore))</f>
        <v/>
      </c>
      <c r="K1135" s="16" t="n"/>
      <c r="L1135" s="16" t="n"/>
      <c r="M1135" s="17">
        <f>IF($C1135="","",IF($L1135="","",IF(NOT(ISNUMBER($L1135)),$L1135,IF(N($K1135)&gt;2,"",IF($K1135=1,IF(COUNTIFS(nrES_PID,$D1135,nrES_Code,$F1135,nrES_Att,2,nrES_Raw,"&gt;=0")&gt;0,"",$L1135),IF($L1135&gt;=$J1135,MAX($J1135,cfgRetakeRecordedCap),IF(COUNTIFS(nrES_PID,$D1135,nrES_Code,$F1135,nrES_Att,1)=0,$L1135,SUMIFS(nrES_Raw,nrES_PID,$D1135,nrES_Code,$F1135,nrES_Att,1))))))))</f>
        <v/>
      </c>
      <c r="N1135" s="17">
        <f>IF($C1135="","",IF($L1135="","",IF(NOT(ISNUMBER($L1135)),"(not a score)",IF($L1135&gt;=$J1135,"Yes","No"))))</f>
        <v/>
      </c>
      <c r="O1135" s="17">
        <f>IF($C1135="","",IF($M1135="","",IF(NOT(ISNUMBER($M1135)),"(not a score)",IF($M1135&gt;=$J1135,"Yes","No"))))</f>
        <v/>
      </c>
      <c r="P1135" s="17">
        <f>IF($C1135="","",IF($K1135="","",IF(N($K1135)&gt;2,"No",IF(COUNTIFS(nrES_PID,$D1135,nrES_Code,$F1135,nrES_Att,"&gt;"&amp;$K1135,nrES_Att,"&lt;=2",nrES_Raw,"&gt;=0")=0,"Yes","No"))))</f>
        <v/>
      </c>
      <c r="Q1135" s="17">
        <f>IF($C1135="","",IF($L1135="","",IF(AND($K1135=1,ISNUMBER($L1135),$L1135&lt;$J1135,COUNTIFS(nrES_PID,$D1135,nrES_Code,$F1135,nrES_Att,2,nrES_Raw,"&gt;=0")=0),"Yes","No")))</f>
        <v/>
      </c>
      <c r="R1135" s="17">
        <f>IF($C1135="","",IF($L1135="","",IF(AND(N($K1135)&gt;=2,ISNUMBER($L1135),$L1135&lt;$J1135),"Yes","No")))</f>
        <v/>
      </c>
      <c r="S1135" s="18" t="n"/>
      <c r="T1135" s="19">
        <f>IF(OR($C1135="",$L1135="",$K1135&lt;&gt;1,NOT(ISNUMBER($L1135)),$L1135&gt;=$J1135),"",IF($S1135="","(enter date)",_xlfn.LET(_xlpm.dn,_xlfn.XLOOKUP($S1135,nrCDdate,nrCDnum,"",1),IF(_xlpm.dn="","(after last class day)",_xlfn.LET(_xlpm.dd,_xlfn.XLOOKUP(_xlpm.dn+cfgRetestClassDays,nrCDnum,nrCDdate,""),_xlpm.ok,_xlfn.XLOOKUP(_xlpm.dn+cfgRetestClassDays,nrCDnum,nrCDinsession,"No"),IF(OR(_xlpm.dd="",_xlpm.ok&lt;&gt;"Yes"),"(after last class day)",_xlpm.dd))))))</f>
        <v/>
      </c>
      <c r="U1135" s="17">
        <f>IF($C1135="","",IF(AND($Y1135="Excused",$L1135="",N($K1135)&lt;=1),"EXCUSED - 1st attempt pending",IF(OR($L1135="",$K1135&lt;&gt;1,NOT(ISNUMBER($L1135)),$L1135&gt;=$J1135),"",IF(COUNTIFS(nrES_PID,$D1135,nrES_Code,$F1135,nrES_Att,2,nrES_Raw,"&gt;=0")&gt;0,IF(IFERROR(_xlfn.MINIFS(nrES_Date,nrES_PID,$D1135,nrES_Code,$F1135,nrES_Att,2,nrES_Raw,"&gt;=0",nrES_Date,"&gt;0"),0)=0,"RETEST UNDATED",IF(NOT(ISNUMBER($T1135)),"RETEST DATE UNCHECKED",IF(_xlfn.MINIFS(nrES_Date,nrES_PID,$D1135,nrES_Code,$F1135,nrES_Att,2,nrES_Raw,"&gt;=0",nrES_Date,"&gt;0")&gt;$T1135,"LATE RETEST "&amp;TEXT(_xlfn.MINIFS(nrES_Date,nrES_PID,$D1135,nrES_Code,$F1135,nrES_Att,2,nrES_Raw,"&gt;=0",nrES_Date,"&gt;0"),"mm/dd")&amp;" (due "&amp;TEXT($T1135,"mm/dd")&amp;")","Retested"))),IF(NOT(ISNUMBER($T1135)),"CHECK DATE",IF(TODAY()&gt;$T1135,"OVERDUE","Due "&amp;TEXT($T1135,"mm/dd")))))))</f>
        <v/>
      </c>
      <c r="V1135" s="16" t="n"/>
      <c r="W1135" s="16" t="n"/>
      <c r="X1135" s="17">
        <f>IF($C1135="","",IF(AND($L1135&lt;&gt;"",NOT(ISNUMBER($L1135))),"RAW SCORE NOT A NUMBER",IF(AND(ISNUMBER($L1135),OR($L1135&lt;0,$L1135&gt;100)),"RAW SCORE OUT OF RANGE",IF(AND($Y1135="Unexcused",OR($L1135="",NOT(ISNUMBER($L1135)),$L1135&lt;&gt;0)),"UNEXCUSED ABSENCE MUST RECORD 0",IF(COUNTIF(nrES_RecID,$B1135)&gt;1,"DUPLICATE RECORD",IF(N($K1135)&gt;2,"ATTEMPT 3+ NOT ALLOWED - policy 300.5 permits one retest per exam; this row records nothing",IF(AND($K1135=2,COUNTIFS(nrES_PID,$D1135,nrES_Code,$F1135,nrES_Att,1)=0),"ATTEMPT 2 WITHOUT ATTEMPT 1",IF(AND($K1135=2,$L1135=""),"RETEST ROW HAS NO SCORE",IF(AND($H1135="Final",$L1135&lt;&gt;"",IFERROR(INDEX(nrCKfinalExamElig,MATCH($D1135,rngCadetPIDs,0)),"")="No"),"FINAL EXAM AFTER FAILED FINAL PT (500.1.H)",IF(AND($K1135=2,ISNUMBER($L1135),COUNTIFS(nrES_PID,$D1135,nrES_Code,$F1135,nrES_Att,1)&gt;0,SUMIFS(nrES_Raw,nrES_PID,$D1135,nrES_Code,$F1135,nrES_Att,1)&gt;=$J1135),"RETEST AFTER A PASSING FIRST ATTEMPT","OK"))))))))))</f>
        <v/>
      </c>
      <c r="Y1135" s="16" t="n"/>
    </row>
    <row r="1136">
      <c r="B1136" s="17">
        <f>IF($C1136="","",$D1136&amp;"-"&amp;$F1136&amp;"-"&amp;$K1136)</f>
        <v/>
      </c>
      <c r="C1136" s="16" t="n"/>
      <c r="D1136" s="17">
        <f>IF($C1136="","",IFERROR(INDEX(rngCadetPIDs,MATCH($C1136,rngCadetNames,0)),"?"))</f>
        <v/>
      </c>
      <c r="E1136" s="17">
        <f>IF($D1136="","",IFERROR(INDEX(nrCadetAgency,MATCH($D1136,rngCadetPIDs,0)),""))</f>
        <v/>
      </c>
      <c r="F1136" s="16" t="n"/>
      <c r="G1136" s="17">
        <f>IF($F1136="","",IFERROR(INDEX(rngEPname,MATCH($F1136,rngEPcode,0)),"?"))</f>
        <v/>
      </c>
      <c r="H1136" s="17">
        <f>IF($F1136="","",IFERROR(INDEX(rngEPtype,MATCH($F1136,rngEPcode,0)),"?"))</f>
        <v/>
      </c>
      <c r="I1136" s="17">
        <f>IF($F1136="","",IFERROR(INDEX(rngEPseq,MATCH($F1136,rngEPcode,0)),""))</f>
        <v/>
      </c>
      <c r="J1136" s="17">
        <f>IF($F1136="","",IFERROR(INDEX(rngEPpass,MATCH($F1136,rngEPcode,0)),cfgPassingScore))</f>
        <v/>
      </c>
      <c r="K1136" s="16" t="n"/>
      <c r="L1136" s="16" t="n"/>
      <c r="M1136" s="17">
        <f>IF($C1136="","",IF($L1136="","",IF(NOT(ISNUMBER($L1136)),$L1136,IF(N($K1136)&gt;2,"",IF($K1136=1,IF(COUNTIFS(nrES_PID,$D1136,nrES_Code,$F1136,nrES_Att,2,nrES_Raw,"&gt;=0")&gt;0,"",$L1136),IF($L1136&gt;=$J1136,MAX($J1136,cfgRetakeRecordedCap),IF(COUNTIFS(nrES_PID,$D1136,nrES_Code,$F1136,nrES_Att,1)=0,$L1136,SUMIFS(nrES_Raw,nrES_PID,$D1136,nrES_Code,$F1136,nrES_Att,1))))))))</f>
        <v/>
      </c>
      <c r="N1136" s="17">
        <f>IF($C1136="","",IF($L1136="","",IF(NOT(ISNUMBER($L1136)),"(not a score)",IF($L1136&gt;=$J1136,"Yes","No"))))</f>
        <v/>
      </c>
      <c r="O1136" s="17">
        <f>IF($C1136="","",IF($M1136="","",IF(NOT(ISNUMBER($M1136)),"(not a score)",IF($M1136&gt;=$J1136,"Yes","No"))))</f>
        <v/>
      </c>
      <c r="P1136" s="17">
        <f>IF($C1136="","",IF($K1136="","",IF(N($K1136)&gt;2,"No",IF(COUNTIFS(nrES_PID,$D1136,nrES_Code,$F1136,nrES_Att,"&gt;"&amp;$K1136,nrES_Att,"&lt;=2",nrES_Raw,"&gt;=0")=0,"Yes","No"))))</f>
        <v/>
      </c>
      <c r="Q1136" s="17">
        <f>IF($C1136="","",IF($L1136="","",IF(AND($K1136=1,ISNUMBER($L1136),$L1136&lt;$J1136,COUNTIFS(nrES_PID,$D1136,nrES_Code,$F1136,nrES_Att,2,nrES_Raw,"&gt;=0")=0),"Yes","No")))</f>
        <v/>
      </c>
      <c r="R1136" s="17">
        <f>IF($C1136="","",IF($L1136="","",IF(AND(N($K1136)&gt;=2,ISNUMBER($L1136),$L1136&lt;$J1136),"Yes","No")))</f>
        <v/>
      </c>
      <c r="S1136" s="18" t="n"/>
      <c r="T1136" s="19">
        <f>IF(OR($C1136="",$L1136="",$K1136&lt;&gt;1,NOT(ISNUMBER($L1136)),$L1136&gt;=$J1136),"",IF($S1136="","(enter date)",_xlfn.LET(_xlpm.dn,_xlfn.XLOOKUP($S1136,nrCDdate,nrCDnum,"",1),IF(_xlpm.dn="","(after last class day)",_xlfn.LET(_xlpm.dd,_xlfn.XLOOKUP(_xlpm.dn+cfgRetestClassDays,nrCDnum,nrCDdate,""),_xlpm.ok,_xlfn.XLOOKUP(_xlpm.dn+cfgRetestClassDays,nrCDnum,nrCDinsession,"No"),IF(OR(_xlpm.dd="",_xlpm.ok&lt;&gt;"Yes"),"(after last class day)",_xlpm.dd))))))</f>
        <v/>
      </c>
      <c r="U1136" s="17">
        <f>IF($C1136="","",IF(AND($Y1136="Excused",$L1136="",N($K1136)&lt;=1),"EXCUSED - 1st attempt pending",IF(OR($L1136="",$K1136&lt;&gt;1,NOT(ISNUMBER($L1136)),$L1136&gt;=$J1136),"",IF(COUNTIFS(nrES_PID,$D1136,nrES_Code,$F1136,nrES_Att,2,nrES_Raw,"&gt;=0")&gt;0,IF(IFERROR(_xlfn.MINIFS(nrES_Date,nrES_PID,$D1136,nrES_Code,$F1136,nrES_Att,2,nrES_Raw,"&gt;=0",nrES_Date,"&gt;0"),0)=0,"RETEST UNDATED",IF(NOT(ISNUMBER($T1136)),"RETEST DATE UNCHECKED",IF(_xlfn.MINIFS(nrES_Date,nrES_PID,$D1136,nrES_Code,$F1136,nrES_Att,2,nrES_Raw,"&gt;=0",nrES_Date,"&gt;0")&gt;$T1136,"LATE RETEST "&amp;TEXT(_xlfn.MINIFS(nrES_Date,nrES_PID,$D1136,nrES_Code,$F1136,nrES_Att,2,nrES_Raw,"&gt;=0",nrES_Date,"&gt;0"),"mm/dd")&amp;" (due "&amp;TEXT($T1136,"mm/dd")&amp;")","Retested"))),IF(NOT(ISNUMBER($T1136)),"CHECK DATE",IF(TODAY()&gt;$T1136,"OVERDUE","Due "&amp;TEXT($T1136,"mm/dd")))))))</f>
        <v/>
      </c>
      <c r="V1136" s="16" t="n"/>
      <c r="W1136" s="16" t="n"/>
      <c r="X1136" s="17">
        <f>IF($C1136="","",IF(AND($L1136&lt;&gt;"",NOT(ISNUMBER($L1136))),"RAW SCORE NOT A NUMBER",IF(AND(ISNUMBER($L1136),OR($L1136&lt;0,$L1136&gt;100)),"RAW SCORE OUT OF RANGE",IF(AND($Y1136="Unexcused",OR($L1136="",NOT(ISNUMBER($L1136)),$L1136&lt;&gt;0)),"UNEXCUSED ABSENCE MUST RECORD 0",IF(COUNTIF(nrES_RecID,$B1136)&gt;1,"DUPLICATE RECORD",IF(N($K1136)&gt;2,"ATTEMPT 3+ NOT ALLOWED - policy 300.5 permits one retest per exam; this row records nothing",IF(AND($K1136=2,COUNTIFS(nrES_PID,$D1136,nrES_Code,$F1136,nrES_Att,1)=0),"ATTEMPT 2 WITHOUT ATTEMPT 1",IF(AND($K1136=2,$L1136=""),"RETEST ROW HAS NO SCORE",IF(AND($H1136="Final",$L1136&lt;&gt;"",IFERROR(INDEX(nrCKfinalExamElig,MATCH($D1136,rngCadetPIDs,0)),"")="No"),"FINAL EXAM AFTER FAILED FINAL PT (500.1.H)",IF(AND($K1136=2,ISNUMBER($L1136),COUNTIFS(nrES_PID,$D1136,nrES_Code,$F1136,nrES_Att,1)&gt;0,SUMIFS(nrES_Raw,nrES_PID,$D1136,nrES_Code,$F1136,nrES_Att,1)&gt;=$J1136),"RETEST AFTER A PASSING FIRST ATTEMPT","OK"))))))))))</f>
        <v/>
      </c>
      <c r="Y1136" s="16" t="n"/>
    </row>
    <row r="1137">
      <c r="B1137" s="17">
        <f>IF($C1137="","",$D1137&amp;"-"&amp;$F1137&amp;"-"&amp;$K1137)</f>
        <v/>
      </c>
      <c r="C1137" s="16" t="n"/>
      <c r="D1137" s="17">
        <f>IF($C1137="","",IFERROR(INDEX(rngCadetPIDs,MATCH($C1137,rngCadetNames,0)),"?"))</f>
        <v/>
      </c>
      <c r="E1137" s="17">
        <f>IF($D1137="","",IFERROR(INDEX(nrCadetAgency,MATCH($D1137,rngCadetPIDs,0)),""))</f>
        <v/>
      </c>
      <c r="F1137" s="16" t="n"/>
      <c r="G1137" s="17">
        <f>IF($F1137="","",IFERROR(INDEX(rngEPname,MATCH($F1137,rngEPcode,0)),"?"))</f>
        <v/>
      </c>
      <c r="H1137" s="17">
        <f>IF($F1137="","",IFERROR(INDEX(rngEPtype,MATCH($F1137,rngEPcode,0)),"?"))</f>
        <v/>
      </c>
      <c r="I1137" s="17">
        <f>IF($F1137="","",IFERROR(INDEX(rngEPseq,MATCH($F1137,rngEPcode,0)),""))</f>
        <v/>
      </c>
      <c r="J1137" s="17">
        <f>IF($F1137="","",IFERROR(INDEX(rngEPpass,MATCH($F1137,rngEPcode,0)),cfgPassingScore))</f>
        <v/>
      </c>
      <c r="K1137" s="16" t="n"/>
      <c r="L1137" s="16" t="n"/>
      <c r="M1137" s="17">
        <f>IF($C1137="","",IF($L1137="","",IF(NOT(ISNUMBER($L1137)),$L1137,IF(N($K1137)&gt;2,"",IF($K1137=1,IF(COUNTIFS(nrES_PID,$D1137,nrES_Code,$F1137,nrES_Att,2,nrES_Raw,"&gt;=0")&gt;0,"",$L1137),IF($L1137&gt;=$J1137,MAX($J1137,cfgRetakeRecordedCap),IF(COUNTIFS(nrES_PID,$D1137,nrES_Code,$F1137,nrES_Att,1)=0,$L1137,SUMIFS(nrES_Raw,nrES_PID,$D1137,nrES_Code,$F1137,nrES_Att,1))))))))</f>
        <v/>
      </c>
      <c r="N1137" s="17">
        <f>IF($C1137="","",IF($L1137="","",IF(NOT(ISNUMBER($L1137)),"(not a score)",IF($L1137&gt;=$J1137,"Yes","No"))))</f>
        <v/>
      </c>
      <c r="O1137" s="17">
        <f>IF($C1137="","",IF($M1137="","",IF(NOT(ISNUMBER($M1137)),"(not a score)",IF($M1137&gt;=$J1137,"Yes","No"))))</f>
        <v/>
      </c>
      <c r="P1137" s="17">
        <f>IF($C1137="","",IF($K1137="","",IF(N($K1137)&gt;2,"No",IF(COUNTIFS(nrES_PID,$D1137,nrES_Code,$F1137,nrES_Att,"&gt;"&amp;$K1137,nrES_Att,"&lt;=2",nrES_Raw,"&gt;=0")=0,"Yes","No"))))</f>
        <v/>
      </c>
      <c r="Q1137" s="17">
        <f>IF($C1137="","",IF($L1137="","",IF(AND($K1137=1,ISNUMBER($L1137),$L1137&lt;$J1137,COUNTIFS(nrES_PID,$D1137,nrES_Code,$F1137,nrES_Att,2,nrES_Raw,"&gt;=0")=0),"Yes","No")))</f>
        <v/>
      </c>
      <c r="R1137" s="17">
        <f>IF($C1137="","",IF($L1137="","",IF(AND(N($K1137)&gt;=2,ISNUMBER($L1137),$L1137&lt;$J1137),"Yes","No")))</f>
        <v/>
      </c>
      <c r="S1137" s="18" t="n"/>
      <c r="T1137" s="19">
        <f>IF(OR($C1137="",$L1137="",$K1137&lt;&gt;1,NOT(ISNUMBER($L1137)),$L1137&gt;=$J1137),"",IF($S1137="","(enter date)",_xlfn.LET(_xlpm.dn,_xlfn.XLOOKUP($S1137,nrCDdate,nrCDnum,"",1),IF(_xlpm.dn="","(after last class day)",_xlfn.LET(_xlpm.dd,_xlfn.XLOOKUP(_xlpm.dn+cfgRetestClassDays,nrCDnum,nrCDdate,""),_xlpm.ok,_xlfn.XLOOKUP(_xlpm.dn+cfgRetestClassDays,nrCDnum,nrCDinsession,"No"),IF(OR(_xlpm.dd="",_xlpm.ok&lt;&gt;"Yes"),"(after last class day)",_xlpm.dd))))))</f>
        <v/>
      </c>
      <c r="U1137" s="17">
        <f>IF($C1137="","",IF(AND($Y1137="Excused",$L1137="",N($K1137)&lt;=1),"EXCUSED - 1st attempt pending",IF(OR($L1137="",$K1137&lt;&gt;1,NOT(ISNUMBER($L1137)),$L1137&gt;=$J1137),"",IF(COUNTIFS(nrES_PID,$D1137,nrES_Code,$F1137,nrES_Att,2,nrES_Raw,"&gt;=0")&gt;0,IF(IFERROR(_xlfn.MINIFS(nrES_Date,nrES_PID,$D1137,nrES_Code,$F1137,nrES_Att,2,nrES_Raw,"&gt;=0",nrES_Date,"&gt;0"),0)=0,"RETEST UNDATED",IF(NOT(ISNUMBER($T1137)),"RETEST DATE UNCHECKED",IF(_xlfn.MINIFS(nrES_Date,nrES_PID,$D1137,nrES_Code,$F1137,nrES_Att,2,nrES_Raw,"&gt;=0",nrES_Date,"&gt;0")&gt;$T1137,"LATE RETEST "&amp;TEXT(_xlfn.MINIFS(nrES_Date,nrES_PID,$D1137,nrES_Code,$F1137,nrES_Att,2,nrES_Raw,"&gt;=0",nrES_Date,"&gt;0"),"mm/dd")&amp;" (due "&amp;TEXT($T1137,"mm/dd")&amp;")","Retested"))),IF(NOT(ISNUMBER($T1137)),"CHECK DATE",IF(TODAY()&gt;$T1137,"OVERDUE","Due "&amp;TEXT($T1137,"mm/dd")))))))</f>
        <v/>
      </c>
      <c r="V1137" s="16" t="n"/>
      <c r="W1137" s="16" t="n"/>
      <c r="X1137" s="17">
        <f>IF($C1137="","",IF(AND($L1137&lt;&gt;"",NOT(ISNUMBER($L1137))),"RAW SCORE NOT A NUMBER",IF(AND(ISNUMBER($L1137),OR($L1137&lt;0,$L1137&gt;100)),"RAW SCORE OUT OF RANGE",IF(AND($Y1137="Unexcused",OR($L1137="",NOT(ISNUMBER($L1137)),$L1137&lt;&gt;0)),"UNEXCUSED ABSENCE MUST RECORD 0",IF(COUNTIF(nrES_RecID,$B1137)&gt;1,"DUPLICATE RECORD",IF(N($K1137)&gt;2,"ATTEMPT 3+ NOT ALLOWED - policy 300.5 permits one retest per exam; this row records nothing",IF(AND($K1137=2,COUNTIFS(nrES_PID,$D1137,nrES_Code,$F1137,nrES_Att,1)=0),"ATTEMPT 2 WITHOUT ATTEMPT 1",IF(AND($K1137=2,$L1137=""),"RETEST ROW HAS NO SCORE",IF(AND($H1137="Final",$L1137&lt;&gt;"",IFERROR(INDEX(nrCKfinalExamElig,MATCH($D1137,rngCadetPIDs,0)),"")="No"),"FINAL EXAM AFTER FAILED FINAL PT (500.1.H)",IF(AND($K1137=2,ISNUMBER($L1137),COUNTIFS(nrES_PID,$D1137,nrES_Code,$F1137,nrES_Att,1)&gt;0,SUMIFS(nrES_Raw,nrES_PID,$D1137,nrES_Code,$F1137,nrES_Att,1)&gt;=$J1137),"RETEST AFTER A PASSING FIRST ATTEMPT","OK"))))))))))</f>
        <v/>
      </c>
      <c r="Y1137" s="16" t="n"/>
    </row>
    <row r="1138">
      <c r="B1138" s="17">
        <f>IF($C1138="","",$D1138&amp;"-"&amp;$F1138&amp;"-"&amp;$K1138)</f>
        <v/>
      </c>
      <c r="C1138" s="16" t="n"/>
      <c r="D1138" s="17">
        <f>IF($C1138="","",IFERROR(INDEX(rngCadetPIDs,MATCH($C1138,rngCadetNames,0)),"?"))</f>
        <v/>
      </c>
      <c r="E1138" s="17">
        <f>IF($D1138="","",IFERROR(INDEX(nrCadetAgency,MATCH($D1138,rngCadetPIDs,0)),""))</f>
        <v/>
      </c>
      <c r="F1138" s="16" t="n"/>
      <c r="G1138" s="17">
        <f>IF($F1138="","",IFERROR(INDEX(rngEPname,MATCH($F1138,rngEPcode,0)),"?"))</f>
        <v/>
      </c>
      <c r="H1138" s="17">
        <f>IF($F1138="","",IFERROR(INDEX(rngEPtype,MATCH($F1138,rngEPcode,0)),"?"))</f>
        <v/>
      </c>
      <c r="I1138" s="17">
        <f>IF($F1138="","",IFERROR(INDEX(rngEPseq,MATCH($F1138,rngEPcode,0)),""))</f>
        <v/>
      </c>
      <c r="J1138" s="17">
        <f>IF($F1138="","",IFERROR(INDEX(rngEPpass,MATCH($F1138,rngEPcode,0)),cfgPassingScore))</f>
        <v/>
      </c>
      <c r="K1138" s="16" t="n"/>
      <c r="L1138" s="16" t="n"/>
      <c r="M1138" s="17">
        <f>IF($C1138="","",IF($L1138="","",IF(NOT(ISNUMBER($L1138)),$L1138,IF(N($K1138)&gt;2,"",IF($K1138=1,IF(COUNTIFS(nrES_PID,$D1138,nrES_Code,$F1138,nrES_Att,2,nrES_Raw,"&gt;=0")&gt;0,"",$L1138),IF($L1138&gt;=$J1138,MAX($J1138,cfgRetakeRecordedCap),IF(COUNTIFS(nrES_PID,$D1138,nrES_Code,$F1138,nrES_Att,1)=0,$L1138,SUMIFS(nrES_Raw,nrES_PID,$D1138,nrES_Code,$F1138,nrES_Att,1))))))))</f>
        <v/>
      </c>
      <c r="N1138" s="17">
        <f>IF($C1138="","",IF($L1138="","",IF(NOT(ISNUMBER($L1138)),"(not a score)",IF($L1138&gt;=$J1138,"Yes","No"))))</f>
        <v/>
      </c>
      <c r="O1138" s="17">
        <f>IF($C1138="","",IF($M1138="","",IF(NOT(ISNUMBER($M1138)),"(not a score)",IF($M1138&gt;=$J1138,"Yes","No"))))</f>
        <v/>
      </c>
      <c r="P1138" s="17">
        <f>IF($C1138="","",IF($K1138="","",IF(N($K1138)&gt;2,"No",IF(COUNTIFS(nrES_PID,$D1138,nrES_Code,$F1138,nrES_Att,"&gt;"&amp;$K1138,nrES_Att,"&lt;=2",nrES_Raw,"&gt;=0")=0,"Yes","No"))))</f>
        <v/>
      </c>
      <c r="Q1138" s="17">
        <f>IF($C1138="","",IF($L1138="","",IF(AND($K1138=1,ISNUMBER($L1138),$L1138&lt;$J1138,COUNTIFS(nrES_PID,$D1138,nrES_Code,$F1138,nrES_Att,2,nrES_Raw,"&gt;=0")=0),"Yes","No")))</f>
        <v/>
      </c>
      <c r="R1138" s="17">
        <f>IF($C1138="","",IF($L1138="","",IF(AND(N($K1138)&gt;=2,ISNUMBER($L1138),$L1138&lt;$J1138),"Yes","No")))</f>
        <v/>
      </c>
      <c r="S1138" s="18" t="n"/>
      <c r="T1138" s="19">
        <f>IF(OR($C1138="",$L1138="",$K1138&lt;&gt;1,NOT(ISNUMBER($L1138)),$L1138&gt;=$J1138),"",IF($S1138="","(enter date)",_xlfn.LET(_xlpm.dn,_xlfn.XLOOKUP($S1138,nrCDdate,nrCDnum,"",1),IF(_xlpm.dn="","(after last class day)",_xlfn.LET(_xlpm.dd,_xlfn.XLOOKUP(_xlpm.dn+cfgRetestClassDays,nrCDnum,nrCDdate,""),_xlpm.ok,_xlfn.XLOOKUP(_xlpm.dn+cfgRetestClassDays,nrCDnum,nrCDinsession,"No"),IF(OR(_xlpm.dd="",_xlpm.ok&lt;&gt;"Yes"),"(after last class day)",_xlpm.dd))))))</f>
        <v/>
      </c>
      <c r="U1138" s="17">
        <f>IF($C1138="","",IF(AND($Y1138="Excused",$L1138="",N($K1138)&lt;=1),"EXCUSED - 1st attempt pending",IF(OR($L1138="",$K1138&lt;&gt;1,NOT(ISNUMBER($L1138)),$L1138&gt;=$J1138),"",IF(COUNTIFS(nrES_PID,$D1138,nrES_Code,$F1138,nrES_Att,2,nrES_Raw,"&gt;=0")&gt;0,IF(IFERROR(_xlfn.MINIFS(nrES_Date,nrES_PID,$D1138,nrES_Code,$F1138,nrES_Att,2,nrES_Raw,"&gt;=0",nrES_Date,"&gt;0"),0)=0,"RETEST UNDATED",IF(NOT(ISNUMBER($T1138)),"RETEST DATE UNCHECKED",IF(_xlfn.MINIFS(nrES_Date,nrES_PID,$D1138,nrES_Code,$F1138,nrES_Att,2,nrES_Raw,"&gt;=0",nrES_Date,"&gt;0")&gt;$T1138,"LATE RETEST "&amp;TEXT(_xlfn.MINIFS(nrES_Date,nrES_PID,$D1138,nrES_Code,$F1138,nrES_Att,2,nrES_Raw,"&gt;=0",nrES_Date,"&gt;0"),"mm/dd")&amp;" (due "&amp;TEXT($T1138,"mm/dd")&amp;")","Retested"))),IF(NOT(ISNUMBER($T1138)),"CHECK DATE",IF(TODAY()&gt;$T1138,"OVERDUE","Due "&amp;TEXT($T1138,"mm/dd")))))))</f>
        <v/>
      </c>
      <c r="V1138" s="16" t="n"/>
      <c r="W1138" s="16" t="n"/>
      <c r="X1138" s="17">
        <f>IF($C1138="","",IF(AND($L1138&lt;&gt;"",NOT(ISNUMBER($L1138))),"RAW SCORE NOT A NUMBER",IF(AND(ISNUMBER($L1138),OR($L1138&lt;0,$L1138&gt;100)),"RAW SCORE OUT OF RANGE",IF(AND($Y1138="Unexcused",OR($L1138="",NOT(ISNUMBER($L1138)),$L1138&lt;&gt;0)),"UNEXCUSED ABSENCE MUST RECORD 0",IF(COUNTIF(nrES_RecID,$B1138)&gt;1,"DUPLICATE RECORD",IF(N($K1138)&gt;2,"ATTEMPT 3+ NOT ALLOWED - policy 300.5 permits one retest per exam; this row records nothing",IF(AND($K1138=2,COUNTIFS(nrES_PID,$D1138,nrES_Code,$F1138,nrES_Att,1)=0),"ATTEMPT 2 WITHOUT ATTEMPT 1",IF(AND($K1138=2,$L1138=""),"RETEST ROW HAS NO SCORE",IF(AND($H1138="Final",$L1138&lt;&gt;"",IFERROR(INDEX(nrCKfinalExamElig,MATCH($D1138,rngCadetPIDs,0)),"")="No"),"FINAL EXAM AFTER FAILED FINAL PT (500.1.H)",IF(AND($K1138=2,ISNUMBER($L1138),COUNTIFS(nrES_PID,$D1138,nrES_Code,$F1138,nrES_Att,1)&gt;0,SUMIFS(nrES_Raw,nrES_PID,$D1138,nrES_Code,$F1138,nrES_Att,1)&gt;=$J1138),"RETEST AFTER A PASSING FIRST ATTEMPT","OK"))))))))))</f>
        <v/>
      </c>
      <c r="Y1138" s="16" t="n"/>
    </row>
    <row r="1139">
      <c r="B1139" s="17">
        <f>IF($C1139="","",$D1139&amp;"-"&amp;$F1139&amp;"-"&amp;$K1139)</f>
        <v/>
      </c>
      <c r="C1139" s="16" t="n"/>
      <c r="D1139" s="17">
        <f>IF($C1139="","",IFERROR(INDEX(rngCadetPIDs,MATCH($C1139,rngCadetNames,0)),"?"))</f>
        <v/>
      </c>
      <c r="E1139" s="17">
        <f>IF($D1139="","",IFERROR(INDEX(nrCadetAgency,MATCH($D1139,rngCadetPIDs,0)),""))</f>
        <v/>
      </c>
      <c r="F1139" s="16" t="n"/>
      <c r="G1139" s="17">
        <f>IF($F1139="","",IFERROR(INDEX(rngEPname,MATCH($F1139,rngEPcode,0)),"?"))</f>
        <v/>
      </c>
      <c r="H1139" s="17">
        <f>IF($F1139="","",IFERROR(INDEX(rngEPtype,MATCH($F1139,rngEPcode,0)),"?"))</f>
        <v/>
      </c>
      <c r="I1139" s="17">
        <f>IF($F1139="","",IFERROR(INDEX(rngEPseq,MATCH($F1139,rngEPcode,0)),""))</f>
        <v/>
      </c>
      <c r="J1139" s="17">
        <f>IF($F1139="","",IFERROR(INDEX(rngEPpass,MATCH($F1139,rngEPcode,0)),cfgPassingScore))</f>
        <v/>
      </c>
      <c r="K1139" s="16" t="n"/>
      <c r="L1139" s="16" t="n"/>
      <c r="M1139" s="17">
        <f>IF($C1139="","",IF($L1139="","",IF(NOT(ISNUMBER($L1139)),$L1139,IF(N($K1139)&gt;2,"",IF($K1139=1,IF(COUNTIFS(nrES_PID,$D1139,nrES_Code,$F1139,nrES_Att,2,nrES_Raw,"&gt;=0")&gt;0,"",$L1139),IF($L1139&gt;=$J1139,MAX($J1139,cfgRetakeRecordedCap),IF(COUNTIFS(nrES_PID,$D1139,nrES_Code,$F1139,nrES_Att,1)=0,$L1139,SUMIFS(nrES_Raw,nrES_PID,$D1139,nrES_Code,$F1139,nrES_Att,1))))))))</f>
        <v/>
      </c>
      <c r="N1139" s="17">
        <f>IF($C1139="","",IF($L1139="","",IF(NOT(ISNUMBER($L1139)),"(not a score)",IF($L1139&gt;=$J1139,"Yes","No"))))</f>
        <v/>
      </c>
      <c r="O1139" s="17">
        <f>IF($C1139="","",IF($M1139="","",IF(NOT(ISNUMBER($M1139)),"(not a score)",IF($M1139&gt;=$J1139,"Yes","No"))))</f>
        <v/>
      </c>
      <c r="P1139" s="17">
        <f>IF($C1139="","",IF($K1139="","",IF(N($K1139)&gt;2,"No",IF(COUNTIFS(nrES_PID,$D1139,nrES_Code,$F1139,nrES_Att,"&gt;"&amp;$K1139,nrES_Att,"&lt;=2",nrES_Raw,"&gt;=0")=0,"Yes","No"))))</f>
        <v/>
      </c>
      <c r="Q1139" s="17">
        <f>IF($C1139="","",IF($L1139="","",IF(AND($K1139=1,ISNUMBER($L1139),$L1139&lt;$J1139,COUNTIFS(nrES_PID,$D1139,nrES_Code,$F1139,nrES_Att,2,nrES_Raw,"&gt;=0")=0),"Yes","No")))</f>
        <v/>
      </c>
      <c r="R1139" s="17">
        <f>IF($C1139="","",IF($L1139="","",IF(AND(N($K1139)&gt;=2,ISNUMBER($L1139),$L1139&lt;$J1139),"Yes","No")))</f>
        <v/>
      </c>
      <c r="S1139" s="18" t="n"/>
      <c r="T1139" s="19">
        <f>IF(OR($C1139="",$L1139="",$K1139&lt;&gt;1,NOT(ISNUMBER($L1139)),$L1139&gt;=$J1139),"",IF($S1139="","(enter date)",_xlfn.LET(_xlpm.dn,_xlfn.XLOOKUP($S1139,nrCDdate,nrCDnum,"",1),IF(_xlpm.dn="","(after last class day)",_xlfn.LET(_xlpm.dd,_xlfn.XLOOKUP(_xlpm.dn+cfgRetestClassDays,nrCDnum,nrCDdate,""),_xlpm.ok,_xlfn.XLOOKUP(_xlpm.dn+cfgRetestClassDays,nrCDnum,nrCDinsession,"No"),IF(OR(_xlpm.dd="",_xlpm.ok&lt;&gt;"Yes"),"(after last class day)",_xlpm.dd))))))</f>
        <v/>
      </c>
      <c r="U1139" s="17">
        <f>IF($C1139="","",IF(AND($Y1139="Excused",$L1139="",N($K1139)&lt;=1),"EXCUSED - 1st attempt pending",IF(OR($L1139="",$K1139&lt;&gt;1,NOT(ISNUMBER($L1139)),$L1139&gt;=$J1139),"",IF(COUNTIFS(nrES_PID,$D1139,nrES_Code,$F1139,nrES_Att,2,nrES_Raw,"&gt;=0")&gt;0,IF(IFERROR(_xlfn.MINIFS(nrES_Date,nrES_PID,$D1139,nrES_Code,$F1139,nrES_Att,2,nrES_Raw,"&gt;=0",nrES_Date,"&gt;0"),0)=0,"RETEST UNDATED",IF(NOT(ISNUMBER($T1139)),"RETEST DATE UNCHECKED",IF(_xlfn.MINIFS(nrES_Date,nrES_PID,$D1139,nrES_Code,$F1139,nrES_Att,2,nrES_Raw,"&gt;=0",nrES_Date,"&gt;0")&gt;$T1139,"LATE RETEST "&amp;TEXT(_xlfn.MINIFS(nrES_Date,nrES_PID,$D1139,nrES_Code,$F1139,nrES_Att,2,nrES_Raw,"&gt;=0",nrES_Date,"&gt;0"),"mm/dd")&amp;" (due "&amp;TEXT($T1139,"mm/dd")&amp;")","Retested"))),IF(NOT(ISNUMBER($T1139)),"CHECK DATE",IF(TODAY()&gt;$T1139,"OVERDUE","Due "&amp;TEXT($T1139,"mm/dd")))))))</f>
        <v/>
      </c>
      <c r="V1139" s="16" t="n"/>
      <c r="W1139" s="16" t="n"/>
      <c r="X1139" s="17">
        <f>IF($C1139="","",IF(AND($L1139&lt;&gt;"",NOT(ISNUMBER($L1139))),"RAW SCORE NOT A NUMBER",IF(AND(ISNUMBER($L1139),OR($L1139&lt;0,$L1139&gt;100)),"RAW SCORE OUT OF RANGE",IF(AND($Y1139="Unexcused",OR($L1139="",NOT(ISNUMBER($L1139)),$L1139&lt;&gt;0)),"UNEXCUSED ABSENCE MUST RECORD 0",IF(COUNTIF(nrES_RecID,$B1139)&gt;1,"DUPLICATE RECORD",IF(N($K1139)&gt;2,"ATTEMPT 3+ NOT ALLOWED - policy 300.5 permits one retest per exam; this row records nothing",IF(AND($K1139=2,COUNTIFS(nrES_PID,$D1139,nrES_Code,$F1139,nrES_Att,1)=0),"ATTEMPT 2 WITHOUT ATTEMPT 1",IF(AND($K1139=2,$L1139=""),"RETEST ROW HAS NO SCORE",IF(AND($H1139="Final",$L1139&lt;&gt;"",IFERROR(INDEX(nrCKfinalExamElig,MATCH($D1139,rngCadetPIDs,0)),"")="No"),"FINAL EXAM AFTER FAILED FINAL PT (500.1.H)",IF(AND($K1139=2,ISNUMBER($L1139),COUNTIFS(nrES_PID,$D1139,nrES_Code,$F1139,nrES_Att,1)&gt;0,SUMIFS(nrES_Raw,nrES_PID,$D1139,nrES_Code,$F1139,nrES_Att,1)&gt;=$J1139),"RETEST AFTER A PASSING FIRST ATTEMPT","OK"))))))))))</f>
        <v/>
      </c>
      <c r="Y1139" s="16" t="n"/>
    </row>
    <row r="1140">
      <c r="B1140" s="17">
        <f>IF($C1140="","",$D1140&amp;"-"&amp;$F1140&amp;"-"&amp;$K1140)</f>
        <v/>
      </c>
      <c r="C1140" s="16" t="n"/>
      <c r="D1140" s="17">
        <f>IF($C1140="","",IFERROR(INDEX(rngCadetPIDs,MATCH($C1140,rngCadetNames,0)),"?"))</f>
        <v/>
      </c>
      <c r="E1140" s="17">
        <f>IF($D1140="","",IFERROR(INDEX(nrCadetAgency,MATCH($D1140,rngCadetPIDs,0)),""))</f>
        <v/>
      </c>
      <c r="F1140" s="16" t="n"/>
      <c r="G1140" s="17">
        <f>IF($F1140="","",IFERROR(INDEX(rngEPname,MATCH($F1140,rngEPcode,0)),"?"))</f>
        <v/>
      </c>
      <c r="H1140" s="17">
        <f>IF($F1140="","",IFERROR(INDEX(rngEPtype,MATCH($F1140,rngEPcode,0)),"?"))</f>
        <v/>
      </c>
      <c r="I1140" s="17">
        <f>IF($F1140="","",IFERROR(INDEX(rngEPseq,MATCH($F1140,rngEPcode,0)),""))</f>
        <v/>
      </c>
      <c r="J1140" s="17">
        <f>IF($F1140="","",IFERROR(INDEX(rngEPpass,MATCH($F1140,rngEPcode,0)),cfgPassingScore))</f>
        <v/>
      </c>
      <c r="K1140" s="16" t="n"/>
      <c r="L1140" s="16" t="n"/>
      <c r="M1140" s="17">
        <f>IF($C1140="","",IF($L1140="","",IF(NOT(ISNUMBER($L1140)),$L1140,IF(N($K1140)&gt;2,"",IF($K1140=1,IF(COUNTIFS(nrES_PID,$D1140,nrES_Code,$F1140,nrES_Att,2,nrES_Raw,"&gt;=0")&gt;0,"",$L1140),IF($L1140&gt;=$J1140,MAX($J1140,cfgRetakeRecordedCap),IF(COUNTIFS(nrES_PID,$D1140,nrES_Code,$F1140,nrES_Att,1)=0,$L1140,SUMIFS(nrES_Raw,nrES_PID,$D1140,nrES_Code,$F1140,nrES_Att,1))))))))</f>
        <v/>
      </c>
      <c r="N1140" s="17">
        <f>IF($C1140="","",IF($L1140="","",IF(NOT(ISNUMBER($L1140)),"(not a score)",IF($L1140&gt;=$J1140,"Yes","No"))))</f>
        <v/>
      </c>
      <c r="O1140" s="17">
        <f>IF($C1140="","",IF($M1140="","",IF(NOT(ISNUMBER($M1140)),"(not a score)",IF($M1140&gt;=$J1140,"Yes","No"))))</f>
        <v/>
      </c>
      <c r="P1140" s="17">
        <f>IF($C1140="","",IF($K1140="","",IF(N($K1140)&gt;2,"No",IF(COUNTIFS(nrES_PID,$D1140,nrES_Code,$F1140,nrES_Att,"&gt;"&amp;$K1140,nrES_Att,"&lt;=2",nrES_Raw,"&gt;=0")=0,"Yes","No"))))</f>
        <v/>
      </c>
      <c r="Q1140" s="17">
        <f>IF($C1140="","",IF($L1140="","",IF(AND($K1140=1,ISNUMBER($L1140),$L1140&lt;$J1140,COUNTIFS(nrES_PID,$D1140,nrES_Code,$F1140,nrES_Att,2,nrES_Raw,"&gt;=0")=0),"Yes","No")))</f>
        <v/>
      </c>
      <c r="R1140" s="17">
        <f>IF($C1140="","",IF($L1140="","",IF(AND(N($K1140)&gt;=2,ISNUMBER($L1140),$L1140&lt;$J1140),"Yes","No")))</f>
        <v/>
      </c>
      <c r="S1140" s="18" t="n"/>
      <c r="T1140" s="19">
        <f>IF(OR($C1140="",$L1140="",$K1140&lt;&gt;1,NOT(ISNUMBER($L1140)),$L1140&gt;=$J1140),"",IF($S1140="","(enter date)",_xlfn.LET(_xlpm.dn,_xlfn.XLOOKUP($S1140,nrCDdate,nrCDnum,"",1),IF(_xlpm.dn="","(after last class day)",_xlfn.LET(_xlpm.dd,_xlfn.XLOOKUP(_xlpm.dn+cfgRetestClassDays,nrCDnum,nrCDdate,""),_xlpm.ok,_xlfn.XLOOKUP(_xlpm.dn+cfgRetestClassDays,nrCDnum,nrCDinsession,"No"),IF(OR(_xlpm.dd="",_xlpm.ok&lt;&gt;"Yes"),"(after last class day)",_xlpm.dd))))))</f>
        <v/>
      </c>
      <c r="U1140" s="17">
        <f>IF($C1140="","",IF(AND($Y1140="Excused",$L1140="",N($K1140)&lt;=1),"EXCUSED - 1st attempt pending",IF(OR($L1140="",$K1140&lt;&gt;1,NOT(ISNUMBER($L1140)),$L1140&gt;=$J1140),"",IF(COUNTIFS(nrES_PID,$D1140,nrES_Code,$F1140,nrES_Att,2,nrES_Raw,"&gt;=0")&gt;0,IF(IFERROR(_xlfn.MINIFS(nrES_Date,nrES_PID,$D1140,nrES_Code,$F1140,nrES_Att,2,nrES_Raw,"&gt;=0",nrES_Date,"&gt;0"),0)=0,"RETEST UNDATED",IF(NOT(ISNUMBER($T1140)),"RETEST DATE UNCHECKED",IF(_xlfn.MINIFS(nrES_Date,nrES_PID,$D1140,nrES_Code,$F1140,nrES_Att,2,nrES_Raw,"&gt;=0",nrES_Date,"&gt;0")&gt;$T1140,"LATE RETEST "&amp;TEXT(_xlfn.MINIFS(nrES_Date,nrES_PID,$D1140,nrES_Code,$F1140,nrES_Att,2,nrES_Raw,"&gt;=0",nrES_Date,"&gt;0"),"mm/dd")&amp;" (due "&amp;TEXT($T1140,"mm/dd")&amp;")","Retested"))),IF(NOT(ISNUMBER($T1140)),"CHECK DATE",IF(TODAY()&gt;$T1140,"OVERDUE","Due "&amp;TEXT($T1140,"mm/dd")))))))</f>
        <v/>
      </c>
      <c r="V1140" s="16" t="n"/>
      <c r="W1140" s="16" t="n"/>
      <c r="X1140" s="17">
        <f>IF($C1140="","",IF(AND($L1140&lt;&gt;"",NOT(ISNUMBER($L1140))),"RAW SCORE NOT A NUMBER",IF(AND(ISNUMBER($L1140),OR($L1140&lt;0,$L1140&gt;100)),"RAW SCORE OUT OF RANGE",IF(AND($Y1140="Unexcused",OR($L1140="",NOT(ISNUMBER($L1140)),$L1140&lt;&gt;0)),"UNEXCUSED ABSENCE MUST RECORD 0",IF(COUNTIF(nrES_RecID,$B1140)&gt;1,"DUPLICATE RECORD",IF(N($K1140)&gt;2,"ATTEMPT 3+ NOT ALLOWED - policy 300.5 permits one retest per exam; this row records nothing",IF(AND($K1140=2,COUNTIFS(nrES_PID,$D1140,nrES_Code,$F1140,nrES_Att,1)=0),"ATTEMPT 2 WITHOUT ATTEMPT 1",IF(AND($K1140=2,$L1140=""),"RETEST ROW HAS NO SCORE",IF(AND($H1140="Final",$L1140&lt;&gt;"",IFERROR(INDEX(nrCKfinalExamElig,MATCH($D1140,rngCadetPIDs,0)),"")="No"),"FINAL EXAM AFTER FAILED FINAL PT (500.1.H)",IF(AND($K1140=2,ISNUMBER($L1140),COUNTIFS(nrES_PID,$D1140,nrES_Code,$F1140,nrES_Att,1)&gt;0,SUMIFS(nrES_Raw,nrES_PID,$D1140,nrES_Code,$F1140,nrES_Att,1)&gt;=$J1140),"RETEST AFTER A PASSING FIRST ATTEMPT","OK"))))))))))</f>
        <v/>
      </c>
      <c r="Y1140" s="16" t="n"/>
    </row>
    <row r="1141">
      <c r="B1141" s="17">
        <f>IF($C1141="","",$D1141&amp;"-"&amp;$F1141&amp;"-"&amp;$K1141)</f>
        <v/>
      </c>
      <c r="C1141" s="16" t="n"/>
      <c r="D1141" s="17">
        <f>IF($C1141="","",IFERROR(INDEX(rngCadetPIDs,MATCH($C1141,rngCadetNames,0)),"?"))</f>
        <v/>
      </c>
      <c r="E1141" s="17">
        <f>IF($D1141="","",IFERROR(INDEX(nrCadetAgency,MATCH($D1141,rngCadetPIDs,0)),""))</f>
        <v/>
      </c>
      <c r="F1141" s="16" t="n"/>
      <c r="G1141" s="17">
        <f>IF($F1141="","",IFERROR(INDEX(rngEPname,MATCH($F1141,rngEPcode,0)),"?"))</f>
        <v/>
      </c>
      <c r="H1141" s="17">
        <f>IF($F1141="","",IFERROR(INDEX(rngEPtype,MATCH($F1141,rngEPcode,0)),"?"))</f>
        <v/>
      </c>
      <c r="I1141" s="17">
        <f>IF($F1141="","",IFERROR(INDEX(rngEPseq,MATCH($F1141,rngEPcode,0)),""))</f>
        <v/>
      </c>
      <c r="J1141" s="17">
        <f>IF($F1141="","",IFERROR(INDEX(rngEPpass,MATCH($F1141,rngEPcode,0)),cfgPassingScore))</f>
        <v/>
      </c>
      <c r="K1141" s="16" t="n"/>
      <c r="L1141" s="16" t="n"/>
      <c r="M1141" s="17">
        <f>IF($C1141="","",IF($L1141="","",IF(NOT(ISNUMBER($L1141)),$L1141,IF(N($K1141)&gt;2,"",IF($K1141=1,IF(COUNTIFS(nrES_PID,$D1141,nrES_Code,$F1141,nrES_Att,2,nrES_Raw,"&gt;=0")&gt;0,"",$L1141),IF($L1141&gt;=$J1141,MAX($J1141,cfgRetakeRecordedCap),IF(COUNTIFS(nrES_PID,$D1141,nrES_Code,$F1141,nrES_Att,1)=0,$L1141,SUMIFS(nrES_Raw,nrES_PID,$D1141,nrES_Code,$F1141,nrES_Att,1))))))))</f>
        <v/>
      </c>
      <c r="N1141" s="17">
        <f>IF($C1141="","",IF($L1141="","",IF(NOT(ISNUMBER($L1141)),"(not a score)",IF($L1141&gt;=$J1141,"Yes","No"))))</f>
        <v/>
      </c>
      <c r="O1141" s="17">
        <f>IF($C1141="","",IF($M1141="","",IF(NOT(ISNUMBER($M1141)),"(not a score)",IF($M1141&gt;=$J1141,"Yes","No"))))</f>
        <v/>
      </c>
      <c r="P1141" s="17">
        <f>IF($C1141="","",IF($K1141="","",IF(N($K1141)&gt;2,"No",IF(COUNTIFS(nrES_PID,$D1141,nrES_Code,$F1141,nrES_Att,"&gt;"&amp;$K1141,nrES_Att,"&lt;=2",nrES_Raw,"&gt;=0")=0,"Yes","No"))))</f>
        <v/>
      </c>
      <c r="Q1141" s="17">
        <f>IF($C1141="","",IF($L1141="","",IF(AND($K1141=1,ISNUMBER($L1141),$L1141&lt;$J1141,COUNTIFS(nrES_PID,$D1141,nrES_Code,$F1141,nrES_Att,2,nrES_Raw,"&gt;=0")=0),"Yes","No")))</f>
        <v/>
      </c>
      <c r="R1141" s="17">
        <f>IF($C1141="","",IF($L1141="","",IF(AND(N($K1141)&gt;=2,ISNUMBER($L1141),$L1141&lt;$J1141),"Yes","No")))</f>
        <v/>
      </c>
      <c r="S1141" s="18" t="n"/>
      <c r="T1141" s="19">
        <f>IF(OR($C1141="",$L1141="",$K1141&lt;&gt;1,NOT(ISNUMBER($L1141)),$L1141&gt;=$J1141),"",IF($S1141="","(enter date)",_xlfn.LET(_xlpm.dn,_xlfn.XLOOKUP($S1141,nrCDdate,nrCDnum,"",1),IF(_xlpm.dn="","(after last class day)",_xlfn.LET(_xlpm.dd,_xlfn.XLOOKUP(_xlpm.dn+cfgRetestClassDays,nrCDnum,nrCDdate,""),_xlpm.ok,_xlfn.XLOOKUP(_xlpm.dn+cfgRetestClassDays,nrCDnum,nrCDinsession,"No"),IF(OR(_xlpm.dd="",_xlpm.ok&lt;&gt;"Yes"),"(after last class day)",_xlpm.dd))))))</f>
        <v/>
      </c>
      <c r="U1141" s="17">
        <f>IF($C1141="","",IF(AND($Y1141="Excused",$L1141="",N($K1141)&lt;=1),"EXCUSED - 1st attempt pending",IF(OR($L1141="",$K1141&lt;&gt;1,NOT(ISNUMBER($L1141)),$L1141&gt;=$J1141),"",IF(COUNTIFS(nrES_PID,$D1141,nrES_Code,$F1141,nrES_Att,2,nrES_Raw,"&gt;=0")&gt;0,IF(IFERROR(_xlfn.MINIFS(nrES_Date,nrES_PID,$D1141,nrES_Code,$F1141,nrES_Att,2,nrES_Raw,"&gt;=0",nrES_Date,"&gt;0"),0)=0,"RETEST UNDATED",IF(NOT(ISNUMBER($T1141)),"RETEST DATE UNCHECKED",IF(_xlfn.MINIFS(nrES_Date,nrES_PID,$D1141,nrES_Code,$F1141,nrES_Att,2,nrES_Raw,"&gt;=0",nrES_Date,"&gt;0")&gt;$T1141,"LATE RETEST "&amp;TEXT(_xlfn.MINIFS(nrES_Date,nrES_PID,$D1141,nrES_Code,$F1141,nrES_Att,2,nrES_Raw,"&gt;=0",nrES_Date,"&gt;0"),"mm/dd")&amp;" (due "&amp;TEXT($T1141,"mm/dd")&amp;")","Retested"))),IF(NOT(ISNUMBER($T1141)),"CHECK DATE",IF(TODAY()&gt;$T1141,"OVERDUE","Due "&amp;TEXT($T1141,"mm/dd")))))))</f>
        <v/>
      </c>
      <c r="V1141" s="16" t="n"/>
      <c r="W1141" s="16" t="n"/>
      <c r="X1141" s="17">
        <f>IF($C1141="","",IF(AND($L1141&lt;&gt;"",NOT(ISNUMBER($L1141))),"RAW SCORE NOT A NUMBER",IF(AND(ISNUMBER($L1141),OR($L1141&lt;0,$L1141&gt;100)),"RAW SCORE OUT OF RANGE",IF(AND($Y1141="Unexcused",OR($L1141="",NOT(ISNUMBER($L1141)),$L1141&lt;&gt;0)),"UNEXCUSED ABSENCE MUST RECORD 0",IF(COUNTIF(nrES_RecID,$B1141)&gt;1,"DUPLICATE RECORD",IF(N($K1141)&gt;2,"ATTEMPT 3+ NOT ALLOWED - policy 300.5 permits one retest per exam; this row records nothing",IF(AND($K1141=2,COUNTIFS(nrES_PID,$D1141,nrES_Code,$F1141,nrES_Att,1)=0),"ATTEMPT 2 WITHOUT ATTEMPT 1",IF(AND($K1141=2,$L1141=""),"RETEST ROW HAS NO SCORE",IF(AND($H1141="Final",$L1141&lt;&gt;"",IFERROR(INDEX(nrCKfinalExamElig,MATCH($D1141,rngCadetPIDs,0)),"")="No"),"FINAL EXAM AFTER FAILED FINAL PT (500.1.H)",IF(AND($K1141=2,ISNUMBER($L1141),COUNTIFS(nrES_PID,$D1141,nrES_Code,$F1141,nrES_Att,1)&gt;0,SUMIFS(nrES_Raw,nrES_PID,$D1141,nrES_Code,$F1141,nrES_Att,1)&gt;=$J1141),"RETEST AFTER A PASSING FIRST ATTEMPT","OK"))))))))))</f>
        <v/>
      </c>
      <c r="Y1141" s="16" t="n"/>
    </row>
    <row r="1142">
      <c r="B1142" s="17">
        <f>IF($C1142="","",$D1142&amp;"-"&amp;$F1142&amp;"-"&amp;$K1142)</f>
        <v/>
      </c>
      <c r="C1142" s="16" t="n"/>
      <c r="D1142" s="17">
        <f>IF($C1142="","",IFERROR(INDEX(rngCadetPIDs,MATCH($C1142,rngCadetNames,0)),"?"))</f>
        <v/>
      </c>
      <c r="E1142" s="17">
        <f>IF($D1142="","",IFERROR(INDEX(nrCadetAgency,MATCH($D1142,rngCadetPIDs,0)),""))</f>
        <v/>
      </c>
      <c r="F1142" s="16" t="n"/>
      <c r="G1142" s="17">
        <f>IF($F1142="","",IFERROR(INDEX(rngEPname,MATCH($F1142,rngEPcode,0)),"?"))</f>
        <v/>
      </c>
      <c r="H1142" s="17">
        <f>IF($F1142="","",IFERROR(INDEX(rngEPtype,MATCH($F1142,rngEPcode,0)),"?"))</f>
        <v/>
      </c>
      <c r="I1142" s="17">
        <f>IF($F1142="","",IFERROR(INDEX(rngEPseq,MATCH($F1142,rngEPcode,0)),""))</f>
        <v/>
      </c>
      <c r="J1142" s="17">
        <f>IF($F1142="","",IFERROR(INDEX(rngEPpass,MATCH($F1142,rngEPcode,0)),cfgPassingScore))</f>
        <v/>
      </c>
      <c r="K1142" s="16" t="n"/>
      <c r="L1142" s="16" t="n"/>
      <c r="M1142" s="17">
        <f>IF($C1142="","",IF($L1142="","",IF(NOT(ISNUMBER($L1142)),$L1142,IF(N($K1142)&gt;2,"",IF($K1142=1,IF(COUNTIFS(nrES_PID,$D1142,nrES_Code,$F1142,nrES_Att,2,nrES_Raw,"&gt;=0")&gt;0,"",$L1142),IF($L1142&gt;=$J1142,MAX($J1142,cfgRetakeRecordedCap),IF(COUNTIFS(nrES_PID,$D1142,nrES_Code,$F1142,nrES_Att,1)=0,$L1142,SUMIFS(nrES_Raw,nrES_PID,$D1142,nrES_Code,$F1142,nrES_Att,1))))))))</f>
        <v/>
      </c>
      <c r="N1142" s="17">
        <f>IF($C1142="","",IF($L1142="","",IF(NOT(ISNUMBER($L1142)),"(not a score)",IF($L1142&gt;=$J1142,"Yes","No"))))</f>
        <v/>
      </c>
      <c r="O1142" s="17">
        <f>IF($C1142="","",IF($M1142="","",IF(NOT(ISNUMBER($M1142)),"(not a score)",IF($M1142&gt;=$J1142,"Yes","No"))))</f>
        <v/>
      </c>
      <c r="P1142" s="17">
        <f>IF($C1142="","",IF($K1142="","",IF(N($K1142)&gt;2,"No",IF(COUNTIFS(nrES_PID,$D1142,nrES_Code,$F1142,nrES_Att,"&gt;"&amp;$K1142,nrES_Att,"&lt;=2",nrES_Raw,"&gt;=0")=0,"Yes","No"))))</f>
        <v/>
      </c>
      <c r="Q1142" s="17">
        <f>IF($C1142="","",IF($L1142="","",IF(AND($K1142=1,ISNUMBER($L1142),$L1142&lt;$J1142,COUNTIFS(nrES_PID,$D1142,nrES_Code,$F1142,nrES_Att,2,nrES_Raw,"&gt;=0")=0),"Yes","No")))</f>
        <v/>
      </c>
      <c r="R1142" s="17">
        <f>IF($C1142="","",IF($L1142="","",IF(AND(N($K1142)&gt;=2,ISNUMBER($L1142),$L1142&lt;$J1142),"Yes","No")))</f>
        <v/>
      </c>
      <c r="S1142" s="18" t="n"/>
      <c r="T1142" s="19">
        <f>IF(OR($C1142="",$L1142="",$K1142&lt;&gt;1,NOT(ISNUMBER($L1142)),$L1142&gt;=$J1142),"",IF($S1142="","(enter date)",_xlfn.LET(_xlpm.dn,_xlfn.XLOOKUP($S1142,nrCDdate,nrCDnum,"",1),IF(_xlpm.dn="","(after last class day)",_xlfn.LET(_xlpm.dd,_xlfn.XLOOKUP(_xlpm.dn+cfgRetestClassDays,nrCDnum,nrCDdate,""),_xlpm.ok,_xlfn.XLOOKUP(_xlpm.dn+cfgRetestClassDays,nrCDnum,nrCDinsession,"No"),IF(OR(_xlpm.dd="",_xlpm.ok&lt;&gt;"Yes"),"(after last class day)",_xlpm.dd))))))</f>
        <v/>
      </c>
      <c r="U1142" s="17">
        <f>IF($C1142="","",IF(AND($Y1142="Excused",$L1142="",N($K1142)&lt;=1),"EXCUSED - 1st attempt pending",IF(OR($L1142="",$K1142&lt;&gt;1,NOT(ISNUMBER($L1142)),$L1142&gt;=$J1142),"",IF(COUNTIFS(nrES_PID,$D1142,nrES_Code,$F1142,nrES_Att,2,nrES_Raw,"&gt;=0")&gt;0,IF(IFERROR(_xlfn.MINIFS(nrES_Date,nrES_PID,$D1142,nrES_Code,$F1142,nrES_Att,2,nrES_Raw,"&gt;=0",nrES_Date,"&gt;0"),0)=0,"RETEST UNDATED",IF(NOT(ISNUMBER($T1142)),"RETEST DATE UNCHECKED",IF(_xlfn.MINIFS(nrES_Date,nrES_PID,$D1142,nrES_Code,$F1142,nrES_Att,2,nrES_Raw,"&gt;=0",nrES_Date,"&gt;0")&gt;$T1142,"LATE RETEST "&amp;TEXT(_xlfn.MINIFS(nrES_Date,nrES_PID,$D1142,nrES_Code,$F1142,nrES_Att,2,nrES_Raw,"&gt;=0",nrES_Date,"&gt;0"),"mm/dd")&amp;" (due "&amp;TEXT($T1142,"mm/dd")&amp;")","Retested"))),IF(NOT(ISNUMBER($T1142)),"CHECK DATE",IF(TODAY()&gt;$T1142,"OVERDUE","Due "&amp;TEXT($T1142,"mm/dd")))))))</f>
        <v/>
      </c>
      <c r="V1142" s="16" t="n"/>
      <c r="W1142" s="16" t="n"/>
      <c r="X1142" s="17">
        <f>IF($C1142="","",IF(AND($L1142&lt;&gt;"",NOT(ISNUMBER($L1142))),"RAW SCORE NOT A NUMBER",IF(AND(ISNUMBER($L1142),OR($L1142&lt;0,$L1142&gt;100)),"RAW SCORE OUT OF RANGE",IF(AND($Y1142="Unexcused",OR($L1142="",NOT(ISNUMBER($L1142)),$L1142&lt;&gt;0)),"UNEXCUSED ABSENCE MUST RECORD 0",IF(COUNTIF(nrES_RecID,$B1142)&gt;1,"DUPLICATE RECORD",IF(N($K1142)&gt;2,"ATTEMPT 3+ NOT ALLOWED - policy 300.5 permits one retest per exam; this row records nothing",IF(AND($K1142=2,COUNTIFS(nrES_PID,$D1142,nrES_Code,$F1142,nrES_Att,1)=0),"ATTEMPT 2 WITHOUT ATTEMPT 1",IF(AND($K1142=2,$L1142=""),"RETEST ROW HAS NO SCORE",IF(AND($H1142="Final",$L1142&lt;&gt;"",IFERROR(INDEX(nrCKfinalExamElig,MATCH($D1142,rngCadetPIDs,0)),"")="No"),"FINAL EXAM AFTER FAILED FINAL PT (500.1.H)",IF(AND($K1142=2,ISNUMBER($L1142),COUNTIFS(nrES_PID,$D1142,nrES_Code,$F1142,nrES_Att,1)&gt;0,SUMIFS(nrES_Raw,nrES_PID,$D1142,nrES_Code,$F1142,nrES_Att,1)&gt;=$J1142),"RETEST AFTER A PASSING FIRST ATTEMPT","OK"))))))))))</f>
        <v/>
      </c>
      <c r="Y1142" s="16" t="n"/>
    </row>
    <row r="1143">
      <c r="B1143" s="17">
        <f>IF($C1143="","",$D1143&amp;"-"&amp;$F1143&amp;"-"&amp;$K1143)</f>
        <v/>
      </c>
      <c r="C1143" s="16" t="n"/>
      <c r="D1143" s="17">
        <f>IF($C1143="","",IFERROR(INDEX(rngCadetPIDs,MATCH($C1143,rngCadetNames,0)),"?"))</f>
        <v/>
      </c>
      <c r="E1143" s="17">
        <f>IF($D1143="","",IFERROR(INDEX(nrCadetAgency,MATCH($D1143,rngCadetPIDs,0)),""))</f>
        <v/>
      </c>
      <c r="F1143" s="16" t="n"/>
      <c r="G1143" s="17">
        <f>IF($F1143="","",IFERROR(INDEX(rngEPname,MATCH($F1143,rngEPcode,0)),"?"))</f>
        <v/>
      </c>
      <c r="H1143" s="17">
        <f>IF($F1143="","",IFERROR(INDEX(rngEPtype,MATCH($F1143,rngEPcode,0)),"?"))</f>
        <v/>
      </c>
      <c r="I1143" s="17">
        <f>IF($F1143="","",IFERROR(INDEX(rngEPseq,MATCH($F1143,rngEPcode,0)),""))</f>
        <v/>
      </c>
      <c r="J1143" s="17">
        <f>IF($F1143="","",IFERROR(INDEX(rngEPpass,MATCH($F1143,rngEPcode,0)),cfgPassingScore))</f>
        <v/>
      </c>
      <c r="K1143" s="16" t="n"/>
      <c r="L1143" s="16" t="n"/>
      <c r="M1143" s="17">
        <f>IF($C1143="","",IF($L1143="","",IF(NOT(ISNUMBER($L1143)),$L1143,IF(N($K1143)&gt;2,"",IF($K1143=1,IF(COUNTIFS(nrES_PID,$D1143,nrES_Code,$F1143,nrES_Att,2,nrES_Raw,"&gt;=0")&gt;0,"",$L1143),IF($L1143&gt;=$J1143,MAX($J1143,cfgRetakeRecordedCap),IF(COUNTIFS(nrES_PID,$D1143,nrES_Code,$F1143,nrES_Att,1)=0,$L1143,SUMIFS(nrES_Raw,nrES_PID,$D1143,nrES_Code,$F1143,nrES_Att,1))))))))</f>
        <v/>
      </c>
      <c r="N1143" s="17">
        <f>IF($C1143="","",IF($L1143="","",IF(NOT(ISNUMBER($L1143)),"(not a score)",IF($L1143&gt;=$J1143,"Yes","No"))))</f>
        <v/>
      </c>
      <c r="O1143" s="17">
        <f>IF($C1143="","",IF($M1143="","",IF(NOT(ISNUMBER($M1143)),"(not a score)",IF($M1143&gt;=$J1143,"Yes","No"))))</f>
        <v/>
      </c>
      <c r="P1143" s="17">
        <f>IF($C1143="","",IF($K1143="","",IF(N($K1143)&gt;2,"No",IF(COUNTIFS(nrES_PID,$D1143,nrES_Code,$F1143,nrES_Att,"&gt;"&amp;$K1143,nrES_Att,"&lt;=2",nrES_Raw,"&gt;=0")=0,"Yes","No"))))</f>
        <v/>
      </c>
      <c r="Q1143" s="17">
        <f>IF($C1143="","",IF($L1143="","",IF(AND($K1143=1,ISNUMBER($L1143),$L1143&lt;$J1143,COUNTIFS(nrES_PID,$D1143,nrES_Code,$F1143,nrES_Att,2,nrES_Raw,"&gt;=0")=0),"Yes","No")))</f>
        <v/>
      </c>
      <c r="R1143" s="17">
        <f>IF($C1143="","",IF($L1143="","",IF(AND(N($K1143)&gt;=2,ISNUMBER($L1143),$L1143&lt;$J1143),"Yes","No")))</f>
        <v/>
      </c>
      <c r="S1143" s="18" t="n"/>
      <c r="T1143" s="19">
        <f>IF(OR($C1143="",$L1143="",$K1143&lt;&gt;1,NOT(ISNUMBER($L1143)),$L1143&gt;=$J1143),"",IF($S1143="","(enter date)",_xlfn.LET(_xlpm.dn,_xlfn.XLOOKUP($S1143,nrCDdate,nrCDnum,"",1),IF(_xlpm.dn="","(after last class day)",_xlfn.LET(_xlpm.dd,_xlfn.XLOOKUP(_xlpm.dn+cfgRetestClassDays,nrCDnum,nrCDdate,""),_xlpm.ok,_xlfn.XLOOKUP(_xlpm.dn+cfgRetestClassDays,nrCDnum,nrCDinsession,"No"),IF(OR(_xlpm.dd="",_xlpm.ok&lt;&gt;"Yes"),"(after last class day)",_xlpm.dd))))))</f>
        <v/>
      </c>
      <c r="U1143" s="17">
        <f>IF($C1143="","",IF(AND($Y1143="Excused",$L1143="",N($K1143)&lt;=1),"EXCUSED - 1st attempt pending",IF(OR($L1143="",$K1143&lt;&gt;1,NOT(ISNUMBER($L1143)),$L1143&gt;=$J1143),"",IF(COUNTIFS(nrES_PID,$D1143,nrES_Code,$F1143,nrES_Att,2,nrES_Raw,"&gt;=0")&gt;0,IF(IFERROR(_xlfn.MINIFS(nrES_Date,nrES_PID,$D1143,nrES_Code,$F1143,nrES_Att,2,nrES_Raw,"&gt;=0",nrES_Date,"&gt;0"),0)=0,"RETEST UNDATED",IF(NOT(ISNUMBER($T1143)),"RETEST DATE UNCHECKED",IF(_xlfn.MINIFS(nrES_Date,nrES_PID,$D1143,nrES_Code,$F1143,nrES_Att,2,nrES_Raw,"&gt;=0",nrES_Date,"&gt;0")&gt;$T1143,"LATE RETEST "&amp;TEXT(_xlfn.MINIFS(nrES_Date,nrES_PID,$D1143,nrES_Code,$F1143,nrES_Att,2,nrES_Raw,"&gt;=0",nrES_Date,"&gt;0"),"mm/dd")&amp;" (due "&amp;TEXT($T1143,"mm/dd")&amp;")","Retested"))),IF(NOT(ISNUMBER($T1143)),"CHECK DATE",IF(TODAY()&gt;$T1143,"OVERDUE","Due "&amp;TEXT($T1143,"mm/dd")))))))</f>
        <v/>
      </c>
      <c r="V1143" s="16" t="n"/>
      <c r="W1143" s="16" t="n"/>
      <c r="X1143" s="17">
        <f>IF($C1143="","",IF(AND($L1143&lt;&gt;"",NOT(ISNUMBER($L1143))),"RAW SCORE NOT A NUMBER",IF(AND(ISNUMBER($L1143),OR($L1143&lt;0,$L1143&gt;100)),"RAW SCORE OUT OF RANGE",IF(AND($Y1143="Unexcused",OR($L1143="",NOT(ISNUMBER($L1143)),$L1143&lt;&gt;0)),"UNEXCUSED ABSENCE MUST RECORD 0",IF(COUNTIF(nrES_RecID,$B1143)&gt;1,"DUPLICATE RECORD",IF(N($K1143)&gt;2,"ATTEMPT 3+ NOT ALLOWED - policy 300.5 permits one retest per exam; this row records nothing",IF(AND($K1143=2,COUNTIFS(nrES_PID,$D1143,nrES_Code,$F1143,nrES_Att,1)=0),"ATTEMPT 2 WITHOUT ATTEMPT 1",IF(AND($K1143=2,$L1143=""),"RETEST ROW HAS NO SCORE",IF(AND($H1143="Final",$L1143&lt;&gt;"",IFERROR(INDEX(nrCKfinalExamElig,MATCH($D1143,rngCadetPIDs,0)),"")="No"),"FINAL EXAM AFTER FAILED FINAL PT (500.1.H)",IF(AND($K1143=2,ISNUMBER($L1143),COUNTIFS(nrES_PID,$D1143,nrES_Code,$F1143,nrES_Att,1)&gt;0,SUMIFS(nrES_Raw,nrES_PID,$D1143,nrES_Code,$F1143,nrES_Att,1)&gt;=$J1143),"RETEST AFTER A PASSING FIRST ATTEMPT","OK"))))))))))</f>
        <v/>
      </c>
      <c r="Y1143" s="16" t="n"/>
    </row>
    <row r="1144">
      <c r="B1144" s="17">
        <f>IF($C1144="","",$D1144&amp;"-"&amp;$F1144&amp;"-"&amp;$K1144)</f>
        <v/>
      </c>
      <c r="C1144" s="16" t="n"/>
      <c r="D1144" s="17">
        <f>IF($C1144="","",IFERROR(INDEX(rngCadetPIDs,MATCH($C1144,rngCadetNames,0)),"?"))</f>
        <v/>
      </c>
      <c r="E1144" s="17">
        <f>IF($D1144="","",IFERROR(INDEX(nrCadetAgency,MATCH($D1144,rngCadetPIDs,0)),""))</f>
        <v/>
      </c>
      <c r="F1144" s="16" t="n"/>
      <c r="G1144" s="17">
        <f>IF($F1144="","",IFERROR(INDEX(rngEPname,MATCH($F1144,rngEPcode,0)),"?"))</f>
        <v/>
      </c>
      <c r="H1144" s="17">
        <f>IF($F1144="","",IFERROR(INDEX(rngEPtype,MATCH($F1144,rngEPcode,0)),"?"))</f>
        <v/>
      </c>
      <c r="I1144" s="17">
        <f>IF($F1144="","",IFERROR(INDEX(rngEPseq,MATCH($F1144,rngEPcode,0)),""))</f>
        <v/>
      </c>
      <c r="J1144" s="17">
        <f>IF($F1144="","",IFERROR(INDEX(rngEPpass,MATCH($F1144,rngEPcode,0)),cfgPassingScore))</f>
        <v/>
      </c>
      <c r="K1144" s="16" t="n"/>
      <c r="L1144" s="16" t="n"/>
      <c r="M1144" s="17">
        <f>IF($C1144="","",IF($L1144="","",IF(NOT(ISNUMBER($L1144)),$L1144,IF(N($K1144)&gt;2,"",IF($K1144=1,IF(COUNTIFS(nrES_PID,$D1144,nrES_Code,$F1144,nrES_Att,2,nrES_Raw,"&gt;=0")&gt;0,"",$L1144),IF($L1144&gt;=$J1144,MAX($J1144,cfgRetakeRecordedCap),IF(COUNTIFS(nrES_PID,$D1144,nrES_Code,$F1144,nrES_Att,1)=0,$L1144,SUMIFS(nrES_Raw,nrES_PID,$D1144,nrES_Code,$F1144,nrES_Att,1))))))))</f>
        <v/>
      </c>
      <c r="N1144" s="17">
        <f>IF($C1144="","",IF($L1144="","",IF(NOT(ISNUMBER($L1144)),"(not a score)",IF($L1144&gt;=$J1144,"Yes","No"))))</f>
        <v/>
      </c>
      <c r="O1144" s="17">
        <f>IF($C1144="","",IF($M1144="","",IF(NOT(ISNUMBER($M1144)),"(not a score)",IF($M1144&gt;=$J1144,"Yes","No"))))</f>
        <v/>
      </c>
      <c r="P1144" s="17">
        <f>IF($C1144="","",IF($K1144="","",IF(N($K1144)&gt;2,"No",IF(COUNTIFS(nrES_PID,$D1144,nrES_Code,$F1144,nrES_Att,"&gt;"&amp;$K1144,nrES_Att,"&lt;=2",nrES_Raw,"&gt;=0")=0,"Yes","No"))))</f>
        <v/>
      </c>
      <c r="Q1144" s="17">
        <f>IF($C1144="","",IF($L1144="","",IF(AND($K1144=1,ISNUMBER($L1144),$L1144&lt;$J1144,COUNTIFS(nrES_PID,$D1144,nrES_Code,$F1144,nrES_Att,2,nrES_Raw,"&gt;=0")=0),"Yes","No")))</f>
        <v/>
      </c>
      <c r="R1144" s="17">
        <f>IF($C1144="","",IF($L1144="","",IF(AND(N($K1144)&gt;=2,ISNUMBER($L1144),$L1144&lt;$J1144),"Yes","No")))</f>
        <v/>
      </c>
      <c r="S1144" s="18" t="n"/>
      <c r="T1144" s="19">
        <f>IF(OR($C1144="",$L1144="",$K1144&lt;&gt;1,NOT(ISNUMBER($L1144)),$L1144&gt;=$J1144),"",IF($S1144="","(enter date)",_xlfn.LET(_xlpm.dn,_xlfn.XLOOKUP($S1144,nrCDdate,nrCDnum,"",1),IF(_xlpm.dn="","(after last class day)",_xlfn.LET(_xlpm.dd,_xlfn.XLOOKUP(_xlpm.dn+cfgRetestClassDays,nrCDnum,nrCDdate,""),_xlpm.ok,_xlfn.XLOOKUP(_xlpm.dn+cfgRetestClassDays,nrCDnum,nrCDinsession,"No"),IF(OR(_xlpm.dd="",_xlpm.ok&lt;&gt;"Yes"),"(after last class day)",_xlpm.dd))))))</f>
        <v/>
      </c>
      <c r="U1144" s="17">
        <f>IF($C1144="","",IF(AND($Y1144="Excused",$L1144="",N($K1144)&lt;=1),"EXCUSED - 1st attempt pending",IF(OR($L1144="",$K1144&lt;&gt;1,NOT(ISNUMBER($L1144)),$L1144&gt;=$J1144),"",IF(COUNTIFS(nrES_PID,$D1144,nrES_Code,$F1144,nrES_Att,2,nrES_Raw,"&gt;=0")&gt;0,IF(IFERROR(_xlfn.MINIFS(nrES_Date,nrES_PID,$D1144,nrES_Code,$F1144,nrES_Att,2,nrES_Raw,"&gt;=0",nrES_Date,"&gt;0"),0)=0,"RETEST UNDATED",IF(NOT(ISNUMBER($T1144)),"RETEST DATE UNCHECKED",IF(_xlfn.MINIFS(nrES_Date,nrES_PID,$D1144,nrES_Code,$F1144,nrES_Att,2,nrES_Raw,"&gt;=0",nrES_Date,"&gt;0")&gt;$T1144,"LATE RETEST "&amp;TEXT(_xlfn.MINIFS(nrES_Date,nrES_PID,$D1144,nrES_Code,$F1144,nrES_Att,2,nrES_Raw,"&gt;=0",nrES_Date,"&gt;0"),"mm/dd")&amp;" (due "&amp;TEXT($T1144,"mm/dd")&amp;")","Retested"))),IF(NOT(ISNUMBER($T1144)),"CHECK DATE",IF(TODAY()&gt;$T1144,"OVERDUE","Due "&amp;TEXT($T1144,"mm/dd")))))))</f>
        <v/>
      </c>
      <c r="V1144" s="16" t="n"/>
      <c r="W1144" s="16" t="n"/>
      <c r="X1144" s="17">
        <f>IF($C1144="","",IF(AND($L1144&lt;&gt;"",NOT(ISNUMBER($L1144))),"RAW SCORE NOT A NUMBER",IF(AND(ISNUMBER($L1144),OR($L1144&lt;0,$L1144&gt;100)),"RAW SCORE OUT OF RANGE",IF(AND($Y1144="Unexcused",OR($L1144="",NOT(ISNUMBER($L1144)),$L1144&lt;&gt;0)),"UNEXCUSED ABSENCE MUST RECORD 0",IF(COUNTIF(nrES_RecID,$B1144)&gt;1,"DUPLICATE RECORD",IF(N($K1144)&gt;2,"ATTEMPT 3+ NOT ALLOWED - policy 300.5 permits one retest per exam; this row records nothing",IF(AND($K1144=2,COUNTIFS(nrES_PID,$D1144,nrES_Code,$F1144,nrES_Att,1)=0),"ATTEMPT 2 WITHOUT ATTEMPT 1",IF(AND($K1144=2,$L1144=""),"RETEST ROW HAS NO SCORE",IF(AND($H1144="Final",$L1144&lt;&gt;"",IFERROR(INDEX(nrCKfinalExamElig,MATCH($D1144,rngCadetPIDs,0)),"")="No"),"FINAL EXAM AFTER FAILED FINAL PT (500.1.H)",IF(AND($K1144=2,ISNUMBER($L1144),COUNTIFS(nrES_PID,$D1144,nrES_Code,$F1144,nrES_Att,1)&gt;0,SUMIFS(nrES_Raw,nrES_PID,$D1144,nrES_Code,$F1144,nrES_Att,1)&gt;=$J1144),"RETEST AFTER A PASSING FIRST ATTEMPT","OK"))))))))))</f>
        <v/>
      </c>
      <c r="Y1144" s="16" t="n"/>
    </row>
    <row r="1145">
      <c r="B1145" s="17">
        <f>IF($C1145="","",$D1145&amp;"-"&amp;$F1145&amp;"-"&amp;$K1145)</f>
        <v/>
      </c>
      <c r="C1145" s="16" t="n"/>
      <c r="D1145" s="17">
        <f>IF($C1145="","",IFERROR(INDEX(rngCadetPIDs,MATCH($C1145,rngCadetNames,0)),"?"))</f>
        <v/>
      </c>
      <c r="E1145" s="17">
        <f>IF($D1145="","",IFERROR(INDEX(nrCadetAgency,MATCH($D1145,rngCadetPIDs,0)),""))</f>
        <v/>
      </c>
      <c r="F1145" s="16" t="n"/>
      <c r="G1145" s="17">
        <f>IF($F1145="","",IFERROR(INDEX(rngEPname,MATCH($F1145,rngEPcode,0)),"?"))</f>
        <v/>
      </c>
      <c r="H1145" s="17">
        <f>IF($F1145="","",IFERROR(INDEX(rngEPtype,MATCH($F1145,rngEPcode,0)),"?"))</f>
        <v/>
      </c>
      <c r="I1145" s="17">
        <f>IF($F1145="","",IFERROR(INDEX(rngEPseq,MATCH($F1145,rngEPcode,0)),""))</f>
        <v/>
      </c>
      <c r="J1145" s="17">
        <f>IF($F1145="","",IFERROR(INDEX(rngEPpass,MATCH($F1145,rngEPcode,0)),cfgPassingScore))</f>
        <v/>
      </c>
      <c r="K1145" s="16" t="n"/>
      <c r="L1145" s="16" t="n"/>
      <c r="M1145" s="17">
        <f>IF($C1145="","",IF($L1145="","",IF(NOT(ISNUMBER($L1145)),$L1145,IF(N($K1145)&gt;2,"",IF($K1145=1,IF(COUNTIFS(nrES_PID,$D1145,nrES_Code,$F1145,nrES_Att,2,nrES_Raw,"&gt;=0")&gt;0,"",$L1145),IF($L1145&gt;=$J1145,MAX($J1145,cfgRetakeRecordedCap),IF(COUNTIFS(nrES_PID,$D1145,nrES_Code,$F1145,nrES_Att,1)=0,$L1145,SUMIFS(nrES_Raw,nrES_PID,$D1145,nrES_Code,$F1145,nrES_Att,1))))))))</f>
        <v/>
      </c>
      <c r="N1145" s="17">
        <f>IF($C1145="","",IF($L1145="","",IF(NOT(ISNUMBER($L1145)),"(not a score)",IF($L1145&gt;=$J1145,"Yes","No"))))</f>
        <v/>
      </c>
      <c r="O1145" s="17">
        <f>IF($C1145="","",IF($M1145="","",IF(NOT(ISNUMBER($M1145)),"(not a score)",IF($M1145&gt;=$J1145,"Yes","No"))))</f>
        <v/>
      </c>
      <c r="P1145" s="17">
        <f>IF($C1145="","",IF($K1145="","",IF(N($K1145)&gt;2,"No",IF(COUNTIFS(nrES_PID,$D1145,nrES_Code,$F1145,nrES_Att,"&gt;"&amp;$K1145,nrES_Att,"&lt;=2",nrES_Raw,"&gt;=0")=0,"Yes","No"))))</f>
        <v/>
      </c>
      <c r="Q1145" s="17">
        <f>IF($C1145="","",IF($L1145="","",IF(AND($K1145=1,ISNUMBER($L1145),$L1145&lt;$J1145,COUNTIFS(nrES_PID,$D1145,nrES_Code,$F1145,nrES_Att,2,nrES_Raw,"&gt;=0")=0),"Yes","No")))</f>
        <v/>
      </c>
      <c r="R1145" s="17">
        <f>IF($C1145="","",IF($L1145="","",IF(AND(N($K1145)&gt;=2,ISNUMBER($L1145),$L1145&lt;$J1145),"Yes","No")))</f>
        <v/>
      </c>
      <c r="S1145" s="18" t="n"/>
      <c r="T1145" s="19">
        <f>IF(OR($C1145="",$L1145="",$K1145&lt;&gt;1,NOT(ISNUMBER($L1145)),$L1145&gt;=$J1145),"",IF($S1145="","(enter date)",_xlfn.LET(_xlpm.dn,_xlfn.XLOOKUP($S1145,nrCDdate,nrCDnum,"",1),IF(_xlpm.dn="","(after last class day)",_xlfn.LET(_xlpm.dd,_xlfn.XLOOKUP(_xlpm.dn+cfgRetestClassDays,nrCDnum,nrCDdate,""),_xlpm.ok,_xlfn.XLOOKUP(_xlpm.dn+cfgRetestClassDays,nrCDnum,nrCDinsession,"No"),IF(OR(_xlpm.dd="",_xlpm.ok&lt;&gt;"Yes"),"(after last class day)",_xlpm.dd))))))</f>
        <v/>
      </c>
      <c r="U1145" s="17">
        <f>IF($C1145="","",IF(AND($Y1145="Excused",$L1145="",N($K1145)&lt;=1),"EXCUSED - 1st attempt pending",IF(OR($L1145="",$K1145&lt;&gt;1,NOT(ISNUMBER($L1145)),$L1145&gt;=$J1145),"",IF(COUNTIFS(nrES_PID,$D1145,nrES_Code,$F1145,nrES_Att,2,nrES_Raw,"&gt;=0")&gt;0,IF(IFERROR(_xlfn.MINIFS(nrES_Date,nrES_PID,$D1145,nrES_Code,$F1145,nrES_Att,2,nrES_Raw,"&gt;=0",nrES_Date,"&gt;0"),0)=0,"RETEST UNDATED",IF(NOT(ISNUMBER($T1145)),"RETEST DATE UNCHECKED",IF(_xlfn.MINIFS(nrES_Date,nrES_PID,$D1145,nrES_Code,$F1145,nrES_Att,2,nrES_Raw,"&gt;=0",nrES_Date,"&gt;0")&gt;$T1145,"LATE RETEST "&amp;TEXT(_xlfn.MINIFS(nrES_Date,nrES_PID,$D1145,nrES_Code,$F1145,nrES_Att,2,nrES_Raw,"&gt;=0",nrES_Date,"&gt;0"),"mm/dd")&amp;" (due "&amp;TEXT($T1145,"mm/dd")&amp;")","Retested"))),IF(NOT(ISNUMBER($T1145)),"CHECK DATE",IF(TODAY()&gt;$T1145,"OVERDUE","Due "&amp;TEXT($T1145,"mm/dd")))))))</f>
        <v/>
      </c>
      <c r="V1145" s="16" t="n"/>
      <c r="W1145" s="16" t="n"/>
      <c r="X1145" s="17">
        <f>IF($C1145="","",IF(AND($L1145&lt;&gt;"",NOT(ISNUMBER($L1145))),"RAW SCORE NOT A NUMBER",IF(AND(ISNUMBER($L1145),OR($L1145&lt;0,$L1145&gt;100)),"RAW SCORE OUT OF RANGE",IF(AND($Y1145="Unexcused",OR($L1145="",NOT(ISNUMBER($L1145)),$L1145&lt;&gt;0)),"UNEXCUSED ABSENCE MUST RECORD 0",IF(COUNTIF(nrES_RecID,$B1145)&gt;1,"DUPLICATE RECORD",IF(N($K1145)&gt;2,"ATTEMPT 3+ NOT ALLOWED - policy 300.5 permits one retest per exam; this row records nothing",IF(AND($K1145=2,COUNTIFS(nrES_PID,$D1145,nrES_Code,$F1145,nrES_Att,1)=0),"ATTEMPT 2 WITHOUT ATTEMPT 1",IF(AND($K1145=2,$L1145=""),"RETEST ROW HAS NO SCORE",IF(AND($H1145="Final",$L1145&lt;&gt;"",IFERROR(INDEX(nrCKfinalExamElig,MATCH($D1145,rngCadetPIDs,0)),"")="No"),"FINAL EXAM AFTER FAILED FINAL PT (500.1.H)",IF(AND($K1145=2,ISNUMBER($L1145),COUNTIFS(nrES_PID,$D1145,nrES_Code,$F1145,nrES_Att,1)&gt;0,SUMIFS(nrES_Raw,nrES_PID,$D1145,nrES_Code,$F1145,nrES_Att,1)&gt;=$J1145),"RETEST AFTER A PASSING FIRST ATTEMPT","OK"))))))))))</f>
        <v/>
      </c>
      <c r="Y1145" s="16" t="n"/>
    </row>
    <row r="1146">
      <c r="B1146" s="17">
        <f>IF($C1146="","",$D1146&amp;"-"&amp;$F1146&amp;"-"&amp;$K1146)</f>
        <v/>
      </c>
      <c r="C1146" s="16" t="n"/>
      <c r="D1146" s="17">
        <f>IF($C1146="","",IFERROR(INDEX(rngCadetPIDs,MATCH($C1146,rngCadetNames,0)),"?"))</f>
        <v/>
      </c>
      <c r="E1146" s="17">
        <f>IF($D1146="","",IFERROR(INDEX(nrCadetAgency,MATCH($D1146,rngCadetPIDs,0)),""))</f>
        <v/>
      </c>
      <c r="F1146" s="16" t="n"/>
      <c r="G1146" s="17">
        <f>IF($F1146="","",IFERROR(INDEX(rngEPname,MATCH($F1146,rngEPcode,0)),"?"))</f>
        <v/>
      </c>
      <c r="H1146" s="17">
        <f>IF($F1146="","",IFERROR(INDEX(rngEPtype,MATCH($F1146,rngEPcode,0)),"?"))</f>
        <v/>
      </c>
      <c r="I1146" s="17">
        <f>IF($F1146="","",IFERROR(INDEX(rngEPseq,MATCH($F1146,rngEPcode,0)),""))</f>
        <v/>
      </c>
      <c r="J1146" s="17">
        <f>IF($F1146="","",IFERROR(INDEX(rngEPpass,MATCH($F1146,rngEPcode,0)),cfgPassingScore))</f>
        <v/>
      </c>
      <c r="K1146" s="16" t="n"/>
      <c r="L1146" s="16" t="n"/>
      <c r="M1146" s="17">
        <f>IF($C1146="","",IF($L1146="","",IF(NOT(ISNUMBER($L1146)),$L1146,IF(N($K1146)&gt;2,"",IF($K1146=1,IF(COUNTIFS(nrES_PID,$D1146,nrES_Code,$F1146,nrES_Att,2,nrES_Raw,"&gt;=0")&gt;0,"",$L1146),IF($L1146&gt;=$J1146,MAX($J1146,cfgRetakeRecordedCap),IF(COUNTIFS(nrES_PID,$D1146,nrES_Code,$F1146,nrES_Att,1)=0,$L1146,SUMIFS(nrES_Raw,nrES_PID,$D1146,nrES_Code,$F1146,nrES_Att,1))))))))</f>
        <v/>
      </c>
      <c r="N1146" s="17">
        <f>IF($C1146="","",IF($L1146="","",IF(NOT(ISNUMBER($L1146)),"(not a score)",IF($L1146&gt;=$J1146,"Yes","No"))))</f>
        <v/>
      </c>
      <c r="O1146" s="17">
        <f>IF($C1146="","",IF($M1146="","",IF(NOT(ISNUMBER($M1146)),"(not a score)",IF($M1146&gt;=$J1146,"Yes","No"))))</f>
        <v/>
      </c>
      <c r="P1146" s="17">
        <f>IF($C1146="","",IF($K1146="","",IF(N($K1146)&gt;2,"No",IF(COUNTIFS(nrES_PID,$D1146,nrES_Code,$F1146,nrES_Att,"&gt;"&amp;$K1146,nrES_Att,"&lt;=2",nrES_Raw,"&gt;=0")=0,"Yes","No"))))</f>
        <v/>
      </c>
      <c r="Q1146" s="17">
        <f>IF($C1146="","",IF($L1146="","",IF(AND($K1146=1,ISNUMBER($L1146),$L1146&lt;$J1146,COUNTIFS(nrES_PID,$D1146,nrES_Code,$F1146,nrES_Att,2,nrES_Raw,"&gt;=0")=0),"Yes","No")))</f>
        <v/>
      </c>
      <c r="R1146" s="17">
        <f>IF($C1146="","",IF($L1146="","",IF(AND(N($K1146)&gt;=2,ISNUMBER($L1146),$L1146&lt;$J1146),"Yes","No")))</f>
        <v/>
      </c>
      <c r="S1146" s="18" t="n"/>
      <c r="T1146" s="19">
        <f>IF(OR($C1146="",$L1146="",$K1146&lt;&gt;1,NOT(ISNUMBER($L1146)),$L1146&gt;=$J1146),"",IF($S1146="","(enter date)",_xlfn.LET(_xlpm.dn,_xlfn.XLOOKUP($S1146,nrCDdate,nrCDnum,"",1),IF(_xlpm.dn="","(after last class day)",_xlfn.LET(_xlpm.dd,_xlfn.XLOOKUP(_xlpm.dn+cfgRetestClassDays,nrCDnum,nrCDdate,""),_xlpm.ok,_xlfn.XLOOKUP(_xlpm.dn+cfgRetestClassDays,nrCDnum,nrCDinsession,"No"),IF(OR(_xlpm.dd="",_xlpm.ok&lt;&gt;"Yes"),"(after last class day)",_xlpm.dd))))))</f>
        <v/>
      </c>
      <c r="U1146" s="17">
        <f>IF($C1146="","",IF(AND($Y1146="Excused",$L1146="",N($K1146)&lt;=1),"EXCUSED - 1st attempt pending",IF(OR($L1146="",$K1146&lt;&gt;1,NOT(ISNUMBER($L1146)),$L1146&gt;=$J1146),"",IF(COUNTIFS(nrES_PID,$D1146,nrES_Code,$F1146,nrES_Att,2,nrES_Raw,"&gt;=0")&gt;0,IF(IFERROR(_xlfn.MINIFS(nrES_Date,nrES_PID,$D1146,nrES_Code,$F1146,nrES_Att,2,nrES_Raw,"&gt;=0",nrES_Date,"&gt;0"),0)=0,"RETEST UNDATED",IF(NOT(ISNUMBER($T1146)),"RETEST DATE UNCHECKED",IF(_xlfn.MINIFS(nrES_Date,nrES_PID,$D1146,nrES_Code,$F1146,nrES_Att,2,nrES_Raw,"&gt;=0",nrES_Date,"&gt;0")&gt;$T1146,"LATE RETEST "&amp;TEXT(_xlfn.MINIFS(nrES_Date,nrES_PID,$D1146,nrES_Code,$F1146,nrES_Att,2,nrES_Raw,"&gt;=0",nrES_Date,"&gt;0"),"mm/dd")&amp;" (due "&amp;TEXT($T1146,"mm/dd")&amp;")","Retested"))),IF(NOT(ISNUMBER($T1146)),"CHECK DATE",IF(TODAY()&gt;$T1146,"OVERDUE","Due "&amp;TEXT($T1146,"mm/dd")))))))</f>
        <v/>
      </c>
      <c r="V1146" s="16" t="n"/>
      <c r="W1146" s="16" t="n"/>
      <c r="X1146" s="17">
        <f>IF($C1146="","",IF(AND($L1146&lt;&gt;"",NOT(ISNUMBER($L1146))),"RAW SCORE NOT A NUMBER",IF(AND(ISNUMBER($L1146),OR($L1146&lt;0,$L1146&gt;100)),"RAW SCORE OUT OF RANGE",IF(AND($Y1146="Unexcused",OR($L1146="",NOT(ISNUMBER($L1146)),$L1146&lt;&gt;0)),"UNEXCUSED ABSENCE MUST RECORD 0",IF(COUNTIF(nrES_RecID,$B1146)&gt;1,"DUPLICATE RECORD",IF(N($K1146)&gt;2,"ATTEMPT 3+ NOT ALLOWED - policy 300.5 permits one retest per exam; this row records nothing",IF(AND($K1146=2,COUNTIFS(nrES_PID,$D1146,nrES_Code,$F1146,nrES_Att,1)=0),"ATTEMPT 2 WITHOUT ATTEMPT 1",IF(AND($K1146=2,$L1146=""),"RETEST ROW HAS NO SCORE",IF(AND($H1146="Final",$L1146&lt;&gt;"",IFERROR(INDEX(nrCKfinalExamElig,MATCH($D1146,rngCadetPIDs,0)),"")="No"),"FINAL EXAM AFTER FAILED FINAL PT (500.1.H)",IF(AND($K1146=2,ISNUMBER($L1146),COUNTIFS(nrES_PID,$D1146,nrES_Code,$F1146,nrES_Att,1)&gt;0,SUMIFS(nrES_Raw,nrES_PID,$D1146,nrES_Code,$F1146,nrES_Att,1)&gt;=$J1146),"RETEST AFTER A PASSING FIRST ATTEMPT","OK"))))))))))</f>
        <v/>
      </c>
      <c r="Y1146" s="16" t="n"/>
    </row>
    <row r="1147">
      <c r="B1147" s="17">
        <f>IF($C1147="","",$D1147&amp;"-"&amp;$F1147&amp;"-"&amp;$K1147)</f>
        <v/>
      </c>
      <c r="C1147" s="16" t="n"/>
      <c r="D1147" s="17">
        <f>IF($C1147="","",IFERROR(INDEX(rngCadetPIDs,MATCH($C1147,rngCadetNames,0)),"?"))</f>
        <v/>
      </c>
      <c r="E1147" s="17">
        <f>IF($D1147="","",IFERROR(INDEX(nrCadetAgency,MATCH($D1147,rngCadetPIDs,0)),""))</f>
        <v/>
      </c>
      <c r="F1147" s="16" t="n"/>
      <c r="G1147" s="17">
        <f>IF($F1147="","",IFERROR(INDEX(rngEPname,MATCH($F1147,rngEPcode,0)),"?"))</f>
        <v/>
      </c>
      <c r="H1147" s="17">
        <f>IF($F1147="","",IFERROR(INDEX(rngEPtype,MATCH($F1147,rngEPcode,0)),"?"))</f>
        <v/>
      </c>
      <c r="I1147" s="17">
        <f>IF($F1147="","",IFERROR(INDEX(rngEPseq,MATCH($F1147,rngEPcode,0)),""))</f>
        <v/>
      </c>
      <c r="J1147" s="17">
        <f>IF($F1147="","",IFERROR(INDEX(rngEPpass,MATCH($F1147,rngEPcode,0)),cfgPassingScore))</f>
        <v/>
      </c>
      <c r="K1147" s="16" t="n"/>
      <c r="L1147" s="16" t="n"/>
      <c r="M1147" s="17">
        <f>IF($C1147="","",IF($L1147="","",IF(NOT(ISNUMBER($L1147)),$L1147,IF(N($K1147)&gt;2,"",IF($K1147=1,IF(COUNTIFS(nrES_PID,$D1147,nrES_Code,$F1147,nrES_Att,2,nrES_Raw,"&gt;=0")&gt;0,"",$L1147),IF($L1147&gt;=$J1147,MAX($J1147,cfgRetakeRecordedCap),IF(COUNTIFS(nrES_PID,$D1147,nrES_Code,$F1147,nrES_Att,1)=0,$L1147,SUMIFS(nrES_Raw,nrES_PID,$D1147,nrES_Code,$F1147,nrES_Att,1))))))))</f>
        <v/>
      </c>
      <c r="N1147" s="17">
        <f>IF($C1147="","",IF($L1147="","",IF(NOT(ISNUMBER($L1147)),"(not a score)",IF($L1147&gt;=$J1147,"Yes","No"))))</f>
        <v/>
      </c>
      <c r="O1147" s="17">
        <f>IF($C1147="","",IF($M1147="","",IF(NOT(ISNUMBER($M1147)),"(not a score)",IF($M1147&gt;=$J1147,"Yes","No"))))</f>
        <v/>
      </c>
      <c r="P1147" s="17">
        <f>IF($C1147="","",IF($K1147="","",IF(N($K1147)&gt;2,"No",IF(COUNTIFS(nrES_PID,$D1147,nrES_Code,$F1147,nrES_Att,"&gt;"&amp;$K1147,nrES_Att,"&lt;=2",nrES_Raw,"&gt;=0")=0,"Yes","No"))))</f>
        <v/>
      </c>
      <c r="Q1147" s="17">
        <f>IF($C1147="","",IF($L1147="","",IF(AND($K1147=1,ISNUMBER($L1147),$L1147&lt;$J1147,COUNTIFS(nrES_PID,$D1147,nrES_Code,$F1147,nrES_Att,2,nrES_Raw,"&gt;=0")=0),"Yes","No")))</f>
        <v/>
      </c>
      <c r="R1147" s="17">
        <f>IF($C1147="","",IF($L1147="","",IF(AND(N($K1147)&gt;=2,ISNUMBER($L1147),$L1147&lt;$J1147),"Yes","No")))</f>
        <v/>
      </c>
      <c r="S1147" s="18" t="n"/>
      <c r="T1147" s="19">
        <f>IF(OR($C1147="",$L1147="",$K1147&lt;&gt;1,NOT(ISNUMBER($L1147)),$L1147&gt;=$J1147),"",IF($S1147="","(enter date)",_xlfn.LET(_xlpm.dn,_xlfn.XLOOKUP($S1147,nrCDdate,nrCDnum,"",1),IF(_xlpm.dn="","(after last class day)",_xlfn.LET(_xlpm.dd,_xlfn.XLOOKUP(_xlpm.dn+cfgRetestClassDays,nrCDnum,nrCDdate,""),_xlpm.ok,_xlfn.XLOOKUP(_xlpm.dn+cfgRetestClassDays,nrCDnum,nrCDinsession,"No"),IF(OR(_xlpm.dd="",_xlpm.ok&lt;&gt;"Yes"),"(after last class day)",_xlpm.dd))))))</f>
        <v/>
      </c>
      <c r="U1147" s="17">
        <f>IF($C1147="","",IF(AND($Y1147="Excused",$L1147="",N($K1147)&lt;=1),"EXCUSED - 1st attempt pending",IF(OR($L1147="",$K1147&lt;&gt;1,NOT(ISNUMBER($L1147)),$L1147&gt;=$J1147),"",IF(COUNTIFS(nrES_PID,$D1147,nrES_Code,$F1147,nrES_Att,2,nrES_Raw,"&gt;=0")&gt;0,IF(IFERROR(_xlfn.MINIFS(nrES_Date,nrES_PID,$D1147,nrES_Code,$F1147,nrES_Att,2,nrES_Raw,"&gt;=0",nrES_Date,"&gt;0"),0)=0,"RETEST UNDATED",IF(NOT(ISNUMBER($T1147)),"RETEST DATE UNCHECKED",IF(_xlfn.MINIFS(nrES_Date,nrES_PID,$D1147,nrES_Code,$F1147,nrES_Att,2,nrES_Raw,"&gt;=0",nrES_Date,"&gt;0")&gt;$T1147,"LATE RETEST "&amp;TEXT(_xlfn.MINIFS(nrES_Date,nrES_PID,$D1147,nrES_Code,$F1147,nrES_Att,2,nrES_Raw,"&gt;=0",nrES_Date,"&gt;0"),"mm/dd")&amp;" (due "&amp;TEXT($T1147,"mm/dd")&amp;")","Retested"))),IF(NOT(ISNUMBER($T1147)),"CHECK DATE",IF(TODAY()&gt;$T1147,"OVERDUE","Due "&amp;TEXT($T1147,"mm/dd")))))))</f>
        <v/>
      </c>
      <c r="V1147" s="16" t="n"/>
      <c r="W1147" s="16" t="n"/>
      <c r="X1147" s="17">
        <f>IF($C1147="","",IF(AND($L1147&lt;&gt;"",NOT(ISNUMBER($L1147))),"RAW SCORE NOT A NUMBER",IF(AND(ISNUMBER($L1147),OR($L1147&lt;0,$L1147&gt;100)),"RAW SCORE OUT OF RANGE",IF(AND($Y1147="Unexcused",OR($L1147="",NOT(ISNUMBER($L1147)),$L1147&lt;&gt;0)),"UNEXCUSED ABSENCE MUST RECORD 0",IF(COUNTIF(nrES_RecID,$B1147)&gt;1,"DUPLICATE RECORD",IF(N($K1147)&gt;2,"ATTEMPT 3+ NOT ALLOWED - policy 300.5 permits one retest per exam; this row records nothing",IF(AND($K1147=2,COUNTIFS(nrES_PID,$D1147,nrES_Code,$F1147,nrES_Att,1)=0),"ATTEMPT 2 WITHOUT ATTEMPT 1",IF(AND($K1147=2,$L1147=""),"RETEST ROW HAS NO SCORE",IF(AND($H1147="Final",$L1147&lt;&gt;"",IFERROR(INDEX(nrCKfinalExamElig,MATCH($D1147,rngCadetPIDs,0)),"")="No"),"FINAL EXAM AFTER FAILED FINAL PT (500.1.H)",IF(AND($K1147=2,ISNUMBER($L1147),COUNTIFS(nrES_PID,$D1147,nrES_Code,$F1147,nrES_Att,1)&gt;0,SUMIFS(nrES_Raw,nrES_PID,$D1147,nrES_Code,$F1147,nrES_Att,1)&gt;=$J1147),"RETEST AFTER A PASSING FIRST ATTEMPT","OK"))))))))))</f>
        <v/>
      </c>
      <c r="Y1147" s="16" t="n"/>
    </row>
    <row r="1148">
      <c r="B1148" s="17">
        <f>IF($C1148="","",$D1148&amp;"-"&amp;$F1148&amp;"-"&amp;$K1148)</f>
        <v/>
      </c>
      <c r="C1148" s="16" t="n"/>
      <c r="D1148" s="17">
        <f>IF($C1148="","",IFERROR(INDEX(rngCadetPIDs,MATCH($C1148,rngCadetNames,0)),"?"))</f>
        <v/>
      </c>
      <c r="E1148" s="17">
        <f>IF($D1148="","",IFERROR(INDEX(nrCadetAgency,MATCH($D1148,rngCadetPIDs,0)),""))</f>
        <v/>
      </c>
      <c r="F1148" s="16" t="n"/>
      <c r="G1148" s="17">
        <f>IF($F1148="","",IFERROR(INDEX(rngEPname,MATCH($F1148,rngEPcode,0)),"?"))</f>
        <v/>
      </c>
      <c r="H1148" s="17">
        <f>IF($F1148="","",IFERROR(INDEX(rngEPtype,MATCH($F1148,rngEPcode,0)),"?"))</f>
        <v/>
      </c>
      <c r="I1148" s="17">
        <f>IF($F1148="","",IFERROR(INDEX(rngEPseq,MATCH($F1148,rngEPcode,0)),""))</f>
        <v/>
      </c>
      <c r="J1148" s="17">
        <f>IF($F1148="","",IFERROR(INDEX(rngEPpass,MATCH($F1148,rngEPcode,0)),cfgPassingScore))</f>
        <v/>
      </c>
      <c r="K1148" s="16" t="n"/>
      <c r="L1148" s="16" t="n"/>
      <c r="M1148" s="17">
        <f>IF($C1148="","",IF($L1148="","",IF(NOT(ISNUMBER($L1148)),$L1148,IF(N($K1148)&gt;2,"",IF($K1148=1,IF(COUNTIFS(nrES_PID,$D1148,nrES_Code,$F1148,nrES_Att,2,nrES_Raw,"&gt;=0")&gt;0,"",$L1148),IF($L1148&gt;=$J1148,MAX($J1148,cfgRetakeRecordedCap),IF(COUNTIFS(nrES_PID,$D1148,nrES_Code,$F1148,nrES_Att,1)=0,$L1148,SUMIFS(nrES_Raw,nrES_PID,$D1148,nrES_Code,$F1148,nrES_Att,1))))))))</f>
        <v/>
      </c>
      <c r="N1148" s="17">
        <f>IF($C1148="","",IF($L1148="","",IF(NOT(ISNUMBER($L1148)),"(not a score)",IF($L1148&gt;=$J1148,"Yes","No"))))</f>
        <v/>
      </c>
      <c r="O1148" s="17">
        <f>IF($C1148="","",IF($M1148="","",IF(NOT(ISNUMBER($M1148)),"(not a score)",IF($M1148&gt;=$J1148,"Yes","No"))))</f>
        <v/>
      </c>
      <c r="P1148" s="17">
        <f>IF($C1148="","",IF($K1148="","",IF(N($K1148)&gt;2,"No",IF(COUNTIFS(nrES_PID,$D1148,nrES_Code,$F1148,nrES_Att,"&gt;"&amp;$K1148,nrES_Att,"&lt;=2",nrES_Raw,"&gt;=0")=0,"Yes","No"))))</f>
        <v/>
      </c>
      <c r="Q1148" s="17">
        <f>IF($C1148="","",IF($L1148="","",IF(AND($K1148=1,ISNUMBER($L1148),$L1148&lt;$J1148,COUNTIFS(nrES_PID,$D1148,nrES_Code,$F1148,nrES_Att,2,nrES_Raw,"&gt;=0")=0),"Yes","No")))</f>
        <v/>
      </c>
      <c r="R1148" s="17">
        <f>IF($C1148="","",IF($L1148="","",IF(AND(N($K1148)&gt;=2,ISNUMBER($L1148),$L1148&lt;$J1148),"Yes","No")))</f>
        <v/>
      </c>
      <c r="S1148" s="18" t="n"/>
      <c r="T1148" s="19">
        <f>IF(OR($C1148="",$L1148="",$K1148&lt;&gt;1,NOT(ISNUMBER($L1148)),$L1148&gt;=$J1148),"",IF($S1148="","(enter date)",_xlfn.LET(_xlpm.dn,_xlfn.XLOOKUP($S1148,nrCDdate,nrCDnum,"",1),IF(_xlpm.dn="","(after last class day)",_xlfn.LET(_xlpm.dd,_xlfn.XLOOKUP(_xlpm.dn+cfgRetestClassDays,nrCDnum,nrCDdate,""),_xlpm.ok,_xlfn.XLOOKUP(_xlpm.dn+cfgRetestClassDays,nrCDnum,nrCDinsession,"No"),IF(OR(_xlpm.dd="",_xlpm.ok&lt;&gt;"Yes"),"(after last class day)",_xlpm.dd))))))</f>
        <v/>
      </c>
      <c r="U1148" s="17">
        <f>IF($C1148="","",IF(AND($Y1148="Excused",$L1148="",N($K1148)&lt;=1),"EXCUSED - 1st attempt pending",IF(OR($L1148="",$K1148&lt;&gt;1,NOT(ISNUMBER($L1148)),$L1148&gt;=$J1148),"",IF(COUNTIFS(nrES_PID,$D1148,nrES_Code,$F1148,nrES_Att,2,nrES_Raw,"&gt;=0")&gt;0,IF(IFERROR(_xlfn.MINIFS(nrES_Date,nrES_PID,$D1148,nrES_Code,$F1148,nrES_Att,2,nrES_Raw,"&gt;=0",nrES_Date,"&gt;0"),0)=0,"RETEST UNDATED",IF(NOT(ISNUMBER($T1148)),"RETEST DATE UNCHECKED",IF(_xlfn.MINIFS(nrES_Date,nrES_PID,$D1148,nrES_Code,$F1148,nrES_Att,2,nrES_Raw,"&gt;=0",nrES_Date,"&gt;0")&gt;$T1148,"LATE RETEST "&amp;TEXT(_xlfn.MINIFS(nrES_Date,nrES_PID,$D1148,nrES_Code,$F1148,nrES_Att,2,nrES_Raw,"&gt;=0",nrES_Date,"&gt;0"),"mm/dd")&amp;" (due "&amp;TEXT($T1148,"mm/dd")&amp;")","Retested"))),IF(NOT(ISNUMBER($T1148)),"CHECK DATE",IF(TODAY()&gt;$T1148,"OVERDUE","Due "&amp;TEXT($T1148,"mm/dd")))))))</f>
        <v/>
      </c>
      <c r="V1148" s="16" t="n"/>
      <c r="W1148" s="16" t="n"/>
      <c r="X1148" s="17">
        <f>IF($C1148="","",IF(AND($L1148&lt;&gt;"",NOT(ISNUMBER($L1148))),"RAW SCORE NOT A NUMBER",IF(AND(ISNUMBER($L1148),OR($L1148&lt;0,$L1148&gt;100)),"RAW SCORE OUT OF RANGE",IF(AND($Y1148="Unexcused",OR($L1148="",NOT(ISNUMBER($L1148)),$L1148&lt;&gt;0)),"UNEXCUSED ABSENCE MUST RECORD 0",IF(COUNTIF(nrES_RecID,$B1148)&gt;1,"DUPLICATE RECORD",IF(N($K1148)&gt;2,"ATTEMPT 3+ NOT ALLOWED - policy 300.5 permits one retest per exam; this row records nothing",IF(AND($K1148=2,COUNTIFS(nrES_PID,$D1148,nrES_Code,$F1148,nrES_Att,1)=0),"ATTEMPT 2 WITHOUT ATTEMPT 1",IF(AND($K1148=2,$L1148=""),"RETEST ROW HAS NO SCORE",IF(AND($H1148="Final",$L1148&lt;&gt;"",IFERROR(INDEX(nrCKfinalExamElig,MATCH($D1148,rngCadetPIDs,0)),"")="No"),"FINAL EXAM AFTER FAILED FINAL PT (500.1.H)",IF(AND($K1148=2,ISNUMBER($L1148),COUNTIFS(nrES_PID,$D1148,nrES_Code,$F1148,nrES_Att,1)&gt;0,SUMIFS(nrES_Raw,nrES_PID,$D1148,nrES_Code,$F1148,nrES_Att,1)&gt;=$J1148),"RETEST AFTER A PASSING FIRST ATTEMPT","OK"))))))))))</f>
        <v/>
      </c>
      <c r="Y1148" s="16" t="n"/>
    </row>
    <row r="1149">
      <c r="B1149" s="17">
        <f>IF($C1149="","",$D1149&amp;"-"&amp;$F1149&amp;"-"&amp;$K1149)</f>
        <v/>
      </c>
      <c r="C1149" s="16" t="n"/>
      <c r="D1149" s="17">
        <f>IF($C1149="","",IFERROR(INDEX(rngCadetPIDs,MATCH($C1149,rngCadetNames,0)),"?"))</f>
        <v/>
      </c>
      <c r="E1149" s="17">
        <f>IF($D1149="","",IFERROR(INDEX(nrCadetAgency,MATCH($D1149,rngCadetPIDs,0)),""))</f>
        <v/>
      </c>
      <c r="F1149" s="16" t="n"/>
      <c r="G1149" s="17">
        <f>IF($F1149="","",IFERROR(INDEX(rngEPname,MATCH($F1149,rngEPcode,0)),"?"))</f>
        <v/>
      </c>
      <c r="H1149" s="17">
        <f>IF($F1149="","",IFERROR(INDEX(rngEPtype,MATCH($F1149,rngEPcode,0)),"?"))</f>
        <v/>
      </c>
      <c r="I1149" s="17">
        <f>IF($F1149="","",IFERROR(INDEX(rngEPseq,MATCH($F1149,rngEPcode,0)),""))</f>
        <v/>
      </c>
      <c r="J1149" s="17">
        <f>IF($F1149="","",IFERROR(INDEX(rngEPpass,MATCH($F1149,rngEPcode,0)),cfgPassingScore))</f>
        <v/>
      </c>
      <c r="K1149" s="16" t="n"/>
      <c r="L1149" s="16" t="n"/>
      <c r="M1149" s="17">
        <f>IF($C1149="","",IF($L1149="","",IF(NOT(ISNUMBER($L1149)),$L1149,IF(N($K1149)&gt;2,"",IF($K1149=1,IF(COUNTIFS(nrES_PID,$D1149,nrES_Code,$F1149,nrES_Att,2,nrES_Raw,"&gt;=0")&gt;0,"",$L1149),IF($L1149&gt;=$J1149,MAX($J1149,cfgRetakeRecordedCap),IF(COUNTIFS(nrES_PID,$D1149,nrES_Code,$F1149,nrES_Att,1)=0,$L1149,SUMIFS(nrES_Raw,nrES_PID,$D1149,nrES_Code,$F1149,nrES_Att,1))))))))</f>
        <v/>
      </c>
      <c r="N1149" s="17">
        <f>IF($C1149="","",IF($L1149="","",IF(NOT(ISNUMBER($L1149)),"(not a score)",IF($L1149&gt;=$J1149,"Yes","No"))))</f>
        <v/>
      </c>
      <c r="O1149" s="17">
        <f>IF($C1149="","",IF($M1149="","",IF(NOT(ISNUMBER($M1149)),"(not a score)",IF($M1149&gt;=$J1149,"Yes","No"))))</f>
        <v/>
      </c>
      <c r="P1149" s="17">
        <f>IF($C1149="","",IF($K1149="","",IF(N($K1149)&gt;2,"No",IF(COUNTIFS(nrES_PID,$D1149,nrES_Code,$F1149,nrES_Att,"&gt;"&amp;$K1149,nrES_Att,"&lt;=2",nrES_Raw,"&gt;=0")=0,"Yes","No"))))</f>
        <v/>
      </c>
      <c r="Q1149" s="17">
        <f>IF($C1149="","",IF($L1149="","",IF(AND($K1149=1,ISNUMBER($L1149),$L1149&lt;$J1149,COUNTIFS(nrES_PID,$D1149,nrES_Code,$F1149,nrES_Att,2,nrES_Raw,"&gt;=0")=0),"Yes","No")))</f>
        <v/>
      </c>
      <c r="R1149" s="17">
        <f>IF($C1149="","",IF($L1149="","",IF(AND(N($K1149)&gt;=2,ISNUMBER($L1149),$L1149&lt;$J1149),"Yes","No")))</f>
        <v/>
      </c>
      <c r="S1149" s="18" t="n"/>
      <c r="T1149" s="19">
        <f>IF(OR($C1149="",$L1149="",$K1149&lt;&gt;1,NOT(ISNUMBER($L1149)),$L1149&gt;=$J1149),"",IF($S1149="","(enter date)",_xlfn.LET(_xlpm.dn,_xlfn.XLOOKUP($S1149,nrCDdate,nrCDnum,"",1),IF(_xlpm.dn="","(after last class day)",_xlfn.LET(_xlpm.dd,_xlfn.XLOOKUP(_xlpm.dn+cfgRetestClassDays,nrCDnum,nrCDdate,""),_xlpm.ok,_xlfn.XLOOKUP(_xlpm.dn+cfgRetestClassDays,nrCDnum,nrCDinsession,"No"),IF(OR(_xlpm.dd="",_xlpm.ok&lt;&gt;"Yes"),"(after last class day)",_xlpm.dd))))))</f>
        <v/>
      </c>
      <c r="U1149" s="17">
        <f>IF($C1149="","",IF(AND($Y1149="Excused",$L1149="",N($K1149)&lt;=1),"EXCUSED - 1st attempt pending",IF(OR($L1149="",$K1149&lt;&gt;1,NOT(ISNUMBER($L1149)),$L1149&gt;=$J1149),"",IF(COUNTIFS(nrES_PID,$D1149,nrES_Code,$F1149,nrES_Att,2,nrES_Raw,"&gt;=0")&gt;0,IF(IFERROR(_xlfn.MINIFS(nrES_Date,nrES_PID,$D1149,nrES_Code,$F1149,nrES_Att,2,nrES_Raw,"&gt;=0",nrES_Date,"&gt;0"),0)=0,"RETEST UNDATED",IF(NOT(ISNUMBER($T1149)),"RETEST DATE UNCHECKED",IF(_xlfn.MINIFS(nrES_Date,nrES_PID,$D1149,nrES_Code,$F1149,nrES_Att,2,nrES_Raw,"&gt;=0",nrES_Date,"&gt;0")&gt;$T1149,"LATE RETEST "&amp;TEXT(_xlfn.MINIFS(nrES_Date,nrES_PID,$D1149,nrES_Code,$F1149,nrES_Att,2,nrES_Raw,"&gt;=0",nrES_Date,"&gt;0"),"mm/dd")&amp;" (due "&amp;TEXT($T1149,"mm/dd")&amp;")","Retested"))),IF(NOT(ISNUMBER($T1149)),"CHECK DATE",IF(TODAY()&gt;$T1149,"OVERDUE","Due "&amp;TEXT($T1149,"mm/dd")))))))</f>
        <v/>
      </c>
      <c r="V1149" s="16" t="n"/>
      <c r="W1149" s="16" t="n"/>
      <c r="X1149" s="17">
        <f>IF($C1149="","",IF(AND($L1149&lt;&gt;"",NOT(ISNUMBER($L1149))),"RAW SCORE NOT A NUMBER",IF(AND(ISNUMBER($L1149),OR($L1149&lt;0,$L1149&gt;100)),"RAW SCORE OUT OF RANGE",IF(AND($Y1149="Unexcused",OR($L1149="",NOT(ISNUMBER($L1149)),$L1149&lt;&gt;0)),"UNEXCUSED ABSENCE MUST RECORD 0",IF(COUNTIF(nrES_RecID,$B1149)&gt;1,"DUPLICATE RECORD",IF(N($K1149)&gt;2,"ATTEMPT 3+ NOT ALLOWED - policy 300.5 permits one retest per exam; this row records nothing",IF(AND($K1149=2,COUNTIFS(nrES_PID,$D1149,nrES_Code,$F1149,nrES_Att,1)=0),"ATTEMPT 2 WITHOUT ATTEMPT 1",IF(AND($K1149=2,$L1149=""),"RETEST ROW HAS NO SCORE",IF(AND($H1149="Final",$L1149&lt;&gt;"",IFERROR(INDEX(nrCKfinalExamElig,MATCH($D1149,rngCadetPIDs,0)),"")="No"),"FINAL EXAM AFTER FAILED FINAL PT (500.1.H)",IF(AND($K1149=2,ISNUMBER($L1149),COUNTIFS(nrES_PID,$D1149,nrES_Code,$F1149,nrES_Att,1)&gt;0,SUMIFS(nrES_Raw,nrES_PID,$D1149,nrES_Code,$F1149,nrES_Att,1)&gt;=$J1149),"RETEST AFTER A PASSING FIRST ATTEMPT","OK"))))))))))</f>
        <v/>
      </c>
      <c r="Y1149" s="16" t="n"/>
    </row>
    <row r="1150">
      <c r="B1150" s="17">
        <f>IF($C1150="","",$D1150&amp;"-"&amp;$F1150&amp;"-"&amp;$K1150)</f>
        <v/>
      </c>
      <c r="C1150" s="16" t="n"/>
      <c r="D1150" s="17">
        <f>IF($C1150="","",IFERROR(INDEX(rngCadetPIDs,MATCH($C1150,rngCadetNames,0)),"?"))</f>
        <v/>
      </c>
      <c r="E1150" s="17">
        <f>IF($D1150="","",IFERROR(INDEX(nrCadetAgency,MATCH($D1150,rngCadetPIDs,0)),""))</f>
        <v/>
      </c>
      <c r="F1150" s="16" t="n"/>
      <c r="G1150" s="17">
        <f>IF($F1150="","",IFERROR(INDEX(rngEPname,MATCH($F1150,rngEPcode,0)),"?"))</f>
        <v/>
      </c>
      <c r="H1150" s="17">
        <f>IF($F1150="","",IFERROR(INDEX(rngEPtype,MATCH($F1150,rngEPcode,0)),"?"))</f>
        <v/>
      </c>
      <c r="I1150" s="17">
        <f>IF($F1150="","",IFERROR(INDEX(rngEPseq,MATCH($F1150,rngEPcode,0)),""))</f>
        <v/>
      </c>
      <c r="J1150" s="17">
        <f>IF($F1150="","",IFERROR(INDEX(rngEPpass,MATCH($F1150,rngEPcode,0)),cfgPassingScore))</f>
        <v/>
      </c>
      <c r="K1150" s="16" t="n"/>
      <c r="L1150" s="16" t="n"/>
      <c r="M1150" s="17">
        <f>IF($C1150="","",IF($L1150="","",IF(NOT(ISNUMBER($L1150)),$L1150,IF(N($K1150)&gt;2,"",IF($K1150=1,IF(COUNTIFS(nrES_PID,$D1150,nrES_Code,$F1150,nrES_Att,2,nrES_Raw,"&gt;=0")&gt;0,"",$L1150),IF($L1150&gt;=$J1150,MAX($J1150,cfgRetakeRecordedCap),IF(COUNTIFS(nrES_PID,$D1150,nrES_Code,$F1150,nrES_Att,1)=0,$L1150,SUMIFS(nrES_Raw,nrES_PID,$D1150,nrES_Code,$F1150,nrES_Att,1))))))))</f>
        <v/>
      </c>
      <c r="N1150" s="17">
        <f>IF($C1150="","",IF($L1150="","",IF(NOT(ISNUMBER($L1150)),"(not a score)",IF($L1150&gt;=$J1150,"Yes","No"))))</f>
        <v/>
      </c>
      <c r="O1150" s="17">
        <f>IF($C1150="","",IF($M1150="","",IF(NOT(ISNUMBER($M1150)),"(not a score)",IF($M1150&gt;=$J1150,"Yes","No"))))</f>
        <v/>
      </c>
      <c r="P1150" s="17">
        <f>IF($C1150="","",IF($K1150="","",IF(N($K1150)&gt;2,"No",IF(COUNTIFS(nrES_PID,$D1150,nrES_Code,$F1150,nrES_Att,"&gt;"&amp;$K1150,nrES_Att,"&lt;=2",nrES_Raw,"&gt;=0")=0,"Yes","No"))))</f>
        <v/>
      </c>
      <c r="Q1150" s="17">
        <f>IF($C1150="","",IF($L1150="","",IF(AND($K1150=1,ISNUMBER($L1150),$L1150&lt;$J1150,COUNTIFS(nrES_PID,$D1150,nrES_Code,$F1150,nrES_Att,2,nrES_Raw,"&gt;=0")=0),"Yes","No")))</f>
        <v/>
      </c>
      <c r="R1150" s="17">
        <f>IF($C1150="","",IF($L1150="","",IF(AND(N($K1150)&gt;=2,ISNUMBER($L1150),$L1150&lt;$J1150),"Yes","No")))</f>
        <v/>
      </c>
      <c r="S1150" s="18" t="n"/>
      <c r="T1150" s="19">
        <f>IF(OR($C1150="",$L1150="",$K1150&lt;&gt;1,NOT(ISNUMBER($L1150)),$L1150&gt;=$J1150),"",IF($S1150="","(enter date)",_xlfn.LET(_xlpm.dn,_xlfn.XLOOKUP($S1150,nrCDdate,nrCDnum,"",1),IF(_xlpm.dn="","(after last class day)",_xlfn.LET(_xlpm.dd,_xlfn.XLOOKUP(_xlpm.dn+cfgRetestClassDays,nrCDnum,nrCDdate,""),_xlpm.ok,_xlfn.XLOOKUP(_xlpm.dn+cfgRetestClassDays,nrCDnum,nrCDinsession,"No"),IF(OR(_xlpm.dd="",_xlpm.ok&lt;&gt;"Yes"),"(after last class day)",_xlpm.dd))))))</f>
        <v/>
      </c>
      <c r="U1150" s="17">
        <f>IF($C1150="","",IF(AND($Y1150="Excused",$L1150="",N($K1150)&lt;=1),"EXCUSED - 1st attempt pending",IF(OR($L1150="",$K1150&lt;&gt;1,NOT(ISNUMBER($L1150)),$L1150&gt;=$J1150),"",IF(COUNTIFS(nrES_PID,$D1150,nrES_Code,$F1150,nrES_Att,2,nrES_Raw,"&gt;=0")&gt;0,IF(IFERROR(_xlfn.MINIFS(nrES_Date,nrES_PID,$D1150,nrES_Code,$F1150,nrES_Att,2,nrES_Raw,"&gt;=0",nrES_Date,"&gt;0"),0)=0,"RETEST UNDATED",IF(NOT(ISNUMBER($T1150)),"RETEST DATE UNCHECKED",IF(_xlfn.MINIFS(nrES_Date,nrES_PID,$D1150,nrES_Code,$F1150,nrES_Att,2,nrES_Raw,"&gt;=0",nrES_Date,"&gt;0")&gt;$T1150,"LATE RETEST "&amp;TEXT(_xlfn.MINIFS(nrES_Date,nrES_PID,$D1150,nrES_Code,$F1150,nrES_Att,2,nrES_Raw,"&gt;=0",nrES_Date,"&gt;0"),"mm/dd")&amp;" (due "&amp;TEXT($T1150,"mm/dd")&amp;")","Retested"))),IF(NOT(ISNUMBER($T1150)),"CHECK DATE",IF(TODAY()&gt;$T1150,"OVERDUE","Due "&amp;TEXT($T1150,"mm/dd")))))))</f>
        <v/>
      </c>
      <c r="V1150" s="16" t="n"/>
      <c r="W1150" s="16" t="n"/>
      <c r="X1150" s="17">
        <f>IF($C1150="","",IF(AND($L1150&lt;&gt;"",NOT(ISNUMBER($L1150))),"RAW SCORE NOT A NUMBER",IF(AND(ISNUMBER($L1150),OR($L1150&lt;0,$L1150&gt;100)),"RAW SCORE OUT OF RANGE",IF(AND($Y1150="Unexcused",OR($L1150="",NOT(ISNUMBER($L1150)),$L1150&lt;&gt;0)),"UNEXCUSED ABSENCE MUST RECORD 0",IF(COUNTIF(nrES_RecID,$B1150)&gt;1,"DUPLICATE RECORD",IF(N($K1150)&gt;2,"ATTEMPT 3+ NOT ALLOWED - policy 300.5 permits one retest per exam; this row records nothing",IF(AND($K1150=2,COUNTIFS(nrES_PID,$D1150,nrES_Code,$F1150,nrES_Att,1)=0),"ATTEMPT 2 WITHOUT ATTEMPT 1",IF(AND($K1150=2,$L1150=""),"RETEST ROW HAS NO SCORE",IF(AND($H1150="Final",$L1150&lt;&gt;"",IFERROR(INDEX(nrCKfinalExamElig,MATCH($D1150,rngCadetPIDs,0)),"")="No"),"FINAL EXAM AFTER FAILED FINAL PT (500.1.H)",IF(AND($K1150=2,ISNUMBER($L1150),COUNTIFS(nrES_PID,$D1150,nrES_Code,$F1150,nrES_Att,1)&gt;0,SUMIFS(nrES_Raw,nrES_PID,$D1150,nrES_Code,$F1150,nrES_Att,1)&gt;=$J1150),"RETEST AFTER A PASSING FIRST ATTEMPT","OK"))))))))))</f>
        <v/>
      </c>
      <c r="Y1150" s="16" t="n"/>
    </row>
    <row r="1151">
      <c r="B1151" s="17">
        <f>IF($C1151="","",$D1151&amp;"-"&amp;$F1151&amp;"-"&amp;$K1151)</f>
        <v/>
      </c>
      <c r="C1151" s="16" t="n"/>
      <c r="D1151" s="17">
        <f>IF($C1151="","",IFERROR(INDEX(rngCadetPIDs,MATCH($C1151,rngCadetNames,0)),"?"))</f>
        <v/>
      </c>
      <c r="E1151" s="17">
        <f>IF($D1151="","",IFERROR(INDEX(nrCadetAgency,MATCH($D1151,rngCadetPIDs,0)),""))</f>
        <v/>
      </c>
      <c r="F1151" s="16" t="n"/>
      <c r="G1151" s="17">
        <f>IF($F1151="","",IFERROR(INDEX(rngEPname,MATCH($F1151,rngEPcode,0)),"?"))</f>
        <v/>
      </c>
      <c r="H1151" s="17">
        <f>IF($F1151="","",IFERROR(INDEX(rngEPtype,MATCH($F1151,rngEPcode,0)),"?"))</f>
        <v/>
      </c>
      <c r="I1151" s="17">
        <f>IF($F1151="","",IFERROR(INDEX(rngEPseq,MATCH($F1151,rngEPcode,0)),""))</f>
        <v/>
      </c>
      <c r="J1151" s="17">
        <f>IF($F1151="","",IFERROR(INDEX(rngEPpass,MATCH($F1151,rngEPcode,0)),cfgPassingScore))</f>
        <v/>
      </c>
      <c r="K1151" s="16" t="n"/>
      <c r="L1151" s="16" t="n"/>
      <c r="M1151" s="17">
        <f>IF($C1151="","",IF($L1151="","",IF(NOT(ISNUMBER($L1151)),$L1151,IF(N($K1151)&gt;2,"",IF($K1151=1,IF(COUNTIFS(nrES_PID,$D1151,nrES_Code,$F1151,nrES_Att,2,nrES_Raw,"&gt;=0")&gt;0,"",$L1151),IF($L1151&gt;=$J1151,MAX($J1151,cfgRetakeRecordedCap),IF(COUNTIFS(nrES_PID,$D1151,nrES_Code,$F1151,nrES_Att,1)=0,$L1151,SUMIFS(nrES_Raw,nrES_PID,$D1151,nrES_Code,$F1151,nrES_Att,1))))))))</f>
        <v/>
      </c>
      <c r="N1151" s="17">
        <f>IF($C1151="","",IF($L1151="","",IF(NOT(ISNUMBER($L1151)),"(not a score)",IF($L1151&gt;=$J1151,"Yes","No"))))</f>
        <v/>
      </c>
      <c r="O1151" s="17">
        <f>IF($C1151="","",IF($M1151="","",IF(NOT(ISNUMBER($M1151)),"(not a score)",IF($M1151&gt;=$J1151,"Yes","No"))))</f>
        <v/>
      </c>
      <c r="P1151" s="17">
        <f>IF($C1151="","",IF($K1151="","",IF(N($K1151)&gt;2,"No",IF(COUNTIFS(nrES_PID,$D1151,nrES_Code,$F1151,nrES_Att,"&gt;"&amp;$K1151,nrES_Att,"&lt;=2",nrES_Raw,"&gt;=0")=0,"Yes","No"))))</f>
        <v/>
      </c>
      <c r="Q1151" s="17">
        <f>IF($C1151="","",IF($L1151="","",IF(AND($K1151=1,ISNUMBER($L1151),$L1151&lt;$J1151,COUNTIFS(nrES_PID,$D1151,nrES_Code,$F1151,nrES_Att,2,nrES_Raw,"&gt;=0")=0),"Yes","No")))</f>
        <v/>
      </c>
      <c r="R1151" s="17">
        <f>IF($C1151="","",IF($L1151="","",IF(AND(N($K1151)&gt;=2,ISNUMBER($L1151),$L1151&lt;$J1151),"Yes","No")))</f>
        <v/>
      </c>
      <c r="S1151" s="18" t="n"/>
      <c r="T1151" s="19">
        <f>IF(OR($C1151="",$L1151="",$K1151&lt;&gt;1,NOT(ISNUMBER($L1151)),$L1151&gt;=$J1151),"",IF($S1151="","(enter date)",_xlfn.LET(_xlpm.dn,_xlfn.XLOOKUP($S1151,nrCDdate,nrCDnum,"",1),IF(_xlpm.dn="","(after last class day)",_xlfn.LET(_xlpm.dd,_xlfn.XLOOKUP(_xlpm.dn+cfgRetestClassDays,nrCDnum,nrCDdate,""),_xlpm.ok,_xlfn.XLOOKUP(_xlpm.dn+cfgRetestClassDays,nrCDnum,nrCDinsession,"No"),IF(OR(_xlpm.dd="",_xlpm.ok&lt;&gt;"Yes"),"(after last class day)",_xlpm.dd))))))</f>
        <v/>
      </c>
      <c r="U1151" s="17">
        <f>IF($C1151="","",IF(AND($Y1151="Excused",$L1151="",N($K1151)&lt;=1),"EXCUSED - 1st attempt pending",IF(OR($L1151="",$K1151&lt;&gt;1,NOT(ISNUMBER($L1151)),$L1151&gt;=$J1151),"",IF(COUNTIFS(nrES_PID,$D1151,nrES_Code,$F1151,nrES_Att,2,nrES_Raw,"&gt;=0")&gt;0,IF(IFERROR(_xlfn.MINIFS(nrES_Date,nrES_PID,$D1151,nrES_Code,$F1151,nrES_Att,2,nrES_Raw,"&gt;=0",nrES_Date,"&gt;0"),0)=0,"RETEST UNDATED",IF(NOT(ISNUMBER($T1151)),"RETEST DATE UNCHECKED",IF(_xlfn.MINIFS(nrES_Date,nrES_PID,$D1151,nrES_Code,$F1151,nrES_Att,2,nrES_Raw,"&gt;=0",nrES_Date,"&gt;0")&gt;$T1151,"LATE RETEST "&amp;TEXT(_xlfn.MINIFS(nrES_Date,nrES_PID,$D1151,nrES_Code,$F1151,nrES_Att,2,nrES_Raw,"&gt;=0",nrES_Date,"&gt;0"),"mm/dd")&amp;" (due "&amp;TEXT($T1151,"mm/dd")&amp;")","Retested"))),IF(NOT(ISNUMBER($T1151)),"CHECK DATE",IF(TODAY()&gt;$T1151,"OVERDUE","Due "&amp;TEXT($T1151,"mm/dd")))))))</f>
        <v/>
      </c>
      <c r="V1151" s="16" t="n"/>
      <c r="W1151" s="16" t="n"/>
      <c r="X1151" s="17">
        <f>IF($C1151="","",IF(AND($L1151&lt;&gt;"",NOT(ISNUMBER($L1151))),"RAW SCORE NOT A NUMBER",IF(AND(ISNUMBER($L1151),OR($L1151&lt;0,$L1151&gt;100)),"RAW SCORE OUT OF RANGE",IF(AND($Y1151="Unexcused",OR($L1151="",NOT(ISNUMBER($L1151)),$L1151&lt;&gt;0)),"UNEXCUSED ABSENCE MUST RECORD 0",IF(COUNTIF(nrES_RecID,$B1151)&gt;1,"DUPLICATE RECORD",IF(N($K1151)&gt;2,"ATTEMPT 3+ NOT ALLOWED - policy 300.5 permits one retest per exam; this row records nothing",IF(AND($K1151=2,COUNTIFS(nrES_PID,$D1151,nrES_Code,$F1151,nrES_Att,1)=0),"ATTEMPT 2 WITHOUT ATTEMPT 1",IF(AND($K1151=2,$L1151=""),"RETEST ROW HAS NO SCORE",IF(AND($H1151="Final",$L1151&lt;&gt;"",IFERROR(INDEX(nrCKfinalExamElig,MATCH($D1151,rngCadetPIDs,0)),"")="No"),"FINAL EXAM AFTER FAILED FINAL PT (500.1.H)",IF(AND($K1151=2,ISNUMBER($L1151),COUNTIFS(nrES_PID,$D1151,nrES_Code,$F1151,nrES_Att,1)&gt;0,SUMIFS(nrES_Raw,nrES_PID,$D1151,nrES_Code,$F1151,nrES_Att,1)&gt;=$J1151),"RETEST AFTER A PASSING FIRST ATTEMPT","OK"))))))))))</f>
        <v/>
      </c>
      <c r="Y1151" s="16" t="n"/>
    </row>
    <row r="1152">
      <c r="B1152" s="17">
        <f>IF($C1152="","",$D1152&amp;"-"&amp;$F1152&amp;"-"&amp;$K1152)</f>
        <v/>
      </c>
      <c r="C1152" s="16" t="n"/>
      <c r="D1152" s="17">
        <f>IF($C1152="","",IFERROR(INDEX(rngCadetPIDs,MATCH($C1152,rngCadetNames,0)),"?"))</f>
        <v/>
      </c>
      <c r="E1152" s="17">
        <f>IF($D1152="","",IFERROR(INDEX(nrCadetAgency,MATCH($D1152,rngCadetPIDs,0)),""))</f>
        <v/>
      </c>
      <c r="F1152" s="16" t="n"/>
      <c r="G1152" s="17">
        <f>IF($F1152="","",IFERROR(INDEX(rngEPname,MATCH($F1152,rngEPcode,0)),"?"))</f>
        <v/>
      </c>
      <c r="H1152" s="17">
        <f>IF($F1152="","",IFERROR(INDEX(rngEPtype,MATCH($F1152,rngEPcode,0)),"?"))</f>
        <v/>
      </c>
      <c r="I1152" s="17">
        <f>IF($F1152="","",IFERROR(INDEX(rngEPseq,MATCH($F1152,rngEPcode,0)),""))</f>
        <v/>
      </c>
      <c r="J1152" s="17">
        <f>IF($F1152="","",IFERROR(INDEX(rngEPpass,MATCH($F1152,rngEPcode,0)),cfgPassingScore))</f>
        <v/>
      </c>
      <c r="K1152" s="16" t="n"/>
      <c r="L1152" s="16" t="n"/>
      <c r="M1152" s="17">
        <f>IF($C1152="","",IF($L1152="","",IF(NOT(ISNUMBER($L1152)),$L1152,IF(N($K1152)&gt;2,"",IF($K1152=1,IF(COUNTIFS(nrES_PID,$D1152,nrES_Code,$F1152,nrES_Att,2,nrES_Raw,"&gt;=0")&gt;0,"",$L1152),IF($L1152&gt;=$J1152,MAX($J1152,cfgRetakeRecordedCap),IF(COUNTIFS(nrES_PID,$D1152,nrES_Code,$F1152,nrES_Att,1)=0,$L1152,SUMIFS(nrES_Raw,nrES_PID,$D1152,nrES_Code,$F1152,nrES_Att,1))))))))</f>
        <v/>
      </c>
      <c r="N1152" s="17">
        <f>IF($C1152="","",IF($L1152="","",IF(NOT(ISNUMBER($L1152)),"(not a score)",IF($L1152&gt;=$J1152,"Yes","No"))))</f>
        <v/>
      </c>
      <c r="O1152" s="17">
        <f>IF($C1152="","",IF($M1152="","",IF(NOT(ISNUMBER($M1152)),"(not a score)",IF($M1152&gt;=$J1152,"Yes","No"))))</f>
        <v/>
      </c>
      <c r="P1152" s="17">
        <f>IF($C1152="","",IF($K1152="","",IF(N($K1152)&gt;2,"No",IF(COUNTIFS(nrES_PID,$D1152,nrES_Code,$F1152,nrES_Att,"&gt;"&amp;$K1152,nrES_Att,"&lt;=2",nrES_Raw,"&gt;=0")=0,"Yes","No"))))</f>
        <v/>
      </c>
      <c r="Q1152" s="17">
        <f>IF($C1152="","",IF($L1152="","",IF(AND($K1152=1,ISNUMBER($L1152),$L1152&lt;$J1152,COUNTIFS(nrES_PID,$D1152,nrES_Code,$F1152,nrES_Att,2,nrES_Raw,"&gt;=0")=0),"Yes","No")))</f>
        <v/>
      </c>
      <c r="R1152" s="17">
        <f>IF($C1152="","",IF($L1152="","",IF(AND(N($K1152)&gt;=2,ISNUMBER($L1152),$L1152&lt;$J1152),"Yes","No")))</f>
        <v/>
      </c>
      <c r="S1152" s="18" t="n"/>
      <c r="T1152" s="19">
        <f>IF(OR($C1152="",$L1152="",$K1152&lt;&gt;1,NOT(ISNUMBER($L1152)),$L1152&gt;=$J1152),"",IF($S1152="","(enter date)",_xlfn.LET(_xlpm.dn,_xlfn.XLOOKUP($S1152,nrCDdate,nrCDnum,"",1),IF(_xlpm.dn="","(after last class day)",_xlfn.LET(_xlpm.dd,_xlfn.XLOOKUP(_xlpm.dn+cfgRetestClassDays,nrCDnum,nrCDdate,""),_xlpm.ok,_xlfn.XLOOKUP(_xlpm.dn+cfgRetestClassDays,nrCDnum,nrCDinsession,"No"),IF(OR(_xlpm.dd="",_xlpm.ok&lt;&gt;"Yes"),"(after last class day)",_xlpm.dd))))))</f>
        <v/>
      </c>
      <c r="U1152" s="17">
        <f>IF($C1152="","",IF(AND($Y1152="Excused",$L1152="",N($K1152)&lt;=1),"EXCUSED - 1st attempt pending",IF(OR($L1152="",$K1152&lt;&gt;1,NOT(ISNUMBER($L1152)),$L1152&gt;=$J1152),"",IF(COUNTIFS(nrES_PID,$D1152,nrES_Code,$F1152,nrES_Att,2,nrES_Raw,"&gt;=0")&gt;0,IF(IFERROR(_xlfn.MINIFS(nrES_Date,nrES_PID,$D1152,nrES_Code,$F1152,nrES_Att,2,nrES_Raw,"&gt;=0",nrES_Date,"&gt;0"),0)=0,"RETEST UNDATED",IF(NOT(ISNUMBER($T1152)),"RETEST DATE UNCHECKED",IF(_xlfn.MINIFS(nrES_Date,nrES_PID,$D1152,nrES_Code,$F1152,nrES_Att,2,nrES_Raw,"&gt;=0",nrES_Date,"&gt;0")&gt;$T1152,"LATE RETEST "&amp;TEXT(_xlfn.MINIFS(nrES_Date,nrES_PID,$D1152,nrES_Code,$F1152,nrES_Att,2,nrES_Raw,"&gt;=0",nrES_Date,"&gt;0"),"mm/dd")&amp;" (due "&amp;TEXT($T1152,"mm/dd")&amp;")","Retested"))),IF(NOT(ISNUMBER($T1152)),"CHECK DATE",IF(TODAY()&gt;$T1152,"OVERDUE","Due "&amp;TEXT($T1152,"mm/dd")))))))</f>
        <v/>
      </c>
      <c r="V1152" s="16" t="n"/>
      <c r="W1152" s="16" t="n"/>
      <c r="X1152" s="17">
        <f>IF($C1152="","",IF(AND($L1152&lt;&gt;"",NOT(ISNUMBER($L1152))),"RAW SCORE NOT A NUMBER",IF(AND(ISNUMBER($L1152),OR($L1152&lt;0,$L1152&gt;100)),"RAW SCORE OUT OF RANGE",IF(AND($Y1152="Unexcused",OR($L1152="",NOT(ISNUMBER($L1152)),$L1152&lt;&gt;0)),"UNEXCUSED ABSENCE MUST RECORD 0",IF(COUNTIF(nrES_RecID,$B1152)&gt;1,"DUPLICATE RECORD",IF(N($K1152)&gt;2,"ATTEMPT 3+ NOT ALLOWED - policy 300.5 permits one retest per exam; this row records nothing",IF(AND($K1152=2,COUNTIFS(nrES_PID,$D1152,nrES_Code,$F1152,nrES_Att,1)=0),"ATTEMPT 2 WITHOUT ATTEMPT 1",IF(AND($K1152=2,$L1152=""),"RETEST ROW HAS NO SCORE",IF(AND($H1152="Final",$L1152&lt;&gt;"",IFERROR(INDEX(nrCKfinalExamElig,MATCH($D1152,rngCadetPIDs,0)),"")="No"),"FINAL EXAM AFTER FAILED FINAL PT (500.1.H)",IF(AND($K1152=2,ISNUMBER($L1152),COUNTIFS(nrES_PID,$D1152,nrES_Code,$F1152,nrES_Att,1)&gt;0,SUMIFS(nrES_Raw,nrES_PID,$D1152,nrES_Code,$F1152,nrES_Att,1)&gt;=$J1152),"RETEST AFTER A PASSING FIRST ATTEMPT","OK"))))))))))</f>
        <v/>
      </c>
      <c r="Y1152" s="16" t="n"/>
    </row>
    <row r="1153">
      <c r="B1153" s="17">
        <f>IF($C1153="","",$D1153&amp;"-"&amp;$F1153&amp;"-"&amp;$K1153)</f>
        <v/>
      </c>
      <c r="C1153" s="16" t="n"/>
      <c r="D1153" s="17">
        <f>IF($C1153="","",IFERROR(INDEX(rngCadetPIDs,MATCH($C1153,rngCadetNames,0)),"?"))</f>
        <v/>
      </c>
      <c r="E1153" s="17">
        <f>IF($D1153="","",IFERROR(INDEX(nrCadetAgency,MATCH($D1153,rngCadetPIDs,0)),""))</f>
        <v/>
      </c>
      <c r="F1153" s="16" t="n"/>
      <c r="G1153" s="17">
        <f>IF($F1153="","",IFERROR(INDEX(rngEPname,MATCH($F1153,rngEPcode,0)),"?"))</f>
        <v/>
      </c>
      <c r="H1153" s="17">
        <f>IF($F1153="","",IFERROR(INDEX(rngEPtype,MATCH($F1153,rngEPcode,0)),"?"))</f>
        <v/>
      </c>
      <c r="I1153" s="17">
        <f>IF($F1153="","",IFERROR(INDEX(rngEPseq,MATCH($F1153,rngEPcode,0)),""))</f>
        <v/>
      </c>
      <c r="J1153" s="17">
        <f>IF($F1153="","",IFERROR(INDEX(rngEPpass,MATCH($F1153,rngEPcode,0)),cfgPassingScore))</f>
        <v/>
      </c>
      <c r="K1153" s="16" t="n"/>
      <c r="L1153" s="16" t="n"/>
      <c r="M1153" s="17">
        <f>IF($C1153="","",IF($L1153="","",IF(NOT(ISNUMBER($L1153)),$L1153,IF(N($K1153)&gt;2,"",IF($K1153=1,IF(COUNTIFS(nrES_PID,$D1153,nrES_Code,$F1153,nrES_Att,2,nrES_Raw,"&gt;=0")&gt;0,"",$L1153),IF($L1153&gt;=$J1153,MAX($J1153,cfgRetakeRecordedCap),IF(COUNTIFS(nrES_PID,$D1153,nrES_Code,$F1153,nrES_Att,1)=0,$L1153,SUMIFS(nrES_Raw,nrES_PID,$D1153,nrES_Code,$F1153,nrES_Att,1))))))))</f>
        <v/>
      </c>
      <c r="N1153" s="17">
        <f>IF($C1153="","",IF($L1153="","",IF(NOT(ISNUMBER($L1153)),"(not a score)",IF($L1153&gt;=$J1153,"Yes","No"))))</f>
        <v/>
      </c>
      <c r="O1153" s="17">
        <f>IF($C1153="","",IF($M1153="","",IF(NOT(ISNUMBER($M1153)),"(not a score)",IF($M1153&gt;=$J1153,"Yes","No"))))</f>
        <v/>
      </c>
      <c r="P1153" s="17">
        <f>IF($C1153="","",IF($K1153="","",IF(N($K1153)&gt;2,"No",IF(COUNTIFS(nrES_PID,$D1153,nrES_Code,$F1153,nrES_Att,"&gt;"&amp;$K1153,nrES_Att,"&lt;=2",nrES_Raw,"&gt;=0")=0,"Yes","No"))))</f>
        <v/>
      </c>
      <c r="Q1153" s="17">
        <f>IF($C1153="","",IF($L1153="","",IF(AND($K1153=1,ISNUMBER($L1153),$L1153&lt;$J1153,COUNTIFS(nrES_PID,$D1153,nrES_Code,$F1153,nrES_Att,2,nrES_Raw,"&gt;=0")=0),"Yes","No")))</f>
        <v/>
      </c>
      <c r="R1153" s="17">
        <f>IF($C1153="","",IF($L1153="","",IF(AND(N($K1153)&gt;=2,ISNUMBER($L1153),$L1153&lt;$J1153),"Yes","No")))</f>
        <v/>
      </c>
      <c r="S1153" s="18" t="n"/>
      <c r="T1153" s="19">
        <f>IF(OR($C1153="",$L1153="",$K1153&lt;&gt;1,NOT(ISNUMBER($L1153)),$L1153&gt;=$J1153),"",IF($S1153="","(enter date)",_xlfn.LET(_xlpm.dn,_xlfn.XLOOKUP($S1153,nrCDdate,nrCDnum,"",1),IF(_xlpm.dn="","(after last class day)",_xlfn.LET(_xlpm.dd,_xlfn.XLOOKUP(_xlpm.dn+cfgRetestClassDays,nrCDnum,nrCDdate,""),_xlpm.ok,_xlfn.XLOOKUP(_xlpm.dn+cfgRetestClassDays,nrCDnum,nrCDinsession,"No"),IF(OR(_xlpm.dd="",_xlpm.ok&lt;&gt;"Yes"),"(after last class day)",_xlpm.dd))))))</f>
        <v/>
      </c>
      <c r="U1153" s="17">
        <f>IF($C1153="","",IF(AND($Y1153="Excused",$L1153="",N($K1153)&lt;=1),"EXCUSED - 1st attempt pending",IF(OR($L1153="",$K1153&lt;&gt;1,NOT(ISNUMBER($L1153)),$L1153&gt;=$J1153),"",IF(COUNTIFS(nrES_PID,$D1153,nrES_Code,$F1153,nrES_Att,2,nrES_Raw,"&gt;=0")&gt;0,IF(IFERROR(_xlfn.MINIFS(nrES_Date,nrES_PID,$D1153,nrES_Code,$F1153,nrES_Att,2,nrES_Raw,"&gt;=0",nrES_Date,"&gt;0"),0)=0,"RETEST UNDATED",IF(NOT(ISNUMBER($T1153)),"RETEST DATE UNCHECKED",IF(_xlfn.MINIFS(nrES_Date,nrES_PID,$D1153,nrES_Code,$F1153,nrES_Att,2,nrES_Raw,"&gt;=0",nrES_Date,"&gt;0")&gt;$T1153,"LATE RETEST "&amp;TEXT(_xlfn.MINIFS(nrES_Date,nrES_PID,$D1153,nrES_Code,$F1153,nrES_Att,2,nrES_Raw,"&gt;=0",nrES_Date,"&gt;0"),"mm/dd")&amp;" (due "&amp;TEXT($T1153,"mm/dd")&amp;")","Retested"))),IF(NOT(ISNUMBER($T1153)),"CHECK DATE",IF(TODAY()&gt;$T1153,"OVERDUE","Due "&amp;TEXT($T1153,"mm/dd")))))))</f>
        <v/>
      </c>
      <c r="V1153" s="16" t="n"/>
      <c r="W1153" s="16" t="n"/>
      <c r="X1153" s="17">
        <f>IF($C1153="","",IF(AND($L1153&lt;&gt;"",NOT(ISNUMBER($L1153))),"RAW SCORE NOT A NUMBER",IF(AND(ISNUMBER($L1153),OR($L1153&lt;0,$L1153&gt;100)),"RAW SCORE OUT OF RANGE",IF(AND($Y1153="Unexcused",OR($L1153="",NOT(ISNUMBER($L1153)),$L1153&lt;&gt;0)),"UNEXCUSED ABSENCE MUST RECORD 0",IF(COUNTIF(nrES_RecID,$B1153)&gt;1,"DUPLICATE RECORD",IF(N($K1153)&gt;2,"ATTEMPT 3+ NOT ALLOWED - policy 300.5 permits one retest per exam; this row records nothing",IF(AND($K1153=2,COUNTIFS(nrES_PID,$D1153,nrES_Code,$F1153,nrES_Att,1)=0),"ATTEMPT 2 WITHOUT ATTEMPT 1",IF(AND($K1153=2,$L1153=""),"RETEST ROW HAS NO SCORE",IF(AND($H1153="Final",$L1153&lt;&gt;"",IFERROR(INDEX(nrCKfinalExamElig,MATCH($D1153,rngCadetPIDs,0)),"")="No"),"FINAL EXAM AFTER FAILED FINAL PT (500.1.H)",IF(AND($K1153=2,ISNUMBER($L1153),COUNTIFS(nrES_PID,$D1153,nrES_Code,$F1153,nrES_Att,1)&gt;0,SUMIFS(nrES_Raw,nrES_PID,$D1153,nrES_Code,$F1153,nrES_Att,1)&gt;=$J1153),"RETEST AFTER A PASSING FIRST ATTEMPT","OK"))))))))))</f>
        <v/>
      </c>
      <c r="Y1153" s="16" t="n"/>
    </row>
    <row r="1154">
      <c r="B1154" s="17">
        <f>IF($C1154="","",$D1154&amp;"-"&amp;$F1154&amp;"-"&amp;$K1154)</f>
        <v/>
      </c>
      <c r="C1154" s="16" t="n"/>
      <c r="D1154" s="17">
        <f>IF($C1154="","",IFERROR(INDEX(rngCadetPIDs,MATCH($C1154,rngCadetNames,0)),"?"))</f>
        <v/>
      </c>
      <c r="E1154" s="17">
        <f>IF($D1154="","",IFERROR(INDEX(nrCadetAgency,MATCH($D1154,rngCadetPIDs,0)),""))</f>
        <v/>
      </c>
      <c r="F1154" s="16" t="n"/>
      <c r="G1154" s="17">
        <f>IF($F1154="","",IFERROR(INDEX(rngEPname,MATCH($F1154,rngEPcode,0)),"?"))</f>
        <v/>
      </c>
      <c r="H1154" s="17">
        <f>IF($F1154="","",IFERROR(INDEX(rngEPtype,MATCH($F1154,rngEPcode,0)),"?"))</f>
        <v/>
      </c>
      <c r="I1154" s="17">
        <f>IF($F1154="","",IFERROR(INDEX(rngEPseq,MATCH($F1154,rngEPcode,0)),""))</f>
        <v/>
      </c>
      <c r="J1154" s="17">
        <f>IF($F1154="","",IFERROR(INDEX(rngEPpass,MATCH($F1154,rngEPcode,0)),cfgPassingScore))</f>
        <v/>
      </c>
      <c r="K1154" s="16" t="n"/>
      <c r="L1154" s="16" t="n"/>
      <c r="M1154" s="17">
        <f>IF($C1154="","",IF($L1154="","",IF(NOT(ISNUMBER($L1154)),$L1154,IF(N($K1154)&gt;2,"",IF($K1154=1,IF(COUNTIFS(nrES_PID,$D1154,nrES_Code,$F1154,nrES_Att,2,nrES_Raw,"&gt;=0")&gt;0,"",$L1154),IF($L1154&gt;=$J1154,MAX($J1154,cfgRetakeRecordedCap),IF(COUNTIFS(nrES_PID,$D1154,nrES_Code,$F1154,nrES_Att,1)=0,$L1154,SUMIFS(nrES_Raw,nrES_PID,$D1154,nrES_Code,$F1154,nrES_Att,1))))))))</f>
        <v/>
      </c>
      <c r="N1154" s="17">
        <f>IF($C1154="","",IF($L1154="","",IF(NOT(ISNUMBER($L1154)),"(not a score)",IF($L1154&gt;=$J1154,"Yes","No"))))</f>
        <v/>
      </c>
      <c r="O1154" s="17">
        <f>IF($C1154="","",IF($M1154="","",IF(NOT(ISNUMBER($M1154)),"(not a score)",IF($M1154&gt;=$J1154,"Yes","No"))))</f>
        <v/>
      </c>
      <c r="P1154" s="17">
        <f>IF($C1154="","",IF($K1154="","",IF(N($K1154)&gt;2,"No",IF(COUNTIFS(nrES_PID,$D1154,nrES_Code,$F1154,nrES_Att,"&gt;"&amp;$K1154,nrES_Att,"&lt;=2",nrES_Raw,"&gt;=0")=0,"Yes","No"))))</f>
        <v/>
      </c>
      <c r="Q1154" s="17">
        <f>IF($C1154="","",IF($L1154="","",IF(AND($K1154=1,ISNUMBER($L1154),$L1154&lt;$J1154,COUNTIFS(nrES_PID,$D1154,nrES_Code,$F1154,nrES_Att,2,nrES_Raw,"&gt;=0")=0),"Yes","No")))</f>
        <v/>
      </c>
      <c r="R1154" s="17">
        <f>IF($C1154="","",IF($L1154="","",IF(AND(N($K1154)&gt;=2,ISNUMBER($L1154),$L1154&lt;$J1154),"Yes","No")))</f>
        <v/>
      </c>
      <c r="S1154" s="18" t="n"/>
      <c r="T1154" s="19">
        <f>IF(OR($C1154="",$L1154="",$K1154&lt;&gt;1,NOT(ISNUMBER($L1154)),$L1154&gt;=$J1154),"",IF($S1154="","(enter date)",_xlfn.LET(_xlpm.dn,_xlfn.XLOOKUP($S1154,nrCDdate,nrCDnum,"",1),IF(_xlpm.dn="","(after last class day)",_xlfn.LET(_xlpm.dd,_xlfn.XLOOKUP(_xlpm.dn+cfgRetestClassDays,nrCDnum,nrCDdate,""),_xlpm.ok,_xlfn.XLOOKUP(_xlpm.dn+cfgRetestClassDays,nrCDnum,nrCDinsession,"No"),IF(OR(_xlpm.dd="",_xlpm.ok&lt;&gt;"Yes"),"(after last class day)",_xlpm.dd))))))</f>
        <v/>
      </c>
      <c r="U1154" s="17">
        <f>IF($C1154="","",IF(AND($Y1154="Excused",$L1154="",N($K1154)&lt;=1),"EXCUSED - 1st attempt pending",IF(OR($L1154="",$K1154&lt;&gt;1,NOT(ISNUMBER($L1154)),$L1154&gt;=$J1154),"",IF(COUNTIFS(nrES_PID,$D1154,nrES_Code,$F1154,nrES_Att,2,nrES_Raw,"&gt;=0")&gt;0,IF(IFERROR(_xlfn.MINIFS(nrES_Date,nrES_PID,$D1154,nrES_Code,$F1154,nrES_Att,2,nrES_Raw,"&gt;=0",nrES_Date,"&gt;0"),0)=0,"RETEST UNDATED",IF(NOT(ISNUMBER($T1154)),"RETEST DATE UNCHECKED",IF(_xlfn.MINIFS(nrES_Date,nrES_PID,$D1154,nrES_Code,$F1154,nrES_Att,2,nrES_Raw,"&gt;=0",nrES_Date,"&gt;0")&gt;$T1154,"LATE RETEST "&amp;TEXT(_xlfn.MINIFS(nrES_Date,nrES_PID,$D1154,nrES_Code,$F1154,nrES_Att,2,nrES_Raw,"&gt;=0",nrES_Date,"&gt;0"),"mm/dd")&amp;" (due "&amp;TEXT($T1154,"mm/dd")&amp;")","Retested"))),IF(NOT(ISNUMBER($T1154)),"CHECK DATE",IF(TODAY()&gt;$T1154,"OVERDUE","Due "&amp;TEXT($T1154,"mm/dd")))))))</f>
        <v/>
      </c>
      <c r="V1154" s="16" t="n"/>
      <c r="W1154" s="16" t="n"/>
      <c r="X1154" s="17">
        <f>IF($C1154="","",IF(AND($L1154&lt;&gt;"",NOT(ISNUMBER($L1154))),"RAW SCORE NOT A NUMBER",IF(AND(ISNUMBER($L1154),OR($L1154&lt;0,$L1154&gt;100)),"RAW SCORE OUT OF RANGE",IF(AND($Y1154="Unexcused",OR($L1154="",NOT(ISNUMBER($L1154)),$L1154&lt;&gt;0)),"UNEXCUSED ABSENCE MUST RECORD 0",IF(COUNTIF(nrES_RecID,$B1154)&gt;1,"DUPLICATE RECORD",IF(N($K1154)&gt;2,"ATTEMPT 3+ NOT ALLOWED - policy 300.5 permits one retest per exam; this row records nothing",IF(AND($K1154=2,COUNTIFS(nrES_PID,$D1154,nrES_Code,$F1154,nrES_Att,1)=0),"ATTEMPT 2 WITHOUT ATTEMPT 1",IF(AND($K1154=2,$L1154=""),"RETEST ROW HAS NO SCORE",IF(AND($H1154="Final",$L1154&lt;&gt;"",IFERROR(INDEX(nrCKfinalExamElig,MATCH($D1154,rngCadetPIDs,0)),"")="No"),"FINAL EXAM AFTER FAILED FINAL PT (500.1.H)",IF(AND($K1154=2,ISNUMBER($L1154),COUNTIFS(nrES_PID,$D1154,nrES_Code,$F1154,nrES_Att,1)&gt;0,SUMIFS(nrES_Raw,nrES_PID,$D1154,nrES_Code,$F1154,nrES_Att,1)&gt;=$J1154),"RETEST AFTER A PASSING FIRST ATTEMPT","OK"))))))))))</f>
        <v/>
      </c>
      <c r="Y1154" s="16" t="n"/>
    </row>
    <row r="1155">
      <c r="B1155" s="17">
        <f>IF($C1155="","",$D1155&amp;"-"&amp;$F1155&amp;"-"&amp;$K1155)</f>
        <v/>
      </c>
      <c r="C1155" s="16" t="n"/>
      <c r="D1155" s="17">
        <f>IF($C1155="","",IFERROR(INDEX(rngCadetPIDs,MATCH($C1155,rngCadetNames,0)),"?"))</f>
        <v/>
      </c>
      <c r="E1155" s="17">
        <f>IF($D1155="","",IFERROR(INDEX(nrCadetAgency,MATCH($D1155,rngCadetPIDs,0)),""))</f>
        <v/>
      </c>
      <c r="F1155" s="16" t="n"/>
      <c r="G1155" s="17">
        <f>IF($F1155="","",IFERROR(INDEX(rngEPname,MATCH($F1155,rngEPcode,0)),"?"))</f>
        <v/>
      </c>
      <c r="H1155" s="17">
        <f>IF($F1155="","",IFERROR(INDEX(rngEPtype,MATCH($F1155,rngEPcode,0)),"?"))</f>
        <v/>
      </c>
      <c r="I1155" s="17">
        <f>IF($F1155="","",IFERROR(INDEX(rngEPseq,MATCH($F1155,rngEPcode,0)),""))</f>
        <v/>
      </c>
      <c r="J1155" s="17">
        <f>IF($F1155="","",IFERROR(INDEX(rngEPpass,MATCH($F1155,rngEPcode,0)),cfgPassingScore))</f>
        <v/>
      </c>
      <c r="K1155" s="16" t="n"/>
      <c r="L1155" s="16" t="n"/>
      <c r="M1155" s="17">
        <f>IF($C1155="","",IF($L1155="","",IF(NOT(ISNUMBER($L1155)),$L1155,IF(N($K1155)&gt;2,"",IF($K1155=1,IF(COUNTIFS(nrES_PID,$D1155,nrES_Code,$F1155,nrES_Att,2,nrES_Raw,"&gt;=0")&gt;0,"",$L1155),IF($L1155&gt;=$J1155,MAX($J1155,cfgRetakeRecordedCap),IF(COUNTIFS(nrES_PID,$D1155,nrES_Code,$F1155,nrES_Att,1)=0,$L1155,SUMIFS(nrES_Raw,nrES_PID,$D1155,nrES_Code,$F1155,nrES_Att,1))))))))</f>
        <v/>
      </c>
      <c r="N1155" s="17">
        <f>IF($C1155="","",IF($L1155="","",IF(NOT(ISNUMBER($L1155)),"(not a score)",IF($L1155&gt;=$J1155,"Yes","No"))))</f>
        <v/>
      </c>
      <c r="O1155" s="17">
        <f>IF($C1155="","",IF($M1155="","",IF(NOT(ISNUMBER($M1155)),"(not a score)",IF($M1155&gt;=$J1155,"Yes","No"))))</f>
        <v/>
      </c>
      <c r="P1155" s="17">
        <f>IF($C1155="","",IF($K1155="","",IF(N($K1155)&gt;2,"No",IF(COUNTIFS(nrES_PID,$D1155,nrES_Code,$F1155,nrES_Att,"&gt;"&amp;$K1155,nrES_Att,"&lt;=2",nrES_Raw,"&gt;=0")=0,"Yes","No"))))</f>
        <v/>
      </c>
      <c r="Q1155" s="17">
        <f>IF($C1155="","",IF($L1155="","",IF(AND($K1155=1,ISNUMBER($L1155),$L1155&lt;$J1155,COUNTIFS(nrES_PID,$D1155,nrES_Code,$F1155,nrES_Att,2,nrES_Raw,"&gt;=0")=0),"Yes","No")))</f>
        <v/>
      </c>
      <c r="R1155" s="17">
        <f>IF($C1155="","",IF($L1155="","",IF(AND(N($K1155)&gt;=2,ISNUMBER($L1155),$L1155&lt;$J1155),"Yes","No")))</f>
        <v/>
      </c>
      <c r="S1155" s="18" t="n"/>
      <c r="T1155" s="19">
        <f>IF(OR($C1155="",$L1155="",$K1155&lt;&gt;1,NOT(ISNUMBER($L1155)),$L1155&gt;=$J1155),"",IF($S1155="","(enter date)",_xlfn.LET(_xlpm.dn,_xlfn.XLOOKUP($S1155,nrCDdate,nrCDnum,"",1),IF(_xlpm.dn="","(after last class day)",_xlfn.LET(_xlpm.dd,_xlfn.XLOOKUP(_xlpm.dn+cfgRetestClassDays,nrCDnum,nrCDdate,""),_xlpm.ok,_xlfn.XLOOKUP(_xlpm.dn+cfgRetestClassDays,nrCDnum,nrCDinsession,"No"),IF(OR(_xlpm.dd="",_xlpm.ok&lt;&gt;"Yes"),"(after last class day)",_xlpm.dd))))))</f>
        <v/>
      </c>
      <c r="U1155" s="17">
        <f>IF($C1155="","",IF(AND($Y1155="Excused",$L1155="",N($K1155)&lt;=1),"EXCUSED - 1st attempt pending",IF(OR($L1155="",$K1155&lt;&gt;1,NOT(ISNUMBER($L1155)),$L1155&gt;=$J1155),"",IF(COUNTIFS(nrES_PID,$D1155,nrES_Code,$F1155,nrES_Att,2,nrES_Raw,"&gt;=0")&gt;0,IF(IFERROR(_xlfn.MINIFS(nrES_Date,nrES_PID,$D1155,nrES_Code,$F1155,nrES_Att,2,nrES_Raw,"&gt;=0",nrES_Date,"&gt;0"),0)=0,"RETEST UNDATED",IF(NOT(ISNUMBER($T1155)),"RETEST DATE UNCHECKED",IF(_xlfn.MINIFS(nrES_Date,nrES_PID,$D1155,nrES_Code,$F1155,nrES_Att,2,nrES_Raw,"&gt;=0",nrES_Date,"&gt;0")&gt;$T1155,"LATE RETEST "&amp;TEXT(_xlfn.MINIFS(nrES_Date,nrES_PID,$D1155,nrES_Code,$F1155,nrES_Att,2,nrES_Raw,"&gt;=0",nrES_Date,"&gt;0"),"mm/dd")&amp;" (due "&amp;TEXT($T1155,"mm/dd")&amp;")","Retested"))),IF(NOT(ISNUMBER($T1155)),"CHECK DATE",IF(TODAY()&gt;$T1155,"OVERDUE","Due "&amp;TEXT($T1155,"mm/dd")))))))</f>
        <v/>
      </c>
      <c r="V1155" s="16" t="n"/>
      <c r="W1155" s="16" t="n"/>
      <c r="X1155" s="17">
        <f>IF($C1155="","",IF(AND($L1155&lt;&gt;"",NOT(ISNUMBER($L1155))),"RAW SCORE NOT A NUMBER",IF(AND(ISNUMBER($L1155),OR($L1155&lt;0,$L1155&gt;100)),"RAW SCORE OUT OF RANGE",IF(AND($Y1155="Unexcused",OR($L1155="",NOT(ISNUMBER($L1155)),$L1155&lt;&gt;0)),"UNEXCUSED ABSENCE MUST RECORD 0",IF(COUNTIF(nrES_RecID,$B1155)&gt;1,"DUPLICATE RECORD",IF(N($K1155)&gt;2,"ATTEMPT 3+ NOT ALLOWED - policy 300.5 permits one retest per exam; this row records nothing",IF(AND($K1155=2,COUNTIFS(nrES_PID,$D1155,nrES_Code,$F1155,nrES_Att,1)=0),"ATTEMPT 2 WITHOUT ATTEMPT 1",IF(AND($K1155=2,$L1155=""),"RETEST ROW HAS NO SCORE",IF(AND($H1155="Final",$L1155&lt;&gt;"",IFERROR(INDEX(nrCKfinalExamElig,MATCH($D1155,rngCadetPIDs,0)),"")="No"),"FINAL EXAM AFTER FAILED FINAL PT (500.1.H)",IF(AND($K1155=2,ISNUMBER($L1155),COUNTIFS(nrES_PID,$D1155,nrES_Code,$F1155,nrES_Att,1)&gt;0,SUMIFS(nrES_Raw,nrES_PID,$D1155,nrES_Code,$F1155,nrES_Att,1)&gt;=$J1155),"RETEST AFTER A PASSING FIRST ATTEMPT","OK"))))))))))</f>
        <v/>
      </c>
      <c r="Y1155" s="16" t="n"/>
    </row>
    <row r="1156">
      <c r="B1156" s="17">
        <f>IF($C1156="","",$D1156&amp;"-"&amp;$F1156&amp;"-"&amp;$K1156)</f>
        <v/>
      </c>
      <c r="C1156" s="16" t="n"/>
      <c r="D1156" s="17">
        <f>IF($C1156="","",IFERROR(INDEX(rngCadetPIDs,MATCH($C1156,rngCadetNames,0)),"?"))</f>
        <v/>
      </c>
      <c r="E1156" s="17">
        <f>IF($D1156="","",IFERROR(INDEX(nrCadetAgency,MATCH($D1156,rngCadetPIDs,0)),""))</f>
        <v/>
      </c>
      <c r="F1156" s="16" t="n"/>
      <c r="G1156" s="17">
        <f>IF($F1156="","",IFERROR(INDEX(rngEPname,MATCH($F1156,rngEPcode,0)),"?"))</f>
        <v/>
      </c>
      <c r="H1156" s="17">
        <f>IF($F1156="","",IFERROR(INDEX(rngEPtype,MATCH($F1156,rngEPcode,0)),"?"))</f>
        <v/>
      </c>
      <c r="I1156" s="17">
        <f>IF($F1156="","",IFERROR(INDEX(rngEPseq,MATCH($F1156,rngEPcode,0)),""))</f>
        <v/>
      </c>
      <c r="J1156" s="17">
        <f>IF($F1156="","",IFERROR(INDEX(rngEPpass,MATCH($F1156,rngEPcode,0)),cfgPassingScore))</f>
        <v/>
      </c>
      <c r="K1156" s="16" t="n"/>
      <c r="L1156" s="16" t="n"/>
      <c r="M1156" s="17">
        <f>IF($C1156="","",IF($L1156="","",IF(NOT(ISNUMBER($L1156)),$L1156,IF(N($K1156)&gt;2,"",IF($K1156=1,IF(COUNTIFS(nrES_PID,$D1156,nrES_Code,$F1156,nrES_Att,2,nrES_Raw,"&gt;=0")&gt;0,"",$L1156),IF($L1156&gt;=$J1156,MAX($J1156,cfgRetakeRecordedCap),IF(COUNTIFS(nrES_PID,$D1156,nrES_Code,$F1156,nrES_Att,1)=0,$L1156,SUMIFS(nrES_Raw,nrES_PID,$D1156,nrES_Code,$F1156,nrES_Att,1))))))))</f>
        <v/>
      </c>
      <c r="N1156" s="17">
        <f>IF($C1156="","",IF($L1156="","",IF(NOT(ISNUMBER($L1156)),"(not a score)",IF($L1156&gt;=$J1156,"Yes","No"))))</f>
        <v/>
      </c>
      <c r="O1156" s="17">
        <f>IF($C1156="","",IF($M1156="","",IF(NOT(ISNUMBER($M1156)),"(not a score)",IF($M1156&gt;=$J1156,"Yes","No"))))</f>
        <v/>
      </c>
      <c r="P1156" s="17">
        <f>IF($C1156="","",IF($K1156="","",IF(N($K1156)&gt;2,"No",IF(COUNTIFS(nrES_PID,$D1156,nrES_Code,$F1156,nrES_Att,"&gt;"&amp;$K1156,nrES_Att,"&lt;=2",nrES_Raw,"&gt;=0")=0,"Yes","No"))))</f>
        <v/>
      </c>
      <c r="Q1156" s="17">
        <f>IF($C1156="","",IF($L1156="","",IF(AND($K1156=1,ISNUMBER($L1156),$L1156&lt;$J1156,COUNTIFS(nrES_PID,$D1156,nrES_Code,$F1156,nrES_Att,2,nrES_Raw,"&gt;=0")=0),"Yes","No")))</f>
        <v/>
      </c>
      <c r="R1156" s="17">
        <f>IF($C1156="","",IF($L1156="","",IF(AND(N($K1156)&gt;=2,ISNUMBER($L1156),$L1156&lt;$J1156),"Yes","No")))</f>
        <v/>
      </c>
      <c r="S1156" s="18" t="n"/>
      <c r="T1156" s="19">
        <f>IF(OR($C1156="",$L1156="",$K1156&lt;&gt;1,NOT(ISNUMBER($L1156)),$L1156&gt;=$J1156),"",IF($S1156="","(enter date)",_xlfn.LET(_xlpm.dn,_xlfn.XLOOKUP($S1156,nrCDdate,nrCDnum,"",1),IF(_xlpm.dn="","(after last class day)",_xlfn.LET(_xlpm.dd,_xlfn.XLOOKUP(_xlpm.dn+cfgRetestClassDays,nrCDnum,nrCDdate,""),_xlpm.ok,_xlfn.XLOOKUP(_xlpm.dn+cfgRetestClassDays,nrCDnum,nrCDinsession,"No"),IF(OR(_xlpm.dd="",_xlpm.ok&lt;&gt;"Yes"),"(after last class day)",_xlpm.dd))))))</f>
        <v/>
      </c>
      <c r="U1156" s="17">
        <f>IF($C1156="","",IF(AND($Y1156="Excused",$L1156="",N($K1156)&lt;=1),"EXCUSED - 1st attempt pending",IF(OR($L1156="",$K1156&lt;&gt;1,NOT(ISNUMBER($L1156)),$L1156&gt;=$J1156),"",IF(COUNTIFS(nrES_PID,$D1156,nrES_Code,$F1156,nrES_Att,2,nrES_Raw,"&gt;=0")&gt;0,IF(IFERROR(_xlfn.MINIFS(nrES_Date,nrES_PID,$D1156,nrES_Code,$F1156,nrES_Att,2,nrES_Raw,"&gt;=0",nrES_Date,"&gt;0"),0)=0,"RETEST UNDATED",IF(NOT(ISNUMBER($T1156)),"RETEST DATE UNCHECKED",IF(_xlfn.MINIFS(nrES_Date,nrES_PID,$D1156,nrES_Code,$F1156,nrES_Att,2,nrES_Raw,"&gt;=0",nrES_Date,"&gt;0")&gt;$T1156,"LATE RETEST "&amp;TEXT(_xlfn.MINIFS(nrES_Date,nrES_PID,$D1156,nrES_Code,$F1156,nrES_Att,2,nrES_Raw,"&gt;=0",nrES_Date,"&gt;0"),"mm/dd")&amp;" (due "&amp;TEXT($T1156,"mm/dd")&amp;")","Retested"))),IF(NOT(ISNUMBER($T1156)),"CHECK DATE",IF(TODAY()&gt;$T1156,"OVERDUE","Due "&amp;TEXT($T1156,"mm/dd")))))))</f>
        <v/>
      </c>
      <c r="V1156" s="16" t="n"/>
      <c r="W1156" s="16" t="n"/>
      <c r="X1156" s="17">
        <f>IF($C1156="","",IF(AND($L1156&lt;&gt;"",NOT(ISNUMBER($L1156))),"RAW SCORE NOT A NUMBER",IF(AND(ISNUMBER($L1156),OR($L1156&lt;0,$L1156&gt;100)),"RAW SCORE OUT OF RANGE",IF(AND($Y1156="Unexcused",OR($L1156="",NOT(ISNUMBER($L1156)),$L1156&lt;&gt;0)),"UNEXCUSED ABSENCE MUST RECORD 0",IF(COUNTIF(nrES_RecID,$B1156)&gt;1,"DUPLICATE RECORD",IF(N($K1156)&gt;2,"ATTEMPT 3+ NOT ALLOWED - policy 300.5 permits one retest per exam; this row records nothing",IF(AND($K1156=2,COUNTIFS(nrES_PID,$D1156,nrES_Code,$F1156,nrES_Att,1)=0),"ATTEMPT 2 WITHOUT ATTEMPT 1",IF(AND($K1156=2,$L1156=""),"RETEST ROW HAS NO SCORE",IF(AND($H1156="Final",$L1156&lt;&gt;"",IFERROR(INDEX(nrCKfinalExamElig,MATCH($D1156,rngCadetPIDs,0)),"")="No"),"FINAL EXAM AFTER FAILED FINAL PT (500.1.H)",IF(AND($K1156=2,ISNUMBER($L1156),COUNTIFS(nrES_PID,$D1156,nrES_Code,$F1156,nrES_Att,1)&gt;0,SUMIFS(nrES_Raw,nrES_PID,$D1156,nrES_Code,$F1156,nrES_Att,1)&gt;=$J1156),"RETEST AFTER A PASSING FIRST ATTEMPT","OK"))))))))))</f>
        <v/>
      </c>
      <c r="Y1156" s="16" t="n"/>
    </row>
    <row r="1157">
      <c r="B1157" s="17">
        <f>IF($C1157="","",$D1157&amp;"-"&amp;$F1157&amp;"-"&amp;$K1157)</f>
        <v/>
      </c>
      <c r="C1157" s="16" t="n"/>
      <c r="D1157" s="17">
        <f>IF($C1157="","",IFERROR(INDEX(rngCadetPIDs,MATCH($C1157,rngCadetNames,0)),"?"))</f>
        <v/>
      </c>
      <c r="E1157" s="17">
        <f>IF($D1157="","",IFERROR(INDEX(nrCadetAgency,MATCH($D1157,rngCadetPIDs,0)),""))</f>
        <v/>
      </c>
      <c r="F1157" s="16" t="n"/>
      <c r="G1157" s="17">
        <f>IF($F1157="","",IFERROR(INDEX(rngEPname,MATCH($F1157,rngEPcode,0)),"?"))</f>
        <v/>
      </c>
      <c r="H1157" s="17">
        <f>IF($F1157="","",IFERROR(INDEX(rngEPtype,MATCH($F1157,rngEPcode,0)),"?"))</f>
        <v/>
      </c>
      <c r="I1157" s="17">
        <f>IF($F1157="","",IFERROR(INDEX(rngEPseq,MATCH($F1157,rngEPcode,0)),""))</f>
        <v/>
      </c>
      <c r="J1157" s="17">
        <f>IF($F1157="","",IFERROR(INDEX(rngEPpass,MATCH($F1157,rngEPcode,0)),cfgPassingScore))</f>
        <v/>
      </c>
      <c r="K1157" s="16" t="n"/>
      <c r="L1157" s="16" t="n"/>
      <c r="M1157" s="17">
        <f>IF($C1157="","",IF($L1157="","",IF(NOT(ISNUMBER($L1157)),$L1157,IF(N($K1157)&gt;2,"",IF($K1157=1,IF(COUNTIFS(nrES_PID,$D1157,nrES_Code,$F1157,nrES_Att,2,nrES_Raw,"&gt;=0")&gt;0,"",$L1157),IF($L1157&gt;=$J1157,MAX($J1157,cfgRetakeRecordedCap),IF(COUNTIFS(nrES_PID,$D1157,nrES_Code,$F1157,nrES_Att,1)=0,$L1157,SUMIFS(nrES_Raw,nrES_PID,$D1157,nrES_Code,$F1157,nrES_Att,1))))))))</f>
        <v/>
      </c>
      <c r="N1157" s="17">
        <f>IF($C1157="","",IF($L1157="","",IF(NOT(ISNUMBER($L1157)),"(not a score)",IF($L1157&gt;=$J1157,"Yes","No"))))</f>
        <v/>
      </c>
      <c r="O1157" s="17">
        <f>IF($C1157="","",IF($M1157="","",IF(NOT(ISNUMBER($M1157)),"(not a score)",IF($M1157&gt;=$J1157,"Yes","No"))))</f>
        <v/>
      </c>
      <c r="P1157" s="17">
        <f>IF($C1157="","",IF($K1157="","",IF(N($K1157)&gt;2,"No",IF(COUNTIFS(nrES_PID,$D1157,nrES_Code,$F1157,nrES_Att,"&gt;"&amp;$K1157,nrES_Att,"&lt;=2",nrES_Raw,"&gt;=0")=0,"Yes","No"))))</f>
        <v/>
      </c>
      <c r="Q1157" s="17">
        <f>IF($C1157="","",IF($L1157="","",IF(AND($K1157=1,ISNUMBER($L1157),$L1157&lt;$J1157,COUNTIFS(nrES_PID,$D1157,nrES_Code,$F1157,nrES_Att,2,nrES_Raw,"&gt;=0")=0),"Yes","No")))</f>
        <v/>
      </c>
      <c r="R1157" s="17">
        <f>IF($C1157="","",IF($L1157="","",IF(AND(N($K1157)&gt;=2,ISNUMBER($L1157),$L1157&lt;$J1157),"Yes","No")))</f>
        <v/>
      </c>
      <c r="S1157" s="18" t="n"/>
      <c r="T1157" s="19">
        <f>IF(OR($C1157="",$L1157="",$K1157&lt;&gt;1,NOT(ISNUMBER($L1157)),$L1157&gt;=$J1157),"",IF($S1157="","(enter date)",_xlfn.LET(_xlpm.dn,_xlfn.XLOOKUP($S1157,nrCDdate,nrCDnum,"",1),IF(_xlpm.dn="","(after last class day)",_xlfn.LET(_xlpm.dd,_xlfn.XLOOKUP(_xlpm.dn+cfgRetestClassDays,nrCDnum,nrCDdate,""),_xlpm.ok,_xlfn.XLOOKUP(_xlpm.dn+cfgRetestClassDays,nrCDnum,nrCDinsession,"No"),IF(OR(_xlpm.dd="",_xlpm.ok&lt;&gt;"Yes"),"(after last class day)",_xlpm.dd))))))</f>
        <v/>
      </c>
      <c r="U1157" s="17">
        <f>IF($C1157="","",IF(AND($Y1157="Excused",$L1157="",N($K1157)&lt;=1),"EXCUSED - 1st attempt pending",IF(OR($L1157="",$K1157&lt;&gt;1,NOT(ISNUMBER($L1157)),$L1157&gt;=$J1157),"",IF(COUNTIFS(nrES_PID,$D1157,nrES_Code,$F1157,nrES_Att,2,nrES_Raw,"&gt;=0")&gt;0,IF(IFERROR(_xlfn.MINIFS(nrES_Date,nrES_PID,$D1157,nrES_Code,$F1157,nrES_Att,2,nrES_Raw,"&gt;=0",nrES_Date,"&gt;0"),0)=0,"RETEST UNDATED",IF(NOT(ISNUMBER($T1157)),"RETEST DATE UNCHECKED",IF(_xlfn.MINIFS(nrES_Date,nrES_PID,$D1157,nrES_Code,$F1157,nrES_Att,2,nrES_Raw,"&gt;=0",nrES_Date,"&gt;0")&gt;$T1157,"LATE RETEST "&amp;TEXT(_xlfn.MINIFS(nrES_Date,nrES_PID,$D1157,nrES_Code,$F1157,nrES_Att,2,nrES_Raw,"&gt;=0",nrES_Date,"&gt;0"),"mm/dd")&amp;" (due "&amp;TEXT($T1157,"mm/dd")&amp;")","Retested"))),IF(NOT(ISNUMBER($T1157)),"CHECK DATE",IF(TODAY()&gt;$T1157,"OVERDUE","Due "&amp;TEXT($T1157,"mm/dd")))))))</f>
        <v/>
      </c>
      <c r="V1157" s="16" t="n"/>
      <c r="W1157" s="16" t="n"/>
      <c r="X1157" s="17">
        <f>IF($C1157="","",IF(AND($L1157&lt;&gt;"",NOT(ISNUMBER($L1157))),"RAW SCORE NOT A NUMBER",IF(AND(ISNUMBER($L1157),OR($L1157&lt;0,$L1157&gt;100)),"RAW SCORE OUT OF RANGE",IF(AND($Y1157="Unexcused",OR($L1157="",NOT(ISNUMBER($L1157)),$L1157&lt;&gt;0)),"UNEXCUSED ABSENCE MUST RECORD 0",IF(COUNTIF(nrES_RecID,$B1157)&gt;1,"DUPLICATE RECORD",IF(N($K1157)&gt;2,"ATTEMPT 3+ NOT ALLOWED - policy 300.5 permits one retest per exam; this row records nothing",IF(AND($K1157=2,COUNTIFS(nrES_PID,$D1157,nrES_Code,$F1157,nrES_Att,1)=0),"ATTEMPT 2 WITHOUT ATTEMPT 1",IF(AND($K1157=2,$L1157=""),"RETEST ROW HAS NO SCORE",IF(AND($H1157="Final",$L1157&lt;&gt;"",IFERROR(INDEX(nrCKfinalExamElig,MATCH($D1157,rngCadetPIDs,0)),"")="No"),"FINAL EXAM AFTER FAILED FINAL PT (500.1.H)",IF(AND($K1157=2,ISNUMBER($L1157),COUNTIFS(nrES_PID,$D1157,nrES_Code,$F1157,nrES_Att,1)&gt;0,SUMIFS(nrES_Raw,nrES_PID,$D1157,nrES_Code,$F1157,nrES_Att,1)&gt;=$J1157),"RETEST AFTER A PASSING FIRST ATTEMPT","OK"))))))))))</f>
        <v/>
      </c>
      <c r="Y1157" s="16" t="n"/>
    </row>
    <row r="1158">
      <c r="B1158" s="17">
        <f>IF($C1158="","",$D1158&amp;"-"&amp;$F1158&amp;"-"&amp;$K1158)</f>
        <v/>
      </c>
      <c r="C1158" s="16" t="n"/>
      <c r="D1158" s="17">
        <f>IF($C1158="","",IFERROR(INDEX(rngCadetPIDs,MATCH($C1158,rngCadetNames,0)),"?"))</f>
        <v/>
      </c>
      <c r="E1158" s="17">
        <f>IF($D1158="","",IFERROR(INDEX(nrCadetAgency,MATCH($D1158,rngCadetPIDs,0)),""))</f>
        <v/>
      </c>
      <c r="F1158" s="16" t="n"/>
      <c r="G1158" s="17">
        <f>IF($F1158="","",IFERROR(INDEX(rngEPname,MATCH($F1158,rngEPcode,0)),"?"))</f>
        <v/>
      </c>
      <c r="H1158" s="17">
        <f>IF($F1158="","",IFERROR(INDEX(rngEPtype,MATCH($F1158,rngEPcode,0)),"?"))</f>
        <v/>
      </c>
      <c r="I1158" s="17">
        <f>IF($F1158="","",IFERROR(INDEX(rngEPseq,MATCH($F1158,rngEPcode,0)),""))</f>
        <v/>
      </c>
      <c r="J1158" s="17">
        <f>IF($F1158="","",IFERROR(INDEX(rngEPpass,MATCH($F1158,rngEPcode,0)),cfgPassingScore))</f>
        <v/>
      </c>
      <c r="K1158" s="16" t="n"/>
      <c r="L1158" s="16" t="n"/>
      <c r="M1158" s="17">
        <f>IF($C1158="","",IF($L1158="","",IF(NOT(ISNUMBER($L1158)),$L1158,IF(N($K1158)&gt;2,"",IF($K1158=1,IF(COUNTIFS(nrES_PID,$D1158,nrES_Code,$F1158,nrES_Att,2,nrES_Raw,"&gt;=0")&gt;0,"",$L1158),IF($L1158&gt;=$J1158,MAX($J1158,cfgRetakeRecordedCap),IF(COUNTIFS(nrES_PID,$D1158,nrES_Code,$F1158,nrES_Att,1)=0,$L1158,SUMIFS(nrES_Raw,nrES_PID,$D1158,nrES_Code,$F1158,nrES_Att,1))))))))</f>
        <v/>
      </c>
      <c r="N1158" s="17">
        <f>IF($C1158="","",IF($L1158="","",IF(NOT(ISNUMBER($L1158)),"(not a score)",IF($L1158&gt;=$J1158,"Yes","No"))))</f>
        <v/>
      </c>
      <c r="O1158" s="17">
        <f>IF($C1158="","",IF($M1158="","",IF(NOT(ISNUMBER($M1158)),"(not a score)",IF($M1158&gt;=$J1158,"Yes","No"))))</f>
        <v/>
      </c>
      <c r="P1158" s="17">
        <f>IF($C1158="","",IF($K1158="","",IF(N($K1158)&gt;2,"No",IF(COUNTIFS(nrES_PID,$D1158,nrES_Code,$F1158,nrES_Att,"&gt;"&amp;$K1158,nrES_Att,"&lt;=2",nrES_Raw,"&gt;=0")=0,"Yes","No"))))</f>
        <v/>
      </c>
      <c r="Q1158" s="17">
        <f>IF($C1158="","",IF($L1158="","",IF(AND($K1158=1,ISNUMBER($L1158),$L1158&lt;$J1158,COUNTIFS(nrES_PID,$D1158,nrES_Code,$F1158,nrES_Att,2,nrES_Raw,"&gt;=0")=0),"Yes","No")))</f>
        <v/>
      </c>
      <c r="R1158" s="17">
        <f>IF($C1158="","",IF($L1158="","",IF(AND(N($K1158)&gt;=2,ISNUMBER($L1158),$L1158&lt;$J1158),"Yes","No")))</f>
        <v/>
      </c>
      <c r="S1158" s="18" t="n"/>
      <c r="T1158" s="19">
        <f>IF(OR($C1158="",$L1158="",$K1158&lt;&gt;1,NOT(ISNUMBER($L1158)),$L1158&gt;=$J1158),"",IF($S1158="","(enter date)",_xlfn.LET(_xlpm.dn,_xlfn.XLOOKUP($S1158,nrCDdate,nrCDnum,"",1),IF(_xlpm.dn="","(after last class day)",_xlfn.LET(_xlpm.dd,_xlfn.XLOOKUP(_xlpm.dn+cfgRetestClassDays,nrCDnum,nrCDdate,""),_xlpm.ok,_xlfn.XLOOKUP(_xlpm.dn+cfgRetestClassDays,nrCDnum,nrCDinsession,"No"),IF(OR(_xlpm.dd="",_xlpm.ok&lt;&gt;"Yes"),"(after last class day)",_xlpm.dd))))))</f>
        <v/>
      </c>
      <c r="U1158" s="17">
        <f>IF($C1158="","",IF(AND($Y1158="Excused",$L1158="",N($K1158)&lt;=1),"EXCUSED - 1st attempt pending",IF(OR($L1158="",$K1158&lt;&gt;1,NOT(ISNUMBER($L1158)),$L1158&gt;=$J1158),"",IF(COUNTIFS(nrES_PID,$D1158,nrES_Code,$F1158,nrES_Att,2,nrES_Raw,"&gt;=0")&gt;0,IF(IFERROR(_xlfn.MINIFS(nrES_Date,nrES_PID,$D1158,nrES_Code,$F1158,nrES_Att,2,nrES_Raw,"&gt;=0",nrES_Date,"&gt;0"),0)=0,"RETEST UNDATED",IF(NOT(ISNUMBER($T1158)),"RETEST DATE UNCHECKED",IF(_xlfn.MINIFS(nrES_Date,nrES_PID,$D1158,nrES_Code,$F1158,nrES_Att,2,nrES_Raw,"&gt;=0",nrES_Date,"&gt;0")&gt;$T1158,"LATE RETEST "&amp;TEXT(_xlfn.MINIFS(nrES_Date,nrES_PID,$D1158,nrES_Code,$F1158,nrES_Att,2,nrES_Raw,"&gt;=0",nrES_Date,"&gt;0"),"mm/dd")&amp;" (due "&amp;TEXT($T1158,"mm/dd")&amp;")","Retested"))),IF(NOT(ISNUMBER($T1158)),"CHECK DATE",IF(TODAY()&gt;$T1158,"OVERDUE","Due "&amp;TEXT($T1158,"mm/dd")))))))</f>
        <v/>
      </c>
      <c r="V1158" s="16" t="n"/>
      <c r="W1158" s="16" t="n"/>
      <c r="X1158" s="17">
        <f>IF($C1158="","",IF(AND($L1158&lt;&gt;"",NOT(ISNUMBER($L1158))),"RAW SCORE NOT A NUMBER",IF(AND(ISNUMBER($L1158),OR($L1158&lt;0,$L1158&gt;100)),"RAW SCORE OUT OF RANGE",IF(AND($Y1158="Unexcused",OR($L1158="",NOT(ISNUMBER($L1158)),$L1158&lt;&gt;0)),"UNEXCUSED ABSENCE MUST RECORD 0",IF(COUNTIF(nrES_RecID,$B1158)&gt;1,"DUPLICATE RECORD",IF(N($K1158)&gt;2,"ATTEMPT 3+ NOT ALLOWED - policy 300.5 permits one retest per exam; this row records nothing",IF(AND($K1158=2,COUNTIFS(nrES_PID,$D1158,nrES_Code,$F1158,nrES_Att,1)=0),"ATTEMPT 2 WITHOUT ATTEMPT 1",IF(AND($K1158=2,$L1158=""),"RETEST ROW HAS NO SCORE",IF(AND($H1158="Final",$L1158&lt;&gt;"",IFERROR(INDEX(nrCKfinalExamElig,MATCH($D1158,rngCadetPIDs,0)),"")="No"),"FINAL EXAM AFTER FAILED FINAL PT (500.1.H)",IF(AND($K1158=2,ISNUMBER($L1158),COUNTIFS(nrES_PID,$D1158,nrES_Code,$F1158,nrES_Att,1)&gt;0,SUMIFS(nrES_Raw,nrES_PID,$D1158,nrES_Code,$F1158,nrES_Att,1)&gt;=$J1158),"RETEST AFTER A PASSING FIRST ATTEMPT","OK"))))))))))</f>
        <v/>
      </c>
      <c r="Y1158" s="16" t="n"/>
    </row>
    <row r="1159">
      <c r="B1159" s="17">
        <f>IF($C1159="","",$D1159&amp;"-"&amp;$F1159&amp;"-"&amp;$K1159)</f>
        <v/>
      </c>
      <c r="C1159" s="16" t="n"/>
      <c r="D1159" s="17">
        <f>IF($C1159="","",IFERROR(INDEX(rngCadetPIDs,MATCH($C1159,rngCadetNames,0)),"?"))</f>
        <v/>
      </c>
      <c r="E1159" s="17">
        <f>IF($D1159="","",IFERROR(INDEX(nrCadetAgency,MATCH($D1159,rngCadetPIDs,0)),""))</f>
        <v/>
      </c>
      <c r="F1159" s="16" t="n"/>
      <c r="G1159" s="17">
        <f>IF($F1159="","",IFERROR(INDEX(rngEPname,MATCH($F1159,rngEPcode,0)),"?"))</f>
        <v/>
      </c>
      <c r="H1159" s="17">
        <f>IF($F1159="","",IFERROR(INDEX(rngEPtype,MATCH($F1159,rngEPcode,0)),"?"))</f>
        <v/>
      </c>
      <c r="I1159" s="17">
        <f>IF($F1159="","",IFERROR(INDEX(rngEPseq,MATCH($F1159,rngEPcode,0)),""))</f>
        <v/>
      </c>
      <c r="J1159" s="17">
        <f>IF($F1159="","",IFERROR(INDEX(rngEPpass,MATCH($F1159,rngEPcode,0)),cfgPassingScore))</f>
        <v/>
      </c>
      <c r="K1159" s="16" t="n"/>
      <c r="L1159" s="16" t="n"/>
      <c r="M1159" s="17">
        <f>IF($C1159="","",IF($L1159="","",IF(NOT(ISNUMBER($L1159)),$L1159,IF(N($K1159)&gt;2,"",IF($K1159=1,IF(COUNTIFS(nrES_PID,$D1159,nrES_Code,$F1159,nrES_Att,2,nrES_Raw,"&gt;=0")&gt;0,"",$L1159),IF($L1159&gt;=$J1159,MAX($J1159,cfgRetakeRecordedCap),IF(COUNTIFS(nrES_PID,$D1159,nrES_Code,$F1159,nrES_Att,1)=0,$L1159,SUMIFS(nrES_Raw,nrES_PID,$D1159,nrES_Code,$F1159,nrES_Att,1))))))))</f>
        <v/>
      </c>
      <c r="N1159" s="17">
        <f>IF($C1159="","",IF($L1159="","",IF(NOT(ISNUMBER($L1159)),"(not a score)",IF($L1159&gt;=$J1159,"Yes","No"))))</f>
        <v/>
      </c>
      <c r="O1159" s="17">
        <f>IF($C1159="","",IF($M1159="","",IF(NOT(ISNUMBER($M1159)),"(not a score)",IF($M1159&gt;=$J1159,"Yes","No"))))</f>
        <v/>
      </c>
      <c r="P1159" s="17">
        <f>IF($C1159="","",IF($K1159="","",IF(N($K1159)&gt;2,"No",IF(COUNTIFS(nrES_PID,$D1159,nrES_Code,$F1159,nrES_Att,"&gt;"&amp;$K1159,nrES_Att,"&lt;=2",nrES_Raw,"&gt;=0")=0,"Yes","No"))))</f>
        <v/>
      </c>
      <c r="Q1159" s="17">
        <f>IF($C1159="","",IF($L1159="","",IF(AND($K1159=1,ISNUMBER($L1159),$L1159&lt;$J1159,COUNTIFS(nrES_PID,$D1159,nrES_Code,$F1159,nrES_Att,2,nrES_Raw,"&gt;=0")=0),"Yes","No")))</f>
        <v/>
      </c>
      <c r="R1159" s="17">
        <f>IF($C1159="","",IF($L1159="","",IF(AND(N($K1159)&gt;=2,ISNUMBER($L1159),$L1159&lt;$J1159),"Yes","No")))</f>
        <v/>
      </c>
      <c r="S1159" s="18" t="n"/>
      <c r="T1159" s="19">
        <f>IF(OR($C1159="",$L1159="",$K1159&lt;&gt;1,NOT(ISNUMBER($L1159)),$L1159&gt;=$J1159),"",IF($S1159="","(enter date)",_xlfn.LET(_xlpm.dn,_xlfn.XLOOKUP($S1159,nrCDdate,nrCDnum,"",1),IF(_xlpm.dn="","(after last class day)",_xlfn.LET(_xlpm.dd,_xlfn.XLOOKUP(_xlpm.dn+cfgRetestClassDays,nrCDnum,nrCDdate,""),_xlpm.ok,_xlfn.XLOOKUP(_xlpm.dn+cfgRetestClassDays,nrCDnum,nrCDinsession,"No"),IF(OR(_xlpm.dd="",_xlpm.ok&lt;&gt;"Yes"),"(after last class day)",_xlpm.dd))))))</f>
        <v/>
      </c>
      <c r="U1159" s="17">
        <f>IF($C1159="","",IF(AND($Y1159="Excused",$L1159="",N($K1159)&lt;=1),"EXCUSED - 1st attempt pending",IF(OR($L1159="",$K1159&lt;&gt;1,NOT(ISNUMBER($L1159)),$L1159&gt;=$J1159),"",IF(COUNTIFS(nrES_PID,$D1159,nrES_Code,$F1159,nrES_Att,2,nrES_Raw,"&gt;=0")&gt;0,IF(IFERROR(_xlfn.MINIFS(nrES_Date,nrES_PID,$D1159,nrES_Code,$F1159,nrES_Att,2,nrES_Raw,"&gt;=0",nrES_Date,"&gt;0"),0)=0,"RETEST UNDATED",IF(NOT(ISNUMBER($T1159)),"RETEST DATE UNCHECKED",IF(_xlfn.MINIFS(nrES_Date,nrES_PID,$D1159,nrES_Code,$F1159,nrES_Att,2,nrES_Raw,"&gt;=0",nrES_Date,"&gt;0")&gt;$T1159,"LATE RETEST "&amp;TEXT(_xlfn.MINIFS(nrES_Date,nrES_PID,$D1159,nrES_Code,$F1159,nrES_Att,2,nrES_Raw,"&gt;=0",nrES_Date,"&gt;0"),"mm/dd")&amp;" (due "&amp;TEXT($T1159,"mm/dd")&amp;")","Retested"))),IF(NOT(ISNUMBER($T1159)),"CHECK DATE",IF(TODAY()&gt;$T1159,"OVERDUE","Due "&amp;TEXT($T1159,"mm/dd")))))))</f>
        <v/>
      </c>
      <c r="V1159" s="16" t="n"/>
      <c r="W1159" s="16" t="n"/>
      <c r="X1159" s="17">
        <f>IF($C1159="","",IF(AND($L1159&lt;&gt;"",NOT(ISNUMBER($L1159))),"RAW SCORE NOT A NUMBER",IF(AND(ISNUMBER($L1159),OR($L1159&lt;0,$L1159&gt;100)),"RAW SCORE OUT OF RANGE",IF(AND($Y1159="Unexcused",OR($L1159="",NOT(ISNUMBER($L1159)),$L1159&lt;&gt;0)),"UNEXCUSED ABSENCE MUST RECORD 0",IF(COUNTIF(nrES_RecID,$B1159)&gt;1,"DUPLICATE RECORD",IF(N($K1159)&gt;2,"ATTEMPT 3+ NOT ALLOWED - policy 300.5 permits one retest per exam; this row records nothing",IF(AND($K1159=2,COUNTIFS(nrES_PID,$D1159,nrES_Code,$F1159,nrES_Att,1)=0),"ATTEMPT 2 WITHOUT ATTEMPT 1",IF(AND($K1159=2,$L1159=""),"RETEST ROW HAS NO SCORE",IF(AND($H1159="Final",$L1159&lt;&gt;"",IFERROR(INDEX(nrCKfinalExamElig,MATCH($D1159,rngCadetPIDs,0)),"")="No"),"FINAL EXAM AFTER FAILED FINAL PT (500.1.H)",IF(AND($K1159=2,ISNUMBER($L1159),COUNTIFS(nrES_PID,$D1159,nrES_Code,$F1159,nrES_Att,1)&gt;0,SUMIFS(nrES_Raw,nrES_PID,$D1159,nrES_Code,$F1159,nrES_Att,1)&gt;=$J1159),"RETEST AFTER A PASSING FIRST ATTEMPT","OK"))))))))))</f>
        <v/>
      </c>
      <c r="Y1159" s="16" t="n"/>
    </row>
    <row r="1160">
      <c r="B1160" s="17">
        <f>IF($C1160="","",$D1160&amp;"-"&amp;$F1160&amp;"-"&amp;$K1160)</f>
        <v/>
      </c>
      <c r="C1160" s="16" t="n"/>
      <c r="D1160" s="17">
        <f>IF($C1160="","",IFERROR(INDEX(rngCadetPIDs,MATCH($C1160,rngCadetNames,0)),"?"))</f>
        <v/>
      </c>
      <c r="E1160" s="17">
        <f>IF($D1160="","",IFERROR(INDEX(nrCadetAgency,MATCH($D1160,rngCadetPIDs,0)),""))</f>
        <v/>
      </c>
      <c r="F1160" s="16" t="n"/>
      <c r="G1160" s="17">
        <f>IF($F1160="","",IFERROR(INDEX(rngEPname,MATCH($F1160,rngEPcode,0)),"?"))</f>
        <v/>
      </c>
      <c r="H1160" s="17">
        <f>IF($F1160="","",IFERROR(INDEX(rngEPtype,MATCH($F1160,rngEPcode,0)),"?"))</f>
        <v/>
      </c>
      <c r="I1160" s="17">
        <f>IF($F1160="","",IFERROR(INDEX(rngEPseq,MATCH($F1160,rngEPcode,0)),""))</f>
        <v/>
      </c>
      <c r="J1160" s="17">
        <f>IF($F1160="","",IFERROR(INDEX(rngEPpass,MATCH($F1160,rngEPcode,0)),cfgPassingScore))</f>
        <v/>
      </c>
      <c r="K1160" s="16" t="n"/>
      <c r="L1160" s="16" t="n"/>
      <c r="M1160" s="17">
        <f>IF($C1160="","",IF($L1160="","",IF(NOT(ISNUMBER($L1160)),$L1160,IF(N($K1160)&gt;2,"",IF($K1160=1,IF(COUNTIFS(nrES_PID,$D1160,nrES_Code,$F1160,nrES_Att,2,nrES_Raw,"&gt;=0")&gt;0,"",$L1160),IF($L1160&gt;=$J1160,MAX($J1160,cfgRetakeRecordedCap),IF(COUNTIFS(nrES_PID,$D1160,nrES_Code,$F1160,nrES_Att,1)=0,$L1160,SUMIFS(nrES_Raw,nrES_PID,$D1160,nrES_Code,$F1160,nrES_Att,1))))))))</f>
        <v/>
      </c>
      <c r="N1160" s="17">
        <f>IF($C1160="","",IF($L1160="","",IF(NOT(ISNUMBER($L1160)),"(not a score)",IF($L1160&gt;=$J1160,"Yes","No"))))</f>
        <v/>
      </c>
      <c r="O1160" s="17">
        <f>IF($C1160="","",IF($M1160="","",IF(NOT(ISNUMBER($M1160)),"(not a score)",IF($M1160&gt;=$J1160,"Yes","No"))))</f>
        <v/>
      </c>
      <c r="P1160" s="17">
        <f>IF($C1160="","",IF($K1160="","",IF(N($K1160)&gt;2,"No",IF(COUNTIFS(nrES_PID,$D1160,nrES_Code,$F1160,nrES_Att,"&gt;"&amp;$K1160,nrES_Att,"&lt;=2",nrES_Raw,"&gt;=0")=0,"Yes","No"))))</f>
        <v/>
      </c>
      <c r="Q1160" s="17">
        <f>IF($C1160="","",IF($L1160="","",IF(AND($K1160=1,ISNUMBER($L1160),$L1160&lt;$J1160,COUNTIFS(nrES_PID,$D1160,nrES_Code,$F1160,nrES_Att,2,nrES_Raw,"&gt;=0")=0),"Yes","No")))</f>
        <v/>
      </c>
      <c r="R1160" s="17">
        <f>IF($C1160="","",IF($L1160="","",IF(AND(N($K1160)&gt;=2,ISNUMBER($L1160),$L1160&lt;$J1160),"Yes","No")))</f>
        <v/>
      </c>
      <c r="S1160" s="18" t="n"/>
      <c r="T1160" s="19">
        <f>IF(OR($C1160="",$L1160="",$K1160&lt;&gt;1,NOT(ISNUMBER($L1160)),$L1160&gt;=$J1160),"",IF($S1160="","(enter date)",_xlfn.LET(_xlpm.dn,_xlfn.XLOOKUP($S1160,nrCDdate,nrCDnum,"",1),IF(_xlpm.dn="","(after last class day)",_xlfn.LET(_xlpm.dd,_xlfn.XLOOKUP(_xlpm.dn+cfgRetestClassDays,nrCDnum,nrCDdate,""),_xlpm.ok,_xlfn.XLOOKUP(_xlpm.dn+cfgRetestClassDays,nrCDnum,nrCDinsession,"No"),IF(OR(_xlpm.dd="",_xlpm.ok&lt;&gt;"Yes"),"(after last class day)",_xlpm.dd))))))</f>
        <v/>
      </c>
      <c r="U1160" s="17">
        <f>IF($C1160="","",IF(AND($Y1160="Excused",$L1160="",N($K1160)&lt;=1),"EXCUSED - 1st attempt pending",IF(OR($L1160="",$K1160&lt;&gt;1,NOT(ISNUMBER($L1160)),$L1160&gt;=$J1160),"",IF(COUNTIFS(nrES_PID,$D1160,nrES_Code,$F1160,nrES_Att,2,nrES_Raw,"&gt;=0")&gt;0,IF(IFERROR(_xlfn.MINIFS(nrES_Date,nrES_PID,$D1160,nrES_Code,$F1160,nrES_Att,2,nrES_Raw,"&gt;=0",nrES_Date,"&gt;0"),0)=0,"RETEST UNDATED",IF(NOT(ISNUMBER($T1160)),"RETEST DATE UNCHECKED",IF(_xlfn.MINIFS(nrES_Date,nrES_PID,$D1160,nrES_Code,$F1160,nrES_Att,2,nrES_Raw,"&gt;=0",nrES_Date,"&gt;0")&gt;$T1160,"LATE RETEST "&amp;TEXT(_xlfn.MINIFS(nrES_Date,nrES_PID,$D1160,nrES_Code,$F1160,nrES_Att,2,nrES_Raw,"&gt;=0",nrES_Date,"&gt;0"),"mm/dd")&amp;" (due "&amp;TEXT($T1160,"mm/dd")&amp;")","Retested"))),IF(NOT(ISNUMBER($T1160)),"CHECK DATE",IF(TODAY()&gt;$T1160,"OVERDUE","Due "&amp;TEXT($T1160,"mm/dd")))))))</f>
        <v/>
      </c>
      <c r="V1160" s="16" t="n"/>
      <c r="W1160" s="16" t="n"/>
      <c r="X1160" s="17">
        <f>IF($C1160="","",IF(AND($L1160&lt;&gt;"",NOT(ISNUMBER($L1160))),"RAW SCORE NOT A NUMBER",IF(AND(ISNUMBER($L1160),OR($L1160&lt;0,$L1160&gt;100)),"RAW SCORE OUT OF RANGE",IF(AND($Y1160="Unexcused",OR($L1160="",NOT(ISNUMBER($L1160)),$L1160&lt;&gt;0)),"UNEXCUSED ABSENCE MUST RECORD 0",IF(COUNTIF(nrES_RecID,$B1160)&gt;1,"DUPLICATE RECORD",IF(N($K1160)&gt;2,"ATTEMPT 3+ NOT ALLOWED - policy 300.5 permits one retest per exam; this row records nothing",IF(AND($K1160=2,COUNTIFS(nrES_PID,$D1160,nrES_Code,$F1160,nrES_Att,1)=0),"ATTEMPT 2 WITHOUT ATTEMPT 1",IF(AND($K1160=2,$L1160=""),"RETEST ROW HAS NO SCORE",IF(AND($H1160="Final",$L1160&lt;&gt;"",IFERROR(INDEX(nrCKfinalExamElig,MATCH($D1160,rngCadetPIDs,0)),"")="No"),"FINAL EXAM AFTER FAILED FINAL PT (500.1.H)",IF(AND($K1160=2,ISNUMBER($L1160),COUNTIFS(nrES_PID,$D1160,nrES_Code,$F1160,nrES_Att,1)&gt;0,SUMIFS(nrES_Raw,nrES_PID,$D1160,nrES_Code,$F1160,nrES_Att,1)&gt;=$J1160),"RETEST AFTER A PASSING FIRST ATTEMPT","OK"))))))))))</f>
        <v/>
      </c>
      <c r="Y1160" s="16" t="n"/>
    </row>
    <row r="1161">
      <c r="B1161" s="17">
        <f>IF($C1161="","",$D1161&amp;"-"&amp;$F1161&amp;"-"&amp;$K1161)</f>
        <v/>
      </c>
      <c r="C1161" s="16" t="n"/>
      <c r="D1161" s="17">
        <f>IF($C1161="","",IFERROR(INDEX(rngCadetPIDs,MATCH($C1161,rngCadetNames,0)),"?"))</f>
        <v/>
      </c>
      <c r="E1161" s="17">
        <f>IF($D1161="","",IFERROR(INDEX(nrCadetAgency,MATCH($D1161,rngCadetPIDs,0)),""))</f>
        <v/>
      </c>
      <c r="F1161" s="16" t="n"/>
      <c r="G1161" s="17">
        <f>IF($F1161="","",IFERROR(INDEX(rngEPname,MATCH($F1161,rngEPcode,0)),"?"))</f>
        <v/>
      </c>
      <c r="H1161" s="17">
        <f>IF($F1161="","",IFERROR(INDEX(rngEPtype,MATCH($F1161,rngEPcode,0)),"?"))</f>
        <v/>
      </c>
      <c r="I1161" s="17">
        <f>IF($F1161="","",IFERROR(INDEX(rngEPseq,MATCH($F1161,rngEPcode,0)),""))</f>
        <v/>
      </c>
      <c r="J1161" s="17">
        <f>IF($F1161="","",IFERROR(INDEX(rngEPpass,MATCH($F1161,rngEPcode,0)),cfgPassingScore))</f>
        <v/>
      </c>
      <c r="K1161" s="16" t="n"/>
      <c r="L1161" s="16" t="n"/>
      <c r="M1161" s="17">
        <f>IF($C1161="","",IF($L1161="","",IF(NOT(ISNUMBER($L1161)),$L1161,IF(N($K1161)&gt;2,"",IF($K1161=1,IF(COUNTIFS(nrES_PID,$D1161,nrES_Code,$F1161,nrES_Att,2,nrES_Raw,"&gt;=0")&gt;0,"",$L1161),IF($L1161&gt;=$J1161,MAX($J1161,cfgRetakeRecordedCap),IF(COUNTIFS(nrES_PID,$D1161,nrES_Code,$F1161,nrES_Att,1)=0,$L1161,SUMIFS(nrES_Raw,nrES_PID,$D1161,nrES_Code,$F1161,nrES_Att,1))))))))</f>
        <v/>
      </c>
      <c r="N1161" s="17">
        <f>IF($C1161="","",IF($L1161="","",IF(NOT(ISNUMBER($L1161)),"(not a score)",IF($L1161&gt;=$J1161,"Yes","No"))))</f>
        <v/>
      </c>
      <c r="O1161" s="17">
        <f>IF($C1161="","",IF($M1161="","",IF(NOT(ISNUMBER($M1161)),"(not a score)",IF($M1161&gt;=$J1161,"Yes","No"))))</f>
        <v/>
      </c>
      <c r="P1161" s="17">
        <f>IF($C1161="","",IF($K1161="","",IF(N($K1161)&gt;2,"No",IF(COUNTIFS(nrES_PID,$D1161,nrES_Code,$F1161,nrES_Att,"&gt;"&amp;$K1161,nrES_Att,"&lt;=2",nrES_Raw,"&gt;=0")=0,"Yes","No"))))</f>
        <v/>
      </c>
      <c r="Q1161" s="17">
        <f>IF($C1161="","",IF($L1161="","",IF(AND($K1161=1,ISNUMBER($L1161),$L1161&lt;$J1161,COUNTIFS(nrES_PID,$D1161,nrES_Code,$F1161,nrES_Att,2,nrES_Raw,"&gt;=0")=0),"Yes","No")))</f>
        <v/>
      </c>
      <c r="R1161" s="17">
        <f>IF($C1161="","",IF($L1161="","",IF(AND(N($K1161)&gt;=2,ISNUMBER($L1161),$L1161&lt;$J1161),"Yes","No")))</f>
        <v/>
      </c>
      <c r="S1161" s="18" t="n"/>
      <c r="T1161" s="19">
        <f>IF(OR($C1161="",$L1161="",$K1161&lt;&gt;1,NOT(ISNUMBER($L1161)),$L1161&gt;=$J1161),"",IF($S1161="","(enter date)",_xlfn.LET(_xlpm.dn,_xlfn.XLOOKUP($S1161,nrCDdate,nrCDnum,"",1),IF(_xlpm.dn="","(after last class day)",_xlfn.LET(_xlpm.dd,_xlfn.XLOOKUP(_xlpm.dn+cfgRetestClassDays,nrCDnum,nrCDdate,""),_xlpm.ok,_xlfn.XLOOKUP(_xlpm.dn+cfgRetestClassDays,nrCDnum,nrCDinsession,"No"),IF(OR(_xlpm.dd="",_xlpm.ok&lt;&gt;"Yes"),"(after last class day)",_xlpm.dd))))))</f>
        <v/>
      </c>
      <c r="U1161" s="17">
        <f>IF($C1161="","",IF(AND($Y1161="Excused",$L1161="",N($K1161)&lt;=1),"EXCUSED - 1st attempt pending",IF(OR($L1161="",$K1161&lt;&gt;1,NOT(ISNUMBER($L1161)),$L1161&gt;=$J1161),"",IF(COUNTIFS(nrES_PID,$D1161,nrES_Code,$F1161,nrES_Att,2,nrES_Raw,"&gt;=0")&gt;0,IF(IFERROR(_xlfn.MINIFS(nrES_Date,nrES_PID,$D1161,nrES_Code,$F1161,nrES_Att,2,nrES_Raw,"&gt;=0",nrES_Date,"&gt;0"),0)=0,"RETEST UNDATED",IF(NOT(ISNUMBER($T1161)),"RETEST DATE UNCHECKED",IF(_xlfn.MINIFS(nrES_Date,nrES_PID,$D1161,nrES_Code,$F1161,nrES_Att,2,nrES_Raw,"&gt;=0",nrES_Date,"&gt;0")&gt;$T1161,"LATE RETEST "&amp;TEXT(_xlfn.MINIFS(nrES_Date,nrES_PID,$D1161,nrES_Code,$F1161,nrES_Att,2,nrES_Raw,"&gt;=0",nrES_Date,"&gt;0"),"mm/dd")&amp;" (due "&amp;TEXT($T1161,"mm/dd")&amp;")","Retested"))),IF(NOT(ISNUMBER($T1161)),"CHECK DATE",IF(TODAY()&gt;$T1161,"OVERDUE","Due "&amp;TEXT($T1161,"mm/dd")))))))</f>
        <v/>
      </c>
      <c r="V1161" s="16" t="n"/>
      <c r="W1161" s="16" t="n"/>
      <c r="X1161" s="17">
        <f>IF($C1161="","",IF(AND($L1161&lt;&gt;"",NOT(ISNUMBER($L1161))),"RAW SCORE NOT A NUMBER",IF(AND(ISNUMBER($L1161),OR($L1161&lt;0,$L1161&gt;100)),"RAW SCORE OUT OF RANGE",IF(AND($Y1161="Unexcused",OR($L1161="",NOT(ISNUMBER($L1161)),$L1161&lt;&gt;0)),"UNEXCUSED ABSENCE MUST RECORD 0",IF(COUNTIF(nrES_RecID,$B1161)&gt;1,"DUPLICATE RECORD",IF(N($K1161)&gt;2,"ATTEMPT 3+ NOT ALLOWED - policy 300.5 permits one retest per exam; this row records nothing",IF(AND($K1161=2,COUNTIFS(nrES_PID,$D1161,nrES_Code,$F1161,nrES_Att,1)=0),"ATTEMPT 2 WITHOUT ATTEMPT 1",IF(AND($K1161=2,$L1161=""),"RETEST ROW HAS NO SCORE",IF(AND($H1161="Final",$L1161&lt;&gt;"",IFERROR(INDEX(nrCKfinalExamElig,MATCH($D1161,rngCadetPIDs,0)),"")="No"),"FINAL EXAM AFTER FAILED FINAL PT (500.1.H)",IF(AND($K1161=2,ISNUMBER($L1161),COUNTIFS(nrES_PID,$D1161,nrES_Code,$F1161,nrES_Att,1)&gt;0,SUMIFS(nrES_Raw,nrES_PID,$D1161,nrES_Code,$F1161,nrES_Att,1)&gt;=$J1161),"RETEST AFTER A PASSING FIRST ATTEMPT","OK"))))))))))</f>
        <v/>
      </c>
      <c r="Y1161" s="16" t="n"/>
    </row>
    <row r="1162">
      <c r="B1162" s="17">
        <f>IF($C1162="","",$D1162&amp;"-"&amp;$F1162&amp;"-"&amp;$K1162)</f>
        <v/>
      </c>
      <c r="C1162" s="16" t="n"/>
      <c r="D1162" s="17">
        <f>IF($C1162="","",IFERROR(INDEX(rngCadetPIDs,MATCH($C1162,rngCadetNames,0)),"?"))</f>
        <v/>
      </c>
      <c r="E1162" s="17">
        <f>IF($D1162="","",IFERROR(INDEX(nrCadetAgency,MATCH($D1162,rngCadetPIDs,0)),""))</f>
        <v/>
      </c>
      <c r="F1162" s="16" t="n"/>
      <c r="G1162" s="17">
        <f>IF($F1162="","",IFERROR(INDEX(rngEPname,MATCH($F1162,rngEPcode,0)),"?"))</f>
        <v/>
      </c>
      <c r="H1162" s="17">
        <f>IF($F1162="","",IFERROR(INDEX(rngEPtype,MATCH($F1162,rngEPcode,0)),"?"))</f>
        <v/>
      </c>
      <c r="I1162" s="17">
        <f>IF($F1162="","",IFERROR(INDEX(rngEPseq,MATCH($F1162,rngEPcode,0)),""))</f>
        <v/>
      </c>
      <c r="J1162" s="17">
        <f>IF($F1162="","",IFERROR(INDEX(rngEPpass,MATCH($F1162,rngEPcode,0)),cfgPassingScore))</f>
        <v/>
      </c>
      <c r="K1162" s="16" t="n"/>
      <c r="L1162" s="16" t="n"/>
      <c r="M1162" s="17">
        <f>IF($C1162="","",IF($L1162="","",IF(NOT(ISNUMBER($L1162)),$L1162,IF(N($K1162)&gt;2,"",IF($K1162=1,IF(COUNTIFS(nrES_PID,$D1162,nrES_Code,$F1162,nrES_Att,2,nrES_Raw,"&gt;=0")&gt;0,"",$L1162),IF($L1162&gt;=$J1162,MAX($J1162,cfgRetakeRecordedCap),IF(COUNTIFS(nrES_PID,$D1162,nrES_Code,$F1162,nrES_Att,1)=0,$L1162,SUMIFS(nrES_Raw,nrES_PID,$D1162,nrES_Code,$F1162,nrES_Att,1))))))))</f>
        <v/>
      </c>
      <c r="N1162" s="17">
        <f>IF($C1162="","",IF($L1162="","",IF(NOT(ISNUMBER($L1162)),"(not a score)",IF($L1162&gt;=$J1162,"Yes","No"))))</f>
        <v/>
      </c>
      <c r="O1162" s="17">
        <f>IF($C1162="","",IF($M1162="","",IF(NOT(ISNUMBER($M1162)),"(not a score)",IF($M1162&gt;=$J1162,"Yes","No"))))</f>
        <v/>
      </c>
      <c r="P1162" s="17">
        <f>IF($C1162="","",IF($K1162="","",IF(N($K1162)&gt;2,"No",IF(COUNTIFS(nrES_PID,$D1162,nrES_Code,$F1162,nrES_Att,"&gt;"&amp;$K1162,nrES_Att,"&lt;=2",nrES_Raw,"&gt;=0")=0,"Yes","No"))))</f>
        <v/>
      </c>
      <c r="Q1162" s="17">
        <f>IF($C1162="","",IF($L1162="","",IF(AND($K1162=1,ISNUMBER($L1162),$L1162&lt;$J1162,COUNTIFS(nrES_PID,$D1162,nrES_Code,$F1162,nrES_Att,2,nrES_Raw,"&gt;=0")=0),"Yes","No")))</f>
        <v/>
      </c>
      <c r="R1162" s="17">
        <f>IF($C1162="","",IF($L1162="","",IF(AND(N($K1162)&gt;=2,ISNUMBER($L1162),$L1162&lt;$J1162),"Yes","No")))</f>
        <v/>
      </c>
      <c r="S1162" s="18" t="n"/>
      <c r="T1162" s="19">
        <f>IF(OR($C1162="",$L1162="",$K1162&lt;&gt;1,NOT(ISNUMBER($L1162)),$L1162&gt;=$J1162),"",IF($S1162="","(enter date)",_xlfn.LET(_xlpm.dn,_xlfn.XLOOKUP($S1162,nrCDdate,nrCDnum,"",1),IF(_xlpm.dn="","(after last class day)",_xlfn.LET(_xlpm.dd,_xlfn.XLOOKUP(_xlpm.dn+cfgRetestClassDays,nrCDnum,nrCDdate,""),_xlpm.ok,_xlfn.XLOOKUP(_xlpm.dn+cfgRetestClassDays,nrCDnum,nrCDinsession,"No"),IF(OR(_xlpm.dd="",_xlpm.ok&lt;&gt;"Yes"),"(after last class day)",_xlpm.dd))))))</f>
        <v/>
      </c>
      <c r="U1162" s="17">
        <f>IF($C1162="","",IF(AND($Y1162="Excused",$L1162="",N($K1162)&lt;=1),"EXCUSED - 1st attempt pending",IF(OR($L1162="",$K1162&lt;&gt;1,NOT(ISNUMBER($L1162)),$L1162&gt;=$J1162),"",IF(COUNTIFS(nrES_PID,$D1162,nrES_Code,$F1162,nrES_Att,2,nrES_Raw,"&gt;=0")&gt;0,IF(IFERROR(_xlfn.MINIFS(nrES_Date,nrES_PID,$D1162,nrES_Code,$F1162,nrES_Att,2,nrES_Raw,"&gt;=0",nrES_Date,"&gt;0"),0)=0,"RETEST UNDATED",IF(NOT(ISNUMBER($T1162)),"RETEST DATE UNCHECKED",IF(_xlfn.MINIFS(nrES_Date,nrES_PID,$D1162,nrES_Code,$F1162,nrES_Att,2,nrES_Raw,"&gt;=0",nrES_Date,"&gt;0")&gt;$T1162,"LATE RETEST "&amp;TEXT(_xlfn.MINIFS(nrES_Date,nrES_PID,$D1162,nrES_Code,$F1162,nrES_Att,2,nrES_Raw,"&gt;=0",nrES_Date,"&gt;0"),"mm/dd")&amp;" (due "&amp;TEXT($T1162,"mm/dd")&amp;")","Retested"))),IF(NOT(ISNUMBER($T1162)),"CHECK DATE",IF(TODAY()&gt;$T1162,"OVERDUE","Due "&amp;TEXT($T1162,"mm/dd")))))))</f>
        <v/>
      </c>
      <c r="V1162" s="16" t="n"/>
      <c r="W1162" s="16" t="n"/>
      <c r="X1162" s="17">
        <f>IF($C1162="","",IF(AND($L1162&lt;&gt;"",NOT(ISNUMBER($L1162))),"RAW SCORE NOT A NUMBER",IF(AND(ISNUMBER($L1162),OR($L1162&lt;0,$L1162&gt;100)),"RAW SCORE OUT OF RANGE",IF(AND($Y1162="Unexcused",OR($L1162="",NOT(ISNUMBER($L1162)),$L1162&lt;&gt;0)),"UNEXCUSED ABSENCE MUST RECORD 0",IF(COUNTIF(nrES_RecID,$B1162)&gt;1,"DUPLICATE RECORD",IF(N($K1162)&gt;2,"ATTEMPT 3+ NOT ALLOWED - policy 300.5 permits one retest per exam; this row records nothing",IF(AND($K1162=2,COUNTIFS(nrES_PID,$D1162,nrES_Code,$F1162,nrES_Att,1)=0),"ATTEMPT 2 WITHOUT ATTEMPT 1",IF(AND($K1162=2,$L1162=""),"RETEST ROW HAS NO SCORE",IF(AND($H1162="Final",$L1162&lt;&gt;"",IFERROR(INDEX(nrCKfinalExamElig,MATCH($D1162,rngCadetPIDs,0)),"")="No"),"FINAL EXAM AFTER FAILED FINAL PT (500.1.H)",IF(AND($K1162=2,ISNUMBER($L1162),COUNTIFS(nrES_PID,$D1162,nrES_Code,$F1162,nrES_Att,1)&gt;0,SUMIFS(nrES_Raw,nrES_PID,$D1162,nrES_Code,$F1162,nrES_Att,1)&gt;=$J1162),"RETEST AFTER A PASSING FIRST ATTEMPT","OK"))))))))))</f>
        <v/>
      </c>
      <c r="Y1162" s="16" t="n"/>
    </row>
    <row r="1163">
      <c r="B1163" s="17">
        <f>IF($C1163="","",$D1163&amp;"-"&amp;$F1163&amp;"-"&amp;$K1163)</f>
        <v/>
      </c>
      <c r="C1163" s="16" t="n"/>
      <c r="D1163" s="17">
        <f>IF($C1163="","",IFERROR(INDEX(rngCadetPIDs,MATCH($C1163,rngCadetNames,0)),"?"))</f>
        <v/>
      </c>
      <c r="E1163" s="17">
        <f>IF($D1163="","",IFERROR(INDEX(nrCadetAgency,MATCH($D1163,rngCadetPIDs,0)),""))</f>
        <v/>
      </c>
      <c r="F1163" s="16" t="n"/>
      <c r="G1163" s="17">
        <f>IF($F1163="","",IFERROR(INDEX(rngEPname,MATCH($F1163,rngEPcode,0)),"?"))</f>
        <v/>
      </c>
      <c r="H1163" s="17">
        <f>IF($F1163="","",IFERROR(INDEX(rngEPtype,MATCH($F1163,rngEPcode,0)),"?"))</f>
        <v/>
      </c>
      <c r="I1163" s="17">
        <f>IF($F1163="","",IFERROR(INDEX(rngEPseq,MATCH($F1163,rngEPcode,0)),""))</f>
        <v/>
      </c>
      <c r="J1163" s="17">
        <f>IF($F1163="","",IFERROR(INDEX(rngEPpass,MATCH($F1163,rngEPcode,0)),cfgPassingScore))</f>
        <v/>
      </c>
      <c r="K1163" s="16" t="n"/>
      <c r="L1163" s="16" t="n"/>
      <c r="M1163" s="17">
        <f>IF($C1163="","",IF($L1163="","",IF(NOT(ISNUMBER($L1163)),$L1163,IF(N($K1163)&gt;2,"",IF($K1163=1,IF(COUNTIFS(nrES_PID,$D1163,nrES_Code,$F1163,nrES_Att,2,nrES_Raw,"&gt;=0")&gt;0,"",$L1163),IF($L1163&gt;=$J1163,MAX($J1163,cfgRetakeRecordedCap),IF(COUNTIFS(nrES_PID,$D1163,nrES_Code,$F1163,nrES_Att,1)=0,$L1163,SUMIFS(nrES_Raw,nrES_PID,$D1163,nrES_Code,$F1163,nrES_Att,1))))))))</f>
        <v/>
      </c>
      <c r="N1163" s="17">
        <f>IF($C1163="","",IF($L1163="","",IF(NOT(ISNUMBER($L1163)),"(not a score)",IF($L1163&gt;=$J1163,"Yes","No"))))</f>
        <v/>
      </c>
      <c r="O1163" s="17">
        <f>IF($C1163="","",IF($M1163="","",IF(NOT(ISNUMBER($M1163)),"(not a score)",IF($M1163&gt;=$J1163,"Yes","No"))))</f>
        <v/>
      </c>
      <c r="P1163" s="17">
        <f>IF($C1163="","",IF($K1163="","",IF(N($K1163)&gt;2,"No",IF(COUNTIFS(nrES_PID,$D1163,nrES_Code,$F1163,nrES_Att,"&gt;"&amp;$K1163,nrES_Att,"&lt;=2",nrES_Raw,"&gt;=0")=0,"Yes","No"))))</f>
        <v/>
      </c>
      <c r="Q1163" s="17">
        <f>IF($C1163="","",IF($L1163="","",IF(AND($K1163=1,ISNUMBER($L1163),$L1163&lt;$J1163,COUNTIFS(nrES_PID,$D1163,nrES_Code,$F1163,nrES_Att,2,nrES_Raw,"&gt;=0")=0),"Yes","No")))</f>
        <v/>
      </c>
      <c r="R1163" s="17">
        <f>IF($C1163="","",IF($L1163="","",IF(AND(N($K1163)&gt;=2,ISNUMBER($L1163),$L1163&lt;$J1163),"Yes","No")))</f>
        <v/>
      </c>
      <c r="S1163" s="18" t="n"/>
      <c r="T1163" s="19">
        <f>IF(OR($C1163="",$L1163="",$K1163&lt;&gt;1,NOT(ISNUMBER($L1163)),$L1163&gt;=$J1163),"",IF($S1163="","(enter date)",_xlfn.LET(_xlpm.dn,_xlfn.XLOOKUP($S1163,nrCDdate,nrCDnum,"",1),IF(_xlpm.dn="","(after last class day)",_xlfn.LET(_xlpm.dd,_xlfn.XLOOKUP(_xlpm.dn+cfgRetestClassDays,nrCDnum,nrCDdate,""),_xlpm.ok,_xlfn.XLOOKUP(_xlpm.dn+cfgRetestClassDays,nrCDnum,nrCDinsession,"No"),IF(OR(_xlpm.dd="",_xlpm.ok&lt;&gt;"Yes"),"(after last class day)",_xlpm.dd))))))</f>
        <v/>
      </c>
      <c r="U1163" s="17">
        <f>IF($C1163="","",IF(AND($Y1163="Excused",$L1163="",N($K1163)&lt;=1),"EXCUSED - 1st attempt pending",IF(OR($L1163="",$K1163&lt;&gt;1,NOT(ISNUMBER($L1163)),$L1163&gt;=$J1163),"",IF(COUNTIFS(nrES_PID,$D1163,nrES_Code,$F1163,nrES_Att,2,nrES_Raw,"&gt;=0")&gt;0,IF(IFERROR(_xlfn.MINIFS(nrES_Date,nrES_PID,$D1163,nrES_Code,$F1163,nrES_Att,2,nrES_Raw,"&gt;=0",nrES_Date,"&gt;0"),0)=0,"RETEST UNDATED",IF(NOT(ISNUMBER($T1163)),"RETEST DATE UNCHECKED",IF(_xlfn.MINIFS(nrES_Date,nrES_PID,$D1163,nrES_Code,$F1163,nrES_Att,2,nrES_Raw,"&gt;=0",nrES_Date,"&gt;0")&gt;$T1163,"LATE RETEST "&amp;TEXT(_xlfn.MINIFS(nrES_Date,nrES_PID,$D1163,nrES_Code,$F1163,nrES_Att,2,nrES_Raw,"&gt;=0",nrES_Date,"&gt;0"),"mm/dd")&amp;" (due "&amp;TEXT($T1163,"mm/dd")&amp;")","Retested"))),IF(NOT(ISNUMBER($T1163)),"CHECK DATE",IF(TODAY()&gt;$T1163,"OVERDUE","Due "&amp;TEXT($T1163,"mm/dd")))))))</f>
        <v/>
      </c>
      <c r="V1163" s="16" t="n"/>
      <c r="W1163" s="16" t="n"/>
      <c r="X1163" s="17">
        <f>IF($C1163="","",IF(AND($L1163&lt;&gt;"",NOT(ISNUMBER($L1163))),"RAW SCORE NOT A NUMBER",IF(AND(ISNUMBER($L1163),OR($L1163&lt;0,$L1163&gt;100)),"RAW SCORE OUT OF RANGE",IF(AND($Y1163="Unexcused",OR($L1163="",NOT(ISNUMBER($L1163)),$L1163&lt;&gt;0)),"UNEXCUSED ABSENCE MUST RECORD 0",IF(COUNTIF(nrES_RecID,$B1163)&gt;1,"DUPLICATE RECORD",IF(N($K1163)&gt;2,"ATTEMPT 3+ NOT ALLOWED - policy 300.5 permits one retest per exam; this row records nothing",IF(AND($K1163=2,COUNTIFS(nrES_PID,$D1163,nrES_Code,$F1163,nrES_Att,1)=0),"ATTEMPT 2 WITHOUT ATTEMPT 1",IF(AND($K1163=2,$L1163=""),"RETEST ROW HAS NO SCORE",IF(AND($H1163="Final",$L1163&lt;&gt;"",IFERROR(INDEX(nrCKfinalExamElig,MATCH($D1163,rngCadetPIDs,0)),"")="No"),"FINAL EXAM AFTER FAILED FINAL PT (500.1.H)",IF(AND($K1163=2,ISNUMBER($L1163),COUNTIFS(nrES_PID,$D1163,nrES_Code,$F1163,nrES_Att,1)&gt;0,SUMIFS(nrES_Raw,nrES_PID,$D1163,nrES_Code,$F1163,nrES_Att,1)&gt;=$J1163),"RETEST AFTER A PASSING FIRST ATTEMPT","OK"))))))))))</f>
        <v/>
      </c>
      <c r="Y1163" s="16" t="n"/>
    </row>
    <row r="1164">
      <c r="B1164" s="17">
        <f>IF($C1164="","",$D1164&amp;"-"&amp;$F1164&amp;"-"&amp;$K1164)</f>
        <v/>
      </c>
      <c r="C1164" s="16" t="n"/>
      <c r="D1164" s="17">
        <f>IF($C1164="","",IFERROR(INDEX(rngCadetPIDs,MATCH($C1164,rngCadetNames,0)),"?"))</f>
        <v/>
      </c>
      <c r="E1164" s="17">
        <f>IF($D1164="","",IFERROR(INDEX(nrCadetAgency,MATCH($D1164,rngCadetPIDs,0)),""))</f>
        <v/>
      </c>
      <c r="F1164" s="16" t="n"/>
      <c r="G1164" s="17">
        <f>IF($F1164="","",IFERROR(INDEX(rngEPname,MATCH($F1164,rngEPcode,0)),"?"))</f>
        <v/>
      </c>
      <c r="H1164" s="17">
        <f>IF($F1164="","",IFERROR(INDEX(rngEPtype,MATCH($F1164,rngEPcode,0)),"?"))</f>
        <v/>
      </c>
      <c r="I1164" s="17">
        <f>IF($F1164="","",IFERROR(INDEX(rngEPseq,MATCH($F1164,rngEPcode,0)),""))</f>
        <v/>
      </c>
      <c r="J1164" s="17">
        <f>IF($F1164="","",IFERROR(INDEX(rngEPpass,MATCH($F1164,rngEPcode,0)),cfgPassingScore))</f>
        <v/>
      </c>
      <c r="K1164" s="16" t="n"/>
      <c r="L1164" s="16" t="n"/>
      <c r="M1164" s="17">
        <f>IF($C1164="","",IF($L1164="","",IF(NOT(ISNUMBER($L1164)),$L1164,IF(N($K1164)&gt;2,"",IF($K1164=1,IF(COUNTIFS(nrES_PID,$D1164,nrES_Code,$F1164,nrES_Att,2,nrES_Raw,"&gt;=0")&gt;0,"",$L1164),IF($L1164&gt;=$J1164,MAX($J1164,cfgRetakeRecordedCap),IF(COUNTIFS(nrES_PID,$D1164,nrES_Code,$F1164,nrES_Att,1)=0,$L1164,SUMIFS(nrES_Raw,nrES_PID,$D1164,nrES_Code,$F1164,nrES_Att,1))))))))</f>
        <v/>
      </c>
      <c r="N1164" s="17">
        <f>IF($C1164="","",IF($L1164="","",IF(NOT(ISNUMBER($L1164)),"(not a score)",IF($L1164&gt;=$J1164,"Yes","No"))))</f>
        <v/>
      </c>
      <c r="O1164" s="17">
        <f>IF($C1164="","",IF($M1164="","",IF(NOT(ISNUMBER($M1164)),"(not a score)",IF($M1164&gt;=$J1164,"Yes","No"))))</f>
        <v/>
      </c>
      <c r="P1164" s="17">
        <f>IF($C1164="","",IF($K1164="","",IF(N($K1164)&gt;2,"No",IF(COUNTIFS(nrES_PID,$D1164,nrES_Code,$F1164,nrES_Att,"&gt;"&amp;$K1164,nrES_Att,"&lt;=2",nrES_Raw,"&gt;=0")=0,"Yes","No"))))</f>
        <v/>
      </c>
      <c r="Q1164" s="17">
        <f>IF($C1164="","",IF($L1164="","",IF(AND($K1164=1,ISNUMBER($L1164),$L1164&lt;$J1164,COUNTIFS(nrES_PID,$D1164,nrES_Code,$F1164,nrES_Att,2,nrES_Raw,"&gt;=0")=0),"Yes","No")))</f>
        <v/>
      </c>
      <c r="R1164" s="17">
        <f>IF($C1164="","",IF($L1164="","",IF(AND(N($K1164)&gt;=2,ISNUMBER($L1164),$L1164&lt;$J1164),"Yes","No")))</f>
        <v/>
      </c>
      <c r="S1164" s="18" t="n"/>
      <c r="T1164" s="19">
        <f>IF(OR($C1164="",$L1164="",$K1164&lt;&gt;1,NOT(ISNUMBER($L1164)),$L1164&gt;=$J1164),"",IF($S1164="","(enter date)",_xlfn.LET(_xlpm.dn,_xlfn.XLOOKUP($S1164,nrCDdate,nrCDnum,"",1),IF(_xlpm.dn="","(after last class day)",_xlfn.LET(_xlpm.dd,_xlfn.XLOOKUP(_xlpm.dn+cfgRetestClassDays,nrCDnum,nrCDdate,""),_xlpm.ok,_xlfn.XLOOKUP(_xlpm.dn+cfgRetestClassDays,nrCDnum,nrCDinsession,"No"),IF(OR(_xlpm.dd="",_xlpm.ok&lt;&gt;"Yes"),"(after last class day)",_xlpm.dd))))))</f>
        <v/>
      </c>
      <c r="U1164" s="17">
        <f>IF($C1164="","",IF(AND($Y1164="Excused",$L1164="",N($K1164)&lt;=1),"EXCUSED - 1st attempt pending",IF(OR($L1164="",$K1164&lt;&gt;1,NOT(ISNUMBER($L1164)),$L1164&gt;=$J1164),"",IF(COUNTIFS(nrES_PID,$D1164,nrES_Code,$F1164,nrES_Att,2,nrES_Raw,"&gt;=0")&gt;0,IF(IFERROR(_xlfn.MINIFS(nrES_Date,nrES_PID,$D1164,nrES_Code,$F1164,nrES_Att,2,nrES_Raw,"&gt;=0",nrES_Date,"&gt;0"),0)=0,"RETEST UNDATED",IF(NOT(ISNUMBER($T1164)),"RETEST DATE UNCHECKED",IF(_xlfn.MINIFS(nrES_Date,nrES_PID,$D1164,nrES_Code,$F1164,nrES_Att,2,nrES_Raw,"&gt;=0",nrES_Date,"&gt;0")&gt;$T1164,"LATE RETEST "&amp;TEXT(_xlfn.MINIFS(nrES_Date,nrES_PID,$D1164,nrES_Code,$F1164,nrES_Att,2,nrES_Raw,"&gt;=0",nrES_Date,"&gt;0"),"mm/dd")&amp;" (due "&amp;TEXT($T1164,"mm/dd")&amp;")","Retested"))),IF(NOT(ISNUMBER($T1164)),"CHECK DATE",IF(TODAY()&gt;$T1164,"OVERDUE","Due "&amp;TEXT($T1164,"mm/dd")))))))</f>
        <v/>
      </c>
      <c r="V1164" s="16" t="n"/>
      <c r="W1164" s="16" t="n"/>
      <c r="X1164" s="17">
        <f>IF($C1164="","",IF(AND($L1164&lt;&gt;"",NOT(ISNUMBER($L1164))),"RAW SCORE NOT A NUMBER",IF(AND(ISNUMBER($L1164),OR($L1164&lt;0,$L1164&gt;100)),"RAW SCORE OUT OF RANGE",IF(AND($Y1164="Unexcused",OR($L1164="",NOT(ISNUMBER($L1164)),$L1164&lt;&gt;0)),"UNEXCUSED ABSENCE MUST RECORD 0",IF(COUNTIF(nrES_RecID,$B1164)&gt;1,"DUPLICATE RECORD",IF(N($K1164)&gt;2,"ATTEMPT 3+ NOT ALLOWED - policy 300.5 permits one retest per exam; this row records nothing",IF(AND($K1164=2,COUNTIFS(nrES_PID,$D1164,nrES_Code,$F1164,nrES_Att,1)=0),"ATTEMPT 2 WITHOUT ATTEMPT 1",IF(AND($K1164=2,$L1164=""),"RETEST ROW HAS NO SCORE",IF(AND($H1164="Final",$L1164&lt;&gt;"",IFERROR(INDEX(nrCKfinalExamElig,MATCH($D1164,rngCadetPIDs,0)),"")="No"),"FINAL EXAM AFTER FAILED FINAL PT (500.1.H)",IF(AND($K1164=2,ISNUMBER($L1164),COUNTIFS(nrES_PID,$D1164,nrES_Code,$F1164,nrES_Att,1)&gt;0,SUMIFS(nrES_Raw,nrES_PID,$D1164,nrES_Code,$F1164,nrES_Att,1)&gt;=$J1164),"RETEST AFTER A PASSING FIRST ATTEMPT","OK"))))))))))</f>
        <v/>
      </c>
      <c r="Y1164" s="16" t="n"/>
    </row>
    <row r="1165">
      <c r="B1165" s="17">
        <f>IF($C1165="","",$D1165&amp;"-"&amp;$F1165&amp;"-"&amp;$K1165)</f>
        <v/>
      </c>
      <c r="C1165" s="16" t="n"/>
      <c r="D1165" s="17">
        <f>IF($C1165="","",IFERROR(INDEX(rngCadetPIDs,MATCH($C1165,rngCadetNames,0)),"?"))</f>
        <v/>
      </c>
      <c r="E1165" s="17">
        <f>IF($D1165="","",IFERROR(INDEX(nrCadetAgency,MATCH($D1165,rngCadetPIDs,0)),""))</f>
        <v/>
      </c>
      <c r="F1165" s="16" t="n"/>
      <c r="G1165" s="17">
        <f>IF($F1165="","",IFERROR(INDEX(rngEPname,MATCH($F1165,rngEPcode,0)),"?"))</f>
        <v/>
      </c>
      <c r="H1165" s="17">
        <f>IF($F1165="","",IFERROR(INDEX(rngEPtype,MATCH($F1165,rngEPcode,0)),"?"))</f>
        <v/>
      </c>
      <c r="I1165" s="17">
        <f>IF($F1165="","",IFERROR(INDEX(rngEPseq,MATCH($F1165,rngEPcode,0)),""))</f>
        <v/>
      </c>
      <c r="J1165" s="17">
        <f>IF($F1165="","",IFERROR(INDEX(rngEPpass,MATCH($F1165,rngEPcode,0)),cfgPassingScore))</f>
        <v/>
      </c>
      <c r="K1165" s="16" t="n"/>
      <c r="L1165" s="16" t="n"/>
      <c r="M1165" s="17">
        <f>IF($C1165="","",IF($L1165="","",IF(NOT(ISNUMBER($L1165)),$L1165,IF(N($K1165)&gt;2,"",IF($K1165=1,IF(COUNTIFS(nrES_PID,$D1165,nrES_Code,$F1165,nrES_Att,2,nrES_Raw,"&gt;=0")&gt;0,"",$L1165),IF($L1165&gt;=$J1165,MAX($J1165,cfgRetakeRecordedCap),IF(COUNTIFS(nrES_PID,$D1165,nrES_Code,$F1165,nrES_Att,1)=0,$L1165,SUMIFS(nrES_Raw,nrES_PID,$D1165,nrES_Code,$F1165,nrES_Att,1))))))))</f>
        <v/>
      </c>
      <c r="N1165" s="17">
        <f>IF($C1165="","",IF($L1165="","",IF(NOT(ISNUMBER($L1165)),"(not a score)",IF($L1165&gt;=$J1165,"Yes","No"))))</f>
        <v/>
      </c>
      <c r="O1165" s="17">
        <f>IF($C1165="","",IF($M1165="","",IF(NOT(ISNUMBER($M1165)),"(not a score)",IF($M1165&gt;=$J1165,"Yes","No"))))</f>
        <v/>
      </c>
      <c r="P1165" s="17">
        <f>IF($C1165="","",IF($K1165="","",IF(N($K1165)&gt;2,"No",IF(COUNTIFS(nrES_PID,$D1165,nrES_Code,$F1165,nrES_Att,"&gt;"&amp;$K1165,nrES_Att,"&lt;=2",nrES_Raw,"&gt;=0")=0,"Yes","No"))))</f>
        <v/>
      </c>
      <c r="Q1165" s="17">
        <f>IF($C1165="","",IF($L1165="","",IF(AND($K1165=1,ISNUMBER($L1165),$L1165&lt;$J1165,COUNTIFS(nrES_PID,$D1165,nrES_Code,$F1165,nrES_Att,2,nrES_Raw,"&gt;=0")=0),"Yes","No")))</f>
        <v/>
      </c>
      <c r="R1165" s="17">
        <f>IF($C1165="","",IF($L1165="","",IF(AND(N($K1165)&gt;=2,ISNUMBER($L1165),$L1165&lt;$J1165),"Yes","No")))</f>
        <v/>
      </c>
      <c r="S1165" s="18" t="n"/>
      <c r="T1165" s="19">
        <f>IF(OR($C1165="",$L1165="",$K1165&lt;&gt;1,NOT(ISNUMBER($L1165)),$L1165&gt;=$J1165),"",IF($S1165="","(enter date)",_xlfn.LET(_xlpm.dn,_xlfn.XLOOKUP($S1165,nrCDdate,nrCDnum,"",1),IF(_xlpm.dn="","(after last class day)",_xlfn.LET(_xlpm.dd,_xlfn.XLOOKUP(_xlpm.dn+cfgRetestClassDays,nrCDnum,nrCDdate,""),_xlpm.ok,_xlfn.XLOOKUP(_xlpm.dn+cfgRetestClassDays,nrCDnum,nrCDinsession,"No"),IF(OR(_xlpm.dd="",_xlpm.ok&lt;&gt;"Yes"),"(after last class day)",_xlpm.dd))))))</f>
        <v/>
      </c>
      <c r="U1165" s="17">
        <f>IF($C1165="","",IF(AND($Y1165="Excused",$L1165="",N($K1165)&lt;=1),"EXCUSED - 1st attempt pending",IF(OR($L1165="",$K1165&lt;&gt;1,NOT(ISNUMBER($L1165)),$L1165&gt;=$J1165),"",IF(COUNTIFS(nrES_PID,$D1165,nrES_Code,$F1165,nrES_Att,2,nrES_Raw,"&gt;=0")&gt;0,IF(IFERROR(_xlfn.MINIFS(nrES_Date,nrES_PID,$D1165,nrES_Code,$F1165,nrES_Att,2,nrES_Raw,"&gt;=0",nrES_Date,"&gt;0"),0)=0,"RETEST UNDATED",IF(NOT(ISNUMBER($T1165)),"RETEST DATE UNCHECKED",IF(_xlfn.MINIFS(nrES_Date,nrES_PID,$D1165,nrES_Code,$F1165,nrES_Att,2,nrES_Raw,"&gt;=0",nrES_Date,"&gt;0")&gt;$T1165,"LATE RETEST "&amp;TEXT(_xlfn.MINIFS(nrES_Date,nrES_PID,$D1165,nrES_Code,$F1165,nrES_Att,2,nrES_Raw,"&gt;=0",nrES_Date,"&gt;0"),"mm/dd")&amp;" (due "&amp;TEXT($T1165,"mm/dd")&amp;")","Retested"))),IF(NOT(ISNUMBER($T1165)),"CHECK DATE",IF(TODAY()&gt;$T1165,"OVERDUE","Due "&amp;TEXT($T1165,"mm/dd")))))))</f>
        <v/>
      </c>
      <c r="V1165" s="16" t="n"/>
      <c r="W1165" s="16" t="n"/>
      <c r="X1165" s="17">
        <f>IF($C1165="","",IF(AND($L1165&lt;&gt;"",NOT(ISNUMBER($L1165))),"RAW SCORE NOT A NUMBER",IF(AND(ISNUMBER($L1165),OR($L1165&lt;0,$L1165&gt;100)),"RAW SCORE OUT OF RANGE",IF(AND($Y1165="Unexcused",OR($L1165="",NOT(ISNUMBER($L1165)),$L1165&lt;&gt;0)),"UNEXCUSED ABSENCE MUST RECORD 0",IF(COUNTIF(nrES_RecID,$B1165)&gt;1,"DUPLICATE RECORD",IF(N($K1165)&gt;2,"ATTEMPT 3+ NOT ALLOWED - policy 300.5 permits one retest per exam; this row records nothing",IF(AND($K1165=2,COUNTIFS(nrES_PID,$D1165,nrES_Code,$F1165,nrES_Att,1)=0),"ATTEMPT 2 WITHOUT ATTEMPT 1",IF(AND($K1165=2,$L1165=""),"RETEST ROW HAS NO SCORE",IF(AND($H1165="Final",$L1165&lt;&gt;"",IFERROR(INDEX(nrCKfinalExamElig,MATCH($D1165,rngCadetPIDs,0)),"")="No"),"FINAL EXAM AFTER FAILED FINAL PT (500.1.H)",IF(AND($K1165=2,ISNUMBER($L1165),COUNTIFS(nrES_PID,$D1165,nrES_Code,$F1165,nrES_Att,1)&gt;0,SUMIFS(nrES_Raw,nrES_PID,$D1165,nrES_Code,$F1165,nrES_Att,1)&gt;=$J1165),"RETEST AFTER A PASSING FIRST ATTEMPT","OK"))))))))))</f>
        <v/>
      </c>
      <c r="Y1165" s="16" t="n"/>
    </row>
    <row r="1166">
      <c r="B1166" s="17">
        <f>IF($C1166="","",$D1166&amp;"-"&amp;$F1166&amp;"-"&amp;$K1166)</f>
        <v/>
      </c>
      <c r="C1166" s="16" t="n"/>
      <c r="D1166" s="17">
        <f>IF($C1166="","",IFERROR(INDEX(rngCadetPIDs,MATCH($C1166,rngCadetNames,0)),"?"))</f>
        <v/>
      </c>
      <c r="E1166" s="17">
        <f>IF($D1166="","",IFERROR(INDEX(nrCadetAgency,MATCH($D1166,rngCadetPIDs,0)),""))</f>
        <v/>
      </c>
      <c r="F1166" s="16" t="n"/>
      <c r="G1166" s="17">
        <f>IF($F1166="","",IFERROR(INDEX(rngEPname,MATCH($F1166,rngEPcode,0)),"?"))</f>
        <v/>
      </c>
      <c r="H1166" s="17">
        <f>IF($F1166="","",IFERROR(INDEX(rngEPtype,MATCH($F1166,rngEPcode,0)),"?"))</f>
        <v/>
      </c>
      <c r="I1166" s="17">
        <f>IF($F1166="","",IFERROR(INDEX(rngEPseq,MATCH($F1166,rngEPcode,0)),""))</f>
        <v/>
      </c>
      <c r="J1166" s="17">
        <f>IF($F1166="","",IFERROR(INDEX(rngEPpass,MATCH($F1166,rngEPcode,0)),cfgPassingScore))</f>
        <v/>
      </c>
      <c r="K1166" s="16" t="n"/>
      <c r="L1166" s="16" t="n"/>
      <c r="M1166" s="17">
        <f>IF($C1166="","",IF($L1166="","",IF(NOT(ISNUMBER($L1166)),$L1166,IF(N($K1166)&gt;2,"",IF($K1166=1,IF(COUNTIFS(nrES_PID,$D1166,nrES_Code,$F1166,nrES_Att,2,nrES_Raw,"&gt;=0")&gt;0,"",$L1166),IF($L1166&gt;=$J1166,MAX($J1166,cfgRetakeRecordedCap),IF(COUNTIFS(nrES_PID,$D1166,nrES_Code,$F1166,nrES_Att,1)=0,$L1166,SUMIFS(nrES_Raw,nrES_PID,$D1166,nrES_Code,$F1166,nrES_Att,1))))))))</f>
        <v/>
      </c>
      <c r="N1166" s="17">
        <f>IF($C1166="","",IF($L1166="","",IF(NOT(ISNUMBER($L1166)),"(not a score)",IF($L1166&gt;=$J1166,"Yes","No"))))</f>
        <v/>
      </c>
      <c r="O1166" s="17">
        <f>IF($C1166="","",IF($M1166="","",IF(NOT(ISNUMBER($M1166)),"(not a score)",IF($M1166&gt;=$J1166,"Yes","No"))))</f>
        <v/>
      </c>
      <c r="P1166" s="17">
        <f>IF($C1166="","",IF($K1166="","",IF(N($K1166)&gt;2,"No",IF(COUNTIFS(nrES_PID,$D1166,nrES_Code,$F1166,nrES_Att,"&gt;"&amp;$K1166,nrES_Att,"&lt;=2",nrES_Raw,"&gt;=0")=0,"Yes","No"))))</f>
        <v/>
      </c>
      <c r="Q1166" s="17">
        <f>IF($C1166="","",IF($L1166="","",IF(AND($K1166=1,ISNUMBER($L1166),$L1166&lt;$J1166,COUNTIFS(nrES_PID,$D1166,nrES_Code,$F1166,nrES_Att,2,nrES_Raw,"&gt;=0")=0),"Yes","No")))</f>
        <v/>
      </c>
      <c r="R1166" s="17">
        <f>IF($C1166="","",IF($L1166="","",IF(AND(N($K1166)&gt;=2,ISNUMBER($L1166),$L1166&lt;$J1166),"Yes","No")))</f>
        <v/>
      </c>
      <c r="S1166" s="18" t="n"/>
      <c r="T1166" s="19">
        <f>IF(OR($C1166="",$L1166="",$K1166&lt;&gt;1,NOT(ISNUMBER($L1166)),$L1166&gt;=$J1166),"",IF($S1166="","(enter date)",_xlfn.LET(_xlpm.dn,_xlfn.XLOOKUP($S1166,nrCDdate,nrCDnum,"",1),IF(_xlpm.dn="","(after last class day)",_xlfn.LET(_xlpm.dd,_xlfn.XLOOKUP(_xlpm.dn+cfgRetestClassDays,nrCDnum,nrCDdate,""),_xlpm.ok,_xlfn.XLOOKUP(_xlpm.dn+cfgRetestClassDays,nrCDnum,nrCDinsession,"No"),IF(OR(_xlpm.dd="",_xlpm.ok&lt;&gt;"Yes"),"(after last class day)",_xlpm.dd))))))</f>
        <v/>
      </c>
      <c r="U1166" s="17">
        <f>IF($C1166="","",IF(AND($Y1166="Excused",$L1166="",N($K1166)&lt;=1),"EXCUSED - 1st attempt pending",IF(OR($L1166="",$K1166&lt;&gt;1,NOT(ISNUMBER($L1166)),$L1166&gt;=$J1166),"",IF(COUNTIFS(nrES_PID,$D1166,nrES_Code,$F1166,nrES_Att,2,nrES_Raw,"&gt;=0")&gt;0,IF(IFERROR(_xlfn.MINIFS(nrES_Date,nrES_PID,$D1166,nrES_Code,$F1166,nrES_Att,2,nrES_Raw,"&gt;=0",nrES_Date,"&gt;0"),0)=0,"RETEST UNDATED",IF(NOT(ISNUMBER($T1166)),"RETEST DATE UNCHECKED",IF(_xlfn.MINIFS(nrES_Date,nrES_PID,$D1166,nrES_Code,$F1166,nrES_Att,2,nrES_Raw,"&gt;=0",nrES_Date,"&gt;0")&gt;$T1166,"LATE RETEST "&amp;TEXT(_xlfn.MINIFS(nrES_Date,nrES_PID,$D1166,nrES_Code,$F1166,nrES_Att,2,nrES_Raw,"&gt;=0",nrES_Date,"&gt;0"),"mm/dd")&amp;" (due "&amp;TEXT($T1166,"mm/dd")&amp;")","Retested"))),IF(NOT(ISNUMBER($T1166)),"CHECK DATE",IF(TODAY()&gt;$T1166,"OVERDUE","Due "&amp;TEXT($T1166,"mm/dd")))))))</f>
        <v/>
      </c>
      <c r="V1166" s="16" t="n"/>
      <c r="W1166" s="16" t="n"/>
      <c r="X1166" s="17">
        <f>IF($C1166="","",IF(AND($L1166&lt;&gt;"",NOT(ISNUMBER($L1166))),"RAW SCORE NOT A NUMBER",IF(AND(ISNUMBER($L1166),OR($L1166&lt;0,$L1166&gt;100)),"RAW SCORE OUT OF RANGE",IF(AND($Y1166="Unexcused",OR($L1166="",NOT(ISNUMBER($L1166)),$L1166&lt;&gt;0)),"UNEXCUSED ABSENCE MUST RECORD 0",IF(COUNTIF(nrES_RecID,$B1166)&gt;1,"DUPLICATE RECORD",IF(N($K1166)&gt;2,"ATTEMPT 3+ NOT ALLOWED - policy 300.5 permits one retest per exam; this row records nothing",IF(AND($K1166=2,COUNTIFS(nrES_PID,$D1166,nrES_Code,$F1166,nrES_Att,1)=0),"ATTEMPT 2 WITHOUT ATTEMPT 1",IF(AND($K1166=2,$L1166=""),"RETEST ROW HAS NO SCORE",IF(AND($H1166="Final",$L1166&lt;&gt;"",IFERROR(INDEX(nrCKfinalExamElig,MATCH($D1166,rngCadetPIDs,0)),"")="No"),"FINAL EXAM AFTER FAILED FINAL PT (500.1.H)",IF(AND($K1166=2,ISNUMBER($L1166),COUNTIFS(nrES_PID,$D1166,nrES_Code,$F1166,nrES_Att,1)&gt;0,SUMIFS(nrES_Raw,nrES_PID,$D1166,nrES_Code,$F1166,nrES_Att,1)&gt;=$J1166),"RETEST AFTER A PASSING FIRST ATTEMPT","OK"))))))))))</f>
        <v/>
      </c>
      <c r="Y1166" s="16" t="n"/>
    </row>
    <row r="1167">
      <c r="B1167" s="17">
        <f>IF($C1167="","",$D1167&amp;"-"&amp;$F1167&amp;"-"&amp;$K1167)</f>
        <v/>
      </c>
      <c r="C1167" s="16" t="n"/>
      <c r="D1167" s="17">
        <f>IF($C1167="","",IFERROR(INDEX(rngCadetPIDs,MATCH($C1167,rngCadetNames,0)),"?"))</f>
        <v/>
      </c>
      <c r="E1167" s="17">
        <f>IF($D1167="","",IFERROR(INDEX(nrCadetAgency,MATCH($D1167,rngCadetPIDs,0)),""))</f>
        <v/>
      </c>
      <c r="F1167" s="16" t="n"/>
      <c r="G1167" s="17">
        <f>IF($F1167="","",IFERROR(INDEX(rngEPname,MATCH($F1167,rngEPcode,0)),"?"))</f>
        <v/>
      </c>
      <c r="H1167" s="17">
        <f>IF($F1167="","",IFERROR(INDEX(rngEPtype,MATCH($F1167,rngEPcode,0)),"?"))</f>
        <v/>
      </c>
      <c r="I1167" s="17">
        <f>IF($F1167="","",IFERROR(INDEX(rngEPseq,MATCH($F1167,rngEPcode,0)),""))</f>
        <v/>
      </c>
      <c r="J1167" s="17">
        <f>IF($F1167="","",IFERROR(INDEX(rngEPpass,MATCH($F1167,rngEPcode,0)),cfgPassingScore))</f>
        <v/>
      </c>
      <c r="K1167" s="16" t="n"/>
      <c r="L1167" s="16" t="n"/>
      <c r="M1167" s="17">
        <f>IF($C1167="","",IF($L1167="","",IF(NOT(ISNUMBER($L1167)),$L1167,IF(N($K1167)&gt;2,"",IF($K1167=1,IF(COUNTIFS(nrES_PID,$D1167,nrES_Code,$F1167,nrES_Att,2,nrES_Raw,"&gt;=0")&gt;0,"",$L1167),IF($L1167&gt;=$J1167,MAX($J1167,cfgRetakeRecordedCap),IF(COUNTIFS(nrES_PID,$D1167,nrES_Code,$F1167,nrES_Att,1)=0,$L1167,SUMIFS(nrES_Raw,nrES_PID,$D1167,nrES_Code,$F1167,nrES_Att,1))))))))</f>
        <v/>
      </c>
      <c r="N1167" s="17">
        <f>IF($C1167="","",IF($L1167="","",IF(NOT(ISNUMBER($L1167)),"(not a score)",IF($L1167&gt;=$J1167,"Yes","No"))))</f>
        <v/>
      </c>
      <c r="O1167" s="17">
        <f>IF($C1167="","",IF($M1167="","",IF(NOT(ISNUMBER($M1167)),"(not a score)",IF($M1167&gt;=$J1167,"Yes","No"))))</f>
        <v/>
      </c>
      <c r="P1167" s="17">
        <f>IF($C1167="","",IF($K1167="","",IF(N($K1167)&gt;2,"No",IF(COUNTIFS(nrES_PID,$D1167,nrES_Code,$F1167,nrES_Att,"&gt;"&amp;$K1167,nrES_Att,"&lt;=2",nrES_Raw,"&gt;=0")=0,"Yes","No"))))</f>
        <v/>
      </c>
      <c r="Q1167" s="17">
        <f>IF($C1167="","",IF($L1167="","",IF(AND($K1167=1,ISNUMBER($L1167),$L1167&lt;$J1167,COUNTIFS(nrES_PID,$D1167,nrES_Code,$F1167,nrES_Att,2,nrES_Raw,"&gt;=0")=0),"Yes","No")))</f>
        <v/>
      </c>
      <c r="R1167" s="17">
        <f>IF($C1167="","",IF($L1167="","",IF(AND(N($K1167)&gt;=2,ISNUMBER($L1167),$L1167&lt;$J1167),"Yes","No")))</f>
        <v/>
      </c>
      <c r="S1167" s="18" t="n"/>
      <c r="T1167" s="19">
        <f>IF(OR($C1167="",$L1167="",$K1167&lt;&gt;1,NOT(ISNUMBER($L1167)),$L1167&gt;=$J1167),"",IF($S1167="","(enter date)",_xlfn.LET(_xlpm.dn,_xlfn.XLOOKUP($S1167,nrCDdate,nrCDnum,"",1),IF(_xlpm.dn="","(after last class day)",_xlfn.LET(_xlpm.dd,_xlfn.XLOOKUP(_xlpm.dn+cfgRetestClassDays,nrCDnum,nrCDdate,""),_xlpm.ok,_xlfn.XLOOKUP(_xlpm.dn+cfgRetestClassDays,nrCDnum,nrCDinsession,"No"),IF(OR(_xlpm.dd="",_xlpm.ok&lt;&gt;"Yes"),"(after last class day)",_xlpm.dd))))))</f>
        <v/>
      </c>
      <c r="U1167" s="17">
        <f>IF($C1167="","",IF(AND($Y1167="Excused",$L1167="",N($K1167)&lt;=1),"EXCUSED - 1st attempt pending",IF(OR($L1167="",$K1167&lt;&gt;1,NOT(ISNUMBER($L1167)),$L1167&gt;=$J1167),"",IF(COUNTIFS(nrES_PID,$D1167,nrES_Code,$F1167,nrES_Att,2,nrES_Raw,"&gt;=0")&gt;0,IF(IFERROR(_xlfn.MINIFS(nrES_Date,nrES_PID,$D1167,nrES_Code,$F1167,nrES_Att,2,nrES_Raw,"&gt;=0",nrES_Date,"&gt;0"),0)=0,"RETEST UNDATED",IF(NOT(ISNUMBER($T1167)),"RETEST DATE UNCHECKED",IF(_xlfn.MINIFS(nrES_Date,nrES_PID,$D1167,nrES_Code,$F1167,nrES_Att,2,nrES_Raw,"&gt;=0",nrES_Date,"&gt;0")&gt;$T1167,"LATE RETEST "&amp;TEXT(_xlfn.MINIFS(nrES_Date,nrES_PID,$D1167,nrES_Code,$F1167,nrES_Att,2,nrES_Raw,"&gt;=0",nrES_Date,"&gt;0"),"mm/dd")&amp;" (due "&amp;TEXT($T1167,"mm/dd")&amp;")","Retested"))),IF(NOT(ISNUMBER($T1167)),"CHECK DATE",IF(TODAY()&gt;$T1167,"OVERDUE","Due "&amp;TEXT($T1167,"mm/dd")))))))</f>
        <v/>
      </c>
      <c r="V1167" s="16" t="n"/>
      <c r="W1167" s="16" t="n"/>
      <c r="X1167" s="17">
        <f>IF($C1167="","",IF(AND($L1167&lt;&gt;"",NOT(ISNUMBER($L1167))),"RAW SCORE NOT A NUMBER",IF(AND(ISNUMBER($L1167),OR($L1167&lt;0,$L1167&gt;100)),"RAW SCORE OUT OF RANGE",IF(AND($Y1167="Unexcused",OR($L1167="",NOT(ISNUMBER($L1167)),$L1167&lt;&gt;0)),"UNEXCUSED ABSENCE MUST RECORD 0",IF(COUNTIF(nrES_RecID,$B1167)&gt;1,"DUPLICATE RECORD",IF(N($K1167)&gt;2,"ATTEMPT 3+ NOT ALLOWED - policy 300.5 permits one retest per exam; this row records nothing",IF(AND($K1167=2,COUNTIFS(nrES_PID,$D1167,nrES_Code,$F1167,nrES_Att,1)=0),"ATTEMPT 2 WITHOUT ATTEMPT 1",IF(AND($K1167=2,$L1167=""),"RETEST ROW HAS NO SCORE",IF(AND($H1167="Final",$L1167&lt;&gt;"",IFERROR(INDEX(nrCKfinalExamElig,MATCH($D1167,rngCadetPIDs,0)),"")="No"),"FINAL EXAM AFTER FAILED FINAL PT (500.1.H)",IF(AND($K1167=2,ISNUMBER($L1167),COUNTIFS(nrES_PID,$D1167,nrES_Code,$F1167,nrES_Att,1)&gt;0,SUMIFS(nrES_Raw,nrES_PID,$D1167,nrES_Code,$F1167,nrES_Att,1)&gt;=$J1167),"RETEST AFTER A PASSING FIRST ATTEMPT","OK"))))))))))</f>
        <v/>
      </c>
      <c r="Y1167" s="16" t="n"/>
    </row>
    <row r="1168">
      <c r="B1168" s="17">
        <f>IF($C1168="","",$D1168&amp;"-"&amp;$F1168&amp;"-"&amp;$K1168)</f>
        <v/>
      </c>
      <c r="C1168" s="16" t="n"/>
      <c r="D1168" s="17">
        <f>IF($C1168="","",IFERROR(INDEX(rngCadetPIDs,MATCH($C1168,rngCadetNames,0)),"?"))</f>
        <v/>
      </c>
      <c r="E1168" s="17">
        <f>IF($D1168="","",IFERROR(INDEX(nrCadetAgency,MATCH($D1168,rngCadetPIDs,0)),""))</f>
        <v/>
      </c>
      <c r="F1168" s="16" t="n"/>
      <c r="G1168" s="17">
        <f>IF($F1168="","",IFERROR(INDEX(rngEPname,MATCH($F1168,rngEPcode,0)),"?"))</f>
        <v/>
      </c>
      <c r="H1168" s="17">
        <f>IF($F1168="","",IFERROR(INDEX(rngEPtype,MATCH($F1168,rngEPcode,0)),"?"))</f>
        <v/>
      </c>
      <c r="I1168" s="17">
        <f>IF($F1168="","",IFERROR(INDEX(rngEPseq,MATCH($F1168,rngEPcode,0)),""))</f>
        <v/>
      </c>
      <c r="J1168" s="17">
        <f>IF($F1168="","",IFERROR(INDEX(rngEPpass,MATCH($F1168,rngEPcode,0)),cfgPassingScore))</f>
        <v/>
      </c>
      <c r="K1168" s="16" t="n"/>
      <c r="L1168" s="16" t="n"/>
      <c r="M1168" s="17">
        <f>IF($C1168="","",IF($L1168="","",IF(NOT(ISNUMBER($L1168)),$L1168,IF(N($K1168)&gt;2,"",IF($K1168=1,IF(COUNTIFS(nrES_PID,$D1168,nrES_Code,$F1168,nrES_Att,2,nrES_Raw,"&gt;=0")&gt;0,"",$L1168),IF($L1168&gt;=$J1168,MAX($J1168,cfgRetakeRecordedCap),IF(COUNTIFS(nrES_PID,$D1168,nrES_Code,$F1168,nrES_Att,1)=0,$L1168,SUMIFS(nrES_Raw,nrES_PID,$D1168,nrES_Code,$F1168,nrES_Att,1))))))))</f>
        <v/>
      </c>
      <c r="N1168" s="17">
        <f>IF($C1168="","",IF($L1168="","",IF(NOT(ISNUMBER($L1168)),"(not a score)",IF($L1168&gt;=$J1168,"Yes","No"))))</f>
        <v/>
      </c>
      <c r="O1168" s="17">
        <f>IF($C1168="","",IF($M1168="","",IF(NOT(ISNUMBER($M1168)),"(not a score)",IF($M1168&gt;=$J1168,"Yes","No"))))</f>
        <v/>
      </c>
      <c r="P1168" s="17">
        <f>IF($C1168="","",IF($K1168="","",IF(N($K1168)&gt;2,"No",IF(COUNTIFS(nrES_PID,$D1168,nrES_Code,$F1168,nrES_Att,"&gt;"&amp;$K1168,nrES_Att,"&lt;=2",nrES_Raw,"&gt;=0")=0,"Yes","No"))))</f>
        <v/>
      </c>
      <c r="Q1168" s="17">
        <f>IF($C1168="","",IF($L1168="","",IF(AND($K1168=1,ISNUMBER($L1168),$L1168&lt;$J1168,COUNTIFS(nrES_PID,$D1168,nrES_Code,$F1168,nrES_Att,2,nrES_Raw,"&gt;=0")=0),"Yes","No")))</f>
        <v/>
      </c>
      <c r="R1168" s="17">
        <f>IF($C1168="","",IF($L1168="","",IF(AND(N($K1168)&gt;=2,ISNUMBER($L1168),$L1168&lt;$J1168),"Yes","No")))</f>
        <v/>
      </c>
      <c r="S1168" s="18" t="n"/>
      <c r="T1168" s="19">
        <f>IF(OR($C1168="",$L1168="",$K1168&lt;&gt;1,NOT(ISNUMBER($L1168)),$L1168&gt;=$J1168),"",IF($S1168="","(enter date)",_xlfn.LET(_xlpm.dn,_xlfn.XLOOKUP($S1168,nrCDdate,nrCDnum,"",1),IF(_xlpm.dn="","(after last class day)",_xlfn.LET(_xlpm.dd,_xlfn.XLOOKUP(_xlpm.dn+cfgRetestClassDays,nrCDnum,nrCDdate,""),_xlpm.ok,_xlfn.XLOOKUP(_xlpm.dn+cfgRetestClassDays,nrCDnum,nrCDinsession,"No"),IF(OR(_xlpm.dd="",_xlpm.ok&lt;&gt;"Yes"),"(after last class day)",_xlpm.dd))))))</f>
        <v/>
      </c>
      <c r="U1168" s="17">
        <f>IF($C1168="","",IF(AND($Y1168="Excused",$L1168="",N($K1168)&lt;=1),"EXCUSED - 1st attempt pending",IF(OR($L1168="",$K1168&lt;&gt;1,NOT(ISNUMBER($L1168)),$L1168&gt;=$J1168),"",IF(COUNTIFS(nrES_PID,$D1168,nrES_Code,$F1168,nrES_Att,2,nrES_Raw,"&gt;=0")&gt;0,IF(IFERROR(_xlfn.MINIFS(nrES_Date,nrES_PID,$D1168,nrES_Code,$F1168,nrES_Att,2,nrES_Raw,"&gt;=0",nrES_Date,"&gt;0"),0)=0,"RETEST UNDATED",IF(NOT(ISNUMBER($T1168)),"RETEST DATE UNCHECKED",IF(_xlfn.MINIFS(nrES_Date,nrES_PID,$D1168,nrES_Code,$F1168,nrES_Att,2,nrES_Raw,"&gt;=0",nrES_Date,"&gt;0")&gt;$T1168,"LATE RETEST "&amp;TEXT(_xlfn.MINIFS(nrES_Date,nrES_PID,$D1168,nrES_Code,$F1168,nrES_Att,2,nrES_Raw,"&gt;=0",nrES_Date,"&gt;0"),"mm/dd")&amp;" (due "&amp;TEXT($T1168,"mm/dd")&amp;")","Retested"))),IF(NOT(ISNUMBER($T1168)),"CHECK DATE",IF(TODAY()&gt;$T1168,"OVERDUE","Due "&amp;TEXT($T1168,"mm/dd")))))))</f>
        <v/>
      </c>
      <c r="V1168" s="16" t="n"/>
      <c r="W1168" s="16" t="n"/>
      <c r="X1168" s="17">
        <f>IF($C1168="","",IF(AND($L1168&lt;&gt;"",NOT(ISNUMBER($L1168))),"RAW SCORE NOT A NUMBER",IF(AND(ISNUMBER($L1168),OR($L1168&lt;0,$L1168&gt;100)),"RAW SCORE OUT OF RANGE",IF(AND($Y1168="Unexcused",OR($L1168="",NOT(ISNUMBER($L1168)),$L1168&lt;&gt;0)),"UNEXCUSED ABSENCE MUST RECORD 0",IF(COUNTIF(nrES_RecID,$B1168)&gt;1,"DUPLICATE RECORD",IF(N($K1168)&gt;2,"ATTEMPT 3+ NOT ALLOWED - policy 300.5 permits one retest per exam; this row records nothing",IF(AND($K1168=2,COUNTIFS(nrES_PID,$D1168,nrES_Code,$F1168,nrES_Att,1)=0),"ATTEMPT 2 WITHOUT ATTEMPT 1",IF(AND($K1168=2,$L1168=""),"RETEST ROW HAS NO SCORE",IF(AND($H1168="Final",$L1168&lt;&gt;"",IFERROR(INDEX(nrCKfinalExamElig,MATCH($D1168,rngCadetPIDs,0)),"")="No"),"FINAL EXAM AFTER FAILED FINAL PT (500.1.H)",IF(AND($K1168=2,ISNUMBER($L1168),COUNTIFS(nrES_PID,$D1168,nrES_Code,$F1168,nrES_Att,1)&gt;0,SUMIFS(nrES_Raw,nrES_PID,$D1168,nrES_Code,$F1168,nrES_Att,1)&gt;=$J1168),"RETEST AFTER A PASSING FIRST ATTEMPT","OK"))))))))))</f>
        <v/>
      </c>
      <c r="Y1168" s="16" t="n"/>
    </row>
    <row r="1169">
      <c r="B1169" s="17">
        <f>IF($C1169="","",$D1169&amp;"-"&amp;$F1169&amp;"-"&amp;$K1169)</f>
        <v/>
      </c>
      <c r="C1169" s="16" t="n"/>
      <c r="D1169" s="17">
        <f>IF($C1169="","",IFERROR(INDEX(rngCadetPIDs,MATCH($C1169,rngCadetNames,0)),"?"))</f>
        <v/>
      </c>
      <c r="E1169" s="17">
        <f>IF($D1169="","",IFERROR(INDEX(nrCadetAgency,MATCH($D1169,rngCadetPIDs,0)),""))</f>
        <v/>
      </c>
      <c r="F1169" s="16" t="n"/>
      <c r="G1169" s="17">
        <f>IF($F1169="","",IFERROR(INDEX(rngEPname,MATCH($F1169,rngEPcode,0)),"?"))</f>
        <v/>
      </c>
      <c r="H1169" s="17">
        <f>IF($F1169="","",IFERROR(INDEX(rngEPtype,MATCH($F1169,rngEPcode,0)),"?"))</f>
        <v/>
      </c>
      <c r="I1169" s="17">
        <f>IF($F1169="","",IFERROR(INDEX(rngEPseq,MATCH($F1169,rngEPcode,0)),""))</f>
        <v/>
      </c>
      <c r="J1169" s="17">
        <f>IF($F1169="","",IFERROR(INDEX(rngEPpass,MATCH($F1169,rngEPcode,0)),cfgPassingScore))</f>
        <v/>
      </c>
      <c r="K1169" s="16" t="n"/>
      <c r="L1169" s="16" t="n"/>
      <c r="M1169" s="17">
        <f>IF($C1169="","",IF($L1169="","",IF(NOT(ISNUMBER($L1169)),$L1169,IF(N($K1169)&gt;2,"",IF($K1169=1,IF(COUNTIFS(nrES_PID,$D1169,nrES_Code,$F1169,nrES_Att,2,nrES_Raw,"&gt;=0")&gt;0,"",$L1169),IF($L1169&gt;=$J1169,MAX($J1169,cfgRetakeRecordedCap),IF(COUNTIFS(nrES_PID,$D1169,nrES_Code,$F1169,nrES_Att,1)=0,$L1169,SUMIFS(nrES_Raw,nrES_PID,$D1169,nrES_Code,$F1169,nrES_Att,1))))))))</f>
        <v/>
      </c>
      <c r="N1169" s="17">
        <f>IF($C1169="","",IF($L1169="","",IF(NOT(ISNUMBER($L1169)),"(not a score)",IF($L1169&gt;=$J1169,"Yes","No"))))</f>
        <v/>
      </c>
      <c r="O1169" s="17">
        <f>IF($C1169="","",IF($M1169="","",IF(NOT(ISNUMBER($M1169)),"(not a score)",IF($M1169&gt;=$J1169,"Yes","No"))))</f>
        <v/>
      </c>
      <c r="P1169" s="17">
        <f>IF($C1169="","",IF($K1169="","",IF(N($K1169)&gt;2,"No",IF(COUNTIFS(nrES_PID,$D1169,nrES_Code,$F1169,nrES_Att,"&gt;"&amp;$K1169,nrES_Att,"&lt;=2",nrES_Raw,"&gt;=0")=0,"Yes","No"))))</f>
        <v/>
      </c>
      <c r="Q1169" s="17">
        <f>IF($C1169="","",IF($L1169="","",IF(AND($K1169=1,ISNUMBER($L1169),$L1169&lt;$J1169,COUNTIFS(nrES_PID,$D1169,nrES_Code,$F1169,nrES_Att,2,nrES_Raw,"&gt;=0")=0),"Yes","No")))</f>
        <v/>
      </c>
      <c r="R1169" s="17">
        <f>IF($C1169="","",IF($L1169="","",IF(AND(N($K1169)&gt;=2,ISNUMBER($L1169),$L1169&lt;$J1169),"Yes","No")))</f>
        <v/>
      </c>
      <c r="S1169" s="18" t="n"/>
      <c r="T1169" s="19">
        <f>IF(OR($C1169="",$L1169="",$K1169&lt;&gt;1,NOT(ISNUMBER($L1169)),$L1169&gt;=$J1169),"",IF($S1169="","(enter date)",_xlfn.LET(_xlpm.dn,_xlfn.XLOOKUP($S1169,nrCDdate,nrCDnum,"",1),IF(_xlpm.dn="","(after last class day)",_xlfn.LET(_xlpm.dd,_xlfn.XLOOKUP(_xlpm.dn+cfgRetestClassDays,nrCDnum,nrCDdate,""),_xlpm.ok,_xlfn.XLOOKUP(_xlpm.dn+cfgRetestClassDays,nrCDnum,nrCDinsession,"No"),IF(OR(_xlpm.dd="",_xlpm.ok&lt;&gt;"Yes"),"(after last class day)",_xlpm.dd))))))</f>
        <v/>
      </c>
      <c r="U1169" s="17">
        <f>IF($C1169="","",IF(AND($Y1169="Excused",$L1169="",N($K1169)&lt;=1),"EXCUSED - 1st attempt pending",IF(OR($L1169="",$K1169&lt;&gt;1,NOT(ISNUMBER($L1169)),$L1169&gt;=$J1169),"",IF(COUNTIFS(nrES_PID,$D1169,nrES_Code,$F1169,nrES_Att,2,nrES_Raw,"&gt;=0")&gt;0,IF(IFERROR(_xlfn.MINIFS(nrES_Date,nrES_PID,$D1169,nrES_Code,$F1169,nrES_Att,2,nrES_Raw,"&gt;=0",nrES_Date,"&gt;0"),0)=0,"RETEST UNDATED",IF(NOT(ISNUMBER($T1169)),"RETEST DATE UNCHECKED",IF(_xlfn.MINIFS(nrES_Date,nrES_PID,$D1169,nrES_Code,$F1169,nrES_Att,2,nrES_Raw,"&gt;=0",nrES_Date,"&gt;0")&gt;$T1169,"LATE RETEST "&amp;TEXT(_xlfn.MINIFS(nrES_Date,nrES_PID,$D1169,nrES_Code,$F1169,nrES_Att,2,nrES_Raw,"&gt;=0",nrES_Date,"&gt;0"),"mm/dd")&amp;" (due "&amp;TEXT($T1169,"mm/dd")&amp;")","Retested"))),IF(NOT(ISNUMBER($T1169)),"CHECK DATE",IF(TODAY()&gt;$T1169,"OVERDUE","Due "&amp;TEXT($T1169,"mm/dd")))))))</f>
        <v/>
      </c>
      <c r="V1169" s="16" t="n"/>
      <c r="W1169" s="16" t="n"/>
      <c r="X1169" s="17">
        <f>IF($C1169="","",IF(AND($L1169&lt;&gt;"",NOT(ISNUMBER($L1169))),"RAW SCORE NOT A NUMBER",IF(AND(ISNUMBER($L1169),OR($L1169&lt;0,$L1169&gt;100)),"RAW SCORE OUT OF RANGE",IF(AND($Y1169="Unexcused",OR($L1169="",NOT(ISNUMBER($L1169)),$L1169&lt;&gt;0)),"UNEXCUSED ABSENCE MUST RECORD 0",IF(COUNTIF(nrES_RecID,$B1169)&gt;1,"DUPLICATE RECORD",IF(N($K1169)&gt;2,"ATTEMPT 3+ NOT ALLOWED - policy 300.5 permits one retest per exam; this row records nothing",IF(AND($K1169=2,COUNTIFS(nrES_PID,$D1169,nrES_Code,$F1169,nrES_Att,1)=0),"ATTEMPT 2 WITHOUT ATTEMPT 1",IF(AND($K1169=2,$L1169=""),"RETEST ROW HAS NO SCORE",IF(AND($H1169="Final",$L1169&lt;&gt;"",IFERROR(INDEX(nrCKfinalExamElig,MATCH($D1169,rngCadetPIDs,0)),"")="No"),"FINAL EXAM AFTER FAILED FINAL PT (500.1.H)",IF(AND($K1169=2,ISNUMBER($L1169),COUNTIFS(nrES_PID,$D1169,nrES_Code,$F1169,nrES_Att,1)&gt;0,SUMIFS(nrES_Raw,nrES_PID,$D1169,nrES_Code,$F1169,nrES_Att,1)&gt;=$J1169),"RETEST AFTER A PASSING FIRST ATTEMPT","OK"))))))))))</f>
        <v/>
      </c>
      <c r="Y1169" s="16" t="n"/>
    </row>
    <row r="1170">
      <c r="B1170" s="17">
        <f>IF($C1170="","",$D1170&amp;"-"&amp;$F1170&amp;"-"&amp;$K1170)</f>
        <v/>
      </c>
      <c r="C1170" s="16" t="n"/>
      <c r="D1170" s="17">
        <f>IF($C1170="","",IFERROR(INDEX(rngCadetPIDs,MATCH($C1170,rngCadetNames,0)),"?"))</f>
        <v/>
      </c>
      <c r="E1170" s="17">
        <f>IF($D1170="","",IFERROR(INDEX(nrCadetAgency,MATCH($D1170,rngCadetPIDs,0)),""))</f>
        <v/>
      </c>
      <c r="F1170" s="16" t="n"/>
      <c r="G1170" s="17">
        <f>IF($F1170="","",IFERROR(INDEX(rngEPname,MATCH($F1170,rngEPcode,0)),"?"))</f>
        <v/>
      </c>
      <c r="H1170" s="17">
        <f>IF($F1170="","",IFERROR(INDEX(rngEPtype,MATCH($F1170,rngEPcode,0)),"?"))</f>
        <v/>
      </c>
      <c r="I1170" s="17">
        <f>IF($F1170="","",IFERROR(INDEX(rngEPseq,MATCH($F1170,rngEPcode,0)),""))</f>
        <v/>
      </c>
      <c r="J1170" s="17">
        <f>IF($F1170="","",IFERROR(INDEX(rngEPpass,MATCH($F1170,rngEPcode,0)),cfgPassingScore))</f>
        <v/>
      </c>
      <c r="K1170" s="16" t="n"/>
      <c r="L1170" s="16" t="n"/>
      <c r="M1170" s="17">
        <f>IF($C1170="","",IF($L1170="","",IF(NOT(ISNUMBER($L1170)),$L1170,IF(N($K1170)&gt;2,"",IF($K1170=1,IF(COUNTIFS(nrES_PID,$D1170,nrES_Code,$F1170,nrES_Att,2,nrES_Raw,"&gt;=0")&gt;0,"",$L1170),IF($L1170&gt;=$J1170,MAX($J1170,cfgRetakeRecordedCap),IF(COUNTIFS(nrES_PID,$D1170,nrES_Code,$F1170,nrES_Att,1)=0,$L1170,SUMIFS(nrES_Raw,nrES_PID,$D1170,nrES_Code,$F1170,nrES_Att,1))))))))</f>
        <v/>
      </c>
      <c r="N1170" s="17">
        <f>IF($C1170="","",IF($L1170="","",IF(NOT(ISNUMBER($L1170)),"(not a score)",IF($L1170&gt;=$J1170,"Yes","No"))))</f>
        <v/>
      </c>
      <c r="O1170" s="17">
        <f>IF($C1170="","",IF($M1170="","",IF(NOT(ISNUMBER($M1170)),"(not a score)",IF($M1170&gt;=$J1170,"Yes","No"))))</f>
        <v/>
      </c>
      <c r="P1170" s="17">
        <f>IF($C1170="","",IF($K1170="","",IF(N($K1170)&gt;2,"No",IF(COUNTIFS(nrES_PID,$D1170,nrES_Code,$F1170,nrES_Att,"&gt;"&amp;$K1170,nrES_Att,"&lt;=2",nrES_Raw,"&gt;=0")=0,"Yes","No"))))</f>
        <v/>
      </c>
      <c r="Q1170" s="17">
        <f>IF($C1170="","",IF($L1170="","",IF(AND($K1170=1,ISNUMBER($L1170),$L1170&lt;$J1170,COUNTIFS(nrES_PID,$D1170,nrES_Code,$F1170,nrES_Att,2,nrES_Raw,"&gt;=0")=0),"Yes","No")))</f>
        <v/>
      </c>
      <c r="R1170" s="17">
        <f>IF($C1170="","",IF($L1170="","",IF(AND(N($K1170)&gt;=2,ISNUMBER($L1170),$L1170&lt;$J1170),"Yes","No")))</f>
        <v/>
      </c>
      <c r="S1170" s="18" t="n"/>
      <c r="T1170" s="19">
        <f>IF(OR($C1170="",$L1170="",$K1170&lt;&gt;1,NOT(ISNUMBER($L1170)),$L1170&gt;=$J1170),"",IF($S1170="","(enter date)",_xlfn.LET(_xlpm.dn,_xlfn.XLOOKUP($S1170,nrCDdate,nrCDnum,"",1),IF(_xlpm.dn="","(after last class day)",_xlfn.LET(_xlpm.dd,_xlfn.XLOOKUP(_xlpm.dn+cfgRetestClassDays,nrCDnum,nrCDdate,""),_xlpm.ok,_xlfn.XLOOKUP(_xlpm.dn+cfgRetestClassDays,nrCDnum,nrCDinsession,"No"),IF(OR(_xlpm.dd="",_xlpm.ok&lt;&gt;"Yes"),"(after last class day)",_xlpm.dd))))))</f>
        <v/>
      </c>
      <c r="U1170" s="17">
        <f>IF($C1170="","",IF(AND($Y1170="Excused",$L1170="",N($K1170)&lt;=1),"EXCUSED - 1st attempt pending",IF(OR($L1170="",$K1170&lt;&gt;1,NOT(ISNUMBER($L1170)),$L1170&gt;=$J1170),"",IF(COUNTIFS(nrES_PID,$D1170,nrES_Code,$F1170,nrES_Att,2,nrES_Raw,"&gt;=0")&gt;0,IF(IFERROR(_xlfn.MINIFS(nrES_Date,nrES_PID,$D1170,nrES_Code,$F1170,nrES_Att,2,nrES_Raw,"&gt;=0",nrES_Date,"&gt;0"),0)=0,"RETEST UNDATED",IF(NOT(ISNUMBER($T1170)),"RETEST DATE UNCHECKED",IF(_xlfn.MINIFS(nrES_Date,nrES_PID,$D1170,nrES_Code,$F1170,nrES_Att,2,nrES_Raw,"&gt;=0",nrES_Date,"&gt;0")&gt;$T1170,"LATE RETEST "&amp;TEXT(_xlfn.MINIFS(nrES_Date,nrES_PID,$D1170,nrES_Code,$F1170,nrES_Att,2,nrES_Raw,"&gt;=0",nrES_Date,"&gt;0"),"mm/dd")&amp;" (due "&amp;TEXT($T1170,"mm/dd")&amp;")","Retested"))),IF(NOT(ISNUMBER($T1170)),"CHECK DATE",IF(TODAY()&gt;$T1170,"OVERDUE","Due "&amp;TEXT($T1170,"mm/dd")))))))</f>
        <v/>
      </c>
      <c r="V1170" s="16" t="n"/>
      <c r="W1170" s="16" t="n"/>
      <c r="X1170" s="17">
        <f>IF($C1170="","",IF(AND($L1170&lt;&gt;"",NOT(ISNUMBER($L1170))),"RAW SCORE NOT A NUMBER",IF(AND(ISNUMBER($L1170),OR($L1170&lt;0,$L1170&gt;100)),"RAW SCORE OUT OF RANGE",IF(AND($Y1170="Unexcused",OR($L1170="",NOT(ISNUMBER($L1170)),$L1170&lt;&gt;0)),"UNEXCUSED ABSENCE MUST RECORD 0",IF(COUNTIF(nrES_RecID,$B1170)&gt;1,"DUPLICATE RECORD",IF(N($K1170)&gt;2,"ATTEMPT 3+ NOT ALLOWED - policy 300.5 permits one retest per exam; this row records nothing",IF(AND($K1170=2,COUNTIFS(nrES_PID,$D1170,nrES_Code,$F1170,nrES_Att,1)=0),"ATTEMPT 2 WITHOUT ATTEMPT 1",IF(AND($K1170=2,$L1170=""),"RETEST ROW HAS NO SCORE",IF(AND($H1170="Final",$L1170&lt;&gt;"",IFERROR(INDEX(nrCKfinalExamElig,MATCH($D1170,rngCadetPIDs,0)),"")="No"),"FINAL EXAM AFTER FAILED FINAL PT (500.1.H)",IF(AND($K1170=2,ISNUMBER($L1170),COUNTIFS(nrES_PID,$D1170,nrES_Code,$F1170,nrES_Att,1)&gt;0,SUMIFS(nrES_Raw,nrES_PID,$D1170,nrES_Code,$F1170,nrES_Att,1)&gt;=$J1170),"RETEST AFTER A PASSING FIRST ATTEMPT","OK"))))))))))</f>
        <v/>
      </c>
      <c r="Y1170" s="16" t="n"/>
    </row>
    <row r="1171">
      <c r="B1171" s="17">
        <f>IF($C1171="","",$D1171&amp;"-"&amp;$F1171&amp;"-"&amp;$K1171)</f>
        <v/>
      </c>
      <c r="C1171" s="16" t="n"/>
      <c r="D1171" s="17">
        <f>IF($C1171="","",IFERROR(INDEX(rngCadetPIDs,MATCH($C1171,rngCadetNames,0)),"?"))</f>
        <v/>
      </c>
      <c r="E1171" s="17">
        <f>IF($D1171="","",IFERROR(INDEX(nrCadetAgency,MATCH($D1171,rngCadetPIDs,0)),""))</f>
        <v/>
      </c>
      <c r="F1171" s="16" t="n"/>
      <c r="G1171" s="17">
        <f>IF($F1171="","",IFERROR(INDEX(rngEPname,MATCH($F1171,rngEPcode,0)),"?"))</f>
        <v/>
      </c>
      <c r="H1171" s="17">
        <f>IF($F1171="","",IFERROR(INDEX(rngEPtype,MATCH($F1171,rngEPcode,0)),"?"))</f>
        <v/>
      </c>
      <c r="I1171" s="17">
        <f>IF($F1171="","",IFERROR(INDEX(rngEPseq,MATCH($F1171,rngEPcode,0)),""))</f>
        <v/>
      </c>
      <c r="J1171" s="17">
        <f>IF($F1171="","",IFERROR(INDEX(rngEPpass,MATCH($F1171,rngEPcode,0)),cfgPassingScore))</f>
        <v/>
      </c>
      <c r="K1171" s="16" t="n"/>
      <c r="L1171" s="16" t="n"/>
      <c r="M1171" s="17">
        <f>IF($C1171="","",IF($L1171="","",IF(NOT(ISNUMBER($L1171)),$L1171,IF(N($K1171)&gt;2,"",IF($K1171=1,IF(COUNTIFS(nrES_PID,$D1171,nrES_Code,$F1171,nrES_Att,2,nrES_Raw,"&gt;=0")&gt;0,"",$L1171),IF($L1171&gt;=$J1171,MAX($J1171,cfgRetakeRecordedCap),IF(COUNTIFS(nrES_PID,$D1171,nrES_Code,$F1171,nrES_Att,1)=0,$L1171,SUMIFS(nrES_Raw,nrES_PID,$D1171,nrES_Code,$F1171,nrES_Att,1))))))))</f>
        <v/>
      </c>
      <c r="N1171" s="17">
        <f>IF($C1171="","",IF($L1171="","",IF(NOT(ISNUMBER($L1171)),"(not a score)",IF($L1171&gt;=$J1171,"Yes","No"))))</f>
        <v/>
      </c>
      <c r="O1171" s="17">
        <f>IF($C1171="","",IF($M1171="","",IF(NOT(ISNUMBER($M1171)),"(not a score)",IF($M1171&gt;=$J1171,"Yes","No"))))</f>
        <v/>
      </c>
      <c r="P1171" s="17">
        <f>IF($C1171="","",IF($K1171="","",IF(N($K1171)&gt;2,"No",IF(COUNTIFS(nrES_PID,$D1171,nrES_Code,$F1171,nrES_Att,"&gt;"&amp;$K1171,nrES_Att,"&lt;=2",nrES_Raw,"&gt;=0")=0,"Yes","No"))))</f>
        <v/>
      </c>
      <c r="Q1171" s="17">
        <f>IF($C1171="","",IF($L1171="","",IF(AND($K1171=1,ISNUMBER($L1171),$L1171&lt;$J1171,COUNTIFS(nrES_PID,$D1171,nrES_Code,$F1171,nrES_Att,2,nrES_Raw,"&gt;=0")=0),"Yes","No")))</f>
        <v/>
      </c>
      <c r="R1171" s="17">
        <f>IF($C1171="","",IF($L1171="","",IF(AND(N($K1171)&gt;=2,ISNUMBER($L1171),$L1171&lt;$J1171),"Yes","No")))</f>
        <v/>
      </c>
      <c r="S1171" s="18" t="n"/>
      <c r="T1171" s="19">
        <f>IF(OR($C1171="",$L1171="",$K1171&lt;&gt;1,NOT(ISNUMBER($L1171)),$L1171&gt;=$J1171),"",IF($S1171="","(enter date)",_xlfn.LET(_xlpm.dn,_xlfn.XLOOKUP($S1171,nrCDdate,nrCDnum,"",1),IF(_xlpm.dn="","(after last class day)",_xlfn.LET(_xlpm.dd,_xlfn.XLOOKUP(_xlpm.dn+cfgRetestClassDays,nrCDnum,nrCDdate,""),_xlpm.ok,_xlfn.XLOOKUP(_xlpm.dn+cfgRetestClassDays,nrCDnum,nrCDinsession,"No"),IF(OR(_xlpm.dd="",_xlpm.ok&lt;&gt;"Yes"),"(after last class day)",_xlpm.dd))))))</f>
        <v/>
      </c>
      <c r="U1171" s="17">
        <f>IF($C1171="","",IF(AND($Y1171="Excused",$L1171="",N($K1171)&lt;=1),"EXCUSED - 1st attempt pending",IF(OR($L1171="",$K1171&lt;&gt;1,NOT(ISNUMBER($L1171)),$L1171&gt;=$J1171),"",IF(COUNTIFS(nrES_PID,$D1171,nrES_Code,$F1171,nrES_Att,2,nrES_Raw,"&gt;=0")&gt;0,IF(IFERROR(_xlfn.MINIFS(nrES_Date,nrES_PID,$D1171,nrES_Code,$F1171,nrES_Att,2,nrES_Raw,"&gt;=0",nrES_Date,"&gt;0"),0)=0,"RETEST UNDATED",IF(NOT(ISNUMBER($T1171)),"RETEST DATE UNCHECKED",IF(_xlfn.MINIFS(nrES_Date,nrES_PID,$D1171,nrES_Code,$F1171,nrES_Att,2,nrES_Raw,"&gt;=0",nrES_Date,"&gt;0")&gt;$T1171,"LATE RETEST "&amp;TEXT(_xlfn.MINIFS(nrES_Date,nrES_PID,$D1171,nrES_Code,$F1171,nrES_Att,2,nrES_Raw,"&gt;=0",nrES_Date,"&gt;0"),"mm/dd")&amp;" (due "&amp;TEXT($T1171,"mm/dd")&amp;")","Retested"))),IF(NOT(ISNUMBER($T1171)),"CHECK DATE",IF(TODAY()&gt;$T1171,"OVERDUE","Due "&amp;TEXT($T1171,"mm/dd")))))))</f>
        <v/>
      </c>
      <c r="V1171" s="16" t="n"/>
      <c r="W1171" s="16" t="n"/>
      <c r="X1171" s="17">
        <f>IF($C1171="","",IF(AND($L1171&lt;&gt;"",NOT(ISNUMBER($L1171))),"RAW SCORE NOT A NUMBER",IF(AND(ISNUMBER($L1171),OR($L1171&lt;0,$L1171&gt;100)),"RAW SCORE OUT OF RANGE",IF(AND($Y1171="Unexcused",OR($L1171="",NOT(ISNUMBER($L1171)),$L1171&lt;&gt;0)),"UNEXCUSED ABSENCE MUST RECORD 0",IF(COUNTIF(nrES_RecID,$B1171)&gt;1,"DUPLICATE RECORD",IF(N($K1171)&gt;2,"ATTEMPT 3+ NOT ALLOWED - policy 300.5 permits one retest per exam; this row records nothing",IF(AND($K1171=2,COUNTIFS(nrES_PID,$D1171,nrES_Code,$F1171,nrES_Att,1)=0),"ATTEMPT 2 WITHOUT ATTEMPT 1",IF(AND($K1171=2,$L1171=""),"RETEST ROW HAS NO SCORE",IF(AND($H1171="Final",$L1171&lt;&gt;"",IFERROR(INDEX(nrCKfinalExamElig,MATCH($D1171,rngCadetPIDs,0)),"")="No"),"FINAL EXAM AFTER FAILED FINAL PT (500.1.H)",IF(AND($K1171=2,ISNUMBER($L1171),COUNTIFS(nrES_PID,$D1171,nrES_Code,$F1171,nrES_Att,1)&gt;0,SUMIFS(nrES_Raw,nrES_PID,$D1171,nrES_Code,$F1171,nrES_Att,1)&gt;=$J1171),"RETEST AFTER A PASSING FIRST ATTEMPT","OK"))))))))))</f>
        <v/>
      </c>
      <c r="Y1171" s="16" t="n"/>
    </row>
    <row r="1172">
      <c r="B1172" s="17">
        <f>IF($C1172="","",$D1172&amp;"-"&amp;$F1172&amp;"-"&amp;$K1172)</f>
        <v/>
      </c>
      <c r="C1172" s="16" t="n"/>
      <c r="D1172" s="17">
        <f>IF($C1172="","",IFERROR(INDEX(rngCadetPIDs,MATCH($C1172,rngCadetNames,0)),"?"))</f>
        <v/>
      </c>
      <c r="E1172" s="17">
        <f>IF($D1172="","",IFERROR(INDEX(nrCadetAgency,MATCH($D1172,rngCadetPIDs,0)),""))</f>
        <v/>
      </c>
      <c r="F1172" s="16" t="n"/>
      <c r="G1172" s="17">
        <f>IF($F1172="","",IFERROR(INDEX(rngEPname,MATCH($F1172,rngEPcode,0)),"?"))</f>
        <v/>
      </c>
      <c r="H1172" s="17">
        <f>IF($F1172="","",IFERROR(INDEX(rngEPtype,MATCH($F1172,rngEPcode,0)),"?"))</f>
        <v/>
      </c>
      <c r="I1172" s="17">
        <f>IF($F1172="","",IFERROR(INDEX(rngEPseq,MATCH($F1172,rngEPcode,0)),""))</f>
        <v/>
      </c>
      <c r="J1172" s="17">
        <f>IF($F1172="","",IFERROR(INDEX(rngEPpass,MATCH($F1172,rngEPcode,0)),cfgPassingScore))</f>
        <v/>
      </c>
      <c r="K1172" s="16" t="n"/>
      <c r="L1172" s="16" t="n"/>
      <c r="M1172" s="17">
        <f>IF($C1172="","",IF($L1172="","",IF(NOT(ISNUMBER($L1172)),$L1172,IF(N($K1172)&gt;2,"",IF($K1172=1,IF(COUNTIFS(nrES_PID,$D1172,nrES_Code,$F1172,nrES_Att,2,nrES_Raw,"&gt;=0")&gt;0,"",$L1172),IF($L1172&gt;=$J1172,MAX($J1172,cfgRetakeRecordedCap),IF(COUNTIFS(nrES_PID,$D1172,nrES_Code,$F1172,nrES_Att,1)=0,$L1172,SUMIFS(nrES_Raw,nrES_PID,$D1172,nrES_Code,$F1172,nrES_Att,1))))))))</f>
        <v/>
      </c>
      <c r="N1172" s="17">
        <f>IF($C1172="","",IF($L1172="","",IF(NOT(ISNUMBER($L1172)),"(not a score)",IF($L1172&gt;=$J1172,"Yes","No"))))</f>
        <v/>
      </c>
      <c r="O1172" s="17">
        <f>IF($C1172="","",IF($M1172="","",IF(NOT(ISNUMBER($M1172)),"(not a score)",IF($M1172&gt;=$J1172,"Yes","No"))))</f>
        <v/>
      </c>
      <c r="P1172" s="17">
        <f>IF($C1172="","",IF($K1172="","",IF(N($K1172)&gt;2,"No",IF(COUNTIFS(nrES_PID,$D1172,nrES_Code,$F1172,nrES_Att,"&gt;"&amp;$K1172,nrES_Att,"&lt;=2",nrES_Raw,"&gt;=0")=0,"Yes","No"))))</f>
        <v/>
      </c>
      <c r="Q1172" s="17">
        <f>IF($C1172="","",IF($L1172="","",IF(AND($K1172=1,ISNUMBER($L1172),$L1172&lt;$J1172,COUNTIFS(nrES_PID,$D1172,nrES_Code,$F1172,nrES_Att,2,nrES_Raw,"&gt;=0")=0),"Yes","No")))</f>
        <v/>
      </c>
      <c r="R1172" s="17">
        <f>IF($C1172="","",IF($L1172="","",IF(AND(N($K1172)&gt;=2,ISNUMBER($L1172),$L1172&lt;$J1172),"Yes","No")))</f>
        <v/>
      </c>
      <c r="S1172" s="18" t="n"/>
      <c r="T1172" s="19">
        <f>IF(OR($C1172="",$L1172="",$K1172&lt;&gt;1,NOT(ISNUMBER($L1172)),$L1172&gt;=$J1172),"",IF($S1172="","(enter date)",_xlfn.LET(_xlpm.dn,_xlfn.XLOOKUP($S1172,nrCDdate,nrCDnum,"",1),IF(_xlpm.dn="","(after last class day)",_xlfn.LET(_xlpm.dd,_xlfn.XLOOKUP(_xlpm.dn+cfgRetestClassDays,nrCDnum,nrCDdate,""),_xlpm.ok,_xlfn.XLOOKUP(_xlpm.dn+cfgRetestClassDays,nrCDnum,nrCDinsession,"No"),IF(OR(_xlpm.dd="",_xlpm.ok&lt;&gt;"Yes"),"(after last class day)",_xlpm.dd))))))</f>
        <v/>
      </c>
      <c r="U1172" s="17">
        <f>IF($C1172="","",IF(AND($Y1172="Excused",$L1172="",N($K1172)&lt;=1),"EXCUSED - 1st attempt pending",IF(OR($L1172="",$K1172&lt;&gt;1,NOT(ISNUMBER($L1172)),$L1172&gt;=$J1172),"",IF(COUNTIFS(nrES_PID,$D1172,nrES_Code,$F1172,nrES_Att,2,nrES_Raw,"&gt;=0")&gt;0,IF(IFERROR(_xlfn.MINIFS(nrES_Date,nrES_PID,$D1172,nrES_Code,$F1172,nrES_Att,2,nrES_Raw,"&gt;=0",nrES_Date,"&gt;0"),0)=0,"RETEST UNDATED",IF(NOT(ISNUMBER($T1172)),"RETEST DATE UNCHECKED",IF(_xlfn.MINIFS(nrES_Date,nrES_PID,$D1172,nrES_Code,$F1172,nrES_Att,2,nrES_Raw,"&gt;=0",nrES_Date,"&gt;0")&gt;$T1172,"LATE RETEST "&amp;TEXT(_xlfn.MINIFS(nrES_Date,nrES_PID,$D1172,nrES_Code,$F1172,nrES_Att,2,nrES_Raw,"&gt;=0",nrES_Date,"&gt;0"),"mm/dd")&amp;" (due "&amp;TEXT($T1172,"mm/dd")&amp;")","Retested"))),IF(NOT(ISNUMBER($T1172)),"CHECK DATE",IF(TODAY()&gt;$T1172,"OVERDUE","Due "&amp;TEXT($T1172,"mm/dd")))))))</f>
        <v/>
      </c>
      <c r="V1172" s="16" t="n"/>
      <c r="W1172" s="16" t="n"/>
      <c r="X1172" s="17">
        <f>IF($C1172="","",IF(AND($L1172&lt;&gt;"",NOT(ISNUMBER($L1172))),"RAW SCORE NOT A NUMBER",IF(AND(ISNUMBER($L1172),OR($L1172&lt;0,$L1172&gt;100)),"RAW SCORE OUT OF RANGE",IF(AND($Y1172="Unexcused",OR($L1172="",NOT(ISNUMBER($L1172)),$L1172&lt;&gt;0)),"UNEXCUSED ABSENCE MUST RECORD 0",IF(COUNTIF(nrES_RecID,$B1172)&gt;1,"DUPLICATE RECORD",IF(N($K1172)&gt;2,"ATTEMPT 3+ NOT ALLOWED - policy 300.5 permits one retest per exam; this row records nothing",IF(AND($K1172=2,COUNTIFS(nrES_PID,$D1172,nrES_Code,$F1172,nrES_Att,1)=0),"ATTEMPT 2 WITHOUT ATTEMPT 1",IF(AND($K1172=2,$L1172=""),"RETEST ROW HAS NO SCORE",IF(AND($H1172="Final",$L1172&lt;&gt;"",IFERROR(INDEX(nrCKfinalExamElig,MATCH($D1172,rngCadetPIDs,0)),"")="No"),"FINAL EXAM AFTER FAILED FINAL PT (500.1.H)",IF(AND($K1172=2,ISNUMBER($L1172),COUNTIFS(nrES_PID,$D1172,nrES_Code,$F1172,nrES_Att,1)&gt;0,SUMIFS(nrES_Raw,nrES_PID,$D1172,nrES_Code,$F1172,nrES_Att,1)&gt;=$J1172),"RETEST AFTER A PASSING FIRST ATTEMPT","OK"))))))))))</f>
        <v/>
      </c>
      <c r="Y1172" s="16" t="n"/>
    </row>
    <row r="1173">
      <c r="B1173" s="17">
        <f>IF($C1173="","",$D1173&amp;"-"&amp;$F1173&amp;"-"&amp;$K1173)</f>
        <v/>
      </c>
      <c r="C1173" s="16" t="n"/>
      <c r="D1173" s="17">
        <f>IF($C1173="","",IFERROR(INDEX(rngCadetPIDs,MATCH($C1173,rngCadetNames,0)),"?"))</f>
        <v/>
      </c>
      <c r="E1173" s="17">
        <f>IF($D1173="","",IFERROR(INDEX(nrCadetAgency,MATCH($D1173,rngCadetPIDs,0)),""))</f>
        <v/>
      </c>
      <c r="F1173" s="16" t="n"/>
      <c r="G1173" s="17">
        <f>IF($F1173="","",IFERROR(INDEX(rngEPname,MATCH($F1173,rngEPcode,0)),"?"))</f>
        <v/>
      </c>
      <c r="H1173" s="17">
        <f>IF($F1173="","",IFERROR(INDEX(rngEPtype,MATCH($F1173,rngEPcode,0)),"?"))</f>
        <v/>
      </c>
      <c r="I1173" s="17">
        <f>IF($F1173="","",IFERROR(INDEX(rngEPseq,MATCH($F1173,rngEPcode,0)),""))</f>
        <v/>
      </c>
      <c r="J1173" s="17">
        <f>IF($F1173="","",IFERROR(INDEX(rngEPpass,MATCH($F1173,rngEPcode,0)),cfgPassingScore))</f>
        <v/>
      </c>
      <c r="K1173" s="16" t="n"/>
      <c r="L1173" s="16" t="n"/>
      <c r="M1173" s="17">
        <f>IF($C1173="","",IF($L1173="","",IF(NOT(ISNUMBER($L1173)),$L1173,IF(N($K1173)&gt;2,"",IF($K1173=1,IF(COUNTIFS(nrES_PID,$D1173,nrES_Code,$F1173,nrES_Att,2,nrES_Raw,"&gt;=0")&gt;0,"",$L1173),IF($L1173&gt;=$J1173,MAX($J1173,cfgRetakeRecordedCap),IF(COUNTIFS(nrES_PID,$D1173,nrES_Code,$F1173,nrES_Att,1)=0,$L1173,SUMIFS(nrES_Raw,nrES_PID,$D1173,nrES_Code,$F1173,nrES_Att,1))))))))</f>
        <v/>
      </c>
      <c r="N1173" s="17">
        <f>IF($C1173="","",IF($L1173="","",IF(NOT(ISNUMBER($L1173)),"(not a score)",IF($L1173&gt;=$J1173,"Yes","No"))))</f>
        <v/>
      </c>
      <c r="O1173" s="17">
        <f>IF($C1173="","",IF($M1173="","",IF(NOT(ISNUMBER($M1173)),"(not a score)",IF($M1173&gt;=$J1173,"Yes","No"))))</f>
        <v/>
      </c>
      <c r="P1173" s="17">
        <f>IF($C1173="","",IF($K1173="","",IF(N($K1173)&gt;2,"No",IF(COUNTIFS(nrES_PID,$D1173,nrES_Code,$F1173,nrES_Att,"&gt;"&amp;$K1173,nrES_Att,"&lt;=2",nrES_Raw,"&gt;=0")=0,"Yes","No"))))</f>
        <v/>
      </c>
      <c r="Q1173" s="17">
        <f>IF($C1173="","",IF($L1173="","",IF(AND($K1173=1,ISNUMBER($L1173),$L1173&lt;$J1173,COUNTIFS(nrES_PID,$D1173,nrES_Code,$F1173,nrES_Att,2,nrES_Raw,"&gt;=0")=0),"Yes","No")))</f>
        <v/>
      </c>
      <c r="R1173" s="17">
        <f>IF($C1173="","",IF($L1173="","",IF(AND(N($K1173)&gt;=2,ISNUMBER($L1173),$L1173&lt;$J1173),"Yes","No")))</f>
        <v/>
      </c>
      <c r="S1173" s="18" t="n"/>
      <c r="T1173" s="19">
        <f>IF(OR($C1173="",$L1173="",$K1173&lt;&gt;1,NOT(ISNUMBER($L1173)),$L1173&gt;=$J1173),"",IF($S1173="","(enter date)",_xlfn.LET(_xlpm.dn,_xlfn.XLOOKUP($S1173,nrCDdate,nrCDnum,"",1),IF(_xlpm.dn="","(after last class day)",_xlfn.LET(_xlpm.dd,_xlfn.XLOOKUP(_xlpm.dn+cfgRetestClassDays,nrCDnum,nrCDdate,""),_xlpm.ok,_xlfn.XLOOKUP(_xlpm.dn+cfgRetestClassDays,nrCDnum,nrCDinsession,"No"),IF(OR(_xlpm.dd="",_xlpm.ok&lt;&gt;"Yes"),"(after last class day)",_xlpm.dd))))))</f>
        <v/>
      </c>
      <c r="U1173" s="17">
        <f>IF($C1173="","",IF(AND($Y1173="Excused",$L1173="",N($K1173)&lt;=1),"EXCUSED - 1st attempt pending",IF(OR($L1173="",$K1173&lt;&gt;1,NOT(ISNUMBER($L1173)),$L1173&gt;=$J1173),"",IF(COUNTIFS(nrES_PID,$D1173,nrES_Code,$F1173,nrES_Att,2,nrES_Raw,"&gt;=0")&gt;0,IF(IFERROR(_xlfn.MINIFS(nrES_Date,nrES_PID,$D1173,nrES_Code,$F1173,nrES_Att,2,nrES_Raw,"&gt;=0",nrES_Date,"&gt;0"),0)=0,"RETEST UNDATED",IF(NOT(ISNUMBER($T1173)),"RETEST DATE UNCHECKED",IF(_xlfn.MINIFS(nrES_Date,nrES_PID,$D1173,nrES_Code,$F1173,nrES_Att,2,nrES_Raw,"&gt;=0",nrES_Date,"&gt;0")&gt;$T1173,"LATE RETEST "&amp;TEXT(_xlfn.MINIFS(nrES_Date,nrES_PID,$D1173,nrES_Code,$F1173,nrES_Att,2,nrES_Raw,"&gt;=0",nrES_Date,"&gt;0"),"mm/dd")&amp;" (due "&amp;TEXT($T1173,"mm/dd")&amp;")","Retested"))),IF(NOT(ISNUMBER($T1173)),"CHECK DATE",IF(TODAY()&gt;$T1173,"OVERDUE","Due "&amp;TEXT($T1173,"mm/dd")))))))</f>
        <v/>
      </c>
      <c r="V1173" s="16" t="n"/>
      <c r="W1173" s="16" t="n"/>
      <c r="X1173" s="17">
        <f>IF($C1173="","",IF(AND($L1173&lt;&gt;"",NOT(ISNUMBER($L1173))),"RAW SCORE NOT A NUMBER",IF(AND(ISNUMBER($L1173),OR($L1173&lt;0,$L1173&gt;100)),"RAW SCORE OUT OF RANGE",IF(AND($Y1173="Unexcused",OR($L1173="",NOT(ISNUMBER($L1173)),$L1173&lt;&gt;0)),"UNEXCUSED ABSENCE MUST RECORD 0",IF(COUNTIF(nrES_RecID,$B1173)&gt;1,"DUPLICATE RECORD",IF(N($K1173)&gt;2,"ATTEMPT 3+ NOT ALLOWED - policy 300.5 permits one retest per exam; this row records nothing",IF(AND($K1173=2,COUNTIFS(nrES_PID,$D1173,nrES_Code,$F1173,nrES_Att,1)=0),"ATTEMPT 2 WITHOUT ATTEMPT 1",IF(AND($K1173=2,$L1173=""),"RETEST ROW HAS NO SCORE",IF(AND($H1173="Final",$L1173&lt;&gt;"",IFERROR(INDEX(nrCKfinalExamElig,MATCH($D1173,rngCadetPIDs,0)),"")="No"),"FINAL EXAM AFTER FAILED FINAL PT (500.1.H)",IF(AND($K1173=2,ISNUMBER($L1173),COUNTIFS(nrES_PID,$D1173,nrES_Code,$F1173,nrES_Att,1)&gt;0,SUMIFS(nrES_Raw,nrES_PID,$D1173,nrES_Code,$F1173,nrES_Att,1)&gt;=$J1173),"RETEST AFTER A PASSING FIRST ATTEMPT","OK"))))))))))</f>
        <v/>
      </c>
      <c r="Y1173" s="16" t="n"/>
    </row>
    <row r="1174">
      <c r="B1174" s="17">
        <f>IF($C1174="","",$D1174&amp;"-"&amp;$F1174&amp;"-"&amp;$K1174)</f>
        <v/>
      </c>
      <c r="C1174" s="16" t="n"/>
      <c r="D1174" s="17">
        <f>IF($C1174="","",IFERROR(INDEX(rngCadetPIDs,MATCH($C1174,rngCadetNames,0)),"?"))</f>
        <v/>
      </c>
      <c r="E1174" s="17">
        <f>IF($D1174="","",IFERROR(INDEX(nrCadetAgency,MATCH($D1174,rngCadetPIDs,0)),""))</f>
        <v/>
      </c>
      <c r="F1174" s="16" t="n"/>
      <c r="G1174" s="17">
        <f>IF($F1174="","",IFERROR(INDEX(rngEPname,MATCH($F1174,rngEPcode,0)),"?"))</f>
        <v/>
      </c>
      <c r="H1174" s="17">
        <f>IF($F1174="","",IFERROR(INDEX(rngEPtype,MATCH($F1174,rngEPcode,0)),"?"))</f>
        <v/>
      </c>
      <c r="I1174" s="17">
        <f>IF($F1174="","",IFERROR(INDEX(rngEPseq,MATCH($F1174,rngEPcode,0)),""))</f>
        <v/>
      </c>
      <c r="J1174" s="17">
        <f>IF($F1174="","",IFERROR(INDEX(rngEPpass,MATCH($F1174,rngEPcode,0)),cfgPassingScore))</f>
        <v/>
      </c>
      <c r="K1174" s="16" t="n"/>
      <c r="L1174" s="16" t="n"/>
      <c r="M1174" s="17">
        <f>IF($C1174="","",IF($L1174="","",IF(NOT(ISNUMBER($L1174)),$L1174,IF(N($K1174)&gt;2,"",IF($K1174=1,IF(COUNTIFS(nrES_PID,$D1174,nrES_Code,$F1174,nrES_Att,2,nrES_Raw,"&gt;=0")&gt;0,"",$L1174),IF($L1174&gt;=$J1174,MAX($J1174,cfgRetakeRecordedCap),IF(COUNTIFS(nrES_PID,$D1174,nrES_Code,$F1174,nrES_Att,1)=0,$L1174,SUMIFS(nrES_Raw,nrES_PID,$D1174,nrES_Code,$F1174,nrES_Att,1))))))))</f>
        <v/>
      </c>
      <c r="N1174" s="17">
        <f>IF($C1174="","",IF($L1174="","",IF(NOT(ISNUMBER($L1174)),"(not a score)",IF($L1174&gt;=$J1174,"Yes","No"))))</f>
        <v/>
      </c>
      <c r="O1174" s="17">
        <f>IF($C1174="","",IF($M1174="","",IF(NOT(ISNUMBER($M1174)),"(not a score)",IF($M1174&gt;=$J1174,"Yes","No"))))</f>
        <v/>
      </c>
      <c r="P1174" s="17">
        <f>IF($C1174="","",IF($K1174="","",IF(N($K1174)&gt;2,"No",IF(COUNTIFS(nrES_PID,$D1174,nrES_Code,$F1174,nrES_Att,"&gt;"&amp;$K1174,nrES_Att,"&lt;=2",nrES_Raw,"&gt;=0")=0,"Yes","No"))))</f>
        <v/>
      </c>
      <c r="Q1174" s="17">
        <f>IF($C1174="","",IF($L1174="","",IF(AND($K1174=1,ISNUMBER($L1174),$L1174&lt;$J1174,COUNTIFS(nrES_PID,$D1174,nrES_Code,$F1174,nrES_Att,2,nrES_Raw,"&gt;=0")=0),"Yes","No")))</f>
        <v/>
      </c>
      <c r="R1174" s="17">
        <f>IF($C1174="","",IF($L1174="","",IF(AND(N($K1174)&gt;=2,ISNUMBER($L1174),$L1174&lt;$J1174),"Yes","No")))</f>
        <v/>
      </c>
      <c r="S1174" s="18" t="n"/>
      <c r="T1174" s="19">
        <f>IF(OR($C1174="",$L1174="",$K1174&lt;&gt;1,NOT(ISNUMBER($L1174)),$L1174&gt;=$J1174),"",IF($S1174="","(enter date)",_xlfn.LET(_xlpm.dn,_xlfn.XLOOKUP($S1174,nrCDdate,nrCDnum,"",1),IF(_xlpm.dn="","(after last class day)",_xlfn.LET(_xlpm.dd,_xlfn.XLOOKUP(_xlpm.dn+cfgRetestClassDays,nrCDnum,nrCDdate,""),_xlpm.ok,_xlfn.XLOOKUP(_xlpm.dn+cfgRetestClassDays,nrCDnum,nrCDinsession,"No"),IF(OR(_xlpm.dd="",_xlpm.ok&lt;&gt;"Yes"),"(after last class day)",_xlpm.dd))))))</f>
        <v/>
      </c>
      <c r="U1174" s="17">
        <f>IF($C1174="","",IF(AND($Y1174="Excused",$L1174="",N($K1174)&lt;=1),"EXCUSED - 1st attempt pending",IF(OR($L1174="",$K1174&lt;&gt;1,NOT(ISNUMBER($L1174)),$L1174&gt;=$J1174),"",IF(COUNTIFS(nrES_PID,$D1174,nrES_Code,$F1174,nrES_Att,2,nrES_Raw,"&gt;=0")&gt;0,IF(IFERROR(_xlfn.MINIFS(nrES_Date,nrES_PID,$D1174,nrES_Code,$F1174,nrES_Att,2,nrES_Raw,"&gt;=0",nrES_Date,"&gt;0"),0)=0,"RETEST UNDATED",IF(NOT(ISNUMBER($T1174)),"RETEST DATE UNCHECKED",IF(_xlfn.MINIFS(nrES_Date,nrES_PID,$D1174,nrES_Code,$F1174,nrES_Att,2,nrES_Raw,"&gt;=0",nrES_Date,"&gt;0")&gt;$T1174,"LATE RETEST "&amp;TEXT(_xlfn.MINIFS(nrES_Date,nrES_PID,$D1174,nrES_Code,$F1174,nrES_Att,2,nrES_Raw,"&gt;=0",nrES_Date,"&gt;0"),"mm/dd")&amp;" (due "&amp;TEXT($T1174,"mm/dd")&amp;")","Retested"))),IF(NOT(ISNUMBER($T1174)),"CHECK DATE",IF(TODAY()&gt;$T1174,"OVERDUE","Due "&amp;TEXT($T1174,"mm/dd")))))))</f>
        <v/>
      </c>
      <c r="V1174" s="16" t="n"/>
      <c r="W1174" s="16" t="n"/>
      <c r="X1174" s="17">
        <f>IF($C1174="","",IF(AND($L1174&lt;&gt;"",NOT(ISNUMBER($L1174))),"RAW SCORE NOT A NUMBER",IF(AND(ISNUMBER($L1174),OR($L1174&lt;0,$L1174&gt;100)),"RAW SCORE OUT OF RANGE",IF(AND($Y1174="Unexcused",OR($L1174="",NOT(ISNUMBER($L1174)),$L1174&lt;&gt;0)),"UNEXCUSED ABSENCE MUST RECORD 0",IF(COUNTIF(nrES_RecID,$B1174)&gt;1,"DUPLICATE RECORD",IF(N($K1174)&gt;2,"ATTEMPT 3+ NOT ALLOWED - policy 300.5 permits one retest per exam; this row records nothing",IF(AND($K1174=2,COUNTIFS(nrES_PID,$D1174,nrES_Code,$F1174,nrES_Att,1)=0),"ATTEMPT 2 WITHOUT ATTEMPT 1",IF(AND($K1174=2,$L1174=""),"RETEST ROW HAS NO SCORE",IF(AND($H1174="Final",$L1174&lt;&gt;"",IFERROR(INDEX(nrCKfinalExamElig,MATCH($D1174,rngCadetPIDs,0)),"")="No"),"FINAL EXAM AFTER FAILED FINAL PT (500.1.H)",IF(AND($K1174=2,ISNUMBER($L1174),COUNTIFS(nrES_PID,$D1174,nrES_Code,$F1174,nrES_Att,1)&gt;0,SUMIFS(nrES_Raw,nrES_PID,$D1174,nrES_Code,$F1174,nrES_Att,1)&gt;=$J1174),"RETEST AFTER A PASSING FIRST ATTEMPT","OK"))))))))))</f>
        <v/>
      </c>
      <c r="Y1174" s="16" t="n"/>
    </row>
    <row r="1175">
      <c r="B1175" s="17">
        <f>IF($C1175="","",$D1175&amp;"-"&amp;$F1175&amp;"-"&amp;$K1175)</f>
        <v/>
      </c>
      <c r="C1175" s="16" t="n"/>
      <c r="D1175" s="17">
        <f>IF($C1175="","",IFERROR(INDEX(rngCadetPIDs,MATCH($C1175,rngCadetNames,0)),"?"))</f>
        <v/>
      </c>
      <c r="E1175" s="17">
        <f>IF($D1175="","",IFERROR(INDEX(nrCadetAgency,MATCH($D1175,rngCadetPIDs,0)),""))</f>
        <v/>
      </c>
      <c r="F1175" s="16" t="n"/>
      <c r="G1175" s="17">
        <f>IF($F1175="","",IFERROR(INDEX(rngEPname,MATCH($F1175,rngEPcode,0)),"?"))</f>
        <v/>
      </c>
      <c r="H1175" s="17">
        <f>IF($F1175="","",IFERROR(INDEX(rngEPtype,MATCH($F1175,rngEPcode,0)),"?"))</f>
        <v/>
      </c>
      <c r="I1175" s="17">
        <f>IF($F1175="","",IFERROR(INDEX(rngEPseq,MATCH($F1175,rngEPcode,0)),""))</f>
        <v/>
      </c>
      <c r="J1175" s="17">
        <f>IF($F1175="","",IFERROR(INDEX(rngEPpass,MATCH($F1175,rngEPcode,0)),cfgPassingScore))</f>
        <v/>
      </c>
      <c r="K1175" s="16" t="n"/>
      <c r="L1175" s="16" t="n"/>
      <c r="M1175" s="17">
        <f>IF($C1175="","",IF($L1175="","",IF(NOT(ISNUMBER($L1175)),$L1175,IF(N($K1175)&gt;2,"",IF($K1175=1,IF(COUNTIFS(nrES_PID,$D1175,nrES_Code,$F1175,nrES_Att,2,nrES_Raw,"&gt;=0")&gt;0,"",$L1175),IF($L1175&gt;=$J1175,MAX($J1175,cfgRetakeRecordedCap),IF(COUNTIFS(nrES_PID,$D1175,nrES_Code,$F1175,nrES_Att,1)=0,$L1175,SUMIFS(nrES_Raw,nrES_PID,$D1175,nrES_Code,$F1175,nrES_Att,1))))))))</f>
        <v/>
      </c>
      <c r="N1175" s="17">
        <f>IF($C1175="","",IF($L1175="","",IF(NOT(ISNUMBER($L1175)),"(not a score)",IF($L1175&gt;=$J1175,"Yes","No"))))</f>
        <v/>
      </c>
      <c r="O1175" s="17">
        <f>IF($C1175="","",IF($M1175="","",IF(NOT(ISNUMBER($M1175)),"(not a score)",IF($M1175&gt;=$J1175,"Yes","No"))))</f>
        <v/>
      </c>
      <c r="P1175" s="17">
        <f>IF($C1175="","",IF($K1175="","",IF(N($K1175)&gt;2,"No",IF(COUNTIFS(nrES_PID,$D1175,nrES_Code,$F1175,nrES_Att,"&gt;"&amp;$K1175,nrES_Att,"&lt;=2",nrES_Raw,"&gt;=0")=0,"Yes","No"))))</f>
        <v/>
      </c>
      <c r="Q1175" s="17">
        <f>IF($C1175="","",IF($L1175="","",IF(AND($K1175=1,ISNUMBER($L1175),$L1175&lt;$J1175,COUNTIFS(nrES_PID,$D1175,nrES_Code,$F1175,nrES_Att,2,nrES_Raw,"&gt;=0")=0),"Yes","No")))</f>
        <v/>
      </c>
      <c r="R1175" s="17">
        <f>IF($C1175="","",IF($L1175="","",IF(AND(N($K1175)&gt;=2,ISNUMBER($L1175),$L1175&lt;$J1175),"Yes","No")))</f>
        <v/>
      </c>
      <c r="S1175" s="18" t="n"/>
      <c r="T1175" s="19">
        <f>IF(OR($C1175="",$L1175="",$K1175&lt;&gt;1,NOT(ISNUMBER($L1175)),$L1175&gt;=$J1175),"",IF($S1175="","(enter date)",_xlfn.LET(_xlpm.dn,_xlfn.XLOOKUP($S1175,nrCDdate,nrCDnum,"",1),IF(_xlpm.dn="","(after last class day)",_xlfn.LET(_xlpm.dd,_xlfn.XLOOKUP(_xlpm.dn+cfgRetestClassDays,nrCDnum,nrCDdate,""),_xlpm.ok,_xlfn.XLOOKUP(_xlpm.dn+cfgRetestClassDays,nrCDnum,nrCDinsession,"No"),IF(OR(_xlpm.dd="",_xlpm.ok&lt;&gt;"Yes"),"(after last class day)",_xlpm.dd))))))</f>
        <v/>
      </c>
      <c r="U1175" s="17">
        <f>IF($C1175="","",IF(AND($Y1175="Excused",$L1175="",N($K1175)&lt;=1),"EXCUSED - 1st attempt pending",IF(OR($L1175="",$K1175&lt;&gt;1,NOT(ISNUMBER($L1175)),$L1175&gt;=$J1175),"",IF(COUNTIFS(nrES_PID,$D1175,nrES_Code,$F1175,nrES_Att,2,nrES_Raw,"&gt;=0")&gt;0,IF(IFERROR(_xlfn.MINIFS(nrES_Date,nrES_PID,$D1175,nrES_Code,$F1175,nrES_Att,2,nrES_Raw,"&gt;=0",nrES_Date,"&gt;0"),0)=0,"RETEST UNDATED",IF(NOT(ISNUMBER($T1175)),"RETEST DATE UNCHECKED",IF(_xlfn.MINIFS(nrES_Date,nrES_PID,$D1175,nrES_Code,$F1175,nrES_Att,2,nrES_Raw,"&gt;=0",nrES_Date,"&gt;0")&gt;$T1175,"LATE RETEST "&amp;TEXT(_xlfn.MINIFS(nrES_Date,nrES_PID,$D1175,nrES_Code,$F1175,nrES_Att,2,nrES_Raw,"&gt;=0",nrES_Date,"&gt;0"),"mm/dd")&amp;" (due "&amp;TEXT($T1175,"mm/dd")&amp;")","Retested"))),IF(NOT(ISNUMBER($T1175)),"CHECK DATE",IF(TODAY()&gt;$T1175,"OVERDUE","Due "&amp;TEXT($T1175,"mm/dd")))))))</f>
        <v/>
      </c>
      <c r="V1175" s="16" t="n"/>
      <c r="W1175" s="16" t="n"/>
      <c r="X1175" s="17">
        <f>IF($C1175="","",IF(AND($L1175&lt;&gt;"",NOT(ISNUMBER($L1175))),"RAW SCORE NOT A NUMBER",IF(AND(ISNUMBER($L1175),OR($L1175&lt;0,$L1175&gt;100)),"RAW SCORE OUT OF RANGE",IF(AND($Y1175="Unexcused",OR($L1175="",NOT(ISNUMBER($L1175)),$L1175&lt;&gt;0)),"UNEXCUSED ABSENCE MUST RECORD 0",IF(COUNTIF(nrES_RecID,$B1175)&gt;1,"DUPLICATE RECORD",IF(N($K1175)&gt;2,"ATTEMPT 3+ NOT ALLOWED - policy 300.5 permits one retest per exam; this row records nothing",IF(AND($K1175=2,COUNTIFS(nrES_PID,$D1175,nrES_Code,$F1175,nrES_Att,1)=0),"ATTEMPT 2 WITHOUT ATTEMPT 1",IF(AND($K1175=2,$L1175=""),"RETEST ROW HAS NO SCORE",IF(AND($H1175="Final",$L1175&lt;&gt;"",IFERROR(INDEX(nrCKfinalExamElig,MATCH($D1175,rngCadetPIDs,0)),"")="No"),"FINAL EXAM AFTER FAILED FINAL PT (500.1.H)",IF(AND($K1175=2,ISNUMBER($L1175),COUNTIFS(nrES_PID,$D1175,nrES_Code,$F1175,nrES_Att,1)&gt;0,SUMIFS(nrES_Raw,nrES_PID,$D1175,nrES_Code,$F1175,nrES_Att,1)&gt;=$J1175),"RETEST AFTER A PASSING FIRST ATTEMPT","OK"))))))))))</f>
        <v/>
      </c>
      <c r="Y1175" s="16" t="n"/>
    </row>
    <row r="1176">
      <c r="B1176" s="17">
        <f>IF($C1176="","",$D1176&amp;"-"&amp;$F1176&amp;"-"&amp;$K1176)</f>
        <v/>
      </c>
      <c r="C1176" s="16" t="n"/>
      <c r="D1176" s="17">
        <f>IF($C1176="","",IFERROR(INDEX(rngCadetPIDs,MATCH($C1176,rngCadetNames,0)),"?"))</f>
        <v/>
      </c>
      <c r="E1176" s="17">
        <f>IF($D1176="","",IFERROR(INDEX(nrCadetAgency,MATCH($D1176,rngCadetPIDs,0)),""))</f>
        <v/>
      </c>
      <c r="F1176" s="16" t="n"/>
      <c r="G1176" s="17">
        <f>IF($F1176="","",IFERROR(INDEX(rngEPname,MATCH($F1176,rngEPcode,0)),"?"))</f>
        <v/>
      </c>
      <c r="H1176" s="17">
        <f>IF($F1176="","",IFERROR(INDEX(rngEPtype,MATCH($F1176,rngEPcode,0)),"?"))</f>
        <v/>
      </c>
      <c r="I1176" s="17">
        <f>IF($F1176="","",IFERROR(INDEX(rngEPseq,MATCH($F1176,rngEPcode,0)),""))</f>
        <v/>
      </c>
      <c r="J1176" s="17">
        <f>IF($F1176="","",IFERROR(INDEX(rngEPpass,MATCH($F1176,rngEPcode,0)),cfgPassingScore))</f>
        <v/>
      </c>
      <c r="K1176" s="16" t="n"/>
      <c r="L1176" s="16" t="n"/>
      <c r="M1176" s="17">
        <f>IF($C1176="","",IF($L1176="","",IF(NOT(ISNUMBER($L1176)),$L1176,IF(N($K1176)&gt;2,"",IF($K1176=1,IF(COUNTIFS(nrES_PID,$D1176,nrES_Code,$F1176,nrES_Att,2,nrES_Raw,"&gt;=0")&gt;0,"",$L1176),IF($L1176&gt;=$J1176,MAX($J1176,cfgRetakeRecordedCap),IF(COUNTIFS(nrES_PID,$D1176,nrES_Code,$F1176,nrES_Att,1)=0,$L1176,SUMIFS(nrES_Raw,nrES_PID,$D1176,nrES_Code,$F1176,nrES_Att,1))))))))</f>
        <v/>
      </c>
      <c r="N1176" s="17">
        <f>IF($C1176="","",IF($L1176="","",IF(NOT(ISNUMBER($L1176)),"(not a score)",IF($L1176&gt;=$J1176,"Yes","No"))))</f>
        <v/>
      </c>
      <c r="O1176" s="17">
        <f>IF($C1176="","",IF($M1176="","",IF(NOT(ISNUMBER($M1176)),"(not a score)",IF($M1176&gt;=$J1176,"Yes","No"))))</f>
        <v/>
      </c>
      <c r="P1176" s="17">
        <f>IF($C1176="","",IF($K1176="","",IF(N($K1176)&gt;2,"No",IF(COUNTIFS(nrES_PID,$D1176,nrES_Code,$F1176,nrES_Att,"&gt;"&amp;$K1176,nrES_Att,"&lt;=2",nrES_Raw,"&gt;=0")=0,"Yes","No"))))</f>
        <v/>
      </c>
      <c r="Q1176" s="17">
        <f>IF($C1176="","",IF($L1176="","",IF(AND($K1176=1,ISNUMBER($L1176),$L1176&lt;$J1176,COUNTIFS(nrES_PID,$D1176,nrES_Code,$F1176,nrES_Att,2,nrES_Raw,"&gt;=0")=0),"Yes","No")))</f>
        <v/>
      </c>
      <c r="R1176" s="17">
        <f>IF($C1176="","",IF($L1176="","",IF(AND(N($K1176)&gt;=2,ISNUMBER($L1176),$L1176&lt;$J1176),"Yes","No")))</f>
        <v/>
      </c>
      <c r="S1176" s="18" t="n"/>
      <c r="T1176" s="19">
        <f>IF(OR($C1176="",$L1176="",$K1176&lt;&gt;1,NOT(ISNUMBER($L1176)),$L1176&gt;=$J1176),"",IF($S1176="","(enter date)",_xlfn.LET(_xlpm.dn,_xlfn.XLOOKUP($S1176,nrCDdate,nrCDnum,"",1),IF(_xlpm.dn="","(after last class day)",_xlfn.LET(_xlpm.dd,_xlfn.XLOOKUP(_xlpm.dn+cfgRetestClassDays,nrCDnum,nrCDdate,""),_xlpm.ok,_xlfn.XLOOKUP(_xlpm.dn+cfgRetestClassDays,nrCDnum,nrCDinsession,"No"),IF(OR(_xlpm.dd="",_xlpm.ok&lt;&gt;"Yes"),"(after last class day)",_xlpm.dd))))))</f>
        <v/>
      </c>
      <c r="U1176" s="17">
        <f>IF($C1176="","",IF(AND($Y1176="Excused",$L1176="",N($K1176)&lt;=1),"EXCUSED - 1st attempt pending",IF(OR($L1176="",$K1176&lt;&gt;1,NOT(ISNUMBER($L1176)),$L1176&gt;=$J1176),"",IF(COUNTIFS(nrES_PID,$D1176,nrES_Code,$F1176,nrES_Att,2,nrES_Raw,"&gt;=0")&gt;0,IF(IFERROR(_xlfn.MINIFS(nrES_Date,nrES_PID,$D1176,nrES_Code,$F1176,nrES_Att,2,nrES_Raw,"&gt;=0",nrES_Date,"&gt;0"),0)=0,"RETEST UNDATED",IF(NOT(ISNUMBER($T1176)),"RETEST DATE UNCHECKED",IF(_xlfn.MINIFS(nrES_Date,nrES_PID,$D1176,nrES_Code,$F1176,nrES_Att,2,nrES_Raw,"&gt;=0",nrES_Date,"&gt;0")&gt;$T1176,"LATE RETEST "&amp;TEXT(_xlfn.MINIFS(nrES_Date,nrES_PID,$D1176,nrES_Code,$F1176,nrES_Att,2,nrES_Raw,"&gt;=0",nrES_Date,"&gt;0"),"mm/dd")&amp;" (due "&amp;TEXT($T1176,"mm/dd")&amp;")","Retested"))),IF(NOT(ISNUMBER($T1176)),"CHECK DATE",IF(TODAY()&gt;$T1176,"OVERDUE","Due "&amp;TEXT($T1176,"mm/dd")))))))</f>
        <v/>
      </c>
      <c r="V1176" s="16" t="n"/>
      <c r="W1176" s="16" t="n"/>
      <c r="X1176" s="17">
        <f>IF($C1176="","",IF(AND($L1176&lt;&gt;"",NOT(ISNUMBER($L1176))),"RAW SCORE NOT A NUMBER",IF(AND(ISNUMBER($L1176),OR($L1176&lt;0,$L1176&gt;100)),"RAW SCORE OUT OF RANGE",IF(AND($Y1176="Unexcused",OR($L1176="",NOT(ISNUMBER($L1176)),$L1176&lt;&gt;0)),"UNEXCUSED ABSENCE MUST RECORD 0",IF(COUNTIF(nrES_RecID,$B1176)&gt;1,"DUPLICATE RECORD",IF(N($K1176)&gt;2,"ATTEMPT 3+ NOT ALLOWED - policy 300.5 permits one retest per exam; this row records nothing",IF(AND($K1176=2,COUNTIFS(nrES_PID,$D1176,nrES_Code,$F1176,nrES_Att,1)=0),"ATTEMPT 2 WITHOUT ATTEMPT 1",IF(AND($K1176=2,$L1176=""),"RETEST ROW HAS NO SCORE",IF(AND($H1176="Final",$L1176&lt;&gt;"",IFERROR(INDEX(nrCKfinalExamElig,MATCH($D1176,rngCadetPIDs,0)),"")="No"),"FINAL EXAM AFTER FAILED FINAL PT (500.1.H)",IF(AND($K1176=2,ISNUMBER($L1176),COUNTIFS(nrES_PID,$D1176,nrES_Code,$F1176,nrES_Att,1)&gt;0,SUMIFS(nrES_Raw,nrES_PID,$D1176,nrES_Code,$F1176,nrES_Att,1)&gt;=$J1176),"RETEST AFTER A PASSING FIRST ATTEMPT","OK"))))))))))</f>
        <v/>
      </c>
      <c r="Y1176" s="16" t="n"/>
    </row>
    <row r="1177">
      <c r="B1177" s="17">
        <f>IF($C1177="","",$D1177&amp;"-"&amp;$F1177&amp;"-"&amp;$K1177)</f>
        <v/>
      </c>
      <c r="C1177" s="16" t="n"/>
      <c r="D1177" s="17">
        <f>IF($C1177="","",IFERROR(INDEX(rngCadetPIDs,MATCH($C1177,rngCadetNames,0)),"?"))</f>
        <v/>
      </c>
      <c r="E1177" s="17">
        <f>IF($D1177="","",IFERROR(INDEX(nrCadetAgency,MATCH($D1177,rngCadetPIDs,0)),""))</f>
        <v/>
      </c>
      <c r="F1177" s="16" t="n"/>
      <c r="G1177" s="17">
        <f>IF($F1177="","",IFERROR(INDEX(rngEPname,MATCH($F1177,rngEPcode,0)),"?"))</f>
        <v/>
      </c>
      <c r="H1177" s="17">
        <f>IF($F1177="","",IFERROR(INDEX(rngEPtype,MATCH($F1177,rngEPcode,0)),"?"))</f>
        <v/>
      </c>
      <c r="I1177" s="17">
        <f>IF($F1177="","",IFERROR(INDEX(rngEPseq,MATCH($F1177,rngEPcode,0)),""))</f>
        <v/>
      </c>
      <c r="J1177" s="17">
        <f>IF($F1177="","",IFERROR(INDEX(rngEPpass,MATCH($F1177,rngEPcode,0)),cfgPassingScore))</f>
        <v/>
      </c>
      <c r="K1177" s="16" t="n"/>
      <c r="L1177" s="16" t="n"/>
      <c r="M1177" s="17">
        <f>IF($C1177="","",IF($L1177="","",IF(NOT(ISNUMBER($L1177)),$L1177,IF(N($K1177)&gt;2,"",IF($K1177=1,IF(COUNTIFS(nrES_PID,$D1177,nrES_Code,$F1177,nrES_Att,2,nrES_Raw,"&gt;=0")&gt;0,"",$L1177),IF($L1177&gt;=$J1177,MAX($J1177,cfgRetakeRecordedCap),IF(COUNTIFS(nrES_PID,$D1177,nrES_Code,$F1177,nrES_Att,1)=0,$L1177,SUMIFS(nrES_Raw,nrES_PID,$D1177,nrES_Code,$F1177,nrES_Att,1))))))))</f>
        <v/>
      </c>
      <c r="N1177" s="17">
        <f>IF($C1177="","",IF($L1177="","",IF(NOT(ISNUMBER($L1177)),"(not a score)",IF($L1177&gt;=$J1177,"Yes","No"))))</f>
        <v/>
      </c>
      <c r="O1177" s="17">
        <f>IF($C1177="","",IF($M1177="","",IF(NOT(ISNUMBER($M1177)),"(not a score)",IF($M1177&gt;=$J1177,"Yes","No"))))</f>
        <v/>
      </c>
      <c r="P1177" s="17">
        <f>IF($C1177="","",IF($K1177="","",IF(N($K1177)&gt;2,"No",IF(COUNTIFS(nrES_PID,$D1177,nrES_Code,$F1177,nrES_Att,"&gt;"&amp;$K1177,nrES_Att,"&lt;=2",nrES_Raw,"&gt;=0")=0,"Yes","No"))))</f>
        <v/>
      </c>
      <c r="Q1177" s="17">
        <f>IF($C1177="","",IF($L1177="","",IF(AND($K1177=1,ISNUMBER($L1177),$L1177&lt;$J1177,COUNTIFS(nrES_PID,$D1177,nrES_Code,$F1177,nrES_Att,2,nrES_Raw,"&gt;=0")=0),"Yes","No")))</f>
        <v/>
      </c>
      <c r="R1177" s="17">
        <f>IF($C1177="","",IF($L1177="","",IF(AND(N($K1177)&gt;=2,ISNUMBER($L1177),$L1177&lt;$J1177),"Yes","No")))</f>
        <v/>
      </c>
      <c r="S1177" s="18" t="n"/>
      <c r="T1177" s="19">
        <f>IF(OR($C1177="",$L1177="",$K1177&lt;&gt;1,NOT(ISNUMBER($L1177)),$L1177&gt;=$J1177),"",IF($S1177="","(enter date)",_xlfn.LET(_xlpm.dn,_xlfn.XLOOKUP($S1177,nrCDdate,nrCDnum,"",1),IF(_xlpm.dn="","(after last class day)",_xlfn.LET(_xlpm.dd,_xlfn.XLOOKUP(_xlpm.dn+cfgRetestClassDays,nrCDnum,nrCDdate,""),_xlpm.ok,_xlfn.XLOOKUP(_xlpm.dn+cfgRetestClassDays,nrCDnum,nrCDinsession,"No"),IF(OR(_xlpm.dd="",_xlpm.ok&lt;&gt;"Yes"),"(after last class day)",_xlpm.dd))))))</f>
        <v/>
      </c>
      <c r="U1177" s="17">
        <f>IF($C1177="","",IF(AND($Y1177="Excused",$L1177="",N($K1177)&lt;=1),"EXCUSED - 1st attempt pending",IF(OR($L1177="",$K1177&lt;&gt;1,NOT(ISNUMBER($L1177)),$L1177&gt;=$J1177),"",IF(COUNTIFS(nrES_PID,$D1177,nrES_Code,$F1177,nrES_Att,2,nrES_Raw,"&gt;=0")&gt;0,IF(IFERROR(_xlfn.MINIFS(nrES_Date,nrES_PID,$D1177,nrES_Code,$F1177,nrES_Att,2,nrES_Raw,"&gt;=0",nrES_Date,"&gt;0"),0)=0,"RETEST UNDATED",IF(NOT(ISNUMBER($T1177)),"RETEST DATE UNCHECKED",IF(_xlfn.MINIFS(nrES_Date,nrES_PID,$D1177,nrES_Code,$F1177,nrES_Att,2,nrES_Raw,"&gt;=0",nrES_Date,"&gt;0")&gt;$T1177,"LATE RETEST "&amp;TEXT(_xlfn.MINIFS(nrES_Date,nrES_PID,$D1177,nrES_Code,$F1177,nrES_Att,2,nrES_Raw,"&gt;=0",nrES_Date,"&gt;0"),"mm/dd")&amp;" (due "&amp;TEXT($T1177,"mm/dd")&amp;")","Retested"))),IF(NOT(ISNUMBER($T1177)),"CHECK DATE",IF(TODAY()&gt;$T1177,"OVERDUE","Due "&amp;TEXT($T1177,"mm/dd")))))))</f>
        <v/>
      </c>
      <c r="V1177" s="16" t="n"/>
      <c r="W1177" s="16" t="n"/>
      <c r="X1177" s="17">
        <f>IF($C1177="","",IF(AND($L1177&lt;&gt;"",NOT(ISNUMBER($L1177))),"RAW SCORE NOT A NUMBER",IF(AND(ISNUMBER($L1177),OR($L1177&lt;0,$L1177&gt;100)),"RAW SCORE OUT OF RANGE",IF(AND($Y1177="Unexcused",OR($L1177="",NOT(ISNUMBER($L1177)),$L1177&lt;&gt;0)),"UNEXCUSED ABSENCE MUST RECORD 0",IF(COUNTIF(nrES_RecID,$B1177)&gt;1,"DUPLICATE RECORD",IF(N($K1177)&gt;2,"ATTEMPT 3+ NOT ALLOWED - policy 300.5 permits one retest per exam; this row records nothing",IF(AND($K1177=2,COUNTIFS(nrES_PID,$D1177,nrES_Code,$F1177,nrES_Att,1)=0),"ATTEMPT 2 WITHOUT ATTEMPT 1",IF(AND($K1177=2,$L1177=""),"RETEST ROW HAS NO SCORE",IF(AND($H1177="Final",$L1177&lt;&gt;"",IFERROR(INDEX(nrCKfinalExamElig,MATCH($D1177,rngCadetPIDs,0)),"")="No"),"FINAL EXAM AFTER FAILED FINAL PT (500.1.H)",IF(AND($K1177=2,ISNUMBER($L1177),COUNTIFS(nrES_PID,$D1177,nrES_Code,$F1177,nrES_Att,1)&gt;0,SUMIFS(nrES_Raw,nrES_PID,$D1177,nrES_Code,$F1177,nrES_Att,1)&gt;=$J1177),"RETEST AFTER A PASSING FIRST ATTEMPT","OK"))))))))))</f>
        <v/>
      </c>
      <c r="Y1177" s="16" t="n"/>
    </row>
    <row r="1178">
      <c r="B1178" s="17">
        <f>IF($C1178="","",$D1178&amp;"-"&amp;$F1178&amp;"-"&amp;$K1178)</f>
        <v/>
      </c>
      <c r="C1178" s="16" t="n"/>
      <c r="D1178" s="17">
        <f>IF($C1178="","",IFERROR(INDEX(rngCadetPIDs,MATCH($C1178,rngCadetNames,0)),"?"))</f>
        <v/>
      </c>
      <c r="E1178" s="17">
        <f>IF($D1178="","",IFERROR(INDEX(nrCadetAgency,MATCH($D1178,rngCadetPIDs,0)),""))</f>
        <v/>
      </c>
      <c r="F1178" s="16" t="n"/>
      <c r="G1178" s="17">
        <f>IF($F1178="","",IFERROR(INDEX(rngEPname,MATCH($F1178,rngEPcode,0)),"?"))</f>
        <v/>
      </c>
      <c r="H1178" s="17">
        <f>IF($F1178="","",IFERROR(INDEX(rngEPtype,MATCH($F1178,rngEPcode,0)),"?"))</f>
        <v/>
      </c>
      <c r="I1178" s="17">
        <f>IF($F1178="","",IFERROR(INDEX(rngEPseq,MATCH($F1178,rngEPcode,0)),""))</f>
        <v/>
      </c>
      <c r="J1178" s="17">
        <f>IF($F1178="","",IFERROR(INDEX(rngEPpass,MATCH($F1178,rngEPcode,0)),cfgPassingScore))</f>
        <v/>
      </c>
      <c r="K1178" s="16" t="n"/>
      <c r="L1178" s="16" t="n"/>
      <c r="M1178" s="17">
        <f>IF($C1178="","",IF($L1178="","",IF(NOT(ISNUMBER($L1178)),$L1178,IF(N($K1178)&gt;2,"",IF($K1178=1,IF(COUNTIFS(nrES_PID,$D1178,nrES_Code,$F1178,nrES_Att,2,nrES_Raw,"&gt;=0")&gt;0,"",$L1178),IF($L1178&gt;=$J1178,MAX($J1178,cfgRetakeRecordedCap),IF(COUNTIFS(nrES_PID,$D1178,nrES_Code,$F1178,nrES_Att,1)=0,$L1178,SUMIFS(nrES_Raw,nrES_PID,$D1178,nrES_Code,$F1178,nrES_Att,1))))))))</f>
        <v/>
      </c>
      <c r="N1178" s="17">
        <f>IF($C1178="","",IF($L1178="","",IF(NOT(ISNUMBER($L1178)),"(not a score)",IF($L1178&gt;=$J1178,"Yes","No"))))</f>
        <v/>
      </c>
      <c r="O1178" s="17">
        <f>IF($C1178="","",IF($M1178="","",IF(NOT(ISNUMBER($M1178)),"(not a score)",IF($M1178&gt;=$J1178,"Yes","No"))))</f>
        <v/>
      </c>
      <c r="P1178" s="17">
        <f>IF($C1178="","",IF($K1178="","",IF(N($K1178)&gt;2,"No",IF(COUNTIFS(nrES_PID,$D1178,nrES_Code,$F1178,nrES_Att,"&gt;"&amp;$K1178,nrES_Att,"&lt;=2",nrES_Raw,"&gt;=0")=0,"Yes","No"))))</f>
        <v/>
      </c>
      <c r="Q1178" s="17">
        <f>IF($C1178="","",IF($L1178="","",IF(AND($K1178=1,ISNUMBER($L1178),$L1178&lt;$J1178,COUNTIFS(nrES_PID,$D1178,nrES_Code,$F1178,nrES_Att,2,nrES_Raw,"&gt;=0")=0),"Yes","No")))</f>
        <v/>
      </c>
      <c r="R1178" s="17">
        <f>IF($C1178="","",IF($L1178="","",IF(AND(N($K1178)&gt;=2,ISNUMBER($L1178),$L1178&lt;$J1178),"Yes","No")))</f>
        <v/>
      </c>
      <c r="S1178" s="18" t="n"/>
      <c r="T1178" s="19">
        <f>IF(OR($C1178="",$L1178="",$K1178&lt;&gt;1,NOT(ISNUMBER($L1178)),$L1178&gt;=$J1178),"",IF($S1178="","(enter date)",_xlfn.LET(_xlpm.dn,_xlfn.XLOOKUP($S1178,nrCDdate,nrCDnum,"",1),IF(_xlpm.dn="","(after last class day)",_xlfn.LET(_xlpm.dd,_xlfn.XLOOKUP(_xlpm.dn+cfgRetestClassDays,nrCDnum,nrCDdate,""),_xlpm.ok,_xlfn.XLOOKUP(_xlpm.dn+cfgRetestClassDays,nrCDnum,nrCDinsession,"No"),IF(OR(_xlpm.dd="",_xlpm.ok&lt;&gt;"Yes"),"(after last class day)",_xlpm.dd))))))</f>
        <v/>
      </c>
      <c r="U1178" s="17">
        <f>IF($C1178="","",IF(AND($Y1178="Excused",$L1178="",N($K1178)&lt;=1),"EXCUSED - 1st attempt pending",IF(OR($L1178="",$K1178&lt;&gt;1,NOT(ISNUMBER($L1178)),$L1178&gt;=$J1178),"",IF(COUNTIFS(nrES_PID,$D1178,nrES_Code,$F1178,nrES_Att,2,nrES_Raw,"&gt;=0")&gt;0,IF(IFERROR(_xlfn.MINIFS(nrES_Date,nrES_PID,$D1178,nrES_Code,$F1178,nrES_Att,2,nrES_Raw,"&gt;=0",nrES_Date,"&gt;0"),0)=0,"RETEST UNDATED",IF(NOT(ISNUMBER($T1178)),"RETEST DATE UNCHECKED",IF(_xlfn.MINIFS(nrES_Date,nrES_PID,$D1178,nrES_Code,$F1178,nrES_Att,2,nrES_Raw,"&gt;=0",nrES_Date,"&gt;0")&gt;$T1178,"LATE RETEST "&amp;TEXT(_xlfn.MINIFS(nrES_Date,nrES_PID,$D1178,nrES_Code,$F1178,nrES_Att,2,nrES_Raw,"&gt;=0",nrES_Date,"&gt;0"),"mm/dd")&amp;" (due "&amp;TEXT($T1178,"mm/dd")&amp;")","Retested"))),IF(NOT(ISNUMBER($T1178)),"CHECK DATE",IF(TODAY()&gt;$T1178,"OVERDUE","Due "&amp;TEXT($T1178,"mm/dd")))))))</f>
        <v/>
      </c>
      <c r="V1178" s="16" t="n"/>
      <c r="W1178" s="16" t="n"/>
      <c r="X1178" s="17">
        <f>IF($C1178="","",IF(AND($L1178&lt;&gt;"",NOT(ISNUMBER($L1178))),"RAW SCORE NOT A NUMBER",IF(AND(ISNUMBER($L1178),OR($L1178&lt;0,$L1178&gt;100)),"RAW SCORE OUT OF RANGE",IF(AND($Y1178="Unexcused",OR($L1178="",NOT(ISNUMBER($L1178)),$L1178&lt;&gt;0)),"UNEXCUSED ABSENCE MUST RECORD 0",IF(COUNTIF(nrES_RecID,$B1178)&gt;1,"DUPLICATE RECORD",IF(N($K1178)&gt;2,"ATTEMPT 3+ NOT ALLOWED - policy 300.5 permits one retest per exam; this row records nothing",IF(AND($K1178=2,COUNTIFS(nrES_PID,$D1178,nrES_Code,$F1178,nrES_Att,1)=0),"ATTEMPT 2 WITHOUT ATTEMPT 1",IF(AND($K1178=2,$L1178=""),"RETEST ROW HAS NO SCORE",IF(AND($H1178="Final",$L1178&lt;&gt;"",IFERROR(INDEX(nrCKfinalExamElig,MATCH($D1178,rngCadetPIDs,0)),"")="No"),"FINAL EXAM AFTER FAILED FINAL PT (500.1.H)",IF(AND($K1178=2,ISNUMBER($L1178),COUNTIFS(nrES_PID,$D1178,nrES_Code,$F1178,nrES_Att,1)&gt;0,SUMIFS(nrES_Raw,nrES_PID,$D1178,nrES_Code,$F1178,nrES_Att,1)&gt;=$J1178),"RETEST AFTER A PASSING FIRST ATTEMPT","OK"))))))))))</f>
        <v/>
      </c>
      <c r="Y1178" s="16" t="n"/>
    </row>
    <row r="1179">
      <c r="B1179" s="17">
        <f>IF($C1179="","",$D1179&amp;"-"&amp;$F1179&amp;"-"&amp;$K1179)</f>
        <v/>
      </c>
      <c r="C1179" s="16" t="n"/>
      <c r="D1179" s="17">
        <f>IF($C1179="","",IFERROR(INDEX(rngCadetPIDs,MATCH($C1179,rngCadetNames,0)),"?"))</f>
        <v/>
      </c>
      <c r="E1179" s="17">
        <f>IF($D1179="","",IFERROR(INDEX(nrCadetAgency,MATCH($D1179,rngCadetPIDs,0)),""))</f>
        <v/>
      </c>
      <c r="F1179" s="16" t="n"/>
      <c r="G1179" s="17">
        <f>IF($F1179="","",IFERROR(INDEX(rngEPname,MATCH($F1179,rngEPcode,0)),"?"))</f>
        <v/>
      </c>
      <c r="H1179" s="17">
        <f>IF($F1179="","",IFERROR(INDEX(rngEPtype,MATCH($F1179,rngEPcode,0)),"?"))</f>
        <v/>
      </c>
      <c r="I1179" s="17">
        <f>IF($F1179="","",IFERROR(INDEX(rngEPseq,MATCH($F1179,rngEPcode,0)),""))</f>
        <v/>
      </c>
      <c r="J1179" s="17">
        <f>IF($F1179="","",IFERROR(INDEX(rngEPpass,MATCH($F1179,rngEPcode,0)),cfgPassingScore))</f>
        <v/>
      </c>
      <c r="K1179" s="16" t="n"/>
      <c r="L1179" s="16" t="n"/>
      <c r="M1179" s="17">
        <f>IF($C1179="","",IF($L1179="","",IF(NOT(ISNUMBER($L1179)),$L1179,IF(N($K1179)&gt;2,"",IF($K1179=1,IF(COUNTIFS(nrES_PID,$D1179,nrES_Code,$F1179,nrES_Att,2,nrES_Raw,"&gt;=0")&gt;0,"",$L1179),IF($L1179&gt;=$J1179,MAX($J1179,cfgRetakeRecordedCap),IF(COUNTIFS(nrES_PID,$D1179,nrES_Code,$F1179,nrES_Att,1)=0,$L1179,SUMIFS(nrES_Raw,nrES_PID,$D1179,nrES_Code,$F1179,nrES_Att,1))))))))</f>
        <v/>
      </c>
      <c r="N1179" s="17">
        <f>IF($C1179="","",IF($L1179="","",IF(NOT(ISNUMBER($L1179)),"(not a score)",IF($L1179&gt;=$J1179,"Yes","No"))))</f>
        <v/>
      </c>
      <c r="O1179" s="17">
        <f>IF($C1179="","",IF($M1179="","",IF(NOT(ISNUMBER($M1179)),"(not a score)",IF($M1179&gt;=$J1179,"Yes","No"))))</f>
        <v/>
      </c>
      <c r="P1179" s="17">
        <f>IF($C1179="","",IF($K1179="","",IF(N($K1179)&gt;2,"No",IF(COUNTIFS(nrES_PID,$D1179,nrES_Code,$F1179,nrES_Att,"&gt;"&amp;$K1179,nrES_Att,"&lt;=2",nrES_Raw,"&gt;=0")=0,"Yes","No"))))</f>
        <v/>
      </c>
      <c r="Q1179" s="17">
        <f>IF($C1179="","",IF($L1179="","",IF(AND($K1179=1,ISNUMBER($L1179),$L1179&lt;$J1179,COUNTIFS(nrES_PID,$D1179,nrES_Code,$F1179,nrES_Att,2,nrES_Raw,"&gt;=0")=0),"Yes","No")))</f>
        <v/>
      </c>
      <c r="R1179" s="17">
        <f>IF($C1179="","",IF($L1179="","",IF(AND(N($K1179)&gt;=2,ISNUMBER($L1179),$L1179&lt;$J1179),"Yes","No")))</f>
        <v/>
      </c>
      <c r="S1179" s="18" t="n"/>
      <c r="T1179" s="19">
        <f>IF(OR($C1179="",$L1179="",$K1179&lt;&gt;1,NOT(ISNUMBER($L1179)),$L1179&gt;=$J1179),"",IF($S1179="","(enter date)",_xlfn.LET(_xlpm.dn,_xlfn.XLOOKUP($S1179,nrCDdate,nrCDnum,"",1),IF(_xlpm.dn="","(after last class day)",_xlfn.LET(_xlpm.dd,_xlfn.XLOOKUP(_xlpm.dn+cfgRetestClassDays,nrCDnum,nrCDdate,""),_xlpm.ok,_xlfn.XLOOKUP(_xlpm.dn+cfgRetestClassDays,nrCDnum,nrCDinsession,"No"),IF(OR(_xlpm.dd="",_xlpm.ok&lt;&gt;"Yes"),"(after last class day)",_xlpm.dd))))))</f>
        <v/>
      </c>
      <c r="U1179" s="17">
        <f>IF($C1179="","",IF(AND($Y1179="Excused",$L1179="",N($K1179)&lt;=1),"EXCUSED - 1st attempt pending",IF(OR($L1179="",$K1179&lt;&gt;1,NOT(ISNUMBER($L1179)),$L1179&gt;=$J1179),"",IF(COUNTIFS(nrES_PID,$D1179,nrES_Code,$F1179,nrES_Att,2,nrES_Raw,"&gt;=0")&gt;0,IF(IFERROR(_xlfn.MINIFS(nrES_Date,nrES_PID,$D1179,nrES_Code,$F1179,nrES_Att,2,nrES_Raw,"&gt;=0",nrES_Date,"&gt;0"),0)=0,"RETEST UNDATED",IF(NOT(ISNUMBER($T1179)),"RETEST DATE UNCHECKED",IF(_xlfn.MINIFS(nrES_Date,nrES_PID,$D1179,nrES_Code,$F1179,nrES_Att,2,nrES_Raw,"&gt;=0",nrES_Date,"&gt;0")&gt;$T1179,"LATE RETEST "&amp;TEXT(_xlfn.MINIFS(nrES_Date,nrES_PID,$D1179,nrES_Code,$F1179,nrES_Att,2,nrES_Raw,"&gt;=0",nrES_Date,"&gt;0"),"mm/dd")&amp;" (due "&amp;TEXT($T1179,"mm/dd")&amp;")","Retested"))),IF(NOT(ISNUMBER($T1179)),"CHECK DATE",IF(TODAY()&gt;$T1179,"OVERDUE","Due "&amp;TEXT($T1179,"mm/dd")))))))</f>
        <v/>
      </c>
      <c r="V1179" s="16" t="n"/>
      <c r="W1179" s="16" t="n"/>
      <c r="X1179" s="17">
        <f>IF($C1179="","",IF(AND($L1179&lt;&gt;"",NOT(ISNUMBER($L1179))),"RAW SCORE NOT A NUMBER",IF(AND(ISNUMBER($L1179),OR($L1179&lt;0,$L1179&gt;100)),"RAW SCORE OUT OF RANGE",IF(AND($Y1179="Unexcused",OR($L1179="",NOT(ISNUMBER($L1179)),$L1179&lt;&gt;0)),"UNEXCUSED ABSENCE MUST RECORD 0",IF(COUNTIF(nrES_RecID,$B1179)&gt;1,"DUPLICATE RECORD",IF(N($K1179)&gt;2,"ATTEMPT 3+ NOT ALLOWED - policy 300.5 permits one retest per exam; this row records nothing",IF(AND($K1179=2,COUNTIFS(nrES_PID,$D1179,nrES_Code,$F1179,nrES_Att,1)=0),"ATTEMPT 2 WITHOUT ATTEMPT 1",IF(AND($K1179=2,$L1179=""),"RETEST ROW HAS NO SCORE",IF(AND($H1179="Final",$L1179&lt;&gt;"",IFERROR(INDEX(nrCKfinalExamElig,MATCH($D1179,rngCadetPIDs,0)),"")="No"),"FINAL EXAM AFTER FAILED FINAL PT (500.1.H)",IF(AND($K1179=2,ISNUMBER($L1179),COUNTIFS(nrES_PID,$D1179,nrES_Code,$F1179,nrES_Att,1)&gt;0,SUMIFS(nrES_Raw,nrES_PID,$D1179,nrES_Code,$F1179,nrES_Att,1)&gt;=$J1179),"RETEST AFTER A PASSING FIRST ATTEMPT","OK"))))))))))</f>
        <v/>
      </c>
      <c r="Y1179" s="16" t="n"/>
    </row>
    <row r="1180">
      <c r="B1180" s="17">
        <f>IF($C1180="","",$D1180&amp;"-"&amp;$F1180&amp;"-"&amp;$K1180)</f>
        <v/>
      </c>
      <c r="C1180" s="16" t="n"/>
      <c r="D1180" s="17">
        <f>IF($C1180="","",IFERROR(INDEX(rngCadetPIDs,MATCH($C1180,rngCadetNames,0)),"?"))</f>
        <v/>
      </c>
      <c r="E1180" s="17">
        <f>IF($D1180="","",IFERROR(INDEX(nrCadetAgency,MATCH($D1180,rngCadetPIDs,0)),""))</f>
        <v/>
      </c>
      <c r="F1180" s="16" t="n"/>
      <c r="G1180" s="17">
        <f>IF($F1180="","",IFERROR(INDEX(rngEPname,MATCH($F1180,rngEPcode,0)),"?"))</f>
        <v/>
      </c>
      <c r="H1180" s="17">
        <f>IF($F1180="","",IFERROR(INDEX(rngEPtype,MATCH($F1180,rngEPcode,0)),"?"))</f>
        <v/>
      </c>
      <c r="I1180" s="17">
        <f>IF($F1180="","",IFERROR(INDEX(rngEPseq,MATCH($F1180,rngEPcode,0)),""))</f>
        <v/>
      </c>
      <c r="J1180" s="17">
        <f>IF($F1180="","",IFERROR(INDEX(rngEPpass,MATCH($F1180,rngEPcode,0)),cfgPassingScore))</f>
        <v/>
      </c>
      <c r="K1180" s="16" t="n"/>
      <c r="L1180" s="16" t="n"/>
      <c r="M1180" s="17">
        <f>IF($C1180="","",IF($L1180="","",IF(NOT(ISNUMBER($L1180)),$L1180,IF(N($K1180)&gt;2,"",IF($K1180=1,IF(COUNTIFS(nrES_PID,$D1180,nrES_Code,$F1180,nrES_Att,2,nrES_Raw,"&gt;=0")&gt;0,"",$L1180),IF($L1180&gt;=$J1180,MAX($J1180,cfgRetakeRecordedCap),IF(COUNTIFS(nrES_PID,$D1180,nrES_Code,$F1180,nrES_Att,1)=0,$L1180,SUMIFS(nrES_Raw,nrES_PID,$D1180,nrES_Code,$F1180,nrES_Att,1))))))))</f>
        <v/>
      </c>
      <c r="N1180" s="17">
        <f>IF($C1180="","",IF($L1180="","",IF(NOT(ISNUMBER($L1180)),"(not a score)",IF($L1180&gt;=$J1180,"Yes","No"))))</f>
        <v/>
      </c>
      <c r="O1180" s="17">
        <f>IF($C1180="","",IF($M1180="","",IF(NOT(ISNUMBER($M1180)),"(not a score)",IF($M1180&gt;=$J1180,"Yes","No"))))</f>
        <v/>
      </c>
      <c r="P1180" s="17">
        <f>IF($C1180="","",IF($K1180="","",IF(N($K1180)&gt;2,"No",IF(COUNTIFS(nrES_PID,$D1180,nrES_Code,$F1180,nrES_Att,"&gt;"&amp;$K1180,nrES_Att,"&lt;=2",nrES_Raw,"&gt;=0")=0,"Yes","No"))))</f>
        <v/>
      </c>
      <c r="Q1180" s="17">
        <f>IF($C1180="","",IF($L1180="","",IF(AND($K1180=1,ISNUMBER($L1180),$L1180&lt;$J1180,COUNTIFS(nrES_PID,$D1180,nrES_Code,$F1180,nrES_Att,2,nrES_Raw,"&gt;=0")=0),"Yes","No")))</f>
        <v/>
      </c>
      <c r="R1180" s="17">
        <f>IF($C1180="","",IF($L1180="","",IF(AND(N($K1180)&gt;=2,ISNUMBER($L1180),$L1180&lt;$J1180),"Yes","No")))</f>
        <v/>
      </c>
      <c r="S1180" s="18" t="n"/>
      <c r="T1180" s="19">
        <f>IF(OR($C1180="",$L1180="",$K1180&lt;&gt;1,NOT(ISNUMBER($L1180)),$L1180&gt;=$J1180),"",IF($S1180="","(enter date)",_xlfn.LET(_xlpm.dn,_xlfn.XLOOKUP($S1180,nrCDdate,nrCDnum,"",1),IF(_xlpm.dn="","(after last class day)",_xlfn.LET(_xlpm.dd,_xlfn.XLOOKUP(_xlpm.dn+cfgRetestClassDays,nrCDnum,nrCDdate,""),_xlpm.ok,_xlfn.XLOOKUP(_xlpm.dn+cfgRetestClassDays,nrCDnum,nrCDinsession,"No"),IF(OR(_xlpm.dd="",_xlpm.ok&lt;&gt;"Yes"),"(after last class day)",_xlpm.dd))))))</f>
        <v/>
      </c>
      <c r="U1180" s="17">
        <f>IF($C1180="","",IF(AND($Y1180="Excused",$L1180="",N($K1180)&lt;=1),"EXCUSED - 1st attempt pending",IF(OR($L1180="",$K1180&lt;&gt;1,NOT(ISNUMBER($L1180)),$L1180&gt;=$J1180),"",IF(COUNTIFS(nrES_PID,$D1180,nrES_Code,$F1180,nrES_Att,2,nrES_Raw,"&gt;=0")&gt;0,IF(IFERROR(_xlfn.MINIFS(nrES_Date,nrES_PID,$D1180,nrES_Code,$F1180,nrES_Att,2,nrES_Raw,"&gt;=0",nrES_Date,"&gt;0"),0)=0,"RETEST UNDATED",IF(NOT(ISNUMBER($T1180)),"RETEST DATE UNCHECKED",IF(_xlfn.MINIFS(nrES_Date,nrES_PID,$D1180,nrES_Code,$F1180,nrES_Att,2,nrES_Raw,"&gt;=0",nrES_Date,"&gt;0")&gt;$T1180,"LATE RETEST "&amp;TEXT(_xlfn.MINIFS(nrES_Date,nrES_PID,$D1180,nrES_Code,$F1180,nrES_Att,2,nrES_Raw,"&gt;=0",nrES_Date,"&gt;0"),"mm/dd")&amp;" (due "&amp;TEXT($T1180,"mm/dd")&amp;")","Retested"))),IF(NOT(ISNUMBER($T1180)),"CHECK DATE",IF(TODAY()&gt;$T1180,"OVERDUE","Due "&amp;TEXT($T1180,"mm/dd")))))))</f>
        <v/>
      </c>
      <c r="V1180" s="16" t="n"/>
      <c r="W1180" s="16" t="n"/>
      <c r="X1180" s="17">
        <f>IF($C1180="","",IF(AND($L1180&lt;&gt;"",NOT(ISNUMBER($L1180))),"RAW SCORE NOT A NUMBER",IF(AND(ISNUMBER($L1180),OR($L1180&lt;0,$L1180&gt;100)),"RAW SCORE OUT OF RANGE",IF(AND($Y1180="Unexcused",OR($L1180="",NOT(ISNUMBER($L1180)),$L1180&lt;&gt;0)),"UNEXCUSED ABSENCE MUST RECORD 0",IF(COUNTIF(nrES_RecID,$B1180)&gt;1,"DUPLICATE RECORD",IF(N($K1180)&gt;2,"ATTEMPT 3+ NOT ALLOWED - policy 300.5 permits one retest per exam; this row records nothing",IF(AND($K1180=2,COUNTIFS(nrES_PID,$D1180,nrES_Code,$F1180,nrES_Att,1)=0),"ATTEMPT 2 WITHOUT ATTEMPT 1",IF(AND($K1180=2,$L1180=""),"RETEST ROW HAS NO SCORE",IF(AND($H1180="Final",$L1180&lt;&gt;"",IFERROR(INDEX(nrCKfinalExamElig,MATCH($D1180,rngCadetPIDs,0)),"")="No"),"FINAL EXAM AFTER FAILED FINAL PT (500.1.H)",IF(AND($K1180=2,ISNUMBER($L1180),COUNTIFS(nrES_PID,$D1180,nrES_Code,$F1180,nrES_Att,1)&gt;0,SUMIFS(nrES_Raw,nrES_PID,$D1180,nrES_Code,$F1180,nrES_Att,1)&gt;=$J1180),"RETEST AFTER A PASSING FIRST ATTEMPT","OK"))))))))))</f>
        <v/>
      </c>
      <c r="Y1180" s="16" t="n"/>
    </row>
    <row r="1181">
      <c r="B1181" s="17">
        <f>IF($C1181="","",$D1181&amp;"-"&amp;$F1181&amp;"-"&amp;$K1181)</f>
        <v/>
      </c>
      <c r="C1181" s="16" t="n"/>
      <c r="D1181" s="17">
        <f>IF($C1181="","",IFERROR(INDEX(rngCadetPIDs,MATCH($C1181,rngCadetNames,0)),"?"))</f>
        <v/>
      </c>
      <c r="E1181" s="17">
        <f>IF($D1181="","",IFERROR(INDEX(nrCadetAgency,MATCH($D1181,rngCadetPIDs,0)),""))</f>
        <v/>
      </c>
      <c r="F1181" s="16" t="n"/>
      <c r="G1181" s="17">
        <f>IF($F1181="","",IFERROR(INDEX(rngEPname,MATCH($F1181,rngEPcode,0)),"?"))</f>
        <v/>
      </c>
      <c r="H1181" s="17">
        <f>IF($F1181="","",IFERROR(INDEX(rngEPtype,MATCH($F1181,rngEPcode,0)),"?"))</f>
        <v/>
      </c>
      <c r="I1181" s="17">
        <f>IF($F1181="","",IFERROR(INDEX(rngEPseq,MATCH($F1181,rngEPcode,0)),""))</f>
        <v/>
      </c>
      <c r="J1181" s="17">
        <f>IF($F1181="","",IFERROR(INDEX(rngEPpass,MATCH($F1181,rngEPcode,0)),cfgPassingScore))</f>
        <v/>
      </c>
      <c r="K1181" s="16" t="n"/>
      <c r="L1181" s="16" t="n"/>
      <c r="M1181" s="17">
        <f>IF($C1181="","",IF($L1181="","",IF(NOT(ISNUMBER($L1181)),$L1181,IF(N($K1181)&gt;2,"",IF($K1181=1,IF(COUNTIFS(nrES_PID,$D1181,nrES_Code,$F1181,nrES_Att,2,nrES_Raw,"&gt;=0")&gt;0,"",$L1181),IF($L1181&gt;=$J1181,MAX($J1181,cfgRetakeRecordedCap),IF(COUNTIFS(nrES_PID,$D1181,nrES_Code,$F1181,nrES_Att,1)=0,$L1181,SUMIFS(nrES_Raw,nrES_PID,$D1181,nrES_Code,$F1181,nrES_Att,1))))))))</f>
        <v/>
      </c>
      <c r="N1181" s="17">
        <f>IF($C1181="","",IF($L1181="","",IF(NOT(ISNUMBER($L1181)),"(not a score)",IF($L1181&gt;=$J1181,"Yes","No"))))</f>
        <v/>
      </c>
      <c r="O1181" s="17">
        <f>IF($C1181="","",IF($M1181="","",IF(NOT(ISNUMBER($M1181)),"(not a score)",IF($M1181&gt;=$J1181,"Yes","No"))))</f>
        <v/>
      </c>
      <c r="P1181" s="17">
        <f>IF($C1181="","",IF($K1181="","",IF(N($K1181)&gt;2,"No",IF(COUNTIFS(nrES_PID,$D1181,nrES_Code,$F1181,nrES_Att,"&gt;"&amp;$K1181,nrES_Att,"&lt;=2",nrES_Raw,"&gt;=0")=0,"Yes","No"))))</f>
        <v/>
      </c>
      <c r="Q1181" s="17">
        <f>IF($C1181="","",IF($L1181="","",IF(AND($K1181=1,ISNUMBER($L1181),$L1181&lt;$J1181,COUNTIFS(nrES_PID,$D1181,nrES_Code,$F1181,nrES_Att,2,nrES_Raw,"&gt;=0")=0),"Yes","No")))</f>
        <v/>
      </c>
      <c r="R1181" s="17">
        <f>IF($C1181="","",IF($L1181="","",IF(AND(N($K1181)&gt;=2,ISNUMBER($L1181),$L1181&lt;$J1181),"Yes","No")))</f>
        <v/>
      </c>
      <c r="S1181" s="18" t="n"/>
      <c r="T1181" s="19">
        <f>IF(OR($C1181="",$L1181="",$K1181&lt;&gt;1,NOT(ISNUMBER($L1181)),$L1181&gt;=$J1181),"",IF($S1181="","(enter date)",_xlfn.LET(_xlpm.dn,_xlfn.XLOOKUP($S1181,nrCDdate,nrCDnum,"",1),IF(_xlpm.dn="","(after last class day)",_xlfn.LET(_xlpm.dd,_xlfn.XLOOKUP(_xlpm.dn+cfgRetestClassDays,nrCDnum,nrCDdate,""),_xlpm.ok,_xlfn.XLOOKUP(_xlpm.dn+cfgRetestClassDays,nrCDnum,nrCDinsession,"No"),IF(OR(_xlpm.dd="",_xlpm.ok&lt;&gt;"Yes"),"(after last class day)",_xlpm.dd))))))</f>
        <v/>
      </c>
      <c r="U1181" s="17">
        <f>IF($C1181="","",IF(AND($Y1181="Excused",$L1181="",N($K1181)&lt;=1),"EXCUSED - 1st attempt pending",IF(OR($L1181="",$K1181&lt;&gt;1,NOT(ISNUMBER($L1181)),$L1181&gt;=$J1181),"",IF(COUNTIFS(nrES_PID,$D1181,nrES_Code,$F1181,nrES_Att,2,nrES_Raw,"&gt;=0")&gt;0,IF(IFERROR(_xlfn.MINIFS(nrES_Date,nrES_PID,$D1181,nrES_Code,$F1181,nrES_Att,2,nrES_Raw,"&gt;=0",nrES_Date,"&gt;0"),0)=0,"RETEST UNDATED",IF(NOT(ISNUMBER($T1181)),"RETEST DATE UNCHECKED",IF(_xlfn.MINIFS(nrES_Date,nrES_PID,$D1181,nrES_Code,$F1181,nrES_Att,2,nrES_Raw,"&gt;=0",nrES_Date,"&gt;0")&gt;$T1181,"LATE RETEST "&amp;TEXT(_xlfn.MINIFS(nrES_Date,nrES_PID,$D1181,nrES_Code,$F1181,nrES_Att,2,nrES_Raw,"&gt;=0",nrES_Date,"&gt;0"),"mm/dd")&amp;" (due "&amp;TEXT($T1181,"mm/dd")&amp;")","Retested"))),IF(NOT(ISNUMBER($T1181)),"CHECK DATE",IF(TODAY()&gt;$T1181,"OVERDUE","Due "&amp;TEXT($T1181,"mm/dd")))))))</f>
        <v/>
      </c>
      <c r="V1181" s="16" t="n"/>
      <c r="W1181" s="16" t="n"/>
      <c r="X1181" s="17">
        <f>IF($C1181="","",IF(AND($L1181&lt;&gt;"",NOT(ISNUMBER($L1181))),"RAW SCORE NOT A NUMBER",IF(AND(ISNUMBER($L1181),OR($L1181&lt;0,$L1181&gt;100)),"RAW SCORE OUT OF RANGE",IF(AND($Y1181="Unexcused",OR($L1181="",NOT(ISNUMBER($L1181)),$L1181&lt;&gt;0)),"UNEXCUSED ABSENCE MUST RECORD 0",IF(COUNTIF(nrES_RecID,$B1181)&gt;1,"DUPLICATE RECORD",IF(N($K1181)&gt;2,"ATTEMPT 3+ NOT ALLOWED - policy 300.5 permits one retest per exam; this row records nothing",IF(AND($K1181=2,COUNTIFS(nrES_PID,$D1181,nrES_Code,$F1181,nrES_Att,1)=0),"ATTEMPT 2 WITHOUT ATTEMPT 1",IF(AND($K1181=2,$L1181=""),"RETEST ROW HAS NO SCORE",IF(AND($H1181="Final",$L1181&lt;&gt;"",IFERROR(INDEX(nrCKfinalExamElig,MATCH($D1181,rngCadetPIDs,0)),"")="No"),"FINAL EXAM AFTER FAILED FINAL PT (500.1.H)",IF(AND($K1181=2,ISNUMBER($L1181),COUNTIFS(nrES_PID,$D1181,nrES_Code,$F1181,nrES_Att,1)&gt;0,SUMIFS(nrES_Raw,nrES_PID,$D1181,nrES_Code,$F1181,nrES_Att,1)&gt;=$J1181),"RETEST AFTER A PASSING FIRST ATTEMPT","OK"))))))))))</f>
        <v/>
      </c>
      <c r="Y1181" s="16" t="n"/>
    </row>
    <row r="1182">
      <c r="B1182" s="17">
        <f>IF($C1182="","",$D1182&amp;"-"&amp;$F1182&amp;"-"&amp;$K1182)</f>
        <v/>
      </c>
      <c r="C1182" s="16" t="n"/>
      <c r="D1182" s="17">
        <f>IF($C1182="","",IFERROR(INDEX(rngCadetPIDs,MATCH($C1182,rngCadetNames,0)),"?"))</f>
        <v/>
      </c>
      <c r="E1182" s="17">
        <f>IF($D1182="","",IFERROR(INDEX(nrCadetAgency,MATCH($D1182,rngCadetPIDs,0)),""))</f>
        <v/>
      </c>
      <c r="F1182" s="16" t="n"/>
      <c r="G1182" s="17">
        <f>IF($F1182="","",IFERROR(INDEX(rngEPname,MATCH($F1182,rngEPcode,0)),"?"))</f>
        <v/>
      </c>
      <c r="H1182" s="17">
        <f>IF($F1182="","",IFERROR(INDEX(rngEPtype,MATCH($F1182,rngEPcode,0)),"?"))</f>
        <v/>
      </c>
      <c r="I1182" s="17">
        <f>IF($F1182="","",IFERROR(INDEX(rngEPseq,MATCH($F1182,rngEPcode,0)),""))</f>
        <v/>
      </c>
      <c r="J1182" s="17">
        <f>IF($F1182="","",IFERROR(INDEX(rngEPpass,MATCH($F1182,rngEPcode,0)),cfgPassingScore))</f>
        <v/>
      </c>
      <c r="K1182" s="16" t="n"/>
      <c r="L1182" s="16" t="n"/>
      <c r="M1182" s="17">
        <f>IF($C1182="","",IF($L1182="","",IF(NOT(ISNUMBER($L1182)),$L1182,IF(N($K1182)&gt;2,"",IF($K1182=1,IF(COUNTIFS(nrES_PID,$D1182,nrES_Code,$F1182,nrES_Att,2,nrES_Raw,"&gt;=0")&gt;0,"",$L1182),IF($L1182&gt;=$J1182,MAX($J1182,cfgRetakeRecordedCap),IF(COUNTIFS(nrES_PID,$D1182,nrES_Code,$F1182,nrES_Att,1)=0,$L1182,SUMIFS(nrES_Raw,nrES_PID,$D1182,nrES_Code,$F1182,nrES_Att,1))))))))</f>
        <v/>
      </c>
      <c r="N1182" s="17">
        <f>IF($C1182="","",IF($L1182="","",IF(NOT(ISNUMBER($L1182)),"(not a score)",IF($L1182&gt;=$J1182,"Yes","No"))))</f>
        <v/>
      </c>
      <c r="O1182" s="17">
        <f>IF($C1182="","",IF($M1182="","",IF(NOT(ISNUMBER($M1182)),"(not a score)",IF($M1182&gt;=$J1182,"Yes","No"))))</f>
        <v/>
      </c>
      <c r="P1182" s="17">
        <f>IF($C1182="","",IF($K1182="","",IF(N($K1182)&gt;2,"No",IF(COUNTIFS(nrES_PID,$D1182,nrES_Code,$F1182,nrES_Att,"&gt;"&amp;$K1182,nrES_Att,"&lt;=2",nrES_Raw,"&gt;=0")=0,"Yes","No"))))</f>
        <v/>
      </c>
      <c r="Q1182" s="17">
        <f>IF($C1182="","",IF($L1182="","",IF(AND($K1182=1,ISNUMBER($L1182),$L1182&lt;$J1182,COUNTIFS(nrES_PID,$D1182,nrES_Code,$F1182,nrES_Att,2,nrES_Raw,"&gt;=0")=0),"Yes","No")))</f>
        <v/>
      </c>
      <c r="R1182" s="17">
        <f>IF($C1182="","",IF($L1182="","",IF(AND(N($K1182)&gt;=2,ISNUMBER($L1182),$L1182&lt;$J1182),"Yes","No")))</f>
        <v/>
      </c>
      <c r="S1182" s="18" t="n"/>
      <c r="T1182" s="19">
        <f>IF(OR($C1182="",$L1182="",$K1182&lt;&gt;1,NOT(ISNUMBER($L1182)),$L1182&gt;=$J1182),"",IF($S1182="","(enter date)",_xlfn.LET(_xlpm.dn,_xlfn.XLOOKUP($S1182,nrCDdate,nrCDnum,"",1),IF(_xlpm.dn="","(after last class day)",_xlfn.LET(_xlpm.dd,_xlfn.XLOOKUP(_xlpm.dn+cfgRetestClassDays,nrCDnum,nrCDdate,""),_xlpm.ok,_xlfn.XLOOKUP(_xlpm.dn+cfgRetestClassDays,nrCDnum,nrCDinsession,"No"),IF(OR(_xlpm.dd="",_xlpm.ok&lt;&gt;"Yes"),"(after last class day)",_xlpm.dd))))))</f>
        <v/>
      </c>
      <c r="U1182" s="17">
        <f>IF($C1182="","",IF(AND($Y1182="Excused",$L1182="",N($K1182)&lt;=1),"EXCUSED - 1st attempt pending",IF(OR($L1182="",$K1182&lt;&gt;1,NOT(ISNUMBER($L1182)),$L1182&gt;=$J1182),"",IF(COUNTIFS(nrES_PID,$D1182,nrES_Code,$F1182,nrES_Att,2,nrES_Raw,"&gt;=0")&gt;0,IF(IFERROR(_xlfn.MINIFS(nrES_Date,nrES_PID,$D1182,nrES_Code,$F1182,nrES_Att,2,nrES_Raw,"&gt;=0",nrES_Date,"&gt;0"),0)=0,"RETEST UNDATED",IF(NOT(ISNUMBER($T1182)),"RETEST DATE UNCHECKED",IF(_xlfn.MINIFS(nrES_Date,nrES_PID,$D1182,nrES_Code,$F1182,nrES_Att,2,nrES_Raw,"&gt;=0",nrES_Date,"&gt;0")&gt;$T1182,"LATE RETEST "&amp;TEXT(_xlfn.MINIFS(nrES_Date,nrES_PID,$D1182,nrES_Code,$F1182,nrES_Att,2,nrES_Raw,"&gt;=0",nrES_Date,"&gt;0"),"mm/dd")&amp;" (due "&amp;TEXT($T1182,"mm/dd")&amp;")","Retested"))),IF(NOT(ISNUMBER($T1182)),"CHECK DATE",IF(TODAY()&gt;$T1182,"OVERDUE","Due "&amp;TEXT($T1182,"mm/dd")))))))</f>
        <v/>
      </c>
      <c r="V1182" s="16" t="n"/>
      <c r="W1182" s="16" t="n"/>
      <c r="X1182" s="17">
        <f>IF($C1182="","",IF(AND($L1182&lt;&gt;"",NOT(ISNUMBER($L1182))),"RAW SCORE NOT A NUMBER",IF(AND(ISNUMBER($L1182),OR($L1182&lt;0,$L1182&gt;100)),"RAW SCORE OUT OF RANGE",IF(AND($Y1182="Unexcused",OR($L1182="",NOT(ISNUMBER($L1182)),$L1182&lt;&gt;0)),"UNEXCUSED ABSENCE MUST RECORD 0",IF(COUNTIF(nrES_RecID,$B1182)&gt;1,"DUPLICATE RECORD",IF(N($K1182)&gt;2,"ATTEMPT 3+ NOT ALLOWED - policy 300.5 permits one retest per exam; this row records nothing",IF(AND($K1182=2,COUNTIFS(nrES_PID,$D1182,nrES_Code,$F1182,nrES_Att,1)=0),"ATTEMPT 2 WITHOUT ATTEMPT 1",IF(AND($K1182=2,$L1182=""),"RETEST ROW HAS NO SCORE",IF(AND($H1182="Final",$L1182&lt;&gt;"",IFERROR(INDEX(nrCKfinalExamElig,MATCH($D1182,rngCadetPIDs,0)),"")="No"),"FINAL EXAM AFTER FAILED FINAL PT (500.1.H)",IF(AND($K1182=2,ISNUMBER($L1182),COUNTIFS(nrES_PID,$D1182,nrES_Code,$F1182,nrES_Att,1)&gt;0,SUMIFS(nrES_Raw,nrES_PID,$D1182,nrES_Code,$F1182,nrES_Att,1)&gt;=$J1182),"RETEST AFTER A PASSING FIRST ATTEMPT","OK"))))))))))</f>
        <v/>
      </c>
      <c r="Y1182" s="16" t="n"/>
    </row>
    <row r="1183">
      <c r="B1183" s="17">
        <f>IF($C1183="","",$D1183&amp;"-"&amp;$F1183&amp;"-"&amp;$K1183)</f>
        <v/>
      </c>
      <c r="C1183" s="16" t="n"/>
      <c r="D1183" s="17">
        <f>IF($C1183="","",IFERROR(INDEX(rngCadetPIDs,MATCH($C1183,rngCadetNames,0)),"?"))</f>
        <v/>
      </c>
      <c r="E1183" s="17">
        <f>IF($D1183="","",IFERROR(INDEX(nrCadetAgency,MATCH($D1183,rngCadetPIDs,0)),""))</f>
        <v/>
      </c>
      <c r="F1183" s="16" t="n"/>
      <c r="G1183" s="17">
        <f>IF($F1183="","",IFERROR(INDEX(rngEPname,MATCH($F1183,rngEPcode,0)),"?"))</f>
        <v/>
      </c>
      <c r="H1183" s="17">
        <f>IF($F1183="","",IFERROR(INDEX(rngEPtype,MATCH($F1183,rngEPcode,0)),"?"))</f>
        <v/>
      </c>
      <c r="I1183" s="17">
        <f>IF($F1183="","",IFERROR(INDEX(rngEPseq,MATCH($F1183,rngEPcode,0)),""))</f>
        <v/>
      </c>
      <c r="J1183" s="17">
        <f>IF($F1183="","",IFERROR(INDEX(rngEPpass,MATCH($F1183,rngEPcode,0)),cfgPassingScore))</f>
        <v/>
      </c>
      <c r="K1183" s="16" t="n"/>
      <c r="L1183" s="16" t="n"/>
      <c r="M1183" s="17">
        <f>IF($C1183="","",IF($L1183="","",IF(NOT(ISNUMBER($L1183)),$L1183,IF(N($K1183)&gt;2,"",IF($K1183=1,IF(COUNTIFS(nrES_PID,$D1183,nrES_Code,$F1183,nrES_Att,2,nrES_Raw,"&gt;=0")&gt;0,"",$L1183),IF($L1183&gt;=$J1183,MAX($J1183,cfgRetakeRecordedCap),IF(COUNTIFS(nrES_PID,$D1183,nrES_Code,$F1183,nrES_Att,1)=0,$L1183,SUMIFS(nrES_Raw,nrES_PID,$D1183,nrES_Code,$F1183,nrES_Att,1))))))))</f>
        <v/>
      </c>
      <c r="N1183" s="17">
        <f>IF($C1183="","",IF($L1183="","",IF(NOT(ISNUMBER($L1183)),"(not a score)",IF($L1183&gt;=$J1183,"Yes","No"))))</f>
        <v/>
      </c>
      <c r="O1183" s="17">
        <f>IF($C1183="","",IF($M1183="","",IF(NOT(ISNUMBER($M1183)),"(not a score)",IF($M1183&gt;=$J1183,"Yes","No"))))</f>
        <v/>
      </c>
      <c r="P1183" s="17">
        <f>IF($C1183="","",IF($K1183="","",IF(N($K1183)&gt;2,"No",IF(COUNTIFS(nrES_PID,$D1183,nrES_Code,$F1183,nrES_Att,"&gt;"&amp;$K1183,nrES_Att,"&lt;=2",nrES_Raw,"&gt;=0")=0,"Yes","No"))))</f>
        <v/>
      </c>
      <c r="Q1183" s="17">
        <f>IF($C1183="","",IF($L1183="","",IF(AND($K1183=1,ISNUMBER($L1183),$L1183&lt;$J1183,COUNTIFS(nrES_PID,$D1183,nrES_Code,$F1183,nrES_Att,2,nrES_Raw,"&gt;=0")=0),"Yes","No")))</f>
        <v/>
      </c>
      <c r="R1183" s="17">
        <f>IF($C1183="","",IF($L1183="","",IF(AND(N($K1183)&gt;=2,ISNUMBER($L1183),$L1183&lt;$J1183),"Yes","No")))</f>
        <v/>
      </c>
      <c r="S1183" s="18" t="n"/>
      <c r="T1183" s="19">
        <f>IF(OR($C1183="",$L1183="",$K1183&lt;&gt;1,NOT(ISNUMBER($L1183)),$L1183&gt;=$J1183),"",IF($S1183="","(enter date)",_xlfn.LET(_xlpm.dn,_xlfn.XLOOKUP($S1183,nrCDdate,nrCDnum,"",1),IF(_xlpm.dn="","(after last class day)",_xlfn.LET(_xlpm.dd,_xlfn.XLOOKUP(_xlpm.dn+cfgRetestClassDays,nrCDnum,nrCDdate,""),_xlpm.ok,_xlfn.XLOOKUP(_xlpm.dn+cfgRetestClassDays,nrCDnum,nrCDinsession,"No"),IF(OR(_xlpm.dd="",_xlpm.ok&lt;&gt;"Yes"),"(after last class day)",_xlpm.dd))))))</f>
        <v/>
      </c>
      <c r="U1183" s="17">
        <f>IF($C1183="","",IF(AND($Y1183="Excused",$L1183="",N($K1183)&lt;=1),"EXCUSED - 1st attempt pending",IF(OR($L1183="",$K1183&lt;&gt;1,NOT(ISNUMBER($L1183)),$L1183&gt;=$J1183),"",IF(COUNTIFS(nrES_PID,$D1183,nrES_Code,$F1183,nrES_Att,2,nrES_Raw,"&gt;=0")&gt;0,IF(IFERROR(_xlfn.MINIFS(nrES_Date,nrES_PID,$D1183,nrES_Code,$F1183,nrES_Att,2,nrES_Raw,"&gt;=0",nrES_Date,"&gt;0"),0)=0,"RETEST UNDATED",IF(NOT(ISNUMBER($T1183)),"RETEST DATE UNCHECKED",IF(_xlfn.MINIFS(nrES_Date,nrES_PID,$D1183,nrES_Code,$F1183,nrES_Att,2,nrES_Raw,"&gt;=0",nrES_Date,"&gt;0")&gt;$T1183,"LATE RETEST "&amp;TEXT(_xlfn.MINIFS(nrES_Date,nrES_PID,$D1183,nrES_Code,$F1183,nrES_Att,2,nrES_Raw,"&gt;=0",nrES_Date,"&gt;0"),"mm/dd")&amp;" (due "&amp;TEXT($T1183,"mm/dd")&amp;")","Retested"))),IF(NOT(ISNUMBER($T1183)),"CHECK DATE",IF(TODAY()&gt;$T1183,"OVERDUE","Due "&amp;TEXT($T1183,"mm/dd")))))))</f>
        <v/>
      </c>
      <c r="V1183" s="16" t="n"/>
      <c r="W1183" s="16" t="n"/>
      <c r="X1183" s="17">
        <f>IF($C1183="","",IF(AND($L1183&lt;&gt;"",NOT(ISNUMBER($L1183))),"RAW SCORE NOT A NUMBER",IF(AND(ISNUMBER($L1183),OR($L1183&lt;0,$L1183&gt;100)),"RAW SCORE OUT OF RANGE",IF(AND($Y1183="Unexcused",OR($L1183="",NOT(ISNUMBER($L1183)),$L1183&lt;&gt;0)),"UNEXCUSED ABSENCE MUST RECORD 0",IF(COUNTIF(nrES_RecID,$B1183)&gt;1,"DUPLICATE RECORD",IF(N($K1183)&gt;2,"ATTEMPT 3+ NOT ALLOWED - policy 300.5 permits one retest per exam; this row records nothing",IF(AND($K1183=2,COUNTIFS(nrES_PID,$D1183,nrES_Code,$F1183,nrES_Att,1)=0),"ATTEMPT 2 WITHOUT ATTEMPT 1",IF(AND($K1183=2,$L1183=""),"RETEST ROW HAS NO SCORE",IF(AND($H1183="Final",$L1183&lt;&gt;"",IFERROR(INDEX(nrCKfinalExamElig,MATCH($D1183,rngCadetPIDs,0)),"")="No"),"FINAL EXAM AFTER FAILED FINAL PT (500.1.H)",IF(AND($K1183=2,ISNUMBER($L1183),COUNTIFS(nrES_PID,$D1183,nrES_Code,$F1183,nrES_Att,1)&gt;0,SUMIFS(nrES_Raw,nrES_PID,$D1183,nrES_Code,$F1183,nrES_Att,1)&gt;=$J1183),"RETEST AFTER A PASSING FIRST ATTEMPT","OK"))))))))))</f>
        <v/>
      </c>
      <c r="Y1183" s="16" t="n"/>
    </row>
    <row r="1184">
      <c r="B1184" s="17">
        <f>IF($C1184="","",$D1184&amp;"-"&amp;$F1184&amp;"-"&amp;$K1184)</f>
        <v/>
      </c>
      <c r="C1184" s="16" t="n"/>
      <c r="D1184" s="17">
        <f>IF($C1184="","",IFERROR(INDEX(rngCadetPIDs,MATCH($C1184,rngCadetNames,0)),"?"))</f>
        <v/>
      </c>
      <c r="E1184" s="17">
        <f>IF($D1184="","",IFERROR(INDEX(nrCadetAgency,MATCH($D1184,rngCadetPIDs,0)),""))</f>
        <v/>
      </c>
      <c r="F1184" s="16" t="n"/>
      <c r="G1184" s="17">
        <f>IF($F1184="","",IFERROR(INDEX(rngEPname,MATCH($F1184,rngEPcode,0)),"?"))</f>
        <v/>
      </c>
      <c r="H1184" s="17">
        <f>IF($F1184="","",IFERROR(INDEX(rngEPtype,MATCH($F1184,rngEPcode,0)),"?"))</f>
        <v/>
      </c>
      <c r="I1184" s="17">
        <f>IF($F1184="","",IFERROR(INDEX(rngEPseq,MATCH($F1184,rngEPcode,0)),""))</f>
        <v/>
      </c>
      <c r="J1184" s="17">
        <f>IF($F1184="","",IFERROR(INDEX(rngEPpass,MATCH($F1184,rngEPcode,0)),cfgPassingScore))</f>
        <v/>
      </c>
      <c r="K1184" s="16" t="n"/>
      <c r="L1184" s="16" t="n"/>
      <c r="M1184" s="17">
        <f>IF($C1184="","",IF($L1184="","",IF(NOT(ISNUMBER($L1184)),$L1184,IF(N($K1184)&gt;2,"",IF($K1184=1,IF(COUNTIFS(nrES_PID,$D1184,nrES_Code,$F1184,nrES_Att,2,nrES_Raw,"&gt;=0")&gt;0,"",$L1184),IF($L1184&gt;=$J1184,MAX($J1184,cfgRetakeRecordedCap),IF(COUNTIFS(nrES_PID,$D1184,nrES_Code,$F1184,nrES_Att,1)=0,$L1184,SUMIFS(nrES_Raw,nrES_PID,$D1184,nrES_Code,$F1184,nrES_Att,1))))))))</f>
        <v/>
      </c>
      <c r="N1184" s="17">
        <f>IF($C1184="","",IF($L1184="","",IF(NOT(ISNUMBER($L1184)),"(not a score)",IF($L1184&gt;=$J1184,"Yes","No"))))</f>
        <v/>
      </c>
      <c r="O1184" s="17">
        <f>IF($C1184="","",IF($M1184="","",IF(NOT(ISNUMBER($M1184)),"(not a score)",IF($M1184&gt;=$J1184,"Yes","No"))))</f>
        <v/>
      </c>
      <c r="P1184" s="17">
        <f>IF($C1184="","",IF($K1184="","",IF(N($K1184)&gt;2,"No",IF(COUNTIFS(nrES_PID,$D1184,nrES_Code,$F1184,nrES_Att,"&gt;"&amp;$K1184,nrES_Att,"&lt;=2",nrES_Raw,"&gt;=0")=0,"Yes","No"))))</f>
        <v/>
      </c>
      <c r="Q1184" s="17">
        <f>IF($C1184="","",IF($L1184="","",IF(AND($K1184=1,ISNUMBER($L1184),$L1184&lt;$J1184,COUNTIFS(nrES_PID,$D1184,nrES_Code,$F1184,nrES_Att,2,nrES_Raw,"&gt;=0")=0),"Yes","No")))</f>
        <v/>
      </c>
      <c r="R1184" s="17">
        <f>IF($C1184="","",IF($L1184="","",IF(AND(N($K1184)&gt;=2,ISNUMBER($L1184),$L1184&lt;$J1184),"Yes","No")))</f>
        <v/>
      </c>
      <c r="S1184" s="18" t="n"/>
      <c r="T1184" s="19">
        <f>IF(OR($C1184="",$L1184="",$K1184&lt;&gt;1,NOT(ISNUMBER($L1184)),$L1184&gt;=$J1184),"",IF($S1184="","(enter date)",_xlfn.LET(_xlpm.dn,_xlfn.XLOOKUP($S1184,nrCDdate,nrCDnum,"",1),IF(_xlpm.dn="","(after last class day)",_xlfn.LET(_xlpm.dd,_xlfn.XLOOKUP(_xlpm.dn+cfgRetestClassDays,nrCDnum,nrCDdate,""),_xlpm.ok,_xlfn.XLOOKUP(_xlpm.dn+cfgRetestClassDays,nrCDnum,nrCDinsession,"No"),IF(OR(_xlpm.dd="",_xlpm.ok&lt;&gt;"Yes"),"(after last class day)",_xlpm.dd))))))</f>
        <v/>
      </c>
      <c r="U1184" s="17">
        <f>IF($C1184="","",IF(AND($Y1184="Excused",$L1184="",N($K1184)&lt;=1),"EXCUSED - 1st attempt pending",IF(OR($L1184="",$K1184&lt;&gt;1,NOT(ISNUMBER($L1184)),$L1184&gt;=$J1184),"",IF(COUNTIFS(nrES_PID,$D1184,nrES_Code,$F1184,nrES_Att,2,nrES_Raw,"&gt;=0")&gt;0,IF(IFERROR(_xlfn.MINIFS(nrES_Date,nrES_PID,$D1184,nrES_Code,$F1184,nrES_Att,2,nrES_Raw,"&gt;=0",nrES_Date,"&gt;0"),0)=0,"RETEST UNDATED",IF(NOT(ISNUMBER($T1184)),"RETEST DATE UNCHECKED",IF(_xlfn.MINIFS(nrES_Date,nrES_PID,$D1184,nrES_Code,$F1184,nrES_Att,2,nrES_Raw,"&gt;=0",nrES_Date,"&gt;0")&gt;$T1184,"LATE RETEST "&amp;TEXT(_xlfn.MINIFS(nrES_Date,nrES_PID,$D1184,nrES_Code,$F1184,nrES_Att,2,nrES_Raw,"&gt;=0",nrES_Date,"&gt;0"),"mm/dd")&amp;" (due "&amp;TEXT($T1184,"mm/dd")&amp;")","Retested"))),IF(NOT(ISNUMBER($T1184)),"CHECK DATE",IF(TODAY()&gt;$T1184,"OVERDUE","Due "&amp;TEXT($T1184,"mm/dd")))))))</f>
        <v/>
      </c>
      <c r="V1184" s="16" t="n"/>
      <c r="W1184" s="16" t="n"/>
      <c r="X1184" s="17">
        <f>IF($C1184="","",IF(AND($L1184&lt;&gt;"",NOT(ISNUMBER($L1184))),"RAW SCORE NOT A NUMBER",IF(AND(ISNUMBER($L1184),OR($L1184&lt;0,$L1184&gt;100)),"RAW SCORE OUT OF RANGE",IF(AND($Y1184="Unexcused",OR($L1184="",NOT(ISNUMBER($L1184)),$L1184&lt;&gt;0)),"UNEXCUSED ABSENCE MUST RECORD 0",IF(COUNTIF(nrES_RecID,$B1184)&gt;1,"DUPLICATE RECORD",IF(N($K1184)&gt;2,"ATTEMPT 3+ NOT ALLOWED - policy 300.5 permits one retest per exam; this row records nothing",IF(AND($K1184=2,COUNTIFS(nrES_PID,$D1184,nrES_Code,$F1184,nrES_Att,1)=0),"ATTEMPT 2 WITHOUT ATTEMPT 1",IF(AND($K1184=2,$L1184=""),"RETEST ROW HAS NO SCORE",IF(AND($H1184="Final",$L1184&lt;&gt;"",IFERROR(INDEX(nrCKfinalExamElig,MATCH($D1184,rngCadetPIDs,0)),"")="No"),"FINAL EXAM AFTER FAILED FINAL PT (500.1.H)",IF(AND($K1184=2,ISNUMBER($L1184),COUNTIFS(nrES_PID,$D1184,nrES_Code,$F1184,nrES_Att,1)&gt;0,SUMIFS(nrES_Raw,nrES_PID,$D1184,nrES_Code,$F1184,nrES_Att,1)&gt;=$J1184),"RETEST AFTER A PASSING FIRST ATTEMPT","OK"))))))))))</f>
        <v/>
      </c>
      <c r="Y1184" s="16" t="n"/>
    </row>
    <row r="1185">
      <c r="B1185" s="17">
        <f>IF($C1185="","",$D1185&amp;"-"&amp;$F1185&amp;"-"&amp;$K1185)</f>
        <v/>
      </c>
      <c r="C1185" s="16" t="n"/>
      <c r="D1185" s="17">
        <f>IF($C1185="","",IFERROR(INDEX(rngCadetPIDs,MATCH($C1185,rngCadetNames,0)),"?"))</f>
        <v/>
      </c>
      <c r="E1185" s="17">
        <f>IF($D1185="","",IFERROR(INDEX(nrCadetAgency,MATCH($D1185,rngCadetPIDs,0)),""))</f>
        <v/>
      </c>
      <c r="F1185" s="16" t="n"/>
      <c r="G1185" s="17">
        <f>IF($F1185="","",IFERROR(INDEX(rngEPname,MATCH($F1185,rngEPcode,0)),"?"))</f>
        <v/>
      </c>
      <c r="H1185" s="17">
        <f>IF($F1185="","",IFERROR(INDEX(rngEPtype,MATCH($F1185,rngEPcode,0)),"?"))</f>
        <v/>
      </c>
      <c r="I1185" s="17">
        <f>IF($F1185="","",IFERROR(INDEX(rngEPseq,MATCH($F1185,rngEPcode,0)),""))</f>
        <v/>
      </c>
      <c r="J1185" s="17">
        <f>IF($F1185="","",IFERROR(INDEX(rngEPpass,MATCH($F1185,rngEPcode,0)),cfgPassingScore))</f>
        <v/>
      </c>
      <c r="K1185" s="16" t="n"/>
      <c r="L1185" s="16" t="n"/>
      <c r="M1185" s="17">
        <f>IF($C1185="","",IF($L1185="","",IF(NOT(ISNUMBER($L1185)),$L1185,IF(N($K1185)&gt;2,"",IF($K1185=1,IF(COUNTIFS(nrES_PID,$D1185,nrES_Code,$F1185,nrES_Att,2,nrES_Raw,"&gt;=0")&gt;0,"",$L1185),IF($L1185&gt;=$J1185,MAX($J1185,cfgRetakeRecordedCap),IF(COUNTIFS(nrES_PID,$D1185,nrES_Code,$F1185,nrES_Att,1)=0,$L1185,SUMIFS(nrES_Raw,nrES_PID,$D1185,nrES_Code,$F1185,nrES_Att,1))))))))</f>
        <v/>
      </c>
      <c r="N1185" s="17">
        <f>IF($C1185="","",IF($L1185="","",IF(NOT(ISNUMBER($L1185)),"(not a score)",IF($L1185&gt;=$J1185,"Yes","No"))))</f>
        <v/>
      </c>
      <c r="O1185" s="17">
        <f>IF($C1185="","",IF($M1185="","",IF(NOT(ISNUMBER($M1185)),"(not a score)",IF($M1185&gt;=$J1185,"Yes","No"))))</f>
        <v/>
      </c>
      <c r="P1185" s="17">
        <f>IF($C1185="","",IF($K1185="","",IF(N($K1185)&gt;2,"No",IF(COUNTIFS(nrES_PID,$D1185,nrES_Code,$F1185,nrES_Att,"&gt;"&amp;$K1185,nrES_Att,"&lt;=2",nrES_Raw,"&gt;=0")=0,"Yes","No"))))</f>
        <v/>
      </c>
      <c r="Q1185" s="17">
        <f>IF($C1185="","",IF($L1185="","",IF(AND($K1185=1,ISNUMBER($L1185),$L1185&lt;$J1185,COUNTIFS(nrES_PID,$D1185,nrES_Code,$F1185,nrES_Att,2,nrES_Raw,"&gt;=0")=0),"Yes","No")))</f>
        <v/>
      </c>
      <c r="R1185" s="17">
        <f>IF($C1185="","",IF($L1185="","",IF(AND(N($K1185)&gt;=2,ISNUMBER($L1185),$L1185&lt;$J1185),"Yes","No")))</f>
        <v/>
      </c>
      <c r="S1185" s="18" t="n"/>
      <c r="T1185" s="19">
        <f>IF(OR($C1185="",$L1185="",$K1185&lt;&gt;1,NOT(ISNUMBER($L1185)),$L1185&gt;=$J1185),"",IF($S1185="","(enter date)",_xlfn.LET(_xlpm.dn,_xlfn.XLOOKUP($S1185,nrCDdate,nrCDnum,"",1),IF(_xlpm.dn="","(after last class day)",_xlfn.LET(_xlpm.dd,_xlfn.XLOOKUP(_xlpm.dn+cfgRetestClassDays,nrCDnum,nrCDdate,""),_xlpm.ok,_xlfn.XLOOKUP(_xlpm.dn+cfgRetestClassDays,nrCDnum,nrCDinsession,"No"),IF(OR(_xlpm.dd="",_xlpm.ok&lt;&gt;"Yes"),"(after last class day)",_xlpm.dd))))))</f>
        <v/>
      </c>
      <c r="U1185" s="17">
        <f>IF($C1185="","",IF(AND($Y1185="Excused",$L1185="",N($K1185)&lt;=1),"EXCUSED - 1st attempt pending",IF(OR($L1185="",$K1185&lt;&gt;1,NOT(ISNUMBER($L1185)),$L1185&gt;=$J1185),"",IF(COUNTIFS(nrES_PID,$D1185,nrES_Code,$F1185,nrES_Att,2,nrES_Raw,"&gt;=0")&gt;0,IF(IFERROR(_xlfn.MINIFS(nrES_Date,nrES_PID,$D1185,nrES_Code,$F1185,nrES_Att,2,nrES_Raw,"&gt;=0",nrES_Date,"&gt;0"),0)=0,"RETEST UNDATED",IF(NOT(ISNUMBER($T1185)),"RETEST DATE UNCHECKED",IF(_xlfn.MINIFS(nrES_Date,nrES_PID,$D1185,nrES_Code,$F1185,nrES_Att,2,nrES_Raw,"&gt;=0",nrES_Date,"&gt;0")&gt;$T1185,"LATE RETEST "&amp;TEXT(_xlfn.MINIFS(nrES_Date,nrES_PID,$D1185,nrES_Code,$F1185,nrES_Att,2,nrES_Raw,"&gt;=0",nrES_Date,"&gt;0"),"mm/dd")&amp;" (due "&amp;TEXT($T1185,"mm/dd")&amp;")","Retested"))),IF(NOT(ISNUMBER($T1185)),"CHECK DATE",IF(TODAY()&gt;$T1185,"OVERDUE","Due "&amp;TEXT($T1185,"mm/dd")))))))</f>
        <v/>
      </c>
      <c r="V1185" s="16" t="n"/>
      <c r="W1185" s="16" t="n"/>
      <c r="X1185" s="17">
        <f>IF($C1185="","",IF(AND($L1185&lt;&gt;"",NOT(ISNUMBER($L1185))),"RAW SCORE NOT A NUMBER",IF(AND(ISNUMBER($L1185),OR($L1185&lt;0,$L1185&gt;100)),"RAW SCORE OUT OF RANGE",IF(AND($Y1185="Unexcused",OR($L1185="",NOT(ISNUMBER($L1185)),$L1185&lt;&gt;0)),"UNEXCUSED ABSENCE MUST RECORD 0",IF(COUNTIF(nrES_RecID,$B1185)&gt;1,"DUPLICATE RECORD",IF(N($K1185)&gt;2,"ATTEMPT 3+ NOT ALLOWED - policy 300.5 permits one retest per exam; this row records nothing",IF(AND($K1185=2,COUNTIFS(nrES_PID,$D1185,nrES_Code,$F1185,nrES_Att,1)=0),"ATTEMPT 2 WITHOUT ATTEMPT 1",IF(AND($K1185=2,$L1185=""),"RETEST ROW HAS NO SCORE",IF(AND($H1185="Final",$L1185&lt;&gt;"",IFERROR(INDEX(nrCKfinalExamElig,MATCH($D1185,rngCadetPIDs,0)),"")="No"),"FINAL EXAM AFTER FAILED FINAL PT (500.1.H)",IF(AND($K1185=2,ISNUMBER($L1185),COUNTIFS(nrES_PID,$D1185,nrES_Code,$F1185,nrES_Att,1)&gt;0,SUMIFS(nrES_Raw,nrES_PID,$D1185,nrES_Code,$F1185,nrES_Att,1)&gt;=$J1185),"RETEST AFTER A PASSING FIRST ATTEMPT","OK"))))))))))</f>
        <v/>
      </c>
      <c r="Y1185" s="16" t="n"/>
    </row>
    <row r="1186">
      <c r="B1186" s="17">
        <f>IF($C1186="","",$D1186&amp;"-"&amp;$F1186&amp;"-"&amp;$K1186)</f>
        <v/>
      </c>
      <c r="C1186" s="16" t="n"/>
      <c r="D1186" s="17">
        <f>IF($C1186="","",IFERROR(INDEX(rngCadetPIDs,MATCH($C1186,rngCadetNames,0)),"?"))</f>
        <v/>
      </c>
      <c r="E1186" s="17">
        <f>IF($D1186="","",IFERROR(INDEX(nrCadetAgency,MATCH($D1186,rngCadetPIDs,0)),""))</f>
        <v/>
      </c>
      <c r="F1186" s="16" t="n"/>
      <c r="G1186" s="17">
        <f>IF($F1186="","",IFERROR(INDEX(rngEPname,MATCH($F1186,rngEPcode,0)),"?"))</f>
        <v/>
      </c>
      <c r="H1186" s="17">
        <f>IF($F1186="","",IFERROR(INDEX(rngEPtype,MATCH($F1186,rngEPcode,0)),"?"))</f>
        <v/>
      </c>
      <c r="I1186" s="17">
        <f>IF($F1186="","",IFERROR(INDEX(rngEPseq,MATCH($F1186,rngEPcode,0)),""))</f>
        <v/>
      </c>
      <c r="J1186" s="17">
        <f>IF($F1186="","",IFERROR(INDEX(rngEPpass,MATCH($F1186,rngEPcode,0)),cfgPassingScore))</f>
        <v/>
      </c>
      <c r="K1186" s="16" t="n"/>
      <c r="L1186" s="16" t="n"/>
      <c r="M1186" s="17">
        <f>IF($C1186="","",IF($L1186="","",IF(NOT(ISNUMBER($L1186)),$L1186,IF(N($K1186)&gt;2,"",IF($K1186=1,IF(COUNTIFS(nrES_PID,$D1186,nrES_Code,$F1186,nrES_Att,2,nrES_Raw,"&gt;=0")&gt;0,"",$L1186),IF($L1186&gt;=$J1186,MAX($J1186,cfgRetakeRecordedCap),IF(COUNTIFS(nrES_PID,$D1186,nrES_Code,$F1186,nrES_Att,1)=0,$L1186,SUMIFS(nrES_Raw,nrES_PID,$D1186,nrES_Code,$F1186,nrES_Att,1))))))))</f>
        <v/>
      </c>
      <c r="N1186" s="17">
        <f>IF($C1186="","",IF($L1186="","",IF(NOT(ISNUMBER($L1186)),"(not a score)",IF($L1186&gt;=$J1186,"Yes","No"))))</f>
        <v/>
      </c>
      <c r="O1186" s="17">
        <f>IF($C1186="","",IF($M1186="","",IF(NOT(ISNUMBER($M1186)),"(not a score)",IF($M1186&gt;=$J1186,"Yes","No"))))</f>
        <v/>
      </c>
      <c r="P1186" s="17">
        <f>IF($C1186="","",IF($K1186="","",IF(N($K1186)&gt;2,"No",IF(COUNTIFS(nrES_PID,$D1186,nrES_Code,$F1186,nrES_Att,"&gt;"&amp;$K1186,nrES_Att,"&lt;=2",nrES_Raw,"&gt;=0")=0,"Yes","No"))))</f>
        <v/>
      </c>
      <c r="Q1186" s="17">
        <f>IF($C1186="","",IF($L1186="","",IF(AND($K1186=1,ISNUMBER($L1186),$L1186&lt;$J1186,COUNTIFS(nrES_PID,$D1186,nrES_Code,$F1186,nrES_Att,2,nrES_Raw,"&gt;=0")=0),"Yes","No")))</f>
        <v/>
      </c>
      <c r="R1186" s="17">
        <f>IF($C1186="","",IF($L1186="","",IF(AND(N($K1186)&gt;=2,ISNUMBER($L1186),$L1186&lt;$J1186),"Yes","No")))</f>
        <v/>
      </c>
      <c r="S1186" s="18" t="n"/>
      <c r="T1186" s="19">
        <f>IF(OR($C1186="",$L1186="",$K1186&lt;&gt;1,NOT(ISNUMBER($L1186)),$L1186&gt;=$J1186),"",IF($S1186="","(enter date)",_xlfn.LET(_xlpm.dn,_xlfn.XLOOKUP($S1186,nrCDdate,nrCDnum,"",1),IF(_xlpm.dn="","(after last class day)",_xlfn.LET(_xlpm.dd,_xlfn.XLOOKUP(_xlpm.dn+cfgRetestClassDays,nrCDnum,nrCDdate,""),_xlpm.ok,_xlfn.XLOOKUP(_xlpm.dn+cfgRetestClassDays,nrCDnum,nrCDinsession,"No"),IF(OR(_xlpm.dd="",_xlpm.ok&lt;&gt;"Yes"),"(after last class day)",_xlpm.dd))))))</f>
        <v/>
      </c>
      <c r="U1186" s="17">
        <f>IF($C1186="","",IF(AND($Y1186="Excused",$L1186="",N($K1186)&lt;=1),"EXCUSED - 1st attempt pending",IF(OR($L1186="",$K1186&lt;&gt;1,NOT(ISNUMBER($L1186)),$L1186&gt;=$J1186),"",IF(COUNTIFS(nrES_PID,$D1186,nrES_Code,$F1186,nrES_Att,2,nrES_Raw,"&gt;=0")&gt;0,IF(IFERROR(_xlfn.MINIFS(nrES_Date,nrES_PID,$D1186,nrES_Code,$F1186,nrES_Att,2,nrES_Raw,"&gt;=0",nrES_Date,"&gt;0"),0)=0,"RETEST UNDATED",IF(NOT(ISNUMBER($T1186)),"RETEST DATE UNCHECKED",IF(_xlfn.MINIFS(nrES_Date,nrES_PID,$D1186,nrES_Code,$F1186,nrES_Att,2,nrES_Raw,"&gt;=0",nrES_Date,"&gt;0")&gt;$T1186,"LATE RETEST "&amp;TEXT(_xlfn.MINIFS(nrES_Date,nrES_PID,$D1186,nrES_Code,$F1186,nrES_Att,2,nrES_Raw,"&gt;=0",nrES_Date,"&gt;0"),"mm/dd")&amp;" (due "&amp;TEXT($T1186,"mm/dd")&amp;")","Retested"))),IF(NOT(ISNUMBER($T1186)),"CHECK DATE",IF(TODAY()&gt;$T1186,"OVERDUE","Due "&amp;TEXT($T1186,"mm/dd")))))))</f>
        <v/>
      </c>
      <c r="V1186" s="16" t="n"/>
      <c r="W1186" s="16" t="n"/>
      <c r="X1186" s="17">
        <f>IF($C1186="","",IF(AND($L1186&lt;&gt;"",NOT(ISNUMBER($L1186))),"RAW SCORE NOT A NUMBER",IF(AND(ISNUMBER($L1186),OR($L1186&lt;0,$L1186&gt;100)),"RAW SCORE OUT OF RANGE",IF(AND($Y1186="Unexcused",OR($L1186="",NOT(ISNUMBER($L1186)),$L1186&lt;&gt;0)),"UNEXCUSED ABSENCE MUST RECORD 0",IF(COUNTIF(nrES_RecID,$B1186)&gt;1,"DUPLICATE RECORD",IF(N($K1186)&gt;2,"ATTEMPT 3+ NOT ALLOWED - policy 300.5 permits one retest per exam; this row records nothing",IF(AND($K1186=2,COUNTIFS(nrES_PID,$D1186,nrES_Code,$F1186,nrES_Att,1)=0),"ATTEMPT 2 WITHOUT ATTEMPT 1",IF(AND($K1186=2,$L1186=""),"RETEST ROW HAS NO SCORE",IF(AND($H1186="Final",$L1186&lt;&gt;"",IFERROR(INDEX(nrCKfinalExamElig,MATCH($D1186,rngCadetPIDs,0)),"")="No"),"FINAL EXAM AFTER FAILED FINAL PT (500.1.H)",IF(AND($K1186=2,ISNUMBER($L1186),COUNTIFS(nrES_PID,$D1186,nrES_Code,$F1186,nrES_Att,1)&gt;0,SUMIFS(nrES_Raw,nrES_PID,$D1186,nrES_Code,$F1186,nrES_Att,1)&gt;=$J1186),"RETEST AFTER A PASSING FIRST ATTEMPT","OK"))))))))))</f>
        <v/>
      </c>
      <c r="Y1186" s="16" t="n"/>
    </row>
    <row r="1187">
      <c r="B1187" s="17">
        <f>IF($C1187="","",$D1187&amp;"-"&amp;$F1187&amp;"-"&amp;$K1187)</f>
        <v/>
      </c>
      <c r="C1187" s="16" t="n"/>
      <c r="D1187" s="17">
        <f>IF($C1187="","",IFERROR(INDEX(rngCadetPIDs,MATCH($C1187,rngCadetNames,0)),"?"))</f>
        <v/>
      </c>
      <c r="E1187" s="17">
        <f>IF($D1187="","",IFERROR(INDEX(nrCadetAgency,MATCH($D1187,rngCadetPIDs,0)),""))</f>
        <v/>
      </c>
      <c r="F1187" s="16" t="n"/>
      <c r="G1187" s="17">
        <f>IF($F1187="","",IFERROR(INDEX(rngEPname,MATCH($F1187,rngEPcode,0)),"?"))</f>
        <v/>
      </c>
      <c r="H1187" s="17">
        <f>IF($F1187="","",IFERROR(INDEX(rngEPtype,MATCH($F1187,rngEPcode,0)),"?"))</f>
        <v/>
      </c>
      <c r="I1187" s="17">
        <f>IF($F1187="","",IFERROR(INDEX(rngEPseq,MATCH($F1187,rngEPcode,0)),""))</f>
        <v/>
      </c>
      <c r="J1187" s="17">
        <f>IF($F1187="","",IFERROR(INDEX(rngEPpass,MATCH($F1187,rngEPcode,0)),cfgPassingScore))</f>
        <v/>
      </c>
      <c r="K1187" s="16" t="n"/>
      <c r="L1187" s="16" t="n"/>
      <c r="M1187" s="17">
        <f>IF($C1187="","",IF($L1187="","",IF(NOT(ISNUMBER($L1187)),$L1187,IF(N($K1187)&gt;2,"",IF($K1187=1,IF(COUNTIFS(nrES_PID,$D1187,nrES_Code,$F1187,nrES_Att,2,nrES_Raw,"&gt;=0")&gt;0,"",$L1187),IF($L1187&gt;=$J1187,MAX($J1187,cfgRetakeRecordedCap),IF(COUNTIFS(nrES_PID,$D1187,nrES_Code,$F1187,nrES_Att,1)=0,$L1187,SUMIFS(nrES_Raw,nrES_PID,$D1187,nrES_Code,$F1187,nrES_Att,1))))))))</f>
        <v/>
      </c>
      <c r="N1187" s="17">
        <f>IF($C1187="","",IF($L1187="","",IF(NOT(ISNUMBER($L1187)),"(not a score)",IF($L1187&gt;=$J1187,"Yes","No"))))</f>
        <v/>
      </c>
      <c r="O1187" s="17">
        <f>IF($C1187="","",IF($M1187="","",IF(NOT(ISNUMBER($M1187)),"(not a score)",IF($M1187&gt;=$J1187,"Yes","No"))))</f>
        <v/>
      </c>
      <c r="P1187" s="17">
        <f>IF($C1187="","",IF($K1187="","",IF(N($K1187)&gt;2,"No",IF(COUNTIFS(nrES_PID,$D1187,nrES_Code,$F1187,nrES_Att,"&gt;"&amp;$K1187,nrES_Att,"&lt;=2",nrES_Raw,"&gt;=0")=0,"Yes","No"))))</f>
        <v/>
      </c>
      <c r="Q1187" s="17">
        <f>IF($C1187="","",IF($L1187="","",IF(AND($K1187=1,ISNUMBER($L1187),$L1187&lt;$J1187,COUNTIFS(nrES_PID,$D1187,nrES_Code,$F1187,nrES_Att,2,nrES_Raw,"&gt;=0")=0),"Yes","No")))</f>
        <v/>
      </c>
      <c r="R1187" s="17">
        <f>IF($C1187="","",IF($L1187="","",IF(AND(N($K1187)&gt;=2,ISNUMBER($L1187),$L1187&lt;$J1187),"Yes","No")))</f>
        <v/>
      </c>
      <c r="S1187" s="18" t="n"/>
      <c r="T1187" s="19">
        <f>IF(OR($C1187="",$L1187="",$K1187&lt;&gt;1,NOT(ISNUMBER($L1187)),$L1187&gt;=$J1187),"",IF($S1187="","(enter date)",_xlfn.LET(_xlpm.dn,_xlfn.XLOOKUP($S1187,nrCDdate,nrCDnum,"",1),IF(_xlpm.dn="","(after last class day)",_xlfn.LET(_xlpm.dd,_xlfn.XLOOKUP(_xlpm.dn+cfgRetestClassDays,nrCDnum,nrCDdate,""),_xlpm.ok,_xlfn.XLOOKUP(_xlpm.dn+cfgRetestClassDays,nrCDnum,nrCDinsession,"No"),IF(OR(_xlpm.dd="",_xlpm.ok&lt;&gt;"Yes"),"(after last class day)",_xlpm.dd))))))</f>
        <v/>
      </c>
      <c r="U1187" s="17">
        <f>IF($C1187="","",IF(AND($Y1187="Excused",$L1187="",N($K1187)&lt;=1),"EXCUSED - 1st attempt pending",IF(OR($L1187="",$K1187&lt;&gt;1,NOT(ISNUMBER($L1187)),$L1187&gt;=$J1187),"",IF(COUNTIFS(nrES_PID,$D1187,nrES_Code,$F1187,nrES_Att,2,nrES_Raw,"&gt;=0")&gt;0,IF(IFERROR(_xlfn.MINIFS(nrES_Date,nrES_PID,$D1187,nrES_Code,$F1187,nrES_Att,2,nrES_Raw,"&gt;=0",nrES_Date,"&gt;0"),0)=0,"RETEST UNDATED",IF(NOT(ISNUMBER($T1187)),"RETEST DATE UNCHECKED",IF(_xlfn.MINIFS(nrES_Date,nrES_PID,$D1187,nrES_Code,$F1187,nrES_Att,2,nrES_Raw,"&gt;=0",nrES_Date,"&gt;0")&gt;$T1187,"LATE RETEST "&amp;TEXT(_xlfn.MINIFS(nrES_Date,nrES_PID,$D1187,nrES_Code,$F1187,nrES_Att,2,nrES_Raw,"&gt;=0",nrES_Date,"&gt;0"),"mm/dd")&amp;" (due "&amp;TEXT($T1187,"mm/dd")&amp;")","Retested"))),IF(NOT(ISNUMBER($T1187)),"CHECK DATE",IF(TODAY()&gt;$T1187,"OVERDUE","Due "&amp;TEXT($T1187,"mm/dd")))))))</f>
        <v/>
      </c>
      <c r="V1187" s="16" t="n"/>
      <c r="W1187" s="16" t="n"/>
      <c r="X1187" s="17">
        <f>IF($C1187="","",IF(AND($L1187&lt;&gt;"",NOT(ISNUMBER($L1187))),"RAW SCORE NOT A NUMBER",IF(AND(ISNUMBER($L1187),OR($L1187&lt;0,$L1187&gt;100)),"RAW SCORE OUT OF RANGE",IF(AND($Y1187="Unexcused",OR($L1187="",NOT(ISNUMBER($L1187)),$L1187&lt;&gt;0)),"UNEXCUSED ABSENCE MUST RECORD 0",IF(COUNTIF(nrES_RecID,$B1187)&gt;1,"DUPLICATE RECORD",IF(N($K1187)&gt;2,"ATTEMPT 3+ NOT ALLOWED - policy 300.5 permits one retest per exam; this row records nothing",IF(AND($K1187=2,COUNTIFS(nrES_PID,$D1187,nrES_Code,$F1187,nrES_Att,1)=0),"ATTEMPT 2 WITHOUT ATTEMPT 1",IF(AND($K1187=2,$L1187=""),"RETEST ROW HAS NO SCORE",IF(AND($H1187="Final",$L1187&lt;&gt;"",IFERROR(INDEX(nrCKfinalExamElig,MATCH($D1187,rngCadetPIDs,0)),"")="No"),"FINAL EXAM AFTER FAILED FINAL PT (500.1.H)",IF(AND($K1187=2,ISNUMBER($L1187),COUNTIFS(nrES_PID,$D1187,nrES_Code,$F1187,nrES_Att,1)&gt;0,SUMIFS(nrES_Raw,nrES_PID,$D1187,nrES_Code,$F1187,nrES_Att,1)&gt;=$J1187),"RETEST AFTER A PASSING FIRST ATTEMPT","OK"))))))))))</f>
        <v/>
      </c>
      <c r="Y1187" s="16" t="n"/>
    </row>
    <row r="1188">
      <c r="B1188" s="17">
        <f>IF($C1188="","",$D1188&amp;"-"&amp;$F1188&amp;"-"&amp;$K1188)</f>
        <v/>
      </c>
      <c r="C1188" s="16" t="n"/>
      <c r="D1188" s="17">
        <f>IF($C1188="","",IFERROR(INDEX(rngCadetPIDs,MATCH($C1188,rngCadetNames,0)),"?"))</f>
        <v/>
      </c>
      <c r="E1188" s="17">
        <f>IF($D1188="","",IFERROR(INDEX(nrCadetAgency,MATCH($D1188,rngCadetPIDs,0)),""))</f>
        <v/>
      </c>
      <c r="F1188" s="16" t="n"/>
      <c r="G1188" s="17">
        <f>IF($F1188="","",IFERROR(INDEX(rngEPname,MATCH($F1188,rngEPcode,0)),"?"))</f>
        <v/>
      </c>
      <c r="H1188" s="17">
        <f>IF($F1188="","",IFERROR(INDEX(rngEPtype,MATCH($F1188,rngEPcode,0)),"?"))</f>
        <v/>
      </c>
      <c r="I1188" s="17">
        <f>IF($F1188="","",IFERROR(INDEX(rngEPseq,MATCH($F1188,rngEPcode,0)),""))</f>
        <v/>
      </c>
      <c r="J1188" s="17">
        <f>IF($F1188="","",IFERROR(INDEX(rngEPpass,MATCH($F1188,rngEPcode,0)),cfgPassingScore))</f>
        <v/>
      </c>
      <c r="K1188" s="16" t="n"/>
      <c r="L1188" s="16" t="n"/>
      <c r="M1188" s="17">
        <f>IF($C1188="","",IF($L1188="","",IF(NOT(ISNUMBER($L1188)),$L1188,IF(N($K1188)&gt;2,"",IF($K1188=1,IF(COUNTIFS(nrES_PID,$D1188,nrES_Code,$F1188,nrES_Att,2,nrES_Raw,"&gt;=0")&gt;0,"",$L1188),IF($L1188&gt;=$J1188,MAX($J1188,cfgRetakeRecordedCap),IF(COUNTIFS(nrES_PID,$D1188,nrES_Code,$F1188,nrES_Att,1)=0,$L1188,SUMIFS(nrES_Raw,nrES_PID,$D1188,nrES_Code,$F1188,nrES_Att,1))))))))</f>
        <v/>
      </c>
      <c r="N1188" s="17">
        <f>IF($C1188="","",IF($L1188="","",IF(NOT(ISNUMBER($L1188)),"(not a score)",IF($L1188&gt;=$J1188,"Yes","No"))))</f>
        <v/>
      </c>
      <c r="O1188" s="17">
        <f>IF($C1188="","",IF($M1188="","",IF(NOT(ISNUMBER($M1188)),"(not a score)",IF($M1188&gt;=$J1188,"Yes","No"))))</f>
        <v/>
      </c>
      <c r="P1188" s="17">
        <f>IF($C1188="","",IF($K1188="","",IF(N($K1188)&gt;2,"No",IF(COUNTIFS(nrES_PID,$D1188,nrES_Code,$F1188,nrES_Att,"&gt;"&amp;$K1188,nrES_Att,"&lt;=2",nrES_Raw,"&gt;=0")=0,"Yes","No"))))</f>
        <v/>
      </c>
      <c r="Q1188" s="17">
        <f>IF($C1188="","",IF($L1188="","",IF(AND($K1188=1,ISNUMBER($L1188),$L1188&lt;$J1188,COUNTIFS(nrES_PID,$D1188,nrES_Code,$F1188,nrES_Att,2,nrES_Raw,"&gt;=0")=0),"Yes","No")))</f>
        <v/>
      </c>
      <c r="R1188" s="17">
        <f>IF($C1188="","",IF($L1188="","",IF(AND(N($K1188)&gt;=2,ISNUMBER($L1188),$L1188&lt;$J1188),"Yes","No")))</f>
        <v/>
      </c>
      <c r="S1188" s="18" t="n"/>
      <c r="T1188" s="19">
        <f>IF(OR($C1188="",$L1188="",$K1188&lt;&gt;1,NOT(ISNUMBER($L1188)),$L1188&gt;=$J1188),"",IF($S1188="","(enter date)",_xlfn.LET(_xlpm.dn,_xlfn.XLOOKUP($S1188,nrCDdate,nrCDnum,"",1),IF(_xlpm.dn="","(after last class day)",_xlfn.LET(_xlpm.dd,_xlfn.XLOOKUP(_xlpm.dn+cfgRetestClassDays,nrCDnum,nrCDdate,""),_xlpm.ok,_xlfn.XLOOKUP(_xlpm.dn+cfgRetestClassDays,nrCDnum,nrCDinsession,"No"),IF(OR(_xlpm.dd="",_xlpm.ok&lt;&gt;"Yes"),"(after last class day)",_xlpm.dd))))))</f>
        <v/>
      </c>
      <c r="U1188" s="17">
        <f>IF($C1188="","",IF(AND($Y1188="Excused",$L1188="",N($K1188)&lt;=1),"EXCUSED - 1st attempt pending",IF(OR($L1188="",$K1188&lt;&gt;1,NOT(ISNUMBER($L1188)),$L1188&gt;=$J1188),"",IF(COUNTIFS(nrES_PID,$D1188,nrES_Code,$F1188,nrES_Att,2,nrES_Raw,"&gt;=0")&gt;0,IF(IFERROR(_xlfn.MINIFS(nrES_Date,nrES_PID,$D1188,nrES_Code,$F1188,nrES_Att,2,nrES_Raw,"&gt;=0",nrES_Date,"&gt;0"),0)=0,"RETEST UNDATED",IF(NOT(ISNUMBER($T1188)),"RETEST DATE UNCHECKED",IF(_xlfn.MINIFS(nrES_Date,nrES_PID,$D1188,nrES_Code,$F1188,nrES_Att,2,nrES_Raw,"&gt;=0",nrES_Date,"&gt;0")&gt;$T1188,"LATE RETEST "&amp;TEXT(_xlfn.MINIFS(nrES_Date,nrES_PID,$D1188,nrES_Code,$F1188,nrES_Att,2,nrES_Raw,"&gt;=0",nrES_Date,"&gt;0"),"mm/dd")&amp;" (due "&amp;TEXT($T1188,"mm/dd")&amp;")","Retested"))),IF(NOT(ISNUMBER($T1188)),"CHECK DATE",IF(TODAY()&gt;$T1188,"OVERDUE","Due "&amp;TEXT($T1188,"mm/dd")))))))</f>
        <v/>
      </c>
      <c r="V1188" s="16" t="n"/>
      <c r="W1188" s="16" t="n"/>
      <c r="X1188" s="17">
        <f>IF($C1188="","",IF(AND($L1188&lt;&gt;"",NOT(ISNUMBER($L1188))),"RAW SCORE NOT A NUMBER",IF(AND(ISNUMBER($L1188),OR($L1188&lt;0,$L1188&gt;100)),"RAW SCORE OUT OF RANGE",IF(AND($Y1188="Unexcused",OR($L1188="",NOT(ISNUMBER($L1188)),$L1188&lt;&gt;0)),"UNEXCUSED ABSENCE MUST RECORD 0",IF(COUNTIF(nrES_RecID,$B1188)&gt;1,"DUPLICATE RECORD",IF(N($K1188)&gt;2,"ATTEMPT 3+ NOT ALLOWED - policy 300.5 permits one retest per exam; this row records nothing",IF(AND($K1188=2,COUNTIFS(nrES_PID,$D1188,nrES_Code,$F1188,nrES_Att,1)=0),"ATTEMPT 2 WITHOUT ATTEMPT 1",IF(AND($K1188=2,$L1188=""),"RETEST ROW HAS NO SCORE",IF(AND($H1188="Final",$L1188&lt;&gt;"",IFERROR(INDEX(nrCKfinalExamElig,MATCH($D1188,rngCadetPIDs,0)),"")="No"),"FINAL EXAM AFTER FAILED FINAL PT (500.1.H)",IF(AND($K1188=2,ISNUMBER($L1188),COUNTIFS(nrES_PID,$D1188,nrES_Code,$F1188,nrES_Att,1)&gt;0,SUMIFS(nrES_Raw,nrES_PID,$D1188,nrES_Code,$F1188,nrES_Att,1)&gt;=$J1188),"RETEST AFTER A PASSING FIRST ATTEMPT","OK"))))))))))</f>
        <v/>
      </c>
      <c r="Y1188" s="16" t="n"/>
    </row>
    <row r="1189">
      <c r="B1189" s="17">
        <f>IF($C1189="","",$D1189&amp;"-"&amp;$F1189&amp;"-"&amp;$K1189)</f>
        <v/>
      </c>
      <c r="C1189" s="16" t="n"/>
      <c r="D1189" s="17">
        <f>IF($C1189="","",IFERROR(INDEX(rngCadetPIDs,MATCH($C1189,rngCadetNames,0)),"?"))</f>
        <v/>
      </c>
      <c r="E1189" s="17">
        <f>IF($D1189="","",IFERROR(INDEX(nrCadetAgency,MATCH($D1189,rngCadetPIDs,0)),""))</f>
        <v/>
      </c>
      <c r="F1189" s="16" t="n"/>
      <c r="G1189" s="17">
        <f>IF($F1189="","",IFERROR(INDEX(rngEPname,MATCH($F1189,rngEPcode,0)),"?"))</f>
        <v/>
      </c>
      <c r="H1189" s="17">
        <f>IF($F1189="","",IFERROR(INDEX(rngEPtype,MATCH($F1189,rngEPcode,0)),"?"))</f>
        <v/>
      </c>
      <c r="I1189" s="17">
        <f>IF($F1189="","",IFERROR(INDEX(rngEPseq,MATCH($F1189,rngEPcode,0)),""))</f>
        <v/>
      </c>
      <c r="J1189" s="17">
        <f>IF($F1189="","",IFERROR(INDEX(rngEPpass,MATCH($F1189,rngEPcode,0)),cfgPassingScore))</f>
        <v/>
      </c>
      <c r="K1189" s="16" t="n"/>
      <c r="L1189" s="16" t="n"/>
      <c r="M1189" s="17">
        <f>IF($C1189="","",IF($L1189="","",IF(NOT(ISNUMBER($L1189)),$L1189,IF(N($K1189)&gt;2,"",IF($K1189=1,IF(COUNTIFS(nrES_PID,$D1189,nrES_Code,$F1189,nrES_Att,2,nrES_Raw,"&gt;=0")&gt;0,"",$L1189),IF($L1189&gt;=$J1189,MAX($J1189,cfgRetakeRecordedCap),IF(COUNTIFS(nrES_PID,$D1189,nrES_Code,$F1189,nrES_Att,1)=0,$L1189,SUMIFS(nrES_Raw,nrES_PID,$D1189,nrES_Code,$F1189,nrES_Att,1))))))))</f>
        <v/>
      </c>
      <c r="N1189" s="17">
        <f>IF($C1189="","",IF($L1189="","",IF(NOT(ISNUMBER($L1189)),"(not a score)",IF($L1189&gt;=$J1189,"Yes","No"))))</f>
        <v/>
      </c>
      <c r="O1189" s="17">
        <f>IF($C1189="","",IF($M1189="","",IF(NOT(ISNUMBER($M1189)),"(not a score)",IF($M1189&gt;=$J1189,"Yes","No"))))</f>
        <v/>
      </c>
      <c r="P1189" s="17">
        <f>IF($C1189="","",IF($K1189="","",IF(N($K1189)&gt;2,"No",IF(COUNTIFS(nrES_PID,$D1189,nrES_Code,$F1189,nrES_Att,"&gt;"&amp;$K1189,nrES_Att,"&lt;=2",nrES_Raw,"&gt;=0")=0,"Yes","No"))))</f>
        <v/>
      </c>
      <c r="Q1189" s="17">
        <f>IF($C1189="","",IF($L1189="","",IF(AND($K1189=1,ISNUMBER($L1189),$L1189&lt;$J1189,COUNTIFS(nrES_PID,$D1189,nrES_Code,$F1189,nrES_Att,2,nrES_Raw,"&gt;=0")=0),"Yes","No")))</f>
        <v/>
      </c>
      <c r="R1189" s="17">
        <f>IF($C1189="","",IF($L1189="","",IF(AND(N($K1189)&gt;=2,ISNUMBER($L1189),$L1189&lt;$J1189),"Yes","No")))</f>
        <v/>
      </c>
      <c r="S1189" s="18" t="n"/>
      <c r="T1189" s="19">
        <f>IF(OR($C1189="",$L1189="",$K1189&lt;&gt;1,NOT(ISNUMBER($L1189)),$L1189&gt;=$J1189),"",IF($S1189="","(enter date)",_xlfn.LET(_xlpm.dn,_xlfn.XLOOKUP($S1189,nrCDdate,nrCDnum,"",1),IF(_xlpm.dn="","(after last class day)",_xlfn.LET(_xlpm.dd,_xlfn.XLOOKUP(_xlpm.dn+cfgRetestClassDays,nrCDnum,nrCDdate,""),_xlpm.ok,_xlfn.XLOOKUP(_xlpm.dn+cfgRetestClassDays,nrCDnum,nrCDinsession,"No"),IF(OR(_xlpm.dd="",_xlpm.ok&lt;&gt;"Yes"),"(after last class day)",_xlpm.dd))))))</f>
        <v/>
      </c>
      <c r="U1189" s="17">
        <f>IF($C1189="","",IF(AND($Y1189="Excused",$L1189="",N($K1189)&lt;=1),"EXCUSED - 1st attempt pending",IF(OR($L1189="",$K1189&lt;&gt;1,NOT(ISNUMBER($L1189)),$L1189&gt;=$J1189),"",IF(COUNTIFS(nrES_PID,$D1189,nrES_Code,$F1189,nrES_Att,2,nrES_Raw,"&gt;=0")&gt;0,IF(IFERROR(_xlfn.MINIFS(nrES_Date,nrES_PID,$D1189,nrES_Code,$F1189,nrES_Att,2,nrES_Raw,"&gt;=0",nrES_Date,"&gt;0"),0)=0,"RETEST UNDATED",IF(NOT(ISNUMBER($T1189)),"RETEST DATE UNCHECKED",IF(_xlfn.MINIFS(nrES_Date,nrES_PID,$D1189,nrES_Code,$F1189,nrES_Att,2,nrES_Raw,"&gt;=0",nrES_Date,"&gt;0")&gt;$T1189,"LATE RETEST "&amp;TEXT(_xlfn.MINIFS(nrES_Date,nrES_PID,$D1189,nrES_Code,$F1189,nrES_Att,2,nrES_Raw,"&gt;=0",nrES_Date,"&gt;0"),"mm/dd")&amp;" (due "&amp;TEXT($T1189,"mm/dd")&amp;")","Retested"))),IF(NOT(ISNUMBER($T1189)),"CHECK DATE",IF(TODAY()&gt;$T1189,"OVERDUE","Due "&amp;TEXT($T1189,"mm/dd")))))))</f>
        <v/>
      </c>
      <c r="V1189" s="16" t="n"/>
      <c r="W1189" s="16" t="n"/>
      <c r="X1189" s="17">
        <f>IF($C1189="","",IF(AND($L1189&lt;&gt;"",NOT(ISNUMBER($L1189))),"RAW SCORE NOT A NUMBER",IF(AND(ISNUMBER($L1189),OR($L1189&lt;0,$L1189&gt;100)),"RAW SCORE OUT OF RANGE",IF(AND($Y1189="Unexcused",OR($L1189="",NOT(ISNUMBER($L1189)),$L1189&lt;&gt;0)),"UNEXCUSED ABSENCE MUST RECORD 0",IF(COUNTIF(nrES_RecID,$B1189)&gt;1,"DUPLICATE RECORD",IF(N($K1189)&gt;2,"ATTEMPT 3+ NOT ALLOWED - policy 300.5 permits one retest per exam; this row records nothing",IF(AND($K1189=2,COUNTIFS(nrES_PID,$D1189,nrES_Code,$F1189,nrES_Att,1)=0),"ATTEMPT 2 WITHOUT ATTEMPT 1",IF(AND($K1189=2,$L1189=""),"RETEST ROW HAS NO SCORE",IF(AND($H1189="Final",$L1189&lt;&gt;"",IFERROR(INDEX(nrCKfinalExamElig,MATCH($D1189,rngCadetPIDs,0)),"")="No"),"FINAL EXAM AFTER FAILED FINAL PT (500.1.H)",IF(AND($K1189=2,ISNUMBER($L1189),COUNTIFS(nrES_PID,$D1189,nrES_Code,$F1189,nrES_Att,1)&gt;0,SUMIFS(nrES_Raw,nrES_PID,$D1189,nrES_Code,$F1189,nrES_Att,1)&gt;=$J1189),"RETEST AFTER A PASSING FIRST ATTEMPT","OK"))))))))))</f>
        <v/>
      </c>
      <c r="Y1189" s="16" t="n"/>
    </row>
    <row r="1190">
      <c r="B1190" s="17">
        <f>IF($C1190="","",$D1190&amp;"-"&amp;$F1190&amp;"-"&amp;$K1190)</f>
        <v/>
      </c>
      <c r="C1190" s="16" t="n"/>
      <c r="D1190" s="17">
        <f>IF($C1190="","",IFERROR(INDEX(rngCadetPIDs,MATCH($C1190,rngCadetNames,0)),"?"))</f>
        <v/>
      </c>
      <c r="E1190" s="17">
        <f>IF($D1190="","",IFERROR(INDEX(nrCadetAgency,MATCH($D1190,rngCadetPIDs,0)),""))</f>
        <v/>
      </c>
      <c r="F1190" s="16" t="n"/>
      <c r="G1190" s="17">
        <f>IF($F1190="","",IFERROR(INDEX(rngEPname,MATCH($F1190,rngEPcode,0)),"?"))</f>
        <v/>
      </c>
      <c r="H1190" s="17">
        <f>IF($F1190="","",IFERROR(INDEX(rngEPtype,MATCH($F1190,rngEPcode,0)),"?"))</f>
        <v/>
      </c>
      <c r="I1190" s="17">
        <f>IF($F1190="","",IFERROR(INDEX(rngEPseq,MATCH($F1190,rngEPcode,0)),""))</f>
        <v/>
      </c>
      <c r="J1190" s="17">
        <f>IF($F1190="","",IFERROR(INDEX(rngEPpass,MATCH($F1190,rngEPcode,0)),cfgPassingScore))</f>
        <v/>
      </c>
      <c r="K1190" s="16" t="n"/>
      <c r="L1190" s="16" t="n"/>
      <c r="M1190" s="17">
        <f>IF($C1190="","",IF($L1190="","",IF(NOT(ISNUMBER($L1190)),$L1190,IF(N($K1190)&gt;2,"",IF($K1190=1,IF(COUNTIFS(nrES_PID,$D1190,nrES_Code,$F1190,nrES_Att,2,nrES_Raw,"&gt;=0")&gt;0,"",$L1190),IF($L1190&gt;=$J1190,MAX($J1190,cfgRetakeRecordedCap),IF(COUNTIFS(nrES_PID,$D1190,nrES_Code,$F1190,nrES_Att,1)=0,$L1190,SUMIFS(nrES_Raw,nrES_PID,$D1190,nrES_Code,$F1190,nrES_Att,1))))))))</f>
        <v/>
      </c>
      <c r="N1190" s="17">
        <f>IF($C1190="","",IF($L1190="","",IF(NOT(ISNUMBER($L1190)),"(not a score)",IF($L1190&gt;=$J1190,"Yes","No"))))</f>
        <v/>
      </c>
      <c r="O1190" s="17">
        <f>IF($C1190="","",IF($M1190="","",IF(NOT(ISNUMBER($M1190)),"(not a score)",IF($M1190&gt;=$J1190,"Yes","No"))))</f>
        <v/>
      </c>
      <c r="P1190" s="17">
        <f>IF($C1190="","",IF($K1190="","",IF(N($K1190)&gt;2,"No",IF(COUNTIFS(nrES_PID,$D1190,nrES_Code,$F1190,nrES_Att,"&gt;"&amp;$K1190,nrES_Att,"&lt;=2",nrES_Raw,"&gt;=0")=0,"Yes","No"))))</f>
        <v/>
      </c>
      <c r="Q1190" s="17">
        <f>IF($C1190="","",IF($L1190="","",IF(AND($K1190=1,ISNUMBER($L1190),$L1190&lt;$J1190,COUNTIFS(nrES_PID,$D1190,nrES_Code,$F1190,nrES_Att,2,nrES_Raw,"&gt;=0")=0),"Yes","No")))</f>
        <v/>
      </c>
      <c r="R1190" s="17">
        <f>IF($C1190="","",IF($L1190="","",IF(AND(N($K1190)&gt;=2,ISNUMBER($L1190),$L1190&lt;$J1190),"Yes","No")))</f>
        <v/>
      </c>
      <c r="S1190" s="18" t="n"/>
      <c r="T1190" s="19">
        <f>IF(OR($C1190="",$L1190="",$K1190&lt;&gt;1,NOT(ISNUMBER($L1190)),$L1190&gt;=$J1190),"",IF($S1190="","(enter date)",_xlfn.LET(_xlpm.dn,_xlfn.XLOOKUP($S1190,nrCDdate,nrCDnum,"",1),IF(_xlpm.dn="","(after last class day)",_xlfn.LET(_xlpm.dd,_xlfn.XLOOKUP(_xlpm.dn+cfgRetestClassDays,nrCDnum,nrCDdate,""),_xlpm.ok,_xlfn.XLOOKUP(_xlpm.dn+cfgRetestClassDays,nrCDnum,nrCDinsession,"No"),IF(OR(_xlpm.dd="",_xlpm.ok&lt;&gt;"Yes"),"(after last class day)",_xlpm.dd))))))</f>
        <v/>
      </c>
      <c r="U1190" s="17">
        <f>IF($C1190="","",IF(AND($Y1190="Excused",$L1190="",N($K1190)&lt;=1),"EXCUSED - 1st attempt pending",IF(OR($L1190="",$K1190&lt;&gt;1,NOT(ISNUMBER($L1190)),$L1190&gt;=$J1190),"",IF(COUNTIFS(nrES_PID,$D1190,nrES_Code,$F1190,nrES_Att,2,nrES_Raw,"&gt;=0")&gt;0,IF(IFERROR(_xlfn.MINIFS(nrES_Date,nrES_PID,$D1190,nrES_Code,$F1190,nrES_Att,2,nrES_Raw,"&gt;=0",nrES_Date,"&gt;0"),0)=0,"RETEST UNDATED",IF(NOT(ISNUMBER($T1190)),"RETEST DATE UNCHECKED",IF(_xlfn.MINIFS(nrES_Date,nrES_PID,$D1190,nrES_Code,$F1190,nrES_Att,2,nrES_Raw,"&gt;=0",nrES_Date,"&gt;0")&gt;$T1190,"LATE RETEST "&amp;TEXT(_xlfn.MINIFS(nrES_Date,nrES_PID,$D1190,nrES_Code,$F1190,nrES_Att,2,nrES_Raw,"&gt;=0",nrES_Date,"&gt;0"),"mm/dd")&amp;" (due "&amp;TEXT($T1190,"mm/dd")&amp;")","Retested"))),IF(NOT(ISNUMBER($T1190)),"CHECK DATE",IF(TODAY()&gt;$T1190,"OVERDUE","Due "&amp;TEXT($T1190,"mm/dd")))))))</f>
        <v/>
      </c>
      <c r="V1190" s="16" t="n"/>
      <c r="W1190" s="16" t="n"/>
      <c r="X1190" s="17">
        <f>IF($C1190="","",IF(AND($L1190&lt;&gt;"",NOT(ISNUMBER($L1190))),"RAW SCORE NOT A NUMBER",IF(AND(ISNUMBER($L1190),OR($L1190&lt;0,$L1190&gt;100)),"RAW SCORE OUT OF RANGE",IF(AND($Y1190="Unexcused",OR($L1190="",NOT(ISNUMBER($L1190)),$L1190&lt;&gt;0)),"UNEXCUSED ABSENCE MUST RECORD 0",IF(COUNTIF(nrES_RecID,$B1190)&gt;1,"DUPLICATE RECORD",IF(N($K1190)&gt;2,"ATTEMPT 3+ NOT ALLOWED - policy 300.5 permits one retest per exam; this row records nothing",IF(AND($K1190=2,COUNTIFS(nrES_PID,$D1190,nrES_Code,$F1190,nrES_Att,1)=0),"ATTEMPT 2 WITHOUT ATTEMPT 1",IF(AND($K1190=2,$L1190=""),"RETEST ROW HAS NO SCORE",IF(AND($H1190="Final",$L1190&lt;&gt;"",IFERROR(INDEX(nrCKfinalExamElig,MATCH($D1190,rngCadetPIDs,0)),"")="No"),"FINAL EXAM AFTER FAILED FINAL PT (500.1.H)",IF(AND($K1190=2,ISNUMBER($L1190),COUNTIFS(nrES_PID,$D1190,nrES_Code,$F1190,nrES_Att,1)&gt;0,SUMIFS(nrES_Raw,nrES_PID,$D1190,nrES_Code,$F1190,nrES_Att,1)&gt;=$J1190),"RETEST AFTER A PASSING FIRST ATTEMPT","OK"))))))))))</f>
        <v/>
      </c>
      <c r="Y1190" s="16" t="n"/>
    </row>
    <row r="1191">
      <c r="B1191" s="17">
        <f>IF($C1191="","",$D1191&amp;"-"&amp;$F1191&amp;"-"&amp;$K1191)</f>
        <v/>
      </c>
      <c r="C1191" s="16" t="n"/>
      <c r="D1191" s="17">
        <f>IF($C1191="","",IFERROR(INDEX(rngCadetPIDs,MATCH($C1191,rngCadetNames,0)),"?"))</f>
        <v/>
      </c>
      <c r="E1191" s="17">
        <f>IF($D1191="","",IFERROR(INDEX(nrCadetAgency,MATCH($D1191,rngCadetPIDs,0)),""))</f>
        <v/>
      </c>
      <c r="F1191" s="16" t="n"/>
      <c r="G1191" s="17">
        <f>IF($F1191="","",IFERROR(INDEX(rngEPname,MATCH($F1191,rngEPcode,0)),"?"))</f>
        <v/>
      </c>
      <c r="H1191" s="17">
        <f>IF($F1191="","",IFERROR(INDEX(rngEPtype,MATCH($F1191,rngEPcode,0)),"?"))</f>
        <v/>
      </c>
      <c r="I1191" s="17">
        <f>IF($F1191="","",IFERROR(INDEX(rngEPseq,MATCH($F1191,rngEPcode,0)),""))</f>
        <v/>
      </c>
      <c r="J1191" s="17">
        <f>IF($F1191="","",IFERROR(INDEX(rngEPpass,MATCH($F1191,rngEPcode,0)),cfgPassingScore))</f>
        <v/>
      </c>
      <c r="K1191" s="16" t="n"/>
      <c r="L1191" s="16" t="n"/>
      <c r="M1191" s="17">
        <f>IF($C1191="","",IF($L1191="","",IF(NOT(ISNUMBER($L1191)),$L1191,IF(N($K1191)&gt;2,"",IF($K1191=1,IF(COUNTIFS(nrES_PID,$D1191,nrES_Code,$F1191,nrES_Att,2,nrES_Raw,"&gt;=0")&gt;0,"",$L1191),IF($L1191&gt;=$J1191,MAX($J1191,cfgRetakeRecordedCap),IF(COUNTIFS(nrES_PID,$D1191,nrES_Code,$F1191,nrES_Att,1)=0,$L1191,SUMIFS(nrES_Raw,nrES_PID,$D1191,nrES_Code,$F1191,nrES_Att,1))))))))</f>
        <v/>
      </c>
      <c r="N1191" s="17">
        <f>IF($C1191="","",IF($L1191="","",IF(NOT(ISNUMBER($L1191)),"(not a score)",IF($L1191&gt;=$J1191,"Yes","No"))))</f>
        <v/>
      </c>
      <c r="O1191" s="17">
        <f>IF($C1191="","",IF($M1191="","",IF(NOT(ISNUMBER($M1191)),"(not a score)",IF($M1191&gt;=$J1191,"Yes","No"))))</f>
        <v/>
      </c>
      <c r="P1191" s="17">
        <f>IF($C1191="","",IF($K1191="","",IF(N($K1191)&gt;2,"No",IF(COUNTIFS(nrES_PID,$D1191,nrES_Code,$F1191,nrES_Att,"&gt;"&amp;$K1191,nrES_Att,"&lt;=2",nrES_Raw,"&gt;=0")=0,"Yes","No"))))</f>
        <v/>
      </c>
      <c r="Q1191" s="17">
        <f>IF($C1191="","",IF($L1191="","",IF(AND($K1191=1,ISNUMBER($L1191),$L1191&lt;$J1191,COUNTIFS(nrES_PID,$D1191,nrES_Code,$F1191,nrES_Att,2,nrES_Raw,"&gt;=0")=0),"Yes","No")))</f>
        <v/>
      </c>
      <c r="R1191" s="17">
        <f>IF($C1191="","",IF($L1191="","",IF(AND(N($K1191)&gt;=2,ISNUMBER($L1191),$L1191&lt;$J1191),"Yes","No")))</f>
        <v/>
      </c>
      <c r="S1191" s="18" t="n"/>
      <c r="T1191" s="19">
        <f>IF(OR($C1191="",$L1191="",$K1191&lt;&gt;1,NOT(ISNUMBER($L1191)),$L1191&gt;=$J1191),"",IF($S1191="","(enter date)",_xlfn.LET(_xlpm.dn,_xlfn.XLOOKUP($S1191,nrCDdate,nrCDnum,"",1),IF(_xlpm.dn="","(after last class day)",_xlfn.LET(_xlpm.dd,_xlfn.XLOOKUP(_xlpm.dn+cfgRetestClassDays,nrCDnum,nrCDdate,""),_xlpm.ok,_xlfn.XLOOKUP(_xlpm.dn+cfgRetestClassDays,nrCDnum,nrCDinsession,"No"),IF(OR(_xlpm.dd="",_xlpm.ok&lt;&gt;"Yes"),"(after last class day)",_xlpm.dd))))))</f>
        <v/>
      </c>
      <c r="U1191" s="17">
        <f>IF($C1191="","",IF(AND($Y1191="Excused",$L1191="",N($K1191)&lt;=1),"EXCUSED - 1st attempt pending",IF(OR($L1191="",$K1191&lt;&gt;1,NOT(ISNUMBER($L1191)),$L1191&gt;=$J1191),"",IF(COUNTIFS(nrES_PID,$D1191,nrES_Code,$F1191,nrES_Att,2,nrES_Raw,"&gt;=0")&gt;0,IF(IFERROR(_xlfn.MINIFS(nrES_Date,nrES_PID,$D1191,nrES_Code,$F1191,nrES_Att,2,nrES_Raw,"&gt;=0",nrES_Date,"&gt;0"),0)=0,"RETEST UNDATED",IF(NOT(ISNUMBER($T1191)),"RETEST DATE UNCHECKED",IF(_xlfn.MINIFS(nrES_Date,nrES_PID,$D1191,nrES_Code,$F1191,nrES_Att,2,nrES_Raw,"&gt;=0",nrES_Date,"&gt;0")&gt;$T1191,"LATE RETEST "&amp;TEXT(_xlfn.MINIFS(nrES_Date,nrES_PID,$D1191,nrES_Code,$F1191,nrES_Att,2,nrES_Raw,"&gt;=0",nrES_Date,"&gt;0"),"mm/dd")&amp;" (due "&amp;TEXT($T1191,"mm/dd")&amp;")","Retested"))),IF(NOT(ISNUMBER($T1191)),"CHECK DATE",IF(TODAY()&gt;$T1191,"OVERDUE","Due "&amp;TEXT($T1191,"mm/dd")))))))</f>
        <v/>
      </c>
      <c r="V1191" s="16" t="n"/>
      <c r="W1191" s="16" t="n"/>
      <c r="X1191" s="17">
        <f>IF($C1191="","",IF(AND($L1191&lt;&gt;"",NOT(ISNUMBER($L1191))),"RAW SCORE NOT A NUMBER",IF(AND(ISNUMBER($L1191),OR($L1191&lt;0,$L1191&gt;100)),"RAW SCORE OUT OF RANGE",IF(AND($Y1191="Unexcused",OR($L1191="",NOT(ISNUMBER($L1191)),$L1191&lt;&gt;0)),"UNEXCUSED ABSENCE MUST RECORD 0",IF(COUNTIF(nrES_RecID,$B1191)&gt;1,"DUPLICATE RECORD",IF(N($K1191)&gt;2,"ATTEMPT 3+ NOT ALLOWED - policy 300.5 permits one retest per exam; this row records nothing",IF(AND($K1191=2,COUNTIFS(nrES_PID,$D1191,nrES_Code,$F1191,nrES_Att,1)=0),"ATTEMPT 2 WITHOUT ATTEMPT 1",IF(AND($K1191=2,$L1191=""),"RETEST ROW HAS NO SCORE",IF(AND($H1191="Final",$L1191&lt;&gt;"",IFERROR(INDEX(nrCKfinalExamElig,MATCH($D1191,rngCadetPIDs,0)),"")="No"),"FINAL EXAM AFTER FAILED FINAL PT (500.1.H)",IF(AND($K1191=2,ISNUMBER($L1191),COUNTIFS(nrES_PID,$D1191,nrES_Code,$F1191,nrES_Att,1)&gt;0,SUMIFS(nrES_Raw,nrES_PID,$D1191,nrES_Code,$F1191,nrES_Att,1)&gt;=$J1191),"RETEST AFTER A PASSING FIRST ATTEMPT","OK"))))))))))</f>
        <v/>
      </c>
      <c r="Y1191" s="16" t="n"/>
    </row>
    <row r="1192">
      <c r="B1192" s="17">
        <f>IF($C1192="","",$D1192&amp;"-"&amp;$F1192&amp;"-"&amp;$K1192)</f>
        <v/>
      </c>
      <c r="C1192" s="16" t="n"/>
      <c r="D1192" s="17">
        <f>IF($C1192="","",IFERROR(INDEX(rngCadetPIDs,MATCH($C1192,rngCadetNames,0)),"?"))</f>
        <v/>
      </c>
      <c r="E1192" s="17">
        <f>IF($D1192="","",IFERROR(INDEX(nrCadetAgency,MATCH($D1192,rngCadetPIDs,0)),""))</f>
        <v/>
      </c>
      <c r="F1192" s="16" t="n"/>
      <c r="G1192" s="17">
        <f>IF($F1192="","",IFERROR(INDEX(rngEPname,MATCH($F1192,rngEPcode,0)),"?"))</f>
        <v/>
      </c>
      <c r="H1192" s="17">
        <f>IF($F1192="","",IFERROR(INDEX(rngEPtype,MATCH($F1192,rngEPcode,0)),"?"))</f>
        <v/>
      </c>
      <c r="I1192" s="17">
        <f>IF($F1192="","",IFERROR(INDEX(rngEPseq,MATCH($F1192,rngEPcode,0)),""))</f>
        <v/>
      </c>
      <c r="J1192" s="17">
        <f>IF($F1192="","",IFERROR(INDEX(rngEPpass,MATCH($F1192,rngEPcode,0)),cfgPassingScore))</f>
        <v/>
      </c>
      <c r="K1192" s="16" t="n"/>
      <c r="L1192" s="16" t="n"/>
      <c r="M1192" s="17">
        <f>IF($C1192="","",IF($L1192="","",IF(NOT(ISNUMBER($L1192)),$L1192,IF(N($K1192)&gt;2,"",IF($K1192=1,IF(COUNTIFS(nrES_PID,$D1192,nrES_Code,$F1192,nrES_Att,2,nrES_Raw,"&gt;=0")&gt;0,"",$L1192),IF($L1192&gt;=$J1192,MAX($J1192,cfgRetakeRecordedCap),IF(COUNTIFS(nrES_PID,$D1192,nrES_Code,$F1192,nrES_Att,1)=0,$L1192,SUMIFS(nrES_Raw,nrES_PID,$D1192,nrES_Code,$F1192,nrES_Att,1))))))))</f>
        <v/>
      </c>
      <c r="N1192" s="17">
        <f>IF($C1192="","",IF($L1192="","",IF(NOT(ISNUMBER($L1192)),"(not a score)",IF($L1192&gt;=$J1192,"Yes","No"))))</f>
        <v/>
      </c>
      <c r="O1192" s="17">
        <f>IF($C1192="","",IF($M1192="","",IF(NOT(ISNUMBER($M1192)),"(not a score)",IF($M1192&gt;=$J1192,"Yes","No"))))</f>
        <v/>
      </c>
      <c r="P1192" s="17">
        <f>IF($C1192="","",IF($K1192="","",IF(N($K1192)&gt;2,"No",IF(COUNTIFS(nrES_PID,$D1192,nrES_Code,$F1192,nrES_Att,"&gt;"&amp;$K1192,nrES_Att,"&lt;=2",nrES_Raw,"&gt;=0")=0,"Yes","No"))))</f>
        <v/>
      </c>
      <c r="Q1192" s="17">
        <f>IF($C1192="","",IF($L1192="","",IF(AND($K1192=1,ISNUMBER($L1192),$L1192&lt;$J1192,COUNTIFS(nrES_PID,$D1192,nrES_Code,$F1192,nrES_Att,2,nrES_Raw,"&gt;=0")=0),"Yes","No")))</f>
        <v/>
      </c>
      <c r="R1192" s="17">
        <f>IF($C1192="","",IF($L1192="","",IF(AND(N($K1192)&gt;=2,ISNUMBER($L1192),$L1192&lt;$J1192),"Yes","No")))</f>
        <v/>
      </c>
      <c r="S1192" s="18" t="n"/>
      <c r="T1192" s="19">
        <f>IF(OR($C1192="",$L1192="",$K1192&lt;&gt;1,NOT(ISNUMBER($L1192)),$L1192&gt;=$J1192),"",IF($S1192="","(enter date)",_xlfn.LET(_xlpm.dn,_xlfn.XLOOKUP($S1192,nrCDdate,nrCDnum,"",1),IF(_xlpm.dn="","(after last class day)",_xlfn.LET(_xlpm.dd,_xlfn.XLOOKUP(_xlpm.dn+cfgRetestClassDays,nrCDnum,nrCDdate,""),_xlpm.ok,_xlfn.XLOOKUP(_xlpm.dn+cfgRetestClassDays,nrCDnum,nrCDinsession,"No"),IF(OR(_xlpm.dd="",_xlpm.ok&lt;&gt;"Yes"),"(after last class day)",_xlpm.dd))))))</f>
        <v/>
      </c>
      <c r="U1192" s="17">
        <f>IF($C1192="","",IF(AND($Y1192="Excused",$L1192="",N($K1192)&lt;=1),"EXCUSED - 1st attempt pending",IF(OR($L1192="",$K1192&lt;&gt;1,NOT(ISNUMBER($L1192)),$L1192&gt;=$J1192),"",IF(COUNTIFS(nrES_PID,$D1192,nrES_Code,$F1192,nrES_Att,2,nrES_Raw,"&gt;=0")&gt;0,IF(IFERROR(_xlfn.MINIFS(nrES_Date,nrES_PID,$D1192,nrES_Code,$F1192,nrES_Att,2,nrES_Raw,"&gt;=0",nrES_Date,"&gt;0"),0)=0,"RETEST UNDATED",IF(NOT(ISNUMBER($T1192)),"RETEST DATE UNCHECKED",IF(_xlfn.MINIFS(nrES_Date,nrES_PID,$D1192,nrES_Code,$F1192,nrES_Att,2,nrES_Raw,"&gt;=0",nrES_Date,"&gt;0")&gt;$T1192,"LATE RETEST "&amp;TEXT(_xlfn.MINIFS(nrES_Date,nrES_PID,$D1192,nrES_Code,$F1192,nrES_Att,2,nrES_Raw,"&gt;=0",nrES_Date,"&gt;0"),"mm/dd")&amp;" (due "&amp;TEXT($T1192,"mm/dd")&amp;")","Retested"))),IF(NOT(ISNUMBER($T1192)),"CHECK DATE",IF(TODAY()&gt;$T1192,"OVERDUE","Due "&amp;TEXT($T1192,"mm/dd")))))))</f>
        <v/>
      </c>
      <c r="V1192" s="16" t="n"/>
      <c r="W1192" s="16" t="n"/>
      <c r="X1192" s="17">
        <f>IF($C1192="","",IF(AND($L1192&lt;&gt;"",NOT(ISNUMBER($L1192))),"RAW SCORE NOT A NUMBER",IF(AND(ISNUMBER($L1192),OR($L1192&lt;0,$L1192&gt;100)),"RAW SCORE OUT OF RANGE",IF(AND($Y1192="Unexcused",OR($L1192="",NOT(ISNUMBER($L1192)),$L1192&lt;&gt;0)),"UNEXCUSED ABSENCE MUST RECORD 0",IF(COUNTIF(nrES_RecID,$B1192)&gt;1,"DUPLICATE RECORD",IF(N($K1192)&gt;2,"ATTEMPT 3+ NOT ALLOWED - policy 300.5 permits one retest per exam; this row records nothing",IF(AND($K1192=2,COUNTIFS(nrES_PID,$D1192,nrES_Code,$F1192,nrES_Att,1)=0),"ATTEMPT 2 WITHOUT ATTEMPT 1",IF(AND($K1192=2,$L1192=""),"RETEST ROW HAS NO SCORE",IF(AND($H1192="Final",$L1192&lt;&gt;"",IFERROR(INDEX(nrCKfinalExamElig,MATCH($D1192,rngCadetPIDs,0)),"")="No"),"FINAL EXAM AFTER FAILED FINAL PT (500.1.H)",IF(AND($K1192=2,ISNUMBER($L1192),COUNTIFS(nrES_PID,$D1192,nrES_Code,$F1192,nrES_Att,1)&gt;0,SUMIFS(nrES_Raw,nrES_PID,$D1192,nrES_Code,$F1192,nrES_Att,1)&gt;=$J1192),"RETEST AFTER A PASSING FIRST ATTEMPT","OK"))))))))))</f>
        <v/>
      </c>
      <c r="Y1192" s="16" t="n"/>
    </row>
    <row r="1193">
      <c r="B1193" s="17">
        <f>IF($C1193="","",$D1193&amp;"-"&amp;$F1193&amp;"-"&amp;$K1193)</f>
        <v/>
      </c>
      <c r="C1193" s="16" t="n"/>
      <c r="D1193" s="17">
        <f>IF($C1193="","",IFERROR(INDEX(rngCadetPIDs,MATCH($C1193,rngCadetNames,0)),"?"))</f>
        <v/>
      </c>
      <c r="E1193" s="17">
        <f>IF($D1193="","",IFERROR(INDEX(nrCadetAgency,MATCH($D1193,rngCadetPIDs,0)),""))</f>
        <v/>
      </c>
      <c r="F1193" s="16" t="n"/>
      <c r="G1193" s="17">
        <f>IF($F1193="","",IFERROR(INDEX(rngEPname,MATCH($F1193,rngEPcode,0)),"?"))</f>
        <v/>
      </c>
      <c r="H1193" s="17">
        <f>IF($F1193="","",IFERROR(INDEX(rngEPtype,MATCH($F1193,rngEPcode,0)),"?"))</f>
        <v/>
      </c>
      <c r="I1193" s="17">
        <f>IF($F1193="","",IFERROR(INDEX(rngEPseq,MATCH($F1193,rngEPcode,0)),""))</f>
        <v/>
      </c>
      <c r="J1193" s="17">
        <f>IF($F1193="","",IFERROR(INDEX(rngEPpass,MATCH($F1193,rngEPcode,0)),cfgPassingScore))</f>
        <v/>
      </c>
      <c r="K1193" s="16" t="n"/>
      <c r="L1193" s="16" t="n"/>
      <c r="M1193" s="17">
        <f>IF($C1193="","",IF($L1193="","",IF(NOT(ISNUMBER($L1193)),$L1193,IF(N($K1193)&gt;2,"",IF($K1193=1,IF(COUNTIFS(nrES_PID,$D1193,nrES_Code,$F1193,nrES_Att,2,nrES_Raw,"&gt;=0")&gt;0,"",$L1193),IF($L1193&gt;=$J1193,MAX($J1193,cfgRetakeRecordedCap),IF(COUNTIFS(nrES_PID,$D1193,nrES_Code,$F1193,nrES_Att,1)=0,$L1193,SUMIFS(nrES_Raw,nrES_PID,$D1193,nrES_Code,$F1193,nrES_Att,1))))))))</f>
        <v/>
      </c>
      <c r="N1193" s="17">
        <f>IF($C1193="","",IF($L1193="","",IF(NOT(ISNUMBER($L1193)),"(not a score)",IF($L1193&gt;=$J1193,"Yes","No"))))</f>
        <v/>
      </c>
      <c r="O1193" s="17">
        <f>IF($C1193="","",IF($M1193="","",IF(NOT(ISNUMBER($M1193)),"(not a score)",IF($M1193&gt;=$J1193,"Yes","No"))))</f>
        <v/>
      </c>
      <c r="P1193" s="17">
        <f>IF($C1193="","",IF($K1193="","",IF(N($K1193)&gt;2,"No",IF(COUNTIFS(nrES_PID,$D1193,nrES_Code,$F1193,nrES_Att,"&gt;"&amp;$K1193,nrES_Att,"&lt;=2",nrES_Raw,"&gt;=0")=0,"Yes","No"))))</f>
        <v/>
      </c>
      <c r="Q1193" s="17">
        <f>IF($C1193="","",IF($L1193="","",IF(AND($K1193=1,ISNUMBER($L1193),$L1193&lt;$J1193,COUNTIFS(nrES_PID,$D1193,nrES_Code,$F1193,nrES_Att,2,nrES_Raw,"&gt;=0")=0),"Yes","No")))</f>
        <v/>
      </c>
      <c r="R1193" s="17">
        <f>IF($C1193="","",IF($L1193="","",IF(AND(N($K1193)&gt;=2,ISNUMBER($L1193),$L1193&lt;$J1193),"Yes","No")))</f>
        <v/>
      </c>
      <c r="S1193" s="18" t="n"/>
      <c r="T1193" s="19">
        <f>IF(OR($C1193="",$L1193="",$K1193&lt;&gt;1,NOT(ISNUMBER($L1193)),$L1193&gt;=$J1193),"",IF($S1193="","(enter date)",_xlfn.LET(_xlpm.dn,_xlfn.XLOOKUP($S1193,nrCDdate,nrCDnum,"",1),IF(_xlpm.dn="","(after last class day)",_xlfn.LET(_xlpm.dd,_xlfn.XLOOKUP(_xlpm.dn+cfgRetestClassDays,nrCDnum,nrCDdate,""),_xlpm.ok,_xlfn.XLOOKUP(_xlpm.dn+cfgRetestClassDays,nrCDnum,nrCDinsession,"No"),IF(OR(_xlpm.dd="",_xlpm.ok&lt;&gt;"Yes"),"(after last class day)",_xlpm.dd))))))</f>
        <v/>
      </c>
      <c r="U1193" s="17">
        <f>IF($C1193="","",IF(AND($Y1193="Excused",$L1193="",N($K1193)&lt;=1),"EXCUSED - 1st attempt pending",IF(OR($L1193="",$K1193&lt;&gt;1,NOT(ISNUMBER($L1193)),$L1193&gt;=$J1193),"",IF(COUNTIFS(nrES_PID,$D1193,nrES_Code,$F1193,nrES_Att,2,nrES_Raw,"&gt;=0")&gt;0,IF(IFERROR(_xlfn.MINIFS(nrES_Date,nrES_PID,$D1193,nrES_Code,$F1193,nrES_Att,2,nrES_Raw,"&gt;=0",nrES_Date,"&gt;0"),0)=0,"RETEST UNDATED",IF(NOT(ISNUMBER($T1193)),"RETEST DATE UNCHECKED",IF(_xlfn.MINIFS(nrES_Date,nrES_PID,$D1193,nrES_Code,$F1193,nrES_Att,2,nrES_Raw,"&gt;=0",nrES_Date,"&gt;0")&gt;$T1193,"LATE RETEST "&amp;TEXT(_xlfn.MINIFS(nrES_Date,nrES_PID,$D1193,nrES_Code,$F1193,nrES_Att,2,nrES_Raw,"&gt;=0",nrES_Date,"&gt;0"),"mm/dd")&amp;" (due "&amp;TEXT($T1193,"mm/dd")&amp;")","Retested"))),IF(NOT(ISNUMBER($T1193)),"CHECK DATE",IF(TODAY()&gt;$T1193,"OVERDUE","Due "&amp;TEXT($T1193,"mm/dd")))))))</f>
        <v/>
      </c>
      <c r="V1193" s="16" t="n"/>
      <c r="W1193" s="16" t="n"/>
      <c r="X1193" s="17">
        <f>IF($C1193="","",IF(AND($L1193&lt;&gt;"",NOT(ISNUMBER($L1193))),"RAW SCORE NOT A NUMBER",IF(AND(ISNUMBER($L1193),OR($L1193&lt;0,$L1193&gt;100)),"RAW SCORE OUT OF RANGE",IF(AND($Y1193="Unexcused",OR($L1193="",NOT(ISNUMBER($L1193)),$L1193&lt;&gt;0)),"UNEXCUSED ABSENCE MUST RECORD 0",IF(COUNTIF(nrES_RecID,$B1193)&gt;1,"DUPLICATE RECORD",IF(N($K1193)&gt;2,"ATTEMPT 3+ NOT ALLOWED - policy 300.5 permits one retest per exam; this row records nothing",IF(AND($K1193=2,COUNTIFS(nrES_PID,$D1193,nrES_Code,$F1193,nrES_Att,1)=0),"ATTEMPT 2 WITHOUT ATTEMPT 1",IF(AND($K1193=2,$L1193=""),"RETEST ROW HAS NO SCORE",IF(AND($H1193="Final",$L1193&lt;&gt;"",IFERROR(INDEX(nrCKfinalExamElig,MATCH($D1193,rngCadetPIDs,0)),"")="No"),"FINAL EXAM AFTER FAILED FINAL PT (500.1.H)",IF(AND($K1193=2,ISNUMBER($L1193),COUNTIFS(nrES_PID,$D1193,nrES_Code,$F1193,nrES_Att,1)&gt;0,SUMIFS(nrES_Raw,nrES_PID,$D1193,nrES_Code,$F1193,nrES_Att,1)&gt;=$J1193),"RETEST AFTER A PASSING FIRST ATTEMPT","OK"))))))))))</f>
        <v/>
      </c>
      <c r="Y1193" s="16" t="n"/>
    </row>
    <row r="1194">
      <c r="B1194" s="17">
        <f>IF($C1194="","",$D1194&amp;"-"&amp;$F1194&amp;"-"&amp;$K1194)</f>
        <v/>
      </c>
      <c r="C1194" s="16" t="n"/>
      <c r="D1194" s="17">
        <f>IF($C1194="","",IFERROR(INDEX(rngCadetPIDs,MATCH($C1194,rngCadetNames,0)),"?"))</f>
        <v/>
      </c>
      <c r="E1194" s="17">
        <f>IF($D1194="","",IFERROR(INDEX(nrCadetAgency,MATCH($D1194,rngCadetPIDs,0)),""))</f>
        <v/>
      </c>
      <c r="F1194" s="16" t="n"/>
      <c r="G1194" s="17">
        <f>IF($F1194="","",IFERROR(INDEX(rngEPname,MATCH($F1194,rngEPcode,0)),"?"))</f>
        <v/>
      </c>
      <c r="H1194" s="17">
        <f>IF($F1194="","",IFERROR(INDEX(rngEPtype,MATCH($F1194,rngEPcode,0)),"?"))</f>
        <v/>
      </c>
      <c r="I1194" s="17">
        <f>IF($F1194="","",IFERROR(INDEX(rngEPseq,MATCH($F1194,rngEPcode,0)),""))</f>
        <v/>
      </c>
      <c r="J1194" s="17">
        <f>IF($F1194="","",IFERROR(INDEX(rngEPpass,MATCH($F1194,rngEPcode,0)),cfgPassingScore))</f>
        <v/>
      </c>
      <c r="K1194" s="16" t="n"/>
      <c r="L1194" s="16" t="n"/>
      <c r="M1194" s="17">
        <f>IF($C1194="","",IF($L1194="","",IF(NOT(ISNUMBER($L1194)),$L1194,IF(N($K1194)&gt;2,"",IF($K1194=1,IF(COUNTIFS(nrES_PID,$D1194,nrES_Code,$F1194,nrES_Att,2,nrES_Raw,"&gt;=0")&gt;0,"",$L1194),IF($L1194&gt;=$J1194,MAX($J1194,cfgRetakeRecordedCap),IF(COUNTIFS(nrES_PID,$D1194,nrES_Code,$F1194,nrES_Att,1)=0,$L1194,SUMIFS(nrES_Raw,nrES_PID,$D1194,nrES_Code,$F1194,nrES_Att,1))))))))</f>
        <v/>
      </c>
      <c r="N1194" s="17">
        <f>IF($C1194="","",IF($L1194="","",IF(NOT(ISNUMBER($L1194)),"(not a score)",IF($L1194&gt;=$J1194,"Yes","No"))))</f>
        <v/>
      </c>
      <c r="O1194" s="17">
        <f>IF($C1194="","",IF($M1194="","",IF(NOT(ISNUMBER($M1194)),"(not a score)",IF($M1194&gt;=$J1194,"Yes","No"))))</f>
        <v/>
      </c>
      <c r="P1194" s="17">
        <f>IF($C1194="","",IF($K1194="","",IF(N($K1194)&gt;2,"No",IF(COUNTIFS(nrES_PID,$D1194,nrES_Code,$F1194,nrES_Att,"&gt;"&amp;$K1194,nrES_Att,"&lt;=2",nrES_Raw,"&gt;=0")=0,"Yes","No"))))</f>
        <v/>
      </c>
      <c r="Q1194" s="17">
        <f>IF($C1194="","",IF($L1194="","",IF(AND($K1194=1,ISNUMBER($L1194),$L1194&lt;$J1194,COUNTIFS(nrES_PID,$D1194,nrES_Code,$F1194,nrES_Att,2,nrES_Raw,"&gt;=0")=0),"Yes","No")))</f>
        <v/>
      </c>
      <c r="R1194" s="17">
        <f>IF($C1194="","",IF($L1194="","",IF(AND(N($K1194)&gt;=2,ISNUMBER($L1194),$L1194&lt;$J1194),"Yes","No")))</f>
        <v/>
      </c>
      <c r="S1194" s="18" t="n"/>
      <c r="T1194" s="19">
        <f>IF(OR($C1194="",$L1194="",$K1194&lt;&gt;1,NOT(ISNUMBER($L1194)),$L1194&gt;=$J1194),"",IF($S1194="","(enter date)",_xlfn.LET(_xlpm.dn,_xlfn.XLOOKUP($S1194,nrCDdate,nrCDnum,"",1),IF(_xlpm.dn="","(after last class day)",_xlfn.LET(_xlpm.dd,_xlfn.XLOOKUP(_xlpm.dn+cfgRetestClassDays,nrCDnum,nrCDdate,""),_xlpm.ok,_xlfn.XLOOKUP(_xlpm.dn+cfgRetestClassDays,nrCDnum,nrCDinsession,"No"),IF(OR(_xlpm.dd="",_xlpm.ok&lt;&gt;"Yes"),"(after last class day)",_xlpm.dd))))))</f>
        <v/>
      </c>
      <c r="U1194" s="17">
        <f>IF($C1194="","",IF(AND($Y1194="Excused",$L1194="",N($K1194)&lt;=1),"EXCUSED - 1st attempt pending",IF(OR($L1194="",$K1194&lt;&gt;1,NOT(ISNUMBER($L1194)),$L1194&gt;=$J1194),"",IF(COUNTIFS(nrES_PID,$D1194,nrES_Code,$F1194,nrES_Att,2,nrES_Raw,"&gt;=0")&gt;0,IF(IFERROR(_xlfn.MINIFS(nrES_Date,nrES_PID,$D1194,nrES_Code,$F1194,nrES_Att,2,nrES_Raw,"&gt;=0",nrES_Date,"&gt;0"),0)=0,"RETEST UNDATED",IF(NOT(ISNUMBER($T1194)),"RETEST DATE UNCHECKED",IF(_xlfn.MINIFS(nrES_Date,nrES_PID,$D1194,nrES_Code,$F1194,nrES_Att,2,nrES_Raw,"&gt;=0",nrES_Date,"&gt;0")&gt;$T1194,"LATE RETEST "&amp;TEXT(_xlfn.MINIFS(nrES_Date,nrES_PID,$D1194,nrES_Code,$F1194,nrES_Att,2,nrES_Raw,"&gt;=0",nrES_Date,"&gt;0"),"mm/dd")&amp;" (due "&amp;TEXT($T1194,"mm/dd")&amp;")","Retested"))),IF(NOT(ISNUMBER($T1194)),"CHECK DATE",IF(TODAY()&gt;$T1194,"OVERDUE","Due "&amp;TEXT($T1194,"mm/dd")))))))</f>
        <v/>
      </c>
      <c r="V1194" s="16" t="n"/>
      <c r="W1194" s="16" t="n"/>
      <c r="X1194" s="17">
        <f>IF($C1194="","",IF(AND($L1194&lt;&gt;"",NOT(ISNUMBER($L1194))),"RAW SCORE NOT A NUMBER",IF(AND(ISNUMBER($L1194),OR($L1194&lt;0,$L1194&gt;100)),"RAW SCORE OUT OF RANGE",IF(AND($Y1194="Unexcused",OR($L1194="",NOT(ISNUMBER($L1194)),$L1194&lt;&gt;0)),"UNEXCUSED ABSENCE MUST RECORD 0",IF(COUNTIF(nrES_RecID,$B1194)&gt;1,"DUPLICATE RECORD",IF(N($K1194)&gt;2,"ATTEMPT 3+ NOT ALLOWED - policy 300.5 permits one retest per exam; this row records nothing",IF(AND($K1194=2,COUNTIFS(nrES_PID,$D1194,nrES_Code,$F1194,nrES_Att,1)=0),"ATTEMPT 2 WITHOUT ATTEMPT 1",IF(AND($K1194=2,$L1194=""),"RETEST ROW HAS NO SCORE",IF(AND($H1194="Final",$L1194&lt;&gt;"",IFERROR(INDEX(nrCKfinalExamElig,MATCH($D1194,rngCadetPIDs,0)),"")="No"),"FINAL EXAM AFTER FAILED FINAL PT (500.1.H)",IF(AND($K1194=2,ISNUMBER($L1194),COUNTIFS(nrES_PID,$D1194,nrES_Code,$F1194,nrES_Att,1)&gt;0,SUMIFS(nrES_Raw,nrES_PID,$D1194,nrES_Code,$F1194,nrES_Att,1)&gt;=$J1194),"RETEST AFTER A PASSING FIRST ATTEMPT","OK"))))))))))</f>
        <v/>
      </c>
      <c r="Y1194" s="16" t="n"/>
    </row>
    <row r="1195">
      <c r="B1195" s="17">
        <f>IF($C1195="","",$D1195&amp;"-"&amp;$F1195&amp;"-"&amp;$K1195)</f>
        <v/>
      </c>
      <c r="C1195" s="16" t="n"/>
      <c r="D1195" s="17">
        <f>IF($C1195="","",IFERROR(INDEX(rngCadetPIDs,MATCH($C1195,rngCadetNames,0)),"?"))</f>
        <v/>
      </c>
      <c r="E1195" s="17">
        <f>IF($D1195="","",IFERROR(INDEX(nrCadetAgency,MATCH($D1195,rngCadetPIDs,0)),""))</f>
        <v/>
      </c>
      <c r="F1195" s="16" t="n"/>
      <c r="G1195" s="17">
        <f>IF($F1195="","",IFERROR(INDEX(rngEPname,MATCH($F1195,rngEPcode,0)),"?"))</f>
        <v/>
      </c>
      <c r="H1195" s="17">
        <f>IF($F1195="","",IFERROR(INDEX(rngEPtype,MATCH($F1195,rngEPcode,0)),"?"))</f>
        <v/>
      </c>
      <c r="I1195" s="17">
        <f>IF($F1195="","",IFERROR(INDEX(rngEPseq,MATCH($F1195,rngEPcode,0)),""))</f>
        <v/>
      </c>
      <c r="J1195" s="17">
        <f>IF($F1195="","",IFERROR(INDEX(rngEPpass,MATCH($F1195,rngEPcode,0)),cfgPassingScore))</f>
        <v/>
      </c>
      <c r="K1195" s="16" t="n"/>
      <c r="L1195" s="16" t="n"/>
      <c r="M1195" s="17">
        <f>IF($C1195="","",IF($L1195="","",IF(NOT(ISNUMBER($L1195)),$L1195,IF(N($K1195)&gt;2,"",IF($K1195=1,IF(COUNTIFS(nrES_PID,$D1195,nrES_Code,$F1195,nrES_Att,2,nrES_Raw,"&gt;=0")&gt;0,"",$L1195),IF($L1195&gt;=$J1195,MAX($J1195,cfgRetakeRecordedCap),IF(COUNTIFS(nrES_PID,$D1195,nrES_Code,$F1195,nrES_Att,1)=0,$L1195,SUMIFS(nrES_Raw,nrES_PID,$D1195,nrES_Code,$F1195,nrES_Att,1))))))))</f>
        <v/>
      </c>
      <c r="N1195" s="17">
        <f>IF($C1195="","",IF($L1195="","",IF(NOT(ISNUMBER($L1195)),"(not a score)",IF($L1195&gt;=$J1195,"Yes","No"))))</f>
        <v/>
      </c>
      <c r="O1195" s="17">
        <f>IF($C1195="","",IF($M1195="","",IF(NOT(ISNUMBER($M1195)),"(not a score)",IF($M1195&gt;=$J1195,"Yes","No"))))</f>
        <v/>
      </c>
      <c r="P1195" s="17">
        <f>IF($C1195="","",IF($K1195="","",IF(N($K1195)&gt;2,"No",IF(COUNTIFS(nrES_PID,$D1195,nrES_Code,$F1195,nrES_Att,"&gt;"&amp;$K1195,nrES_Att,"&lt;=2",nrES_Raw,"&gt;=0")=0,"Yes","No"))))</f>
        <v/>
      </c>
      <c r="Q1195" s="17">
        <f>IF($C1195="","",IF($L1195="","",IF(AND($K1195=1,ISNUMBER($L1195),$L1195&lt;$J1195,COUNTIFS(nrES_PID,$D1195,nrES_Code,$F1195,nrES_Att,2,nrES_Raw,"&gt;=0")=0),"Yes","No")))</f>
        <v/>
      </c>
      <c r="R1195" s="17">
        <f>IF($C1195="","",IF($L1195="","",IF(AND(N($K1195)&gt;=2,ISNUMBER($L1195),$L1195&lt;$J1195),"Yes","No")))</f>
        <v/>
      </c>
      <c r="S1195" s="18" t="n"/>
      <c r="T1195" s="19">
        <f>IF(OR($C1195="",$L1195="",$K1195&lt;&gt;1,NOT(ISNUMBER($L1195)),$L1195&gt;=$J1195),"",IF($S1195="","(enter date)",_xlfn.LET(_xlpm.dn,_xlfn.XLOOKUP($S1195,nrCDdate,nrCDnum,"",1),IF(_xlpm.dn="","(after last class day)",_xlfn.LET(_xlpm.dd,_xlfn.XLOOKUP(_xlpm.dn+cfgRetestClassDays,nrCDnum,nrCDdate,""),_xlpm.ok,_xlfn.XLOOKUP(_xlpm.dn+cfgRetestClassDays,nrCDnum,nrCDinsession,"No"),IF(OR(_xlpm.dd="",_xlpm.ok&lt;&gt;"Yes"),"(after last class day)",_xlpm.dd))))))</f>
        <v/>
      </c>
      <c r="U1195" s="17">
        <f>IF($C1195="","",IF(AND($Y1195="Excused",$L1195="",N($K1195)&lt;=1),"EXCUSED - 1st attempt pending",IF(OR($L1195="",$K1195&lt;&gt;1,NOT(ISNUMBER($L1195)),$L1195&gt;=$J1195),"",IF(COUNTIFS(nrES_PID,$D1195,nrES_Code,$F1195,nrES_Att,2,nrES_Raw,"&gt;=0")&gt;0,IF(IFERROR(_xlfn.MINIFS(nrES_Date,nrES_PID,$D1195,nrES_Code,$F1195,nrES_Att,2,nrES_Raw,"&gt;=0",nrES_Date,"&gt;0"),0)=0,"RETEST UNDATED",IF(NOT(ISNUMBER($T1195)),"RETEST DATE UNCHECKED",IF(_xlfn.MINIFS(nrES_Date,nrES_PID,$D1195,nrES_Code,$F1195,nrES_Att,2,nrES_Raw,"&gt;=0",nrES_Date,"&gt;0")&gt;$T1195,"LATE RETEST "&amp;TEXT(_xlfn.MINIFS(nrES_Date,nrES_PID,$D1195,nrES_Code,$F1195,nrES_Att,2,nrES_Raw,"&gt;=0",nrES_Date,"&gt;0"),"mm/dd")&amp;" (due "&amp;TEXT($T1195,"mm/dd")&amp;")","Retested"))),IF(NOT(ISNUMBER($T1195)),"CHECK DATE",IF(TODAY()&gt;$T1195,"OVERDUE","Due "&amp;TEXT($T1195,"mm/dd")))))))</f>
        <v/>
      </c>
      <c r="V1195" s="16" t="n"/>
      <c r="W1195" s="16" t="n"/>
      <c r="X1195" s="17">
        <f>IF($C1195="","",IF(AND($L1195&lt;&gt;"",NOT(ISNUMBER($L1195))),"RAW SCORE NOT A NUMBER",IF(AND(ISNUMBER($L1195),OR($L1195&lt;0,$L1195&gt;100)),"RAW SCORE OUT OF RANGE",IF(AND($Y1195="Unexcused",OR($L1195="",NOT(ISNUMBER($L1195)),$L1195&lt;&gt;0)),"UNEXCUSED ABSENCE MUST RECORD 0",IF(COUNTIF(nrES_RecID,$B1195)&gt;1,"DUPLICATE RECORD",IF(N($K1195)&gt;2,"ATTEMPT 3+ NOT ALLOWED - policy 300.5 permits one retest per exam; this row records nothing",IF(AND($K1195=2,COUNTIFS(nrES_PID,$D1195,nrES_Code,$F1195,nrES_Att,1)=0),"ATTEMPT 2 WITHOUT ATTEMPT 1",IF(AND($K1195=2,$L1195=""),"RETEST ROW HAS NO SCORE",IF(AND($H1195="Final",$L1195&lt;&gt;"",IFERROR(INDEX(nrCKfinalExamElig,MATCH($D1195,rngCadetPIDs,0)),"")="No"),"FINAL EXAM AFTER FAILED FINAL PT (500.1.H)",IF(AND($K1195=2,ISNUMBER($L1195),COUNTIFS(nrES_PID,$D1195,nrES_Code,$F1195,nrES_Att,1)&gt;0,SUMIFS(nrES_Raw,nrES_PID,$D1195,nrES_Code,$F1195,nrES_Att,1)&gt;=$J1195),"RETEST AFTER A PASSING FIRST ATTEMPT","OK"))))))))))</f>
        <v/>
      </c>
      <c r="Y1195" s="16" t="n"/>
    </row>
    <row r="1196">
      <c r="B1196" s="17">
        <f>IF($C1196="","",$D1196&amp;"-"&amp;$F1196&amp;"-"&amp;$K1196)</f>
        <v/>
      </c>
      <c r="C1196" s="16" t="n"/>
      <c r="D1196" s="17">
        <f>IF($C1196="","",IFERROR(INDEX(rngCadetPIDs,MATCH($C1196,rngCadetNames,0)),"?"))</f>
        <v/>
      </c>
      <c r="E1196" s="17">
        <f>IF($D1196="","",IFERROR(INDEX(nrCadetAgency,MATCH($D1196,rngCadetPIDs,0)),""))</f>
        <v/>
      </c>
      <c r="F1196" s="16" t="n"/>
      <c r="G1196" s="17">
        <f>IF($F1196="","",IFERROR(INDEX(rngEPname,MATCH($F1196,rngEPcode,0)),"?"))</f>
        <v/>
      </c>
      <c r="H1196" s="17">
        <f>IF($F1196="","",IFERROR(INDEX(rngEPtype,MATCH($F1196,rngEPcode,0)),"?"))</f>
        <v/>
      </c>
      <c r="I1196" s="17">
        <f>IF($F1196="","",IFERROR(INDEX(rngEPseq,MATCH($F1196,rngEPcode,0)),""))</f>
        <v/>
      </c>
      <c r="J1196" s="17">
        <f>IF($F1196="","",IFERROR(INDEX(rngEPpass,MATCH($F1196,rngEPcode,0)),cfgPassingScore))</f>
        <v/>
      </c>
      <c r="K1196" s="16" t="n"/>
      <c r="L1196" s="16" t="n"/>
      <c r="M1196" s="17">
        <f>IF($C1196="","",IF($L1196="","",IF(NOT(ISNUMBER($L1196)),$L1196,IF(N($K1196)&gt;2,"",IF($K1196=1,IF(COUNTIFS(nrES_PID,$D1196,nrES_Code,$F1196,nrES_Att,2,nrES_Raw,"&gt;=0")&gt;0,"",$L1196),IF($L1196&gt;=$J1196,MAX($J1196,cfgRetakeRecordedCap),IF(COUNTIFS(nrES_PID,$D1196,nrES_Code,$F1196,nrES_Att,1)=0,$L1196,SUMIFS(nrES_Raw,nrES_PID,$D1196,nrES_Code,$F1196,nrES_Att,1))))))))</f>
        <v/>
      </c>
      <c r="N1196" s="17">
        <f>IF($C1196="","",IF($L1196="","",IF(NOT(ISNUMBER($L1196)),"(not a score)",IF($L1196&gt;=$J1196,"Yes","No"))))</f>
        <v/>
      </c>
      <c r="O1196" s="17">
        <f>IF($C1196="","",IF($M1196="","",IF(NOT(ISNUMBER($M1196)),"(not a score)",IF($M1196&gt;=$J1196,"Yes","No"))))</f>
        <v/>
      </c>
      <c r="P1196" s="17">
        <f>IF($C1196="","",IF($K1196="","",IF(N($K1196)&gt;2,"No",IF(COUNTIFS(nrES_PID,$D1196,nrES_Code,$F1196,nrES_Att,"&gt;"&amp;$K1196,nrES_Att,"&lt;=2",nrES_Raw,"&gt;=0")=0,"Yes","No"))))</f>
        <v/>
      </c>
      <c r="Q1196" s="17">
        <f>IF($C1196="","",IF($L1196="","",IF(AND($K1196=1,ISNUMBER($L1196),$L1196&lt;$J1196,COUNTIFS(nrES_PID,$D1196,nrES_Code,$F1196,nrES_Att,2,nrES_Raw,"&gt;=0")=0),"Yes","No")))</f>
        <v/>
      </c>
      <c r="R1196" s="17">
        <f>IF($C1196="","",IF($L1196="","",IF(AND(N($K1196)&gt;=2,ISNUMBER($L1196),$L1196&lt;$J1196),"Yes","No")))</f>
        <v/>
      </c>
      <c r="S1196" s="18" t="n"/>
      <c r="T1196" s="19">
        <f>IF(OR($C1196="",$L1196="",$K1196&lt;&gt;1,NOT(ISNUMBER($L1196)),$L1196&gt;=$J1196),"",IF($S1196="","(enter date)",_xlfn.LET(_xlpm.dn,_xlfn.XLOOKUP($S1196,nrCDdate,nrCDnum,"",1),IF(_xlpm.dn="","(after last class day)",_xlfn.LET(_xlpm.dd,_xlfn.XLOOKUP(_xlpm.dn+cfgRetestClassDays,nrCDnum,nrCDdate,""),_xlpm.ok,_xlfn.XLOOKUP(_xlpm.dn+cfgRetestClassDays,nrCDnum,nrCDinsession,"No"),IF(OR(_xlpm.dd="",_xlpm.ok&lt;&gt;"Yes"),"(after last class day)",_xlpm.dd))))))</f>
        <v/>
      </c>
      <c r="U1196" s="17">
        <f>IF($C1196="","",IF(AND($Y1196="Excused",$L1196="",N($K1196)&lt;=1),"EXCUSED - 1st attempt pending",IF(OR($L1196="",$K1196&lt;&gt;1,NOT(ISNUMBER($L1196)),$L1196&gt;=$J1196),"",IF(COUNTIFS(nrES_PID,$D1196,nrES_Code,$F1196,nrES_Att,2,nrES_Raw,"&gt;=0")&gt;0,IF(IFERROR(_xlfn.MINIFS(nrES_Date,nrES_PID,$D1196,nrES_Code,$F1196,nrES_Att,2,nrES_Raw,"&gt;=0",nrES_Date,"&gt;0"),0)=0,"RETEST UNDATED",IF(NOT(ISNUMBER($T1196)),"RETEST DATE UNCHECKED",IF(_xlfn.MINIFS(nrES_Date,nrES_PID,$D1196,nrES_Code,$F1196,nrES_Att,2,nrES_Raw,"&gt;=0",nrES_Date,"&gt;0")&gt;$T1196,"LATE RETEST "&amp;TEXT(_xlfn.MINIFS(nrES_Date,nrES_PID,$D1196,nrES_Code,$F1196,nrES_Att,2,nrES_Raw,"&gt;=0",nrES_Date,"&gt;0"),"mm/dd")&amp;" (due "&amp;TEXT($T1196,"mm/dd")&amp;")","Retested"))),IF(NOT(ISNUMBER($T1196)),"CHECK DATE",IF(TODAY()&gt;$T1196,"OVERDUE","Due "&amp;TEXT($T1196,"mm/dd")))))))</f>
        <v/>
      </c>
      <c r="V1196" s="16" t="n"/>
      <c r="W1196" s="16" t="n"/>
      <c r="X1196" s="17">
        <f>IF($C1196="","",IF(AND($L1196&lt;&gt;"",NOT(ISNUMBER($L1196))),"RAW SCORE NOT A NUMBER",IF(AND(ISNUMBER($L1196),OR($L1196&lt;0,$L1196&gt;100)),"RAW SCORE OUT OF RANGE",IF(AND($Y1196="Unexcused",OR($L1196="",NOT(ISNUMBER($L1196)),$L1196&lt;&gt;0)),"UNEXCUSED ABSENCE MUST RECORD 0",IF(COUNTIF(nrES_RecID,$B1196)&gt;1,"DUPLICATE RECORD",IF(N($K1196)&gt;2,"ATTEMPT 3+ NOT ALLOWED - policy 300.5 permits one retest per exam; this row records nothing",IF(AND($K1196=2,COUNTIFS(nrES_PID,$D1196,nrES_Code,$F1196,nrES_Att,1)=0),"ATTEMPT 2 WITHOUT ATTEMPT 1",IF(AND($K1196=2,$L1196=""),"RETEST ROW HAS NO SCORE",IF(AND($H1196="Final",$L1196&lt;&gt;"",IFERROR(INDEX(nrCKfinalExamElig,MATCH($D1196,rngCadetPIDs,0)),"")="No"),"FINAL EXAM AFTER FAILED FINAL PT (500.1.H)",IF(AND($K1196=2,ISNUMBER($L1196),COUNTIFS(nrES_PID,$D1196,nrES_Code,$F1196,nrES_Att,1)&gt;0,SUMIFS(nrES_Raw,nrES_PID,$D1196,nrES_Code,$F1196,nrES_Att,1)&gt;=$J1196),"RETEST AFTER A PASSING FIRST ATTEMPT","OK"))))))))))</f>
        <v/>
      </c>
      <c r="Y1196" s="16" t="n"/>
    </row>
    <row r="1197">
      <c r="B1197" s="17">
        <f>IF($C1197="","",$D1197&amp;"-"&amp;$F1197&amp;"-"&amp;$K1197)</f>
        <v/>
      </c>
      <c r="C1197" s="16" t="n"/>
      <c r="D1197" s="17">
        <f>IF($C1197="","",IFERROR(INDEX(rngCadetPIDs,MATCH($C1197,rngCadetNames,0)),"?"))</f>
        <v/>
      </c>
      <c r="E1197" s="17">
        <f>IF($D1197="","",IFERROR(INDEX(nrCadetAgency,MATCH($D1197,rngCadetPIDs,0)),""))</f>
        <v/>
      </c>
      <c r="F1197" s="16" t="n"/>
      <c r="G1197" s="17">
        <f>IF($F1197="","",IFERROR(INDEX(rngEPname,MATCH($F1197,rngEPcode,0)),"?"))</f>
        <v/>
      </c>
      <c r="H1197" s="17">
        <f>IF($F1197="","",IFERROR(INDEX(rngEPtype,MATCH($F1197,rngEPcode,0)),"?"))</f>
        <v/>
      </c>
      <c r="I1197" s="17">
        <f>IF($F1197="","",IFERROR(INDEX(rngEPseq,MATCH($F1197,rngEPcode,0)),""))</f>
        <v/>
      </c>
      <c r="J1197" s="17">
        <f>IF($F1197="","",IFERROR(INDEX(rngEPpass,MATCH($F1197,rngEPcode,0)),cfgPassingScore))</f>
        <v/>
      </c>
      <c r="K1197" s="16" t="n"/>
      <c r="L1197" s="16" t="n"/>
      <c r="M1197" s="17">
        <f>IF($C1197="","",IF($L1197="","",IF(NOT(ISNUMBER($L1197)),$L1197,IF(N($K1197)&gt;2,"",IF($K1197=1,IF(COUNTIFS(nrES_PID,$D1197,nrES_Code,$F1197,nrES_Att,2,nrES_Raw,"&gt;=0")&gt;0,"",$L1197),IF($L1197&gt;=$J1197,MAX($J1197,cfgRetakeRecordedCap),IF(COUNTIFS(nrES_PID,$D1197,nrES_Code,$F1197,nrES_Att,1)=0,$L1197,SUMIFS(nrES_Raw,nrES_PID,$D1197,nrES_Code,$F1197,nrES_Att,1))))))))</f>
        <v/>
      </c>
      <c r="N1197" s="17">
        <f>IF($C1197="","",IF($L1197="","",IF(NOT(ISNUMBER($L1197)),"(not a score)",IF($L1197&gt;=$J1197,"Yes","No"))))</f>
        <v/>
      </c>
      <c r="O1197" s="17">
        <f>IF($C1197="","",IF($M1197="","",IF(NOT(ISNUMBER($M1197)),"(not a score)",IF($M1197&gt;=$J1197,"Yes","No"))))</f>
        <v/>
      </c>
      <c r="P1197" s="17">
        <f>IF($C1197="","",IF($K1197="","",IF(N($K1197)&gt;2,"No",IF(COUNTIFS(nrES_PID,$D1197,nrES_Code,$F1197,nrES_Att,"&gt;"&amp;$K1197,nrES_Att,"&lt;=2",nrES_Raw,"&gt;=0")=0,"Yes","No"))))</f>
        <v/>
      </c>
      <c r="Q1197" s="17">
        <f>IF($C1197="","",IF($L1197="","",IF(AND($K1197=1,ISNUMBER($L1197),$L1197&lt;$J1197,COUNTIFS(nrES_PID,$D1197,nrES_Code,$F1197,nrES_Att,2,nrES_Raw,"&gt;=0")=0),"Yes","No")))</f>
        <v/>
      </c>
      <c r="R1197" s="17">
        <f>IF($C1197="","",IF($L1197="","",IF(AND(N($K1197)&gt;=2,ISNUMBER($L1197),$L1197&lt;$J1197),"Yes","No")))</f>
        <v/>
      </c>
      <c r="S1197" s="18" t="n"/>
      <c r="T1197" s="19">
        <f>IF(OR($C1197="",$L1197="",$K1197&lt;&gt;1,NOT(ISNUMBER($L1197)),$L1197&gt;=$J1197),"",IF($S1197="","(enter date)",_xlfn.LET(_xlpm.dn,_xlfn.XLOOKUP($S1197,nrCDdate,nrCDnum,"",1),IF(_xlpm.dn="","(after last class day)",_xlfn.LET(_xlpm.dd,_xlfn.XLOOKUP(_xlpm.dn+cfgRetestClassDays,nrCDnum,nrCDdate,""),_xlpm.ok,_xlfn.XLOOKUP(_xlpm.dn+cfgRetestClassDays,nrCDnum,nrCDinsession,"No"),IF(OR(_xlpm.dd="",_xlpm.ok&lt;&gt;"Yes"),"(after last class day)",_xlpm.dd))))))</f>
        <v/>
      </c>
      <c r="U1197" s="17">
        <f>IF($C1197="","",IF(AND($Y1197="Excused",$L1197="",N($K1197)&lt;=1),"EXCUSED - 1st attempt pending",IF(OR($L1197="",$K1197&lt;&gt;1,NOT(ISNUMBER($L1197)),$L1197&gt;=$J1197),"",IF(COUNTIFS(nrES_PID,$D1197,nrES_Code,$F1197,nrES_Att,2,nrES_Raw,"&gt;=0")&gt;0,IF(IFERROR(_xlfn.MINIFS(nrES_Date,nrES_PID,$D1197,nrES_Code,$F1197,nrES_Att,2,nrES_Raw,"&gt;=0",nrES_Date,"&gt;0"),0)=0,"RETEST UNDATED",IF(NOT(ISNUMBER($T1197)),"RETEST DATE UNCHECKED",IF(_xlfn.MINIFS(nrES_Date,nrES_PID,$D1197,nrES_Code,$F1197,nrES_Att,2,nrES_Raw,"&gt;=0",nrES_Date,"&gt;0")&gt;$T1197,"LATE RETEST "&amp;TEXT(_xlfn.MINIFS(nrES_Date,nrES_PID,$D1197,nrES_Code,$F1197,nrES_Att,2,nrES_Raw,"&gt;=0",nrES_Date,"&gt;0"),"mm/dd")&amp;" (due "&amp;TEXT($T1197,"mm/dd")&amp;")","Retested"))),IF(NOT(ISNUMBER($T1197)),"CHECK DATE",IF(TODAY()&gt;$T1197,"OVERDUE","Due "&amp;TEXT($T1197,"mm/dd")))))))</f>
        <v/>
      </c>
      <c r="V1197" s="16" t="n"/>
      <c r="W1197" s="16" t="n"/>
      <c r="X1197" s="17">
        <f>IF($C1197="","",IF(AND($L1197&lt;&gt;"",NOT(ISNUMBER($L1197))),"RAW SCORE NOT A NUMBER",IF(AND(ISNUMBER($L1197),OR($L1197&lt;0,$L1197&gt;100)),"RAW SCORE OUT OF RANGE",IF(AND($Y1197="Unexcused",OR($L1197="",NOT(ISNUMBER($L1197)),$L1197&lt;&gt;0)),"UNEXCUSED ABSENCE MUST RECORD 0",IF(COUNTIF(nrES_RecID,$B1197)&gt;1,"DUPLICATE RECORD",IF(N($K1197)&gt;2,"ATTEMPT 3+ NOT ALLOWED - policy 300.5 permits one retest per exam; this row records nothing",IF(AND($K1197=2,COUNTIFS(nrES_PID,$D1197,nrES_Code,$F1197,nrES_Att,1)=0),"ATTEMPT 2 WITHOUT ATTEMPT 1",IF(AND($K1197=2,$L1197=""),"RETEST ROW HAS NO SCORE",IF(AND($H1197="Final",$L1197&lt;&gt;"",IFERROR(INDEX(nrCKfinalExamElig,MATCH($D1197,rngCadetPIDs,0)),"")="No"),"FINAL EXAM AFTER FAILED FINAL PT (500.1.H)",IF(AND($K1197=2,ISNUMBER($L1197),COUNTIFS(nrES_PID,$D1197,nrES_Code,$F1197,nrES_Att,1)&gt;0,SUMIFS(nrES_Raw,nrES_PID,$D1197,nrES_Code,$F1197,nrES_Att,1)&gt;=$J1197),"RETEST AFTER A PASSING FIRST ATTEMPT","OK"))))))))))</f>
        <v/>
      </c>
      <c r="Y1197" s="16" t="n"/>
    </row>
    <row r="1198">
      <c r="B1198" s="17">
        <f>IF($C1198="","",$D1198&amp;"-"&amp;$F1198&amp;"-"&amp;$K1198)</f>
        <v/>
      </c>
      <c r="C1198" s="16" t="n"/>
      <c r="D1198" s="17">
        <f>IF($C1198="","",IFERROR(INDEX(rngCadetPIDs,MATCH($C1198,rngCadetNames,0)),"?"))</f>
        <v/>
      </c>
      <c r="E1198" s="17">
        <f>IF($D1198="","",IFERROR(INDEX(nrCadetAgency,MATCH($D1198,rngCadetPIDs,0)),""))</f>
        <v/>
      </c>
      <c r="F1198" s="16" t="n"/>
      <c r="G1198" s="17">
        <f>IF($F1198="","",IFERROR(INDEX(rngEPname,MATCH($F1198,rngEPcode,0)),"?"))</f>
        <v/>
      </c>
      <c r="H1198" s="17">
        <f>IF($F1198="","",IFERROR(INDEX(rngEPtype,MATCH($F1198,rngEPcode,0)),"?"))</f>
        <v/>
      </c>
      <c r="I1198" s="17">
        <f>IF($F1198="","",IFERROR(INDEX(rngEPseq,MATCH($F1198,rngEPcode,0)),""))</f>
        <v/>
      </c>
      <c r="J1198" s="17">
        <f>IF($F1198="","",IFERROR(INDEX(rngEPpass,MATCH($F1198,rngEPcode,0)),cfgPassingScore))</f>
        <v/>
      </c>
      <c r="K1198" s="16" t="n"/>
      <c r="L1198" s="16" t="n"/>
      <c r="M1198" s="17">
        <f>IF($C1198="","",IF($L1198="","",IF(NOT(ISNUMBER($L1198)),$L1198,IF(N($K1198)&gt;2,"",IF($K1198=1,IF(COUNTIFS(nrES_PID,$D1198,nrES_Code,$F1198,nrES_Att,2,nrES_Raw,"&gt;=0")&gt;0,"",$L1198),IF($L1198&gt;=$J1198,MAX($J1198,cfgRetakeRecordedCap),IF(COUNTIFS(nrES_PID,$D1198,nrES_Code,$F1198,nrES_Att,1)=0,$L1198,SUMIFS(nrES_Raw,nrES_PID,$D1198,nrES_Code,$F1198,nrES_Att,1))))))))</f>
        <v/>
      </c>
      <c r="N1198" s="17">
        <f>IF($C1198="","",IF($L1198="","",IF(NOT(ISNUMBER($L1198)),"(not a score)",IF($L1198&gt;=$J1198,"Yes","No"))))</f>
        <v/>
      </c>
      <c r="O1198" s="17">
        <f>IF($C1198="","",IF($M1198="","",IF(NOT(ISNUMBER($M1198)),"(not a score)",IF($M1198&gt;=$J1198,"Yes","No"))))</f>
        <v/>
      </c>
      <c r="P1198" s="17">
        <f>IF($C1198="","",IF($K1198="","",IF(N($K1198)&gt;2,"No",IF(COUNTIFS(nrES_PID,$D1198,nrES_Code,$F1198,nrES_Att,"&gt;"&amp;$K1198,nrES_Att,"&lt;=2",nrES_Raw,"&gt;=0")=0,"Yes","No"))))</f>
        <v/>
      </c>
      <c r="Q1198" s="17">
        <f>IF($C1198="","",IF($L1198="","",IF(AND($K1198=1,ISNUMBER($L1198),$L1198&lt;$J1198,COUNTIFS(nrES_PID,$D1198,nrES_Code,$F1198,nrES_Att,2,nrES_Raw,"&gt;=0")=0),"Yes","No")))</f>
        <v/>
      </c>
      <c r="R1198" s="17">
        <f>IF($C1198="","",IF($L1198="","",IF(AND(N($K1198)&gt;=2,ISNUMBER($L1198),$L1198&lt;$J1198),"Yes","No")))</f>
        <v/>
      </c>
      <c r="S1198" s="18" t="n"/>
      <c r="T1198" s="19">
        <f>IF(OR($C1198="",$L1198="",$K1198&lt;&gt;1,NOT(ISNUMBER($L1198)),$L1198&gt;=$J1198),"",IF($S1198="","(enter date)",_xlfn.LET(_xlpm.dn,_xlfn.XLOOKUP($S1198,nrCDdate,nrCDnum,"",1),IF(_xlpm.dn="","(after last class day)",_xlfn.LET(_xlpm.dd,_xlfn.XLOOKUP(_xlpm.dn+cfgRetestClassDays,nrCDnum,nrCDdate,""),_xlpm.ok,_xlfn.XLOOKUP(_xlpm.dn+cfgRetestClassDays,nrCDnum,nrCDinsession,"No"),IF(OR(_xlpm.dd="",_xlpm.ok&lt;&gt;"Yes"),"(after last class day)",_xlpm.dd))))))</f>
        <v/>
      </c>
      <c r="U1198" s="17">
        <f>IF($C1198="","",IF(AND($Y1198="Excused",$L1198="",N($K1198)&lt;=1),"EXCUSED - 1st attempt pending",IF(OR($L1198="",$K1198&lt;&gt;1,NOT(ISNUMBER($L1198)),$L1198&gt;=$J1198),"",IF(COUNTIFS(nrES_PID,$D1198,nrES_Code,$F1198,nrES_Att,2,nrES_Raw,"&gt;=0")&gt;0,IF(IFERROR(_xlfn.MINIFS(nrES_Date,nrES_PID,$D1198,nrES_Code,$F1198,nrES_Att,2,nrES_Raw,"&gt;=0",nrES_Date,"&gt;0"),0)=0,"RETEST UNDATED",IF(NOT(ISNUMBER($T1198)),"RETEST DATE UNCHECKED",IF(_xlfn.MINIFS(nrES_Date,nrES_PID,$D1198,nrES_Code,$F1198,nrES_Att,2,nrES_Raw,"&gt;=0",nrES_Date,"&gt;0")&gt;$T1198,"LATE RETEST "&amp;TEXT(_xlfn.MINIFS(nrES_Date,nrES_PID,$D1198,nrES_Code,$F1198,nrES_Att,2,nrES_Raw,"&gt;=0",nrES_Date,"&gt;0"),"mm/dd")&amp;" (due "&amp;TEXT($T1198,"mm/dd")&amp;")","Retested"))),IF(NOT(ISNUMBER($T1198)),"CHECK DATE",IF(TODAY()&gt;$T1198,"OVERDUE","Due "&amp;TEXT($T1198,"mm/dd")))))))</f>
        <v/>
      </c>
      <c r="V1198" s="16" t="n"/>
      <c r="W1198" s="16" t="n"/>
      <c r="X1198" s="17">
        <f>IF($C1198="","",IF(AND($L1198&lt;&gt;"",NOT(ISNUMBER($L1198))),"RAW SCORE NOT A NUMBER",IF(AND(ISNUMBER($L1198),OR($L1198&lt;0,$L1198&gt;100)),"RAW SCORE OUT OF RANGE",IF(AND($Y1198="Unexcused",OR($L1198="",NOT(ISNUMBER($L1198)),$L1198&lt;&gt;0)),"UNEXCUSED ABSENCE MUST RECORD 0",IF(COUNTIF(nrES_RecID,$B1198)&gt;1,"DUPLICATE RECORD",IF(N($K1198)&gt;2,"ATTEMPT 3+ NOT ALLOWED - policy 300.5 permits one retest per exam; this row records nothing",IF(AND($K1198=2,COUNTIFS(nrES_PID,$D1198,nrES_Code,$F1198,nrES_Att,1)=0),"ATTEMPT 2 WITHOUT ATTEMPT 1",IF(AND($K1198=2,$L1198=""),"RETEST ROW HAS NO SCORE",IF(AND($H1198="Final",$L1198&lt;&gt;"",IFERROR(INDEX(nrCKfinalExamElig,MATCH($D1198,rngCadetPIDs,0)),"")="No"),"FINAL EXAM AFTER FAILED FINAL PT (500.1.H)",IF(AND($K1198=2,ISNUMBER($L1198),COUNTIFS(nrES_PID,$D1198,nrES_Code,$F1198,nrES_Att,1)&gt;0,SUMIFS(nrES_Raw,nrES_PID,$D1198,nrES_Code,$F1198,nrES_Att,1)&gt;=$J1198),"RETEST AFTER A PASSING FIRST ATTEMPT","OK"))))))))))</f>
        <v/>
      </c>
      <c r="Y1198" s="16" t="n"/>
    </row>
    <row r="1199">
      <c r="B1199" s="17">
        <f>IF($C1199="","",$D1199&amp;"-"&amp;$F1199&amp;"-"&amp;$K1199)</f>
        <v/>
      </c>
      <c r="C1199" s="16" t="n"/>
      <c r="D1199" s="17">
        <f>IF($C1199="","",IFERROR(INDEX(rngCadetPIDs,MATCH($C1199,rngCadetNames,0)),"?"))</f>
        <v/>
      </c>
      <c r="E1199" s="17">
        <f>IF($D1199="","",IFERROR(INDEX(nrCadetAgency,MATCH($D1199,rngCadetPIDs,0)),""))</f>
        <v/>
      </c>
      <c r="F1199" s="16" t="n"/>
      <c r="G1199" s="17">
        <f>IF($F1199="","",IFERROR(INDEX(rngEPname,MATCH($F1199,rngEPcode,0)),"?"))</f>
        <v/>
      </c>
      <c r="H1199" s="17">
        <f>IF($F1199="","",IFERROR(INDEX(rngEPtype,MATCH($F1199,rngEPcode,0)),"?"))</f>
        <v/>
      </c>
      <c r="I1199" s="17">
        <f>IF($F1199="","",IFERROR(INDEX(rngEPseq,MATCH($F1199,rngEPcode,0)),""))</f>
        <v/>
      </c>
      <c r="J1199" s="17">
        <f>IF($F1199="","",IFERROR(INDEX(rngEPpass,MATCH($F1199,rngEPcode,0)),cfgPassingScore))</f>
        <v/>
      </c>
      <c r="K1199" s="16" t="n"/>
      <c r="L1199" s="16" t="n"/>
      <c r="M1199" s="17">
        <f>IF($C1199="","",IF($L1199="","",IF(NOT(ISNUMBER($L1199)),$L1199,IF(N($K1199)&gt;2,"",IF($K1199=1,IF(COUNTIFS(nrES_PID,$D1199,nrES_Code,$F1199,nrES_Att,2,nrES_Raw,"&gt;=0")&gt;0,"",$L1199),IF($L1199&gt;=$J1199,MAX($J1199,cfgRetakeRecordedCap),IF(COUNTIFS(nrES_PID,$D1199,nrES_Code,$F1199,nrES_Att,1)=0,$L1199,SUMIFS(nrES_Raw,nrES_PID,$D1199,nrES_Code,$F1199,nrES_Att,1))))))))</f>
        <v/>
      </c>
      <c r="N1199" s="17">
        <f>IF($C1199="","",IF($L1199="","",IF(NOT(ISNUMBER($L1199)),"(not a score)",IF($L1199&gt;=$J1199,"Yes","No"))))</f>
        <v/>
      </c>
      <c r="O1199" s="17">
        <f>IF($C1199="","",IF($M1199="","",IF(NOT(ISNUMBER($M1199)),"(not a score)",IF($M1199&gt;=$J1199,"Yes","No"))))</f>
        <v/>
      </c>
      <c r="P1199" s="17">
        <f>IF($C1199="","",IF($K1199="","",IF(N($K1199)&gt;2,"No",IF(COUNTIFS(nrES_PID,$D1199,nrES_Code,$F1199,nrES_Att,"&gt;"&amp;$K1199,nrES_Att,"&lt;=2",nrES_Raw,"&gt;=0")=0,"Yes","No"))))</f>
        <v/>
      </c>
      <c r="Q1199" s="17">
        <f>IF($C1199="","",IF($L1199="","",IF(AND($K1199=1,ISNUMBER($L1199),$L1199&lt;$J1199,COUNTIFS(nrES_PID,$D1199,nrES_Code,$F1199,nrES_Att,2,nrES_Raw,"&gt;=0")=0),"Yes","No")))</f>
        <v/>
      </c>
      <c r="R1199" s="17">
        <f>IF($C1199="","",IF($L1199="","",IF(AND(N($K1199)&gt;=2,ISNUMBER($L1199),$L1199&lt;$J1199),"Yes","No")))</f>
        <v/>
      </c>
      <c r="S1199" s="18" t="n"/>
      <c r="T1199" s="19">
        <f>IF(OR($C1199="",$L1199="",$K1199&lt;&gt;1,NOT(ISNUMBER($L1199)),$L1199&gt;=$J1199),"",IF($S1199="","(enter date)",_xlfn.LET(_xlpm.dn,_xlfn.XLOOKUP($S1199,nrCDdate,nrCDnum,"",1),IF(_xlpm.dn="","(after last class day)",_xlfn.LET(_xlpm.dd,_xlfn.XLOOKUP(_xlpm.dn+cfgRetestClassDays,nrCDnum,nrCDdate,""),_xlpm.ok,_xlfn.XLOOKUP(_xlpm.dn+cfgRetestClassDays,nrCDnum,nrCDinsession,"No"),IF(OR(_xlpm.dd="",_xlpm.ok&lt;&gt;"Yes"),"(after last class day)",_xlpm.dd))))))</f>
        <v/>
      </c>
      <c r="U1199" s="17">
        <f>IF($C1199="","",IF(AND($Y1199="Excused",$L1199="",N($K1199)&lt;=1),"EXCUSED - 1st attempt pending",IF(OR($L1199="",$K1199&lt;&gt;1,NOT(ISNUMBER($L1199)),$L1199&gt;=$J1199),"",IF(COUNTIFS(nrES_PID,$D1199,nrES_Code,$F1199,nrES_Att,2,nrES_Raw,"&gt;=0")&gt;0,IF(IFERROR(_xlfn.MINIFS(nrES_Date,nrES_PID,$D1199,nrES_Code,$F1199,nrES_Att,2,nrES_Raw,"&gt;=0",nrES_Date,"&gt;0"),0)=0,"RETEST UNDATED",IF(NOT(ISNUMBER($T1199)),"RETEST DATE UNCHECKED",IF(_xlfn.MINIFS(nrES_Date,nrES_PID,$D1199,nrES_Code,$F1199,nrES_Att,2,nrES_Raw,"&gt;=0",nrES_Date,"&gt;0")&gt;$T1199,"LATE RETEST "&amp;TEXT(_xlfn.MINIFS(nrES_Date,nrES_PID,$D1199,nrES_Code,$F1199,nrES_Att,2,nrES_Raw,"&gt;=0",nrES_Date,"&gt;0"),"mm/dd")&amp;" (due "&amp;TEXT($T1199,"mm/dd")&amp;")","Retested"))),IF(NOT(ISNUMBER($T1199)),"CHECK DATE",IF(TODAY()&gt;$T1199,"OVERDUE","Due "&amp;TEXT($T1199,"mm/dd")))))))</f>
        <v/>
      </c>
      <c r="V1199" s="16" t="n"/>
      <c r="W1199" s="16" t="n"/>
      <c r="X1199" s="17">
        <f>IF($C1199="","",IF(AND($L1199&lt;&gt;"",NOT(ISNUMBER($L1199))),"RAW SCORE NOT A NUMBER",IF(AND(ISNUMBER($L1199),OR($L1199&lt;0,$L1199&gt;100)),"RAW SCORE OUT OF RANGE",IF(AND($Y1199="Unexcused",OR($L1199="",NOT(ISNUMBER($L1199)),$L1199&lt;&gt;0)),"UNEXCUSED ABSENCE MUST RECORD 0",IF(COUNTIF(nrES_RecID,$B1199)&gt;1,"DUPLICATE RECORD",IF(N($K1199)&gt;2,"ATTEMPT 3+ NOT ALLOWED - policy 300.5 permits one retest per exam; this row records nothing",IF(AND($K1199=2,COUNTIFS(nrES_PID,$D1199,nrES_Code,$F1199,nrES_Att,1)=0),"ATTEMPT 2 WITHOUT ATTEMPT 1",IF(AND($K1199=2,$L1199=""),"RETEST ROW HAS NO SCORE",IF(AND($H1199="Final",$L1199&lt;&gt;"",IFERROR(INDEX(nrCKfinalExamElig,MATCH($D1199,rngCadetPIDs,0)),"")="No"),"FINAL EXAM AFTER FAILED FINAL PT (500.1.H)",IF(AND($K1199=2,ISNUMBER($L1199),COUNTIFS(nrES_PID,$D1199,nrES_Code,$F1199,nrES_Att,1)&gt;0,SUMIFS(nrES_Raw,nrES_PID,$D1199,nrES_Code,$F1199,nrES_Att,1)&gt;=$J1199),"RETEST AFTER A PASSING FIRST ATTEMPT","OK"))))))))))</f>
        <v/>
      </c>
      <c r="Y1199" s="16" t="n"/>
    </row>
    <row r="1200">
      <c r="B1200" s="17">
        <f>IF($C1200="","",$D1200&amp;"-"&amp;$F1200&amp;"-"&amp;$K1200)</f>
        <v/>
      </c>
      <c r="C1200" s="16" t="n"/>
      <c r="D1200" s="17">
        <f>IF($C1200="","",IFERROR(INDEX(rngCadetPIDs,MATCH($C1200,rngCadetNames,0)),"?"))</f>
        <v/>
      </c>
      <c r="E1200" s="17">
        <f>IF($D1200="","",IFERROR(INDEX(nrCadetAgency,MATCH($D1200,rngCadetPIDs,0)),""))</f>
        <v/>
      </c>
      <c r="F1200" s="16" t="n"/>
      <c r="G1200" s="17">
        <f>IF($F1200="","",IFERROR(INDEX(rngEPname,MATCH($F1200,rngEPcode,0)),"?"))</f>
        <v/>
      </c>
      <c r="H1200" s="17">
        <f>IF($F1200="","",IFERROR(INDEX(rngEPtype,MATCH($F1200,rngEPcode,0)),"?"))</f>
        <v/>
      </c>
      <c r="I1200" s="17">
        <f>IF($F1200="","",IFERROR(INDEX(rngEPseq,MATCH($F1200,rngEPcode,0)),""))</f>
        <v/>
      </c>
      <c r="J1200" s="17">
        <f>IF($F1200="","",IFERROR(INDEX(rngEPpass,MATCH($F1200,rngEPcode,0)),cfgPassingScore))</f>
        <v/>
      </c>
      <c r="K1200" s="16" t="n"/>
      <c r="L1200" s="16" t="n"/>
      <c r="M1200" s="17">
        <f>IF($C1200="","",IF($L1200="","",IF(NOT(ISNUMBER($L1200)),$L1200,IF(N($K1200)&gt;2,"",IF($K1200=1,IF(COUNTIFS(nrES_PID,$D1200,nrES_Code,$F1200,nrES_Att,2,nrES_Raw,"&gt;=0")&gt;0,"",$L1200),IF($L1200&gt;=$J1200,MAX($J1200,cfgRetakeRecordedCap),IF(COUNTIFS(nrES_PID,$D1200,nrES_Code,$F1200,nrES_Att,1)=0,$L1200,SUMIFS(nrES_Raw,nrES_PID,$D1200,nrES_Code,$F1200,nrES_Att,1))))))))</f>
        <v/>
      </c>
      <c r="N1200" s="17">
        <f>IF($C1200="","",IF($L1200="","",IF(NOT(ISNUMBER($L1200)),"(not a score)",IF($L1200&gt;=$J1200,"Yes","No"))))</f>
        <v/>
      </c>
      <c r="O1200" s="17">
        <f>IF($C1200="","",IF($M1200="","",IF(NOT(ISNUMBER($M1200)),"(not a score)",IF($M1200&gt;=$J1200,"Yes","No"))))</f>
        <v/>
      </c>
      <c r="P1200" s="17">
        <f>IF($C1200="","",IF($K1200="","",IF(N($K1200)&gt;2,"No",IF(COUNTIFS(nrES_PID,$D1200,nrES_Code,$F1200,nrES_Att,"&gt;"&amp;$K1200,nrES_Att,"&lt;=2",nrES_Raw,"&gt;=0")=0,"Yes","No"))))</f>
        <v/>
      </c>
      <c r="Q1200" s="17">
        <f>IF($C1200="","",IF($L1200="","",IF(AND($K1200=1,ISNUMBER($L1200),$L1200&lt;$J1200,COUNTIFS(nrES_PID,$D1200,nrES_Code,$F1200,nrES_Att,2,nrES_Raw,"&gt;=0")=0),"Yes","No")))</f>
        <v/>
      </c>
      <c r="R1200" s="17">
        <f>IF($C1200="","",IF($L1200="","",IF(AND(N($K1200)&gt;=2,ISNUMBER($L1200),$L1200&lt;$J1200),"Yes","No")))</f>
        <v/>
      </c>
      <c r="S1200" s="18" t="n"/>
      <c r="T1200" s="19">
        <f>IF(OR($C1200="",$L1200="",$K1200&lt;&gt;1,NOT(ISNUMBER($L1200)),$L1200&gt;=$J1200),"",IF($S1200="","(enter date)",_xlfn.LET(_xlpm.dn,_xlfn.XLOOKUP($S1200,nrCDdate,nrCDnum,"",1),IF(_xlpm.dn="","(after last class day)",_xlfn.LET(_xlpm.dd,_xlfn.XLOOKUP(_xlpm.dn+cfgRetestClassDays,nrCDnum,nrCDdate,""),_xlpm.ok,_xlfn.XLOOKUP(_xlpm.dn+cfgRetestClassDays,nrCDnum,nrCDinsession,"No"),IF(OR(_xlpm.dd="",_xlpm.ok&lt;&gt;"Yes"),"(after last class day)",_xlpm.dd))))))</f>
        <v/>
      </c>
      <c r="U1200" s="17">
        <f>IF($C1200="","",IF(AND($Y1200="Excused",$L1200="",N($K1200)&lt;=1),"EXCUSED - 1st attempt pending",IF(OR($L1200="",$K1200&lt;&gt;1,NOT(ISNUMBER($L1200)),$L1200&gt;=$J1200),"",IF(COUNTIFS(nrES_PID,$D1200,nrES_Code,$F1200,nrES_Att,2,nrES_Raw,"&gt;=0")&gt;0,IF(IFERROR(_xlfn.MINIFS(nrES_Date,nrES_PID,$D1200,nrES_Code,$F1200,nrES_Att,2,nrES_Raw,"&gt;=0",nrES_Date,"&gt;0"),0)=0,"RETEST UNDATED",IF(NOT(ISNUMBER($T1200)),"RETEST DATE UNCHECKED",IF(_xlfn.MINIFS(nrES_Date,nrES_PID,$D1200,nrES_Code,$F1200,nrES_Att,2,nrES_Raw,"&gt;=0",nrES_Date,"&gt;0")&gt;$T1200,"LATE RETEST "&amp;TEXT(_xlfn.MINIFS(nrES_Date,nrES_PID,$D1200,nrES_Code,$F1200,nrES_Att,2,nrES_Raw,"&gt;=0",nrES_Date,"&gt;0"),"mm/dd")&amp;" (due "&amp;TEXT($T1200,"mm/dd")&amp;")","Retested"))),IF(NOT(ISNUMBER($T1200)),"CHECK DATE",IF(TODAY()&gt;$T1200,"OVERDUE","Due "&amp;TEXT($T1200,"mm/dd")))))))</f>
        <v/>
      </c>
      <c r="V1200" s="16" t="n"/>
      <c r="W1200" s="16" t="n"/>
      <c r="X1200" s="17">
        <f>IF($C1200="","",IF(AND($L1200&lt;&gt;"",NOT(ISNUMBER($L1200))),"RAW SCORE NOT A NUMBER",IF(AND(ISNUMBER($L1200),OR($L1200&lt;0,$L1200&gt;100)),"RAW SCORE OUT OF RANGE",IF(AND($Y1200="Unexcused",OR($L1200="",NOT(ISNUMBER($L1200)),$L1200&lt;&gt;0)),"UNEXCUSED ABSENCE MUST RECORD 0",IF(COUNTIF(nrES_RecID,$B1200)&gt;1,"DUPLICATE RECORD",IF(N($K1200)&gt;2,"ATTEMPT 3+ NOT ALLOWED - policy 300.5 permits one retest per exam; this row records nothing",IF(AND($K1200=2,COUNTIFS(nrES_PID,$D1200,nrES_Code,$F1200,nrES_Att,1)=0),"ATTEMPT 2 WITHOUT ATTEMPT 1",IF(AND($K1200=2,$L1200=""),"RETEST ROW HAS NO SCORE",IF(AND($H1200="Final",$L1200&lt;&gt;"",IFERROR(INDEX(nrCKfinalExamElig,MATCH($D1200,rngCadetPIDs,0)),"")="No"),"FINAL EXAM AFTER FAILED FINAL PT (500.1.H)",IF(AND($K1200=2,ISNUMBER($L1200),COUNTIFS(nrES_PID,$D1200,nrES_Code,$F1200,nrES_Att,1)&gt;0,SUMIFS(nrES_Raw,nrES_PID,$D1200,nrES_Code,$F1200,nrES_Att,1)&gt;=$J1200),"RETEST AFTER A PASSING FIRST ATTEMPT","OK"))))))))))</f>
        <v/>
      </c>
      <c r="Y1200" s="16" t="n"/>
    </row>
    <row r="1201">
      <c r="B1201" s="17">
        <f>IF($C1201="","",$D1201&amp;"-"&amp;$F1201&amp;"-"&amp;$K1201)</f>
        <v/>
      </c>
      <c r="C1201" s="16" t="n"/>
      <c r="D1201" s="17">
        <f>IF($C1201="","",IFERROR(INDEX(rngCadetPIDs,MATCH($C1201,rngCadetNames,0)),"?"))</f>
        <v/>
      </c>
      <c r="E1201" s="17">
        <f>IF($D1201="","",IFERROR(INDEX(nrCadetAgency,MATCH($D1201,rngCadetPIDs,0)),""))</f>
        <v/>
      </c>
      <c r="F1201" s="16" t="n"/>
      <c r="G1201" s="17">
        <f>IF($F1201="","",IFERROR(INDEX(rngEPname,MATCH($F1201,rngEPcode,0)),"?"))</f>
        <v/>
      </c>
      <c r="H1201" s="17">
        <f>IF($F1201="","",IFERROR(INDEX(rngEPtype,MATCH($F1201,rngEPcode,0)),"?"))</f>
        <v/>
      </c>
      <c r="I1201" s="17">
        <f>IF($F1201="","",IFERROR(INDEX(rngEPseq,MATCH($F1201,rngEPcode,0)),""))</f>
        <v/>
      </c>
      <c r="J1201" s="17">
        <f>IF($F1201="","",IFERROR(INDEX(rngEPpass,MATCH($F1201,rngEPcode,0)),cfgPassingScore))</f>
        <v/>
      </c>
      <c r="K1201" s="16" t="n"/>
      <c r="L1201" s="16" t="n"/>
      <c r="M1201" s="17">
        <f>IF($C1201="","",IF($L1201="","",IF(NOT(ISNUMBER($L1201)),$L1201,IF(N($K1201)&gt;2,"",IF($K1201=1,IF(COUNTIFS(nrES_PID,$D1201,nrES_Code,$F1201,nrES_Att,2,nrES_Raw,"&gt;=0")&gt;0,"",$L1201),IF($L1201&gt;=$J1201,MAX($J1201,cfgRetakeRecordedCap),IF(COUNTIFS(nrES_PID,$D1201,nrES_Code,$F1201,nrES_Att,1)=0,$L1201,SUMIFS(nrES_Raw,nrES_PID,$D1201,nrES_Code,$F1201,nrES_Att,1))))))))</f>
        <v/>
      </c>
      <c r="N1201" s="17">
        <f>IF($C1201="","",IF($L1201="","",IF(NOT(ISNUMBER($L1201)),"(not a score)",IF($L1201&gt;=$J1201,"Yes","No"))))</f>
        <v/>
      </c>
      <c r="O1201" s="17">
        <f>IF($C1201="","",IF($M1201="","",IF(NOT(ISNUMBER($M1201)),"(not a score)",IF($M1201&gt;=$J1201,"Yes","No"))))</f>
        <v/>
      </c>
      <c r="P1201" s="17">
        <f>IF($C1201="","",IF($K1201="","",IF(N($K1201)&gt;2,"No",IF(COUNTIFS(nrES_PID,$D1201,nrES_Code,$F1201,nrES_Att,"&gt;"&amp;$K1201,nrES_Att,"&lt;=2",nrES_Raw,"&gt;=0")=0,"Yes","No"))))</f>
        <v/>
      </c>
      <c r="Q1201" s="17">
        <f>IF($C1201="","",IF($L1201="","",IF(AND($K1201=1,ISNUMBER($L1201),$L1201&lt;$J1201,COUNTIFS(nrES_PID,$D1201,nrES_Code,$F1201,nrES_Att,2,nrES_Raw,"&gt;=0")=0),"Yes","No")))</f>
        <v/>
      </c>
      <c r="R1201" s="17">
        <f>IF($C1201="","",IF($L1201="","",IF(AND(N($K1201)&gt;=2,ISNUMBER($L1201),$L1201&lt;$J1201),"Yes","No")))</f>
        <v/>
      </c>
      <c r="S1201" s="18" t="n"/>
      <c r="T1201" s="19">
        <f>IF(OR($C1201="",$L1201="",$K1201&lt;&gt;1,NOT(ISNUMBER($L1201)),$L1201&gt;=$J1201),"",IF($S1201="","(enter date)",_xlfn.LET(_xlpm.dn,_xlfn.XLOOKUP($S1201,nrCDdate,nrCDnum,"",1),IF(_xlpm.dn="","(after last class day)",_xlfn.LET(_xlpm.dd,_xlfn.XLOOKUP(_xlpm.dn+cfgRetestClassDays,nrCDnum,nrCDdate,""),_xlpm.ok,_xlfn.XLOOKUP(_xlpm.dn+cfgRetestClassDays,nrCDnum,nrCDinsession,"No"),IF(OR(_xlpm.dd="",_xlpm.ok&lt;&gt;"Yes"),"(after last class day)",_xlpm.dd))))))</f>
        <v/>
      </c>
      <c r="U1201" s="17">
        <f>IF($C1201="","",IF(AND($Y1201="Excused",$L1201="",N($K1201)&lt;=1),"EXCUSED - 1st attempt pending",IF(OR($L1201="",$K1201&lt;&gt;1,NOT(ISNUMBER($L1201)),$L1201&gt;=$J1201),"",IF(COUNTIFS(nrES_PID,$D1201,nrES_Code,$F1201,nrES_Att,2,nrES_Raw,"&gt;=0")&gt;0,IF(IFERROR(_xlfn.MINIFS(nrES_Date,nrES_PID,$D1201,nrES_Code,$F1201,nrES_Att,2,nrES_Raw,"&gt;=0",nrES_Date,"&gt;0"),0)=0,"RETEST UNDATED",IF(NOT(ISNUMBER($T1201)),"RETEST DATE UNCHECKED",IF(_xlfn.MINIFS(nrES_Date,nrES_PID,$D1201,nrES_Code,$F1201,nrES_Att,2,nrES_Raw,"&gt;=0",nrES_Date,"&gt;0")&gt;$T1201,"LATE RETEST "&amp;TEXT(_xlfn.MINIFS(nrES_Date,nrES_PID,$D1201,nrES_Code,$F1201,nrES_Att,2,nrES_Raw,"&gt;=0",nrES_Date,"&gt;0"),"mm/dd")&amp;" (due "&amp;TEXT($T1201,"mm/dd")&amp;")","Retested"))),IF(NOT(ISNUMBER($T1201)),"CHECK DATE",IF(TODAY()&gt;$T1201,"OVERDUE","Due "&amp;TEXT($T1201,"mm/dd")))))))</f>
        <v/>
      </c>
      <c r="V1201" s="16" t="n"/>
      <c r="W1201" s="16" t="n"/>
      <c r="X1201" s="17">
        <f>IF($C1201="","",IF(AND($L1201&lt;&gt;"",NOT(ISNUMBER($L1201))),"RAW SCORE NOT A NUMBER",IF(AND(ISNUMBER($L1201),OR($L1201&lt;0,$L1201&gt;100)),"RAW SCORE OUT OF RANGE",IF(AND($Y1201="Unexcused",OR($L1201="",NOT(ISNUMBER($L1201)),$L1201&lt;&gt;0)),"UNEXCUSED ABSENCE MUST RECORD 0",IF(COUNTIF(nrES_RecID,$B1201)&gt;1,"DUPLICATE RECORD",IF(N($K1201)&gt;2,"ATTEMPT 3+ NOT ALLOWED - policy 300.5 permits one retest per exam; this row records nothing",IF(AND($K1201=2,COUNTIFS(nrES_PID,$D1201,nrES_Code,$F1201,nrES_Att,1)=0),"ATTEMPT 2 WITHOUT ATTEMPT 1",IF(AND($K1201=2,$L1201=""),"RETEST ROW HAS NO SCORE",IF(AND($H1201="Final",$L1201&lt;&gt;"",IFERROR(INDEX(nrCKfinalExamElig,MATCH($D1201,rngCadetPIDs,0)),"")="No"),"FINAL EXAM AFTER FAILED FINAL PT (500.1.H)",IF(AND($K1201=2,ISNUMBER($L1201),COUNTIFS(nrES_PID,$D1201,nrES_Code,$F1201,nrES_Att,1)&gt;0,SUMIFS(nrES_Raw,nrES_PID,$D1201,nrES_Code,$F1201,nrES_Att,1)&gt;=$J1201),"RETEST AFTER A PASSING FIRST ATTEMPT","OK"))))))))))</f>
        <v/>
      </c>
      <c r="Y1201" s="16" t="n"/>
    </row>
    <row r="1202">
      <c r="B1202" s="17">
        <f>IF($C1202="","",$D1202&amp;"-"&amp;$F1202&amp;"-"&amp;$K1202)</f>
        <v/>
      </c>
      <c r="C1202" s="16" t="n"/>
      <c r="D1202" s="17">
        <f>IF($C1202="","",IFERROR(INDEX(rngCadetPIDs,MATCH($C1202,rngCadetNames,0)),"?"))</f>
        <v/>
      </c>
      <c r="E1202" s="17">
        <f>IF($D1202="","",IFERROR(INDEX(nrCadetAgency,MATCH($D1202,rngCadetPIDs,0)),""))</f>
        <v/>
      </c>
      <c r="F1202" s="16" t="n"/>
      <c r="G1202" s="17">
        <f>IF($F1202="","",IFERROR(INDEX(rngEPname,MATCH($F1202,rngEPcode,0)),"?"))</f>
        <v/>
      </c>
      <c r="H1202" s="17">
        <f>IF($F1202="","",IFERROR(INDEX(rngEPtype,MATCH($F1202,rngEPcode,0)),"?"))</f>
        <v/>
      </c>
      <c r="I1202" s="17">
        <f>IF($F1202="","",IFERROR(INDEX(rngEPseq,MATCH($F1202,rngEPcode,0)),""))</f>
        <v/>
      </c>
      <c r="J1202" s="17">
        <f>IF($F1202="","",IFERROR(INDEX(rngEPpass,MATCH($F1202,rngEPcode,0)),cfgPassingScore))</f>
        <v/>
      </c>
      <c r="K1202" s="16" t="n"/>
      <c r="L1202" s="16" t="n"/>
      <c r="M1202" s="17">
        <f>IF($C1202="","",IF($L1202="","",IF(NOT(ISNUMBER($L1202)),$L1202,IF(N($K1202)&gt;2,"",IF($K1202=1,IF(COUNTIFS(nrES_PID,$D1202,nrES_Code,$F1202,nrES_Att,2,nrES_Raw,"&gt;=0")&gt;0,"",$L1202),IF($L1202&gt;=$J1202,MAX($J1202,cfgRetakeRecordedCap),IF(COUNTIFS(nrES_PID,$D1202,nrES_Code,$F1202,nrES_Att,1)=0,$L1202,SUMIFS(nrES_Raw,nrES_PID,$D1202,nrES_Code,$F1202,nrES_Att,1))))))))</f>
        <v/>
      </c>
      <c r="N1202" s="17">
        <f>IF($C1202="","",IF($L1202="","",IF(NOT(ISNUMBER($L1202)),"(not a score)",IF($L1202&gt;=$J1202,"Yes","No"))))</f>
        <v/>
      </c>
      <c r="O1202" s="17">
        <f>IF($C1202="","",IF($M1202="","",IF(NOT(ISNUMBER($M1202)),"(not a score)",IF($M1202&gt;=$J1202,"Yes","No"))))</f>
        <v/>
      </c>
      <c r="P1202" s="17">
        <f>IF($C1202="","",IF($K1202="","",IF(N($K1202)&gt;2,"No",IF(COUNTIFS(nrES_PID,$D1202,nrES_Code,$F1202,nrES_Att,"&gt;"&amp;$K1202,nrES_Att,"&lt;=2",nrES_Raw,"&gt;=0")=0,"Yes","No"))))</f>
        <v/>
      </c>
      <c r="Q1202" s="17">
        <f>IF($C1202="","",IF($L1202="","",IF(AND($K1202=1,ISNUMBER($L1202),$L1202&lt;$J1202,COUNTIFS(nrES_PID,$D1202,nrES_Code,$F1202,nrES_Att,2,nrES_Raw,"&gt;=0")=0),"Yes","No")))</f>
        <v/>
      </c>
      <c r="R1202" s="17">
        <f>IF($C1202="","",IF($L1202="","",IF(AND(N($K1202)&gt;=2,ISNUMBER($L1202),$L1202&lt;$J1202),"Yes","No")))</f>
        <v/>
      </c>
      <c r="S1202" s="18" t="n"/>
      <c r="T1202" s="19">
        <f>IF(OR($C1202="",$L1202="",$K1202&lt;&gt;1,NOT(ISNUMBER($L1202)),$L1202&gt;=$J1202),"",IF($S1202="","(enter date)",_xlfn.LET(_xlpm.dn,_xlfn.XLOOKUP($S1202,nrCDdate,nrCDnum,"",1),IF(_xlpm.dn="","(after last class day)",_xlfn.LET(_xlpm.dd,_xlfn.XLOOKUP(_xlpm.dn+cfgRetestClassDays,nrCDnum,nrCDdate,""),_xlpm.ok,_xlfn.XLOOKUP(_xlpm.dn+cfgRetestClassDays,nrCDnum,nrCDinsession,"No"),IF(OR(_xlpm.dd="",_xlpm.ok&lt;&gt;"Yes"),"(after last class day)",_xlpm.dd))))))</f>
        <v/>
      </c>
      <c r="U1202" s="17">
        <f>IF($C1202="","",IF(AND($Y1202="Excused",$L1202="",N($K1202)&lt;=1),"EXCUSED - 1st attempt pending",IF(OR($L1202="",$K1202&lt;&gt;1,NOT(ISNUMBER($L1202)),$L1202&gt;=$J1202),"",IF(COUNTIFS(nrES_PID,$D1202,nrES_Code,$F1202,nrES_Att,2,nrES_Raw,"&gt;=0")&gt;0,IF(IFERROR(_xlfn.MINIFS(nrES_Date,nrES_PID,$D1202,nrES_Code,$F1202,nrES_Att,2,nrES_Raw,"&gt;=0",nrES_Date,"&gt;0"),0)=0,"RETEST UNDATED",IF(NOT(ISNUMBER($T1202)),"RETEST DATE UNCHECKED",IF(_xlfn.MINIFS(nrES_Date,nrES_PID,$D1202,nrES_Code,$F1202,nrES_Att,2,nrES_Raw,"&gt;=0",nrES_Date,"&gt;0")&gt;$T1202,"LATE RETEST "&amp;TEXT(_xlfn.MINIFS(nrES_Date,nrES_PID,$D1202,nrES_Code,$F1202,nrES_Att,2,nrES_Raw,"&gt;=0",nrES_Date,"&gt;0"),"mm/dd")&amp;" (due "&amp;TEXT($T1202,"mm/dd")&amp;")","Retested"))),IF(NOT(ISNUMBER($T1202)),"CHECK DATE",IF(TODAY()&gt;$T1202,"OVERDUE","Due "&amp;TEXT($T1202,"mm/dd")))))))</f>
        <v/>
      </c>
      <c r="V1202" s="16" t="n"/>
      <c r="W1202" s="16" t="n"/>
      <c r="X1202" s="17">
        <f>IF($C1202="","",IF(AND($L1202&lt;&gt;"",NOT(ISNUMBER($L1202))),"RAW SCORE NOT A NUMBER",IF(AND(ISNUMBER($L1202),OR($L1202&lt;0,$L1202&gt;100)),"RAW SCORE OUT OF RANGE",IF(AND($Y1202="Unexcused",OR($L1202="",NOT(ISNUMBER($L1202)),$L1202&lt;&gt;0)),"UNEXCUSED ABSENCE MUST RECORD 0",IF(COUNTIF(nrES_RecID,$B1202)&gt;1,"DUPLICATE RECORD",IF(N($K1202)&gt;2,"ATTEMPT 3+ NOT ALLOWED - policy 300.5 permits one retest per exam; this row records nothing",IF(AND($K1202=2,COUNTIFS(nrES_PID,$D1202,nrES_Code,$F1202,nrES_Att,1)=0),"ATTEMPT 2 WITHOUT ATTEMPT 1",IF(AND($K1202=2,$L1202=""),"RETEST ROW HAS NO SCORE",IF(AND($H1202="Final",$L1202&lt;&gt;"",IFERROR(INDEX(nrCKfinalExamElig,MATCH($D1202,rngCadetPIDs,0)),"")="No"),"FINAL EXAM AFTER FAILED FINAL PT (500.1.H)",IF(AND($K1202=2,ISNUMBER($L1202),COUNTIFS(nrES_PID,$D1202,nrES_Code,$F1202,nrES_Att,1)&gt;0,SUMIFS(nrES_Raw,nrES_PID,$D1202,nrES_Code,$F1202,nrES_Att,1)&gt;=$J1202),"RETEST AFTER A PASSING FIRST ATTEMPT","OK"))))))))))</f>
        <v/>
      </c>
      <c r="Y1202" s="16" t="n"/>
    </row>
    <row r="1203">
      <c r="B1203" s="17">
        <f>IF($C1203="","",$D1203&amp;"-"&amp;$F1203&amp;"-"&amp;$K1203)</f>
        <v/>
      </c>
      <c r="C1203" s="16" t="n"/>
      <c r="D1203" s="17">
        <f>IF($C1203="","",IFERROR(INDEX(rngCadetPIDs,MATCH($C1203,rngCadetNames,0)),"?"))</f>
        <v/>
      </c>
      <c r="E1203" s="17">
        <f>IF($D1203="","",IFERROR(INDEX(nrCadetAgency,MATCH($D1203,rngCadetPIDs,0)),""))</f>
        <v/>
      </c>
      <c r="F1203" s="16" t="n"/>
      <c r="G1203" s="17">
        <f>IF($F1203="","",IFERROR(INDEX(rngEPname,MATCH($F1203,rngEPcode,0)),"?"))</f>
        <v/>
      </c>
      <c r="H1203" s="17">
        <f>IF($F1203="","",IFERROR(INDEX(rngEPtype,MATCH($F1203,rngEPcode,0)),"?"))</f>
        <v/>
      </c>
      <c r="I1203" s="17">
        <f>IF($F1203="","",IFERROR(INDEX(rngEPseq,MATCH($F1203,rngEPcode,0)),""))</f>
        <v/>
      </c>
      <c r="J1203" s="17">
        <f>IF($F1203="","",IFERROR(INDEX(rngEPpass,MATCH($F1203,rngEPcode,0)),cfgPassingScore))</f>
        <v/>
      </c>
      <c r="K1203" s="16" t="n"/>
      <c r="L1203" s="16" t="n"/>
      <c r="M1203" s="17">
        <f>IF($C1203="","",IF($L1203="","",IF(NOT(ISNUMBER($L1203)),$L1203,IF(N($K1203)&gt;2,"",IF($K1203=1,IF(COUNTIFS(nrES_PID,$D1203,nrES_Code,$F1203,nrES_Att,2,nrES_Raw,"&gt;=0")&gt;0,"",$L1203),IF($L1203&gt;=$J1203,MAX($J1203,cfgRetakeRecordedCap),IF(COUNTIFS(nrES_PID,$D1203,nrES_Code,$F1203,nrES_Att,1)=0,$L1203,SUMIFS(nrES_Raw,nrES_PID,$D1203,nrES_Code,$F1203,nrES_Att,1))))))))</f>
        <v/>
      </c>
      <c r="N1203" s="17">
        <f>IF($C1203="","",IF($L1203="","",IF(NOT(ISNUMBER($L1203)),"(not a score)",IF($L1203&gt;=$J1203,"Yes","No"))))</f>
        <v/>
      </c>
      <c r="O1203" s="17">
        <f>IF($C1203="","",IF($M1203="","",IF(NOT(ISNUMBER($M1203)),"(not a score)",IF($M1203&gt;=$J1203,"Yes","No"))))</f>
        <v/>
      </c>
      <c r="P1203" s="17">
        <f>IF($C1203="","",IF($K1203="","",IF(N($K1203)&gt;2,"No",IF(COUNTIFS(nrES_PID,$D1203,nrES_Code,$F1203,nrES_Att,"&gt;"&amp;$K1203,nrES_Att,"&lt;=2",nrES_Raw,"&gt;=0")=0,"Yes","No"))))</f>
        <v/>
      </c>
      <c r="Q1203" s="17">
        <f>IF($C1203="","",IF($L1203="","",IF(AND($K1203=1,ISNUMBER($L1203),$L1203&lt;$J1203,COUNTIFS(nrES_PID,$D1203,nrES_Code,$F1203,nrES_Att,2,nrES_Raw,"&gt;=0")=0),"Yes","No")))</f>
        <v/>
      </c>
      <c r="R1203" s="17">
        <f>IF($C1203="","",IF($L1203="","",IF(AND(N($K1203)&gt;=2,ISNUMBER($L1203),$L1203&lt;$J1203),"Yes","No")))</f>
        <v/>
      </c>
      <c r="S1203" s="18" t="n"/>
      <c r="T1203" s="19">
        <f>IF(OR($C1203="",$L1203="",$K1203&lt;&gt;1,NOT(ISNUMBER($L1203)),$L1203&gt;=$J1203),"",IF($S1203="","(enter date)",_xlfn.LET(_xlpm.dn,_xlfn.XLOOKUP($S1203,nrCDdate,nrCDnum,"",1),IF(_xlpm.dn="","(after last class day)",_xlfn.LET(_xlpm.dd,_xlfn.XLOOKUP(_xlpm.dn+cfgRetestClassDays,nrCDnum,nrCDdate,""),_xlpm.ok,_xlfn.XLOOKUP(_xlpm.dn+cfgRetestClassDays,nrCDnum,nrCDinsession,"No"),IF(OR(_xlpm.dd="",_xlpm.ok&lt;&gt;"Yes"),"(after last class day)",_xlpm.dd))))))</f>
        <v/>
      </c>
      <c r="U1203" s="17">
        <f>IF($C1203="","",IF(AND($Y1203="Excused",$L1203="",N($K1203)&lt;=1),"EXCUSED - 1st attempt pending",IF(OR($L1203="",$K1203&lt;&gt;1,NOT(ISNUMBER($L1203)),$L1203&gt;=$J1203),"",IF(COUNTIFS(nrES_PID,$D1203,nrES_Code,$F1203,nrES_Att,2,nrES_Raw,"&gt;=0")&gt;0,IF(IFERROR(_xlfn.MINIFS(nrES_Date,nrES_PID,$D1203,nrES_Code,$F1203,nrES_Att,2,nrES_Raw,"&gt;=0",nrES_Date,"&gt;0"),0)=0,"RETEST UNDATED",IF(NOT(ISNUMBER($T1203)),"RETEST DATE UNCHECKED",IF(_xlfn.MINIFS(nrES_Date,nrES_PID,$D1203,nrES_Code,$F1203,nrES_Att,2,nrES_Raw,"&gt;=0",nrES_Date,"&gt;0")&gt;$T1203,"LATE RETEST "&amp;TEXT(_xlfn.MINIFS(nrES_Date,nrES_PID,$D1203,nrES_Code,$F1203,nrES_Att,2,nrES_Raw,"&gt;=0",nrES_Date,"&gt;0"),"mm/dd")&amp;" (due "&amp;TEXT($T1203,"mm/dd")&amp;")","Retested"))),IF(NOT(ISNUMBER($T1203)),"CHECK DATE",IF(TODAY()&gt;$T1203,"OVERDUE","Due "&amp;TEXT($T1203,"mm/dd")))))))</f>
        <v/>
      </c>
      <c r="V1203" s="16" t="n"/>
      <c r="W1203" s="16" t="n"/>
      <c r="X1203" s="17">
        <f>IF($C1203="","",IF(AND($L1203&lt;&gt;"",NOT(ISNUMBER($L1203))),"RAW SCORE NOT A NUMBER",IF(AND(ISNUMBER($L1203),OR($L1203&lt;0,$L1203&gt;100)),"RAW SCORE OUT OF RANGE",IF(AND($Y1203="Unexcused",OR($L1203="",NOT(ISNUMBER($L1203)),$L1203&lt;&gt;0)),"UNEXCUSED ABSENCE MUST RECORD 0",IF(COUNTIF(nrES_RecID,$B1203)&gt;1,"DUPLICATE RECORD",IF(N($K1203)&gt;2,"ATTEMPT 3+ NOT ALLOWED - policy 300.5 permits one retest per exam; this row records nothing",IF(AND($K1203=2,COUNTIFS(nrES_PID,$D1203,nrES_Code,$F1203,nrES_Att,1)=0),"ATTEMPT 2 WITHOUT ATTEMPT 1",IF(AND($K1203=2,$L1203=""),"RETEST ROW HAS NO SCORE",IF(AND($H1203="Final",$L1203&lt;&gt;"",IFERROR(INDEX(nrCKfinalExamElig,MATCH($D1203,rngCadetPIDs,0)),"")="No"),"FINAL EXAM AFTER FAILED FINAL PT (500.1.H)",IF(AND($K1203=2,ISNUMBER($L1203),COUNTIFS(nrES_PID,$D1203,nrES_Code,$F1203,nrES_Att,1)&gt;0,SUMIFS(nrES_Raw,nrES_PID,$D1203,nrES_Code,$F1203,nrES_Att,1)&gt;=$J1203),"RETEST AFTER A PASSING FIRST ATTEMPT","OK"))))))))))</f>
        <v/>
      </c>
      <c r="Y1203" s="16" t="n"/>
    </row>
    <row r="1204">
      <c r="B1204" s="17">
        <f>IF($C1204="","",$D1204&amp;"-"&amp;$F1204&amp;"-"&amp;$K1204)</f>
        <v/>
      </c>
      <c r="C1204" s="16" t="n"/>
      <c r="D1204" s="17">
        <f>IF($C1204="","",IFERROR(INDEX(rngCadetPIDs,MATCH($C1204,rngCadetNames,0)),"?"))</f>
        <v/>
      </c>
      <c r="E1204" s="17">
        <f>IF($D1204="","",IFERROR(INDEX(nrCadetAgency,MATCH($D1204,rngCadetPIDs,0)),""))</f>
        <v/>
      </c>
      <c r="F1204" s="16" t="n"/>
      <c r="G1204" s="17">
        <f>IF($F1204="","",IFERROR(INDEX(rngEPname,MATCH($F1204,rngEPcode,0)),"?"))</f>
        <v/>
      </c>
      <c r="H1204" s="17">
        <f>IF($F1204="","",IFERROR(INDEX(rngEPtype,MATCH($F1204,rngEPcode,0)),"?"))</f>
        <v/>
      </c>
      <c r="I1204" s="17">
        <f>IF($F1204="","",IFERROR(INDEX(rngEPseq,MATCH($F1204,rngEPcode,0)),""))</f>
        <v/>
      </c>
      <c r="J1204" s="17">
        <f>IF($F1204="","",IFERROR(INDEX(rngEPpass,MATCH($F1204,rngEPcode,0)),cfgPassingScore))</f>
        <v/>
      </c>
      <c r="K1204" s="16" t="n"/>
      <c r="L1204" s="16" t="n"/>
      <c r="M1204" s="17">
        <f>IF($C1204="","",IF($L1204="","",IF(NOT(ISNUMBER($L1204)),$L1204,IF(N($K1204)&gt;2,"",IF($K1204=1,IF(COUNTIFS(nrES_PID,$D1204,nrES_Code,$F1204,nrES_Att,2,nrES_Raw,"&gt;=0")&gt;0,"",$L1204),IF($L1204&gt;=$J1204,MAX($J1204,cfgRetakeRecordedCap),IF(COUNTIFS(nrES_PID,$D1204,nrES_Code,$F1204,nrES_Att,1)=0,$L1204,SUMIFS(nrES_Raw,nrES_PID,$D1204,nrES_Code,$F1204,nrES_Att,1))))))))</f>
        <v/>
      </c>
      <c r="N1204" s="17">
        <f>IF($C1204="","",IF($L1204="","",IF(NOT(ISNUMBER($L1204)),"(not a score)",IF($L1204&gt;=$J1204,"Yes","No"))))</f>
        <v/>
      </c>
      <c r="O1204" s="17">
        <f>IF($C1204="","",IF($M1204="","",IF(NOT(ISNUMBER($M1204)),"(not a score)",IF($M1204&gt;=$J1204,"Yes","No"))))</f>
        <v/>
      </c>
      <c r="P1204" s="17">
        <f>IF($C1204="","",IF($K1204="","",IF(N($K1204)&gt;2,"No",IF(COUNTIFS(nrES_PID,$D1204,nrES_Code,$F1204,nrES_Att,"&gt;"&amp;$K1204,nrES_Att,"&lt;=2",nrES_Raw,"&gt;=0")=0,"Yes","No"))))</f>
        <v/>
      </c>
      <c r="Q1204" s="17">
        <f>IF($C1204="","",IF($L1204="","",IF(AND($K1204=1,ISNUMBER($L1204),$L1204&lt;$J1204,COUNTIFS(nrES_PID,$D1204,nrES_Code,$F1204,nrES_Att,2,nrES_Raw,"&gt;=0")=0),"Yes","No")))</f>
        <v/>
      </c>
      <c r="R1204" s="17">
        <f>IF($C1204="","",IF($L1204="","",IF(AND(N($K1204)&gt;=2,ISNUMBER($L1204),$L1204&lt;$J1204),"Yes","No")))</f>
        <v/>
      </c>
      <c r="S1204" s="18" t="n"/>
      <c r="T1204" s="19">
        <f>IF(OR($C1204="",$L1204="",$K1204&lt;&gt;1,NOT(ISNUMBER($L1204)),$L1204&gt;=$J1204),"",IF($S1204="","(enter date)",_xlfn.LET(_xlpm.dn,_xlfn.XLOOKUP($S1204,nrCDdate,nrCDnum,"",1),IF(_xlpm.dn="","(after last class day)",_xlfn.LET(_xlpm.dd,_xlfn.XLOOKUP(_xlpm.dn+cfgRetestClassDays,nrCDnum,nrCDdate,""),_xlpm.ok,_xlfn.XLOOKUP(_xlpm.dn+cfgRetestClassDays,nrCDnum,nrCDinsession,"No"),IF(OR(_xlpm.dd="",_xlpm.ok&lt;&gt;"Yes"),"(after last class day)",_xlpm.dd))))))</f>
        <v/>
      </c>
      <c r="U1204" s="17">
        <f>IF($C1204="","",IF(AND($Y1204="Excused",$L1204="",N($K1204)&lt;=1),"EXCUSED - 1st attempt pending",IF(OR($L1204="",$K1204&lt;&gt;1,NOT(ISNUMBER($L1204)),$L1204&gt;=$J1204),"",IF(COUNTIFS(nrES_PID,$D1204,nrES_Code,$F1204,nrES_Att,2,nrES_Raw,"&gt;=0")&gt;0,IF(IFERROR(_xlfn.MINIFS(nrES_Date,nrES_PID,$D1204,nrES_Code,$F1204,nrES_Att,2,nrES_Raw,"&gt;=0",nrES_Date,"&gt;0"),0)=0,"RETEST UNDATED",IF(NOT(ISNUMBER($T1204)),"RETEST DATE UNCHECKED",IF(_xlfn.MINIFS(nrES_Date,nrES_PID,$D1204,nrES_Code,$F1204,nrES_Att,2,nrES_Raw,"&gt;=0",nrES_Date,"&gt;0")&gt;$T1204,"LATE RETEST "&amp;TEXT(_xlfn.MINIFS(nrES_Date,nrES_PID,$D1204,nrES_Code,$F1204,nrES_Att,2,nrES_Raw,"&gt;=0",nrES_Date,"&gt;0"),"mm/dd")&amp;" (due "&amp;TEXT($T1204,"mm/dd")&amp;")","Retested"))),IF(NOT(ISNUMBER($T1204)),"CHECK DATE",IF(TODAY()&gt;$T1204,"OVERDUE","Due "&amp;TEXT($T1204,"mm/dd")))))))</f>
        <v/>
      </c>
      <c r="V1204" s="16" t="n"/>
      <c r="W1204" s="16" t="n"/>
      <c r="X1204" s="17">
        <f>IF($C1204="","",IF(AND($L1204&lt;&gt;"",NOT(ISNUMBER($L1204))),"RAW SCORE NOT A NUMBER",IF(AND(ISNUMBER($L1204),OR($L1204&lt;0,$L1204&gt;100)),"RAW SCORE OUT OF RANGE",IF(AND($Y1204="Unexcused",OR($L1204="",NOT(ISNUMBER($L1204)),$L1204&lt;&gt;0)),"UNEXCUSED ABSENCE MUST RECORD 0",IF(COUNTIF(nrES_RecID,$B1204)&gt;1,"DUPLICATE RECORD",IF(N($K1204)&gt;2,"ATTEMPT 3+ NOT ALLOWED - policy 300.5 permits one retest per exam; this row records nothing",IF(AND($K1204=2,COUNTIFS(nrES_PID,$D1204,nrES_Code,$F1204,nrES_Att,1)=0),"ATTEMPT 2 WITHOUT ATTEMPT 1",IF(AND($K1204=2,$L1204=""),"RETEST ROW HAS NO SCORE",IF(AND($H1204="Final",$L1204&lt;&gt;"",IFERROR(INDEX(nrCKfinalExamElig,MATCH($D1204,rngCadetPIDs,0)),"")="No"),"FINAL EXAM AFTER FAILED FINAL PT (500.1.H)",IF(AND($K1204=2,ISNUMBER($L1204),COUNTIFS(nrES_PID,$D1204,nrES_Code,$F1204,nrES_Att,1)&gt;0,SUMIFS(nrES_Raw,nrES_PID,$D1204,nrES_Code,$F1204,nrES_Att,1)&gt;=$J1204),"RETEST AFTER A PASSING FIRST ATTEMPT","OK"))))))))))</f>
        <v/>
      </c>
      <c r="Y1204" s="16" t="n"/>
    </row>
    <row r="1205">
      <c r="B1205" s="17">
        <f>IF($C1205="","",$D1205&amp;"-"&amp;$F1205&amp;"-"&amp;$K1205)</f>
        <v/>
      </c>
      <c r="C1205" s="16" t="n"/>
      <c r="D1205" s="17">
        <f>IF($C1205="","",IFERROR(INDEX(rngCadetPIDs,MATCH($C1205,rngCadetNames,0)),"?"))</f>
        <v/>
      </c>
      <c r="E1205" s="17">
        <f>IF($D1205="","",IFERROR(INDEX(nrCadetAgency,MATCH($D1205,rngCadetPIDs,0)),""))</f>
        <v/>
      </c>
      <c r="F1205" s="16" t="n"/>
      <c r="G1205" s="17">
        <f>IF($F1205="","",IFERROR(INDEX(rngEPname,MATCH($F1205,rngEPcode,0)),"?"))</f>
        <v/>
      </c>
      <c r="H1205" s="17">
        <f>IF($F1205="","",IFERROR(INDEX(rngEPtype,MATCH($F1205,rngEPcode,0)),"?"))</f>
        <v/>
      </c>
      <c r="I1205" s="17">
        <f>IF($F1205="","",IFERROR(INDEX(rngEPseq,MATCH($F1205,rngEPcode,0)),""))</f>
        <v/>
      </c>
      <c r="J1205" s="17">
        <f>IF($F1205="","",IFERROR(INDEX(rngEPpass,MATCH($F1205,rngEPcode,0)),cfgPassingScore))</f>
        <v/>
      </c>
      <c r="K1205" s="16" t="n"/>
      <c r="L1205" s="16" t="n"/>
      <c r="M1205" s="17">
        <f>IF($C1205="","",IF($L1205="","",IF(NOT(ISNUMBER($L1205)),$L1205,IF(N($K1205)&gt;2,"",IF($K1205=1,IF(COUNTIFS(nrES_PID,$D1205,nrES_Code,$F1205,nrES_Att,2,nrES_Raw,"&gt;=0")&gt;0,"",$L1205),IF($L1205&gt;=$J1205,MAX($J1205,cfgRetakeRecordedCap),IF(COUNTIFS(nrES_PID,$D1205,nrES_Code,$F1205,nrES_Att,1)=0,$L1205,SUMIFS(nrES_Raw,nrES_PID,$D1205,nrES_Code,$F1205,nrES_Att,1))))))))</f>
        <v/>
      </c>
      <c r="N1205" s="17">
        <f>IF($C1205="","",IF($L1205="","",IF(NOT(ISNUMBER($L1205)),"(not a score)",IF($L1205&gt;=$J1205,"Yes","No"))))</f>
        <v/>
      </c>
      <c r="O1205" s="17">
        <f>IF($C1205="","",IF($M1205="","",IF(NOT(ISNUMBER($M1205)),"(not a score)",IF($M1205&gt;=$J1205,"Yes","No"))))</f>
        <v/>
      </c>
      <c r="P1205" s="17">
        <f>IF($C1205="","",IF($K1205="","",IF(N($K1205)&gt;2,"No",IF(COUNTIFS(nrES_PID,$D1205,nrES_Code,$F1205,nrES_Att,"&gt;"&amp;$K1205,nrES_Att,"&lt;=2",nrES_Raw,"&gt;=0")=0,"Yes","No"))))</f>
        <v/>
      </c>
      <c r="Q1205" s="17">
        <f>IF($C1205="","",IF($L1205="","",IF(AND($K1205=1,ISNUMBER($L1205),$L1205&lt;$J1205,COUNTIFS(nrES_PID,$D1205,nrES_Code,$F1205,nrES_Att,2,nrES_Raw,"&gt;=0")=0),"Yes","No")))</f>
        <v/>
      </c>
      <c r="R1205" s="17">
        <f>IF($C1205="","",IF($L1205="","",IF(AND(N($K1205)&gt;=2,ISNUMBER($L1205),$L1205&lt;$J1205),"Yes","No")))</f>
        <v/>
      </c>
      <c r="S1205" s="18" t="n"/>
      <c r="T1205" s="19">
        <f>IF(OR($C1205="",$L1205="",$K1205&lt;&gt;1,NOT(ISNUMBER($L1205)),$L1205&gt;=$J1205),"",IF($S1205="","(enter date)",_xlfn.LET(_xlpm.dn,_xlfn.XLOOKUP($S1205,nrCDdate,nrCDnum,"",1),IF(_xlpm.dn="","(after last class day)",_xlfn.LET(_xlpm.dd,_xlfn.XLOOKUP(_xlpm.dn+cfgRetestClassDays,nrCDnum,nrCDdate,""),_xlpm.ok,_xlfn.XLOOKUP(_xlpm.dn+cfgRetestClassDays,nrCDnum,nrCDinsession,"No"),IF(OR(_xlpm.dd="",_xlpm.ok&lt;&gt;"Yes"),"(after last class day)",_xlpm.dd))))))</f>
        <v/>
      </c>
      <c r="U1205" s="17">
        <f>IF($C1205="","",IF(AND($Y1205="Excused",$L1205="",N($K1205)&lt;=1),"EXCUSED - 1st attempt pending",IF(OR($L1205="",$K1205&lt;&gt;1,NOT(ISNUMBER($L1205)),$L1205&gt;=$J1205),"",IF(COUNTIFS(nrES_PID,$D1205,nrES_Code,$F1205,nrES_Att,2,nrES_Raw,"&gt;=0")&gt;0,IF(IFERROR(_xlfn.MINIFS(nrES_Date,nrES_PID,$D1205,nrES_Code,$F1205,nrES_Att,2,nrES_Raw,"&gt;=0",nrES_Date,"&gt;0"),0)=0,"RETEST UNDATED",IF(NOT(ISNUMBER($T1205)),"RETEST DATE UNCHECKED",IF(_xlfn.MINIFS(nrES_Date,nrES_PID,$D1205,nrES_Code,$F1205,nrES_Att,2,nrES_Raw,"&gt;=0",nrES_Date,"&gt;0")&gt;$T1205,"LATE RETEST "&amp;TEXT(_xlfn.MINIFS(nrES_Date,nrES_PID,$D1205,nrES_Code,$F1205,nrES_Att,2,nrES_Raw,"&gt;=0",nrES_Date,"&gt;0"),"mm/dd")&amp;" (due "&amp;TEXT($T1205,"mm/dd")&amp;")","Retested"))),IF(NOT(ISNUMBER($T1205)),"CHECK DATE",IF(TODAY()&gt;$T1205,"OVERDUE","Due "&amp;TEXT($T1205,"mm/dd")))))))</f>
        <v/>
      </c>
      <c r="V1205" s="16" t="n"/>
      <c r="W1205" s="16" t="n"/>
      <c r="X1205" s="17">
        <f>IF($C1205="","",IF(AND($L1205&lt;&gt;"",NOT(ISNUMBER($L1205))),"RAW SCORE NOT A NUMBER",IF(AND(ISNUMBER($L1205),OR($L1205&lt;0,$L1205&gt;100)),"RAW SCORE OUT OF RANGE",IF(AND($Y1205="Unexcused",OR($L1205="",NOT(ISNUMBER($L1205)),$L1205&lt;&gt;0)),"UNEXCUSED ABSENCE MUST RECORD 0",IF(COUNTIF(nrES_RecID,$B1205)&gt;1,"DUPLICATE RECORD",IF(N($K1205)&gt;2,"ATTEMPT 3+ NOT ALLOWED - policy 300.5 permits one retest per exam; this row records nothing",IF(AND($K1205=2,COUNTIFS(nrES_PID,$D1205,nrES_Code,$F1205,nrES_Att,1)=0),"ATTEMPT 2 WITHOUT ATTEMPT 1",IF(AND($K1205=2,$L1205=""),"RETEST ROW HAS NO SCORE",IF(AND($H1205="Final",$L1205&lt;&gt;"",IFERROR(INDEX(nrCKfinalExamElig,MATCH($D1205,rngCadetPIDs,0)),"")="No"),"FINAL EXAM AFTER FAILED FINAL PT (500.1.H)",IF(AND($K1205=2,ISNUMBER($L1205),COUNTIFS(nrES_PID,$D1205,nrES_Code,$F1205,nrES_Att,1)&gt;0,SUMIFS(nrES_Raw,nrES_PID,$D1205,nrES_Code,$F1205,nrES_Att,1)&gt;=$J1205),"RETEST AFTER A PASSING FIRST ATTEMPT","OK"))))))))))</f>
        <v/>
      </c>
      <c r="Y1205" s="16" t="n"/>
    </row>
    <row r="1206">
      <c r="B1206" s="17">
        <f>IF($C1206="","",$D1206&amp;"-"&amp;$F1206&amp;"-"&amp;$K1206)</f>
        <v/>
      </c>
      <c r="C1206" s="16" t="n"/>
      <c r="D1206" s="17">
        <f>IF($C1206="","",IFERROR(INDEX(rngCadetPIDs,MATCH($C1206,rngCadetNames,0)),"?"))</f>
        <v/>
      </c>
      <c r="E1206" s="17">
        <f>IF($D1206="","",IFERROR(INDEX(nrCadetAgency,MATCH($D1206,rngCadetPIDs,0)),""))</f>
        <v/>
      </c>
      <c r="F1206" s="16" t="n"/>
      <c r="G1206" s="17">
        <f>IF($F1206="","",IFERROR(INDEX(rngEPname,MATCH($F1206,rngEPcode,0)),"?"))</f>
        <v/>
      </c>
      <c r="H1206" s="17">
        <f>IF($F1206="","",IFERROR(INDEX(rngEPtype,MATCH($F1206,rngEPcode,0)),"?"))</f>
        <v/>
      </c>
      <c r="I1206" s="17">
        <f>IF($F1206="","",IFERROR(INDEX(rngEPseq,MATCH($F1206,rngEPcode,0)),""))</f>
        <v/>
      </c>
      <c r="J1206" s="17">
        <f>IF($F1206="","",IFERROR(INDEX(rngEPpass,MATCH($F1206,rngEPcode,0)),cfgPassingScore))</f>
        <v/>
      </c>
      <c r="K1206" s="16" t="n"/>
      <c r="L1206" s="16" t="n"/>
      <c r="M1206" s="17">
        <f>IF($C1206="","",IF($L1206="","",IF(NOT(ISNUMBER($L1206)),$L1206,IF(N($K1206)&gt;2,"",IF($K1206=1,IF(COUNTIFS(nrES_PID,$D1206,nrES_Code,$F1206,nrES_Att,2,nrES_Raw,"&gt;=0")&gt;0,"",$L1206),IF($L1206&gt;=$J1206,MAX($J1206,cfgRetakeRecordedCap),IF(COUNTIFS(nrES_PID,$D1206,nrES_Code,$F1206,nrES_Att,1)=0,$L1206,SUMIFS(nrES_Raw,nrES_PID,$D1206,nrES_Code,$F1206,nrES_Att,1))))))))</f>
        <v/>
      </c>
      <c r="N1206" s="17">
        <f>IF($C1206="","",IF($L1206="","",IF(NOT(ISNUMBER($L1206)),"(not a score)",IF($L1206&gt;=$J1206,"Yes","No"))))</f>
        <v/>
      </c>
      <c r="O1206" s="17">
        <f>IF($C1206="","",IF($M1206="","",IF(NOT(ISNUMBER($M1206)),"(not a score)",IF($M1206&gt;=$J1206,"Yes","No"))))</f>
        <v/>
      </c>
      <c r="P1206" s="17">
        <f>IF($C1206="","",IF($K1206="","",IF(N($K1206)&gt;2,"No",IF(COUNTIFS(nrES_PID,$D1206,nrES_Code,$F1206,nrES_Att,"&gt;"&amp;$K1206,nrES_Att,"&lt;=2",nrES_Raw,"&gt;=0")=0,"Yes","No"))))</f>
        <v/>
      </c>
      <c r="Q1206" s="17">
        <f>IF($C1206="","",IF($L1206="","",IF(AND($K1206=1,ISNUMBER($L1206),$L1206&lt;$J1206,COUNTIFS(nrES_PID,$D1206,nrES_Code,$F1206,nrES_Att,2,nrES_Raw,"&gt;=0")=0),"Yes","No")))</f>
        <v/>
      </c>
      <c r="R1206" s="17">
        <f>IF($C1206="","",IF($L1206="","",IF(AND(N($K1206)&gt;=2,ISNUMBER($L1206),$L1206&lt;$J1206),"Yes","No")))</f>
        <v/>
      </c>
      <c r="S1206" s="18" t="n"/>
      <c r="T1206" s="19">
        <f>IF(OR($C1206="",$L1206="",$K1206&lt;&gt;1,NOT(ISNUMBER($L1206)),$L1206&gt;=$J1206),"",IF($S1206="","(enter date)",_xlfn.LET(_xlpm.dn,_xlfn.XLOOKUP($S1206,nrCDdate,nrCDnum,"",1),IF(_xlpm.dn="","(after last class day)",_xlfn.LET(_xlpm.dd,_xlfn.XLOOKUP(_xlpm.dn+cfgRetestClassDays,nrCDnum,nrCDdate,""),_xlpm.ok,_xlfn.XLOOKUP(_xlpm.dn+cfgRetestClassDays,nrCDnum,nrCDinsession,"No"),IF(OR(_xlpm.dd="",_xlpm.ok&lt;&gt;"Yes"),"(after last class day)",_xlpm.dd))))))</f>
        <v/>
      </c>
      <c r="U1206" s="17">
        <f>IF($C1206="","",IF(AND($Y1206="Excused",$L1206="",N($K1206)&lt;=1),"EXCUSED - 1st attempt pending",IF(OR($L1206="",$K1206&lt;&gt;1,NOT(ISNUMBER($L1206)),$L1206&gt;=$J1206),"",IF(COUNTIFS(nrES_PID,$D1206,nrES_Code,$F1206,nrES_Att,2,nrES_Raw,"&gt;=0")&gt;0,IF(IFERROR(_xlfn.MINIFS(nrES_Date,nrES_PID,$D1206,nrES_Code,$F1206,nrES_Att,2,nrES_Raw,"&gt;=0",nrES_Date,"&gt;0"),0)=0,"RETEST UNDATED",IF(NOT(ISNUMBER($T1206)),"RETEST DATE UNCHECKED",IF(_xlfn.MINIFS(nrES_Date,nrES_PID,$D1206,nrES_Code,$F1206,nrES_Att,2,nrES_Raw,"&gt;=0",nrES_Date,"&gt;0")&gt;$T1206,"LATE RETEST "&amp;TEXT(_xlfn.MINIFS(nrES_Date,nrES_PID,$D1206,nrES_Code,$F1206,nrES_Att,2,nrES_Raw,"&gt;=0",nrES_Date,"&gt;0"),"mm/dd")&amp;" (due "&amp;TEXT($T1206,"mm/dd")&amp;")","Retested"))),IF(NOT(ISNUMBER($T1206)),"CHECK DATE",IF(TODAY()&gt;$T1206,"OVERDUE","Due "&amp;TEXT($T1206,"mm/dd")))))))</f>
        <v/>
      </c>
      <c r="V1206" s="16" t="n"/>
      <c r="W1206" s="16" t="n"/>
      <c r="X1206" s="17">
        <f>IF($C1206="","",IF(AND($L1206&lt;&gt;"",NOT(ISNUMBER($L1206))),"RAW SCORE NOT A NUMBER",IF(AND(ISNUMBER($L1206),OR($L1206&lt;0,$L1206&gt;100)),"RAW SCORE OUT OF RANGE",IF(AND($Y1206="Unexcused",OR($L1206="",NOT(ISNUMBER($L1206)),$L1206&lt;&gt;0)),"UNEXCUSED ABSENCE MUST RECORD 0",IF(COUNTIF(nrES_RecID,$B1206)&gt;1,"DUPLICATE RECORD",IF(N($K1206)&gt;2,"ATTEMPT 3+ NOT ALLOWED - policy 300.5 permits one retest per exam; this row records nothing",IF(AND($K1206=2,COUNTIFS(nrES_PID,$D1206,nrES_Code,$F1206,nrES_Att,1)=0),"ATTEMPT 2 WITHOUT ATTEMPT 1",IF(AND($K1206=2,$L1206=""),"RETEST ROW HAS NO SCORE",IF(AND($H1206="Final",$L1206&lt;&gt;"",IFERROR(INDEX(nrCKfinalExamElig,MATCH($D1206,rngCadetPIDs,0)),"")="No"),"FINAL EXAM AFTER FAILED FINAL PT (500.1.H)",IF(AND($K1206=2,ISNUMBER($L1206),COUNTIFS(nrES_PID,$D1206,nrES_Code,$F1206,nrES_Att,1)&gt;0,SUMIFS(nrES_Raw,nrES_PID,$D1206,nrES_Code,$F1206,nrES_Att,1)&gt;=$J1206),"RETEST AFTER A PASSING FIRST ATTEMPT","OK"))))))))))</f>
        <v/>
      </c>
      <c r="Y1206" s="16" t="n"/>
    </row>
    <row r="1207">
      <c r="B1207" s="17">
        <f>IF($C1207="","",$D1207&amp;"-"&amp;$F1207&amp;"-"&amp;$K1207)</f>
        <v/>
      </c>
      <c r="C1207" s="16" t="n"/>
      <c r="D1207" s="17">
        <f>IF($C1207="","",IFERROR(INDEX(rngCadetPIDs,MATCH($C1207,rngCadetNames,0)),"?"))</f>
        <v/>
      </c>
      <c r="E1207" s="17">
        <f>IF($D1207="","",IFERROR(INDEX(nrCadetAgency,MATCH($D1207,rngCadetPIDs,0)),""))</f>
        <v/>
      </c>
      <c r="F1207" s="16" t="n"/>
      <c r="G1207" s="17">
        <f>IF($F1207="","",IFERROR(INDEX(rngEPname,MATCH($F1207,rngEPcode,0)),"?"))</f>
        <v/>
      </c>
      <c r="H1207" s="17">
        <f>IF($F1207="","",IFERROR(INDEX(rngEPtype,MATCH($F1207,rngEPcode,0)),"?"))</f>
        <v/>
      </c>
      <c r="I1207" s="17">
        <f>IF($F1207="","",IFERROR(INDEX(rngEPseq,MATCH($F1207,rngEPcode,0)),""))</f>
        <v/>
      </c>
      <c r="J1207" s="17">
        <f>IF($F1207="","",IFERROR(INDEX(rngEPpass,MATCH($F1207,rngEPcode,0)),cfgPassingScore))</f>
        <v/>
      </c>
      <c r="K1207" s="16" t="n"/>
      <c r="L1207" s="16" t="n"/>
      <c r="M1207" s="17">
        <f>IF($C1207="","",IF($L1207="","",IF(NOT(ISNUMBER($L1207)),$L1207,IF(N($K1207)&gt;2,"",IF($K1207=1,IF(COUNTIFS(nrES_PID,$D1207,nrES_Code,$F1207,nrES_Att,2,nrES_Raw,"&gt;=0")&gt;0,"",$L1207),IF($L1207&gt;=$J1207,MAX($J1207,cfgRetakeRecordedCap),IF(COUNTIFS(nrES_PID,$D1207,nrES_Code,$F1207,nrES_Att,1)=0,$L1207,SUMIFS(nrES_Raw,nrES_PID,$D1207,nrES_Code,$F1207,nrES_Att,1))))))))</f>
        <v/>
      </c>
      <c r="N1207" s="17">
        <f>IF($C1207="","",IF($L1207="","",IF(NOT(ISNUMBER($L1207)),"(not a score)",IF($L1207&gt;=$J1207,"Yes","No"))))</f>
        <v/>
      </c>
      <c r="O1207" s="17">
        <f>IF($C1207="","",IF($M1207="","",IF(NOT(ISNUMBER($M1207)),"(not a score)",IF($M1207&gt;=$J1207,"Yes","No"))))</f>
        <v/>
      </c>
      <c r="P1207" s="17">
        <f>IF($C1207="","",IF($K1207="","",IF(N($K1207)&gt;2,"No",IF(COUNTIFS(nrES_PID,$D1207,nrES_Code,$F1207,nrES_Att,"&gt;"&amp;$K1207,nrES_Att,"&lt;=2",nrES_Raw,"&gt;=0")=0,"Yes","No"))))</f>
        <v/>
      </c>
      <c r="Q1207" s="17">
        <f>IF($C1207="","",IF($L1207="","",IF(AND($K1207=1,ISNUMBER($L1207),$L1207&lt;$J1207,COUNTIFS(nrES_PID,$D1207,nrES_Code,$F1207,nrES_Att,2,nrES_Raw,"&gt;=0")=0),"Yes","No")))</f>
        <v/>
      </c>
      <c r="R1207" s="17">
        <f>IF($C1207="","",IF($L1207="","",IF(AND(N($K1207)&gt;=2,ISNUMBER($L1207),$L1207&lt;$J1207),"Yes","No")))</f>
        <v/>
      </c>
      <c r="S1207" s="18" t="n"/>
      <c r="T1207" s="19">
        <f>IF(OR($C1207="",$L1207="",$K1207&lt;&gt;1,NOT(ISNUMBER($L1207)),$L1207&gt;=$J1207),"",IF($S1207="","(enter date)",_xlfn.LET(_xlpm.dn,_xlfn.XLOOKUP($S1207,nrCDdate,nrCDnum,"",1),IF(_xlpm.dn="","(after last class day)",_xlfn.LET(_xlpm.dd,_xlfn.XLOOKUP(_xlpm.dn+cfgRetestClassDays,nrCDnum,nrCDdate,""),_xlpm.ok,_xlfn.XLOOKUP(_xlpm.dn+cfgRetestClassDays,nrCDnum,nrCDinsession,"No"),IF(OR(_xlpm.dd="",_xlpm.ok&lt;&gt;"Yes"),"(after last class day)",_xlpm.dd))))))</f>
        <v/>
      </c>
      <c r="U1207" s="17">
        <f>IF($C1207="","",IF(AND($Y1207="Excused",$L1207="",N($K1207)&lt;=1),"EXCUSED - 1st attempt pending",IF(OR($L1207="",$K1207&lt;&gt;1,NOT(ISNUMBER($L1207)),$L1207&gt;=$J1207),"",IF(COUNTIFS(nrES_PID,$D1207,nrES_Code,$F1207,nrES_Att,2,nrES_Raw,"&gt;=0")&gt;0,IF(IFERROR(_xlfn.MINIFS(nrES_Date,nrES_PID,$D1207,nrES_Code,$F1207,nrES_Att,2,nrES_Raw,"&gt;=0",nrES_Date,"&gt;0"),0)=0,"RETEST UNDATED",IF(NOT(ISNUMBER($T1207)),"RETEST DATE UNCHECKED",IF(_xlfn.MINIFS(nrES_Date,nrES_PID,$D1207,nrES_Code,$F1207,nrES_Att,2,nrES_Raw,"&gt;=0",nrES_Date,"&gt;0")&gt;$T1207,"LATE RETEST "&amp;TEXT(_xlfn.MINIFS(nrES_Date,nrES_PID,$D1207,nrES_Code,$F1207,nrES_Att,2,nrES_Raw,"&gt;=0",nrES_Date,"&gt;0"),"mm/dd")&amp;" (due "&amp;TEXT($T1207,"mm/dd")&amp;")","Retested"))),IF(NOT(ISNUMBER($T1207)),"CHECK DATE",IF(TODAY()&gt;$T1207,"OVERDUE","Due "&amp;TEXT($T1207,"mm/dd")))))))</f>
        <v/>
      </c>
      <c r="V1207" s="16" t="n"/>
      <c r="W1207" s="16" t="n"/>
      <c r="X1207" s="17">
        <f>IF($C1207="","",IF(AND($L1207&lt;&gt;"",NOT(ISNUMBER($L1207))),"RAW SCORE NOT A NUMBER",IF(AND(ISNUMBER($L1207),OR($L1207&lt;0,$L1207&gt;100)),"RAW SCORE OUT OF RANGE",IF(AND($Y1207="Unexcused",OR($L1207="",NOT(ISNUMBER($L1207)),$L1207&lt;&gt;0)),"UNEXCUSED ABSENCE MUST RECORD 0",IF(COUNTIF(nrES_RecID,$B1207)&gt;1,"DUPLICATE RECORD",IF(N($K1207)&gt;2,"ATTEMPT 3+ NOT ALLOWED - policy 300.5 permits one retest per exam; this row records nothing",IF(AND($K1207=2,COUNTIFS(nrES_PID,$D1207,nrES_Code,$F1207,nrES_Att,1)=0),"ATTEMPT 2 WITHOUT ATTEMPT 1",IF(AND($K1207=2,$L1207=""),"RETEST ROW HAS NO SCORE",IF(AND($H1207="Final",$L1207&lt;&gt;"",IFERROR(INDEX(nrCKfinalExamElig,MATCH($D1207,rngCadetPIDs,0)),"")="No"),"FINAL EXAM AFTER FAILED FINAL PT (500.1.H)",IF(AND($K1207=2,ISNUMBER($L1207),COUNTIFS(nrES_PID,$D1207,nrES_Code,$F1207,nrES_Att,1)&gt;0,SUMIFS(nrES_Raw,nrES_PID,$D1207,nrES_Code,$F1207,nrES_Att,1)&gt;=$J1207),"RETEST AFTER A PASSING FIRST ATTEMPT","OK"))))))))))</f>
        <v/>
      </c>
      <c r="Y1207" s="16" t="n"/>
    </row>
    <row r="1208">
      <c r="B1208" s="17">
        <f>IF($C1208="","",$D1208&amp;"-"&amp;$F1208&amp;"-"&amp;$K1208)</f>
        <v/>
      </c>
      <c r="C1208" s="16" t="n"/>
      <c r="D1208" s="17">
        <f>IF($C1208="","",IFERROR(INDEX(rngCadetPIDs,MATCH($C1208,rngCadetNames,0)),"?"))</f>
        <v/>
      </c>
      <c r="E1208" s="17">
        <f>IF($D1208="","",IFERROR(INDEX(nrCadetAgency,MATCH($D1208,rngCadetPIDs,0)),""))</f>
        <v/>
      </c>
      <c r="F1208" s="16" t="n"/>
      <c r="G1208" s="17">
        <f>IF($F1208="","",IFERROR(INDEX(rngEPname,MATCH($F1208,rngEPcode,0)),"?"))</f>
        <v/>
      </c>
      <c r="H1208" s="17">
        <f>IF($F1208="","",IFERROR(INDEX(rngEPtype,MATCH($F1208,rngEPcode,0)),"?"))</f>
        <v/>
      </c>
      <c r="I1208" s="17">
        <f>IF($F1208="","",IFERROR(INDEX(rngEPseq,MATCH($F1208,rngEPcode,0)),""))</f>
        <v/>
      </c>
      <c r="J1208" s="17">
        <f>IF($F1208="","",IFERROR(INDEX(rngEPpass,MATCH($F1208,rngEPcode,0)),cfgPassingScore))</f>
        <v/>
      </c>
      <c r="K1208" s="16" t="n"/>
      <c r="L1208" s="16" t="n"/>
      <c r="M1208" s="17">
        <f>IF($C1208="","",IF($L1208="","",IF(NOT(ISNUMBER($L1208)),$L1208,IF(N($K1208)&gt;2,"",IF($K1208=1,IF(COUNTIFS(nrES_PID,$D1208,nrES_Code,$F1208,nrES_Att,2,nrES_Raw,"&gt;=0")&gt;0,"",$L1208),IF($L1208&gt;=$J1208,MAX($J1208,cfgRetakeRecordedCap),IF(COUNTIFS(nrES_PID,$D1208,nrES_Code,$F1208,nrES_Att,1)=0,$L1208,SUMIFS(nrES_Raw,nrES_PID,$D1208,nrES_Code,$F1208,nrES_Att,1))))))))</f>
        <v/>
      </c>
      <c r="N1208" s="17">
        <f>IF($C1208="","",IF($L1208="","",IF(NOT(ISNUMBER($L1208)),"(not a score)",IF($L1208&gt;=$J1208,"Yes","No"))))</f>
        <v/>
      </c>
      <c r="O1208" s="17">
        <f>IF($C1208="","",IF($M1208="","",IF(NOT(ISNUMBER($M1208)),"(not a score)",IF($M1208&gt;=$J1208,"Yes","No"))))</f>
        <v/>
      </c>
      <c r="P1208" s="17">
        <f>IF($C1208="","",IF($K1208="","",IF(N($K1208)&gt;2,"No",IF(COUNTIFS(nrES_PID,$D1208,nrES_Code,$F1208,nrES_Att,"&gt;"&amp;$K1208,nrES_Att,"&lt;=2",nrES_Raw,"&gt;=0")=0,"Yes","No"))))</f>
        <v/>
      </c>
      <c r="Q1208" s="17">
        <f>IF($C1208="","",IF($L1208="","",IF(AND($K1208=1,ISNUMBER($L1208),$L1208&lt;$J1208,COUNTIFS(nrES_PID,$D1208,nrES_Code,$F1208,nrES_Att,2,nrES_Raw,"&gt;=0")=0),"Yes","No")))</f>
        <v/>
      </c>
      <c r="R1208" s="17">
        <f>IF($C1208="","",IF($L1208="","",IF(AND(N($K1208)&gt;=2,ISNUMBER($L1208),$L1208&lt;$J1208),"Yes","No")))</f>
        <v/>
      </c>
      <c r="S1208" s="18" t="n"/>
      <c r="T1208" s="19">
        <f>IF(OR($C1208="",$L1208="",$K1208&lt;&gt;1,NOT(ISNUMBER($L1208)),$L1208&gt;=$J1208),"",IF($S1208="","(enter date)",_xlfn.LET(_xlpm.dn,_xlfn.XLOOKUP($S1208,nrCDdate,nrCDnum,"",1),IF(_xlpm.dn="","(after last class day)",_xlfn.LET(_xlpm.dd,_xlfn.XLOOKUP(_xlpm.dn+cfgRetestClassDays,nrCDnum,nrCDdate,""),_xlpm.ok,_xlfn.XLOOKUP(_xlpm.dn+cfgRetestClassDays,nrCDnum,nrCDinsession,"No"),IF(OR(_xlpm.dd="",_xlpm.ok&lt;&gt;"Yes"),"(after last class day)",_xlpm.dd))))))</f>
        <v/>
      </c>
      <c r="U1208" s="17">
        <f>IF($C1208="","",IF(AND($Y1208="Excused",$L1208="",N($K1208)&lt;=1),"EXCUSED - 1st attempt pending",IF(OR($L1208="",$K1208&lt;&gt;1,NOT(ISNUMBER($L1208)),$L1208&gt;=$J1208),"",IF(COUNTIFS(nrES_PID,$D1208,nrES_Code,$F1208,nrES_Att,2,nrES_Raw,"&gt;=0")&gt;0,IF(IFERROR(_xlfn.MINIFS(nrES_Date,nrES_PID,$D1208,nrES_Code,$F1208,nrES_Att,2,nrES_Raw,"&gt;=0",nrES_Date,"&gt;0"),0)=0,"RETEST UNDATED",IF(NOT(ISNUMBER($T1208)),"RETEST DATE UNCHECKED",IF(_xlfn.MINIFS(nrES_Date,nrES_PID,$D1208,nrES_Code,$F1208,nrES_Att,2,nrES_Raw,"&gt;=0",nrES_Date,"&gt;0")&gt;$T1208,"LATE RETEST "&amp;TEXT(_xlfn.MINIFS(nrES_Date,nrES_PID,$D1208,nrES_Code,$F1208,nrES_Att,2,nrES_Raw,"&gt;=0",nrES_Date,"&gt;0"),"mm/dd")&amp;" (due "&amp;TEXT($T1208,"mm/dd")&amp;")","Retested"))),IF(NOT(ISNUMBER($T1208)),"CHECK DATE",IF(TODAY()&gt;$T1208,"OVERDUE","Due "&amp;TEXT($T1208,"mm/dd")))))))</f>
        <v/>
      </c>
      <c r="V1208" s="16" t="n"/>
      <c r="W1208" s="16" t="n"/>
      <c r="X1208" s="17">
        <f>IF($C1208="","",IF(AND($L1208&lt;&gt;"",NOT(ISNUMBER($L1208))),"RAW SCORE NOT A NUMBER",IF(AND(ISNUMBER($L1208),OR($L1208&lt;0,$L1208&gt;100)),"RAW SCORE OUT OF RANGE",IF(AND($Y1208="Unexcused",OR($L1208="",NOT(ISNUMBER($L1208)),$L1208&lt;&gt;0)),"UNEXCUSED ABSENCE MUST RECORD 0",IF(COUNTIF(nrES_RecID,$B1208)&gt;1,"DUPLICATE RECORD",IF(N($K1208)&gt;2,"ATTEMPT 3+ NOT ALLOWED - policy 300.5 permits one retest per exam; this row records nothing",IF(AND($K1208=2,COUNTIFS(nrES_PID,$D1208,nrES_Code,$F1208,nrES_Att,1)=0),"ATTEMPT 2 WITHOUT ATTEMPT 1",IF(AND($K1208=2,$L1208=""),"RETEST ROW HAS NO SCORE",IF(AND($H1208="Final",$L1208&lt;&gt;"",IFERROR(INDEX(nrCKfinalExamElig,MATCH($D1208,rngCadetPIDs,0)),"")="No"),"FINAL EXAM AFTER FAILED FINAL PT (500.1.H)",IF(AND($K1208=2,ISNUMBER($L1208),COUNTIFS(nrES_PID,$D1208,nrES_Code,$F1208,nrES_Att,1)&gt;0,SUMIFS(nrES_Raw,nrES_PID,$D1208,nrES_Code,$F1208,nrES_Att,1)&gt;=$J1208),"RETEST AFTER A PASSING FIRST ATTEMPT","OK"))))))))))</f>
        <v/>
      </c>
      <c r="Y1208" s="16" t="n"/>
    </row>
    <row r="1209">
      <c r="B1209" s="17">
        <f>IF($C1209="","",$D1209&amp;"-"&amp;$F1209&amp;"-"&amp;$K1209)</f>
        <v/>
      </c>
      <c r="C1209" s="16" t="n"/>
      <c r="D1209" s="17">
        <f>IF($C1209="","",IFERROR(INDEX(rngCadetPIDs,MATCH($C1209,rngCadetNames,0)),"?"))</f>
        <v/>
      </c>
      <c r="E1209" s="17">
        <f>IF($D1209="","",IFERROR(INDEX(nrCadetAgency,MATCH($D1209,rngCadetPIDs,0)),""))</f>
        <v/>
      </c>
      <c r="F1209" s="16" t="n"/>
      <c r="G1209" s="17">
        <f>IF($F1209="","",IFERROR(INDEX(rngEPname,MATCH($F1209,rngEPcode,0)),"?"))</f>
        <v/>
      </c>
      <c r="H1209" s="17">
        <f>IF($F1209="","",IFERROR(INDEX(rngEPtype,MATCH($F1209,rngEPcode,0)),"?"))</f>
        <v/>
      </c>
      <c r="I1209" s="17">
        <f>IF($F1209="","",IFERROR(INDEX(rngEPseq,MATCH($F1209,rngEPcode,0)),""))</f>
        <v/>
      </c>
      <c r="J1209" s="17">
        <f>IF($F1209="","",IFERROR(INDEX(rngEPpass,MATCH($F1209,rngEPcode,0)),cfgPassingScore))</f>
        <v/>
      </c>
      <c r="K1209" s="16" t="n"/>
      <c r="L1209" s="16" t="n"/>
      <c r="M1209" s="17">
        <f>IF($C1209="","",IF($L1209="","",IF(NOT(ISNUMBER($L1209)),$L1209,IF(N($K1209)&gt;2,"",IF($K1209=1,IF(COUNTIFS(nrES_PID,$D1209,nrES_Code,$F1209,nrES_Att,2,nrES_Raw,"&gt;=0")&gt;0,"",$L1209),IF($L1209&gt;=$J1209,MAX($J1209,cfgRetakeRecordedCap),IF(COUNTIFS(nrES_PID,$D1209,nrES_Code,$F1209,nrES_Att,1)=0,$L1209,SUMIFS(nrES_Raw,nrES_PID,$D1209,nrES_Code,$F1209,nrES_Att,1))))))))</f>
        <v/>
      </c>
      <c r="N1209" s="17">
        <f>IF($C1209="","",IF($L1209="","",IF(NOT(ISNUMBER($L1209)),"(not a score)",IF($L1209&gt;=$J1209,"Yes","No"))))</f>
        <v/>
      </c>
      <c r="O1209" s="17">
        <f>IF($C1209="","",IF($M1209="","",IF(NOT(ISNUMBER($M1209)),"(not a score)",IF($M1209&gt;=$J1209,"Yes","No"))))</f>
        <v/>
      </c>
      <c r="P1209" s="17">
        <f>IF($C1209="","",IF($K1209="","",IF(N($K1209)&gt;2,"No",IF(COUNTIFS(nrES_PID,$D1209,nrES_Code,$F1209,nrES_Att,"&gt;"&amp;$K1209,nrES_Att,"&lt;=2",nrES_Raw,"&gt;=0")=0,"Yes","No"))))</f>
        <v/>
      </c>
      <c r="Q1209" s="17">
        <f>IF($C1209="","",IF($L1209="","",IF(AND($K1209=1,ISNUMBER($L1209),$L1209&lt;$J1209,COUNTIFS(nrES_PID,$D1209,nrES_Code,$F1209,nrES_Att,2,nrES_Raw,"&gt;=0")=0),"Yes","No")))</f>
        <v/>
      </c>
      <c r="R1209" s="17">
        <f>IF($C1209="","",IF($L1209="","",IF(AND(N($K1209)&gt;=2,ISNUMBER($L1209),$L1209&lt;$J1209),"Yes","No")))</f>
        <v/>
      </c>
      <c r="S1209" s="18" t="n"/>
      <c r="T1209" s="19">
        <f>IF(OR($C1209="",$L1209="",$K1209&lt;&gt;1,NOT(ISNUMBER($L1209)),$L1209&gt;=$J1209),"",IF($S1209="","(enter date)",_xlfn.LET(_xlpm.dn,_xlfn.XLOOKUP($S1209,nrCDdate,nrCDnum,"",1),IF(_xlpm.dn="","(after last class day)",_xlfn.LET(_xlpm.dd,_xlfn.XLOOKUP(_xlpm.dn+cfgRetestClassDays,nrCDnum,nrCDdate,""),_xlpm.ok,_xlfn.XLOOKUP(_xlpm.dn+cfgRetestClassDays,nrCDnum,nrCDinsession,"No"),IF(OR(_xlpm.dd="",_xlpm.ok&lt;&gt;"Yes"),"(after last class day)",_xlpm.dd))))))</f>
        <v/>
      </c>
      <c r="U1209" s="17">
        <f>IF($C1209="","",IF(AND($Y1209="Excused",$L1209="",N($K1209)&lt;=1),"EXCUSED - 1st attempt pending",IF(OR($L1209="",$K1209&lt;&gt;1,NOT(ISNUMBER($L1209)),$L1209&gt;=$J1209),"",IF(COUNTIFS(nrES_PID,$D1209,nrES_Code,$F1209,nrES_Att,2,nrES_Raw,"&gt;=0")&gt;0,IF(IFERROR(_xlfn.MINIFS(nrES_Date,nrES_PID,$D1209,nrES_Code,$F1209,nrES_Att,2,nrES_Raw,"&gt;=0",nrES_Date,"&gt;0"),0)=0,"RETEST UNDATED",IF(NOT(ISNUMBER($T1209)),"RETEST DATE UNCHECKED",IF(_xlfn.MINIFS(nrES_Date,nrES_PID,$D1209,nrES_Code,$F1209,nrES_Att,2,nrES_Raw,"&gt;=0",nrES_Date,"&gt;0")&gt;$T1209,"LATE RETEST "&amp;TEXT(_xlfn.MINIFS(nrES_Date,nrES_PID,$D1209,nrES_Code,$F1209,nrES_Att,2,nrES_Raw,"&gt;=0",nrES_Date,"&gt;0"),"mm/dd")&amp;" (due "&amp;TEXT($T1209,"mm/dd")&amp;")","Retested"))),IF(NOT(ISNUMBER($T1209)),"CHECK DATE",IF(TODAY()&gt;$T1209,"OVERDUE","Due "&amp;TEXT($T1209,"mm/dd")))))))</f>
        <v/>
      </c>
      <c r="V1209" s="16" t="n"/>
      <c r="W1209" s="16" t="n"/>
      <c r="X1209" s="17">
        <f>IF($C1209="","",IF(AND($L1209&lt;&gt;"",NOT(ISNUMBER($L1209))),"RAW SCORE NOT A NUMBER",IF(AND(ISNUMBER($L1209),OR($L1209&lt;0,$L1209&gt;100)),"RAW SCORE OUT OF RANGE",IF(AND($Y1209="Unexcused",OR($L1209="",NOT(ISNUMBER($L1209)),$L1209&lt;&gt;0)),"UNEXCUSED ABSENCE MUST RECORD 0",IF(COUNTIF(nrES_RecID,$B1209)&gt;1,"DUPLICATE RECORD",IF(N($K1209)&gt;2,"ATTEMPT 3+ NOT ALLOWED - policy 300.5 permits one retest per exam; this row records nothing",IF(AND($K1209=2,COUNTIFS(nrES_PID,$D1209,nrES_Code,$F1209,nrES_Att,1)=0),"ATTEMPT 2 WITHOUT ATTEMPT 1",IF(AND($K1209=2,$L1209=""),"RETEST ROW HAS NO SCORE",IF(AND($H1209="Final",$L1209&lt;&gt;"",IFERROR(INDEX(nrCKfinalExamElig,MATCH($D1209,rngCadetPIDs,0)),"")="No"),"FINAL EXAM AFTER FAILED FINAL PT (500.1.H)",IF(AND($K1209=2,ISNUMBER($L1209),COUNTIFS(nrES_PID,$D1209,nrES_Code,$F1209,nrES_Att,1)&gt;0,SUMIFS(nrES_Raw,nrES_PID,$D1209,nrES_Code,$F1209,nrES_Att,1)&gt;=$J1209),"RETEST AFTER A PASSING FIRST ATTEMPT","OK"))))))))))</f>
        <v/>
      </c>
      <c r="Y1209" s="16" t="n"/>
    </row>
    <row r="1210">
      <c r="B1210" s="17">
        <f>IF($C1210="","",$D1210&amp;"-"&amp;$F1210&amp;"-"&amp;$K1210)</f>
        <v/>
      </c>
      <c r="C1210" s="16" t="n"/>
      <c r="D1210" s="17">
        <f>IF($C1210="","",IFERROR(INDEX(rngCadetPIDs,MATCH($C1210,rngCadetNames,0)),"?"))</f>
        <v/>
      </c>
      <c r="E1210" s="17">
        <f>IF($D1210="","",IFERROR(INDEX(nrCadetAgency,MATCH($D1210,rngCadetPIDs,0)),""))</f>
        <v/>
      </c>
      <c r="F1210" s="16" t="n"/>
      <c r="G1210" s="17">
        <f>IF($F1210="","",IFERROR(INDEX(rngEPname,MATCH($F1210,rngEPcode,0)),"?"))</f>
        <v/>
      </c>
      <c r="H1210" s="17">
        <f>IF($F1210="","",IFERROR(INDEX(rngEPtype,MATCH($F1210,rngEPcode,0)),"?"))</f>
        <v/>
      </c>
      <c r="I1210" s="17">
        <f>IF($F1210="","",IFERROR(INDEX(rngEPseq,MATCH($F1210,rngEPcode,0)),""))</f>
        <v/>
      </c>
      <c r="J1210" s="17">
        <f>IF($F1210="","",IFERROR(INDEX(rngEPpass,MATCH($F1210,rngEPcode,0)),cfgPassingScore))</f>
        <v/>
      </c>
      <c r="K1210" s="16" t="n"/>
      <c r="L1210" s="16" t="n"/>
      <c r="M1210" s="17">
        <f>IF($C1210="","",IF($L1210="","",IF(NOT(ISNUMBER($L1210)),$L1210,IF(N($K1210)&gt;2,"",IF($K1210=1,IF(COUNTIFS(nrES_PID,$D1210,nrES_Code,$F1210,nrES_Att,2,nrES_Raw,"&gt;=0")&gt;0,"",$L1210),IF($L1210&gt;=$J1210,MAX($J1210,cfgRetakeRecordedCap),IF(COUNTIFS(nrES_PID,$D1210,nrES_Code,$F1210,nrES_Att,1)=0,$L1210,SUMIFS(nrES_Raw,nrES_PID,$D1210,nrES_Code,$F1210,nrES_Att,1))))))))</f>
        <v/>
      </c>
      <c r="N1210" s="17">
        <f>IF($C1210="","",IF($L1210="","",IF(NOT(ISNUMBER($L1210)),"(not a score)",IF($L1210&gt;=$J1210,"Yes","No"))))</f>
        <v/>
      </c>
      <c r="O1210" s="17">
        <f>IF($C1210="","",IF($M1210="","",IF(NOT(ISNUMBER($M1210)),"(not a score)",IF($M1210&gt;=$J1210,"Yes","No"))))</f>
        <v/>
      </c>
      <c r="P1210" s="17">
        <f>IF($C1210="","",IF($K1210="","",IF(N($K1210)&gt;2,"No",IF(COUNTIFS(nrES_PID,$D1210,nrES_Code,$F1210,nrES_Att,"&gt;"&amp;$K1210,nrES_Att,"&lt;=2",nrES_Raw,"&gt;=0")=0,"Yes","No"))))</f>
        <v/>
      </c>
      <c r="Q1210" s="17">
        <f>IF($C1210="","",IF($L1210="","",IF(AND($K1210=1,ISNUMBER($L1210),$L1210&lt;$J1210,COUNTIFS(nrES_PID,$D1210,nrES_Code,$F1210,nrES_Att,2,nrES_Raw,"&gt;=0")=0),"Yes","No")))</f>
        <v/>
      </c>
      <c r="R1210" s="17">
        <f>IF($C1210="","",IF($L1210="","",IF(AND(N($K1210)&gt;=2,ISNUMBER($L1210),$L1210&lt;$J1210),"Yes","No")))</f>
        <v/>
      </c>
      <c r="S1210" s="18" t="n"/>
      <c r="T1210" s="19">
        <f>IF(OR($C1210="",$L1210="",$K1210&lt;&gt;1,NOT(ISNUMBER($L1210)),$L1210&gt;=$J1210),"",IF($S1210="","(enter date)",_xlfn.LET(_xlpm.dn,_xlfn.XLOOKUP($S1210,nrCDdate,nrCDnum,"",1),IF(_xlpm.dn="","(after last class day)",_xlfn.LET(_xlpm.dd,_xlfn.XLOOKUP(_xlpm.dn+cfgRetestClassDays,nrCDnum,nrCDdate,""),_xlpm.ok,_xlfn.XLOOKUP(_xlpm.dn+cfgRetestClassDays,nrCDnum,nrCDinsession,"No"),IF(OR(_xlpm.dd="",_xlpm.ok&lt;&gt;"Yes"),"(after last class day)",_xlpm.dd))))))</f>
        <v/>
      </c>
      <c r="U1210" s="17">
        <f>IF($C1210="","",IF(AND($Y1210="Excused",$L1210="",N($K1210)&lt;=1),"EXCUSED - 1st attempt pending",IF(OR($L1210="",$K1210&lt;&gt;1,NOT(ISNUMBER($L1210)),$L1210&gt;=$J1210),"",IF(COUNTIFS(nrES_PID,$D1210,nrES_Code,$F1210,nrES_Att,2,nrES_Raw,"&gt;=0")&gt;0,IF(IFERROR(_xlfn.MINIFS(nrES_Date,nrES_PID,$D1210,nrES_Code,$F1210,nrES_Att,2,nrES_Raw,"&gt;=0",nrES_Date,"&gt;0"),0)=0,"RETEST UNDATED",IF(NOT(ISNUMBER($T1210)),"RETEST DATE UNCHECKED",IF(_xlfn.MINIFS(nrES_Date,nrES_PID,$D1210,nrES_Code,$F1210,nrES_Att,2,nrES_Raw,"&gt;=0",nrES_Date,"&gt;0")&gt;$T1210,"LATE RETEST "&amp;TEXT(_xlfn.MINIFS(nrES_Date,nrES_PID,$D1210,nrES_Code,$F1210,nrES_Att,2,nrES_Raw,"&gt;=0",nrES_Date,"&gt;0"),"mm/dd")&amp;" (due "&amp;TEXT($T1210,"mm/dd")&amp;")","Retested"))),IF(NOT(ISNUMBER($T1210)),"CHECK DATE",IF(TODAY()&gt;$T1210,"OVERDUE","Due "&amp;TEXT($T1210,"mm/dd")))))))</f>
        <v/>
      </c>
      <c r="V1210" s="16" t="n"/>
      <c r="W1210" s="16" t="n"/>
      <c r="X1210" s="17">
        <f>IF($C1210="","",IF(AND($L1210&lt;&gt;"",NOT(ISNUMBER($L1210))),"RAW SCORE NOT A NUMBER",IF(AND(ISNUMBER($L1210),OR($L1210&lt;0,$L1210&gt;100)),"RAW SCORE OUT OF RANGE",IF(AND($Y1210="Unexcused",OR($L1210="",NOT(ISNUMBER($L1210)),$L1210&lt;&gt;0)),"UNEXCUSED ABSENCE MUST RECORD 0",IF(COUNTIF(nrES_RecID,$B1210)&gt;1,"DUPLICATE RECORD",IF(N($K1210)&gt;2,"ATTEMPT 3+ NOT ALLOWED - policy 300.5 permits one retest per exam; this row records nothing",IF(AND($K1210=2,COUNTIFS(nrES_PID,$D1210,nrES_Code,$F1210,nrES_Att,1)=0),"ATTEMPT 2 WITHOUT ATTEMPT 1",IF(AND($K1210=2,$L1210=""),"RETEST ROW HAS NO SCORE",IF(AND($H1210="Final",$L1210&lt;&gt;"",IFERROR(INDEX(nrCKfinalExamElig,MATCH($D1210,rngCadetPIDs,0)),"")="No"),"FINAL EXAM AFTER FAILED FINAL PT (500.1.H)",IF(AND($K1210=2,ISNUMBER($L1210),COUNTIFS(nrES_PID,$D1210,nrES_Code,$F1210,nrES_Att,1)&gt;0,SUMIFS(nrES_Raw,nrES_PID,$D1210,nrES_Code,$F1210,nrES_Att,1)&gt;=$J1210),"RETEST AFTER A PASSING FIRST ATTEMPT","OK"))))))))))</f>
        <v/>
      </c>
      <c r="Y1210" s="16" t="n"/>
    </row>
    <row r="1211">
      <c r="B1211" s="17">
        <f>IF($C1211="","",$D1211&amp;"-"&amp;$F1211&amp;"-"&amp;$K1211)</f>
        <v/>
      </c>
      <c r="C1211" s="16" t="n"/>
      <c r="D1211" s="17">
        <f>IF($C1211="","",IFERROR(INDEX(rngCadetPIDs,MATCH($C1211,rngCadetNames,0)),"?"))</f>
        <v/>
      </c>
      <c r="E1211" s="17">
        <f>IF($D1211="","",IFERROR(INDEX(nrCadetAgency,MATCH($D1211,rngCadetPIDs,0)),""))</f>
        <v/>
      </c>
      <c r="F1211" s="16" t="n"/>
      <c r="G1211" s="17">
        <f>IF($F1211="","",IFERROR(INDEX(rngEPname,MATCH($F1211,rngEPcode,0)),"?"))</f>
        <v/>
      </c>
      <c r="H1211" s="17">
        <f>IF($F1211="","",IFERROR(INDEX(rngEPtype,MATCH($F1211,rngEPcode,0)),"?"))</f>
        <v/>
      </c>
      <c r="I1211" s="17">
        <f>IF($F1211="","",IFERROR(INDEX(rngEPseq,MATCH($F1211,rngEPcode,0)),""))</f>
        <v/>
      </c>
      <c r="J1211" s="17">
        <f>IF($F1211="","",IFERROR(INDEX(rngEPpass,MATCH($F1211,rngEPcode,0)),cfgPassingScore))</f>
        <v/>
      </c>
      <c r="K1211" s="16" t="n"/>
      <c r="L1211" s="16" t="n"/>
      <c r="M1211" s="17">
        <f>IF($C1211="","",IF($L1211="","",IF(NOT(ISNUMBER($L1211)),$L1211,IF(N($K1211)&gt;2,"",IF($K1211=1,IF(COUNTIFS(nrES_PID,$D1211,nrES_Code,$F1211,nrES_Att,2,nrES_Raw,"&gt;=0")&gt;0,"",$L1211),IF($L1211&gt;=$J1211,MAX($J1211,cfgRetakeRecordedCap),IF(COUNTIFS(nrES_PID,$D1211,nrES_Code,$F1211,nrES_Att,1)=0,$L1211,SUMIFS(nrES_Raw,nrES_PID,$D1211,nrES_Code,$F1211,nrES_Att,1))))))))</f>
        <v/>
      </c>
      <c r="N1211" s="17">
        <f>IF($C1211="","",IF($L1211="","",IF(NOT(ISNUMBER($L1211)),"(not a score)",IF($L1211&gt;=$J1211,"Yes","No"))))</f>
        <v/>
      </c>
      <c r="O1211" s="17">
        <f>IF($C1211="","",IF($M1211="","",IF(NOT(ISNUMBER($M1211)),"(not a score)",IF($M1211&gt;=$J1211,"Yes","No"))))</f>
        <v/>
      </c>
      <c r="P1211" s="17">
        <f>IF($C1211="","",IF($K1211="","",IF(N($K1211)&gt;2,"No",IF(COUNTIFS(nrES_PID,$D1211,nrES_Code,$F1211,nrES_Att,"&gt;"&amp;$K1211,nrES_Att,"&lt;=2",nrES_Raw,"&gt;=0")=0,"Yes","No"))))</f>
        <v/>
      </c>
      <c r="Q1211" s="17">
        <f>IF($C1211="","",IF($L1211="","",IF(AND($K1211=1,ISNUMBER($L1211),$L1211&lt;$J1211,COUNTIFS(nrES_PID,$D1211,nrES_Code,$F1211,nrES_Att,2,nrES_Raw,"&gt;=0")=0),"Yes","No")))</f>
        <v/>
      </c>
      <c r="R1211" s="17">
        <f>IF($C1211="","",IF($L1211="","",IF(AND(N($K1211)&gt;=2,ISNUMBER($L1211),$L1211&lt;$J1211),"Yes","No")))</f>
        <v/>
      </c>
      <c r="S1211" s="18" t="n"/>
      <c r="T1211" s="19">
        <f>IF(OR($C1211="",$L1211="",$K1211&lt;&gt;1,NOT(ISNUMBER($L1211)),$L1211&gt;=$J1211),"",IF($S1211="","(enter date)",_xlfn.LET(_xlpm.dn,_xlfn.XLOOKUP($S1211,nrCDdate,nrCDnum,"",1),IF(_xlpm.dn="","(after last class day)",_xlfn.LET(_xlpm.dd,_xlfn.XLOOKUP(_xlpm.dn+cfgRetestClassDays,nrCDnum,nrCDdate,""),_xlpm.ok,_xlfn.XLOOKUP(_xlpm.dn+cfgRetestClassDays,nrCDnum,nrCDinsession,"No"),IF(OR(_xlpm.dd="",_xlpm.ok&lt;&gt;"Yes"),"(after last class day)",_xlpm.dd))))))</f>
        <v/>
      </c>
      <c r="U1211" s="17">
        <f>IF($C1211="","",IF(AND($Y1211="Excused",$L1211="",N($K1211)&lt;=1),"EXCUSED - 1st attempt pending",IF(OR($L1211="",$K1211&lt;&gt;1,NOT(ISNUMBER($L1211)),$L1211&gt;=$J1211),"",IF(COUNTIFS(nrES_PID,$D1211,nrES_Code,$F1211,nrES_Att,2,nrES_Raw,"&gt;=0")&gt;0,IF(IFERROR(_xlfn.MINIFS(nrES_Date,nrES_PID,$D1211,nrES_Code,$F1211,nrES_Att,2,nrES_Raw,"&gt;=0",nrES_Date,"&gt;0"),0)=0,"RETEST UNDATED",IF(NOT(ISNUMBER($T1211)),"RETEST DATE UNCHECKED",IF(_xlfn.MINIFS(nrES_Date,nrES_PID,$D1211,nrES_Code,$F1211,nrES_Att,2,nrES_Raw,"&gt;=0",nrES_Date,"&gt;0")&gt;$T1211,"LATE RETEST "&amp;TEXT(_xlfn.MINIFS(nrES_Date,nrES_PID,$D1211,nrES_Code,$F1211,nrES_Att,2,nrES_Raw,"&gt;=0",nrES_Date,"&gt;0"),"mm/dd")&amp;" (due "&amp;TEXT($T1211,"mm/dd")&amp;")","Retested"))),IF(NOT(ISNUMBER($T1211)),"CHECK DATE",IF(TODAY()&gt;$T1211,"OVERDUE","Due "&amp;TEXT($T1211,"mm/dd")))))))</f>
        <v/>
      </c>
      <c r="V1211" s="16" t="n"/>
      <c r="W1211" s="16" t="n"/>
      <c r="X1211" s="17">
        <f>IF($C1211="","",IF(AND($L1211&lt;&gt;"",NOT(ISNUMBER($L1211))),"RAW SCORE NOT A NUMBER",IF(AND(ISNUMBER($L1211),OR($L1211&lt;0,$L1211&gt;100)),"RAW SCORE OUT OF RANGE",IF(AND($Y1211="Unexcused",OR($L1211="",NOT(ISNUMBER($L1211)),$L1211&lt;&gt;0)),"UNEXCUSED ABSENCE MUST RECORD 0",IF(COUNTIF(nrES_RecID,$B1211)&gt;1,"DUPLICATE RECORD",IF(N($K1211)&gt;2,"ATTEMPT 3+ NOT ALLOWED - policy 300.5 permits one retest per exam; this row records nothing",IF(AND($K1211=2,COUNTIFS(nrES_PID,$D1211,nrES_Code,$F1211,nrES_Att,1)=0),"ATTEMPT 2 WITHOUT ATTEMPT 1",IF(AND($K1211=2,$L1211=""),"RETEST ROW HAS NO SCORE",IF(AND($H1211="Final",$L1211&lt;&gt;"",IFERROR(INDEX(nrCKfinalExamElig,MATCH($D1211,rngCadetPIDs,0)),"")="No"),"FINAL EXAM AFTER FAILED FINAL PT (500.1.H)",IF(AND($K1211=2,ISNUMBER($L1211),COUNTIFS(nrES_PID,$D1211,nrES_Code,$F1211,nrES_Att,1)&gt;0,SUMIFS(nrES_Raw,nrES_PID,$D1211,nrES_Code,$F1211,nrES_Att,1)&gt;=$J1211),"RETEST AFTER A PASSING FIRST ATTEMPT","OK"))))))))))</f>
        <v/>
      </c>
      <c r="Y1211" s="16" t="n"/>
    </row>
    <row r="1212">
      <c r="B1212" s="17">
        <f>IF($C1212="","",$D1212&amp;"-"&amp;$F1212&amp;"-"&amp;$K1212)</f>
        <v/>
      </c>
      <c r="C1212" s="16" t="n"/>
      <c r="D1212" s="17">
        <f>IF($C1212="","",IFERROR(INDEX(rngCadetPIDs,MATCH($C1212,rngCadetNames,0)),"?"))</f>
        <v/>
      </c>
      <c r="E1212" s="17">
        <f>IF($D1212="","",IFERROR(INDEX(nrCadetAgency,MATCH($D1212,rngCadetPIDs,0)),""))</f>
        <v/>
      </c>
      <c r="F1212" s="16" t="n"/>
      <c r="G1212" s="17">
        <f>IF($F1212="","",IFERROR(INDEX(rngEPname,MATCH($F1212,rngEPcode,0)),"?"))</f>
        <v/>
      </c>
      <c r="H1212" s="17">
        <f>IF($F1212="","",IFERROR(INDEX(rngEPtype,MATCH($F1212,rngEPcode,0)),"?"))</f>
        <v/>
      </c>
      <c r="I1212" s="17">
        <f>IF($F1212="","",IFERROR(INDEX(rngEPseq,MATCH($F1212,rngEPcode,0)),""))</f>
        <v/>
      </c>
      <c r="J1212" s="17">
        <f>IF($F1212="","",IFERROR(INDEX(rngEPpass,MATCH($F1212,rngEPcode,0)),cfgPassingScore))</f>
        <v/>
      </c>
      <c r="K1212" s="16" t="n"/>
      <c r="L1212" s="16" t="n"/>
      <c r="M1212" s="17">
        <f>IF($C1212="","",IF($L1212="","",IF(NOT(ISNUMBER($L1212)),$L1212,IF(N($K1212)&gt;2,"",IF($K1212=1,IF(COUNTIFS(nrES_PID,$D1212,nrES_Code,$F1212,nrES_Att,2,nrES_Raw,"&gt;=0")&gt;0,"",$L1212),IF($L1212&gt;=$J1212,MAX($J1212,cfgRetakeRecordedCap),IF(COUNTIFS(nrES_PID,$D1212,nrES_Code,$F1212,nrES_Att,1)=0,$L1212,SUMIFS(nrES_Raw,nrES_PID,$D1212,nrES_Code,$F1212,nrES_Att,1))))))))</f>
        <v/>
      </c>
      <c r="N1212" s="17">
        <f>IF($C1212="","",IF($L1212="","",IF(NOT(ISNUMBER($L1212)),"(not a score)",IF($L1212&gt;=$J1212,"Yes","No"))))</f>
        <v/>
      </c>
      <c r="O1212" s="17">
        <f>IF($C1212="","",IF($M1212="","",IF(NOT(ISNUMBER($M1212)),"(not a score)",IF($M1212&gt;=$J1212,"Yes","No"))))</f>
        <v/>
      </c>
      <c r="P1212" s="17">
        <f>IF($C1212="","",IF($K1212="","",IF(N($K1212)&gt;2,"No",IF(COUNTIFS(nrES_PID,$D1212,nrES_Code,$F1212,nrES_Att,"&gt;"&amp;$K1212,nrES_Att,"&lt;=2",nrES_Raw,"&gt;=0")=0,"Yes","No"))))</f>
        <v/>
      </c>
      <c r="Q1212" s="17">
        <f>IF($C1212="","",IF($L1212="","",IF(AND($K1212=1,ISNUMBER($L1212),$L1212&lt;$J1212,COUNTIFS(nrES_PID,$D1212,nrES_Code,$F1212,nrES_Att,2,nrES_Raw,"&gt;=0")=0),"Yes","No")))</f>
        <v/>
      </c>
      <c r="R1212" s="17">
        <f>IF($C1212="","",IF($L1212="","",IF(AND(N($K1212)&gt;=2,ISNUMBER($L1212),$L1212&lt;$J1212),"Yes","No")))</f>
        <v/>
      </c>
      <c r="S1212" s="18" t="n"/>
      <c r="T1212" s="19">
        <f>IF(OR($C1212="",$L1212="",$K1212&lt;&gt;1,NOT(ISNUMBER($L1212)),$L1212&gt;=$J1212),"",IF($S1212="","(enter date)",_xlfn.LET(_xlpm.dn,_xlfn.XLOOKUP($S1212,nrCDdate,nrCDnum,"",1),IF(_xlpm.dn="","(after last class day)",_xlfn.LET(_xlpm.dd,_xlfn.XLOOKUP(_xlpm.dn+cfgRetestClassDays,nrCDnum,nrCDdate,""),_xlpm.ok,_xlfn.XLOOKUP(_xlpm.dn+cfgRetestClassDays,nrCDnum,nrCDinsession,"No"),IF(OR(_xlpm.dd="",_xlpm.ok&lt;&gt;"Yes"),"(after last class day)",_xlpm.dd))))))</f>
        <v/>
      </c>
      <c r="U1212" s="17">
        <f>IF($C1212="","",IF(AND($Y1212="Excused",$L1212="",N($K1212)&lt;=1),"EXCUSED - 1st attempt pending",IF(OR($L1212="",$K1212&lt;&gt;1,NOT(ISNUMBER($L1212)),$L1212&gt;=$J1212),"",IF(COUNTIFS(nrES_PID,$D1212,nrES_Code,$F1212,nrES_Att,2,nrES_Raw,"&gt;=0")&gt;0,IF(IFERROR(_xlfn.MINIFS(nrES_Date,nrES_PID,$D1212,nrES_Code,$F1212,nrES_Att,2,nrES_Raw,"&gt;=0",nrES_Date,"&gt;0"),0)=0,"RETEST UNDATED",IF(NOT(ISNUMBER($T1212)),"RETEST DATE UNCHECKED",IF(_xlfn.MINIFS(nrES_Date,nrES_PID,$D1212,nrES_Code,$F1212,nrES_Att,2,nrES_Raw,"&gt;=0",nrES_Date,"&gt;0")&gt;$T1212,"LATE RETEST "&amp;TEXT(_xlfn.MINIFS(nrES_Date,nrES_PID,$D1212,nrES_Code,$F1212,nrES_Att,2,nrES_Raw,"&gt;=0",nrES_Date,"&gt;0"),"mm/dd")&amp;" (due "&amp;TEXT($T1212,"mm/dd")&amp;")","Retested"))),IF(NOT(ISNUMBER($T1212)),"CHECK DATE",IF(TODAY()&gt;$T1212,"OVERDUE","Due "&amp;TEXT($T1212,"mm/dd")))))))</f>
        <v/>
      </c>
      <c r="V1212" s="16" t="n"/>
      <c r="W1212" s="16" t="n"/>
      <c r="X1212" s="17">
        <f>IF($C1212="","",IF(AND($L1212&lt;&gt;"",NOT(ISNUMBER($L1212))),"RAW SCORE NOT A NUMBER",IF(AND(ISNUMBER($L1212),OR($L1212&lt;0,$L1212&gt;100)),"RAW SCORE OUT OF RANGE",IF(AND($Y1212="Unexcused",OR($L1212="",NOT(ISNUMBER($L1212)),$L1212&lt;&gt;0)),"UNEXCUSED ABSENCE MUST RECORD 0",IF(COUNTIF(nrES_RecID,$B1212)&gt;1,"DUPLICATE RECORD",IF(N($K1212)&gt;2,"ATTEMPT 3+ NOT ALLOWED - policy 300.5 permits one retest per exam; this row records nothing",IF(AND($K1212=2,COUNTIFS(nrES_PID,$D1212,nrES_Code,$F1212,nrES_Att,1)=0),"ATTEMPT 2 WITHOUT ATTEMPT 1",IF(AND($K1212=2,$L1212=""),"RETEST ROW HAS NO SCORE",IF(AND($H1212="Final",$L1212&lt;&gt;"",IFERROR(INDEX(nrCKfinalExamElig,MATCH($D1212,rngCadetPIDs,0)),"")="No"),"FINAL EXAM AFTER FAILED FINAL PT (500.1.H)",IF(AND($K1212=2,ISNUMBER($L1212),COUNTIFS(nrES_PID,$D1212,nrES_Code,$F1212,nrES_Att,1)&gt;0,SUMIFS(nrES_Raw,nrES_PID,$D1212,nrES_Code,$F1212,nrES_Att,1)&gt;=$J1212),"RETEST AFTER A PASSING FIRST ATTEMPT","OK"))))))))))</f>
        <v/>
      </c>
      <c r="Y1212" s="16" t="n"/>
    </row>
    <row r="1213">
      <c r="B1213" s="17">
        <f>IF($C1213="","",$D1213&amp;"-"&amp;$F1213&amp;"-"&amp;$K1213)</f>
        <v/>
      </c>
      <c r="C1213" s="16" t="n"/>
      <c r="D1213" s="17">
        <f>IF($C1213="","",IFERROR(INDEX(rngCadetPIDs,MATCH($C1213,rngCadetNames,0)),"?"))</f>
        <v/>
      </c>
      <c r="E1213" s="17">
        <f>IF($D1213="","",IFERROR(INDEX(nrCadetAgency,MATCH($D1213,rngCadetPIDs,0)),""))</f>
        <v/>
      </c>
      <c r="F1213" s="16" t="n"/>
      <c r="G1213" s="17">
        <f>IF($F1213="","",IFERROR(INDEX(rngEPname,MATCH($F1213,rngEPcode,0)),"?"))</f>
        <v/>
      </c>
      <c r="H1213" s="17">
        <f>IF($F1213="","",IFERROR(INDEX(rngEPtype,MATCH($F1213,rngEPcode,0)),"?"))</f>
        <v/>
      </c>
      <c r="I1213" s="17">
        <f>IF($F1213="","",IFERROR(INDEX(rngEPseq,MATCH($F1213,rngEPcode,0)),""))</f>
        <v/>
      </c>
      <c r="J1213" s="17">
        <f>IF($F1213="","",IFERROR(INDEX(rngEPpass,MATCH($F1213,rngEPcode,0)),cfgPassingScore))</f>
        <v/>
      </c>
      <c r="K1213" s="16" t="n"/>
      <c r="L1213" s="16" t="n"/>
      <c r="M1213" s="17">
        <f>IF($C1213="","",IF($L1213="","",IF(NOT(ISNUMBER($L1213)),$L1213,IF(N($K1213)&gt;2,"",IF($K1213=1,IF(COUNTIFS(nrES_PID,$D1213,nrES_Code,$F1213,nrES_Att,2,nrES_Raw,"&gt;=0")&gt;0,"",$L1213),IF($L1213&gt;=$J1213,MAX($J1213,cfgRetakeRecordedCap),IF(COUNTIFS(nrES_PID,$D1213,nrES_Code,$F1213,nrES_Att,1)=0,$L1213,SUMIFS(nrES_Raw,nrES_PID,$D1213,nrES_Code,$F1213,nrES_Att,1))))))))</f>
        <v/>
      </c>
      <c r="N1213" s="17">
        <f>IF($C1213="","",IF($L1213="","",IF(NOT(ISNUMBER($L1213)),"(not a score)",IF($L1213&gt;=$J1213,"Yes","No"))))</f>
        <v/>
      </c>
      <c r="O1213" s="17">
        <f>IF($C1213="","",IF($M1213="","",IF(NOT(ISNUMBER($M1213)),"(not a score)",IF($M1213&gt;=$J1213,"Yes","No"))))</f>
        <v/>
      </c>
      <c r="P1213" s="17">
        <f>IF($C1213="","",IF($K1213="","",IF(N($K1213)&gt;2,"No",IF(COUNTIFS(nrES_PID,$D1213,nrES_Code,$F1213,nrES_Att,"&gt;"&amp;$K1213,nrES_Att,"&lt;=2",nrES_Raw,"&gt;=0")=0,"Yes","No"))))</f>
        <v/>
      </c>
      <c r="Q1213" s="17">
        <f>IF($C1213="","",IF($L1213="","",IF(AND($K1213=1,ISNUMBER($L1213),$L1213&lt;$J1213,COUNTIFS(nrES_PID,$D1213,nrES_Code,$F1213,nrES_Att,2,nrES_Raw,"&gt;=0")=0),"Yes","No")))</f>
        <v/>
      </c>
      <c r="R1213" s="17">
        <f>IF($C1213="","",IF($L1213="","",IF(AND(N($K1213)&gt;=2,ISNUMBER($L1213),$L1213&lt;$J1213),"Yes","No")))</f>
        <v/>
      </c>
      <c r="S1213" s="18" t="n"/>
      <c r="T1213" s="19">
        <f>IF(OR($C1213="",$L1213="",$K1213&lt;&gt;1,NOT(ISNUMBER($L1213)),$L1213&gt;=$J1213),"",IF($S1213="","(enter date)",_xlfn.LET(_xlpm.dn,_xlfn.XLOOKUP($S1213,nrCDdate,nrCDnum,"",1),IF(_xlpm.dn="","(after last class day)",_xlfn.LET(_xlpm.dd,_xlfn.XLOOKUP(_xlpm.dn+cfgRetestClassDays,nrCDnum,nrCDdate,""),_xlpm.ok,_xlfn.XLOOKUP(_xlpm.dn+cfgRetestClassDays,nrCDnum,nrCDinsession,"No"),IF(OR(_xlpm.dd="",_xlpm.ok&lt;&gt;"Yes"),"(after last class day)",_xlpm.dd))))))</f>
        <v/>
      </c>
      <c r="U1213" s="17">
        <f>IF($C1213="","",IF(AND($Y1213="Excused",$L1213="",N($K1213)&lt;=1),"EXCUSED - 1st attempt pending",IF(OR($L1213="",$K1213&lt;&gt;1,NOT(ISNUMBER($L1213)),$L1213&gt;=$J1213),"",IF(COUNTIFS(nrES_PID,$D1213,nrES_Code,$F1213,nrES_Att,2,nrES_Raw,"&gt;=0")&gt;0,IF(IFERROR(_xlfn.MINIFS(nrES_Date,nrES_PID,$D1213,nrES_Code,$F1213,nrES_Att,2,nrES_Raw,"&gt;=0",nrES_Date,"&gt;0"),0)=0,"RETEST UNDATED",IF(NOT(ISNUMBER($T1213)),"RETEST DATE UNCHECKED",IF(_xlfn.MINIFS(nrES_Date,nrES_PID,$D1213,nrES_Code,$F1213,nrES_Att,2,nrES_Raw,"&gt;=0",nrES_Date,"&gt;0")&gt;$T1213,"LATE RETEST "&amp;TEXT(_xlfn.MINIFS(nrES_Date,nrES_PID,$D1213,nrES_Code,$F1213,nrES_Att,2,nrES_Raw,"&gt;=0",nrES_Date,"&gt;0"),"mm/dd")&amp;" (due "&amp;TEXT($T1213,"mm/dd")&amp;")","Retested"))),IF(NOT(ISNUMBER($T1213)),"CHECK DATE",IF(TODAY()&gt;$T1213,"OVERDUE","Due "&amp;TEXT($T1213,"mm/dd")))))))</f>
        <v/>
      </c>
      <c r="V1213" s="16" t="n"/>
      <c r="W1213" s="16" t="n"/>
      <c r="X1213" s="17">
        <f>IF($C1213="","",IF(AND($L1213&lt;&gt;"",NOT(ISNUMBER($L1213))),"RAW SCORE NOT A NUMBER",IF(AND(ISNUMBER($L1213),OR($L1213&lt;0,$L1213&gt;100)),"RAW SCORE OUT OF RANGE",IF(AND($Y1213="Unexcused",OR($L1213="",NOT(ISNUMBER($L1213)),$L1213&lt;&gt;0)),"UNEXCUSED ABSENCE MUST RECORD 0",IF(COUNTIF(nrES_RecID,$B1213)&gt;1,"DUPLICATE RECORD",IF(N($K1213)&gt;2,"ATTEMPT 3+ NOT ALLOWED - policy 300.5 permits one retest per exam; this row records nothing",IF(AND($K1213=2,COUNTIFS(nrES_PID,$D1213,nrES_Code,$F1213,nrES_Att,1)=0),"ATTEMPT 2 WITHOUT ATTEMPT 1",IF(AND($K1213=2,$L1213=""),"RETEST ROW HAS NO SCORE",IF(AND($H1213="Final",$L1213&lt;&gt;"",IFERROR(INDEX(nrCKfinalExamElig,MATCH($D1213,rngCadetPIDs,0)),"")="No"),"FINAL EXAM AFTER FAILED FINAL PT (500.1.H)",IF(AND($K1213=2,ISNUMBER($L1213),COUNTIFS(nrES_PID,$D1213,nrES_Code,$F1213,nrES_Att,1)&gt;0,SUMIFS(nrES_Raw,nrES_PID,$D1213,nrES_Code,$F1213,nrES_Att,1)&gt;=$J1213),"RETEST AFTER A PASSING FIRST ATTEMPT","OK"))))))))))</f>
        <v/>
      </c>
      <c r="Y1213" s="16" t="n"/>
    </row>
    <row r="1214">
      <c r="B1214" s="17">
        <f>IF($C1214="","",$D1214&amp;"-"&amp;$F1214&amp;"-"&amp;$K1214)</f>
        <v/>
      </c>
      <c r="C1214" s="16" t="n"/>
      <c r="D1214" s="17">
        <f>IF($C1214="","",IFERROR(INDEX(rngCadetPIDs,MATCH($C1214,rngCadetNames,0)),"?"))</f>
        <v/>
      </c>
      <c r="E1214" s="17">
        <f>IF($D1214="","",IFERROR(INDEX(nrCadetAgency,MATCH($D1214,rngCadetPIDs,0)),""))</f>
        <v/>
      </c>
      <c r="F1214" s="16" t="n"/>
      <c r="G1214" s="17">
        <f>IF($F1214="","",IFERROR(INDEX(rngEPname,MATCH($F1214,rngEPcode,0)),"?"))</f>
        <v/>
      </c>
      <c r="H1214" s="17">
        <f>IF($F1214="","",IFERROR(INDEX(rngEPtype,MATCH($F1214,rngEPcode,0)),"?"))</f>
        <v/>
      </c>
      <c r="I1214" s="17">
        <f>IF($F1214="","",IFERROR(INDEX(rngEPseq,MATCH($F1214,rngEPcode,0)),""))</f>
        <v/>
      </c>
      <c r="J1214" s="17">
        <f>IF($F1214="","",IFERROR(INDEX(rngEPpass,MATCH($F1214,rngEPcode,0)),cfgPassingScore))</f>
        <v/>
      </c>
      <c r="K1214" s="16" t="n"/>
      <c r="L1214" s="16" t="n"/>
      <c r="M1214" s="17">
        <f>IF($C1214="","",IF($L1214="","",IF(NOT(ISNUMBER($L1214)),$L1214,IF(N($K1214)&gt;2,"",IF($K1214=1,IF(COUNTIFS(nrES_PID,$D1214,nrES_Code,$F1214,nrES_Att,2,nrES_Raw,"&gt;=0")&gt;0,"",$L1214),IF($L1214&gt;=$J1214,MAX($J1214,cfgRetakeRecordedCap),IF(COUNTIFS(nrES_PID,$D1214,nrES_Code,$F1214,nrES_Att,1)=0,$L1214,SUMIFS(nrES_Raw,nrES_PID,$D1214,nrES_Code,$F1214,nrES_Att,1))))))))</f>
        <v/>
      </c>
      <c r="N1214" s="17">
        <f>IF($C1214="","",IF($L1214="","",IF(NOT(ISNUMBER($L1214)),"(not a score)",IF($L1214&gt;=$J1214,"Yes","No"))))</f>
        <v/>
      </c>
      <c r="O1214" s="17">
        <f>IF($C1214="","",IF($M1214="","",IF(NOT(ISNUMBER($M1214)),"(not a score)",IF($M1214&gt;=$J1214,"Yes","No"))))</f>
        <v/>
      </c>
      <c r="P1214" s="17">
        <f>IF($C1214="","",IF($K1214="","",IF(N($K1214)&gt;2,"No",IF(COUNTIFS(nrES_PID,$D1214,nrES_Code,$F1214,nrES_Att,"&gt;"&amp;$K1214,nrES_Att,"&lt;=2",nrES_Raw,"&gt;=0")=0,"Yes","No"))))</f>
        <v/>
      </c>
      <c r="Q1214" s="17">
        <f>IF($C1214="","",IF($L1214="","",IF(AND($K1214=1,ISNUMBER($L1214),$L1214&lt;$J1214,COUNTIFS(nrES_PID,$D1214,nrES_Code,$F1214,nrES_Att,2,nrES_Raw,"&gt;=0")=0),"Yes","No")))</f>
        <v/>
      </c>
      <c r="R1214" s="17">
        <f>IF($C1214="","",IF($L1214="","",IF(AND(N($K1214)&gt;=2,ISNUMBER($L1214),$L1214&lt;$J1214),"Yes","No")))</f>
        <v/>
      </c>
      <c r="S1214" s="18" t="n"/>
      <c r="T1214" s="19">
        <f>IF(OR($C1214="",$L1214="",$K1214&lt;&gt;1,NOT(ISNUMBER($L1214)),$L1214&gt;=$J1214),"",IF($S1214="","(enter date)",_xlfn.LET(_xlpm.dn,_xlfn.XLOOKUP($S1214,nrCDdate,nrCDnum,"",1),IF(_xlpm.dn="","(after last class day)",_xlfn.LET(_xlpm.dd,_xlfn.XLOOKUP(_xlpm.dn+cfgRetestClassDays,nrCDnum,nrCDdate,""),_xlpm.ok,_xlfn.XLOOKUP(_xlpm.dn+cfgRetestClassDays,nrCDnum,nrCDinsession,"No"),IF(OR(_xlpm.dd="",_xlpm.ok&lt;&gt;"Yes"),"(after last class day)",_xlpm.dd))))))</f>
        <v/>
      </c>
      <c r="U1214" s="17">
        <f>IF($C1214="","",IF(AND($Y1214="Excused",$L1214="",N($K1214)&lt;=1),"EXCUSED - 1st attempt pending",IF(OR($L1214="",$K1214&lt;&gt;1,NOT(ISNUMBER($L1214)),$L1214&gt;=$J1214),"",IF(COUNTIFS(nrES_PID,$D1214,nrES_Code,$F1214,nrES_Att,2,nrES_Raw,"&gt;=0")&gt;0,IF(IFERROR(_xlfn.MINIFS(nrES_Date,nrES_PID,$D1214,nrES_Code,$F1214,nrES_Att,2,nrES_Raw,"&gt;=0",nrES_Date,"&gt;0"),0)=0,"RETEST UNDATED",IF(NOT(ISNUMBER($T1214)),"RETEST DATE UNCHECKED",IF(_xlfn.MINIFS(nrES_Date,nrES_PID,$D1214,nrES_Code,$F1214,nrES_Att,2,nrES_Raw,"&gt;=0",nrES_Date,"&gt;0")&gt;$T1214,"LATE RETEST "&amp;TEXT(_xlfn.MINIFS(nrES_Date,nrES_PID,$D1214,nrES_Code,$F1214,nrES_Att,2,nrES_Raw,"&gt;=0",nrES_Date,"&gt;0"),"mm/dd")&amp;" (due "&amp;TEXT($T1214,"mm/dd")&amp;")","Retested"))),IF(NOT(ISNUMBER($T1214)),"CHECK DATE",IF(TODAY()&gt;$T1214,"OVERDUE","Due "&amp;TEXT($T1214,"mm/dd")))))))</f>
        <v/>
      </c>
      <c r="V1214" s="16" t="n"/>
      <c r="W1214" s="16" t="n"/>
      <c r="X1214" s="17">
        <f>IF($C1214="","",IF(AND($L1214&lt;&gt;"",NOT(ISNUMBER($L1214))),"RAW SCORE NOT A NUMBER",IF(AND(ISNUMBER($L1214),OR($L1214&lt;0,$L1214&gt;100)),"RAW SCORE OUT OF RANGE",IF(AND($Y1214="Unexcused",OR($L1214="",NOT(ISNUMBER($L1214)),$L1214&lt;&gt;0)),"UNEXCUSED ABSENCE MUST RECORD 0",IF(COUNTIF(nrES_RecID,$B1214)&gt;1,"DUPLICATE RECORD",IF(N($K1214)&gt;2,"ATTEMPT 3+ NOT ALLOWED - policy 300.5 permits one retest per exam; this row records nothing",IF(AND($K1214=2,COUNTIFS(nrES_PID,$D1214,nrES_Code,$F1214,nrES_Att,1)=0),"ATTEMPT 2 WITHOUT ATTEMPT 1",IF(AND($K1214=2,$L1214=""),"RETEST ROW HAS NO SCORE",IF(AND($H1214="Final",$L1214&lt;&gt;"",IFERROR(INDEX(nrCKfinalExamElig,MATCH($D1214,rngCadetPIDs,0)),"")="No"),"FINAL EXAM AFTER FAILED FINAL PT (500.1.H)",IF(AND($K1214=2,ISNUMBER($L1214),COUNTIFS(nrES_PID,$D1214,nrES_Code,$F1214,nrES_Att,1)&gt;0,SUMIFS(nrES_Raw,nrES_PID,$D1214,nrES_Code,$F1214,nrES_Att,1)&gt;=$J1214),"RETEST AFTER A PASSING FIRST ATTEMPT","OK"))))))))))</f>
        <v/>
      </c>
      <c r="Y1214" s="16" t="n"/>
    </row>
    <row r="1215">
      <c r="B1215" s="17">
        <f>IF($C1215="","",$D1215&amp;"-"&amp;$F1215&amp;"-"&amp;$K1215)</f>
        <v/>
      </c>
      <c r="C1215" s="16" t="n"/>
      <c r="D1215" s="17">
        <f>IF($C1215="","",IFERROR(INDEX(rngCadetPIDs,MATCH($C1215,rngCadetNames,0)),"?"))</f>
        <v/>
      </c>
      <c r="E1215" s="17">
        <f>IF($D1215="","",IFERROR(INDEX(nrCadetAgency,MATCH($D1215,rngCadetPIDs,0)),""))</f>
        <v/>
      </c>
      <c r="F1215" s="16" t="n"/>
      <c r="G1215" s="17">
        <f>IF($F1215="","",IFERROR(INDEX(rngEPname,MATCH($F1215,rngEPcode,0)),"?"))</f>
        <v/>
      </c>
      <c r="H1215" s="17">
        <f>IF($F1215="","",IFERROR(INDEX(rngEPtype,MATCH($F1215,rngEPcode,0)),"?"))</f>
        <v/>
      </c>
      <c r="I1215" s="17">
        <f>IF($F1215="","",IFERROR(INDEX(rngEPseq,MATCH($F1215,rngEPcode,0)),""))</f>
        <v/>
      </c>
      <c r="J1215" s="17">
        <f>IF($F1215="","",IFERROR(INDEX(rngEPpass,MATCH($F1215,rngEPcode,0)),cfgPassingScore))</f>
        <v/>
      </c>
      <c r="K1215" s="16" t="n"/>
      <c r="L1215" s="16" t="n"/>
      <c r="M1215" s="17">
        <f>IF($C1215="","",IF($L1215="","",IF(NOT(ISNUMBER($L1215)),$L1215,IF(N($K1215)&gt;2,"",IF($K1215=1,IF(COUNTIFS(nrES_PID,$D1215,nrES_Code,$F1215,nrES_Att,2,nrES_Raw,"&gt;=0")&gt;0,"",$L1215),IF($L1215&gt;=$J1215,MAX($J1215,cfgRetakeRecordedCap),IF(COUNTIFS(nrES_PID,$D1215,nrES_Code,$F1215,nrES_Att,1)=0,$L1215,SUMIFS(nrES_Raw,nrES_PID,$D1215,nrES_Code,$F1215,nrES_Att,1))))))))</f>
        <v/>
      </c>
      <c r="N1215" s="17">
        <f>IF($C1215="","",IF($L1215="","",IF(NOT(ISNUMBER($L1215)),"(not a score)",IF($L1215&gt;=$J1215,"Yes","No"))))</f>
        <v/>
      </c>
      <c r="O1215" s="17">
        <f>IF($C1215="","",IF($M1215="","",IF(NOT(ISNUMBER($M1215)),"(not a score)",IF($M1215&gt;=$J1215,"Yes","No"))))</f>
        <v/>
      </c>
      <c r="P1215" s="17">
        <f>IF($C1215="","",IF($K1215="","",IF(N($K1215)&gt;2,"No",IF(COUNTIFS(nrES_PID,$D1215,nrES_Code,$F1215,nrES_Att,"&gt;"&amp;$K1215,nrES_Att,"&lt;=2",nrES_Raw,"&gt;=0")=0,"Yes","No"))))</f>
        <v/>
      </c>
      <c r="Q1215" s="17">
        <f>IF($C1215="","",IF($L1215="","",IF(AND($K1215=1,ISNUMBER($L1215),$L1215&lt;$J1215,COUNTIFS(nrES_PID,$D1215,nrES_Code,$F1215,nrES_Att,2,nrES_Raw,"&gt;=0")=0),"Yes","No")))</f>
        <v/>
      </c>
      <c r="R1215" s="17">
        <f>IF($C1215="","",IF($L1215="","",IF(AND(N($K1215)&gt;=2,ISNUMBER($L1215),$L1215&lt;$J1215),"Yes","No")))</f>
        <v/>
      </c>
      <c r="S1215" s="18" t="n"/>
      <c r="T1215" s="19">
        <f>IF(OR($C1215="",$L1215="",$K1215&lt;&gt;1,NOT(ISNUMBER($L1215)),$L1215&gt;=$J1215),"",IF($S1215="","(enter date)",_xlfn.LET(_xlpm.dn,_xlfn.XLOOKUP($S1215,nrCDdate,nrCDnum,"",1),IF(_xlpm.dn="","(after last class day)",_xlfn.LET(_xlpm.dd,_xlfn.XLOOKUP(_xlpm.dn+cfgRetestClassDays,nrCDnum,nrCDdate,""),_xlpm.ok,_xlfn.XLOOKUP(_xlpm.dn+cfgRetestClassDays,nrCDnum,nrCDinsession,"No"),IF(OR(_xlpm.dd="",_xlpm.ok&lt;&gt;"Yes"),"(after last class day)",_xlpm.dd))))))</f>
        <v/>
      </c>
      <c r="U1215" s="17">
        <f>IF($C1215="","",IF(AND($Y1215="Excused",$L1215="",N($K1215)&lt;=1),"EXCUSED - 1st attempt pending",IF(OR($L1215="",$K1215&lt;&gt;1,NOT(ISNUMBER($L1215)),$L1215&gt;=$J1215),"",IF(COUNTIFS(nrES_PID,$D1215,nrES_Code,$F1215,nrES_Att,2,nrES_Raw,"&gt;=0")&gt;0,IF(IFERROR(_xlfn.MINIFS(nrES_Date,nrES_PID,$D1215,nrES_Code,$F1215,nrES_Att,2,nrES_Raw,"&gt;=0",nrES_Date,"&gt;0"),0)=0,"RETEST UNDATED",IF(NOT(ISNUMBER($T1215)),"RETEST DATE UNCHECKED",IF(_xlfn.MINIFS(nrES_Date,nrES_PID,$D1215,nrES_Code,$F1215,nrES_Att,2,nrES_Raw,"&gt;=0",nrES_Date,"&gt;0")&gt;$T1215,"LATE RETEST "&amp;TEXT(_xlfn.MINIFS(nrES_Date,nrES_PID,$D1215,nrES_Code,$F1215,nrES_Att,2,nrES_Raw,"&gt;=0",nrES_Date,"&gt;0"),"mm/dd")&amp;" (due "&amp;TEXT($T1215,"mm/dd")&amp;")","Retested"))),IF(NOT(ISNUMBER($T1215)),"CHECK DATE",IF(TODAY()&gt;$T1215,"OVERDUE","Due "&amp;TEXT($T1215,"mm/dd")))))))</f>
        <v/>
      </c>
      <c r="V1215" s="16" t="n"/>
      <c r="W1215" s="16" t="n"/>
      <c r="X1215" s="17">
        <f>IF($C1215="","",IF(AND($L1215&lt;&gt;"",NOT(ISNUMBER($L1215))),"RAW SCORE NOT A NUMBER",IF(AND(ISNUMBER($L1215),OR($L1215&lt;0,$L1215&gt;100)),"RAW SCORE OUT OF RANGE",IF(AND($Y1215="Unexcused",OR($L1215="",NOT(ISNUMBER($L1215)),$L1215&lt;&gt;0)),"UNEXCUSED ABSENCE MUST RECORD 0",IF(COUNTIF(nrES_RecID,$B1215)&gt;1,"DUPLICATE RECORD",IF(N($K1215)&gt;2,"ATTEMPT 3+ NOT ALLOWED - policy 300.5 permits one retest per exam; this row records nothing",IF(AND($K1215=2,COUNTIFS(nrES_PID,$D1215,nrES_Code,$F1215,nrES_Att,1)=0),"ATTEMPT 2 WITHOUT ATTEMPT 1",IF(AND($K1215=2,$L1215=""),"RETEST ROW HAS NO SCORE",IF(AND($H1215="Final",$L1215&lt;&gt;"",IFERROR(INDEX(nrCKfinalExamElig,MATCH($D1215,rngCadetPIDs,0)),"")="No"),"FINAL EXAM AFTER FAILED FINAL PT (500.1.H)",IF(AND($K1215=2,ISNUMBER($L1215),COUNTIFS(nrES_PID,$D1215,nrES_Code,$F1215,nrES_Att,1)&gt;0,SUMIFS(nrES_Raw,nrES_PID,$D1215,nrES_Code,$F1215,nrES_Att,1)&gt;=$J1215),"RETEST AFTER A PASSING FIRST ATTEMPT","OK"))))))))))</f>
        <v/>
      </c>
      <c r="Y1215" s="16" t="n"/>
    </row>
    <row r="1216">
      <c r="B1216" s="17">
        <f>IF($C1216="","",$D1216&amp;"-"&amp;$F1216&amp;"-"&amp;$K1216)</f>
        <v/>
      </c>
      <c r="C1216" s="16" t="n"/>
      <c r="D1216" s="17">
        <f>IF($C1216="","",IFERROR(INDEX(rngCadetPIDs,MATCH($C1216,rngCadetNames,0)),"?"))</f>
        <v/>
      </c>
      <c r="E1216" s="17">
        <f>IF($D1216="","",IFERROR(INDEX(nrCadetAgency,MATCH($D1216,rngCadetPIDs,0)),""))</f>
        <v/>
      </c>
      <c r="F1216" s="16" t="n"/>
      <c r="G1216" s="17">
        <f>IF($F1216="","",IFERROR(INDEX(rngEPname,MATCH($F1216,rngEPcode,0)),"?"))</f>
        <v/>
      </c>
      <c r="H1216" s="17">
        <f>IF($F1216="","",IFERROR(INDEX(rngEPtype,MATCH($F1216,rngEPcode,0)),"?"))</f>
        <v/>
      </c>
      <c r="I1216" s="17">
        <f>IF($F1216="","",IFERROR(INDEX(rngEPseq,MATCH($F1216,rngEPcode,0)),""))</f>
        <v/>
      </c>
      <c r="J1216" s="17">
        <f>IF($F1216="","",IFERROR(INDEX(rngEPpass,MATCH($F1216,rngEPcode,0)),cfgPassingScore))</f>
        <v/>
      </c>
      <c r="K1216" s="16" t="n"/>
      <c r="L1216" s="16" t="n"/>
      <c r="M1216" s="17">
        <f>IF($C1216="","",IF($L1216="","",IF(NOT(ISNUMBER($L1216)),$L1216,IF(N($K1216)&gt;2,"",IF($K1216=1,IF(COUNTIFS(nrES_PID,$D1216,nrES_Code,$F1216,nrES_Att,2,nrES_Raw,"&gt;=0")&gt;0,"",$L1216),IF($L1216&gt;=$J1216,MAX($J1216,cfgRetakeRecordedCap),IF(COUNTIFS(nrES_PID,$D1216,nrES_Code,$F1216,nrES_Att,1)=0,$L1216,SUMIFS(nrES_Raw,nrES_PID,$D1216,nrES_Code,$F1216,nrES_Att,1))))))))</f>
        <v/>
      </c>
      <c r="N1216" s="17">
        <f>IF($C1216="","",IF($L1216="","",IF(NOT(ISNUMBER($L1216)),"(not a score)",IF($L1216&gt;=$J1216,"Yes","No"))))</f>
        <v/>
      </c>
      <c r="O1216" s="17">
        <f>IF($C1216="","",IF($M1216="","",IF(NOT(ISNUMBER($M1216)),"(not a score)",IF($M1216&gt;=$J1216,"Yes","No"))))</f>
        <v/>
      </c>
      <c r="P1216" s="17">
        <f>IF($C1216="","",IF($K1216="","",IF(N($K1216)&gt;2,"No",IF(COUNTIFS(nrES_PID,$D1216,nrES_Code,$F1216,nrES_Att,"&gt;"&amp;$K1216,nrES_Att,"&lt;=2",nrES_Raw,"&gt;=0")=0,"Yes","No"))))</f>
        <v/>
      </c>
      <c r="Q1216" s="17">
        <f>IF($C1216="","",IF($L1216="","",IF(AND($K1216=1,ISNUMBER($L1216),$L1216&lt;$J1216,COUNTIFS(nrES_PID,$D1216,nrES_Code,$F1216,nrES_Att,2,nrES_Raw,"&gt;=0")=0),"Yes","No")))</f>
        <v/>
      </c>
      <c r="R1216" s="17">
        <f>IF($C1216="","",IF($L1216="","",IF(AND(N($K1216)&gt;=2,ISNUMBER($L1216),$L1216&lt;$J1216),"Yes","No")))</f>
        <v/>
      </c>
      <c r="S1216" s="18" t="n"/>
      <c r="T1216" s="19">
        <f>IF(OR($C1216="",$L1216="",$K1216&lt;&gt;1,NOT(ISNUMBER($L1216)),$L1216&gt;=$J1216),"",IF($S1216="","(enter date)",_xlfn.LET(_xlpm.dn,_xlfn.XLOOKUP($S1216,nrCDdate,nrCDnum,"",1),IF(_xlpm.dn="","(after last class day)",_xlfn.LET(_xlpm.dd,_xlfn.XLOOKUP(_xlpm.dn+cfgRetestClassDays,nrCDnum,nrCDdate,""),_xlpm.ok,_xlfn.XLOOKUP(_xlpm.dn+cfgRetestClassDays,nrCDnum,nrCDinsession,"No"),IF(OR(_xlpm.dd="",_xlpm.ok&lt;&gt;"Yes"),"(after last class day)",_xlpm.dd))))))</f>
        <v/>
      </c>
      <c r="U1216" s="17">
        <f>IF($C1216="","",IF(AND($Y1216="Excused",$L1216="",N($K1216)&lt;=1),"EXCUSED - 1st attempt pending",IF(OR($L1216="",$K1216&lt;&gt;1,NOT(ISNUMBER($L1216)),$L1216&gt;=$J1216),"",IF(COUNTIFS(nrES_PID,$D1216,nrES_Code,$F1216,nrES_Att,2,nrES_Raw,"&gt;=0")&gt;0,IF(IFERROR(_xlfn.MINIFS(nrES_Date,nrES_PID,$D1216,nrES_Code,$F1216,nrES_Att,2,nrES_Raw,"&gt;=0",nrES_Date,"&gt;0"),0)=0,"RETEST UNDATED",IF(NOT(ISNUMBER($T1216)),"RETEST DATE UNCHECKED",IF(_xlfn.MINIFS(nrES_Date,nrES_PID,$D1216,nrES_Code,$F1216,nrES_Att,2,nrES_Raw,"&gt;=0",nrES_Date,"&gt;0")&gt;$T1216,"LATE RETEST "&amp;TEXT(_xlfn.MINIFS(nrES_Date,nrES_PID,$D1216,nrES_Code,$F1216,nrES_Att,2,nrES_Raw,"&gt;=0",nrES_Date,"&gt;0"),"mm/dd")&amp;" (due "&amp;TEXT($T1216,"mm/dd")&amp;")","Retested"))),IF(NOT(ISNUMBER($T1216)),"CHECK DATE",IF(TODAY()&gt;$T1216,"OVERDUE","Due "&amp;TEXT($T1216,"mm/dd")))))))</f>
        <v/>
      </c>
      <c r="V1216" s="16" t="n"/>
      <c r="W1216" s="16" t="n"/>
      <c r="X1216" s="17">
        <f>IF($C1216="","",IF(AND($L1216&lt;&gt;"",NOT(ISNUMBER($L1216))),"RAW SCORE NOT A NUMBER",IF(AND(ISNUMBER($L1216),OR($L1216&lt;0,$L1216&gt;100)),"RAW SCORE OUT OF RANGE",IF(AND($Y1216="Unexcused",OR($L1216="",NOT(ISNUMBER($L1216)),$L1216&lt;&gt;0)),"UNEXCUSED ABSENCE MUST RECORD 0",IF(COUNTIF(nrES_RecID,$B1216)&gt;1,"DUPLICATE RECORD",IF(N($K1216)&gt;2,"ATTEMPT 3+ NOT ALLOWED - policy 300.5 permits one retest per exam; this row records nothing",IF(AND($K1216=2,COUNTIFS(nrES_PID,$D1216,nrES_Code,$F1216,nrES_Att,1)=0),"ATTEMPT 2 WITHOUT ATTEMPT 1",IF(AND($K1216=2,$L1216=""),"RETEST ROW HAS NO SCORE",IF(AND($H1216="Final",$L1216&lt;&gt;"",IFERROR(INDEX(nrCKfinalExamElig,MATCH($D1216,rngCadetPIDs,0)),"")="No"),"FINAL EXAM AFTER FAILED FINAL PT (500.1.H)",IF(AND($K1216=2,ISNUMBER($L1216),COUNTIFS(nrES_PID,$D1216,nrES_Code,$F1216,nrES_Att,1)&gt;0,SUMIFS(nrES_Raw,nrES_PID,$D1216,nrES_Code,$F1216,nrES_Att,1)&gt;=$J1216),"RETEST AFTER A PASSING FIRST ATTEMPT","OK"))))))))))</f>
        <v/>
      </c>
      <c r="Y1216" s="16" t="n"/>
    </row>
    <row r="1217">
      <c r="B1217" s="17">
        <f>IF($C1217="","",$D1217&amp;"-"&amp;$F1217&amp;"-"&amp;$K1217)</f>
        <v/>
      </c>
      <c r="C1217" s="16" t="n"/>
      <c r="D1217" s="17">
        <f>IF($C1217="","",IFERROR(INDEX(rngCadetPIDs,MATCH($C1217,rngCadetNames,0)),"?"))</f>
        <v/>
      </c>
      <c r="E1217" s="17">
        <f>IF($D1217="","",IFERROR(INDEX(nrCadetAgency,MATCH($D1217,rngCadetPIDs,0)),""))</f>
        <v/>
      </c>
      <c r="F1217" s="16" t="n"/>
      <c r="G1217" s="17">
        <f>IF($F1217="","",IFERROR(INDEX(rngEPname,MATCH($F1217,rngEPcode,0)),"?"))</f>
        <v/>
      </c>
      <c r="H1217" s="17">
        <f>IF($F1217="","",IFERROR(INDEX(rngEPtype,MATCH($F1217,rngEPcode,0)),"?"))</f>
        <v/>
      </c>
      <c r="I1217" s="17">
        <f>IF($F1217="","",IFERROR(INDEX(rngEPseq,MATCH($F1217,rngEPcode,0)),""))</f>
        <v/>
      </c>
      <c r="J1217" s="17">
        <f>IF($F1217="","",IFERROR(INDEX(rngEPpass,MATCH($F1217,rngEPcode,0)),cfgPassingScore))</f>
        <v/>
      </c>
      <c r="K1217" s="16" t="n"/>
      <c r="L1217" s="16" t="n"/>
      <c r="M1217" s="17">
        <f>IF($C1217="","",IF($L1217="","",IF(NOT(ISNUMBER($L1217)),$L1217,IF(N($K1217)&gt;2,"",IF($K1217=1,IF(COUNTIFS(nrES_PID,$D1217,nrES_Code,$F1217,nrES_Att,2,nrES_Raw,"&gt;=0")&gt;0,"",$L1217),IF($L1217&gt;=$J1217,MAX($J1217,cfgRetakeRecordedCap),IF(COUNTIFS(nrES_PID,$D1217,nrES_Code,$F1217,nrES_Att,1)=0,$L1217,SUMIFS(nrES_Raw,nrES_PID,$D1217,nrES_Code,$F1217,nrES_Att,1))))))))</f>
        <v/>
      </c>
      <c r="N1217" s="17">
        <f>IF($C1217="","",IF($L1217="","",IF(NOT(ISNUMBER($L1217)),"(not a score)",IF($L1217&gt;=$J1217,"Yes","No"))))</f>
        <v/>
      </c>
      <c r="O1217" s="17">
        <f>IF($C1217="","",IF($M1217="","",IF(NOT(ISNUMBER($M1217)),"(not a score)",IF($M1217&gt;=$J1217,"Yes","No"))))</f>
        <v/>
      </c>
      <c r="P1217" s="17">
        <f>IF($C1217="","",IF($K1217="","",IF(N($K1217)&gt;2,"No",IF(COUNTIFS(nrES_PID,$D1217,nrES_Code,$F1217,nrES_Att,"&gt;"&amp;$K1217,nrES_Att,"&lt;=2",nrES_Raw,"&gt;=0")=0,"Yes","No"))))</f>
        <v/>
      </c>
      <c r="Q1217" s="17">
        <f>IF($C1217="","",IF($L1217="","",IF(AND($K1217=1,ISNUMBER($L1217),$L1217&lt;$J1217,COUNTIFS(nrES_PID,$D1217,nrES_Code,$F1217,nrES_Att,2,nrES_Raw,"&gt;=0")=0),"Yes","No")))</f>
        <v/>
      </c>
      <c r="R1217" s="17">
        <f>IF($C1217="","",IF($L1217="","",IF(AND(N($K1217)&gt;=2,ISNUMBER($L1217),$L1217&lt;$J1217),"Yes","No")))</f>
        <v/>
      </c>
      <c r="S1217" s="18" t="n"/>
      <c r="T1217" s="19">
        <f>IF(OR($C1217="",$L1217="",$K1217&lt;&gt;1,NOT(ISNUMBER($L1217)),$L1217&gt;=$J1217),"",IF($S1217="","(enter date)",_xlfn.LET(_xlpm.dn,_xlfn.XLOOKUP($S1217,nrCDdate,nrCDnum,"",1),IF(_xlpm.dn="","(after last class day)",_xlfn.LET(_xlpm.dd,_xlfn.XLOOKUP(_xlpm.dn+cfgRetestClassDays,nrCDnum,nrCDdate,""),_xlpm.ok,_xlfn.XLOOKUP(_xlpm.dn+cfgRetestClassDays,nrCDnum,nrCDinsession,"No"),IF(OR(_xlpm.dd="",_xlpm.ok&lt;&gt;"Yes"),"(after last class day)",_xlpm.dd))))))</f>
        <v/>
      </c>
      <c r="U1217" s="17">
        <f>IF($C1217="","",IF(AND($Y1217="Excused",$L1217="",N($K1217)&lt;=1),"EXCUSED - 1st attempt pending",IF(OR($L1217="",$K1217&lt;&gt;1,NOT(ISNUMBER($L1217)),$L1217&gt;=$J1217),"",IF(COUNTIFS(nrES_PID,$D1217,nrES_Code,$F1217,nrES_Att,2,nrES_Raw,"&gt;=0")&gt;0,IF(IFERROR(_xlfn.MINIFS(nrES_Date,nrES_PID,$D1217,nrES_Code,$F1217,nrES_Att,2,nrES_Raw,"&gt;=0",nrES_Date,"&gt;0"),0)=0,"RETEST UNDATED",IF(NOT(ISNUMBER($T1217)),"RETEST DATE UNCHECKED",IF(_xlfn.MINIFS(nrES_Date,nrES_PID,$D1217,nrES_Code,$F1217,nrES_Att,2,nrES_Raw,"&gt;=0",nrES_Date,"&gt;0")&gt;$T1217,"LATE RETEST "&amp;TEXT(_xlfn.MINIFS(nrES_Date,nrES_PID,$D1217,nrES_Code,$F1217,nrES_Att,2,nrES_Raw,"&gt;=0",nrES_Date,"&gt;0"),"mm/dd")&amp;" (due "&amp;TEXT($T1217,"mm/dd")&amp;")","Retested"))),IF(NOT(ISNUMBER($T1217)),"CHECK DATE",IF(TODAY()&gt;$T1217,"OVERDUE","Due "&amp;TEXT($T1217,"mm/dd")))))))</f>
        <v/>
      </c>
      <c r="V1217" s="16" t="n"/>
      <c r="W1217" s="16" t="n"/>
      <c r="X1217" s="17">
        <f>IF($C1217="","",IF(AND($L1217&lt;&gt;"",NOT(ISNUMBER($L1217))),"RAW SCORE NOT A NUMBER",IF(AND(ISNUMBER($L1217),OR($L1217&lt;0,$L1217&gt;100)),"RAW SCORE OUT OF RANGE",IF(AND($Y1217="Unexcused",OR($L1217="",NOT(ISNUMBER($L1217)),$L1217&lt;&gt;0)),"UNEXCUSED ABSENCE MUST RECORD 0",IF(COUNTIF(nrES_RecID,$B1217)&gt;1,"DUPLICATE RECORD",IF(N($K1217)&gt;2,"ATTEMPT 3+ NOT ALLOWED - policy 300.5 permits one retest per exam; this row records nothing",IF(AND($K1217=2,COUNTIFS(nrES_PID,$D1217,nrES_Code,$F1217,nrES_Att,1)=0),"ATTEMPT 2 WITHOUT ATTEMPT 1",IF(AND($K1217=2,$L1217=""),"RETEST ROW HAS NO SCORE",IF(AND($H1217="Final",$L1217&lt;&gt;"",IFERROR(INDEX(nrCKfinalExamElig,MATCH($D1217,rngCadetPIDs,0)),"")="No"),"FINAL EXAM AFTER FAILED FINAL PT (500.1.H)",IF(AND($K1217=2,ISNUMBER($L1217),COUNTIFS(nrES_PID,$D1217,nrES_Code,$F1217,nrES_Att,1)&gt;0,SUMIFS(nrES_Raw,nrES_PID,$D1217,nrES_Code,$F1217,nrES_Att,1)&gt;=$J1217),"RETEST AFTER A PASSING FIRST ATTEMPT","OK"))))))))))</f>
        <v/>
      </c>
      <c r="Y1217" s="16" t="n"/>
    </row>
    <row r="1218">
      <c r="B1218" s="17">
        <f>IF($C1218="","",$D1218&amp;"-"&amp;$F1218&amp;"-"&amp;$K1218)</f>
        <v/>
      </c>
      <c r="C1218" s="16" t="n"/>
      <c r="D1218" s="17">
        <f>IF($C1218="","",IFERROR(INDEX(rngCadetPIDs,MATCH($C1218,rngCadetNames,0)),"?"))</f>
        <v/>
      </c>
      <c r="E1218" s="17">
        <f>IF($D1218="","",IFERROR(INDEX(nrCadetAgency,MATCH($D1218,rngCadetPIDs,0)),""))</f>
        <v/>
      </c>
      <c r="F1218" s="16" t="n"/>
      <c r="G1218" s="17">
        <f>IF($F1218="","",IFERROR(INDEX(rngEPname,MATCH($F1218,rngEPcode,0)),"?"))</f>
        <v/>
      </c>
      <c r="H1218" s="17">
        <f>IF($F1218="","",IFERROR(INDEX(rngEPtype,MATCH($F1218,rngEPcode,0)),"?"))</f>
        <v/>
      </c>
      <c r="I1218" s="17">
        <f>IF($F1218="","",IFERROR(INDEX(rngEPseq,MATCH($F1218,rngEPcode,0)),""))</f>
        <v/>
      </c>
      <c r="J1218" s="17">
        <f>IF($F1218="","",IFERROR(INDEX(rngEPpass,MATCH($F1218,rngEPcode,0)),cfgPassingScore))</f>
        <v/>
      </c>
      <c r="K1218" s="16" t="n"/>
      <c r="L1218" s="16" t="n"/>
      <c r="M1218" s="17">
        <f>IF($C1218="","",IF($L1218="","",IF(NOT(ISNUMBER($L1218)),$L1218,IF(N($K1218)&gt;2,"",IF($K1218=1,IF(COUNTIFS(nrES_PID,$D1218,nrES_Code,$F1218,nrES_Att,2,nrES_Raw,"&gt;=0")&gt;0,"",$L1218),IF($L1218&gt;=$J1218,MAX($J1218,cfgRetakeRecordedCap),IF(COUNTIFS(nrES_PID,$D1218,nrES_Code,$F1218,nrES_Att,1)=0,$L1218,SUMIFS(nrES_Raw,nrES_PID,$D1218,nrES_Code,$F1218,nrES_Att,1))))))))</f>
        <v/>
      </c>
      <c r="N1218" s="17">
        <f>IF($C1218="","",IF($L1218="","",IF(NOT(ISNUMBER($L1218)),"(not a score)",IF($L1218&gt;=$J1218,"Yes","No"))))</f>
        <v/>
      </c>
      <c r="O1218" s="17">
        <f>IF($C1218="","",IF($M1218="","",IF(NOT(ISNUMBER($M1218)),"(not a score)",IF($M1218&gt;=$J1218,"Yes","No"))))</f>
        <v/>
      </c>
      <c r="P1218" s="17">
        <f>IF($C1218="","",IF($K1218="","",IF(N($K1218)&gt;2,"No",IF(COUNTIFS(nrES_PID,$D1218,nrES_Code,$F1218,nrES_Att,"&gt;"&amp;$K1218,nrES_Att,"&lt;=2",nrES_Raw,"&gt;=0")=0,"Yes","No"))))</f>
        <v/>
      </c>
      <c r="Q1218" s="17">
        <f>IF($C1218="","",IF($L1218="","",IF(AND($K1218=1,ISNUMBER($L1218),$L1218&lt;$J1218,COUNTIFS(nrES_PID,$D1218,nrES_Code,$F1218,nrES_Att,2,nrES_Raw,"&gt;=0")=0),"Yes","No")))</f>
        <v/>
      </c>
      <c r="R1218" s="17">
        <f>IF($C1218="","",IF($L1218="","",IF(AND(N($K1218)&gt;=2,ISNUMBER($L1218),$L1218&lt;$J1218),"Yes","No")))</f>
        <v/>
      </c>
      <c r="S1218" s="18" t="n"/>
      <c r="T1218" s="19">
        <f>IF(OR($C1218="",$L1218="",$K1218&lt;&gt;1,NOT(ISNUMBER($L1218)),$L1218&gt;=$J1218),"",IF($S1218="","(enter date)",_xlfn.LET(_xlpm.dn,_xlfn.XLOOKUP($S1218,nrCDdate,nrCDnum,"",1),IF(_xlpm.dn="","(after last class day)",_xlfn.LET(_xlpm.dd,_xlfn.XLOOKUP(_xlpm.dn+cfgRetestClassDays,nrCDnum,nrCDdate,""),_xlpm.ok,_xlfn.XLOOKUP(_xlpm.dn+cfgRetestClassDays,nrCDnum,nrCDinsession,"No"),IF(OR(_xlpm.dd="",_xlpm.ok&lt;&gt;"Yes"),"(after last class day)",_xlpm.dd))))))</f>
        <v/>
      </c>
      <c r="U1218" s="17">
        <f>IF($C1218="","",IF(AND($Y1218="Excused",$L1218="",N($K1218)&lt;=1),"EXCUSED - 1st attempt pending",IF(OR($L1218="",$K1218&lt;&gt;1,NOT(ISNUMBER($L1218)),$L1218&gt;=$J1218),"",IF(COUNTIFS(nrES_PID,$D1218,nrES_Code,$F1218,nrES_Att,2,nrES_Raw,"&gt;=0")&gt;0,IF(IFERROR(_xlfn.MINIFS(nrES_Date,nrES_PID,$D1218,nrES_Code,$F1218,nrES_Att,2,nrES_Raw,"&gt;=0",nrES_Date,"&gt;0"),0)=0,"RETEST UNDATED",IF(NOT(ISNUMBER($T1218)),"RETEST DATE UNCHECKED",IF(_xlfn.MINIFS(nrES_Date,nrES_PID,$D1218,nrES_Code,$F1218,nrES_Att,2,nrES_Raw,"&gt;=0",nrES_Date,"&gt;0")&gt;$T1218,"LATE RETEST "&amp;TEXT(_xlfn.MINIFS(nrES_Date,nrES_PID,$D1218,nrES_Code,$F1218,nrES_Att,2,nrES_Raw,"&gt;=0",nrES_Date,"&gt;0"),"mm/dd")&amp;" (due "&amp;TEXT($T1218,"mm/dd")&amp;")","Retested"))),IF(NOT(ISNUMBER($T1218)),"CHECK DATE",IF(TODAY()&gt;$T1218,"OVERDUE","Due "&amp;TEXT($T1218,"mm/dd")))))))</f>
        <v/>
      </c>
      <c r="V1218" s="16" t="n"/>
      <c r="W1218" s="16" t="n"/>
      <c r="X1218" s="17">
        <f>IF($C1218="","",IF(AND($L1218&lt;&gt;"",NOT(ISNUMBER($L1218))),"RAW SCORE NOT A NUMBER",IF(AND(ISNUMBER($L1218),OR($L1218&lt;0,$L1218&gt;100)),"RAW SCORE OUT OF RANGE",IF(AND($Y1218="Unexcused",OR($L1218="",NOT(ISNUMBER($L1218)),$L1218&lt;&gt;0)),"UNEXCUSED ABSENCE MUST RECORD 0",IF(COUNTIF(nrES_RecID,$B1218)&gt;1,"DUPLICATE RECORD",IF(N($K1218)&gt;2,"ATTEMPT 3+ NOT ALLOWED - policy 300.5 permits one retest per exam; this row records nothing",IF(AND($K1218=2,COUNTIFS(nrES_PID,$D1218,nrES_Code,$F1218,nrES_Att,1)=0),"ATTEMPT 2 WITHOUT ATTEMPT 1",IF(AND($K1218=2,$L1218=""),"RETEST ROW HAS NO SCORE",IF(AND($H1218="Final",$L1218&lt;&gt;"",IFERROR(INDEX(nrCKfinalExamElig,MATCH($D1218,rngCadetPIDs,0)),"")="No"),"FINAL EXAM AFTER FAILED FINAL PT (500.1.H)",IF(AND($K1218=2,ISNUMBER($L1218),COUNTIFS(nrES_PID,$D1218,nrES_Code,$F1218,nrES_Att,1)&gt;0,SUMIFS(nrES_Raw,nrES_PID,$D1218,nrES_Code,$F1218,nrES_Att,1)&gt;=$J1218),"RETEST AFTER A PASSING FIRST ATTEMPT","OK"))))))))))</f>
        <v/>
      </c>
      <c r="Y1218" s="16" t="n"/>
    </row>
    <row r="1219">
      <c r="B1219" s="17">
        <f>IF($C1219="","",$D1219&amp;"-"&amp;$F1219&amp;"-"&amp;$K1219)</f>
        <v/>
      </c>
      <c r="C1219" s="16" t="n"/>
      <c r="D1219" s="17">
        <f>IF($C1219="","",IFERROR(INDEX(rngCadetPIDs,MATCH($C1219,rngCadetNames,0)),"?"))</f>
        <v/>
      </c>
      <c r="E1219" s="17">
        <f>IF($D1219="","",IFERROR(INDEX(nrCadetAgency,MATCH($D1219,rngCadetPIDs,0)),""))</f>
        <v/>
      </c>
      <c r="F1219" s="16" t="n"/>
      <c r="G1219" s="17">
        <f>IF($F1219="","",IFERROR(INDEX(rngEPname,MATCH($F1219,rngEPcode,0)),"?"))</f>
        <v/>
      </c>
      <c r="H1219" s="17">
        <f>IF($F1219="","",IFERROR(INDEX(rngEPtype,MATCH($F1219,rngEPcode,0)),"?"))</f>
        <v/>
      </c>
      <c r="I1219" s="17">
        <f>IF($F1219="","",IFERROR(INDEX(rngEPseq,MATCH($F1219,rngEPcode,0)),""))</f>
        <v/>
      </c>
      <c r="J1219" s="17">
        <f>IF($F1219="","",IFERROR(INDEX(rngEPpass,MATCH($F1219,rngEPcode,0)),cfgPassingScore))</f>
        <v/>
      </c>
      <c r="K1219" s="16" t="n"/>
      <c r="L1219" s="16" t="n"/>
      <c r="M1219" s="17">
        <f>IF($C1219="","",IF($L1219="","",IF(NOT(ISNUMBER($L1219)),$L1219,IF(N($K1219)&gt;2,"",IF($K1219=1,IF(COUNTIFS(nrES_PID,$D1219,nrES_Code,$F1219,nrES_Att,2,nrES_Raw,"&gt;=0")&gt;0,"",$L1219),IF($L1219&gt;=$J1219,MAX($J1219,cfgRetakeRecordedCap),IF(COUNTIFS(nrES_PID,$D1219,nrES_Code,$F1219,nrES_Att,1)=0,$L1219,SUMIFS(nrES_Raw,nrES_PID,$D1219,nrES_Code,$F1219,nrES_Att,1))))))))</f>
        <v/>
      </c>
      <c r="N1219" s="17">
        <f>IF($C1219="","",IF($L1219="","",IF(NOT(ISNUMBER($L1219)),"(not a score)",IF($L1219&gt;=$J1219,"Yes","No"))))</f>
        <v/>
      </c>
      <c r="O1219" s="17">
        <f>IF($C1219="","",IF($M1219="","",IF(NOT(ISNUMBER($M1219)),"(not a score)",IF($M1219&gt;=$J1219,"Yes","No"))))</f>
        <v/>
      </c>
      <c r="P1219" s="17">
        <f>IF($C1219="","",IF($K1219="","",IF(N($K1219)&gt;2,"No",IF(COUNTIFS(nrES_PID,$D1219,nrES_Code,$F1219,nrES_Att,"&gt;"&amp;$K1219,nrES_Att,"&lt;=2",nrES_Raw,"&gt;=0")=0,"Yes","No"))))</f>
        <v/>
      </c>
      <c r="Q1219" s="17">
        <f>IF($C1219="","",IF($L1219="","",IF(AND($K1219=1,ISNUMBER($L1219),$L1219&lt;$J1219,COUNTIFS(nrES_PID,$D1219,nrES_Code,$F1219,nrES_Att,2,nrES_Raw,"&gt;=0")=0),"Yes","No")))</f>
        <v/>
      </c>
      <c r="R1219" s="17">
        <f>IF($C1219="","",IF($L1219="","",IF(AND(N($K1219)&gt;=2,ISNUMBER($L1219),$L1219&lt;$J1219),"Yes","No")))</f>
        <v/>
      </c>
      <c r="S1219" s="18" t="n"/>
      <c r="T1219" s="19">
        <f>IF(OR($C1219="",$L1219="",$K1219&lt;&gt;1,NOT(ISNUMBER($L1219)),$L1219&gt;=$J1219),"",IF($S1219="","(enter date)",_xlfn.LET(_xlpm.dn,_xlfn.XLOOKUP($S1219,nrCDdate,nrCDnum,"",1),IF(_xlpm.dn="","(after last class day)",_xlfn.LET(_xlpm.dd,_xlfn.XLOOKUP(_xlpm.dn+cfgRetestClassDays,nrCDnum,nrCDdate,""),_xlpm.ok,_xlfn.XLOOKUP(_xlpm.dn+cfgRetestClassDays,nrCDnum,nrCDinsession,"No"),IF(OR(_xlpm.dd="",_xlpm.ok&lt;&gt;"Yes"),"(after last class day)",_xlpm.dd))))))</f>
        <v/>
      </c>
      <c r="U1219" s="17">
        <f>IF($C1219="","",IF(AND($Y1219="Excused",$L1219="",N($K1219)&lt;=1),"EXCUSED - 1st attempt pending",IF(OR($L1219="",$K1219&lt;&gt;1,NOT(ISNUMBER($L1219)),$L1219&gt;=$J1219),"",IF(COUNTIFS(nrES_PID,$D1219,nrES_Code,$F1219,nrES_Att,2,nrES_Raw,"&gt;=0")&gt;0,IF(IFERROR(_xlfn.MINIFS(nrES_Date,nrES_PID,$D1219,nrES_Code,$F1219,nrES_Att,2,nrES_Raw,"&gt;=0",nrES_Date,"&gt;0"),0)=0,"RETEST UNDATED",IF(NOT(ISNUMBER($T1219)),"RETEST DATE UNCHECKED",IF(_xlfn.MINIFS(nrES_Date,nrES_PID,$D1219,nrES_Code,$F1219,nrES_Att,2,nrES_Raw,"&gt;=0",nrES_Date,"&gt;0")&gt;$T1219,"LATE RETEST "&amp;TEXT(_xlfn.MINIFS(nrES_Date,nrES_PID,$D1219,nrES_Code,$F1219,nrES_Att,2,nrES_Raw,"&gt;=0",nrES_Date,"&gt;0"),"mm/dd")&amp;" (due "&amp;TEXT($T1219,"mm/dd")&amp;")","Retested"))),IF(NOT(ISNUMBER($T1219)),"CHECK DATE",IF(TODAY()&gt;$T1219,"OVERDUE","Due "&amp;TEXT($T1219,"mm/dd")))))))</f>
        <v/>
      </c>
      <c r="V1219" s="16" t="n"/>
      <c r="W1219" s="16" t="n"/>
      <c r="X1219" s="17">
        <f>IF($C1219="","",IF(AND($L1219&lt;&gt;"",NOT(ISNUMBER($L1219))),"RAW SCORE NOT A NUMBER",IF(AND(ISNUMBER($L1219),OR($L1219&lt;0,$L1219&gt;100)),"RAW SCORE OUT OF RANGE",IF(AND($Y1219="Unexcused",OR($L1219="",NOT(ISNUMBER($L1219)),$L1219&lt;&gt;0)),"UNEXCUSED ABSENCE MUST RECORD 0",IF(COUNTIF(nrES_RecID,$B1219)&gt;1,"DUPLICATE RECORD",IF(N($K1219)&gt;2,"ATTEMPT 3+ NOT ALLOWED - policy 300.5 permits one retest per exam; this row records nothing",IF(AND($K1219=2,COUNTIFS(nrES_PID,$D1219,nrES_Code,$F1219,nrES_Att,1)=0),"ATTEMPT 2 WITHOUT ATTEMPT 1",IF(AND($K1219=2,$L1219=""),"RETEST ROW HAS NO SCORE",IF(AND($H1219="Final",$L1219&lt;&gt;"",IFERROR(INDEX(nrCKfinalExamElig,MATCH($D1219,rngCadetPIDs,0)),"")="No"),"FINAL EXAM AFTER FAILED FINAL PT (500.1.H)",IF(AND($K1219=2,ISNUMBER($L1219),COUNTIFS(nrES_PID,$D1219,nrES_Code,$F1219,nrES_Att,1)&gt;0,SUMIFS(nrES_Raw,nrES_PID,$D1219,nrES_Code,$F1219,nrES_Att,1)&gt;=$J1219),"RETEST AFTER A PASSING FIRST ATTEMPT","OK"))))))))))</f>
        <v/>
      </c>
      <c r="Y1219" s="16" t="n"/>
    </row>
    <row r="1220">
      <c r="B1220" s="17">
        <f>IF($C1220="","",$D1220&amp;"-"&amp;$F1220&amp;"-"&amp;$K1220)</f>
        <v/>
      </c>
      <c r="C1220" s="16" t="n"/>
      <c r="D1220" s="17">
        <f>IF($C1220="","",IFERROR(INDEX(rngCadetPIDs,MATCH($C1220,rngCadetNames,0)),"?"))</f>
        <v/>
      </c>
      <c r="E1220" s="17">
        <f>IF($D1220="","",IFERROR(INDEX(nrCadetAgency,MATCH($D1220,rngCadetPIDs,0)),""))</f>
        <v/>
      </c>
      <c r="F1220" s="16" t="n"/>
      <c r="G1220" s="17">
        <f>IF($F1220="","",IFERROR(INDEX(rngEPname,MATCH($F1220,rngEPcode,0)),"?"))</f>
        <v/>
      </c>
      <c r="H1220" s="17">
        <f>IF($F1220="","",IFERROR(INDEX(rngEPtype,MATCH($F1220,rngEPcode,0)),"?"))</f>
        <v/>
      </c>
      <c r="I1220" s="17">
        <f>IF($F1220="","",IFERROR(INDEX(rngEPseq,MATCH($F1220,rngEPcode,0)),""))</f>
        <v/>
      </c>
      <c r="J1220" s="17">
        <f>IF($F1220="","",IFERROR(INDEX(rngEPpass,MATCH($F1220,rngEPcode,0)),cfgPassingScore))</f>
        <v/>
      </c>
      <c r="K1220" s="16" t="n"/>
      <c r="L1220" s="16" t="n"/>
      <c r="M1220" s="17">
        <f>IF($C1220="","",IF($L1220="","",IF(NOT(ISNUMBER($L1220)),$L1220,IF(N($K1220)&gt;2,"",IF($K1220=1,IF(COUNTIFS(nrES_PID,$D1220,nrES_Code,$F1220,nrES_Att,2,nrES_Raw,"&gt;=0")&gt;0,"",$L1220),IF($L1220&gt;=$J1220,MAX($J1220,cfgRetakeRecordedCap),IF(COUNTIFS(nrES_PID,$D1220,nrES_Code,$F1220,nrES_Att,1)=0,$L1220,SUMIFS(nrES_Raw,nrES_PID,$D1220,nrES_Code,$F1220,nrES_Att,1))))))))</f>
        <v/>
      </c>
      <c r="N1220" s="17">
        <f>IF($C1220="","",IF($L1220="","",IF(NOT(ISNUMBER($L1220)),"(not a score)",IF($L1220&gt;=$J1220,"Yes","No"))))</f>
        <v/>
      </c>
      <c r="O1220" s="17">
        <f>IF($C1220="","",IF($M1220="","",IF(NOT(ISNUMBER($M1220)),"(not a score)",IF($M1220&gt;=$J1220,"Yes","No"))))</f>
        <v/>
      </c>
      <c r="P1220" s="17">
        <f>IF($C1220="","",IF($K1220="","",IF(N($K1220)&gt;2,"No",IF(COUNTIFS(nrES_PID,$D1220,nrES_Code,$F1220,nrES_Att,"&gt;"&amp;$K1220,nrES_Att,"&lt;=2",nrES_Raw,"&gt;=0")=0,"Yes","No"))))</f>
        <v/>
      </c>
      <c r="Q1220" s="17">
        <f>IF($C1220="","",IF($L1220="","",IF(AND($K1220=1,ISNUMBER($L1220),$L1220&lt;$J1220,COUNTIFS(nrES_PID,$D1220,nrES_Code,$F1220,nrES_Att,2,nrES_Raw,"&gt;=0")=0),"Yes","No")))</f>
        <v/>
      </c>
      <c r="R1220" s="17">
        <f>IF($C1220="","",IF($L1220="","",IF(AND(N($K1220)&gt;=2,ISNUMBER($L1220),$L1220&lt;$J1220),"Yes","No")))</f>
        <v/>
      </c>
      <c r="S1220" s="18" t="n"/>
      <c r="T1220" s="19">
        <f>IF(OR($C1220="",$L1220="",$K1220&lt;&gt;1,NOT(ISNUMBER($L1220)),$L1220&gt;=$J1220),"",IF($S1220="","(enter date)",_xlfn.LET(_xlpm.dn,_xlfn.XLOOKUP($S1220,nrCDdate,nrCDnum,"",1),IF(_xlpm.dn="","(after last class day)",_xlfn.LET(_xlpm.dd,_xlfn.XLOOKUP(_xlpm.dn+cfgRetestClassDays,nrCDnum,nrCDdate,""),_xlpm.ok,_xlfn.XLOOKUP(_xlpm.dn+cfgRetestClassDays,nrCDnum,nrCDinsession,"No"),IF(OR(_xlpm.dd="",_xlpm.ok&lt;&gt;"Yes"),"(after last class day)",_xlpm.dd))))))</f>
        <v/>
      </c>
      <c r="U1220" s="17">
        <f>IF($C1220="","",IF(AND($Y1220="Excused",$L1220="",N($K1220)&lt;=1),"EXCUSED - 1st attempt pending",IF(OR($L1220="",$K1220&lt;&gt;1,NOT(ISNUMBER($L1220)),$L1220&gt;=$J1220),"",IF(COUNTIFS(nrES_PID,$D1220,nrES_Code,$F1220,nrES_Att,2,nrES_Raw,"&gt;=0")&gt;0,IF(IFERROR(_xlfn.MINIFS(nrES_Date,nrES_PID,$D1220,nrES_Code,$F1220,nrES_Att,2,nrES_Raw,"&gt;=0",nrES_Date,"&gt;0"),0)=0,"RETEST UNDATED",IF(NOT(ISNUMBER($T1220)),"RETEST DATE UNCHECKED",IF(_xlfn.MINIFS(nrES_Date,nrES_PID,$D1220,nrES_Code,$F1220,nrES_Att,2,nrES_Raw,"&gt;=0",nrES_Date,"&gt;0")&gt;$T1220,"LATE RETEST "&amp;TEXT(_xlfn.MINIFS(nrES_Date,nrES_PID,$D1220,nrES_Code,$F1220,nrES_Att,2,nrES_Raw,"&gt;=0",nrES_Date,"&gt;0"),"mm/dd")&amp;" (due "&amp;TEXT($T1220,"mm/dd")&amp;")","Retested"))),IF(NOT(ISNUMBER($T1220)),"CHECK DATE",IF(TODAY()&gt;$T1220,"OVERDUE","Due "&amp;TEXT($T1220,"mm/dd")))))))</f>
        <v/>
      </c>
      <c r="V1220" s="16" t="n"/>
      <c r="W1220" s="16" t="n"/>
      <c r="X1220" s="17">
        <f>IF($C1220="","",IF(AND($L1220&lt;&gt;"",NOT(ISNUMBER($L1220))),"RAW SCORE NOT A NUMBER",IF(AND(ISNUMBER($L1220),OR($L1220&lt;0,$L1220&gt;100)),"RAW SCORE OUT OF RANGE",IF(AND($Y1220="Unexcused",OR($L1220="",NOT(ISNUMBER($L1220)),$L1220&lt;&gt;0)),"UNEXCUSED ABSENCE MUST RECORD 0",IF(COUNTIF(nrES_RecID,$B1220)&gt;1,"DUPLICATE RECORD",IF(N($K1220)&gt;2,"ATTEMPT 3+ NOT ALLOWED - policy 300.5 permits one retest per exam; this row records nothing",IF(AND($K1220=2,COUNTIFS(nrES_PID,$D1220,nrES_Code,$F1220,nrES_Att,1)=0),"ATTEMPT 2 WITHOUT ATTEMPT 1",IF(AND($K1220=2,$L1220=""),"RETEST ROW HAS NO SCORE",IF(AND($H1220="Final",$L1220&lt;&gt;"",IFERROR(INDEX(nrCKfinalExamElig,MATCH($D1220,rngCadetPIDs,0)),"")="No"),"FINAL EXAM AFTER FAILED FINAL PT (500.1.H)",IF(AND($K1220=2,ISNUMBER($L1220),COUNTIFS(nrES_PID,$D1220,nrES_Code,$F1220,nrES_Att,1)&gt;0,SUMIFS(nrES_Raw,nrES_PID,$D1220,nrES_Code,$F1220,nrES_Att,1)&gt;=$J1220),"RETEST AFTER A PASSING FIRST ATTEMPT","OK"))))))))))</f>
        <v/>
      </c>
      <c r="Y1220" s="16" t="n"/>
    </row>
    <row r="1221">
      <c r="B1221" s="17">
        <f>IF($C1221="","",$D1221&amp;"-"&amp;$F1221&amp;"-"&amp;$K1221)</f>
        <v/>
      </c>
      <c r="C1221" s="16" t="n"/>
      <c r="D1221" s="17">
        <f>IF($C1221="","",IFERROR(INDEX(rngCadetPIDs,MATCH($C1221,rngCadetNames,0)),"?"))</f>
        <v/>
      </c>
      <c r="E1221" s="17">
        <f>IF($D1221="","",IFERROR(INDEX(nrCadetAgency,MATCH($D1221,rngCadetPIDs,0)),""))</f>
        <v/>
      </c>
      <c r="F1221" s="16" t="n"/>
      <c r="G1221" s="17">
        <f>IF($F1221="","",IFERROR(INDEX(rngEPname,MATCH($F1221,rngEPcode,0)),"?"))</f>
        <v/>
      </c>
      <c r="H1221" s="17">
        <f>IF($F1221="","",IFERROR(INDEX(rngEPtype,MATCH($F1221,rngEPcode,0)),"?"))</f>
        <v/>
      </c>
      <c r="I1221" s="17">
        <f>IF($F1221="","",IFERROR(INDEX(rngEPseq,MATCH($F1221,rngEPcode,0)),""))</f>
        <v/>
      </c>
      <c r="J1221" s="17">
        <f>IF($F1221="","",IFERROR(INDEX(rngEPpass,MATCH($F1221,rngEPcode,0)),cfgPassingScore))</f>
        <v/>
      </c>
      <c r="K1221" s="16" t="n"/>
      <c r="L1221" s="16" t="n"/>
      <c r="M1221" s="17">
        <f>IF($C1221="","",IF($L1221="","",IF(NOT(ISNUMBER($L1221)),$L1221,IF(N($K1221)&gt;2,"",IF($K1221=1,IF(COUNTIFS(nrES_PID,$D1221,nrES_Code,$F1221,nrES_Att,2,nrES_Raw,"&gt;=0")&gt;0,"",$L1221),IF($L1221&gt;=$J1221,MAX($J1221,cfgRetakeRecordedCap),IF(COUNTIFS(nrES_PID,$D1221,nrES_Code,$F1221,nrES_Att,1)=0,$L1221,SUMIFS(nrES_Raw,nrES_PID,$D1221,nrES_Code,$F1221,nrES_Att,1))))))))</f>
        <v/>
      </c>
      <c r="N1221" s="17">
        <f>IF($C1221="","",IF($L1221="","",IF(NOT(ISNUMBER($L1221)),"(not a score)",IF($L1221&gt;=$J1221,"Yes","No"))))</f>
        <v/>
      </c>
      <c r="O1221" s="17">
        <f>IF($C1221="","",IF($M1221="","",IF(NOT(ISNUMBER($M1221)),"(not a score)",IF($M1221&gt;=$J1221,"Yes","No"))))</f>
        <v/>
      </c>
      <c r="P1221" s="17">
        <f>IF($C1221="","",IF($K1221="","",IF(N($K1221)&gt;2,"No",IF(COUNTIFS(nrES_PID,$D1221,nrES_Code,$F1221,nrES_Att,"&gt;"&amp;$K1221,nrES_Att,"&lt;=2",nrES_Raw,"&gt;=0")=0,"Yes","No"))))</f>
        <v/>
      </c>
      <c r="Q1221" s="17">
        <f>IF($C1221="","",IF($L1221="","",IF(AND($K1221=1,ISNUMBER($L1221),$L1221&lt;$J1221,COUNTIFS(nrES_PID,$D1221,nrES_Code,$F1221,nrES_Att,2,nrES_Raw,"&gt;=0")=0),"Yes","No")))</f>
        <v/>
      </c>
      <c r="R1221" s="17">
        <f>IF($C1221="","",IF($L1221="","",IF(AND(N($K1221)&gt;=2,ISNUMBER($L1221),$L1221&lt;$J1221),"Yes","No")))</f>
        <v/>
      </c>
      <c r="S1221" s="18" t="n"/>
      <c r="T1221" s="19">
        <f>IF(OR($C1221="",$L1221="",$K1221&lt;&gt;1,NOT(ISNUMBER($L1221)),$L1221&gt;=$J1221),"",IF($S1221="","(enter date)",_xlfn.LET(_xlpm.dn,_xlfn.XLOOKUP($S1221,nrCDdate,nrCDnum,"",1),IF(_xlpm.dn="","(after last class day)",_xlfn.LET(_xlpm.dd,_xlfn.XLOOKUP(_xlpm.dn+cfgRetestClassDays,nrCDnum,nrCDdate,""),_xlpm.ok,_xlfn.XLOOKUP(_xlpm.dn+cfgRetestClassDays,nrCDnum,nrCDinsession,"No"),IF(OR(_xlpm.dd="",_xlpm.ok&lt;&gt;"Yes"),"(after last class day)",_xlpm.dd))))))</f>
        <v/>
      </c>
      <c r="U1221" s="17">
        <f>IF($C1221="","",IF(AND($Y1221="Excused",$L1221="",N($K1221)&lt;=1),"EXCUSED - 1st attempt pending",IF(OR($L1221="",$K1221&lt;&gt;1,NOT(ISNUMBER($L1221)),$L1221&gt;=$J1221),"",IF(COUNTIFS(nrES_PID,$D1221,nrES_Code,$F1221,nrES_Att,2,nrES_Raw,"&gt;=0")&gt;0,IF(IFERROR(_xlfn.MINIFS(nrES_Date,nrES_PID,$D1221,nrES_Code,$F1221,nrES_Att,2,nrES_Raw,"&gt;=0",nrES_Date,"&gt;0"),0)=0,"RETEST UNDATED",IF(NOT(ISNUMBER($T1221)),"RETEST DATE UNCHECKED",IF(_xlfn.MINIFS(nrES_Date,nrES_PID,$D1221,nrES_Code,$F1221,nrES_Att,2,nrES_Raw,"&gt;=0",nrES_Date,"&gt;0")&gt;$T1221,"LATE RETEST "&amp;TEXT(_xlfn.MINIFS(nrES_Date,nrES_PID,$D1221,nrES_Code,$F1221,nrES_Att,2,nrES_Raw,"&gt;=0",nrES_Date,"&gt;0"),"mm/dd")&amp;" (due "&amp;TEXT($T1221,"mm/dd")&amp;")","Retested"))),IF(NOT(ISNUMBER($T1221)),"CHECK DATE",IF(TODAY()&gt;$T1221,"OVERDUE","Due "&amp;TEXT($T1221,"mm/dd")))))))</f>
        <v/>
      </c>
      <c r="V1221" s="16" t="n"/>
      <c r="W1221" s="16" t="n"/>
      <c r="X1221" s="17">
        <f>IF($C1221="","",IF(AND($L1221&lt;&gt;"",NOT(ISNUMBER($L1221))),"RAW SCORE NOT A NUMBER",IF(AND(ISNUMBER($L1221),OR($L1221&lt;0,$L1221&gt;100)),"RAW SCORE OUT OF RANGE",IF(AND($Y1221="Unexcused",OR($L1221="",NOT(ISNUMBER($L1221)),$L1221&lt;&gt;0)),"UNEXCUSED ABSENCE MUST RECORD 0",IF(COUNTIF(nrES_RecID,$B1221)&gt;1,"DUPLICATE RECORD",IF(N($K1221)&gt;2,"ATTEMPT 3+ NOT ALLOWED - policy 300.5 permits one retest per exam; this row records nothing",IF(AND($K1221=2,COUNTIFS(nrES_PID,$D1221,nrES_Code,$F1221,nrES_Att,1)=0),"ATTEMPT 2 WITHOUT ATTEMPT 1",IF(AND($K1221=2,$L1221=""),"RETEST ROW HAS NO SCORE",IF(AND($H1221="Final",$L1221&lt;&gt;"",IFERROR(INDEX(nrCKfinalExamElig,MATCH($D1221,rngCadetPIDs,0)),"")="No"),"FINAL EXAM AFTER FAILED FINAL PT (500.1.H)",IF(AND($K1221=2,ISNUMBER($L1221),COUNTIFS(nrES_PID,$D1221,nrES_Code,$F1221,nrES_Att,1)&gt;0,SUMIFS(nrES_Raw,nrES_PID,$D1221,nrES_Code,$F1221,nrES_Att,1)&gt;=$J1221),"RETEST AFTER A PASSING FIRST ATTEMPT","OK"))))))))))</f>
        <v/>
      </c>
      <c r="Y1221" s="16" t="n"/>
    </row>
    <row r="1222">
      <c r="B1222" s="17">
        <f>IF($C1222="","",$D1222&amp;"-"&amp;$F1222&amp;"-"&amp;$K1222)</f>
        <v/>
      </c>
      <c r="C1222" s="16" t="n"/>
      <c r="D1222" s="17">
        <f>IF($C1222="","",IFERROR(INDEX(rngCadetPIDs,MATCH($C1222,rngCadetNames,0)),"?"))</f>
        <v/>
      </c>
      <c r="E1222" s="17">
        <f>IF($D1222="","",IFERROR(INDEX(nrCadetAgency,MATCH($D1222,rngCadetPIDs,0)),""))</f>
        <v/>
      </c>
      <c r="F1222" s="16" t="n"/>
      <c r="G1222" s="17">
        <f>IF($F1222="","",IFERROR(INDEX(rngEPname,MATCH($F1222,rngEPcode,0)),"?"))</f>
        <v/>
      </c>
      <c r="H1222" s="17">
        <f>IF($F1222="","",IFERROR(INDEX(rngEPtype,MATCH($F1222,rngEPcode,0)),"?"))</f>
        <v/>
      </c>
      <c r="I1222" s="17">
        <f>IF($F1222="","",IFERROR(INDEX(rngEPseq,MATCH($F1222,rngEPcode,0)),""))</f>
        <v/>
      </c>
      <c r="J1222" s="17">
        <f>IF($F1222="","",IFERROR(INDEX(rngEPpass,MATCH($F1222,rngEPcode,0)),cfgPassingScore))</f>
        <v/>
      </c>
      <c r="K1222" s="16" t="n"/>
      <c r="L1222" s="16" t="n"/>
      <c r="M1222" s="17">
        <f>IF($C1222="","",IF($L1222="","",IF(NOT(ISNUMBER($L1222)),$L1222,IF(N($K1222)&gt;2,"",IF($K1222=1,IF(COUNTIFS(nrES_PID,$D1222,nrES_Code,$F1222,nrES_Att,2,nrES_Raw,"&gt;=0")&gt;0,"",$L1222),IF($L1222&gt;=$J1222,MAX($J1222,cfgRetakeRecordedCap),IF(COUNTIFS(nrES_PID,$D1222,nrES_Code,$F1222,nrES_Att,1)=0,$L1222,SUMIFS(nrES_Raw,nrES_PID,$D1222,nrES_Code,$F1222,nrES_Att,1))))))))</f>
        <v/>
      </c>
      <c r="N1222" s="17">
        <f>IF($C1222="","",IF($L1222="","",IF(NOT(ISNUMBER($L1222)),"(not a score)",IF($L1222&gt;=$J1222,"Yes","No"))))</f>
        <v/>
      </c>
      <c r="O1222" s="17">
        <f>IF($C1222="","",IF($M1222="","",IF(NOT(ISNUMBER($M1222)),"(not a score)",IF($M1222&gt;=$J1222,"Yes","No"))))</f>
        <v/>
      </c>
      <c r="P1222" s="17">
        <f>IF($C1222="","",IF($K1222="","",IF(N($K1222)&gt;2,"No",IF(COUNTIFS(nrES_PID,$D1222,nrES_Code,$F1222,nrES_Att,"&gt;"&amp;$K1222,nrES_Att,"&lt;=2",nrES_Raw,"&gt;=0")=0,"Yes","No"))))</f>
        <v/>
      </c>
      <c r="Q1222" s="17">
        <f>IF($C1222="","",IF($L1222="","",IF(AND($K1222=1,ISNUMBER($L1222),$L1222&lt;$J1222,COUNTIFS(nrES_PID,$D1222,nrES_Code,$F1222,nrES_Att,2,nrES_Raw,"&gt;=0")=0),"Yes","No")))</f>
        <v/>
      </c>
      <c r="R1222" s="17">
        <f>IF($C1222="","",IF($L1222="","",IF(AND(N($K1222)&gt;=2,ISNUMBER($L1222),$L1222&lt;$J1222),"Yes","No")))</f>
        <v/>
      </c>
      <c r="S1222" s="18" t="n"/>
      <c r="T1222" s="19">
        <f>IF(OR($C1222="",$L1222="",$K1222&lt;&gt;1,NOT(ISNUMBER($L1222)),$L1222&gt;=$J1222),"",IF($S1222="","(enter date)",_xlfn.LET(_xlpm.dn,_xlfn.XLOOKUP($S1222,nrCDdate,nrCDnum,"",1),IF(_xlpm.dn="","(after last class day)",_xlfn.LET(_xlpm.dd,_xlfn.XLOOKUP(_xlpm.dn+cfgRetestClassDays,nrCDnum,nrCDdate,""),_xlpm.ok,_xlfn.XLOOKUP(_xlpm.dn+cfgRetestClassDays,nrCDnum,nrCDinsession,"No"),IF(OR(_xlpm.dd="",_xlpm.ok&lt;&gt;"Yes"),"(after last class day)",_xlpm.dd))))))</f>
        <v/>
      </c>
      <c r="U1222" s="17">
        <f>IF($C1222="","",IF(AND($Y1222="Excused",$L1222="",N($K1222)&lt;=1),"EXCUSED - 1st attempt pending",IF(OR($L1222="",$K1222&lt;&gt;1,NOT(ISNUMBER($L1222)),$L1222&gt;=$J1222),"",IF(COUNTIFS(nrES_PID,$D1222,nrES_Code,$F1222,nrES_Att,2,nrES_Raw,"&gt;=0")&gt;0,IF(IFERROR(_xlfn.MINIFS(nrES_Date,nrES_PID,$D1222,nrES_Code,$F1222,nrES_Att,2,nrES_Raw,"&gt;=0",nrES_Date,"&gt;0"),0)=0,"RETEST UNDATED",IF(NOT(ISNUMBER($T1222)),"RETEST DATE UNCHECKED",IF(_xlfn.MINIFS(nrES_Date,nrES_PID,$D1222,nrES_Code,$F1222,nrES_Att,2,nrES_Raw,"&gt;=0",nrES_Date,"&gt;0")&gt;$T1222,"LATE RETEST "&amp;TEXT(_xlfn.MINIFS(nrES_Date,nrES_PID,$D1222,nrES_Code,$F1222,nrES_Att,2,nrES_Raw,"&gt;=0",nrES_Date,"&gt;0"),"mm/dd")&amp;" (due "&amp;TEXT($T1222,"mm/dd")&amp;")","Retested"))),IF(NOT(ISNUMBER($T1222)),"CHECK DATE",IF(TODAY()&gt;$T1222,"OVERDUE","Due "&amp;TEXT($T1222,"mm/dd")))))))</f>
        <v/>
      </c>
      <c r="V1222" s="16" t="n"/>
      <c r="W1222" s="16" t="n"/>
      <c r="X1222" s="17">
        <f>IF($C1222="","",IF(AND($L1222&lt;&gt;"",NOT(ISNUMBER($L1222))),"RAW SCORE NOT A NUMBER",IF(AND(ISNUMBER($L1222),OR($L1222&lt;0,$L1222&gt;100)),"RAW SCORE OUT OF RANGE",IF(AND($Y1222="Unexcused",OR($L1222="",NOT(ISNUMBER($L1222)),$L1222&lt;&gt;0)),"UNEXCUSED ABSENCE MUST RECORD 0",IF(COUNTIF(nrES_RecID,$B1222)&gt;1,"DUPLICATE RECORD",IF(N($K1222)&gt;2,"ATTEMPT 3+ NOT ALLOWED - policy 300.5 permits one retest per exam; this row records nothing",IF(AND($K1222=2,COUNTIFS(nrES_PID,$D1222,nrES_Code,$F1222,nrES_Att,1)=0),"ATTEMPT 2 WITHOUT ATTEMPT 1",IF(AND($K1222=2,$L1222=""),"RETEST ROW HAS NO SCORE",IF(AND($H1222="Final",$L1222&lt;&gt;"",IFERROR(INDEX(nrCKfinalExamElig,MATCH($D1222,rngCadetPIDs,0)),"")="No"),"FINAL EXAM AFTER FAILED FINAL PT (500.1.H)",IF(AND($K1222=2,ISNUMBER($L1222),COUNTIFS(nrES_PID,$D1222,nrES_Code,$F1222,nrES_Att,1)&gt;0,SUMIFS(nrES_Raw,nrES_PID,$D1222,nrES_Code,$F1222,nrES_Att,1)&gt;=$J1222),"RETEST AFTER A PASSING FIRST ATTEMPT","OK"))))))))))</f>
        <v/>
      </c>
      <c r="Y1222" s="16" t="n"/>
    </row>
    <row r="1223">
      <c r="B1223" s="17">
        <f>IF($C1223="","",$D1223&amp;"-"&amp;$F1223&amp;"-"&amp;$K1223)</f>
        <v/>
      </c>
      <c r="C1223" s="16" t="n"/>
      <c r="D1223" s="17">
        <f>IF($C1223="","",IFERROR(INDEX(rngCadetPIDs,MATCH($C1223,rngCadetNames,0)),"?"))</f>
        <v/>
      </c>
      <c r="E1223" s="17">
        <f>IF($D1223="","",IFERROR(INDEX(nrCadetAgency,MATCH($D1223,rngCadetPIDs,0)),""))</f>
        <v/>
      </c>
      <c r="F1223" s="16" t="n"/>
      <c r="G1223" s="17">
        <f>IF($F1223="","",IFERROR(INDEX(rngEPname,MATCH($F1223,rngEPcode,0)),"?"))</f>
        <v/>
      </c>
      <c r="H1223" s="17">
        <f>IF($F1223="","",IFERROR(INDEX(rngEPtype,MATCH($F1223,rngEPcode,0)),"?"))</f>
        <v/>
      </c>
      <c r="I1223" s="17">
        <f>IF($F1223="","",IFERROR(INDEX(rngEPseq,MATCH($F1223,rngEPcode,0)),""))</f>
        <v/>
      </c>
      <c r="J1223" s="17">
        <f>IF($F1223="","",IFERROR(INDEX(rngEPpass,MATCH($F1223,rngEPcode,0)),cfgPassingScore))</f>
        <v/>
      </c>
      <c r="K1223" s="16" t="n"/>
      <c r="L1223" s="16" t="n"/>
      <c r="M1223" s="17">
        <f>IF($C1223="","",IF($L1223="","",IF(NOT(ISNUMBER($L1223)),$L1223,IF(N($K1223)&gt;2,"",IF($K1223=1,IF(COUNTIFS(nrES_PID,$D1223,nrES_Code,$F1223,nrES_Att,2,nrES_Raw,"&gt;=0")&gt;0,"",$L1223),IF($L1223&gt;=$J1223,MAX($J1223,cfgRetakeRecordedCap),IF(COUNTIFS(nrES_PID,$D1223,nrES_Code,$F1223,nrES_Att,1)=0,$L1223,SUMIFS(nrES_Raw,nrES_PID,$D1223,nrES_Code,$F1223,nrES_Att,1))))))))</f>
        <v/>
      </c>
      <c r="N1223" s="17">
        <f>IF($C1223="","",IF($L1223="","",IF(NOT(ISNUMBER($L1223)),"(not a score)",IF($L1223&gt;=$J1223,"Yes","No"))))</f>
        <v/>
      </c>
      <c r="O1223" s="17">
        <f>IF($C1223="","",IF($M1223="","",IF(NOT(ISNUMBER($M1223)),"(not a score)",IF($M1223&gt;=$J1223,"Yes","No"))))</f>
        <v/>
      </c>
      <c r="P1223" s="17">
        <f>IF($C1223="","",IF($K1223="","",IF(N($K1223)&gt;2,"No",IF(COUNTIFS(nrES_PID,$D1223,nrES_Code,$F1223,nrES_Att,"&gt;"&amp;$K1223,nrES_Att,"&lt;=2",nrES_Raw,"&gt;=0")=0,"Yes","No"))))</f>
        <v/>
      </c>
      <c r="Q1223" s="17">
        <f>IF($C1223="","",IF($L1223="","",IF(AND($K1223=1,ISNUMBER($L1223),$L1223&lt;$J1223,COUNTIFS(nrES_PID,$D1223,nrES_Code,$F1223,nrES_Att,2,nrES_Raw,"&gt;=0")=0),"Yes","No")))</f>
        <v/>
      </c>
      <c r="R1223" s="17">
        <f>IF($C1223="","",IF($L1223="","",IF(AND(N($K1223)&gt;=2,ISNUMBER($L1223),$L1223&lt;$J1223),"Yes","No")))</f>
        <v/>
      </c>
      <c r="S1223" s="18" t="n"/>
      <c r="T1223" s="19">
        <f>IF(OR($C1223="",$L1223="",$K1223&lt;&gt;1,NOT(ISNUMBER($L1223)),$L1223&gt;=$J1223),"",IF($S1223="","(enter date)",_xlfn.LET(_xlpm.dn,_xlfn.XLOOKUP($S1223,nrCDdate,nrCDnum,"",1),IF(_xlpm.dn="","(after last class day)",_xlfn.LET(_xlpm.dd,_xlfn.XLOOKUP(_xlpm.dn+cfgRetestClassDays,nrCDnum,nrCDdate,""),_xlpm.ok,_xlfn.XLOOKUP(_xlpm.dn+cfgRetestClassDays,nrCDnum,nrCDinsession,"No"),IF(OR(_xlpm.dd="",_xlpm.ok&lt;&gt;"Yes"),"(after last class day)",_xlpm.dd))))))</f>
        <v/>
      </c>
      <c r="U1223" s="17">
        <f>IF($C1223="","",IF(AND($Y1223="Excused",$L1223="",N($K1223)&lt;=1),"EXCUSED - 1st attempt pending",IF(OR($L1223="",$K1223&lt;&gt;1,NOT(ISNUMBER($L1223)),$L1223&gt;=$J1223),"",IF(COUNTIFS(nrES_PID,$D1223,nrES_Code,$F1223,nrES_Att,2,nrES_Raw,"&gt;=0")&gt;0,IF(IFERROR(_xlfn.MINIFS(nrES_Date,nrES_PID,$D1223,nrES_Code,$F1223,nrES_Att,2,nrES_Raw,"&gt;=0",nrES_Date,"&gt;0"),0)=0,"RETEST UNDATED",IF(NOT(ISNUMBER($T1223)),"RETEST DATE UNCHECKED",IF(_xlfn.MINIFS(nrES_Date,nrES_PID,$D1223,nrES_Code,$F1223,nrES_Att,2,nrES_Raw,"&gt;=0",nrES_Date,"&gt;0")&gt;$T1223,"LATE RETEST "&amp;TEXT(_xlfn.MINIFS(nrES_Date,nrES_PID,$D1223,nrES_Code,$F1223,nrES_Att,2,nrES_Raw,"&gt;=0",nrES_Date,"&gt;0"),"mm/dd")&amp;" (due "&amp;TEXT($T1223,"mm/dd")&amp;")","Retested"))),IF(NOT(ISNUMBER($T1223)),"CHECK DATE",IF(TODAY()&gt;$T1223,"OVERDUE","Due "&amp;TEXT($T1223,"mm/dd")))))))</f>
        <v/>
      </c>
      <c r="V1223" s="16" t="n"/>
      <c r="W1223" s="16" t="n"/>
      <c r="X1223" s="17">
        <f>IF($C1223="","",IF(AND($L1223&lt;&gt;"",NOT(ISNUMBER($L1223))),"RAW SCORE NOT A NUMBER",IF(AND(ISNUMBER($L1223),OR($L1223&lt;0,$L1223&gt;100)),"RAW SCORE OUT OF RANGE",IF(AND($Y1223="Unexcused",OR($L1223="",NOT(ISNUMBER($L1223)),$L1223&lt;&gt;0)),"UNEXCUSED ABSENCE MUST RECORD 0",IF(COUNTIF(nrES_RecID,$B1223)&gt;1,"DUPLICATE RECORD",IF(N($K1223)&gt;2,"ATTEMPT 3+ NOT ALLOWED - policy 300.5 permits one retest per exam; this row records nothing",IF(AND($K1223=2,COUNTIFS(nrES_PID,$D1223,nrES_Code,$F1223,nrES_Att,1)=0),"ATTEMPT 2 WITHOUT ATTEMPT 1",IF(AND($K1223=2,$L1223=""),"RETEST ROW HAS NO SCORE",IF(AND($H1223="Final",$L1223&lt;&gt;"",IFERROR(INDEX(nrCKfinalExamElig,MATCH($D1223,rngCadetPIDs,0)),"")="No"),"FINAL EXAM AFTER FAILED FINAL PT (500.1.H)",IF(AND($K1223=2,ISNUMBER($L1223),COUNTIFS(nrES_PID,$D1223,nrES_Code,$F1223,nrES_Att,1)&gt;0,SUMIFS(nrES_Raw,nrES_PID,$D1223,nrES_Code,$F1223,nrES_Att,1)&gt;=$J1223),"RETEST AFTER A PASSING FIRST ATTEMPT","OK"))))))))))</f>
        <v/>
      </c>
      <c r="Y1223" s="16" t="n"/>
    </row>
    <row r="1224">
      <c r="B1224" s="17">
        <f>IF($C1224="","",$D1224&amp;"-"&amp;$F1224&amp;"-"&amp;$K1224)</f>
        <v/>
      </c>
      <c r="C1224" s="16" t="n"/>
      <c r="D1224" s="17">
        <f>IF($C1224="","",IFERROR(INDEX(rngCadetPIDs,MATCH($C1224,rngCadetNames,0)),"?"))</f>
        <v/>
      </c>
      <c r="E1224" s="17">
        <f>IF($D1224="","",IFERROR(INDEX(nrCadetAgency,MATCH($D1224,rngCadetPIDs,0)),""))</f>
        <v/>
      </c>
      <c r="F1224" s="16" t="n"/>
      <c r="G1224" s="17">
        <f>IF($F1224="","",IFERROR(INDEX(rngEPname,MATCH($F1224,rngEPcode,0)),"?"))</f>
        <v/>
      </c>
      <c r="H1224" s="17">
        <f>IF($F1224="","",IFERROR(INDEX(rngEPtype,MATCH($F1224,rngEPcode,0)),"?"))</f>
        <v/>
      </c>
      <c r="I1224" s="17">
        <f>IF($F1224="","",IFERROR(INDEX(rngEPseq,MATCH($F1224,rngEPcode,0)),""))</f>
        <v/>
      </c>
      <c r="J1224" s="17">
        <f>IF($F1224="","",IFERROR(INDEX(rngEPpass,MATCH($F1224,rngEPcode,0)),cfgPassingScore))</f>
        <v/>
      </c>
      <c r="K1224" s="16" t="n"/>
      <c r="L1224" s="16" t="n"/>
      <c r="M1224" s="17">
        <f>IF($C1224="","",IF($L1224="","",IF(NOT(ISNUMBER($L1224)),$L1224,IF(N($K1224)&gt;2,"",IF($K1224=1,IF(COUNTIFS(nrES_PID,$D1224,nrES_Code,$F1224,nrES_Att,2,nrES_Raw,"&gt;=0")&gt;0,"",$L1224),IF($L1224&gt;=$J1224,MAX($J1224,cfgRetakeRecordedCap),IF(COUNTIFS(nrES_PID,$D1224,nrES_Code,$F1224,nrES_Att,1)=0,$L1224,SUMIFS(nrES_Raw,nrES_PID,$D1224,nrES_Code,$F1224,nrES_Att,1))))))))</f>
        <v/>
      </c>
      <c r="N1224" s="17">
        <f>IF($C1224="","",IF($L1224="","",IF(NOT(ISNUMBER($L1224)),"(not a score)",IF($L1224&gt;=$J1224,"Yes","No"))))</f>
        <v/>
      </c>
      <c r="O1224" s="17">
        <f>IF($C1224="","",IF($M1224="","",IF(NOT(ISNUMBER($M1224)),"(not a score)",IF($M1224&gt;=$J1224,"Yes","No"))))</f>
        <v/>
      </c>
      <c r="P1224" s="17">
        <f>IF($C1224="","",IF($K1224="","",IF(N($K1224)&gt;2,"No",IF(COUNTIFS(nrES_PID,$D1224,nrES_Code,$F1224,nrES_Att,"&gt;"&amp;$K1224,nrES_Att,"&lt;=2",nrES_Raw,"&gt;=0")=0,"Yes","No"))))</f>
        <v/>
      </c>
      <c r="Q1224" s="17">
        <f>IF($C1224="","",IF($L1224="","",IF(AND($K1224=1,ISNUMBER($L1224),$L1224&lt;$J1224,COUNTIFS(nrES_PID,$D1224,nrES_Code,$F1224,nrES_Att,2,nrES_Raw,"&gt;=0")=0),"Yes","No")))</f>
        <v/>
      </c>
      <c r="R1224" s="17">
        <f>IF($C1224="","",IF($L1224="","",IF(AND(N($K1224)&gt;=2,ISNUMBER($L1224),$L1224&lt;$J1224),"Yes","No")))</f>
        <v/>
      </c>
      <c r="S1224" s="18" t="n"/>
      <c r="T1224" s="19">
        <f>IF(OR($C1224="",$L1224="",$K1224&lt;&gt;1,NOT(ISNUMBER($L1224)),$L1224&gt;=$J1224),"",IF($S1224="","(enter date)",_xlfn.LET(_xlpm.dn,_xlfn.XLOOKUP($S1224,nrCDdate,nrCDnum,"",1),IF(_xlpm.dn="","(after last class day)",_xlfn.LET(_xlpm.dd,_xlfn.XLOOKUP(_xlpm.dn+cfgRetestClassDays,nrCDnum,nrCDdate,""),_xlpm.ok,_xlfn.XLOOKUP(_xlpm.dn+cfgRetestClassDays,nrCDnum,nrCDinsession,"No"),IF(OR(_xlpm.dd="",_xlpm.ok&lt;&gt;"Yes"),"(after last class day)",_xlpm.dd))))))</f>
        <v/>
      </c>
      <c r="U1224" s="17">
        <f>IF($C1224="","",IF(AND($Y1224="Excused",$L1224="",N($K1224)&lt;=1),"EXCUSED - 1st attempt pending",IF(OR($L1224="",$K1224&lt;&gt;1,NOT(ISNUMBER($L1224)),$L1224&gt;=$J1224),"",IF(COUNTIFS(nrES_PID,$D1224,nrES_Code,$F1224,nrES_Att,2,nrES_Raw,"&gt;=0")&gt;0,IF(IFERROR(_xlfn.MINIFS(nrES_Date,nrES_PID,$D1224,nrES_Code,$F1224,nrES_Att,2,nrES_Raw,"&gt;=0",nrES_Date,"&gt;0"),0)=0,"RETEST UNDATED",IF(NOT(ISNUMBER($T1224)),"RETEST DATE UNCHECKED",IF(_xlfn.MINIFS(nrES_Date,nrES_PID,$D1224,nrES_Code,$F1224,nrES_Att,2,nrES_Raw,"&gt;=0",nrES_Date,"&gt;0")&gt;$T1224,"LATE RETEST "&amp;TEXT(_xlfn.MINIFS(nrES_Date,nrES_PID,$D1224,nrES_Code,$F1224,nrES_Att,2,nrES_Raw,"&gt;=0",nrES_Date,"&gt;0"),"mm/dd")&amp;" (due "&amp;TEXT($T1224,"mm/dd")&amp;")","Retested"))),IF(NOT(ISNUMBER($T1224)),"CHECK DATE",IF(TODAY()&gt;$T1224,"OVERDUE","Due "&amp;TEXT($T1224,"mm/dd")))))))</f>
        <v/>
      </c>
      <c r="V1224" s="16" t="n"/>
      <c r="W1224" s="16" t="n"/>
      <c r="X1224" s="17">
        <f>IF($C1224="","",IF(AND($L1224&lt;&gt;"",NOT(ISNUMBER($L1224))),"RAW SCORE NOT A NUMBER",IF(AND(ISNUMBER($L1224),OR($L1224&lt;0,$L1224&gt;100)),"RAW SCORE OUT OF RANGE",IF(AND($Y1224="Unexcused",OR($L1224="",NOT(ISNUMBER($L1224)),$L1224&lt;&gt;0)),"UNEXCUSED ABSENCE MUST RECORD 0",IF(COUNTIF(nrES_RecID,$B1224)&gt;1,"DUPLICATE RECORD",IF(N($K1224)&gt;2,"ATTEMPT 3+ NOT ALLOWED - policy 300.5 permits one retest per exam; this row records nothing",IF(AND($K1224=2,COUNTIFS(nrES_PID,$D1224,nrES_Code,$F1224,nrES_Att,1)=0),"ATTEMPT 2 WITHOUT ATTEMPT 1",IF(AND($K1224=2,$L1224=""),"RETEST ROW HAS NO SCORE",IF(AND($H1224="Final",$L1224&lt;&gt;"",IFERROR(INDEX(nrCKfinalExamElig,MATCH($D1224,rngCadetPIDs,0)),"")="No"),"FINAL EXAM AFTER FAILED FINAL PT (500.1.H)",IF(AND($K1224=2,ISNUMBER($L1224),COUNTIFS(nrES_PID,$D1224,nrES_Code,$F1224,nrES_Att,1)&gt;0,SUMIFS(nrES_Raw,nrES_PID,$D1224,nrES_Code,$F1224,nrES_Att,1)&gt;=$J1224),"RETEST AFTER A PASSING FIRST ATTEMPT","OK"))))))))))</f>
        <v/>
      </c>
      <c r="Y1224" s="16" t="n"/>
    </row>
    <row r="1225">
      <c r="B1225" s="17">
        <f>IF($C1225="","",$D1225&amp;"-"&amp;$F1225&amp;"-"&amp;$K1225)</f>
        <v/>
      </c>
      <c r="C1225" s="16" t="n"/>
      <c r="D1225" s="17">
        <f>IF($C1225="","",IFERROR(INDEX(rngCadetPIDs,MATCH($C1225,rngCadetNames,0)),"?"))</f>
        <v/>
      </c>
      <c r="E1225" s="17">
        <f>IF($D1225="","",IFERROR(INDEX(nrCadetAgency,MATCH($D1225,rngCadetPIDs,0)),""))</f>
        <v/>
      </c>
      <c r="F1225" s="16" t="n"/>
      <c r="G1225" s="17">
        <f>IF($F1225="","",IFERROR(INDEX(rngEPname,MATCH($F1225,rngEPcode,0)),"?"))</f>
        <v/>
      </c>
      <c r="H1225" s="17">
        <f>IF($F1225="","",IFERROR(INDEX(rngEPtype,MATCH($F1225,rngEPcode,0)),"?"))</f>
        <v/>
      </c>
      <c r="I1225" s="17">
        <f>IF($F1225="","",IFERROR(INDEX(rngEPseq,MATCH($F1225,rngEPcode,0)),""))</f>
        <v/>
      </c>
      <c r="J1225" s="17">
        <f>IF($F1225="","",IFERROR(INDEX(rngEPpass,MATCH($F1225,rngEPcode,0)),cfgPassingScore))</f>
        <v/>
      </c>
      <c r="K1225" s="16" t="n"/>
      <c r="L1225" s="16" t="n"/>
      <c r="M1225" s="17">
        <f>IF($C1225="","",IF($L1225="","",IF(NOT(ISNUMBER($L1225)),$L1225,IF(N($K1225)&gt;2,"",IF($K1225=1,IF(COUNTIFS(nrES_PID,$D1225,nrES_Code,$F1225,nrES_Att,2,nrES_Raw,"&gt;=0")&gt;0,"",$L1225),IF($L1225&gt;=$J1225,MAX($J1225,cfgRetakeRecordedCap),IF(COUNTIFS(nrES_PID,$D1225,nrES_Code,$F1225,nrES_Att,1)=0,$L1225,SUMIFS(nrES_Raw,nrES_PID,$D1225,nrES_Code,$F1225,nrES_Att,1))))))))</f>
        <v/>
      </c>
      <c r="N1225" s="17">
        <f>IF($C1225="","",IF($L1225="","",IF(NOT(ISNUMBER($L1225)),"(not a score)",IF($L1225&gt;=$J1225,"Yes","No"))))</f>
        <v/>
      </c>
      <c r="O1225" s="17">
        <f>IF($C1225="","",IF($M1225="","",IF(NOT(ISNUMBER($M1225)),"(not a score)",IF($M1225&gt;=$J1225,"Yes","No"))))</f>
        <v/>
      </c>
      <c r="P1225" s="17">
        <f>IF($C1225="","",IF($K1225="","",IF(N($K1225)&gt;2,"No",IF(COUNTIFS(nrES_PID,$D1225,nrES_Code,$F1225,nrES_Att,"&gt;"&amp;$K1225,nrES_Att,"&lt;=2",nrES_Raw,"&gt;=0")=0,"Yes","No"))))</f>
        <v/>
      </c>
      <c r="Q1225" s="17">
        <f>IF($C1225="","",IF($L1225="","",IF(AND($K1225=1,ISNUMBER($L1225),$L1225&lt;$J1225,COUNTIFS(nrES_PID,$D1225,nrES_Code,$F1225,nrES_Att,2,nrES_Raw,"&gt;=0")=0),"Yes","No")))</f>
        <v/>
      </c>
      <c r="R1225" s="17">
        <f>IF($C1225="","",IF($L1225="","",IF(AND(N($K1225)&gt;=2,ISNUMBER($L1225),$L1225&lt;$J1225),"Yes","No")))</f>
        <v/>
      </c>
      <c r="S1225" s="18" t="n"/>
      <c r="T1225" s="19">
        <f>IF(OR($C1225="",$L1225="",$K1225&lt;&gt;1,NOT(ISNUMBER($L1225)),$L1225&gt;=$J1225),"",IF($S1225="","(enter date)",_xlfn.LET(_xlpm.dn,_xlfn.XLOOKUP($S1225,nrCDdate,nrCDnum,"",1),IF(_xlpm.dn="","(after last class day)",_xlfn.LET(_xlpm.dd,_xlfn.XLOOKUP(_xlpm.dn+cfgRetestClassDays,nrCDnum,nrCDdate,""),_xlpm.ok,_xlfn.XLOOKUP(_xlpm.dn+cfgRetestClassDays,nrCDnum,nrCDinsession,"No"),IF(OR(_xlpm.dd="",_xlpm.ok&lt;&gt;"Yes"),"(after last class day)",_xlpm.dd))))))</f>
        <v/>
      </c>
      <c r="U1225" s="17">
        <f>IF($C1225="","",IF(AND($Y1225="Excused",$L1225="",N($K1225)&lt;=1),"EXCUSED - 1st attempt pending",IF(OR($L1225="",$K1225&lt;&gt;1,NOT(ISNUMBER($L1225)),$L1225&gt;=$J1225),"",IF(COUNTIFS(nrES_PID,$D1225,nrES_Code,$F1225,nrES_Att,2,nrES_Raw,"&gt;=0")&gt;0,IF(IFERROR(_xlfn.MINIFS(nrES_Date,nrES_PID,$D1225,nrES_Code,$F1225,nrES_Att,2,nrES_Raw,"&gt;=0",nrES_Date,"&gt;0"),0)=0,"RETEST UNDATED",IF(NOT(ISNUMBER($T1225)),"RETEST DATE UNCHECKED",IF(_xlfn.MINIFS(nrES_Date,nrES_PID,$D1225,nrES_Code,$F1225,nrES_Att,2,nrES_Raw,"&gt;=0",nrES_Date,"&gt;0")&gt;$T1225,"LATE RETEST "&amp;TEXT(_xlfn.MINIFS(nrES_Date,nrES_PID,$D1225,nrES_Code,$F1225,nrES_Att,2,nrES_Raw,"&gt;=0",nrES_Date,"&gt;0"),"mm/dd")&amp;" (due "&amp;TEXT($T1225,"mm/dd")&amp;")","Retested"))),IF(NOT(ISNUMBER($T1225)),"CHECK DATE",IF(TODAY()&gt;$T1225,"OVERDUE","Due "&amp;TEXT($T1225,"mm/dd")))))))</f>
        <v/>
      </c>
      <c r="V1225" s="16" t="n"/>
      <c r="W1225" s="16" t="n"/>
      <c r="X1225" s="17">
        <f>IF($C1225="","",IF(AND($L1225&lt;&gt;"",NOT(ISNUMBER($L1225))),"RAW SCORE NOT A NUMBER",IF(AND(ISNUMBER($L1225),OR($L1225&lt;0,$L1225&gt;100)),"RAW SCORE OUT OF RANGE",IF(AND($Y1225="Unexcused",OR($L1225="",NOT(ISNUMBER($L1225)),$L1225&lt;&gt;0)),"UNEXCUSED ABSENCE MUST RECORD 0",IF(COUNTIF(nrES_RecID,$B1225)&gt;1,"DUPLICATE RECORD",IF(N($K1225)&gt;2,"ATTEMPT 3+ NOT ALLOWED - policy 300.5 permits one retest per exam; this row records nothing",IF(AND($K1225=2,COUNTIFS(nrES_PID,$D1225,nrES_Code,$F1225,nrES_Att,1)=0),"ATTEMPT 2 WITHOUT ATTEMPT 1",IF(AND($K1225=2,$L1225=""),"RETEST ROW HAS NO SCORE",IF(AND($H1225="Final",$L1225&lt;&gt;"",IFERROR(INDEX(nrCKfinalExamElig,MATCH($D1225,rngCadetPIDs,0)),"")="No"),"FINAL EXAM AFTER FAILED FINAL PT (500.1.H)",IF(AND($K1225=2,ISNUMBER($L1225),COUNTIFS(nrES_PID,$D1225,nrES_Code,$F1225,nrES_Att,1)&gt;0,SUMIFS(nrES_Raw,nrES_PID,$D1225,nrES_Code,$F1225,nrES_Att,1)&gt;=$J1225),"RETEST AFTER A PASSING FIRST ATTEMPT","OK"))))))))))</f>
        <v/>
      </c>
      <c r="Y1225" s="16" t="n"/>
    </row>
    <row r="1226">
      <c r="B1226" s="17">
        <f>IF($C1226="","",$D1226&amp;"-"&amp;$F1226&amp;"-"&amp;$K1226)</f>
        <v/>
      </c>
      <c r="C1226" s="16" t="n"/>
      <c r="D1226" s="17">
        <f>IF($C1226="","",IFERROR(INDEX(rngCadetPIDs,MATCH($C1226,rngCadetNames,0)),"?"))</f>
        <v/>
      </c>
      <c r="E1226" s="17">
        <f>IF($D1226="","",IFERROR(INDEX(nrCadetAgency,MATCH($D1226,rngCadetPIDs,0)),""))</f>
        <v/>
      </c>
      <c r="F1226" s="16" t="n"/>
      <c r="G1226" s="17">
        <f>IF($F1226="","",IFERROR(INDEX(rngEPname,MATCH($F1226,rngEPcode,0)),"?"))</f>
        <v/>
      </c>
      <c r="H1226" s="17">
        <f>IF($F1226="","",IFERROR(INDEX(rngEPtype,MATCH($F1226,rngEPcode,0)),"?"))</f>
        <v/>
      </c>
      <c r="I1226" s="17">
        <f>IF($F1226="","",IFERROR(INDEX(rngEPseq,MATCH($F1226,rngEPcode,0)),""))</f>
        <v/>
      </c>
      <c r="J1226" s="17">
        <f>IF($F1226="","",IFERROR(INDEX(rngEPpass,MATCH($F1226,rngEPcode,0)),cfgPassingScore))</f>
        <v/>
      </c>
      <c r="K1226" s="16" t="n"/>
      <c r="L1226" s="16" t="n"/>
      <c r="M1226" s="17">
        <f>IF($C1226="","",IF($L1226="","",IF(NOT(ISNUMBER($L1226)),$L1226,IF(N($K1226)&gt;2,"",IF($K1226=1,IF(COUNTIFS(nrES_PID,$D1226,nrES_Code,$F1226,nrES_Att,2,nrES_Raw,"&gt;=0")&gt;0,"",$L1226),IF($L1226&gt;=$J1226,MAX($J1226,cfgRetakeRecordedCap),IF(COUNTIFS(nrES_PID,$D1226,nrES_Code,$F1226,nrES_Att,1)=0,$L1226,SUMIFS(nrES_Raw,nrES_PID,$D1226,nrES_Code,$F1226,nrES_Att,1))))))))</f>
        <v/>
      </c>
      <c r="N1226" s="17">
        <f>IF($C1226="","",IF($L1226="","",IF(NOT(ISNUMBER($L1226)),"(not a score)",IF($L1226&gt;=$J1226,"Yes","No"))))</f>
        <v/>
      </c>
      <c r="O1226" s="17">
        <f>IF($C1226="","",IF($M1226="","",IF(NOT(ISNUMBER($M1226)),"(not a score)",IF($M1226&gt;=$J1226,"Yes","No"))))</f>
        <v/>
      </c>
      <c r="P1226" s="17">
        <f>IF($C1226="","",IF($K1226="","",IF(N($K1226)&gt;2,"No",IF(COUNTIFS(nrES_PID,$D1226,nrES_Code,$F1226,nrES_Att,"&gt;"&amp;$K1226,nrES_Att,"&lt;=2",nrES_Raw,"&gt;=0")=0,"Yes","No"))))</f>
        <v/>
      </c>
      <c r="Q1226" s="17">
        <f>IF($C1226="","",IF($L1226="","",IF(AND($K1226=1,ISNUMBER($L1226),$L1226&lt;$J1226,COUNTIFS(nrES_PID,$D1226,nrES_Code,$F1226,nrES_Att,2,nrES_Raw,"&gt;=0")=0),"Yes","No")))</f>
        <v/>
      </c>
      <c r="R1226" s="17">
        <f>IF($C1226="","",IF($L1226="","",IF(AND(N($K1226)&gt;=2,ISNUMBER($L1226),$L1226&lt;$J1226),"Yes","No")))</f>
        <v/>
      </c>
      <c r="S1226" s="18" t="n"/>
      <c r="T1226" s="19">
        <f>IF(OR($C1226="",$L1226="",$K1226&lt;&gt;1,NOT(ISNUMBER($L1226)),$L1226&gt;=$J1226),"",IF($S1226="","(enter date)",_xlfn.LET(_xlpm.dn,_xlfn.XLOOKUP($S1226,nrCDdate,nrCDnum,"",1),IF(_xlpm.dn="","(after last class day)",_xlfn.LET(_xlpm.dd,_xlfn.XLOOKUP(_xlpm.dn+cfgRetestClassDays,nrCDnum,nrCDdate,""),_xlpm.ok,_xlfn.XLOOKUP(_xlpm.dn+cfgRetestClassDays,nrCDnum,nrCDinsession,"No"),IF(OR(_xlpm.dd="",_xlpm.ok&lt;&gt;"Yes"),"(after last class day)",_xlpm.dd))))))</f>
        <v/>
      </c>
      <c r="U1226" s="17">
        <f>IF($C1226="","",IF(AND($Y1226="Excused",$L1226="",N($K1226)&lt;=1),"EXCUSED - 1st attempt pending",IF(OR($L1226="",$K1226&lt;&gt;1,NOT(ISNUMBER($L1226)),$L1226&gt;=$J1226),"",IF(COUNTIFS(nrES_PID,$D1226,nrES_Code,$F1226,nrES_Att,2,nrES_Raw,"&gt;=0")&gt;0,IF(IFERROR(_xlfn.MINIFS(nrES_Date,nrES_PID,$D1226,nrES_Code,$F1226,nrES_Att,2,nrES_Raw,"&gt;=0",nrES_Date,"&gt;0"),0)=0,"RETEST UNDATED",IF(NOT(ISNUMBER($T1226)),"RETEST DATE UNCHECKED",IF(_xlfn.MINIFS(nrES_Date,nrES_PID,$D1226,nrES_Code,$F1226,nrES_Att,2,nrES_Raw,"&gt;=0",nrES_Date,"&gt;0")&gt;$T1226,"LATE RETEST "&amp;TEXT(_xlfn.MINIFS(nrES_Date,nrES_PID,$D1226,nrES_Code,$F1226,nrES_Att,2,nrES_Raw,"&gt;=0",nrES_Date,"&gt;0"),"mm/dd")&amp;" (due "&amp;TEXT($T1226,"mm/dd")&amp;")","Retested"))),IF(NOT(ISNUMBER($T1226)),"CHECK DATE",IF(TODAY()&gt;$T1226,"OVERDUE","Due "&amp;TEXT($T1226,"mm/dd")))))))</f>
        <v/>
      </c>
      <c r="V1226" s="16" t="n"/>
      <c r="W1226" s="16" t="n"/>
      <c r="X1226" s="17">
        <f>IF($C1226="","",IF(AND($L1226&lt;&gt;"",NOT(ISNUMBER($L1226))),"RAW SCORE NOT A NUMBER",IF(AND(ISNUMBER($L1226),OR($L1226&lt;0,$L1226&gt;100)),"RAW SCORE OUT OF RANGE",IF(AND($Y1226="Unexcused",OR($L1226="",NOT(ISNUMBER($L1226)),$L1226&lt;&gt;0)),"UNEXCUSED ABSENCE MUST RECORD 0",IF(COUNTIF(nrES_RecID,$B1226)&gt;1,"DUPLICATE RECORD",IF(N($K1226)&gt;2,"ATTEMPT 3+ NOT ALLOWED - policy 300.5 permits one retest per exam; this row records nothing",IF(AND($K1226=2,COUNTIFS(nrES_PID,$D1226,nrES_Code,$F1226,nrES_Att,1)=0),"ATTEMPT 2 WITHOUT ATTEMPT 1",IF(AND($K1226=2,$L1226=""),"RETEST ROW HAS NO SCORE",IF(AND($H1226="Final",$L1226&lt;&gt;"",IFERROR(INDEX(nrCKfinalExamElig,MATCH($D1226,rngCadetPIDs,0)),"")="No"),"FINAL EXAM AFTER FAILED FINAL PT (500.1.H)",IF(AND($K1226=2,ISNUMBER($L1226),COUNTIFS(nrES_PID,$D1226,nrES_Code,$F1226,nrES_Att,1)&gt;0,SUMIFS(nrES_Raw,nrES_PID,$D1226,nrES_Code,$F1226,nrES_Att,1)&gt;=$J1226),"RETEST AFTER A PASSING FIRST ATTEMPT","OK"))))))))))</f>
        <v/>
      </c>
      <c r="Y1226" s="16" t="n"/>
    </row>
    <row r="1227">
      <c r="B1227" s="17">
        <f>IF($C1227="","",$D1227&amp;"-"&amp;$F1227&amp;"-"&amp;$K1227)</f>
        <v/>
      </c>
      <c r="C1227" s="16" t="n"/>
      <c r="D1227" s="17">
        <f>IF($C1227="","",IFERROR(INDEX(rngCadetPIDs,MATCH($C1227,rngCadetNames,0)),"?"))</f>
        <v/>
      </c>
      <c r="E1227" s="17">
        <f>IF($D1227="","",IFERROR(INDEX(nrCadetAgency,MATCH($D1227,rngCadetPIDs,0)),""))</f>
        <v/>
      </c>
      <c r="F1227" s="16" t="n"/>
      <c r="G1227" s="17">
        <f>IF($F1227="","",IFERROR(INDEX(rngEPname,MATCH($F1227,rngEPcode,0)),"?"))</f>
        <v/>
      </c>
      <c r="H1227" s="17">
        <f>IF($F1227="","",IFERROR(INDEX(rngEPtype,MATCH($F1227,rngEPcode,0)),"?"))</f>
        <v/>
      </c>
      <c r="I1227" s="17">
        <f>IF($F1227="","",IFERROR(INDEX(rngEPseq,MATCH($F1227,rngEPcode,0)),""))</f>
        <v/>
      </c>
      <c r="J1227" s="17">
        <f>IF($F1227="","",IFERROR(INDEX(rngEPpass,MATCH($F1227,rngEPcode,0)),cfgPassingScore))</f>
        <v/>
      </c>
      <c r="K1227" s="16" t="n"/>
      <c r="L1227" s="16" t="n"/>
      <c r="M1227" s="17">
        <f>IF($C1227="","",IF($L1227="","",IF(NOT(ISNUMBER($L1227)),$L1227,IF(N($K1227)&gt;2,"",IF($K1227=1,IF(COUNTIFS(nrES_PID,$D1227,nrES_Code,$F1227,nrES_Att,2,nrES_Raw,"&gt;=0")&gt;0,"",$L1227),IF($L1227&gt;=$J1227,MAX($J1227,cfgRetakeRecordedCap),IF(COUNTIFS(nrES_PID,$D1227,nrES_Code,$F1227,nrES_Att,1)=0,$L1227,SUMIFS(nrES_Raw,nrES_PID,$D1227,nrES_Code,$F1227,nrES_Att,1))))))))</f>
        <v/>
      </c>
      <c r="N1227" s="17">
        <f>IF($C1227="","",IF($L1227="","",IF(NOT(ISNUMBER($L1227)),"(not a score)",IF($L1227&gt;=$J1227,"Yes","No"))))</f>
        <v/>
      </c>
      <c r="O1227" s="17">
        <f>IF($C1227="","",IF($M1227="","",IF(NOT(ISNUMBER($M1227)),"(not a score)",IF($M1227&gt;=$J1227,"Yes","No"))))</f>
        <v/>
      </c>
      <c r="P1227" s="17">
        <f>IF($C1227="","",IF($K1227="","",IF(N($K1227)&gt;2,"No",IF(COUNTIFS(nrES_PID,$D1227,nrES_Code,$F1227,nrES_Att,"&gt;"&amp;$K1227,nrES_Att,"&lt;=2",nrES_Raw,"&gt;=0")=0,"Yes","No"))))</f>
        <v/>
      </c>
      <c r="Q1227" s="17">
        <f>IF($C1227="","",IF($L1227="","",IF(AND($K1227=1,ISNUMBER($L1227),$L1227&lt;$J1227,COUNTIFS(nrES_PID,$D1227,nrES_Code,$F1227,nrES_Att,2,nrES_Raw,"&gt;=0")=0),"Yes","No")))</f>
        <v/>
      </c>
      <c r="R1227" s="17">
        <f>IF($C1227="","",IF($L1227="","",IF(AND(N($K1227)&gt;=2,ISNUMBER($L1227),$L1227&lt;$J1227),"Yes","No")))</f>
        <v/>
      </c>
      <c r="S1227" s="18" t="n"/>
      <c r="T1227" s="19">
        <f>IF(OR($C1227="",$L1227="",$K1227&lt;&gt;1,NOT(ISNUMBER($L1227)),$L1227&gt;=$J1227),"",IF($S1227="","(enter date)",_xlfn.LET(_xlpm.dn,_xlfn.XLOOKUP($S1227,nrCDdate,nrCDnum,"",1),IF(_xlpm.dn="","(after last class day)",_xlfn.LET(_xlpm.dd,_xlfn.XLOOKUP(_xlpm.dn+cfgRetestClassDays,nrCDnum,nrCDdate,""),_xlpm.ok,_xlfn.XLOOKUP(_xlpm.dn+cfgRetestClassDays,nrCDnum,nrCDinsession,"No"),IF(OR(_xlpm.dd="",_xlpm.ok&lt;&gt;"Yes"),"(after last class day)",_xlpm.dd))))))</f>
        <v/>
      </c>
      <c r="U1227" s="17">
        <f>IF($C1227="","",IF(AND($Y1227="Excused",$L1227="",N($K1227)&lt;=1),"EXCUSED - 1st attempt pending",IF(OR($L1227="",$K1227&lt;&gt;1,NOT(ISNUMBER($L1227)),$L1227&gt;=$J1227),"",IF(COUNTIFS(nrES_PID,$D1227,nrES_Code,$F1227,nrES_Att,2,nrES_Raw,"&gt;=0")&gt;0,IF(IFERROR(_xlfn.MINIFS(nrES_Date,nrES_PID,$D1227,nrES_Code,$F1227,nrES_Att,2,nrES_Raw,"&gt;=0",nrES_Date,"&gt;0"),0)=0,"RETEST UNDATED",IF(NOT(ISNUMBER($T1227)),"RETEST DATE UNCHECKED",IF(_xlfn.MINIFS(nrES_Date,nrES_PID,$D1227,nrES_Code,$F1227,nrES_Att,2,nrES_Raw,"&gt;=0",nrES_Date,"&gt;0")&gt;$T1227,"LATE RETEST "&amp;TEXT(_xlfn.MINIFS(nrES_Date,nrES_PID,$D1227,nrES_Code,$F1227,nrES_Att,2,nrES_Raw,"&gt;=0",nrES_Date,"&gt;0"),"mm/dd")&amp;" (due "&amp;TEXT($T1227,"mm/dd")&amp;")","Retested"))),IF(NOT(ISNUMBER($T1227)),"CHECK DATE",IF(TODAY()&gt;$T1227,"OVERDUE","Due "&amp;TEXT($T1227,"mm/dd")))))))</f>
        <v/>
      </c>
      <c r="V1227" s="16" t="n"/>
      <c r="W1227" s="16" t="n"/>
      <c r="X1227" s="17">
        <f>IF($C1227="","",IF(AND($L1227&lt;&gt;"",NOT(ISNUMBER($L1227))),"RAW SCORE NOT A NUMBER",IF(AND(ISNUMBER($L1227),OR($L1227&lt;0,$L1227&gt;100)),"RAW SCORE OUT OF RANGE",IF(AND($Y1227="Unexcused",OR($L1227="",NOT(ISNUMBER($L1227)),$L1227&lt;&gt;0)),"UNEXCUSED ABSENCE MUST RECORD 0",IF(COUNTIF(nrES_RecID,$B1227)&gt;1,"DUPLICATE RECORD",IF(N($K1227)&gt;2,"ATTEMPT 3+ NOT ALLOWED - policy 300.5 permits one retest per exam; this row records nothing",IF(AND($K1227=2,COUNTIFS(nrES_PID,$D1227,nrES_Code,$F1227,nrES_Att,1)=0),"ATTEMPT 2 WITHOUT ATTEMPT 1",IF(AND($K1227=2,$L1227=""),"RETEST ROW HAS NO SCORE",IF(AND($H1227="Final",$L1227&lt;&gt;"",IFERROR(INDEX(nrCKfinalExamElig,MATCH($D1227,rngCadetPIDs,0)),"")="No"),"FINAL EXAM AFTER FAILED FINAL PT (500.1.H)",IF(AND($K1227=2,ISNUMBER($L1227),COUNTIFS(nrES_PID,$D1227,nrES_Code,$F1227,nrES_Att,1)&gt;0,SUMIFS(nrES_Raw,nrES_PID,$D1227,nrES_Code,$F1227,nrES_Att,1)&gt;=$J1227),"RETEST AFTER A PASSING FIRST ATTEMPT","OK"))))))))))</f>
        <v/>
      </c>
      <c r="Y1227" s="16" t="n"/>
    </row>
    <row r="1228">
      <c r="B1228" s="17">
        <f>IF($C1228="","",$D1228&amp;"-"&amp;$F1228&amp;"-"&amp;$K1228)</f>
        <v/>
      </c>
      <c r="C1228" s="16" t="n"/>
      <c r="D1228" s="17">
        <f>IF($C1228="","",IFERROR(INDEX(rngCadetPIDs,MATCH($C1228,rngCadetNames,0)),"?"))</f>
        <v/>
      </c>
      <c r="E1228" s="17">
        <f>IF($D1228="","",IFERROR(INDEX(nrCadetAgency,MATCH($D1228,rngCadetPIDs,0)),""))</f>
        <v/>
      </c>
      <c r="F1228" s="16" t="n"/>
      <c r="G1228" s="17">
        <f>IF($F1228="","",IFERROR(INDEX(rngEPname,MATCH($F1228,rngEPcode,0)),"?"))</f>
        <v/>
      </c>
      <c r="H1228" s="17">
        <f>IF($F1228="","",IFERROR(INDEX(rngEPtype,MATCH($F1228,rngEPcode,0)),"?"))</f>
        <v/>
      </c>
      <c r="I1228" s="17">
        <f>IF($F1228="","",IFERROR(INDEX(rngEPseq,MATCH($F1228,rngEPcode,0)),""))</f>
        <v/>
      </c>
      <c r="J1228" s="17">
        <f>IF($F1228="","",IFERROR(INDEX(rngEPpass,MATCH($F1228,rngEPcode,0)),cfgPassingScore))</f>
        <v/>
      </c>
      <c r="K1228" s="16" t="n"/>
      <c r="L1228" s="16" t="n"/>
      <c r="M1228" s="17">
        <f>IF($C1228="","",IF($L1228="","",IF(NOT(ISNUMBER($L1228)),$L1228,IF(N($K1228)&gt;2,"",IF($K1228=1,IF(COUNTIFS(nrES_PID,$D1228,nrES_Code,$F1228,nrES_Att,2,nrES_Raw,"&gt;=0")&gt;0,"",$L1228),IF($L1228&gt;=$J1228,MAX($J1228,cfgRetakeRecordedCap),IF(COUNTIFS(nrES_PID,$D1228,nrES_Code,$F1228,nrES_Att,1)=0,$L1228,SUMIFS(nrES_Raw,nrES_PID,$D1228,nrES_Code,$F1228,nrES_Att,1))))))))</f>
        <v/>
      </c>
      <c r="N1228" s="17">
        <f>IF($C1228="","",IF($L1228="","",IF(NOT(ISNUMBER($L1228)),"(not a score)",IF($L1228&gt;=$J1228,"Yes","No"))))</f>
        <v/>
      </c>
      <c r="O1228" s="17">
        <f>IF($C1228="","",IF($M1228="","",IF(NOT(ISNUMBER($M1228)),"(not a score)",IF($M1228&gt;=$J1228,"Yes","No"))))</f>
        <v/>
      </c>
      <c r="P1228" s="17">
        <f>IF($C1228="","",IF($K1228="","",IF(N($K1228)&gt;2,"No",IF(COUNTIFS(nrES_PID,$D1228,nrES_Code,$F1228,nrES_Att,"&gt;"&amp;$K1228,nrES_Att,"&lt;=2",nrES_Raw,"&gt;=0")=0,"Yes","No"))))</f>
        <v/>
      </c>
      <c r="Q1228" s="17">
        <f>IF($C1228="","",IF($L1228="","",IF(AND($K1228=1,ISNUMBER($L1228),$L1228&lt;$J1228,COUNTIFS(nrES_PID,$D1228,nrES_Code,$F1228,nrES_Att,2,nrES_Raw,"&gt;=0")=0),"Yes","No")))</f>
        <v/>
      </c>
      <c r="R1228" s="17">
        <f>IF($C1228="","",IF($L1228="","",IF(AND(N($K1228)&gt;=2,ISNUMBER($L1228),$L1228&lt;$J1228),"Yes","No")))</f>
        <v/>
      </c>
      <c r="S1228" s="18" t="n"/>
      <c r="T1228" s="19">
        <f>IF(OR($C1228="",$L1228="",$K1228&lt;&gt;1,NOT(ISNUMBER($L1228)),$L1228&gt;=$J1228),"",IF($S1228="","(enter date)",_xlfn.LET(_xlpm.dn,_xlfn.XLOOKUP($S1228,nrCDdate,nrCDnum,"",1),IF(_xlpm.dn="","(after last class day)",_xlfn.LET(_xlpm.dd,_xlfn.XLOOKUP(_xlpm.dn+cfgRetestClassDays,nrCDnum,nrCDdate,""),_xlpm.ok,_xlfn.XLOOKUP(_xlpm.dn+cfgRetestClassDays,nrCDnum,nrCDinsession,"No"),IF(OR(_xlpm.dd="",_xlpm.ok&lt;&gt;"Yes"),"(after last class day)",_xlpm.dd))))))</f>
        <v/>
      </c>
      <c r="U1228" s="17">
        <f>IF($C1228="","",IF(AND($Y1228="Excused",$L1228="",N($K1228)&lt;=1),"EXCUSED - 1st attempt pending",IF(OR($L1228="",$K1228&lt;&gt;1,NOT(ISNUMBER($L1228)),$L1228&gt;=$J1228),"",IF(COUNTIFS(nrES_PID,$D1228,nrES_Code,$F1228,nrES_Att,2,nrES_Raw,"&gt;=0")&gt;0,IF(IFERROR(_xlfn.MINIFS(nrES_Date,nrES_PID,$D1228,nrES_Code,$F1228,nrES_Att,2,nrES_Raw,"&gt;=0",nrES_Date,"&gt;0"),0)=0,"RETEST UNDATED",IF(NOT(ISNUMBER($T1228)),"RETEST DATE UNCHECKED",IF(_xlfn.MINIFS(nrES_Date,nrES_PID,$D1228,nrES_Code,$F1228,nrES_Att,2,nrES_Raw,"&gt;=0",nrES_Date,"&gt;0")&gt;$T1228,"LATE RETEST "&amp;TEXT(_xlfn.MINIFS(nrES_Date,nrES_PID,$D1228,nrES_Code,$F1228,nrES_Att,2,nrES_Raw,"&gt;=0",nrES_Date,"&gt;0"),"mm/dd")&amp;" (due "&amp;TEXT($T1228,"mm/dd")&amp;")","Retested"))),IF(NOT(ISNUMBER($T1228)),"CHECK DATE",IF(TODAY()&gt;$T1228,"OVERDUE","Due "&amp;TEXT($T1228,"mm/dd")))))))</f>
        <v/>
      </c>
      <c r="V1228" s="16" t="n"/>
      <c r="W1228" s="16" t="n"/>
      <c r="X1228" s="17">
        <f>IF($C1228="","",IF(AND($L1228&lt;&gt;"",NOT(ISNUMBER($L1228))),"RAW SCORE NOT A NUMBER",IF(AND(ISNUMBER($L1228),OR($L1228&lt;0,$L1228&gt;100)),"RAW SCORE OUT OF RANGE",IF(AND($Y1228="Unexcused",OR($L1228="",NOT(ISNUMBER($L1228)),$L1228&lt;&gt;0)),"UNEXCUSED ABSENCE MUST RECORD 0",IF(COUNTIF(nrES_RecID,$B1228)&gt;1,"DUPLICATE RECORD",IF(N($K1228)&gt;2,"ATTEMPT 3+ NOT ALLOWED - policy 300.5 permits one retest per exam; this row records nothing",IF(AND($K1228=2,COUNTIFS(nrES_PID,$D1228,nrES_Code,$F1228,nrES_Att,1)=0),"ATTEMPT 2 WITHOUT ATTEMPT 1",IF(AND($K1228=2,$L1228=""),"RETEST ROW HAS NO SCORE",IF(AND($H1228="Final",$L1228&lt;&gt;"",IFERROR(INDEX(nrCKfinalExamElig,MATCH($D1228,rngCadetPIDs,0)),"")="No"),"FINAL EXAM AFTER FAILED FINAL PT (500.1.H)",IF(AND($K1228=2,ISNUMBER($L1228),COUNTIFS(nrES_PID,$D1228,nrES_Code,$F1228,nrES_Att,1)&gt;0,SUMIFS(nrES_Raw,nrES_PID,$D1228,nrES_Code,$F1228,nrES_Att,1)&gt;=$J1228),"RETEST AFTER A PASSING FIRST ATTEMPT","OK"))))))))))</f>
        <v/>
      </c>
      <c r="Y1228" s="16" t="n"/>
    </row>
    <row r="1229">
      <c r="B1229" s="17">
        <f>IF($C1229="","",$D1229&amp;"-"&amp;$F1229&amp;"-"&amp;$K1229)</f>
        <v/>
      </c>
      <c r="C1229" s="16" t="n"/>
      <c r="D1229" s="17">
        <f>IF($C1229="","",IFERROR(INDEX(rngCadetPIDs,MATCH($C1229,rngCadetNames,0)),"?"))</f>
        <v/>
      </c>
      <c r="E1229" s="17">
        <f>IF($D1229="","",IFERROR(INDEX(nrCadetAgency,MATCH($D1229,rngCadetPIDs,0)),""))</f>
        <v/>
      </c>
      <c r="F1229" s="16" t="n"/>
      <c r="G1229" s="17">
        <f>IF($F1229="","",IFERROR(INDEX(rngEPname,MATCH($F1229,rngEPcode,0)),"?"))</f>
        <v/>
      </c>
      <c r="H1229" s="17">
        <f>IF($F1229="","",IFERROR(INDEX(rngEPtype,MATCH($F1229,rngEPcode,0)),"?"))</f>
        <v/>
      </c>
      <c r="I1229" s="17">
        <f>IF($F1229="","",IFERROR(INDEX(rngEPseq,MATCH($F1229,rngEPcode,0)),""))</f>
        <v/>
      </c>
      <c r="J1229" s="17">
        <f>IF($F1229="","",IFERROR(INDEX(rngEPpass,MATCH($F1229,rngEPcode,0)),cfgPassingScore))</f>
        <v/>
      </c>
      <c r="K1229" s="16" t="n"/>
      <c r="L1229" s="16" t="n"/>
      <c r="M1229" s="17">
        <f>IF($C1229="","",IF($L1229="","",IF(NOT(ISNUMBER($L1229)),$L1229,IF(N($K1229)&gt;2,"",IF($K1229=1,IF(COUNTIFS(nrES_PID,$D1229,nrES_Code,$F1229,nrES_Att,2,nrES_Raw,"&gt;=0")&gt;0,"",$L1229),IF($L1229&gt;=$J1229,MAX($J1229,cfgRetakeRecordedCap),IF(COUNTIFS(nrES_PID,$D1229,nrES_Code,$F1229,nrES_Att,1)=0,$L1229,SUMIFS(nrES_Raw,nrES_PID,$D1229,nrES_Code,$F1229,nrES_Att,1))))))))</f>
        <v/>
      </c>
      <c r="N1229" s="17">
        <f>IF($C1229="","",IF($L1229="","",IF(NOT(ISNUMBER($L1229)),"(not a score)",IF($L1229&gt;=$J1229,"Yes","No"))))</f>
        <v/>
      </c>
      <c r="O1229" s="17">
        <f>IF($C1229="","",IF($M1229="","",IF(NOT(ISNUMBER($M1229)),"(not a score)",IF($M1229&gt;=$J1229,"Yes","No"))))</f>
        <v/>
      </c>
      <c r="P1229" s="17">
        <f>IF($C1229="","",IF($K1229="","",IF(N($K1229)&gt;2,"No",IF(COUNTIFS(nrES_PID,$D1229,nrES_Code,$F1229,nrES_Att,"&gt;"&amp;$K1229,nrES_Att,"&lt;=2",nrES_Raw,"&gt;=0")=0,"Yes","No"))))</f>
        <v/>
      </c>
      <c r="Q1229" s="17">
        <f>IF($C1229="","",IF($L1229="","",IF(AND($K1229=1,ISNUMBER($L1229),$L1229&lt;$J1229,COUNTIFS(nrES_PID,$D1229,nrES_Code,$F1229,nrES_Att,2,nrES_Raw,"&gt;=0")=0),"Yes","No")))</f>
        <v/>
      </c>
      <c r="R1229" s="17">
        <f>IF($C1229="","",IF($L1229="","",IF(AND(N($K1229)&gt;=2,ISNUMBER($L1229),$L1229&lt;$J1229),"Yes","No")))</f>
        <v/>
      </c>
      <c r="S1229" s="18" t="n"/>
      <c r="T1229" s="19">
        <f>IF(OR($C1229="",$L1229="",$K1229&lt;&gt;1,NOT(ISNUMBER($L1229)),$L1229&gt;=$J1229),"",IF($S1229="","(enter date)",_xlfn.LET(_xlpm.dn,_xlfn.XLOOKUP($S1229,nrCDdate,nrCDnum,"",1),IF(_xlpm.dn="","(after last class day)",_xlfn.LET(_xlpm.dd,_xlfn.XLOOKUP(_xlpm.dn+cfgRetestClassDays,nrCDnum,nrCDdate,""),_xlpm.ok,_xlfn.XLOOKUP(_xlpm.dn+cfgRetestClassDays,nrCDnum,nrCDinsession,"No"),IF(OR(_xlpm.dd="",_xlpm.ok&lt;&gt;"Yes"),"(after last class day)",_xlpm.dd))))))</f>
        <v/>
      </c>
      <c r="U1229" s="17">
        <f>IF($C1229="","",IF(AND($Y1229="Excused",$L1229="",N($K1229)&lt;=1),"EXCUSED - 1st attempt pending",IF(OR($L1229="",$K1229&lt;&gt;1,NOT(ISNUMBER($L1229)),$L1229&gt;=$J1229),"",IF(COUNTIFS(nrES_PID,$D1229,nrES_Code,$F1229,nrES_Att,2,nrES_Raw,"&gt;=0")&gt;0,IF(IFERROR(_xlfn.MINIFS(nrES_Date,nrES_PID,$D1229,nrES_Code,$F1229,nrES_Att,2,nrES_Raw,"&gt;=0",nrES_Date,"&gt;0"),0)=0,"RETEST UNDATED",IF(NOT(ISNUMBER($T1229)),"RETEST DATE UNCHECKED",IF(_xlfn.MINIFS(nrES_Date,nrES_PID,$D1229,nrES_Code,$F1229,nrES_Att,2,nrES_Raw,"&gt;=0",nrES_Date,"&gt;0")&gt;$T1229,"LATE RETEST "&amp;TEXT(_xlfn.MINIFS(nrES_Date,nrES_PID,$D1229,nrES_Code,$F1229,nrES_Att,2,nrES_Raw,"&gt;=0",nrES_Date,"&gt;0"),"mm/dd")&amp;" (due "&amp;TEXT($T1229,"mm/dd")&amp;")","Retested"))),IF(NOT(ISNUMBER($T1229)),"CHECK DATE",IF(TODAY()&gt;$T1229,"OVERDUE","Due "&amp;TEXT($T1229,"mm/dd")))))))</f>
        <v/>
      </c>
      <c r="V1229" s="16" t="n"/>
      <c r="W1229" s="16" t="n"/>
      <c r="X1229" s="17">
        <f>IF($C1229="","",IF(AND($L1229&lt;&gt;"",NOT(ISNUMBER($L1229))),"RAW SCORE NOT A NUMBER",IF(AND(ISNUMBER($L1229),OR($L1229&lt;0,$L1229&gt;100)),"RAW SCORE OUT OF RANGE",IF(AND($Y1229="Unexcused",OR($L1229="",NOT(ISNUMBER($L1229)),$L1229&lt;&gt;0)),"UNEXCUSED ABSENCE MUST RECORD 0",IF(COUNTIF(nrES_RecID,$B1229)&gt;1,"DUPLICATE RECORD",IF(N($K1229)&gt;2,"ATTEMPT 3+ NOT ALLOWED - policy 300.5 permits one retest per exam; this row records nothing",IF(AND($K1229=2,COUNTIFS(nrES_PID,$D1229,nrES_Code,$F1229,nrES_Att,1)=0),"ATTEMPT 2 WITHOUT ATTEMPT 1",IF(AND($K1229=2,$L1229=""),"RETEST ROW HAS NO SCORE",IF(AND($H1229="Final",$L1229&lt;&gt;"",IFERROR(INDEX(nrCKfinalExamElig,MATCH($D1229,rngCadetPIDs,0)),"")="No"),"FINAL EXAM AFTER FAILED FINAL PT (500.1.H)",IF(AND($K1229=2,ISNUMBER($L1229),COUNTIFS(nrES_PID,$D1229,nrES_Code,$F1229,nrES_Att,1)&gt;0,SUMIFS(nrES_Raw,nrES_PID,$D1229,nrES_Code,$F1229,nrES_Att,1)&gt;=$J1229),"RETEST AFTER A PASSING FIRST ATTEMPT","OK"))))))))))</f>
        <v/>
      </c>
      <c r="Y1229" s="16" t="n"/>
    </row>
    <row r="1230">
      <c r="B1230" s="17">
        <f>IF($C1230="","",$D1230&amp;"-"&amp;$F1230&amp;"-"&amp;$K1230)</f>
        <v/>
      </c>
      <c r="C1230" s="16" t="n"/>
      <c r="D1230" s="17">
        <f>IF($C1230="","",IFERROR(INDEX(rngCadetPIDs,MATCH($C1230,rngCadetNames,0)),"?"))</f>
        <v/>
      </c>
      <c r="E1230" s="17">
        <f>IF($D1230="","",IFERROR(INDEX(nrCadetAgency,MATCH($D1230,rngCadetPIDs,0)),""))</f>
        <v/>
      </c>
      <c r="F1230" s="16" t="n"/>
      <c r="G1230" s="17">
        <f>IF($F1230="","",IFERROR(INDEX(rngEPname,MATCH($F1230,rngEPcode,0)),"?"))</f>
        <v/>
      </c>
      <c r="H1230" s="17">
        <f>IF($F1230="","",IFERROR(INDEX(rngEPtype,MATCH($F1230,rngEPcode,0)),"?"))</f>
        <v/>
      </c>
      <c r="I1230" s="17">
        <f>IF($F1230="","",IFERROR(INDEX(rngEPseq,MATCH($F1230,rngEPcode,0)),""))</f>
        <v/>
      </c>
      <c r="J1230" s="17">
        <f>IF($F1230="","",IFERROR(INDEX(rngEPpass,MATCH($F1230,rngEPcode,0)),cfgPassingScore))</f>
        <v/>
      </c>
      <c r="K1230" s="16" t="n"/>
      <c r="L1230" s="16" t="n"/>
      <c r="M1230" s="17">
        <f>IF($C1230="","",IF($L1230="","",IF(NOT(ISNUMBER($L1230)),$L1230,IF(N($K1230)&gt;2,"",IF($K1230=1,IF(COUNTIFS(nrES_PID,$D1230,nrES_Code,$F1230,nrES_Att,2,nrES_Raw,"&gt;=0")&gt;0,"",$L1230),IF($L1230&gt;=$J1230,MAX($J1230,cfgRetakeRecordedCap),IF(COUNTIFS(nrES_PID,$D1230,nrES_Code,$F1230,nrES_Att,1)=0,$L1230,SUMIFS(nrES_Raw,nrES_PID,$D1230,nrES_Code,$F1230,nrES_Att,1))))))))</f>
        <v/>
      </c>
      <c r="N1230" s="17">
        <f>IF($C1230="","",IF($L1230="","",IF(NOT(ISNUMBER($L1230)),"(not a score)",IF($L1230&gt;=$J1230,"Yes","No"))))</f>
        <v/>
      </c>
      <c r="O1230" s="17">
        <f>IF($C1230="","",IF($M1230="","",IF(NOT(ISNUMBER($M1230)),"(not a score)",IF($M1230&gt;=$J1230,"Yes","No"))))</f>
        <v/>
      </c>
      <c r="P1230" s="17">
        <f>IF($C1230="","",IF($K1230="","",IF(N($K1230)&gt;2,"No",IF(COUNTIFS(nrES_PID,$D1230,nrES_Code,$F1230,nrES_Att,"&gt;"&amp;$K1230,nrES_Att,"&lt;=2",nrES_Raw,"&gt;=0")=0,"Yes","No"))))</f>
        <v/>
      </c>
      <c r="Q1230" s="17">
        <f>IF($C1230="","",IF($L1230="","",IF(AND($K1230=1,ISNUMBER($L1230),$L1230&lt;$J1230,COUNTIFS(nrES_PID,$D1230,nrES_Code,$F1230,nrES_Att,2,nrES_Raw,"&gt;=0")=0),"Yes","No")))</f>
        <v/>
      </c>
      <c r="R1230" s="17">
        <f>IF($C1230="","",IF($L1230="","",IF(AND(N($K1230)&gt;=2,ISNUMBER($L1230),$L1230&lt;$J1230),"Yes","No")))</f>
        <v/>
      </c>
      <c r="S1230" s="18" t="n"/>
      <c r="T1230" s="19">
        <f>IF(OR($C1230="",$L1230="",$K1230&lt;&gt;1,NOT(ISNUMBER($L1230)),$L1230&gt;=$J1230),"",IF($S1230="","(enter date)",_xlfn.LET(_xlpm.dn,_xlfn.XLOOKUP($S1230,nrCDdate,nrCDnum,"",1),IF(_xlpm.dn="","(after last class day)",_xlfn.LET(_xlpm.dd,_xlfn.XLOOKUP(_xlpm.dn+cfgRetestClassDays,nrCDnum,nrCDdate,""),_xlpm.ok,_xlfn.XLOOKUP(_xlpm.dn+cfgRetestClassDays,nrCDnum,nrCDinsession,"No"),IF(OR(_xlpm.dd="",_xlpm.ok&lt;&gt;"Yes"),"(after last class day)",_xlpm.dd))))))</f>
        <v/>
      </c>
      <c r="U1230" s="17">
        <f>IF($C1230="","",IF(AND($Y1230="Excused",$L1230="",N($K1230)&lt;=1),"EXCUSED - 1st attempt pending",IF(OR($L1230="",$K1230&lt;&gt;1,NOT(ISNUMBER($L1230)),$L1230&gt;=$J1230),"",IF(COUNTIFS(nrES_PID,$D1230,nrES_Code,$F1230,nrES_Att,2,nrES_Raw,"&gt;=0")&gt;0,IF(IFERROR(_xlfn.MINIFS(nrES_Date,nrES_PID,$D1230,nrES_Code,$F1230,nrES_Att,2,nrES_Raw,"&gt;=0",nrES_Date,"&gt;0"),0)=0,"RETEST UNDATED",IF(NOT(ISNUMBER($T1230)),"RETEST DATE UNCHECKED",IF(_xlfn.MINIFS(nrES_Date,nrES_PID,$D1230,nrES_Code,$F1230,nrES_Att,2,nrES_Raw,"&gt;=0",nrES_Date,"&gt;0")&gt;$T1230,"LATE RETEST "&amp;TEXT(_xlfn.MINIFS(nrES_Date,nrES_PID,$D1230,nrES_Code,$F1230,nrES_Att,2,nrES_Raw,"&gt;=0",nrES_Date,"&gt;0"),"mm/dd")&amp;" (due "&amp;TEXT($T1230,"mm/dd")&amp;")","Retested"))),IF(NOT(ISNUMBER($T1230)),"CHECK DATE",IF(TODAY()&gt;$T1230,"OVERDUE","Due "&amp;TEXT($T1230,"mm/dd")))))))</f>
        <v/>
      </c>
      <c r="V1230" s="16" t="n"/>
      <c r="W1230" s="16" t="n"/>
      <c r="X1230" s="17">
        <f>IF($C1230="","",IF(AND($L1230&lt;&gt;"",NOT(ISNUMBER($L1230))),"RAW SCORE NOT A NUMBER",IF(AND(ISNUMBER($L1230),OR($L1230&lt;0,$L1230&gt;100)),"RAW SCORE OUT OF RANGE",IF(AND($Y1230="Unexcused",OR($L1230="",NOT(ISNUMBER($L1230)),$L1230&lt;&gt;0)),"UNEXCUSED ABSENCE MUST RECORD 0",IF(COUNTIF(nrES_RecID,$B1230)&gt;1,"DUPLICATE RECORD",IF(N($K1230)&gt;2,"ATTEMPT 3+ NOT ALLOWED - policy 300.5 permits one retest per exam; this row records nothing",IF(AND($K1230=2,COUNTIFS(nrES_PID,$D1230,nrES_Code,$F1230,nrES_Att,1)=0),"ATTEMPT 2 WITHOUT ATTEMPT 1",IF(AND($K1230=2,$L1230=""),"RETEST ROW HAS NO SCORE",IF(AND($H1230="Final",$L1230&lt;&gt;"",IFERROR(INDEX(nrCKfinalExamElig,MATCH($D1230,rngCadetPIDs,0)),"")="No"),"FINAL EXAM AFTER FAILED FINAL PT (500.1.H)",IF(AND($K1230=2,ISNUMBER($L1230),COUNTIFS(nrES_PID,$D1230,nrES_Code,$F1230,nrES_Att,1)&gt;0,SUMIFS(nrES_Raw,nrES_PID,$D1230,nrES_Code,$F1230,nrES_Att,1)&gt;=$J1230),"RETEST AFTER A PASSING FIRST ATTEMPT","OK"))))))))))</f>
        <v/>
      </c>
      <c r="Y1230" s="16" t="n"/>
    </row>
    <row r="1231">
      <c r="B1231" s="17">
        <f>IF($C1231="","",$D1231&amp;"-"&amp;$F1231&amp;"-"&amp;$K1231)</f>
        <v/>
      </c>
      <c r="C1231" s="16" t="n"/>
      <c r="D1231" s="17">
        <f>IF($C1231="","",IFERROR(INDEX(rngCadetPIDs,MATCH($C1231,rngCadetNames,0)),"?"))</f>
        <v/>
      </c>
      <c r="E1231" s="17">
        <f>IF($D1231="","",IFERROR(INDEX(nrCadetAgency,MATCH($D1231,rngCadetPIDs,0)),""))</f>
        <v/>
      </c>
      <c r="F1231" s="16" t="n"/>
      <c r="G1231" s="17">
        <f>IF($F1231="","",IFERROR(INDEX(rngEPname,MATCH($F1231,rngEPcode,0)),"?"))</f>
        <v/>
      </c>
      <c r="H1231" s="17">
        <f>IF($F1231="","",IFERROR(INDEX(rngEPtype,MATCH($F1231,rngEPcode,0)),"?"))</f>
        <v/>
      </c>
      <c r="I1231" s="17">
        <f>IF($F1231="","",IFERROR(INDEX(rngEPseq,MATCH($F1231,rngEPcode,0)),""))</f>
        <v/>
      </c>
      <c r="J1231" s="17">
        <f>IF($F1231="","",IFERROR(INDEX(rngEPpass,MATCH($F1231,rngEPcode,0)),cfgPassingScore))</f>
        <v/>
      </c>
      <c r="K1231" s="16" t="n"/>
      <c r="L1231" s="16" t="n"/>
      <c r="M1231" s="17">
        <f>IF($C1231="","",IF($L1231="","",IF(NOT(ISNUMBER($L1231)),$L1231,IF(N($K1231)&gt;2,"",IF($K1231=1,IF(COUNTIFS(nrES_PID,$D1231,nrES_Code,$F1231,nrES_Att,2,nrES_Raw,"&gt;=0")&gt;0,"",$L1231),IF($L1231&gt;=$J1231,MAX($J1231,cfgRetakeRecordedCap),IF(COUNTIFS(nrES_PID,$D1231,nrES_Code,$F1231,nrES_Att,1)=0,$L1231,SUMIFS(nrES_Raw,nrES_PID,$D1231,nrES_Code,$F1231,nrES_Att,1))))))))</f>
        <v/>
      </c>
      <c r="N1231" s="17">
        <f>IF($C1231="","",IF($L1231="","",IF(NOT(ISNUMBER($L1231)),"(not a score)",IF($L1231&gt;=$J1231,"Yes","No"))))</f>
        <v/>
      </c>
      <c r="O1231" s="17">
        <f>IF($C1231="","",IF($M1231="","",IF(NOT(ISNUMBER($M1231)),"(not a score)",IF($M1231&gt;=$J1231,"Yes","No"))))</f>
        <v/>
      </c>
      <c r="P1231" s="17">
        <f>IF($C1231="","",IF($K1231="","",IF(N($K1231)&gt;2,"No",IF(COUNTIFS(nrES_PID,$D1231,nrES_Code,$F1231,nrES_Att,"&gt;"&amp;$K1231,nrES_Att,"&lt;=2",nrES_Raw,"&gt;=0")=0,"Yes","No"))))</f>
        <v/>
      </c>
      <c r="Q1231" s="17">
        <f>IF($C1231="","",IF($L1231="","",IF(AND($K1231=1,ISNUMBER($L1231),$L1231&lt;$J1231,COUNTIFS(nrES_PID,$D1231,nrES_Code,$F1231,nrES_Att,2,nrES_Raw,"&gt;=0")=0),"Yes","No")))</f>
        <v/>
      </c>
      <c r="R1231" s="17">
        <f>IF($C1231="","",IF($L1231="","",IF(AND(N($K1231)&gt;=2,ISNUMBER($L1231),$L1231&lt;$J1231),"Yes","No")))</f>
        <v/>
      </c>
      <c r="S1231" s="18" t="n"/>
      <c r="T1231" s="19">
        <f>IF(OR($C1231="",$L1231="",$K1231&lt;&gt;1,NOT(ISNUMBER($L1231)),$L1231&gt;=$J1231),"",IF($S1231="","(enter date)",_xlfn.LET(_xlpm.dn,_xlfn.XLOOKUP($S1231,nrCDdate,nrCDnum,"",1),IF(_xlpm.dn="","(after last class day)",_xlfn.LET(_xlpm.dd,_xlfn.XLOOKUP(_xlpm.dn+cfgRetestClassDays,nrCDnum,nrCDdate,""),_xlpm.ok,_xlfn.XLOOKUP(_xlpm.dn+cfgRetestClassDays,nrCDnum,nrCDinsession,"No"),IF(OR(_xlpm.dd="",_xlpm.ok&lt;&gt;"Yes"),"(after last class day)",_xlpm.dd))))))</f>
        <v/>
      </c>
      <c r="U1231" s="17">
        <f>IF($C1231="","",IF(AND($Y1231="Excused",$L1231="",N($K1231)&lt;=1),"EXCUSED - 1st attempt pending",IF(OR($L1231="",$K1231&lt;&gt;1,NOT(ISNUMBER($L1231)),$L1231&gt;=$J1231),"",IF(COUNTIFS(nrES_PID,$D1231,nrES_Code,$F1231,nrES_Att,2,nrES_Raw,"&gt;=0")&gt;0,IF(IFERROR(_xlfn.MINIFS(nrES_Date,nrES_PID,$D1231,nrES_Code,$F1231,nrES_Att,2,nrES_Raw,"&gt;=0",nrES_Date,"&gt;0"),0)=0,"RETEST UNDATED",IF(NOT(ISNUMBER($T1231)),"RETEST DATE UNCHECKED",IF(_xlfn.MINIFS(nrES_Date,nrES_PID,$D1231,nrES_Code,$F1231,nrES_Att,2,nrES_Raw,"&gt;=0",nrES_Date,"&gt;0")&gt;$T1231,"LATE RETEST "&amp;TEXT(_xlfn.MINIFS(nrES_Date,nrES_PID,$D1231,nrES_Code,$F1231,nrES_Att,2,nrES_Raw,"&gt;=0",nrES_Date,"&gt;0"),"mm/dd")&amp;" (due "&amp;TEXT($T1231,"mm/dd")&amp;")","Retested"))),IF(NOT(ISNUMBER($T1231)),"CHECK DATE",IF(TODAY()&gt;$T1231,"OVERDUE","Due "&amp;TEXT($T1231,"mm/dd")))))))</f>
        <v/>
      </c>
      <c r="V1231" s="16" t="n"/>
      <c r="W1231" s="16" t="n"/>
      <c r="X1231" s="17">
        <f>IF($C1231="","",IF(AND($L1231&lt;&gt;"",NOT(ISNUMBER($L1231))),"RAW SCORE NOT A NUMBER",IF(AND(ISNUMBER($L1231),OR($L1231&lt;0,$L1231&gt;100)),"RAW SCORE OUT OF RANGE",IF(AND($Y1231="Unexcused",OR($L1231="",NOT(ISNUMBER($L1231)),$L1231&lt;&gt;0)),"UNEXCUSED ABSENCE MUST RECORD 0",IF(COUNTIF(nrES_RecID,$B1231)&gt;1,"DUPLICATE RECORD",IF(N($K1231)&gt;2,"ATTEMPT 3+ NOT ALLOWED - policy 300.5 permits one retest per exam; this row records nothing",IF(AND($K1231=2,COUNTIFS(nrES_PID,$D1231,nrES_Code,$F1231,nrES_Att,1)=0),"ATTEMPT 2 WITHOUT ATTEMPT 1",IF(AND($K1231=2,$L1231=""),"RETEST ROW HAS NO SCORE",IF(AND($H1231="Final",$L1231&lt;&gt;"",IFERROR(INDEX(nrCKfinalExamElig,MATCH($D1231,rngCadetPIDs,0)),"")="No"),"FINAL EXAM AFTER FAILED FINAL PT (500.1.H)",IF(AND($K1231=2,ISNUMBER($L1231),COUNTIFS(nrES_PID,$D1231,nrES_Code,$F1231,nrES_Att,1)&gt;0,SUMIFS(nrES_Raw,nrES_PID,$D1231,nrES_Code,$F1231,nrES_Att,1)&gt;=$J1231),"RETEST AFTER A PASSING FIRST ATTEMPT","OK"))))))))))</f>
        <v/>
      </c>
      <c r="Y1231" s="16" t="n"/>
    </row>
    <row r="1232">
      <c r="B1232" s="17">
        <f>IF($C1232="","",$D1232&amp;"-"&amp;$F1232&amp;"-"&amp;$K1232)</f>
        <v/>
      </c>
      <c r="C1232" s="16" t="n"/>
      <c r="D1232" s="17">
        <f>IF($C1232="","",IFERROR(INDEX(rngCadetPIDs,MATCH($C1232,rngCadetNames,0)),"?"))</f>
        <v/>
      </c>
      <c r="E1232" s="17">
        <f>IF($D1232="","",IFERROR(INDEX(nrCadetAgency,MATCH($D1232,rngCadetPIDs,0)),""))</f>
        <v/>
      </c>
      <c r="F1232" s="16" t="n"/>
      <c r="G1232" s="17">
        <f>IF($F1232="","",IFERROR(INDEX(rngEPname,MATCH($F1232,rngEPcode,0)),"?"))</f>
        <v/>
      </c>
      <c r="H1232" s="17">
        <f>IF($F1232="","",IFERROR(INDEX(rngEPtype,MATCH($F1232,rngEPcode,0)),"?"))</f>
        <v/>
      </c>
      <c r="I1232" s="17">
        <f>IF($F1232="","",IFERROR(INDEX(rngEPseq,MATCH($F1232,rngEPcode,0)),""))</f>
        <v/>
      </c>
      <c r="J1232" s="17">
        <f>IF($F1232="","",IFERROR(INDEX(rngEPpass,MATCH($F1232,rngEPcode,0)),cfgPassingScore))</f>
        <v/>
      </c>
      <c r="K1232" s="16" t="n"/>
      <c r="L1232" s="16" t="n"/>
      <c r="M1232" s="17">
        <f>IF($C1232="","",IF($L1232="","",IF(NOT(ISNUMBER($L1232)),$L1232,IF(N($K1232)&gt;2,"",IF($K1232=1,IF(COUNTIFS(nrES_PID,$D1232,nrES_Code,$F1232,nrES_Att,2,nrES_Raw,"&gt;=0")&gt;0,"",$L1232),IF($L1232&gt;=$J1232,MAX($J1232,cfgRetakeRecordedCap),IF(COUNTIFS(nrES_PID,$D1232,nrES_Code,$F1232,nrES_Att,1)=0,$L1232,SUMIFS(nrES_Raw,nrES_PID,$D1232,nrES_Code,$F1232,nrES_Att,1))))))))</f>
        <v/>
      </c>
      <c r="N1232" s="17">
        <f>IF($C1232="","",IF($L1232="","",IF(NOT(ISNUMBER($L1232)),"(not a score)",IF($L1232&gt;=$J1232,"Yes","No"))))</f>
        <v/>
      </c>
      <c r="O1232" s="17">
        <f>IF($C1232="","",IF($M1232="","",IF(NOT(ISNUMBER($M1232)),"(not a score)",IF($M1232&gt;=$J1232,"Yes","No"))))</f>
        <v/>
      </c>
      <c r="P1232" s="17">
        <f>IF($C1232="","",IF($K1232="","",IF(N($K1232)&gt;2,"No",IF(COUNTIFS(nrES_PID,$D1232,nrES_Code,$F1232,nrES_Att,"&gt;"&amp;$K1232,nrES_Att,"&lt;=2",nrES_Raw,"&gt;=0")=0,"Yes","No"))))</f>
        <v/>
      </c>
      <c r="Q1232" s="17">
        <f>IF($C1232="","",IF($L1232="","",IF(AND($K1232=1,ISNUMBER($L1232),$L1232&lt;$J1232,COUNTIFS(nrES_PID,$D1232,nrES_Code,$F1232,nrES_Att,2,nrES_Raw,"&gt;=0")=0),"Yes","No")))</f>
        <v/>
      </c>
      <c r="R1232" s="17">
        <f>IF($C1232="","",IF($L1232="","",IF(AND(N($K1232)&gt;=2,ISNUMBER($L1232),$L1232&lt;$J1232),"Yes","No")))</f>
        <v/>
      </c>
      <c r="S1232" s="18" t="n"/>
      <c r="T1232" s="19">
        <f>IF(OR($C1232="",$L1232="",$K1232&lt;&gt;1,NOT(ISNUMBER($L1232)),$L1232&gt;=$J1232),"",IF($S1232="","(enter date)",_xlfn.LET(_xlpm.dn,_xlfn.XLOOKUP($S1232,nrCDdate,nrCDnum,"",1),IF(_xlpm.dn="","(after last class day)",_xlfn.LET(_xlpm.dd,_xlfn.XLOOKUP(_xlpm.dn+cfgRetestClassDays,nrCDnum,nrCDdate,""),_xlpm.ok,_xlfn.XLOOKUP(_xlpm.dn+cfgRetestClassDays,nrCDnum,nrCDinsession,"No"),IF(OR(_xlpm.dd="",_xlpm.ok&lt;&gt;"Yes"),"(after last class day)",_xlpm.dd))))))</f>
        <v/>
      </c>
      <c r="U1232" s="17">
        <f>IF($C1232="","",IF(AND($Y1232="Excused",$L1232="",N($K1232)&lt;=1),"EXCUSED - 1st attempt pending",IF(OR($L1232="",$K1232&lt;&gt;1,NOT(ISNUMBER($L1232)),$L1232&gt;=$J1232),"",IF(COUNTIFS(nrES_PID,$D1232,nrES_Code,$F1232,nrES_Att,2,nrES_Raw,"&gt;=0")&gt;0,IF(IFERROR(_xlfn.MINIFS(nrES_Date,nrES_PID,$D1232,nrES_Code,$F1232,nrES_Att,2,nrES_Raw,"&gt;=0",nrES_Date,"&gt;0"),0)=0,"RETEST UNDATED",IF(NOT(ISNUMBER($T1232)),"RETEST DATE UNCHECKED",IF(_xlfn.MINIFS(nrES_Date,nrES_PID,$D1232,nrES_Code,$F1232,nrES_Att,2,nrES_Raw,"&gt;=0",nrES_Date,"&gt;0")&gt;$T1232,"LATE RETEST "&amp;TEXT(_xlfn.MINIFS(nrES_Date,nrES_PID,$D1232,nrES_Code,$F1232,nrES_Att,2,nrES_Raw,"&gt;=0",nrES_Date,"&gt;0"),"mm/dd")&amp;" (due "&amp;TEXT($T1232,"mm/dd")&amp;")","Retested"))),IF(NOT(ISNUMBER($T1232)),"CHECK DATE",IF(TODAY()&gt;$T1232,"OVERDUE","Due "&amp;TEXT($T1232,"mm/dd")))))))</f>
        <v/>
      </c>
      <c r="V1232" s="16" t="n"/>
      <c r="W1232" s="16" t="n"/>
      <c r="X1232" s="17">
        <f>IF($C1232="","",IF(AND($L1232&lt;&gt;"",NOT(ISNUMBER($L1232))),"RAW SCORE NOT A NUMBER",IF(AND(ISNUMBER($L1232),OR($L1232&lt;0,$L1232&gt;100)),"RAW SCORE OUT OF RANGE",IF(AND($Y1232="Unexcused",OR($L1232="",NOT(ISNUMBER($L1232)),$L1232&lt;&gt;0)),"UNEXCUSED ABSENCE MUST RECORD 0",IF(COUNTIF(nrES_RecID,$B1232)&gt;1,"DUPLICATE RECORD",IF(N($K1232)&gt;2,"ATTEMPT 3+ NOT ALLOWED - policy 300.5 permits one retest per exam; this row records nothing",IF(AND($K1232=2,COUNTIFS(nrES_PID,$D1232,nrES_Code,$F1232,nrES_Att,1)=0),"ATTEMPT 2 WITHOUT ATTEMPT 1",IF(AND($K1232=2,$L1232=""),"RETEST ROW HAS NO SCORE",IF(AND($H1232="Final",$L1232&lt;&gt;"",IFERROR(INDEX(nrCKfinalExamElig,MATCH($D1232,rngCadetPIDs,0)),"")="No"),"FINAL EXAM AFTER FAILED FINAL PT (500.1.H)",IF(AND($K1232=2,ISNUMBER($L1232),COUNTIFS(nrES_PID,$D1232,nrES_Code,$F1232,nrES_Att,1)&gt;0,SUMIFS(nrES_Raw,nrES_PID,$D1232,nrES_Code,$F1232,nrES_Att,1)&gt;=$J1232),"RETEST AFTER A PASSING FIRST ATTEMPT","OK"))))))))))</f>
        <v/>
      </c>
      <c r="Y1232" s="16" t="n"/>
    </row>
    <row r="1233">
      <c r="B1233" s="17">
        <f>IF($C1233="","",$D1233&amp;"-"&amp;$F1233&amp;"-"&amp;$K1233)</f>
        <v/>
      </c>
      <c r="C1233" s="16" t="n"/>
      <c r="D1233" s="17">
        <f>IF($C1233="","",IFERROR(INDEX(rngCadetPIDs,MATCH($C1233,rngCadetNames,0)),"?"))</f>
        <v/>
      </c>
      <c r="E1233" s="17">
        <f>IF($D1233="","",IFERROR(INDEX(nrCadetAgency,MATCH($D1233,rngCadetPIDs,0)),""))</f>
        <v/>
      </c>
      <c r="F1233" s="16" t="n"/>
      <c r="G1233" s="17">
        <f>IF($F1233="","",IFERROR(INDEX(rngEPname,MATCH($F1233,rngEPcode,0)),"?"))</f>
        <v/>
      </c>
      <c r="H1233" s="17">
        <f>IF($F1233="","",IFERROR(INDEX(rngEPtype,MATCH($F1233,rngEPcode,0)),"?"))</f>
        <v/>
      </c>
      <c r="I1233" s="17">
        <f>IF($F1233="","",IFERROR(INDEX(rngEPseq,MATCH($F1233,rngEPcode,0)),""))</f>
        <v/>
      </c>
      <c r="J1233" s="17">
        <f>IF($F1233="","",IFERROR(INDEX(rngEPpass,MATCH($F1233,rngEPcode,0)),cfgPassingScore))</f>
        <v/>
      </c>
      <c r="K1233" s="16" t="n"/>
      <c r="L1233" s="16" t="n"/>
      <c r="M1233" s="17">
        <f>IF($C1233="","",IF($L1233="","",IF(NOT(ISNUMBER($L1233)),$L1233,IF(N($K1233)&gt;2,"",IF($K1233=1,IF(COUNTIFS(nrES_PID,$D1233,nrES_Code,$F1233,nrES_Att,2,nrES_Raw,"&gt;=0")&gt;0,"",$L1233),IF($L1233&gt;=$J1233,MAX($J1233,cfgRetakeRecordedCap),IF(COUNTIFS(nrES_PID,$D1233,nrES_Code,$F1233,nrES_Att,1)=0,$L1233,SUMIFS(nrES_Raw,nrES_PID,$D1233,nrES_Code,$F1233,nrES_Att,1))))))))</f>
        <v/>
      </c>
      <c r="N1233" s="17">
        <f>IF($C1233="","",IF($L1233="","",IF(NOT(ISNUMBER($L1233)),"(not a score)",IF($L1233&gt;=$J1233,"Yes","No"))))</f>
        <v/>
      </c>
      <c r="O1233" s="17">
        <f>IF($C1233="","",IF($M1233="","",IF(NOT(ISNUMBER($M1233)),"(not a score)",IF($M1233&gt;=$J1233,"Yes","No"))))</f>
        <v/>
      </c>
      <c r="P1233" s="17">
        <f>IF($C1233="","",IF($K1233="","",IF(N($K1233)&gt;2,"No",IF(COUNTIFS(nrES_PID,$D1233,nrES_Code,$F1233,nrES_Att,"&gt;"&amp;$K1233,nrES_Att,"&lt;=2",nrES_Raw,"&gt;=0")=0,"Yes","No"))))</f>
        <v/>
      </c>
      <c r="Q1233" s="17">
        <f>IF($C1233="","",IF($L1233="","",IF(AND($K1233=1,ISNUMBER($L1233),$L1233&lt;$J1233,COUNTIFS(nrES_PID,$D1233,nrES_Code,$F1233,nrES_Att,2,nrES_Raw,"&gt;=0")=0),"Yes","No")))</f>
        <v/>
      </c>
      <c r="R1233" s="17">
        <f>IF($C1233="","",IF($L1233="","",IF(AND(N($K1233)&gt;=2,ISNUMBER($L1233),$L1233&lt;$J1233),"Yes","No")))</f>
        <v/>
      </c>
      <c r="S1233" s="18" t="n"/>
      <c r="T1233" s="19">
        <f>IF(OR($C1233="",$L1233="",$K1233&lt;&gt;1,NOT(ISNUMBER($L1233)),$L1233&gt;=$J1233),"",IF($S1233="","(enter date)",_xlfn.LET(_xlpm.dn,_xlfn.XLOOKUP($S1233,nrCDdate,nrCDnum,"",1),IF(_xlpm.dn="","(after last class day)",_xlfn.LET(_xlpm.dd,_xlfn.XLOOKUP(_xlpm.dn+cfgRetestClassDays,nrCDnum,nrCDdate,""),_xlpm.ok,_xlfn.XLOOKUP(_xlpm.dn+cfgRetestClassDays,nrCDnum,nrCDinsession,"No"),IF(OR(_xlpm.dd="",_xlpm.ok&lt;&gt;"Yes"),"(after last class day)",_xlpm.dd))))))</f>
        <v/>
      </c>
      <c r="U1233" s="17">
        <f>IF($C1233="","",IF(AND($Y1233="Excused",$L1233="",N($K1233)&lt;=1),"EXCUSED - 1st attempt pending",IF(OR($L1233="",$K1233&lt;&gt;1,NOT(ISNUMBER($L1233)),$L1233&gt;=$J1233),"",IF(COUNTIFS(nrES_PID,$D1233,nrES_Code,$F1233,nrES_Att,2,nrES_Raw,"&gt;=0")&gt;0,IF(IFERROR(_xlfn.MINIFS(nrES_Date,nrES_PID,$D1233,nrES_Code,$F1233,nrES_Att,2,nrES_Raw,"&gt;=0",nrES_Date,"&gt;0"),0)=0,"RETEST UNDATED",IF(NOT(ISNUMBER($T1233)),"RETEST DATE UNCHECKED",IF(_xlfn.MINIFS(nrES_Date,nrES_PID,$D1233,nrES_Code,$F1233,nrES_Att,2,nrES_Raw,"&gt;=0",nrES_Date,"&gt;0")&gt;$T1233,"LATE RETEST "&amp;TEXT(_xlfn.MINIFS(nrES_Date,nrES_PID,$D1233,nrES_Code,$F1233,nrES_Att,2,nrES_Raw,"&gt;=0",nrES_Date,"&gt;0"),"mm/dd")&amp;" (due "&amp;TEXT($T1233,"mm/dd")&amp;")","Retested"))),IF(NOT(ISNUMBER($T1233)),"CHECK DATE",IF(TODAY()&gt;$T1233,"OVERDUE","Due "&amp;TEXT($T1233,"mm/dd")))))))</f>
        <v/>
      </c>
      <c r="V1233" s="16" t="n"/>
      <c r="W1233" s="16" t="n"/>
      <c r="X1233" s="17">
        <f>IF($C1233="","",IF(AND($L1233&lt;&gt;"",NOT(ISNUMBER($L1233))),"RAW SCORE NOT A NUMBER",IF(AND(ISNUMBER($L1233),OR($L1233&lt;0,$L1233&gt;100)),"RAW SCORE OUT OF RANGE",IF(AND($Y1233="Unexcused",OR($L1233="",NOT(ISNUMBER($L1233)),$L1233&lt;&gt;0)),"UNEXCUSED ABSENCE MUST RECORD 0",IF(COUNTIF(nrES_RecID,$B1233)&gt;1,"DUPLICATE RECORD",IF(N($K1233)&gt;2,"ATTEMPT 3+ NOT ALLOWED - policy 300.5 permits one retest per exam; this row records nothing",IF(AND($K1233=2,COUNTIFS(nrES_PID,$D1233,nrES_Code,$F1233,nrES_Att,1)=0),"ATTEMPT 2 WITHOUT ATTEMPT 1",IF(AND($K1233=2,$L1233=""),"RETEST ROW HAS NO SCORE",IF(AND($H1233="Final",$L1233&lt;&gt;"",IFERROR(INDEX(nrCKfinalExamElig,MATCH($D1233,rngCadetPIDs,0)),"")="No"),"FINAL EXAM AFTER FAILED FINAL PT (500.1.H)",IF(AND($K1233=2,ISNUMBER($L1233),COUNTIFS(nrES_PID,$D1233,nrES_Code,$F1233,nrES_Att,1)&gt;0,SUMIFS(nrES_Raw,nrES_PID,$D1233,nrES_Code,$F1233,nrES_Att,1)&gt;=$J1233),"RETEST AFTER A PASSING FIRST ATTEMPT","OK"))))))))))</f>
        <v/>
      </c>
      <c r="Y1233" s="16" t="n"/>
    </row>
    <row r="1234">
      <c r="B1234" s="17">
        <f>IF($C1234="","",$D1234&amp;"-"&amp;$F1234&amp;"-"&amp;$K1234)</f>
        <v/>
      </c>
      <c r="C1234" s="16" t="n"/>
      <c r="D1234" s="17">
        <f>IF($C1234="","",IFERROR(INDEX(rngCadetPIDs,MATCH($C1234,rngCadetNames,0)),"?"))</f>
        <v/>
      </c>
      <c r="E1234" s="17">
        <f>IF($D1234="","",IFERROR(INDEX(nrCadetAgency,MATCH($D1234,rngCadetPIDs,0)),""))</f>
        <v/>
      </c>
      <c r="F1234" s="16" t="n"/>
      <c r="G1234" s="17">
        <f>IF($F1234="","",IFERROR(INDEX(rngEPname,MATCH($F1234,rngEPcode,0)),"?"))</f>
        <v/>
      </c>
      <c r="H1234" s="17">
        <f>IF($F1234="","",IFERROR(INDEX(rngEPtype,MATCH($F1234,rngEPcode,0)),"?"))</f>
        <v/>
      </c>
      <c r="I1234" s="17">
        <f>IF($F1234="","",IFERROR(INDEX(rngEPseq,MATCH($F1234,rngEPcode,0)),""))</f>
        <v/>
      </c>
      <c r="J1234" s="17">
        <f>IF($F1234="","",IFERROR(INDEX(rngEPpass,MATCH($F1234,rngEPcode,0)),cfgPassingScore))</f>
        <v/>
      </c>
      <c r="K1234" s="16" t="n"/>
      <c r="L1234" s="16" t="n"/>
      <c r="M1234" s="17">
        <f>IF($C1234="","",IF($L1234="","",IF(NOT(ISNUMBER($L1234)),$L1234,IF(N($K1234)&gt;2,"",IF($K1234=1,IF(COUNTIFS(nrES_PID,$D1234,nrES_Code,$F1234,nrES_Att,2,nrES_Raw,"&gt;=0")&gt;0,"",$L1234),IF($L1234&gt;=$J1234,MAX($J1234,cfgRetakeRecordedCap),IF(COUNTIFS(nrES_PID,$D1234,nrES_Code,$F1234,nrES_Att,1)=0,$L1234,SUMIFS(nrES_Raw,nrES_PID,$D1234,nrES_Code,$F1234,nrES_Att,1))))))))</f>
        <v/>
      </c>
      <c r="N1234" s="17">
        <f>IF($C1234="","",IF($L1234="","",IF(NOT(ISNUMBER($L1234)),"(not a score)",IF($L1234&gt;=$J1234,"Yes","No"))))</f>
        <v/>
      </c>
      <c r="O1234" s="17">
        <f>IF($C1234="","",IF($M1234="","",IF(NOT(ISNUMBER($M1234)),"(not a score)",IF($M1234&gt;=$J1234,"Yes","No"))))</f>
        <v/>
      </c>
      <c r="P1234" s="17">
        <f>IF($C1234="","",IF($K1234="","",IF(N($K1234)&gt;2,"No",IF(COUNTIFS(nrES_PID,$D1234,nrES_Code,$F1234,nrES_Att,"&gt;"&amp;$K1234,nrES_Att,"&lt;=2",nrES_Raw,"&gt;=0")=0,"Yes","No"))))</f>
        <v/>
      </c>
      <c r="Q1234" s="17">
        <f>IF($C1234="","",IF($L1234="","",IF(AND($K1234=1,ISNUMBER($L1234),$L1234&lt;$J1234,COUNTIFS(nrES_PID,$D1234,nrES_Code,$F1234,nrES_Att,2,nrES_Raw,"&gt;=0")=0),"Yes","No")))</f>
        <v/>
      </c>
      <c r="R1234" s="17">
        <f>IF($C1234="","",IF($L1234="","",IF(AND(N($K1234)&gt;=2,ISNUMBER($L1234),$L1234&lt;$J1234),"Yes","No")))</f>
        <v/>
      </c>
      <c r="S1234" s="18" t="n"/>
      <c r="T1234" s="19">
        <f>IF(OR($C1234="",$L1234="",$K1234&lt;&gt;1,NOT(ISNUMBER($L1234)),$L1234&gt;=$J1234),"",IF($S1234="","(enter date)",_xlfn.LET(_xlpm.dn,_xlfn.XLOOKUP($S1234,nrCDdate,nrCDnum,"",1),IF(_xlpm.dn="","(after last class day)",_xlfn.LET(_xlpm.dd,_xlfn.XLOOKUP(_xlpm.dn+cfgRetestClassDays,nrCDnum,nrCDdate,""),_xlpm.ok,_xlfn.XLOOKUP(_xlpm.dn+cfgRetestClassDays,nrCDnum,nrCDinsession,"No"),IF(OR(_xlpm.dd="",_xlpm.ok&lt;&gt;"Yes"),"(after last class day)",_xlpm.dd))))))</f>
        <v/>
      </c>
      <c r="U1234" s="17">
        <f>IF($C1234="","",IF(AND($Y1234="Excused",$L1234="",N($K1234)&lt;=1),"EXCUSED - 1st attempt pending",IF(OR($L1234="",$K1234&lt;&gt;1,NOT(ISNUMBER($L1234)),$L1234&gt;=$J1234),"",IF(COUNTIFS(nrES_PID,$D1234,nrES_Code,$F1234,nrES_Att,2,nrES_Raw,"&gt;=0")&gt;0,IF(IFERROR(_xlfn.MINIFS(nrES_Date,nrES_PID,$D1234,nrES_Code,$F1234,nrES_Att,2,nrES_Raw,"&gt;=0",nrES_Date,"&gt;0"),0)=0,"RETEST UNDATED",IF(NOT(ISNUMBER($T1234)),"RETEST DATE UNCHECKED",IF(_xlfn.MINIFS(nrES_Date,nrES_PID,$D1234,nrES_Code,$F1234,nrES_Att,2,nrES_Raw,"&gt;=0",nrES_Date,"&gt;0")&gt;$T1234,"LATE RETEST "&amp;TEXT(_xlfn.MINIFS(nrES_Date,nrES_PID,$D1234,nrES_Code,$F1234,nrES_Att,2,nrES_Raw,"&gt;=0",nrES_Date,"&gt;0"),"mm/dd")&amp;" (due "&amp;TEXT($T1234,"mm/dd")&amp;")","Retested"))),IF(NOT(ISNUMBER($T1234)),"CHECK DATE",IF(TODAY()&gt;$T1234,"OVERDUE","Due "&amp;TEXT($T1234,"mm/dd")))))))</f>
        <v/>
      </c>
      <c r="V1234" s="16" t="n"/>
      <c r="W1234" s="16" t="n"/>
      <c r="X1234" s="17">
        <f>IF($C1234="","",IF(AND($L1234&lt;&gt;"",NOT(ISNUMBER($L1234))),"RAW SCORE NOT A NUMBER",IF(AND(ISNUMBER($L1234),OR($L1234&lt;0,$L1234&gt;100)),"RAW SCORE OUT OF RANGE",IF(AND($Y1234="Unexcused",OR($L1234="",NOT(ISNUMBER($L1234)),$L1234&lt;&gt;0)),"UNEXCUSED ABSENCE MUST RECORD 0",IF(COUNTIF(nrES_RecID,$B1234)&gt;1,"DUPLICATE RECORD",IF(N($K1234)&gt;2,"ATTEMPT 3+ NOT ALLOWED - policy 300.5 permits one retest per exam; this row records nothing",IF(AND($K1234=2,COUNTIFS(nrES_PID,$D1234,nrES_Code,$F1234,nrES_Att,1)=0),"ATTEMPT 2 WITHOUT ATTEMPT 1",IF(AND($K1234=2,$L1234=""),"RETEST ROW HAS NO SCORE",IF(AND($H1234="Final",$L1234&lt;&gt;"",IFERROR(INDEX(nrCKfinalExamElig,MATCH($D1234,rngCadetPIDs,0)),"")="No"),"FINAL EXAM AFTER FAILED FINAL PT (500.1.H)",IF(AND($K1234=2,ISNUMBER($L1234),COUNTIFS(nrES_PID,$D1234,nrES_Code,$F1234,nrES_Att,1)&gt;0,SUMIFS(nrES_Raw,nrES_PID,$D1234,nrES_Code,$F1234,nrES_Att,1)&gt;=$J1234),"RETEST AFTER A PASSING FIRST ATTEMPT","OK"))))))))))</f>
        <v/>
      </c>
      <c r="Y1234" s="16" t="n"/>
    </row>
    <row r="1235">
      <c r="B1235" s="17">
        <f>IF($C1235="","",$D1235&amp;"-"&amp;$F1235&amp;"-"&amp;$K1235)</f>
        <v/>
      </c>
      <c r="C1235" s="16" t="n"/>
      <c r="D1235" s="17">
        <f>IF($C1235="","",IFERROR(INDEX(rngCadetPIDs,MATCH($C1235,rngCadetNames,0)),"?"))</f>
        <v/>
      </c>
      <c r="E1235" s="17">
        <f>IF($D1235="","",IFERROR(INDEX(nrCadetAgency,MATCH($D1235,rngCadetPIDs,0)),""))</f>
        <v/>
      </c>
      <c r="F1235" s="16" t="n"/>
      <c r="G1235" s="17">
        <f>IF($F1235="","",IFERROR(INDEX(rngEPname,MATCH($F1235,rngEPcode,0)),"?"))</f>
        <v/>
      </c>
      <c r="H1235" s="17">
        <f>IF($F1235="","",IFERROR(INDEX(rngEPtype,MATCH($F1235,rngEPcode,0)),"?"))</f>
        <v/>
      </c>
      <c r="I1235" s="17">
        <f>IF($F1235="","",IFERROR(INDEX(rngEPseq,MATCH($F1235,rngEPcode,0)),""))</f>
        <v/>
      </c>
      <c r="J1235" s="17">
        <f>IF($F1235="","",IFERROR(INDEX(rngEPpass,MATCH($F1235,rngEPcode,0)),cfgPassingScore))</f>
        <v/>
      </c>
      <c r="K1235" s="16" t="n"/>
      <c r="L1235" s="16" t="n"/>
      <c r="M1235" s="17">
        <f>IF($C1235="","",IF($L1235="","",IF(NOT(ISNUMBER($L1235)),$L1235,IF(N($K1235)&gt;2,"",IF($K1235=1,IF(COUNTIFS(nrES_PID,$D1235,nrES_Code,$F1235,nrES_Att,2,nrES_Raw,"&gt;=0")&gt;0,"",$L1235),IF($L1235&gt;=$J1235,MAX($J1235,cfgRetakeRecordedCap),IF(COUNTIFS(nrES_PID,$D1235,nrES_Code,$F1235,nrES_Att,1)=0,$L1235,SUMIFS(nrES_Raw,nrES_PID,$D1235,nrES_Code,$F1235,nrES_Att,1))))))))</f>
        <v/>
      </c>
      <c r="N1235" s="17">
        <f>IF($C1235="","",IF($L1235="","",IF(NOT(ISNUMBER($L1235)),"(not a score)",IF($L1235&gt;=$J1235,"Yes","No"))))</f>
        <v/>
      </c>
      <c r="O1235" s="17">
        <f>IF($C1235="","",IF($M1235="","",IF(NOT(ISNUMBER($M1235)),"(not a score)",IF($M1235&gt;=$J1235,"Yes","No"))))</f>
        <v/>
      </c>
      <c r="P1235" s="17">
        <f>IF($C1235="","",IF($K1235="","",IF(N($K1235)&gt;2,"No",IF(COUNTIFS(nrES_PID,$D1235,nrES_Code,$F1235,nrES_Att,"&gt;"&amp;$K1235,nrES_Att,"&lt;=2",nrES_Raw,"&gt;=0")=0,"Yes","No"))))</f>
        <v/>
      </c>
      <c r="Q1235" s="17">
        <f>IF($C1235="","",IF($L1235="","",IF(AND($K1235=1,ISNUMBER($L1235),$L1235&lt;$J1235,COUNTIFS(nrES_PID,$D1235,nrES_Code,$F1235,nrES_Att,2,nrES_Raw,"&gt;=0")=0),"Yes","No")))</f>
        <v/>
      </c>
      <c r="R1235" s="17">
        <f>IF($C1235="","",IF($L1235="","",IF(AND(N($K1235)&gt;=2,ISNUMBER($L1235),$L1235&lt;$J1235),"Yes","No")))</f>
        <v/>
      </c>
      <c r="S1235" s="18" t="n"/>
      <c r="T1235" s="19">
        <f>IF(OR($C1235="",$L1235="",$K1235&lt;&gt;1,NOT(ISNUMBER($L1235)),$L1235&gt;=$J1235),"",IF($S1235="","(enter date)",_xlfn.LET(_xlpm.dn,_xlfn.XLOOKUP($S1235,nrCDdate,nrCDnum,"",1),IF(_xlpm.dn="","(after last class day)",_xlfn.LET(_xlpm.dd,_xlfn.XLOOKUP(_xlpm.dn+cfgRetestClassDays,nrCDnum,nrCDdate,""),_xlpm.ok,_xlfn.XLOOKUP(_xlpm.dn+cfgRetestClassDays,nrCDnum,nrCDinsession,"No"),IF(OR(_xlpm.dd="",_xlpm.ok&lt;&gt;"Yes"),"(after last class day)",_xlpm.dd))))))</f>
        <v/>
      </c>
      <c r="U1235" s="17">
        <f>IF($C1235="","",IF(AND($Y1235="Excused",$L1235="",N($K1235)&lt;=1),"EXCUSED - 1st attempt pending",IF(OR($L1235="",$K1235&lt;&gt;1,NOT(ISNUMBER($L1235)),$L1235&gt;=$J1235),"",IF(COUNTIFS(nrES_PID,$D1235,nrES_Code,$F1235,nrES_Att,2,nrES_Raw,"&gt;=0")&gt;0,IF(IFERROR(_xlfn.MINIFS(nrES_Date,nrES_PID,$D1235,nrES_Code,$F1235,nrES_Att,2,nrES_Raw,"&gt;=0",nrES_Date,"&gt;0"),0)=0,"RETEST UNDATED",IF(NOT(ISNUMBER($T1235)),"RETEST DATE UNCHECKED",IF(_xlfn.MINIFS(nrES_Date,nrES_PID,$D1235,nrES_Code,$F1235,nrES_Att,2,nrES_Raw,"&gt;=0",nrES_Date,"&gt;0")&gt;$T1235,"LATE RETEST "&amp;TEXT(_xlfn.MINIFS(nrES_Date,nrES_PID,$D1235,nrES_Code,$F1235,nrES_Att,2,nrES_Raw,"&gt;=0",nrES_Date,"&gt;0"),"mm/dd")&amp;" (due "&amp;TEXT($T1235,"mm/dd")&amp;")","Retested"))),IF(NOT(ISNUMBER($T1235)),"CHECK DATE",IF(TODAY()&gt;$T1235,"OVERDUE","Due "&amp;TEXT($T1235,"mm/dd")))))))</f>
        <v/>
      </c>
      <c r="V1235" s="16" t="n"/>
      <c r="W1235" s="16" t="n"/>
      <c r="X1235" s="17">
        <f>IF($C1235="","",IF(AND($L1235&lt;&gt;"",NOT(ISNUMBER($L1235))),"RAW SCORE NOT A NUMBER",IF(AND(ISNUMBER($L1235),OR($L1235&lt;0,$L1235&gt;100)),"RAW SCORE OUT OF RANGE",IF(AND($Y1235="Unexcused",OR($L1235="",NOT(ISNUMBER($L1235)),$L1235&lt;&gt;0)),"UNEXCUSED ABSENCE MUST RECORD 0",IF(COUNTIF(nrES_RecID,$B1235)&gt;1,"DUPLICATE RECORD",IF(N($K1235)&gt;2,"ATTEMPT 3+ NOT ALLOWED - policy 300.5 permits one retest per exam; this row records nothing",IF(AND($K1235=2,COUNTIFS(nrES_PID,$D1235,nrES_Code,$F1235,nrES_Att,1)=0),"ATTEMPT 2 WITHOUT ATTEMPT 1",IF(AND($K1235=2,$L1235=""),"RETEST ROW HAS NO SCORE",IF(AND($H1235="Final",$L1235&lt;&gt;"",IFERROR(INDEX(nrCKfinalExamElig,MATCH($D1235,rngCadetPIDs,0)),"")="No"),"FINAL EXAM AFTER FAILED FINAL PT (500.1.H)",IF(AND($K1235=2,ISNUMBER($L1235),COUNTIFS(nrES_PID,$D1235,nrES_Code,$F1235,nrES_Att,1)&gt;0,SUMIFS(nrES_Raw,nrES_PID,$D1235,nrES_Code,$F1235,nrES_Att,1)&gt;=$J1235),"RETEST AFTER A PASSING FIRST ATTEMPT","OK"))))))))))</f>
        <v/>
      </c>
      <c r="Y1235" s="16" t="n"/>
    </row>
    <row r="1236">
      <c r="B1236" s="17">
        <f>IF($C1236="","",$D1236&amp;"-"&amp;$F1236&amp;"-"&amp;$K1236)</f>
        <v/>
      </c>
      <c r="C1236" s="16" t="n"/>
      <c r="D1236" s="17">
        <f>IF($C1236="","",IFERROR(INDEX(rngCadetPIDs,MATCH($C1236,rngCadetNames,0)),"?"))</f>
        <v/>
      </c>
      <c r="E1236" s="17">
        <f>IF($D1236="","",IFERROR(INDEX(nrCadetAgency,MATCH($D1236,rngCadetPIDs,0)),""))</f>
        <v/>
      </c>
      <c r="F1236" s="16" t="n"/>
      <c r="G1236" s="17">
        <f>IF($F1236="","",IFERROR(INDEX(rngEPname,MATCH($F1236,rngEPcode,0)),"?"))</f>
        <v/>
      </c>
      <c r="H1236" s="17">
        <f>IF($F1236="","",IFERROR(INDEX(rngEPtype,MATCH($F1236,rngEPcode,0)),"?"))</f>
        <v/>
      </c>
      <c r="I1236" s="17">
        <f>IF($F1236="","",IFERROR(INDEX(rngEPseq,MATCH($F1236,rngEPcode,0)),""))</f>
        <v/>
      </c>
      <c r="J1236" s="17">
        <f>IF($F1236="","",IFERROR(INDEX(rngEPpass,MATCH($F1236,rngEPcode,0)),cfgPassingScore))</f>
        <v/>
      </c>
      <c r="K1236" s="16" t="n"/>
      <c r="L1236" s="16" t="n"/>
      <c r="M1236" s="17">
        <f>IF($C1236="","",IF($L1236="","",IF(NOT(ISNUMBER($L1236)),$L1236,IF(N($K1236)&gt;2,"",IF($K1236=1,IF(COUNTIFS(nrES_PID,$D1236,nrES_Code,$F1236,nrES_Att,2,nrES_Raw,"&gt;=0")&gt;0,"",$L1236),IF($L1236&gt;=$J1236,MAX($J1236,cfgRetakeRecordedCap),IF(COUNTIFS(nrES_PID,$D1236,nrES_Code,$F1236,nrES_Att,1)=0,$L1236,SUMIFS(nrES_Raw,nrES_PID,$D1236,nrES_Code,$F1236,nrES_Att,1))))))))</f>
        <v/>
      </c>
      <c r="N1236" s="17">
        <f>IF($C1236="","",IF($L1236="","",IF(NOT(ISNUMBER($L1236)),"(not a score)",IF($L1236&gt;=$J1236,"Yes","No"))))</f>
        <v/>
      </c>
      <c r="O1236" s="17">
        <f>IF($C1236="","",IF($M1236="","",IF(NOT(ISNUMBER($M1236)),"(not a score)",IF($M1236&gt;=$J1236,"Yes","No"))))</f>
        <v/>
      </c>
      <c r="P1236" s="17">
        <f>IF($C1236="","",IF($K1236="","",IF(N($K1236)&gt;2,"No",IF(COUNTIFS(nrES_PID,$D1236,nrES_Code,$F1236,nrES_Att,"&gt;"&amp;$K1236,nrES_Att,"&lt;=2",nrES_Raw,"&gt;=0")=0,"Yes","No"))))</f>
        <v/>
      </c>
      <c r="Q1236" s="17">
        <f>IF($C1236="","",IF($L1236="","",IF(AND($K1236=1,ISNUMBER($L1236),$L1236&lt;$J1236,COUNTIFS(nrES_PID,$D1236,nrES_Code,$F1236,nrES_Att,2,nrES_Raw,"&gt;=0")=0),"Yes","No")))</f>
        <v/>
      </c>
      <c r="R1236" s="17">
        <f>IF($C1236="","",IF($L1236="","",IF(AND(N($K1236)&gt;=2,ISNUMBER($L1236),$L1236&lt;$J1236),"Yes","No")))</f>
        <v/>
      </c>
      <c r="S1236" s="18" t="n"/>
      <c r="T1236" s="19">
        <f>IF(OR($C1236="",$L1236="",$K1236&lt;&gt;1,NOT(ISNUMBER($L1236)),$L1236&gt;=$J1236),"",IF($S1236="","(enter date)",_xlfn.LET(_xlpm.dn,_xlfn.XLOOKUP($S1236,nrCDdate,nrCDnum,"",1),IF(_xlpm.dn="","(after last class day)",_xlfn.LET(_xlpm.dd,_xlfn.XLOOKUP(_xlpm.dn+cfgRetestClassDays,nrCDnum,nrCDdate,""),_xlpm.ok,_xlfn.XLOOKUP(_xlpm.dn+cfgRetestClassDays,nrCDnum,nrCDinsession,"No"),IF(OR(_xlpm.dd="",_xlpm.ok&lt;&gt;"Yes"),"(after last class day)",_xlpm.dd))))))</f>
        <v/>
      </c>
      <c r="U1236" s="17">
        <f>IF($C1236="","",IF(AND($Y1236="Excused",$L1236="",N($K1236)&lt;=1),"EXCUSED - 1st attempt pending",IF(OR($L1236="",$K1236&lt;&gt;1,NOT(ISNUMBER($L1236)),$L1236&gt;=$J1236),"",IF(COUNTIFS(nrES_PID,$D1236,nrES_Code,$F1236,nrES_Att,2,nrES_Raw,"&gt;=0")&gt;0,IF(IFERROR(_xlfn.MINIFS(nrES_Date,nrES_PID,$D1236,nrES_Code,$F1236,nrES_Att,2,nrES_Raw,"&gt;=0",nrES_Date,"&gt;0"),0)=0,"RETEST UNDATED",IF(NOT(ISNUMBER($T1236)),"RETEST DATE UNCHECKED",IF(_xlfn.MINIFS(nrES_Date,nrES_PID,$D1236,nrES_Code,$F1236,nrES_Att,2,nrES_Raw,"&gt;=0",nrES_Date,"&gt;0")&gt;$T1236,"LATE RETEST "&amp;TEXT(_xlfn.MINIFS(nrES_Date,nrES_PID,$D1236,nrES_Code,$F1236,nrES_Att,2,nrES_Raw,"&gt;=0",nrES_Date,"&gt;0"),"mm/dd")&amp;" (due "&amp;TEXT($T1236,"mm/dd")&amp;")","Retested"))),IF(NOT(ISNUMBER($T1236)),"CHECK DATE",IF(TODAY()&gt;$T1236,"OVERDUE","Due "&amp;TEXT($T1236,"mm/dd")))))))</f>
        <v/>
      </c>
      <c r="V1236" s="16" t="n"/>
      <c r="W1236" s="16" t="n"/>
      <c r="X1236" s="17">
        <f>IF($C1236="","",IF(AND($L1236&lt;&gt;"",NOT(ISNUMBER($L1236))),"RAW SCORE NOT A NUMBER",IF(AND(ISNUMBER($L1236),OR($L1236&lt;0,$L1236&gt;100)),"RAW SCORE OUT OF RANGE",IF(AND($Y1236="Unexcused",OR($L1236="",NOT(ISNUMBER($L1236)),$L1236&lt;&gt;0)),"UNEXCUSED ABSENCE MUST RECORD 0",IF(COUNTIF(nrES_RecID,$B1236)&gt;1,"DUPLICATE RECORD",IF(N($K1236)&gt;2,"ATTEMPT 3+ NOT ALLOWED - policy 300.5 permits one retest per exam; this row records nothing",IF(AND($K1236=2,COUNTIFS(nrES_PID,$D1236,nrES_Code,$F1236,nrES_Att,1)=0),"ATTEMPT 2 WITHOUT ATTEMPT 1",IF(AND($K1236=2,$L1236=""),"RETEST ROW HAS NO SCORE",IF(AND($H1236="Final",$L1236&lt;&gt;"",IFERROR(INDEX(nrCKfinalExamElig,MATCH($D1236,rngCadetPIDs,0)),"")="No"),"FINAL EXAM AFTER FAILED FINAL PT (500.1.H)",IF(AND($K1236=2,ISNUMBER($L1236),COUNTIFS(nrES_PID,$D1236,nrES_Code,$F1236,nrES_Att,1)&gt;0,SUMIFS(nrES_Raw,nrES_PID,$D1236,nrES_Code,$F1236,nrES_Att,1)&gt;=$J1236),"RETEST AFTER A PASSING FIRST ATTEMPT","OK"))))))))))</f>
        <v/>
      </c>
      <c r="Y1236" s="16" t="n"/>
    </row>
    <row r="1237">
      <c r="B1237" s="17">
        <f>IF($C1237="","",$D1237&amp;"-"&amp;$F1237&amp;"-"&amp;$K1237)</f>
        <v/>
      </c>
      <c r="C1237" s="16" t="n"/>
      <c r="D1237" s="17">
        <f>IF($C1237="","",IFERROR(INDEX(rngCadetPIDs,MATCH($C1237,rngCadetNames,0)),"?"))</f>
        <v/>
      </c>
      <c r="E1237" s="17">
        <f>IF($D1237="","",IFERROR(INDEX(nrCadetAgency,MATCH($D1237,rngCadetPIDs,0)),""))</f>
        <v/>
      </c>
      <c r="F1237" s="16" t="n"/>
      <c r="G1237" s="17">
        <f>IF($F1237="","",IFERROR(INDEX(rngEPname,MATCH($F1237,rngEPcode,0)),"?"))</f>
        <v/>
      </c>
      <c r="H1237" s="17">
        <f>IF($F1237="","",IFERROR(INDEX(rngEPtype,MATCH($F1237,rngEPcode,0)),"?"))</f>
        <v/>
      </c>
      <c r="I1237" s="17">
        <f>IF($F1237="","",IFERROR(INDEX(rngEPseq,MATCH($F1237,rngEPcode,0)),""))</f>
        <v/>
      </c>
      <c r="J1237" s="17">
        <f>IF($F1237="","",IFERROR(INDEX(rngEPpass,MATCH($F1237,rngEPcode,0)),cfgPassingScore))</f>
        <v/>
      </c>
      <c r="K1237" s="16" t="n"/>
      <c r="L1237" s="16" t="n"/>
      <c r="M1237" s="17">
        <f>IF($C1237="","",IF($L1237="","",IF(NOT(ISNUMBER($L1237)),$L1237,IF(N($K1237)&gt;2,"",IF($K1237=1,IF(COUNTIFS(nrES_PID,$D1237,nrES_Code,$F1237,nrES_Att,2,nrES_Raw,"&gt;=0")&gt;0,"",$L1237),IF($L1237&gt;=$J1237,MAX($J1237,cfgRetakeRecordedCap),IF(COUNTIFS(nrES_PID,$D1237,nrES_Code,$F1237,nrES_Att,1)=0,$L1237,SUMIFS(nrES_Raw,nrES_PID,$D1237,nrES_Code,$F1237,nrES_Att,1))))))))</f>
        <v/>
      </c>
      <c r="N1237" s="17">
        <f>IF($C1237="","",IF($L1237="","",IF(NOT(ISNUMBER($L1237)),"(not a score)",IF($L1237&gt;=$J1237,"Yes","No"))))</f>
        <v/>
      </c>
      <c r="O1237" s="17">
        <f>IF($C1237="","",IF($M1237="","",IF(NOT(ISNUMBER($M1237)),"(not a score)",IF($M1237&gt;=$J1237,"Yes","No"))))</f>
        <v/>
      </c>
      <c r="P1237" s="17">
        <f>IF($C1237="","",IF($K1237="","",IF(N($K1237)&gt;2,"No",IF(COUNTIFS(nrES_PID,$D1237,nrES_Code,$F1237,nrES_Att,"&gt;"&amp;$K1237,nrES_Att,"&lt;=2",nrES_Raw,"&gt;=0")=0,"Yes","No"))))</f>
        <v/>
      </c>
      <c r="Q1237" s="17">
        <f>IF($C1237="","",IF($L1237="","",IF(AND($K1237=1,ISNUMBER($L1237),$L1237&lt;$J1237,COUNTIFS(nrES_PID,$D1237,nrES_Code,$F1237,nrES_Att,2,nrES_Raw,"&gt;=0")=0),"Yes","No")))</f>
        <v/>
      </c>
      <c r="R1237" s="17">
        <f>IF($C1237="","",IF($L1237="","",IF(AND(N($K1237)&gt;=2,ISNUMBER($L1237),$L1237&lt;$J1237),"Yes","No")))</f>
        <v/>
      </c>
      <c r="S1237" s="18" t="n"/>
      <c r="T1237" s="19">
        <f>IF(OR($C1237="",$L1237="",$K1237&lt;&gt;1,NOT(ISNUMBER($L1237)),$L1237&gt;=$J1237),"",IF($S1237="","(enter date)",_xlfn.LET(_xlpm.dn,_xlfn.XLOOKUP($S1237,nrCDdate,nrCDnum,"",1),IF(_xlpm.dn="","(after last class day)",_xlfn.LET(_xlpm.dd,_xlfn.XLOOKUP(_xlpm.dn+cfgRetestClassDays,nrCDnum,nrCDdate,""),_xlpm.ok,_xlfn.XLOOKUP(_xlpm.dn+cfgRetestClassDays,nrCDnum,nrCDinsession,"No"),IF(OR(_xlpm.dd="",_xlpm.ok&lt;&gt;"Yes"),"(after last class day)",_xlpm.dd))))))</f>
        <v/>
      </c>
      <c r="U1237" s="17">
        <f>IF($C1237="","",IF(AND($Y1237="Excused",$L1237="",N($K1237)&lt;=1),"EXCUSED - 1st attempt pending",IF(OR($L1237="",$K1237&lt;&gt;1,NOT(ISNUMBER($L1237)),$L1237&gt;=$J1237),"",IF(COUNTIFS(nrES_PID,$D1237,nrES_Code,$F1237,nrES_Att,2,nrES_Raw,"&gt;=0")&gt;0,IF(IFERROR(_xlfn.MINIFS(nrES_Date,nrES_PID,$D1237,nrES_Code,$F1237,nrES_Att,2,nrES_Raw,"&gt;=0",nrES_Date,"&gt;0"),0)=0,"RETEST UNDATED",IF(NOT(ISNUMBER($T1237)),"RETEST DATE UNCHECKED",IF(_xlfn.MINIFS(nrES_Date,nrES_PID,$D1237,nrES_Code,$F1237,nrES_Att,2,nrES_Raw,"&gt;=0",nrES_Date,"&gt;0")&gt;$T1237,"LATE RETEST "&amp;TEXT(_xlfn.MINIFS(nrES_Date,nrES_PID,$D1237,nrES_Code,$F1237,nrES_Att,2,nrES_Raw,"&gt;=0",nrES_Date,"&gt;0"),"mm/dd")&amp;" (due "&amp;TEXT($T1237,"mm/dd")&amp;")","Retested"))),IF(NOT(ISNUMBER($T1237)),"CHECK DATE",IF(TODAY()&gt;$T1237,"OVERDUE","Due "&amp;TEXT($T1237,"mm/dd")))))))</f>
        <v/>
      </c>
      <c r="V1237" s="16" t="n"/>
      <c r="W1237" s="16" t="n"/>
      <c r="X1237" s="17">
        <f>IF($C1237="","",IF(AND($L1237&lt;&gt;"",NOT(ISNUMBER($L1237))),"RAW SCORE NOT A NUMBER",IF(AND(ISNUMBER($L1237),OR($L1237&lt;0,$L1237&gt;100)),"RAW SCORE OUT OF RANGE",IF(AND($Y1237="Unexcused",OR($L1237="",NOT(ISNUMBER($L1237)),$L1237&lt;&gt;0)),"UNEXCUSED ABSENCE MUST RECORD 0",IF(COUNTIF(nrES_RecID,$B1237)&gt;1,"DUPLICATE RECORD",IF(N($K1237)&gt;2,"ATTEMPT 3+ NOT ALLOWED - policy 300.5 permits one retest per exam; this row records nothing",IF(AND($K1237=2,COUNTIFS(nrES_PID,$D1237,nrES_Code,$F1237,nrES_Att,1)=0),"ATTEMPT 2 WITHOUT ATTEMPT 1",IF(AND($K1237=2,$L1237=""),"RETEST ROW HAS NO SCORE",IF(AND($H1237="Final",$L1237&lt;&gt;"",IFERROR(INDEX(nrCKfinalExamElig,MATCH($D1237,rngCadetPIDs,0)),"")="No"),"FINAL EXAM AFTER FAILED FINAL PT (500.1.H)",IF(AND($K1237=2,ISNUMBER($L1237),COUNTIFS(nrES_PID,$D1237,nrES_Code,$F1237,nrES_Att,1)&gt;0,SUMIFS(nrES_Raw,nrES_PID,$D1237,nrES_Code,$F1237,nrES_Att,1)&gt;=$J1237),"RETEST AFTER A PASSING FIRST ATTEMPT","OK"))))))))))</f>
        <v/>
      </c>
      <c r="Y1237" s="16" t="n"/>
    </row>
    <row r="1238">
      <c r="B1238" s="17">
        <f>IF($C1238="","",$D1238&amp;"-"&amp;$F1238&amp;"-"&amp;$K1238)</f>
        <v/>
      </c>
      <c r="C1238" s="16" t="n"/>
      <c r="D1238" s="17">
        <f>IF($C1238="","",IFERROR(INDEX(rngCadetPIDs,MATCH($C1238,rngCadetNames,0)),"?"))</f>
        <v/>
      </c>
      <c r="E1238" s="17">
        <f>IF($D1238="","",IFERROR(INDEX(nrCadetAgency,MATCH($D1238,rngCadetPIDs,0)),""))</f>
        <v/>
      </c>
      <c r="F1238" s="16" t="n"/>
      <c r="G1238" s="17">
        <f>IF($F1238="","",IFERROR(INDEX(rngEPname,MATCH($F1238,rngEPcode,0)),"?"))</f>
        <v/>
      </c>
      <c r="H1238" s="17">
        <f>IF($F1238="","",IFERROR(INDEX(rngEPtype,MATCH($F1238,rngEPcode,0)),"?"))</f>
        <v/>
      </c>
      <c r="I1238" s="17">
        <f>IF($F1238="","",IFERROR(INDEX(rngEPseq,MATCH($F1238,rngEPcode,0)),""))</f>
        <v/>
      </c>
      <c r="J1238" s="17">
        <f>IF($F1238="","",IFERROR(INDEX(rngEPpass,MATCH($F1238,rngEPcode,0)),cfgPassingScore))</f>
        <v/>
      </c>
      <c r="K1238" s="16" t="n"/>
      <c r="L1238" s="16" t="n"/>
      <c r="M1238" s="17">
        <f>IF($C1238="","",IF($L1238="","",IF(NOT(ISNUMBER($L1238)),$L1238,IF(N($K1238)&gt;2,"",IF($K1238=1,IF(COUNTIFS(nrES_PID,$D1238,nrES_Code,$F1238,nrES_Att,2,nrES_Raw,"&gt;=0")&gt;0,"",$L1238),IF($L1238&gt;=$J1238,MAX($J1238,cfgRetakeRecordedCap),IF(COUNTIFS(nrES_PID,$D1238,nrES_Code,$F1238,nrES_Att,1)=0,$L1238,SUMIFS(nrES_Raw,nrES_PID,$D1238,nrES_Code,$F1238,nrES_Att,1))))))))</f>
        <v/>
      </c>
      <c r="N1238" s="17">
        <f>IF($C1238="","",IF($L1238="","",IF(NOT(ISNUMBER($L1238)),"(not a score)",IF($L1238&gt;=$J1238,"Yes","No"))))</f>
        <v/>
      </c>
      <c r="O1238" s="17">
        <f>IF($C1238="","",IF($M1238="","",IF(NOT(ISNUMBER($M1238)),"(not a score)",IF($M1238&gt;=$J1238,"Yes","No"))))</f>
        <v/>
      </c>
      <c r="P1238" s="17">
        <f>IF($C1238="","",IF($K1238="","",IF(N($K1238)&gt;2,"No",IF(COUNTIFS(nrES_PID,$D1238,nrES_Code,$F1238,nrES_Att,"&gt;"&amp;$K1238,nrES_Att,"&lt;=2",nrES_Raw,"&gt;=0")=0,"Yes","No"))))</f>
        <v/>
      </c>
      <c r="Q1238" s="17">
        <f>IF($C1238="","",IF($L1238="","",IF(AND($K1238=1,ISNUMBER($L1238),$L1238&lt;$J1238,COUNTIFS(nrES_PID,$D1238,nrES_Code,$F1238,nrES_Att,2,nrES_Raw,"&gt;=0")=0),"Yes","No")))</f>
        <v/>
      </c>
      <c r="R1238" s="17">
        <f>IF($C1238="","",IF($L1238="","",IF(AND(N($K1238)&gt;=2,ISNUMBER($L1238),$L1238&lt;$J1238),"Yes","No")))</f>
        <v/>
      </c>
      <c r="S1238" s="18" t="n"/>
      <c r="T1238" s="19">
        <f>IF(OR($C1238="",$L1238="",$K1238&lt;&gt;1,NOT(ISNUMBER($L1238)),$L1238&gt;=$J1238),"",IF($S1238="","(enter date)",_xlfn.LET(_xlpm.dn,_xlfn.XLOOKUP($S1238,nrCDdate,nrCDnum,"",1),IF(_xlpm.dn="","(after last class day)",_xlfn.LET(_xlpm.dd,_xlfn.XLOOKUP(_xlpm.dn+cfgRetestClassDays,nrCDnum,nrCDdate,""),_xlpm.ok,_xlfn.XLOOKUP(_xlpm.dn+cfgRetestClassDays,nrCDnum,nrCDinsession,"No"),IF(OR(_xlpm.dd="",_xlpm.ok&lt;&gt;"Yes"),"(after last class day)",_xlpm.dd))))))</f>
        <v/>
      </c>
      <c r="U1238" s="17">
        <f>IF($C1238="","",IF(AND($Y1238="Excused",$L1238="",N($K1238)&lt;=1),"EXCUSED - 1st attempt pending",IF(OR($L1238="",$K1238&lt;&gt;1,NOT(ISNUMBER($L1238)),$L1238&gt;=$J1238),"",IF(COUNTIFS(nrES_PID,$D1238,nrES_Code,$F1238,nrES_Att,2,nrES_Raw,"&gt;=0")&gt;0,IF(IFERROR(_xlfn.MINIFS(nrES_Date,nrES_PID,$D1238,nrES_Code,$F1238,nrES_Att,2,nrES_Raw,"&gt;=0",nrES_Date,"&gt;0"),0)=0,"RETEST UNDATED",IF(NOT(ISNUMBER($T1238)),"RETEST DATE UNCHECKED",IF(_xlfn.MINIFS(nrES_Date,nrES_PID,$D1238,nrES_Code,$F1238,nrES_Att,2,nrES_Raw,"&gt;=0",nrES_Date,"&gt;0")&gt;$T1238,"LATE RETEST "&amp;TEXT(_xlfn.MINIFS(nrES_Date,nrES_PID,$D1238,nrES_Code,$F1238,nrES_Att,2,nrES_Raw,"&gt;=0",nrES_Date,"&gt;0"),"mm/dd")&amp;" (due "&amp;TEXT($T1238,"mm/dd")&amp;")","Retested"))),IF(NOT(ISNUMBER($T1238)),"CHECK DATE",IF(TODAY()&gt;$T1238,"OVERDUE","Due "&amp;TEXT($T1238,"mm/dd")))))))</f>
        <v/>
      </c>
      <c r="V1238" s="16" t="n"/>
      <c r="W1238" s="16" t="n"/>
      <c r="X1238" s="17">
        <f>IF($C1238="","",IF(AND($L1238&lt;&gt;"",NOT(ISNUMBER($L1238))),"RAW SCORE NOT A NUMBER",IF(AND(ISNUMBER($L1238),OR($L1238&lt;0,$L1238&gt;100)),"RAW SCORE OUT OF RANGE",IF(AND($Y1238="Unexcused",OR($L1238="",NOT(ISNUMBER($L1238)),$L1238&lt;&gt;0)),"UNEXCUSED ABSENCE MUST RECORD 0",IF(COUNTIF(nrES_RecID,$B1238)&gt;1,"DUPLICATE RECORD",IF(N($K1238)&gt;2,"ATTEMPT 3+ NOT ALLOWED - policy 300.5 permits one retest per exam; this row records nothing",IF(AND($K1238=2,COUNTIFS(nrES_PID,$D1238,nrES_Code,$F1238,nrES_Att,1)=0),"ATTEMPT 2 WITHOUT ATTEMPT 1",IF(AND($K1238=2,$L1238=""),"RETEST ROW HAS NO SCORE",IF(AND($H1238="Final",$L1238&lt;&gt;"",IFERROR(INDEX(nrCKfinalExamElig,MATCH($D1238,rngCadetPIDs,0)),"")="No"),"FINAL EXAM AFTER FAILED FINAL PT (500.1.H)",IF(AND($K1238=2,ISNUMBER($L1238),COUNTIFS(nrES_PID,$D1238,nrES_Code,$F1238,nrES_Att,1)&gt;0,SUMIFS(nrES_Raw,nrES_PID,$D1238,nrES_Code,$F1238,nrES_Att,1)&gt;=$J1238),"RETEST AFTER A PASSING FIRST ATTEMPT","OK"))))))))))</f>
        <v/>
      </c>
      <c r="Y1238" s="16" t="n"/>
    </row>
    <row r="1239">
      <c r="B1239" s="17">
        <f>IF($C1239="","",$D1239&amp;"-"&amp;$F1239&amp;"-"&amp;$K1239)</f>
        <v/>
      </c>
      <c r="C1239" s="16" t="n"/>
      <c r="D1239" s="17">
        <f>IF($C1239="","",IFERROR(INDEX(rngCadetPIDs,MATCH($C1239,rngCadetNames,0)),"?"))</f>
        <v/>
      </c>
      <c r="E1239" s="17">
        <f>IF($D1239="","",IFERROR(INDEX(nrCadetAgency,MATCH($D1239,rngCadetPIDs,0)),""))</f>
        <v/>
      </c>
      <c r="F1239" s="16" t="n"/>
      <c r="G1239" s="17">
        <f>IF($F1239="","",IFERROR(INDEX(rngEPname,MATCH($F1239,rngEPcode,0)),"?"))</f>
        <v/>
      </c>
      <c r="H1239" s="17">
        <f>IF($F1239="","",IFERROR(INDEX(rngEPtype,MATCH($F1239,rngEPcode,0)),"?"))</f>
        <v/>
      </c>
      <c r="I1239" s="17">
        <f>IF($F1239="","",IFERROR(INDEX(rngEPseq,MATCH($F1239,rngEPcode,0)),""))</f>
        <v/>
      </c>
      <c r="J1239" s="17">
        <f>IF($F1239="","",IFERROR(INDEX(rngEPpass,MATCH($F1239,rngEPcode,0)),cfgPassingScore))</f>
        <v/>
      </c>
      <c r="K1239" s="16" t="n"/>
      <c r="L1239" s="16" t="n"/>
      <c r="M1239" s="17">
        <f>IF($C1239="","",IF($L1239="","",IF(NOT(ISNUMBER($L1239)),$L1239,IF(N($K1239)&gt;2,"",IF($K1239=1,IF(COUNTIFS(nrES_PID,$D1239,nrES_Code,$F1239,nrES_Att,2,nrES_Raw,"&gt;=0")&gt;0,"",$L1239),IF($L1239&gt;=$J1239,MAX($J1239,cfgRetakeRecordedCap),IF(COUNTIFS(nrES_PID,$D1239,nrES_Code,$F1239,nrES_Att,1)=0,$L1239,SUMIFS(nrES_Raw,nrES_PID,$D1239,nrES_Code,$F1239,nrES_Att,1))))))))</f>
        <v/>
      </c>
      <c r="N1239" s="17">
        <f>IF($C1239="","",IF($L1239="","",IF(NOT(ISNUMBER($L1239)),"(not a score)",IF($L1239&gt;=$J1239,"Yes","No"))))</f>
        <v/>
      </c>
      <c r="O1239" s="17">
        <f>IF($C1239="","",IF($M1239="","",IF(NOT(ISNUMBER($M1239)),"(not a score)",IF($M1239&gt;=$J1239,"Yes","No"))))</f>
        <v/>
      </c>
      <c r="P1239" s="17">
        <f>IF($C1239="","",IF($K1239="","",IF(N($K1239)&gt;2,"No",IF(COUNTIFS(nrES_PID,$D1239,nrES_Code,$F1239,nrES_Att,"&gt;"&amp;$K1239,nrES_Att,"&lt;=2",nrES_Raw,"&gt;=0")=0,"Yes","No"))))</f>
        <v/>
      </c>
      <c r="Q1239" s="17">
        <f>IF($C1239="","",IF($L1239="","",IF(AND($K1239=1,ISNUMBER($L1239),$L1239&lt;$J1239,COUNTIFS(nrES_PID,$D1239,nrES_Code,$F1239,nrES_Att,2,nrES_Raw,"&gt;=0")=0),"Yes","No")))</f>
        <v/>
      </c>
      <c r="R1239" s="17">
        <f>IF($C1239="","",IF($L1239="","",IF(AND(N($K1239)&gt;=2,ISNUMBER($L1239),$L1239&lt;$J1239),"Yes","No")))</f>
        <v/>
      </c>
      <c r="S1239" s="18" t="n"/>
      <c r="T1239" s="19">
        <f>IF(OR($C1239="",$L1239="",$K1239&lt;&gt;1,NOT(ISNUMBER($L1239)),$L1239&gt;=$J1239),"",IF($S1239="","(enter date)",_xlfn.LET(_xlpm.dn,_xlfn.XLOOKUP($S1239,nrCDdate,nrCDnum,"",1),IF(_xlpm.dn="","(after last class day)",_xlfn.LET(_xlpm.dd,_xlfn.XLOOKUP(_xlpm.dn+cfgRetestClassDays,nrCDnum,nrCDdate,""),_xlpm.ok,_xlfn.XLOOKUP(_xlpm.dn+cfgRetestClassDays,nrCDnum,nrCDinsession,"No"),IF(OR(_xlpm.dd="",_xlpm.ok&lt;&gt;"Yes"),"(after last class day)",_xlpm.dd))))))</f>
        <v/>
      </c>
      <c r="U1239" s="17">
        <f>IF($C1239="","",IF(AND($Y1239="Excused",$L1239="",N($K1239)&lt;=1),"EXCUSED - 1st attempt pending",IF(OR($L1239="",$K1239&lt;&gt;1,NOT(ISNUMBER($L1239)),$L1239&gt;=$J1239),"",IF(COUNTIFS(nrES_PID,$D1239,nrES_Code,$F1239,nrES_Att,2,nrES_Raw,"&gt;=0")&gt;0,IF(IFERROR(_xlfn.MINIFS(nrES_Date,nrES_PID,$D1239,nrES_Code,$F1239,nrES_Att,2,nrES_Raw,"&gt;=0",nrES_Date,"&gt;0"),0)=0,"RETEST UNDATED",IF(NOT(ISNUMBER($T1239)),"RETEST DATE UNCHECKED",IF(_xlfn.MINIFS(nrES_Date,nrES_PID,$D1239,nrES_Code,$F1239,nrES_Att,2,nrES_Raw,"&gt;=0",nrES_Date,"&gt;0")&gt;$T1239,"LATE RETEST "&amp;TEXT(_xlfn.MINIFS(nrES_Date,nrES_PID,$D1239,nrES_Code,$F1239,nrES_Att,2,nrES_Raw,"&gt;=0",nrES_Date,"&gt;0"),"mm/dd")&amp;" (due "&amp;TEXT($T1239,"mm/dd")&amp;")","Retested"))),IF(NOT(ISNUMBER($T1239)),"CHECK DATE",IF(TODAY()&gt;$T1239,"OVERDUE","Due "&amp;TEXT($T1239,"mm/dd")))))))</f>
        <v/>
      </c>
      <c r="V1239" s="16" t="n"/>
      <c r="W1239" s="16" t="n"/>
      <c r="X1239" s="17">
        <f>IF($C1239="","",IF(AND($L1239&lt;&gt;"",NOT(ISNUMBER($L1239))),"RAW SCORE NOT A NUMBER",IF(AND(ISNUMBER($L1239),OR($L1239&lt;0,$L1239&gt;100)),"RAW SCORE OUT OF RANGE",IF(AND($Y1239="Unexcused",OR($L1239="",NOT(ISNUMBER($L1239)),$L1239&lt;&gt;0)),"UNEXCUSED ABSENCE MUST RECORD 0",IF(COUNTIF(nrES_RecID,$B1239)&gt;1,"DUPLICATE RECORD",IF(N($K1239)&gt;2,"ATTEMPT 3+ NOT ALLOWED - policy 300.5 permits one retest per exam; this row records nothing",IF(AND($K1239=2,COUNTIFS(nrES_PID,$D1239,nrES_Code,$F1239,nrES_Att,1)=0),"ATTEMPT 2 WITHOUT ATTEMPT 1",IF(AND($K1239=2,$L1239=""),"RETEST ROW HAS NO SCORE",IF(AND($H1239="Final",$L1239&lt;&gt;"",IFERROR(INDEX(nrCKfinalExamElig,MATCH($D1239,rngCadetPIDs,0)),"")="No"),"FINAL EXAM AFTER FAILED FINAL PT (500.1.H)",IF(AND($K1239=2,ISNUMBER($L1239),COUNTIFS(nrES_PID,$D1239,nrES_Code,$F1239,nrES_Att,1)&gt;0,SUMIFS(nrES_Raw,nrES_PID,$D1239,nrES_Code,$F1239,nrES_Att,1)&gt;=$J1239),"RETEST AFTER A PASSING FIRST ATTEMPT","OK"))))))))))</f>
        <v/>
      </c>
      <c r="Y1239" s="16" t="n"/>
    </row>
    <row r="1240">
      <c r="B1240" s="17">
        <f>IF($C1240="","",$D1240&amp;"-"&amp;$F1240&amp;"-"&amp;$K1240)</f>
        <v/>
      </c>
      <c r="C1240" s="16" t="n"/>
      <c r="D1240" s="17">
        <f>IF($C1240="","",IFERROR(INDEX(rngCadetPIDs,MATCH($C1240,rngCadetNames,0)),"?"))</f>
        <v/>
      </c>
      <c r="E1240" s="17">
        <f>IF($D1240="","",IFERROR(INDEX(nrCadetAgency,MATCH($D1240,rngCadetPIDs,0)),""))</f>
        <v/>
      </c>
      <c r="F1240" s="16" t="n"/>
      <c r="G1240" s="17">
        <f>IF($F1240="","",IFERROR(INDEX(rngEPname,MATCH($F1240,rngEPcode,0)),"?"))</f>
        <v/>
      </c>
      <c r="H1240" s="17">
        <f>IF($F1240="","",IFERROR(INDEX(rngEPtype,MATCH($F1240,rngEPcode,0)),"?"))</f>
        <v/>
      </c>
      <c r="I1240" s="17">
        <f>IF($F1240="","",IFERROR(INDEX(rngEPseq,MATCH($F1240,rngEPcode,0)),""))</f>
        <v/>
      </c>
      <c r="J1240" s="17">
        <f>IF($F1240="","",IFERROR(INDEX(rngEPpass,MATCH($F1240,rngEPcode,0)),cfgPassingScore))</f>
        <v/>
      </c>
      <c r="K1240" s="16" t="n"/>
      <c r="L1240" s="16" t="n"/>
      <c r="M1240" s="17">
        <f>IF($C1240="","",IF($L1240="","",IF(NOT(ISNUMBER($L1240)),$L1240,IF(N($K1240)&gt;2,"",IF($K1240=1,IF(COUNTIFS(nrES_PID,$D1240,nrES_Code,$F1240,nrES_Att,2,nrES_Raw,"&gt;=0")&gt;0,"",$L1240),IF($L1240&gt;=$J1240,MAX($J1240,cfgRetakeRecordedCap),IF(COUNTIFS(nrES_PID,$D1240,nrES_Code,$F1240,nrES_Att,1)=0,$L1240,SUMIFS(nrES_Raw,nrES_PID,$D1240,nrES_Code,$F1240,nrES_Att,1))))))))</f>
        <v/>
      </c>
      <c r="N1240" s="17">
        <f>IF($C1240="","",IF($L1240="","",IF(NOT(ISNUMBER($L1240)),"(not a score)",IF($L1240&gt;=$J1240,"Yes","No"))))</f>
        <v/>
      </c>
      <c r="O1240" s="17">
        <f>IF($C1240="","",IF($M1240="","",IF(NOT(ISNUMBER($M1240)),"(not a score)",IF($M1240&gt;=$J1240,"Yes","No"))))</f>
        <v/>
      </c>
      <c r="P1240" s="17">
        <f>IF($C1240="","",IF($K1240="","",IF(N($K1240)&gt;2,"No",IF(COUNTIFS(nrES_PID,$D1240,nrES_Code,$F1240,nrES_Att,"&gt;"&amp;$K1240,nrES_Att,"&lt;=2",nrES_Raw,"&gt;=0")=0,"Yes","No"))))</f>
        <v/>
      </c>
      <c r="Q1240" s="17">
        <f>IF($C1240="","",IF($L1240="","",IF(AND($K1240=1,ISNUMBER($L1240),$L1240&lt;$J1240,COUNTIFS(nrES_PID,$D1240,nrES_Code,$F1240,nrES_Att,2,nrES_Raw,"&gt;=0")=0),"Yes","No")))</f>
        <v/>
      </c>
      <c r="R1240" s="17">
        <f>IF($C1240="","",IF($L1240="","",IF(AND(N($K1240)&gt;=2,ISNUMBER($L1240),$L1240&lt;$J1240),"Yes","No")))</f>
        <v/>
      </c>
      <c r="S1240" s="18" t="n"/>
      <c r="T1240" s="19">
        <f>IF(OR($C1240="",$L1240="",$K1240&lt;&gt;1,NOT(ISNUMBER($L1240)),$L1240&gt;=$J1240),"",IF($S1240="","(enter date)",_xlfn.LET(_xlpm.dn,_xlfn.XLOOKUP($S1240,nrCDdate,nrCDnum,"",1),IF(_xlpm.dn="","(after last class day)",_xlfn.LET(_xlpm.dd,_xlfn.XLOOKUP(_xlpm.dn+cfgRetestClassDays,nrCDnum,nrCDdate,""),_xlpm.ok,_xlfn.XLOOKUP(_xlpm.dn+cfgRetestClassDays,nrCDnum,nrCDinsession,"No"),IF(OR(_xlpm.dd="",_xlpm.ok&lt;&gt;"Yes"),"(after last class day)",_xlpm.dd))))))</f>
        <v/>
      </c>
      <c r="U1240" s="17">
        <f>IF($C1240="","",IF(AND($Y1240="Excused",$L1240="",N($K1240)&lt;=1),"EXCUSED - 1st attempt pending",IF(OR($L1240="",$K1240&lt;&gt;1,NOT(ISNUMBER($L1240)),$L1240&gt;=$J1240),"",IF(COUNTIFS(nrES_PID,$D1240,nrES_Code,$F1240,nrES_Att,2,nrES_Raw,"&gt;=0")&gt;0,IF(IFERROR(_xlfn.MINIFS(nrES_Date,nrES_PID,$D1240,nrES_Code,$F1240,nrES_Att,2,nrES_Raw,"&gt;=0",nrES_Date,"&gt;0"),0)=0,"RETEST UNDATED",IF(NOT(ISNUMBER($T1240)),"RETEST DATE UNCHECKED",IF(_xlfn.MINIFS(nrES_Date,nrES_PID,$D1240,nrES_Code,$F1240,nrES_Att,2,nrES_Raw,"&gt;=0",nrES_Date,"&gt;0")&gt;$T1240,"LATE RETEST "&amp;TEXT(_xlfn.MINIFS(nrES_Date,nrES_PID,$D1240,nrES_Code,$F1240,nrES_Att,2,nrES_Raw,"&gt;=0",nrES_Date,"&gt;0"),"mm/dd")&amp;" (due "&amp;TEXT($T1240,"mm/dd")&amp;")","Retested"))),IF(NOT(ISNUMBER($T1240)),"CHECK DATE",IF(TODAY()&gt;$T1240,"OVERDUE","Due "&amp;TEXT($T1240,"mm/dd")))))))</f>
        <v/>
      </c>
      <c r="V1240" s="16" t="n"/>
      <c r="W1240" s="16" t="n"/>
      <c r="X1240" s="17">
        <f>IF($C1240="","",IF(AND($L1240&lt;&gt;"",NOT(ISNUMBER($L1240))),"RAW SCORE NOT A NUMBER",IF(AND(ISNUMBER($L1240),OR($L1240&lt;0,$L1240&gt;100)),"RAW SCORE OUT OF RANGE",IF(AND($Y1240="Unexcused",OR($L1240="",NOT(ISNUMBER($L1240)),$L1240&lt;&gt;0)),"UNEXCUSED ABSENCE MUST RECORD 0",IF(COUNTIF(nrES_RecID,$B1240)&gt;1,"DUPLICATE RECORD",IF(N($K1240)&gt;2,"ATTEMPT 3+ NOT ALLOWED - policy 300.5 permits one retest per exam; this row records nothing",IF(AND($K1240=2,COUNTIFS(nrES_PID,$D1240,nrES_Code,$F1240,nrES_Att,1)=0),"ATTEMPT 2 WITHOUT ATTEMPT 1",IF(AND($K1240=2,$L1240=""),"RETEST ROW HAS NO SCORE",IF(AND($H1240="Final",$L1240&lt;&gt;"",IFERROR(INDEX(nrCKfinalExamElig,MATCH($D1240,rngCadetPIDs,0)),"")="No"),"FINAL EXAM AFTER FAILED FINAL PT (500.1.H)",IF(AND($K1240=2,ISNUMBER($L1240),COUNTIFS(nrES_PID,$D1240,nrES_Code,$F1240,nrES_Att,1)&gt;0,SUMIFS(nrES_Raw,nrES_PID,$D1240,nrES_Code,$F1240,nrES_Att,1)&gt;=$J1240),"RETEST AFTER A PASSING FIRST ATTEMPT","OK"))))))))))</f>
        <v/>
      </c>
      <c r="Y1240" s="16" t="n"/>
    </row>
    <row r="1241">
      <c r="B1241" s="17">
        <f>IF($C1241="","",$D1241&amp;"-"&amp;$F1241&amp;"-"&amp;$K1241)</f>
        <v/>
      </c>
      <c r="C1241" s="16" t="n"/>
      <c r="D1241" s="17">
        <f>IF($C1241="","",IFERROR(INDEX(rngCadetPIDs,MATCH($C1241,rngCadetNames,0)),"?"))</f>
        <v/>
      </c>
      <c r="E1241" s="17">
        <f>IF($D1241="","",IFERROR(INDEX(nrCadetAgency,MATCH($D1241,rngCadetPIDs,0)),""))</f>
        <v/>
      </c>
      <c r="F1241" s="16" t="n"/>
      <c r="G1241" s="17">
        <f>IF($F1241="","",IFERROR(INDEX(rngEPname,MATCH($F1241,rngEPcode,0)),"?"))</f>
        <v/>
      </c>
      <c r="H1241" s="17">
        <f>IF($F1241="","",IFERROR(INDEX(rngEPtype,MATCH($F1241,rngEPcode,0)),"?"))</f>
        <v/>
      </c>
      <c r="I1241" s="17">
        <f>IF($F1241="","",IFERROR(INDEX(rngEPseq,MATCH($F1241,rngEPcode,0)),""))</f>
        <v/>
      </c>
      <c r="J1241" s="17">
        <f>IF($F1241="","",IFERROR(INDEX(rngEPpass,MATCH($F1241,rngEPcode,0)),cfgPassingScore))</f>
        <v/>
      </c>
      <c r="K1241" s="16" t="n"/>
      <c r="L1241" s="16" t="n"/>
      <c r="M1241" s="17">
        <f>IF($C1241="","",IF($L1241="","",IF(NOT(ISNUMBER($L1241)),$L1241,IF(N($K1241)&gt;2,"",IF($K1241=1,IF(COUNTIFS(nrES_PID,$D1241,nrES_Code,$F1241,nrES_Att,2,nrES_Raw,"&gt;=0")&gt;0,"",$L1241),IF($L1241&gt;=$J1241,MAX($J1241,cfgRetakeRecordedCap),IF(COUNTIFS(nrES_PID,$D1241,nrES_Code,$F1241,nrES_Att,1)=0,$L1241,SUMIFS(nrES_Raw,nrES_PID,$D1241,nrES_Code,$F1241,nrES_Att,1))))))))</f>
        <v/>
      </c>
      <c r="N1241" s="17">
        <f>IF($C1241="","",IF($L1241="","",IF(NOT(ISNUMBER($L1241)),"(not a score)",IF($L1241&gt;=$J1241,"Yes","No"))))</f>
        <v/>
      </c>
      <c r="O1241" s="17">
        <f>IF($C1241="","",IF($M1241="","",IF(NOT(ISNUMBER($M1241)),"(not a score)",IF($M1241&gt;=$J1241,"Yes","No"))))</f>
        <v/>
      </c>
      <c r="P1241" s="17">
        <f>IF($C1241="","",IF($K1241="","",IF(N($K1241)&gt;2,"No",IF(COUNTIFS(nrES_PID,$D1241,nrES_Code,$F1241,nrES_Att,"&gt;"&amp;$K1241,nrES_Att,"&lt;=2",nrES_Raw,"&gt;=0")=0,"Yes","No"))))</f>
        <v/>
      </c>
      <c r="Q1241" s="17">
        <f>IF($C1241="","",IF($L1241="","",IF(AND($K1241=1,ISNUMBER($L1241),$L1241&lt;$J1241,COUNTIFS(nrES_PID,$D1241,nrES_Code,$F1241,nrES_Att,2,nrES_Raw,"&gt;=0")=0),"Yes","No")))</f>
        <v/>
      </c>
      <c r="R1241" s="17">
        <f>IF($C1241="","",IF($L1241="","",IF(AND(N($K1241)&gt;=2,ISNUMBER($L1241),$L1241&lt;$J1241),"Yes","No")))</f>
        <v/>
      </c>
      <c r="S1241" s="18" t="n"/>
      <c r="T1241" s="19">
        <f>IF(OR($C1241="",$L1241="",$K1241&lt;&gt;1,NOT(ISNUMBER($L1241)),$L1241&gt;=$J1241),"",IF($S1241="","(enter date)",_xlfn.LET(_xlpm.dn,_xlfn.XLOOKUP($S1241,nrCDdate,nrCDnum,"",1),IF(_xlpm.dn="","(after last class day)",_xlfn.LET(_xlpm.dd,_xlfn.XLOOKUP(_xlpm.dn+cfgRetestClassDays,nrCDnum,nrCDdate,""),_xlpm.ok,_xlfn.XLOOKUP(_xlpm.dn+cfgRetestClassDays,nrCDnum,nrCDinsession,"No"),IF(OR(_xlpm.dd="",_xlpm.ok&lt;&gt;"Yes"),"(after last class day)",_xlpm.dd))))))</f>
        <v/>
      </c>
      <c r="U1241" s="17">
        <f>IF($C1241="","",IF(AND($Y1241="Excused",$L1241="",N($K1241)&lt;=1),"EXCUSED - 1st attempt pending",IF(OR($L1241="",$K1241&lt;&gt;1,NOT(ISNUMBER($L1241)),$L1241&gt;=$J1241),"",IF(COUNTIFS(nrES_PID,$D1241,nrES_Code,$F1241,nrES_Att,2,nrES_Raw,"&gt;=0")&gt;0,IF(IFERROR(_xlfn.MINIFS(nrES_Date,nrES_PID,$D1241,nrES_Code,$F1241,nrES_Att,2,nrES_Raw,"&gt;=0",nrES_Date,"&gt;0"),0)=0,"RETEST UNDATED",IF(NOT(ISNUMBER($T1241)),"RETEST DATE UNCHECKED",IF(_xlfn.MINIFS(nrES_Date,nrES_PID,$D1241,nrES_Code,$F1241,nrES_Att,2,nrES_Raw,"&gt;=0",nrES_Date,"&gt;0")&gt;$T1241,"LATE RETEST "&amp;TEXT(_xlfn.MINIFS(nrES_Date,nrES_PID,$D1241,nrES_Code,$F1241,nrES_Att,2,nrES_Raw,"&gt;=0",nrES_Date,"&gt;0"),"mm/dd")&amp;" (due "&amp;TEXT($T1241,"mm/dd")&amp;")","Retested"))),IF(NOT(ISNUMBER($T1241)),"CHECK DATE",IF(TODAY()&gt;$T1241,"OVERDUE","Due "&amp;TEXT($T1241,"mm/dd")))))))</f>
        <v/>
      </c>
      <c r="V1241" s="16" t="n"/>
      <c r="W1241" s="16" t="n"/>
      <c r="X1241" s="17">
        <f>IF($C1241="","",IF(AND($L1241&lt;&gt;"",NOT(ISNUMBER($L1241))),"RAW SCORE NOT A NUMBER",IF(AND(ISNUMBER($L1241),OR($L1241&lt;0,$L1241&gt;100)),"RAW SCORE OUT OF RANGE",IF(AND($Y1241="Unexcused",OR($L1241="",NOT(ISNUMBER($L1241)),$L1241&lt;&gt;0)),"UNEXCUSED ABSENCE MUST RECORD 0",IF(COUNTIF(nrES_RecID,$B1241)&gt;1,"DUPLICATE RECORD",IF(N($K1241)&gt;2,"ATTEMPT 3+ NOT ALLOWED - policy 300.5 permits one retest per exam; this row records nothing",IF(AND($K1241=2,COUNTIFS(nrES_PID,$D1241,nrES_Code,$F1241,nrES_Att,1)=0),"ATTEMPT 2 WITHOUT ATTEMPT 1",IF(AND($K1241=2,$L1241=""),"RETEST ROW HAS NO SCORE",IF(AND($H1241="Final",$L1241&lt;&gt;"",IFERROR(INDEX(nrCKfinalExamElig,MATCH($D1241,rngCadetPIDs,0)),"")="No"),"FINAL EXAM AFTER FAILED FINAL PT (500.1.H)",IF(AND($K1241=2,ISNUMBER($L1241),COUNTIFS(nrES_PID,$D1241,nrES_Code,$F1241,nrES_Att,1)&gt;0,SUMIFS(nrES_Raw,nrES_PID,$D1241,nrES_Code,$F1241,nrES_Att,1)&gt;=$J1241),"RETEST AFTER A PASSING FIRST ATTEMPT","OK"))))))))))</f>
        <v/>
      </c>
      <c r="Y1241" s="16" t="n"/>
    </row>
    <row r="1242">
      <c r="B1242" s="17">
        <f>IF($C1242="","",$D1242&amp;"-"&amp;$F1242&amp;"-"&amp;$K1242)</f>
        <v/>
      </c>
      <c r="C1242" s="16" t="n"/>
      <c r="D1242" s="17">
        <f>IF($C1242="","",IFERROR(INDEX(rngCadetPIDs,MATCH($C1242,rngCadetNames,0)),"?"))</f>
        <v/>
      </c>
      <c r="E1242" s="17">
        <f>IF($D1242="","",IFERROR(INDEX(nrCadetAgency,MATCH($D1242,rngCadetPIDs,0)),""))</f>
        <v/>
      </c>
      <c r="F1242" s="16" t="n"/>
      <c r="G1242" s="17">
        <f>IF($F1242="","",IFERROR(INDEX(rngEPname,MATCH($F1242,rngEPcode,0)),"?"))</f>
        <v/>
      </c>
      <c r="H1242" s="17">
        <f>IF($F1242="","",IFERROR(INDEX(rngEPtype,MATCH($F1242,rngEPcode,0)),"?"))</f>
        <v/>
      </c>
      <c r="I1242" s="17">
        <f>IF($F1242="","",IFERROR(INDEX(rngEPseq,MATCH($F1242,rngEPcode,0)),""))</f>
        <v/>
      </c>
      <c r="J1242" s="17">
        <f>IF($F1242="","",IFERROR(INDEX(rngEPpass,MATCH($F1242,rngEPcode,0)),cfgPassingScore))</f>
        <v/>
      </c>
      <c r="K1242" s="16" t="n"/>
      <c r="L1242" s="16" t="n"/>
      <c r="M1242" s="17">
        <f>IF($C1242="","",IF($L1242="","",IF(NOT(ISNUMBER($L1242)),$L1242,IF(N($K1242)&gt;2,"",IF($K1242=1,IF(COUNTIFS(nrES_PID,$D1242,nrES_Code,$F1242,nrES_Att,2,nrES_Raw,"&gt;=0")&gt;0,"",$L1242),IF($L1242&gt;=$J1242,MAX($J1242,cfgRetakeRecordedCap),IF(COUNTIFS(nrES_PID,$D1242,nrES_Code,$F1242,nrES_Att,1)=0,$L1242,SUMIFS(nrES_Raw,nrES_PID,$D1242,nrES_Code,$F1242,nrES_Att,1))))))))</f>
        <v/>
      </c>
      <c r="N1242" s="17">
        <f>IF($C1242="","",IF($L1242="","",IF(NOT(ISNUMBER($L1242)),"(not a score)",IF($L1242&gt;=$J1242,"Yes","No"))))</f>
        <v/>
      </c>
      <c r="O1242" s="17">
        <f>IF($C1242="","",IF($M1242="","",IF(NOT(ISNUMBER($M1242)),"(not a score)",IF($M1242&gt;=$J1242,"Yes","No"))))</f>
        <v/>
      </c>
      <c r="P1242" s="17">
        <f>IF($C1242="","",IF($K1242="","",IF(N($K1242)&gt;2,"No",IF(COUNTIFS(nrES_PID,$D1242,nrES_Code,$F1242,nrES_Att,"&gt;"&amp;$K1242,nrES_Att,"&lt;=2",nrES_Raw,"&gt;=0")=0,"Yes","No"))))</f>
        <v/>
      </c>
      <c r="Q1242" s="17">
        <f>IF($C1242="","",IF($L1242="","",IF(AND($K1242=1,ISNUMBER($L1242),$L1242&lt;$J1242,COUNTIFS(nrES_PID,$D1242,nrES_Code,$F1242,nrES_Att,2,nrES_Raw,"&gt;=0")=0),"Yes","No")))</f>
        <v/>
      </c>
      <c r="R1242" s="17">
        <f>IF($C1242="","",IF($L1242="","",IF(AND(N($K1242)&gt;=2,ISNUMBER($L1242),$L1242&lt;$J1242),"Yes","No")))</f>
        <v/>
      </c>
      <c r="S1242" s="18" t="n"/>
      <c r="T1242" s="19">
        <f>IF(OR($C1242="",$L1242="",$K1242&lt;&gt;1,NOT(ISNUMBER($L1242)),$L1242&gt;=$J1242),"",IF($S1242="","(enter date)",_xlfn.LET(_xlpm.dn,_xlfn.XLOOKUP($S1242,nrCDdate,nrCDnum,"",1),IF(_xlpm.dn="","(after last class day)",_xlfn.LET(_xlpm.dd,_xlfn.XLOOKUP(_xlpm.dn+cfgRetestClassDays,nrCDnum,nrCDdate,""),_xlpm.ok,_xlfn.XLOOKUP(_xlpm.dn+cfgRetestClassDays,nrCDnum,nrCDinsession,"No"),IF(OR(_xlpm.dd="",_xlpm.ok&lt;&gt;"Yes"),"(after last class day)",_xlpm.dd))))))</f>
        <v/>
      </c>
      <c r="U1242" s="17">
        <f>IF($C1242="","",IF(AND($Y1242="Excused",$L1242="",N($K1242)&lt;=1),"EXCUSED - 1st attempt pending",IF(OR($L1242="",$K1242&lt;&gt;1,NOT(ISNUMBER($L1242)),$L1242&gt;=$J1242),"",IF(COUNTIFS(nrES_PID,$D1242,nrES_Code,$F1242,nrES_Att,2,nrES_Raw,"&gt;=0")&gt;0,IF(IFERROR(_xlfn.MINIFS(nrES_Date,nrES_PID,$D1242,nrES_Code,$F1242,nrES_Att,2,nrES_Raw,"&gt;=0",nrES_Date,"&gt;0"),0)=0,"RETEST UNDATED",IF(NOT(ISNUMBER($T1242)),"RETEST DATE UNCHECKED",IF(_xlfn.MINIFS(nrES_Date,nrES_PID,$D1242,nrES_Code,$F1242,nrES_Att,2,nrES_Raw,"&gt;=0",nrES_Date,"&gt;0")&gt;$T1242,"LATE RETEST "&amp;TEXT(_xlfn.MINIFS(nrES_Date,nrES_PID,$D1242,nrES_Code,$F1242,nrES_Att,2,nrES_Raw,"&gt;=0",nrES_Date,"&gt;0"),"mm/dd")&amp;" (due "&amp;TEXT($T1242,"mm/dd")&amp;")","Retested"))),IF(NOT(ISNUMBER($T1242)),"CHECK DATE",IF(TODAY()&gt;$T1242,"OVERDUE","Due "&amp;TEXT($T1242,"mm/dd")))))))</f>
        <v/>
      </c>
      <c r="V1242" s="16" t="n"/>
      <c r="W1242" s="16" t="n"/>
      <c r="X1242" s="17">
        <f>IF($C1242="","",IF(AND($L1242&lt;&gt;"",NOT(ISNUMBER($L1242))),"RAW SCORE NOT A NUMBER",IF(AND(ISNUMBER($L1242),OR($L1242&lt;0,$L1242&gt;100)),"RAW SCORE OUT OF RANGE",IF(AND($Y1242="Unexcused",OR($L1242="",NOT(ISNUMBER($L1242)),$L1242&lt;&gt;0)),"UNEXCUSED ABSENCE MUST RECORD 0",IF(COUNTIF(nrES_RecID,$B1242)&gt;1,"DUPLICATE RECORD",IF(N($K1242)&gt;2,"ATTEMPT 3+ NOT ALLOWED - policy 300.5 permits one retest per exam; this row records nothing",IF(AND($K1242=2,COUNTIFS(nrES_PID,$D1242,nrES_Code,$F1242,nrES_Att,1)=0),"ATTEMPT 2 WITHOUT ATTEMPT 1",IF(AND($K1242=2,$L1242=""),"RETEST ROW HAS NO SCORE",IF(AND($H1242="Final",$L1242&lt;&gt;"",IFERROR(INDEX(nrCKfinalExamElig,MATCH($D1242,rngCadetPIDs,0)),"")="No"),"FINAL EXAM AFTER FAILED FINAL PT (500.1.H)",IF(AND($K1242=2,ISNUMBER($L1242),COUNTIFS(nrES_PID,$D1242,nrES_Code,$F1242,nrES_Att,1)&gt;0,SUMIFS(nrES_Raw,nrES_PID,$D1242,nrES_Code,$F1242,nrES_Att,1)&gt;=$J1242),"RETEST AFTER A PASSING FIRST ATTEMPT","OK"))))))))))</f>
        <v/>
      </c>
      <c r="Y1242" s="16" t="n"/>
    </row>
    <row r="1243">
      <c r="B1243" s="17">
        <f>IF($C1243="","",$D1243&amp;"-"&amp;$F1243&amp;"-"&amp;$K1243)</f>
        <v/>
      </c>
      <c r="C1243" s="16" t="n"/>
      <c r="D1243" s="17">
        <f>IF($C1243="","",IFERROR(INDEX(rngCadetPIDs,MATCH($C1243,rngCadetNames,0)),"?"))</f>
        <v/>
      </c>
      <c r="E1243" s="17">
        <f>IF($D1243="","",IFERROR(INDEX(nrCadetAgency,MATCH($D1243,rngCadetPIDs,0)),""))</f>
        <v/>
      </c>
      <c r="F1243" s="16" t="n"/>
      <c r="G1243" s="17">
        <f>IF($F1243="","",IFERROR(INDEX(rngEPname,MATCH($F1243,rngEPcode,0)),"?"))</f>
        <v/>
      </c>
      <c r="H1243" s="17">
        <f>IF($F1243="","",IFERROR(INDEX(rngEPtype,MATCH($F1243,rngEPcode,0)),"?"))</f>
        <v/>
      </c>
      <c r="I1243" s="17">
        <f>IF($F1243="","",IFERROR(INDEX(rngEPseq,MATCH($F1243,rngEPcode,0)),""))</f>
        <v/>
      </c>
      <c r="J1243" s="17">
        <f>IF($F1243="","",IFERROR(INDEX(rngEPpass,MATCH($F1243,rngEPcode,0)),cfgPassingScore))</f>
        <v/>
      </c>
      <c r="K1243" s="16" t="n"/>
      <c r="L1243" s="16" t="n"/>
      <c r="M1243" s="17">
        <f>IF($C1243="","",IF($L1243="","",IF(NOT(ISNUMBER($L1243)),$L1243,IF(N($K1243)&gt;2,"",IF($K1243=1,IF(COUNTIFS(nrES_PID,$D1243,nrES_Code,$F1243,nrES_Att,2,nrES_Raw,"&gt;=0")&gt;0,"",$L1243),IF($L1243&gt;=$J1243,MAX($J1243,cfgRetakeRecordedCap),IF(COUNTIFS(nrES_PID,$D1243,nrES_Code,$F1243,nrES_Att,1)=0,$L1243,SUMIFS(nrES_Raw,nrES_PID,$D1243,nrES_Code,$F1243,nrES_Att,1))))))))</f>
        <v/>
      </c>
      <c r="N1243" s="17">
        <f>IF($C1243="","",IF($L1243="","",IF(NOT(ISNUMBER($L1243)),"(not a score)",IF($L1243&gt;=$J1243,"Yes","No"))))</f>
        <v/>
      </c>
      <c r="O1243" s="17">
        <f>IF($C1243="","",IF($M1243="","",IF(NOT(ISNUMBER($M1243)),"(not a score)",IF($M1243&gt;=$J1243,"Yes","No"))))</f>
        <v/>
      </c>
      <c r="P1243" s="17">
        <f>IF($C1243="","",IF($K1243="","",IF(N($K1243)&gt;2,"No",IF(COUNTIFS(nrES_PID,$D1243,nrES_Code,$F1243,nrES_Att,"&gt;"&amp;$K1243,nrES_Att,"&lt;=2",nrES_Raw,"&gt;=0")=0,"Yes","No"))))</f>
        <v/>
      </c>
      <c r="Q1243" s="17">
        <f>IF($C1243="","",IF($L1243="","",IF(AND($K1243=1,ISNUMBER($L1243),$L1243&lt;$J1243,COUNTIFS(nrES_PID,$D1243,nrES_Code,$F1243,nrES_Att,2,nrES_Raw,"&gt;=0")=0),"Yes","No")))</f>
        <v/>
      </c>
      <c r="R1243" s="17">
        <f>IF($C1243="","",IF($L1243="","",IF(AND(N($K1243)&gt;=2,ISNUMBER($L1243),$L1243&lt;$J1243),"Yes","No")))</f>
        <v/>
      </c>
      <c r="S1243" s="18" t="n"/>
      <c r="T1243" s="19">
        <f>IF(OR($C1243="",$L1243="",$K1243&lt;&gt;1,NOT(ISNUMBER($L1243)),$L1243&gt;=$J1243),"",IF($S1243="","(enter date)",_xlfn.LET(_xlpm.dn,_xlfn.XLOOKUP($S1243,nrCDdate,nrCDnum,"",1),IF(_xlpm.dn="","(after last class day)",_xlfn.LET(_xlpm.dd,_xlfn.XLOOKUP(_xlpm.dn+cfgRetestClassDays,nrCDnum,nrCDdate,""),_xlpm.ok,_xlfn.XLOOKUP(_xlpm.dn+cfgRetestClassDays,nrCDnum,nrCDinsession,"No"),IF(OR(_xlpm.dd="",_xlpm.ok&lt;&gt;"Yes"),"(after last class day)",_xlpm.dd))))))</f>
        <v/>
      </c>
      <c r="U1243" s="17">
        <f>IF($C1243="","",IF(AND($Y1243="Excused",$L1243="",N($K1243)&lt;=1),"EXCUSED - 1st attempt pending",IF(OR($L1243="",$K1243&lt;&gt;1,NOT(ISNUMBER($L1243)),$L1243&gt;=$J1243),"",IF(COUNTIFS(nrES_PID,$D1243,nrES_Code,$F1243,nrES_Att,2,nrES_Raw,"&gt;=0")&gt;0,IF(IFERROR(_xlfn.MINIFS(nrES_Date,nrES_PID,$D1243,nrES_Code,$F1243,nrES_Att,2,nrES_Raw,"&gt;=0",nrES_Date,"&gt;0"),0)=0,"RETEST UNDATED",IF(NOT(ISNUMBER($T1243)),"RETEST DATE UNCHECKED",IF(_xlfn.MINIFS(nrES_Date,nrES_PID,$D1243,nrES_Code,$F1243,nrES_Att,2,nrES_Raw,"&gt;=0",nrES_Date,"&gt;0")&gt;$T1243,"LATE RETEST "&amp;TEXT(_xlfn.MINIFS(nrES_Date,nrES_PID,$D1243,nrES_Code,$F1243,nrES_Att,2,nrES_Raw,"&gt;=0",nrES_Date,"&gt;0"),"mm/dd")&amp;" (due "&amp;TEXT($T1243,"mm/dd")&amp;")","Retested"))),IF(NOT(ISNUMBER($T1243)),"CHECK DATE",IF(TODAY()&gt;$T1243,"OVERDUE","Due "&amp;TEXT($T1243,"mm/dd")))))))</f>
        <v/>
      </c>
      <c r="V1243" s="16" t="n"/>
      <c r="W1243" s="16" t="n"/>
      <c r="X1243" s="17">
        <f>IF($C1243="","",IF(AND($L1243&lt;&gt;"",NOT(ISNUMBER($L1243))),"RAW SCORE NOT A NUMBER",IF(AND(ISNUMBER($L1243),OR($L1243&lt;0,$L1243&gt;100)),"RAW SCORE OUT OF RANGE",IF(AND($Y1243="Unexcused",OR($L1243="",NOT(ISNUMBER($L1243)),$L1243&lt;&gt;0)),"UNEXCUSED ABSENCE MUST RECORD 0",IF(COUNTIF(nrES_RecID,$B1243)&gt;1,"DUPLICATE RECORD",IF(N($K1243)&gt;2,"ATTEMPT 3+ NOT ALLOWED - policy 300.5 permits one retest per exam; this row records nothing",IF(AND($K1243=2,COUNTIFS(nrES_PID,$D1243,nrES_Code,$F1243,nrES_Att,1)=0),"ATTEMPT 2 WITHOUT ATTEMPT 1",IF(AND($K1243=2,$L1243=""),"RETEST ROW HAS NO SCORE",IF(AND($H1243="Final",$L1243&lt;&gt;"",IFERROR(INDEX(nrCKfinalExamElig,MATCH($D1243,rngCadetPIDs,0)),"")="No"),"FINAL EXAM AFTER FAILED FINAL PT (500.1.H)",IF(AND($K1243=2,ISNUMBER($L1243),COUNTIFS(nrES_PID,$D1243,nrES_Code,$F1243,nrES_Att,1)&gt;0,SUMIFS(nrES_Raw,nrES_PID,$D1243,nrES_Code,$F1243,nrES_Att,1)&gt;=$J1243),"RETEST AFTER A PASSING FIRST ATTEMPT","OK"))))))))))</f>
        <v/>
      </c>
      <c r="Y1243" s="16" t="n"/>
    </row>
    <row r="1244">
      <c r="B1244" s="17">
        <f>IF($C1244="","",$D1244&amp;"-"&amp;$F1244&amp;"-"&amp;$K1244)</f>
        <v/>
      </c>
      <c r="C1244" s="16" t="n"/>
      <c r="D1244" s="17">
        <f>IF($C1244="","",IFERROR(INDEX(rngCadetPIDs,MATCH($C1244,rngCadetNames,0)),"?"))</f>
        <v/>
      </c>
      <c r="E1244" s="17">
        <f>IF($D1244="","",IFERROR(INDEX(nrCadetAgency,MATCH($D1244,rngCadetPIDs,0)),""))</f>
        <v/>
      </c>
      <c r="F1244" s="16" t="n"/>
      <c r="G1244" s="17">
        <f>IF($F1244="","",IFERROR(INDEX(rngEPname,MATCH($F1244,rngEPcode,0)),"?"))</f>
        <v/>
      </c>
      <c r="H1244" s="17">
        <f>IF($F1244="","",IFERROR(INDEX(rngEPtype,MATCH($F1244,rngEPcode,0)),"?"))</f>
        <v/>
      </c>
      <c r="I1244" s="17">
        <f>IF($F1244="","",IFERROR(INDEX(rngEPseq,MATCH($F1244,rngEPcode,0)),""))</f>
        <v/>
      </c>
      <c r="J1244" s="17">
        <f>IF($F1244="","",IFERROR(INDEX(rngEPpass,MATCH($F1244,rngEPcode,0)),cfgPassingScore))</f>
        <v/>
      </c>
      <c r="K1244" s="16" t="n"/>
      <c r="L1244" s="16" t="n"/>
      <c r="M1244" s="17">
        <f>IF($C1244="","",IF($L1244="","",IF(NOT(ISNUMBER($L1244)),$L1244,IF(N($K1244)&gt;2,"",IF($K1244=1,IF(COUNTIFS(nrES_PID,$D1244,nrES_Code,$F1244,nrES_Att,2,nrES_Raw,"&gt;=0")&gt;0,"",$L1244),IF($L1244&gt;=$J1244,MAX($J1244,cfgRetakeRecordedCap),IF(COUNTIFS(nrES_PID,$D1244,nrES_Code,$F1244,nrES_Att,1)=0,$L1244,SUMIFS(nrES_Raw,nrES_PID,$D1244,nrES_Code,$F1244,nrES_Att,1))))))))</f>
        <v/>
      </c>
      <c r="N1244" s="17">
        <f>IF($C1244="","",IF($L1244="","",IF(NOT(ISNUMBER($L1244)),"(not a score)",IF($L1244&gt;=$J1244,"Yes","No"))))</f>
        <v/>
      </c>
      <c r="O1244" s="17">
        <f>IF($C1244="","",IF($M1244="","",IF(NOT(ISNUMBER($M1244)),"(not a score)",IF($M1244&gt;=$J1244,"Yes","No"))))</f>
        <v/>
      </c>
      <c r="P1244" s="17">
        <f>IF($C1244="","",IF($K1244="","",IF(N($K1244)&gt;2,"No",IF(COUNTIFS(nrES_PID,$D1244,nrES_Code,$F1244,nrES_Att,"&gt;"&amp;$K1244,nrES_Att,"&lt;=2",nrES_Raw,"&gt;=0")=0,"Yes","No"))))</f>
        <v/>
      </c>
      <c r="Q1244" s="17">
        <f>IF($C1244="","",IF($L1244="","",IF(AND($K1244=1,ISNUMBER($L1244),$L1244&lt;$J1244,COUNTIFS(nrES_PID,$D1244,nrES_Code,$F1244,nrES_Att,2,nrES_Raw,"&gt;=0")=0),"Yes","No")))</f>
        <v/>
      </c>
      <c r="R1244" s="17">
        <f>IF($C1244="","",IF($L1244="","",IF(AND(N($K1244)&gt;=2,ISNUMBER($L1244),$L1244&lt;$J1244),"Yes","No")))</f>
        <v/>
      </c>
      <c r="S1244" s="18" t="n"/>
      <c r="T1244" s="19">
        <f>IF(OR($C1244="",$L1244="",$K1244&lt;&gt;1,NOT(ISNUMBER($L1244)),$L1244&gt;=$J1244),"",IF($S1244="","(enter date)",_xlfn.LET(_xlpm.dn,_xlfn.XLOOKUP($S1244,nrCDdate,nrCDnum,"",1),IF(_xlpm.dn="","(after last class day)",_xlfn.LET(_xlpm.dd,_xlfn.XLOOKUP(_xlpm.dn+cfgRetestClassDays,nrCDnum,nrCDdate,""),_xlpm.ok,_xlfn.XLOOKUP(_xlpm.dn+cfgRetestClassDays,nrCDnum,nrCDinsession,"No"),IF(OR(_xlpm.dd="",_xlpm.ok&lt;&gt;"Yes"),"(after last class day)",_xlpm.dd))))))</f>
        <v/>
      </c>
      <c r="U1244" s="17">
        <f>IF($C1244="","",IF(AND($Y1244="Excused",$L1244="",N($K1244)&lt;=1),"EXCUSED - 1st attempt pending",IF(OR($L1244="",$K1244&lt;&gt;1,NOT(ISNUMBER($L1244)),$L1244&gt;=$J1244),"",IF(COUNTIFS(nrES_PID,$D1244,nrES_Code,$F1244,nrES_Att,2,nrES_Raw,"&gt;=0")&gt;0,IF(IFERROR(_xlfn.MINIFS(nrES_Date,nrES_PID,$D1244,nrES_Code,$F1244,nrES_Att,2,nrES_Raw,"&gt;=0",nrES_Date,"&gt;0"),0)=0,"RETEST UNDATED",IF(NOT(ISNUMBER($T1244)),"RETEST DATE UNCHECKED",IF(_xlfn.MINIFS(nrES_Date,nrES_PID,$D1244,nrES_Code,$F1244,nrES_Att,2,nrES_Raw,"&gt;=0",nrES_Date,"&gt;0")&gt;$T1244,"LATE RETEST "&amp;TEXT(_xlfn.MINIFS(nrES_Date,nrES_PID,$D1244,nrES_Code,$F1244,nrES_Att,2,nrES_Raw,"&gt;=0",nrES_Date,"&gt;0"),"mm/dd")&amp;" (due "&amp;TEXT($T1244,"mm/dd")&amp;")","Retested"))),IF(NOT(ISNUMBER($T1244)),"CHECK DATE",IF(TODAY()&gt;$T1244,"OVERDUE","Due "&amp;TEXT($T1244,"mm/dd")))))))</f>
        <v/>
      </c>
      <c r="V1244" s="16" t="n"/>
      <c r="W1244" s="16" t="n"/>
      <c r="X1244" s="17">
        <f>IF($C1244="","",IF(AND($L1244&lt;&gt;"",NOT(ISNUMBER($L1244))),"RAW SCORE NOT A NUMBER",IF(AND(ISNUMBER($L1244),OR($L1244&lt;0,$L1244&gt;100)),"RAW SCORE OUT OF RANGE",IF(AND($Y1244="Unexcused",OR($L1244="",NOT(ISNUMBER($L1244)),$L1244&lt;&gt;0)),"UNEXCUSED ABSENCE MUST RECORD 0",IF(COUNTIF(nrES_RecID,$B1244)&gt;1,"DUPLICATE RECORD",IF(N($K1244)&gt;2,"ATTEMPT 3+ NOT ALLOWED - policy 300.5 permits one retest per exam; this row records nothing",IF(AND($K1244=2,COUNTIFS(nrES_PID,$D1244,nrES_Code,$F1244,nrES_Att,1)=0),"ATTEMPT 2 WITHOUT ATTEMPT 1",IF(AND($K1244=2,$L1244=""),"RETEST ROW HAS NO SCORE",IF(AND($H1244="Final",$L1244&lt;&gt;"",IFERROR(INDEX(nrCKfinalExamElig,MATCH($D1244,rngCadetPIDs,0)),"")="No"),"FINAL EXAM AFTER FAILED FINAL PT (500.1.H)",IF(AND($K1244=2,ISNUMBER($L1244),COUNTIFS(nrES_PID,$D1244,nrES_Code,$F1244,nrES_Att,1)&gt;0,SUMIFS(nrES_Raw,nrES_PID,$D1244,nrES_Code,$F1244,nrES_Att,1)&gt;=$J1244),"RETEST AFTER A PASSING FIRST ATTEMPT","OK"))))))))))</f>
        <v/>
      </c>
      <c r="Y1244" s="16" t="n"/>
    </row>
    <row r="1245">
      <c r="B1245" s="17">
        <f>IF($C1245="","",$D1245&amp;"-"&amp;$F1245&amp;"-"&amp;$K1245)</f>
        <v/>
      </c>
      <c r="C1245" s="16" t="n"/>
      <c r="D1245" s="17">
        <f>IF($C1245="","",IFERROR(INDEX(rngCadetPIDs,MATCH($C1245,rngCadetNames,0)),"?"))</f>
        <v/>
      </c>
      <c r="E1245" s="17">
        <f>IF($D1245="","",IFERROR(INDEX(nrCadetAgency,MATCH($D1245,rngCadetPIDs,0)),""))</f>
        <v/>
      </c>
      <c r="F1245" s="16" t="n"/>
      <c r="G1245" s="17">
        <f>IF($F1245="","",IFERROR(INDEX(rngEPname,MATCH($F1245,rngEPcode,0)),"?"))</f>
        <v/>
      </c>
      <c r="H1245" s="17">
        <f>IF($F1245="","",IFERROR(INDEX(rngEPtype,MATCH($F1245,rngEPcode,0)),"?"))</f>
        <v/>
      </c>
      <c r="I1245" s="17">
        <f>IF($F1245="","",IFERROR(INDEX(rngEPseq,MATCH($F1245,rngEPcode,0)),""))</f>
        <v/>
      </c>
      <c r="J1245" s="17">
        <f>IF($F1245="","",IFERROR(INDEX(rngEPpass,MATCH($F1245,rngEPcode,0)),cfgPassingScore))</f>
        <v/>
      </c>
      <c r="K1245" s="16" t="n"/>
      <c r="L1245" s="16" t="n"/>
      <c r="M1245" s="17">
        <f>IF($C1245="","",IF($L1245="","",IF(NOT(ISNUMBER($L1245)),$L1245,IF(N($K1245)&gt;2,"",IF($K1245=1,IF(COUNTIFS(nrES_PID,$D1245,nrES_Code,$F1245,nrES_Att,2,nrES_Raw,"&gt;=0")&gt;0,"",$L1245),IF($L1245&gt;=$J1245,MAX($J1245,cfgRetakeRecordedCap),IF(COUNTIFS(nrES_PID,$D1245,nrES_Code,$F1245,nrES_Att,1)=0,$L1245,SUMIFS(nrES_Raw,nrES_PID,$D1245,nrES_Code,$F1245,nrES_Att,1))))))))</f>
        <v/>
      </c>
      <c r="N1245" s="17">
        <f>IF($C1245="","",IF($L1245="","",IF(NOT(ISNUMBER($L1245)),"(not a score)",IF($L1245&gt;=$J1245,"Yes","No"))))</f>
        <v/>
      </c>
      <c r="O1245" s="17">
        <f>IF($C1245="","",IF($M1245="","",IF(NOT(ISNUMBER($M1245)),"(not a score)",IF($M1245&gt;=$J1245,"Yes","No"))))</f>
        <v/>
      </c>
      <c r="P1245" s="17">
        <f>IF($C1245="","",IF($K1245="","",IF(N($K1245)&gt;2,"No",IF(COUNTIFS(nrES_PID,$D1245,nrES_Code,$F1245,nrES_Att,"&gt;"&amp;$K1245,nrES_Att,"&lt;=2",nrES_Raw,"&gt;=0")=0,"Yes","No"))))</f>
        <v/>
      </c>
      <c r="Q1245" s="17">
        <f>IF($C1245="","",IF($L1245="","",IF(AND($K1245=1,ISNUMBER($L1245),$L1245&lt;$J1245,COUNTIFS(nrES_PID,$D1245,nrES_Code,$F1245,nrES_Att,2,nrES_Raw,"&gt;=0")=0),"Yes","No")))</f>
        <v/>
      </c>
      <c r="R1245" s="17">
        <f>IF($C1245="","",IF($L1245="","",IF(AND(N($K1245)&gt;=2,ISNUMBER($L1245),$L1245&lt;$J1245),"Yes","No")))</f>
        <v/>
      </c>
      <c r="S1245" s="18" t="n"/>
      <c r="T1245" s="19">
        <f>IF(OR($C1245="",$L1245="",$K1245&lt;&gt;1,NOT(ISNUMBER($L1245)),$L1245&gt;=$J1245),"",IF($S1245="","(enter date)",_xlfn.LET(_xlpm.dn,_xlfn.XLOOKUP($S1245,nrCDdate,nrCDnum,"",1),IF(_xlpm.dn="","(after last class day)",_xlfn.LET(_xlpm.dd,_xlfn.XLOOKUP(_xlpm.dn+cfgRetestClassDays,nrCDnum,nrCDdate,""),_xlpm.ok,_xlfn.XLOOKUP(_xlpm.dn+cfgRetestClassDays,nrCDnum,nrCDinsession,"No"),IF(OR(_xlpm.dd="",_xlpm.ok&lt;&gt;"Yes"),"(after last class day)",_xlpm.dd))))))</f>
        <v/>
      </c>
      <c r="U1245" s="17">
        <f>IF($C1245="","",IF(AND($Y1245="Excused",$L1245="",N($K1245)&lt;=1),"EXCUSED - 1st attempt pending",IF(OR($L1245="",$K1245&lt;&gt;1,NOT(ISNUMBER($L1245)),$L1245&gt;=$J1245),"",IF(COUNTIFS(nrES_PID,$D1245,nrES_Code,$F1245,nrES_Att,2,nrES_Raw,"&gt;=0")&gt;0,IF(IFERROR(_xlfn.MINIFS(nrES_Date,nrES_PID,$D1245,nrES_Code,$F1245,nrES_Att,2,nrES_Raw,"&gt;=0",nrES_Date,"&gt;0"),0)=0,"RETEST UNDATED",IF(NOT(ISNUMBER($T1245)),"RETEST DATE UNCHECKED",IF(_xlfn.MINIFS(nrES_Date,nrES_PID,$D1245,nrES_Code,$F1245,nrES_Att,2,nrES_Raw,"&gt;=0",nrES_Date,"&gt;0")&gt;$T1245,"LATE RETEST "&amp;TEXT(_xlfn.MINIFS(nrES_Date,nrES_PID,$D1245,nrES_Code,$F1245,nrES_Att,2,nrES_Raw,"&gt;=0",nrES_Date,"&gt;0"),"mm/dd")&amp;" (due "&amp;TEXT($T1245,"mm/dd")&amp;")","Retested"))),IF(NOT(ISNUMBER($T1245)),"CHECK DATE",IF(TODAY()&gt;$T1245,"OVERDUE","Due "&amp;TEXT($T1245,"mm/dd")))))))</f>
        <v/>
      </c>
      <c r="V1245" s="16" t="n"/>
      <c r="W1245" s="16" t="n"/>
      <c r="X1245" s="17">
        <f>IF($C1245="","",IF(AND($L1245&lt;&gt;"",NOT(ISNUMBER($L1245))),"RAW SCORE NOT A NUMBER",IF(AND(ISNUMBER($L1245),OR($L1245&lt;0,$L1245&gt;100)),"RAW SCORE OUT OF RANGE",IF(AND($Y1245="Unexcused",OR($L1245="",NOT(ISNUMBER($L1245)),$L1245&lt;&gt;0)),"UNEXCUSED ABSENCE MUST RECORD 0",IF(COUNTIF(nrES_RecID,$B1245)&gt;1,"DUPLICATE RECORD",IF(N($K1245)&gt;2,"ATTEMPT 3+ NOT ALLOWED - policy 300.5 permits one retest per exam; this row records nothing",IF(AND($K1245=2,COUNTIFS(nrES_PID,$D1245,nrES_Code,$F1245,nrES_Att,1)=0),"ATTEMPT 2 WITHOUT ATTEMPT 1",IF(AND($K1245=2,$L1245=""),"RETEST ROW HAS NO SCORE",IF(AND($H1245="Final",$L1245&lt;&gt;"",IFERROR(INDEX(nrCKfinalExamElig,MATCH($D1245,rngCadetPIDs,0)),"")="No"),"FINAL EXAM AFTER FAILED FINAL PT (500.1.H)",IF(AND($K1245=2,ISNUMBER($L1245),COUNTIFS(nrES_PID,$D1245,nrES_Code,$F1245,nrES_Att,1)&gt;0,SUMIFS(nrES_Raw,nrES_PID,$D1245,nrES_Code,$F1245,nrES_Att,1)&gt;=$J1245),"RETEST AFTER A PASSING FIRST ATTEMPT","OK"))))))))))</f>
        <v/>
      </c>
      <c r="Y1245" s="16" t="n"/>
    </row>
    <row r="1246">
      <c r="B1246" s="17">
        <f>IF($C1246="","",$D1246&amp;"-"&amp;$F1246&amp;"-"&amp;$K1246)</f>
        <v/>
      </c>
      <c r="C1246" s="16" t="n"/>
      <c r="D1246" s="17">
        <f>IF($C1246="","",IFERROR(INDEX(rngCadetPIDs,MATCH($C1246,rngCadetNames,0)),"?"))</f>
        <v/>
      </c>
      <c r="E1246" s="17">
        <f>IF($D1246="","",IFERROR(INDEX(nrCadetAgency,MATCH($D1246,rngCadetPIDs,0)),""))</f>
        <v/>
      </c>
      <c r="F1246" s="16" t="n"/>
      <c r="G1246" s="17">
        <f>IF($F1246="","",IFERROR(INDEX(rngEPname,MATCH($F1246,rngEPcode,0)),"?"))</f>
        <v/>
      </c>
      <c r="H1246" s="17">
        <f>IF($F1246="","",IFERROR(INDEX(rngEPtype,MATCH($F1246,rngEPcode,0)),"?"))</f>
        <v/>
      </c>
      <c r="I1246" s="17">
        <f>IF($F1246="","",IFERROR(INDEX(rngEPseq,MATCH($F1246,rngEPcode,0)),""))</f>
        <v/>
      </c>
      <c r="J1246" s="17">
        <f>IF($F1246="","",IFERROR(INDEX(rngEPpass,MATCH($F1246,rngEPcode,0)),cfgPassingScore))</f>
        <v/>
      </c>
      <c r="K1246" s="16" t="n"/>
      <c r="L1246" s="16" t="n"/>
      <c r="M1246" s="17">
        <f>IF($C1246="","",IF($L1246="","",IF(NOT(ISNUMBER($L1246)),$L1246,IF(N($K1246)&gt;2,"",IF($K1246=1,IF(COUNTIFS(nrES_PID,$D1246,nrES_Code,$F1246,nrES_Att,2,nrES_Raw,"&gt;=0")&gt;0,"",$L1246),IF($L1246&gt;=$J1246,MAX($J1246,cfgRetakeRecordedCap),IF(COUNTIFS(nrES_PID,$D1246,nrES_Code,$F1246,nrES_Att,1)=0,$L1246,SUMIFS(nrES_Raw,nrES_PID,$D1246,nrES_Code,$F1246,nrES_Att,1))))))))</f>
        <v/>
      </c>
      <c r="N1246" s="17">
        <f>IF($C1246="","",IF($L1246="","",IF(NOT(ISNUMBER($L1246)),"(not a score)",IF($L1246&gt;=$J1246,"Yes","No"))))</f>
        <v/>
      </c>
      <c r="O1246" s="17">
        <f>IF($C1246="","",IF($M1246="","",IF(NOT(ISNUMBER($M1246)),"(not a score)",IF($M1246&gt;=$J1246,"Yes","No"))))</f>
        <v/>
      </c>
      <c r="P1246" s="17">
        <f>IF($C1246="","",IF($K1246="","",IF(N($K1246)&gt;2,"No",IF(COUNTIFS(nrES_PID,$D1246,nrES_Code,$F1246,nrES_Att,"&gt;"&amp;$K1246,nrES_Att,"&lt;=2",nrES_Raw,"&gt;=0")=0,"Yes","No"))))</f>
        <v/>
      </c>
      <c r="Q1246" s="17">
        <f>IF($C1246="","",IF($L1246="","",IF(AND($K1246=1,ISNUMBER($L1246),$L1246&lt;$J1246,COUNTIFS(nrES_PID,$D1246,nrES_Code,$F1246,nrES_Att,2,nrES_Raw,"&gt;=0")=0),"Yes","No")))</f>
        <v/>
      </c>
      <c r="R1246" s="17">
        <f>IF($C1246="","",IF($L1246="","",IF(AND(N($K1246)&gt;=2,ISNUMBER($L1246),$L1246&lt;$J1246),"Yes","No")))</f>
        <v/>
      </c>
      <c r="S1246" s="18" t="n"/>
      <c r="T1246" s="19">
        <f>IF(OR($C1246="",$L1246="",$K1246&lt;&gt;1,NOT(ISNUMBER($L1246)),$L1246&gt;=$J1246),"",IF($S1246="","(enter date)",_xlfn.LET(_xlpm.dn,_xlfn.XLOOKUP($S1246,nrCDdate,nrCDnum,"",1),IF(_xlpm.dn="","(after last class day)",_xlfn.LET(_xlpm.dd,_xlfn.XLOOKUP(_xlpm.dn+cfgRetestClassDays,nrCDnum,nrCDdate,""),_xlpm.ok,_xlfn.XLOOKUP(_xlpm.dn+cfgRetestClassDays,nrCDnum,nrCDinsession,"No"),IF(OR(_xlpm.dd="",_xlpm.ok&lt;&gt;"Yes"),"(after last class day)",_xlpm.dd))))))</f>
        <v/>
      </c>
      <c r="U1246" s="17">
        <f>IF($C1246="","",IF(AND($Y1246="Excused",$L1246="",N($K1246)&lt;=1),"EXCUSED - 1st attempt pending",IF(OR($L1246="",$K1246&lt;&gt;1,NOT(ISNUMBER($L1246)),$L1246&gt;=$J1246),"",IF(COUNTIFS(nrES_PID,$D1246,nrES_Code,$F1246,nrES_Att,2,nrES_Raw,"&gt;=0")&gt;0,IF(IFERROR(_xlfn.MINIFS(nrES_Date,nrES_PID,$D1246,nrES_Code,$F1246,nrES_Att,2,nrES_Raw,"&gt;=0",nrES_Date,"&gt;0"),0)=0,"RETEST UNDATED",IF(NOT(ISNUMBER($T1246)),"RETEST DATE UNCHECKED",IF(_xlfn.MINIFS(nrES_Date,nrES_PID,$D1246,nrES_Code,$F1246,nrES_Att,2,nrES_Raw,"&gt;=0",nrES_Date,"&gt;0")&gt;$T1246,"LATE RETEST "&amp;TEXT(_xlfn.MINIFS(nrES_Date,nrES_PID,$D1246,nrES_Code,$F1246,nrES_Att,2,nrES_Raw,"&gt;=0",nrES_Date,"&gt;0"),"mm/dd")&amp;" (due "&amp;TEXT($T1246,"mm/dd")&amp;")","Retested"))),IF(NOT(ISNUMBER($T1246)),"CHECK DATE",IF(TODAY()&gt;$T1246,"OVERDUE","Due "&amp;TEXT($T1246,"mm/dd")))))))</f>
        <v/>
      </c>
      <c r="V1246" s="16" t="n"/>
      <c r="W1246" s="16" t="n"/>
      <c r="X1246" s="17">
        <f>IF($C1246="","",IF(AND($L1246&lt;&gt;"",NOT(ISNUMBER($L1246))),"RAW SCORE NOT A NUMBER",IF(AND(ISNUMBER($L1246),OR($L1246&lt;0,$L1246&gt;100)),"RAW SCORE OUT OF RANGE",IF(AND($Y1246="Unexcused",OR($L1246="",NOT(ISNUMBER($L1246)),$L1246&lt;&gt;0)),"UNEXCUSED ABSENCE MUST RECORD 0",IF(COUNTIF(nrES_RecID,$B1246)&gt;1,"DUPLICATE RECORD",IF(N($K1246)&gt;2,"ATTEMPT 3+ NOT ALLOWED - policy 300.5 permits one retest per exam; this row records nothing",IF(AND($K1246=2,COUNTIFS(nrES_PID,$D1246,nrES_Code,$F1246,nrES_Att,1)=0),"ATTEMPT 2 WITHOUT ATTEMPT 1",IF(AND($K1246=2,$L1246=""),"RETEST ROW HAS NO SCORE",IF(AND($H1246="Final",$L1246&lt;&gt;"",IFERROR(INDEX(nrCKfinalExamElig,MATCH($D1246,rngCadetPIDs,0)),"")="No"),"FINAL EXAM AFTER FAILED FINAL PT (500.1.H)",IF(AND($K1246=2,ISNUMBER($L1246),COUNTIFS(nrES_PID,$D1246,nrES_Code,$F1246,nrES_Att,1)&gt;0,SUMIFS(nrES_Raw,nrES_PID,$D1246,nrES_Code,$F1246,nrES_Att,1)&gt;=$J1246),"RETEST AFTER A PASSING FIRST ATTEMPT","OK"))))))))))</f>
        <v/>
      </c>
      <c r="Y1246" s="16" t="n"/>
    </row>
    <row r="1247">
      <c r="B1247" s="17">
        <f>IF($C1247="","",$D1247&amp;"-"&amp;$F1247&amp;"-"&amp;$K1247)</f>
        <v/>
      </c>
      <c r="C1247" s="16" t="n"/>
      <c r="D1247" s="17">
        <f>IF($C1247="","",IFERROR(INDEX(rngCadetPIDs,MATCH($C1247,rngCadetNames,0)),"?"))</f>
        <v/>
      </c>
      <c r="E1247" s="17">
        <f>IF($D1247="","",IFERROR(INDEX(nrCadetAgency,MATCH($D1247,rngCadetPIDs,0)),""))</f>
        <v/>
      </c>
      <c r="F1247" s="16" t="n"/>
      <c r="G1247" s="17">
        <f>IF($F1247="","",IFERROR(INDEX(rngEPname,MATCH($F1247,rngEPcode,0)),"?"))</f>
        <v/>
      </c>
      <c r="H1247" s="17">
        <f>IF($F1247="","",IFERROR(INDEX(rngEPtype,MATCH($F1247,rngEPcode,0)),"?"))</f>
        <v/>
      </c>
      <c r="I1247" s="17">
        <f>IF($F1247="","",IFERROR(INDEX(rngEPseq,MATCH($F1247,rngEPcode,0)),""))</f>
        <v/>
      </c>
      <c r="J1247" s="17">
        <f>IF($F1247="","",IFERROR(INDEX(rngEPpass,MATCH($F1247,rngEPcode,0)),cfgPassingScore))</f>
        <v/>
      </c>
      <c r="K1247" s="16" t="n"/>
      <c r="L1247" s="16" t="n"/>
      <c r="M1247" s="17">
        <f>IF($C1247="","",IF($L1247="","",IF(NOT(ISNUMBER($L1247)),$L1247,IF(N($K1247)&gt;2,"",IF($K1247=1,IF(COUNTIFS(nrES_PID,$D1247,nrES_Code,$F1247,nrES_Att,2,nrES_Raw,"&gt;=0")&gt;0,"",$L1247),IF($L1247&gt;=$J1247,MAX($J1247,cfgRetakeRecordedCap),IF(COUNTIFS(nrES_PID,$D1247,nrES_Code,$F1247,nrES_Att,1)=0,$L1247,SUMIFS(nrES_Raw,nrES_PID,$D1247,nrES_Code,$F1247,nrES_Att,1))))))))</f>
        <v/>
      </c>
      <c r="N1247" s="17">
        <f>IF($C1247="","",IF($L1247="","",IF(NOT(ISNUMBER($L1247)),"(not a score)",IF($L1247&gt;=$J1247,"Yes","No"))))</f>
        <v/>
      </c>
      <c r="O1247" s="17">
        <f>IF($C1247="","",IF($M1247="","",IF(NOT(ISNUMBER($M1247)),"(not a score)",IF($M1247&gt;=$J1247,"Yes","No"))))</f>
        <v/>
      </c>
      <c r="P1247" s="17">
        <f>IF($C1247="","",IF($K1247="","",IF(N($K1247)&gt;2,"No",IF(COUNTIFS(nrES_PID,$D1247,nrES_Code,$F1247,nrES_Att,"&gt;"&amp;$K1247,nrES_Att,"&lt;=2",nrES_Raw,"&gt;=0")=0,"Yes","No"))))</f>
        <v/>
      </c>
      <c r="Q1247" s="17">
        <f>IF($C1247="","",IF($L1247="","",IF(AND($K1247=1,ISNUMBER($L1247),$L1247&lt;$J1247,COUNTIFS(nrES_PID,$D1247,nrES_Code,$F1247,nrES_Att,2,nrES_Raw,"&gt;=0")=0),"Yes","No")))</f>
        <v/>
      </c>
      <c r="R1247" s="17">
        <f>IF($C1247="","",IF($L1247="","",IF(AND(N($K1247)&gt;=2,ISNUMBER($L1247),$L1247&lt;$J1247),"Yes","No")))</f>
        <v/>
      </c>
      <c r="S1247" s="18" t="n"/>
      <c r="T1247" s="19">
        <f>IF(OR($C1247="",$L1247="",$K1247&lt;&gt;1,NOT(ISNUMBER($L1247)),$L1247&gt;=$J1247),"",IF($S1247="","(enter date)",_xlfn.LET(_xlpm.dn,_xlfn.XLOOKUP($S1247,nrCDdate,nrCDnum,"",1),IF(_xlpm.dn="","(after last class day)",_xlfn.LET(_xlpm.dd,_xlfn.XLOOKUP(_xlpm.dn+cfgRetestClassDays,nrCDnum,nrCDdate,""),_xlpm.ok,_xlfn.XLOOKUP(_xlpm.dn+cfgRetestClassDays,nrCDnum,nrCDinsession,"No"),IF(OR(_xlpm.dd="",_xlpm.ok&lt;&gt;"Yes"),"(after last class day)",_xlpm.dd))))))</f>
        <v/>
      </c>
      <c r="U1247" s="17">
        <f>IF($C1247="","",IF(AND($Y1247="Excused",$L1247="",N($K1247)&lt;=1),"EXCUSED - 1st attempt pending",IF(OR($L1247="",$K1247&lt;&gt;1,NOT(ISNUMBER($L1247)),$L1247&gt;=$J1247),"",IF(COUNTIFS(nrES_PID,$D1247,nrES_Code,$F1247,nrES_Att,2,nrES_Raw,"&gt;=0")&gt;0,IF(IFERROR(_xlfn.MINIFS(nrES_Date,nrES_PID,$D1247,nrES_Code,$F1247,nrES_Att,2,nrES_Raw,"&gt;=0",nrES_Date,"&gt;0"),0)=0,"RETEST UNDATED",IF(NOT(ISNUMBER($T1247)),"RETEST DATE UNCHECKED",IF(_xlfn.MINIFS(nrES_Date,nrES_PID,$D1247,nrES_Code,$F1247,nrES_Att,2,nrES_Raw,"&gt;=0",nrES_Date,"&gt;0")&gt;$T1247,"LATE RETEST "&amp;TEXT(_xlfn.MINIFS(nrES_Date,nrES_PID,$D1247,nrES_Code,$F1247,nrES_Att,2,nrES_Raw,"&gt;=0",nrES_Date,"&gt;0"),"mm/dd")&amp;" (due "&amp;TEXT($T1247,"mm/dd")&amp;")","Retested"))),IF(NOT(ISNUMBER($T1247)),"CHECK DATE",IF(TODAY()&gt;$T1247,"OVERDUE","Due "&amp;TEXT($T1247,"mm/dd")))))))</f>
        <v/>
      </c>
      <c r="V1247" s="16" t="n"/>
      <c r="W1247" s="16" t="n"/>
      <c r="X1247" s="17">
        <f>IF($C1247="","",IF(AND($L1247&lt;&gt;"",NOT(ISNUMBER($L1247))),"RAW SCORE NOT A NUMBER",IF(AND(ISNUMBER($L1247),OR($L1247&lt;0,$L1247&gt;100)),"RAW SCORE OUT OF RANGE",IF(AND($Y1247="Unexcused",OR($L1247="",NOT(ISNUMBER($L1247)),$L1247&lt;&gt;0)),"UNEXCUSED ABSENCE MUST RECORD 0",IF(COUNTIF(nrES_RecID,$B1247)&gt;1,"DUPLICATE RECORD",IF(N($K1247)&gt;2,"ATTEMPT 3+ NOT ALLOWED - policy 300.5 permits one retest per exam; this row records nothing",IF(AND($K1247=2,COUNTIFS(nrES_PID,$D1247,nrES_Code,$F1247,nrES_Att,1)=0),"ATTEMPT 2 WITHOUT ATTEMPT 1",IF(AND($K1247=2,$L1247=""),"RETEST ROW HAS NO SCORE",IF(AND($H1247="Final",$L1247&lt;&gt;"",IFERROR(INDEX(nrCKfinalExamElig,MATCH($D1247,rngCadetPIDs,0)),"")="No"),"FINAL EXAM AFTER FAILED FINAL PT (500.1.H)",IF(AND($K1247=2,ISNUMBER($L1247),COUNTIFS(nrES_PID,$D1247,nrES_Code,$F1247,nrES_Att,1)&gt;0,SUMIFS(nrES_Raw,nrES_PID,$D1247,nrES_Code,$F1247,nrES_Att,1)&gt;=$J1247),"RETEST AFTER A PASSING FIRST ATTEMPT","OK"))))))))))</f>
        <v/>
      </c>
      <c r="Y1247" s="16" t="n"/>
    </row>
    <row r="1248">
      <c r="B1248" s="17">
        <f>IF($C1248="","",$D1248&amp;"-"&amp;$F1248&amp;"-"&amp;$K1248)</f>
        <v/>
      </c>
      <c r="C1248" s="16" t="n"/>
      <c r="D1248" s="17">
        <f>IF($C1248="","",IFERROR(INDEX(rngCadetPIDs,MATCH($C1248,rngCadetNames,0)),"?"))</f>
        <v/>
      </c>
      <c r="E1248" s="17">
        <f>IF($D1248="","",IFERROR(INDEX(nrCadetAgency,MATCH($D1248,rngCadetPIDs,0)),""))</f>
        <v/>
      </c>
      <c r="F1248" s="16" t="n"/>
      <c r="G1248" s="17">
        <f>IF($F1248="","",IFERROR(INDEX(rngEPname,MATCH($F1248,rngEPcode,0)),"?"))</f>
        <v/>
      </c>
      <c r="H1248" s="17">
        <f>IF($F1248="","",IFERROR(INDEX(rngEPtype,MATCH($F1248,rngEPcode,0)),"?"))</f>
        <v/>
      </c>
      <c r="I1248" s="17">
        <f>IF($F1248="","",IFERROR(INDEX(rngEPseq,MATCH($F1248,rngEPcode,0)),""))</f>
        <v/>
      </c>
      <c r="J1248" s="17">
        <f>IF($F1248="","",IFERROR(INDEX(rngEPpass,MATCH($F1248,rngEPcode,0)),cfgPassingScore))</f>
        <v/>
      </c>
      <c r="K1248" s="16" t="n"/>
      <c r="L1248" s="16" t="n"/>
      <c r="M1248" s="17">
        <f>IF($C1248="","",IF($L1248="","",IF(NOT(ISNUMBER($L1248)),$L1248,IF(N($K1248)&gt;2,"",IF($K1248=1,IF(COUNTIFS(nrES_PID,$D1248,nrES_Code,$F1248,nrES_Att,2,nrES_Raw,"&gt;=0")&gt;0,"",$L1248),IF($L1248&gt;=$J1248,MAX($J1248,cfgRetakeRecordedCap),IF(COUNTIFS(nrES_PID,$D1248,nrES_Code,$F1248,nrES_Att,1)=0,$L1248,SUMIFS(nrES_Raw,nrES_PID,$D1248,nrES_Code,$F1248,nrES_Att,1))))))))</f>
        <v/>
      </c>
      <c r="N1248" s="17">
        <f>IF($C1248="","",IF($L1248="","",IF(NOT(ISNUMBER($L1248)),"(not a score)",IF($L1248&gt;=$J1248,"Yes","No"))))</f>
        <v/>
      </c>
      <c r="O1248" s="17">
        <f>IF($C1248="","",IF($M1248="","",IF(NOT(ISNUMBER($M1248)),"(not a score)",IF($M1248&gt;=$J1248,"Yes","No"))))</f>
        <v/>
      </c>
      <c r="P1248" s="17">
        <f>IF($C1248="","",IF($K1248="","",IF(N($K1248)&gt;2,"No",IF(COUNTIFS(nrES_PID,$D1248,nrES_Code,$F1248,nrES_Att,"&gt;"&amp;$K1248,nrES_Att,"&lt;=2",nrES_Raw,"&gt;=0")=0,"Yes","No"))))</f>
        <v/>
      </c>
      <c r="Q1248" s="17">
        <f>IF($C1248="","",IF($L1248="","",IF(AND($K1248=1,ISNUMBER($L1248),$L1248&lt;$J1248,COUNTIFS(nrES_PID,$D1248,nrES_Code,$F1248,nrES_Att,2,nrES_Raw,"&gt;=0")=0),"Yes","No")))</f>
        <v/>
      </c>
      <c r="R1248" s="17">
        <f>IF($C1248="","",IF($L1248="","",IF(AND(N($K1248)&gt;=2,ISNUMBER($L1248),$L1248&lt;$J1248),"Yes","No")))</f>
        <v/>
      </c>
      <c r="S1248" s="18" t="n"/>
      <c r="T1248" s="19">
        <f>IF(OR($C1248="",$L1248="",$K1248&lt;&gt;1,NOT(ISNUMBER($L1248)),$L1248&gt;=$J1248),"",IF($S1248="","(enter date)",_xlfn.LET(_xlpm.dn,_xlfn.XLOOKUP($S1248,nrCDdate,nrCDnum,"",1),IF(_xlpm.dn="","(after last class day)",_xlfn.LET(_xlpm.dd,_xlfn.XLOOKUP(_xlpm.dn+cfgRetestClassDays,nrCDnum,nrCDdate,""),_xlpm.ok,_xlfn.XLOOKUP(_xlpm.dn+cfgRetestClassDays,nrCDnum,nrCDinsession,"No"),IF(OR(_xlpm.dd="",_xlpm.ok&lt;&gt;"Yes"),"(after last class day)",_xlpm.dd))))))</f>
        <v/>
      </c>
      <c r="U1248" s="17">
        <f>IF($C1248="","",IF(AND($Y1248="Excused",$L1248="",N($K1248)&lt;=1),"EXCUSED - 1st attempt pending",IF(OR($L1248="",$K1248&lt;&gt;1,NOT(ISNUMBER($L1248)),$L1248&gt;=$J1248),"",IF(COUNTIFS(nrES_PID,$D1248,nrES_Code,$F1248,nrES_Att,2,nrES_Raw,"&gt;=0")&gt;0,IF(IFERROR(_xlfn.MINIFS(nrES_Date,nrES_PID,$D1248,nrES_Code,$F1248,nrES_Att,2,nrES_Raw,"&gt;=0",nrES_Date,"&gt;0"),0)=0,"RETEST UNDATED",IF(NOT(ISNUMBER($T1248)),"RETEST DATE UNCHECKED",IF(_xlfn.MINIFS(nrES_Date,nrES_PID,$D1248,nrES_Code,$F1248,nrES_Att,2,nrES_Raw,"&gt;=0",nrES_Date,"&gt;0")&gt;$T1248,"LATE RETEST "&amp;TEXT(_xlfn.MINIFS(nrES_Date,nrES_PID,$D1248,nrES_Code,$F1248,nrES_Att,2,nrES_Raw,"&gt;=0",nrES_Date,"&gt;0"),"mm/dd")&amp;" (due "&amp;TEXT($T1248,"mm/dd")&amp;")","Retested"))),IF(NOT(ISNUMBER($T1248)),"CHECK DATE",IF(TODAY()&gt;$T1248,"OVERDUE","Due "&amp;TEXT($T1248,"mm/dd")))))))</f>
        <v/>
      </c>
      <c r="V1248" s="16" t="n"/>
      <c r="W1248" s="16" t="n"/>
      <c r="X1248" s="17">
        <f>IF($C1248="","",IF(AND($L1248&lt;&gt;"",NOT(ISNUMBER($L1248))),"RAW SCORE NOT A NUMBER",IF(AND(ISNUMBER($L1248),OR($L1248&lt;0,$L1248&gt;100)),"RAW SCORE OUT OF RANGE",IF(AND($Y1248="Unexcused",OR($L1248="",NOT(ISNUMBER($L1248)),$L1248&lt;&gt;0)),"UNEXCUSED ABSENCE MUST RECORD 0",IF(COUNTIF(nrES_RecID,$B1248)&gt;1,"DUPLICATE RECORD",IF(N($K1248)&gt;2,"ATTEMPT 3+ NOT ALLOWED - policy 300.5 permits one retest per exam; this row records nothing",IF(AND($K1248=2,COUNTIFS(nrES_PID,$D1248,nrES_Code,$F1248,nrES_Att,1)=0),"ATTEMPT 2 WITHOUT ATTEMPT 1",IF(AND($K1248=2,$L1248=""),"RETEST ROW HAS NO SCORE",IF(AND($H1248="Final",$L1248&lt;&gt;"",IFERROR(INDEX(nrCKfinalExamElig,MATCH($D1248,rngCadetPIDs,0)),"")="No"),"FINAL EXAM AFTER FAILED FINAL PT (500.1.H)",IF(AND($K1248=2,ISNUMBER($L1248),COUNTIFS(nrES_PID,$D1248,nrES_Code,$F1248,nrES_Att,1)&gt;0,SUMIFS(nrES_Raw,nrES_PID,$D1248,nrES_Code,$F1248,nrES_Att,1)&gt;=$J1248),"RETEST AFTER A PASSING FIRST ATTEMPT","OK"))))))))))</f>
        <v/>
      </c>
      <c r="Y1248" s="16" t="n"/>
    </row>
    <row r="1249">
      <c r="B1249" s="17">
        <f>IF($C1249="","",$D1249&amp;"-"&amp;$F1249&amp;"-"&amp;$K1249)</f>
        <v/>
      </c>
      <c r="C1249" s="16" t="n"/>
      <c r="D1249" s="17">
        <f>IF($C1249="","",IFERROR(INDEX(rngCadetPIDs,MATCH($C1249,rngCadetNames,0)),"?"))</f>
        <v/>
      </c>
      <c r="E1249" s="17">
        <f>IF($D1249="","",IFERROR(INDEX(nrCadetAgency,MATCH($D1249,rngCadetPIDs,0)),""))</f>
        <v/>
      </c>
      <c r="F1249" s="16" t="n"/>
      <c r="G1249" s="17">
        <f>IF($F1249="","",IFERROR(INDEX(rngEPname,MATCH($F1249,rngEPcode,0)),"?"))</f>
        <v/>
      </c>
      <c r="H1249" s="17">
        <f>IF($F1249="","",IFERROR(INDEX(rngEPtype,MATCH($F1249,rngEPcode,0)),"?"))</f>
        <v/>
      </c>
      <c r="I1249" s="17">
        <f>IF($F1249="","",IFERROR(INDEX(rngEPseq,MATCH($F1249,rngEPcode,0)),""))</f>
        <v/>
      </c>
      <c r="J1249" s="17">
        <f>IF($F1249="","",IFERROR(INDEX(rngEPpass,MATCH($F1249,rngEPcode,0)),cfgPassingScore))</f>
        <v/>
      </c>
      <c r="K1249" s="16" t="n"/>
      <c r="L1249" s="16" t="n"/>
      <c r="M1249" s="17">
        <f>IF($C1249="","",IF($L1249="","",IF(NOT(ISNUMBER($L1249)),$L1249,IF(N($K1249)&gt;2,"",IF($K1249=1,IF(COUNTIFS(nrES_PID,$D1249,nrES_Code,$F1249,nrES_Att,2,nrES_Raw,"&gt;=0")&gt;0,"",$L1249),IF($L1249&gt;=$J1249,MAX($J1249,cfgRetakeRecordedCap),IF(COUNTIFS(nrES_PID,$D1249,nrES_Code,$F1249,nrES_Att,1)=0,$L1249,SUMIFS(nrES_Raw,nrES_PID,$D1249,nrES_Code,$F1249,nrES_Att,1))))))))</f>
        <v/>
      </c>
      <c r="N1249" s="17">
        <f>IF($C1249="","",IF($L1249="","",IF(NOT(ISNUMBER($L1249)),"(not a score)",IF($L1249&gt;=$J1249,"Yes","No"))))</f>
        <v/>
      </c>
      <c r="O1249" s="17">
        <f>IF($C1249="","",IF($M1249="","",IF(NOT(ISNUMBER($M1249)),"(not a score)",IF($M1249&gt;=$J1249,"Yes","No"))))</f>
        <v/>
      </c>
      <c r="P1249" s="17">
        <f>IF($C1249="","",IF($K1249="","",IF(N($K1249)&gt;2,"No",IF(COUNTIFS(nrES_PID,$D1249,nrES_Code,$F1249,nrES_Att,"&gt;"&amp;$K1249,nrES_Att,"&lt;=2",nrES_Raw,"&gt;=0")=0,"Yes","No"))))</f>
        <v/>
      </c>
      <c r="Q1249" s="17">
        <f>IF($C1249="","",IF($L1249="","",IF(AND($K1249=1,ISNUMBER($L1249),$L1249&lt;$J1249,COUNTIFS(nrES_PID,$D1249,nrES_Code,$F1249,nrES_Att,2,nrES_Raw,"&gt;=0")=0),"Yes","No")))</f>
        <v/>
      </c>
      <c r="R1249" s="17">
        <f>IF($C1249="","",IF($L1249="","",IF(AND(N($K1249)&gt;=2,ISNUMBER($L1249),$L1249&lt;$J1249),"Yes","No")))</f>
        <v/>
      </c>
      <c r="S1249" s="18" t="n"/>
      <c r="T1249" s="19">
        <f>IF(OR($C1249="",$L1249="",$K1249&lt;&gt;1,NOT(ISNUMBER($L1249)),$L1249&gt;=$J1249),"",IF($S1249="","(enter date)",_xlfn.LET(_xlpm.dn,_xlfn.XLOOKUP($S1249,nrCDdate,nrCDnum,"",1),IF(_xlpm.dn="","(after last class day)",_xlfn.LET(_xlpm.dd,_xlfn.XLOOKUP(_xlpm.dn+cfgRetestClassDays,nrCDnum,nrCDdate,""),_xlpm.ok,_xlfn.XLOOKUP(_xlpm.dn+cfgRetestClassDays,nrCDnum,nrCDinsession,"No"),IF(OR(_xlpm.dd="",_xlpm.ok&lt;&gt;"Yes"),"(after last class day)",_xlpm.dd))))))</f>
        <v/>
      </c>
      <c r="U1249" s="17">
        <f>IF($C1249="","",IF(AND($Y1249="Excused",$L1249="",N($K1249)&lt;=1),"EXCUSED - 1st attempt pending",IF(OR($L1249="",$K1249&lt;&gt;1,NOT(ISNUMBER($L1249)),$L1249&gt;=$J1249),"",IF(COUNTIFS(nrES_PID,$D1249,nrES_Code,$F1249,nrES_Att,2,nrES_Raw,"&gt;=0")&gt;0,IF(IFERROR(_xlfn.MINIFS(nrES_Date,nrES_PID,$D1249,nrES_Code,$F1249,nrES_Att,2,nrES_Raw,"&gt;=0",nrES_Date,"&gt;0"),0)=0,"RETEST UNDATED",IF(NOT(ISNUMBER($T1249)),"RETEST DATE UNCHECKED",IF(_xlfn.MINIFS(nrES_Date,nrES_PID,$D1249,nrES_Code,$F1249,nrES_Att,2,nrES_Raw,"&gt;=0",nrES_Date,"&gt;0")&gt;$T1249,"LATE RETEST "&amp;TEXT(_xlfn.MINIFS(nrES_Date,nrES_PID,$D1249,nrES_Code,$F1249,nrES_Att,2,nrES_Raw,"&gt;=0",nrES_Date,"&gt;0"),"mm/dd")&amp;" (due "&amp;TEXT($T1249,"mm/dd")&amp;")","Retested"))),IF(NOT(ISNUMBER($T1249)),"CHECK DATE",IF(TODAY()&gt;$T1249,"OVERDUE","Due "&amp;TEXT($T1249,"mm/dd")))))))</f>
        <v/>
      </c>
      <c r="V1249" s="16" t="n"/>
      <c r="W1249" s="16" t="n"/>
      <c r="X1249" s="17">
        <f>IF($C1249="","",IF(AND($L1249&lt;&gt;"",NOT(ISNUMBER($L1249))),"RAW SCORE NOT A NUMBER",IF(AND(ISNUMBER($L1249),OR($L1249&lt;0,$L1249&gt;100)),"RAW SCORE OUT OF RANGE",IF(AND($Y1249="Unexcused",OR($L1249="",NOT(ISNUMBER($L1249)),$L1249&lt;&gt;0)),"UNEXCUSED ABSENCE MUST RECORD 0",IF(COUNTIF(nrES_RecID,$B1249)&gt;1,"DUPLICATE RECORD",IF(N($K1249)&gt;2,"ATTEMPT 3+ NOT ALLOWED - policy 300.5 permits one retest per exam; this row records nothing",IF(AND($K1249=2,COUNTIFS(nrES_PID,$D1249,nrES_Code,$F1249,nrES_Att,1)=0),"ATTEMPT 2 WITHOUT ATTEMPT 1",IF(AND($K1249=2,$L1249=""),"RETEST ROW HAS NO SCORE",IF(AND($H1249="Final",$L1249&lt;&gt;"",IFERROR(INDEX(nrCKfinalExamElig,MATCH($D1249,rngCadetPIDs,0)),"")="No"),"FINAL EXAM AFTER FAILED FINAL PT (500.1.H)",IF(AND($K1249=2,ISNUMBER($L1249),COUNTIFS(nrES_PID,$D1249,nrES_Code,$F1249,nrES_Att,1)&gt;0,SUMIFS(nrES_Raw,nrES_PID,$D1249,nrES_Code,$F1249,nrES_Att,1)&gt;=$J1249),"RETEST AFTER A PASSING FIRST ATTEMPT","OK"))))))))))</f>
        <v/>
      </c>
      <c r="Y1249" s="16" t="n"/>
    </row>
    <row r="1250">
      <c r="B1250" s="17">
        <f>IF($C1250="","",$D1250&amp;"-"&amp;$F1250&amp;"-"&amp;$K1250)</f>
        <v/>
      </c>
      <c r="C1250" s="16" t="n"/>
      <c r="D1250" s="17">
        <f>IF($C1250="","",IFERROR(INDEX(rngCadetPIDs,MATCH($C1250,rngCadetNames,0)),"?"))</f>
        <v/>
      </c>
      <c r="E1250" s="17">
        <f>IF($D1250="","",IFERROR(INDEX(nrCadetAgency,MATCH($D1250,rngCadetPIDs,0)),""))</f>
        <v/>
      </c>
      <c r="F1250" s="16" t="n"/>
      <c r="G1250" s="17">
        <f>IF($F1250="","",IFERROR(INDEX(rngEPname,MATCH($F1250,rngEPcode,0)),"?"))</f>
        <v/>
      </c>
      <c r="H1250" s="17">
        <f>IF($F1250="","",IFERROR(INDEX(rngEPtype,MATCH($F1250,rngEPcode,0)),"?"))</f>
        <v/>
      </c>
      <c r="I1250" s="17">
        <f>IF($F1250="","",IFERROR(INDEX(rngEPseq,MATCH($F1250,rngEPcode,0)),""))</f>
        <v/>
      </c>
      <c r="J1250" s="17">
        <f>IF($F1250="","",IFERROR(INDEX(rngEPpass,MATCH($F1250,rngEPcode,0)),cfgPassingScore))</f>
        <v/>
      </c>
      <c r="K1250" s="16" t="n"/>
      <c r="L1250" s="16" t="n"/>
      <c r="M1250" s="17">
        <f>IF($C1250="","",IF($L1250="","",IF(NOT(ISNUMBER($L1250)),$L1250,IF(N($K1250)&gt;2,"",IF($K1250=1,IF(COUNTIFS(nrES_PID,$D1250,nrES_Code,$F1250,nrES_Att,2,nrES_Raw,"&gt;=0")&gt;0,"",$L1250),IF($L1250&gt;=$J1250,MAX($J1250,cfgRetakeRecordedCap),IF(COUNTIFS(nrES_PID,$D1250,nrES_Code,$F1250,nrES_Att,1)=0,$L1250,SUMIFS(nrES_Raw,nrES_PID,$D1250,nrES_Code,$F1250,nrES_Att,1))))))))</f>
        <v/>
      </c>
      <c r="N1250" s="17">
        <f>IF($C1250="","",IF($L1250="","",IF(NOT(ISNUMBER($L1250)),"(not a score)",IF($L1250&gt;=$J1250,"Yes","No"))))</f>
        <v/>
      </c>
      <c r="O1250" s="17">
        <f>IF($C1250="","",IF($M1250="","",IF(NOT(ISNUMBER($M1250)),"(not a score)",IF($M1250&gt;=$J1250,"Yes","No"))))</f>
        <v/>
      </c>
      <c r="P1250" s="17">
        <f>IF($C1250="","",IF($K1250="","",IF(N($K1250)&gt;2,"No",IF(COUNTIFS(nrES_PID,$D1250,nrES_Code,$F1250,nrES_Att,"&gt;"&amp;$K1250,nrES_Att,"&lt;=2",nrES_Raw,"&gt;=0")=0,"Yes","No"))))</f>
        <v/>
      </c>
      <c r="Q1250" s="17">
        <f>IF($C1250="","",IF($L1250="","",IF(AND($K1250=1,ISNUMBER($L1250),$L1250&lt;$J1250,COUNTIFS(nrES_PID,$D1250,nrES_Code,$F1250,nrES_Att,2,nrES_Raw,"&gt;=0")=0),"Yes","No")))</f>
        <v/>
      </c>
      <c r="R1250" s="17">
        <f>IF($C1250="","",IF($L1250="","",IF(AND(N($K1250)&gt;=2,ISNUMBER($L1250),$L1250&lt;$J1250),"Yes","No")))</f>
        <v/>
      </c>
      <c r="S1250" s="18" t="n"/>
      <c r="T1250" s="19">
        <f>IF(OR($C1250="",$L1250="",$K1250&lt;&gt;1,NOT(ISNUMBER($L1250)),$L1250&gt;=$J1250),"",IF($S1250="","(enter date)",_xlfn.LET(_xlpm.dn,_xlfn.XLOOKUP($S1250,nrCDdate,nrCDnum,"",1),IF(_xlpm.dn="","(after last class day)",_xlfn.LET(_xlpm.dd,_xlfn.XLOOKUP(_xlpm.dn+cfgRetestClassDays,nrCDnum,nrCDdate,""),_xlpm.ok,_xlfn.XLOOKUP(_xlpm.dn+cfgRetestClassDays,nrCDnum,nrCDinsession,"No"),IF(OR(_xlpm.dd="",_xlpm.ok&lt;&gt;"Yes"),"(after last class day)",_xlpm.dd))))))</f>
        <v/>
      </c>
      <c r="U1250" s="17">
        <f>IF($C1250="","",IF(AND($Y1250="Excused",$L1250="",N($K1250)&lt;=1),"EXCUSED - 1st attempt pending",IF(OR($L1250="",$K1250&lt;&gt;1,NOT(ISNUMBER($L1250)),$L1250&gt;=$J1250),"",IF(COUNTIFS(nrES_PID,$D1250,nrES_Code,$F1250,nrES_Att,2,nrES_Raw,"&gt;=0")&gt;0,IF(IFERROR(_xlfn.MINIFS(nrES_Date,nrES_PID,$D1250,nrES_Code,$F1250,nrES_Att,2,nrES_Raw,"&gt;=0",nrES_Date,"&gt;0"),0)=0,"RETEST UNDATED",IF(NOT(ISNUMBER($T1250)),"RETEST DATE UNCHECKED",IF(_xlfn.MINIFS(nrES_Date,nrES_PID,$D1250,nrES_Code,$F1250,nrES_Att,2,nrES_Raw,"&gt;=0",nrES_Date,"&gt;0")&gt;$T1250,"LATE RETEST "&amp;TEXT(_xlfn.MINIFS(nrES_Date,nrES_PID,$D1250,nrES_Code,$F1250,nrES_Att,2,nrES_Raw,"&gt;=0",nrES_Date,"&gt;0"),"mm/dd")&amp;" (due "&amp;TEXT($T1250,"mm/dd")&amp;")","Retested"))),IF(NOT(ISNUMBER($T1250)),"CHECK DATE",IF(TODAY()&gt;$T1250,"OVERDUE","Due "&amp;TEXT($T1250,"mm/dd")))))))</f>
        <v/>
      </c>
      <c r="V1250" s="16" t="n"/>
      <c r="W1250" s="16" t="n"/>
      <c r="X1250" s="17">
        <f>IF($C1250="","",IF(AND($L1250&lt;&gt;"",NOT(ISNUMBER($L1250))),"RAW SCORE NOT A NUMBER",IF(AND(ISNUMBER($L1250),OR($L1250&lt;0,$L1250&gt;100)),"RAW SCORE OUT OF RANGE",IF(AND($Y1250="Unexcused",OR($L1250="",NOT(ISNUMBER($L1250)),$L1250&lt;&gt;0)),"UNEXCUSED ABSENCE MUST RECORD 0",IF(COUNTIF(nrES_RecID,$B1250)&gt;1,"DUPLICATE RECORD",IF(N($K1250)&gt;2,"ATTEMPT 3+ NOT ALLOWED - policy 300.5 permits one retest per exam; this row records nothing",IF(AND($K1250=2,COUNTIFS(nrES_PID,$D1250,nrES_Code,$F1250,nrES_Att,1)=0),"ATTEMPT 2 WITHOUT ATTEMPT 1",IF(AND($K1250=2,$L1250=""),"RETEST ROW HAS NO SCORE",IF(AND($H1250="Final",$L1250&lt;&gt;"",IFERROR(INDEX(nrCKfinalExamElig,MATCH($D1250,rngCadetPIDs,0)),"")="No"),"FINAL EXAM AFTER FAILED FINAL PT (500.1.H)",IF(AND($K1250=2,ISNUMBER($L1250),COUNTIFS(nrES_PID,$D1250,nrES_Code,$F1250,nrES_Att,1)&gt;0,SUMIFS(nrES_Raw,nrES_PID,$D1250,nrES_Code,$F1250,nrES_Att,1)&gt;=$J1250),"RETEST AFTER A PASSING FIRST ATTEMPT","OK"))))))))))</f>
        <v/>
      </c>
      <c r="Y1250" s="16" t="n"/>
    </row>
    <row r="1251">
      <c r="B1251" s="17">
        <f>IF($C1251="","",$D1251&amp;"-"&amp;$F1251&amp;"-"&amp;$K1251)</f>
        <v/>
      </c>
      <c r="C1251" s="16" t="n"/>
      <c r="D1251" s="17">
        <f>IF($C1251="","",IFERROR(INDEX(rngCadetPIDs,MATCH($C1251,rngCadetNames,0)),"?"))</f>
        <v/>
      </c>
      <c r="E1251" s="17">
        <f>IF($D1251="","",IFERROR(INDEX(nrCadetAgency,MATCH($D1251,rngCadetPIDs,0)),""))</f>
        <v/>
      </c>
      <c r="F1251" s="16" t="n"/>
      <c r="G1251" s="17">
        <f>IF($F1251="","",IFERROR(INDEX(rngEPname,MATCH($F1251,rngEPcode,0)),"?"))</f>
        <v/>
      </c>
      <c r="H1251" s="17">
        <f>IF($F1251="","",IFERROR(INDEX(rngEPtype,MATCH($F1251,rngEPcode,0)),"?"))</f>
        <v/>
      </c>
      <c r="I1251" s="17">
        <f>IF($F1251="","",IFERROR(INDEX(rngEPseq,MATCH($F1251,rngEPcode,0)),""))</f>
        <v/>
      </c>
      <c r="J1251" s="17">
        <f>IF($F1251="","",IFERROR(INDEX(rngEPpass,MATCH($F1251,rngEPcode,0)),cfgPassingScore))</f>
        <v/>
      </c>
      <c r="K1251" s="16" t="n"/>
      <c r="L1251" s="16" t="n"/>
      <c r="M1251" s="17">
        <f>IF($C1251="","",IF($L1251="","",IF(NOT(ISNUMBER($L1251)),$L1251,IF(N($K1251)&gt;2,"",IF($K1251=1,IF(COUNTIFS(nrES_PID,$D1251,nrES_Code,$F1251,nrES_Att,2,nrES_Raw,"&gt;=0")&gt;0,"",$L1251),IF($L1251&gt;=$J1251,MAX($J1251,cfgRetakeRecordedCap),IF(COUNTIFS(nrES_PID,$D1251,nrES_Code,$F1251,nrES_Att,1)=0,$L1251,SUMIFS(nrES_Raw,nrES_PID,$D1251,nrES_Code,$F1251,nrES_Att,1))))))))</f>
        <v/>
      </c>
      <c r="N1251" s="17">
        <f>IF($C1251="","",IF($L1251="","",IF(NOT(ISNUMBER($L1251)),"(not a score)",IF($L1251&gt;=$J1251,"Yes","No"))))</f>
        <v/>
      </c>
      <c r="O1251" s="17">
        <f>IF($C1251="","",IF($M1251="","",IF(NOT(ISNUMBER($M1251)),"(not a score)",IF($M1251&gt;=$J1251,"Yes","No"))))</f>
        <v/>
      </c>
      <c r="P1251" s="17">
        <f>IF($C1251="","",IF($K1251="","",IF(N($K1251)&gt;2,"No",IF(COUNTIFS(nrES_PID,$D1251,nrES_Code,$F1251,nrES_Att,"&gt;"&amp;$K1251,nrES_Att,"&lt;=2",nrES_Raw,"&gt;=0")=0,"Yes","No"))))</f>
        <v/>
      </c>
      <c r="Q1251" s="17">
        <f>IF($C1251="","",IF($L1251="","",IF(AND($K1251=1,ISNUMBER($L1251),$L1251&lt;$J1251,COUNTIFS(nrES_PID,$D1251,nrES_Code,$F1251,nrES_Att,2,nrES_Raw,"&gt;=0")=0),"Yes","No")))</f>
        <v/>
      </c>
      <c r="R1251" s="17">
        <f>IF($C1251="","",IF($L1251="","",IF(AND(N($K1251)&gt;=2,ISNUMBER($L1251),$L1251&lt;$J1251),"Yes","No")))</f>
        <v/>
      </c>
      <c r="S1251" s="18" t="n"/>
      <c r="T1251" s="19">
        <f>IF(OR($C1251="",$L1251="",$K1251&lt;&gt;1,NOT(ISNUMBER($L1251)),$L1251&gt;=$J1251),"",IF($S1251="","(enter date)",_xlfn.LET(_xlpm.dn,_xlfn.XLOOKUP($S1251,nrCDdate,nrCDnum,"",1),IF(_xlpm.dn="","(after last class day)",_xlfn.LET(_xlpm.dd,_xlfn.XLOOKUP(_xlpm.dn+cfgRetestClassDays,nrCDnum,nrCDdate,""),_xlpm.ok,_xlfn.XLOOKUP(_xlpm.dn+cfgRetestClassDays,nrCDnum,nrCDinsession,"No"),IF(OR(_xlpm.dd="",_xlpm.ok&lt;&gt;"Yes"),"(after last class day)",_xlpm.dd))))))</f>
        <v/>
      </c>
      <c r="U1251" s="17">
        <f>IF($C1251="","",IF(AND($Y1251="Excused",$L1251="",N($K1251)&lt;=1),"EXCUSED - 1st attempt pending",IF(OR($L1251="",$K1251&lt;&gt;1,NOT(ISNUMBER($L1251)),$L1251&gt;=$J1251),"",IF(COUNTIFS(nrES_PID,$D1251,nrES_Code,$F1251,nrES_Att,2,nrES_Raw,"&gt;=0")&gt;0,IF(IFERROR(_xlfn.MINIFS(nrES_Date,nrES_PID,$D1251,nrES_Code,$F1251,nrES_Att,2,nrES_Raw,"&gt;=0",nrES_Date,"&gt;0"),0)=0,"RETEST UNDATED",IF(NOT(ISNUMBER($T1251)),"RETEST DATE UNCHECKED",IF(_xlfn.MINIFS(nrES_Date,nrES_PID,$D1251,nrES_Code,$F1251,nrES_Att,2,nrES_Raw,"&gt;=0",nrES_Date,"&gt;0")&gt;$T1251,"LATE RETEST "&amp;TEXT(_xlfn.MINIFS(nrES_Date,nrES_PID,$D1251,nrES_Code,$F1251,nrES_Att,2,nrES_Raw,"&gt;=0",nrES_Date,"&gt;0"),"mm/dd")&amp;" (due "&amp;TEXT($T1251,"mm/dd")&amp;")","Retested"))),IF(NOT(ISNUMBER($T1251)),"CHECK DATE",IF(TODAY()&gt;$T1251,"OVERDUE","Due "&amp;TEXT($T1251,"mm/dd")))))))</f>
        <v/>
      </c>
      <c r="V1251" s="16" t="n"/>
      <c r="W1251" s="16" t="n"/>
      <c r="X1251" s="17">
        <f>IF($C1251="","",IF(AND($L1251&lt;&gt;"",NOT(ISNUMBER($L1251))),"RAW SCORE NOT A NUMBER",IF(AND(ISNUMBER($L1251),OR($L1251&lt;0,$L1251&gt;100)),"RAW SCORE OUT OF RANGE",IF(AND($Y1251="Unexcused",OR($L1251="",NOT(ISNUMBER($L1251)),$L1251&lt;&gt;0)),"UNEXCUSED ABSENCE MUST RECORD 0",IF(COUNTIF(nrES_RecID,$B1251)&gt;1,"DUPLICATE RECORD",IF(N($K1251)&gt;2,"ATTEMPT 3+ NOT ALLOWED - policy 300.5 permits one retest per exam; this row records nothing",IF(AND($K1251=2,COUNTIFS(nrES_PID,$D1251,nrES_Code,$F1251,nrES_Att,1)=0),"ATTEMPT 2 WITHOUT ATTEMPT 1",IF(AND($K1251=2,$L1251=""),"RETEST ROW HAS NO SCORE",IF(AND($H1251="Final",$L1251&lt;&gt;"",IFERROR(INDEX(nrCKfinalExamElig,MATCH($D1251,rngCadetPIDs,0)),"")="No"),"FINAL EXAM AFTER FAILED FINAL PT (500.1.H)",IF(AND($K1251=2,ISNUMBER($L1251),COUNTIFS(nrES_PID,$D1251,nrES_Code,$F1251,nrES_Att,1)&gt;0,SUMIFS(nrES_Raw,nrES_PID,$D1251,nrES_Code,$F1251,nrES_Att,1)&gt;=$J1251),"RETEST AFTER A PASSING FIRST ATTEMPT","OK"))))))))))</f>
        <v/>
      </c>
      <c r="Y1251" s="16" t="n"/>
    </row>
    <row r="1252">
      <c r="B1252" s="17">
        <f>IF($C1252="","",$D1252&amp;"-"&amp;$F1252&amp;"-"&amp;$K1252)</f>
        <v/>
      </c>
      <c r="C1252" s="16" t="n"/>
      <c r="D1252" s="17">
        <f>IF($C1252="","",IFERROR(INDEX(rngCadetPIDs,MATCH($C1252,rngCadetNames,0)),"?"))</f>
        <v/>
      </c>
      <c r="E1252" s="17">
        <f>IF($D1252="","",IFERROR(INDEX(nrCadetAgency,MATCH($D1252,rngCadetPIDs,0)),""))</f>
        <v/>
      </c>
      <c r="F1252" s="16" t="n"/>
      <c r="G1252" s="17">
        <f>IF($F1252="","",IFERROR(INDEX(rngEPname,MATCH($F1252,rngEPcode,0)),"?"))</f>
        <v/>
      </c>
      <c r="H1252" s="17">
        <f>IF($F1252="","",IFERROR(INDEX(rngEPtype,MATCH($F1252,rngEPcode,0)),"?"))</f>
        <v/>
      </c>
      <c r="I1252" s="17">
        <f>IF($F1252="","",IFERROR(INDEX(rngEPseq,MATCH($F1252,rngEPcode,0)),""))</f>
        <v/>
      </c>
      <c r="J1252" s="17">
        <f>IF($F1252="","",IFERROR(INDEX(rngEPpass,MATCH($F1252,rngEPcode,0)),cfgPassingScore))</f>
        <v/>
      </c>
      <c r="K1252" s="16" t="n"/>
      <c r="L1252" s="16" t="n"/>
      <c r="M1252" s="17">
        <f>IF($C1252="","",IF($L1252="","",IF(NOT(ISNUMBER($L1252)),$L1252,IF(N($K1252)&gt;2,"",IF($K1252=1,IF(COUNTIFS(nrES_PID,$D1252,nrES_Code,$F1252,nrES_Att,2,nrES_Raw,"&gt;=0")&gt;0,"",$L1252),IF($L1252&gt;=$J1252,MAX($J1252,cfgRetakeRecordedCap),IF(COUNTIFS(nrES_PID,$D1252,nrES_Code,$F1252,nrES_Att,1)=0,$L1252,SUMIFS(nrES_Raw,nrES_PID,$D1252,nrES_Code,$F1252,nrES_Att,1))))))))</f>
        <v/>
      </c>
      <c r="N1252" s="17">
        <f>IF($C1252="","",IF($L1252="","",IF(NOT(ISNUMBER($L1252)),"(not a score)",IF($L1252&gt;=$J1252,"Yes","No"))))</f>
        <v/>
      </c>
      <c r="O1252" s="17">
        <f>IF($C1252="","",IF($M1252="","",IF(NOT(ISNUMBER($M1252)),"(not a score)",IF($M1252&gt;=$J1252,"Yes","No"))))</f>
        <v/>
      </c>
      <c r="P1252" s="17">
        <f>IF($C1252="","",IF($K1252="","",IF(N($K1252)&gt;2,"No",IF(COUNTIFS(nrES_PID,$D1252,nrES_Code,$F1252,nrES_Att,"&gt;"&amp;$K1252,nrES_Att,"&lt;=2",nrES_Raw,"&gt;=0")=0,"Yes","No"))))</f>
        <v/>
      </c>
      <c r="Q1252" s="17">
        <f>IF($C1252="","",IF($L1252="","",IF(AND($K1252=1,ISNUMBER($L1252),$L1252&lt;$J1252,COUNTIFS(nrES_PID,$D1252,nrES_Code,$F1252,nrES_Att,2,nrES_Raw,"&gt;=0")=0),"Yes","No")))</f>
        <v/>
      </c>
      <c r="R1252" s="17">
        <f>IF($C1252="","",IF($L1252="","",IF(AND(N($K1252)&gt;=2,ISNUMBER($L1252),$L1252&lt;$J1252),"Yes","No")))</f>
        <v/>
      </c>
      <c r="S1252" s="18" t="n"/>
      <c r="T1252" s="19">
        <f>IF(OR($C1252="",$L1252="",$K1252&lt;&gt;1,NOT(ISNUMBER($L1252)),$L1252&gt;=$J1252),"",IF($S1252="","(enter date)",_xlfn.LET(_xlpm.dn,_xlfn.XLOOKUP($S1252,nrCDdate,nrCDnum,"",1),IF(_xlpm.dn="","(after last class day)",_xlfn.LET(_xlpm.dd,_xlfn.XLOOKUP(_xlpm.dn+cfgRetestClassDays,nrCDnum,nrCDdate,""),_xlpm.ok,_xlfn.XLOOKUP(_xlpm.dn+cfgRetestClassDays,nrCDnum,nrCDinsession,"No"),IF(OR(_xlpm.dd="",_xlpm.ok&lt;&gt;"Yes"),"(after last class day)",_xlpm.dd))))))</f>
        <v/>
      </c>
      <c r="U1252" s="17">
        <f>IF($C1252="","",IF(AND($Y1252="Excused",$L1252="",N($K1252)&lt;=1),"EXCUSED - 1st attempt pending",IF(OR($L1252="",$K1252&lt;&gt;1,NOT(ISNUMBER($L1252)),$L1252&gt;=$J1252),"",IF(COUNTIFS(nrES_PID,$D1252,nrES_Code,$F1252,nrES_Att,2,nrES_Raw,"&gt;=0")&gt;0,IF(IFERROR(_xlfn.MINIFS(nrES_Date,nrES_PID,$D1252,nrES_Code,$F1252,nrES_Att,2,nrES_Raw,"&gt;=0",nrES_Date,"&gt;0"),0)=0,"RETEST UNDATED",IF(NOT(ISNUMBER($T1252)),"RETEST DATE UNCHECKED",IF(_xlfn.MINIFS(nrES_Date,nrES_PID,$D1252,nrES_Code,$F1252,nrES_Att,2,nrES_Raw,"&gt;=0",nrES_Date,"&gt;0")&gt;$T1252,"LATE RETEST "&amp;TEXT(_xlfn.MINIFS(nrES_Date,nrES_PID,$D1252,nrES_Code,$F1252,nrES_Att,2,nrES_Raw,"&gt;=0",nrES_Date,"&gt;0"),"mm/dd")&amp;" (due "&amp;TEXT($T1252,"mm/dd")&amp;")","Retested"))),IF(NOT(ISNUMBER($T1252)),"CHECK DATE",IF(TODAY()&gt;$T1252,"OVERDUE","Due "&amp;TEXT($T1252,"mm/dd")))))))</f>
        <v/>
      </c>
      <c r="V1252" s="16" t="n"/>
      <c r="W1252" s="16" t="n"/>
      <c r="X1252" s="17">
        <f>IF($C1252="","",IF(AND($L1252&lt;&gt;"",NOT(ISNUMBER($L1252))),"RAW SCORE NOT A NUMBER",IF(AND(ISNUMBER($L1252),OR($L1252&lt;0,$L1252&gt;100)),"RAW SCORE OUT OF RANGE",IF(AND($Y1252="Unexcused",OR($L1252="",NOT(ISNUMBER($L1252)),$L1252&lt;&gt;0)),"UNEXCUSED ABSENCE MUST RECORD 0",IF(COUNTIF(nrES_RecID,$B1252)&gt;1,"DUPLICATE RECORD",IF(N($K1252)&gt;2,"ATTEMPT 3+ NOT ALLOWED - policy 300.5 permits one retest per exam; this row records nothing",IF(AND($K1252=2,COUNTIFS(nrES_PID,$D1252,nrES_Code,$F1252,nrES_Att,1)=0),"ATTEMPT 2 WITHOUT ATTEMPT 1",IF(AND($K1252=2,$L1252=""),"RETEST ROW HAS NO SCORE",IF(AND($H1252="Final",$L1252&lt;&gt;"",IFERROR(INDEX(nrCKfinalExamElig,MATCH($D1252,rngCadetPIDs,0)),"")="No"),"FINAL EXAM AFTER FAILED FINAL PT (500.1.H)",IF(AND($K1252=2,ISNUMBER($L1252),COUNTIFS(nrES_PID,$D1252,nrES_Code,$F1252,nrES_Att,1)&gt;0,SUMIFS(nrES_Raw,nrES_PID,$D1252,nrES_Code,$F1252,nrES_Att,1)&gt;=$J1252),"RETEST AFTER A PASSING FIRST ATTEMPT","OK"))))))))))</f>
        <v/>
      </c>
      <c r="Y1252" s="16" t="n"/>
    </row>
    <row r="1253">
      <c r="B1253" s="17">
        <f>IF($C1253="","",$D1253&amp;"-"&amp;$F1253&amp;"-"&amp;$K1253)</f>
        <v/>
      </c>
      <c r="C1253" s="16" t="n"/>
      <c r="D1253" s="17">
        <f>IF($C1253="","",IFERROR(INDEX(rngCadetPIDs,MATCH($C1253,rngCadetNames,0)),"?"))</f>
        <v/>
      </c>
      <c r="E1253" s="17">
        <f>IF($D1253="","",IFERROR(INDEX(nrCadetAgency,MATCH($D1253,rngCadetPIDs,0)),""))</f>
        <v/>
      </c>
      <c r="F1253" s="16" t="n"/>
      <c r="G1253" s="17">
        <f>IF($F1253="","",IFERROR(INDEX(rngEPname,MATCH($F1253,rngEPcode,0)),"?"))</f>
        <v/>
      </c>
      <c r="H1253" s="17">
        <f>IF($F1253="","",IFERROR(INDEX(rngEPtype,MATCH($F1253,rngEPcode,0)),"?"))</f>
        <v/>
      </c>
      <c r="I1253" s="17">
        <f>IF($F1253="","",IFERROR(INDEX(rngEPseq,MATCH($F1253,rngEPcode,0)),""))</f>
        <v/>
      </c>
      <c r="J1253" s="17">
        <f>IF($F1253="","",IFERROR(INDEX(rngEPpass,MATCH($F1253,rngEPcode,0)),cfgPassingScore))</f>
        <v/>
      </c>
      <c r="K1253" s="16" t="n"/>
      <c r="L1253" s="16" t="n"/>
      <c r="M1253" s="17">
        <f>IF($C1253="","",IF($L1253="","",IF(NOT(ISNUMBER($L1253)),$L1253,IF(N($K1253)&gt;2,"",IF($K1253=1,IF(COUNTIFS(nrES_PID,$D1253,nrES_Code,$F1253,nrES_Att,2,nrES_Raw,"&gt;=0")&gt;0,"",$L1253),IF($L1253&gt;=$J1253,MAX($J1253,cfgRetakeRecordedCap),IF(COUNTIFS(nrES_PID,$D1253,nrES_Code,$F1253,nrES_Att,1)=0,$L1253,SUMIFS(nrES_Raw,nrES_PID,$D1253,nrES_Code,$F1253,nrES_Att,1))))))))</f>
        <v/>
      </c>
      <c r="N1253" s="17">
        <f>IF($C1253="","",IF($L1253="","",IF(NOT(ISNUMBER($L1253)),"(not a score)",IF($L1253&gt;=$J1253,"Yes","No"))))</f>
        <v/>
      </c>
      <c r="O1253" s="17">
        <f>IF($C1253="","",IF($M1253="","",IF(NOT(ISNUMBER($M1253)),"(not a score)",IF($M1253&gt;=$J1253,"Yes","No"))))</f>
        <v/>
      </c>
      <c r="P1253" s="17">
        <f>IF($C1253="","",IF($K1253="","",IF(N($K1253)&gt;2,"No",IF(COUNTIFS(nrES_PID,$D1253,nrES_Code,$F1253,nrES_Att,"&gt;"&amp;$K1253,nrES_Att,"&lt;=2",nrES_Raw,"&gt;=0")=0,"Yes","No"))))</f>
        <v/>
      </c>
      <c r="Q1253" s="17">
        <f>IF($C1253="","",IF($L1253="","",IF(AND($K1253=1,ISNUMBER($L1253),$L1253&lt;$J1253,COUNTIFS(nrES_PID,$D1253,nrES_Code,$F1253,nrES_Att,2,nrES_Raw,"&gt;=0")=0),"Yes","No")))</f>
        <v/>
      </c>
      <c r="R1253" s="17">
        <f>IF($C1253="","",IF($L1253="","",IF(AND(N($K1253)&gt;=2,ISNUMBER($L1253),$L1253&lt;$J1253),"Yes","No")))</f>
        <v/>
      </c>
      <c r="S1253" s="18" t="n"/>
      <c r="T1253" s="19">
        <f>IF(OR($C1253="",$L1253="",$K1253&lt;&gt;1,NOT(ISNUMBER($L1253)),$L1253&gt;=$J1253),"",IF($S1253="","(enter date)",_xlfn.LET(_xlpm.dn,_xlfn.XLOOKUP($S1253,nrCDdate,nrCDnum,"",1),IF(_xlpm.dn="","(after last class day)",_xlfn.LET(_xlpm.dd,_xlfn.XLOOKUP(_xlpm.dn+cfgRetestClassDays,nrCDnum,nrCDdate,""),_xlpm.ok,_xlfn.XLOOKUP(_xlpm.dn+cfgRetestClassDays,nrCDnum,nrCDinsession,"No"),IF(OR(_xlpm.dd="",_xlpm.ok&lt;&gt;"Yes"),"(after last class day)",_xlpm.dd))))))</f>
        <v/>
      </c>
      <c r="U1253" s="17">
        <f>IF($C1253="","",IF(AND($Y1253="Excused",$L1253="",N($K1253)&lt;=1),"EXCUSED - 1st attempt pending",IF(OR($L1253="",$K1253&lt;&gt;1,NOT(ISNUMBER($L1253)),$L1253&gt;=$J1253),"",IF(COUNTIFS(nrES_PID,$D1253,nrES_Code,$F1253,nrES_Att,2,nrES_Raw,"&gt;=0")&gt;0,IF(IFERROR(_xlfn.MINIFS(nrES_Date,nrES_PID,$D1253,nrES_Code,$F1253,nrES_Att,2,nrES_Raw,"&gt;=0",nrES_Date,"&gt;0"),0)=0,"RETEST UNDATED",IF(NOT(ISNUMBER($T1253)),"RETEST DATE UNCHECKED",IF(_xlfn.MINIFS(nrES_Date,nrES_PID,$D1253,nrES_Code,$F1253,nrES_Att,2,nrES_Raw,"&gt;=0",nrES_Date,"&gt;0")&gt;$T1253,"LATE RETEST "&amp;TEXT(_xlfn.MINIFS(nrES_Date,nrES_PID,$D1253,nrES_Code,$F1253,nrES_Att,2,nrES_Raw,"&gt;=0",nrES_Date,"&gt;0"),"mm/dd")&amp;" (due "&amp;TEXT($T1253,"mm/dd")&amp;")","Retested"))),IF(NOT(ISNUMBER($T1253)),"CHECK DATE",IF(TODAY()&gt;$T1253,"OVERDUE","Due "&amp;TEXT($T1253,"mm/dd")))))))</f>
        <v/>
      </c>
      <c r="V1253" s="16" t="n"/>
      <c r="W1253" s="16" t="n"/>
      <c r="X1253" s="17">
        <f>IF($C1253="","",IF(AND($L1253&lt;&gt;"",NOT(ISNUMBER($L1253))),"RAW SCORE NOT A NUMBER",IF(AND(ISNUMBER($L1253),OR($L1253&lt;0,$L1253&gt;100)),"RAW SCORE OUT OF RANGE",IF(AND($Y1253="Unexcused",OR($L1253="",NOT(ISNUMBER($L1253)),$L1253&lt;&gt;0)),"UNEXCUSED ABSENCE MUST RECORD 0",IF(COUNTIF(nrES_RecID,$B1253)&gt;1,"DUPLICATE RECORD",IF(N($K1253)&gt;2,"ATTEMPT 3+ NOT ALLOWED - policy 300.5 permits one retest per exam; this row records nothing",IF(AND($K1253=2,COUNTIFS(nrES_PID,$D1253,nrES_Code,$F1253,nrES_Att,1)=0),"ATTEMPT 2 WITHOUT ATTEMPT 1",IF(AND($K1253=2,$L1253=""),"RETEST ROW HAS NO SCORE",IF(AND($H1253="Final",$L1253&lt;&gt;"",IFERROR(INDEX(nrCKfinalExamElig,MATCH($D1253,rngCadetPIDs,0)),"")="No"),"FINAL EXAM AFTER FAILED FINAL PT (500.1.H)",IF(AND($K1253=2,ISNUMBER($L1253),COUNTIFS(nrES_PID,$D1253,nrES_Code,$F1253,nrES_Att,1)&gt;0,SUMIFS(nrES_Raw,nrES_PID,$D1253,nrES_Code,$F1253,nrES_Att,1)&gt;=$J1253),"RETEST AFTER A PASSING FIRST ATTEMPT","OK"))))))))))</f>
        <v/>
      </c>
      <c r="Y1253" s="16" t="n"/>
    </row>
    <row r="1254">
      <c r="B1254" s="17">
        <f>IF($C1254="","",$D1254&amp;"-"&amp;$F1254&amp;"-"&amp;$K1254)</f>
        <v/>
      </c>
      <c r="C1254" s="16" t="n"/>
      <c r="D1254" s="17">
        <f>IF($C1254="","",IFERROR(INDEX(rngCadetPIDs,MATCH($C1254,rngCadetNames,0)),"?"))</f>
        <v/>
      </c>
      <c r="E1254" s="17">
        <f>IF($D1254="","",IFERROR(INDEX(nrCadetAgency,MATCH($D1254,rngCadetPIDs,0)),""))</f>
        <v/>
      </c>
      <c r="F1254" s="16" t="n"/>
      <c r="G1254" s="17">
        <f>IF($F1254="","",IFERROR(INDEX(rngEPname,MATCH($F1254,rngEPcode,0)),"?"))</f>
        <v/>
      </c>
      <c r="H1254" s="17">
        <f>IF($F1254="","",IFERROR(INDEX(rngEPtype,MATCH($F1254,rngEPcode,0)),"?"))</f>
        <v/>
      </c>
      <c r="I1254" s="17">
        <f>IF($F1254="","",IFERROR(INDEX(rngEPseq,MATCH($F1254,rngEPcode,0)),""))</f>
        <v/>
      </c>
      <c r="J1254" s="17">
        <f>IF($F1254="","",IFERROR(INDEX(rngEPpass,MATCH($F1254,rngEPcode,0)),cfgPassingScore))</f>
        <v/>
      </c>
      <c r="K1254" s="16" t="n"/>
      <c r="L1254" s="16" t="n"/>
      <c r="M1254" s="17">
        <f>IF($C1254="","",IF($L1254="","",IF(NOT(ISNUMBER($L1254)),$L1254,IF(N($K1254)&gt;2,"",IF($K1254=1,IF(COUNTIFS(nrES_PID,$D1254,nrES_Code,$F1254,nrES_Att,2,nrES_Raw,"&gt;=0")&gt;0,"",$L1254),IF($L1254&gt;=$J1254,MAX($J1254,cfgRetakeRecordedCap),IF(COUNTIFS(nrES_PID,$D1254,nrES_Code,$F1254,nrES_Att,1)=0,$L1254,SUMIFS(nrES_Raw,nrES_PID,$D1254,nrES_Code,$F1254,nrES_Att,1))))))))</f>
        <v/>
      </c>
      <c r="N1254" s="17">
        <f>IF($C1254="","",IF($L1254="","",IF(NOT(ISNUMBER($L1254)),"(not a score)",IF($L1254&gt;=$J1254,"Yes","No"))))</f>
        <v/>
      </c>
      <c r="O1254" s="17">
        <f>IF($C1254="","",IF($M1254="","",IF(NOT(ISNUMBER($M1254)),"(not a score)",IF($M1254&gt;=$J1254,"Yes","No"))))</f>
        <v/>
      </c>
      <c r="P1254" s="17">
        <f>IF($C1254="","",IF($K1254="","",IF(N($K1254)&gt;2,"No",IF(COUNTIFS(nrES_PID,$D1254,nrES_Code,$F1254,nrES_Att,"&gt;"&amp;$K1254,nrES_Att,"&lt;=2",nrES_Raw,"&gt;=0")=0,"Yes","No"))))</f>
        <v/>
      </c>
      <c r="Q1254" s="17">
        <f>IF($C1254="","",IF($L1254="","",IF(AND($K1254=1,ISNUMBER($L1254),$L1254&lt;$J1254,COUNTIFS(nrES_PID,$D1254,nrES_Code,$F1254,nrES_Att,2,nrES_Raw,"&gt;=0")=0),"Yes","No")))</f>
        <v/>
      </c>
      <c r="R1254" s="17">
        <f>IF($C1254="","",IF($L1254="","",IF(AND(N($K1254)&gt;=2,ISNUMBER($L1254),$L1254&lt;$J1254),"Yes","No")))</f>
        <v/>
      </c>
      <c r="S1254" s="18" t="n"/>
      <c r="T1254" s="19">
        <f>IF(OR($C1254="",$L1254="",$K1254&lt;&gt;1,NOT(ISNUMBER($L1254)),$L1254&gt;=$J1254),"",IF($S1254="","(enter date)",_xlfn.LET(_xlpm.dn,_xlfn.XLOOKUP($S1254,nrCDdate,nrCDnum,"",1),IF(_xlpm.dn="","(after last class day)",_xlfn.LET(_xlpm.dd,_xlfn.XLOOKUP(_xlpm.dn+cfgRetestClassDays,nrCDnum,nrCDdate,""),_xlpm.ok,_xlfn.XLOOKUP(_xlpm.dn+cfgRetestClassDays,nrCDnum,nrCDinsession,"No"),IF(OR(_xlpm.dd="",_xlpm.ok&lt;&gt;"Yes"),"(after last class day)",_xlpm.dd))))))</f>
        <v/>
      </c>
      <c r="U1254" s="17">
        <f>IF($C1254="","",IF(AND($Y1254="Excused",$L1254="",N($K1254)&lt;=1),"EXCUSED - 1st attempt pending",IF(OR($L1254="",$K1254&lt;&gt;1,NOT(ISNUMBER($L1254)),$L1254&gt;=$J1254),"",IF(COUNTIFS(nrES_PID,$D1254,nrES_Code,$F1254,nrES_Att,2,nrES_Raw,"&gt;=0")&gt;0,IF(IFERROR(_xlfn.MINIFS(nrES_Date,nrES_PID,$D1254,nrES_Code,$F1254,nrES_Att,2,nrES_Raw,"&gt;=0",nrES_Date,"&gt;0"),0)=0,"RETEST UNDATED",IF(NOT(ISNUMBER($T1254)),"RETEST DATE UNCHECKED",IF(_xlfn.MINIFS(nrES_Date,nrES_PID,$D1254,nrES_Code,$F1254,nrES_Att,2,nrES_Raw,"&gt;=0",nrES_Date,"&gt;0")&gt;$T1254,"LATE RETEST "&amp;TEXT(_xlfn.MINIFS(nrES_Date,nrES_PID,$D1254,nrES_Code,$F1254,nrES_Att,2,nrES_Raw,"&gt;=0",nrES_Date,"&gt;0"),"mm/dd")&amp;" (due "&amp;TEXT($T1254,"mm/dd")&amp;")","Retested"))),IF(NOT(ISNUMBER($T1254)),"CHECK DATE",IF(TODAY()&gt;$T1254,"OVERDUE","Due "&amp;TEXT($T1254,"mm/dd")))))))</f>
        <v/>
      </c>
      <c r="V1254" s="16" t="n"/>
      <c r="W1254" s="16" t="n"/>
      <c r="X1254" s="17">
        <f>IF($C1254="","",IF(AND($L1254&lt;&gt;"",NOT(ISNUMBER($L1254))),"RAW SCORE NOT A NUMBER",IF(AND(ISNUMBER($L1254),OR($L1254&lt;0,$L1254&gt;100)),"RAW SCORE OUT OF RANGE",IF(AND($Y1254="Unexcused",OR($L1254="",NOT(ISNUMBER($L1254)),$L1254&lt;&gt;0)),"UNEXCUSED ABSENCE MUST RECORD 0",IF(COUNTIF(nrES_RecID,$B1254)&gt;1,"DUPLICATE RECORD",IF(N($K1254)&gt;2,"ATTEMPT 3+ NOT ALLOWED - policy 300.5 permits one retest per exam; this row records nothing",IF(AND($K1254=2,COUNTIFS(nrES_PID,$D1254,nrES_Code,$F1254,nrES_Att,1)=0),"ATTEMPT 2 WITHOUT ATTEMPT 1",IF(AND($K1254=2,$L1254=""),"RETEST ROW HAS NO SCORE",IF(AND($H1254="Final",$L1254&lt;&gt;"",IFERROR(INDEX(nrCKfinalExamElig,MATCH($D1254,rngCadetPIDs,0)),"")="No"),"FINAL EXAM AFTER FAILED FINAL PT (500.1.H)",IF(AND($K1254=2,ISNUMBER($L1254),COUNTIFS(nrES_PID,$D1254,nrES_Code,$F1254,nrES_Att,1)&gt;0,SUMIFS(nrES_Raw,nrES_PID,$D1254,nrES_Code,$F1254,nrES_Att,1)&gt;=$J1254),"RETEST AFTER A PASSING FIRST ATTEMPT","OK"))))))))))</f>
        <v/>
      </c>
      <c r="Y1254" s="16" t="n"/>
    </row>
    <row r="1255">
      <c r="B1255" s="17">
        <f>IF($C1255="","",$D1255&amp;"-"&amp;$F1255&amp;"-"&amp;$K1255)</f>
        <v/>
      </c>
      <c r="C1255" s="16" t="n"/>
      <c r="D1255" s="17">
        <f>IF($C1255="","",IFERROR(INDEX(rngCadetPIDs,MATCH($C1255,rngCadetNames,0)),"?"))</f>
        <v/>
      </c>
      <c r="E1255" s="17">
        <f>IF($D1255="","",IFERROR(INDEX(nrCadetAgency,MATCH($D1255,rngCadetPIDs,0)),""))</f>
        <v/>
      </c>
      <c r="F1255" s="16" t="n"/>
      <c r="G1255" s="17">
        <f>IF($F1255="","",IFERROR(INDEX(rngEPname,MATCH($F1255,rngEPcode,0)),"?"))</f>
        <v/>
      </c>
      <c r="H1255" s="17">
        <f>IF($F1255="","",IFERROR(INDEX(rngEPtype,MATCH($F1255,rngEPcode,0)),"?"))</f>
        <v/>
      </c>
      <c r="I1255" s="17">
        <f>IF($F1255="","",IFERROR(INDEX(rngEPseq,MATCH($F1255,rngEPcode,0)),""))</f>
        <v/>
      </c>
      <c r="J1255" s="17">
        <f>IF($F1255="","",IFERROR(INDEX(rngEPpass,MATCH($F1255,rngEPcode,0)),cfgPassingScore))</f>
        <v/>
      </c>
      <c r="K1255" s="16" t="n"/>
      <c r="L1255" s="16" t="n"/>
      <c r="M1255" s="17">
        <f>IF($C1255="","",IF($L1255="","",IF(NOT(ISNUMBER($L1255)),$L1255,IF(N($K1255)&gt;2,"",IF($K1255=1,IF(COUNTIFS(nrES_PID,$D1255,nrES_Code,$F1255,nrES_Att,2,nrES_Raw,"&gt;=0")&gt;0,"",$L1255),IF($L1255&gt;=$J1255,MAX($J1255,cfgRetakeRecordedCap),IF(COUNTIFS(nrES_PID,$D1255,nrES_Code,$F1255,nrES_Att,1)=0,$L1255,SUMIFS(nrES_Raw,nrES_PID,$D1255,nrES_Code,$F1255,nrES_Att,1))))))))</f>
        <v/>
      </c>
      <c r="N1255" s="17">
        <f>IF($C1255="","",IF($L1255="","",IF(NOT(ISNUMBER($L1255)),"(not a score)",IF($L1255&gt;=$J1255,"Yes","No"))))</f>
        <v/>
      </c>
      <c r="O1255" s="17">
        <f>IF($C1255="","",IF($M1255="","",IF(NOT(ISNUMBER($M1255)),"(not a score)",IF($M1255&gt;=$J1255,"Yes","No"))))</f>
        <v/>
      </c>
      <c r="P1255" s="17">
        <f>IF($C1255="","",IF($K1255="","",IF(N($K1255)&gt;2,"No",IF(COUNTIFS(nrES_PID,$D1255,nrES_Code,$F1255,nrES_Att,"&gt;"&amp;$K1255,nrES_Att,"&lt;=2",nrES_Raw,"&gt;=0")=0,"Yes","No"))))</f>
        <v/>
      </c>
      <c r="Q1255" s="17">
        <f>IF($C1255="","",IF($L1255="","",IF(AND($K1255=1,ISNUMBER($L1255),$L1255&lt;$J1255,COUNTIFS(nrES_PID,$D1255,nrES_Code,$F1255,nrES_Att,2,nrES_Raw,"&gt;=0")=0),"Yes","No")))</f>
        <v/>
      </c>
      <c r="R1255" s="17">
        <f>IF($C1255="","",IF($L1255="","",IF(AND(N($K1255)&gt;=2,ISNUMBER($L1255),$L1255&lt;$J1255),"Yes","No")))</f>
        <v/>
      </c>
      <c r="S1255" s="18" t="n"/>
      <c r="T1255" s="19">
        <f>IF(OR($C1255="",$L1255="",$K1255&lt;&gt;1,NOT(ISNUMBER($L1255)),$L1255&gt;=$J1255),"",IF($S1255="","(enter date)",_xlfn.LET(_xlpm.dn,_xlfn.XLOOKUP($S1255,nrCDdate,nrCDnum,"",1),IF(_xlpm.dn="","(after last class day)",_xlfn.LET(_xlpm.dd,_xlfn.XLOOKUP(_xlpm.dn+cfgRetestClassDays,nrCDnum,nrCDdate,""),_xlpm.ok,_xlfn.XLOOKUP(_xlpm.dn+cfgRetestClassDays,nrCDnum,nrCDinsession,"No"),IF(OR(_xlpm.dd="",_xlpm.ok&lt;&gt;"Yes"),"(after last class day)",_xlpm.dd))))))</f>
        <v/>
      </c>
      <c r="U1255" s="17">
        <f>IF($C1255="","",IF(AND($Y1255="Excused",$L1255="",N($K1255)&lt;=1),"EXCUSED - 1st attempt pending",IF(OR($L1255="",$K1255&lt;&gt;1,NOT(ISNUMBER($L1255)),$L1255&gt;=$J1255),"",IF(COUNTIFS(nrES_PID,$D1255,nrES_Code,$F1255,nrES_Att,2,nrES_Raw,"&gt;=0")&gt;0,IF(IFERROR(_xlfn.MINIFS(nrES_Date,nrES_PID,$D1255,nrES_Code,$F1255,nrES_Att,2,nrES_Raw,"&gt;=0",nrES_Date,"&gt;0"),0)=0,"RETEST UNDATED",IF(NOT(ISNUMBER($T1255)),"RETEST DATE UNCHECKED",IF(_xlfn.MINIFS(nrES_Date,nrES_PID,$D1255,nrES_Code,$F1255,nrES_Att,2,nrES_Raw,"&gt;=0",nrES_Date,"&gt;0")&gt;$T1255,"LATE RETEST "&amp;TEXT(_xlfn.MINIFS(nrES_Date,nrES_PID,$D1255,nrES_Code,$F1255,nrES_Att,2,nrES_Raw,"&gt;=0",nrES_Date,"&gt;0"),"mm/dd")&amp;" (due "&amp;TEXT($T1255,"mm/dd")&amp;")","Retested"))),IF(NOT(ISNUMBER($T1255)),"CHECK DATE",IF(TODAY()&gt;$T1255,"OVERDUE","Due "&amp;TEXT($T1255,"mm/dd")))))))</f>
        <v/>
      </c>
      <c r="V1255" s="16" t="n"/>
      <c r="W1255" s="16" t="n"/>
      <c r="X1255" s="17">
        <f>IF($C1255="","",IF(AND($L1255&lt;&gt;"",NOT(ISNUMBER($L1255))),"RAW SCORE NOT A NUMBER",IF(AND(ISNUMBER($L1255),OR($L1255&lt;0,$L1255&gt;100)),"RAW SCORE OUT OF RANGE",IF(AND($Y1255="Unexcused",OR($L1255="",NOT(ISNUMBER($L1255)),$L1255&lt;&gt;0)),"UNEXCUSED ABSENCE MUST RECORD 0",IF(COUNTIF(nrES_RecID,$B1255)&gt;1,"DUPLICATE RECORD",IF(N($K1255)&gt;2,"ATTEMPT 3+ NOT ALLOWED - policy 300.5 permits one retest per exam; this row records nothing",IF(AND($K1255=2,COUNTIFS(nrES_PID,$D1255,nrES_Code,$F1255,nrES_Att,1)=0),"ATTEMPT 2 WITHOUT ATTEMPT 1",IF(AND($K1255=2,$L1255=""),"RETEST ROW HAS NO SCORE",IF(AND($H1255="Final",$L1255&lt;&gt;"",IFERROR(INDEX(nrCKfinalExamElig,MATCH($D1255,rngCadetPIDs,0)),"")="No"),"FINAL EXAM AFTER FAILED FINAL PT (500.1.H)",IF(AND($K1255=2,ISNUMBER($L1255),COUNTIFS(nrES_PID,$D1255,nrES_Code,$F1255,nrES_Att,1)&gt;0,SUMIFS(nrES_Raw,nrES_PID,$D1255,nrES_Code,$F1255,nrES_Att,1)&gt;=$J1255),"RETEST AFTER A PASSING FIRST ATTEMPT","OK"))))))))))</f>
        <v/>
      </c>
      <c r="Y1255" s="16" t="n"/>
    </row>
    <row r="1256">
      <c r="B1256" s="17">
        <f>IF($C1256="","",$D1256&amp;"-"&amp;$F1256&amp;"-"&amp;$K1256)</f>
        <v/>
      </c>
      <c r="C1256" s="16" t="n"/>
      <c r="D1256" s="17">
        <f>IF($C1256="","",IFERROR(INDEX(rngCadetPIDs,MATCH($C1256,rngCadetNames,0)),"?"))</f>
        <v/>
      </c>
      <c r="E1256" s="17">
        <f>IF($D1256="","",IFERROR(INDEX(nrCadetAgency,MATCH($D1256,rngCadetPIDs,0)),""))</f>
        <v/>
      </c>
      <c r="F1256" s="16" t="n"/>
      <c r="G1256" s="17">
        <f>IF($F1256="","",IFERROR(INDEX(rngEPname,MATCH($F1256,rngEPcode,0)),"?"))</f>
        <v/>
      </c>
      <c r="H1256" s="17">
        <f>IF($F1256="","",IFERROR(INDEX(rngEPtype,MATCH($F1256,rngEPcode,0)),"?"))</f>
        <v/>
      </c>
      <c r="I1256" s="17">
        <f>IF($F1256="","",IFERROR(INDEX(rngEPseq,MATCH($F1256,rngEPcode,0)),""))</f>
        <v/>
      </c>
      <c r="J1256" s="17">
        <f>IF($F1256="","",IFERROR(INDEX(rngEPpass,MATCH($F1256,rngEPcode,0)),cfgPassingScore))</f>
        <v/>
      </c>
      <c r="K1256" s="16" t="n"/>
      <c r="L1256" s="16" t="n"/>
      <c r="M1256" s="17">
        <f>IF($C1256="","",IF($L1256="","",IF(NOT(ISNUMBER($L1256)),$L1256,IF(N($K1256)&gt;2,"",IF($K1256=1,IF(COUNTIFS(nrES_PID,$D1256,nrES_Code,$F1256,nrES_Att,2,nrES_Raw,"&gt;=0")&gt;0,"",$L1256),IF($L1256&gt;=$J1256,MAX($J1256,cfgRetakeRecordedCap),IF(COUNTIFS(nrES_PID,$D1256,nrES_Code,$F1256,nrES_Att,1)=0,$L1256,SUMIFS(nrES_Raw,nrES_PID,$D1256,nrES_Code,$F1256,nrES_Att,1))))))))</f>
        <v/>
      </c>
      <c r="N1256" s="17">
        <f>IF($C1256="","",IF($L1256="","",IF(NOT(ISNUMBER($L1256)),"(not a score)",IF($L1256&gt;=$J1256,"Yes","No"))))</f>
        <v/>
      </c>
      <c r="O1256" s="17">
        <f>IF($C1256="","",IF($M1256="","",IF(NOT(ISNUMBER($M1256)),"(not a score)",IF($M1256&gt;=$J1256,"Yes","No"))))</f>
        <v/>
      </c>
      <c r="P1256" s="17">
        <f>IF($C1256="","",IF($K1256="","",IF(N($K1256)&gt;2,"No",IF(COUNTIFS(nrES_PID,$D1256,nrES_Code,$F1256,nrES_Att,"&gt;"&amp;$K1256,nrES_Att,"&lt;=2",nrES_Raw,"&gt;=0")=0,"Yes","No"))))</f>
        <v/>
      </c>
      <c r="Q1256" s="17">
        <f>IF($C1256="","",IF($L1256="","",IF(AND($K1256=1,ISNUMBER($L1256),$L1256&lt;$J1256,COUNTIFS(nrES_PID,$D1256,nrES_Code,$F1256,nrES_Att,2,nrES_Raw,"&gt;=0")=0),"Yes","No")))</f>
        <v/>
      </c>
      <c r="R1256" s="17">
        <f>IF($C1256="","",IF($L1256="","",IF(AND(N($K1256)&gt;=2,ISNUMBER($L1256),$L1256&lt;$J1256),"Yes","No")))</f>
        <v/>
      </c>
      <c r="S1256" s="18" t="n"/>
      <c r="T1256" s="19">
        <f>IF(OR($C1256="",$L1256="",$K1256&lt;&gt;1,NOT(ISNUMBER($L1256)),$L1256&gt;=$J1256),"",IF($S1256="","(enter date)",_xlfn.LET(_xlpm.dn,_xlfn.XLOOKUP($S1256,nrCDdate,nrCDnum,"",1),IF(_xlpm.dn="","(after last class day)",_xlfn.LET(_xlpm.dd,_xlfn.XLOOKUP(_xlpm.dn+cfgRetestClassDays,nrCDnum,nrCDdate,""),_xlpm.ok,_xlfn.XLOOKUP(_xlpm.dn+cfgRetestClassDays,nrCDnum,nrCDinsession,"No"),IF(OR(_xlpm.dd="",_xlpm.ok&lt;&gt;"Yes"),"(after last class day)",_xlpm.dd))))))</f>
        <v/>
      </c>
      <c r="U1256" s="17">
        <f>IF($C1256="","",IF(AND($Y1256="Excused",$L1256="",N($K1256)&lt;=1),"EXCUSED - 1st attempt pending",IF(OR($L1256="",$K1256&lt;&gt;1,NOT(ISNUMBER($L1256)),$L1256&gt;=$J1256),"",IF(COUNTIFS(nrES_PID,$D1256,nrES_Code,$F1256,nrES_Att,2,nrES_Raw,"&gt;=0")&gt;0,IF(IFERROR(_xlfn.MINIFS(nrES_Date,nrES_PID,$D1256,nrES_Code,$F1256,nrES_Att,2,nrES_Raw,"&gt;=0",nrES_Date,"&gt;0"),0)=0,"RETEST UNDATED",IF(NOT(ISNUMBER($T1256)),"RETEST DATE UNCHECKED",IF(_xlfn.MINIFS(nrES_Date,nrES_PID,$D1256,nrES_Code,$F1256,nrES_Att,2,nrES_Raw,"&gt;=0",nrES_Date,"&gt;0")&gt;$T1256,"LATE RETEST "&amp;TEXT(_xlfn.MINIFS(nrES_Date,nrES_PID,$D1256,nrES_Code,$F1256,nrES_Att,2,nrES_Raw,"&gt;=0",nrES_Date,"&gt;0"),"mm/dd")&amp;" (due "&amp;TEXT($T1256,"mm/dd")&amp;")","Retested"))),IF(NOT(ISNUMBER($T1256)),"CHECK DATE",IF(TODAY()&gt;$T1256,"OVERDUE","Due "&amp;TEXT($T1256,"mm/dd")))))))</f>
        <v/>
      </c>
      <c r="V1256" s="16" t="n"/>
      <c r="W1256" s="16" t="n"/>
      <c r="X1256" s="17">
        <f>IF($C1256="","",IF(AND($L1256&lt;&gt;"",NOT(ISNUMBER($L1256))),"RAW SCORE NOT A NUMBER",IF(AND(ISNUMBER($L1256),OR($L1256&lt;0,$L1256&gt;100)),"RAW SCORE OUT OF RANGE",IF(AND($Y1256="Unexcused",OR($L1256="",NOT(ISNUMBER($L1256)),$L1256&lt;&gt;0)),"UNEXCUSED ABSENCE MUST RECORD 0",IF(COUNTIF(nrES_RecID,$B1256)&gt;1,"DUPLICATE RECORD",IF(N($K1256)&gt;2,"ATTEMPT 3+ NOT ALLOWED - policy 300.5 permits one retest per exam; this row records nothing",IF(AND($K1256=2,COUNTIFS(nrES_PID,$D1256,nrES_Code,$F1256,nrES_Att,1)=0),"ATTEMPT 2 WITHOUT ATTEMPT 1",IF(AND($K1256=2,$L1256=""),"RETEST ROW HAS NO SCORE",IF(AND($H1256="Final",$L1256&lt;&gt;"",IFERROR(INDEX(nrCKfinalExamElig,MATCH($D1256,rngCadetPIDs,0)),"")="No"),"FINAL EXAM AFTER FAILED FINAL PT (500.1.H)",IF(AND($K1256=2,ISNUMBER($L1256),COUNTIFS(nrES_PID,$D1256,nrES_Code,$F1256,nrES_Att,1)&gt;0,SUMIFS(nrES_Raw,nrES_PID,$D1256,nrES_Code,$F1256,nrES_Att,1)&gt;=$J1256),"RETEST AFTER A PASSING FIRST ATTEMPT","OK"))))))))))</f>
        <v/>
      </c>
      <c r="Y1256" s="16" t="n"/>
    </row>
    <row r="1257">
      <c r="B1257" s="17">
        <f>IF($C1257="","",$D1257&amp;"-"&amp;$F1257&amp;"-"&amp;$K1257)</f>
        <v/>
      </c>
      <c r="C1257" s="16" t="n"/>
      <c r="D1257" s="17">
        <f>IF($C1257="","",IFERROR(INDEX(rngCadetPIDs,MATCH($C1257,rngCadetNames,0)),"?"))</f>
        <v/>
      </c>
      <c r="E1257" s="17">
        <f>IF($D1257="","",IFERROR(INDEX(nrCadetAgency,MATCH($D1257,rngCadetPIDs,0)),""))</f>
        <v/>
      </c>
      <c r="F1257" s="16" t="n"/>
      <c r="G1257" s="17">
        <f>IF($F1257="","",IFERROR(INDEX(rngEPname,MATCH($F1257,rngEPcode,0)),"?"))</f>
        <v/>
      </c>
      <c r="H1257" s="17">
        <f>IF($F1257="","",IFERROR(INDEX(rngEPtype,MATCH($F1257,rngEPcode,0)),"?"))</f>
        <v/>
      </c>
      <c r="I1257" s="17">
        <f>IF($F1257="","",IFERROR(INDEX(rngEPseq,MATCH($F1257,rngEPcode,0)),""))</f>
        <v/>
      </c>
      <c r="J1257" s="17">
        <f>IF($F1257="","",IFERROR(INDEX(rngEPpass,MATCH($F1257,rngEPcode,0)),cfgPassingScore))</f>
        <v/>
      </c>
      <c r="K1257" s="16" t="n"/>
      <c r="L1257" s="16" t="n"/>
      <c r="M1257" s="17">
        <f>IF($C1257="","",IF($L1257="","",IF(NOT(ISNUMBER($L1257)),$L1257,IF(N($K1257)&gt;2,"",IF($K1257=1,IF(COUNTIFS(nrES_PID,$D1257,nrES_Code,$F1257,nrES_Att,2,nrES_Raw,"&gt;=0")&gt;0,"",$L1257),IF($L1257&gt;=$J1257,MAX($J1257,cfgRetakeRecordedCap),IF(COUNTIFS(nrES_PID,$D1257,nrES_Code,$F1257,nrES_Att,1)=0,$L1257,SUMIFS(nrES_Raw,nrES_PID,$D1257,nrES_Code,$F1257,nrES_Att,1))))))))</f>
        <v/>
      </c>
      <c r="N1257" s="17">
        <f>IF($C1257="","",IF($L1257="","",IF(NOT(ISNUMBER($L1257)),"(not a score)",IF($L1257&gt;=$J1257,"Yes","No"))))</f>
        <v/>
      </c>
      <c r="O1257" s="17">
        <f>IF($C1257="","",IF($M1257="","",IF(NOT(ISNUMBER($M1257)),"(not a score)",IF($M1257&gt;=$J1257,"Yes","No"))))</f>
        <v/>
      </c>
      <c r="P1257" s="17">
        <f>IF($C1257="","",IF($K1257="","",IF(N($K1257)&gt;2,"No",IF(COUNTIFS(nrES_PID,$D1257,nrES_Code,$F1257,nrES_Att,"&gt;"&amp;$K1257,nrES_Att,"&lt;=2",nrES_Raw,"&gt;=0")=0,"Yes","No"))))</f>
        <v/>
      </c>
      <c r="Q1257" s="17">
        <f>IF($C1257="","",IF($L1257="","",IF(AND($K1257=1,ISNUMBER($L1257),$L1257&lt;$J1257,COUNTIFS(nrES_PID,$D1257,nrES_Code,$F1257,nrES_Att,2,nrES_Raw,"&gt;=0")=0),"Yes","No")))</f>
        <v/>
      </c>
      <c r="R1257" s="17">
        <f>IF($C1257="","",IF($L1257="","",IF(AND(N($K1257)&gt;=2,ISNUMBER($L1257),$L1257&lt;$J1257),"Yes","No")))</f>
        <v/>
      </c>
      <c r="S1257" s="18" t="n"/>
      <c r="T1257" s="19">
        <f>IF(OR($C1257="",$L1257="",$K1257&lt;&gt;1,NOT(ISNUMBER($L1257)),$L1257&gt;=$J1257),"",IF($S1257="","(enter date)",_xlfn.LET(_xlpm.dn,_xlfn.XLOOKUP($S1257,nrCDdate,nrCDnum,"",1),IF(_xlpm.dn="","(after last class day)",_xlfn.LET(_xlpm.dd,_xlfn.XLOOKUP(_xlpm.dn+cfgRetestClassDays,nrCDnum,nrCDdate,""),_xlpm.ok,_xlfn.XLOOKUP(_xlpm.dn+cfgRetestClassDays,nrCDnum,nrCDinsession,"No"),IF(OR(_xlpm.dd="",_xlpm.ok&lt;&gt;"Yes"),"(after last class day)",_xlpm.dd))))))</f>
        <v/>
      </c>
      <c r="U1257" s="17">
        <f>IF($C1257="","",IF(AND($Y1257="Excused",$L1257="",N($K1257)&lt;=1),"EXCUSED - 1st attempt pending",IF(OR($L1257="",$K1257&lt;&gt;1,NOT(ISNUMBER($L1257)),$L1257&gt;=$J1257),"",IF(COUNTIFS(nrES_PID,$D1257,nrES_Code,$F1257,nrES_Att,2,nrES_Raw,"&gt;=0")&gt;0,IF(IFERROR(_xlfn.MINIFS(nrES_Date,nrES_PID,$D1257,nrES_Code,$F1257,nrES_Att,2,nrES_Raw,"&gt;=0",nrES_Date,"&gt;0"),0)=0,"RETEST UNDATED",IF(NOT(ISNUMBER($T1257)),"RETEST DATE UNCHECKED",IF(_xlfn.MINIFS(nrES_Date,nrES_PID,$D1257,nrES_Code,$F1257,nrES_Att,2,nrES_Raw,"&gt;=0",nrES_Date,"&gt;0")&gt;$T1257,"LATE RETEST "&amp;TEXT(_xlfn.MINIFS(nrES_Date,nrES_PID,$D1257,nrES_Code,$F1257,nrES_Att,2,nrES_Raw,"&gt;=0",nrES_Date,"&gt;0"),"mm/dd")&amp;" (due "&amp;TEXT($T1257,"mm/dd")&amp;")","Retested"))),IF(NOT(ISNUMBER($T1257)),"CHECK DATE",IF(TODAY()&gt;$T1257,"OVERDUE","Due "&amp;TEXT($T1257,"mm/dd")))))))</f>
        <v/>
      </c>
      <c r="V1257" s="16" t="n"/>
      <c r="W1257" s="16" t="n"/>
      <c r="X1257" s="17">
        <f>IF($C1257="","",IF(AND($L1257&lt;&gt;"",NOT(ISNUMBER($L1257))),"RAW SCORE NOT A NUMBER",IF(AND(ISNUMBER($L1257),OR($L1257&lt;0,$L1257&gt;100)),"RAW SCORE OUT OF RANGE",IF(AND($Y1257="Unexcused",OR($L1257="",NOT(ISNUMBER($L1257)),$L1257&lt;&gt;0)),"UNEXCUSED ABSENCE MUST RECORD 0",IF(COUNTIF(nrES_RecID,$B1257)&gt;1,"DUPLICATE RECORD",IF(N($K1257)&gt;2,"ATTEMPT 3+ NOT ALLOWED - policy 300.5 permits one retest per exam; this row records nothing",IF(AND($K1257=2,COUNTIFS(nrES_PID,$D1257,nrES_Code,$F1257,nrES_Att,1)=0),"ATTEMPT 2 WITHOUT ATTEMPT 1",IF(AND($K1257=2,$L1257=""),"RETEST ROW HAS NO SCORE",IF(AND($H1257="Final",$L1257&lt;&gt;"",IFERROR(INDEX(nrCKfinalExamElig,MATCH($D1257,rngCadetPIDs,0)),"")="No"),"FINAL EXAM AFTER FAILED FINAL PT (500.1.H)",IF(AND($K1257=2,ISNUMBER($L1257),COUNTIFS(nrES_PID,$D1257,nrES_Code,$F1257,nrES_Att,1)&gt;0,SUMIFS(nrES_Raw,nrES_PID,$D1257,nrES_Code,$F1257,nrES_Att,1)&gt;=$J1257),"RETEST AFTER A PASSING FIRST ATTEMPT","OK"))))))))))</f>
        <v/>
      </c>
      <c r="Y1257" s="16" t="n"/>
    </row>
    <row r="1258">
      <c r="B1258" s="17">
        <f>IF($C1258="","",$D1258&amp;"-"&amp;$F1258&amp;"-"&amp;$K1258)</f>
        <v/>
      </c>
      <c r="C1258" s="16" t="n"/>
      <c r="D1258" s="17">
        <f>IF($C1258="","",IFERROR(INDEX(rngCadetPIDs,MATCH($C1258,rngCadetNames,0)),"?"))</f>
        <v/>
      </c>
      <c r="E1258" s="17">
        <f>IF($D1258="","",IFERROR(INDEX(nrCadetAgency,MATCH($D1258,rngCadetPIDs,0)),""))</f>
        <v/>
      </c>
      <c r="F1258" s="16" t="n"/>
      <c r="G1258" s="17">
        <f>IF($F1258="","",IFERROR(INDEX(rngEPname,MATCH($F1258,rngEPcode,0)),"?"))</f>
        <v/>
      </c>
      <c r="H1258" s="17">
        <f>IF($F1258="","",IFERROR(INDEX(rngEPtype,MATCH($F1258,rngEPcode,0)),"?"))</f>
        <v/>
      </c>
      <c r="I1258" s="17">
        <f>IF($F1258="","",IFERROR(INDEX(rngEPseq,MATCH($F1258,rngEPcode,0)),""))</f>
        <v/>
      </c>
      <c r="J1258" s="17">
        <f>IF($F1258="","",IFERROR(INDEX(rngEPpass,MATCH($F1258,rngEPcode,0)),cfgPassingScore))</f>
        <v/>
      </c>
      <c r="K1258" s="16" t="n"/>
      <c r="L1258" s="16" t="n"/>
      <c r="M1258" s="17">
        <f>IF($C1258="","",IF($L1258="","",IF(NOT(ISNUMBER($L1258)),$L1258,IF(N($K1258)&gt;2,"",IF($K1258=1,IF(COUNTIFS(nrES_PID,$D1258,nrES_Code,$F1258,nrES_Att,2,nrES_Raw,"&gt;=0")&gt;0,"",$L1258),IF($L1258&gt;=$J1258,MAX($J1258,cfgRetakeRecordedCap),IF(COUNTIFS(nrES_PID,$D1258,nrES_Code,$F1258,nrES_Att,1)=0,$L1258,SUMIFS(nrES_Raw,nrES_PID,$D1258,nrES_Code,$F1258,nrES_Att,1))))))))</f>
        <v/>
      </c>
      <c r="N1258" s="17">
        <f>IF($C1258="","",IF($L1258="","",IF(NOT(ISNUMBER($L1258)),"(not a score)",IF($L1258&gt;=$J1258,"Yes","No"))))</f>
        <v/>
      </c>
      <c r="O1258" s="17">
        <f>IF($C1258="","",IF($M1258="","",IF(NOT(ISNUMBER($M1258)),"(not a score)",IF($M1258&gt;=$J1258,"Yes","No"))))</f>
        <v/>
      </c>
      <c r="P1258" s="17">
        <f>IF($C1258="","",IF($K1258="","",IF(N($K1258)&gt;2,"No",IF(COUNTIFS(nrES_PID,$D1258,nrES_Code,$F1258,nrES_Att,"&gt;"&amp;$K1258,nrES_Att,"&lt;=2",nrES_Raw,"&gt;=0")=0,"Yes","No"))))</f>
        <v/>
      </c>
      <c r="Q1258" s="17">
        <f>IF($C1258="","",IF($L1258="","",IF(AND($K1258=1,ISNUMBER($L1258),$L1258&lt;$J1258,COUNTIFS(nrES_PID,$D1258,nrES_Code,$F1258,nrES_Att,2,nrES_Raw,"&gt;=0")=0),"Yes","No")))</f>
        <v/>
      </c>
      <c r="R1258" s="17">
        <f>IF($C1258="","",IF($L1258="","",IF(AND(N($K1258)&gt;=2,ISNUMBER($L1258),$L1258&lt;$J1258),"Yes","No")))</f>
        <v/>
      </c>
      <c r="S1258" s="18" t="n"/>
      <c r="T1258" s="19">
        <f>IF(OR($C1258="",$L1258="",$K1258&lt;&gt;1,NOT(ISNUMBER($L1258)),$L1258&gt;=$J1258),"",IF($S1258="","(enter date)",_xlfn.LET(_xlpm.dn,_xlfn.XLOOKUP($S1258,nrCDdate,nrCDnum,"",1),IF(_xlpm.dn="","(after last class day)",_xlfn.LET(_xlpm.dd,_xlfn.XLOOKUP(_xlpm.dn+cfgRetestClassDays,nrCDnum,nrCDdate,""),_xlpm.ok,_xlfn.XLOOKUP(_xlpm.dn+cfgRetestClassDays,nrCDnum,nrCDinsession,"No"),IF(OR(_xlpm.dd="",_xlpm.ok&lt;&gt;"Yes"),"(after last class day)",_xlpm.dd))))))</f>
        <v/>
      </c>
      <c r="U1258" s="17">
        <f>IF($C1258="","",IF(AND($Y1258="Excused",$L1258="",N($K1258)&lt;=1),"EXCUSED - 1st attempt pending",IF(OR($L1258="",$K1258&lt;&gt;1,NOT(ISNUMBER($L1258)),$L1258&gt;=$J1258),"",IF(COUNTIFS(nrES_PID,$D1258,nrES_Code,$F1258,nrES_Att,2,nrES_Raw,"&gt;=0")&gt;0,IF(IFERROR(_xlfn.MINIFS(nrES_Date,nrES_PID,$D1258,nrES_Code,$F1258,nrES_Att,2,nrES_Raw,"&gt;=0",nrES_Date,"&gt;0"),0)=0,"RETEST UNDATED",IF(NOT(ISNUMBER($T1258)),"RETEST DATE UNCHECKED",IF(_xlfn.MINIFS(nrES_Date,nrES_PID,$D1258,nrES_Code,$F1258,nrES_Att,2,nrES_Raw,"&gt;=0",nrES_Date,"&gt;0")&gt;$T1258,"LATE RETEST "&amp;TEXT(_xlfn.MINIFS(nrES_Date,nrES_PID,$D1258,nrES_Code,$F1258,nrES_Att,2,nrES_Raw,"&gt;=0",nrES_Date,"&gt;0"),"mm/dd")&amp;" (due "&amp;TEXT($T1258,"mm/dd")&amp;")","Retested"))),IF(NOT(ISNUMBER($T1258)),"CHECK DATE",IF(TODAY()&gt;$T1258,"OVERDUE","Due "&amp;TEXT($T1258,"mm/dd")))))))</f>
        <v/>
      </c>
      <c r="V1258" s="16" t="n"/>
      <c r="W1258" s="16" t="n"/>
      <c r="X1258" s="17">
        <f>IF($C1258="","",IF(AND($L1258&lt;&gt;"",NOT(ISNUMBER($L1258))),"RAW SCORE NOT A NUMBER",IF(AND(ISNUMBER($L1258),OR($L1258&lt;0,$L1258&gt;100)),"RAW SCORE OUT OF RANGE",IF(AND($Y1258="Unexcused",OR($L1258="",NOT(ISNUMBER($L1258)),$L1258&lt;&gt;0)),"UNEXCUSED ABSENCE MUST RECORD 0",IF(COUNTIF(nrES_RecID,$B1258)&gt;1,"DUPLICATE RECORD",IF(N($K1258)&gt;2,"ATTEMPT 3+ NOT ALLOWED - policy 300.5 permits one retest per exam; this row records nothing",IF(AND($K1258=2,COUNTIFS(nrES_PID,$D1258,nrES_Code,$F1258,nrES_Att,1)=0),"ATTEMPT 2 WITHOUT ATTEMPT 1",IF(AND($K1258=2,$L1258=""),"RETEST ROW HAS NO SCORE",IF(AND($H1258="Final",$L1258&lt;&gt;"",IFERROR(INDEX(nrCKfinalExamElig,MATCH($D1258,rngCadetPIDs,0)),"")="No"),"FINAL EXAM AFTER FAILED FINAL PT (500.1.H)",IF(AND($K1258=2,ISNUMBER($L1258),COUNTIFS(nrES_PID,$D1258,nrES_Code,$F1258,nrES_Att,1)&gt;0,SUMIFS(nrES_Raw,nrES_PID,$D1258,nrES_Code,$F1258,nrES_Att,1)&gt;=$J1258),"RETEST AFTER A PASSING FIRST ATTEMPT","OK"))))))))))</f>
        <v/>
      </c>
      <c r="Y1258" s="16" t="n"/>
    </row>
    <row r="1259">
      <c r="B1259" s="17">
        <f>IF($C1259="","",$D1259&amp;"-"&amp;$F1259&amp;"-"&amp;$K1259)</f>
        <v/>
      </c>
      <c r="C1259" s="16" t="n"/>
      <c r="D1259" s="17">
        <f>IF($C1259="","",IFERROR(INDEX(rngCadetPIDs,MATCH($C1259,rngCadetNames,0)),"?"))</f>
        <v/>
      </c>
      <c r="E1259" s="17">
        <f>IF($D1259="","",IFERROR(INDEX(nrCadetAgency,MATCH($D1259,rngCadetPIDs,0)),""))</f>
        <v/>
      </c>
      <c r="F1259" s="16" t="n"/>
      <c r="G1259" s="17">
        <f>IF($F1259="","",IFERROR(INDEX(rngEPname,MATCH($F1259,rngEPcode,0)),"?"))</f>
        <v/>
      </c>
      <c r="H1259" s="17">
        <f>IF($F1259="","",IFERROR(INDEX(rngEPtype,MATCH($F1259,rngEPcode,0)),"?"))</f>
        <v/>
      </c>
      <c r="I1259" s="17">
        <f>IF($F1259="","",IFERROR(INDEX(rngEPseq,MATCH($F1259,rngEPcode,0)),""))</f>
        <v/>
      </c>
      <c r="J1259" s="17">
        <f>IF($F1259="","",IFERROR(INDEX(rngEPpass,MATCH($F1259,rngEPcode,0)),cfgPassingScore))</f>
        <v/>
      </c>
      <c r="K1259" s="16" t="n"/>
      <c r="L1259" s="16" t="n"/>
      <c r="M1259" s="17">
        <f>IF($C1259="","",IF($L1259="","",IF(NOT(ISNUMBER($L1259)),$L1259,IF(N($K1259)&gt;2,"",IF($K1259=1,IF(COUNTIFS(nrES_PID,$D1259,nrES_Code,$F1259,nrES_Att,2,nrES_Raw,"&gt;=0")&gt;0,"",$L1259),IF($L1259&gt;=$J1259,MAX($J1259,cfgRetakeRecordedCap),IF(COUNTIFS(nrES_PID,$D1259,nrES_Code,$F1259,nrES_Att,1)=0,$L1259,SUMIFS(nrES_Raw,nrES_PID,$D1259,nrES_Code,$F1259,nrES_Att,1))))))))</f>
        <v/>
      </c>
      <c r="N1259" s="17">
        <f>IF($C1259="","",IF($L1259="","",IF(NOT(ISNUMBER($L1259)),"(not a score)",IF($L1259&gt;=$J1259,"Yes","No"))))</f>
        <v/>
      </c>
      <c r="O1259" s="17">
        <f>IF($C1259="","",IF($M1259="","",IF(NOT(ISNUMBER($M1259)),"(not a score)",IF($M1259&gt;=$J1259,"Yes","No"))))</f>
        <v/>
      </c>
      <c r="P1259" s="17">
        <f>IF($C1259="","",IF($K1259="","",IF(N($K1259)&gt;2,"No",IF(COUNTIFS(nrES_PID,$D1259,nrES_Code,$F1259,nrES_Att,"&gt;"&amp;$K1259,nrES_Att,"&lt;=2",nrES_Raw,"&gt;=0")=0,"Yes","No"))))</f>
        <v/>
      </c>
      <c r="Q1259" s="17">
        <f>IF($C1259="","",IF($L1259="","",IF(AND($K1259=1,ISNUMBER($L1259),$L1259&lt;$J1259,COUNTIFS(nrES_PID,$D1259,nrES_Code,$F1259,nrES_Att,2,nrES_Raw,"&gt;=0")=0),"Yes","No")))</f>
        <v/>
      </c>
      <c r="R1259" s="17">
        <f>IF($C1259="","",IF($L1259="","",IF(AND(N($K1259)&gt;=2,ISNUMBER($L1259),$L1259&lt;$J1259),"Yes","No")))</f>
        <v/>
      </c>
      <c r="S1259" s="18" t="n"/>
      <c r="T1259" s="19">
        <f>IF(OR($C1259="",$L1259="",$K1259&lt;&gt;1,NOT(ISNUMBER($L1259)),$L1259&gt;=$J1259),"",IF($S1259="","(enter date)",_xlfn.LET(_xlpm.dn,_xlfn.XLOOKUP($S1259,nrCDdate,nrCDnum,"",1),IF(_xlpm.dn="","(after last class day)",_xlfn.LET(_xlpm.dd,_xlfn.XLOOKUP(_xlpm.dn+cfgRetestClassDays,nrCDnum,nrCDdate,""),_xlpm.ok,_xlfn.XLOOKUP(_xlpm.dn+cfgRetestClassDays,nrCDnum,nrCDinsession,"No"),IF(OR(_xlpm.dd="",_xlpm.ok&lt;&gt;"Yes"),"(after last class day)",_xlpm.dd))))))</f>
        <v/>
      </c>
      <c r="U1259" s="17">
        <f>IF($C1259="","",IF(AND($Y1259="Excused",$L1259="",N($K1259)&lt;=1),"EXCUSED - 1st attempt pending",IF(OR($L1259="",$K1259&lt;&gt;1,NOT(ISNUMBER($L1259)),$L1259&gt;=$J1259),"",IF(COUNTIFS(nrES_PID,$D1259,nrES_Code,$F1259,nrES_Att,2,nrES_Raw,"&gt;=0")&gt;0,IF(IFERROR(_xlfn.MINIFS(nrES_Date,nrES_PID,$D1259,nrES_Code,$F1259,nrES_Att,2,nrES_Raw,"&gt;=0",nrES_Date,"&gt;0"),0)=0,"RETEST UNDATED",IF(NOT(ISNUMBER($T1259)),"RETEST DATE UNCHECKED",IF(_xlfn.MINIFS(nrES_Date,nrES_PID,$D1259,nrES_Code,$F1259,nrES_Att,2,nrES_Raw,"&gt;=0",nrES_Date,"&gt;0")&gt;$T1259,"LATE RETEST "&amp;TEXT(_xlfn.MINIFS(nrES_Date,nrES_PID,$D1259,nrES_Code,$F1259,nrES_Att,2,nrES_Raw,"&gt;=0",nrES_Date,"&gt;0"),"mm/dd")&amp;" (due "&amp;TEXT($T1259,"mm/dd")&amp;")","Retested"))),IF(NOT(ISNUMBER($T1259)),"CHECK DATE",IF(TODAY()&gt;$T1259,"OVERDUE","Due "&amp;TEXT($T1259,"mm/dd")))))))</f>
        <v/>
      </c>
      <c r="V1259" s="16" t="n"/>
      <c r="W1259" s="16" t="n"/>
      <c r="X1259" s="17">
        <f>IF($C1259="","",IF(AND($L1259&lt;&gt;"",NOT(ISNUMBER($L1259))),"RAW SCORE NOT A NUMBER",IF(AND(ISNUMBER($L1259),OR($L1259&lt;0,$L1259&gt;100)),"RAW SCORE OUT OF RANGE",IF(AND($Y1259="Unexcused",OR($L1259="",NOT(ISNUMBER($L1259)),$L1259&lt;&gt;0)),"UNEXCUSED ABSENCE MUST RECORD 0",IF(COUNTIF(nrES_RecID,$B1259)&gt;1,"DUPLICATE RECORD",IF(N($K1259)&gt;2,"ATTEMPT 3+ NOT ALLOWED - policy 300.5 permits one retest per exam; this row records nothing",IF(AND($K1259=2,COUNTIFS(nrES_PID,$D1259,nrES_Code,$F1259,nrES_Att,1)=0),"ATTEMPT 2 WITHOUT ATTEMPT 1",IF(AND($K1259=2,$L1259=""),"RETEST ROW HAS NO SCORE",IF(AND($H1259="Final",$L1259&lt;&gt;"",IFERROR(INDEX(nrCKfinalExamElig,MATCH($D1259,rngCadetPIDs,0)),"")="No"),"FINAL EXAM AFTER FAILED FINAL PT (500.1.H)",IF(AND($K1259=2,ISNUMBER($L1259),COUNTIFS(nrES_PID,$D1259,nrES_Code,$F1259,nrES_Att,1)&gt;0,SUMIFS(nrES_Raw,nrES_PID,$D1259,nrES_Code,$F1259,nrES_Att,1)&gt;=$J1259),"RETEST AFTER A PASSING FIRST ATTEMPT","OK"))))))))))</f>
        <v/>
      </c>
      <c r="Y1259" s="16" t="n"/>
    </row>
    <row r="1260">
      <c r="B1260" s="17">
        <f>IF($C1260="","",$D1260&amp;"-"&amp;$F1260&amp;"-"&amp;$K1260)</f>
        <v/>
      </c>
      <c r="C1260" s="16" t="n"/>
      <c r="D1260" s="17">
        <f>IF($C1260="","",IFERROR(INDEX(rngCadetPIDs,MATCH($C1260,rngCadetNames,0)),"?"))</f>
        <v/>
      </c>
      <c r="E1260" s="17">
        <f>IF($D1260="","",IFERROR(INDEX(nrCadetAgency,MATCH($D1260,rngCadetPIDs,0)),""))</f>
        <v/>
      </c>
      <c r="F1260" s="16" t="n"/>
      <c r="G1260" s="17">
        <f>IF($F1260="","",IFERROR(INDEX(rngEPname,MATCH($F1260,rngEPcode,0)),"?"))</f>
        <v/>
      </c>
      <c r="H1260" s="17">
        <f>IF($F1260="","",IFERROR(INDEX(rngEPtype,MATCH($F1260,rngEPcode,0)),"?"))</f>
        <v/>
      </c>
      <c r="I1260" s="17">
        <f>IF($F1260="","",IFERROR(INDEX(rngEPseq,MATCH($F1260,rngEPcode,0)),""))</f>
        <v/>
      </c>
      <c r="J1260" s="17">
        <f>IF($F1260="","",IFERROR(INDEX(rngEPpass,MATCH($F1260,rngEPcode,0)),cfgPassingScore))</f>
        <v/>
      </c>
      <c r="K1260" s="16" t="n"/>
      <c r="L1260" s="16" t="n"/>
      <c r="M1260" s="17">
        <f>IF($C1260="","",IF($L1260="","",IF(NOT(ISNUMBER($L1260)),$L1260,IF(N($K1260)&gt;2,"",IF($K1260=1,IF(COUNTIFS(nrES_PID,$D1260,nrES_Code,$F1260,nrES_Att,2,nrES_Raw,"&gt;=0")&gt;0,"",$L1260),IF($L1260&gt;=$J1260,MAX($J1260,cfgRetakeRecordedCap),IF(COUNTIFS(nrES_PID,$D1260,nrES_Code,$F1260,nrES_Att,1)=0,$L1260,SUMIFS(nrES_Raw,nrES_PID,$D1260,nrES_Code,$F1260,nrES_Att,1))))))))</f>
        <v/>
      </c>
      <c r="N1260" s="17">
        <f>IF($C1260="","",IF($L1260="","",IF(NOT(ISNUMBER($L1260)),"(not a score)",IF($L1260&gt;=$J1260,"Yes","No"))))</f>
        <v/>
      </c>
      <c r="O1260" s="17">
        <f>IF($C1260="","",IF($M1260="","",IF(NOT(ISNUMBER($M1260)),"(not a score)",IF($M1260&gt;=$J1260,"Yes","No"))))</f>
        <v/>
      </c>
      <c r="P1260" s="17">
        <f>IF($C1260="","",IF($K1260="","",IF(N($K1260)&gt;2,"No",IF(COUNTIFS(nrES_PID,$D1260,nrES_Code,$F1260,nrES_Att,"&gt;"&amp;$K1260,nrES_Att,"&lt;=2",nrES_Raw,"&gt;=0")=0,"Yes","No"))))</f>
        <v/>
      </c>
      <c r="Q1260" s="17">
        <f>IF($C1260="","",IF($L1260="","",IF(AND($K1260=1,ISNUMBER($L1260),$L1260&lt;$J1260,COUNTIFS(nrES_PID,$D1260,nrES_Code,$F1260,nrES_Att,2,nrES_Raw,"&gt;=0")=0),"Yes","No")))</f>
        <v/>
      </c>
      <c r="R1260" s="17">
        <f>IF($C1260="","",IF($L1260="","",IF(AND(N($K1260)&gt;=2,ISNUMBER($L1260),$L1260&lt;$J1260),"Yes","No")))</f>
        <v/>
      </c>
      <c r="S1260" s="18" t="n"/>
      <c r="T1260" s="19">
        <f>IF(OR($C1260="",$L1260="",$K1260&lt;&gt;1,NOT(ISNUMBER($L1260)),$L1260&gt;=$J1260),"",IF($S1260="","(enter date)",_xlfn.LET(_xlpm.dn,_xlfn.XLOOKUP($S1260,nrCDdate,nrCDnum,"",1),IF(_xlpm.dn="","(after last class day)",_xlfn.LET(_xlpm.dd,_xlfn.XLOOKUP(_xlpm.dn+cfgRetestClassDays,nrCDnum,nrCDdate,""),_xlpm.ok,_xlfn.XLOOKUP(_xlpm.dn+cfgRetestClassDays,nrCDnum,nrCDinsession,"No"),IF(OR(_xlpm.dd="",_xlpm.ok&lt;&gt;"Yes"),"(after last class day)",_xlpm.dd))))))</f>
        <v/>
      </c>
      <c r="U1260" s="17">
        <f>IF($C1260="","",IF(AND($Y1260="Excused",$L1260="",N($K1260)&lt;=1),"EXCUSED - 1st attempt pending",IF(OR($L1260="",$K1260&lt;&gt;1,NOT(ISNUMBER($L1260)),$L1260&gt;=$J1260),"",IF(COUNTIFS(nrES_PID,$D1260,nrES_Code,$F1260,nrES_Att,2,nrES_Raw,"&gt;=0")&gt;0,IF(IFERROR(_xlfn.MINIFS(nrES_Date,nrES_PID,$D1260,nrES_Code,$F1260,nrES_Att,2,nrES_Raw,"&gt;=0",nrES_Date,"&gt;0"),0)=0,"RETEST UNDATED",IF(NOT(ISNUMBER($T1260)),"RETEST DATE UNCHECKED",IF(_xlfn.MINIFS(nrES_Date,nrES_PID,$D1260,nrES_Code,$F1260,nrES_Att,2,nrES_Raw,"&gt;=0",nrES_Date,"&gt;0")&gt;$T1260,"LATE RETEST "&amp;TEXT(_xlfn.MINIFS(nrES_Date,nrES_PID,$D1260,nrES_Code,$F1260,nrES_Att,2,nrES_Raw,"&gt;=0",nrES_Date,"&gt;0"),"mm/dd")&amp;" (due "&amp;TEXT($T1260,"mm/dd")&amp;")","Retested"))),IF(NOT(ISNUMBER($T1260)),"CHECK DATE",IF(TODAY()&gt;$T1260,"OVERDUE","Due "&amp;TEXT($T1260,"mm/dd")))))))</f>
        <v/>
      </c>
      <c r="V1260" s="16" t="n"/>
      <c r="W1260" s="16" t="n"/>
      <c r="X1260" s="17">
        <f>IF($C1260="","",IF(AND($L1260&lt;&gt;"",NOT(ISNUMBER($L1260))),"RAW SCORE NOT A NUMBER",IF(AND(ISNUMBER($L1260),OR($L1260&lt;0,$L1260&gt;100)),"RAW SCORE OUT OF RANGE",IF(AND($Y1260="Unexcused",OR($L1260="",NOT(ISNUMBER($L1260)),$L1260&lt;&gt;0)),"UNEXCUSED ABSENCE MUST RECORD 0",IF(COUNTIF(nrES_RecID,$B1260)&gt;1,"DUPLICATE RECORD",IF(N($K1260)&gt;2,"ATTEMPT 3+ NOT ALLOWED - policy 300.5 permits one retest per exam; this row records nothing",IF(AND($K1260=2,COUNTIFS(nrES_PID,$D1260,nrES_Code,$F1260,nrES_Att,1)=0),"ATTEMPT 2 WITHOUT ATTEMPT 1",IF(AND($K1260=2,$L1260=""),"RETEST ROW HAS NO SCORE",IF(AND($H1260="Final",$L1260&lt;&gt;"",IFERROR(INDEX(nrCKfinalExamElig,MATCH($D1260,rngCadetPIDs,0)),"")="No"),"FINAL EXAM AFTER FAILED FINAL PT (500.1.H)",IF(AND($K1260=2,ISNUMBER($L1260),COUNTIFS(nrES_PID,$D1260,nrES_Code,$F1260,nrES_Att,1)&gt;0,SUMIFS(nrES_Raw,nrES_PID,$D1260,nrES_Code,$F1260,nrES_Att,1)&gt;=$J1260),"RETEST AFTER A PASSING FIRST ATTEMPT","OK"))))))))))</f>
        <v/>
      </c>
      <c r="Y1260" s="16" t="n"/>
    </row>
    <row r="1261">
      <c r="B1261" s="17">
        <f>IF($C1261="","",$D1261&amp;"-"&amp;$F1261&amp;"-"&amp;$K1261)</f>
        <v/>
      </c>
      <c r="C1261" s="16" t="n"/>
      <c r="D1261" s="17">
        <f>IF($C1261="","",IFERROR(INDEX(rngCadetPIDs,MATCH($C1261,rngCadetNames,0)),"?"))</f>
        <v/>
      </c>
      <c r="E1261" s="17">
        <f>IF($D1261="","",IFERROR(INDEX(nrCadetAgency,MATCH($D1261,rngCadetPIDs,0)),""))</f>
        <v/>
      </c>
      <c r="F1261" s="16" t="n"/>
      <c r="G1261" s="17">
        <f>IF($F1261="","",IFERROR(INDEX(rngEPname,MATCH($F1261,rngEPcode,0)),"?"))</f>
        <v/>
      </c>
      <c r="H1261" s="17">
        <f>IF($F1261="","",IFERROR(INDEX(rngEPtype,MATCH($F1261,rngEPcode,0)),"?"))</f>
        <v/>
      </c>
      <c r="I1261" s="17">
        <f>IF($F1261="","",IFERROR(INDEX(rngEPseq,MATCH($F1261,rngEPcode,0)),""))</f>
        <v/>
      </c>
      <c r="J1261" s="17">
        <f>IF($F1261="","",IFERROR(INDEX(rngEPpass,MATCH($F1261,rngEPcode,0)),cfgPassingScore))</f>
        <v/>
      </c>
      <c r="K1261" s="16" t="n"/>
      <c r="L1261" s="16" t="n"/>
      <c r="M1261" s="17">
        <f>IF($C1261="","",IF($L1261="","",IF(NOT(ISNUMBER($L1261)),$L1261,IF(N($K1261)&gt;2,"",IF($K1261=1,IF(COUNTIFS(nrES_PID,$D1261,nrES_Code,$F1261,nrES_Att,2,nrES_Raw,"&gt;=0")&gt;0,"",$L1261),IF($L1261&gt;=$J1261,MAX($J1261,cfgRetakeRecordedCap),IF(COUNTIFS(nrES_PID,$D1261,nrES_Code,$F1261,nrES_Att,1)=0,$L1261,SUMIFS(nrES_Raw,nrES_PID,$D1261,nrES_Code,$F1261,nrES_Att,1))))))))</f>
        <v/>
      </c>
      <c r="N1261" s="17">
        <f>IF($C1261="","",IF($L1261="","",IF(NOT(ISNUMBER($L1261)),"(not a score)",IF($L1261&gt;=$J1261,"Yes","No"))))</f>
        <v/>
      </c>
      <c r="O1261" s="17">
        <f>IF($C1261="","",IF($M1261="","",IF(NOT(ISNUMBER($M1261)),"(not a score)",IF($M1261&gt;=$J1261,"Yes","No"))))</f>
        <v/>
      </c>
      <c r="P1261" s="17">
        <f>IF($C1261="","",IF($K1261="","",IF(N($K1261)&gt;2,"No",IF(COUNTIFS(nrES_PID,$D1261,nrES_Code,$F1261,nrES_Att,"&gt;"&amp;$K1261,nrES_Att,"&lt;=2",nrES_Raw,"&gt;=0")=0,"Yes","No"))))</f>
        <v/>
      </c>
      <c r="Q1261" s="17">
        <f>IF($C1261="","",IF($L1261="","",IF(AND($K1261=1,ISNUMBER($L1261),$L1261&lt;$J1261,COUNTIFS(nrES_PID,$D1261,nrES_Code,$F1261,nrES_Att,2,nrES_Raw,"&gt;=0")=0),"Yes","No")))</f>
        <v/>
      </c>
      <c r="R1261" s="17">
        <f>IF($C1261="","",IF($L1261="","",IF(AND(N($K1261)&gt;=2,ISNUMBER($L1261),$L1261&lt;$J1261),"Yes","No")))</f>
        <v/>
      </c>
      <c r="S1261" s="18" t="n"/>
      <c r="T1261" s="19">
        <f>IF(OR($C1261="",$L1261="",$K1261&lt;&gt;1,NOT(ISNUMBER($L1261)),$L1261&gt;=$J1261),"",IF($S1261="","(enter date)",_xlfn.LET(_xlpm.dn,_xlfn.XLOOKUP($S1261,nrCDdate,nrCDnum,"",1),IF(_xlpm.dn="","(after last class day)",_xlfn.LET(_xlpm.dd,_xlfn.XLOOKUP(_xlpm.dn+cfgRetestClassDays,nrCDnum,nrCDdate,""),_xlpm.ok,_xlfn.XLOOKUP(_xlpm.dn+cfgRetestClassDays,nrCDnum,nrCDinsession,"No"),IF(OR(_xlpm.dd="",_xlpm.ok&lt;&gt;"Yes"),"(after last class day)",_xlpm.dd))))))</f>
        <v/>
      </c>
      <c r="U1261" s="17">
        <f>IF($C1261="","",IF(AND($Y1261="Excused",$L1261="",N($K1261)&lt;=1),"EXCUSED - 1st attempt pending",IF(OR($L1261="",$K1261&lt;&gt;1,NOT(ISNUMBER($L1261)),$L1261&gt;=$J1261),"",IF(COUNTIFS(nrES_PID,$D1261,nrES_Code,$F1261,nrES_Att,2,nrES_Raw,"&gt;=0")&gt;0,IF(IFERROR(_xlfn.MINIFS(nrES_Date,nrES_PID,$D1261,nrES_Code,$F1261,nrES_Att,2,nrES_Raw,"&gt;=0",nrES_Date,"&gt;0"),0)=0,"RETEST UNDATED",IF(NOT(ISNUMBER($T1261)),"RETEST DATE UNCHECKED",IF(_xlfn.MINIFS(nrES_Date,nrES_PID,$D1261,nrES_Code,$F1261,nrES_Att,2,nrES_Raw,"&gt;=0",nrES_Date,"&gt;0")&gt;$T1261,"LATE RETEST "&amp;TEXT(_xlfn.MINIFS(nrES_Date,nrES_PID,$D1261,nrES_Code,$F1261,nrES_Att,2,nrES_Raw,"&gt;=0",nrES_Date,"&gt;0"),"mm/dd")&amp;" (due "&amp;TEXT($T1261,"mm/dd")&amp;")","Retested"))),IF(NOT(ISNUMBER($T1261)),"CHECK DATE",IF(TODAY()&gt;$T1261,"OVERDUE","Due "&amp;TEXT($T1261,"mm/dd")))))))</f>
        <v/>
      </c>
      <c r="V1261" s="16" t="n"/>
      <c r="W1261" s="16" t="n"/>
      <c r="X1261" s="17">
        <f>IF($C1261="","",IF(AND($L1261&lt;&gt;"",NOT(ISNUMBER($L1261))),"RAW SCORE NOT A NUMBER",IF(AND(ISNUMBER($L1261),OR($L1261&lt;0,$L1261&gt;100)),"RAW SCORE OUT OF RANGE",IF(AND($Y1261="Unexcused",OR($L1261="",NOT(ISNUMBER($L1261)),$L1261&lt;&gt;0)),"UNEXCUSED ABSENCE MUST RECORD 0",IF(COUNTIF(nrES_RecID,$B1261)&gt;1,"DUPLICATE RECORD",IF(N($K1261)&gt;2,"ATTEMPT 3+ NOT ALLOWED - policy 300.5 permits one retest per exam; this row records nothing",IF(AND($K1261=2,COUNTIFS(nrES_PID,$D1261,nrES_Code,$F1261,nrES_Att,1)=0),"ATTEMPT 2 WITHOUT ATTEMPT 1",IF(AND($K1261=2,$L1261=""),"RETEST ROW HAS NO SCORE",IF(AND($H1261="Final",$L1261&lt;&gt;"",IFERROR(INDEX(nrCKfinalExamElig,MATCH($D1261,rngCadetPIDs,0)),"")="No"),"FINAL EXAM AFTER FAILED FINAL PT (500.1.H)",IF(AND($K1261=2,ISNUMBER($L1261),COUNTIFS(nrES_PID,$D1261,nrES_Code,$F1261,nrES_Att,1)&gt;0,SUMIFS(nrES_Raw,nrES_PID,$D1261,nrES_Code,$F1261,nrES_Att,1)&gt;=$J1261),"RETEST AFTER A PASSING FIRST ATTEMPT","OK"))))))))))</f>
        <v/>
      </c>
      <c r="Y1261" s="16" t="n"/>
    </row>
    <row r="1262">
      <c r="B1262" s="17">
        <f>IF($C1262="","",$D1262&amp;"-"&amp;$F1262&amp;"-"&amp;$K1262)</f>
        <v/>
      </c>
      <c r="C1262" s="16" t="n"/>
      <c r="D1262" s="17">
        <f>IF($C1262="","",IFERROR(INDEX(rngCadetPIDs,MATCH($C1262,rngCadetNames,0)),"?"))</f>
        <v/>
      </c>
      <c r="E1262" s="17">
        <f>IF($D1262="","",IFERROR(INDEX(nrCadetAgency,MATCH($D1262,rngCadetPIDs,0)),""))</f>
        <v/>
      </c>
      <c r="F1262" s="16" t="n"/>
      <c r="G1262" s="17">
        <f>IF($F1262="","",IFERROR(INDEX(rngEPname,MATCH($F1262,rngEPcode,0)),"?"))</f>
        <v/>
      </c>
      <c r="H1262" s="17">
        <f>IF($F1262="","",IFERROR(INDEX(rngEPtype,MATCH($F1262,rngEPcode,0)),"?"))</f>
        <v/>
      </c>
      <c r="I1262" s="17">
        <f>IF($F1262="","",IFERROR(INDEX(rngEPseq,MATCH($F1262,rngEPcode,0)),""))</f>
        <v/>
      </c>
      <c r="J1262" s="17">
        <f>IF($F1262="","",IFERROR(INDEX(rngEPpass,MATCH($F1262,rngEPcode,0)),cfgPassingScore))</f>
        <v/>
      </c>
      <c r="K1262" s="16" t="n"/>
      <c r="L1262" s="16" t="n"/>
      <c r="M1262" s="17">
        <f>IF($C1262="","",IF($L1262="","",IF(NOT(ISNUMBER($L1262)),$L1262,IF(N($K1262)&gt;2,"",IF($K1262=1,IF(COUNTIFS(nrES_PID,$D1262,nrES_Code,$F1262,nrES_Att,2,nrES_Raw,"&gt;=0")&gt;0,"",$L1262),IF($L1262&gt;=$J1262,MAX($J1262,cfgRetakeRecordedCap),IF(COUNTIFS(nrES_PID,$D1262,nrES_Code,$F1262,nrES_Att,1)=0,$L1262,SUMIFS(nrES_Raw,nrES_PID,$D1262,nrES_Code,$F1262,nrES_Att,1))))))))</f>
        <v/>
      </c>
      <c r="N1262" s="17">
        <f>IF($C1262="","",IF($L1262="","",IF(NOT(ISNUMBER($L1262)),"(not a score)",IF($L1262&gt;=$J1262,"Yes","No"))))</f>
        <v/>
      </c>
      <c r="O1262" s="17">
        <f>IF($C1262="","",IF($M1262="","",IF(NOT(ISNUMBER($M1262)),"(not a score)",IF($M1262&gt;=$J1262,"Yes","No"))))</f>
        <v/>
      </c>
      <c r="P1262" s="17">
        <f>IF($C1262="","",IF($K1262="","",IF(N($K1262)&gt;2,"No",IF(COUNTIFS(nrES_PID,$D1262,nrES_Code,$F1262,nrES_Att,"&gt;"&amp;$K1262,nrES_Att,"&lt;=2",nrES_Raw,"&gt;=0")=0,"Yes","No"))))</f>
        <v/>
      </c>
      <c r="Q1262" s="17">
        <f>IF($C1262="","",IF($L1262="","",IF(AND($K1262=1,ISNUMBER($L1262),$L1262&lt;$J1262,COUNTIFS(nrES_PID,$D1262,nrES_Code,$F1262,nrES_Att,2,nrES_Raw,"&gt;=0")=0),"Yes","No")))</f>
        <v/>
      </c>
      <c r="R1262" s="17">
        <f>IF($C1262="","",IF($L1262="","",IF(AND(N($K1262)&gt;=2,ISNUMBER($L1262),$L1262&lt;$J1262),"Yes","No")))</f>
        <v/>
      </c>
      <c r="S1262" s="18" t="n"/>
      <c r="T1262" s="19">
        <f>IF(OR($C1262="",$L1262="",$K1262&lt;&gt;1,NOT(ISNUMBER($L1262)),$L1262&gt;=$J1262),"",IF($S1262="","(enter date)",_xlfn.LET(_xlpm.dn,_xlfn.XLOOKUP($S1262,nrCDdate,nrCDnum,"",1),IF(_xlpm.dn="","(after last class day)",_xlfn.LET(_xlpm.dd,_xlfn.XLOOKUP(_xlpm.dn+cfgRetestClassDays,nrCDnum,nrCDdate,""),_xlpm.ok,_xlfn.XLOOKUP(_xlpm.dn+cfgRetestClassDays,nrCDnum,nrCDinsession,"No"),IF(OR(_xlpm.dd="",_xlpm.ok&lt;&gt;"Yes"),"(after last class day)",_xlpm.dd))))))</f>
        <v/>
      </c>
      <c r="U1262" s="17">
        <f>IF($C1262="","",IF(AND($Y1262="Excused",$L1262="",N($K1262)&lt;=1),"EXCUSED - 1st attempt pending",IF(OR($L1262="",$K1262&lt;&gt;1,NOT(ISNUMBER($L1262)),$L1262&gt;=$J1262),"",IF(COUNTIFS(nrES_PID,$D1262,nrES_Code,$F1262,nrES_Att,2,nrES_Raw,"&gt;=0")&gt;0,IF(IFERROR(_xlfn.MINIFS(nrES_Date,nrES_PID,$D1262,nrES_Code,$F1262,nrES_Att,2,nrES_Raw,"&gt;=0",nrES_Date,"&gt;0"),0)=0,"RETEST UNDATED",IF(NOT(ISNUMBER($T1262)),"RETEST DATE UNCHECKED",IF(_xlfn.MINIFS(nrES_Date,nrES_PID,$D1262,nrES_Code,$F1262,nrES_Att,2,nrES_Raw,"&gt;=0",nrES_Date,"&gt;0")&gt;$T1262,"LATE RETEST "&amp;TEXT(_xlfn.MINIFS(nrES_Date,nrES_PID,$D1262,nrES_Code,$F1262,nrES_Att,2,nrES_Raw,"&gt;=0",nrES_Date,"&gt;0"),"mm/dd")&amp;" (due "&amp;TEXT($T1262,"mm/dd")&amp;")","Retested"))),IF(NOT(ISNUMBER($T1262)),"CHECK DATE",IF(TODAY()&gt;$T1262,"OVERDUE","Due "&amp;TEXT($T1262,"mm/dd")))))))</f>
        <v/>
      </c>
      <c r="V1262" s="16" t="n"/>
      <c r="W1262" s="16" t="n"/>
      <c r="X1262" s="17">
        <f>IF($C1262="","",IF(AND($L1262&lt;&gt;"",NOT(ISNUMBER($L1262))),"RAW SCORE NOT A NUMBER",IF(AND(ISNUMBER($L1262),OR($L1262&lt;0,$L1262&gt;100)),"RAW SCORE OUT OF RANGE",IF(AND($Y1262="Unexcused",OR($L1262="",NOT(ISNUMBER($L1262)),$L1262&lt;&gt;0)),"UNEXCUSED ABSENCE MUST RECORD 0",IF(COUNTIF(nrES_RecID,$B1262)&gt;1,"DUPLICATE RECORD",IF(N($K1262)&gt;2,"ATTEMPT 3+ NOT ALLOWED - policy 300.5 permits one retest per exam; this row records nothing",IF(AND($K1262=2,COUNTIFS(nrES_PID,$D1262,nrES_Code,$F1262,nrES_Att,1)=0),"ATTEMPT 2 WITHOUT ATTEMPT 1",IF(AND($K1262=2,$L1262=""),"RETEST ROW HAS NO SCORE",IF(AND($H1262="Final",$L1262&lt;&gt;"",IFERROR(INDEX(nrCKfinalExamElig,MATCH($D1262,rngCadetPIDs,0)),"")="No"),"FINAL EXAM AFTER FAILED FINAL PT (500.1.H)",IF(AND($K1262=2,ISNUMBER($L1262),COUNTIFS(nrES_PID,$D1262,nrES_Code,$F1262,nrES_Att,1)&gt;0,SUMIFS(nrES_Raw,nrES_PID,$D1262,nrES_Code,$F1262,nrES_Att,1)&gt;=$J1262),"RETEST AFTER A PASSING FIRST ATTEMPT","OK"))))))))))</f>
        <v/>
      </c>
      <c r="Y1262" s="16" t="n"/>
    </row>
    <row r="1263">
      <c r="B1263" s="17">
        <f>IF($C1263="","",$D1263&amp;"-"&amp;$F1263&amp;"-"&amp;$K1263)</f>
        <v/>
      </c>
      <c r="C1263" s="16" t="n"/>
      <c r="D1263" s="17">
        <f>IF($C1263="","",IFERROR(INDEX(rngCadetPIDs,MATCH($C1263,rngCadetNames,0)),"?"))</f>
        <v/>
      </c>
      <c r="E1263" s="17">
        <f>IF($D1263="","",IFERROR(INDEX(nrCadetAgency,MATCH($D1263,rngCadetPIDs,0)),""))</f>
        <v/>
      </c>
      <c r="F1263" s="16" t="n"/>
      <c r="G1263" s="17">
        <f>IF($F1263="","",IFERROR(INDEX(rngEPname,MATCH($F1263,rngEPcode,0)),"?"))</f>
        <v/>
      </c>
      <c r="H1263" s="17">
        <f>IF($F1263="","",IFERROR(INDEX(rngEPtype,MATCH($F1263,rngEPcode,0)),"?"))</f>
        <v/>
      </c>
      <c r="I1263" s="17">
        <f>IF($F1263="","",IFERROR(INDEX(rngEPseq,MATCH($F1263,rngEPcode,0)),""))</f>
        <v/>
      </c>
      <c r="J1263" s="17">
        <f>IF($F1263="","",IFERROR(INDEX(rngEPpass,MATCH($F1263,rngEPcode,0)),cfgPassingScore))</f>
        <v/>
      </c>
      <c r="K1263" s="16" t="n"/>
      <c r="L1263" s="16" t="n"/>
      <c r="M1263" s="17">
        <f>IF($C1263="","",IF($L1263="","",IF(NOT(ISNUMBER($L1263)),$L1263,IF(N($K1263)&gt;2,"",IF($K1263=1,IF(COUNTIFS(nrES_PID,$D1263,nrES_Code,$F1263,nrES_Att,2,nrES_Raw,"&gt;=0")&gt;0,"",$L1263),IF($L1263&gt;=$J1263,MAX($J1263,cfgRetakeRecordedCap),IF(COUNTIFS(nrES_PID,$D1263,nrES_Code,$F1263,nrES_Att,1)=0,$L1263,SUMIFS(nrES_Raw,nrES_PID,$D1263,nrES_Code,$F1263,nrES_Att,1))))))))</f>
        <v/>
      </c>
      <c r="N1263" s="17">
        <f>IF($C1263="","",IF($L1263="","",IF(NOT(ISNUMBER($L1263)),"(not a score)",IF($L1263&gt;=$J1263,"Yes","No"))))</f>
        <v/>
      </c>
      <c r="O1263" s="17">
        <f>IF($C1263="","",IF($M1263="","",IF(NOT(ISNUMBER($M1263)),"(not a score)",IF($M1263&gt;=$J1263,"Yes","No"))))</f>
        <v/>
      </c>
      <c r="P1263" s="17">
        <f>IF($C1263="","",IF($K1263="","",IF(N($K1263)&gt;2,"No",IF(COUNTIFS(nrES_PID,$D1263,nrES_Code,$F1263,nrES_Att,"&gt;"&amp;$K1263,nrES_Att,"&lt;=2",nrES_Raw,"&gt;=0")=0,"Yes","No"))))</f>
        <v/>
      </c>
      <c r="Q1263" s="17">
        <f>IF($C1263="","",IF($L1263="","",IF(AND($K1263=1,ISNUMBER($L1263),$L1263&lt;$J1263,COUNTIFS(nrES_PID,$D1263,nrES_Code,$F1263,nrES_Att,2,nrES_Raw,"&gt;=0")=0),"Yes","No")))</f>
        <v/>
      </c>
      <c r="R1263" s="17">
        <f>IF($C1263="","",IF($L1263="","",IF(AND(N($K1263)&gt;=2,ISNUMBER($L1263),$L1263&lt;$J1263),"Yes","No")))</f>
        <v/>
      </c>
      <c r="S1263" s="18" t="n"/>
      <c r="T1263" s="19">
        <f>IF(OR($C1263="",$L1263="",$K1263&lt;&gt;1,NOT(ISNUMBER($L1263)),$L1263&gt;=$J1263),"",IF($S1263="","(enter date)",_xlfn.LET(_xlpm.dn,_xlfn.XLOOKUP($S1263,nrCDdate,nrCDnum,"",1),IF(_xlpm.dn="","(after last class day)",_xlfn.LET(_xlpm.dd,_xlfn.XLOOKUP(_xlpm.dn+cfgRetestClassDays,nrCDnum,nrCDdate,""),_xlpm.ok,_xlfn.XLOOKUP(_xlpm.dn+cfgRetestClassDays,nrCDnum,nrCDinsession,"No"),IF(OR(_xlpm.dd="",_xlpm.ok&lt;&gt;"Yes"),"(after last class day)",_xlpm.dd))))))</f>
        <v/>
      </c>
      <c r="U1263" s="17">
        <f>IF($C1263="","",IF(AND($Y1263="Excused",$L1263="",N($K1263)&lt;=1),"EXCUSED - 1st attempt pending",IF(OR($L1263="",$K1263&lt;&gt;1,NOT(ISNUMBER($L1263)),$L1263&gt;=$J1263),"",IF(COUNTIFS(nrES_PID,$D1263,nrES_Code,$F1263,nrES_Att,2,nrES_Raw,"&gt;=0")&gt;0,IF(IFERROR(_xlfn.MINIFS(nrES_Date,nrES_PID,$D1263,nrES_Code,$F1263,nrES_Att,2,nrES_Raw,"&gt;=0",nrES_Date,"&gt;0"),0)=0,"RETEST UNDATED",IF(NOT(ISNUMBER($T1263)),"RETEST DATE UNCHECKED",IF(_xlfn.MINIFS(nrES_Date,nrES_PID,$D1263,nrES_Code,$F1263,nrES_Att,2,nrES_Raw,"&gt;=0",nrES_Date,"&gt;0")&gt;$T1263,"LATE RETEST "&amp;TEXT(_xlfn.MINIFS(nrES_Date,nrES_PID,$D1263,nrES_Code,$F1263,nrES_Att,2,nrES_Raw,"&gt;=0",nrES_Date,"&gt;0"),"mm/dd")&amp;" (due "&amp;TEXT($T1263,"mm/dd")&amp;")","Retested"))),IF(NOT(ISNUMBER($T1263)),"CHECK DATE",IF(TODAY()&gt;$T1263,"OVERDUE","Due "&amp;TEXT($T1263,"mm/dd")))))))</f>
        <v/>
      </c>
      <c r="V1263" s="16" t="n"/>
      <c r="W1263" s="16" t="n"/>
      <c r="X1263" s="17">
        <f>IF($C1263="","",IF(AND($L1263&lt;&gt;"",NOT(ISNUMBER($L1263))),"RAW SCORE NOT A NUMBER",IF(AND(ISNUMBER($L1263),OR($L1263&lt;0,$L1263&gt;100)),"RAW SCORE OUT OF RANGE",IF(AND($Y1263="Unexcused",OR($L1263="",NOT(ISNUMBER($L1263)),$L1263&lt;&gt;0)),"UNEXCUSED ABSENCE MUST RECORD 0",IF(COUNTIF(nrES_RecID,$B1263)&gt;1,"DUPLICATE RECORD",IF(N($K1263)&gt;2,"ATTEMPT 3+ NOT ALLOWED - policy 300.5 permits one retest per exam; this row records nothing",IF(AND($K1263=2,COUNTIFS(nrES_PID,$D1263,nrES_Code,$F1263,nrES_Att,1)=0),"ATTEMPT 2 WITHOUT ATTEMPT 1",IF(AND($K1263=2,$L1263=""),"RETEST ROW HAS NO SCORE",IF(AND($H1263="Final",$L1263&lt;&gt;"",IFERROR(INDEX(nrCKfinalExamElig,MATCH($D1263,rngCadetPIDs,0)),"")="No"),"FINAL EXAM AFTER FAILED FINAL PT (500.1.H)",IF(AND($K1263=2,ISNUMBER($L1263),COUNTIFS(nrES_PID,$D1263,nrES_Code,$F1263,nrES_Att,1)&gt;0,SUMIFS(nrES_Raw,nrES_PID,$D1263,nrES_Code,$F1263,nrES_Att,1)&gt;=$J1263),"RETEST AFTER A PASSING FIRST ATTEMPT","OK"))))))))))</f>
        <v/>
      </c>
      <c r="Y1263" s="16" t="n"/>
    </row>
    <row r="1264">
      <c r="B1264" s="17">
        <f>IF($C1264="","",$D1264&amp;"-"&amp;$F1264&amp;"-"&amp;$K1264)</f>
        <v/>
      </c>
      <c r="C1264" s="16" t="n"/>
      <c r="D1264" s="17">
        <f>IF($C1264="","",IFERROR(INDEX(rngCadetPIDs,MATCH($C1264,rngCadetNames,0)),"?"))</f>
        <v/>
      </c>
      <c r="E1264" s="17">
        <f>IF($D1264="","",IFERROR(INDEX(nrCadetAgency,MATCH($D1264,rngCadetPIDs,0)),""))</f>
        <v/>
      </c>
      <c r="F1264" s="16" t="n"/>
      <c r="G1264" s="17">
        <f>IF($F1264="","",IFERROR(INDEX(rngEPname,MATCH($F1264,rngEPcode,0)),"?"))</f>
        <v/>
      </c>
      <c r="H1264" s="17">
        <f>IF($F1264="","",IFERROR(INDEX(rngEPtype,MATCH($F1264,rngEPcode,0)),"?"))</f>
        <v/>
      </c>
      <c r="I1264" s="17">
        <f>IF($F1264="","",IFERROR(INDEX(rngEPseq,MATCH($F1264,rngEPcode,0)),""))</f>
        <v/>
      </c>
      <c r="J1264" s="17">
        <f>IF($F1264="","",IFERROR(INDEX(rngEPpass,MATCH($F1264,rngEPcode,0)),cfgPassingScore))</f>
        <v/>
      </c>
      <c r="K1264" s="16" t="n"/>
      <c r="L1264" s="16" t="n"/>
      <c r="M1264" s="17">
        <f>IF($C1264="","",IF($L1264="","",IF(NOT(ISNUMBER($L1264)),$L1264,IF(N($K1264)&gt;2,"",IF($K1264=1,IF(COUNTIFS(nrES_PID,$D1264,nrES_Code,$F1264,nrES_Att,2,nrES_Raw,"&gt;=0")&gt;0,"",$L1264),IF($L1264&gt;=$J1264,MAX($J1264,cfgRetakeRecordedCap),IF(COUNTIFS(nrES_PID,$D1264,nrES_Code,$F1264,nrES_Att,1)=0,$L1264,SUMIFS(nrES_Raw,nrES_PID,$D1264,nrES_Code,$F1264,nrES_Att,1))))))))</f>
        <v/>
      </c>
      <c r="N1264" s="17">
        <f>IF($C1264="","",IF($L1264="","",IF(NOT(ISNUMBER($L1264)),"(not a score)",IF($L1264&gt;=$J1264,"Yes","No"))))</f>
        <v/>
      </c>
      <c r="O1264" s="17">
        <f>IF($C1264="","",IF($M1264="","",IF(NOT(ISNUMBER($M1264)),"(not a score)",IF($M1264&gt;=$J1264,"Yes","No"))))</f>
        <v/>
      </c>
      <c r="P1264" s="17">
        <f>IF($C1264="","",IF($K1264="","",IF(N($K1264)&gt;2,"No",IF(COUNTIFS(nrES_PID,$D1264,nrES_Code,$F1264,nrES_Att,"&gt;"&amp;$K1264,nrES_Att,"&lt;=2",nrES_Raw,"&gt;=0")=0,"Yes","No"))))</f>
        <v/>
      </c>
      <c r="Q1264" s="17">
        <f>IF($C1264="","",IF($L1264="","",IF(AND($K1264=1,ISNUMBER($L1264),$L1264&lt;$J1264,COUNTIFS(nrES_PID,$D1264,nrES_Code,$F1264,nrES_Att,2,nrES_Raw,"&gt;=0")=0),"Yes","No")))</f>
        <v/>
      </c>
      <c r="R1264" s="17">
        <f>IF($C1264="","",IF($L1264="","",IF(AND(N($K1264)&gt;=2,ISNUMBER($L1264),$L1264&lt;$J1264),"Yes","No")))</f>
        <v/>
      </c>
      <c r="S1264" s="18" t="n"/>
      <c r="T1264" s="19">
        <f>IF(OR($C1264="",$L1264="",$K1264&lt;&gt;1,NOT(ISNUMBER($L1264)),$L1264&gt;=$J1264),"",IF($S1264="","(enter date)",_xlfn.LET(_xlpm.dn,_xlfn.XLOOKUP($S1264,nrCDdate,nrCDnum,"",1),IF(_xlpm.dn="","(after last class day)",_xlfn.LET(_xlpm.dd,_xlfn.XLOOKUP(_xlpm.dn+cfgRetestClassDays,nrCDnum,nrCDdate,""),_xlpm.ok,_xlfn.XLOOKUP(_xlpm.dn+cfgRetestClassDays,nrCDnum,nrCDinsession,"No"),IF(OR(_xlpm.dd="",_xlpm.ok&lt;&gt;"Yes"),"(after last class day)",_xlpm.dd))))))</f>
        <v/>
      </c>
      <c r="U1264" s="17">
        <f>IF($C1264="","",IF(AND($Y1264="Excused",$L1264="",N($K1264)&lt;=1),"EXCUSED - 1st attempt pending",IF(OR($L1264="",$K1264&lt;&gt;1,NOT(ISNUMBER($L1264)),$L1264&gt;=$J1264),"",IF(COUNTIFS(nrES_PID,$D1264,nrES_Code,$F1264,nrES_Att,2,nrES_Raw,"&gt;=0")&gt;0,IF(IFERROR(_xlfn.MINIFS(nrES_Date,nrES_PID,$D1264,nrES_Code,$F1264,nrES_Att,2,nrES_Raw,"&gt;=0",nrES_Date,"&gt;0"),0)=0,"RETEST UNDATED",IF(NOT(ISNUMBER($T1264)),"RETEST DATE UNCHECKED",IF(_xlfn.MINIFS(nrES_Date,nrES_PID,$D1264,nrES_Code,$F1264,nrES_Att,2,nrES_Raw,"&gt;=0",nrES_Date,"&gt;0")&gt;$T1264,"LATE RETEST "&amp;TEXT(_xlfn.MINIFS(nrES_Date,nrES_PID,$D1264,nrES_Code,$F1264,nrES_Att,2,nrES_Raw,"&gt;=0",nrES_Date,"&gt;0"),"mm/dd")&amp;" (due "&amp;TEXT($T1264,"mm/dd")&amp;")","Retested"))),IF(NOT(ISNUMBER($T1264)),"CHECK DATE",IF(TODAY()&gt;$T1264,"OVERDUE","Due "&amp;TEXT($T1264,"mm/dd")))))))</f>
        <v/>
      </c>
      <c r="V1264" s="16" t="n"/>
      <c r="W1264" s="16" t="n"/>
      <c r="X1264" s="17">
        <f>IF($C1264="","",IF(AND($L1264&lt;&gt;"",NOT(ISNUMBER($L1264))),"RAW SCORE NOT A NUMBER",IF(AND(ISNUMBER($L1264),OR($L1264&lt;0,$L1264&gt;100)),"RAW SCORE OUT OF RANGE",IF(AND($Y1264="Unexcused",OR($L1264="",NOT(ISNUMBER($L1264)),$L1264&lt;&gt;0)),"UNEXCUSED ABSENCE MUST RECORD 0",IF(COUNTIF(nrES_RecID,$B1264)&gt;1,"DUPLICATE RECORD",IF(N($K1264)&gt;2,"ATTEMPT 3+ NOT ALLOWED - policy 300.5 permits one retest per exam; this row records nothing",IF(AND($K1264=2,COUNTIFS(nrES_PID,$D1264,nrES_Code,$F1264,nrES_Att,1)=0),"ATTEMPT 2 WITHOUT ATTEMPT 1",IF(AND($K1264=2,$L1264=""),"RETEST ROW HAS NO SCORE",IF(AND($H1264="Final",$L1264&lt;&gt;"",IFERROR(INDEX(nrCKfinalExamElig,MATCH($D1264,rngCadetPIDs,0)),"")="No"),"FINAL EXAM AFTER FAILED FINAL PT (500.1.H)",IF(AND($K1264=2,ISNUMBER($L1264),COUNTIFS(nrES_PID,$D1264,nrES_Code,$F1264,nrES_Att,1)&gt;0,SUMIFS(nrES_Raw,nrES_PID,$D1264,nrES_Code,$F1264,nrES_Att,1)&gt;=$J1264),"RETEST AFTER A PASSING FIRST ATTEMPT","OK"))))))))))</f>
        <v/>
      </c>
      <c r="Y1264" s="16" t="n"/>
    </row>
    <row r="1265">
      <c r="B1265" s="17">
        <f>IF($C1265="","",$D1265&amp;"-"&amp;$F1265&amp;"-"&amp;$K1265)</f>
        <v/>
      </c>
      <c r="C1265" s="16" t="n"/>
      <c r="D1265" s="17">
        <f>IF($C1265="","",IFERROR(INDEX(rngCadetPIDs,MATCH($C1265,rngCadetNames,0)),"?"))</f>
        <v/>
      </c>
      <c r="E1265" s="17">
        <f>IF($D1265="","",IFERROR(INDEX(nrCadetAgency,MATCH($D1265,rngCadetPIDs,0)),""))</f>
        <v/>
      </c>
      <c r="F1265" s="16" t="n"/>
      <c r="G1265" s="17">
        <f>IF($F1265="","",IFERROR(INDEX(rngEPname,MATCH($F1265,rngEPcode,0)),"?"))</f>
        <v/>
      </c>
      <c r="H1265" s="17">
        <f>IF($F1265="","",IFERROR(INDEX(rngEPtype,MATCH($F1265,rngEPcode,0)),"?"))</f>
        <v/>
      </c>
      <c r="I1265" s="17">
        <f>IF($F1265="","",IFERROR(INDEX(rngEPseq,MATCH($F1265,rngEPcode,0)),""))</f>
        <v/>
      </c>
      <c r="J1265" s="17">
        <f>IF($F1265="","",IFERROR(INDEX(rngEPpass,MATCH($F1265,rngEPcode,0)),cfgPassingScore))</f>
        <v/>
      </c>
      <c r="K1265" s="16" t="n"/>
      <c r="L1265" s="16" t="n"/>
      <c r="M1265" s="17">
        <f>IF($C1265="","",IF($L1265="","",IF(NOT(ISNUMBER($L1265)),$L1265,IF(N($K1265)&gt;2,"",IF($K1265=1,IF(COUNTIFS(nrES_PID,$D1265,nrES_Code,$F1265,nrES_Att,2,nrES_Raw,"&gt;=0")&gt;0,"",$L1265),IF($L1265&gt;=$J1265,MAX($J1265,cfgRetakeRecordedCap),IF(COUNTIFS(nrES_PID,$D1265,nrES_Code,$F1265,nrES_Att,1)=0,$L1265,SUMIFS(nrES_Raw,nrES_PID,$D1265,nrES_Code,$F1265,nrES_Att,1))))))))</f>
        <v/>
      </c>
      <c r="N1265" s="17">
        <f>IF($C1265="","",IF($L1265="","",IF(NOT(ISNUMBER($L1265)),"(not a score)",IF($L1265&gt;=$J1265,"Yes","No"))))</f>
        <v/>
      </c>
      <c r="O1265" s="17">
        <f>IF($C1265="","",IF($M1265="","",IF(NOT(ISNUMBER($M1265)),"(not a score)",IF($M1265&gt;=$J1265,"Yes","No"))))</f>
        <v/>
      </c>
      <c r="P1265" s="17">
        <f>IF($C1265="","",IF($K1265="","",IF(N($K1265)&gt;2,"No",IF(COUNTIFS(nrES_PID,$D1265,nrES_Code,$F1265,nrES_Att,"&gt;"&amp;$K1265,nrES_Att,"&lt;=2",nrES_Raw,"&gt;=0")=0,"Yes","No"))))</f>
        <v/>
      </c>
      <c r="Q1265" s="17">
        <f>IF($C1265="","",IF($L1265="","",IF(AND($K1265=1,ISNUMBER($L1265),$L1265&lt;$J1265,COUNTIFS(nrES_PID,$D1265,nrES_Code,$F1265,nrES_Att,2,nrES_Raw,"&gt;=0")=0),"Yes","No")))</f>
        <v/>
      </c>
      <c r="R1265" s="17">
        <f>IF($C1265="","",IF($L1265="","",IF(AND(N($K1265)&gt;=2,ISNUMBER($L1265),$L1265&lt;$J1265),"Yes","No")))</f>
        <v/>
      </c>
      <c r="S1265" s="18" t="n"/>
      <c r="T1265" s="19">
        <f>IF(OR($C1265="",$L1265="",$K1265&lt;&gt;1,NOT(ISNUMBER($L1265)),$L1265&gt;=$J1265),"",IF($S1265="","(enter date)",_xlfn.LET(_xlpm.dn,_xlfn.XLOOKUP($S1265,nrCDdate,nrCDnum,"",1),IF(_xlpm.dn="","(after last class day)",_xlfn.LET(_xlpm.dd,_xlfn.XLOOKUP(_xlpm.dn+cfgRetestClassDays,nrCDnum,nrCDdate,""),_xlpm.ok,_xlfn.XLOOKUP(_xlpm.dn+cfgRetestClassDays,nrCDnum,nrCDinsession,"No"),IF(OR(_xlpm.dd="",_xlpm.ok&lt;&gt;"Yes"),"(after last class day)",_xlpm.dd))))))</f>
        <v/>
      </c>
      <c r="U1265" s="17">
        <f>IF($C1265="","",IF(AND($Y1265="Excused",$L1265="",N($K1265)&lt;=1),"EXCUSED - 1st attempt pending",IF(OR($L1265="",$K1265&lt;&gt;1,NOT(ISNUMBER($L1265)),$L1265&gt;=$J1265),"",IF(COUNTIFS(nrES_PID,$D1265,nrES_Code,$F1265,nrES_Att,2,nrES_Raw,"&gt;=0")&gt;0,IF(IFERROR(_xlfn.MINIFS(nrES_Date,nrES_PID,$D1265,nrES_Code,$F1265,nrES_Att,2,nrES_Raw,"&gt;=0",nrES_Date,"&gt;0"),0)=0,"RETEST UNDATED",IF(NOT(ISNUMBER($T1265)),"RETEST DATE UNCHECKED",IF(_xlfn.MINIFS(nrES_Date,nrES_PID,$D1265,nrES_Code,$F1265,nrES_Att,2,nrES_Raw,"&gt;=0",nrES_Date,"&gt;0")&gt;$T1265,"LATE RETEST "&amp;TEXT(_xlfn.MINIFS(nrES_Date,nrES_PID,$D1265,nrES_Code,$F1265,nrES_Att,2,nrES_Raw,"&gt;=0",nrES_Date,"&gt;0"),"mm/dd")&amp;" (due "&amp;TEXT($T1265,"mm/dd")&amp;")","Retested"))),IF(NOT(ISNUMBER($T1265)),"CHECK DATE",IF(TODAY()&gt;$T1265,"OVERDUE","Due "&amp;TEXT($T1265,"mm/dd")))))))</f>
        <v/>
      </c>
      <c r="V1265" s="16" t="n"/>
      <c r="W1265" s="16" t="n"/>
      <c r="X1265" s="17">
        <f>IF($C1265="","",IF(AND($L1265&lt;&gt;"",NOT(ISNUMBER($L1265))),"RAW SCORE NOT A NUMBER",IF(AND(ISNUMBER($L1265),OR($L1265&lt;0,$L1265&gt;100)),"RAW SCORE OUT OF RANGE",IF(AND($Y1265="Unexcused",OR($L1265="",NOT(ISNUMBER($L1265)),$L1265&lt;&gt;0)),"UNEXCUSED ABSENCE MUST RECORD 0",IF(COUNTIF(nrES_RecID,$B1265)&gt;1,"DUPLICATE RECORD",IF(N($K1265)&gt;2,"ATTEMPT 3+ NOT ALLOWED - policy 300.5 permits one retest per exam; this row records nothing",IF(AND($K1265=2,COUNTIFS(nrES_PID,$D1265,nrES_Code,$F1265,nrES_Att,1)=0),"ATTEMPT 2 WITHOUT ATTEMPT 1",IF(AND($K1265=2,$L1265=""),"RETEST ROW HAS NO SCORE",IF(AND($H1265="Final",$L1265&lt;&gt;"",IFERROR(INDEX(nrCKfinalExamElig,MATCH($D1265,rngCadetPIDs,0)),"")="No"),"FINAL EXAM AFTER FAILED FINAL PT (500.1.H)",IF(AND($K1265=2,ISNUMBER($L1265),COUNTIFS(nrES_PID,$D1265,nrES_Code,$F1265,nrES_Att,1)&gt;0,SUMIFS(nrES_Raw,nrES_PID,$D1265,nrES_Code,$F1265,nrES_Att,1)&gt;=$J1265),"RETEST AFTER A PASSING FIRST ATTEMPT","OK"))))))))))</f>
        <v/>
      </c>
      <c r="Y1265" s="16" t="n"/>
    </row>
    <row r="1266">
      <c r="B1266" s="17">
        <f>IF($C1266="","",$D1266&amp;"-"&amp;$F1266&amp;"-"&amp;$K1266)</f>
        <v/>
      </c>
      <c r="C1266" s="16" t="n"/>
      <c r="D1266" s="17">
        <f>IF($C1266="","",IFERROR(INDEX(rngCadetPIDs,MATCH($C1266,rngCadetNames,0)),"?"))</f>
        <v/>
      </c>
      <c r="E1266" s="17">
        <f>IF($D1266="","",IFERROR(INDEX(nrCadetAgency,MATCH($D1266,rngCadetPIDs,0)),""))</f>
        <v/>
      </c>
      <c r="F1266" s="16" t="n"/>
      <c r="G1266" s="17">
        <f>IF($F1266="","",IFERROR(INDEX(rngEPname,MATCH($F1266,rngEPcode,0)),"?"))</f>
        <v/>
      </c>
      <c r="H1266" s="17">
        <f>IF($F1266="","",IFERROR(INDEX(rngEPtype,MATCH($F1266,rngEPcode,0)),"?"))</f>
        <v/>
      </c>
      <c r="I1266" s="17">
        <f>IF($F1266="","",IFERROR(INDEX(rngEPseq,MATCH($F1266,rngEPcode,0)),""))</f>
        <v/>
      </c>
      <c r="J1266" s="17">
        <f>IF($F1266="","",IFERROR(INDEX(rngEPpass,MATCH($F1266,rngEPcode,0)),cfgPassingScore))</f>
        <v/>
      </c>
      <c r="K1266" s="16" t="n"/>
      <c r="L1266" s="16" t="n"/>
      <c r="M1266" s="17">
        <f>IF($C1266="","",IF($L1266="","",IF(NOT(ISNUMBER($L1266)),$L1266,IF(N($K1266)&gt;2,"",IF($K1266=1,IF(COUNTIFS(nrES_PID,$D1266,nrES_Code,$F1266,nrES_Att,2,nrES_Raw,"&gt;=0")&gt;0,"",$L1266),IF($L1266&gt;=$J1266,MAX($J1266,cfgRetakeRecordedCap),IF(COUNTIFS(nrES_PID,$D1266,nrES_Code,$F1266,nrES_Att,1)=0,$L1266,SUMIFS(nrES_Raw,nrES_PID,$D1266,nrES_Code,$F1266,nrES_Att,1))))))))</f>
        <v/>
      </c>
      <c r="N1266" s="17">
        <f>IF($C1266="","",IF($L1266="","",IF(NOT(ISNUMBER($L1266)),"(not a score)",IF($L1266&gt;=$J1266,"Yes","No"))))</f>
        <v/>
      </c>
      <c r="O1266" s="17">
        <f>IF($C1266="","",IF($M1266="","",IF(NOT(ISNUMBER($M1266)),"(not a score)",IF($M1266&gt;=$J1266,"Yes","No"))))</f>
        <v/>
      </c>
      <c r="P1266" s="17">
        <f>IF($C1266="","",IF($K1266="","",IF(N($K1266)&gt;2,"No",IF(COUNTIFS(nrES_PID,$D1266,nrES_Code,$F1266,nrES_Att,"&gt;"&amp;$K1266,nrES_Att,"&lt;=2",nrES_Raw,"&gt;=0")=0,"Yes","No"))))</f>
        <v/>
      </c>
      <c r="Q1266" s="17">
        <f>IF($C1266="","",IF($L1266="","",IF(AND($K1266=1,ISNUMBER($L1266),$L1266&lt;$J1266,COUNTIFS(nrES_PID,$D1266,nrES_Code,$F1266,nrES_Att,2,nrES_Raw,"&gt;=0")=0),"Yes","No")))</f>
        <v/>
      </c>
      <c r="R1266" s="17">
        <f>IF($C1266="","",IF($L1266="","",IF(AND(N($K1266)&gt;=2,ISNUMBER($L1266),$L1266&lt;$J1266),"Yes","No")))</f>
        <v/>
      </c>
      <c r="S1266" s="18" t="n"/>
      <c r="T1266" s="19">
        <f>IF(OR($C1266="",$L1266="",$K1266&lt;&gt;1,NOT(ISNUMBER($L1266)),$L1266&gt;=$J1266),"",IF($S1266="","(enter date)",_xlfn.LET(_xlpm.dn,_xlfn.XLOOKUP($S1266,nrCDdate,nrCDnum,"",1),IF(_xlpm.dn="","(after last class day)",_xlfn.LET(_xlpm.dd,_xlfn.XLOOKUP(_xlpm.dn+cfgRetestClassDays,nrCDnum,nrCDdate,""),_xlpm.ok,_xlfn.XLOOKUP(_xlpm.dn+cfgRetestClassDays,nrCDnum,nrCDinsession,"No"),IF(OR(_xlpm.dd="",_xlpm.ok&lt;&gt;"Yes"),"(after last class day)",_xlpm.dd))))))</f>
        <v/>
      </c>
      <c r="U1266" s="17">
        <f>IF($C1266="","",IF(AND($Y1266="Excused",$L1266="",N($K1266)&lt;=1),"EXCUSED - 1st attempt pending",IF(OR($L1266="",$K1266&lt;&gt;1,NOT(ISNUMBER($L1266)),$L1266&gt;=$J1266),"",IF(COUNTIFS(nrES_PID,$D1266,nrES_Code,$F1266,nrES_Att,2,nrES_Raw,"&gt;=0")&gt;0,IF(IFERROR(_xlfn.MINIFS(nrES_Date,nrES_PID,$D1266,nrES_Code,$F1266,nrES_Att,2,nrES_Raw,"&gt;=0",nrES_Date,"&gt;0"),0)=0,"RETEST UNDATED",IF(NOT(ISNUMBER($T1266)),"RETEST DATE UNCHECKED",IF(_xlfn.MINIFS(nrES_Date,nrES_PID,$D1266,nrES_Code,$F1266,nrES_Att,2,nrES_Raw,"&gt;=0",nrES_Date,"&gt;0")&gt;$T1266,"LATE RETEST "&amp;TEXT(_xlfn.MINIFS(nrES_Date,nrES_PID,$D1266,nrES_Code,$F1266,nrES_Att,2,nrES_Raw,"&gt;=0",nrES_Date,"&gt;0"),"mm/dd")&amp;" (due "&amp;TEXT($T1266,"mm/dd")&amp;")","Retested"))),IF(NOT(ISNUMBER($T1266)),"CHECK DATE",IF(TODAY()&gt;$T1266,"OVERDUE","Due "&amp;TEXT($T1266,"mm/dd")))))))</f>
        <v/>
      </c>
      <c r="V1266" s="16" t="n"/>
      <c r="W1266" s="16" t="n"/>
      <c r="X1266" s="17">
        <f>IF($C1266="","",IF(AND($L1266&lt;&gt;"",NOT(ISNUMBER($L1266))),"RAW SCORE NOT A NUMBER",IF(AND(ISNUMBER($L1266),OR($L1266&lt;0,$L1266&gt;100)),"RAW SCORE OUT OF RANGE",IF(AND($Y1266="Unexcused",OR($L1266="",NOT(ISNUMBER($L1266)),$L1266&lt;&gt;0)),"UNEXCUSED ABSENCE MUST RECORD 0",IF(COUNTIF(nrES_RecID,$B1266)&gt;1,"DUPLICATE RECORD",IF(N($K1266)&gt;2,"ATTEMPT 3+ NOT ALLOWED - policy 300.5 permits one retest per exam; this row records nothing",IF(AND($K1266=2,COUNTIFS(nrES_PID,$D1266,nrES_Code,$F1266,nrES_Att,1)=0),"ATTEMPT 2 WITHOUT ATTEMPT 1",IF(AND($K1266=2,$L1266=""),"RETEST ROW HAS NO SCORE",IF(AND($H1266="Final",$L1266&lt;&gt;"",IFERROR(INDEX(nrCKfinalExamElig,MATCH($D1266,rngCadetPIDs,0)),"")="No"),"FINAL EXAM AFTER FAILED FINAL PT (500.1.H)",IF(AND($K1266=2,ISNUMBER($L1266),COUNTIFS(nrES_PID,$D1266,nrES_Code,$F1266,nrES_Att,1)&gt;0,SUMIFS(nrES_Raw,nrES_PID,$D1266,nrES_Code,$F1266,nrES_Att,1)&gt;=$J1266),"RETEST AFTER A PASSING FIRST ATTEMPT","OK"))))))))))</f>
        <v/>
      </c>
      <c r="Y1266" s="16" t="n"/>
    </row>
    <row r="1267">
      <c r="B1267" s="17">
        <f>IF($C1267="","",$D1267&amp;"-"&amp;$F1267&amp;"-"&amp;$K1267)</f>
        <v/>
      </c>
      <c r="C1267" s="16" t="n"/>
      <c r="D1267" s="17">
        <f>IF($C1267="","",IFERROR(INDEX(rngCadetPIDs,MATCH($C1267,rngCadetNames,0)),"?"))</f>
        <v/>
      </c>
      <c r="E1267" s="17">
        <f>IF($D1267="","",IFERROR(INDEX(nrCadetAgency,MATCH($D1267,rngCadetPIDs,0)),""))</f>
        <v/>
      </c>
      <c r="F1267" s="16" t="n"/>
      <c r="G1267" s="17">
        <f>IF($F1267="","",IFERROR(INDEX(rngEPname,MATCH($F1267,rngEPcode,0)),"?"))</f>
        <v/>
      </c>
      <c r="H1267" s="17">
        <f>IF($F1267="","",IFERROR(INDEX(rngEPtype,MATCH($F1267,rngEPcode,0)),"?"))</f>
        <v/>
      </c>
      <c r="I1267" s="17">
        <f>IF($F1267="","",IFERROR(INDEX(rngEPseq,MATCH($F1267,rngEPcode,0)),""))</f>
        <v/>
      </c>
      <c r="J1267" s="17">
        <f>IF($F1267="","",IFERROR(INDEX(rngEPpass,MATCH($F1267,rngEPcode,0)),cfgPassingScore))</f>
        <v/>
      </c>
      <c r="K1267" s="16" t="n"/>
      <c r="L1267" s="16" t="n"/>
      <c r="M1267" s="17">
        <f>IF($C1267="","",IF($L1267="","",IF(NOT(ISNUMBER($L1267)),$L1267,IF(N($K1267)&gt;2,"",IF($K1267=1,IF(COUNTIFS(nrES_PID,$D1267,nrES_Code,$F1267,nrES_Att,2,nrES_Raw,"&gt;=0")&gt;0,"",$L1267),IF($L1267&gt;=$J1267,MAX($J1267,cfgRetakeRecordedCap),IF(COUNTIFS(nrES_PID,$D1267,nrES_Code,$F1267,nrES_Att,1)=0,$L1267,SUMIFS(nrES_Raw,nrES_PID,$D1267,nrES_Code,$F1267,nrES_Att,1))))))))</f>
        <v/>
      </c>
      <c r="N1267" s="17">
        <f>IF($C1267="","",IF($L1267="","",IF(NOT(ISNUMBER($L1267)),"(not a score)",IF($L1267&gt;=$J1267,"Yes","No"))))</f>
        <v/>
      </c>
      <c r="O1267" s="17">
        <f>IF($C1267="","",IF($M1267="","",IF(NOT(ISNUMBER($M1267)),"(not a score)",IF($M1267&gt;=$J1267,"Yes","No"))))</f>
        <v/>
      </c>
      <c r="P1267" s="17">
        <f>IF($C1267="","",IF($K1267="","",IF(N($K1267)&gt;2,"No",IF(COUNTIFS(nrES_PID,$D1267,nrES_Code,$F1267,nrES_Att,"&gt;"&amp;$K1267,nrES_Att,"&lt;=2",nrES_Raw,"&gt;=0")=0,"Yes","No"))))</f>
        <v/>
      </c>
      <c r="Q1267" s="17">
        <f>IF($C1267="","",IF($L1267="","",IF(AND($K1267=1,ISNUMBER($L1267),$L1267&lt;$J1267,COUNTIFS(nrES_PID,$D1267,nrES_Code,$F1267,nrES_Att,2,nrES_Raw,"&gt;=0")=0),"Yes","No")))</f>
        <v/>
      </c>
      <c r="R1267" s="17">
        <f>IF($C1267="","",IF($L1267="","",IF(AND(N($K1267)&gt;=2,ISNUMBER($L1267),$L1267&lt;$J1267),"Yes","No")))</f>
        <v/>
      </c>
      <c r="S1267" s="18" t="n"/>
      <c r="T1267" s="19">
        <f>IF(OR($C1267="",$L1267="",$K1267&lt;&gt;1,NOT(ISNUMBER($L1267)),$L1267&gt;=$J1267),"",IF($S1267="","(enter date)",_xlfn.LET(_xlpm.dn,_xlfn.XLOOKUP($S1267,nrCDdate,nrCDnum,"",1),IF(_xlpm.dn="","(after last class day)",_xlfn.LET(_xlpm.dd,_xlfn.XLOOKUP(_xlpm.dn+cfgRetestClassDays,nrCDnum,nrCDdate,""),_xlpm.ok,_xlfn.XLOOKUP(_xlpm.dn+cfgRetestClassDays,nrCDnum,nrCDinsession,"No"),IF(OR(_xlpm.dd="",_xlpm.ok&lt;&gt;"Yes"),"(after last class day)",_xlpm.dd))))))</f>
        <v/>
      </c>
      <c r="U1267" s="17">
        <f>IF($C1267="","",IF(AND($Y1267="Excused",$L1267="",N($K1267)&lt;=1),"EXCUSED - 1st attempt pending",IF(OR($L1267="",$K1267&lt;&gt;1,NOT(ISNUMBER($L1267)),$L1267&gt;=$J1267),"",IF(COUNTIFS(nrES_PID,$D1267,nrES_Code,$F1267,nrES_Att,2,nrES_Raw,"&gt;=0")&gt;0,IF(IFERROR(_xlfn.MINIFS(nrES_Date,nrES_PID,$D1267,nrES_Code,$F1267,nrES_Att,2,nrES_Raw,"&gt;=0",nrES_Date,"&gt;0"),0)=0,"RETEST UNDATED",IF(NOT(ISNUMBER($T1267)),"RETEST DATE UNCHECKED",IF(_xlfn.MINIFS(nrES_Date,nrES_PID,$D1267,nrES_Code,$F1267,nrES_Att,2,nrES_Raw,"&gt;=0",nrES_Date,"&gt;0")&gt;$T1267,"LATE RETEST "&amp;TEXT(_xlfn.MINIFS(nrES_Date,nrES_PID,$D1267,nrES_Code,$F1267,nrES_Att,2,nrES_Raw,"&gt;=0",nrES_Date,"&gt;0"),"mm/dd")&amp;" (due "&amp;TEXT($T1267,"mm/dd")&amp;")","Retested"))),IF(NOT(ISNUMBER($T1267)),"CHECK DATE",IF(TODAY()&gt;$T1267,"OVERDUE","Due "&amp;TEXT($T1267,"mm/dd")))))))</f>
        <v/>
      </c>
      <c r="V1267" s="16" t="n"/>
      <c r="W1267" s="16" t="n"/>
      <c r="X1267" s="17">
        <f>IF($C1267="","",IF(AND($L1267&lt;&gt;"",NOT(ISNUMBER($L1267))),"RAW SCORE NOT A NUMBER",IF(AND(ISNUMBER($L1267),OR($L1267&lt;0,$L1267&gt;100)),"RAW SCORE OUT OF RANGE",IF(AND($Y1267="Unexcused",OR($L1267="",NOT(ISNUMBER($L1267)),$L1267&lt;&gt;0)),"UNEXCUSED ABSENCE MUST RECORD 0",IF(COUNTIF(nrES_RecID,$B1267)&gt;1,"DUPLICATE RECORD",IF(N($K1267)&gt;2,"ATTEMPT 3+ NOT ALLOWED - policy 300.5 permits one retest per exam; this row records nothing",IF(AND($K1267=2,COUNTIFS(nrES_PID,$D1267,nrES_Code,$F1267,nrES_Att,1)=0),"ATTEMPT 2 WITHOUT ATTEMPT 1",IF(AND($K1267=2,$L1267=""),"RETEST ROW HAS NO SCORE",IF(AND($H1267="Final",$L1267&lt;&gt;"",IFERROR(INDEX(nrCKfinalExamElig,MATCH($D1267,rngCadetPIDs,0)),"")="No"),"FINAL EXAM AFTER FAILED FINAL PT (500.1.H)",IF(AND($K1267=2,ISNUMBER($L1267),COUNTIFS(nrES_PID,$D1267,nrES_Code,$F1267,nrES_Att,1)&gt;0,SUMIFS(nrES_Raw,nrES_PID,$D1267,nrES_Code,$F1267,nrES_Att,1)&gt;=$J1267),"RETEST AFTER A PASSING FIRST ATTEMPT","OK"))))))))))</f>
        <v/>
      </c>
      <c r="Y1267" s="16" t="n"/>
    </row>
    <row r="1268">
      <c r="B1268" s="17">
        <f>IF($C1268="","",$D1268&amp;"-"&amp;$F1268&amp;"-"&amp;$K1268)</f>
        <v/>
      </c>
      <c r="C1268" s="16" t="n"/>
      <c r="D1268" s="17">
        <f>IF($C1268="","",IFERROR(INDEX(rngCadetPIDs,MATCH($C1268,rngCadetNames,0)),"?"))</f>
        <v/>
      </c>
      <c r="E1268" s="17">
        <f>IF($D1268="","",IFERROR(INDEX(nrCadetAgency,MATCH($D1268,rngCadetPIDs,0)),""))</f>
        <v/>
      </c>
      <c r="F1268" s="16" t="n"/>
      <c r="G1268" s="17">
        <f>IF($F1268="","",IFERROR(INDEX(rngEPname,MATCH($F1268,rngEPcode,0)),"?"))</f>
        <v/>
      </c>
      <c r="H1268" s="17">
        <f>IF($F1268="","",IFERROR(INDEX(rngEPtype,MATCH($F1268,rngEPcode,0)),"?"))</f>
        <v/>
      </c>
      <c r="I1268" s="17">
        <f>IF($F1268="","",IFERROR(INDEX(rngEPseq,MATCH($F1268,rngEPcode,0)),""))</f>
        <v/>
      </c>
      <c r="J1268" s="17">
        <f>IF($F1268="","",IFERROR(INDEX(rngEPpass,MATCH($F1268,rngEPcode,0)),cfgPassingScore))</f>
        <v/>
      </c>
      <c r="K1268" s="16" t="n"/>
      <c r="L1268" s="16" t="n"/>
      <c r="M1268" s="17">
        <f>IF($C1268="","",IF($L1268="","",IF(NOT(ISNUMBER($L1268)),$L1268,IF(N($K1268)&gt;2,"",IF($K1268=1,IF(COUNTIFS(nrES_PID,$D1268,nrES_Code,$F1268,nrES_Att,2,nrES_Raw,"&gt;=0")&gt;0,"",$L1268),IF($L1268&gt;=$J1268,MAX($J1268,cfgRetakeRecordedCap),IF(COUNTIFS(nrES_PID,$D1268,nrES_Code,$F1268,nrES_Att,1)=0,$L1268,SUMIFS(nrES_Raw,nrES_PID,$D1268,nrES_Code,$F1268,nrES_Att,1))))))))</f>
        <v/>
      </c>
      <c r="N1268" s="17">
        <f>IF($C1268="","",IF($L1268="","",IF(NOT(ISNUMBER($L1268)),"(not a score)",IF($L1268&gt;=$J1268,"Yes","No"))))</f>
        <v/>
      </c>
      <c r="O1268" s="17">
        <f>IF($C1268="","",IF($M1268="","",IF(NOT(ISNUMBER($M1268)),"(not a score)",IF($M1268&gt;=$J1268,"Yes","No"))))</f>
        <v/>
      </c>
      <c r="P1268" s="17">
        <f>IF($C1268="","",IF($K1268="","",IF(N($K1268)&gt;2,"No",IF(COUNTIFS(nrES_PID,$D1268,nrES_Code,$F1268,nrES_Att,"&gt;"&amp;$K1268,nrES_Att,"&lt;=2",nrES_Raw,"&gt;=0")=0,"Yes","No"))))</f>
        <v/>
      </c>
      <c r="Q1268" s="17">
        <f>IF($C1268="","",IF($L1268="","",IF(AND($K1268=1,ISNUMBER($L1268),$L1268&lt;$J1268,COUNTIFS(nrES_PID,$D1268,nrES_Code,$F1268,nrES_Att,2,nrES_Raw,"&gt;=0")=0),"Yes","No")))</f>
        <v/>
      </c>
      <c r="R1268" s="17">
        <f>IF($C1268="","",IF($L1268="","",IF(AND(N($K1268)&gt;=2,ISNUMBER($L1268),$L1268&lt;$J1268),"Yes","No")))</f>
        <v/>
      </c>
      <c r="S1268" s="18" t="n"/>
      <c r="T1268" s="19">
        <f>IF(OR($C1268="",$L1268="",$K1268&lt;&gt;1,NOT(ISNUMBER($L1268)),$L1268&gt;=$J1268),"",IF($S1268="","(enter date)",_xlfn.LET(_xlpm.dn,_xlfn.XLOOKUP($S1268,nrCDdate,nrCDnum,"",1),IF(_xlpm.dn="","(after last class day)",_xlfn.LET(_xlpm.dd,_xlfn.XLOOKUP(_xlpm.dn+cfgRetestClassDays,nrCDnum,nrCDdate,""),_xlpm.ok,_xlfn.XLOOKUP(_xlpm.dn+cfgRetestClassDays,nrCDnum,nrCDinsession,"No"),IF(OR(_xlpm.dd="",_xlpm.ok&lt;&gt;"Yes"),"(after last class day)",_xlpm.dd))))))</f>
        <v/>
      </c>
      <c r="U1268" s="17">
        <f>IF($C1268="","",IF(AND($Y1268="Excused",$L1268="",N($K1268)&lt;=1),"EXCUSED - 1st attempt pending",IF(OR($L1268="",$K1268&lt;&gt;1,NOT(ISNUMBER($L1268)),$L1268&gt;=$J1268),"",IF(COUNTIFS(nrES_PID,$D1268,nrES_Code,$F1268,nrES_Att,2,nrES_Raw,"&gt;=0")&gt;0,IF(IFERROR(_xlfn.MINIFS(nrES_Date,nrES_PID,$D1268,nrES_Code,$F1268,nrES_Att,2,nrES_Raw,"&gt;=0",nrES_Date,"&gt;0"),0)=0,"RETEST UNDATED",IF(NOT(ISNUMBER($T1268)),"RETEST DATE UNCHECKED",IF(_xlfn.MINIFS(nrES_Date,nrES_PID,$D1268,nrES_Code,$F1268,nrES_Att,2,nrES_Raw,"&gt;=0",nrES_Date,"&gt;0")&gt;$T1268,"LATE RETEST "&amp;TEXT(_xlfn.MINIFS(nrES_Date,nrES_PID,$D1268,nrES_Code,$F1268,nrES_Att,2,nrES_Raw,"&gt;=0",nrES_Date,"&gt;0"),"mm/dd")&amp;" (due "&amp;TEXT($T1268,"mm/dd")&amp;")","Retested"))),IF(NOT(ISNUMBER($T1268)),"CHECK DATE",IF(TODAY()&gt;$T1268,"OVERDUE","Due "&amp;TEXT($T1268,"mm/dd")))))))</f>
        <v/>
      </c>
      <c r="V1268" s="16" t="n"/>
      <c r="W1268" s="16" t="n"/>
      <c r="X1268" s="17">
        <f>IF($C1268="","",IF(AND($L1268&lt;&gt;"",NOT(ISNUMBER($L1268))),"RAW SCORE NOT A NUMBER",IF(AND(ISNUMBER($L1268),OR($L1268&lt;0,$L1268&gt;100)),"RAW SCORE OUT OF RANGE",IF(AND($Y1268="Unexcused",OR($L1268="",NOT(ISNUMBER($L1268)),$L1268&lt;&gt;0)),"UNEXCUSED ABSENCE MUST RECORD 0",IF(COUNTIF(nrES_RecID,$B1268)&gt;1,"DUPLICATE RECORD",IF(N($K1268)&gt;2,"ATTEMPT 3+ NOT ALLOWED - policy 300.5 permits one retest per exam; this row records nothing",IF(AND($K1268=2,COUNTIFS(nrES_PID,$D1268,nrES_Code,$F1268,nrES_Att,1)=0),"ATTEMPT 2 WITHOUT ATTEMPT 1",IF(AND($K1268=2,$L1268=""),"RETEST ROW HAS NO SCORE",IF(AND($H1268="Final",$L1268&lt;&gt;"",IFERROR(INDEX(nrCKfinalExamElig,MATCH($D1268,rngCadetPIDs,0)),"")="No"),"FINAL EXAM AFTER FAILED FINAL PT (500.1.H)",IF(AND($K1268=2,ISNUMBER($L1268),COUNTIFS(nrES_PID,$D1268,nrES_Code,$F1268,nrES_Att,1)&gt;0,SUMIFS(nrES_Raw,nrES_PID,$D1268,nrES_Code,$F1268,nrES_Att,1)&gt;=$J1268),"RETEST AFTER A PASSING FIRST ATTEMPT","OK"))))))))))</f>
        <v/>
      </c>
      <c r="Y1268" s="16" t="n"/>
    </row>
    <row r="1269">
      <c r="B1269" s="17">
        <f>IF($C1269="","",$D1269&amp;"-"&amp;$F1269&amp;"-"&amp;$K1269)</f>
        <v/>
      </c>
      <c r="C1269" s="16" t="n"/>
      <c r="D1269" s="17">
        <f>IF($C1269="","",IFERROR(INDEX(rngCadetPIDs,MATCH($C1269,rngCadetNames,0)),"?"))</f>
        <v/>
      </c>
      <c r="E1269" s="17">
        <f>IF($D1269="","",IFERROR(INDEX(nrCadetAgency,MATCH($D1269,rngCadetPIDs,0)),""))</f>
        <v/>
      </c>
      <c r="F1269" s="16" t="n"/>
      <c r="G1269" s="17">
        <f>IF($F1269="","",IFERROR(INDEX(rngEPname,MATCH($F1269,rngEPcode,0)),"?"))</f>
        <v/>
      </c>
      <c r="H1269" s="17">
        <f>IF($F1269="","",IFERROR(INDEX(rngEPtype,MATCH($F1269,rngEPcode,0)),"?"))</f>
        <v/>
      </c>
      <c r="I1269" s="17">
        <f>IF($F1269="","",IFERROR(INDEX(rngEPseq,MATCH($F1269,rngEPcode,0)),""))</f>
        <v/>
      </c>
      <c r="J1269" s="17">
        <f>IF($F1269="","",IFERROR(INDEX(rngEPpass,MATCH($F1269,rngEPcode,0)),cfgPassingScore))</f>
        <v/>
      </c>
      <c r="K1269" s="16" t="n"/>
      <c r="L1269" s="16" t="n"/>
      <c r="M1269" s="17">
        <f>IF($C1269="","",IF($L1269="","",IF(NOT(ISNUMBER($L1269)),$L1269,IF(N($K1269)&gt;2,"",IF($K1269=1,IF(COUNTIFS(nrES_PID,$D1269,nrES_Code,$F1269,nrES_Att,2,nrES_Raw,"&gt;=0")&gt;0,"",$L1269),IF($L1269&gt;=$J1269,MAX($J1269,cfgRetakeRecordedCap),IF(COUNTIFS(nrES_PID,$D1269,nrES_Code,$F1269,nrES_Att,1)=0,$L1269,SUMIFS(nrES_Raw,nrES_PID,$D1269,nrES_Code,$F1269,nrES_Att,1))))))))</f>
        <v/>
      </c>
      <c r="N1269" s="17">
        <f>IF($C1269="","",IF($L1269="","",IF(NOT(ISNUMBER($L1269)),"(not a score)",IF($L1269&gt;=$J1269,"Yes","No"))))</f>
        <v/>
      </c>
      <c r="O1269" s="17">
        <f>IF($C1269="","",IF($M1269="","",IF(NOT(ISNUMBER($M1269)),"(not a score)",IF($M1269&gt;=$J1269,"Yes","No"))))</f>
        <v/>
      </c>
      <c r="P1269" s="17">
        <f>IF($C1269="","",IF($K1269="","",IF(N($K1269)&gt;2,"No",IF(COUNTIFS(nrES_PID,$D1269,nrES_Code,$F1269,nrES_Att,"&gt;"&amp;$K1269,nrES_Att,"&lt;=2",nrES_Raw,"&gt;=0")=0,"Yes","No"))))</f>
        <v/>
      </c>
      <c r="Q1269" s="17">
        <f>IF($C1269="","",IF($L1269="","",IF(AND($K1269=1,ISNUMBER($L1269),$L1269&lt;$J1269,COUNTIFS(nrES_PID,$D1269,nrES_Code,$F1269,nrES_Att,2,nrES_Raw,"&gt;=0")=0),"Yes","No")))</f>
        <v/>
      </c>
      <c r="R1269" s="17">
        <f>IF($C1269="","",IF($L1269="","",IF(AND(N($K1269)&gt;=2,ISNUMBER($L1269),$L1269&lt;$J1269),"Yes","No")))</f>
        <v/>
      </c>
      <c r="S1269" s="18" t="n"/>
      <c r="T1269" s="19">
        <f>IF(OR($C1269="",$L1269="",$K1269&lt;&gt;1,NOT(ISNUMBER($L1269)),$L1269&gt;=$J1269),"",IF($S1269="","(enter date)",_xlfn.LET(_xlpm.dn,_xlfn.XLOOKUP($S1269,nrCDdate,nrCDnum,"",1),IF(_xlpm.dn="","(after last class day)",_xlfn.LET(_xlpm.dd,_xlfn.XLOOKUP(_xlpm.dn+cfgRetestClassDays,nrCDnum,nrCDdate,""),_xlpm.ok,_xlfn.XLOOKUP(_xlpm.dn+cfgRetestClassDays,nrCDnum,nrCDinsession,"No"),IF(OR(_xlpm.dd="",_xlpm.ok&lt;&gt;"Yes"),"(after last class day)",_xlpm.dd))))))</f>
        <v/>
      </c>
      <c r="U1269" s="17">
        <f>IF($C1269="","",IF(AND($Y1269="Excused",$L1269="",N($K1269)&lt;=1),"EXCUSED - 1st attempt pending",IF(OR($L1269="",$K1269&lt;&gt;1,NOT(ISNUMBER($L1269)),$L1269&gt;=$J1269),"",IF(COUNTIFS(nrES_PID,$D1269,nrES_Code,$F1269,nrES_Att,2,nrES_Raw,"&gt;=0")&gt;0,IF(IFERROR(_xlfn.MINIFS(nrES_Date,nrES_PID,$D1269,nrES_Code,$F1269,nrES_Att,2,nrES_Raw,"&gt;=0",nrES_Date,"&gt;0"),0)=0,"RETEST UNDATED",IF(NOT(ISNUMBER($T1269)),"RETEST DATE UNCHECKED",IF(_xlfn.MINIFS(nrES_Date,nrES_PID,$D1269,nrES_Code,$F1269,nrES_Att,2,nrES_Raw,"&gt;=0",nrES_Date,"&gt;0")&gt;$T1269,"LATE RETEST "&amp;TEXT(_xlfn.MINIFS(nrES_Date,nrES_PID,$D1269,nrES_Code,$F1269,nrES_Att,2,nrES_Raw,"&gt;=0",nrES_Date,"&gt;0"),"mm/dd")&amp;" (due "&amp;TEXT($T1269,"mm/dd")&amp;")","Retested"))),IF(NOT(ISNUMBER($T1269)),"CHECK DATE",IF(TODAY()&gt;$T1269,"OVERDUE","Due "&amp;TEXT($T1269,"mm/dd")))))))</f>
        <v/>
      </c>
      <c r="V1269" s="16" t="n"/>
      <c r="W1269" s="16" t="n"/>
      <c r="X1269" s="17">
        <f>IF($C1269="","",IF(AND($L1269&lt;&gt;"",NOT(ISNUMBER($L1269))),"RAW SCORE NOT A NUMBER",IF(AND(ISNUMBER($L1269),OR($L1269&lt;0,$L1269&gt;100)),"RAW SCORE OUT OF RANGE",IF(AND($Y1269="Unexcused",OR($L1269="",NOT(ISNUMBER($L1269)),$L1269&lt;&gt;0)),"UNEXCUSED ABSENCE MUST RECORD 0",IF(COUNTIF(nrES_RecID,$B1269)&gt;1,"DUPLICATE RECORD",IF(N($K1269)&gt;2,"ATTEMPT 3+ NOT ALLOWED - policy 300.5 permits one retest per exam; this row records nothing",IF(AND($K1269=2,COUNTIFS(nrES_PID,$D1269,nrES_Code,$F1269,nrES_Att,1)=0),"ATTEMPT 2 WITHOUT ATTEMPT 1",IF(AND($K1269=2,$L1269=""),"RETEST ROW HAS NO SCORE",IF(AND($H1269="Final",$L1269&lt;&gt;"",IFERROR(INDEX(nrCKfinalExamElig,MATCH($D1269,rngCadetPIDs,0)),"")="No"),"FINAL EXAM AFTER FAILED FINAL PT (500.1.H)",IF(AND($K1269=2,ISNUMBER($L1269),COUNTIFS(nrES_PID,$D1269,nrES_Code,$F1269,nrES_Att,1)&gt;0,SUMIFS(nrES_Raw,nrES_PID,$D1269,nrES_Code,$F1269,nrES_Att,1)&gt;=$J1269),"RETEST AFTER A PASSING FIRST ATTEMPT","OK"))))))))))</f>
        <v/>
      </c>
      <c r="Y1269" s="16" t="n"/>
    </row>
    <row r="1270">
      <c r="B1270" s="17">
        <f>IF($C1270="","",$D1270&amp;"-"&amp;$F1270&amp;"-"&amp;$K1270)</f>
        <v/>
      </c>
      <c r="C1270" s="16" t="n"/>
      <c r="D1270" s="17">
        <f>IF($C1270="","",IFERROR(INDEX(rngCadetPIDs,MATCH($C1270,rngCadetNames,0)),"?"))</f>
        <v/>
      </c>
      <c r="E1270" s="17">
        <f>IF($D1270="","",IFERROR(INDEX(nrCadetAgency,MATCH($D1270,rngCadetPIDs,0)),""))</f>
        <v/>
      </c>
      <c r="F1270" s="16" t="n"/>
      <c r="G1270" s="17">
        <f>IF($F1270="","",IFERROR(INDEX(rngEPname,MATCH($F1270,rngEPcode,0)),"?"))</f>
        <v/>
      </c>
      <c r="H1270" s="17">
        <f>IF($F1270="","",IFERROR(INDEX(rngEPtype,MATCH($F1270,rngEPcode,0)),"?"))</f>
        <v/>
      </c>
      <c r="I1270" s="17">
        <f>IF($F1270="","",IFERROR(INDEX(rngEPseq,MATCH($F1270,rngEPcode,0)),""))</f>
        <v/>
      </c>
      <c r="J1270" s="17">
        <f>IF($F1270="","",IFERROR(INDEX(rngEPpass,MATCH($F1270,rngEPcode,0)),cfgPassingScore))</f>
        <v/>
      </c>
      <c r="K1270" s="16" t="n"/>
      <c r="L1270" s="16" t="n"/>
      <c r="M1270" s="17">
        <f>IF($C1270="","",IF($L1270="","",IF(NOT(ISNUMBER($L1270)),$L1270,IF(N($K1270)&gt;2,"",IF($K1270=1,IF(COUNTIFS(nrES_PID,$D1270,nrES_Code,$F1270,nrES_Att,2,nrES_Raw,"&gt;=0")&gt;0,"",$L1270),IF($L1270&gt;=$J1270,MAX($J1270,cfgRetakeRecordedCap),IF(COUNTIFS(nrES_PID,$D1270,nrES_Code,$F1270,nrES_Att,1)=0,$L1270,SUMIFS(nrES_Raw,nrES_PID,$D1270,nrES_Code,$F1270,nrES_Att,1))))))))</f>
        <v/>
      </c>
      <c r="N1270" s="17">
        <f>IF($C1270="","",IF($L1270="","",IF(NOT(ISNUMBER($L1270)),"(not a score)",IF($L1270&gt;=$J1270,"Yes","No"))))</f>
        <v/>
      </c>
      <c r="O1270" s="17">
        <f>IF($C1270="","",IF($M1270="","",IF(NOT(ISNUMBER($M1270)),"(not a score)",IF($M1270&gt;=$J1270,"Yes","No"))))</f>
        <v/>
      </c>
      <c r="P1270" s="17">
        <f>IF($C1270="","",IF($K1270="","",IF(N($K1270)&gt;2,"No",IF(COUNTIFS(nrES_PID,$D1270,nrES_Code,$F1270,nrES_Att,"&gt;"&amp;$K1270,nrES_Att,"&lt;=2",nrES_Raw,"&gt;=0")=0,"Yes","No"))))</f>
        <v/>
      </c>
      <c r="Q1270" s="17">
        <f>IF($C1270="","",IF($L1270="","",IF(AND($K1270=1,ISNUMBER($L1270),$L1270&lt;$J1270,COUNTIFS(nrES_PID,$D1270,nrES_Code,$F1270,nrES_Att,2,nrES_Raw,"&gt;=0")=0),"Yes","No")))</f>
        <v/>
      </c>
      <c r="R1270" s="17">
        <f>IF($C1270="","",IF($L1270="","",IF(AND(N($K1270)&gt;=2,ISNUMBER($L1270),$L1270&lt;$J1270),"Yes","No")))</f>
        <v/>
      </c>
      <c r="S1270" s="18" t="n"/>
      <c r="T1270" s="19">
        <f>IF(OR($C1270="",$L1270="",$K1270&lt;&gt;1,NOT(ISNUMBER($L1270)),$L1270&gt;=$J1270),"",IF($S1270="","(enter date)",_xlfn.LET(_xlpm.dn,_xlfn.XLOOKUP($S1270,nrCDdate,nrCDnum,"",1),IF(_xlpm.dn="","(after last class day)",_xlfn.LET(_xlpm.dd,_xlfn.XLOOKUP(_xlpm.dn+cfgRetestClassDays,nrCDnum,nrCDdate,""),_xlpm.ok,_xlfn.XLOOKUP(_xlpm.dn+cfgRetestClassDays,nrCDnum,nrCDinsession,"No"),IF(OR(_xlpm.dd="",_xlpm.ok&lt;&gt;"Yes"),"(after last class day)",_xlpm.dd))))))</f>
        <v/>
      </c>
      <c r="U1270" s="17">
        <f>IF($C1270="","",IF(AND($Y1270="Excused",$L1270="",N($K1270)&lt;=1),"EXCUSED - 1st attempt pending",IF(OR($L1270="",$K1270&lt;&gt;1,NOT(ISNUMBER($L1270)),$L1270&gt;=$J1270),"",IF(COUNTIFS(nrES_PID,$D1270,nrES_Code,$F1270,nrES_Att,2,nrES_Raw,"&gt;=0")&gt;0,IF(IFERROR(_xlfn.MINIFS(nrES_Date,nrES_PID,$D1270,nrES_Code,$F1270,nrES_Att,2,nrES_Raw,"&gt;=0",nrES_Date,"&gt;0"),0)=0,"RETEST UNDATED",IF(NOT(ISNUMBER($T1270)),"RETEST DATE UNCHECKED",IF(_xlfn.MINIFS(nrES_Date,nrES_PID,$D1270,nrES_Code,$F1270,nrES_Att,2,nrES_Raw,"&gt;=0",nrES_Date,"&gt;0")&gt;$T1270,"LATE RETEST "&amp;TEXT(_xlfn.MINIFS(nrES_Date,nrES_PID,$D1270,nrES_Code,$F1270,nrES_Att,2,nrES_Raw,"&gt;=0",nrES_Date,"&gt;0"),"mm/dd")&amp;" (due "&amp;TEXT($T1270,"mm/dd")&amp;")","Retested"))),IF(NOT(ISNUMBER($T1270)),"CHECK DATE",IF(TODAY()&gt;$T1270,"OVERDUE","Due "&amp;TEXT($T1270,"mm/dd")))))))</f>
        <v/>
      </c>
      <c r="V1270" s="16" t="n"/>
      <c r="W1270" s="16" t="n"/>
      <c r="X1270" s="17">
        <f>IF($C1270="","",IF(AND($L1270&lt;&gt;"",NOT(ISNUMBER($L1270))),"RAW SCORE NOT A NUMBER",IF(AND(ISNUMBER($L1270),OR($L1270&lt;0,$L1270&gt;100)),"RAW SCORE OUT OF RANGE",IF(AND($Y1270="Unexcused",OR($L1270="",NOT(ISNUMBER($L1270)),$L1270&lt;&gt;0)),"UNEXCUSED ABSENCE MUST RECORD 0",IF(COUNTIF(nrES_RecID,$B1270)&gt;1,"DUPLICATE RECORD",IF(N($K1270)&gt;2,"ATTEMPT 3+ NOT ALLOWED - policy 300.5 permits one retest per exam; this row records nothing",IF(AND($K1270=2,COUNTIFS(nrES_PID,$D1270,nrES_Code,$F1270,nrES_Att,1)=0),"ATTEMPT 2 WITHOUT ATTEMPT 1",IF(AND($K1270=2,$L1270=""),"RETEST ROW HAS NO SCORE",IF(AND($H1270="Final",$L1270&lt;&gt;"",IFERROR(INDEX(nrCKfinalExamElig,MATCH($D1270,rngCadetPIDs,0)),"")="No"),"FINAL EXAM AFTER FAILED FINAL PT (500.1.H)",IF(AND($K1270=2,ISNUMBER($L1270),COUNTIFS(nrES_PID,$D1270,nrES_Code,$F1270,nrES_Att,1)&gt;0,SUMIFS(nrES_Raw,nrES_PID,$D1270,nrES_Code,$F1270,nrES_Att,1)&gt;=$J1270),"RETEST AFTER A PASSING FIRST ATTEMPT","OK"))))))))))</f>
        <v/>
      </c>
      <c r="Y1270" s="16" t="n"/>
    </row>
    <row r="1271">
      <c r="B1271" s="17">
        <f>IF($C1271="","",$D1271&amp;"-"&amp;$F1271&amp;"-"&amp;$K1271)</f>
        <v/>
      </c>
      <c r="C1271" s="16" t="n"/>
      <c r="D1271" s="17">
        <f>IF($C1271="","",IFERROR(INDEX(rngCadetPIDs,MATCH($C1271,rngCadetNames,0)),"?"))</f>
        <v/>
      </c>
      <c r="E1271" s="17">
        <f>IF($D1271="","",IFERROR(INDEX(nrCadetAgency,MATCH($D1271,rngCadetPIDs,0)),""))</f>
        <v/>
      </c>
      <c r="F1271" s="16" t="n"/>
      <c r="G1271" s="17">
        <f>IF($F1271="","",IFERROR(INDEX(rngEPname,MATCH($F1271,rngEPcode,0)),"?"))</f>
        <v/>
      </c>
      <c r="H1271" s="17">
        <f>IF($F1271="","",IFERROR(INDEX(rngEPtype,MATCH($F1271,rngEPcode,0)),"?"))</f>
        <v/>
      </c>
      <c r="I1271" s="17">
        <f>IF($F1271="","",IFERROR(INDEX(rngEPseq,MATCH($F1271,rngEPcode,0)),""))</f>
        <v/>
      </c>
      <c r="J1271" s="17">
        <f>IF($F1271="","",IFERROR(INDEX(rngEPpass,MATCH($F1271,rngEPcode,0)),cfgPassingScore))</f>
        <v/>
      </c>
      <c r="K1271" s="16" t="n"/>
      <c r="L1271" s="16" t="n"/>
      <c r="M1271" s="17">
        <f>IF($C1271="","",IF($L1271="","",IF(NOT(ISNUMBER($L1271)),$L1271,IF(N($K1271)&gt;2,"",IF($K1271=1,IF(COUNTIFS(nrES_PID,$D1271,nrES_Code,$F1271,nrES_Att,2,nrES_Raw,"&gt;=0")&gt;0,"",$L1271),IF($L1271&gt;=$J1271,MAX($J1271,cfgRetakeRecordedCap),IF(COUNTIFS(nrES_PID,$D1271,nrES_Code,$F1271,nrES_Att,1)=0,$L1271,SUMIFS(nrES_Raw,nrES_PID,$D1271,nrES_Code,$F1271,nrES_Att,1))))))))</f>
        <v/>
      </c>
      <c r="N1271" s="17">
        <f>IF($C1271="","",IF($L1271="","",IF(NOT(ISNUMBER($L1271)),"(not a score)",IF($L1271&gt;=$J1271,"Yes","No"))))</f>
        <v/>
      </c>
      <c r="O1271" s="17">
        <f>IF($C1271="","",IF($M1271="","",IF(NOT(ISNUMBER($M1271)),"(not a score)",IF($M1271&gt;=$J1271,"Yes","No"))))</f>
        <v/>
      </c>
      <c r="P1271" s="17">
        <f>IF($C1271="","",IF($K1271="","",IF(N($K1271)&gt;2,"No",IF(COUNTIFS(nrES_PID,$D1271,nrES_Code,$F1271,nrES_Att,"&gt;"&amp;$K1271,nrES_Att,"&lt;=2",nrES_Raw,"&gt;=0")=0,"Yes","No"))))</f>
        <v/>
      </c>
      <c r="Q1271" s="17">
        <f>IF($C1271="","",IF($L1271="","",IF(AND($K1271=1,ISNUMBER($L1271),$L1271&lt;$J1271,COUNTIFS(nrES_PID,$D1271,nrES_Code,$F1271,nrES_Att,2,nrES_Raw,"&gt;=0")=0),"Yes","No")))</f>
        <v/>
      </c>
      <c r="R1271" s="17">
        <f>IF($C1271="","",IF($L1271="","",IF(AND(N($K1271)&gt;=2,ISNUMBER($L1271),$L1271&lt;$J1271),"Yes","No")))</f>
        <v/>
      </c>
      <c r="S1271" s="18" t="n"/>
      <c r="T1271" s="19">
        <f>IF(OR($C1271="",$L1271="",$K1271&lt;&gt;1,NOT(ISNUMBER($L1271)),$L1271&gt;=$J1271),"",IF($S1271="","(enter date)",_xlfn.LET(_xlpm.dn,_xlfn.XLOOKUP($S1271,nrCDdate,nrCDnum,"",1),IF(_xlpm.dn="","(after last class day)",_xlfn.LET(_xlpm.dd,_xlfn.XLOOKUP(_xlpm.dn+cfgRetestClassDays,nrCDnum,nrCDdate,""),_xlpm.ok,_xlfn.XLOOKUP(_xlpm.dn+cfgRetestClassDays,nrCDnum,nrCDinsession,"No"),IF(OR(_xlpm.dd="",_xlpm.ok&lt;&gt;"Yes"),"(after last class day)",_xlpm.dd))))))</f>
        <v/>
      </c>
      <c r="U1271" s="17">
        <f>IF($C1271="","",IF(AND($Y1271="Excused",$L1271="",N($K1271)&lt;=1),"EXCUSED - 1st attempt pending",IF(OR($L1271="",$K1271&lt;&gt;1,NOT(ISNUMBER($L1271)),$L1271&gt;=$J1271),"",IF(COUNTIFS(nrES_PID,$D1271,nrES_Code,$F1271,nrES_Att,2,nrES_Raw,"&gt;=0")&gt;0,IF(IFERROR(_xlfn.MINIFS(nrES_Date,nrES_PID,$D1271,nrES_Code,$F1271,nrES_Att,2,nrES_Raw,"&gt;=0",nrES_Date,"&gt;0"),0)=0,"RETEST UNDATED",IF(NOT(ISNUMBER($T1271)),"RETEST DATE UNCHECKED",IF(_xlfn.MINIFS(nrES_Date,nrES_PID,$D1271,nrES_Code,$F1271,nrES_Att,2,nrES_Raw,"&gt;=0",nrES_Date,"&gt;0")&gt;$T1271,"LATE RETEST "&amp;TEXT(_xlfn.MINIFS(nrES_Date,nrES_PID,$D1271,nrES_Code,$F1271,nrES_Att,2,nrES_Raw,"&gt;=0",nrES_Date,"&gt;0"),"mm/dd")&amp;" (due "&amp;TEXT($T1271,"mm/dd")&amp;")","Retested"))),IF(NOT(ISNUMBER($T1271)),"CHECK DATE",IF(TODAY()&gt;$T1271,"OVERDUE","Due "&amp;TEXT($T1271,"mm/dd")))))))</f>
        <v/>
      </c>
      <c r="V1271" s="16" t="n"/>
      <c r="W1271" s="16" t="n"/>
      <c r="X1271" s="17">
        <f>IF($C1271="","",IF(AND($L1271&lt;&gt;"",NOT(ISNUMBER($L1271))),"RAW SCORE NOT A NUMBER",IF(AND(ISNUMBER($L1271),OR($L1271&lt;0,$L1271&gt;100)),"RAW SCORE OUT OF RANGE",IF(AND($Y1271="Unexcused",OR($L1271="",NOT(ISNUMBER($L1271)),$L1271&lt;&gt;0)),"UNEXCUSED ABSENCE MUST RECORD 0",IF(COUNTIF(nrES_RecID,$B1271)&gt;1,"DUPLICATE RECORD",IF(N($K1271)&gt;2,"ATTEMPT 3+ NOT ALLOWED - policy 300.5 permits one retest per exam; this row records nothing",IF(AND($K1271=2,COUNTIFS(nrES_PID,$D1271,nrES_Code,$F1271,nrES_Att,1)=0),"ATTEMPT 2 WITHOUT ATTEMPT 1",IF(AND($K1271=2,$L1271=""),"RETEST ROW HAS NO SCORE",IF(AND($H1271="Final",$L1271&lt;&gt;"",IFERROR(INDEX(nrCKfinalExamElig,MATCH($D1271,rngCadetPIDs,0)),"")="No"),"FINAL EXAM AFTER FAILED FINAL PT (500.1.H)",IF(AND($K1271=2,ISNUMBER($L1271),COUNTIFS(nrES_PID,$D1271,nrES_Code,$F1271,nrES_Att,1)&gt;0,SUMIFS(nrES_Raw,nrES_PID,$D1271,nrES_Code,$F1271,nrES_Att,1)&gt;=$J1271),"RETEST AFTER A PASSING FIRST ATTEMPT","OK"))))))))))</f>
        <v/>
      </c>
      <c r="Y1271" s="16" t="n"/>
    </row>
    <row r="1272">
      <c r="B1272" s="17">
        <f>IF($C1272="","",$D1272&amp;"-"&amp;$F1272&amp;"-"&amp;$K1272)</f>
        <v/>
      </c>
      <c r="C1272" s="16" t="n"/>
      <c r="D1272" s="17">
        <f>IF($C1272="","",IFERROR(INDEX(rngCadetPIDs,MATCH($C1272,rngCadetNames,0)),"?"))</f>
        <v/>
      </c>
      <c r="E1272" s="17">
        <f>IF($D1272="","",IFERROR(INDEX(nrCadetAgency,MATCH($D1272,rngCadetPIDs,0)),""))</f>
        <v/>
      </c>
      <c r="F1272" s="16" t="n"/>
      <c r="G1272" s="17">
        <f>IF($F1272="","",IFERROR(INDEX(rngEPname,MATCH($F1272,rngEPcode,0)),"?"))</f>
        <v/>
      </c>
      <c r="H1272" s="17">
        <f>IF($F1272="","",IFERROR(INDEX(rngEPtype,MATCH($F1272,rngEPcode,0)),"?"))</f>
        <v/>
      </c>
      <c r="I1272" s="17">
        <f>IF($F1272="","",IFERROR(INDEX(rngEPseq,MATCH($F1272,rngEPcode,0)),""))</f>
        <v/>
      </c>
      <c r="J1272" s="17">
        <f>IF($F1272="","",IFERROR(INDEX(rngEPpass,MATCH($F1272,rngEPcode,0)),cfgPassingScore))</f>
        <v/>
      </c>
      <c r="K1272" s="16" t="n"/>
      <c r="L1272" s="16" t="n"/>
      <c r="M1272" s="17">
        <f>IF($C1272="","",IF($L1272="","",IF(NOT(ISNUMBER($L1272)),$L1272,IF(N($K1272)&gt;2,"",IF($K1272=1,IF(COUNTIFS(nrES_PID,$D1272,nrES_Code,$F1272,nrES_Att,2,nrES_Raw,"&gt;=0")&gt;0,"",$L1272),IF($L1272&gt;=$J1272,MAX($J1272,cfgRetakeRecordedCap),IF(COUNTIFS(nrES_PID,$D1272,nrES_Code,$F1272,nrES_Att,1)=0,$L1272,SUMIFS(nrES_Raw,nrES_PID,$D1272,nrES_Code,$F1272,nrES_Att,1))))))))</f>
        <v/>
      </c>
      <c r="N1272" s="17">
        <f>IF($C1272="","",IF($L1272="","",IF(NOT(ISNUMBER($L1272)),"(not a score)",IF($L1272&gt;=$J1272,"Yes","No"))))</f>
        <v/>
      </c>
      <c r="O1272" s="17">
        <f>IF($C1272="","",IF($M1272="","",IF(NOT(ISNUMBER($M1272)),"(not a score)",IF($M1272&gt;=$J1272,"Yes","No"))))</f>
        <v/>
      </c>
      <c r="P1272" s="17">
        <f>IF($C1272="","",IF($K1272="","",IF(N($K1272)&gt;2,"No",IF(COUNTIFS(nrES_PID,$D1272,nrES_Code,$F1272,nrES_Att,"&gt;"&amp;$K1272,nrES_Att,"&lt;=2",nrES_Raw,"&gt;=0")=0,"Yes","No"))))</f>
        <v/>
      </c>
      <c r="Q1272" s="17">
        <f>IF($C1272="","",IF($L1272="","",IF(AND($K1272=1,ISNUMBER($L1272),$L1272&lt;$J1272,COUNTIFS(nrES_PID,$D1272,nrES_Code,$F1272,nrES_Att,2,nrES_Raw,"&gt;=0")=0),"Yes","No")))</f>
        <v/>
      </c>
      <c r="R1272" s="17">
        <f>IF($C1272="","",IF($L1272="","",IF(AND(N($K1272)&gt;=2,ISNUMBER($L1272),$L1272&lt;$J1272),"Yes","No")))</f>
        <v/>
      </c>
      <c r="S1272" s="18" t="n"/>
      <c r="T1272" s="19">
        <f>IF(OR($C1272="",$L1272="",$K1272&lt;&gt;1,NOT(ISNUMBER($L1272)),$L1272&gt;=$J1272),"",IF($S1272="","(enter date)",_xlfn.LET(_xlpm.dn,_xlfn.XLOOKUP($S1272,nrCDdate,nrCDnum,"",1),IF(_xlpm.dn="","(after last class day)",_xlfn.LET(_xlpm.dd,_xlfn.XLOOKUP(_xlpm.dn+cfgRetestClassDays,nrCDnum,nrCDdate,""),_xlpm.ok,_xlfn.XLOOKUP(_xlpm.dn+cfgRetestClassDays,nrCDnum,nrCDinsession,"No"),IF(OR(_xlpm.dd="",_xlpm.ok&lt;&gt;"Yes"),"(after last class day)",_xlpm.dd))))))</f>
        <v/>
      </c>
      <c r="U1272" s="17">
        <f>IF($C1272="","",IF(AND($Y1272="Excused",$L1272="",N($K1272)&lt;=1),"EXCUSED - 1st attempt pending",IF(OR($L1272="",$K1272&lt;&gt;1,NOT(ISNUMBER($L1272)),$L1272&gt;=$J1272),"",IF(COUNTIFS(nrES_PID,$D1272,nrES_Code,$F1272,nrES_Att,2,nrES_Raw,"&gt;=0")&gt;0,IF(IFERROR(_xlfn.MINIFS(nrES_Date,nrES_PID,$D1272,nrES_Code,$F1272,nrES_Att,2,nrES_Raw,"&gt;=0",nrES_Date,"&gt;0"),0)=0,"RETEST UNDATED",IF(NOT(ISNUMBER($T1272)),"RETEST DATE UNCHECKED",IF(_xlfn.MINIFS(nrES_Date,nrES_PID,$D1272,nrES_Code,$F1272,nrES_Att,2,nrES_Raw,"&gt;=0",nrES_Date,"&gt;0")&gt;$T1272,"LATE RETEST "&amp;TEXT(_xlfn.MINIFS(nrES_Date,nrES_PID,$D1272,nrES_Code,$F1272,nrES_Att,2,nrES_Raw,"&gt;=0",nrES_Date,"&gt;0"),"mm/dd")&amp;" (due "&amp;TEXT($T1272,"mm/dd")&amp;")","Retested"))),IF(NOT(ISNUMBER($T1272)),"CHECK DATE",IF(TODAY()&gt;$T1272,"OVERDUE","Due "&amp;TEXT($T1272,"mm/dd")))))))</f>
        <v/>
      </c>
      <c r="V1272" s="16" t="n"/>
      <c r="W1272" s="16" t="n"/>
      <c r="X1272" s="17">
        <f>IF($C1272="","",IF(AND($L1272&lt;&gt;"",NOT(ISNUMBER($L1272))),"RAW SCORE NOT A NUMBER",IF(AND(ISNUMBER($L1272),OR($L1272&lt;0,$L1272&gt;100)),"RAW SCORE OUT OF RANGE",IF(AND($Y1272="Unexcused",OR($L1272="",NOT(ISNUMBER($L1272)),$L1272&lt;&gt;0)),"UNEXCUSED ABSENCE MUST RECORD 0",IF(COUNTIF(nrES_RecID,$B1272)&gt;1,"DUPLICATE RECORD",IF(N($K1272)&gt;2,"ATTEMPT 3+ NOT ALLOWED - policy 300.5 permits one retest per exam; this row records nothing",IF(AND($K1272=2,COUNTIFS(nrES_PID,$D1272,nrES_Code,$F1272,nrES_Att,1)=0),"ATTEMPT 2 WITHOUT ATTEMPT 1",IF(AND($K1272=2,$L1272=""),"RETEST ROW HAS NO SCORE",IF(AND($H1272="Final",$L1272&lt;&gt;"",IFERROR(INDEX(nrCKfinalExamElig,MATCH($D1272,rngCadetPIDs,0)),"")="No"),"FINAL EXAM AFTER FAILED FINAL PT (500.1.H)",IF(AND($K1272=2,ISNUMBER($L1272),COUNTIFS(nrES_PID,$D1272,nrES_Code,$F1272,nrES_Att,1)&gt;0,SUMIFS(nrES_Raw,nrES_PID,$D1272,nrES_Code,$F1272,nrES_Att,1)&gt;=$J1272),"RETEST AFTER A PASSING FIRST ATTEMPT","OK"))))))))))</f>
        <v/>
      </c>
      <c r="Y1272" s="16" t="n"/>
    </row>
    <row r="1273">
      <c r="B1273" s="17">
        <f>IF($C1273="","",$D1273&amp;"-"&amp;$F1273&amp;"-"&amp;$K1273)</f>
        <v/>
      </c>
      <c r="C1273" s="16" t="n"/>
      <c r="D1273" s="17">
        <f>IF($C1273="","",IFERROR(INDEX(rngCadetPIDs,MATCH($C1273,rngCadetNames,0)),"?"))</f>
        <v/>
      </c>
      <c r="E1273" s="17">
        <f>IF($D1273="","",IFERROR(INDEX(nrCadetAgency,MATCH($D1273,rngCadetPIDs,0)),""))</f>
        <v/>
      </c>
      <c r="F1273" s="16" t="n"/>
      <c r="G1273" s="17">
        <f>IF($F1273="","",IFERROR(INDEX(rngEPname,MATCH($F1273,rngEPcode,0)),"?"))</f>
        <v/>
      </c>
      <c r="H1273" s="17">
        <f>IF($F1273="","",IFERROR(INDEX(rngEPtype,MATCH($F1273,rngEPcode,0)),"?"))</f>
        <v/>
      </c>
      <c r="I1273" s="17">
        <f>IF($F1273="","",IFERROR(INDEX(rngEPseq,MATCH($F1273,rngEPcode,0)),""))</f>
        <v/>
      </c>
      <c r="J1273" s="17">
        <f>IF($F1273="","",IFERROR(INDEX(rngEPpass,MATCH($F1273,rngEPcode,0)),cfgPassingScore))</f>
        <v/>
      </c>
      <c r="K1273" s="16" t="n"/>
      <c r="L1273" s="16" t="n"/>
      <c r="M1273" s="17">
        <f>IF($C1273="","",IF($L1273="","",IF(NOT(ISNUMBER($L1273)),$L1273,IF(N($K1273)&gt;2,"",IF($K1273=1,IF(COUNTIFS(nrES_PID,$D1273,nrES_Code,$F1273,nrES_Att,2,nrES_Raw,"&gt;=0")&gt;0,"",$L1273),IF($L1273&gt;=$J1273,MAX($J1273,cfgRetakeRecordedCap),IF(COUNTIFS(nrES_PID,$D1273,nrES_Code,$F1273,nrES_Att,1)=0,$L1273,SUMIFS(nrES_Raw,nrES_PID,$D1273,nrES_Code,$F1273,nrES_Att,1))))))))</f>
        <v/>
      </c>
      <c r="N1273" s="17">
        <f>IF($C1273="","",IF($L1273="","",IF(NOT(ISNUMBER($L1273)),"(not a score)",IF($L1273&gt;=$J1273,"Yes","No"))))</f>
        <v/>
      </c>
      <c r="O1273" s="17">
        <f>IF($C1273="","",IF($M1273="","",IF(NOT(ISNUMBER($M1273)),"(not a score)",IF($M1273&gt;=$J1273,"Yes","No"))))</f>
        <v/>
      </c>
      <c r="P1273" s="17">
        <f>IF($C1273="","",IF($K1273="","",IF(N($K1273)&gt;2,"No",IF(COUNTIFS(nrES_PID,$D1273,nrES_Code,$F1273,nrES_Att,"&gt;"&amp;$K1273,nrES_Att,"&lt;=2",nrES_Raw,"&gt;=0")=0,"Yes","No"))))</f>
        <v/>
      </c>
      <c r="Q1273" s="17">
        <f>IF($C1273="","",IF($L1273="","",IF(AND($K1273=1,ISNUMBER($L1273),$L1273&lt;$J1273,COUNTIFS(nrES_PID,$D1273,nrES_Code,$F1273,nrES_Att,2,nrES_Raw,"&gt;=0")=0),"Yes","No")))</f>
        <v/>
      </c>
      <c r="R1273" s="17">
        <f>IF($C1273="","",IF($L1273="","",IF(AND(N($K1273)&gt;=2,ISNUMBER($L1273),$L1273&lt;$J1273),"Yes","No")))</f>
        <v/>
      </c>
      <c r="S1273" s="18" t="n"/>
      <c r="T1273" s="19">
        <f>IF(OR($C1273="",$L1273="",$K1273&lt;&gt;1,NOT(ISNUMBER($L1273)),$L1273&gt;=$J1273),"",IF($S1273="","(enter date)",_xlfn.LET(_xlpm.dn,_xlfn.XLOOKUP($S1273,nrCDdate,nrCDnum,"",1),IF(_xlpm.dn="","(after last class day)",_xlfn.LET(_xlpm.dd,_xlfn.XLOOKUP(_xlpm.dn+cfgRetestClassDays,nrCDnum,nrCDdate,""),_xlpm.ok,_xlfn.XLOOKUP(_xlpm.dn+cfgRetestClassDays,nrCDnum,nrCDinsession,"No"),IF(OR(_xlpm.dd="",_xlpm.ok&lt;&gt;"Yes"),"(after last class day)",_xlpm.dd))))))</f>
        <v/>
      </c>
      <c r="U1273" s="17">
        <f>IF($C1273="","",IF(AND($Y1273="Excused",$L1273="",N($K1273)&lt;=1),"EXCUSED - 1st attempt pending",IF(OR($L1273="",$K1273&lt;&gt;1,NOT(ISNUMBER($L1273)),$L1273&gt;=$J1273),"",IF(COUNTIFS(nrES_PID,$D1273,nrES_Code,$F1273,nrES_Att,2,nrES_Raw,"&gt;=0")&gt;0,IF(IFERROR(_xlfn.MINIFS(nrES_Date,nrES_PID,$D1273,nrES_Code,$F1273,nrES_Att,2,nrES_Raw,"&gt;=0",nrES_Date,"&gt;0"),0)=0,"RETEST UNDATED",IF(NOT(ISNUMBER($T1273)),"RETEST DATE UNCHECKED",IF(_xlfn.MINIFS(nrES_Date,nrES_PID,$D1273,nrES_Code,$F1273,nrES_Att,2,nrES_Raw,"&gt;=0",nrES_Date,"&gt;0")&gt;$T1273,"LATE RETEST "&amp;TEXT(_xlfn.MINIFS(nrES_Date,nrES_PID,$D1273,nrES_Code,$F1273,nrES_Att,2,nrES_Raw,"&gt;=0",nrES_Date,"&gt;0"),"mm/dd")&amp;" (due "&amp;TEXT($T1273,"mm/dd")&amp;")","Retested"))),IF(NOT(ISNUMBER($T1273)),"CHECK DATE",IF(TODAY()&gt;$T1273,"OVERDUE","Due "&amp;TEXT($T1273,"mm/dd")))))))</f>
        <v/>
      </c>
      <c r="V1273" s="16" t="n"/>
      <c r="W1273" s="16" t="n"/>
      <c r="X1273" s="17">
        <f>IF($C1273="","",IF(AND($L1273&lt;&gt;"",NOT(ISNUMBER($L1273))),"RAW SCORE NOT A NUMBER",IF(AND(ISNUMBER($L1273),OR($L1273&lt;0,$L1273&gt;100)),"RAW SCORE OUT OF RANGE",IF(AND($Y1273="Unexcused",OR($L1273="",NOT(ISNUMBER($L1273)),$L1273&lt;&gt;0)),"UNEXCUSED ABSENCE MUST RECORD 0",IF(COUNTIF(nrES_RecID,$B1273)&gt;1,"DUPLICATE RECORD",IF(N($K1273)&gt;2,"ATTEMPT 3+ NOT ALLOWED - policy 300.5 permits one retest per exam; this row records nothing",IF(AND($K1273=2,COUNTIFS(nrES_PID,$D1273,nrES_Code,$F1273,nrES_Att,1)=0),"ATTEMPT 2 WITHOUT ATTEMPT 1",IF(AND($K1273=2,$L1273=""),"RETEST ROW HAS NO SCORE",IF(AND($H1273="Final",$L1273&lt;&gt;"",IFERROR(INDEX(nrCKfinalExamElig,MATCH($D1273,rngCadetPIDs,0)),"")="No"),"FINAL EXAM AFTER FAILED FINAL PT (500.1.H)",IF(AND($K1273=2,ISNUMBER($L1273),COUNTIFS(nrES_PID,$D1273,nrES_Code,$F1273,nrES_Att,1)&gt;0,SUMIFS(nrES_Raw,nrES_PID,$D1273,nrES_Code,$F1273,nrES_Att,1)&gt;=$J1273),"RETEST AFTER A PASSING FIRST ATTEMPT","OK"))))))))))</f>
        <v/>
      </c>
      <c r="Y1273" s="16" t="n"/>
    </row>
    <row r="1274">
      <c r="B1274" s="17">
        <f>IF($C1274="","",$D1274&amp;"-"&amp;$F1274&amp;"-"&amp;$K1274)</f>
        <v/>
      </c>
      <c r="C1274" s="16" t="n"/>
      <c r="D1274" s="17">
        <f>IF($C1274="","",IFERROR(INDEX(rngCadetPIDs,MATCH($C1274,rngCadetNames,0)),"?"))</f>
        <v/>
      </c>
      <c r="E1274" s="17">
        <f>IF($D1274="","",IFERROR(INDEX(nrCadetAgency,MATCH($D1274,rngCadetPIDs,0)),""))</f>
        <v/>
      </c>
      <c r="F1274" s="16" t="n"/>
      <c r="G1274" s="17">
        <f>IF($F1274="","",IFERROR(INDEX(rngEPname,MATCH($F1274,rngEPcode,0)),"?"))</f>
        <v/>
      </c>
      <c r="H1274" s="17">
        <f>IF($F1274="","",IFERROR(INDEX(rngEPtype,MATCH($F1274,rngEPcode,0)),"?"))</f>
        <v/>
      </c>
      <c r="I1274" s="17">
        <f>IF($F1274="","",IFERROR(INDEX(rngEPseq,MATCH($F1274,rngEPcode,0)),""))</f>
        <v/>
      </c>
      <c r="J1274" s="17">
        <f>IF($F1274="","",IFERROR(INDEX(rngEPpass,MATCH($F1274,rngEPcode,0)),cfgPassingScore))</f>
        <v/>
      </c>
      <c r="K1274" s="16" t="n"/>
      <c r="L1274" s="16" t="n"/>
      <c r="M1274" s="17">
        <f>IF($C1274="","",IF($L1274="","",IF(NOT(ISNUMBER($L1274)),$L1274,IF(N($K1274)&gt;2,"",IF($K1274=1,IF(COUNTIFS(nrES_PID,$D1274,nrES_Code,$F1274,nrES_Att,2,nrES_Raw,"&gt;=0")&gt;0,"",$L1274),IF($L1274&gt;=$J1274,MAX($J1274,cfgRetakeRecordedCap),IF(COUNTIFS(nrES_PID,$D1274,nrES_Code,$F1274,nrES_Att,1)=0,$L1274,SUMIFS(nrES_Raw,nrES_PID,$D1274,nrES_Code,$F1274,nrES_Att,1))))))))</f>
        <v/>
      </c>
      <c r="N1274" s="17">
        <f>IF($C1274="","",IF($L1274="","",IF(NOT(ISNUMBER($L1274)),"(not a score)",IF($L1274&gt;=$J1274,"Yes","No"))))</f>
        <v/>
      </c>
      <c r="O1274" s="17">
        <f>IF($C1274="","",IF($M1274="","",IF(NOT(ISNUMBER($M1274)),"(not a score)",IF($M1274&gt;=$J1274,"Yes","No"))))</f>
        <v/>
      </c>
      <c r="P1274" s="17">
        <f>IF($C1274="","",IF($K1274="","",IF(N($K1274)&gt;2,"No",IF(COUNTIFS(nrES_PID,$D1274,nrES_Code,$F1274,nrES_Att,"&gt;"&amp;$K1274,nrES_Att,"&lt;=2",nrES_Raw,"&gt;=0")=0,"Yes","No"))))</f>
        <v/>
      </c>
      <c r="Q1274" s="17">
        <f>IF($C1274="","",IF($L1274="","",IF(AND($K1274=1,ISNUMBER($L1274),$L1274&lt;$J1274,COUNTIFS(nrES_PID,$D1274,nrES_Code,$F1274,nrES_Att,2,nrES_Raw,"&gt;=0")=0),"Yes","No")))</f>
        <v/>
      </c>
      <c r="R1274" s="17">
        <f>IF($C1274="","",IF($L1274="","",IF(AND(N($K1274)&gt;=2,ISNUMBER($L1274),$L1274&lt;$J1274),"Yes","No")))</f>
        <v/>
      </c>
      <c r="S1274" s="18" t="n"/>
      <c r="T1274" s="19">
        <f>IF(OR($C1274="",$L1274="",$K1274&lt;&gt;1,NOT(ISNUMBER($L1274)),$L1274&gt;=$J1274),"",IF($S1274="","(enter date)",_xlfn.LET(_xlpm.dn,_xlfn.XLOOKUP($S1274,nrCDdate,nrCDnum,"",1),IF(_xlpm.dn="","(after last class day)",_xlfn.LET(_xlpm.dd,_xlfn.XLOOKUP(_xlpm.dn+cfgRetestClassDays,nrCDnum,nrCDdate,""),_xlpm.ok,_xlfn.XLOOKUP(_xlpm.dn+cfgRetestClassDays,nrCDnum,nrCDinsession,"No"),IF(OR(_xlpm.dd="",_xlpm.ok&lt;&gt;"Yes"),"(after last class day)",_xlpm.dd))))))</f>
        <v/>
      </c>
      <c r="U1274" s="17">
        <f>IF($C1274="","",IF(AND($Y1274="Excused",$L1274="",N($K1274)&lt;=1),"EXCUSED - 1st attempt pending",IF(OR($L1274="",$K1274&lt;&gt;1,NOT(ISNUMBER($L1274)),$L1274&gt;=$J1274),"",IF(COUNTIFS(nrES_PID,$D1274,nrES_Code,$F1274,nrES_Att,2,nrES_Raw,"&gt;=0")&gt;0,IF(IFERROR(_xlfn.MINIFS(nrES_Date,nrES_PID,$D1274,nrES_Code,$F1274,nrES_Att,2,nrES_Raw,"&gt;=0",nrES_Date,"&gt;0"),0)=0,"RETEST UNDATED",IF(NOT(ISNUMBER($T1274)),"RETEST DATE UNCHECKED",IF(_xlfn.MINIFS(nrES_Date,nrES_PID,$D1274,nrES_Code,$F1274,nrES_Att,2,nrES_Raw,"&gt;=0",nrES_Date,"&gt;0")&gt;$T1274,"LATE RETEST "&amp;TEXT(_xlfn.MINIFS(nrES_Date,nrES_PID,$D1274,nrES_Code,$F1274,nrES_Att,2,nrES_Raw,"&gt;=0",nrES_Date,"&gt;0"),"mm/dd")&amp;" (due "&amp;TEXT($T1274,"mm/dd")&amp;")","Retested"))),IF(NOT(ISNUMBER($T1274)),"CHECK DATE",IF(TODAY()&gt;$T1274,"OVERDUE","Due "&amp;TEXT($T1274,"mm/dd")))))))</f>
        <v/>
      </c>
      <c r="V1274" s="16" t="n"/>
      <c r="W1274" s="16" t="n"/>
      <c r="X1274" s="17">
        <f>IF($C1274="","",IF(AND($L1274&lt;&gt;"",NOT(ISNUMBER($L1274))),"RAW SCORE NOT A NUMBER",IF(AND(ISNUMBER($L1274),OR($L1274&lt;0,$L1274&gt;100)),"RAW SCORE OUT OF RANGE",IF(AND($Y1274="Unexcused",OR($L1274="",NOT(ISNUMBER($L1274)),$L1274&lt;&gt;0)),"UNEXCUSED ABSENCE MUST RECORD 0",IF(COUNTIF(nrES_RecID,$B1274)&gt;1,"DUPLICATE RECORD",IF(N($K1274)&gt;2,"ATTEMPT 3+ NOT ALLOWED - policy 300.5 permits one retest per exam; this row records nothing",IF(AND($K1274=2,COUNTIFS(nrES_PID,$D1274,nrES_Code,$F1274,nrES_Att,1)=0),"ATTEMPT 2 WITHOUT ATTEMPT 1",IF(AND($K1274=2,$L1274=""),"RETEST ROW HAS NO SCORE",IF(AND($H1274="Final",$L1274&lt;&gt;"",IFERROR(INDEX(nrCKfinalExamElig,MATCH($D1274,rngCadetPIDs,0)),"")="No"),"FINAL EXAM AFTER FAILED FINAL PT (500.1.H)",IF(AND($K1274=2,ISNUMBER($L1274),COUNTIFS(nrES_PID,$D1274,nrES_Code,$F1274,nrES_Att,1)&gt;0,SUMIFS(nrES_Raw,nrES_PID,$D1274,nrES_Code,$F1274,nrES_Att,1)&gt;=$J1274),"RETEST AFTER A PASSING FIRST ATTEMPT","OK"))))))))))</f>
        <v/>
      </c>
      <c r="Y1274" s="16" t="n"/>
    </row>
    <row r="1275">
      <c r="B1275" s="17">
        <f>IF($C1275="","",$D1275&amp;"-"&amp;$F1275&amp;"-"&amp;$K1275)</f>
        <v/>
      </c>
      <c r="C1275" s="16" t="n"/>
      <c r="D1275" s="17">
        <f>IF($C1275="","",IFERROR(INDEX(rngCadetPIDs,MATCH($C1275,rngCadetNames,0)),"?"))</f>
        <v/>
      </c>
      <c r="E1275" s="17">
        <f>IF($D1275="","",IFERROR(INDEX(nrCadetAgency,MATCH($D1275,rngCadetPIDs,0)),""))</f>
        <v/>
      </c>
      <c r="F1275" s="16" t="n"/>
      <c r="G1275" s="17">
        <f>IF($F1275="","",IFERROR(INDEX(rngEPname,MATCH($F1275,rngEPcode,0)),"?"))</f>
        <v/>
      </c>
      <c r="H1275" s="17">
        <f>IF($F1275="","",IFERROR(INDEX(rngEPtype,MATCH($F1275,rngEPcode,0)),"?"))</f>
        <v/>
      </c>
      <c r="I1275" s="17">
        <f>IF($F1275="","",IFERROR(INDEX(rngEPseq,MATCH($F1275,rngEPcode,0)),""))</f>
        <v/>
      </c>
      <c r="J1275" s="17">
        <f>IF($F1275="","",IFERROR(INDEX(rngEPpass,MATCH($F1275,rngEPcode,0)),cfgPassingScore))</f>
        <v/>
      </c>
      <c r="K1275" s="16" t="n"/>
      <c r="L1275" s="16" t="n"/>
      <c r="M1275" s="17">
        <f>IF($C1275="","",IF($L1275="","",IF(NOT(ISNUMBER($L1275)),$L1275,IF(N($K1275)&gt;2,"",IF($K1275=1,IF(COUNTIFS(nrES_PID,$D1275,nrES_Code,$F1275,nrES_Att,2,nrES_Raw,"&gt;=0")&gt;0,"",$L1275),IF($L1275&gt;=$J1275,MAX($J1275,cfgRetakeRecordedCap),IF(COUNTIFS(nrES_PID,$D1275,nrES_Code,$F1275,nrES_Att,1)=0,$L1275,SUMIFS(nrES_Raw,nrES_PID,$D1275,nrES_Code,$F1275,nrES_Att,1))))))))</f>
        <v/>
      </c>
      <c r="N1275" s="17">
        <f>IF($C1275="","",IF($L1275="","",IF(NOT(ISNUMBER($L1275)),"(not a score)",IF($L1275&gt;=$J1275,"Yes","No"))))</f>
        <v/>
      </c>
      <c r="O1275" s="17">
        <f>IF($C1275="","",IF($M1275="","",IF(NOT(ISNUMBER($M1275)),"(not a score)",IF($M1275&gt;=$J1275,"Yes","No"))))</f>
        <v/>
      </c>
      <c r="P1275" s="17">
        <f>IF($C1275="","",IF($K1275="","",IF(N($K1275)&gt;2,"No",IF(COUNTIFS(nrES_PID,$D1275,nrES_Code,$F1275,nrES_Att,"&gt;"&amp;$K1275,nrES_Att,"&lt;=2",nrES_Raw,"&gt;=0")=0,"Yes","No"))))</f>
        <v/>
      </c>
      <c r="Q1275" s="17">
        <f>IF($C1275="","",IF($L1275="","",IF(AND($K1275=1,ISNUMBER($L1275),$L1275&lt;$J1275,COUNTIFS(nrES_PID,$D1275,nrES_Code,$F1275,nrES_Att,2,nrES_Raw,"&gt;=0")=0),"Yes","No")))</f>
        <v/>
      </c>
      <c r="R1275" s="17">
        <f>IF($C1275="","",IF($L1275="","",IF(AND(N($K1275)&gt;=2,ISNUMBER($L1275),$L1275&lt;$J1275),"Yes","No")))</f>
        <v/>
      </c>
      <c r="S1275" s="18" t="n"/>
      <c r="T1275" s="19">
        <f>IF(OR($C1275="",$L1275="",$K1275&lt;&gt;1,NOT(ISNUMBER($L1275)),$L1275&gt;=$J1275),"",IF($S1275="","(enter date)",_xlfn.LET(_xlpm.dn,_xlfn.XLOOKUP($S1275,nrCDdate,nrCDnum,"",1),IF(_xlpm.dn="","(after last class day)",_xlfn.LET(_xlpm.dd,_xlfn.XLOOKUP(_xlpm.dn+cfgRetestClassDays,nrCDnum,nrCDdate,""),_xlpm.ok,_xlfn.XLOOKUP(_xlpm.dn+cfgRetestClassDays,nrCDnum,nrCDinsession,"No"),IF(OR(_xlpm.dd="",_xlpm.ok&lt;&gt;"Yes"),"(after last class day)",_xlpm.dd))))))</f>
        <v/>
      </c>
      <c r="U1275" s="17">
        <f>IF($C1275="","",IF(AND($Y1275="Excused",$L1275="",N($K1275)&lt;=1),"EXCUSED - 1st attempt pending",IF(OR($L1275="",$K1275&lt;&gt;1,NOT(ISNUMBER($L1275)),$L1275&gt;=$J1275),"",IF(COUNTIFS(nrES_PID,$D1275,nrES_Code,$F1275,nrES_Att,2,nrES_Raw,"&gt;=0")&gt;0,IF(IFERROR(_xlfn.MINIFS(nrES_Date,nrES_PID,$D1275,nrES_Code,$F1275,nrES_Att,2,nrES_Raw,"&gt;=0",nrES_Date,"&gt;0"),0)=0,"RETEST UNDATED",IF(NOT(ISNUMBER($T1275)),"RETEST DATE UNCHECKED",IF(_xlfn.MINIFS(nrES_Date,nrES_PID,$D1275,nrES_Code,$F1275,nrES_Att,2,nrES_Raw,"&gt;=0",nrES_Date,"&gt;0")&gt;$T1275,"LATE RETEST "&amp;TEXT(_xlfn.MINIFS(nrES_Date,nrES_PID,$D1275,nrES_Code,$F1275,nrES_Att,2,nrES_Raw,"&gt;=0",nrES_Date,"&gt;0"),"mm/dd")&amp;" (due "&amp;TEXT($T1275,"mm/dd")&amp;")","Retested"))),IF(NOT(ISNUMBER($T1275)),"CHECK DATE",IF(TODAY()&gt;$T1275,"OVERDUE","Due "&amp;TEXT($T1275,"mm/dd")))))))</f>
        <v/>
      </c>
      <c r="V1275" s="16" t="n"/>
      <c r="W1275" s="16" t="n"/>
      <c r="X1275" s="17">
        <f>IF($C1275="","",IF(AND($L1275&lt;&gt;"",NOT(ISNUMBER($L1275))),"RAW SCORE NOT A NUMBER",IF(AND(ISNUMBER($L1275),OR($L1275&lt;0,$L1275&gt;100)),"RAW SCORE OUT OF RANGE",IF(AND($Y1275="Unexcused",OR($L1275="",NOT(ISNUMBER($L1275)),$L1275&lt;&gt;0)),"UNEXCUSED ABSENCE MUST RECORD 0",IF(COUNTIF(nrES_RecID,$B1275)&gt;1,"DUPLICATE RECORD",IF(N($K1275)&gt;2,"ATTEMPT 3+ NOT ALLOWED - policy 300.5 permits one retest per exam; this row records nothing",IF(AND($K1275=2,COUNTIFS(nrES_PID,$D1275,nrES_Code,$F1275,nrES_Att,1)=0),"ATTEMPT 2 WITHOUT ATTEMPT 1",IF(AND($K1275=2,$L1275=""),"RETEST ROW HAS NO SCORE",IF(AND($H1275="Final",$L1275&lt;&gt;"",IFERROR(INDEX(nrCKfinalExamElig,MATCH($D1275,rngCadetPIDs,0)),"")="No"),"FINAL EXAM AFTER FAILED FINAL PT (500.1.H)",IF(AND($K1275=2,ISNUMBER($L1275),COUNTIFS(nrES_PID,$D1275,nrES_Code,$F1275,nrES_Att,1)&gt;0,SUMIFS(nrES_Raw,nrES_PID,$D1275,nrES_Code,$F1275,nrES_Att,1)&gt;=$J1275),"RETEST AFTER A PASSING FIRST ATTEMPT","OK"))))))))))</f>
        <v/>
      </c>
      <c r="Y1275" s="16" t="n"/>
    </row>
    <row r="1276">
      <c r="B1276" s="17">
        <f>IF($C1276="","",$D1276&amp;"-"&amp;$F1276&amp;"-"&amp;$K1276)</f>
        <v/>
      </c>
      <c r="C1276" s="16" t="n"/>
      <c r="D1276" s="17">
        <f>IF($C1276="","",IFERROR(INDEX(rngCadetPIDs,MATCH($C1276,rngCadetNames,0)),"?"))</f>
        <v/>
      </c>
      <c r="E1276" s="17">
        <f>IF($D1276="","",IFERROR(INDEX(nrCadetAgency,MATCH($D1276,rngCadetPIDs,0)),""))</f>
        <v/>
      </c>
      <c r="F1276" s="16" t="n"/>
      <c r="G1276" s="17">
        <f>IF($F1276="","",IFERROR(INDEX(rngEPname,MATCH($F1276,rngEPcode,0)),"?"))</f>
        <v/>
      </c>
      <c r="H1276" s="17">
        <f>IF($F1276="","",IFERROR(INDEX(rngEPtype,MATCH($F1276,rngEPcode,0)),"?"))</f>
        <v/>
      </c>
      <c r="I1276" s="17">
        <f>IF($F1276="","",IFERROR(INDEX(rngEPseq,MATCH($F1276,rngEPcode,0)),""))</f>
        <v/>
      </c>
      <c r="J1276" s="17">
        <f>IF($F1276="","",IFERROR(INDEX(rngEPpass,MATCH($F1276,rngEPcode,0)),cfgPassingScore))</f>
        <v/>
      </c>
      <c r="K1276" s="16" t="n"/>
      <c r="L1276" s="16" t="n"/>
      <c r="M1276" s="17">
        <f>IF($C1276="","",IF($L1276="","",IF(NOT(ISNUMBER($L1276)),$L1276,IF(N($K1276)&gt;2,"",IF($K1276=1,IF(COUNTIFS(nrES_PID,$D1276,nrES_Code,$F1276,nrES_Att,2,nrES_Raw,"&gt;=0")&gt;0,"",$L1276),IF($L1276&gt;=$J1276,MAX($J1276,cfgRetakeRecordedCap),IF(COUNTIFS(nrES_PID,$D1276,nrES_Code,$F1276,nrES_Att,1)=0,$L1276,SUMIFS(nrES_Raw,nrES_PID,$D1276,nrES_Code,$F1276,nrES_Att,1))))))))</f>
        <v/>
      </c>
      <c r="N1276" s="17">
        <f>IF($C1276="","",IF($L1276="","",IF(NOT(ISNUMBER($L1276)),"(not a score)",IF($L1276&gt;=$J1276,"Yes","No"))))</f>
        <v/>
      </c>
      <c r="O1276" s="17">
        <f>IF($C1276="","",IF($M1276="","",IF(NOT(ISNUMBER($M1276)),"(not a score)",IF($M1276&gt;=$J1276,"Yes","No"))))</f>
        <v/>
      </c>
      <c r="P1276" s="17">
        <f>IF($C1276="","",IF($K1276="","",IF(N($K1276)&gt;2,"No",IF(COUNTIFS(nrES_PID,$D1276,nrES_Code,$F1276,nrES_Att,"&gt;"&amp;$K1276,nrES_Att,"&lt;=2",nrES_Raw,"&gt;=0")=0,"Yes","No"))))</f>
        <v/>
      </c>
      <c r="Q1276" s="17">
        <f>IF($C1276="","",IF($L1276="","",IF(AND($K1276=1,ISNUMBER($L1276),$L1276&lt;$J1276,COUNTIFS(nrES_PID,$D1276,nrES_Code,$F1276,nrES_Att,2,nrES_Raw,"&gt;=0")=0),"Yes","No")))</f>
        <v/>
      </c>
      <c r="R1276" s="17">
        <f>IF($C1276="","",IF($L1276="","",IF(AND(N($K1276)&gt;=2,ISNUMBER($L1276),$L1276&lt;$J1276),"Yes","No")))</f>
        <v/>
      </c>
      <c r="S1276" s="18" t="n"/>
      <c r="T1276" s="19">
        <f>IF(OR($C1276="",$L1276="",$K1276&lt;&gt;1,NOT(ISNUMBER($L1276)),$L1276&gt;=$J1276),"",IF($S1276="","(enter date)",_xlfn.LET(_xlpm.dn,_xlfn.XLOOKUP($S1276,nrCDdate,nrCDnum,"",1),IF(_xlpm.dn="","(after last class day)",_xlfn.LET(_xlpm.dd,_xlfn.XLOOKUP(_xlpm.dn+cfgRetestClassDays,nrCDnum,nrCDdate,""),_xlpm.ok,_xlfn.XLOOKUP(_xlpm.dn+cfgRetestClassDays,nrCDnum,nrCDinsession,"No"),IF(OR(_xlpm.dd="",_xlpm.ok&lt;&gt;"Yes"),"(after last class day)",_xlpm.dd))))))</f>
        <v/>
      </c>
      <c r="U1276" s="17">
        <f>IF($C1276="","",IF(AND($Y1276="Excused",$L1276="",N($K1276)&lt;=1),"EXCUSED - 1st attempt pending",IF(OR($L1276="",$K1276&lt;&gt;1,NOT(ISNUMBER($L1276)),$L1276&gt;=$J1276),"",IF(COUNTIFS(nrES_PID,$D1276,nrES_Code,$F1276,nrES_Att,2,nrES_Raw,"&gt;=0")&gt;0,IF(IFERROR(_xlfn.MINIFS(nrES_Date,nrES_PID,$D1276,nrES_Code,$F1276,nrES_Att,2,nrES_Raw,"&gt;=0",nrES_Date,"&gt;0"),0)=0,"RETEST UNDATED",IF(NOT(ISNUMBER($T1276)),"RETEST DATE UNCHECKED",IF(_xlfn.MINIFS(nrES_Date,nrES_PID,$D1276,nrES_Code,$F1276,nrES_Att,2,nrES_Raw,"&gt;=0",nrES_Date,"&gt;0")&gt;$T1276,"LATE RETEST "&amp;TEXT(_xlfn.MINIFS(nrES_Date,nrES_PID,$D1276,nrES_Code,$F1276,nrES_Att,2,nrES_Raw,"&gt;=0",nrES_Date,"&gt;0"),"mm/dd")&amp;" (due "&amp;TEXT($T1276,"mm/dd")&amp;")","Retested"))),IF(NOT(ISNUMBER($T1276)),"CHECK DATE",IF(TODAY()&gt;$T1276,"OVERDUE","Due "&amp;TEXT($T1276,"mm/dd")))))))</f>
        <v/>
      </c>
      <c r="V1276" s="16" t="n"/>
      <c r="W1276" s="16" t="n"/>
      <c r="X1276" s="17">
        <f>IF($C1276="","",IF(AND($L1276&lt;&gt;"",NOT(ISNUMBER($L1276))),"RAW SCORE NOT A NUMBER",IF(AND(ISNUMBER($L1276),OR($L1276&lt;0,$L1276&gt;100)),"RAW SCORE OUT OF RANGE",IF(AND($Y1276="Unexcused",OR($L1276="",NOT(ISNUMBER($L1276)),$L1276&lt;&gt;0)),"UNEXCUSED ABSENCE MUST RECORD 0",IF(COUNTIF(nrES_RecID,$B1276)&gt;1,"DUPLICATE RECORD",IF(N($K1276)&gt;2,"ATTEMPT 3+ NOT ALLOWED - policy 300.5 permits one retest per exam; this row records nothing",IF(AND($K1276=2,COUNTIFS(nrES_PID,$D1276,nrES_Code,$F1276,nrES_Att,1)=0),"ATTEMPT 2 WITHOUT ATTEMPT 1",IF(AND($K1276=2,$L1276=""),"RETEST ROW HAS NO SCORE",IF(AND($H1276="Final",$L1276&lt;&gt;"",IFERROR(INDEX(nrCKfinalExamElig,MATCH($D1276,rngCadetPIDs,0)),"")="No"),"FINAL EXAM AFTER FAILED FINAL PT (500.1.H)",IF(AND($K1276=2,ISNUMBER($L1276),COUNTIFS(nrES_PID,$D1276,nrES_Code,$F1276,nrES_Att,1)&gt;0,SUMIFS(nrES_Raw,nrES_PID,$D1276,nrES_Code,$F1276,nrES_Att,1)&gt;=$J1276),"RETEST AFTER A PASSING FIRST ATTEMPT","OK"))))))))))</f>
        <v/>
      </c>
      <c r="Y1276" s="16" t="n"/>
    </row>
    <row r="1277">
      <c r="B1277" s="17">
        <f>IF($C1277="","",$D1277&amp;"-"&amp;$F1277&amp;"-"&amp;$K1277)</f>
        <v/>
      </c>
      <c r="C1277" s="16" t="n"/>
      <c r="D1277" s="17">
        <f>IF($C1277="","",IFERROR(INDEX(rngCadetPIDs,MATCH($C1277,rngCadetNames,0)),"?"))</f>
        <v/>
      </c>
      <c r="E1277" s="17">
        <f>IF($D1277="","",IFERROR(INDEX(nrCadetAgency,MATCH($D1277,rngCadetPIDs,0)),""))</f>
        <v/>
      </c>
      <c r="F1277" s="16" t="n"/>
      <c r="G1277" s="17">
        <f>IF($F1277="","",IFERROR(INDEX(rngEPname,MATCH($F1277,rngEPcode,0)),"?"))</f>
        <v/>
      </c>
      <c r="H1277" s="17">
        <f>IF($F1277="","",IFERROR(INDEX(rngEPtype,MATCH($F1277,rngEPcode,0)),"?"))</f>
        <v/>
      </c>
      <c r="I1277" s="17">
        <f>IF($F1277="","",IFERROR(INDEX(rngEPseq,MATCH($F1277,rngEPcode,0)),""))</f>
        <v/>
      </c>
      <c r="J1277" s="17">
        <f>IF($F1277="","",IFERROR(INDEX(rngEPpass,MATCH($F1277,rngEPcode,0)),cfgPassingScore))</f>
        <v/>
      </c>
      <c r="K1277" s="16" t="n"/>
      <c r="L1277" s="16" t="n"/>
      <c r="M1277" s="17">
        <f>IF($C1277="","",IF($L1277="","",IF(NOT(ISNUMBER($L1277)),$L1277,IF(N($K1277)&gt;2,"",IF($K1277=1,IF(COUNTIFS(nrES_PID,$D1277,nrES_Code,$F1277,nrES_Att,2,nrES_Raw,"&gt;=0")&gt;0,"",$L1277),IF($L1277&gt;=$J1277,MAX($J1277,cfgRetakeRecordedCap),IF(COUNTIFS(nrES_PID,$D1277,nrES_Code,$F1277,nrES_Att,1)=0,$L1277,SUMIFS(nrES_Raw,nrES_PID,$D1277,nrES_Code,$F1277,nrES_Att,1))))))))</f>
        <v/>
      </c>
      <c r="N1277" s="17">
        <f>IF($C1277="","",IF($L1277="","",IF(NOT(ISNUMBER($L1277)),"(not a score)",IF($L1277&gt;=$J1277,"Yes","No"))))</f>
        <v/>
      </c>
      <c r="O1277" s="17">
        <f>IF($C1277="","",IF($M1277="","",IF(NOT(ISNUMBER($M1277)),"(not a score)",IF($M1277&gt;=$J1277,"Yes","No"))))</f>
        <v/>
      </c>
      <c r="P1277" s="17">
        <f>IF($C1277="","",IF($K1277="","",IF(N($K1277)&gt;2,"No",IF(COUNTIFS(nrES_PID,$D1277,nrES_Code,$F1277,nrES_Att,"&gt;"&amp;$K1277,nrES_Att,"&lt;=2",nrES_Raw,"&gt;=0")=0,"Yes","No"))))</f>
        <v/>
      </c>
      <c r="Q1277" s="17">
        <f>IF($C1277="","",IF($L1277="","",IF(AND($K1277=1,ISNUMBER($L1277),$L1277&lt;$J1277,COUNTIFS(nrES_PID,$D1277,nrES_Code,$F1277,nrES_Att,2,nrES_Raw,"&gt;=0")=0),"Yes","No")))</f>
        <v/>
      </c>
      <c r="R1277" s="17">
        <f>IF($C1277="","",IF($L1277="","",IF(AND(N($K1277)&gt;=2,ISNUMBER($L1277),$L1277&lt;$J1277),"Yes","No")))</f>
        <v/>
      </c>
      <c r="S1277" s="18" t="n"/>
      <c r="T1277" s="19">
        <f>IF(OR($C1277="",$L1277="",$K1277&lt;&gt;1,NOT(ISNUMBER($L1277)),$L1277&gt;=$J1277),"",IF($S1277="","(enter date)",_xlfn.LET(_xlpm.dn,_xlfn.XLOOKUP($S1277,nrCDdate,nrCDnum,"",1),IF(_xlpm.dn="","(after last class day)",_xlfn.LET(_xlpm.dd,_xlfn.XLOOKUP(_xlpm.dn+cfgRetestClassDays,nrCDnum,nrCDdate,""),_xlpm.ok,_xlfn.XLOOKUP(_xlpm.dn+cfgRetestClassDays,nrCDnum,nrCDinsession,"No"),IF(OR(_xlpm.dd="",_xlpm.ok&lt;&gt;"Yes"),"(after last class day)",_xlpm.dd))))))</f>
        <v/>
      </c>
      <c r="U1277" s="17">
        <f>IF($C1277="","",IF(AND($Y1277="Excused",$L1277="",N($K1277)&lt;=1),"EXCUSED - 1st attempt pending",IF(OR($L1277="",$K1277&lt;&gt;1,NOT(ISNUMBER($L1277)),$L1277&gt;=$J1277),"",IF(COUNTIFS(nrES_PID,$D1277,nrES_Code,$F1277,nrES_Att,2,nrES_Raw,"&gt;=0")&gt;0,IF(IFERROR(_xlfn.MINIFS(nrES_Date,nrES_PID,$D1277,nrES_Code,$F1277,nrES_Att,2,nrES_Raw,"&gt;=0",nrES_Date,"&gt;0"),0)=0,"RETEST UNDATED",IF(NOT(ISNUMBER($T1277)),"RETEST DATE UNCHECKED",IF(_xlfn.MINIFS(nrES_Date,nrES_PID,$D1277,nrES_Code,$F1277,nrES_Att,2,nrES_Raw,"&gt;=0",nrES_Date,"&gt;0")&gt;$T1277,"LATE RETEST "&amp;TEXT(_xlfn.MINIFS(nrES_Date,nrES_PID,$D1277,nrES_Code,$F1277,nrES_Att,2,nrES_Raw,"&gt;=0",nrES_Date,"&gt;0"),"mm/dd")&amp;" (due "&amp;TEXT($T1277,"mm/dd")&amp;")","Retested"))),IF(NOT(ISNUMBER($T1277)),"CHECK DATE",IF(TODAY()&gt;$T1277,"OVERDUE","Due "&amp;TEXT($T1277,"mm/dd")))))))</f>
        <v/>
      </c>
      <c r="V1277" s="16" t="n"/>
      <c r="W1277" s="16" t="n"/>
      <c r="X1277" s="17">
        <f>IF($C1277="","",IF(AND($L1277&lt;&gt;"",NOT(ISNUMBER($L1277))),"RAW SCORE NOT A NUMBER",IF(AND(ISNUMBER($L1277),OR($L1277&lt;0,$L1277&gt;100)),"RAW SCORE OUT OF RANGE",IF(AND($Y1277="Unexcused",OR($L1277="",NOT(ISNUMBER($L1277)),$L1277&lt;&gt;0)),"UNEXCUSED ABSENCE MUST RECORD 0",IF(COUNTIF(nrES_RecID,$B1277)&gt;1,"DUPLICATE RECORD",IF(N($K1277)&gt;2,"ATTEMPT 3+ NOT ALLOWED - policy 300.5 permits one retest per exam; this row records nothing",IF(AND($K1277=2,COUNTIFS(nrES_PID,$D1277,nrES_Code,$F1277,nrES_Att,1)=0),"ATTEMPT 2 WITHOUT ATTEMPT 1",IF(AND($K1277=2,$L1277=""),"RETEST ROW HAS NO SCORE",IF(AND($H1277="Final",$L1277&lt;&gt;"",IFERROR(INDEX(nrCKfinalExamElig,MATCH($D1277,rngCadetPIDs,0)),"")="No"),"FINAL EXAM AFTER FAILED FINAL PT (500.1.H)",IF(AND($K1277=2,ISNUMBER($L1277),COUNTIFS(nrES_PID,$D1277,nrES_Code,$F1277,nrES_Att,1)&gt;0,SUMIFS(nrES_Raw,nrES_PID,$D1277,nrES_Code,$F1277,nrES_Att,1)&gt;=$J1277),"RETEST AFTER A PASSING FIRST ATTEMPT","OK"))))))))))</f>
        <v/>
      </c>
      <c r="Y1277" s="16" t="n"/>
    </row>
    <row r="1278">
      <c r="B1278" s="17">
        <f>IF($C1278="","",$D1278&amp;"-"&amp;$F1278&amp;"-"&amp;$K1278)</f>
        <v/>
      </c>
      <c r="C1278" s="16" t="n"/>
      <c r="D1278" s="17">
        <f>IF($C1278="","",IFERROR(INDEX(rngCadetPIDs,MATCH($C1278,rngCadetNames,0)),"?"))</f>
        <v/>
      </c>
      <c r="E1278" s="17">
        <f>IF($D1278="","",IFERROR(INDEX(nrCadetAgency,MATCH($D1278,rngCadetPIDs,0)),""))</f>
        <v/>
      </c>
      <c r="F1278" s="16" t="n"/>
      <c r="G1278" s="17">
        <f>IF($F1278="","",IFERROR(INDEX(rngEPname,MATCH($F1278,rngEPcode,0)),"?"))</f>
        <v/>
      </c>
      <c r="H1278" s="17">
        <f>IF($F1278="","",IFERROR(INDEX(rngEPtype,MATCH($F1278,rngEPcode,0)),"?"))</f>
        <v/>
      </c>
      <c r="I1278" s="17">
        <f>IF($F1278="","",IFERROR(INDEX(rngEPseq,MATCH($F1278,rngEPcode,0)),""))</f>
        <v/>
      </c>
      <c r="J1278" s="17">
        <f>IF($F1278="","",IFERROR(INDEX(rngEPpass,MATCH($F1278,rngEPcode,0)),cfgPassingScore))</f>
        <v/>
      </c>
      <c r="K1278" s="16" t="n"/>
      <c r="L1278" s="16" t="n"/>
      <c r="M1278" s="17">
        <f>IF($C1278="","",IF($L1278="","",IF(NOT(ISNUMBER($L1278)),$L1278,IF(N($K1278)&gt;2,"",IF($K1278=1,IF(COUNTIFS(nrES_PID,$D1278,nrES_Code,$F1278,nrES_Att,2,nrES_Raw,"&gt;=0")&gt;0,"",$L1278),IF($L1278&gt;=$J1278,MAX($J1278,cfgRetakeRecordedCap),IF(COUNTIFS(nrES_PID,$D1278,nrES_Code,$F1278,nrES_Att,1)=0,$L1278,SUMIFS(nrES_Raw,nrES_PID,$D1278,nrES_Code,$F1278,nrES_Att,1))))))))</f>
        <v/>
      </c>
      <c r="N1278" s="17">
        <f>IF($C1278="","",IF($L1278="","",IF(NOT(ISNUMBER($L1278)),"(not a score)",IF($L1278&gt;=$J1278,"Yes","No"))))</f>
        <v/>
      </c>
      <c r="O1278" s="17">
        <f>IF($C1278="","",IF($M1278="","",IF(NOT(ISNUMBER($M1278)),"(not a score)",IF($M1278&gt;=$J1278,"Yes","No"))))</f>
        <v/>
      </c>
      <c r="P1278" s="17">
        <f>IF($C1278="","",IF($K1278="","",IF(N($K1278)&gt;2,"No",IF(COUNTIFS(nrES_PID,$D1278,nrES_Code,$F1278,nrES_Att,"&gt;"&amp;$K1278,nrES_Att,"&lt;=2",nrES_Raw,"&gt;=0")=0,"Yes","No"))))</f>
        <v/>
      </c>
      <c r="Q1278" s="17">
        <f>IF($C1278="","",IF($L1278="","",IF(AND($K1278=1,ISNUMBER($L1278),$L1278&lt;$J1278,COUNTIFS(nrES_PID,$D1278,nrES_Code,$F1278,nrES_Att,2,nrES_Raw,"&gt;=0")=0),"Yes","No")))</f>
        <v/>
      </c>
      <c r="R1278" s="17">
        <f>IF($C1278="","",IF($L1278="","",IF(AND(N($K1278)&gt;=2,ISNUMBER($L1278),$L1278&lt;$J1278),"Yes","No")))</f>
        <v/>
      </c>
      <c r="S1278" s="18" t="n"/>
      <c r="T1278" s="19">
        <f>IF(OR($C1278="",$L1278="",$K1278&lt;&gt;1,NOT(ISNUMBER($L1278)),$L1278&gt;=$J1278),"",IF($S1278="","(enter date)",_xlfn.LET(_xlpm.dn,_xlfn.XLOOKUP($S1278,nrCDdate,nrCDnum,"",1),IF(_xlpm.dn="","(after last class day)",_xlfn.LET(_xlpm.dd,_xlfn.XLOOKUP(_xlpm.dn+cfgRetestClassDays,nrCDnum,nrCDdate,""),_xlpm.ok,_xlfn.XLOOKUP(_xlpm.dn+cfgRetestClassDays,nrCDnum,nrCDinsession,"No"),IF(OR(_xlpm.dd="",_xlpm.ok&lt;&gt;"Yes"),"(after last class day)",_xlpm.dd))))))</f>
        <v/>
      </c>
      <c r="U1278" s="17">
        <f>IF($C1278="","",IF(AND($Y1278="Excused",$L1278="",N($K1278)&lt;=1),"EXCUSED - 1st attempt pending",IF(OR($L1278="",$K1278&lt;&gt;1,NOT(ISNUMBER($L1278)),$L1278&gt;=$J1278),"",IF(COUNTIFS(nrES_PID,$D1278,nrES_Code,$F1278,nrES_Att,2,nrES_Raw,"&gt;=0")&gt;0,IF(IFERROR(_xlfn.MINIFS(nrES_Date,nrES_PID,$D1278,nrES_Code,$F1278,nrES_Att,2,nrES_Raw,"&gt;=0",nrES_Date,"&gt;0"),0)=0,"RETEST UNDATED",IF(NOT(ISNUMBER($T1278)),"RETEST DATE UNCHECKED",IF(_xlfn.MINIFS(nrES_Date,nrES_PID,$D1278,nrES_Code,$F1278,nrES_Att,2,nrES_Raw,"&gt;=0",nrES_Date,"&gt;0")&gt;$T1278,"LATE RETEST "&amp;TEXT(_xlfn.MINIFS(nrES_Date,nrES_PID,$D1278,nrES_Code,$F1278,nrES_Att,2,nrES_Raw,"&gt;=0",nrES_Date,"&gt;0"),"mm/dd")&amp;" (due "&amp;TEXT($T1278,"mm/dd")&amp;")","Retested"))),IF(NOT(ISNUMBER($T1278)),"CHECK DATE",IF(TODAY()&gt;$T1278,"OVERDUE","Due "&amp;TEXT($T1278,"mm/dd")))))))</f>
        <v/>
      </c>
      <c r="V1278" s="16" t="n"/>
      <c r="W1278" s="16" t="n"/>
      <c r="X1278" s="17">
        <f>IF($C1278="","",IF(AND($L1278&lt;&gt;"",NOT(ISNUMBER($L1278))),"RAW SCORE NOT A NUMBER",IF(AND(ISNUMBER($L1278),OR($L1278&lt;0,$L1278&gt;100)),"RAW SCORE OUT OF RANGE",IF(AND($Y1278="Unexcused",OR($L1278="",NOT(ISNUMBER($L1278)),$L1278&lt;&gt;0)),"UNEXCUSED ABSENCE MUST RECORD 0",IF(COUNTIF(nrES_RecID,$B1278)&gt;1,"DUPLICATE RECORD",IF(N($K1278)&gt;2,"ATTEMPT 3+ NOT ALLOWED - policy 300.5 permits one retest per exam; this row records nothing",IF(AND($K1278=2,COUNTIFS(nrES_PID,$D1278,nrES_Code,$F1278,nrES_Att,1)=0),"ATTEMPT 2 WITHOUT ATTEMPT 1",IF(AND($K1278=2,$L1278=""),"RETEST ROW HAS NO SCORE",IF(AND($H1278="Final",$L1278&lt;&gt;"",IFERROR(INDEX(nrCKfinalExamElig,MATCH($D1278,rngCadetPIDs,0)),"")="No"),"FINAL EXAM AFTER FAILED FINAL PT (500.1.H)",IF(AND($K1278=2,ISNUMBER($L1278),COUNTIFS(nrES_PID,$D1278,nrES_Code,$F1278,nrES_Att,1)&gt;0,SUMIFS(nrES_Raw,nrES_PID,$D1278,nrES_Code,$F1278,nrES_Att,1)&gt;=$J1278),"RETEST AFTER A PASSING FIRST ATTEMPT","OK"))))))))))</f>
        <v/>
      </c>
      <c r="Y1278" s="16" t="n"/>
    </row>
    <row r="1279">
      <c r="B1279" s="17">
        <f>IF($C1279="","",$D1279&amp;"-"&amp;$F1279&amp;"-"&amp;$K1279)</f>
        <v/>
      </c>
      <c r="C1279" s="16" t="n"/>
      <c r="D1279" s="17">
        <f>IF($C1279="","",IFERROR(INDEX(rngCadetPIDs,MATCH($C1279,rngCadetNames,0)),"?"))</f>
        <v/>
      </c>
      <c r="E1279" s="17">
        <f>IF($D1279="","",IFERROR(INDEX(nrCadetAgency,MATCH($D1279,rngCadetPIDs,0)),""))</f>
        <v/>
      </c>
      <c r="F1279" s="16" t="n"/>
      <c r="G1279" s="17">
        <f>IF($F1279="","",IFERROR(INDEX(rngEPname,MATCH($F1279,rngEPcode,0)),"?"))</f>
        <v/>
      </c>
      <c r="H1279" s="17">
        <f>IF($F1279="","",IFERROR(INDEX(rngEPtype,MATCH($F1279,rngEPcode,0)),"?"))</f>
        <v/>
      </c>
      <c r="I1279" s="17">
        <f>IF($F1279="","",IFERROR(INDEX(rngEPseq,MATCH($F1279,rngEPcode,0)),""))</f>
        <v/>
      </c>
      <c r="J1279" s="17">
        <f>IF($F1279="","",IFERROR(INDEX(rngEPpass,MATCH($F1279,rngEPcode,0)),cfgPassingScore))</f>
        <v/>
      </c>
      <c r="K1279" s="16" t="n"/>
      <c r="L1279" s="16" t="n"/>
      <c r="M1279" s="17">
        <f>IF($C1279="","",IF($L1279="","",IF(NOT(ISNUMBER($L1279)),$L1279,IF(N($K1279)&gt;2,"",IF($K1279=1,IF(COUNTIFS(nrES_PID,$D1279,nrES_Code,$F1279,nrES_Att,2,nrES_Raw,"&gt;=0")&gt;0,"",$L1279),IF($L1279&gt;=$J1279,MAX($J1279,cfgRetakeRecordedCap),IF(COUNTIFS(nrES_PID,$D1279,nrES_Code,$F1279,nrES_Att,1)=0,$L1279,SUMIFS(nrES_Raw,nrES_PID,$D1279,nrES_Code,$F1279,nrES_Att,1))))))))</f>
        <v/>
      </c>
      <c r="N1279" s="17">
        <f>IF($C1279="","",IF($L1279="","",IF(NOT(ISNUMBER($L1279)),"(not a score)",IF($L1279&gt;=$J1279,"Yes","No"))))</f>
        <v/>
      </c>
      <c r="O1279" s="17">
        <f>IF($C1279="","",IF($M1279="","",IF(NOT(ISNUMBER($M1279)),"(not a score)",IF($M1279&gt;=$J1279,"Yes","No"))))</f>
        <v/>
      </c>
      <c r="P1279" s="17">
        <f>IF($C1279="","",IF($K1279="","",IF(N($K1279)&gt;2,"No",IF(COUNTIFS(nrES_PID,$D1279,nrES_Code,$F1279,nrES_Att,"&gt;"&amp;$K1279,nrES_Att,"&lt;=2",nrES_Raw,"&gt;=0")=0,"Yes","No"))))</f>
        <v/>
      </c>
      <c r="Q1279" s="17">
        <f>IF($C1279="","",IF($L1279="","",IF(AND($K1279=1,ISNUMBER($L1279),$L1279&lt;$J1279,COUNTIFS(nrES_PID,$D1279,nrES_Code,$F1279,nrES_Att,2,nrES_Raw,"&gt;=0")=0),"Yes","No")))</f>
        <v/>
      </c>
      <c r="R1279" s="17">
        <f>IF($C1279="","",IF($L1279="","",IF(AND(N($K1279)&gt;=2,ISNUMBER($L1279),$L1279&lt;$J1279),"Yes","No")))</f>
        <v/>
      </c>
      <c r="S1279" s="18" t="n"/>
      <c r="T1279" s="19">
        <f>IF(OR($C1279="",$L1279="",$K1279&lt;&gt;1,NOT(ISNUMBER($L1279)),$L1279&gt;=$J1279),"",IF($S1279="","(enter date)",_xlfn.LET(_xlpm.dn,_xlfn.XLOOKUP($S1279,nrCDdate,nrCDnum,"",1),IF(_xlpm.dn="","(after last class day)",_xlfn.LET(_xlpm.dd,_xlfn.XLOOKUP(_xlpm.dn+cfgRetestClassDays,nrCDnum,nrCDdate,""),_xlpm.ok,_xlfn.XLOOKUP(_xlpm.dn+cfgRetestClassDays,nrCDnum,nrCDinsession,"No"),IF(OR(_xlpm.dd="",_xlpm.ok&lt;&gt;"Yes"),"(after last class day)",_xlpm.dd))))))</f>
        <v/>
      </c>
      <c r="U1279" s="17">
        <f>IF($C1279="","",IF(AND($Y1279="Excused",$L1279="",N($K1279)&lt;=1),"EXCUSED - 1st attempt pending",IF(OR($L1279="",$K1279&lt;&gt;1,NOT(ISNUMBER($L1279)),$L1279&gt;=$J1279),"",IF(COUNTIFS(nrES_PID,$D1279,nrES_Code,$F1279,nrES_Att,2,nrES_Raw,"&gt;=0")&gt;0,IF(IFERROR(_xlfn.MINIFS(nrES_Date,nrES_PID,$D1279,nrES_Code,$F1279,nrES_Att,2,nrES_Raw,"&gt;=0",nrES_Date,"&gt;0"),0)=0,"RETEST UNDATED",IF(NOT(ISNUMBER($T1279)),"RETEST DATE UNCHECKED",IF(_xlfn.MINIFS(nrES_Date,nrES_PID,$D1279,nrES_Code,$F1279,nrES_Att,2,nrES_Raw,"&gt;=0",nrES_Date,"&gt;0")&gt;$T1279,"LATE RETEST "&amp;TEXT(_xlfn.MINIFS(nrES_Date,nrES_PID,$D1279,nrES_Code,$F1279,nrES_Att,2,nrES_Raw,"&gt;=0",nrES_Date,"&gt;0"),"mm/dd")&amp;" (due "&amp;TEXT($T1279,"mm/dd")&amp;")","Retested"))),IF(NOT(ISNUMBER($T1279)),"CHECK DATE",IF(TODAY()&gt;$T1279,"OVERDUE","Due "&amp;TEXT($T1279,"mm/dd")))))))</f>
        <v/>
      </c>
      <c r="V1279" s="16" t="n"/>
      <c r="W1279" s="16" t="n"/>
      <c r="X1279" s="17">
        <f>IF($C1279="","",IF(AND($L1279&lt;&gt;"",NOT(ISNUMBER($L1279))),"RAW SCORE NOT A NUMBER",IF(AND(ISNUMBER($L1279),OR($L1279&lt;0,$L1279&gt;100)),"RAW SCORE OUT OF RANGE",IF(AND($Y1279="Unexcused",OR($L1279="",NOT(ISNUMBER($L1279)),$L1279&lt;&gt;0)),"UNEXCUSED ABSENCE MUST RECORD 0",IF(COUNTIF(nrES_RecID,$B1279)&gt;1,"DUPLICATE RECORD",IF(N($K1279)&gt;2,"ATTEMPT 3+ NOT ALLOWED - policy 300.5 permits one retest per exam; this row records nothing",IF(AND($K1279=2,COUNTIFS(nrES_PID,$D1279,nrES_Code,$F1279,nrES_Att,1)=0),"ATTEMPT 2 WITHOUT ATTEMPT 1",IF(AND($K1279=2,$L1279=""),"RETEST ROW HAS NO SCORE",IF(AND($H1279="Final",$L1279&lt;&gt;"",IFERROR(INDEX(nrCKfinalExamElig,MATCH($D1279,rngCadetPIDs,0)),"")="No"),"FINAL EXAM AFTER FAILED FINAL PT (500.1.H)",IF(AND($K1279=2,ISNUMBER($L1279),COUNTIFS(nrES_PID,$D1279,nrES_Code,$F1279,nrES_Att,1)&gt;0,SUMIFS(nrES_Raw,nrES_PID,$D1279,nrES_Code,$F1279,nrES_Att,1)&gt;=$J1279),"RETEST AFTER A PASSING FIRST ATTEMPT","OK"))))))))))</f>
        <v/>
      </c>
      <c r="Y1279" s="16" t="n"/>
    </row>
    <row r="1280">
      <c r="B1280" s="17">
        <f>IF($C1280="","",$D1280&amp;"-"&amp;$F1280&amp;"-"&amp;$K1280)</f>
        <v/>
      </c>
      <c r="C1280" s="16" t="n"/>
      <c r="D1280" s="17">
        <f>IF($C1280="","",IFERROR(INDEX(rngCadetPIDs,MATCH($C1280,rngCadetNames,0)),"?"))</f>
        <v/>
      </c>
      <c r="E1280" s="17">
        <f>IF($D1280="","",IFERROR(INDEX(nrCadetAgency,MATCH($D1280,rngCadetPIDs,0)),""))</f>
        <v/>
      </c>
      <c r="F1280" s="16" t="n"/>
      <c r="G1280" s="17">
        <f>IF($F1280="","",IFERROR(INDEX(rngEPname,MATCH($F1280,rngEPcode,0)),"?"))</f>
        <v/>
      </c>
      <c r="H1280" s="17">
        <f>IF($F1280="","",IFERROR(INDEX(rngEPtype,MATCH($F1280,rngEPcode,0)),"?"))</f>
        <v/>
      </c>
      <c r="I1280" s="17">
        <f>IF($F1280="","",IFERROR(INDEX(rngEPseq,MATCH($F1280,rngEPcode,0)),""))</f>
        <v/>
      </c>
      <c r="J1280" s="17">
        <f>IF($F1280="","",IFERROR(INDEX(rngEPpass,MATCH($F1280,rngEPcode,0)),cfgPassingScore))</f>
        <v/>
      </c>
      <c r="K1280" s="16" t="n"/>
      <c r="L1280" s="16" t="n"/>
      <c r="M1280" s="17">
        <f>IF($C1280="","",IF($L1280="","",IF(NOT(ISNUMBER($L1280)),$L1280,IF(N($K1280)&gt;2,"",IF($K1280=1,IF(COUNTIFS(nrES_PID,$D1280,nrES_Code,$F1280,nrES_Att,2,nrES_Raw,"&gt;=0")&gt;0,"",$L1280),IF($L1280&gt;=$J1280,MAX($J1280,cfgRetakeRecordedCap),IF(COUNTIFS(nrES_PID,$D1280,nrES_Code,$F1280,nrES_Att,1)=0,$L1280,SUMIFS(nrES_Raw,nrES_PID,$D1280,nrES_Code,$F1280,nrES_Att,1))))))))</f>
        <v/>
      </c>
      <c r="N1280" s="17">
        <f>IF($C1280="","",IF($L1280="","",IF(NOT(ISNUMBER($L1280)),"(not a score)",IF($L1280&gt;=$J1280,"Yes","No"))))</f>
        <v/>
      </c>
      <c r="O1280" s="17">
        <f>IF($C1280="","",IF($M1280="","",IF(NOT(ISNUMBER($M1280)),"(not a score)",IF($M1280&gt;=$J1280,"Yes","No"))))</f>
        <v/>
      </c>
      <c r="P1280" s="17">
        <f>IF($C1280="","",IF($K1280="","",IF(N($K1280)&gt;2,"No",IF(COUNTIFS(nrES_PID,$D1280,nrES_Code,$F1280,nrES_Att,"&gt;"&amp;$K1280,nrES_Att,"&lt;=2",nrES_Raw,"&gt;=0")=0,"Yes","No"))))</f>
        <v/>
      </c>
      <c r="Q1280" s="17">
        <f>IF($C1280="","",IF($L1280="","",IF(AND($K1280=1,ISNUMBER($L1280),$L1280&lt;$J1280,COUNTIFS(nrES_PID,$D1280,nrES_Code,$F1280,nrES_Att,2,nrES_Raw,"&gt;=0")=0),"Yes","No")))</f>
        <v/>
      </c>
      <c r="R1280" s="17">
        <f>IF($C1280="","",IF($L1280="","",IF(AND(N($K1280)&gt;=2,ISNUMBER($L1280),$L1280&lt;$J1280),"Yes","No")))</f>
        <v/>
      </c>
      <c r="S1280" s="18" t="n"/>
      <c r="T1280" s="19">
        <f>IF(OR($C1280="",$L1280="",$K1280&lt;&gt;1,NOT(ISNUMBER($L1280)),$L1280&gt;=$J1280),"",IF($S1280="","(enter date)",_xlfn.LET(_xlpm.dn,_xlfn.XLOOKUP($S1280,nrCDdate,nrCDnum,"",1),IF(_xlpm.dn="","(after last class day)",_xlfn.LET(_xlpm.dd,_xlfn.XLOOKUP(_xlpm.dn+cfgRetestClassDays,nrCDnum,nrCDdate,""),_xlpm.ok,_xlfn.XLOOKUP(_xlpm.dn+cfgRetestClassDays,nrCDnum,nrCDinsession,"No"),IF(OR(_xlpm.dd="",_xlpm.ok&lt;&gt;"Yes"),"(after last class day)",_xlpm.dd))))))</f>
        <v/>
      </c>
      <c r="U1280" s="17">
        <f>IF($C1280="","",IF(AND($Y1280="Excused",$L1280="",N($K1280)&lt;=1),"EXCUSED - 1st attempt pending",IF(OR($L1280="",$K1280&lt;&gt;1,NOT(ISNUMBER($L1280)),$L1280&gt;=$J1280),"",IF(COUNTIFS(nrES_PID,$D1280,nrES_Code,$F1280,nrES_Att,2,nrES_Raw,"&gt;=0")&gt;0,IF(IFERROR(_xlfn.MINIFS(nrES_Date,nrES_PID,$D1280,nrES_Code,$F1280,nrES_Att,2,nrES_Raw,"&gt;=0",nrES_Date,"&gt;0"),0)=0,"RETEST UNDATED",IF(NOT(ISNUMBER($T1280)),"RETEST DATE UNCHECKED",IF(_xlfn.MINIFS(nrES_Date,nrES_PID,$D1280,nrES_Code,$F1280,nrES_Att,2,nrES_Raw,"&gt;=0",nrES_Date,"&gt;0")&gt;$T1280,"LATE RETEST "&amp;TEXT(_xlfn.MINIFS(nrES_Date,nrES_PID,$D1280,nrES_Code,$F1280,nrES_Att,2,nrES_Raw,"&gt;=0",nrES_Date,"&gt;0"),"mm/dd")&amp;" (due "&amp;TEXT($T1280,"mm/dd")&amp;")","Retested"))),IF(NOT(ISNUMBER($T1280)),"CHECK DATE",IF(TODAY()&gt;$T1280,"OVERDUE","Due "&amp;TEXT($T1280,"mm/dd")))))))</f>
        <v/>
      </c>
      <c r="V1280" s="16" t="n"/>
      <c r="W1280" s="16" t="n"/>
      <c r="X1280" s="17">
        <f>IF($C1280="","",IF(AND($L1280&lt;&gt;"",NOT(ISNUMBER($L1280))),"RAW SCORE NOT A NUMBER",IF(AND(ISNUMBER($L1280),OR($L1280&lt;0,$L1280&gt;100)),"RAW SCORE OUT OF RANGE",IF(AND($Y1280="Unexcused",OR($L1280="",NOT(ISNUMBER($L1280)),$L1280&lt;&gt;0)),"UNEXCUSED ABSENCE MUST RECORD 0",IF(COUNTIF(nrES_RecID,$B1280)&gt;1,"DUPLICATE RECORD",IF(N($K1280)&gt;2,"ATTEMPT 3+ NOT ALLOWED - policy 300.5 permits one retest per exam; this row records nothing",IF(AND($K1280=2,COUNTIFS(nrES_PID,$D1280,nrES_Code,$F1280,nrES_Att,1)=0),"ATTEMPT 2 WITHOUT ATTEMPT 1",IF(AND($K1280=2,$L1280=""),"RETEST ROW HAS NO SCORE",IF(AND($H1280="Final",$L1280&lt;&gt;"",IFERROR(INDEX(nrCKfinalExamElig,MATCH($D1280,rngCadetPIDs,0)),"")="No"),"FINAL EXAM AFTER FAILED FINAL PT (500.1.H)",IF(AND($K1280=2,ISNUMBER($L1280),COUNTIFS(nrES_PID,$D1280,nrES_Code,$F1280,nrES_Att,1)&gt;0,SUMIFS(nrES_Raw,nrES_PID,$D1280,nrES_Code,$F1280,nrES_Att,1)&gt;=$J1280),"RETEST AFTER A PASSING FIRST ATTEMPT","OK"))))))))))</f>
        <v/>
      </c>
      <c r="Y1280" s="16" t="n"/>
    </row>
    <row r="1281">
      <c r="B1281" s="17">
        <f>IF($C1281="","",$D1281&amp;"-"&amp;$F1281&amp;"-"&amp;$K1281)</f>
        <v/>
      </c>
      <c r="C1281" s="16" t="n"/>
      <c r="D1281" s="17">
        <f>IF($C1281="","",IFERROR(INDEX(rngCadetPIDs,MATCH($C1281,rngCadetNames,0)),"?"))</f>
        <v/>
      </c>
      <c r="E1281" s="17">
        <f>IF($D1281="","",IFERROR(INDEX(nrCadetAgency,MATCH($D1281,rngCadetPIDs,0)),""))</f>
        <v/>
      </c>
      <c r="F1281" s="16" t="n"/>
      <c r="G1281" s="17">
        <f>IF($F1281="","",IFERROR(INDEX(rngEPname,MATCH($F1281,rngEPcode,0)),"?"))</f>
        <v/>
      </c>
      <c r="H1281" s="17">
        <f>IF($F1281="","",IFERROR(INDEX(rngEPtype,MATCH($F1281,rngEPcode,0)),"?"))</f>
        <v/>
      </c>
      <c r="I1281" s="17">
        <f>IF($F1281="","",IFERROR(INDEX(rngEPseq,MATCH($F1281,rngEPcode,0)),""))</f>
        <v/>
      </c>
      <c r="J1281" s="17">
        <f>IF($F1281="","",IFERROR(INDEX(rngEPpass,MATCH($F1281,rngEPcode,0)),cfgPassingScore))</f>
        <v/>
      </c>
      <c r="K1281" s="16" t="n"/>
      <c r="L1281" s="16" t="n"/>
      <c r="M1281" s="17">
        <f>IF($C1281="","",IF($L1281="","",IF(NOT(ISNUMBER($L1281)),$L1281,IF(N($K1281)&gt;2,"",IF($K1281=1,IF(COUNTIFS(nrES_PID,$D1281,nrES_Code,$F1281,nrES_Att,2,nrES_Raw,"&gt;=0")&gt;0,"",$L1281),IF($L1281&gt;=$J1281,MAX($J1281,cfgRetakeRecordedCap),IF(COUNTIFS(nrES_PID,$D1281,nrES_Code,$F1281,nrES_Att,1)=0,$L1281,SUMIFS(nrES_Raw,nrES_PID,$D1281,nrES_Code,$F1281,nrES_Att,1))))))))</f>
        <v/>
      </c>
      <c r="N1281" s="17">
        <f>IF($C1281="","",IF($L1281="","",IF(NOT(ISNUMBER($L1281)),"(not a score)",IF($L1281&gt;=$J1281,"Yes","No"))))</f>
        <v/>
      </c>
      <c r="O1281" s="17">
        <f>IF($C1281="","",IF($M1281="","",IF(NOT(ISNUMBER($M1281)),"(not a score)",IF($M1281&gt;=$J1281,"Yes","No"))))</f>
        <v/>
      </c>
      <c r="P1281" s="17">
        <f>IF($C1281="","",IF($K1281="","",IF(N($K1281)&gt;2,"No",IF(COUNTIFS(nrES_PID,$D1281,nrES_Code,$F1281,nrES_Att,"&gt;"&amp;$K1281,nrES_Att,"&lt;=2",nrES_Raw,"&gt;=0")=0,"Yes","No"))))</f>
        <v/>
      </c>
      <c r="Q1281" s="17">
        <f>IF($C1281="","",IF($L1281="","",IF(AND($K1281=1,ISNUMBER($L1281),$L1281&lt;$J1281,COUNTIFS(nrES_PID,$D1281,nrES_Code,$F1281,nrES_Att,2,nrES_Raw,"&gt;=0")=0),"Yes","No")))</f>
        <v/>
      </c>
      <c r="R1281" s="17">
        <f>IF($C1281="","",IF($L1281="","",IF(AND(N($K1281)&gt;=2,ISNUMBER($L1281),$L1281&lt;$J1281),"Yes","No")))</f>
        <v/>
      </c>
      <c r="S1281" s="18" t="n"/>
      <c r="T1281" s="19">
        <f>IF(OR($C1281="",$L1281="",$K1281&lt;&gt;1,NOT(ISNUMBER($L1281)),$L1281&gt;=$J1281),"",IF($S1281="","(enter date)",_xlfn.LET(_xlpm.dn,_xlfn.XLOOKUP($S1281,nrCDdate,nrCDnum,"",1),IF(_xlpm.dn="","(after last class day)",_xlfn.LET(_xlpm.dd,_xlfn.XLOOKUP(_xlpm.dn+cfgRetestClassDays,nrCDnum,nrCDdate,""),_xlpm.ok,_xlfn.XLOOKUP(_xlpm.dn+cfgRetestClassDays,nrCDnum,nrCDinsession,"No"),IF(OR(_xlpm.dd="",_xlpm.ok&lt;&gt;"Yes"),"(after last class day)",_xlpm.dd))))))</f>
        <v/>
      </c>
      <c r="U1281" s="17">
        <f>IF($C1281="","",IF(AND($Y1281="Excused",$L1281="",N($K1281)&lt;=1),"EXCUSED - 1st attempt pending",IF(OR($L1281="",$K1281&lt;&gt;1,NOT(ISNUMBER($L1281)),$L1281&gt;=$J1281),"",IF(COUNTIFS(nrES_PID,$D1281,nrES_Code,$F1281,nrES_Att,2,nrES_Raw,"&gt;=0")&gt;0,IF(IFERROR(_xlfn.MINIFS(nrES_Date,nrES_PID,$D1281,nrES_Code,$F1281,nrES_Att,2,nrES_Raw,"&gt;=0",nrES_Date,"&gt;0"),0)=0,"RETEST UNDATED",IF(NOT(ISNUMBER($T1281)),"RETEST DATE UNCHECKED",IF(_xlfn.MINIFS(nrES_Date,nrES_PID,$D1281,nrES_Code,$F1281,nrES_Att,2,nrES_Raw,"&gt;=0",nrES_Date,"&gt;0")&gt;$T1281,"LATE RETEST "&amp;TEXT(_xlfn.MINIFS(nrES_Date,nrES_PID,$D1281,nrES_Code,$F1281,nrES_Att,2,nrES_Raw,"&gt;=0",nrES_Date,"&gt;0"),"mm/dd")&amp;" (due "&amp;TEXT($T1281,"mm/dd")&amp;")","Retested"))),IF(NOT(ISNUMBER($T1281)),"CHECK DATE",IF(TODAY()&gt;$T1281,"OVERDUE","Due "&amp;TEXT($T1281,"mm/dd")))))))</f>
        <v/>
      </c>
      <c r="V1281" s="16" t="n"/>
      <c r="W1281" s="16" t="n"/>
      <c r="X1281" s="17">
        <f>IF($C1281="","",IF(AND($L1281&lt;&gt;"",NOT(ISNUMBER($L1281))),"RAW SCORE NOT A NUMBER",IF(AND(ISNUMBER($L1281),OR($L1281&lt;0,$L1281&gt;100)),"RAW SCORE OUT OF RANGE",IF(AND($Y1281="Unexcused",OR($L1281="",NOT(ISNUMBER($L1281)),$L1281&lt;&gt;0)),"UNEXCUSED ABSENCE MUST RECORD 0",IF(COUNTIF(nrES_RecID,$B1281)&gt;1,"DUPLICATE RECORD",IF(N($K1281)&gt;2,"ATTEMPT 3+ NOT ALLOWED - policy 300.5 permits one retest per exam; this row records nothing",IF(AND($K1281=2,COUNTIFS(nrES_PID,$D1281,nrES_Code,$F1281,nrES_Att,1)=0),"ATTEMPT 2 WITHOUT ATTEMPT 1",IF(AND($K1281=2,$L1281=""),"RETEST ROW HAS NO SCORE",IF(AND($H1281="Final",$L1281&lt;&gt;"",IFERROR(INDEX(nrCKfinalExamElig,MATCH($D1281,rngCadetPIDs,0)),"")="No"),"FINAL EXAM AFTER FAILED FINAL PT (500.1.H)",IF(AND($K1281=2,ISNUMBER($L1281),COUNTIFS(nrES_PID,$D1281,nrES_Code,$F1281,nrES_Att,1)&gt;0,SUMIFS(nrES_Raw,nrES_PID,$D1281,nrES_Code,$F1281,nrES_Att,1)&gt;=$J1281),"RETEST AFTER A PASSING FIRST ATTEMPT","OK"))))))))))</f>
        <v/>
      </c>
      <c r="Y1281" s="16" t="n"/>
    </row>
    <row r="1282">
      <c r="B1282" s="17">
        <f>IF($C1282="","",$D1282&amp;"-"&amp;$F1282&amp;"-"&amp;$K1282)</f>
        <v/>
      </c>
      <c r="C1282" s="16" t="n"/>
      <c r="D1282" s="17">
        <f>IF($C1282="","",IFERROR(INDEX(rngCadetPIDs,MATCH($C1282,rngCadetNames,0)),"?"))</f>
        <v/>
      </c>
      <c r="E1282" s="17">
        <f>IF($D1282="","",IFERROR(INDEX(nrCadetAgency,MATCH($D1282,rngCadetPIDs,0)),""))</f>
        <v/>
      </c>
      <c r="F1282" s="16" t="n"/>
      <c r="G1282" s="17">
        <f>IF($F1282="","",IFERROR(INDEX(rngEPname,MATCH($F1282,rngEPcode,0)),"?"))</f>
        <v/>
      </c>
      <c r="H1282" s="17">
        <f>IF($F1282="","",IFERROR(INDEX(rngEPtype,MATCH($F1282,rngEPcode,0)),"?"))</f>
        <v/>
      </c>
      <c r="I1282" s="17">
        <f>IF($F1282="","",IFERROR(INDEX(rngEPseq,MATCH($F1282,rngEPcode,0)),""))</f>
        <v/>
      </c>
      <c r="J1282" s="17">
        <f>IF($F1282="","",IFERROR(INDEX(rngEPpass,MATCH($F1282,rngEPcode,0)),cfgPassingScore))</f>
        <v/>
      </c>
      <c r="K1282" s="16" t="n"/>
      <c r="L1282" s="16" t="n"/>
      <c r="M1282" s="17">
        <f>IF($C1282="","",IF($L1282="","",IF(NOT(ISNUMBER($L1282)),$L1282,IF(N($K1282)&gt;2,"",IF($K1282=1,IF(COUNTIFS(nrES_PID,$D1282,nrES_Code,$F1282,nrES_Att,2,nrES_Raw,"&gt;=0")&gt;0,"",$L1282),IF($L1282&gt;=$J1282,MAX($J1282,cfgRetakeRecordedCap),IF(COUNTIFS(nrES_PID,$D1282,nrES_Code,$F1282,nrES_Att,1)=0,$L1282,SUMIFS(nrES_Raw,nrES_PID,$D1282,nrES_Code,$F1282,nrES_Att,1))))))))</f>
        <v/>
      </c>
      <c r="N1282" s="17">
        <f>IF($C1282="","",IF($L1282="","",IF(NOT(ISNUMBER($L1282)),"(not a score)",IF($L1282&gt;=$J1282,"Yes","No"))))</f>
        <v/>
      </c>
      <c r="O1282" s="17">
        <f>IF($C1282="","",IF($M1282="","",IF(NOT(ISNUMBER($M1282)),"(not a score)",IF($M1282&gt;=$J1282,"Yes","No"))))</f>
        <v/>
      </c>
      <c r="P1282" s="17">
        <f>IF($C1282="","",IF($K1282="","",IF(N($K1282)&gt;2,"No",IF(COUNTIFS(nrES_PID,$D1282,nrES_Code,$F1282,nrES_Att,"&gt;"&amp;$K1282,nrES_Att,"&lt;=2",nrES_Raw,"&gt;=0")=0,"Yes","No"))))</f>
        <v/>
      </c>
      <c r="Q1282" s="17">
        <f>IF($C1282="","",IF($L1282="","",IF(AND($K1282=1,ISNUMBER($L1282),$L1282&lt;$J1282,COUNTIFS(nrES_PID,$D1282,nrES_Code,$F1282,nrES_Att,2,nrES_Raw,"&gt;=0")=0),"Yes","No")))</f>
        <v/>
      </c>
      <c r="R1282" s="17">
        <f>IF($C1282="","",IF($L1282="","",IF(AND(N($K1282)&gt;=2,ISNUMBER($L1282),$L1282&lt;$J1282),"Yes","No")))</f>
        <v/>
      </c>
      <c r="S1282" s="18" t="n"/>
      <c r="T1282" s="19">
        <f>IF(OR($C1282="",$L1282="",$K1282&lt;&gt;1,NOT(ISNUMBER($L1282)),$L1282&gt;=$J1282),"",IF($S1282="","(enter date)",_xlfn.LET(_xlpm.dn,_xlfn.XLOOKUP($S1282,nrCDdate,nrCDnum,"",1),IF(_xlpm.dn="","(after last class day)",_xlfn.LET(_xlpm.dd,_xlfn.XLOOKUP(_xlpm.dn+cfgRetestClassDays,nrCDnum,nrCDdate,""),_xlpm.ok,_xlfn.XLOOKUP(_xlpm.dn+cfgRetestClassDays,nrCDnum,nrCDinsession,"No"),IF(OR(_xlpm.dd="",_xlpm.ok&lt;&gt;"Yes"),"(after last class day)",_xlpm.dd))))))</f>
        <v/>
      </c>
      <c r="U1282" s="17">
        <f>IF($C1282="","",IF(AND($Y1282="Excused",$L1282="",N($K1282)&lt;=1),"EXCUSED - 1st attempt pending",IF(OR($L1282="",$K1282&lt;&gt;1,NOT(ISNUMBER($L1282)),$L1282&gt;=$J1282),"",IF(COUNTIFS(nrES_PID,$D1282,nrES_Code,$F1282,nrES_Att,2,nrES_Raw,"&gt;=0")&gt;0,IF(IFERROR(_xlfn.MINIFS(nrES_Date,nrES_PID,$D1282,nrES_Code,$F1282,nrES_Att,2,nrES_Raw,"&gt;=0",nrES_Date,"&gt;0"),0)=0,"RETEST UNDATED",IF(NOT(ISNUMBER($T1282)),"RETEST DATE UNCHECKED",IF(_xlfn.MINIFS(nrES_Date,nrES_PID,$D1282,nrES_Code,$F1282,nrES_Att,2,nrES_Raw,"&gt;=0",nrES_Date,"&gt;0")&gt;$T1282,"LATE RETEST "&amp;TEXT(_xlfn.MINIFS(nrES_Date,nrES_PID,$D1282,nrES_Code,$F1282,nrES_Att,2,nrES_Raw,"&gt;=0",nrES_Date,"&gt;0"),"mm/dd")&amp;" (due "&amp;TEXT($T1282,"mm/dd")&amp;")","Retested"))),IF(NOT(ISNUMBER($T1282)),"CHECK DATE",IF(TODAY()&gt;$T1282,"OVERDUE","Due "&amp;TEXT($T1282,"mm/dd")))))))</f>
        <v/>
      </c>
      <c r="V1282" s="16" t="n"/>
      <c r="W1282" s="16" t="n"/>
      <c r="X1282" s="17">
        <f>IF($C1282="","",IF(AND($L1282&lt;&gt;"",NOT(ISNUMBER($L1282))),"RAW SCORE NOT A NUMBER",IF(AND(ISNUMBER($L1282),OR($L1282&lt;0,$L1282&gt;100)),"RAW SCORE OUT OF RANGE",IF(AND($Y1282="Unexcused",OR($L1282="",NOT(ISNUMBER($L1282)),$L1282&lt;&gt;0)),"UNEXCUSED ABSENCE MUST RECORD 0",IF(COUNTIF(nrES_RecID,$B1282)&gt;1,"DUPLICATE RECORD",IF(N($K1282)&gt;2,"ATTEMPT 3+ NOT ALLOWED - policy 300.5 permits one retest per exam; this row records nothing",IF(AND($K1282=2,COUNTIFS(nrES_PID,$D1282,nrES_Code,$F1282,nrES_Att,1)=0),"ATTEMPT 2 WITHOUT ATTEMPT 1",IF(AND($K1282=2,$L1282=""),"RETEST ROW HAS NO SCORE",IF(AND($H1282="Final",$L1282&lt;&gt;"",IFERROR(INDEX(nrCKfinalExamElig,MATCH($D1282,rngCadetPIDs,0)),"")="No"),"FINAL EXAM AFTER FAILED FINAL PT (500.1.H)",IF(AND($K1282=2,ISNUMBER($L1282),COUNTIFS(nrES_PID,$D1282,nrES_Code,$F1282,nrES_Att,1)&gt;0,SUMIFS(nrES_Raw,nrES_PID,$D1282,nrES_Code,$F1282,nrES_Att,1)&gt;=$J1282),"RETEST AFTER A PASSING FIRST ATTEMPT","OK"))))))))))</f>
        <v/>
      </c>
      <c r="Y1282" s="16" t="n"/>
    </row>
    <row r="1283">
      <c r="B1283" s="17">
        <f>IF($C1283="","",$D1283&amp;"-"&amp;$F1283&amp;"-"&amp;$K1283)</f>
        <v/>
      </c>
      <c r="C1283" s="16" t="n"/>
      <c r="D1283" s="17">
        <f>IF($C1283="","",IFERROR(INDEX(rngCadetPIDs,MATCH($C1283,rngCadetNames,0)),"?"))</f>
        <v/>
      </c>
      <c r="E1283" s="17">
        <f>IF($D1283="","",IFERROR(INDEX(nrCadetAgency,MATCH($D1283,rngCadetPIDs,0)),""))</f>
        <v/>
      </c>
      <c r="F1283" s="16" t="n"/>
      <c r="G1283" s="17">
        <f>IF($F1283="","",IFERROR(INDEX(rngEPname,MATCH($F1283,rngEPcode,0)),"?"))</f>
        <v/>
      </c>
      <c r="H1283" s="17">
        <f>IF($F1283="","",IFERROR(INDEX(rngEPtype,MATCH($F1283,rngEPcode,0)),"?"))</f>
        <v/>
      </c>
      <c r="I1283" s="17">
        <f>IF($F1283="","",IFERROR(INDEX(rngEPseq,MATCH($F1283,rngEPcode,0)),""))</f>
        <v/>
      </c>
      <c r="J1283" s="17">
        <f>IF($F1283="","",IFERROR(INDEX(rngEPpass,MATCH($F1283,rngEPcode,0)),cfgPassingScore))</f>
        <v/>
      </c>
      <c r="K1283" s="16" t="n"/>
      <c r="L1283" s="16" t="n"/>
      <c r="M1283" s="17">
        <f>IF($C1283="","",IF($L1283="","",IF(NOT(ISNUMBER($L1283)),$L1283,IF(N($K1283)&gt;2,"",IF($K1283=1,IF(COUNTIFS(nrES_PID,$D1283,nrES_Code,$F1283,nrES_Att,2,nrES_Raw,"&gt;=0")&gt;0,"",$L1283),IF($L1283&gt;=$J1283,MAX($J1283,cfgRetakeRecordedCap),IF(COUNTIFS(nrES_PID,$D1283,nrES_Code,$F1283,nrES_Att,1)=0,$L1283,SUMIFS(nrES_Raw,nrES_PID,$D1283,nrES_Code,$F1283,nrES_Att,1))))))))</f>
        <v/>
      </c>
      <c r="N1283" s="17">
        <f>IF($C1283="","",IF($L1283="","",IF(NOT(ISNUMBER($L1283)),"(not a score)",IF($L1283&gt;=$J1283,"Yes","No"))))</f>
        <v/>
      </c>
      <c r="O1283" s="17">
        <f>IF($C1283="","",IF($M1283="","",IF(NOT(ISNUMBER($M1283)),"(not a score)",IF($M1283&gt;=$J1283,"Yes","No"))))</f>
        <v/>
      </c>
      <c r="P1283" s="17">
        <f>IF($C1283="","",IF($K1283="","",IF(N($K1283)&gt;2,"No",IF(COUNTIFS(nrES_PID,$D1283,nrES_Code,$F1283,nrES_Att,"&gt;"&amp;$K1283,nrES_Att,"&lt;=2",nrES_Raw,"&gt;=0")=0,"Yes","No"))))</f>
        <v/>
      </c>
      <c r="Q1283" s="17">
        <f>IF($C1283="","",IF($L1283="","",IF(AND($K1283=1,ISNUMBER($L1283),$L1283&lt;$J1283,COUNTIFS(nrES_PID,$D1283,nrES_Code,$F1283,nrES_Att,2,nrES_Raw,"&gt;=0")=0),"Yes","No")))</f>
        <v/>
      </c>
      <c r="R1283" s="17">
        <f>IF($C1283="","",IF($L1283="","",IF(AND(N($K1283)&gt;=2,ISNUMBER($L1283),$L1283&lt;$J1283),"Yes","No")))</f>
        <v/>
      </c>
      <c r="S1283" s="18" t="n"/>
      <c r="T1283" s="19">
        <f>IF(OR($C1283="",$L1283="",$K1283&lt;&gt;1,NOT(ISNUMBER($L1283)),$L1283&gt;=$J1283),"",IF($S1283="","(enter date)",_xlfn.LET(_xlpm.dn,_xlfn.XLOOKUP($S1283,nrCDdate,nrCDnum,"",1),IF(_xlpm.dn="","(after last class day)",_xlfn.LET(_xlpm.dd,_xlfn.XLOOKUP(_xlpm.dn+cfgRetestClassDays,nrCDnum,nrCDdate,""),_xlpm.ok,_xlfn.XLOOKUP(_xlpm.dn+cfgRetestClassDays,nrCDnum,nrCDinsession,"No"),IF(OR(_xlpm.dd="",_xlpm.ok&lt;&gt;"Yes"),"(after last class day)",_xlpm.dd))))))</f>
        <v/>
      </c>
      <c r="U1283" s="17">
        <f>IF($C1283="","",IF(AND($Y1283="Excused",$L1283="",N($K1283)&lt;=1),"EXCUSED - 1st attempt pending",IF(OR($L1283="",$K1283&lt;&gt;1,NOT(ISNUMBER($L1283)),$L1283&gt;=$J1283),"",IF(COUNTIFS(nrES_PID,$D1283,nrES_Code,$F1283,nrES_Att,2,nrES_Raw,"&gt;=0")&gt;0,IF(IFERROR(_xlfn.MINIFS(nrES_Date,nrES_PID,$D1283,nrES_Code,$F1283,nrES_Att,2,nrES_Raw,"&gt;=0",nrES_Date,"&gt;0"),0)=0,"RETEST UNDATED",IF(NOT(ISNUMBER($T1283)),"RETEST DATE UNCHECKED",IF(_xlfn.MINIFS(nrES_Date,nrES_PID,$D1283,nrES_Code,$F1283,nrES_Att,2,nrES_Raw,"&gt;=0",nrES_Date,"&gt;0")&gt;$T1283,"LATE RETEST "&amp;TEXT(_xlfn.MINIFS(nrES_Date,nrES_PID,$D1283,nrES_Code,$F1283,nrES_Att,2,nrES_Raw,"&gt;=0",nrES_Date,"&gt;0"),"mm/dd")&amp;" (due "&amp;TEXT($T1283,"mm/dd")&amp;")","Retested"))),IF(NOT(ISNUMBER($T1283)),"CHECK DATE",IF(TODAY()&gt;$T1283,"OVERDUE","Due "&amp;TEXT($T1283,"mm/dd")))))))</f>
        <v/>
      </c>
      <c r="V1283" s="16" t="n"/>
      <c r="W1283" s="16" t="n"/>
      <c r="X1283" s="17">
        <f>IF($C1283="","",IF(AND($L1283&lt;&gt;"",NOT(ISNUMBER($L1283))),"RAW SCORE NOT A NUMBER",IF(AND(ISNUMBER($L1283),OR($L1283&lt;0,$L1283&gt;100)),"RAW SCORE OUT OF RANGE",IF(AND($Y1283="Unexcused",OR($L1283="",NOT(ISNUMBER($L1283)),$L1283&lt;&gt;0)),"UNEXCUSED ABSENCE MUST RECORD 0",IF(COUNTIF(nrES_RecID,$B1283)&gt;1,"DUPLICATE RECORD",IF(N($K1283)&gt;2,"ATTEMPT 3+ NOT ALLOWED - policy 300.5 permits one retest per exam; this row records nothing",IF(AND($K1283=2,COUNTIFS(nrES_PID,$D1283,nrES_Code,$F1283,nrES_Att,1)=0),"ATTEMPT 2 WITHOUT ATTEMPT 1",IF(AND($K1283=2,$L1283=""),"RETEST ROW HAS NO SCORE",IF(AND($H1283="Final",$L1283&lt;&gt;"",IFERROR(INDEX(nrCKfinalExamElig,MATCH($D1283,rngCadetPIDs,0)),"")="No"),"FINAL EXAM AFTER FAILED FINAL PT (500.1.H)",IF(AND($K1283=2,ISNUMBER($L1283),COUNTIFS(nrES_PID,$D1283,nrES_Code,$F1283,nrES_Att,1)&gt;0,SUMIFS(nrES_Raw,nrES_PID,$D1283,nrES_Code,$F1283,nrES_Att,1)&gt;=$J1283),"RETEST AFTER A PASSING FIRST ATTEMPT","OK"))))))))))</f>
        <v/>
      </c>
      <c r="Y1283" s="16" t="n"/>
    </row>
    <row r="1284">
      <c r="B1284" s="17">
        <f>IF($C1284="","",$D1284&amp;"-"&amp;$F1284&amp;"-"&amp;$K1284)</f>
        <v/>
      </c>
      <c r="C1284" s="16" t="n"/>
      <c r="D1284" s="17">
        <f>IF($C1284="","",IFERROR(INDEX(rngCadetPIDs,MATCH($C1284,rngCadetNames,0)),"?"))</f>
        <v/>
      </c>
      <c r="E1284" s="17">
        <f>IF($D1284="","",IFERROR(INDEX(nrCadetAgency,MATCH($D1284,rngCadetPIDs,0)),""))</f>
        <v/>
      </c>
      <c r="F1284" s="16" t="n"/>
      <c r="G1284" s="17">
        <f>IF($F1284="","",IFERROR(INDEX(rngEPname,MATCH($F1284,rngEPcode,0)),"?"))</f>
        <v/>
      </c>
      <c r="H1284" s="17">
        <f>IF($F1284="","",IFERROR(INDEX(rngEPtype,MATCH($F1284,rngEPcode,0)),"?"))</f>
        <v/>
      </c>
      <c r="I1284" s="17">
        <f>IF($F1284="","",IFERROR(INDEX(rngEPseq,MATCH($F1284,rngEPcode,0)),""))</f>
        <v/>
      </c>
      <c r="J1284" s="17">
        <f>IF($F1284="","",IFERROR(INDEX(rngEPpass,MATCH($F1284,rngEPcode,0)),cfgPassingScore))</f>
        <v/>
      </c>
      <c r="K1284" s="16" t="n"/>
      <c r="L1284" s="16" t="n"/>
      <c r="M1284" s="17">
        <f>IF($C1284="","",IF($L1284="","",IF(NOT(ISNUMBER($L1284)),$L1284,IF(N($K1284)&gt;2,"",IF($K1284=1,IF(COUNTIFS(nrES_PID,$D1284,nrES_Code,$F1284,nrES_Att,2,nrES_Raw,"&gt;=0")&gt;0,"",$L1284),IF($L1284&gt;=$J1284,MAX($J1284,cfgRetakeRecordedCap),IF(COUNTIFS(nrES_PID,$D1284,nrES_Code,$F1284,nrES_Att,1)=0,$L1284,SUMIFS(nrES_Raw,nrES_PID,$D1284,nrES_Code,$F1284,nrES_Att,1))))))))</f>
        <v/>
      </c>
      <c r="N1284" s="17">
        <f>IF($C1284="","",IF($L1284="","",IF(NOT(ISNUMBER($L1284)),"(not a score)",IF($L1284&gt;=$J1284,"Yes","No"))))</f>
        <v/>
      </c>
      <c r="O1284" s="17">
        <f>IF($C1284="","",IF($M1284="","",IF(NOT(ISNUMBER($M1284)),"(not a score)",IF($M1284&gt;=$J1284,"Yes","No"))))</f>
        <v/>
      </c>
      <c r="P1284" s="17">
        <f>IF($C1284="","",IF($K1284="","",IF(N($K1284)&gt;2,"No",IF(COUNTIFS(nrES_PID,$D1284,nrES_Code,$F1284,nrES_Att,"&gt;"&amp;$K1284,nrES_Att,"&lt;=2",nrES_Raw,"&gt;=0")=0,"Yes","No"))))</f>
        <v/>
      </c>
      <c r="Q1284" s="17">
        <f>IF($C1284="","",IF($L1284="","",IF(AND($K1284=1,ISNUMBER($L1284),$L1284&lt;$J1284,COUNTIFS(nrES_PID,$D1284,nrES_Code,$F1284,nrES_Att,2,nrES_Raw,"&gt;=0")=0),"Yes","No")))</f>
        <v/>
      </c>
      <c r="R1284" s="17">
        <f>IF($C1284="","",IF($L1284="","",IF(AND(N($K1284)&gt;=2,ISNUMBER($L1284),$L1284&lt;$J1284),"Yes","No")))</f>
        <v/>
      </c>
      <c r="S1284" s="18" t="n"/>
      <c r="T1284" s="19">
        <f>IF(OR($C1284="",$L1284="",$K1284&lt;&gt;1,NOT(ISNUMBER($L1284)),$L1284&gt;=$J1284),"",IF($S1284="","(enter date)",_xlfn.LET(_xlpm.dn,_xlfn.XLOOKUP($S1284,nrCDdate,nrCDnum,"",1),IF(_xlpm.dn="","(after last class day)",_xlfn.LET(_xlpm.dd,_xlfn.XLOOKUP(_xlpm.dn+cfgRetestClassDays,nrCDnum,nrCDdate,""),_xlpm.ok,_xlfn.XLOOKUP(_xlpm.dn+cfgRetestClassDays,nrCDnum,nrCDinsession,"No"),IF(OR(_xlpm.dd="",_xlpm.ok&lt;&gt;"Yes"),"(after last class day)",_xlpm.dd))))))</f>
        <v/>
      </c>
      <c r="U1284" s="17">
        <f>IF($C1284="","",IF(AND($Y1284="Excused",$L1284="",N($K1284)&lt;=1),"EXCUSED - 1st attempt pending",IF(OR($L1284="",$K1284&lt;&gt;1,NOT(ISNUMBER($L1284)),$L1284&gt;=$J1284),"",IF(COUNTIFS(nrES_PID,$D1284,nrES_Code,$F1284,nrES_Att,2,nrES_Raw,"&gt;=0")&gt;0,IF(IFERROR(_xlfn.MINIFS(nrES_Date,nrES_PID,$D1284,nrES_Code,$F1284,nrES_Att,2,nrES_Raw,"&gt;=0",nrES_Date,"&gt;0"),0)=0,"RETEST UNDATED",IF(NOT(ISNUMBER($T1284)),"RETEST DATE UNCHECKED",IF(_xlfn.MINIFS(nrES_Date,nrES_PID,$D1284,nrES_Code,$F1284,nrES_Att,2,nrES_Raw,"&gt;=0",nrES_Date,"&gt;0")&gt;$T1284,"LATE RETEST "&amp;TEXT(_xlfn.MINIFS(nrES_Date,nrES_PID,$D1284,nrES_Code,$F1284,nrES_Att,2,nrES_Raw,"&gt;=0",nrES_Date,"&gt;0"),"mm/dd")&amp;" (due "&amp;TEXT($T1284,"mm/dd")&amp;")","Retested"))),IF(NOT(ISNUMBER($T1284)),"CHECK DATE",IF(TODAY()&gt;$T1284,"OVERDUE","Due "&amp;TEXT($T1284,"mm/dd")))))))</f>
        <v/>
      </c>
      <c r="V1284" s="16" t="n"/>
      <c r="W1284" s="16" t="n"/>
      <c r="X1284" s="17">
        <f>IF($C1284="","",IF(AND($L1284&lt;&gt;"",NOT(ISNUMBER($L1284))),"RAW SCORE NOT A NUMBER",IF(AND(ISNUMBER($L1284),OR($L1284&lt;0,$L1284&gt;100)),"RAW SCORE OUT OF RANGE",IF(AND($Y1284="Unexcused",OR($L1284="",NOT(ISNUMBER($L1284)),$L1284&lt;&gt;0)),"UNEXCUSED ABSENCE MUST RECORD 0",IF(COUNTIF(nrES_RecID,$B1284)&gt;1,"DUPLICATE RECORD",IF(N($K1284)&gt;2,"ATTEMPT 3+ NOT ALLOWED - policy 300.5 permits one retest per exam; this row records nothing",IF(AND($K1284=2,COUNTIFS(nrES_PID,$D1284,nrES_Code,$F1284,nrES_Att,1)=0),"ATTEMPT 2 WITHOUT ATTEMPT 1",IF(AND($K1284=2,$L1284=""),"RETEST ROW HAS NO SCORE",IF(AND($H1284="Final",$L1284&lt;&gt;"",IFERROR(INDEX(nrCKfinalExamElig,MATCH($D1284,rngCadetPIDs,0)),"")="No"),"FINAL EXAM AFTER FAILED FINAL PT (500.1.H)",IF(AND($K1284=2,ISNUMBER($L1284),COUNTIFS(nrES_PID,$D1284,nrES_Code,$F1284,nrES_Att,1)&gt;0,SUMIFS(nrES_Raw,nrES_PID,$D1284,nrES_Code,$F1284,nrES_Att,1)&gt;=$J1284),"RETEST AFTER A PASSING FIRST ATTEMPT","OK"))))))))))</f>
        <v/>
      </c>
      <c r="Y1284" s="16" t="n"/>
    </row>
    <row r="1285">
      <c r="B1285" s="17">
        <f>IF($C1285="","",$D1285&amp;"-"&amp;$F1285&amp;"-"&amp;$K1285)</f>
        <v/>
      </c>
      <c r="C1285" s="16" t="n"/>
      <c r="D1285" s="17">
        <f>IF($C1285="","",IFERROR(INDEX(rngCadetPIDs,MATCH($C1285,rngCadetNames,0)),"?"))</f>
        <v/>
      </c>
      <c r="E1285" s="17">
        <f>IF($D1285="","",IFERROR(INDEX(nrCadetAgency,MATCH($D1285,rngCadetPIDs,0)),""))</f>
        <v/>
      </c>
      <c r="F1285" s="16" t="n"/>
      <c r="G1285" s="17">
        <f>IF($F1285="","",IFERROR(INDEX(rngEPname,MATCH($F1285,rngEPcode,0)),"?"))</f>
        <v/>
      </c>
      <c r="H1285" s="17">
        <f>IF($F1285="","",IFERROR(INDEX(rngEPtype,MATCH($F1285,rngEPcode,0)),"?"))</f>
        <v/>
      </c>
      <c r="I1285" s="17">
        <f>IF($F1285="","",IFERROR(INDEX(rngEPseq,MATCH($F1285,rngEPcode,0)),""))</f>
        <v/>
      </c>
      <c r="J1285" s="17">
        <f>IF($F1285="","",IFERROR(INDEX(rngEPpass,MATCH($F1285,rngEPcode,0)),cfgPassingScore))</f>
        <v/>
      </c>
      <c r="K1285" s="16" t="n"/>
      <c r="L1285" s="16" t="n"/>
      <c r="M1285" s="17">
        <f>IF($C1285="","",IF($L1285="","",IF(NOT(ISNUMBER($L1285)),$L1285,IF(N($K1285)&gt;2,"",IF($K1285=1,IF(COUNTIFS(nrES_PID,$D1285,nrES_Code,$F1285,nrES_Att,2,nrES_Raw,"&gt;=0")&gt;0,"",$L1285),IF($L1285&gt;=$J1285,MAX($J1285,cfgRetakeRecordedCap),IF(COUNTIFS(nrES_PID,$D1285,nrES_Code,$F1285,nrES_Att,1)=0,$L1285,SUMIFS(nrES_Raw,nrES_PID,$D1285,nrES_Code,$F1285,nrES_Att,1))))))))</f>
        <v/>
      </c>
      <c r="N1285" s="17">
        <f>IF($C1285="","",IF($L1285="","",IF(NOT(ISNUMBER($L1285)),"(not a score)",IF($L1285&gt;=$J1285,"Yes","No"))))</f>
        <v/>
      </c>
      <c r="O1285" s="17">
        <f>IF($C1285="","",IF($M1285="","",IF(NOT(ISNUMBER($M1285)),"(not a score)",IF($M1285&gt;=$J1285,"Yes","No"))))</f>
        <v/>
      </c>
      <c r="P1285" s="17">
        <f>IF($C1285="","",IF($K1285="","",IF(N($K1285)&gt;2,"No",IF(COUNTIFS(nrES_PID,$D1285,nrES_Code,$F1285,nrES_Att,"&gt;"&amp;$K1285,nrES_Att,"&lt;=2",nrES_Raw,"&gt;=0")=0,"Yes","No"))))</f>
        <v/>
      </c>
      <c r="Q1285" s="17">
        <f>IF($C1285="","",IF($L1285="","",IF(AND($K1285=1,ISNUMBER($L1285),$L1285&lt;$J1285,COUNTIFS(nrES_PID,$D1285,nrES_Code,$F1285,nrES_Att,2,nrES_Raw,"&gt;=0")=0),"Yes","No")))</f>
        <v/>
      </c>
      <c r="R1285" s="17">
        <f>IF($C1285="","",IF($L1285="","",IF(AND(N($K1285)&gt;=2,ISNUMBER($L1285),$L1285&lt;$J1285),"Yes","No")))</f>
        <v/>
      </c>
      <c r="S1285" s="18" t="n"/>
      <c r="T1285" s="19">
        <f>IF(OR($C1285="",$L1285="",$K1285&lt;&gt;1,NOT(ISNUMBER($L1285)),$L1285&gt;=$J1285),"",IF($S1285="","(enter date)",_xlfn.LET(_xlpm.dn,_xlfn.XLOOKUP($S1285,nrCDdate,nrCDnum,"",1),IF(_xlpm.dn="","(after last class day)",_xlfn.LET(_xlpm.dd,_xlfn.XLOOKUP(_xlpm.dn+cfgRetestClassDays,nrCDnum,nrCDdate,""),_xlpm.ok,_xlfn.XLOOKUP(_xlpm.dn+cfgRetestClassDays,nrCDnum,nrCDinsession,"No"),IF(OR(_xlpm.dd="",_xlpm.ok&lt;&gt;"Yes"),"(after last class day)",_xlpm.dd))))))</f>
        <v/>
      </c>
      <c r="U1285" s="17">
        <f>IF($C1285="","",IF(AND($Y1285="Excused",$L1285="",N($K1285)&lt;=1),"EXCUSED - 1st attempt pending",IF(OR($L1285="",$K1285&lt;&gt;1,NOT(ISNUMBER($L1285)),$L1285&gt;=$J1285),"",IF(COUNTIFS(nrES_PID,$D1285,nrES_Code,$F1285,nrES_Att,2,nrES_Raw,"&gt;=0")&gt;0,IF(IFERROR(_xlfn.MINIFS(nrES_Date,nrES_PID,$D1285,nrES_Code,$F1285,nrES_Att,2,nrES_Raw,"&gt;=0",nrES_Date,"&gt;0"),0)=0,"RETEST UNDATED",IF(NOT(ISNUMBER($T1285)),"RETEST DATE UNCHECKED",IF(_xlfn.MINIFS(nrES_Date,nrES_PID,$D1285,nrES_Code,$F1285,nrES_Att,2,nrES_Raw,"&gt;=0",nrES_Date,"&gt;0")&gt;$T1285,"LATE RETEST "&amp;TEXT(_xlfn.MINIFS(nrES_Date,nrES_PID,$D1285,nrES_Code,$F1285,nrES_Att,2,nrES_Raw,"&gt;=0",nrES_Date,"&gt;0"),"mm/dd")&amp;" (due "&amp;TEXT($T1285,"mm/dd")&amp;")","Retested"))),IF(NOT(ISNUMBER($T1285)),"CHECK DATE",IF(TODAY()&gt;$T1285,"OVERDUE","Due "&amp;TEXT($T1285,"mm/dd")))))))</f>
        <v/>
      </c>
      <c r="V1285" s="16" t="n"/>
      <c r="W1285" s="16" t="n"/>
      <c r="X1285" s="17">
        <f>IF($C1285="","",IF(AND($L1285&lt;&gt;"",NOT(ISNUMBER($L1285))),"RAW SCORE NOT A NUMBER",IF(AND(ISNUMBER($L1285),OR($L1285&lt;0,$L1285&gt;100)),"RAW SCORE OUT OF RANGE",IF(AND($Y1285="Unexcused",OR($L1285="",NOT(ISNUMBER($L1285)),$L1285&lt;&gt;0)),"UNEXCUSED ABSENCE MUST RECORD 0",IF(COUNTIF(nrES_RecID,$B1285)&gt;1,"DUPLICATE RECORD",IF(N($K1285)&gt;2,"ATTEMPT 3+ NOT ALLOWED - policy 300.5 permits one retest per exam; this row records nothing",IF(AND($K1285=2,COUNTIFS(nrES_PID,$D1285,nrES_Code,$F1285,nrES_Att,1)=0),"ATTEMPT 2 WITHOUT ATTEMPT 1",IF(AND($K1285=2,$L1285=""),"RETEST ROW HAS NO SCORE",IF(AND($H1285="Final",$L1285&lt;&gt;"",IFERROR(INDEX(nrCKfinalExamElig,MATCH($D1285,rngCadetPIDs,0)),"")="No"),"FINAL EXAM AFTER FAILED FINAL PT (500.1.H)",IF(AND($K1285=2,ISNUMBER($L1285),COUNTIFS(nrES_PID,$D1285,nrES_Code,$F1285,nrES_Att,1)&gt;0,SUMIFS(nrES_Raw,nrES_PID,$D1285,nrES_Code,$F1285,nrES_Att,1)&gt;=$J1285),"RETEST AFTER A PASSING FIRST ATTEMPT","OK"))))))))))</f>
        <v/>
      </c>
      <c r="Y1285" s="16" t="n"/>
    </row>
    <row r="1286">
      <c r="B1286" s="17">
        <f>IF($C1286="","",$D1286&amp;"-"&amp;$F1286&amp;"-"&amp;$K1286)</f>
        <v/>
      </c>
      <c r="C1286" s="16" t="n"/>
      <c r="D1286" s="17">
        <f>IF($C1286="","",IFERROR(INDEX(rngCadetPIDs,MATCH($C1286,rngCadetNames,0)),"?"))</f>
        <v/>
      </c>
      <c r="E1286" s="17">
        <f>IF($D1286="","",IFERROR(INDEX(nrCadetAgency,MATCH($D1286,rngCadetPIDs,0)),""))</f>
        <v/>
      </c>
      <c r="F1286" s="16" t="n"/>
      <c r="G1286" s="17">
        <f>IF($F1286="","",IFERROR(INDEX(rngEPname,MATCH($F1286,rngEPcode,0)),"?"))</f>
        <v/>
      </c>
      <c r="H1286" s="17">
        <f>IF($F1286="","",IFERROR(INDEX(rngEPtype,MATCH($F1286,rngEPcode,0)),"?"))</f>
        <v/>
      </c>
      <c r="I1286" s="17">
        <f>IF($F1286="","",IFERROR(INDEX(rngEPseq,MATCH($F1286,rngEPcode,0)),""))</f>
        <v/>
      </c>
      <c r="J1286" s="17">
        <f>IF($F1286="","",IFERROR(INDEX(rngEPpass,MATCH($F1286,rngEPcode,0)),cfgPassingScore))</f>
        <v/>
      </c>
      <c r="K1286" s="16" t="n"/>
      <c r="L1286" s="16" t="n"/>
      <c r="M1286" s="17">
        <f>IF($C1286="","",IF($L1286="","",IF(NOT(ISNUMBER($L1286)),$L1286,IF(N($K1286)&gt;2,"",IF($K1286=1,IF(COUNTIFS(nrES_PID,$D1286,nrES_Code,$F1286,nrES_Att,2,nrES_Raw,"&gt;=0")&gt;0,"",$L1286),IF($L1286&gt;=$J1286,MAX($J1286,cfgRetakeRecordedCap),IF(COUNTIFS(nrES_PID,$D1286,nrES_Code,$F1286,nrES_Att,1)=0,$L1286,SUMIFS(nrES_Raw,nrES_PID,$D1286,nrES_Code,$F1286,nrES_Att,1))))))))</f>
        <v/>
      </c>
      <c r="N1286" s="17">
        <f>IF($C1286="","",IF($L1286="","",IF(NOT(ISNUMBER($L1286)),"(not a score)",IF($L1286&gt;=$J1286,"Yes","No"))))</f>
        <v/>
      </c>
      <c r="O1286" s="17">
        <f>IF($C1286="","",IF($M1286="","",IF(NOT(ISNUMBER($M1286)),"(not a score)",IF($M1286&gt;=$J1286,"Yes","No"))))</f>
        <v/>
      </c>
      <c r="P1286" s="17">
        <f>IF($C1286="","",IF($K1286="","",IF(N($K1286)&gt;2,"No",IF(COUNTIFS(nrES_PID,$D1286,nrES_Code,$F1286,nrES_Att,"&gt;"&amp;$K1286,nrES_Att,"&lt;=2",nrES_Raw,"&gt;=0")=0,"Yes","No"))))</f>
        <v/>
      </c>
      <c r="Q1286" s="17">
        <f>IF($C1286="","",IF($L1286="","",IF(AND($K1286=1,ISNUMBER($L1286),$L1286&lt;$J1286,COUNTIFS(nrES_PID,$D1286,nrES_Code,$F1286,nrES_Att,2,nrES_Raw,"&gt;=0")=0),"Yes","No")))</f>
        <v/>
      </c>
      <c r="R1286" s="17">
        <f>IF($C1286="","",IF($L1286="","",IF(AND(N($K1286)&gt;=2,ISNUMBER($L1286),$L1286&lt;$J1286),"Yes","No")))</f>
        <v/>
      </c>
      <c r="S1286" s="18" t="n"/>
      <c r="T1286" s="19">
        <f>IF(OR($C1286="",$L1286="",$K1286&lt;&gt;1,NOT(ISNUMBER($L1286)),$L1286&gt;=$J1286),"",IF($S1286="","(enter date)",_xlfn.LET(_xlpm.dn,_xlfn.XLOOKUP($S1286,nrCDdate,nrCDnum,"",1),IF(_xlpm.dn="","(after last class day)",_xlfn.LET(_xlpm.dd,_xlfn.XLOOKUP(_xlpm.dn+cfgRetestClassDays,nrCDnum,nrCDdate,""),_xlpm.ok,_xlfn.XLOOKUP(_xlpm.dn+cfgRetestClassDays,nrCDnum,nrCDinsession,"No"),IF(OR(_xlpm.dd="",_xlpm.ok&lt;&gt;"Yes"),"(after last class day)",_xlpm.dd))))))</f>
        <v/>
      </c>
      <c r="U1286" s="17">
        <f>IF($C1286="","",IF(AND($Y1286="Excused",$L1286="",N($K1286)&lt;=1),"EXCUSED - 1st attempt pending",IF(OR($L1286="",$K1286&lt;&gt;1,NOT(ISNUMBER($L1286)),$L1286&gt;=$J1286),"",IF(COUNTIFS(nrES_PID,$D1286,nrES_Code,$F1286,nrES_Att,2,nrES_Raw,"&gt;=0")&gt;0,IF(IFERROR(_xlfn.MINIFS(nrES_Date,nrES_PID,$D1286,nrES_Code,$F1286,nrES_Att,2,nrES_Raw,"&gt;=0",nrES_Date,"&gt;0"),0)=0,"RETEST UNDATED",IF(NOT(ISNUMBER($T1286)),"RETEST DATE UNCHECKED",IF(_xlfn.MINIFS(nrES_Date,nrES_PID,$D1286,nrES_Code,$F1286,nrES_Att,2,nrES_Raw,"&gt;=0",nrES_Date,"&gt;0")&gt;$T1286,"LATE RETEST "&amp;TEXT(_xlfn.MINIFS(nrES_Date,nrES_PID,$D1286,nrES_Code,$F1286,nrES_Att,2,nrES_Raw,"&gt;=0",nrES_Date,"&gt;0"),"mm/dd")&amp;" (due "&amp;TEXT($T1286,"mm/dd")&amp;")","Retested"))),IF(NOT(ISNUMBER($T1286)),"CHECK DATE",IF(TODAY()&gt;$T1286,"OVERDUE","Due "&amp;TEXT($T1286,"mm/dd")))))))</f>
        <v/>
      </c>
      <c r="V1286" s="16" t="n"/>
      <c r="W1286" s="16" t="n"/>
      <c r="X1286" s="17">
        <f>IF($C1286="","",IF(AND($L1286&lt;&gt;"",NOT(ISNUMBER($L1286))),"RAW SCORE NOT A NUMBER",IF(AND(ISNUMBER($L1286),OR($L1286&lt;0,$L1286&gt;100)),"RAW SCORE OUT OF RANGE",IF(AND($Y1286="Unexcused",OR($L1286="",NOT(ISNUMBER($L1286)),$L1286&lt;&gt;0)),"UNEXCUSED ABSENCE MUST RECORD 0",IF(COUNTIF(nrES_RecID,$B1286)&gt;1,"DUPLICATE RECORD",IF(N($K1286)&gt;2,"ATTEMPT 3+ NOT ALLOWED - policy 300.5 permits one retest per exam; this row records nothing",IF(AND($K1286=2,COUNTIFS(nrES_PID,$D1286,nrES_Code,$F1286,nrES_Att,1)=0),"ATTEMPT 2 WITHOUT ATTEMPT 1",IF(AND($K1286=2,$L1286=""),"RETEST ROW HAS NO SCORE",IF(AND($H1286="Final",$L1286&lt;&gt;"",IFERROR(INDEX(nrCKfinalExamElig,MATCH($D1286,rngCadetPIDs,0)),"")="No"),"FINAL EXAM AFTER FAILED FINAL PT (500.1.H)",IF(AND($K1286=2,ISNUMBER($L1286),COUNTIFS(nrES_PID,$D1286,nrES_Code,$F1286,nrES_Att,1)&gt;0,SUMIFS(nrES_Raw,nrES_PID,$D1286,nrES_Code,$F1286,nrES_Att,1)&gt;=$J1286),"RETEST AFTER A PASSING FIRST ATTEMPT","OK"))))))))))</f>
        <v/>
      </c>
      <c r="Y1286" s="16" t="n"/>
    </row>
    <row r="1287">
      <c r="B1287" s="17">
        <f>IF($C1287="","",$D1287&amp;"-"&amp;$F1287&amp;"-"&amp;$K1287)</f>
        <v/>
      </c>
      <c r="C1287" s="16" t="n"/>
      <c r="D1287" s="17">
        <f>IF($C1287="","",IFERROR(INDEX(rngCadetPIDs,MATCH($C1287,rngCadetNames,0)),"?"))</f>
        <v/>
      </c>
      <c r="E1287" s="17">
        <f>IF($D1287="","",IFERROR(INDEX(nrCadetAgency,MATCH($D1287,rngCadetPIDs,0)),""))</f>
        <v/>
      </c>
      <c r="F1287" s="16" t="n"/>
      <c r="G1287" s="17">
        <f>IF($F1287="","",IFERROR(INDEX(rngEPname,MATCH($F1287,rngEPcode,0)),"?"))</f>
        <v/>
      </c>
      <c r="H1287" s="17">
        <f>IF($F1287="","",IFERROR(INDEX(rngEPtype,MATCH($F1287,rngEPcode,0)),"?"))</f>
        <v/>
      </c>
      <c r="I1287" s="17">
        <f>IF($F1287="","",IFERROR(INDEX(rngEPseq,MATCH($F1287,rngEPcode,0)),""))</f>
        <v/>
      </c>
      <c r="J1287" s="17">
        <f>IF($F1287="","",IFERROR(INDEX(rngEPpass,MATCH($F1287,rngEPcode,0)),cfgPassingScore))</f>
        <v/>
      </c>
      <c r="K1287" s="16" t="n"/>
      <c r="L1287" s="16" t="n"/>
      <c r="M1287" s="17">
        <f>IF($C1287="","",IF($L1287="","",IF(NOT(ISNUMBER($L1287)),$L1287,IF(N($K1287)&gt;2,"",IF($K1287=1,IF(COUNTIFS(nrES_PID,$D1287,nrES_Code,$F1287,nrES_Att,2,nrES_Raw,"&gt;=0")&gt;0,"",$L1287),IF($L1287&gt;=$J1287,MAX($J1287,cfgRetakeRecordedCap),IF(COUNTIFS(nrES_PID,$D1287,nrES_Code,$F1287,nrES_Att,1)=0,$L1287,SUMIFS(nrES_Raw,nrES_PID,$D1287,nrES_Code,$F1287,nrES_Att,1))))))))</f>
        <v/>
      </c>
      <c r="N1287" s="17">
        <f>IF($C1287="","",IF($L1287="","",IF(NOT(ISNUMBER($L1287)),"(not a score)",IF($L1287&gt;=$J1287,"Yes","No"))))</f>
        <v/>
      </c>
      <c r="O1287" s="17">
        <f>IF($C1287="","",IF($M1287="","",IF(NOT(ISNUMBER($M1287)),"(not a score)",IF($M1287&gt;=$J1287,"Yes","No"))))</f>
        <v/>
      </c>
      <c r="P1287" s="17">
        <f>IF($C1287="","",IF($K1287="","",IF(N($K1287)&gt;2,"No",IF(COUNTIFS(nrES_PID,$D1287,nrES_Code,$F1287,nrES_Att,"&gt;"&amp;$K1287,nrES_Att,"&lt;=2",nrES_Raw,"&gt;=0")=0,"Yes","No"))))</f>
        <v/>
      </c>
      <c r="Q1287" s="17">
        <f>IF($C1287="","",IF($L1287="","",IF(AND($K1287=1,ISNUMBER($L1287),$L1287&lt;$J1287,COUNTIFS(nrES_PID,$D1287,nrES_Code,$F1287,nrES_Att,2,nrES_Raw,"&gt;=0")=0),"Yes","No")))</f>
        <v/>
      </c>
      <c r="R1287" s="17">
        <f>IF($C1287="","",IF($L1287="","",IF(AND(N($K1287)&gt;=2,ISNUMBER($L1287),$L1287&lt;$J1287),"Yes","No")))</f>
        <v/>
      </c>
      <c r="S1287" s="18" t="n"/>
      <c r="T1287" s="19">
        <f>IF(OR($C1287="",$L1287="",$K1287&lt;&gt;1,NOT(ISNUMBER($L1287)),$L1287&gt;=$J1287),"",IF($S1287="","(enter date)",_xlfn.LET(_xlpm.dn,_xlfn.XLOOKUP($S1287,nrCDdate,nrCDnum,"",1),IF(_xlpm.dn="","(after last class day)",_xlfn.LET(_xlpm.dd,_xlfn.XLOOKUP(_xlpm.dn+cfgRetestClassDays,nrCDnum,nrCDdate,""),_xlpm.ok,_xlfn.XLOOKUP(_xlpm.dn+cfgRetestClassDays,nrCDnum,nrCDinsession,"No"),IF(OR(_xlpm.dd="",_xlpm.ok&lt;&gt;"Yes"),"(after last class day)",_xlpm.dd))))))</f>
        <v/>
      </c>
      <c r="U1287" s="17">
        <f>IF($C1287="","",IF(AND($Y1287="Excused",$L1287="",N($K1287)&lt;=1),"EXCUSED - 1st attempt pending",IF(OR($L1287="",$K1287&lt;&gt;1,NOT(ISNUMBER($L1287)),$L1287&gt;=$J1287),"",IF(COUNTIFS(nrES_PID,$D1287,nrES_Code,$F1287,nrES_Att,2,nrES_Raw,"&gt;=0")&gt;0,IF(IFERROR(_xlfn.MINIFS(nrES_Date,nrES_PID,$D1287,nrES_Code,$F1287,nrES_Att,2,nrES_Raw,"&gt;=0",nrES_Date,"&gt;0"),0)=0,"RETEST UNDATED",IF(NOT(ISNUMBER($T1287)),"RETEST DATE UNCHECKED",IF(_xlfn.MINIFS(nrES_Date,nrES_PID,$D1287,nrES_Code,$F1287,nrES_Att,2,nrES_Raw,"&gt;=0",nrES_Date,"&gt;0")&gt;$T1287,"LATE RETEST "&amp;TEXT(_xlfn.MINIFS(nrES_Date,nrES_PID,$D1287,nrES_Code,$F1287,nrES_Att,2,nrES_Raw,"&gt;=0",nrES_Date,"&gt;0"),"mm/dd")&amp;" (due "&amp;TEXT($T1287,"mm/dd")&amp;")","Retested"))),IF(NOT(ISNUMBER($T1287)),"CHECK DATE",IF(TODAY()&gt;$T1287,"OVERDUE","Due "&amp;TEXT($T1287,"mm/dd")))))))</f>
        <v/>
      </c>
      <c r="V1287" s="16" t="n"/>
      <c r="W1287" s="16" t="n"/>
      <c r="X1287" s="17">
        <f>IF($C1287="","",IF(AND($L1287&lt;&gt;"",NOT(ISNUMBER($L1287))),"RAW SCORE NOT A NUMBER",IF(AND(ISNUMBER($L1287),OR($L1287&lt;0,$L1287&gt;100)),"RAW SCORE OUT OF RANGE",IF(AND($Y1287="Unexcused",OR($L1287="",NOT(ISNUMBER($L1287)),$L1287&lt;&gt;0)),"UNEXCUSED ABSENCE MUST RECORD 0",IF(COUNTIF(nrES_RecID,$B1287)&gt;1,"DUPLICATE RECORD",IF(N($K1287)&gt;2,"ATTEMPT 3+ NOT ALLOWED - policy 300.5 permits one retest per exam; this row records nothing",IF(AND($K1287=2,COUNTIFS(nrES_PID,$D1287,nrES_Code,$F1287,nrES_Att,1)=0),"ATTEMPT 2 WITHOUT ATTEMPT 1",IF(AND($K1287=2,$L1287=""),"RETEST ROW HAS NO SCORE",IF(AND($H1287="Final",$L1287&lt;&gt;"",IFERROR(INDEX(nrCKfinalExamElig,MATCH($D1287,rngCadetPIDs,0)),"")="No"),"FINAL EXAM AFTER FAILED FINAL PT (500.1.H)",IF(AND($K1287=2,ISNUMBER($L1287),COUNTIFS(nrES_PID,$D1287,nrES_Code,$F1287,nrES_Att,1)&gt;0,SUMIFS(nrES_Raw,nrES_PID,$D1287,nrES_Code,$F1287,nrES_Att,1)&gt;=$J1287),"RETEST AFTER A PASSING FIRST ATTEMPT","OK"))))))))))</f>
        <v/>
      </c>
      <c r="Y1287" s="16" t="n"/>
    </row>
    <row r="1288">
      <c r="B1288" s="17">
        <f>IF($C1288="","",$D1288&amp;"-"&amp;$F1288&amp;"-"&amp;$K1288)</f>
        <v/>
      </c>
      <c r="C1288" s="16" t="n"/>
      <c r="D1288" s="17">
        <f>IF($C1288="","",IFERROR(INDEX(rngCadetPIDs,MATCH($C1288,rngCadetNames,0)),"?"))</f>
        <v/>
      </c>
      <c r="E1288" s="17">
        <f>IF($D1288="","",IFERROR(INDEX(nrCadetAgency,MATCH($D1288,rngCadetPIDs,0)),""))</f>
        <v/>
      </c>
      <c r="F1288" s="16" t="n"/>
      <c r="G1288" s="17">
        <f>IF($F1288="","",IFERROR(INDEX(rngEPname,MATCH($F1288,rngEPcode,0)),"?"))</f>
        <v/>
      </c>
      <c r="H1288" s="17">
        <f>IF($F1288="","",IFERROR(INDEX(rngEPtype,MATCH($F1288,rngEPcode,0)),"?"))</f>
        <v/>
      </c>
      <c r="I1288" s="17">
        <f>IF($F1288="","",IFERROR(INDEX(rngEPseq,MATCH($F1288,rngEPcode,0)),""))</f>
        <v/>
      </c>
      <c r="J1288" s="17">
        <f>IF($F1288="","",IFERROR(INDEX(rngEPpass,MATCH($F1288,rngEPcode,0)),cfgPassingScore))</f>
        <v/>
      </c>
      <c r="K1288" s="16" t="n"/>
      <c r="L1288" s="16" t="n"/>
      <c r="M1288" s="17">
        <f>IF($C1288="","",IF($L1288="","",IF(NOT(ISNUMBER($L1288)),$L1288,IF(N($K1288)&gt;2,"",IF($K1288=1,IF(COUNTIFS(nrES_PID,$D1288,nrES_Code,$F1288,nrES_Att,2,nrES_Raw,"&gt;=0")&gt;0,"",$L1288),IF($L1288&gt;=$J1288,MAX($J1288,cfgRetakeRecordedCap),IF(COUNTIFS(nrES_PID,$D1288,nrES_Code,$F1288,nrES_Att,1)=0,$L1288,SUMIFS(nrES_Raw,nrES_PID,$D1288,nrES_Code,$F1288,nrES_Att,1))))))))</f>
        <v/>
      </c>
      <c r="N1288" s="17">
        <f>IF($C1288="","",IF($L1288="","",IF(NOT(ISNUMBER($L1288)),"(not a score)",IF($L1288&gt;=$J1288,"Yes","No"))))</f>
        <v/>
      </c>
      <c r="O1288" s="17">
        <f>IF($C1288="","",IF($M1288="","",IF(NOT(ISNUMBER($M1288)),"(not a score)",IF($M1288&gt;=$J1288,"Yes","No"))))</f>
        <v/>
      </c>
      <c r="P1288" s="17">
        <f>IF($C1288="","",IF($K1288="","",IF(N($K1288)&gt;2,"No",IF(COUNTIFS(nrES_PID,$D1288,nrES_Code,$F1288,nrES_Att,"&gt;"&amp;$K1288,nrES_Att,"&lt;=2",nrES_Raw,"&gt;=0")=0,"Yes","No"))))</f>
        <v/>
      </c>
      <c r="Q1288" s="17">
        <f>IF($C1288="","",IF($L1288="","",IF(AND($K1288=1,ISNUMBER($L1288),$L1288&lt;$J1288,COUNTIFS(nrES_PID,$D1288,nrES_Code,$F1288,nrES_Att,2,nrES_Raw,"&gt;=0")=0),"Yes","No")))</f>
        <v/>
      </c>
      <c r="R1288" s="17">
        <f>IF($C1288="","",IF($L1288="","",IF(AND(N($K1288)&gt;=2,ISNUMBER($L1288),$L1288&lt;$J1288),"Yes","No")))</f>
        <v/>
      </c>
      <c r="S1288" s="18" t="n"/>
      <c r="T1288" s="19">
        <f>IF(OR($C1288="",$L1288="",$K1288&lt;&gt;1,NOT(ISNUMBER($L1288)),$L1288&gt;=$J1288),"",IF($S1288="","(enter date)",_xlfn.LET(_xlpm.dn,_xlfn.XLOOKUP($S1288,nrCDdate,nrCDnum,"",1),IF(_xlpm.dn="","(after last class day)",_xlfn.LET(_xlpm.dd,_xlfn.XLOOKUP(_xlpm.dn+cfgRetestClassDays,nrCDnum,nrCDdate,""),_xlpm.ok,_xlfn.XLOOKUP(_xlpm.dn+cfgRetestClassDays,nrCDnum,nrCDinsession,"No"),IF(OR(_xlpm.dd="",_xlpm.ok&lt;&gt;"Yes"),"(after last class day)",_xlpm.dd))))))</f>
        <v/>
      </c>
      <c r="U1288" s="17">
        <f>IF($C1288="","",IF(AND($Y1288="Excused",$L1288="",N($K1288)&lt;=1),"EXCUSED - 1st attempt pending",IF(OR($L1288="",$K1288&lt;&gt;1,NOT(ISNUMBER($L1288)),$L1288&gt;=$J1288),"",IF(COUNTIFS(nrES_PID,$D1288,nrES_Code,$F1288,nrES_Att,2,nrES_Raw,"&gt;=0")&gt;0,IF(IFERROR(_xlfn.MINIFS(nrES_Date,nrES_PID,$D1288,nrES_Code,$F1288,nrES_Att,2,nrES_Raw,"&gt;=0",nrES_Date,"&gt;0"),0)=0,"RETEST UNDATED",IF(NOT(ISNUMBER($T1288)),"RETEST DATE UNCHECKED",IF(_xlfn.MINIFS(nrES_Date,nrES_PID,$D1288,nrES_Code,$F1288,nrES_Att,2,nrES_Raw,"&gt;=0",nrES_Date,"&gt;0")&gt;$T1288,"LATE RETEST "&amp;TEXT(_xlfn.MINIFS(nrES_Date,nrES_PID,$D1288,nrES_Code,$F1288,nrES_Att,2,nrES_Raw,"&gt;=0",nrES_Date,"&gt;0"),"mm/dd")&amp;" (due "&amp;TEXT($T1288,"mm/dd")&amp;")","Retested"))),IF(NOT(ISNUMBER($T1288)),"CHECK DATE",IF(TODAY()&gt;$T1288,"OVERDUE","Due "&amp;TEXT($T1288,"mm/dd")))))))</f>
        <v/>
      </c>
      <c r="V1288" s="16" t="n"/>
      <c r="W1288" s="16" t="n"/>
      <c r="X1288" s="17">
        <f>IF($C1288="","",IF(AND($L1288&lt;&gt;"",NOT(ISNUMBER($L1288))),"RAW SCORE NOT A NUMBER",IF(AND(ISNUMBER($L1288),OR($L1288&lt;0,$L1288&gt;100)),"RAW SCORE OUT OF RANGE",IF(AND($Y1288="Unexcused",OR($L1288="",NOT(ISNUMBER($L1288)),$L1288&lt;&gt;0)),"UNEXCUSED ABSENCE MUST RECORD 0",IF(COUNTIF(nrES_RecID,$B1288)&gt;1,"DUPLICATE RECORD",IF(N($K1288)&gt;2,"ATTEMPT 3+ NOT ALLOWED - policy 300.5 permits one retest per exam; this row records nothing",IF(AND($K1288=2,COUNTIFS(nrES_PID,$D1288,nrES_Code,$F1288,nrES_Att,1)=0),"ATTEMPT 2 WITHOUT ATTEMPT 1",IF(AND($K1288=2,$L1288=""),"RETEST ROW HAS NO SCORE",IF(AND($H1288="Final",$L1288&lt;&gt;"",IFERROR(INDEX(nrCKfinalExamElig,MATCH($D1288,rngCadetPIDs,0)),"")="No"),"FINAL EXAM AFTER FAILED FINAL PT (500.1.H)",IF(AND($K1288=2,ISNUMBER($L1288),COUNTIFS(nrES_PID,$D1288,nrES_Code,$F1288,nrES_Att,1)&gt;0,SUMIFS(nrES_Raw,nrES_PID,$D1288,nrES_Code,$F1288,nrES_Att,1)&gt;=$J1288),"RETEST AFTER A PASSING FIRST ATTEMPT","OK"))))))))))</f>
        <v/>
      </c>
      <c r="Y1288" s="16" t="n"/>
    </row>
    <row r="1289">
      <c r="B1289" s="17">
        <f>IF($C1289="","",$D1289&amp;"-"&amp;$F1289&amp;"-"&amp;$K1289)</f>
        <v/>
      </c>
      <c r="C1289" s="16" t="n"/>
      <c r="D1289" s="17">
        <f>IF($C1289="","",IFERROR(INDEX(rngCadetPIDs,MATCH($C1289,rngCadetNames,0)),"?"))</f>
        <v/>
      </c>
      <c r="E1289" s="17">
        <f>IF($D1289="","",IFERROR(INDEX(nrCadetAgency,MATCH($D1289,rngCadetPIDs,0)),""))</f>
        <v/>
      </c>
      <c r="F1289" s="16" t="n"/>
      <c r="G1289" s="17">
        <f>IF($F1289="","",IFERROR(INDEX(rngEPname,MATCH($F1289,rngEPcode,0)),"?"))</f>
        <v/>
      </c>
      <c r="H1289" s="17">
        <f>IF($F1289="","",IFERROR(INDEX(rngEPtype,MATCH($F1289,rngEPcode,0)),"?"))</f>
        <v/>
      </c>
      <c r="I1289" s="17">
        <f>IF($F1289="","",IFERROR(INDEX(rngEPseq,MATCH($F1289,rngEPcode,0)),""))</f>
        <v/>
      </c>
      <c r="J1289" s="17">
        <f>IF($F1289="","",IFERROR(INDEX(rngEPpass,MATCH($F1289,rngEPcode,0)),cfgPassingScore))</f>
        <v/>
      </c>
      <c r="K1289" s="16" t="n"/>
      <c r="L1289" s="16" t="n"/>
      <c r="M1289" s="17">
        <f>IF($C1289="","",IF($L1289="","",IF(NOT(ISNUMBER($L1289)),$L1289,IF(N($K1289)&gt;2,"",IF($K1289=1,IF(COUNTIFS(nrES_PID,$D1289,nrES_Code,$F1289,nrES_Att,2,nrES_Raw,"&gt;=0")&gt;0,"",$L1289),IF($L1289&gt;=$J1289,MAX($J1289,cfgRetakeRecordedCap),IF(COUNTIFS(nrES_PID,$D1289,nrES_Code,$F1289,nrES_Att,1)=0,$L1289,SUMIFS(nrES_Raw,nrES_PID,$D1289,nrES_Code,$F1289,nrES_Att,1))))))))</f>
        <v/>
      </c>
      <c r="N1289" s="17">
        <f>IF($C1289="","",IF($L1289="","",IF(NOT(ISNUMBER($L1289)),"(not a score)",IF($L1289&gt;=$J1289,"Yes","No"))))</f>
        <v/>
      </c>
      <c r="O1289" s="17">
        <f>IF($C1289="","",IF($M1289="","",IF(NOT(ISNUMBER($M1289)),"(not a score)",IF($M1289&gt;=$J1289,"Yes","No"))))</f>
        <v/>
      </c>
      <c r="P1289" s="17">
        <f>IF($C1289="","",IF($K1289="","",IF(N($K1289)&gt;2,"No",IF(COUNTIFS(nrES_PID,$D1289,nrES_Code,$F1289,nrES_Att,"&gt;"&amp;$K1289,nrES_Att,"&lt;=2",nrES_Raw,"&gt;=0")=0,"Yes","No"))))</f>
        <v/>
      </c>
      <c r="Q1289" s="17">
        <f>IF($C1289="","",IF($L1289="","",IF(AND($K1289=1,ISNUMBER($L1289),$L1289&lt;$J1289,COUNTIFS(nrES_PID,$D1289,nrES_Code,$F1289,nrES_Att,2,nrES_Raw,"&gt;=0")=0),"Yes","No")))</f>
        <v/>
      </c>
      <c r="R1289" s="17">
        <f>IF($C1289="","",IF($L1289="","",IF(AND(N($K1289)&gt;=2,ISNUMBER($L1289),$L1289&lt;$J1289),"Yes","No")))</f>
        <v/>
      </c>
      <c r="S1289" s="18" t="n"/>
      <c r="T1289" s="19">
        <f>IF(OR($C1289="",$L1289="",$K1289&lt;&gt;1,NOT(ISNUMBER($L1289)),$L1289&gt;=$J1289),"",IF($S1289="","(enter date)",_xlfn.LET(_xlpm.dn,_xlfn.XLOOKUP($S1289,nrCDdate,nrCDnum,"",1),IF(_xlpm.dn="","(after last class day)",_xlfn.LET(_xlpm.dd,_xlfn.XLOOKUP(_xlpm.dn+cfgRetestClassDays,nrCDnum,nrCDdate,""),_xlpm.ok,_xlfn.XLOOKUP(_xlpm.dn+cfgRetestClassDays,nrCDnum,nrCDinsession,"No"),IF(OR(_xlpm.dd="",_xlpm.ok&lt;&gt;"Yes"),"(after last class day)",_xlpm.dd))))))</f>
        <v/>
      </c>
      <c r="U1289" s="17">
        <f>IF($C1289="","",IF(AND($Y1289="Excused",$L1289="",N($K1289)&lt;=1),"EXCUSED - 1st attempt pending",IF(OR($L1289="",$K1289&lt;&gt;1,NOT(ISNUMBER($L1289)),$L1289&gt;=$J1289),"",IF(COUNTIFS(nrES_PID,$D1289,nrES_Code,$F1289,nrES_Att,2,nrES_Raw,"&gt;=0")&gt;0,IF(IFERROR(_xlfn.MINIFS(nrES_Date,nrES_PID,$D1289,nrES_Code,$F1289,nrES_Att,2,nrES_Raw,"&gt;=0",nrES_Date,"&gt;0"),0)=0,"RETEST UNDATED",IF(NOT(ISNUMBER($T1289)),"RETEST DATE UNCHECKED",IF(_xlfn.MINIFS(nrES_Date,nrES_PID,$D1289,nrES_Code,$F1289,nrES_Att,2,nrES_Raw,"&gt;=0",nrES_Date,"&gt;0")&gt;$T1289,"LATE RETEST "&amp;TEXT(_xlfn.MINIFS(nrES_Date,nrES_PID,$D1289,nrES_Code,$F1289,nrES_Att,2,nrES_Raw,"&gt;=0",nrES_Date,"&gt;0"),"mm/dd")&amp;" (due "&amp;TEXT($T1289,"mm/dd")&amp;")","Retested"))),IF(NOT(ISNUMBER($T1289)),"CHECK DATE",IF(TODAY()&gt;$T1289,"OVERDUE","Due "&amp;TEXT($T1289,"mm/dd")))))))</f>
        <v/>
      </c>
      <c r="V1289" s="16" t="n"/>
      <c r="W1289" s="16" t="n"/>
      <c r="X1289" s="17">
        <f>IF($C1289="","",IF(AND($L1289&lt;&gt;"",NOT(ISNUMBER($L1289))),"RAW SCORE NOT A NUMBER",IF(AND(ISNUMBER($L1289),OR($L1289&lt;0,$L1289&gt;100)),"RAW SCORE OUT OF RANGE",IF(AND($Y1289="Unexcused",OR($L1289="",NOT(ISNUMBER($L1289)),$L1289&lt;&gt;0)),"UNEXCUSED ABSENCE MUST RECORD 0",IF(COUNTIF(nrES_RecID,$B1289)&gt;1,"DUPLICATE RECORD",IF(N($K1289)&gt;2,"ATTEMPT 3+ NOT ALLOWED - policy 300.5 permits one retest per exam; this row records nothing",IF(AND($K1289=2,COUNTIFS(nrES_PID,$D1289,nrES_Code,$F1289,nrES_Att,1)=0),"ATTEMPT 2 WITHOUT ATTEMPT 1",IF(AND($K1289=2,$L1289=""),"RETEST ROW HAS NO SCORE",IF(AND($H1289="Final",$L1289&lt;&gt;"",IFERROR(INDEX(nrCKfinalExamElig,MATCH($D1289,rngCadetPIDs,0)),"")="No"),"FINAL EXAM AFTER FAILED FINAL PT (500.1.H)",IF(AND($K1289=2,ISNUMBER($L1289),COUNTIFS(nrES_PID,$D1289,nrES_Code,$F1289,nrES_Att,1)&gt;0,SUMIFS(nrES_Raw,nrES_PID,$D1289,nrES_Code,$F1289,nrES_Att,1)&gt;=$J1289),"RETEST AFTER A PASSING FIRST ATTEMPT","OK"))))))))))</f>
        <v/>
      </c>
      <c r="Y1289" s="16" t="n"/>
    </row>
    <row r="1290">
      <c r="B1290" s="17">
        <f>IF($C1290="","",$D1290&amp;"-"&amp;$F1290&amp;"-"&amp;$K1290)</f>
        <v/>
      </c>
      <c r="C1290" s="16" t="n"/>
      <c r="D1290" s="17">
        <f>IF($C1290="","",IFERROR(INDEX(rngCadetPIDs,MATCH($C1290,rngCadetNames,0)),"?"))</f>
        <v/>
      </c>
      <c r="E1290" s="17">
        <f>IF($D1290="","",IFERROR(INDEX(nrCadetAgency,MATCH($D1290,rngCadetPIDs,0)),""))</f>
        <v/>
      </c>
      <c r="F1290" s="16" t="n"/>
      <c r="G1290" s="17">
        <f>IF($F1290="","",IFERROR(INDEX(rngEPname,MATCH($F1290,rngEPcode,0)),"?"))</f>
        <v/>
      </c>
      <c r="H1290" s="17">
        <f>IF($F1290="","",IFERROR(INDEX(rngEPtype,MATCH($F1290,rngEPcode,0)),"?"))</f>
        <v/>
      </c>
      <c r="I1290" s="17">
        <f>IF($F1290="","",IFERROR(INDEX(rngEPseq,MATCH($F1290,rngEPcode,0)),""))</f>
        <v/>
      </c>
      <c r="J1290" s="17">
        <f>IF($F1290="","",IFERROR(INDEX(rngEPpass,MATCH($F1290,rngEPcode,0)),cfgPassingScore))</f>
        <v/>
      </c>
      <c r="K1290" s="16" t="n"/>
      <c r="L1290" s="16" t="n"/>
      <c r="M1290" s="17">
        <f>IF($C1290="","",IF($L1290="","",IF(NOT(ISNUMBER($L1290)),$L1290,IF(N($K1290)&gt;2,"",IF($K1290=1,IF(COUNTIFS(nrES_PID,$D1290,nrES_Code,$F1290,nrES_Att,2,nrES_Raw,"&gt;=0")&gt;0,"",$L1290),IF($L1290&gt;=$J1290,MAX($J1290,cfgRetakeRecordedCap),IF(COUNTIFS(nrES_PID,$D1290,nrES_Code,$F1290,nrES_Att,1)=0,$L1290,SUMIFS(nrES_Raw,nrES_PID,$D1290,nrES_Code,$F1290,nrES_Att,1))))))))</f>
        <v/>
      </c>
      <c r="N1290" s="17">
        <f>IF($C1290="","",IF($L1290="","",IF(NOT(ISNUMBER($L1290)),"(not a score)",IF($L1290&gt;=$J1290,"Yes","No"))))</f>
        <v/>
      </c>
      <c r="O1290" s="17">
        <f>IF($C1290="","",IF($M1290="","",IF(NOT(ISNUMBER($M1290)),"(not a score)",IF($M1290&gt;=$J1290,"Yes","No"))))</f>
        <v/>
      </c>
      <c r="P1290" s="17">
        <f>IF($C1290="","",IF($K1290="","",IF(N($K1290)&gt;2,"No",IF(COUNTIFS(nrES_PID,$D1290,nrES_Code,$F1290,nrES_Att,"&gt;"&amp;$K1290,nrES_Att,"&lt;=2",nrES_Raw,"&gt;=0")=0,"Yes","No"))))</f>
        <v/>
      </c>
      <c r="Q1290" s="17">
        <f>IF($C1290="","",IF($L1290="","",IF(AND($K1290=1,ISNUMBER($L1290),$L1290&lt;$J1290,COUNTIFS(nrES_PID,$D1290,nrES_Code,$F1290,nrES_Att,2,nrES_Raw,"&gt;=0")=0),"Yes","No")))</f>
        <v/>
      </c>
      <c r="R1290" s="17">
        <f>IF($C1290="","",IF($L1290="","",IF(AND(N($K1290)&gt;=2,ISNUMBER($L1290),$L1290&lt;$J1290),"Yes","No")))</f>
        <v/>
      </c>
      <c r="S1290" s="18" t="n"/>
      <c r="T1290" s="19">
        <f>IF(OR($C1290="",$L1290="",$K1290&lt;&gt;1,NOT(ISNUMBER($L1290)),$L1290&gt;=$J1290),"",IF($S1290="","(enter date)",_xlfn.LET(_xlpm.dn,_xlfn.XLOOKUP($S1290,nrCDdate,nrCDnum,"",1),IF(_xlpm.dn="","(after last class day)",_xlfn.LET(_xlpm.dd,_xlfn.XLOOKUP(_xlpm.dn+cfgRetestClassDays,nrCDnum,nrCDdate,""),_xlpm.ok,_xlfn.XLOOKUP(_xlpm.dn+cfgRetestClassDays,nrCDnum,nrCDinsession,"No"),IF(OR(_xlpm.dd="",_xlpm.ok&lt;&gt;"Yes"),"(after last class day)",_xlpm.dd))))))</f>
        <v/>
      </c>
      <c r="U1290" s="17">
        <f>IF($C1290="","",IF(AND($Y1290="Excused",$L1290="",N($K1290)&lt;=1),"EXCUSED - 1st attempt pending",IF(OR($L1290="",$K1290&lt;&gt;1,NOT(ISNUMBER($L1290)),$L1290&gt;=$J1290),"",IF(COUNTIFS(nrES_PID,$D1290,nrES_Code,$F1290,nrES_Att,2,nrES_Raw,"&gt;=0")&gt;0,IF(IFERROR(_xlfn.MINIFS(nrES_Date,nrES_PID,$D1290,nrES_Code,$F1290,nrES_Att,2,nrES_Raw,"&gt;=0",nrES_Date,"&gt;0"),0)=0,"RETEST UNDATED",IF(NOT(ISNUMBER($T1290)),"RETEST DATE UNCHECKED",IF(_xlfn.MINIFS(nrES_Date,nrES_PID,$D1290,nrES_Code,$F1290,nrES_Att,2,nrES_Raw,"&gt;=0",nrES_Date,"&gt;0")&gt;$T1290,"LATE RETEST "&amp;TEXT(_xlfn.MINIFS(nrES_Date,nrES_PID,$D1290,nrES_Code,$F1290,nrES_Att,2,nrES_Raw,"&gt;=0",nrES_Date,"&gt;0"),"mm/dd")&amp;" (due "&amp;TEXT($T1290,"mm/dd")&amp;")","Retested"))),IF(NOT(ISNUMBER($T1290)),"CHECK DATE",IF(TODAY()&gt;$T1290,"OVERDUE","Due "&amp;TEXT($T1290,"mm/dd")))))))</f>
        <v/>
      </c>
      <c r="V1290" s="16" t="n"/>
      <c r="W1290" s="16" t="n"/>
      <c r="X1290" s="17">
        <f>IF($C1290="","",IF(AND($L1290&lt;&gt;"",NOT(ISNUMBER($L1290))),"RAW SCORE NOT A NUMBER",IF(AND(ISNUMBER($L1290),OR($L1290&lt;0,$L1290&gt;100)),"RAW SCORE OUT OF RANGE",IF(AND($Y1290="Unexcused",OR($L1290="",NOT(ISNUMBER($L1290)),$L1290&lt;&gt;0)),"UNEXCUSED ABSENCE MUST RECORD 0",IF(COUNTIF(nrES_RecID,$B1290)&gt;1,"DUPLICATE RECORD",IF(N($K1290)&gt;2,"ATTEMPT 3+ NOT ALLOWED - policy 300.5 permits one retest per exam; this row records nothing",IF(AND($K1290=2,COUNTIFS(nrES_PID,$D1290,nrES_Code,$F1290,nrES_Att,1)=0),"ATTEMPT 2 WITHOUT ATTEMPT 1",IF(AND($K1290=2,$L1290=""),"RETEST ROW HAS NO SCORE",IF(AND($H1290="Final",$L1290&lt;&gt;"",IFERROR(INDEX(nrCKfinalExamElig,MATCH($D1290,rngCadetPIDs,0)),"")="No"),"FINAL EXAM AFTER FAILED FINAL PT (500.1.H)",IF(AND($K1290=2,ISNUMBER($L1290),COUNTIFS(nrES_PID,$D1290,nrES_Code,$F1290,nrES_Att,1)&gt;0,SUMIFS(nrES_Raw,nrES_PID,$D1290,nrES_Code,$F1290,nrES_Att,1)&gt;=$J1290),"RETEST AFTER A PASSING FIRST ATTEMPT","OK"))))))))))</f>
        <v/>
      </c>
      <c r="Y1290" s="16" t="n"/>
    </row>
    <row r="1291">
      <c r="B1291" s="17">
        <f>IF($C1291="","",$D1291&amp;"-"&amp;$F1291&amp;"-"&amp;$K1291)</f>
        <v/>
      </c>
      <c r="C1291" s="16" t="n"/>
      <c r="D1291" s="17">
        <f>IF($C1291="","",IFERROR(INDEX(rngCadetPIDs,MATCH($C1291,rngCadetNames,0)),"?"))</f>
        <v/>
      </c>
      <c r="E1291" s="17">
        <f>IF($D1291="","",IFERROR(INDEX(nrCadetAgency,MATCH($D1291,rngCadetPIDs,0)),""))</f>
        <v/>
      </c>
      <c r="F1291" s="16" t="n"/>
      <c r="G1291" s="17">
        <f>IF($F1291="","",IFERROR(INDEX(rngEPname,MATCH($F1291,rngEPcode,0)),"?"))</f>
        <v/>
      </c>
      <c r="H1291" s="17">
        <f>IF($F1291="","",IFERROR(INDEX(rngEPtype,MATCH($F1291,rngEPcode,0)),"?"))</f>
        <v/>
      </c>
      <c r="I1291" s="17">
        <f>IF($F1291="","",IFERROR(INDEX(rngEPseq,MATCH($F1291,rngEPcode,0)),""))</f>
        <v/>
      </c>
      <c r="J1291" s="17">
        <f>IF($F1291="","",IFERROR(INDEX(rngEPpass,MATCH($F1291,rngEPcode,0)),cfgPassingScore))</f>
        <v/>
      </c>
      <c r="K1291" s="16" t="n"/>
      <c r="L1291" s="16" t="n"/>
      <c r="M1291" s="17">
        <f>IF($C1291="","",IF($L1291="","",IF(NOT(ISNUMBER($L1291)),$L1291,IF(N($K1291)&gt;2,"",IF($K1291=1,IF(COUNTIFS(nrES_PID,$D1291,nrES_Code,$F1291,nrES_Att,2,nrES_Raw,"&gt;=0")&gt;0,"",$L1291),IF($L1291&gt;=$J1291,MAX($J1291,cfgRetakeRecordedCap),IF(COUNTIFS(nrES_PID,$D1291,nrES_Code,$F1291,nrES_Att,1)=0,$L1291,SUMIFS(nrES_Raw,nrES_PID,$D1291,nrES_Code,$F1291,nrES_Att,1))))))))</f>
        <v/>
      </c>
      <c r="N1291" s="17">
        <f>IF($C1291="","",IF($L1291="","",IF(NOT(ISNUMBER($L1291)),"(not a score)",IF($L1291&gt;=$J1291,"Yes","No"))))</f>
        <v/>
      </c>
      <c r="O1291" s="17">
        <f>IF($C1291="","",IF($M1291="","",IF(NOT(ISNUMBER($M1291)),"(not a score)",IF($M1291&gt;=$J1291,"Yes","No"))))</f>
        <v/>
      </c>
      <c r="P1291" s="17">
        <f>IF($C1291="","",IF($K1291="","",IF(N($K1291)&gt;2,"No",IF(COUNTIFS(nrES_PID,$D1291,nrES_Code,$F1291,nrES_Att,"&gt;"&amp;$K1291,nrES_Att,"&lt;=2",nrES_Raw,"&gt;=0")=0,"Yes","No"))))</f>
        <v/>
      </c>
      <c r="Q1291" s="17">
        <f>IF($C1291="","",IF($L1291="","",IF(AND($K1291=1,ISNUMBER($L1291),$L1291&lt;$J1291,COUNTIFS(nrES_PID,$D1291,nrES_Code,$F1291,nrES_Att,2,nrES_Raw,"&gt;=0")=0),"Yes","No")))</f>
        <v/>
      </c>
      <c r="R1291" s="17">
        <f>IF($C1291="","",IF($L1291="","",IF(AND(N($K1291)&gt;=2,ISNUMBER($L1291),$L1291&lt;$J1291),"Yes","No")))</f>
        <v/>
      </c>
      <c r="S1291" s="18" t="n"/>
      <c r="T1291" s="19">
        <f>IF(OR($C1291="",$L1291="",$K1291&lt;&gt;1,NOT(ISNUMBER($L1291)),$L1291&gt;=$J1291),"",IF($S1291="","(enter date)",_xlfn.LET(_xlpm.dn,_xlfn.XLOOKUP($S1291,nrCDdate,nrCDnum,"",1),IF(_xlpm.dn="","(after last class day)",_xlfn.LET(_xlpm.dd,_xlfn.XLOOKUP(_xlpm.dn+cfgRetestClassDays,nrCDnum,nrCDdate,""),_xlpm.ok,_xlfn.XLOOKUP(_xlpm.dn+cfgRetestClassDays,nrCDnum,nrCDinsession,"No"),IF(OR(_xlpm.dd="",_xlpm.ok&lt;&gt;"Yes"),"(after last class day)",_xlpm.dd))))))</f>
        <v/>
      </c>
      <c r="U1291" s="17">
        <f>IF($C1291="","",IF(AND($Y1291="Excused",$L1291="",N($K1291)&lt;=1),"EXCUSED - 1st attempt pending",IF(OR($L1291="",$K1291&lt;&gt;1,NOT(ISNUMBER($L1291)),$L1291&gt;=$J1291),"",IF(COUNTIFS(nrES_PID,$D1291,nrES_Code,$F1291,nrES_Att,2,nrES_Raw,"&gt;=0")&gt;0,IF(IFERROR(_xlfn.MINIFS(nrES_Date,nrES_PID,$D1291,nrES_Code,$F1291,nrES_Att,2,nrES_Raw,"&gt;=0",nrES_Date,"&gt;0"),0)=0,"RETEST UNDATED",IF(NOT(ISNUMBER($T1291)),"RETEST DATE UNCHECKED",IF(_xlfn.MINIFS(nrES_Date,nrES_PID,$D1291,nrES_Code,$F1291,nrES_Att,2,nrES_Raw,"&gt;=0",nrES_Date,"&gt;0")&gt;$T1291,"LATE RETEST "&amp;TEXT(_xlfn.MINIFS(nrES_Date,nrES_PID,$D1291,nrES_Code,$F1291,nrES_Att,2,nrES_Raw,"&gt;=0",nrES_Date,"&gt;0"),"mm/dd")&amp;" (due "&amp;TEXT($T1291,"mm/dd")&amp;")","Retested"))),IF(NOT(ISNUMBER($T1291)),"CHECK DATE",IF(TODAY()&gt;$T1291,"OVERDUE","Due "&amp;TEXT($T1291,"mm/dd")))))))</f>
        <v/>
      </c>
      <c r="V1291" s="16" t="n"/>
      <c r="W1291" s="16" t="n"/>
      <c r="X1291" s="17">
        <f>IF($C1291="","",IF(AND($L1291&lt;&gt;"",NOT(ISNUMBER($L1291))),"RAW SCORE NOT A NUMBER",IF(AND(ISNUMBER($L1291),OR($L1291&lt;0,$L1291&gt;100)),"RAW SCORE OUT OF RANGE",IF(AND($Y1291="Unexcused",OR($L1291="",NOT(ISNUMBER($L1291)),$L1291&lt;&gt;0)),"UNEXCUSED ABSENCE MUST RECORD 0",IF(COUNTIF(nrES_RecID,$B1291)&gt;1,"DUPLICATE RECORD",IF(N($K1291)&gt;2,"ATTEMPT 3+ NOT ALLOWED - policy 300.5 permits one retest per exam; this row records nothing",IF(AND($K1291=2,COUNTIFS(nrES_PID,$D1291,nrES_Code,$F1291,nrES_Att,1)=0),"ATTEMPT 2 WITHOUT ATTEMPT 1",IF(AND($K1291=2,$L1291=""),"RETEST ROW HAS NO SCORE",IF(AND($H1291="Final",$L1291&lt;&gt;"",IFERROR(INDEX(nrCKfinalExamElig,MATCH($D1291,rngCadetPIDs,0)),"")="No"),"FINAL EXAM AFTER FAILED FINAL PT (500.1.H)",IF(AND($K1291=2,ISNUMBER($L1291),COUNTIFS(nrES_PID,$D1291,nrES_Code,$F1291,nrES_Att,1)&gt;0,SUMIFS(nrES_Raw,nrES_PID,$D1291,nrES_Code,$F1291,nrES_Att,1)&gt;=$J1291),"RETEST AFTER A PASSING FIRST ATTEMPT","OK"))))))))))</f>
        <v/>
      </c>
      <c r="Y1291" s="16" t="n"/>
    </row>
    <row r="1292">
      <c r="B1292" s="17">
        <f>IF($C1292="","",$D1292&amp;"-"&amp;$F1292&amp;"-"&amp;$K1292)</f>
        <v/>
      </c>
      <c r="C1292" s="16" t="n"/>
      <c r="D1292" s="17">
        <f>IF($C1292="","",IFERROR(INDEX(rngCadetPIDs,MATCH($C1292,rngCadetNames,0)),"?"))</f>
        <v/>
      </c>
      <c r="E1292" s="17">
        <f>IF($D1292="","",IFERROR(INDEX(nrCadetAgency,MATCH($D1292,rngCadetPIDs,0)),""))</f>
        <v/>
      </c>
      <c r="F1292" s="16" t="n"/>
      <c r="G1292" s="17">
        <f>IF($F1292="","",IFERROR(INDEX(rngEPname,MATCH($F1292,rngEPcode,0)),"?"))</f>
        <v/>
      </c>
      <c r="H1292" s="17">
        <f>IF($F1292="","",IFERROR(INDEX(rngEPtype,MATCH($F1292,rngEPcode,0)),"?"))</f>
        <v/>
      </c>
      <c r="I1292" s="17">
        <f>IF($F1292="","",IFERROR(INDEX(rngEPseq,MATCH($F1292,rngEPcode,0)),""))</f>
        <v/>
      </c>
      <c r="J1292" s="17">
        <f>IF($F1292="","",IFERROR(INDEX(rngEPpass,MATCH($F1292,rngEPcode,0)),cfgPassingScore))</f>
        <v/>
      </c>
      <c r="K1292" s="16" t="n"/>
      <c r="L1292" s="16" t="n"/>
      <c r="M1292" s="17">
        <f>IF($C1292="","",IF($L1292="","",IF(NOT(ISNUMBER($L1292)),$L1292,IF(N($K1292)&gt;2,"",IF($K1292=1,IF(COUNTIFS(nrES_PID,$D1292,nrES_Code,$F1292,nrES_Att,2,nrES_Raw,"&gt;=0")&gt;0,"",$L1292),IF($L1292&gt;=$J1292,MAX($J1292,cfgRetakeRecordedCap),IF(COUNTIFS(nrES_PID,$D1292,nrES_Code,$F1292,nrES_Att,1)=0,$L1292,SUMIFS(nrES_Raw,nrES_PID,$D1292,nrES_Code,$F1292,nrES_Att,1))))))))</f>
        <v/>
      </c>
      <c r="N1292" s="17">
        <f>IF($C1292="","",IF($L1292="","",IF(NOT(ISNUMBER($L1292)),"(not a score)",IF($L1292&gt;=$J1292,"Yes","No"))))</f>
        <v/>
      </c>
      <c r="O1292" s="17">
        <f>IF($C1292="","",IF($M1292="","",IF(NOT(ISNUMBER($M1292)),"(not a score)",IF($M1292&gt;=$J1292,"Yes","No"))))</f>
        <v/>
      </c>
      <c r="P1292" s="17">
        <f>IF($C1292="","",IF($K1292="","",IF(N($K1292)&gt;2,"No",IF(COUNTIFS(nrES_PID,$D1292,nrES_Code,$F1292,nrES_Att,"&gt;"&amp;$K1292,nrES_Att,"&lt;=2",nrES_Raw,"&gt;=0")=0,"Yes","No"))))</f>
        <v/>
      </c>
      <c r="Q1292" s="17">
        <f>IF($C1292="","",IF($L1292="","",IF(AND($K1292=1,ISNUMBER($L1292),$L1292&lt;$J1292,COUNTIFS(nrES_PID,$D1292,nrES_Code,$F1292,nrES_Att,2,nrES_Raw,"&gt;=0")=0),"Yes","No")))</f>
        <v/>
      </c>
      <c r="R1292" s="17">
        <f>IF($C1292="","",IF($L1292="","",IF(AND(N($K1292)&gt;=2,ISNUMBER($L1292),$L1292&lt;$J1292),"Yes","No")))</f>
        <v/>
      </c>
      <c r="S1292" s="18" t="n"/>
      <c r="T1292" s="19">
        <f>IF(OR($C1292="",$L1292="",$K1292&lt;&gt;1,NOT(ISNUMBER($L1292)),$L1292&gt;=$J1292),"",IF($S1292="","(enter date)",_xlfn.LET(_xlpm.dn,_xlfn.XLOOKUP($S1292,nrCDdate,nrCDnum,"",1),IF(_xlpm.dn="","(after last class day)",_xlfn.LET(_xlpm.dd,_xlfn.XLOOKUP(_xlpm.dn+cfgRetestClassDays,nrCDnum,nrCDdate,""),_xlpm.ok,_xlfn.XLOOKUP(_xlpm.dn+cfgRetestClassDays,nrCDnum,nrCDinsession,"No"),IF(OR(_xlpm.dd="",_xlpm.ok&lt;&gt;"Yes"),"(after last class day)",_xlpm.dd))))))</f>
        <v/>
      </c>
      <c r="U1292" s="17">
        <f>IF($C1292="","",IF(AND($Y1292="Excused",$L1292="",N($K1292)&lt;=1),"EXCUSED - 1st attempt pending",IF(OR($L1292="",$K1292&lt;&gt;1,NOT(ISNUMBER($L1292)),$L1292&gt;=$J1292),"",IF(COUNTIFS(nrES_PID,$D1292,nrES_Code,$F1292,nrES_Att,2,nrES_Raw,"&gt;=0")&gt;0,IF(IFERROR(_xlfn.MINIFS(nrES_Date,nrES_PID,$D1292,nrES_Code,$F1292,nrES_Att,2,nrES_Raw,"&gt;=0",nrES_Date,"&gt;0"),0)=0,"RETEST UNDATED",IF(NOT(ISNUMBER($T1292)),"RETEST DATE UNCHECKED",IF(_xlfn.MINIFS(nrES_Date,nrES_PID,$D1292,nrES_Code,$F1292,nrES_Att,2,nrES_Raw,"&gt;=0",nrES_Date,"&gt;0")&gt;$T1292,"LATE RETEST "&amp;TEXT(_xlfn.MINIFS(nrES_Date,nrES_PID,$D1292,nrES_Code,$F1292,nrES_Att,2,nrES_Raw,"&gt;=0",nrES_Date,"&gt;0"),"mm/dd")&amp;" (due "&amp;TEXT($T1292,"mm/dd")&amp;")","Retested"))),IF(NOT(ISNUMBER($T1292)),"CHECK DATE",IF(TODAY()&gt;$T1292,"OVERDUE","Due "&amp;TEXT($T1292,"mm/dd")))))))</f>
        <v/>
      </c>
      <c r="V1292" s="16" t="n"/>
      <c r="W1292" s="16" t="n"/>
      <c r="X1292" s="17">
        <f>IF($C1292="","",IF(AND($L1292&lt;&gt;"",NOT(ISNUMBER($L1292))),"RAW SCORE NOT A NUMBER",IF(AND(ISNUMBER($L1292),OR($L1292&lt;0,$L1292&gt;100)),"RAW SCORE OUT OF RANGE",IF(AND($Y1292="Unexcused",OR($L1292="",NOT(ISNUMBER($L1292)),$L1292&lt;&gt;0)),"UNEXCUSED ABSENCE MUST RECORD 0",IF(COUNTIF(nrES_RecID,$B1292)&gt;1,"DUPLICATE RECORD",IF(N($K1292)&gt;2,"ATTEMPT 3+ NOT ALLOWED - policy 300.5 permits one retest per exam; this row records nothing",IF(AND($K1292=2,COUNTIFS(nrES_PID,$D1292,nrES_Code,$F1292,nrES_Att,1)=0),"ATTEMPT 2 WITHOUT ATTEMPT 1",IF(AND($K1292=2,$L1292=""),"RETEST ROW HAS NO SCORE",IF(AND($H1292="Final",$L1292&lt;&gt;"",IFERROR(INDEX(nrCKfinalExamElig,MATCH($D1292,rngCadetPIDs,0)),"")="No"),"FINAL EXAM AFTER FAILED FINAL PT (500.1.H)",IF(AND($K1292=2,ISNUMBER($L1292),COUNTIFS(nrES_PID,$D1292,nrES_Code,$F1292,nrES_Att,1)&gt;0,SUMIFS(nrES_Raw,nrES_PID,$D1292,nrES_Code,$F1292,nrES_Att,1)&gt;=$J1292),"RETEST AFTER A PASSING FIRST ATTEMPT","OK"))))))))))</f>
        <v/>
      </c>
      <c r="Y1292" s="16" t="n"/>
    </row>
    <row r="1293">
      <c r="B1293" s="17">
        <f>IF($C1293="","",$D1293&amp;"-"&amp;$F1293&amp;"-"&amp;$K1293)</f>
        <v/>
      </c>
      <c r="C1293" s="16" t="n"/>
      <c r="D1293" s="17">
        <f>IF($C1293="","",IFERROR(INDEX(rngCadetPIDs,MATCH($C1293,rngCadetNames,0)),"?"))</f>
        <v/>
      </c>
      <c r="E1293" s="17">
        <f>IF($D1293="","",IFERROR(INDEX(nrCadetAgency,MATCH($D1293,rngCadetPIDs,0)),""))</f>
        <v/>
      </c>
      <c r="F1293" s="16" t="n"/>
      <c r="G1293" s="17">
        <f>IF($F1293="","",IFERROR(INDEX(rngEPname,MATCH($F1293,rngEPcode,0)),"?"))</f>
        <v/>
      </c>
      <c r="H1293" s="17">
        <f>IF($F1293="","",IFERROR(INDEX(rngEPtype,MATCH($F1293,rngEPcode,0)),"?"))</f>
        <v/>
      </c>
      <c r="I1293" s="17">
        <f>IF($F1293="","",IFERROR(INDEX(rngEPseq,MATCH($F1293,rngEPcode,0)),""))</f>
        <v/>
      </c>
      <c r="J1293" s="17">
        <f>IF($F1293="","",IFERROR(INDEX(rngEPpass,MATCH($F1293,rngEPcode,0)),cfgPassingScore))</f>
        <v/>
      </c>
      <c r="K1293" s="16" t="n"/>
      <c r="L1293" s="16" t="n"/>
      <c r="M1293" s="17">
        <f>IF($C1293="","",IF($L1293="","",IF(NOT(ISNUMBER($L1293)),$L1293,IF(N($K1293)&gt;2,"",IF($K1293=1,IF(COUNTIFS(nrES_PID,$D1293,nrES_Code,$F1293,nrES_Att,2,nrES_Raw,"&gt;=0")&gt;0,"",$L1293),IF($L1293&gt;=$J1293,MAX($J1293,cfgRetakeRecordedCap),IF(COUNTIFS(nrES_PID,$D1293,nrES_Code,$F1293,nrES_Att,1)=0,$L1293,SUMIFS(nrES_Raw,nrES_PID,$D1293,nrES_Code,$F1293,nrES_Att,1))))))))</f>
        <v/>
      </c>
      <c r="N1293" s="17">
        <f>IF($C1293="","",IF($L1293="","",IF(NOT(ISNUMBER($L1293)),"(not a score)",IF($L1293&gt;=$J1293,"Yes","No"))))</f>
        <v/>
      </c>
      <c r="O1293" s="17">
        <f>IF($C1293="","",IF($M1293="","",IF(NOT(ISNUMBER($M1293)),"(not a score)",IF($M1293&gt;=$J1293,"Yes","No"))))</f>
        <v/>
      </c>
      <c r="P1293" s="17">
        <f>IF($C1293="","",IF($K1293="","",IF(N($K1293)&gt;2,"No",IF(COUNTIFS(nrES_PID,$D1293,nrES_Code,$F1293,nrES_Att,"&gt;"&amp;$K1293,nrES_Att,"&lt;=2",nrES_Raw,"&gt;=0")=0,"Yes","No"))))</f>
        <v/>
      </c>
      <c r="Q1293" s="17">
        <f>IF($C1293="","",IF($L1293="","",IF(AND($K1293=1,ISNUMBER($L1293),$L1293&lt;$J1293,COUNTIFS(nrES_PID,$D1293,nrES_Code,$F1293,nrES_Att,2,nrES_Raw,"&gt;=0")=0),"Yes","No")))</f>
        <v/>
      </c>
      <c r="R1293" s="17">
        <f>IF($C1293="","",IF($L1293="","",IF(AND(N($K1293)&gt;=2,ISNUMBER($L1293),$L1293&lt;$J1293),"Yes","No")))</f>
        <v/>
      </c>
      <c r="S1293" s="18" t="n"/>
      <c r="T1293" s="19">
        <f>IF(OR($C1293="",$L1293="",$K1293&lt;&gt;1,NOT(ISNUMBER($L1293)),$L1293&gt;=$J1293),"",IF($S1293="","(enter date)",_xlfn.LET(_xlpm.dn,_xlfn.XLOOKUP($S1293,nrCDdate,nrCDnum,"",1),IF(_xlpm.dn="","(after last class day)",_xlfn.LET(_xlpm.dd,_xlfn.XLOOKUP(_xlpm.dn+cfgRetestClassDays,nrCDnum,nrCDdate,""),_xlpm.ok,_xlfn.XLOOKUP(_xlpm.dn+cfgRetestClassDays,nrCDnum,nrCDinsession,"No"),IF(OR(_xlpm.dd="",_xlpm.ok&lt;&gt;"Yes"),"(after last class day)",_xlpm.dd))))))</f>
        <v/>
      </c>
      <c r="U1293" s="17">
        <f>IF($C1293="","",IF(AND($Y1293="Excused",$L1293="",N($K1293)&lt;=1),"EXCUSED - 1st attempt pending",IF(OR($L1293="",$K1293&lt;&gt;1,NOT(ISNUMBER($L1293)),$L1293&gt;=$J1293),"",IF(COUNTIFS(nrES_PID,$D1293,nrES_Code,$F1293,nrES_Att,2,nrES_Raw,"&gt;=0")&gt;0,IF(IFERROR(_xlfn.MINIFS(nrES_Date,nrES_PID,$D1293,nrES_Code,$F1293,nrES_Att,2,nrES_Raw,"&gt;=0",nrES_Date,"&gt;0"),0)=0,"RETEST UNDATED",IF(NOT(ISNUMBER($T1293)),"RETEST DATE UNCHECKED",IF(_xlfn.MINIFS(nrES_Date,nrES_PID,$D1293,nrES_Code,$F1293,nrES_Att,2,nrES_Raw,"&gt;=0",nrES_Date,"&gt;0")&gt;$T1293,"LATE RETEST "&amp;TEXT(_xlfn.MINIFS(nrES_Date,nrES_PID,$D1293,nrES_Code,$F1293,nrES_Att,2,nrES_Raw,"&gt;=0",nrES_Date,"&gt;0"),"mm/dd")&amp;" (due "&amp;TEXT($T1293,"mm/dd")&amp;")","Retested"))),IF(NOT(ISNUMBER($T1293)),"CHECK DATE",IF(TODAY()&gt;$T1293,"OVERDUE","Due "&amp;TEXT($T1293,"mm/dd")))))))</f>
        <v/>
      </c>
      <c r="V1293" s="16" t="n"/>
      <c r="W1293" s="16" t="n"/>
      <c r="X1293" s="17">
        <f>IF($C1293="","",IF(AND($L1293&lt;&gt;"",NOT(ISNUMBER($L1293))),"RAW SCORE NOT A NUMBER",IF(AND(ISNUMBER($L1293),OR($L1293&lt;0,$L1293&gt;100)),"RAW SCORE OUT OF RANGE",IF(AND($Y1293="Unexcused",OR($L1293="",NOT(ISNUMBER($L1293)),$L1293&lt;&gt;0)),"UNEXCUSED ABSENCE MUST RECORD 0",IF(COUNTIF(nrES_RecID,$B1293)&gt;1,"DUPLICATE RECORD",IF(N($K1293)&gt;2,"ATTEMPT 3+ NOT ALLOWED - policy 300.5 permits one retest per exam; this row records nothing",IF(AND($K1293=2,COUNTIFS(nrES_PID,$D1293,nrES_Code,$F1293,nrES_Att,1)=0),"ATTEMPT 2 WITHOUT ATTEMPT 1",IF(AND($K1293=2,$L1293=""),"RETEST ROW HAS NO SCORE",IF(AND($H1293="Final",$L1293&lt;&gt;"",IFERROR(INDEX(nrCKfinalExamElig,MATCH($D1293,rngCadetPIDs,0)),"")="No"),"FINAL EXAM AFTER FAILED FINAL PT (500.1.H)",IF(AND($K1293=2,ISNUMBER($L1293),COUNTIFS(nrES_PID,$D1293,nrES_Code,$F1293,nrES_Att,1)&gt;0,SUMIFS(nrES_Raw,nrES_PID,$D1293,nrES_Code,$F1293,nrES_Att,1)&gt;=$J1293),"RETEST AFTER A PASSING FIRST ATTEMPT","OK"))))))))))</f>
        <v/>
      </c>
      <c r="Y1293" s="16" t="n"/>
    </row>
    <row r="1294">
      <c r="B1294" s="17">
        <f>IF($C1294="","",$D1294&amp;"-"&amp;$F1294&amp;"-"&amp;$K1294)</f>
        <v/>
      </c>
      <c r="C1294" s="16" t="n"/>
      <c r="D1294" s="17">
        <f>IF($C1294="","",IFERROR(INDEX(rngCadetPIDs,MATCH($C1294,rngCadetNames,0)),"?"))</f>
        <v/>
      </c>
      <c r="E1294" s="17">
        <f>IF($D1294="","",IFERROR(INDEX(nrCadetAgency,MATCH($D1294,rngCadetPIDs,0)),""))</f>
        <v/>
      </c>
      <c r="F1294" s="16" t="n"/>
      <c r="G1294" s="17">
        <f>IF($F1294="","",IFERROR(INDEX(rngEPname,MATCH($F1294,rngEPcode,0)),"?"))</f>
        <v/>
      </c>
      <c r="H1294" s="17">
        <f>IF($F1294="","",IFERROR(INDEX(rngEPtype,MATCH($F1294,rngEPcode,0)),"?"))</f>
        <v/>
      </c>
      <c r="I1294" s="17">
        <f>IF($F1294="","",IFERROR(INDEX(rngEPseq,MATCH($F1294,rngEPcode,0)),""))</f>
        <v/>
      </c>
      <c r="J1294" s="17">
        <f>IF($F1294="","",IFERROR(INDEX(rngEPpass,MATCH($F1294,rngEPcode,0)),cfgPassingScore))</f>
        <v/>
      </c>
      <c r="K1294" s="16" t="n"/>
      <c r="L1294" s="16" t="n"/>
      <c r="M1294" s="17">
        <f>IF($C1294="","",IF($L1294="","",IF(NOT(ISNUMBER($L1294)),$L1294,IF(N($K1294)&gt;2,"",IF($K1294=1,IF(COUNTIFS(nrES_PID,$D1294,nrES_Code,$F1294,nrES_Att,2,nrES_Raw,"&gt;=0")&gt;0,"",$L1294),IF($L1294&gt;=$J1294,MAX($J1294,cfgRetakeRecordedCap),IF(COUNTIFS(nrES_PID,$D1294,nrES_Code,$F1294,nrES_Att,1)=0,$L1294,SUMIFS(nrES_Raw,nrES_PID,$D1294,nrES_Code,$F1294,nrES_Att,1))))))))</f>
        <v/>
      </c>
      <c r="N1294" s="17">
        <f>IF($C1294="","",IF($L1294="","",IF(NOT(ISNUMBER($L1294)),"(not a score)",IF($L1294&gt;=$J1294,"Yes","No"))))</f>
        <v/>
      </c>
      <c r="O1294" s="17">
        <f>IF($C1294="","",IF($M1294="","",IF(NOT(ISNUMBER($M1294)),"(not a score)",IF($M1294&gt;=$J1294,"Yes","No"))))</f>
        <v/>
      </c>
      <c r="P1294" s="17">
        <f>IF($C1294="","",IF($K1294="","",IF(N($K1294)&gt;2,"No",IF(COUNTIFS(nrES_PID,$D1294,nrES_Code,$F1294,nrES_Att,"&gt;"&amp;$K1294,nrES_Att,"&lt;=2",nrES_Raw,"&gt;=0")=0,"Yes","No"))))</f>
        <v/>
      </c>
      <c r="Q1294" s="17">
        <f>IF($C1294="","",IF($L1294="","",IF(AND($K1294=1,ISNUMBER($L1294),$L1294&lt;$J1294,COUNTIFS(nrES_PID,$D1294,nrES_Code,$F1294,nrES_Att,2,nrES_Raw,"&gt;=0")=0),"Yes","No")))</f>
        <v/>
      </c>
      <c r="R1294" s="17">
        <f>IF($C1294="","",IF($L1294="","",IF(AND(N($K1294)&gt;=2,ISNUMBER($L1294),$L1294&lt;$J1294),"Yes","No")))</f>
        <v/>
      </c>
      <c r="S1294" s="18" t="n"/>
      <c r="T1294" s="19">
        <f>IF(OR($C1294="",$L1294="",$K1294&lt;&gt;1,NOT(ISNUMBER($L1294)),$L1294&gt;=$J1294),"",IF($S1294="","(enter date)",_xlfn.LET(_xlpm.dn,_xlfn.XLOOKUP($S1294,nrCDdate,nrCDnum,"",1),IF(_xlpm.dn="","(after last class day)",_xlfn.LET(_xlpm.dd,_xlfn.XLOOKUP(_xlpm.dn+cfgRetestClassDays,nrCDnum,nrCDdate,""),_xlpm.ok,_xlfn.XLOOKUP(_xlpm.dn+cfgRetestClassDays,nrCDnum,nrCDinsession,"No"),IF(OR(_xlpm.dd="",_xlpm.ok&lt;&gt;"Yes"),"(after last class day)",_xlpm.dd))))))</f>
        <v/>
      </c>
      <c r="U1294" s="17">
        <f>IF($C1294="","",IF(AND($Y1294="Excused",$L1294="",N($K1294)&lt;=1),"EXCUSED - 1st attempt pending",IF(OR($L1294="",$K1294&lt;&gt;1,NOT(ISNUMBER($L1294)),$L1294&gt;=$J1294),"",IF(COUNTIFS(nrES_PID,$D1294,nrES_Code,$F1294,nrES_Att,2,nrES_Raw,"&gt;=0")&gt;0,IF(IFERROR(_xlfn.MINIFS(nrES_Date,nrES_PID,$D1294,nrES_Code,$F1294,nrES_Att,2,nrES_Raw,"&gt;=0",nrES_Date,"&gt;0"),0)=0,"RETEST UNDATED",IF(NOT(ISNUMBER($T1294)),"RETEST DATE UNCHECKED",IF(_xlfn.MINIFS(nrES_Date,nrES_PID,$D1294,nrES_Code,$F1294,nrES_Att,2,nrES_Raw,"&gt;=0",nrES_Date,"&gt;0")&gt;$T1294,"LATE RETEST "&amp;TEXT(_xlfn.MINIFS(nrES_Date,nrES_PID,$D1294,nrES_Code,$F1294,nrES_Att,2,nrES_Raw,"&gt;=0",nrES_Date,"&gt;0"),"mm/dd")&amp;" (due "&amp;TEXT($T1294,"mm/dd")&amp;")","Retested"))),IF(NOT(ISNUMBER($T1294)),"CHECK DATE",IF(TODAY()&gt;$T1294,"OVERDUE","Due "&amp;TEXT($T1294,"mm/dd")))))))</f>
        <v/>
      </c>
      <c r="V1294" s="16" t="n"/>
      <c r="W1294" s="16" t="n"/>
      <c r="X1294" s="17">
        <f>IF($C1294="","",IF(AND($L1294&lt;&gt;"",NOT(ISNUMBER($L1294))),"RAW SCORE NOT A NUMBER",IF(AND(ISNUMBER($L1294),OR($L1294&lt;0,$L1294&gt;100)),"RAW SCORE OUT OF RANGE",IF(AND($Y1294="Unexcused",OR($L1294="",NOT(ISNUMBER($L1294)),$L1294&lt;&gt;0)),"UNEXCUSED ABSENCE MUST RECORD 0",IF(COUNTIF(nrES_RecID,$B1294)&gt;1,"DUPLICATE RECORD",IF(N($K1294)&gt;2,"ATTEMPT 3+ NOT ALLOWED - policy 300.5 permits one retest per exam; this row records nothing",IF(AND($K1294=2,COUNTIFS(nrES_PID,$D1294,nrES_Code,$F1294,nrES_Att,1)=0),"ATTEMPT 2 WITHOUT ATTEMPT 1",IF(AND($K1294=2,$L1294=""),"RETEST ROW HAS NO SCORE",IF(AND($H1294="Final",$L1294&lt;&gt;"",IFERROR(INDEX(nrCKfinalExamElig,MATCH($D1294,rngCadetPIDs,0)),"")="No"),"FINAL EXAM AFTER FAILED FINAL PT (500.1.H)",IF(AND($K1294=2,ISNUMBER($L1294),COUNTIFS(nrES_PID,$D1294,nrES_Code,$F1294,nrES_Att,1)&gt;0,SUMIFS(nrES_Raw,nrES_PID,$D1294,nrES_Code,$F1294,nrES_Att,1)&gt;=$J1294),"RETEST AFTER A PASSING FIRST ATTEMPT","OK"))))))))))</f>
        <v/>
      </c>
      <c r="Y1294" s="16" t="n"/>
    </row>
    <row r="1295">
      <c r="B1295" s="17">
        <f>IF($C1295="","",$D1295&amp;"-"&amp;$F1295&amp;"-"&amp;$K1295)</f>
        <v/>
      </c>
      <c r="C1295" s="16" t="n"/>
      <c r="D1295" s="17">
        <f>IF($C1295="","",IFERROR(INDEX(rngCadetPIDs,MATCH($C1295,rngCadetNames,0)),"?"))</f>
        <v/>
      </c>
      <c r="E1295" s="17">
        <f>IF($D1295="","",IFERROR(INDEX(nrCadetAgency,MATCH($D1295,rngCadetPIDs,0)),""))</f>
        <v/>
      </c>
      <c r="F1295" s="16" t="n"/>
      <c r="G1295" s="17">
        <f>IF($F1295="","",IFERROR(INDEX(rngEPname,MATCH($F1295,rngEPcode,0)),"?"))</f>
        <v/>
      </c>
      <c r="H1295" s="17">
        <f>IF($F1295="","",IFERROR(INDEX(rngEPtype,MATCH($F1295,rngEPcode,0)),"?"))</f>
        <v/>
      </c>
      <c r="I1295" s="17">
        <f>IF($F1295="","",IFERROR(INDEX(rngEPseq,MATCH($F1295,rngEPcode,0)),""))</f>
        <v/>
      </c>
      <c r="J1295" s="17">
        <f>IF($F1295="","",IFERROR(INDEX(rngEPpass,MATCH($F1295,rngEPcode,0)),cfgPassingScore))</f>
        <v/>
      </c>
      <c r="K1295" s="16" t="n"/>
      <c r="L1295" s="16" t="n"/>
      <c r="M1295" s="17">
        <f>IF($C1295="","",IF($L1295="","",IF(NOT(ISNUMBER($L1295)),$L1295,IF(N($K1295)&gt;2,"",IF($K1295=1,IF(COUNTIFS(nrES_PID,$D1295,nrES_Code,$F1295,nrES_Att,2,nrES_Raw,"&gt;=0")&gt;0,"",$L1295),IF($L1295&gt;=$J1295,MAX($J1295,cfgRetakeRecordedCap),IF(COUNTIFS(nrES_PID,$D1295,nrES_Code,$F1295,nrES_Att,1)=0,$L1295,SUMIFS(nrES_Raw,nrES_PID,$D1295,nrES_Code,$F1295,nrES_Att,1))))))))</f>
        <v/>
      </c>
      <c r="N1295" s="17">
        <f>IF($C1295="","",IF($L1295="","",IF(NOT(ISNUMBER($L1295)),"(not a score)",IF($L1295&gt;=$J1295,"Yes","No"))))</f>
        <v/>
      </c>
      <c r="O1295" s="17">
        <f>IF($C1295="","",IF($M1295="","",IF(NOT(ISNUMBER($M1295)),"(not a score)",IF($M1295&gt;=$J1295,"Yes","No"))))</f>
        <v/>
      </c>
      <c r="P1295" s="17">
        <f>IF($C1295="","",IF($K1295="","",IF(N($K1295)&gt;2,"No",IF(COUNTIFS(nrES_PID,$D1295,nrES_Code,$F1295,nrES_Att,"&gt;"&amp;$K1295,nrES_Att,"&lt;=2",nrES_Raw,"&gt;=0")=0,"Yes","No"))))</f>
        <v/>
      </c>
      <c r="Q1295" s="17">
        <f>IF($C1295="","",IF($L1295="","",IF(AND($K1295=1,ISNUMBER($L1295),$L1295&lt;$J1295,COUNTIFS(nrES_PID,$D1295,nrES_Code,$F1295,nrES_Att,2,nrES_Raw,"&gt;=0")=0),"Yes","No")))</f>
        <v/>
      </c>
      <c r="R1295" s="17">
        <f>IF($C1295="","",IF($L1295="","",IF(AND(N($K1295)&gt;=2,ISNUMBER($L1295),$L1295&lt;$J1295),"Yes","No")))</f>
        <v/>
      </c>
      <c r="S1295" s="18" t="n"/>
      <c r="T1295" s="19">
        <f>IF(OR($C1295="",$L1295="",$K1295&lt;&gt;1,NOT(ISNUMBER($L1295)),$L1295&gt;=$J1295),"",IF($S1295="","(enter date)",_xlfn.LET(_xlpm.dn,_xlfn.XLOOKUP($S1295,nrCDdate,nrCDnum,"",1),IF(_xlpm.dn="","(after last class day)",_xlfn.LET(_xlpm.dd,_xlfn.XLOOKUP(_xlpm.dn+cfgRetestClassDays,nrCDnum,nrCDdate,""),_xlpm.ok,_xlfn.XLOOKUP(_xlpm.dn+cfgRetestClassDays,nrCDnum,nrCDinsession,"No"),IF(OR(_xlpm.dd="",_xlpm.ok&lt;&gt;"Yes"),"(after last class day)",_xlpm.dd))))))</f>
        <v/>
      </c>
      <c r="U1295" s="17">
        <f>IF($C1295="","",IF(AND($Y1295="Excused",$L1295="",N($K1295)&lt;=1),"EXCUSED - 1st attempt pending",IF(OR($L1295="",$K1295&lt;&gt;1,NOT(ISNUMBER($L1295)),$L1295&gt;=$J1295),"",IF(COUNTIFS(nrES_PID,$D1295,nrES_Code,$F1295,nrES_Att,2,nrES_Raw,"&gt;=0")&gt;0,IF(IFERROR(_xlfn.MINIFS(nrES_Date,nrES_PID,$D1295,nrES_Code,$F1295,nrES_Att,2,nrES_Raw,"&gt;=0",nrES_Date,"&gt;0"),0)=0,"RETEST UNDATED",IF(NOT(ISNUMBER($T1295)),"RETEST DATE UNCHECKED",IF(_xlfn.MINIFS(nrES_Date,nrES_PID,$D1295,nrES_Code,$F1295,nrES_Att,2,nrES_Raw,"&gt;=0",nrES_Date,"&gt;0")&gt;$T1295,"LATE RETEST "&amp;TEXT(_xlfn.MINIFS(nrES_Date,nrES_PID,$D1295,nrES_Code,$F1295,nrES_Att,2,nrES_Raw,"&gt;=0",nrES_Date,"&gt;0"),"mm/dd")&amp;" (due "&amp;TEXT($T1295,"mm/dd")&amp;")","Retested"))),IF(NOT(ISNUMBER($T1295)),"CHECK DATE",IF(TODAY()&gt;$T1295,"OVERDUE","Due "&amp;TEXT($T1295,"mm/dd")))))))</f>
        <v/>
      </c>
      <c r="V1295" s="16" t="n"/>
      <c r="W1295" s="16" t="n"/>
      <c r="X1295" s="17">
        <f>IF($C1295="","",IF(AND($L1295&lt;&gt;"",NOT(ISNUMBER($L1295))),"RAW SCORE NOT A NUMBER",IF(AND(ISNUMBER($L1295),OR($L1295&lt;0,$L1295&gt;100)),"RAW SCORE OUT OF RANGE",IF(AND($Y1295="Unexcused",OR($L1295="",NOT(ISNUMBER($L1295)),$L1295&lt;&gt;0)),"UNEXCUSED ABSENCE MUST RECORD 0",IF(COUNTIF(nrES_RecID,$B1295)&gt;1,"DUPLICATE RECORD",IF(N($K1295)&gt;2,"ATTEMPT 3+ NOT ALLOWED - policy 300.5 permits one retest per exam; this row records nothing",IF(AND($K1295=2,COUNTIFS(nrES_PID,$D1295,nrES_Code,$F1295,nrES_Att,1)=0),"ATTEMPT 2 WITHOUT ATTEMPT 1",IF(AND($K1295=2,$L1295=""),"RETEST ROW HAS NO SCORE",IF(AND($H1295="Final",$L1295&lt;&gt;"",IFERROR(INDEX(nrCKfinalExamElig,MATCH($D1295,rngCadetPIDs,0)),"")="No"),"FINAL EXAM AFTER FAILED FINAL PT (500.1.H)",IF(AND($K1295=2,ISNUMBER($L1295),COUNTIFS(nrES_PID,$D1295,nrES_Code,$F1295,nrES_Att,1)&gt;0,SUMIFS(nrES_Raw,nrES_PID,$D1295,nrES_Code,$F1295,nrES_Att,1)&gt;=$J1295),"RETEST AFTER A PASSING FIRST ATTEMPT","OK"))))))))))</f>
        <v/>
      </c>
      <c r="Y1295" s="16" t="n"/>
    </row>
    <row r="1296">
      <c r="B1296" s="17">
        <f>IF($C1296="","",$D1296&amp;"-"&amp;$F1296&amp;"-"&amp;$K1296)</f>
        <v/>
      </c>
      <c r="C1296" s="16" t="n"/>
      <c r="D1296" s="17">
        <f>IF($C1296="","",IFERROR(INDEX(rngCadetPIDs,MATCH($C1296,rngCadetNames,0)),"?"))</f>
        <v/>
      </c>
      <c r="E1296" s="17">
        <f>IF($D1296="","",IFERROR(INDEX(nrCadetAgency,MATCH($D1296,rngCadetPIDs,0)),""))</f>
        <v/>
      </c>
      <c r="F1296" s="16" t="n"/>
      <c r="G1296" s="17">
        <f>IF($F1296="","",IFERROR(INDEX(rngEPname,MATCH($F1296,rngEPcode,0)),"?"))</f>
        <v/>
      </c>
      <c r="H1296" s="17">
        <f>IF($F1296="","",IFERROR(INDEX(rngEPtype,MATCH($F1296,rngEPcode,0)),"?"))</f>
        <v/>
      </c>
      <c r="I1296" s="17">
        <f>IF($F1296="","",IFERROR(INDEX(rngEPseq,MATCH($F1296,rngEPcode,0)),""))</f>
        <v/>
      </c>
      <c r="J1296" s="17">
        <f>IF($F1296="","",IFERROR(INDEX(rngEPpass,MATCH($F1296,rngEPcode,0)),cfgPassingScore))</f>
        <v/>
      </c>
      <c r="K1296" s="16" t="n"/>
      <c r="L1296" s="16" t="n"/>
      <c r="M1296" s="17">
        <f>IF($C1296="","",IF($L1296="","",IF(NOT(ISNUMBER($L1296)),$L1296,IF(N($K1296)&gt;2,"",IF($K1296=1,IF(COUNTIFS(nrES_PID,$D1296,nrES_Code,$F1296,nrES_Att,2,nrES_Raw,"&gt;=0")&gt;0,"",$L1296),IF($L1296&gt;=$J1296,MAX($J1296,cfgRetakeRecordedCap),IF(COUNTIFS(nrES_PID,$D1296,nrES_Code,$F1296,nrES_Att,1)=0,$L1296,SUMIFS(nrES_Raw,nrES_PID,$D1296,nrES_Code,$F1296,nrES_Att,1))))))))</f>
        <v/>
      </c>
      <c r="N1296" s="17">
        <f>IF($C1296="","",IF($L1296="","",IF(NOT(ISNUMBER($L1296)),"(not a score)",IF($L1296&gt;=$J1296,"Yes","No"))))</f>
        <v/>
      </c>
      <c r="O1296" s="17">
        <f>IF($C1296="","",IF($M1296="","",IF(NOT(ISNUMBER($M1296)),"(not a score)",IF($M1296&gt;=$J1296,"Yes","No"))))</f>
        <v/>
      </c>
      <c r="P1296" s="17">
        <f>IF($C1296="","",IF($K1296="","",IF(N($K1296)&gt;2,"No",IF(COUNTIFS(nrES_PID,$D1296,nrES_Code,$F1296,nrES_Att,"&gt;"&amp;$K1296,nrES_Att,"&lt;=2",nrES_Raw,"&gt;=0")=0,"Yes","No"))))</f>
        <v/>
      </c>
      <c r="Q1296" s="17">
        <f>IF($C1296="","",IF($L1296="","",IF(AND($K1296=1,ISNUMBER($L1296),$L1296&lt;$J1296,COUNTIFS(nrES_PID,$D1296,nrES_Code,$F1296,nrES_Att,2,nrES_Raw,"&gt;=0")=0),"Yes","No")))</f>
        <v/>
      </c>
      <c r="R1296" s="17">
        <f>IF($C1296="","",IF($L1296="","",IF(AND(N($K1296)&gt;=2,ISNUMBER($L1296),$L1296&lt;$J1296),"Yes","No")))</f>
        <v/>
      </c>
      <c r="S1296" s="18" t="n"/>
      <c r="T1296" s="19">
        <f>IF(OR($C1296="",$L1296="",$K1296&lt;&gt;1,NOT(ISNUMBER($L1296)),$L1296&gt;=$J1296),"",IF($S1296="","(enter date)",_xlfn.LET(_xlpm.dn,_xlfn.XLOOKUP($S1296,nrCDdate,nrCDnum,"",1),IF(_xlpm.dn="","(after last class day)",_xlfn.LET(_xlpm.dd,_xlfn.XLOOKUP(_xlpm.dn+cfgRetestClassDays,nrCDnum,nrCDdate,""),_xlpm.ok,_xlfn.XLOOKUP(_xlpm.dn+cfgRetestClassDays,nrCDnum,nrCDinsession,"No"),IF(OR(_xlpm.dd="",_xlpm.ok&lt;&gt;"Yes"),"(after last class day)",_xlpm.dd))))))</f>
        <v/>
      </c>
      <c r="U1296" s="17">
        <f>IF($C1296="","",IF(AND($Y1296="Excused",$L1296="",N($K1296)&lt;=1),"EXCUSED - 1st attempt pending",IF(OR($L1296="",$K1296&lt;&gt;1,NOT(ISNUMBER($L1296)),$L1296&gt;=$J1296),"",IF(COUNTIFS(nrES_PID,$D1296,nrES_Code,$F1296,nrES_Att,2,nrES_Raw,"&gt;=0")&gt;0,IF(IFERROR(_xlfn.MINIFS(nrES_Date,nrES_PID,$D1296,nrES_Code,$F1296,nrES_Att,2,nrES_Raw,"&gt;=0",nrES_Date,"&gt;0"),0)=0,"RETEST UNDATED",IF(NOT(ISNUMBER($T1296)),"RETEST DATE UNCHECKED",IF(_xlfn.MINIFS(nrES_Date,nrES_PID,$D1296,nrES_Code,$F1296,nrES_Att,2,nrES_Raw,"&gt;=0",nrES_Date,"&gt;0")&gt;$T1296,"LATE RETEST "&amp;TEXT(_xlfn.MINIFS(nrES_Date,nrES_PID,$D1296,nrES_Code,$F1296,nrES_Att,2,nrES_Raw,"&gt;=0",nrES_Date,"&gt;0"),"mm/dd")&amp;" (due "&amp;TEXT($T1296,"mm/dd")&amp;")","Retested"))),IF(NOT(ISNUMBER($T1296)),"CHECK DATE",IF(TODAY()&gt;$T1296,"OVERDUE","Due "&amp;TEXT($T1296,"mm/dd")))))))</f>
        <v/>
      </c>
      <c r="V1296" s="16" t="n"/>
      <c r="W1296" s="16" t="n"/>
      <c r="X1296" s="17">
        <f>IF($C1296="","",IF(AND($L1296&lt;&gt;"",NOT(ISNUMBER($L1296))),"RAW SCORE NOT A NUMBER",IF(AND(ISNUMBER($L1296),OR($L1296&lt;0,$L1296&gt;100)),"RAW SCORE OUT OF RANGE",IF(AND($Y1296="Unexcused",OR($L1296="",NOT(ISNUMBER($L1296)),$L1296&lt;&gt;0)),"UNEXCUSED ABSENCE MUST RECORD 0",IF(COUNTIF(nrES_RecID,$B1296)&gt;1,"DUPLICATE RECORD",IF(N($K1296)&gt;2,"ATTEMPT 3+ NOT ALLOWED - policy 300.5 permits one retest per exam; this row records nothing",IF(AND($K1296=2,COUNTIFS(nrES_PID,$D1296,nrES_Code,$F1296,nrES_Att,1)=0),"ATTEMPT 2 WITHOUT ATTEMPT 1",IF(AND($K1296=2,$L1296=""),"RETEST ROW HAS NO SCORE",IF(AND($H1296="Final",$L1296&lt;&gt;"",IFERROR(INDEX(nrCKfinalExamElig,MATCH($D1296,rngCadetPIDs,0)),"")="No"),"FINAL EXAM AFTER FAILED FINAL PT (500.1.H)",IF(AND($K1296=2,ISNUMBER($L1296),COUNTIFS(nrES_PID,$D1296,nrES_Code,$F1296,nrES_Att,1)&gt;0,SUMIFS(nrES_Raw,nrES_PID,$D1296,nrES_Code,$F1296,nrES_Att,1)&gt;=$J1296),"RETEST AFTER A PASSING FIRST ATTEMPT","OK"))))))))))</f>
        <v/>
      </c>
      <c r="Y1296" s="16" t="n"/>
    </row>
    <row r="1297">
      <c r="B1297" s="17">
        <f>IF($C1297="","",$D1297&amp;"-"&amp;$F1297&amp;"-"&amp;$K1297)</f>
        <v/>
      </c>
      <c r="C1297" s="16" t="n"/>
      <c r="D1297" s="17">
        <f>IF($C1297="","",IFERROR(INDEX(rngCadetPIDs,MATCH($C1297,rngCadetNames,0)),"?"))</f>
        <v/>
      </c>
      <c r="E1297" s="17">
        <f>IF($D1297="","",IFERROR(INDEX(nrCadetAgency,MATCH($D1297,rngCadetPIDs,0)),""))</f>
        <v/>
      </c>
      <c r="F1297" s="16" t="n"/>
      <c r="G1297" s="17">
        <f>IF($F1297="","",IFERROR(INDEX(rngEPname,MATCH($F1297,rngEPcode,0)),"?"))</f>
        <v/>
      </c>
      <c r="H1297" s="17">
        <f>IF($F1297="","",IFERROR(INDEX(rngEPtype,MATCH($F1297,rngEPcode,0)),"?"))</f>
        <v/>
      </c>
      <c r="I1297" s="17">
        <f>IF($F1297="","",IFERROR(INDEX(rngEPseq,MATCH($F1297,rngEPcode,0)),""))</f>
        <v/>
      </c>
      <c r="J1297" s="17">
        <f>IF($F1297="","",IFERROR(INDEX(rngEPpass,MATCH($F1297,rngEPcode,0)),cfgPassingScore))</f>
        <v/>
      </c>
      <c r="K1297" s="16" t="n"/>
      <c r="L1297" s="16" t="n"/>
      <c r="M1297" s="17">
        <f>IF($C1297="","",IF($L1297="","",IF(NOT(ISNUMBER($L1297)),$L1297,IF(N($K1297)&gt;2,"",IF($K1297=1,IF(COUNTIFS(nrES_PID,$D1297,nrES_Code,$F1297,nrES_Att,2,nrES_Raw,"&gt;=0")&gt;0,"",$L1297),IF($L1297&gt;=$J1297,MAX($J1297,cfgRetakeRecordedCap),IF(COUNTIFS(nrES_PID,$D1297,nrES_Code,$F1297,nrES_Att,1)=0,$L1297,SUMIFS(nrES_Raw,nrES_PID,$D1297,nrES_Code,$F1297,nrES_Att,1))))))))</f>
        <v/>
      </c>
      <c r="N1297" s="17">
        <f>IF($C1297="","",IF($L1297="","",IF(NOT(ISNUMBER($L1297)),"(not a score)",IF($L1297&gt;=$J1297,"Yes","No"))))</f>
        <v/>
      </c>
      <c r="O1297" s="17">
        <f>IF($C1297="","",IF($M1297="","",IF(NOT(ISNUMBER($M1297)),"(not a score)",IF($M1297&gt;=$J1297,"Yes","No"))))</f>
        <v/>
      </c>
      <c r="P1297" s="17">
        <f>IF($C1297="","",IF($K1297="","",IF(N($K1297)&gt;2,"No",IF(COUNTIFS(nrES_PID,$D1297,nrES_Code,$F1297,nrES_Att,"&gt;"&amp;$K1297,nrES_Att,"&lt;=2",nrES_Raw,"&gt;=0")=0,"Yes","No"))))</f>
        <v/>
      </c>
      <c r="Q1297" s="17">
        <f>IF($C1297="","",IF($L1297="","",IF(AND($K1297=1,ISNUMBER($L1297),$L1297&lt;$J1297,COUNTIFS(nrES_PID,$D1297,nrES_Code,$F1297,nrES_Att,2,nrES_Raw,"&gt;=0")=0),"Yes","No")))</f>
        <v/>
      </c>
      <c r="R1297" s="17">
        <f>IF($C1297="","",IF($L1297="","",IF(AND(N($K1297)&gt;=2,ISNUMBER($L1297),$L1297&lt;$J1297),"Yes","No")))</f>
        <v/>
      </c>
      <c r="S1297" s="18" t="n"/>
      <c r="T1297" s="19">
        <f>IF(OR($C1297="",$L1297="",$K1297&lt;&gt;1,NOT(ISNUMBER($L1297)),$L1297&gt;=$J1297),"",IF($S1297="","(enter date)",_xlfn.LET(_xlpm.dn,_xlfn.XLOOKUP($S1297,nrCDdate,nrCDnum,"",1),IF(_xlpm.dn="","(after last class day)",_xlfn.LET(_xlpm.dd,_xlfn.XLOOKUP(_xlpm.dn+cfgRetestClassDays,nrCDnum,nrCDdate,""),_xlpm.ok,_xlfn.XLOOKUP(_xlpm.dn+cfgRetestClassDays,nrCDnum,nrCDinsession,"No"),IF(OR(_xlpm.dd="",_xlpm.ok&lt;&gt;"Yes"),"(after last class day)",_xlpm.dd))))))</f>
        <v/>
      </c>
      <c r="U1297" s="17">
        <f>IF($C1297="","",IF(AND($Y1297="Excused",$L1297="",N($K1297)&lt;=1),"EXCUSED - 1st attempt pending",IF(OR($L1297="",$K1297&lt;&gt;1,NOT(ISNUMBER($L1297)),$L1297&gt;=$J1297),"",IF(COUNTIFS(nrES_PID,$D1297,nrES_Code,$F1297,nrES_Att,2,nrES_Raw,"&gt;=0")&gt;0,IF(IFERROR(_xlfn.MINIFS(nrES_Date,nrES_PID,$D1297,nrES_Code,$F1297,nrES_Att,2,nrES_Raw,"&gt;=0",nrES_Date,"&gt;0"),0)=0,"RETEST UNDATED",IF(NOT(ISNUMBER($T1297)),"RETEST DATE UNCHECKED",IF(_xlfn.MINIFS(nrES_Date,nrES_PID,$D1297,nrES_Code,$F1297,nrES_Att,2,nrES_Raw,"&gt;=0",nrES_Date,"&gt;0")&gt;$T1297,"LATE RETEST "&amp;TEXT(_xlfn.MINIFS(nrES_Date,nrES_PID,$D1297,nrES_Code,$F1297,nrES_Att,2,nrES_Raw,"&gt;=0",nrES_Date,"&gt;0"),"mm/dd")&amp;" (due "&amp;TEXT($T1297,"mm/dd")&amp;")","Retested"))),IF(NOT(ISNUMBER($T1297)),"CHECK DATE",IF(TODAY()&gt;$T1297,"OVERDUE","Due "&amp;TEXT($T1297,"mm/dd")))))))</f>
        <v/>
      </c>
      <c r="V1297" s="16" t="n"/>
      <c r="W1297" s="16" t="n"/>
      <c r="X1297" s="17">
        <f>IF($C1297="","",IF(AND($L1297&lt;&gt;"",NOT(ISNUMBER($L1297))),"RAW SCORE NOT A NUMBER",IF(AND(ISNUMBER($L1297),OR($L1297&lt;0,$L1297&gt;100)),"RAW SCORE OUT OF RANGE",IF(AND($Y1297="Unexcused",OR($L1297="",NOT(ISNUMBER($L1297)),$L1297&lt;&gt;0)),"UNEXCUSED ABSENCE MUST RECORD 0",IF(COUNTIF(nrES_RecID,$B1297)&gt;1,"DUPLICATE RECORD",IF(N($K1297)&gt;2,"ATTEMPT 3+ NOT ALLOWED - policy 300.5 permits one retest per exam; this row records nothing",IF(AND($K1297=2,COUNTIFS(nrES_PID,$D1297,nrES_Code,$F1297,nrES_Att,1)=0),"ATTEMPT 2 WITHOUT ATTEMPT 1",IF(AND($K1297=2,$L1297=""),"RETEST ROW HAS NO SCORE",IF(AND($H1297="Final",$L1297&lt;&gt;"",IFERROR(INDEX(nrCKfinalExamElig,MATCH($D1297,rngCadetPIDs,0)),"")="No"),"FINAL EXAM AFTER FAILED FINAL PT (500.1.H)",IF(AND($K1297=2,ISNUMBER($L1297),COUNTIFS(nrES_PID,$D1297,nrES_Code,$F1297,nrES_Att,1)&gt;0,SUMIFS(nrES_Raw,nrES_PID,$D1297,nrES_Code,$F1297,nrES_Att,1)&gt;=$J1297),"RETEST AFTER A PASSING FIRST ATTEMPT","OK"))))))))))</f>
        <v/>
      </c>
      <c r="Y1297" s="16" t="n"/>
    </row>
    <row r="1298">
      <c r="B1298" s="17">
        <f>IF($C1298="","",$D1298&amp;"-"&amp;$F1298&amp;"-"&amp;$K1298)</f>
        <v/>
      </c>
      <c r="C1298" s="16" t="n"/>
      <c r="D1298" s="17">
        <f>IF($C1298="","",IFERROR(INDEX(rngCadetPIDs,MATCH($C1298,rngCadetNames,0)),"?"))</f>
        <v/>
      </c>
      <c r="E1298" s="17">
        <f>IF($D1298="","",IFERROR(INDEX(nrCadetAgency,MATCH($D1298,rngCadetPIDs,0)),""))</f>
        <v/>
      </c>
      <c r="F1298" s="16" t="n"/>
      <c r="G1298" s="17">
        <f>IF($F1298="","",IFERROR(INDEX(rngEPname,MATCH($F1298,rngEPcode,0)),"?"))</f>
        <v/>
      </c>
      <c r="H1298" s="17">
        <f>IF($F1298="","",IFERROR(INDEX(rngEPtype,MATCH($F1298,rngEPcode,0)),"?"))</f>
        <v/>
      </c>
      <c r="I1298" s="17">
        <f>IF($F1298="","",IFERROR(INDEX(rngEPseq,MATCH($F1298,rngEPcode,0)),""))</f>
        <v/>
      </c>
      <c r="J1298" s="17">
        <f>IF($F1298="","",IFERROR(INDEX(rngEPpass,MATCH($F1298,rngEPcode,0)),cfgPassingScore))</f>
        <v/>
      </c>
      <c r="K1298" s="16" t="n"/>
      <c r="L1298" s="16" t="n"/>
      <c r="M1298" s="17">
        <f>IF($C1298="","",IF($L1298="","",IF(NOT(ISNUMBER($L1298)),$L1298,IF(N($K1298)&gt;2,"",IF($K1298=1,IF(COUNTIFS(nrES_PID,$D1298,nrES_Code,$F1298,nrES_Att,2,nrES_Raw,"&gt;=0")&gt;0,"",$L1298),IF($L1298&gt;=$J1298,MAX($J1298,cfgRetakeRecordedCap),IF(COUNTIFS(nrES_PID,$D1298,nrES_Code,$F1298,nrES_Att,1)=0,$L1298,SUMIFS(nrES_Raw,nrES_PID,$D1298,nrES_Code,$F1298,nrES_Att,1))))))))</f>
        <v/>
      </c>
      <c r="N1298" s="17">
        <f>IF($C1298="","",IF($L1298="","",IF(NOT(ISNUMBER($L1298)),"(not a score)",IF($L1298&gt;=$J1298,"Yes","No"))))</f>
        <v/>
      </c>
      <c r="O1298" s="17">
        <f>IF($C1298="","",IF($M1298="","",IF(NOT(ISNUMBER($M1298)),"(not a score)",IF($M1298&gt;=$J1298,"Yes","No"))))</f>
        <v/>
      </c>
      <c r="P1298" s="17">
        <f>IF($C1298="","",IF($K1298="","",IF(N($K1298)&gt;2,"No",IF(COUNTIFS(nrES_PID,$D1298,nrES_Code,$F1298,nrES_Att,"&gt;"&amp;$K1298,nrES_Att,"&lt;=2",nrES_Raw,"&gt;=0")=0,"Yes","No"))))</f>
        <v/>
      </c>
      <c r="Q1298" s="17">
        <f>IF($C1298="","",IF($L1298="","",IF(AND($K1298=1,ISNUMBER($L1298),$L1298&lt;$J1298,COUNTIFS(nrES_PID,$D1298,nrES_Code,$F1298,nrES_Att,2,nrES_Raw,"&gt;=0")=0),"Yes","No")))</f>
        <v/>
      </c>
      <c r="R1298" s="17">
        <f>IF($C1298="","",IF($L1298="","",IF(AND(N($K1298)&gt;=2,ISNUMBER($L1298),$L1298&lt;$J1298),"Yes","No")))</f>
        <v/>
      </c>
      <c r="S1298" s="18" t="n"/>
      <c r="T1298" s="19">
        <f>IF(OR($C1298="",$L1298="",$K1298&lt;&gt;1,NOT(ISNUMBER($L1298)),$L1298&gt;=$J1298),"",IF($S1298="","(enter date)",_xlfn.LET(_xlpm.dn,_xlfn.XLOOKUP($S1298,nrCDdate,nrCDnum,"",1),IF(_xlpm.dn="","(after last class day)",_xlfn.LET(_xlpm.dd,_xlfn.XLOOKUP(_xlpm.dn+cfgRetestClassDays,nrCDnum,nrCDdate,""),_xlpm.ok,_xlfn.XLOOKUP(_xlpm.dn+cfgRetestClassDays,nrCDnum,nrCDinsession,"No"),IF(OR(_xlpm.dd="",_xlpm.ok&lt;&gt;"Yes"),"(after last class day)",_xlpm.dd))))))</f>
        <v/>
      </c>
      <c r="U1298" s="17">
        <f>IF($C1298="","",IF(AND($Y1298="Excused",$L1298="",N($K1298)&lt;=1),"EXCUSED - 1st attempt pending",IF(OR($L1298="",$K1298&lt;&gt;1,NOT(ISNUMBER($L1298)),$L1298&gt;=$J1298),"",IF(COUNTIFS(nrES_PID,$D1298,nrES_Code,$F1298,nrES_Att,2,nrES_Raw,"&gt;=0")&gt;0,IF(IFERROR(_xlfn.MINIFS(nrES_Date,nrES_PID,$D1298,nrES_Code,$F1298,nrES_Att,2,nrES_Raw,"&gt;=0",nrES_Date,"&gt;0"),0)=0,"RETEST UNDATED",IF(NOT(ISNUMBER($T1298)),"RETEST DATE UNCHECKED",IF(_xlfn.MINIFS(nrES_Date,nrES_PID,$D1298,nrES_Code,$F1298,nrES_Att,2,nrES_Raw,"&gt;=0",nrES_Date,"&gt;0")&gt;$T1298,"LATE RETEST "&amp;TEXT(_xlfn.MINIFS(nrES_Date,nrES_PID,$D1298,nrES_Code,$F1298,nrES_Att,2,nrES_Raw,"&gt;=0",nrES_Date,"&gt;0"),"mm/dd")&amp;" (due "&amp;TEXT($T1298,"mm/dd")&amp;")","Retested"))),IF(NOT(ISNUMBER($T1298)),"CHECK DATE",IF(TODAY()&gt;$T1298,"OVERDUE","Due "&amp;TEXT($T1298,"mm/dd")))))))</f>
        <v/>
      </c>
      <c r="V1298" s="16" t="n"/>
      <c r="W1298" s="16" t="n"/>
      <c r="X1298" s="17">
        <f>IF($C1298="","",IF(AND($L1298&lt;&gt;"",NOT(ISNUMBER($L1298))),"RAW SCORE NOT A NUMBER",IF(AND(ISNUMBER($L1298),OR($L1298&lt;0,$L1298&gt;100)),"RAW SCORE OUT OF RANGE",IF(AND($Y1298="Unexcused",OR($L1298="",NOT(ISNUMBER($L1298)),$L1298&lt;&gt;0)),"UNEXCUSED ABSENCE MUST RECORD 0",IF(COUNTIF(nrES_RecID,$B1298)&gt;1,"DUPLICATE RECORD",IF(N($K1298)&gt;2,"ATTEMPT 3+ NOT ALLOWED - policy 300.5 permits one retest per exam; this row records nothing",IF(AND($K1298=2,COUNTIFS(nrES_PID,$D1298,nrES_Code,$F1298,nrES_Att,1)=0),"ATTEMPT 2 WITHOUT ATTEMPT 1",IF(AND($K1298=2,$L1298=""),"RETEST ROW HAS NO SCORE",IF(AND($H1298="Final",$L1298&lt;&gt;"",IFERROR(INDEX(nrCKfinalExamElig,MATCH($D1298,rngCadetPIDs,0)),"")="No"),"FINAL EXAM AFTER FAILED FINAL PT (500.1.H)",IF(AND($K1298=2,ISNUMBER($L1298),COUNTIFS(nrES_PID,$D1298,nrES_Code,$F1298,nrES_Att,1)&gt;0,SUMIFS(nrES_Raw,nrES_PID,$D1298,nrES_Code,$F1298,nrES_Att,1)&gt;=$J1298),"RETEST AFTER A PASSING FIRST ATTEMPT","OK"))))))))))</f>
        <v/>
      </c>
      <c r="Y1298" s="16" t="n"/>
    </row>
    <row r="1299">
      <c r="B1299" s="17">
        <f>IF($C1299="","",$D1299&amp;"-"&amp;$F1299&amp;"-"&amp;$K1299)</f>
        <v/>
      </c>
      <c r="C1299" s="16" t="n"/>
      <c r="D1299" s="17">
        <f>IF($C1299="","",IFERROR(INDEX(rngCadetPIDs,MATCH($C1299,rngCadetNames,0)),"?"))</f>
        <v/>
      </c>
      <c r="E1299" s="17">
        <f>IF($D1299="","",IFERROR(INDEX(nrCadetAgency,MATCH($D1299,rngCadetPIDs,0)),""))</f>
        <v/>
      </c>
      <c r="F1299" s="16" t="n"/>
      <c r="G1299" s="17">
        <f>IF($F1299="","",IFERROR(INDEX(rngEPname,MATCH($F1299,rngEPcode,0)),"?"))</f>
        <v/>
      </c>
      <c r="H1299" s="17">
        <f>IF($F1299="","",IFERROR(INDEX(rngEPtype,MATCH($F1299,rngEPcode,0)),"?"))</f>
        <v/>
      </c>
      <c r="I1299" s="17">
        <f>IF($F1299="","",IFERROR(INDEX(rngEPseq,MATCH($F1299,rngEPcode,0)),""))</f>
        <v/>
      </c>
      <c r="J1299" s="17">
        <f>IF($F1299="","",IFERROR(INDEX(rngEPpass,MATCH($F1299,rngEPcode,0)),cfgPassingScore))</f>
        <v/>
      </c>
      <c r="K1299" s="16" t="n"/>
      <c r="L1299" s="16" t="n"/>
      <c r="M1299" s="17">
        <f>IF($C1299="","",IF($L1299="","",IF(NOT(ISNUMBER($L1299)),$L1299,IF(N($K1299)&gt;2,"",IF($K1299=1,IF(COUNTIFS(nrES_PID,$D1299,nrES_Code,$F1299,nrES_Att,2,nrES_Raw,"&gt;=0")&gt;0,"",$L1299),IF($L1299&gt;=$J1299,MAX($J1299,cfgRetakeRecordedCap),IF(COUNTIFS(nrES_PID,$D1299,nrES_Code,$F1299,nrES_Att,1)=0,$L1299,SUMIFS(nrES_Raw,nrES_PID,$D1299,nrES_Code,$F1299,nrES_Att,1))))))))</f>
        <v/>
      </c>
      <c r="N1299" s="17">
        <f>IF($C1299="","",IF($L1299="","",IF(NOT(ISNUMBER($L1299)),"(not a score)",IF($L1299&gt;=$J1299,"Yes","No"))))</f>
        <v/>
      </c>
      <c r="O1299" s="17">
        <f>IF($C1299="","",IF($M1299="","",IF(NOT(ISNUMBER($M1299)),"(not a score)",IF($M1299&gt;=$J1299,"Yes","No"))))</f>
        <v/>
      </c>
      <c r="P1299" s="17">
        <f>IF($C1299="","",IF($K1299="","",IF(N($K1299)&gt;2,"No",IF(COUNTIFS(nrES_PID,$D1299,nrES_Code,$F1299,nrES_Att,"&gt;"&amp;$K1299,nrES_Att,"&lt;=2",nrES_Raw,"&gt;=0")=0,"Yes","No"))))</f>
        <v/>
      </c>
      <c r="Q1299" s="17">
        <f>IF($C1299="","",IF($L1299="","",IF(AND($K1299=1,ISNUMBER($L1299),$L1299&lt;$J1299,COUNTIFS(nrES_PID,$D1299,nrES_Code,$F1299,nrES_Att,2,nrES_Raw,"&gt;=0")=0),"Yes","No")))</f>
        <v/>
      </c>
      <c r="R1299" s="17">
        <f>IF($C1299="","",IF($L1299="","",IF(AND(N($K1299)&gt;=2,ISNUMBER($L1299),$L1299&lt;$J1299),"Yes","No")))</f>
        <v/>
      </c>
      <c r="S1299" s="18" t="n"/>
      <c r="T1299" s="19">
        <f>IF(OR($C1299="",$L1299="",$K1299&lt;&gt;1,NOT(ISNUMBER($L1299)),$L1299&gt;=$J1299),"",IF($S1299="","(enter date)",_xlfn.LET(_xlpm.dn,_xlfn.XLOOKUP($S1299,nrCDdate,nrCDnum,"",1),IF(_xlpm.dn="","(after last class day)",_xlfn.LET(_xlpm.dd,_xlfn.XLOOKUP(_xlpm.dn+cfgRetestClassDays,nrCDnum,nrCDdate,""),_xlpm.ok,_xlfn.XLOOKUP(_xlpm.dn+cfgRetestClassDays,nrCDnum,nrCDinsession,"No"),IF(OR(_xlpm.dd="",_xlpm.ok&lt;&gt;"Yes"),"(after last class day)",_xlpm.dd))))))</f>
        <v/>
      </c>
      <c r="U1299" s="17">
        <f>IF($C1299="","",IF(AND($Y1299="Excused",$L1299="",N($K1299)&lt;=1),"EXCUSED - 1st attempt pending",IF(OR($L1299="",$K1299&lt;&gt;1,NOT(ISNUMBER($L1299)),$L1299&gt;=$J1299),"",IF(COUNTIFS(nrES_PID,$D1299,nrES_Code,$F1299,nrES_Att,2,nrES_Raw,"&gt;=0")&gt;0,IF(IFERROR(_xlfn.MINIFS(nrES_Date,nrES_PID,$D1299,nrES_Code,$F1299,nrES_Att,2,nrES_Raw,"&gt;=0",nrES_Date,"&gt;0"),0)=0,"RETEST UNDATED",IF(NOT(ISNUMBER($T1299)),"RETEST DATE UNCHECKED",IF(_xlfn.MINIFS(nrES_Date,nrES_PID,$D1299,nrES_Code,$F1299,nrES_Att,2,nrES_Raw,"&gt;=0",nrES_Date,"&gt;0")&gt;$T1299,"LATE RETEST "&amp;TEXT(_xlfn.MINIFS(nrES_Date,nrES_PID,$D1299,nrES_Code,$F1299,nrES_Att,2,nrES_Raw,"&gt;=0",nrES_Date,"&gt;0"),"mm/dd")&amp;" (due "&amp;TEXT($T1299,"mm/dd")&amp;")","Retested"))),IF(NOT(ISNUMBER($T1299)),"CHECK DATE",IF(TODAY()&gt;$T1299,"OVERDUE","Due "&amp;TEXT($T1299,"mm/dd")))))))</f>
        <v/>
      </c>
      <c r="V1299" s="16" t="n"/>
      <c r="W1299" s="16" t="n"/>
      <c r="X1299" s="17">
        <f>IF($C1299="","",IF(AND($L1299&lt;&gt;"",NOT(ISNUMBER($L1299))),"RAW SCORE NOT A NUMBER",IF(AND(ISNUMBER($L1299),OR($L1299&lt;0,$L1299&gt;100)),"RAW SCORE OUT OF RANGE",IF(AND($Y1299="Unexcused",OR($L1299="",NOT(ISNUMBER($L1299)),$L1299&lt;&gt;0)),"UNEXCUSED ABSENCE MUST RECORD 0",IF(COUNTIF(nrES_RecID,$B1299)&gt;1,"DUPLICATE RECORD",IF(N($K1299)&gt;2,"ATTEMPT 3+ NOT ALLOWED - policy 300.5 permits one retest per exam; this row records nothing",IF(AND($K1299=2,COUNTIFS(nrES_PID,$D1299,nrES_Code,$F1299,nrES_Att,1)=0),"ATTEMPT 2 WITHOUT ATTEMPT 1",IF(AND($K1299=2,$L1299=""),"RETEST ROW HAS NO SCORE",IF(AND($H1299="Final",$L1299&lt;&gt;"",IFERROR(INDEX(nrCKfinalExamElig,MATCH($D1299,rngCadetPIDs,0)),"")="No"),"FINAL EXAM AFTER FAILED FINAL PT (500.1.H)",IF(AND($K1299=2,ISNUMBER($L1299),COUNTIFS(nrES_PID,$D1299,nrES_Code,$F1299,nrES_Att,1)&gt;0,SUMIFS(nrES_Raw,nrES_PID,$D1299,nrES_Code,$F1299,nrES_Att,1)&gt;=$J1299),"RETEST AFTER A PASSING FIRST ATTEMPT","OK"))))))))))</f>
        <v/>
      </c>
      <c r="Y1299" s="16" t="n"/>
    </row>
    <row r="1300">
      <c r="B1300" s="17">
        <f>IF($C1300="","",$D1300&amp;"-"&amp;$F1300&amp;"-"&amp;$K1300)</f>
        <v/>
      </c>
      <c r="C1300" s="16" t="n"/>
      <c r="D1300" s="17">
        <f>IF($C1300="","",IFERROR(INDEX(rngCadetPIDs,MATCH($C1300,rngCadetNames,0)),"?"))</f>
        <v/>
      </c>
      <c r="E1300" s="17">
        <f>IF($D1300="","",IFERROR(INDEX(nrCadetAgency,MATCH($D1300,rngCadetPIDs,0)),""))</f>
        <v/>
      </c>
      <c r="F1300" s="16" t="n"/>
      <c r="G1300" s="17">
        <f>IF($F1300="","",IFERROR(INDEX(rngEPname,MATCH($F1300,rngEPcode,0)),"?"))</f>
        <v/>
      </c>
      <c r="H1300" s="17">
        <f>IF($F1300="","",IFERROR(INDEX(rngEPtype,MATCH($F1300,rngEPcode,0)),"?"))</f>
        <v/>
      </c>
      <c r="I1300" s="17">
        <f>IF($F1300="","",IFERROR(INDEX(rngEPseq,MATCH($F1300,rngEPcode,0)),""))</f>
        <v/>
      </c>
      <c r="J1300" s="17">
        <f>IF($F1300="","",IFERROR(INDEX(rngEPpass,MATCH($F1300,rngEPcode,0)),cfgPassingScore))</f>
        <v/>
      </c>
      <c r="K1300" s="16" t="n"/>
      <c r="L1300" s="16" t="n"/>
      <c r="M1300" s="17">
        <f>IF($C1300="","",IF($L1300="","",IF(NOT(ISNUMBER($L1300)),$L1300,IF(N($K1300)&gt;2,"",IF($K1300=1,IF(COUNTIFS(nrES_PID,$D1300,nrES_Code,$F1300,nrES_Att,2,nrES_Raw,"&gt;=0")&gt;0,"",$L1300),IF($L1300&gt;=$J1300,MAX($J1300,cfgRetakeRecordedCap),IF(COUNTIFS(nrES_PID,$D1300,nrES_Code,$F1300,nrES_Att,1)=0,$L1300,SUMIFS(nrES_Raw,nrES_PID,$D1300,nrES_Code,$F1300,nrES_Att,1))))))))</f>
        <v/>
      </c>
      <c r="N1300" s="17">
        <f>IF($C1300="","",IF($L1300="","",IF(NOT(ISNUMBER($L1300)),"(not a score)",IF($L1300&gt;=$J1300,"Yes","No"))))</f>
        <v/>
      </c>
      <c r="O1300" s="17">
        <f>IF($C1300="","",IF($M1300="","",IF(NOT(ISNUMBER($M1300)),"(not a score)",IF($M1300&gt;=$J1300,"Yes","No"))))</f>
        <v/>
      </c>
      <c r="P1300" s="17">
        <f>IF($C1300="","",IF($K1300="","",IF(N($K1300)&gt;2,"No",IF(COUNTIFS(nrES_PID,$D1300,nrES_Code,$F1300,nrES_Att,"&gt;"&amp;$K1300,nrES_Att,"&lt;=2",nrES_Raw,"&gt;=0")=0,"Yes","No"))))</f>
        <v/>
      </c>
      <c r="Q1300" s="17">
        <f>IF($C1300="","",IF($L1300="","",IF(AND($K1300=1,ISNUMBER($L1300),$L1300&lt;$J1300,COUNTIFS(nrES_PID,$D1300,nrES_Code,$F1300,nrES_Att,2,nrES_Raw,"&gt;=0")=0),"Yes","No")))</f>
        <v/>
      </c>
      <c r="R1300" s="17">
        <f>IF($C1300="","",IF($L1300="","",IF(AND(N($K1300)&gt;=2,ISNUMBER($L1300),$L1300&lt;$J1300),"Yes","No")))</f>
        <v/>
      </c>
      <c r="S1300" s="18" t="n"/>
      <c r="T1300" s="19">
        <f>IF(OR($C1300="",$L1300="",$K1300&lt;&gt;1,NOT(ISNUMBER($L1300)),$L1300&gt;=$J1300),"",IF($S1300="","(enter date)",_xlfn.LET(_xlpm.dn,_xlfn.XLOOKUP($S1300,nrCDdate,nrCDnum,"",1),IF(_xlpm.dn="","(after last class day)",_xlfn.LET(_xlpm.dd,_xlfn.XLOOKUP(_xlpm.dn+cfgRetestClassDays,nrCDnum,nrCDdate,""),_xlpm.ok,_xlfn.XLOOKUP(_xlpm.dn+cfgRetestClassDays,nrCDnum,nrCDinsession,"No"),IF(OR(_xlpm.dd="",_xlpm.ok&lt;&gt;"Yes"),"(after last class day)",_xlpm.dd))))))</f>
        <v/>
      </c>
      <c r="U1300" s="17">
        <f>IF($C1300="","",IF(AND($Y1300="Excused",$L1300="",N($K1300)&lt;=1),"EXCUSED - 1st attempt pending",IF(OR($L1300="",$K1300&lt;&gt;1,NOT(ISNUMBER($L1300)),$L1300&gt;=$J1300),"",IF(COUNTIFS(nrES_PID,$D1300,nrES_Code,$F1300,nrES_Att,2,nrES_Raw,"&gt;=0")&gt;0,IF(IFERROR(_xlfn.MINIFS(nrES_Date,nrES_PID,$D1300,nrES_Code,$F1300,nrES_Att,2,nrES_Raw,"&gt;=0",nrES_Date,"&gt;0"),0)=0,"RETEST UNDATED",IF(NOT(ISNUMBER($T1300)),"RETEST DATE UNCHECKED",IF(_xlfn.MINIFS(nrES_Date,nrES_PID,$D1300,nrES_Code,$F1300,nrES_Att,2,nrES_Raw,"&gt;=0",nrES_Date,"&gt;0")&gt;$T1300,"LATE RETEST "&amp;TEXT(_xlfn.MINIFS(nrES_Date,nrES_PID,$D1300,nrES_Code,$F1300,nrES_Att,2,nrES_Raw,"&gt;=0",nrES_Date,"&gt;0"),"mm/dd")&amp;" (due "&amp;TEXT($T1300,"mm/dd")&amp;")","Retested"))),IF(NOT(ISNUMBER($T1300)),"CHECK DATE",IF(TODAY()&gt;$T1300,"OVERDUE","Due "&amp;TEXT($T1300,"mm/dd")))))))</f>
        <v/>
      </c>
      <c r="V1300" s="16" t="n"/>
      <c r="W1300" s="16" t="n"/>
      <c r="X1300" s="17">
        <f>IF($C1300="","",IF(AND($L1300&lt;&gt;"",NOT(ISNUMBER($L1300))),"RAW SCORE NOT A NUMBER",IF(AND(ISNUMBER($L1300),OR($L1300&lt;0,$L1300&gt;100)),"RAW SCORE OUT OF RANGE",IF(AND($Y1300="Unexcused",OR($L1300="",NOT(ISNUMBER($L1300)),$L1300&lt;&gt;0)),"UNEXCUSED ABSENCE MUST RECORD 0",IF(COUNTIF(nrES_RecID,$B1300)&gt;1,"DUPLICATE RECORD",IF(N($K1300)&gt;2,"ATTEMPT 3+ NOT ALLOWED - policy 300.5 permits one retest per exam; this row records nothing",IF(AND($K1300=2,COUNTIFS(nrES_PID,$D1300,nrES_Code,$F1300,nrES_Att,1)=0),"ATTEMPT 2 WITHOUT ATTEMPT 1",IF(AND($K1300=2,$L1300=""),"RETEST ROW HAS NO SCORE",IF(AND($H1300="Final",$L1300&lt;&gt;"",IFERROR(INDEX(nrCKfinalExamElig,MATCH($D1300,rngCadetPIDs,0)),"")="No"),"FINAL EXAM AFTER FAILED FINAL PT (500.1.H)",IF(AND($K1300=2,ISNUMBER($L1300),COUNTIFS(nrES_PID,$D1300,nrES_Code,$F1300,nrES_Att,1)&gt;0,SUMIFS(nrES_Raw,nrES_PID,$D1300,nrES_Code,$F1300,nrES_Att,1)&gt;=$J1300),"RETEST AFTER A PASSING FIRST ATTEMPT","OK"))))))))))</f>
        <v/>
      </c>
      <c r="Y1300" s="16" t="n"/>
    </row>
    <row r="1301">
      <c r="B1301" s="17">
        <f>IF($C1301="","",$D1301&amp;"-"&amp;$F1301&amp;"-"&amp;$K1301)</f>
        <v/>
      </c>
      <c r="C1301" s="16" t="n"/>
      <c r="D1301" s="17">
        <f>IF($C1301="","",IFERROR(INDEX(rngCadetPIDs,MATCH($C1301,rngCadetNames,0)),"?"))</f>
        <v/>
      </c>
      <c r="E1301" s="17">
        <f>IF($D1301="","",IFERROR(INDEX(nrCadetAgency,MATCH($D1301,rngCadetPIDs,0)),""))</f>
        <v/>
      </c>
      <c r="F1301" s="16" t="n"/>
      <c r="G1301" s="17">
        <f>IF($F1301="","",IFERROR(INDEX(rngEPname,MATCH($F1301,rngEPcode,0)),"?"))</f>
        <v/>
      </c>
      <c r="H1301" s="17">
        <f>IF($F1301="","",IFERROR(INDEX(rngEPtype,MATCH($F1301,rngEPcode,0)),"?"))</f>
        <v/>
      </c>
      <c r="I1301" s="17">
        <f>IF($F1301="","",IFERROR(INDEX(rngEPseq,MATCH($F1301,rngEPcode,0)),""))</f>
        <v/>
      </c>
      <c r="J1301" s="17">
        <f>IF($F1301="","",IFERROR(INDEX(rngEPpass,MATCH($F1301,rngEPcode,0)),cfgPassingScore))</f>
        <v/>
      </c>
      <c r="K1301" s="16" t="n"/>
      <c r="L1301" s="16" t="n"/>
      <c r="M1301" s="17">
        <f>IF($C1301="","",IF($L1301="","",IF(NOT(ISNUMBER($L1301)),$L1301,IF(N($K1301)&gt;2,"",IF($K1301=1,IF(COUNTIFS(nrES_PID,$D1301,nrES_Code,$F1301,nrES_Att,2,nrES_Raw,"&gt;=0")&gt;0,"",$L1301),IF($L1301&gt;=$J1301,MAX($J1301,cfgRetakeRecordedCap),IF(COUNTIFS(nrES_PID,$D1301,nrES_Code,$F1301,nrES_Att,1)=0,$L1301,SUMIFS(nrES_Raw,nrES_PID,$D1301,nrES_Code,$F1301,nrES_Att,1))))))))</f>
        <v/>
      </c>
      <c r="N1301" s="17">
        <f>IF($C1301="","",IF($L1301="","",IF(NOT(ISNUMBER($L1301)),"(not a score)",IF($L1301&gt;=$J1301,"Yes","No"))))</f>
        <v/>
      </c>
      <c r="O1301" s="17">
        <f>IF($C1301="","",IF($M1301="","",IF(NOT(ISNUMBER($M1301)),"(not a score)",IF($M1301&gt;=$J1301,"Yes","No"))))</f>
        <v/>
      </c>
      <c r="P1301" s="17">
        <f>IF($C1301="","",IF($K1301="","",IF(N($K1301)&gt;2,"No",IF(COUNTIFS(nrES_PID,$D1301,nrES_Code,$F1301,nrES_Att,"&gt;"&amp;$K1301,nrES_Att,"&lt;=2",nrES_Raw,"&gt;=0")=0,"Yes","No"))))</f>
        <v/>
      </c>
      <c r="Q1301" s="17">
        <f>IF($C1301="","",IF($L1301="","",IF(AND($K1301=1,ISNUMBER($L1301),$L1301&lt;$J1301,COUNTIFS(nrES_PID,$D1301,nrES_Code,$F1301,nrES_Att,2,nrES_Raw,"&gt;=0")=0),"Yes","No")))</f>
        <v/>
      </c>
      <c r="R1301" s="17">
        <f>IF($C1301="","",IF($L1301="","",IF(AND(N($K1301)&gt;=2,ISNUMBER($L1301),$L1301&lt;$J1301),"Yes","No")))</f>
        <v/>
      </c>
      <c r="S1301" s="18" t="n"/>
      <c r="T1301" s="19">
        <f>IF(OR($C1301="",$L1301="",$K1301&lt;&gt;1,NOT(ISNUMBER($L1301)),$L1301&gt;=$J1301),"",IF($S1301="","(enter date)",_xlfn.LET(_xlpm.dn,_xlfn.XLOOKUP($S1301,nrCDdate,nrCDnum,"",1),IF(_xlpm.dn="","(after last class day)",_xlfn.LET(_xlpm.dd,_xlfn.XLOOKUP(_xlpm.dn+cfgRetestClassDays,nrCDnum,nrCDdate,""),_xlpm.ok,_xlfn.XLOOKUP(_xlpm.dn+cfgRetestClassDays,nrCDnum,nrCDinsession,"No"),IF(OR(_xlpm.dd="",_xlpm.ok&lt;&gt;"Yes"),"(after last class day)",_xlpm.dd))))))</f>
        <v/>
      </c>
      <c r="U1301" s="17">
        <f>IF($C1301="","",IF(AND($Y1301="Excused",$L1301="",N($K1301)&lt;=1),"EXCUSED - 1st attempt pending",IF(OR($L1301="",$K1301&lt;&gt;1,NOT(ISNUMBER($L1301)),$L1301&gt;=$J1301),"",IF(COUNTIFS(nrES_PID,$D1301,nrES_Code,$F1301,nrES_Att,2,nrES_Raw,"&gt;=0")&gt;0,IF(IFERROR(_xlfn.MINIFS(nrES_Date,nrES_PID,$D1301,nrES_Code,$F1301,nrES_Att,2,nrES_Raw,"&gt;=0",nrES_Date,"&gt;0"),0)=0,"RETEST UNDATED",IF(NOT(ISNUMBER($T1301)),"RETEST DATE UNCHECKED",IF(_xlfn.MINIFS(nrES_Date,nrES_PID,$D1301,nrES_Code,$F1301,nrES_Att,2,nrES_Raw,"&gt;=0",nrES_Date,"&gt;0")&gt;$T1301,"LATE RETEST "&amp;TEXT(_xlfn.MINIFS(nrES_Date,nrES_PID,$D1301,nrES_Code,$F1301,nrES_Att,2,nrES_Raw,"&gt;=0",nrES_Date,"&gt;0"),"mm/dd")&amp;" (due "&amp;TEXT($T1301,"mm/dd")&amp;")","Retested"))),IF(NOT(ISNUMBER($T1301)),"CHECK DATE",IF(TODAY()&gt;$T1301,"OVERDUE","Due "&amp;TEXT($T1301,"mm/dd")))))))</f>
        <v/>
      </c>
      <c r="V1301" s="16" t="n"/>
      <c r="W1301" s="16" t="n"/>
      <c r="X1301" s="17">
        <f>IF($C1301="","",IF(AND($L1301&lt;&gt;"",NOT(ISNUMBER($L1301))),"RAW SCORE NOT A NUMBER",IF(AND(ISNUMBER($L1301),OR($L1301&lt;0,$L1301&gt;100)),"RAW SCORE OUT OF RANGE",IF(AND($Y1301="Unexcused",OR($L1301="",NOT(ISNUMBER($L1301)),$L1301&lt;&gt;0)),"UNEXCUSED ABSENCE MUST RECORD 0",IF(COUNTIF(nrES_RecID,$B1301)&gt;1,"DUPLICATE RECORD",IF(N($K1301)&gt;2,"ATTEMPT 3+ NOT ALLOWED - policy 300.5 permits one retest per exam; this row records nothing",IF(AND($K1301=2,COUNTIFS(nrES_PID,$D1301,nrES_Code,$F1301,nrES_Att,1)=0),"ATTEMPT 2 WITHOUT ATTEMPT 1",IF(AND($K1301=2,$L1301=""),"RETEST ROW HAS NO SCORE",IF(AND($H1301="Final",$L1301&lt;&gt;"",IFERROR(INDEX(nrCKfinalExamElig,MATCH($D1301,rngCadetPIDs,0)),"")="No"),"FINAL EXAM AFTER FAILED FINAL PT (500.1.H)",IF(AND($K1301=2,ISNUMBER($L1301),COUNTIFS(nrES_PID,$D1301,nrES_Code,$F1301,nrES_Att,1)&gt;0,SUMIFS(nrES_Raw,nrES_PID,$D1301,nrES_Code,$F1301,nrES_Att,1)&gt;=$J1301),"RETEST AFTER A PASSING FIRST ATTEMPT","OK"))))))))))</f>
        <v/>
      </c>
      <c r="Y1301" s="16" t="n"/>
    </row>
    <row r="1302">
      <c r="B1302" s="17">
        <f>IF($C1302="","",$D1302&amp;"-"&amp;$F1302&amp;"-"&amp;$K1302)</f>
        <v/>
      </c>
      <c r="C1302" s="16" t="n"/>
      <c r="D1302" s="17">
        <f>IF($C1302="","",IFERROR(INDEX(rngCadetPIDs,MATCH($C1302,rngCadetNames,0)),"?"))</f>
        <v/>
      </c>
      <c r="E1302" s="17">
        <f>IF($D1302="","",IFERROR(INDEX(nrCadetAgency,MATCH($D1302,rngCadetPIDs,0)),""))</f>
        <v/>
      </c>
      <c r="F1302" s="16" t="n"/>
      <c r="G1302" s="17">
        <f>IF($F1302="","",IFERROR(INDEX(rngEPname,MATCH($F1302,rngEPcode,0)),"?"))</f>
        <v/>
      </c>
      <c r="H1302" s="17">
        <f>IF($F1302="","",IFERROR(INDEX(rngEPtype,MATCH($F1302,rngEPcode,0)),"?"))</f>
        <v/>
      </c>
      <c r="I1302" s="17">
        <f>IF($F1302="","",IFERROR(INDEX(rngEPseq,MATCH($F1302,rngEPcode,0)),""))</f>
        <v/>
      </c>
      <c r="J1302" s="17">
        <f>IF($F1302="","",IFERROR(INDEX(rngEPpass,MATCH($F1302,rngEPcode,0)),cfgPassingScore))</f>
        <v/>
      </c>
      <c r="K1302" s="16" t="n"/>
      <c r="L1302" s="16" t="n"/>
      <c r="M1302" s="17">
        <f>IF($C1302="","",IF($L1302="","",IF(NOT(ISNUMBER($L1302)),$L1302,IF(N($K1302)&gt;2,"",IF($K1302=1,IF(COUNTIFS(nrES_PID,$D1302,nrES_Code,$F1302,nrES_Att,2,nrES_Raw,"&gt;=0")&gt;0,"",$L1302),IF($L1302&gt;=$J1302,MAX($J1302,cfgRetakeRecordedCap),IF(COUNTIFS(nrES_PID,$D1302,nrES_Code,$F1302,nrES_Att,1)=0,$L1302,SUMIFS(nrES_Raw,nrES_PID,$D1302,nrES_Code,$F1302,nrES_Att,1))))))))</f>
        <v/>
      </c>
      <c r="N1302" s="17">
        <f>IF($C1302="","",IF($L1302="","",IF(NOT(ISNUMBER($L1302)),"(not a score)",IF($L1302&gt;=$J1302,"Yes","No"))))</f>
        <v/>
      </c>
      <c r="O1302" s="17">
        <f>IF($C1302="","",IF($M1302="","",IF(NOT(ISNUMBER($M1302)),"(not a score)",IF($M1302&gt;=$J1302,"Yes","No"))))</f>
        <v/>
      </c>
      <c r="P1302" s="17">
        <f>IF($C1302="","",IF($K1302="","",IF(N($K1302)&gt;2,"No",IF(COUNTIFS(nrES_PID,$D1302,nrES_Code,$F1302,nrES_Att,"&gt;"&amp;$K1302,nrES_Att,"&lt;=2",nrES_Raw,"&gt;=0")=0,"Yes","No"))))</f>
        <v/>
      </c>
      <c r="Q1302" s="17">
        <f>IF($C1302="","",IF($L1302="","",IF(AND($K1302=1,ISNUMBER($L1302),$L1302&lt;$J1302,COUNTIFS(nrES_PID,$D1302,nrES_Code,$F1302,nrES_Att,2,nrES_Raw,"&gt;=0")=0),"Yes","No")))</f>
        <v/>
      </c>
      <c r="R1302" s="17">
        <f>IF($C1302="","",IF($L1302="","",IF(AND(N($K1302)&gt;=2,ISNUMBER($L1302),$L1302&lt;$J1302),"Yes","No")))</f>
        <v/>
      </c>
      <c r="S1302" s="18" t="n"/>
      <c r="T1302" s="19">
        <f>IF(OR($C1302="",$L1302="",$K1302&lt;&gt;1,NOT(ISNUMBER($L1302)),$L1302&gt;=$J1302),"",IF($S1302="","(enter date)",_xlfn.LET(_xlpm.dn,_xlfn.XLOOKUP($S1302,nrCDdate,nrCDnum,"",1),IF(_xlpm.dn="","(after last class day)",_xlfn.LET(_xlpm.dd,_xlfn.XLOOKUP(_xlpm.dn+cfgRetestClassDays,nrCDnum,nrCDdate,""),_xlpm.ok,_xlfn.XLOOKUP(_xlpm.dn+cfgRetestClassDays,nrCDnum,nrCDinsession,"No"),IF(OR(_xlpm.dd="",_xlpm.ok&lt;&gt;"Yes"),"(after last class day)",_xlpm.dd))))))</f>
        <v/>
      </c>
      <c r="U1302" s="17">
        <f>IF($C1302="","",IF(AND($Y1302="Excused",$L1302="",N($K1302)&lt;=1),"EXCUSED - 1st attempt pending",IF(OR($L1302="",$K1302&lt;&gt;1,NOT(ISNUMBER($L1302)),$L1302&gt;=$J1302),"",IF(COUNTIFS(nrES_PID,$D1302,nrES_Code,$F1302,nrES_Att,2,nrES_Raw,"&gt;=0")&gt;0,IF(IFERROR(_xlfn.MINIFS(nrES_Date,nrES_PID,$D1302,nrES_Code,$F1302,nrES_Att,2,nrES_Raw,"&gt;=0",nrES_Date,"&gt;0"),0)=0,"RETEST UNDATED",IF(NOT(ISNUMBER($T1302)),"RETEST DATE UNCHECKED",IF(_xlfn.MINIFS(nrES_Date,nrES_PID,$D1302,nrES_Code,$F1302,nrES_Att,2,nrES_Raw,"&gt;=0",nrES_Date,"&gt;0")&gt;$T1302,"LATE RETEST "&amp;TEXT(_xlfn.MINIFS(nrES_Date,nrES_PID,$D1302,nrES_Code,$F1302,nrES_Att,2,nrES_Raw,"&gt;=0",nrES_Date,"&gt;0"),"mm/dd")&amp;" (due "&amp;TEXT($T1302,"mm/dd")&amp;")","Retested"))),IF(NOT(ISNUMBER($T1302)),"CHECK DATE",IF(TODAY()&gt;$T1302,"OVERDUE","Due "&amp;TEXT($T1302,"mm/dd")))))))</f>
        <v/>
      </c>
      <c r="V1302" s="16" t="n"/>
      <c r="W1302" s="16" t="n"/>
      <c r="X1302" s="17">
        <f>IF($C1302="","",IF(AND($L1302&lt;&gt;"",NOT(ISNUMBER($L1302))),"RAW SCORE NOT A NUMBER",IF(AND(ISNUMBER($L1302),OR($L1302&lt;0,$L1302&gt;100)),"RAW SCORE OUT OF RANGE",IF(AND($Y1302="Unexcused",OR($L1302="",NOT(ISNUMBER($L1302)),$L1302&lt;&gt;0)),"UNEXCUSED ABSENCE MUST RECORD 0",IF(COUNTIF(nrES_RecID,$B1302)&gt;1,"DUPLICATE RECORD",IF(N($K1302)&gt;2,"ATTEMPT 3+ NOT ALLOWED - policy 300.5 permits one retest per exam; this row records nothing",IF(AND($K1302=2,COUNTIFS(nrES_PID,$D1302,nrES_Code,$F1302,nrES_Att,1)=0),"ATTEMPT 2 WITHOUT ATTEMPT 1",IF(AND($K1302=2,$L1302=""),"RETEST ROW HAS NO SCORE",IF(AND($H1302="Final",$L1302&lt;&gt;"",IFERROR(INDEX(nrCKfinalExamElig,MATCH($D1302,rngCadetPIDs,0)),"")="No"),"FINAL EXAM AFTER FAILED FINAL PT (500.1.H)",IF(AND($K1302=2,ISNUMBER($L1302),COUNTIFS(nrES_PID,$D1302,nrES_Code,$F1302,nrES_Att,1)&gt;0,SUMIFS(nrES_Raw,nrES_PID,$D1302,nrES_Code,$F1302,nrES_Att,1)&gt;=$J1302),"RETEST AFTER A PASSING FIRST ATTEMPT","OK"))))))))))</f>
        <v/>
      </c>
      <c r="Y1302" s="16" t="n"/>
    </row>
    <row r="1303">
      <c r="B1303" s="17">
        <f>IF($C1303="","",$D1303&amp;"-"&amp;$F1303&amp;"-"&amp;$K1303)</f>
        <v/>
      </c>
      <c r="C1303" s="16" t="n"/>
      <c r="D1303" s="17">
        <f>IF($C1303="","",IFERROR(INDEX(rngCadetPIDs,MATCH($C1303,rngCadetNames,0)),"?"))</f>
        <v/>
      </c>
      <c r="E1303" s="17">
        <f>IF($D1303="","",IFERROR(INDEX(nrCadetAgency,MATCH($D1303,rngCadetPIDs,0)),""))</f>
        <v/>
      </c>
      <c r="F1303" s="16" t="n"/>
      <c r="G1303" s="17">
        <f>IF($F1303="","",IFERROR(INDEX(rngEPname,MATCH($F1303,rngEPcode,0)),"?"))</f>
        <v/>
      </c>
      <c r="H1303" s="17">
        <f>IF($F1303="","",IFERROR(INDEX(rngEPtype,MATCH($F1303,rngEPcode,0)),"?"))</f>
        <v/>
      </c>
      <c r="I1303" s="17">
        <f>IF($F1303="","",IFERROR(INDEX(rngEPseq,MATCH($F1303,rngEPcode,0)),""))</f>
        <v/>
      </c>
      <c r="J1303" s="17">
        <f>IF($F1303="","",IFERROR(INDEX(rngEPpass,MATCH($F1303,rngEPcode,0)),cfgPassingScore))</f>
        <v/>
      </c>
      <c r="K1303" s="16" t="n"/>
      <c r="L1303" s="16" t="n"/>
      <c r="M1303" s="17">
        <f>IF($C1303="","",IF($L1303="","",IF(NOT(ISNUMBER($L1303)),$L1303,IF(N($K1303)&gt;2,"",IF($K1303=1,IF(COUNTIFS(nrES_PID,$D1303,nrES_Code,$F1303,nrES_Att,2,nrES_Raw,"&gt;=0")&gt;0,"",$L1303),IF($L1303&gt;=$J1303,MAX($J1303,cfgRetakeRecordedCap),IF(COUNTIFS(nrES_PID,$D1303,nrES_Code,$F1303,nrES_Att,1)=0,$L1303,SUMIFS(nrES_Raw,nrES_PID,$D1303,nrES_Code,$F1303,nrES_Att,1))))))))</f>
        <v/>
      </c>
      <c r="N1303" s="17">
        <f>IF($C1303="","",IF($L1303="","",IF(NOT(ISNUMBER($L1303)),"(not a score)",IF($L1303&gt;=$J1303,"Yes","No"))))</f>
        <v/>
      </c>
      <c r="O1303" s="17">
        <f>IF($C1303="","",IF($M1303="","",IF(NOT(ISNUMBER($M1303)),"(not a score)",IF($M1303&gt;=$J1303,"Yes","No"))))</f>
        <v/>
      </c>
      <c r="P1303" s="17">
        <f>IF($C1303="","",IF($K1303="","",IF(N($K1303)&gt;2,"No",IF(COUNTIFS(nrES_PID,$D1303,nrES_Code,$F1303,nrES_Att,"&gt;"&amp;$K1303,nrES_Att,"&lt;=2",nrES_Raw,"&gt;=0")=0,"Yes","No"))))</f>
        <v/>
      </c>
      <c r="Q1303" s="17">
        <f>IF($C1303="","",IF($L1303="","",IF(AND($K1303=1,ISNUMBER($L1303),$L1303&lt;$J1303,COUNTIFS(nrES_PID,$D1303,nrES_Code,$F1303,nrES_Att,2,nrES_Raw,"&gt;=0")=0),"Yes","No")))</f>
        <v/>
      </c>
      <c r="R1303" s="17">
        <f>IF($C1303="","",IF($L1303="","",IF(AND(N($K1303)&gt;=2,ISNUMBER($L1303),$L1303&lt;$J1303),"Yes","No")))</f>
        <v/>
      </c>
      <c r="S1303" s="18" t="n"/>
      <c r="T1303" s="19">
        <f>IF(OR($C1303="",$L1303="",$K1303&lt;&gt;1,NOT(ISNUMBER($L1303)),$L1303&gt;=$J1303),"",IF($S1303="","(enter date)",_xlfn.LET(_xlpm.dn,_xlfn.XLOOKUP($S1303,nrCDdate,nrCDnum,"",1),IF(_xlpm.dn="","(after last class day)",_xlfn.LET(_xlpm.dd,_xlfn.XLOOKUP(_xlpm.dn+cfgRetestClassDays,nrCDnum,nrCDdate,""),_xlpm.ok,_xlfn.XLOOKUP(_xlpm.dn+cfgRetestClassDays,nrCDnum,nrCDinsession,"No"),IF(OR(_xlpm.dd="",_xlpm.ok&lt;&gt;"Yes"),"(after last class day)",_xlpm.dd))))))</f>
        <v/>
      </c>
      <c r="U1303" s="17">
        <f>IF($C1303="","",IF(AND($Y1303="Excused",$L1303="",N($K1303)&lt;=1),"EXCUSED - 1st attempt pending",IF(OR($L1303="",$K1303&lt;&gt;1,NOT(ISNUMBER($L1303)),$L1303&gt;=$J1303),"",IF(COUNTIFS(nrES_PID,$D1303,nrES_Code,$F1303,nrES_Att,2,nrES_Raw,"&gt;=0")&gt;0,IF(IFERROR(_xlfn.MINIFS(nrES_Date,nrES_PID,$D1303,nrES_Code,$F1303,nrES_Att,2,nrES_Raw,"&gt;=0",nrES_Date,"&gt;0"),0)=0,"RETEST UNDATED",IF(NOT(ISNUMBER($T1303)),"RETEST DATE UNCHECKED",IF(_xlfn.MINIFS(nrES_Date,nrES_PID,$D1303,nrES_Code,$F1303,nrES_Att,2,nrES_Raw,"&gt;=0",nrES_Date,"&gt;0")&gt;$T1303,"LATE RETEST "&amp;TEXT(_xlfn.MINIFS(nrES_Date,nrES_PID,$D1303,nrES_Code,$F1303,nrES_Att,2,nrES_Raw,"&gt;=0",nrES_Date,"&gt;0"),"mm/dd")&amp;" (due "&amp;TEXT($T1303,"mm/dd")&amp;")","Retested"))),IF(NOT(ISNUMBER($T1303)),"CHECK DATE",IF(TODAY()&gt;$T1303,"OVERDUE","Due "&amp;TEXT($T1303,"mm/dd")))))))</f>
        <v/>
      </c>
      <c r="V1303" s="16" t="n"/>
      <c r="W1303" s="16" t="n"/>
      <c r="X1303" s="17">
        <f>IF($C1303="","",IF(AND($L1303&lt;&gt;"",NOT(ISNUMBER($L1303))),"RAW SCORE NOT A NUMBER",IF(AND(ISNUMBER($L1303),OR($L1303&lt;0,$L1303&gt;100)),"RAW SCORE OUT OF RANGE",IF(AND($Y1303="Unexcused",OR($L1303="",NOT(ISNUMBER($L1303)),$L1303&lt;&gt;0)),"UNEXCUSED ABSENCE MUST RECORD 0",IF(COUNTIF(nrES_RecID,$B1303)&gt;1,"DUPLICATE RECORD",IF(N($K1303)&gt;2,"ATTEMPT 3+ NOT ALLOWED - policy 300.5 permits one retest per exam; this row records nothing",IF(AND($K1303=2,COUNTIFS(nrES_PID,$D1303,nrES_Code,$F1303,nrES_Att,1)=0),"ATTEMPT 2 WITHOUT ATTEMPT 1",IF(AND($K1303=2,$L1303=""),"RETEST ROW HAS NO SCORE",IF(AND($H1303="Final",$L1303&lt;&gt;"",IFERROR(INDEX(nrCKfinalExamElig,MATCH($D1303,rngCadetPIDs,0)),"")="No"),"FINAL EXAM AFTER FAILED FINAL PT (500.1.H)",IF(AND($K1303=2,ISNUMBER($L1303),COUNTIFS(nrES_PID,$D1303,nrES_Code,$F1303,nrES_Att,1)&gt;0,SUMIFS(nrES_Raw,nrES_PID,$D1303,nrES_Code,$F1303,nrES_Att,1)&gt;=$J1303),"RETEST AFTER A PASSING FIRST ATTEMPT","OK"))))))))))</f>
        <v/>
      </c>
      <c r="Y1303" s="16" t="n"/>
    </row>
    <row r="1304">
      <c r="B1304" s="17">
        <f>IF($C1304="","",$D1304&amp;"-"&amp;$F1304&amp;"-"&amp;$K1304)</f>
        <v/>
      </c>
      <c r="C1304" s="16" t="n"/>
      <c r="D1304" s="17">
        <f>IF($C1304="","",IFERROR(INDEX(rngCadetPIDs,MATCH($C1304,rngCadetNames,0)),"?"))</f>
        <v/>
      </c>
      <c r="E1304" s="17">
        <f>IF($D1304="","",IFERROR(INDEX(nrCadetAgency,MATCH($D1304,rngCadetPIDs,0)),""))</f>
        <v/>
      </c>
      <c r="F1304" s="16" t="n"/>
      <c r="G1304" s="17">
        <f>IF($F1304="","",IFERROR(INDEX(rngEPname,MATCH($F1304,rngEPcode,0)),"?"))</f>
        <v/>
      </c>
      <c r="H1304" s="17">
        <f>IF($F1304="","",IFERROR(INDEX(rngEPtype,MATCH($F1304,rngEPcode,0)),"?"))</f>
        <v/>
      </c>
      <c r="I1304" s="17">
        <f>IF($F1304="","",IFERROR(INDEX(rngEPseq,MATCH($F1304,rngEPcode,0)),""))</f>
        <v/>
      </c>
      <c r="J1304" s="17">
        <f>IF($F1304="","",IFERROR(INDEX(rngEPpass,MATCH($F1304,rngEPcode,0)),cfgPassingScore))</f>
        <v/>
      </c>
      <c r="K1304" s="16" t="n"/>
      <c r="L1304" s="16" t="n"/>
      <c r="M1304" s="17">
        <f>IF($C1304="","",IF($L1304="","",IF(NOT(ISNUMBER($L1304)),$L1304,IF(N($K1304)&gt;2,"",IF($K1304=1,IF(COUNTIFS(nrES_PID,$D1304,nrES_Code,$F1304,nrES_Att,2,nrES_Raw,"&gt;=0")&gt;0,"",$L1304),IF($L1304&gt;=$J1304,MAX($J1304,cfgRetakeRecordedCap),IF(COUNTIFS(nrES_PID,$D1304,nrES_Code,$F1304,nrES_Att,1)=0,$L1304,SUMIFS(nrES_Raw,nrES_PID,$D1304,nrES_Code,$F1304,nrES_Att,1))))))))</f>
        <v/>
      </c>
      <c r="N1304" s="17">
        <f>IF($C1304="","",IF($L1304="","",IF(NOT(ISNUMBER($L1304)),"(not a score)",IF($L1304&gt;=$J1304,"Yes","No"))))</f>
        <v/>
      </c>
      <c r="O1304" s="17">
        <f>IF($C1304="","",IF($M1304="","",IF(NOT(ISNUMBER($M1304)),"(not a score)",IF($M1304&gt;=$J1304,"Yes","No"))))</f>
        <v/>
      </c>
      <c r="P1304" s="17">
        <f>IF($C1304="","",IF($K1304="","",IF(N($K1304)&gt;2,"No",IF(COUNTIFS(nrES_PID,$D1304,nrES_Code,$F1304,nrES_Att,"&gt;"&amp;$K1304,nrES_Att,"&lt;=2",nrES_Raw,"&gt;=0")=0,"Yes","No"))))</f>
        <v/>
      </c>
      <c r="Q1304" s="17">
        <f>IF($C1304="","",IF($L1304="","",IF(AND($K1304=1,ISNUMBER($L1304),$L1304&lt;$J1304,COUNTIFS(nrES_PID,$D1304,nrES_Code,$F1304,nrES_Att,2,nrES_Raw,"&gt;=0")=0),"Yes","No")))</f>
        <v/>
      </c>
      <c r="R1304" s="17">
        <f>IF($C1304="","",IF($L1304="","",IF(AND(N($K1304)&gt;=2,ISNUMBER($L1304),$L1304&lt;$J1304),"Yes","No")))</f>
        <v/>
      </c>
      <c r="S1304" s="18" t="n"/>
      <c r="T1304" s="19">
        <f>IF(OR($C1304="",$L1304="",$K1304&lt;&gt;1,NOT(ISNUMBER($L1304)),$L1304&gt;=$J1304),"",IF($S1304="","(enter date)",_xlfn.LET(_xlpm.dn,_xlfn.XLOOKUP($S1304,nrCDdate,nrCDnum,"",1),IF(_xlpm.dn="","(after last class day)",_xlfn.LET(_xlpm.dd,_xlfn.XLOOKUP(_xlpm.dn+cfgRetestClassDays,nrCDnum,nrCDdate,""),_xlpm.ok,_xlfn.XLOOKUP(_xlpm.dn+cfgRetestClassDays,nrCDnum,nrCDinsession,"No"),IF(OR(_xlpm.dd="",_xlpm.ok&lt;&gt;"Yes"),"(after last class day)",_xlpm.dd))))))</f>
        <v/>
      </c>
      <c r="U1304" s="17">
        <f>IF($C1304="","",IF(AND($Y1304="Excused",$L1304="",N($K1304)&lt;=1),"EXCUSED - 1st attempt pending",IF(OR($L1304="",$K1304&lt;&gt;1,NOT(ISNUMBER($L1304)),$L1304&gt;=$J1304),"",IF(COUNTIFS(nrES_PID,$D1304,nrES_Code,$F1304,nrES_Att,2,nrES_Raw,"&gt;=0")&gt;0,IF(IFERROR(_xlfn.MINIFS(nrES_Date,nrES_PID,$D1304,nrES_Code,$F1304,nrES_Att,2,nrES_Raw,"&gt;=0",nrES_Date,"&gt;0"),0)=0,"RETEST UNDATED",IF(NOT(ISNUMBER($T1304)),"RETEST DATE UNCHECKED",IF(_xlfn.MINIFS(nrES_Date,nrES_PID,$D1304,nrES_Code,$F1304,nrES_Att,2,nrES_Raw,"&gt;=0",nrES_Date,"&gt;0")&gt;$T1304,"LATE RETEST "&amp;TEXT(_xlfn.MINIFS(nrES_Date,nrES_PID,$D1304,nrES_Code,$F1304,nrES_Att,2,nrES_Raw,"&gt;=0",nrES_Date,"&gt;0"),"mm/dd")&amp;" (due "&amp;TEXT($T1304,"mm/dd")&amp;")","Retested"))),IF(NOT(ISNUMBER($T1304)),"CHECK DATE",IF(TODAY()&gt;$T1304,"OVERDUE","Due "&amp;TEXT($T1304,"mm/dd")))))))</f>
        <v/>
      </c>
      <c r="V1304" s="16" t="n"/>
      <c r="W1304" s="16" t="n"/>
      <c r="X1304" s="17">
        <f>IF($C1304="","",IF(AND($L1304&lt;&gt;"",NOT(ISNUMBER($L1304))),"RAW SCORE NOT A NUMBER",IF(AND(ISNUMBER($L1304),OR($L1304&lt;0,$L1304&gt;100)),"RAW SCORE OUT OF RANGE",IF(AND($Y1304="Unexcused",OR($L1304="",NOT(ISNUMBER($L1304)),$L1304&lt;&gt;0)),"UNEXCUSED ABSENCE MUST RECORD 0",IF(COUNTIF(nrES_RecID,$B1304)&gt;1,"DUPLICATE RECORD",IF(N($K1304)&gt;2,"ATTEMPT 3+ NOT ALLOWED - policy 300.5 permits one retest per exam; this row records nothing",IF(AND($K1304=2,COUNTIFS(nrES_PID,$D1304,nrES_Code,$F1304,nrES_Att,1)=0),"ATTEMPT 2 WITHOUT ATTEMPT 1",IF(AND($K1304=2,$L1304=""),"RETEST ROW HAS NO SCORE",IF(AND($H1304="Final",$L1304&lt;&gt;"",IFERROR(INDEX(nrCKfinalExamElig,MATCH($D1304,rngCadetPIDs,0)),"")="No"),"FINAL EXAM AFTER FAILED FINAL PT (500.1.H)",IF(AND($K1304=2,ISNUMBER($L1304),COUNTIFS(nrES_PID,$D1304,nrES_Code,$F1304,nrES_Att,1)&gt;0,SUMIFS(nrES_Raw,nrES_PID,$D1304,nrES_Code,$F1304,nrES_Att,1)&gt;=$J1304),"RETEST AFTER A PASSING FIRST ATTEMPT","OK"))))))))))</f>
        <v/>
      </c>
      <c r="Y1304" s="16" t="n"/>
    </row>
    <row r="1305">
      <c r="B1305" s="17">
        <f>IF($C1305="","",$D1305&amp;"-"&amp;$F1305&amp;"-"&amp;$K1305)</f>
        <v/>
      </c>
      <c r="C1305" s="16" t="n"/>
      <c r="D1305" s="17">
        <f>IF($C1305="","",IFERROR(INDEX(rngCadetPIDs,MATCH($C1305,rngCadetNames,0)),"?"))</f>
        <v/>
      </c>
      <c r="E1305" s="17">
        <f>IF($D1305="","",IFERROR(INDEX(nrCadetAgency,MATCH($D1305,rngCadetPIDs,0)),""))</f>
        <v/>
      </c>
      <c r="F1305" s="16" t="n"/>
      <c r="G1305" s="17">
        <f>IF($F1305="","",IFERROR(INDEX(rngEPname,MATCH($F1305,rngEPcode,0)),"?"))</f>
        <v/>
      </c>
      <c r="H1305" s="17">
        <f>IF($F1305="","",IFERROR(INDEX(rngEPtype,MATCH($F1305,rngEPcode,0)),"?"))</f>
        <v/>
      </c>
      <c r="I1305" s="17">
        <f>IF($F1305="","",IFERROR(INDEX(rngEPseq,MATCH($F1305,rngEPcode,0)),""))</f>
        <v/>
      </c>
      <c r="J1305" s="17">
        <f>IF($F1305="","",IFERROR(INDEX(rngEPpass,MATCH($F1305,rngEPcode,0)),cfgPassingScore))</f>
        <v/>
      </c>
      <c r="K1305" s="16" t="n"/>
      <c r="L1305" s="16" t="n"/>
      <c r="M1305" s="17">
        <f>IF($C1305="","",IF($L1305="","",IF(NOT(ISNUMBER($L1305)),$L1305,IF(N($K1305)&gt;2,"",IF($K1305=1,IF(COUNTIFS(nrES_PID,$D1305,nrES_Code,$F1305,nrES_Att,2,nrES_Raw,"&gt;=0")&gt;0,"",$L1305),IF($L1305&gt;=$J1305,MAX($J1305,cfgRetakeRecordedCap),IF(COUNTIFS(nrES_PID,$D1305,nrES_Code,$F1305,nrES_Att,1)=0,$L1305,SUMIFS(nrES_Raw,nrES_PID,$D1305,nrES_Code,$F1305,nrES_Att,1))))))))</f>
        <v/>
      </c>
      <c r="N1305" s="17">
        <f>IF($C1305="","",IF($L1305="","",IF(NOT(ISNUMBER($L1305)),"(not a score)",IF($L1305&gt;=$J1305,"Yes","No"))))</f>
        <v/>
      </c>
      <c r="O1305" s="17">
        <f>IF($C1305="","",IF($M1305="","",IF(NOT(ISNUMBER($M1305)),"(not a score)",IF($M1305&gt;=$J1305,"Yes","No"))))</f>
        <v/>
      </c>
      <c r="P1305" s="17">
        <f>IF($C1305="","",IF($K1305="","",IF(N($K1305)&gt;2,"No",IF(COUNTIFS(nrES_PID,$D1305,nrES_Code,$F1305,nrES_Att,"&gt;"&amp;$K1305,nrES_Att,"&lt;=2",nrES_Raw,"&gt;=0")=0,"Yes","No"))))</f>
        <v/>
      </c>
      <c r="Q1305" s="17">
        <f>IF($C1305="","",IF($L1305="","",IF(AND($K1305=1,ISNUMBER($L1305),$L1305&lt;$J1305,COUNTIFS(nrES_PID,$D1305,nrES_Code,$F1305,nrES_Att,2,nrES_Raw,"&gt;=0")=0),"Yes","No")))</f>
        <v/>
      </c>
      <c r="R1305" s="17">
        <f>IF($C1305="","",IF($L1305="","",IF(AND(N($K1305)&gt;=2,ISNUMBER($L1305),$L1305&lt;$J1305),"Yes","No")))</f>
        <v/>
      </c>
      <c r="S1305" s="18" t="n"/>
      <c r="T1305" s="19">
        <f>IF(OR($C1305="",$L1305="",$K1305&lt;&gt;1,NOT(ISNUMBER($L1305)),$L1305&gt;=$J1305),"",IF($S1305="","(enter date)",_xlfn.LET(_xlpm.dn,_xlfn.XLOOKUP($S1305,nrCDdate,nrCDnum,"",1),IF(_xlpm.dn="","(after last class day)",_xlfn.LET(_xlpm.dd,_xlfn.XLOOKUP(_xlpm.dn+cfgRetestClassDays,nrCDnum,nrCDdate,""),_xlpm.ok,_xlfn.XLOOKUP(_xlpm.dn+cfgRetestClassDays,nrCDnum,nrCDinsession,"No"),IF(OR(_xlpm.dd="",_xlpm.ok&lt;&gt;"Yes"),"(after last class day)",_xlpm.dd))))))</f>
        <v/>
      </c>
      <c r="U1305" s="17">
        <f>IF($C1305="","",IF(AND($Y1305="Excused",$L1305="",N($K1305)&lt;=1),"EXCUSED - 1st attempt pending",IF(OR($L1305="",$K1305&lt;&gt;1,NOT(ISNUMBER($L1305)),$L1305&gt;=$J1305),"",IF(COUNTIFS(nrES_PID,$D1305,nrES_Code,$F1305,nrES_Att,2,nrES_Raw,"&gt;=0")&gt;0,IF(IFERROR(_xlfn.MINIFS(nrES_Date,nrES_PID,$D1305,nrES_Code,$F1305,nrES_Att,2,nrES_Raw,"&gt;=0",nrES_Date,"&gt;0"),0)=0,"RETEST UNDATED",IF(NOT(ISNUMBER($T1305)),"RETEST DATE UNCHECKED",IF(_xlfn.MINIFS(nrES_Date,nrES_PID,$D1305,nrES_Code,$F1305,nrES_Att,2,nrES_Raw,"&gt;=0",nrES_Date,"&gt;0")&gt;$T1305,"LATE RETEST "&amp;TEXT(_xlfn.MINIFS(nrES_Date,nrES_PID,$D1305,nrES_Code,$F1305,nrES_Att,2,nrES_Raw,"&gt;=0",nrES_Date,"&gt;0"),"mm/dd")&amp;" (due "&amp;TEXT($T1305,"mm/dd")&amp;")","Retested"))),IF(NOT(ISNUMBER($T1305)),"CHECK DATE",IF(TODAY()&gt;$T1305,"OVERDUE","Due "&amp;TEXT($T1305,"mm/dd")))))))</f>
        <v/>
      </c>
      <c r="V1305" s="16" t="n"/>
      <c r="W1305" s="16" t="n"/>
      <c r="X1305" s="17">
        <f>IF($C1305="","",IF(AND($L1305&lt;&gt;"",NOT(ISNUMBER($L1305))),"RAW SCORE NOT A NUMBER",IF(AND(ISNUMBER($L1305),OR($L1305&lt;0,$L1305&gt;100)),"RAW SCORE OUT OF RANGE",IF(AND($Y1305="Unexcused",OR($L1305="",NOT(ISNUMBER($L1305)),$L1305&lt;&gt;0)),"UNEXCUSED ABSENCE MUST RECORD 0",IF(COUNTIF(nrES_RecID,$B1305)&gt;1,"DUPLICATE RECORD",IF(N($K1305)&gt;2,"ATTEMPT 3+ NOT ALLOWED - policy 300.5 permits one retest per exam; this row records nothing",IF(AND($K1305=2,COUNTIFS(nrES_PID,$D1305,nrES_Code,$F1305,nrES_Att,1)=0),"ATTEMPT 2 WITHOUT ATTEMPT 1",IF(AND($K1305=2,$L1305=""),"RETEST ROW HAS NO SCORE",IF(AND($H1305="Final",$L1305&lt;&gt;"",IFERROR(INDEX(nrCKfinalExamElig,MATCH($D1305,rngCadetPIDs,0)),"")="No"),"FINAL EXAM AFTER FAILED FINAL PT (500.1.H)",IF(AND($K1305=2,ISNUMBER($L1305),COUNTIFS(nrES_PID,$D1305,nrES_Code,$F1305,nrES_Att,1)&gt;0,SUMIFS(nrES_Raw,nrES_PID,$D1305,nrES_Code,$F1305,nrES_Att,1)&gt;=$J1305),"RETEST AFTER A PASSING FIRST ATTEMPT","OK"))))))))))</f>
        <v/>
      </c>
      <c r="Y1305" s="16" t="n"/>
    </row>
    <row r="1306">
      <c r="B1306" s="17">
        <f>IF($C1306="","",$D1306&amp;"-"&amp;$F1306&amp;"-"&amp;$K1306)</f>
        <v/>
      </c>
      <c r="C1306" s="16" t="n"/>
      <c r="D1306" s="17">
        <f>IF($C1306="","",IFERROR(INDEX(rngCadetPIDs,MATCH($C1306,rngCadetNames,0)),"?"))</f>
        <v/>
      </c>
      <c r="E1306" s="17">
        <f>IF($D1306="","",IFERROR(INDEX(nrCadetAgency,MATCH($D1306,rngCadetPIDs,0)),""))</f>
        <v/>
      </c>
      <c r="F1306" s="16" t="n"/>
      <c r="G1306" s="17">
        <f>IF($F1306="","",IFERROR(INDEX(rngEPname,MATCH($F1306,rngEPcode,0)),"?"))</f>
        <v/>
      </c>
      <c r="H1306" s="17">
        <f>IF($F1306="","",IFERROR(INDEX(rngEPtype,MATCH($F1306,rngEPcode,0)),"?"))</f>
        <v/>
      </c>
      <c r="I1306" s="17">
        <f>IF($F1306="","",IFERROR(INDEX(rngEPseq,MATCH($F1306,rngEPcode,0)),""))</f>
        <v/>
      </c>
      <c r="J1306" s="17">
        <f>IF($F1306="","",IFERROR(INDEX(rngEPpass,MATCH($F1306,rngEPcode,0)),cfgPassingScore))</f>
        <v/>
      </c>
      <c r="K1306" s="16" t="n"/>
      <c r="L1306" s="16" t="n"/>
      <c r="M1306" s="17">
        <f>IF($C1306="","",IF($L1306="","",IF(NOT(ISNUMBER($L1306)),$L1306,IF(N($K1306)&gt;2,"",IF($K1306=1,IF(COUNTIFS(nrES_PID,$D1306,nrES_Code,$F1306,nrES_Att,2,nrES_Raw,"&gt;=0")&gt;0,"",$L1306),IF($L1306&gt;=$J1306,MAX($J1306,cfgRetakeRecordedCap),IF(COUNTIFS(nrES_PID,$D1306,nrES_Code,$F1306,nrES_Att,1)=0,$L1306,SUMIFS(nrES_Raw,nrES_PID,$D1306,nrES_Code,$F1306,nrES_Att,1))))))))</f>
        <v/>
      </c>
      <c r="N1306" s="17">
        <f>IF($C1306="","",IF($L1306="","",IF(NOT(ISNUMBER($L1306)),"(not a score)",IF($L1306&gt;=$J1306,"Yes","No"))))</f>
        <v/>
      </c>
      <c r="O1306" s="17">
        <f>IF($C1306="","",IF($M1306="","",IF(NOT(ISNUMBER($M1306)),"(not a score)",IF($M1306&gt;=$J1306,"Yes","No"))))</f>
        <v/>
      </c>
      <c r="P1306" s="17">
        <f>IF($C1306="","",IF($K1306="","",IF(N($K1306)&gt;2,"No",IF(COUNTIFS(nrES_PID,$D1306,nrES_Code,$F1306,nrES_Att,"&gt;"&amp;$K1306,nrES_Att,"&lt;=2",nrES_Raw,"&gt;=0")=0,"Yes","No"))))</f>
        <v/>
      </c>
      <c r="Q1306" s="17">
        <f>IF($C1306="","",IF($L1306="","",IF(AND($K1306=1,ISNUMBER($L1306),$L1306&lt;$J1306,COUNTIFS(nrES_PID,$D1306,nrES_Code,$F1306,nrES_Att,2,nrES_Raw,"&gt;=0")=0),"Yes","No")))</f>
        <v/>
      </c>
      <c r="R1306" s="17">
        <f>IF($C1306="","",IF($L1306="","",IF(AND(N($K1306)&gt;=2,ISNUMBER($L1306),$L1306&lt;$J1306),"Yes","No")))</f>
        <v/>
      </c>
      <c r="S1306" s="18" t="n"/>
      <c r="T1306" s="19">
        <f>IF(OR($C1306="",$L1306="",$K1306&lt;&gt;1,NOT(ISNUMBER($L1306)),$L1306&gt;=$J1306),"",IF($S1306="","(enter date)",_xlfn.LET(_xlpm.dn,_xlfn.XLOOKUP($S1306,nrCDdate,nrCDnum,"",1),IF(_xlpm.dn="","(after last class day)",_xlfn.LET(_xlpm.dd,_xlfn.XLOOKUP(_xlpm.dn+cfgRetestClassDays,nrCDnum,nrCDdate,""),_xlpm.ok,_xlfn.XLOOKUP(_xlpm.dn+cfgRetestClassDays,nrCDnum,nrCDinsession,"No"),IF(OR(_xlpm.dd="",_xlpm.ok&lt;&gt;"Yes"),"(after last class day)",_xlpm.dd))))))</f>
        <v/>
      </c>
      <c r="U1306" s="17">
        <f>IF($C1306="","",IF(AND($Y1306="Excused",$L1306="",N($K1306)&lt;=1),"EXCUSED - 1st attempt pending",IF(OR($L1306="",$K1306&lt;&gt;1,NOT(ISNUMBER($L1306)),$L1306&gt;=$J1306),"",IF(COUNTIFS(nrES_PID,$D1306,nrES_Code,$F1306,nrES_Att,2,nrES_Raw,"&gt;=0")&gt;0,IF(IFERROR(_xlfn.MINIFS(nrES_Date,nrES_PID,$D1306,nrES_Code,$F1306,nrES_Att,2,nrES_Raw,"&gt;=0",nrES_Date,"&gt;0"),0)=0,"RETEST UNDATED",IF(NOT(ISNUMBER($T1306)),"RETEST DATE UNCHECKED",IF(_xlfn.MINIFS(nrES_Date,nrES_PID,$D1306,nrES_Code,$F1306,nrES_Att,2,nrES_Raw,"&gt;=0",nrES_Date,"&gt;0")&gt;$T1306,"LATE RETEST "&amp;TEXT(_xlfn.MINIFS(nrES_Date,nrES_PID,$D1306,nrES_Code,$F1306,nrES_Att,2,nrES_Raw,"&gt;=0",nrES_Date,"&gt;0"),"mm/dd")&amp;" (due "&amp;TEXT($T1306,"mm/dd")&amp;")","Retested"))),IF(NOT(ISNUMBER($T1306)),"CHECK DATE",IF(TODAY()&gt;$T1306,"OVERDUE","Due "&amp;TEXT($T1306,"mm/dd")))))))</f>
        <v/>
      </c>
      <c r="V1306" s="16" t="n"/>
      <c r="W1306" s="16" t="n"/>
      <c r="X1306" s="17">
        <f>IF($C1306="","",IF(AND($L1306&lt;&gt;"",NOT(ISNUMBER($L1306))),"RAW SCORE NOT A NUMBER",IF(AND(ISNUMBER($L1306),OR($L1306&lt;0,$L1306&gt;100)),"RAW SCORE OUT OF RANGE",IF(AND($Y1306="Unexcused",OR($L1306="",NOT(ISNUMBER($L1306)),$L1306&lt;&gt;0)),"UNEXCUSED ABSENCE MUST RECORD 0",IF(COUNTIF(nrES_RecID,$B1306)&gt;1,"DUPLICATE RECORD",IF(N($K1306)&gt;2,"ATTEMPT 3+ NOT ALLOWED - policy 300.5 permits one retest per exam; this row records nothing",IF(AND($K1306=2,COUNTIFS(nrES_PID,$D1306,nrES_Code,$F1306,nrES_Att,1)=0),"ATTEMPT 2 WITHOUT ATTEMPT 1",IF(AND($K1306=2,$L1306=""),"RETEST ROW HAS NO SCORE",IF(AND($H1306="Final",$L1306&lt;&gt;"",IFERROR(INDEX(nrCKfinalExamElig,MATCH($D1306,rngCadetPIDs,0)),"")="No"),"FINAL EXAM AFTER FAILED FINAL PT (500.1.H)",IF(AND($K1306=2,ISNUMBER($L1306),COUNTIFS(nrES_PID,$D1306,nrES_Code,$F1306,nrES_Att,1)&gt;0,SUMIFS(nrES_Raw,nrES_PID,$D1306,nrES_Code,$F1306,nrES_Att,1)&gt;=$J1306),"RETEST AFTER A PASSING FIRST ATTEMPT","OK"))))))))))</f>
        <v/>
      </c>
      <c r="Y1306" s="16" t="n"/>
    </row>
    <row r="1307">
      <c r="B1307" s="17">
        <f>IF($C1307="","",$D1307&amp;"-"&amp;$F1307&amp;"-"&amp;$K1307)</f>
        <v/>
      </c>
      <c r="C1307" s="16" t="n"/>
      <c r="D1307" s="17">
        <f>IF($C1307="","",IFERROR(INDEX(rngCadetPIDs,MATCH($C1307,rngCadetNames,0)),"?"))</f>
        <v/>
      </c>
      <c r="E1307" s="17">
        <f>IF($D1307="","",IFERROR(INDEX(nrCadetAgency,MATCH($D1307,rngCadetPIDs,0)),""))</f>
        <v/>
      </c>
      <c r="F1307" s="16" t="n"/>
      <c r="G1307" s="17">
        <f>IF($F1307="","",IFERROR(INDEX(rngEPname,MATCH($F1307,rngEPcode,0)),"?"))</f>
        <v/>
      </c>
      <c r="H1307" s="17">
        <f>IF($F1307="","",IFERROR(INDEX(rngEPtype,MATCH($F1307,rngEPcode,0)),"?"))</f>
        <v/>
      </c>
      <c r="I1307" s="17">
        <f>IF($F1307="","",IFERROR(INDEX(rngEPseq,MATCH($F1307,rngEPcode,0)),""))</f>
        <v/>
      </c>
      <c r="J1307" s="17">
        <f>IF($F1307="","",IFERROR(INDEX(rngEPpass,MATCH($F1307,rngEPcode,0)),cfgPassingScore))</f>
        <v/>
      </c>
      <c r="K1307" s="16" t="n"/>
      <c r="L1307" s="16" t="n"/>
      <c r="M1307" s="17">
        <f>IF($C1307="","",IF($L1307="","",IF(NOT(ISNUMBER($L1307)),$L1307,IF(N($K1307)&gt;2,"",IF($K1307=1,IF(COUNTIFS(nrES_PID,$D1307,nrES_Code,$F1307,nrES_Att,2,nrES_Raw,"&gt;=0")&gt;0,"",$L1307),IF($L1307&gt;=$J1307,MAX($J1307,cfgRetakeRecordedCap),IF(COUNTIFS(nrES_PID,$D1307,nrES_Code,$F1307,nrES_Att,1)=0,$L1307,SUMIFS(nrES_Raw,nrES_PID,$D1307,nrES_Code,$F1307,nrES_Att,1))))))))</f>
        <v/>
      </c>
      <c r="N1307" s="17">
        <f>IF($C1307="","",IF($L1307="","",IF(NOT(ISNUMBER($L1307)),"(not a score)",IF($L1307&gt;=$J1307,"Yes","No"))))</f>
        <v/>
      </c>
      <c r="O1307" s="17">
        <f>IF($C1307="","",IF($M1307="","",IF(NOT(ISNUMBER($M1307)),"(not a score)",IF($M1307&gt;=$J1307,"Yes","No"))))</f>
        <v/>
      </c>
      <c r="P1307" s="17">
        <f>IF($C1307="","",IF($K1307="","",IF(N($K1307)&gt;2,"No",IF(COUNTIFS(nrES_PID,$D1307,nrES_Code,$F1307,nrES_Att,"&gt;"&amp;$K1307,nrES_Att,"&lt;=2",nrES_Raw,"&gt;=0")=0,"Yes","No"))))</f>
        <v/>
      </c>
      <c r="Q1307" s="17">
        <f>IF($C1307="","",IF($L1307="","",IF(AND($K1307=1,ISNUMBER($L1307),$L1307&lt;$J1307,COUNTIFS(nrES_PID,$D1307,nrES_Code,$F1307,nrES_Att,2,nrES_Raw,"&gt;=0")=0),"Yes","No")))</f>
        <v/>
      </c>
      <c r="R1307" s="17">
        <f>IF($C1307="","",IF($L1307="","",IF(AND(N($K1307)&gt;=2,ISNUMBER($L1307),$L1307&lt;$J1307),"Yes","No")))</f>
        <v/>
      </c>
      <c r="S1307" s="18" t="n"/>
      <c r="T1307" s="19">
        <f>IF(OR($C1307="",$L1307="",$K1307&lt;&gt;1,NOT(ISNUMBER($L1307)),$L1307&gt;=$J1307),"",IF($S1307="","(enter date)",_xlfn.LET(_xlpm.dn,_xlfn.XLOOKUP($S1307,nrCDdate,nrCDnum,"",1),IF(_xlpm.dn="","(after last class day)",_xlfn.LET(_xlpm.dd,_xlfn.XLOOKUP(_xlpm.dn+cfgRetestClassDays,nrCDnum,nrCDdate,""),_xlpm.ok,_xlfn.XLOOKUP(_xlpm.dn+cfgRetestClassDays,nrCDnum,nrCDinsession,"No"),IF(OR(_xlpm.dd="",_xlpm.ok&lt;&gt;"Yes"),"(after last class day)",_xlpm.dd))))))</f>
        <v/>
      </c>
      <c r="U1307" s="17">
        <f>IF($C1307="","",IF(AND($Y1307="Excused",$L1307="",N($K1307)&lt;=1),"EXCUSED - 1st attempt pending",IF(OR($L1307="",$K1307&lt;&gt;1,NOT(ISNUMBER($L1307)),$L1307&gt;=$J1307),"",IF(COUNTIFS(nrES_PID,$D1307,nrES_Code,$F1307,nrES_Att,2,nrES_Raw,"&gt;=0")&gt;0,IF(IFERROR(_xlfn.MINIFS(nrES_Date,nrES_PID,$D1307,nrES_Code,$F1307,nrES_Att,2,nrES_Raw,"&gt;=0",nrES_Date,"&gt;0"),0)=0,"RETEST UNDATED",IF(NOT(ISNUMBER($T1307)),"RETEST DATE UNCHECKED",IF(_xlfn.MINIFS(nrES_Date,nrES_PID,$D1307,nrES_Code,$F1307,nrES_Att,2,nrES_Raw,"&gt;=0",nrES_Date,"&gt;0")&gt;$T1307,"LATE RETEST "&amp;TEXT(_xlfn.MINIFS(nrES_Date,nrES_PID,$D1307,nrES_Code,$F1307,nrES_Att,2,nrES_Raw,"&gt;=0",nrES_Date,"&gt;0"),"mm/dd")&amp;" (due "&amp;TEXT($T1307,"mm/dd")&amp;")","Retested"))),IF(NOT(ISNUMBER($T1307)),"CHECK DATE",IF(TODAY()&gt;$T1307,"OVERDUE","Due "&amp;TEXT($T1307,"mm/dd")))))))</f>
        <v/>
      </c>
      <c r="V1307" s="16" t="n"/>
      <c r="W1307" s="16" t="n"/>
      <c r="X1307" s="17">
        <f>IF($C1307="","",IF(AND($L1307&lt;&gt;"",NOT(ISNUMBER($L1307))),"RAW SCORE NOT A NUMBER",IF(AND(ISNUMBER($L1307),OR($L1307&lt;0,$L1307&gt;100)),"RAW SCORE OUT OF RANGE",IF(AND($Y1307="Unexcused",OR($L1307="",NOT(ISNUMBER($L1307)),$L1307&lt;&gt;0)),"UNEXCUSED ABSENCE MUST RECORD 0",IF(COUNTIF(nrES_RecID,$B1307)&gt;1,"DUPLICATE RECORD",IF(N($K1307)&gt;2,"ATTEMPT 3+ NOT ALLOWED - policy 300.5 permits one retest per exam; this row records nothing",IF(AND($K1307=2,COUNTIFS(nrES_PID,$D1307,nrES_Code,$F1307,nrES_Att,1)=0),"ATTEMPT 2 WITHOUT ATTEMPT 1",IF(AND($K1307=2,$L1307=""),"RETEST ROW HAS NO SCORE",IF(AND($H1307="Final",$L1307&lt;&gt;"",IFERROR(INDEX(nrCKfinalExamElig,MATCH($D1307,rngCadetPIDs,0)),"")="No"),"FINAL EXAM AFTER FAILED FINAL PT (500.1.H)",IF(AND($K1307=2,ISNUMBER($L1307),COUNTIFS(nrES_PID,$D1307,nrES_Code,$F1307,nrES_Att,1)&gt;0,SUMIFS(nrES_Raw,nrES_PID,$D1307,nrES_Code,$F1307,nrES_Att,1)&gt;=$J1307),"RETEST AFTER A PASSING FIRST ATTEMPT","OK"))))))))))</f>
        <v/>
      </c>
      <c r="Y1307" s="16" t="n"/>
    </row>
    <row r="1308">
      <c r="B1308" s="17">
        <f>IF($C1308="","",$D1308&amp;"-"&amp;$F1308&amp;"-"&amp;$K1308)</f>
        <v/>
      </c>
      <c r="C1308" s="16" t="n"/>
      <c r="D1308" s="17">
        <f>IF($C1308="","",IFERROR(INDEX(rngCadetPIDs,MATCH($C1308,rngCadetNames,0)),"?"))</f>
        <v/>
      </c>
      <c r="E1308" s="17">
        <f>IF($D1308="","",IFERROR(INDEX(nrCadetAgency,MATCH($D1308,rngCadetPIDs,0)),""))</f>
        <v/>
      </c>
      <c r="F1308" s="16" t="n"/>
      <c r="G1308" s="17">
        <f>IF($F1308="","",IFERROR(INDEX(rngEPname,MATCH($F1308,rngEPcode,0)),"?"))</f>
        <v/>
      </c>
      <c r="H1308" s="17">
        <f>IF($F1308="","",IFERROR(INDEX(rngEPtype,MATCH($F1308,rngEPcode,0)),"?"))</f>
        <v/>
      </c>
      <c r="I1308" s="17">
        <f>IF($F1308="","",IFERROR(INDEX(rngEPseq,MATCH($F1308,rngEPcode,0)),""))</f>
        <v/>
      </c>
      <c r="J1308" s="17">
        <f>IF($F1308="","",IFERROR(INDEX(rngEPpass,MATCH($F1308,rngEPcode,0)),cfgPassingScore))</f>
        <v/>
      </c>
      <c r="K1308" s="16" t="n"/>
      <c r="L1308" s="16" t="n"/>
      <c r="M1308" s="17">
        <f>IF($C1308="","",IF($L1308="","",IF(NOT(ISNUMBER($L1308)),$L1308,IF(N($K1308)&gt;2,"",IF($K1308=1,IF(COUNTIFS(nrES_PID,$D1308,nrES_Code,$F1308,nrES_Att,2,nrES_Raw,"&gt;=0")&gt;0,"",$L1308),IF($L1308&gt;=$J1308,MAX($J1308,cfgRetakeRecordedCap),IF(COUNTIFS(nrES_PID,$D1308,nrES_Code,$F1308,nrES_Att,1)=0,$L1308,SUMIFS(nrES_Raw,nrES_PID,$D1308,nrES_Code,$F1308,nrES_Att,1))))))))</f>
        <v/>
      </c>
      <c r="N1308" s="17">
        <f>IF($C1308="","",IF($L1308="","",IF(NOT(ISNUMBER($L1308)),"(not a score)",IF($L1308&gt;=$J1308,"Yes","No"))))</f>
        <v/>
      </c>
      <c r="O1308" s="17">
        <f>IF($C1308="","",IF($M1308="","",IF(NOT(ISNUMBER($M1308)),"(not a score)",IF($M1308&gt;=$J1308,"Yes","No"))))</f>
        <v/>
      </c>
      <c r="P1308" s="17">
        <f>IF($C1308="","",IF($K1308="","",IF(N($K1308)&gt;2,"No",IF(COUNTIFS(nrES_PID,$D1308,nrES_Code,$F1308,nrES_Att,"&gt;"&amp;$K1308,nrES_Att,"&lt;=2",nrES_Raw,"&gt;=0")=0,"Yes","No"))))</f>
        <v/>
      </c>
      <c r="Q1308" s="17">
        <f>IF($C1308="","",IF($L1308="","",IF(AND($K1308=1,ISNUMBER($L1308),$L1308&lt;$J1308,COUNTIFS(nrES_PID,$D1308,nrES_Code,$F1308,nrES_Att,2,nrES_Raw,"&gt;=0")=0),"Yes","No")))</f>
        <v/>
      </c>
      <c r="R1308" s="17">
        <f>IF($C1308="","",IF($L1308="","",IF(AND(N($K1308)&gt;=2,ISNUMBER($L1308),$L1308&lt;$J1308),"Yes","No")))</f>
        <v/>
      </c>
      <c r="S1308" s="18" t="n"/>
      <c r="T1308" s="19">
        <f>IF(OR($C1308="",$L1308="",$K1308&lt;&gt;1,NOT(ISNUMBER($L1308)),$L1308&gt;=$J1308),"",IF($S1308="","(enter date)",_xlfn.LET(_xlpm.dn,_xlfn.XLOOKUP($S1308,nrCDdate,nrCDnum,"",1),IF(_xlpm.dn="","(after last class day)",_xlfn.LET(_xlpm.dd,_xlfn.XLOOKUP(_xlpm.dn+cfgRetestClassDays,nrCDnum,nrCDdate,""),_xlpm.ok,_xlfn.XLOOKUP(_xlpm.dn+cfgRetestClassDays,nrCDnum,nrCDinsession,"No"),IF(OR(_xlpm.dd="",_xlpm.ok&lt;&gt;"Yes"),"(after last class day)",_xlpm.dd))))))</f>
        <v/>
      </c>
      <c r="U1308" s="17">
        <f>IF($C1308="","",IF(AND($Y1308="Excused",$L1308="",N($K1308)&lt;=1),"EXCUSED - 1st attempt pending",IF(OR($L1308="",$K1308&lt;&gt;1,NOT(ISNUMBER($L1308)),$L1308&gt;=$J1308),"",IF(COUNTIFS(nrES_PID,$D1308,nrES_Code,$F1308,nrES_Att,2,nrES_Raw,"&gt;=0")&gt;0,IF(IFERROR(_xlfn.MINIFS(nrES_Date,nrES_PID,$D1308,nrES_Code,$F1308,nrES_Att,2,nrES_Raw,"&gt;=0",nrES_Date,"&gt;0"),0)=0,"RETEST UNDATED",IF(NOT(ISNUMBER($T1308)),"RETEST DATE UNCHECKED",IF(_xlfn.MINIFS(nrES_Date,nrES_PID,$D1308,nrES_Code,$F1308,nrES_Att,2,nrES_Raw,"&gt;=0",nrES_Date,"&gt;0")&gt;$T1308,"LATE RETEST "&amp;TEXT(_xlfn.MINIFS(nrES_Date,nrES_PID,$D1308,nrES_Code,$F1308,nrES_Att,2,nrES_Raw,"&gt;=0",nrES_Date,"&gt;0"),"mm/dd")&amp;" (due "&amp;TEXT($T1308,"mm/dd")&amp;")","Retested"))),IF(NOT(ISNUMBER($T1308)),"CHECK DATE",IF(TODAY()&gt;$T1308,"OVERDUE","Due "&amp;TEXT($T1308,"mm/dd")))))))</f>
        <v/>
      </c>
      <c r="V1308" s="16" t="n"/>
      <c r="W1308" s="16" t="n"/>
      <c r="X1308" s="17">
        <f>IF($C1308="","",IF(AND($L1308&lt;&gt;"",NOT(ISNUMBER($L1308))),"RAW SCORE NOT A NUMBER",IF(AND(ISNUMBER($L1308),OR($L1308&lt;0,$L1308&gt;100)),"RAW SCORE OUT OF RANGE",IF(AND($Y1308="Unexcused",OR($L1308="",NOT(ISNUMBER($L1308)),$L1308&lt;&gt;0)),"UNEXCUSED ABSENCE MUST RECORD 0",IF(COUNTIF(nrES_RecID,$B1308)&gt;1,"DUPLICATE RECORD",IF(N($K1308)&gt;2,"ATTEMPT 3+ NOT ALLOWED - policy 300.5 permits one retest per exam; this row records nothing",IF(AND($K1308=2,COUNTIFS(nrES_PID,$D1308,nrES_Code,$F1308,nrES_Att,1)=0),"ATTEMPT 2 WITHOUT ATTEMPT 1",IF(AND($K1308=2,$L1308=""),"RETEST ROW HAS NO SCORE",IF(AND($H1308="Final",$L1308&lt;&gt;"",IFERROR(INDEX(nrCKfinalExamElig,MATCH($D1308,rngCadetPIDs,0)),"")="No"),"FINAL EXAM AFTER FAILED FINAL PT (500.1.H)",IF(AND($K1308=2,ISNUMBER($L1308),COUNTIFS(nrES_PID,$D1308,nrES_Code,$F1308,nrES_Att,1)&gt;0,SUMIFS(nrES_Raw,nrES_PID,$D1308,nrES_Code,$F1308,nrES_Att,1)&gt;=$J1308),"RETEST AFTER A PASSING FIRST ATTEMPT","OK"))))))))))</f>
        <v/>
      </c>
      <c r="Y1308" s="16" t="n"/>
    </row>
    <row r="1309">
      <c r="B1309" s="17">
        <f>IF($C1309="","",$D1309&amp;"-"&amp;$F1309&amp;"-"&amp;$K1309)</f>
        <v/>
      </c>
      <c r="C1309" s="16" t="n"/>
      <c r="D1309" s="17">
        <f>IF($C1309="","",IFERROR(INDEX(rngCadetPIDs,MATCH($C1309,rngCadetNames,0)),"?"))</f>
        <v/>
      </c>
      <c r="E1309" s="17">
        <f>IF($D1309="","",IFERROR(INDEX(nrCadetAgency,MATCH($D1309,rngCadetPIDs,0)),""))</f>
        <v/>
      </c>
      <c r="F1309" s="16" t="n"/>
      <c r="G1309" s="17">
        <f>IF($F1309="","",IFERROR(INDEX(rngEPname,MATCH($F1309,rngEPcode,0)),"?"))</f>
        <v/>
      </c>
      <c r="H1309" s="17">
        <f>IF($F1309="","",IFERROR(INDEX(rngEPtype,MATCH($F1309,rngEPcode,0)),"?"))</f>
        <v/>
      </c>
      <c r="I1309" s="17">
        <f>IF($F1309="","",IFERROR(INDEX(rngEPseq,MATCH($F1309,rngEPcode,0)),""))</f>
        <v/>
      </c>
      <c r="J1309" s="17">
        <f>IF($F1309="","",IFERROR(INDEX(rngEPpass,MATCH($F1309,rngEPcode,0)),cfgPassingScore))</f>
        <v/>
      </c>
      <c r="K1309" s="16" t="n"/>
      <c r="L1309" s="16" t="n"/>
      <c r="M1309" s="17">
        <f>IF($C1309="","",IF($L1309="","",IF(NOT(ISNUMBER($L1309)),$L1309,IF(N($K1309)&gt;2,"",IF($K1309=1,IF(COUNTIFS(nrES_PID,$D1309,nrES_Code,$F1309,nrES_Att,2,nrES_Raw,"&gt;=0")&gt;0,"",$L1309),IF($L1309&gt;=$J1309,MAX($J1309,cfgRetakeRecordedCap),IF(COUNTIFS(nrES_PID,$D1309,nrES_Code,$F1309,nrES_Att,1)=0,$L1309,SUMIFS(nrES_Raw,nrES_PID,$D1309,nrES_Code,$F1309,nrES_Att,1))))))))</f>
        <v/>
      </c>
      <c r="N1309" s="17">
        <f>IF($C1309="","",IF($L1309="","",IF(NOT(ISNUMBER($L1309)),"(not a score)",IF($L1309&gt;=$J1309,"Yes","No"))))</f>
        <v/>
      </c>
      <c r="O1309" s="17">
        <f>IF($C1309="","",IF($M1309="","",IF(NOT(ISNUMBER($M1309)),"(not a score)",IF($M1309&gt;=$J1309,"Yes","No"))))</f>
        <v/>
      </c>
      <c r="P1309" s="17">
        <f>IF($C1309="","",IF($K1309="","",IF(N($K1309)&gt;2,"No",IF(COUNTIFS(nrES_PID,$D1309,nrES_Code,$F1309,nrES_Att,"&gt;"&amp;$K1309,nrES_Att,"&lt;=2",nrES_Raw,"&gt;=0")=0,"Yes","No"))))</f>
        <v/>
      </c>
      <c r="Q1309" s="17">
        <f>IF($C1309="","",IF($L1309="","",IF(AND($K1309=1,ISNUMBER($L1309),$L1309&lt;$J1309,COUNTIFS(nrES_PID,$D1309,nrES_Code,$F1309,nrES_Att,2,nrES_Raw,"&gt;=0")=0),"Yes","No")))</f>
        <v/>
      </c>
      <c r="R1309" s="17">
        <f>IF($C1309="","",IF($L1309="","",IF(AND(N($K1309)&gt;=2,ISNUMBER($L1309),$L1309&lt;$J1309),"Yes","No")))</f>
        <v/>
      </c>
      <c r="S1309" s="18" t="n"/>
      <c r="T1309" s="19">
        <f>IF(OR($C1309="",$L1309="",$K1309&lt;&gt;1,NOT(ISNUMBER($L1309)),$L1309&gt;=$J1309),"",IF($S1309="","(enter date)",_xlfn.LET(_xlpm.dn,_xlfn.XLOOKUP($S1309,nrCDdate,nrCDnum,"",1),IF(_xlpm.dn="","(after last class day)",_xlfn.LET(_xlpm.dd,_xlfn.XLOOKUP(_xlpm.dn+cfgRetestClassDays,nrCDnum,nrCDdate,""),_xlpm.ok,_xlfn.XLOOKUP(_xlpm.dn+cfgRetestClassDays,nrCDnum,nrCDinsession,"No"),IF(OR(_xlpm.dd="",_xlpm.ok&lt;&gt;"Yes"),"(after last class day)",_xlpm.dd))))))</f>
        <v/>
      </c>
      <c r="U1309" s="17">
        <f>IF($C1309="","",IF(AND($Y1309="Excused",$L1309="",N($K1309)&lt;=1),"EXCUSED - 1st attempt pending",IF(OR($L1309="",$K1309&lt;&gt;1,NOT(ISNUMBER($L1309)),$L1309&gt;=$J1309),"",IF(COUNTIFS(nrES_PID,$D1309,nrES_Code,$F1309,nrES_Att,2,nrES_Raw,"&gt;=0")&gt;0,IF(IFERROR(_xlfn.MINIFS(nrES_Date,nrES_PID,$D1309,nrES_Code,$F1309,nrES_Att,2,nrES_Raw,"&gt;=0",nrES_Date,"&gt;0"),0)=0,"RETEST UNDATED",IF(NOT(ISNUMBER($T1309)),"RETEST DATE UNCHECKED",IF(_xlfn.MINIFS(nrES_Date,nrES_PID,$D1309,nrES_Code,$F1309,nrES_Att,2,nrES_Raw,"&gt;=0",nrES_Date,"&gt;0")&gt;$T1309,"LATE RETEST "&amp;TEXT(_xlfn.MINIFS(nrES_Date,nrES_PID,$D1309,nrES_Code,$F1309,nrES_Att,2,nrES_Raw,"&gt;=0",nrES_Date,"&gt;0"),"mm/dd")&amp;" (due "&amp;TEXT($T1309,"mm/dd")&amp;")","Retested"))),IF(NOT(ISNUMBER($T1309)),"CHECK DATE",IF(TODAY()&gt;$T1309,"OVERDUE","Due "&amp;TEXT($T1309,"mm/dd")))))))</f>
        <v/>
      </c>
      <c r="V1309" s="16" t="n"/>
      <c r="W1309" s="16" t="n"/>
      <c r="X1309" s="17">
        <f>IF($C1309="","",IF(AND($L1309&lt;&gt;"",NOT(ISNUMBER($L1309))),"RAW SCORE NOT A NUMBER",IF(AND(ISNUMBER($L1309),OR($L1309&lt;0,$L1309&gt;100)),"RAW SCORE OUT OF RANGE",IF(AND($Y1309="Unexcused",OR($L1309="",NOT(ISNUMBER($L1309)),$L1309&lt;&gt;0)),"UNEXCUSED ABSENCE MUST RECORD 0",IF(COUNTIF(nrES_RecID,$B1309)&gt;1,"DUPLICATE RECORD",IF(N($K1309)&gt;2,"ATTEMPT 3+ NOT ALLOWED - policy 300.5 permits one retest per exam; this row records nothing",IF(AND($K1309=2,COUNTIFS(nrES_PID,$D1309,nrES_Code,$F1309,nrES_Att,1)=0),"ATTEMPT 2 WITHOUT ATTEMPT 1",IF(AND($K1309=2,$L1309=""),"RETEST ROW HAS NO SCORE",IF(AND($H1309="Final",$L1309&lt;&gt;"",IFERROR(INDEX(nrCKfinalExamElig,MATCH($D1309,rngCadetPIDs,0)),"")="No"),"FINAL EXAM AFTER FAILED FINAL PT (500.1.H)",IF(AND($K1309=2,ISNUMBER($L1309),COUNTIFS(nrES_PID,$D1309,nrES_Code,$F1309,nrES_Att,1)&gt;0,SUMIFS(nrES_Raw,nrES_PID,$D1309,nrES_Code,$F1309,nrES_Att,1)&gt;=$J1309),"RETEST AFTER A PASSING FIRST ATTEMPT","OK"))))))))))</f>
        <v/>
      </c>
      <c r="Y1309" s="16" t="n"/>
    </row>
    <row r="1310">
      <c r="B1310" s="17">
        <f>IF($C1310="","",$D1310&amp;"-"&amp;$F1310&amp;"-"&amp;$K1310)</f>
        <v/>
      </c>
      <c r="C1310" s="16" t="n"/>
      <c r="D1310" s="17">
        <f>IF($C1310="","",IFERROR(INDEX(rngCadetPIDs,MATCH($C1310,rngCadetNames,0)),"?"))</f>
        <v/>
      </c>
      <c r="E1310" s="17">
        <f>IF($D1310="","",IFERROR(INDEX(nrCadetAgency,MATCH($D1310,rngCadetPIDs,0)),""))</f>
        <v/>
      </c>
      <c r="F1310" s="16" t="n"/>
      <c r="G1310" s="17">
        <f>IF($F1310="","",IFERROR(INDEX(rngEPname,MATCH($F1310,rngEPcode,0)),"?"))</f>
        <v/>
      </c>
      <c r="H1310" s="17">
        <f>IF($F1310="","",IFERROR(INDEX(rngEPtype,MATCH($F1310,rngEPcode,0)),"?"))</f>
        <v/>
      </c>
      <c r="I1310" s="17">
        <f>IF($F1310="","",IFERROR(INDEX(rngEPseq,MATCH($F1310,rngEPcode,0)),""))</f>
        <v/>
      </c>
      <c r="J1310" s="17">
        <f>IF($F1310="","",IFERROR(INDEX(rngEPpass,MATCH($F1310,rngEPcode,0)),cfgPassingScore))</f>
        <v/>
      </c>
      <c r="K1310" s="16" t="n"/>
      <c r="L1310" s="16" t="n"/>
      <c r="M1310" s="17">
        <f>IF($C1310="","",IF($L1310="","",IF(NOT(ISNUMBER($L1310)),$L1310,IF(N($K1310)&gt;2,"",IF($K1310=1,IF(COUNTIFS(nrES_PID,$D1310,nrES_Code,$F1310,nrES_Att,2,nrES_Raw,"&gt;=0")&gt;0,"",$L1310),IF($L1310&gt;=$J1310,MAX($J1310,cfgRetakeRecordedCap),IF(COUNTIFS(nrES_PID,$D1310,nrES_Code,$F1310,nrES_Att,1)=0,$L1310,SUMIFS(nrES_Raw,nrES_PID,$D1310,nrES_Code,$F1310,nrES_Att,1))))))))</f>
        <v/>
      </c>
      <c r="N1310" s="17">
        <f>IF($C1310="","",IF($L1310="","",IF(NOT(ISNUMBER($L1310)),"(not a score)",IF($L1310&gt;=$J1310,"Yes","No"))))</f>
        <v/>
      </c>
      <c r="O1310" s="17">
        <f>IF($C1310="","",IF($M1310="","",IF(NOT(ISNUMBER($M1310)),"(not a score)",IF($M1310&gt;=$J1310,"Yes","No"))))</f>
        <v/>
      </c>
      <c r="P1310" s="17">
        <f>IF($C1310="","",IF($K1310="","",IF(N($K1310)&gt;2,"No",IF(COUNTIFS(nrES_PID,$D1310,nrES_Code,$F1310,nrES_Att,"&gt;"&amp;$K1310,nrES_Att,"&lt;=2",nrES_Raw,"&gt;=0")=0,"Yes","No"))))</f>
        <v/>
      </c>
      <c r="Q1310" s="17">
        <f>IF($C1310="","",IF($L1310="","",IF(AND($K1310=1,ISNUMBER($L1310),$L1310&lt;$J1310,COUNTIFS(nrES_PID,$D1310,nrES_Code,$F1310,nrES_Att,2,nrES_Raw,"&gt;=0")=0),"Yes","No")))</f>
        <v/>
      </c>
      <c r="R1310" s="17">
        <f>IF($C1310="","",IF($L1310="","",IF(AND(N($K1310)&gt;=2,ISNUMBER($L1310),$L1310&lt;$J1310),"Yes","No")))</f>
        <v/>
      </c>
      <c r="S1310" s="18" t="n"/>
      <c r="T1310" s="19">
        <f>IF(OR($C1310="",$L1310="",$K1310&lt;&gt;1,NOT(ISNUMBER($L1310)),$L1310&gt;=$J1310),"",IF($S1310="","(enter date)",_xlfn.LET(_xlpm.dn,_xlfn.XLOOKUP($S1310,nrCDdate,nrCDnum,"",1),IF(_xlpm.dn="","(after last class day)",_xlfn.LET(_xlpm.dd,_xlfn.XLOOKUP(_xlpm.dn+cfgRetestClassDays,nrCDnum,nrCDdate,""),_xlpm.ok,_xlfn.XLOOKUP(_xlpm.dn+cfgRetestClassDays,nrCDnum,nrCDinsession,"No"),IF(OR(_xlpm.dd="",_xlpm.ok&lt;&gt;"Yes"),"(after last class day)",_xlpm.dd))))))</f>
        <v/>
      </c>
      <c r="U1310" s="17">
        <f>IF($C1310="","",IF(AND($Y1310="Excused",$L1310="",N($K1310)&lt;=1),"EXCUSED - 1st attempt pending",IF(OR($L1310="",$K1310&lt;&gt;1,NOT(ISNUMBER($L1310)),$L1310&gt;=$J1310),"",IF(COUNTIFS(nrES_PID,$D1310,nrES_Code,$F1310,nrES_Att,2,nrES_Raw,"&gt;=0")&gt;0,IF(IFERROR(_xlfn.MINIFS(nrES_Date,nrES_PID,$D1310,nrES_Code,$F1310,nrES_Att,2,nrES_Raw,"&gt;=0",nrES_Date,"&gt;0"),0)=0,"RETEST UNDATED",IF(NOT(ISNUMBER($T1310)),"RETEST DATE UNCHECKED",IF(_xlfn.MINIFS(nrES_Date,nrES_PID,$D1310,nrES_Code,$F1310,nrES_Att,2,nrES_Raw,"&gt;=0",nrES_Date,"&gt;0")&gt;$T1310,"LATE RETEST "&amp;TEXT(_xlfn.MINIFS(nrES_Date,nrES_PID,$D1310,nrES_Code,$F1310,nrES_Att,2,nrES_Raw,"&gt;=0",nrES_Date,"&gt;0"),"mm/dd")&amp;" (due "&amp;TEXT($T1310,"mm/dd")&amp;")","Retested"))),IF(NOT(ISNUMBER($T1310)),"CHECK DATE",IF(TODAY()&gt;$T1310,"OVERDUE","Due "&amp;TEXT($T1310,"mm/dd")))))))</f>
        <v/>
      </c>
      <c r="V1310" s="16" t="n"/>
      <c r="W1310" s="16" t="n"/>
      <c r="X1310" s="17">
        <f>IF($C1310="","",IF(AND($L1310&lt;&gt;"",NOT(ISNUMBER($L1310))),"RAW SCORE NOT A NUMBER",IF(AND(ISNUMBER($L1310),OR($L1310&lt;0,$L1310&gt;100)),"RAW SCORE OUT OF RANGE",IF(AND($Y1310="Unexcused",OR($L1310="",NOT(ISNUMBER($L1310)),$L1310&lt;&gt;0)),"UNEXCUSED ABSENCE MUST RECORD 0",IF(COUNTIF(nrES_RecID,$B1310)&gt;1,"DUPLICATE RECORD",IF(N($K1310)&gt;2,"ATTEMPT 3+ NOT ALLOWED - policy 300.5 permits one retest per exam; this row records nothing",IF(AND($K1310=2,COUNTIFS(nrES_PID,$D1310,nrES_Code,$F1310,nrES_Att,1)=0),"ATTEMPT 2 WITHOUT ATTEMPT 1",IF(AND($K1310=2,$L1310=""),"RETEST ROW HAS NO SCORE",IF(AND($H1310="Final",$L1310&lt;&gt;"",IFERROR(INDEX(nrCKfinalExamElig,MATCH($D1310,rngCadetPIDs,0)),"")="No"),"FINAL EXAM AFTER FAILED FINAL PT (500.1.H)",IF(AND($K1310=2,ISNUMBER($L1310),COUNTIFS(nrES_PID,$D1310,nrES_Code,$F1310,nrES_Att,1)&gt;0,SUMIFS(nrES_Raw,nrES_PID,$D1310,nrES_Code,$F1310,nrES_Att,1)&gt;=$J1310),"RETEST AFTER A PASSING FIRST ATTEMPT","OK"))))))))))</f>
        <v/>
      </c>
      <c r="Y1310" s="16" t="n"/>
    </row>
    <row r="1311">
      <c r="B1311" s="17">
        <f>IF($C1311="","",$D1311&amp;"-"&amp;$F1311&amp;"-"&amp;$K1311)</f>
        <v/>
      </c>
      <c r="C1311" s="16" t="n"/>
      <c r="D1311" s="17">
        <f>IF($C1311="","",IFERROR(INDEX(rngCadetPIDs,MATCH($C1311,rngCadetNames,0)),"?"))</f>
        <v/>
      </c>
      <c r="E1311" s="17">
        <f>IF($D1311="","",IFERROR(INDEX(nrCadetAgency,MATCH($D1311,rngCadetPIDs,0)),""))</f>
        <v/>
      </c>
      <c r="F1311" s="16" t="n"/>
      <c r="G1311" s="17">
        <f>IF($F1311="","",IFERROR(INDEX(rngEPname,MATCH($F1311,rngEPcode,0)),"?"))</f>
        <v/>
      </c>
      <c r="H1311" s="17">
        <f>IF($F1311="","",IFERROR(INDEX(rngEPtype,MATCH($F1311,rngEPcode,0)),"?"))</f>
        <v/>
      </c>
      <c r="I1311" s="17">
        <f>IF($F1311="","",IFERROR(INDEX(rngEPseq,MATCH($F1311,rngEPcode,0)),""))</f>
        <v/>
      </c>
      <c r="J1311" s="17">
        <f>IF($F1311="","",IFERROR(INDEX(rngEPpass,MATCH($F1311,rngEPcode,0)),cfgPassingScore))</f>
        <v/>
      </c>
      <c r="K1311" s="16" t="n"/>
      <c r="L1311" s="16" t="n"/>
      <c r="M1311" s="17">
        <f>IF($C1311="","",IF($L1311="","",IF(NOT(ISNUMBER($L1311)),$L1311,IF(N($K1311)&gt;2,"",IF($K1311=1,IF(COUNTIFS(nrES_PID,$D1311,nrES_Code,$F1311,nrES_Att,2,nrES_Raw,"&gt;=0")&gt;0,"",$L1311),IF($L1311&gt;=$J1311,MAX($J1311,cfgRetakeRecordedCap),IF(COUNTIFS(nrES_PID,$D1311,nrES_Code,$F1311,nrES_Att,1)=0,$L1311,SUMIFS(nrES_Raw,nrES_PID,$D1311,nrES_Code,$F1311,nrES_Att,1))))))))</f>
        <v/>
      </c>
      <c r="N1311" s="17">
        <f>IF($C1311="","",IF($L1311="","",IF(NOT(ISNUMBER($L1311)),"(not a score)",IF($L1311&gt;=$J1311,"Yes","No"))))</f>
        <v/>
      </c>
      <c r="O1311" s="17">
        <f>IF($C1311="","",IF($M1311="","",IF(NOT(ISNUMBER($M1311)),"(not a score)",IF($M1311&gt;=$J1311,"Yes","No"))))</f>
        <v/>
      </c>
      <c r="P1311" s="17">
        <f>IF($C1311="","",IF($K1311="","",IF(N($K1311)&gt;2,"No",IF(COUNTIFS(nrES_PID,$D1311,nrES_Code,$F1311,nrES_Att,"&gt;"&amp;$K1311,nrES_Att,"&lt;=2",nrES_Raw,"&gt;=0")=0,"Yes","No"))))</f>
        <v/>
      </c>
      <c r="Q1311" s="17">
        <f>IF($C1311="","",IF($L1311="","",IF(AND($K1311=1,ISNUMBER($L1311),$L1311&lt;$J1311,COUNTIFS(nrES_PID,$D1311,nrES_Code,$F1311,nrES_Att,2,nrES_Raw,"&gt;=0")=0),"Yes","No")))</f>
        <v/>
      </c>
      <c r="R1311" s="17">
        <f>IF($C1311="","",IF($L1311="","",IF(AND(N($K1311)&gt;=2,ISNUMBER($L1311),$L1311&lt;$J1311),"Yes","No")))</f>
        <v/>
      </c>
      <c r="S1311" s="18" t="n"/>
      <c r="T1311" s="19">
        <f>IF(OR($C1311="",$L1311="",$K1311&lt;&gt;1,NOT(ISNUMBER($L1311)),$L1311&gt;=$J1311),"",IF($S1311="","(enter date)",_xlfn.LET(_xlpm.dn,_xlfn.XLOOKUP($S1311,nrCDdate,nrCDnum,"",1),IF(_xlpm.dn="","(after last class day)",_xlfn.LET(_xlpm.dd,_xlfn.XLOOKUP(_xlpm.dn+cfgRetestClassDays,nrCDnum,nrCDdate,""),_xlpm.ok,_xlfn.XLOOKUP(_xlpm.dn+cfgRetestClassDays,nrCDnum,nrCDinsession,"No"),IF(OR(_xlpm.dd="",_xlpm.ok&lt;&gt;"Yes"),"(after last class day)",_xlpm.dd))))))</f>
        <v/>
      </c>
      <c r="U1311" s="17">
        <f>IF($C1311="","",IF(AND($Y1311="Excused",$L1311="",N($K1311)&lt;=1),"EXCUSED - 1st attempt pending",IF(OR($L1311="",$K1311&lt;&gt;1,NOT(ISNUMBER($L1311)),$L1311&gt;=$J1311),"",IF(COUNTIFS(nrES_PID,$D1311,nrES_Code,$F1311,nrES_Att,2,nrES_Raw,"&gt;=0")&gt;0,IF(IFERROR(_xlfn.MINIFS(nrES_Date,nrES_PID,$D1311,nrES_Code,$F1311,nrES_Att,2,nrES_Raw,"&gt;=0",nrES_Date,"&gt;0"),0)=0,"RETEST UNDATED",IF(NOT(ISNUMBER($T1311)),"RETEST DATE UNCHECKED",IF(_xlfn.MINIFS(nrES_Date,nrES_PID,$D1311,nrES_Code,$F1311,nrES_Att,2,nrES_Raw,"&gt;=0",nrES_Date,"&gt;0")&gt;$T1311,"LATE RETEST "&amp;TEXT(_xlfn.MINIFS(nrES_Date,nrES_PID,$D1311,nrES_Code,$F1311,nrES_Att,2,nrES_Raw,"&gt;=0",nrES_Date,"&gt;0"),"mm/dd")&amp;" (due "&amp;TEXT($T1311,"mm/dd")&amp;")","Retested"))),IF(NOT(ISNUMBER($T1311)),"CHECK DATE",IF(TODAY()&gt;$T1311,"OVERDUE","Due "&amp;TEXT($T1311,"mm/dd")))))))</f>
        <v/>
      </c>
      <c r="V1311" s="16" t="n"/>
      <c r="W1311" s="16" t="n"/>
      <c r="X1311" s="17">
        <f>IF($C1311="","",IF(AND($L1311&lt;&gt;"",NOT(ISNUMBER($L1311))),"RAW SCORE NOT A NUMBER",IF(AND(ISNUMBER($L1311),OR($L1311&lt;0,$L1311&gt;100)),"RAW SCORE OUT OF RANGE",IF(AND($Y1311="Unexcused",OR($L1311="",NOT(ISNUMBER($L1311)),$L1311&lt;&gt;0)),"UNEXCUSED ABSENCE MUST RECORD 0",IF(COUNTIF(nrES_RecID,$B1311)&gt;1,"DUPLICATE RECORD",IF(N($K1311)&gt;2,"ATTEMPT 3+ NOT ALLOWED - policy 300.5 permits one retest per exam; this row records nothing",IF(AND($K1311=2,COUNTIFS(nrES_PID,$D1311,nrES_Code,$F1311,nrES_Att,1)=0),"ATTEMPT 2 WITHOUT ATTEMPT 1",IF(AND($K1311=2,$L1311=""),"RETEST ROW HAS NO SCORE",IF(AND($H1311="Final",$L1311&lt;&gt;"",IFERROR(INDEX(nrCKfinalExamElig,MATCH($D1311,rngCadetPIDs,0)),"")="No"),"FINAL EXAM AFTER FAILED FINAL PT (500.1.H)",IF(AND($K1311=2,ISNUMBER($L1311),COUNTIFS(nrES_PID,$D1311,nrES_Code,$F1311,nrES_Att,1)&gt;0,SUMIFS(nrES_Raw,nrES_PID,$D1311,nrES_Code,$F1311,nrES_Att,1)&gt;=$J1311),"RETEST AFTER A PASSING FIRST ATTEMPT","OK"))))))))))</f>
        <v/>
      </c>
      <c r="Y1311" s="16" t="n"/>
    </row>
    <row r="1312">
      <c r="B1312" s="17">
        <f>IF($C1312="","",$D1312&amp;"-"&amp;$F1312&amp;"-"&amp;$K1312)</f>
        <v/>
      </c>
      <c r="C1312" s="16" t="n"/>
      <c r="D1312" s="17">
        <f>IF($C1312="","",IFERROR(INDEX(rngCadetPIDs,MATCH($C1312,rngCadetNames,0)),"?"))</f>
        <v/>
      </c>
      <c r="E1312" s="17">
        <f>IF($D1312="","",IFERROR(INDEX(nrCadetAgency,MATCH($D1312,rngCadetPIDs,0)),""))</f>
        <v/>
      </c>
      <c r="F1312" s="16" t="n"/>
      <c r="G1312" s="17">
        <f>IF($F1312="","",IFERROR(INDEX(rngEPname,MATCH($F1312,rngEPcode,0)),"?"))</f>
        <v/>
      </c>
      <c r="H1312" s="17">
        <f>IF($F1312="","",IFERROR(INDEX(rngEPtype,MATCH($F1312,rngEPcode,0)),"?"))</f>
        <v/>
      </c>
      <c r="I1312" s="17">
        <f>IF($F1312="","",IFERROR(INDEX(rngEPseq,MATCH($F1312,rngEPcode,0)),""))</f>
        <v/>
      </c>
      <c r="J1312" s="17">
        <f>IF($F1312="","",IFERROR(INDEX(rngEPpass,MATCH($F1312,rngEPcode,0)),cfgPassingScore))</f>
        <v/>
      </c>
      <c r="K1312" s="16" t="n"/>
      <c r="L1312" s="16" t="n"/>
      <c r="M1312" s="17">
        <f>IF($C1312="","",IF($L1312="","",IF(NOT(ISNUMBER($L1312)),$L1312,IF(N($K1312)&gt;2,"",IF($K1312=1,IF(COUNTIFS(nrES_PID,$D1312,nrES_Code,$F1312,nrES_Att,2,nrES_Raw,"&gt;=0")&gt;0,"",$L1312),IF($L1312&gt;=$J1312,MAX($J1312,cfgRetakeRecordedCap),IF(COUNTIFS(nrES_PID,$D1312,nrES_Code,$F1312,nrES_Att,1)=0,$L1312,SUMIFS(nrES_Raw,nrES_PID,$D1312,nrES_Code,$F1312,nrES_Att,1))))))))</f>
        <v/>
      </c>
      <c r="N1312" s="17">
        <f>IF($C1312="","",IF($L1312="","",IF(NOT(ISNUMBER($L1312)),"(not a score)",IF($L1312&gt;=$J1312,"Yes","No"))))</f>
        <v/>
      </c>
      <c r="O1312" s="17">
        <f>IF($C1312="","",IF($M1312="","",IF(NOT(ISNUMBER($M1312)),"(not a score)",IF($M1312&gt;=$J1312,"Yes","No"))))</f>
        <v/>
      </c>
      <c r="P1312" s="17">
        <f>IF($C1312="","",IF($K1312="","",IF(N($K1312)&gt;2,"No",IF(COUNTIFS(nrES_PID,$D1312,nrES_Code,$F1312,nrES_Att,"&gt;"&amp;$K1312,nrES_Att,"&lt;=2",nrES_Raw,"&gt;=0")=0,"Yes","No"))))</f>
        <v/>
      </c>
      <c r="Q1312" s="17">
        <f>IF($C1312="","",IF($L1312="","",IF(AND($K1312=1,ISNUMBER($L1312),$L1312&lt;$J1312,COUNTIFS(nrES_PID,$D1312,nrES_Code,$F1312,nrES_Att,2,nrES_Raw,"&gt;=0")=0),"Yes","No")))</f>
        <v/>
      </c>
      <c r="R1312" s="17">
        <f>IF($C1312="","",IF($L1312="","",IF(AND(N($K1312)&gt;=2,ISNUMBER($L1312),$L1312&lt;$J1312),"Yes","No")))</f>
        <v/>
      </c>
      <c r="S1312" s="18" t="n"/>
      <c r="T1312" s="19">
        <f>IF(OR($C1312="",$L1312="",$K1312&lt;&gt;1,NOT(ISNUMBER($L1312)),$L1312&gt;=$J1312),"",IF($S1312="","(enter date)",_xlfn.LET(_xlpm.dn,_xlfn.XLOOKUP($S1312,nrCDdate,nrCDnum,"",1),IF(_xlpm.dn="","(after last class day)",_xlfn.LET(_xlpm.dd,_xlfn.XLOOKUP(_xlpm.dn+cfgRetestClassDays,nrCDnum,nrCDdate,""),_xlpm.ok,_xlfn.XLOOKUP(_xlpm.dn+cfgRetestClassDays,nrCDnum,nrCDinsession,"No"),IF(OR(_xlpm.dd="",_xlpm.ok&lt;&gt;"Yes"),"(after last class day)",_xlpm.dd))))))</f>
        <v/>
      </c>
      <c r="U1312" s="17">
        <f>IF($C1312="","",IF(AND($Y1312="Excused",$L1312="",N($K1312)&lt;=1),"EXCUSED - 1st attempt pending",IF(OR($L1312="",$K1312&lt;&gt;1,NOT(ISNUMBER($L1312)),$L1312&gt;=$J1312),"",IF(COUNTIFS(nrES_PID,$D1312,nrES_Code,$F1312,nrES_Att,2,nrES_Raw,"&gt;=0")&gt;0,IF(IFERROR(_xlfn.MINIFS(nrES_Date,nrES_PID,$D1312,nrES_Code,$F1312,nrES_Att,2,nrES_Raw,"&gt;=0",nrES_Date,"&gt;0"),0)=0,"RETEST UNDATED",IF(NOT(ISNUMBER($T1312)),"RETEST DATE UNCHECKED",IF(_xlfn.MINIFS(nrES_Date,nrES_PID,$D1312,nrES_Code,$F1312,nrES_Att,2,nrES_Raw,"&gt;=0",nrES_Date,"&gt;0")&gt;$T1312,"LATE RETEST "&amp;TEXT(_xlfn.MINIFS(nrES_Date,nrES_PID,$D1312,nrES_Code,$F1312,nrES_Att,2,nrES_Raw,"&gt;=0",nrES_Date,"&gt;0"),"mm/dd")&amp;" (due "&amp;TEXT($T1312,"mm/dd")&amp;")","Retested"))),IF(NOT(ISNUMBER($T1312)),"CHECK DATE",IF(TODAY()&gt;$T1312,"OVERDUE","Due "&amp;TEXT($T1312,"mm/dd")))))))</f>
        <v/>
      </c>
      <c r="V1312" s="16" t="n"/>
      <c r="W1312" s="16" t="n"/>
      <c r="X1312" s="17">
        <f>IF($C1312="","",IF(AND($L1312&lt;&gt;"",NOT(ISNUMBER($L1312))),"RAW SCORE NOT A NUMBER",IF(AND(ISNUMBER($L1312),OR($L1312&lt;0,$L1312&gt;100)),"RAW SCORE OUT OF RANGE",IF(AND($Y1312="Unexcused",OR($L1312="",NOT(ISNUMBER($L1312)),$L1312&lt;&gt;0)),"UNEXCUSED ABSENCE MUST RECORD 0",IF(COUNTIF(nrES_RecID,$B1312)&gt;1,"DUPLICATE RECORD",IF(N($K1312)&gt;2,"ATTEMPT 3+ NOT ALLOWED - policy 300.5 permits one retest per exam; this row records nothing",IF(AND($K1312=2,COUNTIFS(nrES_PID,$D1312,nrES_Code,$F1312,nrES_Att,1)=0),"ATTEMPT 2 WITHOUT ATTEMPT 1",IF(AND($K1312=2,$L1312=""),"RETEST ROW HAS NO SCORE",IF(AND($H1312="Final",$L1312&lt;&gt;"",IFERROR(INDEX(nrCKfinalExamElig,MATCH($D1312,rngCadetPIDs,0)),"")="No"),"FINAL EXAM AFTER FAILED FINAL PT (500.1.H)",IF(AND($K1312=2,ISNUMBER($L1312),COUNTIFS(nrES_PID,$D1312,nrES_Code,$F1312,nrES_Att,1)&gt;0,SUMIFS(nrES_Raw,nrES_PID,$D1312,nrES_Code,$F1312,nrES_Att,1)&gt;=$J1312),"RETEST AFTER A PASSING FIRST ATTEMPT","OK"))))))))))</f>
        <v/>
      </c>
      <c r="Y1312" s="16" t="n"/>
    </row>
    <row r="1313">
      <c r="B1313" s="17">
        <f>IF($C1313="","",$D1313&amp;"-"&amp;$F1313&amp;"-"&amp;$K1313)</f>
        <v/>
      </c>
      <c r="C1313" s="16" t="n"/>
      <c r="D1313" s="17">
        <f>IF($C1313="","",IFERROR(INDEX(rngCadetPIDs,MATCH($C1313,rngCadetNames,0)),"?"))</f>
        <v/>
      </c>
      <c r="E1313" s="17">
        <f>IF($D1313="","",IFERROR(INDEX(nrCadetAgency,MATCH($D1313,rngCadetPIDs,0)),""))</f>
        <v/>
      </c>
      <c r="F1313" s="16" t="n"/>
      <c r="G1313" s="17">
        <f>IF($F1313="","",IFERROR(INDEX(rngEPname,MATCH($F1313,rngEPcode,0)),"?"))</f>
        <v/>
      </c>
      <c r="H1313" s="17">
        <f>IF($F1313="","",IFERROR(INDEX(rngEPtype,MATCH($F1313,rngEPcode,0)),"?"))</f>
        <v/>
      </c>
      <c r="I1313" s="17">
        <f>IF($F1313="","",IFERROR(INDEX(rngEPseq,MATCH($F1313,rngEPcode,0)),""))</f>
        <v/>
      </c>
      <c r="J1313" s="17">
        <f>IF($F1313="","",IFERROR(INDEX(rngEPpass,MATCH($F1313,rngEPcode,0)),cfgPassingScore))</f>
        <v/>
      </c>
      <c r="K1313" s="16" t="n"/>
      <c r="L1313" s="16" t="n"/>
      <c r="M1313" s="17">
        <f>IF($C1313="","",IF($L1313="","",IF(NOT(ISNUMBER($L1313)),$L1313,IF(N($K1313)&gt;2,"",IF($K1313=1,IF(COUNTIFS(nrES_PID,$D1313,nrES_Code,$F1313,nrES_Att,2,nrES_Raw,"&gt;=0")&gt;0,"",$L1313),IF($L1313&gt;=$J1313,MAX($J1313,cfgRetakeRecordedCap),IF(COUNTIFS(nrES_PID,$D1313,nrES_Code,$F1313,nrES_Att,1)=0,$L1313,SUMIFS(nrES_Raw,nrES_PID,$D1313,nrES_Code,$F1313,nrES_Att,1))))))))</f>
        <v/>
      </c>
      <c r="N1313" s="17">
        <f>IF($C1313="","",IF($L1313="","",IF(NOT(ISNUMBER($L1313)),"(not a score)",IF($L1313&gt;=$J1313,"Yes","No"))))</f>
        <v/>
      </c>
      <c r="O1313" s="17">
        <f>IF($C1313="","",IF($M1313="","",IF(NOT(ISNUMBER($M1313)),"(not a score)",IF($M1313&gt;=$J1313,"Yes","No"))))</f>
        <v/>
      </c>
      <c r="P1313" s="17">
        <f>IF($C1313="","",IF($K1313="","",IF(N($K1313)&gt;2,"No",IF(COUNTIFS(nrES_PID,$D1313,nrES_Code,$F1313,nrES_Att,"&gt;"&amp;$K1313,nrES_Att,"&lt;=2",nrES_Raw,"&gt;=0")=0,"Yes","No"))))</f>
        <v/>
      </c>
      <c r="Q1313" s="17">
        <f>IF($C1313="","",IF($L1313="","",IF(AND($K1313=1,ISNUMBER($L1313),$L1313&lt;$J1313,COUNTIFS(nrES_PID,$D1313,nrES_Code,$F1313,nrES_Att,2,nrES_Raw,"&gt;=0")=0),"Yes","No")))</f>
        <v/>
      </c>
      <c r="R1313" s="17">
        <f>IF($C1313="","",IF($L1313="","",IF(AND(N($K1313)&gt;=2,ISNUMBER($L1313),$L1313&lt;$J1313),"Yes","No")))</f>
        <v/>
      </c>
      <c r="S1313" s="18" t="n"/>
      <c r="T1313" s="19">
        <f>IF(OR($C1313="",$L1313="",$K1313&lt;&gt;1,NOT(ISNUMBER($L1313)),$L1313&gt;=$J1313),"",IF($S1313="","(enter date)",_xlfn.LET(_xlpm.dn,_xlfn.XLOOKUP($S1313,nrCDdate,nrCDnum,"",1),IF(_xlpm.dn="","(after last class day)",_xlfn.LET(_xlpm.dd,_xlfn.XLOOKUP(_xlpm.dn+cfgRetestClassDays,nrCDnum,nrCDdate,""),_xlpm.ok,_xlfn.XLOOKUP(_xlpm.dn+cfgRetestClassDays,nrCDnum,nrCDinsession,"No"),IF(OR(_xlpm.dd="",_xlpm.ok&lt;&gt;"Yes"),"(after last class day)",_xlpm.dd))))))</f>
        <v/>
      </c>
      <c r="U1313" s="17">
        <f>IF($C1313="","",IF(AND($Y1313="Excused",$L1313="",N($K1313)&lt;=1),"EXCUSED - 1st attempt pending",IF(OR($L1313="",$K1313&lt;&gt;1,NOT(ISNUMBER($L1313)),$L1313&gt;=$J1313),"",IF(COUNTIFS(nrES_PID,$D1313,nrES_Code,$F1313,nrES_Att,2,nrES_Raw,"&gt;=0")&gt;0,IF(IFERROR(_xlfn.MINIFS(nrES_Date,nrES_PID,$D1313,nrES_Code,$F1313,nrES_Att,2,nrES_Raw,"&gt;=0",nrES_Date,"&gt;0"),0)=0,"RETEST UNDATED",IF(NOT(ISNUMBER($T1313)),"RETEST DATE UNCHECKED",IF(_xlfn.MINIFS(nrES_Date,nrES_PID,$D1313,nrES_Code,$F1313,nrES_Att,2,nrES_Raw,"&gt;=0",nrES_Date,"&gt;0")&gt;$T1313,"LATE RETEST "&amp;TEXT(_xlfn.MINIFS(nrES_Date,nrES_PID,$D1313,nrES_Code,$F1313,nrES_Att,2,nrES_Raw,"&gt;=0",nrES_Date,"&gt;0"),"mm/dd")&amp;" (due "&amp;TEXT($T1313,"mm/dd")&amp;")","Retested"))),IF(NOT(ISNUMBER($T1313)),"CHECK DATE",IF(TODAY()&gt;$T1313,"OVERDUE","Due "&amp;TEXT($T1313,"mm/dd")))))))</f>
        <v/>
      </c>
      <c r="V1313" s="16" t="n"/>
      <c r="W1313" s="16" t="n"/>
      <c r="X1313" s="17">
        <f>IF($C1313="","",IF(AND($L1313&lt;&gt;"",NOT(ISNUMBER($L1313))),"RAW SCORE NOT A NUMBER",IF(AND(ISNUMBER($L1313),OR($L1313&lt;0,$L1313&gt;100)),"RAW SCORE OUT OF RANGE",IF(AND($Y1313="Unexcused",OR($L1313="",NOT(ISNUMBER($L1313)),$L1313&lt;&gt;0)),"UNEXCUSED ABSENCE MUST RECORD 0",IF(COUNTIF(nrES_RecID,$B1313)&gt;1,"DUPLICATE RECORD",IF(N($K1313)&gt;2,"ATTEMPT 3+ NOT ALLOWED - policy 300.5 permits one retest per exam; this row records nothing",IF(AND($K1313=2,COUNTIFS(nrES_PID,$D1313,nrES_Code,$F1313,nrES_Att,1)=0),"ATTEMPT 2 WITHOUT ATTEMPT 1",IF(AND($K1313=2,$L1313=""),"RETEST ROW HAS NO SCORE",IF(AND($H1313="Final",$L1313&lt;&gt;"",IFERROR(INDEX(nrCKfinalExamElig,MATCH($D1313,rngCadetPIDs,0)),"")="No"),"FINAL EXAM AFTER FAILED FINAL PT (500.1.H)",IF(AND($K1313=2,ISNUMBER($L1313),COUNTIFS(nrES_PID,$D1313,nrES_Code,$F1313,nrES_Att,1)&gt;0,SUMIFS(nrES_Raw,nrES_PID,$D1313,nrES_Code,$F1313,nrES_Att,1)&gt;=$J1313),"RETEST AFTER A PASSING FIRST ATTEMPT","OK"))))))))))</f>
        <v/>
      </c>
      <c r="Y1313" s="16" t="n"/>
    </row>
    <row r="1314">
      <c r="B1314" s="17">
        <f>IF($C1314="","",$D1314&amp;"-"&amp;$F1314&amp;"-"&amp;$K1314)</f>
        <v/>
      </c>
      <c r="C1314" s="16" t="n"/>
      <c r="D1314" s="17">
        <f>IF($C1314="","",IFERROR(INDEX(rngCadetPIDs,MATCH($C1314,rngCadetNames,0)),"?"))</f>
        <v/>
      </c>
      <c r="E1314" s="17">
        <f>IF($D1314="","",IFERROR(INDEX(nrCadetAgency,MATCH($D1314,rngCadetPIDs,0)),""))</f>
        <v/>
      </c>
      <c r="F1314" s="16" t="n"/>
      <c r="G1314" s="17">
        <f>IF($F1314="","",IFERROR(INDEX(rngEPname,MATCH($F1314,rngEPcode,0)),"?"))</f>
        <v/>
      </c>
      <c r="H1314" s="17">
        <f>IF($F1314="","",IFERROR(INDEX(rngEPtype,MATCH($F1314,rngEPcode,0)),"?"))</f>
        <v/>
      </c>
      <c r="I1314" s="17">
        <f>IF($F1314="","",IFERROR(INDEX(rngEPseq,MATCH($F1314,rngEPcode,0)),""))</f>
        <v/>
      </c>
      <c r="J1314" s="17">
        <f>IF($F1314="","",IFERROR(INDEX(rngEPpass,MATCH($F1314,rngEPcode,0)),cfgPassingScore))</f>
        <v/>
      </c>
      <c r="K1314" s="16" t="n"/>
      <c r="L1314" s="16" t="n"/>
      <c r="M1314" s="17">
        <f>IF($C1314="","",IF($L1314="","",IF(NOT(ISNUMBER($L1314)),$L1314,IF(N($K1314)&gt;2,"",IF($K1314=1,IF(COUNTIFS(nrES_PID,$D1314,nrES_Code,$F1314,nrES_Att,2,nrES_Raw,"&gt;=0")&gt;0,"",$L1314),IF($L1314&gt;=$J1314,MAX($J1314,cfgRetakeRecordedCap),IF(COUNTIFS(nrES_PID,$D1314,nrES_Code,$F1314,nrES_Att,1)=0,$L1314,SUMIFS(nrES_Raw,nrES_PID,$D1314,nrES_Code,$F1314,nrES_Att,1))))))))</f>
        <v/>
      </c>
      <c r="N1314" s="17">
        <f>IF($C1314="","",IF($L1314="","",IF(NOT(ISNUMBER($L1314)),"(not a score)",IF($L1314&gt;=$J1314,"Yes","No"))))</f>
        <v/>
      </c>
      <c r="O1314" s="17">
        <f>IF($C1314="","",IF($M1314="","",IF(NOT(ISNUMBER($M1314)),"(not a score)",IF($M1314&gt;=$J1314,"Yes","No"))))</f>
        <v/>
      </c>
      <c r="P1314" s="17">
        <f>IF($C1314="","",IF($K1314="","",IF(N($K1314)&gt;2,"No",IF(COUNTIFS(nrES_PID,$D1314,nrES_Code,$F1314,nrES_Att,"&gt;"&amp;$K1314,nrES_Att,"&lt;=2",nrES_Raw,"&gt;=0")=0,"Yes","No"))))</f>
        <v/>
      </c>
      <c r="Q1314" s="17">
        <f>IF($C1314="","",IF($L1314="","",IF(AND($K1314=1,ISNUMBER($L1314),$L1314&lt;$J1314,COUNTIFS(nrES_PID,$D1314,nrES_Code,$F1314,nrES_Att,2,nrES_Raw,"&gt;=0")=0),"Yes","No")))</f>
        <v/>
      </c>
      <c r="R1314" s="17">
        <f>IF($C1314="","",IF($L1314="","",IF(AND(N($K1314)&gt;=2,ISNUMBER($L1314),$L1314&lt;$J1314),"Yes","No")))</f>
        <v/>
      </c>
      <c r="S1314" s="18" t="n"/>
      <c r="T1314" s="19">
        <f>IF(OR($C1314="",$L1314="",$K1314&lt;&gt;1,NOT(ISNUMBER($L1314)),$L1314&gt;=$J1314),"",IF($S1314="","(enter date)",_xlfn.LET(_xlpm.dn,_xlfn.XLOOKUP($S1314,nrCDdate,nrCDnum,"",1),IF(_xlpm.dn="","(after last class day)",_xlfn.LET(_xlpm.dd,_xlfn.XLOOKUP(_xlpm.dn+cfgRetestClassDays,nrCDnum,nrCDdate,""),_xlpm.ok,_xlfn.XLOOKUP(_xlpm.dn+cfgRetestClassDays,nrCDnum,nrCDinsession,"No"),IF(OR(_xlpm.dd="",_xlpm.ok&lt;&gt;"Yes"),"(after last class day)",_xlpm.dd))))))</f>
        <v/>
      </c>
      <c r="U1314" s="17">
        <f>IF($C1314="","",IF(AND($Y1314="Excused",$L1314="",N($K1314)&lt;=1),"EXCUSED - 1st attempt pending",IF(OR($L1314="",$K1314&lt;&gt;1,NOT(ISNUMBER($L1314)),$L1314&gt;=$J1314),"",IF(COUNTIFS(nrES_PID,$D1314,nrES_Code,$F1314,nrES_Att,2,nrES_Raw,"&gt;=0")&gt;0,IF(IFERROR(_xlfn.MINIFS(nrES_Date,nrES_PID,$D1314,nrES_Code,$F1314,nrES_Att,2,nrES_Raw,"&gt;=0",nrES_Date,"&gt;0"),0)=0,"RETEST UNDATED",IF(NOT(ISNUMBER($T1314)),"RETEST DATE UNCHECKED",IF(_xlfn.MINIFS(nrES_Date,nrES_PID,$D1314,nrES_Code,$F1314,nrES_Att,2,nrES_Raw,"&gt;=0",nrES_Date,"&gt;0")&gt;$T1314,"LATE RETEST "&amp;TEXT(_xlfn.MINIFS(nrES_Date,nrES_PID,$D1314,nrES_Code,$F1314,nrES_Att,2,nrES_Raw,"&gt;=0",nrES_Date,"&gt;0"),"mm/dd")&amp;" (due "&amp;TEXT($T1314,"mm/dd")&amp;")","Retested"))),IF(NOT(ISNUMBER($T1314)),"CHECK DATE",IF(TODAY()&gt;$T1314,"OVERDUE","Due "&amp;TEXT($T1314,"mm/dd")))))))</f>
        <v/>
      </c>
      <c r="V1314" s="16" t="n"/>
      <c r="W1314" s="16" t="n"/>
      <c r="X1314" s="17">
        <f>IF($C1314="","",IF(AND($L1314&lt;&gt;"",NOT(ISNUMBER($L1314))),"RAW SCORE NOT A NUMBER",IF(AND(ISNUMBER($L1314),OR($L1314&lt;0,$L1314&gt;100)),"RAW SCORE OUT OF RANGE",IF(AND($Y1314="Unexcused",OR($L1314="",NOT(ISNUMBER($L1314)),$L1314&lt;&gt;0)),"UNEXCUSED ABSENCE MUST RECORD 0",IF(COUNTIF(nrES_RecID,$B1314)&gt;1,"DUPLICATE RECORD",IF(N($K1314)&gt;2,"ATTEMPT 3+ NOT ALLOWED - policy 300.5 permits one retest per exam; this row records nothing",IF(AND($K1314=2,COUNTIFS(nrES_PID,$D1314,nrES_Code,$F1314,nrES_Att,1)=0),"ATTEMPT 2 WITHOUT ATTEMPT 1",IF(AND($K1314=2,$L1314=""),"RETEST ROW HAS NO SCORE",IF(AND($H1314="Final",$L1314&lt;&gt;"",IFERROR(INDEX(nrCKfinalExamElig,MATCH($D1314,rngCadetPIDs,0)),"")="No"),"FINAL EXAM AFTER FAILED FINAL PT (500.1.H)",IF(AND($K1314=2,ISNUMBER($L1314),COUNTIFS(nrES_PID,$D1314,nrES_Code,$F1314,nrES_Att,1)&gt;0,SUMIFS(nrES_Raw,nrES_PID,$D1314,nrES_Code,$F1314,nrES_Att,1)&gt;=$J1314),"RETEST AFTER A PASSING FIRST ATTEMPT","OK"))))))))))</f>
        <v/>
      </c>
      <c r="Y1314" s="16" t="n"/>
    </row>
    <row r="1315">
      <c r="B1315" s="17">
        <f>IF($C1315="","",$D1315&amp;"-"&amp;$F1315&amp;"-"&amp;$K1315)</f>
        <v/>
      </c>
      <c r="C1315" s="16" t="n"/>
      <c r="D1315" s="17">
        <f>IF($C1315="","",IFERROR(INDEX(rngCadetPIDs,MATCH($C1315,rngCadetNames,0)),"?"))</f>
        <v/>
      </c>
      <c r="E1315" s="17">
        <f>IF($D1315="","",IFERROR(INDEX(nrCadetAgency,MATCH($D1315,rngCadetPIDs,0)),""))</f>
        <v/>
      </c>
      <c r="F1315" s="16" t="n"/>
      <c r="G1315" s="17">
        <f>IF($F1315="","",IFERROR(INDEX(rngEPname,MATCH($F1315,rngEPcode,0)),"?"))</f>
        <v/>
      </c>
      <c r="H1315" s="17">
        <f>IF($F1315="","",IFERROR(INDEX(rngEPtype,MATCH($F1315,rngEPcode,0)),"?"))</f>
        <v/>
      </c>
      <c r="I1315" s="17">
        <f>IF($F1315="","",IFERROR(INDEX(rngEPseq,MATCH($F1315,rngEPcode,0)),""))</f>
        <v/>
      </c>
      <c r="J1315" s="17">
        <f>IF($F1315="","",IFERROR(INDEX(rngEPpass,MATCH($F1315,rngEPcode,0)),cfgPassingScore))</f>
        <v/>
      </c>
      <c r="K1315" s="16" t="n"/>
      <c r="L1315" s="16" t="n"/>
      <c r="M1315" s="17">
        <f>IF($C1315="","",IF($L1315="","",IF(NOT(ISNUMBER($L1315)),$L1315,IF(N($K1315)&gt;2,"",IF($K1315=1,IF(COUNTIFS(nrES_PID,$D1315,nrES_Code,$F1315,nrES_Att,2,nrES_Raw,"&gt;=0")&gt;0,"",$L1315),IF($L1315&gt;=$J1315,MAX($J1315,cfgRetakeRecordedCap),IF(COUNTIFS(nrES_PID,$D1315,nrES_Code,$F1315,nrES_Att,1)=0,$L1315,SUMIFS(nrES_Raw,nrES_PID,$D1315,nrES_Code,$F1315,nrES_Att,1))))))))</f>
        <v/>
      </c>
      <c r="N1315" s="17">
        <f>IF($C1315="","",IF($L1315="","",IF(NOT(ISNUMBER($L1315)),"(not a score)",IF($L1315&gt;=$J1315,"Yes","No"))))</f>
        <v/>
      </c>
      <c r="O1315" s="17">
        <f>IF($C1315="","",IF($M1315="","",IF(NOT(ISNUMBER($M1315)),"(not a score)",IF($M1315&gt;=$J1315,"Yes","No"))))</f>
        <v/>
      </c>
      <c r="P1315" s="17">
        <f>IF($C1315="","",IF($K1315="","",IF(N($K1315)&gt;2,"No",IF(COUNTIFS(nrES_PID,$D1315,nrES_Code,$F1315,nrES_Att,"&gt;"&amp;$K1315,nrES_Att,"&lt;=2",nrES_Raw,"&gt;=0")=0,"Yes","No"))))</f>
        <v/>
      </c>
      <c r="Q1315" s="17">
        <f>IF($C1315="","",IF($L1315="","",IF(AND($K1315=1,ISNUMBER($L1315),$L1315&lt;$J1315,COUNTIFS(nrES_PID,$D1315,nrES_Code,$F1315,nrES_Att,2,nrES_Raw,"&gt;=0")=0),"Yes","No")))</f>
        <v/>
      </c>
      <c r="R1315" s="17">
        <f>IF($C1315="","",IF($L1315="","",IF(AND(N($K1315)&gt;=2,ISNUMBER($L1315),$L1315&lt;$J1315),"Yes","No")))</f>
        <v/>
      </c>
      <c r="S1315" s="18" t="n"/>
      <c r="T1315" s="19">
        <f>IF(OR($C1315="",$L1315="",$K1315&lt;&gt;1,NOT(ISNUMBER($L1315)),$L1315&gt;=$J1315),"",IF($S1315="","(enter date)",_xlfn.LET(_xlpm.dn,_xlfn.XLOOKUP($S1315,nrCDdate,nrCDnum,"",1),IF(_xlpm.dn="","(after last class day)",_xlfn.LET(_xlpm.dd,_xlfn.XLOOKUP(_xlpm.dn+cfgRetestClassDays,nrCDnum,nrCDdate,""),_xlpm.ok,_xlfn.XLOOKUP(_xlpm.dn+cfgRetestClassDays,nrCDnum,nrCDinsession,"No"),IF(OR(_xlpm.dd="",_xlpm.ok&lt;&gt;"Yes"),"(after last class day)",_xlpm.dd))))))</f>
        <v/>
      </c>
      <c r="U1315" s="17">
        <f>IF($C1315="","",IF(AND($Y1315="Excused",$L1315="",N($K1315)&lt;=1),"EXCUSED - 1st attempt pending",IF(OR($L1315="",$K1315&lt;&gt;1,NOT(ISNUMBER($L1315)),$L1315&gt;=$J1315),"",IF(COUNTIFS(nrES_PID,$D1315,nrES_Code,$F1315,nrES_Att,2,nrES_Raw,"&gt;=0")&gt;0,IF(IFERROR(_xlfn.MINIFS(nrES_Date,nrES_PID,$D1315,nrES_Code,$F1315,nrES_Att,2,nrES_Raw,"&gt;=0",nrES_Date,"&gt;0"),0)=0,"RETEST UNDATED",IF(NOT(ISNUMBER($T1315)),"RETEST DATE UNCHECKED",IF(_xlfn.MINIFS(nrES_Date,nrES_PID,$D1315,nrES_Code,$F1315,nrES_Att,2,nrES_Raw,"&gt;=0",nrES_Date,"&gt;0")&gt;$T1315,"LATE RETEST "&amp;TEXT(_xlfn.MINIFS(nrES_Date,nrES_PID,$D1315,nrES_Code,$F1315,nrES_Att,2,nrES_Raw,"&gt;=0",nrES_Date,"&gt;0"),"mm/dd")&amp;" (due "&amp;TEXT($T1315,"mm/dd")&amp;")","Retested"))),IF(NOT(ISNUMBER($T1315)),"CHECK DATE",IF(TODAY()&gt;$T1315,"OVERDUE","Due "&amp;TEXT($T1315,"mm/dd")))))))</f>
        <v/>
      </c>
      <c r="V1315" s="16" t="n"/>
      <c r="W1315" s="16" t="n"/>
      <c r="X1315" s="17">
        <f>IF($C1315="","",IF(AND($L1315&lt;&gt;"",NOT(ISNUMBER($L1315))),"RAW SCORE NOT A NUMBER",IF(AND(ISNUMBER($L1315),OR($L1315&lt;0,$L1315&gt;100)),"RAW SCORE OUT OF RANGE",IF(AND($Y1315="Unexcused",OR($L1315="",NOT(ISNUMBER($L1315)),$L1315&lt;&gt;0)),"UNEXCUSED ABSENCE MUST RECORD 0",IF(COUNTIF(nrES_RecID,$B1315)&gt;1,"DUPLICATE RECORD",IF(N($K1315)&gt;2,"ATTEMPT 3+ NOT ALLOWED - policy 300.5 permits one retest per exam; this row records nothing",IF(AND($K1315=2,COUNTIFS(nrES_PID,$D1315,nrES_Code,$F1315,nrES_Att,1)=0),"ATTEMPT 2 WITHOUT ATTEMPT 1",IF(AND($K1315=2,$L1315=""),"RETEST ROW HAS NO SCORE",IF(AND($H1315="Final",$L1315&lt;&gt;"",IFERROR(INDEX(nrCKfinalExamElig,MATCH($D1315,rngCadetPIDs,0)),"")="No"),"FINAL EXAM AFTER FAILED FINAL PT (500.1.H)",IF(AND($K1315=2,ISNUMBER($L1315),COUNTIFS(nrES_PID,$D1315,nrES_Code,$F1315,nrES_Att,1)&gt;0,SUMIFS(nrES_Raw,nrES_PID,$D1315,nrES_Code,$F1315,nrES_Att,1)&gt;=$J1315),"RETEST AFTER A PASSING FIRST ATTEMPT","OK"))))))))))</f>
        <v/>
      </c>
      <c r="Y1315" s="16" t="n"/>
    </row>
    <row r="1316">
      <c r="B1316" s="17">
        <f>IF($C1316="","",$D1316&amp;"-"&amp;$F1316&amp;"-"&amp;$K1316)</f>
        <v/>
      </c>
      <c r="C1316" s="16" t="n"/>
      <c r="D1316" s="17">
        <f>IF($C1316="","",IFERROR(INDEX(rngCadetPIDs,MATCH($C1316,rngCadetNames,0)),"?"))</f>
        <v/>
      </c>
      <c r="E1316" s="17">
        <f>IF($D1316="","",IFERROR(INDEX(nrCadetAgency,MATCH($D1316,rngCadetPIDs,0)),""))</f>
        <v/>
      </c>
      <c r="F1316" s="16" t="n"/>
      <c r="G1316" s="17">
        <f>IF($F1316="","",IFERROR(INDEX(rngEPname,MATCH($F1316,rngEPcode,0)),"?"))</f>
        <v/>
      </c>
      <c r="H1316" s="17">
        <f>IF($F1316="","",IFERROR(INDEX(rngEPtype,MATCH($F1316,rngEPcode,0)),"?"))</f>
        <v/>
      </c>
      <c r="I1316" s="17">
        <f>IF($F1316="","",IFERROR(INDEX(rngEPseq,MATCH($F1316,rngEPcode,0)),""))</f>
        <v/>
      </c>
      <c r="J1316" s="17">
        <f>IF($F1316="","",IFERROR(INDEX(rngEPpass,MATCH($F1316,rngEPcode,0)),cfgPassingScore))</f>
        <v/>
      </c>
      <c r="K1316" s="16" t="n"/>
      <c r="L1316" s="16" t="n"/>
      <c r="M1316" s="17">
        <f>IF($C1316="","",IF($L1316="","",IF(NOT(ISNUMBER($L1316)),$L1316,IF(N($K1316)&gt;2,"",IF($K1316=1,IF(COUNTIFS(nrES_PID,$D1316,nrES_Code,$F1316,nrES_Att,2,nrES_Raw,"&gt;=0")&gt;0,"",$L1316),IF($L1316&gt;=$J1316,MAX($J1316,cfgRetakeRecordedCap),IF(COUNTIFS(nrES_PID,$D1316,nrES_Code,$F1316,nrES_Att,1)=0,$L1316,SUMIFS(nrES_Raw,nrES_PID,$D1316,nrES_Code,$F1316,nrES_Att,1))))))))</f>
        <v/>
      </c>
      <c r="N1316" s="17">
        <f>IF($C1316="","",IF($L1316="","",IF(NOT(ISNUMBER($L1316)),"(not a score)",IF($L1316&gt;=$J1316,"Yes","No"))))</f>
        <v/>
      </c>
      <c r="O1316" s="17">
        <f>IF($C1316="","",IF($M1316="","",IF(NOT(ISNUMBER($M1316)),"(not a score)",IF($M1316&gt;=$J1316,"Yes","No"))))</f>
        <v/>
      </c>
      <c r="P1316" s="17">
        <f>IF($C1316="","",IF($K1316="","",IF(N($K1316)&gt;2,"No",IF(COUNTIFS(nrES_PID,$D1316,nrES_Code,$F1316,nrES_Att,"&gt;"&amp;$K1316,nrES_Att,"&lt;=2",nrES_Raw,"&gt;=0")=0,"Yes","No"))))</f>
        <v/>
      </c>
      <c r="Q1316" s="17">
        <f>IF($C1316="","",IF($L1316="","",IF(AND($K1316=1,ISNUMBER($L1316),$L1316&lt;$J1316,COUNTIFS(nrES_PID,$D1316,nrES_Code,$F1316,nrES_Att,2,nrES_Raw,"&gt;=0")=0),"Yes","No")))</f>
        <v/>
      </c>
      <c r="R1316" s="17">
        <f>IF($C1316="","",IF($L1316="","",IF(AND(N($K1316)&gt;=2,ISNUMBER($L1316),$L1316&lt;$J1316),"Yes","No")))</f>
        <v/>
      </c>
      <c r="S1316" s="18" t="n"/>
      <c r="T1316" s="19">
        <f>IF(OR($C1316="",$L1316="",$K1316&lt;&gt;1,NOT(ISNUMBER($L1316)),$L1316&gt;=$J1316),"",IF($S1316="","(enter date)",_xlfn.LET(_xlpm.dn,_xlfn.XLOOKUP($S1316,nrCDdate,nrCDnum,"",1),IF(_xlpm.dn="","(after last class day)",_xlfn.LET(_xlpm.dd,_xlfn.XLOOKUP(_xlpm.dn+cfgRetestClassDays,nrCDnum,nrCDdate,""),_xlpm.ok,_xlfn.XLOOKUP(_xlpm.dn+cfgRetestClassDays,nrCDnum,nrCDinsession,"No"),IF(OR(_xlpm.dd="",_xlpm.ok&lt;&gt;"Yes"),"(after last class day)",_xlpm.dd))))))</f>
        <v/>
      </c>
      <c r="U1316" s="17">
        <f>IF($C1316="","",IF(AND($Y1316="Excused",$L1316="",N($K1316)&lt;=1),"EXCUSED - 1st attempt pending",IF(OR($L1316="",$K1316&lt;&gt;1,NOT(ISNUMBER($L1316)),$L1316&gt;=$J1316),"",IF(COUNTIFS(nrES_PID,$D1316,nrES_Code,$F1316,nrES_Att,2,nrES_Raw,"&gt;=0")&gt;0,IF(IFERROR(_xlfn.MINIFS(nrES_Date,nrES_PID,$D1316,nrES_Code,$F1316,nrES_Att,2,nrES_Raw,"&gt;=0",nrES_Date,"&gt;0"),0)=0,"RETEST UNDATED",IF(NOT(ISNUMBER($T1316)),"RETEST DATE UNCHECKED",IF(_xlfn.MINIFS(nrES_Date,nrES_PID,$D1316,nrES_Code,$F1316,nrES_Att,2,nrES_Raw,"&gt;=0",nrES_Date,"&gt;0")&gt;$T1316,"LATE RETEST "&amp;TEXT(_xlfn.MINIFS(nrES_Date,nrES_PID,$D1316,nrES_Code,$F1316,nrES_Att,2,nrES_Raw,"&gt;=0",nrES_Date,"&gt;0"),"mm/dd")&amp;" (due "&amp;TEXT($T1316,"mm/dd")&amp;")","Retested"))),IF(NOT(ISNUMBER($T1316)),"CHECK DATE",IF(TODAY()&gt;$T1316,"OVERDUE","Due "&amp;TEXT($T1316,"mm/dd")))))))</f>
        <v/>
      </c>
      <c r="V1316" s="16" t="n"/>
      <c r="W1316" s="16" t="n"/>
      <c r="X1316" s="17">
        <f>IF($C1316="","",IF(AND($L1316&lt;&gt;"",NOT(ISNUMBER($L1316))),"RAW SCORE NOT A NUMBER",IF(AND(ISNUMBER($L1316),OR($L1316&lt;0,$L1316&gt;100)),"RAW SCORE OUT OF RANGE",IF(AND($Y1316="Unexcused",OR($L1316="",NOT(ISNUMBER($L1316)),$L1316&lt;&gt;0)),"UNEXCUSED ABSENCE MUST RECORD 0",IF(COUNTIF(nrES_RecID,$B1316)&gt;1,"DUPLICATE RECORD",IF(N($K1316)&gt;2,"ATTEMPT 3+ NOT ALLOWED - policy 300.5 permits one retest per exam; this row records nothing",IF(AND($K1316=2,COUNTIFS(nrES_PID,$D1316,nrES_Code,$F1316,nrES_Att,1)=0),"ATTEMPT 2 WITHOUT ATTEMPT 1",IF(AND($K1316=2,$L1316=""),"RETEST ROW HAS NO SCORE",IF(AND($H1316="Final",$L1316&lt;&gt;"",IFERROR(INDEX(nrCKfinalExamElig,MATCH($D1316,rngCadetPIDs,0)),"")="No"),"FINAL EXAM AFTER FAILED FINAL PT (500.1.H)",IF(AND($K1316=2,ISNUMBER($L1316),COUNTIFS(nrES_PID,$D1316,nrES_Code,$F1316,nrES_Att,1)&gt;0,SUMIFS(nrES_Raw,nrES_PID,$D1316,nrES_Code,$F1316,nrES_Att,1)&gt;=$J1316),"RETEST AFTER A PASSING FIRST ATTEMPT","OK"))))))))))</f>
        <v/>
      </c>
      <c r="Y1316" s="16" t="n"/>
    </row>
    <row r="1317">
      <c r="B1317" s="17">
        <f>IF($C1317="","",$D1317&amp;"-"&amp;$F1317&amp;"-"&amp;$K1317)</f>
        <v/>
      </c>
      <c r="C1317" s="16" t="n"/>
      <c r="D1317" s="17">
        <f>IF($C1317="","",IFERROR(INDEX(rngCadetPIDs,MATCH($C1317,rngCadetNames,0)),"?"))</f>
        <v/>
      </c>
      <c r="E1317" s="17">
        <f>IF($D1317="","",IFERROR(INDEX(nrCadetAgency,MATCH($D1317,rngCadetPIDs,0)),""))</f>
        <v/>
      </c>
      <c r="F1317" s="16" t="n"/>
      <c r="G1317" s="17">
        <f>IF($F1317="","",IFERROR(INDEX(rngEPname,MATCH($F1317,rngEPcode,0)),"?"))</f>
        <v/>
      </c>
      <c r="H1317" s="17">
        <f>IF($F1317="","",IFERROR(INDEX(rngEPtype,MATCH($F1317,rngEPcode,0)),"?"))</f>
        <v/>
      </c>
      <c r="I1317" s="17">
        <f>IF($F1317="","",IFERROR(INDEX(rngEPseq,MATCH($F1317,rngEPcode,0)),""))</f>
        <v/>
      </c>
      <c r="J1317" s="17">
        <f>IF($F1317="","",IFERROR(INDEX(rngEPpass,MATCH($F1317,rngEPcode,0)),cfgPassingScore))</f>
        <v/>
      </c>
      <c r="K1317" s="16" t="n"/>
      <c r="L1317" s="16" t="n"/>
      <c r="M1317" s="17">
        <f>IF($C1317="","",IF($L1317="","",IF(NOT(ISNUMBER($L1317)),$L1317,IF(N($K1317)&gt;2,"",IF($K1317=1,IF(COUNTIFS(nrES_PID,$D1317,nrES_Code,$F1317,nrES_Att,2,nrES_Raw,"&gt;=0")&gt;0,"",$L1317),IF($L1317&gt;=$J1317,MAX($J1317,cfgRetakeRecordedCap),IF(COUNTIFS(nrES_PID,$D1317,nrES_Code,$F1317,nrES_Att,1)=0,$L1317,SUMIFS(nrES_Raw,nrES_PID,$D1317,nrES_Code,$F1317,nrES_Att,1))))))))</f>
        <v/>
      </c>
      <c r="N1317" s="17">
        <f>IF($C1317="","",IF($L1317="","",IF(NOT(ISNUMBER($L1317)),"(not a score)",IF($L1317&gt;=$J1317,"Yes","No"))))</f>
        <v/>
      </c>
      <c r="O1317" s="17">
        <f>IF($C1317="","",IF($M1317="","",IF(NOT(ISNUMBER($M1317)),"(not a score)",IF($M1317&gt;=$J1317,"Yes","No"))))</f>
        <v/>
      </c>
      <c r="P1317" s="17">
        <f>IF($C1317="","",IF($K1317="","",IF(N($K1317)&gt;2,"No",IF(COUNTIFS(nrES_PID,$D1317,nrES_Code,$F1317,nrES_Att,"&gt;"&amp;$K1317,nrES_Att,"&lt;=2",nrES_Raw,"&gt;=0")=0,"Yes","No"))))</f>
        <v/>
      </c>
      <c r="Q1317" s="17">
        <f>IF($C1317="","",IF($L1317="","",IF(AND($K1317=1,ISNUMBER($L1317),$L1317&lt;$J1317,COUNTIFS(nrES_PID,$D1317,nrES_Code,$F1317,nrES_Att,2,nrES_Raw,"&gt;=0")=0),"Yes","No")))</f>
        <v/>
      </c>
      <c r="R1317" s="17">
        <f>IF($C1317="","",IF($L1317="","",IF(AND(N($K1317)&gt;=2,ISNUMBER($L1317),$L1317&lt;$J1317),"Yes","No")))</f>
        <v/>
      </c>
      <c r="S1317" s="18" t="n"/>
      <c r="T1317" s="19">
        <f>IF(OR($C1317="",$L1317="",$K1317&lt;&gt;1,NOT(ISNUMBER($L1317)),$L1317&gt;=$J1317),"",IF($S1317="","(enter date)",_xlfn.LET(_xlpm.dn,_xlfn.XLOOKUP($S1317,nrCDdate,nrCDnum,"",1),IF(_xlpm.dn="","(after last class day)",_xlfn.LET(_xlpm.dd,_xlfn.XLOOKUP(_xlpm.dn+cfgRetestClassDays,nrCDnum,nrCDdate,""),_xlpm.ok,_xlfn.XLOOKUP(_xlpm.dn+cfgRetestClassDays,nrCDnum,nrCDinsession,"No"),IF(OR(_xlpm.dd="",_xlpm.ok&lt;&gt;"Yes"),"(after last class day)",_xlpm.dd))))))</f>
        <v/>
      </c>
      <c r="U1317" s="17">
        <f>IF($C1317="","",IF(AND($Y1317="Excused",$L1317="",N($K1317)&lt;=1),"EXCUSED - 1st attempt pending",IF(OR($L1317="",$K1317&lt;&gt;1,NOT(ISNUMBER($L1317)),$L1317&gt;=$J1317),"",IF(COUNTIFS(nrES_PID,$D1317,nrES_Code,$F1317,nrES_Att,2,nrES_Raw,"&gt;=0")&gt;0,IF(IFERROR(_xlfn.MINIFS(nrES_Date,nrES_PID,$D1317,nrES_Code,$F1317,nrES_Att,2,nrES_Raw,"&gt;=0",nrES_Date,"&gt;0"),0)=0,"RETEST UNDATED",IF(NOT(ISNUMBER($T1317)),"RETEST DATE UNCHECKED",IF(_xlfn.MINIFS(nrES_Date,nrES_PID,$D1317,nrES_Code,$F1317,nrES_Att,2,nrES_Raw,"&gt;=0",nrES_Date,"&gt;0")&gt;$T1317,"LATE RETEST "&amp;TEXT(_xlfn.MINIFS(nrES_Date,nrES_PID,$D1317,nrES_Code,$F1317,nrES_Att,2,nrES_Raw,"&gt;=0",nrES_Date,"&gt;0"),"mm/dd")&amp;" (due "&amp;TEXT($T1317,"mm/dd")&amp;")","Retested"))),IF(NOT(ISNUMBER($T1317)),"CHECK DATE",IF(TODAY()&gt;$T1317,"OVERDUE","Due "&amp;TEXT($T1317,"mm/dd")))))))</f>
        <v/>
      </c>
      <c r="V1317" s="16" t="n"/>
      <c r="W1317" s="16" t="n"/>
      <c r="X1317" s="17">
        <f>IF($C1317="","",IF(AND($L1317&lt;&gt;"",NOT(ISNUMBER($L1317))),"RAW SCORE NOT A NUMBER",IF(AND(ISNUMBER($L1317),OR($L1317&lt;0,$L1317&gt;100)),"RAW SCORE OUT OF RANGE",IF(AND($Y1317="Unexcused",OR($L1317="",NOT(ISNUMBER($L1317)),$L1317&lt;&gt;0)),"UNEXCUSED ABSENCE MUST RECORD 0",IF(COUNTIF(nrES_RecID,$B1317)&gt;1,"DUPLICATE RECORD",IF(N($K1317)&gt;2,"ATTEMPT 3+ NOT ALLOWED - policy 300.5 permits one retest per exam; this row records nothing",IF(AND($K1317=2,COUNTIFS(nrES_PID,$D1317,nrES_Code,$F1317,nrES_Att,1)=0),"ATTEMPT 2 WITHOUT ATTEMPT 1",IF(AND($K1317=2,$L1317=""),"RETEST ROW HAS NO SCORE",IF(AND($H1317="Final",$L1317&lt;&gt;"",IFERROR(INDEX(nrCKfinalExamElig,MATCH($D1317,rngCadetPIDs,0)),"")="No"),"FINAL EXAM AFTER FAILED FINAL PT (500.1.H)",IF(AND($K1317=2,ISNUMBER($L1317),COUNTIFS(nrES_PID,$D1317,nrES_Code,$F1317,nrES_Att,1)&gt;0,SUMIFS(nrES_Raw,nrES_PID,$D1317,nrES_Code,$F1317,nrES_Att,1)&gt;=$J1317),"RETEST AFTER A PASSING FIRST ATTEMPT","OK"))))))))))</f>
        <v/>
      </c>
      <c r="Y1317" s="16" t="n"/>
    </row>
    <row r="1318">
      <c r="B1318" s="17">
        <f>IF($C1318="","",$D1318&amp;"-"&amp;$F1318&amp;"-"&amp;$K1318)</f>
        <v/>
      </c>
      <c r="C1318" s="16" t="n"/>
      <c r="D1318" s="17">
        <f>IF($C1318="","",IFERROR(INDEX(rngCadetPIDs,MATCH($C1318,rngCadetNames,0)),"?"))</f>
        <v/>
      </c>
      <c r="E1318" s="17">
        <f>IF($D1318="","",IFERROR(INDEX(nrCadetAgency,MATCH($D1318,rngCadetPIDs,0)),""))</f>
        <v/>
      </c>
      <c r="F1318" s="16" t="n"/>
      <c r="G1318" s="17">
        <f>IF($F1318="","",IFERROR(INDEX(rngEPname,MATCH($F1318,rngEPcode,0)),"?"))</f>
        <v/>
      </c>
      <c r="H1318" s="17">
        <f>IF($F1318="","",IFERROR(INDEX(rngEPtype,MATCH($F1318,rngEPcode,0)),"?"))</f>
        <v/>
      </c>
      <c r="I1318" s="17">
        <f>IF($F1318="","",IFERROR(INDEX(rngEPseq,MATCH($F1318,rngEPcode,0)),""))</f>
        <v/>
      </c>
      <c r="J1318" s="17">
        <f>IF($F1318="","",IFERROR(INDEX(rngEPpass,MATCH($F1318,rngEPcode,0)),cfgPassingScore))</f>
        <v/>
      </c>
      <c r="K1318" s="16" t="n"/>
      <c r="L1318" s="16" t="n"/>
      <c r="M1318" s="17">
        <f>IF($C1318="","",IF($L1318="","",IF(NOT(ISNUMBER($L1318)),$L1318,IF(N($K1318)&gt;2,"",IF($K1318=1,IF(COUNTIFS(nrES_PID,$D1318,nrES_Code,$F1318,nrES_Att,2,nrES_Raw,"&gt;=0")&gt;0,"",$L1318),IF($L1318&gt;=$J1318,MAX($J1318,cfgRetakeRecordedCap),IF(COUNTIFS(nrES_PID,$D1318,nrES_Code,$F1318,nrES_Att,1)=0,$L1318,SUMIFS(nrES_Raw,nrES_PID,$D1318,nrES_Code,$F1318,nrES_Att,1))))))))</f>
        <v/>
      </c>
      <c r="N1318" s="17">
        <f>IF($C1318="","",IF($L1318="","",IF(NOT(ISNUMBER($L1318)),"(not a score)",IF($L1318&gt;=$J1318,"Yes","No"))))</f>
        <v/>
      </c>
      <c r="O1318" s="17">
        <f>IF($C1318="","",IF($M1318="","",IF(NOT(ISNUMBER($M1318)),"(not a score)",IF($M1318&gt;=$J1318,"Yes","No"))))</f>
        <v/>
      </c>
      <c r="P1318" s="17">
        <f>IF($C1318="","",IF($K1318="","",IF(N($K1318)&gt;2,"No",IF(COUNTIFS(nrES_PID,$D1318,nrES_Code,$F1318,nrES_Att,"&gt;"&amp;$K1318,nrES_Att,"&lt;=2",nrES_Raw,"&gt;=0")=0,"Yes","No"))))</f>
        <v/>
      </c>
      <c r="Q1318" s="17">
        <f>IF($C1318="","",IF($L1318="","",IF(AND($K1318=1,ISNUMBER($L1318),$L1318&lt;$J1318,COUNTIFS(nrES_PID,$D1318,nrES_Code,$F1318,nrES_Att,2,nrES_Raw,"&gt;=0")=0),"Yes","No")))</f>
        <v/>
      </c>
      <c r="R1318" s="17">
        <f>IF($C1318="","",IF($L1318="","",IF(AND(N($K1318)&gt;=2,ISNUMBER($L1318),$L1318&lt;$J1318),"Yes","No")))</f>
        <v/>
      </c>
      <c r="S1318" s="18" t="n"/>
      <c r="T1318" s="19">
        <f>IF(OR($C1318="",$L1318="",$K1318&lt;&gt;1,NOT(ISNUMBER($L1318)),$L1318&gt;=$J1318),"",IF($S1318="","(enter date)",_xlfn.LET(_xlpm.dn,_xlfn.XLOOKUP($S1318,nrCDdate,nrCDnum,"",1),IF(_xlpm.dn="","(after last class day)",_xlfn.LET(_xlpm.dd,_xlfn.XLOOKUP(_xlpm.dn+cfgRetestClassDays,nrCDnum,nrCDdate,""),_xlpm.ok,_xlfn.XLOOKUP(_xlpm.dn+cfgRetestClassDays,nrCDnum,nrCDinsession,"No"),IF(OR(_xlpm.dd="",_xlpm.ok&lt;&gt;"Yes"),"(after last class day)",_xlpm.dd))))))</f>
        <v/>
      </c>
      <c r="U1318" s="17">
        <f>IF($C1318="","",IF(AND($Y1318="Excused",$L1318="",N($K1318)&lt;=1),"EXCUSED - 1st attempt pending",IF(OR($L1318="",$K1318&lt;&gt;1,NOT(ISNUMBER($L1318)),$L1318&gt;=$J1318),"",IF(COUNTIFS(nrES_PID,$D1318,nrES_Code,$F1318,nrES_Att,2,nrES_Raw,"&gt;=0")&gt;0,IF(IFERROR(_xlfn.MINIFS(nrES_Date,nrES_PID,$D1318,nrES_Code,$F1318,nrES_Att,2,nrES_Raw,"&gt;=0",nrES_Date,"&gt;0"),0)=0,"RETEST UNDATED",IF(NOT(ISNUMBER($T1318)),"RETEST DATE UNCHECKED",IF(_xlfn.MINIFS(nrES_Date,nrES_PID,$D1318,nrES_Code,$F1318,nrES_Att,2,nrES_Raw,"&gt;=0",nrES_Date,"&gt;0")&gt;$T1318,"LATE RETEST "&amp;TEXT(_xlfn.MINIFS(nrES_Date,nrES_PID,$D1318,nrES_Code,$F1318,nrES_Att,2,nrES_Raw,"&gt;=0",nrES_Date,"&gt;0"),"mm/dd")&amp;" (due "&amp;TEXT($T1318,"mm/dd")&amp;")","Retested"))),IF(NOT(ISNUMBER($T1318)),"CHECK DATE",IF(TODAY()&gt;$T1318,"OVERDUE","Due "&amp;TEXT($T1318,"mm/dd")))))))</f>
        <v/>
      </c>
      <c r="V1318" s="16" t="n"/>
      <c r="W1318" s="16" t="n"/>
      <c r="X1318" s="17">
        <f>IF($C1318="","",IF(AND($L1318&lt;&gt;"",NOT(ISNUMBER($L1318))),"RAW SCORE NOT A NUMBER",IF(AND(ISNUMBER($L1318),OR($L1318&lt;0,$L1318&gt;100)),"RAW SCORE OUT OF RANGE",IF(AND($Y1318="Unexcused",OR($L1318="",NOT(ISNUMBER($L1318)),$L1318&lt;&gt;0)),"UNEXCUSED ABSENCE MUST RECORD 0",IF(COUNTIF(nrES_RecID,$B1318)&gt;1,"DUPLICATE RECORD",IF(N($K1318)&gt;2,"ATTEMPT 3+ NOT ALLOWED - policy 300.5 permits one retest per exam; this row records nothing",IF(AND($K1318=2,COUNTIFS(nrES_PID,$D1318,nrES_Code,$F1318,nrES_Att,1)=0),"ATTEMPT 2 WITHOUT ATTEMPT 1",IF(AND($K1318=2,$L1318=""),"RETEST ROW HAS NO SCORE",IF(AND($H1318="Final",$L1318&lt;&gt;"",IFERROR(INDEX(nrCKfinalExamElig,MATCH($D1318,rngCadetPIDs,0)),"")="No"),"FINAL EXAM AFTER FAILED FINAL PT (500.1.H)",IF(AND($K1318=2,ISNUMBER($L1318),COUNTIFS(nrES_PID,$D1318,nrES_Code,$F1318,nrES_Att,1)&gt;0,SUMIFS(nrES_Raw,nrES_PID,$D1318,nrES_Code,$F1318,nrES_Att,1)&gt;=$J1318),"RETEST AFTER A PASSING FIRST ATTEMPT","OK"))))))))))</f>
        <v/>
      </c>
      <c r="Y1318" s="16" t="n"/>
    </row>
    <row r="1319">
      <c r="B1319" s="17">
        <f>IF($C1319="","",$D1319&amp;"-"&amp;$F1319&amp;"-"&amp;$K1319)</f>
        <v/>
      </c>
      <c r="C1319" s="16" t="n"/>
      <c r="D1319" s="17">
        <f>IF($C1319="","",IFERROR(INDEX(rngCadetPIDs,MATCH($C1319,rngCadetNames,0)),"?"))</f>
        <v/>
      </c>
      <c r="E1319" s="17">
        <f>IF($D1319="","",IFERROR(INDEX(nrCadetAgency,MATCH($D1319,rngCadetPIDs,0)),""))</f>
        <v/>
      </c>
      <c r="F1319" s="16" t="n"/>
      <c r="G1319" s="17">
        <f>IF($F1319="","",IFERROR(INDEX(rngEPname,MATCH($F1319,rngEPcode,0)),"?"))</f>
        <v/>
      </c>
      <c r="H1319" s="17">
        <f>IF($F1319="","",IFERROR(INDEX(rngEPtype,MATCH($F1319,rngEPcode,0)),"?"))</f>
        <v/>
      </c>
      <c r="I1319" s="17">
        <f>IF($F1319="","",IFERROR(INDEX(rngEPseq,MATCH($F1319,rngEPcode,0)),""))</f>
        <v/>
      </c>
      <c r="J1319" s="17">
        <f>IF($F1319="","",IFERROR(INDEX(rngEPpass,MATCH($F1319,rngEPcode,0)),cfgPassingScore))</f>
        <v/>
      </c>
      <c r="K1319" s="16" t="n"/>
      <c r="L1319" s="16" t="n"/>
      <c r="M1319" s="17">
        <f>IF($C1319="","",IF($L1319="","",IF(NOT(ISNUMBER($L1319)),$L1319,IF(N($K1319)&gt;2,"",IF($K1319=1,IF(COUNTIFS(nrES_PID,$D1319,nrES_Code,$F1319,nrES_Att,2,nrES_Raw,"&gt;=0")&gt;0,"",$L1319),IF($L1319&gt;=$J1319,MAX($J1319,cfgRetakeRecordedCap),IF(COUNTIFS(nrES_PID,$D1319,nrES_Code,$F1319,nrES_Att,1)=0,$L1319,SUMIFS(nrES_Raw,nrES_PID,$D1319,nrES_Code,$F1319,nrES_Att,1))))))))</f>
        <v/>
      </c>
      <c r="N1319" s="17">
        <f>IF($C1319="","",IF($L1319="","",IF(NOT(ISNUMBER($L1319)),"(not a score)",IF($L1319&gt;=$J1319,"Yes","No"))))</f>
        <v/>
      </c>
      <c r="O1319" s="17">
        <f>IF($C1319="","",IF($M1319="","",IF(NOT(ISNUMBER($M1319)),"(not a score)",IF($M1319&gt;=$J1319,"Yes","No"))))</f>
        <v/>
      </c>
      <c r="P1319" s="17">
        <f>IF($C1319="","",IF($K1319="","",IF(N($K1319)&gt;2,"No",IF(COUNTIFS(nrES_PID,$D1319,nrES_Code,$F1319,nrES_Att,"&gt;"&amp;$K1319,nrES_Att,"&lt;=2",nrES_Raw,"&gt;=0")=0,"Yes","No"))))</f>
        <v/>
      </c>
      <c r="Q1319" s="17">
        <f>IF($C1319="","",IF($L1319="","",IF(AND($K1319=1,ISNUMBER($L1319),$L1319&lt;$J1319,COUNTIFS(nrES_PID,$D1319,nrES_Code,$F1319,nrES_Att,2,nrES_Raw,"&gt;=0")=0),"Yes","No")))</f>
        <v/>
      </c>
      <c r="R1319" s="17">
        <f>IF($C1319="","",IF($L1319="","",IF(AND(N($K1319)&gt;=2,ISNUMBER($L1319),$L1319&lt;$J1319),"Yes","No")))</f>
        <v/>
      </c>
      <c r="S1319" s="18" t="n"/>
      <c r="T1319" s="19">
        <f>IF(OR($C1319="",$L1319="",$K1319&lt;&gt;1,NOT(ISNUMBER($L1319)),$L1319&gt;=$J1319),"",IF($S1319="","(enter date)",_xlfn.LET(_xlpm.dn,_xlfn.XLOOKUP($S1319,nrCDdate,nrCDnum,"",1),IF(_xlpm.dn="","(after last class day)",_xlfn.LET(_xlpm.dd,_xlfn.XLOOKUP(_xlpm.dn+cfgRetestClassDays,nrCDnum,nrCDdate,""),_xlpm.ok,_xlfn.XLOOKUP(_xlpm.dn+cfgRetestClassDays,nrCDnum,nrCDinsession,"No"),IF(OR(_xlpm.dd="",_xlpm.ok&lt;&gt;"Yes"),"(after last class day)",_xlpm.dd))))))</f>
        <v/>
      </c>
      <c r="U1319" s="17">
        <f>IF($C1319="","",IF(AND($Y1319="Excused",$L1319="",N($K1319)&lt;=1),"EXCUSED - 1st attempt pending",IF(OR($L1319="",$K1319&lt;&gt;1,NOT(ISNUMBER($L1319)),$L1319&gt;=$J1319),"",IF(COUNTIFS(nrES_PID,$D1319,nrES_Code,$F1319,nrES_Att,2,nrES_Raw,"&gt;=0")&gt;0,IF(IFERROR(_xlfn.MINIFS(nrES_Date,nrES_PID,$D1319,nrES_Code,$F1319,nrES_Att,2,nrES_Raw,"&gt;=0",nrES_Date,"&gt;0"),0)=0,"RETEST UNDATED",IF(NOT(ISNUMBER($T1319)),"RETEST DATE UNCHECKED",IF(_xlfn.MINIFS(nrES_Date,nrES_PID,$D1319,nrES_Code,$F1319,nrES_Att,2,nrES_Raw,"&gt;=0",nrES_Date,"&gt;0")&gt;$T1319,"LATE RETEST "&amp;TEXT(_xlfn.MINIFS(nrES_Date,nrES_PID,$D1319,nrES_Code,$F1319,nrES_Att,2,nrES_Raw,"&gt;=0",nrES_Date,"&gt;0"),"mm/dd")&amp;" (due "&amp;TEXT($T1319,"mm/dd")&amp;")","Retested"))),IF(NOT(ISNUMBER($T1319)),"CHECK DATE",IF(TODAY()&gt;$T1319,"OVERDUE","Due "&amp;TEXT($T1319,"mm/dd")))))))</f>
        <v/>
      </c>
      <c r="V1319" s="16" t="n"/>
      <c r="W1319" s="16" t="n"/>
      <c r="X1319" s="17">
        <f>IF($C1319="","",IF(AND($L1319&lt;&gt;"",NOT(ISNUMBER($L1319))),"RAW SCORE NOT A NUMBER",IF(AND(ISNUMBER($L1319),OR($L1319&lt;0,$L1319&gt;100)),"RAW SCORE OUT OF RANGE",IF(AND($Y1319="Unexcused",OR($L1319="",NOT(ISNUMBER($L1319)),$L1319&lt;&gt;0)),"UNEXCUSED ABSENCE MUST RECORD 0",IF(COUNTIF(nrES_RecID,$B1319)&gt;1,"DUPLICATE RECORD",IF(N($K1319)&gt;2,"ATTEMPT 3+ NOT ALLOWED - policy 300.5 permits one retest per exam; this row records nothing",IF(AND($K1319=2,COUNTIFS(nrES_PID,$D1319,nrES_Code,$F1319,nrES_Att,1)=0),"ATTEMPT 2 WITHOUT ATTEMPT 1",IF(AND($K1319=2,$L1319=""),"RETEST ROW HAS NO SCORE",IF(AND($H1319="Final",$L1319&lt;&gt;"",IFERROR(INDEX(nrCKfinalExamElig,MATCH($D1319,rngCadetPIDs,0)),"")="No"),"FINAL EXAM AFTER FAILED FINAL PT (500.1.H)",IF(AND($K1319=2,ISNUMBER($L1319),COUNTIFS(nrES_PID,$D1319,nrES_Code,$F1319,nrES_Att,1)&gt;0,SUMIFS(nrES_Raw,nrES_PID,$D1319,nrES_Code,$F1319,nrES_Att,1)&gt;=$J1319),"RETEST AFTER A PASSING FIRST ATTEMPT","OK"))))))))))</f>
        <v/>
      </c>
      <c r="Y1319" s="16" t="n"/>
    </row>
    <row r="1320">
      <c r="B1320" s="17">
        <f>IF($C1320="","",$D1320&amp;"-"&amp;$F1320&amp;"-"&amp;$K1320)</f>
        <v/>
      </c>
      <c r="C1320" s="16" t="n"/>
      <c r="D1320" s="17">
        <f>IF($C1320="","",IFERROR(INDEX(rngCadetPIDs,MATCH($C1320,rngCadetNames,0)),"?"))</f>
        <v/>
      </c>
      <c r="E1320" s="17">
        <f>IF($D1320="","",IFERROR(INDEX(nrCadetAgency,MATCH($D1320,rngCadetPIDs,0)),""))</f>
        <v/>
      </c>
      <c r="F1320" s="16" t="n"/>
      <c r="G1320" s="17">
        <f>IF($F1320="","",IFERROR(INDEX(rngEPname,MATCH($F1320,rngEPcode,0)),"?"))</f>
        <v/>
      </c>
      <c r="H1320" s="17">
        <f>IF($F1320="","",IFERROR(INDEX(rngEPtype,MATCH($F1320,rngEPcode,0)),"?"))</f>
        <v/>
      </c>
      <c r="I1320" s="17">
        <f>IF($F1320="","",IFERROR(INDEX(rngEPseq,MATCH($F1320,rngEPcode,0)),""))</f>
        <v/>
      </c>
      <c r="J1320" s="17">
        <f>IF($F1320="","",IFERROR(INDEX(rngEPpass,MATCH($F1320,rngEPcode,0)),cfgPassingScore))</f>
        <v/>
      </c>
      <c r="K1320" s="16" t="n"/>
      <c r="L1320" s="16" t="n"/>
      <c r="M1320" s="17">
        <f>IF($C1320="","",IF($L1320="","",IF(NOT(ISNUMBER($L1320)),$L1320,IF(N($K1320)&gt;2,"",IF($K1320=1,IF(COUNTIFS(nrES_PID,$D1320,nrES_Code,$F1320,nrES_Att,2,nrES_Raw,"&gt;=0")&gt;0,"",$L1320),IF($L1320&gt;=$J1320,MAX($J1320,cfgRetakeRecordedCap),IF(COUNTIFS(nrES_PID,$D1320,nrES_Code,$F1320,nrES_Att,1)=0,$L1320,SUMIFS(nrES_Raw,nrES_PID,$D1320,nrES_Code,$F1320,nrES_Att,1))))))))</f>
        <v/>
      </c>
      <c r="N1320" s="17">
        <f>IF($C1320="","",IF($L1320="","",IF(NOT(ISNUMBER($L1320)),"(not a score)",IF($L1320&gt;=$J1320,"Yes","No"))))</f>
        <v/>
      </c>
      <c r="O1320" s="17">
        <f>IF($C1320="","",IF($M1320="","",IF(NOT(ISNUMBER($M1320)),"(not a score)",IF($M1320&gt;=$J1320,"Yes","No"))))</f>
        <v/>
      </c>
      <c r="P1320" s="17">
        <f>IF($C1320="","",IF($K1320="","",IF(N($K1320)&gt;2,"No",IF(COUNTIFS(nrES_PID,$D1320,nrES_Code,$F1320,nrES_Att,"&gt;"&amp;$K1320,nrES_Att,"&lt;=2",nrES_Raw,"&gt;=0")=0,"Yes","No"))))</f>
        <v/>
      </c>
      <c r="Q1320" s="17">
        <f>IF($C1320="","",IF($L1320="","",IF(AND($K1320=1,ISNUMBER($L1320),$L1320&lt;$J1320,COUNTIFS(nrES_PID,$D1320,nrES_Code,$F1320,nrES_Att,2,nrES_Raw,"&gt;=0")=0),"Yes","No")))</f>
        <v/>
      </c>
      <c r="R1320" s="17">
        <f>IF($C1320="","",IF($L1320="","",IF(AND(N($K1320)&gt;=2,ISNUMBER($L1320),$L1320&lt;$J1320),"Yes","No")))</f>
        <v/>
      </c>
      <c r="S1320" s="18" t="n"/>
      <c r="T1320" s="19">
        <f>IF(OR($C1320="",$L1320="",$K1320&lt;&gt;1,NOT(ISNUMBER($L1320)),$L1320&gt;=$J1320),"",IF($S1320="","(enter date)",_xlfn.LET(_xlpm.dn,_xlfn.XLOOKUP($S1320,nrCDdate,nrCDnum,"",1),IF(_xlpm.dn="","(after last class day)",_xlfn.LET(_xlpm.dd,_xlfn.XLOOKUP(_xlpm.dn+cfgRetestClassDays,nrCDnum,nrCDdate,""),_xlpm.ok,_xlfn.XLOOKUP(_xlpm.dn+cfgRetestClassDays,nrCDnum,nrCDinsession,"No"),IF(OR(_xlpm.dd="",_xlpm.ok&lt;&gt;"Yes"),"(after last class day)",_xlpm.dd))))))</f>
        <v/>
      </c>
      <c r="U1320" s="17">
        <f>IF($C1320="","",IF(AND($Y1320="Excused",$L1320="",N($K1320)&lt;=1),"EXCUSED - 1st attempt pending",IF(OR($L1320="",$K1320&lt;&gt;1,NOT(ISNUMBER($L1320)),$L1320&gt;=$J1320),"",IF(COUNTIFS(nrES_PID,$D1320,nrES_Code,$F1320,nrES_Att,2,nrES_Raw,"&gt;=0")&gt;0,IF(IFERROR(_xlfn.MINIFS(nrES_Date,nrES_PID,$D1320,nrES_Code,$F1320,nrES_Att,2,nrES_Raw,"&gt;=0",nrES_Date,"&gt;0"),0)=0,"RETEST UNDATED",IF(NOT(ISNUMBER($T1320)),"RETEST DATE UNCHECKED",IF(_xlfn.MINIFS(nrES_Date,nrES_PID,$D1320,nrES_Code,$F1320,nrES_Att,2,nrES_Raw,"&gt;=0",nrES_Date,"&gt;0")&gt;$T1320,"LATE RETEST "&amp;TEXT(_xlfn.MINIFS(nrES_Date,nrES_PID,$D1320,nrES_Code,$F1320,nrES_Att,2,nrES_Raw,"&gt;=0",nrES_Date,"&gt;0"),"mm/dd")&amp;" (due "&amp;TEXT($T1320,"mm/dd")&amp;")","Retested"))),IF(NOT(ISNUMBER($T1320)),"CHECK DATE",IF(TODAY()&gt;$T1320,"OVERDUE","Due "&amp;TEXT($T1320,"mm/dd")))))))</f>
        <v/>
      </c>
      <c r="V1320" s="16" t="n"/>
      <c r="W1320" s="16" t="n"/>
      <c r="X1320" s="17">
        <f>IF($C1320="","",IF(AND($L1320&lt;&gt;"",NOT(ISNUMBER($L1320))),"RAW SCORE NOT A NUMBER",IF(AND(ISNUMBER($L1320),OR($L1320&lt;0,$L1320&gt;100)),"RAW SCORE OUT OF RANGE",IF(AND($Y1320="Unexcused",OR($L1320="",NOT(ISNUMBER($L1320)),$L1320&lt;&gt;0)),"UNEXCUSED ABSENCE MUST RECORD 0",IF(COUNTIF(nrES_RecID,$B1320)&gt;1,"DUPLICATE RECORD",IF(N($K1320)&gt;2,"ATTEMPT 3+ NOT ALLOWED - policy 300.5 permits one retest per exam; this row records nothing",IF(AND($K1320=2,COUNTIFS(nrES_PID,$D1320,nrES_Code,$F1320,nrES_Att,1)=0),"ATTEMPT 2 WITHOUT ATTEMPT 1",IF(AND($K1320=2,$L1320=""),"RETEST ROW HAS NO SCORE",IF(AND($H1320="Final",$L1320&lt;&gt;"",IFERROR(INDEX(nrCKfinalExamElig,MATCH($D1320,rngCadetPIDs,0)),"")="No"),"FINAL EXAM AFTER FAILED FINAL PT (500.1.H)",IF(AND($K1320=2,ISNUMBER($L1320),COUNTIFS(nrES_PID,$D1320,nrES_Code,$F1320,nrES_Att,1)&gt;0,SUMIFS(nrES_Raw,nrES_PID,$D1320,nrES_Code,$F1320,nrES_Att,1)&gt;=$J1320),"RETEST AFTER A PASSING FIRST ATTEMPT","OK"))))))))))</f>
        <v/>
      </c>
      <c r="Y1320" s="16" t="n"/>
    </row>
    <row r="1321">
      <c r="B1321" s="17">
        <f>IF($C1321="","",$D1321&amp;"-"&amp;$F1321&amp;"-"&amp;$K1321)</f>
        <v/>
      </c>
      <c r="C1321" s="16" t="n"/>
      <c r="D1321" s="17">
        <f>IF($C1321="","",IFERROR(INDEX(rngCadetPIDs,MATCH($C1321,rngCadetNames,0)),"?"))</f>
        <v/>
      </c>
      <c r="E1321" s="17">
        <f>IF($D1321="","",IFERROR(INDEX(nrCadetAgency,MATCH($D1321,rngCadetPIDs,0)),""))</f>
        <v/>
      </c>
      <c r="F1321" s="16" t="n"/>
      <c r="G1321" s="17">
        <f>IF($F1321="","",IFERROR(INDEX(rngEPname,MATCH($F1321,rngEPcode,0)),"?"))</f>
        <v/>
      </c>
      <c r="H1321" s="17">
        <f>IF($F1321="","",IFERROR(INDEX(rngEPtype,MATCH($F1321,rngEPcode,0)),"?"))</f>
        <v/>
      </c>
      <c r="I1321" s="17">
        <f>IF($F1321="","",IFERROR(INDEX(rngEPseq,MATCH($F1321,rngEPcode,0)),""))</f>
        <v/>
      </c>
      <c r="J1321" s="17">
        <f>IF($F1321="","",IFERROR(INDEX(rngEPpass,MATCH($F1321,rngEPcode,0)),cfgPassingScore))</f>
        <v/>
      </c>
      <c r="K1321" s="16" t="n"/>
      <c r="L1321" s="16" t="n"/>
      <c r="M1321" s="17">
        <f>IF($C1321="","",IF($L1321="","",IF(NOT(ISNUMBER($L1321)),$L1321,IF(N($K1321)&gt;2,"",IF($K1321=1,IF(COUNTIFS(nrES_PID,$D1321,nrES_Code,$F1321,nrES_Att,2,nrES_Raw,"&gt;=0")&gt;0,"",$L1321),IF($L1321&gt;=$J1321,MAX($J1321,cfgRetakeRecordedCap),IF(COUNTIFS(nrES_PID,$D1321,nrES_Code,$F1321,nrES_Att,1)=0,$L1321,SUMIFS(nrES_Raw,nrES_PID,$D1321,nrES_Code,$F1321,nrES_Att,1))))))))</f>
        <v/>
      </c>
      <c r="N1321" s="17">
        <f>IF($C1321="","",IF($L1321="","",IF(NOT(ISNUMBER($L1321)),"(not a score)",IF($L1321&gt;=$J1321,"Yes","No"))))</f>
        <v/>
      </c>
      <c r="O1321" s="17">
        <f>IF($C1321="","",IF($M1321="","",IF(NOT(ISNUMBER($M1321)),"(not a score)",IF($M1321&gt;=$J1321,"Yes","No"))))</f>
        <v/>
      </c>
      <c r="P1321" s="17">
        <f>IF($C1321="","",IF($K1321="","",IF(N($K1321)&gt;2,"No",IF(COUNTIFS(nrES_PID,$D1321,nrES_Code,$F1321,nrES_Att,"&gt;"&amp;$K1321,nrES_Att,"&lt;=2",nrES_Raw,"&gt;=0")=0,"Yes","No"))))</f>
        <v/>
      </c>
      <c r="Q1321" s="17">
        <f>IF($C1321="","",IF($L1321="","",IF(AND($K1321=1,ISNUMBER($L1321),$L1321&lt;$J1321,COUNTIFS(nrES_PID,$D1321,nrES_Code,$F1321,nrES_Att,2,nrES_Raw,"&gt;=0")=0),"Yes","No")))</f>
        <v/>
      </c>
      <c r="R1321" s="17">
        <f>IF($C1321="","",IF($L1321="","",IF(AND(N($K1321)&gt;=2,ISNUMBER($L1321),$L1321&lt;$J1321),"Yes","No")))</f>
        <v/>
      </c>
      <c r="S1321" s="18" t="n"/>
      <c r="T1321" s="19">
        <f>IF(OR($C1321="",$L1321="",$K1321&lt;&gt;1,NOT(ISNUMBER($L1321)),$L1321&gt;=$J1321),"",IF($S1321="","(enter date)",_xlfn.LET(_xlpm.dn,_xlfn.XLOOKUP($S1321,nrCDdate,nrCDnum,"",1),IF(_xlpm.dn="","(after last class day)",_xlfn.LET(_xlpm.dd,_xlfn.XLOOKUP(_xlpm.dn+cfgRetestClassDays,nrCDnum,nrCDdate,""),_xlpm.ok,_xlfn.XLOOKUP(_xlpm.dn+cfgRetestClassDays,nrCDnum,nrCDinsession,"No"),IF(OR(_xlpm.dd="",_xlpm.ok&lt;&gt;"Yes"),"(after last class day)",_xlpm.dd))))))</f>
        <v/>
      </c>
      <c r="U1321" s="17">
        <f>IF($C1321="","",IF(AND($Y1321="Excused",$L1321="",N($K1321)&lt;=1),"EXCUSED - 1st attempt pending",IF(OR($L1321="",$K1321&lt;&gt;1,NOT(ISNUMBER($L1321)),$L1321&gt;=$J1321),"",IF(COUNTIFS(nrES_PID,$D1321,nrES_Code,$F1321,nrES_Att,2,nrES_Raw,"&gt;=0")&gt;0,IF(IFERROR(_xlfn.MINIFS(nrES_Date,nrES_PID,$D1321,nrES_Code,$F1321,nrES_Att,2,nrES_Raw,"&gt;=0",nrES_Date,"&gt;0"),0)=0,"RETEST UNDATED",IF(NOT(ISNUMBER($T1321)),"RETEST DATE UNCHECKED",IF(_xlfn.MINIFS(nrES_Date,nrES_PID,$D1321,nrES_Code,$F1321,nrES_Att,2,nrES_Raw,"&gt;=0",nrES_Date,"&gt;0")&gt;$T1321,"LATE RETEST "&amp;TEXT(_xlfn.MINIFS(nrES_Date,nrES_PID,$D1321,nrES_Code,$F1321,nrES_Att,2,nrES_Raw,"&gt;=0",nrES_Date,"&gt;0"),"mm/dd")&amp;" (due "&amp;TEXT($T1321,"mm/dd")&amp;")","Retested"))),IF(NOT(ISNUMBER($T1321)),"CHECK DATE",IF(TODAY()&gt;$T1321,"OVERDUE","Due "&amp;TEXT($T1321,"mm/dd")))))))</f>
        <v/>
      </c>
      <c r="V1321" s="16" t="n"/>
      <c r="W1321" s="16" t="n"/>
      <c r="X1321" s="17">
        <f>IF($C1321="","",IF(AND($L1321&lt;&gt;"",NOT(ISNUMBER($L1321))),"RAW SCORE NOT A NUMBER",IF(AND(ISNUMBER($L1321),OR($L1321&lt;0,$L1321&gt;100)),"RAW SCORE OUT OF RANGE",IF(AND($Y1321="Unexcused",OR($L1321="",NOT(ISNUMBER($L1321)),$L1321&lt;&gt;0)),"UNEXCUSED ABSENCE MUST RECORD 0",IF(COUNTIF(nrES_RecID,$B1321)&gt;1,"DUPLICATE RECORD",IF(N($K1321)&gt;2,"ATTEMPT 3+ NOT ALLOWED - policy 300.5 permits one retest per exam; this row records nothing",IF(AND($K1321=2,COUNTIFS(nrES_PID,$D1321,nrES_Code,$F1321,nrES_Att,1)=0),"ATTEMPT 2 WITHOUT ATTEMPT 1",IF(AND($K1321=2,$L1321=""),"RETEST ROW HAS NO SCORE",IF(AND($H1321="Final",$L1321&lt;&gt;"",IFERROR(INDEX(nrCKfinalExamElig,MATCH($D1321,rngCadetPIDs,0)),"")="No"),"FINAL EXAM AFTER FAILED FINAL PT (500.1.H)",IF(AND($K1321=2,ISNUMBER($L1321),COUNTIFS(nrES_PID,$D1321,nrES_Code,$F1321,nrES_Att,1)&gt;0,SUMIFS(nrES_Raw,nrES_PID,$D1321,nrES_Code,$F1321,nrES_Att,1)&gt;=$J1321),"RETEST AFTER A PASSING FIRST ATTEMPT","OK"))))))))))</f>
        <v/>
      </c>
      <c r="Y1321" s="16" t="n"/>
    </row>
    <row r="1322">
      <c r="B1322" s="17">
        <f>IF($C1322="","",$D1322&amp;"-"&amp;$F1322&amp;"-"&amp;$K1322)</f>
        <v/>
      </c>
      <c r="C1322" s="16" t="n"/>
      <c r="D1322" s="17">
        <f>IF($C1322="","",IFERROR(INDEX(rngCadetPIDs,MATCH($C1322,rngCadetNames,0)),"?"))</f>
        <v/>
      </c>
      <c r="E1322" s="17">
        <f>IF($D1322="","",IFERROR(INDEX(nrCadetAgency,MATCH($D1322,rngCadetPIDs,0)),""))</f>
        <v/>
      </c>
      <c r="F1322" s="16" t="n"/>
      <c r="G1322" s="17">
        <f>IF($F1322="","",IFERROR(INDEX(rngEPname,MATCH($F1322,rngEPcode,0)),"?"))</f>
        <v/>
      </c>
      <c r="H1322" s="17">
        <f>IF($F1322="","",IFERROR(INDEX(rngEPtype,MATCH($F1322,rngEPcode,0)),"?"))</f>
        <v/>
      </c>
      <c r="I1322" s="17">
        <f>IF($F1322="","",IFERROR(INDEX(rngEPseq,MATCH($F1322,rngEPcode,0)),""))</f>
        <v/>
      </c>
      <c r="J1322" s="17">
        <f>IF($F1322="","",IFERROR(INDEX(rngEPpass,MATCH($F1322,rngEPcode,0)),cfgPassingScore))</f>
        <v/>
      </c>
      <c r="K1322" s="16" t="n"/>
      <c r="L1322" s="16" t="n"/>
      <c r="M1322" s="17">
        <f>IF($C1322="","",IF($L1322="","",IF(NOT(ISNUMBER($L1322)),$L1322,IF(N($K1322)&gt;2,"",IF($K1322=1,IF(COUNTIFS(nrES_PID,$D1322,nrES_Code,$F1322,nrES_Att,2,nrES_Raw,"&gt;=0")&gt;0,"",$L1322),IF($L1322&gt;=$J1322,MAX($J1322,cfgRetakeRecordedCap),IF(COUNTIFS(nrES_PID,$D1322,nrES_Code,$F1322,nrES_Att,1)=0,$L1322,SUMIFS(nrES_Raw,nrES_PID,$D1322,nrES_Code,$F1322,nrES_Att,1))))))))</f>
        <v/>
      </c>
      <c r="N1322" s="17">
        <f>IF($C1322="","",IF($L1322="","",IF(NOT(ISNUMBER($L1322)),"(not a score)",IF($L1322&gt;=$J1322,"Yes","No"))))</f>
        <v/>
      </c>
      <c r="O1322" s="17">
        <f>IF($C1322="","",IF($M1322="","",IF(NOT(ISNUMBER($M1322)),"(not a score)",IF($M1322&gt;=$J1322,"Yes","No"))))</f>
        <v/>
      </c>
      <c r="P1322" s="17">
        <f>IF($C1322="","",IF($K1322="","",IF(N($K1322)&gt;2,"No",IF(COUNTIFS(nrES_PID,$D1322,nrES_Code,$F1322,nrES_Att,"&gt;"&amp;$K1322,nrES_Att,"&lt;=2",nrES_Raw,"&gt;=0")=0,"Yes","No"))))</f>
        <v/>
      </c>
      <c r="Q1322" s="17">
        <f>IF($C1322="","",IF($L1322="","",IF(AND($K1322=1,ISNUMBER($L1322),$L1322&lt;$J1322,COUNTIFS(nrES_PID,$D1322,nrES_Code,$F1322,nrES_Att,2,nrES_Raw,"&gt;=0")=0),"Yes","No")))</f>
        <v/>
      </c>
      <c r="R1322" s="17">
        <f>IF($C1322="","",IF($L1322="","",IF(AND(N($K1322)&gt;=2,ISNUMBER($L1322),$L1322&lt;$J1322),"Yes","No")))</f>
        <v/>
      </c>
      <c r="S1322" s="18" t="n"/>
      <c r="T1322" s="19">
        <f>IF(OR($C1322="",$L1322="",$K1322&lt;&gt;1,NOT(ISNUMBER($L1322)),$L1322&gt;=$J1322),"",IF($S1322="","(enter date)",_xlfn.LET(_xlpm.dn,_xlfn.XLOOKUP($S1322,nrCDdate,nrCDnum,"",1),IF(_xlpm.dn="","(after last class day)",_xlfn.LET(_xlpm.dd,_xlfn.XLOOKUP(_xlpm.dn+cfgRetestClassDays,nrCDnum,nrCDdate,""),_xlpm.ok,_xlfn.XLOOKUP(_xlpm.dn+cfgRetestClassDays,nrCDnum,nrCDinsession,"No"),IF(OR(_xlpm.dd="",_xlpm.ok&lt;&gt;"Yes"),"(after last class day)",_xlpm.dd))))))</f>
        <v/>
      </c>
      <c r="U1322" s="17">
        <f>IF($C1322="","",IF(AND($Y1322="Excused",$L1322="",N($K1322)&lt;=1),"EXCUSED - 1st attempt pending",IF(OR($L1322="",$K1322&lt;&gt;1,NOT(ISNUMBER($L1322)),$L1322&gt;=$J1322),"",IF(COUNTIFS(nrES_PID,$D1322,nrES_Code,$F1322,nrES_Att,2,nrES_Raw,"&gt;=0")&gt;0,IF(IFERROR(_xlfn.MINIFS(nrES_Date,nrES_PID,$D1322,nrES_Code,$F1322,nrES_Att,2,nrES_Raw,"&gt;=0",nrES_Date,"&gt;0"),0)=0,"RETEST UNDATED",IF(NOT(ISNUMBER($T1322)),"RETEST DATE UNCHECKED",IF(_xlfn.MINIFS(nrES_Date,nrES_PID,$D1322,nrES_Code,$F1322,nrES_Att,2,nrES_Raw,"&gt;=0",nrES_Date,"&gt;0")&gt;$T1322,"LATE RETEST "&amp;TEXT(_xlfn.MINIFS(nrES_Date,nrES_PID,$D1322,nrES_Code,$F1322,nrES_Att,2,nrES_Raw,"&gt;=0",nrES_Date,"&gt;0"),"mm/dd")&amp;" (due "&amp;TEXT($T1322,"mm/dd")&amp;")","Retested"))),IF(NOT(ISNUMBER($T1322)),"CHECK DATE",IF(TODAY()&gt;$T1322,"OVERDUE","Due "&amp;TEXT($T1322,"mm/dd")))))))</f>
        <v/>
      </c>
      <c r="V1322" s="16" t="n"/>
      <c r="W1322" s="16" t="n"/>
      <c r="X1322" s="17">
        <f>IF($C1322="","",IF(AND($L1322&lt;&gt;"",NOT(ISNUMBER($L1322))),"RAW SCORE NOT A NUMBER",IF(AND(ISNUMBER($L1322),OR($L1322&lt;0,$L1322&gt;100)),"RAW SCORE OUT OF RANGE",IF(AND($Y1322="Unexcused",OR($L1322="",NOT(ISNUMBER($L1322)),$L1322&lt;&gt;0)),"UNEXCUSED ABSENCE MUST RECORD 0",IF(COUNTIF(nrES_RecID,$B1322)&gt;1,"DUPLICATE RECORD",IF(N($K1322)&gt;2,"ATTEMPT 3+ NOT ALLOWED - policy 300.5 permits one retest per exam; this row records nothing",IF(AND($K1322=2,COUNTIFS(nrES_PID,$D1322,nrES_Code,$F1322,nrES_Att,1)=0),"ATTEMPT 2 WITHOUT ATTEMPT 1",IF(AND($K1322=2,$L1322=""),"RETEST ROW HAS NO SCORE",IF(AND($H1322="Final",$L1322&lt;&gt;"",IFERROR(INDEX(nrCKfinalExamElig,MATCH($D1322,rngCadetPIDs,0)),"")="No"),"FINAL EXAM AFTER FAILED FINAL PT (500.1.H)",IF(AND($K1322=2,ISNUMBER($L1322),COUNTIFS(nrES_PID,$D1322,nrES_Code,$F1322,nrES_Att,1)&gt;0,SUMIFS(nrES_Raw,nrES_PID,$D1322,nrES_Code,$F1322,nrES_Att,1)&gt;=$J1322),"RETEST AFTER A PASSING FIRST ATTEMPT","OK"))))))))))</f>
        <v/>
      </c>
      <c r="Y1322" s="16" t="n"/>
    </row>
    <row r="1323">
      <c r="B1323" s="17">
        <f>IF($C1323="","",$D1323&amp;"-"&amp;$F1323&amp;"-"&amp;$K1323)</f>
        <v/>
      </c>
      <c r="C1323" s="16" t="n"/>
      <c r="D1323" s="17">
        <f>IF($C1323="","",IFERROR(INDEX(rngCadetPIDs,MATCH($C1323,rngCadetNames,0)),"?"))</f>
        <v/>
      </c>
      <c r="E1323" s="17">
        <f>IF($D1323="","",IFERROR(INDEX(nrCadetAgency,MATCH($D1323,rngCadetPIDs,0)),""))</f>
        <v/>
      </c>
      <c r="F1323" s="16" t="n"/>
      <c r="G1323" s="17">
        <f>IF($F1323="","",IFERROR(INDEX(rngEPname,MATCH($F1323,rngEPcode,0)),"?"))</f>
        <v/>
      </c>
      <c r="H1323" s="17">
        <f>IF($F1323="","",IFERROR(INDEX(rngEPtype,MATCH($F1323,rngEPcode,0)),"?"))</f>
        <v/>
      </c>
      <c r="I1323" s="17">
        <f>IF($F1323="","",IFERROR(INDEX(rngEPseq,MATCH($F1323,rngEPcode,0)),""))</f>
        <v/>
      </c>
      <c r="J1323" s="17">
        <f>IF($F1323="","",IFERROR(INDEX(rngEPpass,MATCH($F1323,rngEPcode,0)),cfgPassingScore))</f>
        <v/>
      </c>
      <c r="K1323" s="16" t="n"/>
      <c r="L1323" s="16" t="n"/>
      <c r="M1323" s="17">
        <f>IF($C1323="","",IF($L1323="","",IF(NOT(ISNUMBER($L1323)),$L1323,IF(N($K1323)&gt;2,"",IF($K1323=1,IF(COUNTIFS(nrES_PID,$D1323,nrES_Code,$F1323,nrES_Att,2,nrES_Raw,"&gt;=0")&gt;0,"",$L1323),IF($L1323&gt;=$J1323,MAX($J1323,cfgRetakeRecordedCap),IF(COUNTIFS(nrES_PID,$D1323,nrES_Code,$F1323,nrES_Att,1)=0,$L1323,SUMIFS(nrES_Raw,nrES_PID,$D1323,nrES_Code,$F1323,nrES_Att,1))))))))</f>
        <v/>
      </c>
      <c r="N1323" s="17">
        <f>IF($C1323="","",IF($L1323="","",IF(NOT(ISNUMBER($L1323)),"(not a score)",IF($L1323&gt;=$J1323,"Yes","No"))))</f>
        <v/>
      </c>
      <c r="O1323" s="17">
        <f>IF($C1323="","",IF($M1323="","",IF(NOT(ISNUMBER($M1323)),"(not a score)",IF($M1323&gt;=$J1323,"Yes","No"))))</f>
        <v/>
      </c>
      <c r="P1323" s="17">
        <f>IF($C1323="","",IF($K1323="","",IF(N($K1323)&gt;2,"No",IF(COUNTIFS(nrES_PID,$D1323,nrES_Code,$F1323,nrES_Att,"&gt;"&amp;$K1323,nrES_Att,"&lt;=2",nrES_Raw,"&gt;=0")=0,"Yes","No"))))</f>
        <v/>
      </c>
      <c r="Q1323" s="17">
        <f>IF($C1323="","",IF($L1323="","",IF(AND($K1323=1,ISNUMBER($L1323),$L1323&lt;$J1323,COUNTIFS(nrES_PID,$D1323,nrES_Code,$F1323,nrES_Att,2,nrES_Raw,"&gt;=0")=0),"Yes","No")))</f>
        <v/>
      </c>
      <c r="R1323" s="17">
        <f>IF($C1323="","",IF($L1323="","",IF(AND(N($K1323)&gt;=2,ISNUMBER($L1323),$L1323&lt;$J1323),"Yes","No")))</f>
        <v/>
      </c>
      <c r="S1323" s="18" t="n"/>
      <c r="T1323" s="19">
        <f>IF(OR($C1323="",$L1323="",$K1323&lt;&gt;1,NOT(ISNUMBER($L1323)),$L1323&gt;=$J1323),"",IF($S1323="","(enter date)",_xlfn.LET(_xlpm.dn,_xlfn.XLOOKUP($S1323,nrCDdate,nrCDnum,"",1),IF(_xlpm.dn="","(after last class day)",_xlfn.LET(_xlpm.dd,_xlfn.XLOOKUP(_xlpm.dn+cfgRetestClassDays,nrCDnum,nrCDdate,""),_xlpm.ok,_xlfn.XLOOKUP(_xlpm.dn+cfgRetestClassDays,nrCDnum,nrCDinsession,"No"),IF(OR(_xlpm.dd="",_xlpm.ok&lt;&gt;"Yes"),"(after last class day)",_xlpm.dd))))))</f>
        <v/>
      </c>
      <c r="U1323" s="17">
        <f>IF($C1323="","",IF(AND($Y1323="Excused",$L1323="",N($K1323)&lt;=1),"EXCUSED - 1st attempt pending",IF(OR($L1323="",$K1323&lt;&gt;1,NOT(ISNUMBER($L1323)),$L1323&gt;=$J1323),"",IF(COUNTIFS(nrES_PID,$D1323,nrES_Code,$F1323,nrES_Att,2,nrES_Raw,"&gt;=0")&gt;0,IF(IFERROR(_xlfn.MINIFS(nrES_Date,nrES_PID,$D1323,nrES_Code,$F1323,nrES_Att,2,nrES_Raw,"&gt;=0",nrES_Date,"&gt;0"),0)=0,"RETEST UNDATED",IF(NOT(ISNUMBER($T1323)),"RETEST DATE UNCHECKED",IF(_xlfn.MINIFS(nrES_Date,nrES_PID,$D1323,nrES_Code,$F1323,nrES_Att,2,nrES_Raw,"&gt;=0",nrES_Date,"&gt;0")&gt;$T1323,"LATE RETEST "&amp;TEXT(_xlfn.MINIFS(nrES_Date,nrES_PID,$D1323,nrES_Code,$F1323,nrES_Att,2,nrES_Raw,"&gt;=0",nrES_Date,"&gt;0"),"mm/dd")&amp;" (due "&amp;TEXT($T1323,"mm/dd")&amp;")","Retested"))),IF(NOT(ISNUMBER($T1323)),"CHECK DATE",IF(TODAY()&gt;$T1323,"OVERDUE","Due "&amp;TEXT($T1323,"mm/dd")))))))</f>
        <v/>
      </c>
      <c r="V1323" s="16" t="n"/>
      <c r="W1323" s="16" t="n"/>
      <c r="X1323" s="17">
        <f>IF($C1323="","",IF(AND($L1323&lt;&gt;"",NOT(ISNUMBER($L1323))),"RAW SCORE NOT A NUMBER",IF(AND(ISNUMBER($L1323),OR($L1323&lt;0,$L1323&gt;100)),"RAW SCORE OUT OF RANGE",IF(AND($Y1323="Unexcused",OR($L1323="",NOT(ISNUMBER($L1323)),$L1323&lt;&gt;0)),"UNEXCUSED ABSENCE MUST RECORD 0",IF(COUNTIF(nrES_RecID,$B1323)&gt;1,"DUPLICATE RECORD",IF(N($K1323)&gt;2,"ATTEMPT 3+ NOT ALLOWED - policy 300.5 permits one retest per exam; this row records nothing",IF(AND($K1323=2,COUNTIFS(nrES_PID,$D1323,nrES_Code,$F1323,nrES_Att,1)=0),"ATTEMPT 2 WITHOUT ATTEMPT 1",IF(AND($K1323=2,$L1323=""),"RETEST ROW HAS NO SCORE",IF(AND($H1323="Final",$L1323&lt;&gt;"",IFERROR(INDEX(nrCKfinalExamElig,MATCH($D1323,rngCadetPIDs,0)),"")="No"),"FINAL EXAM AFTER FAILED FINAL PT (500.1.H)",IF(AND($K1323=2,ISNUMBER($L1323),COUNTIFS(nrES_PID,$D1323,nrES_Code,$F1323,nrES_Att,1)&gt;0,SUMIFS(nrES_Raw,nrES_PID,$D1323,nrES_Code,$F1323,nrES_Att,1)&gt;=$J1323),"RETEST AFTER A PASSING FIRST ATTEMPT","OK"))))))))))</f>
        <v/>
      </c>
      <c r="Y1323" s="16" t="n"/>
    </row>
    <row r="1324">
      <c r="B1324" s="17">
        <f>IF($C1324="","",$D1324&amp;"-"&amp;$F1324&amp;"-"&amp;$K1324)</f>
        <v/>
      </c>
      <c r="C1324" s="16" t="n"/>
      <c r="D1324" s="17">
        <f>IF($C1324="","",IFERROR(INDEX(rngCadetPIDs,MATCH($C1324,rngCadetNames,0)),"?"))</f>
        <v/>
      </c>
      <c r="E1324" s="17">
        <f>IF($D1324="","",IFERROR(INDEX(nrCadetAgency,MATCH($D1324,rngCadetPIDs,0)),""))</f>
        <v/>
      </c>
      <c r="F1324" s="16" t="n"/>
      <c r="G1324" s="17">
        <f>IF($F1324="","",IFERROR(INDEX(rngEPname,MATCH($F1324,rngEPcode,0)),"?"))</f>
        <v/>
      </c>
      <c r="H1324" s="17">
        <f>IF($F1324="","",IFERROR(INDEX(rngEPtype,MATCH($F1324,rngEPcode,0)),"?"))</f>
        <v/>
      </c>
      <c r="I1324" s="17">
        <f>IF($F1324="","",IFERROR(INDEX(rngEPseq,MATCH($F1324,rngEPcode,0)),""))</f>
        <v/>
      </c>
      <c r="J1324" s="17">
        <f>IF($F1324="","",IFERROR(INDEX(rngEPpass,MATCH($F1324,rngEPcode,0)),cfgPassingScore))</f>
        <v/>
      </c>
      <c r="K1324" s="16" t="n"/>
      <c r="L1324" s="16" t="n"/>
      <c r="M1324" s="17">
        <f>IF($C1324="","",IF($L1324="","",IF(NOT(ISNUMBER($L1324)),$L1324,IF(N($K1324)&gt;2,"",IF($K1324=1,IF(COUNTIFS(nrES_PID,$D1324,nrES_Code,$F1324,nrES_Att,2,nrES_Raw,"&gt;=0")&gt;0,"",$L1324),IF($L1324&gt;=$J1324,MAX($J1324,cfgRetakeRecordedCap),IF(COUNTIFS(nrES_PID,$D1324,nrES_Code,$F1324,nrES_Att,1)=0,$L1324,SUMIFS(nrES_Raw,nrES_PID,$D1324,nrES_Code,$F1324,nrES_Att,1))))))))</f>
        <v/>
      </c>
      <c r="N1324" s="17">
        <f>IF($C1324="","",IF($L1324="","",IF(NOT(ISNUMBER($L1324)),"(not a score)",IF($L1324&gt;=$J1324,"Yes","No"))))</f>
        <v/>
      </c>
      <c r="O1324" s="17">
        <f>IF($C1324="","",IF($M1324="","",IF(NOT(ISNUMBER($M1324)),"(not a score)",IF($M1324&gt;=$J1324,"Yes","No"))))</f>
        <v/>
      </c>
      <c r="P1324" s="17">
        <f>IF($C1324="","",IF($K1324="","",IF(N($K1324)&gt;2,"No",IF(COUNTIFS(nrES_PID,$D1324,nrES_Code,$F1324,nrES_Att,"&gt;"&amp;$K1324,nrES_Att,"&lt;=2",nrES_Raw,"&gt;=0")=0,"Yes","No"))))</f>
        <v/>
      </c>
      <c r="Q1324" s="17">
        <f>IF($C1324="","",IF($L1324="","",IF(AND($K1324=1,ISNUMBER($L1324),$L1324&lt;$J1324,COUNTIFS(nrES_PID,$D1324,nrES_Code,$F1324,nrES_Att,2,nrES_Raw,"&gt;=0")=0),"Yes","No")))</f>
        <v/>
      </c>
      <c r="R1324" s="17">
        <f>IF($C1324="","",IF($L1324="","",IF(AND(N($K1324)&gt;=2,ISNUMBER($L1324),$L1324&lt;$J1324),"Yes","No")))</f>
        <v/>
      </c>
      <c r="S1324" s="18" t="n"/>
      <c r="T1324" s="19">
        <f>IF(OR($C1324="",$L1324="",$K1324&lt;&gt;1,NOT(ISNUMBER($L1324)),$L1324&gt;=$J1324),"",IF($S1324="","(enter date)",_xlfn.LET(_xlpm.dn,_xlfn.XLOOKUP($S1324,nrCDdate,nrCDnum,"",1),IF(_xlpm.dn="","(after last class day)",_xlfn.LET(_xlpm.dd,_xlfn.XLOOKUP(_xlpm.dn+cfgRetestClassDays,nrCDnum,nrCDdate,""),_xlpm.ok,_xlfn.XLOOKUP(_xlpm.dn+cfgRetestClassDays,nrCDnum,nrCDinsession,"No"),IF(OR(_xlpm.dd="",_xlpm.ok&lt;&gt;"Yes"),"(after last class day)",_xlpm.dd))))))</f>
        <v/>
      </c>
      <c r="U1324" s="17">
        <f>IF($C1324="","",IF(AND($Y1324="Excused",$L1324="",N($K1324)&lt;=1),"EXCUSED - 1st attempt pending",IF(OR($L1324="",$K1324&lt;&gt;1,NOT(ISNUMBER($L1324)),$L1324&gt;=$J1324),"",IF(COUNTIFS(nrES_PID,$D1324,nrES_Code,$F1324,nrES_Att,2,nrES_Raw,"&gt;=0")&gt;0,IF(IFERROR(_xlfn.MINIFS(nrES_Date,nrES_PID,$D1324,nrES_Code,$F1324,nrES_Att,2,nrES_Raw,"&gt;=0",nrES_Date,"&gt;0"),0)=0,"RETEST UNDATED",IF(NOT(ISNUMBER($T1324)),"RETEST DATE UNCHECKED",IF(_xlfn.MINIFS(nrES_Date,nrES_PID,$D1324,nrES_Code,$F1324,nrES_Att,2,nrES_Raw,"&gt;=0",nrES_Date,"&gt;0")&gt;$T1324,"LATE RETEST "&amp;TEXT(_xlfn.MINIFS(nrES_Date,nrES_PID,$D1324,nrES_Code,$F1324,nrES_Att,2,nrES_Raw,"&gt;=0",nrES_Date,"&gt;0"),"mm/dd")&amp;" (due "&amp;TEXT($T1324,"mm/dd")&amp;")","Retested"))),IF(NOT(ISNUMBER($T1324)),"CHECK DATE",IF(TODAY()&gt;$T1324,"OVERDUE","Due "&amp;TEXT($T1324,"mm/dd")))))))</f>
        <v/>
      </c>
      <c r="V1324" s="16" t="n"/>
      <c r="W1324" s="16" t="n"/>
      <c r="X1324" s="17">
        <f>IF($C1324="","",IF(AND($L1324&lt;&gt;"",NOT(ISNUMBER($L1324))),"RAW SCORE NOT A NUMBER",IF(AND(ISNUMBER($L1324),OR($L1324&lt;0,$L1324&gt;100)),"RAW SCORE OUT OF RANGE",IF(AND($Y1324="Unexcused",OR($L1324="",NOT(ISNUMBER($L1324)),$L1324&lt;&gt;0)),"UNEXCUSED ABSENCE MUST RECORD 0",IF(COUNTIF(nrES_RecID,$B1324)&gt;1,"DUPLICATE RECORD",IF(N($K1324)&gt;2,"ATTEMPT 3+ NOT ALLOWED - policy 300.5 permits one retest per exam; this row records nothing",IF(AND($K1324=2,COUNTIFS(nrES_PID,$D1324,nrES_Code,$F1324,nrES_Att,1)=0),"ATTEMPT 2 WITHOUT ATTEMPT 1",IF(AND($K1324=2,$L1324=""),"RETEST ROW HAS NO SCORE",IF(AND($H1324="Final",$L1324&lt;&gt;"",IFERROR(INDEX(nrCKfinalExamElig,MATCH($D1324,rngCadetPIDs,0)),"")="No"),"FINAL EXAM AFTER FAILED FINAL PT (500.1.H)",IF(AND($K1324=2,ISNUMBER($L1324),COUNTIFS(nrES_PID,$D1324,nrES_Code,$F1324,nrES_Att,1)&gt;0,SUMIFS(nrES_Raw,nrES_PID,$D1324,nrES_Code,$F1324,nrES_Att,1)&gt;=$J1324),"RETEST AFTER A PASSING FIRST ATTEMPT","OK"))))))))))</f>
        <v/>
      </c>
      <c r="Y1324" s="16" t="n"/>
    </row>
    <row r="1325">
      <c r="B1325" s="17">
        <f>IF($C1325="","",$D1325&amp;"-"&amp;$F1325&amp;"-"&amp;$K1325)</f>
        <v/>
      </c>
      <c r="C1325" s="16" t="n"/>
      <c r="D1325" s="17">
        <f>IF($C1325="","",IFERROR(INDEX(rngCadetPIDs,MATCH($C1325,rngCadetNames,0)),"?"))</f>
        <v/>
      </c>
      <c r="E1325" s="17">
        <f>IF($D1325="","",IFERROR(INDEX(nrCadetAgency,MATCH($D1325,rngCadetPIDs,0)),""))</f>
        <v/>
      </c>
      <c r="F1325" s="16" t="n"/>
      <c r="G1325" s="17">
        <f>IF($F1325="","",IFERROR(INDEX(rngEPname,MATCH($F1325,rngEPcode,0)),"?"))</f>
        <v/>
      </c>
      <c r="H1325" s="17">
        <f>IF($F1325="","",IFERROR(INDEX(rngEPtype,MATCH($F1325,rngEPcode,0)),"?"))</f>
        <v/>
      </c>
      <c r="I1325" s="17">
        <f>IF($F1325="","",IFERROR(INDEX(rngEPseq,MATCH($F1325,rngEPcode,0)),""))</f>
        <v/>
      </c>
      <c r="J1325" s="17">
        <f>IF($F1325="","",IFERROR(INDEX(rngEPpass,MATCH($F1325,rngEPcode,0)),cfgPassingScore))</f>
        <v/>
      </c>
      <c r="K1325" s="16" t="n"/>
      <c r="L1325" s="16" t="n"/>
      <c r="M1325" s="17">
        <f>IF($C1325="","",IF($L1325="","",IF(NOT(ISNUMBER($L1325)),$L1325,IF(N($K1325)&gt;2,"",IF($K1325=1,IF(COUNTIFS(nrES_PID,$D1325,nrES_Code,$F1325,nrES_Att,2,nrES_Raw,"&gt;=0")&gt;0,"",$L1325),IF($L1325&gt;=$J1325,MAX($J1325,cfgRetakeRecordedCap),IF(COUNTIFS(nrES_PID,$D1325,nrES_Code,$F1325,nrES_Att,1)=0,$L1325,SUMIFS(nrES_Raw,nrES_PID,$D1325,nrES_Code,$F1325,nrES_Att,1))))))))</f>
        <v/>
      </c>
      <c r="N1325" s="17">
        <f>IF($C1325="","",IF($L1325="","",IF(NOT(ISNUMBER($L1325)),"(not a score)",IF($L1325&gt;=$J1325,"Yes","No"))))</f>
        <v/>
      </c>
      <c r="O1325" s="17">
        <f>IF($C1325="","",IF($M1325="","",IF(NOT(ISNUMBER($M1325)),"(not a score)",IF($M1325&gt;=$J1325,"Yes","No"))))</f>
        <v/>
      </c>
      <c r="P1325" s="17">
        <f>IF($C1325="","",IF($K1325="","",IF(N($K1325)&gt;2,"No",IF(COUNTIFS(nrES_PID,$D1325,nrES_Code,$F1325,nrES_Att,"&gt;"&amp;$K1325,nrES_Att,"&lt;=2",nrES_Raw,"&gt;=0")=0,"Yes","No"))))</f>
        <v/>
      </c>
      <c r="Q1325" s="17">
        <f>IF($C1325="","",IF($L1325="","",IF(AND($K1325=1,ISNUMBER($L1325),$L1325&lt;$J1325,COUNTIFS(nrES_PID,$D1325,nrES_Code,$F1325,nrES_Att,2,nrES_Raw,"&gt;=0")=0),"Yes","No")))</f>
        <v/>
      </c>
      <c r="R1325" s="17">
        <f>IF($C1325="","",IF($L1325="","",IF(AND(N($K1325)&gt;=2,ISNUMBER($L1325),$L1325&lt;$J1325),"Yes","No")))</f>
        <v/>
      </c>
      <c r="S1325" s="18" t="n"/>
      <c r="T1325" s="19">
        <f>IF(OR($C1325="",$L1325="",$K1325&lt;&gt;1,NOT(ISNUMBER($L1325)),$L1325&gt;=$J1325),"",IF($S1325="","(enter date)",_xlfn.LET(_xlpm.dn,_xlfn.XLOOKUP($S1325,nrCDdate,nrCDnum,"",1),IF(_xlpm.dn="","(after last class day)",_xlfn.LET(_xlpm.dd,_xlfn.XLOOKUP(_xlpm.dn+cfgRetestClassDays,nrCDnum,nrCDdate,""),_xlpm.ok,_xlfn.XLOOKUP(_xlpm.dn+cfgRetestClassDays,nrCDnum,nrCDinsession,"No"),IF(OR(_xlpm.dd="",_xlpm.ok&lt;&gt;"Yes"),"(after last class day)",_xlpm.dd))))))</f>
        <v/>
      </c>
      <c r="U1325" s="17">
        <f>IF($C1325="","",IF(AND($Y1325="Excused",$L1325="",N($K1325)&lt;=1),"EXCUSED - 1st attempt pending",IF(OR($L1325="",$K1325&lt;&gt;1,NOT(ISNUMBER($L1325)),$L1325&gt;=$J1325),"",IF(COUNTIFS(nrES_PID,$D1325,nrES_Code,$F1325,nrES_Att,2,nrES_Raw,"&gt;=0")&gt;0,IF(IFERROR(_xlfn.MINIFS(nrES_Date,nrES_PID,$D1325,nrES_Code,$F1325,nrES_Att,2,nrES_Raw,"&gt;=0",nrES_Date,"&gt;0"),0)=0,"RETEST UNDATED",IF(NOT(ISNUMBER($T1325)),"RETEST DATE UNCHECKED",IF(_xlfn.MINIFS(nrES_Date,nrES_PID,$D1325,nrES_Code,$F1325,nrES_Att,2,nrES_Raw,"&gt;=0",nrES_Date,"&gt;0")&gt;$T1325,"LATE RETEST "&amp;TEXT(_xlfn.MINIFS(nrES_Date,nrES_PID,$D1325,nrES_Code,$F1325,nrES_Att,2,nrES_Raw,"&gt;=0",nrES_Date,"&gt;0"),"mm/dd")&amp;" (due "&amp;TEXT($T1325,"mm/dd")&amp;")","Retested"))),IF(NOT(ISNUMBER($T1325)),"CHECK DATE",IF(TODAY()&gt;$T1325,"OVERDUE","Due "&amp;TEXT($T1325,"mm/dd")))))))</f>
        <v/>
      </c>
      <c r="V1325" s="16" t="n"/>
      <c r="W1325" s="16" t="n"/>
      <c r="X1325" s="17">
        <f>IF($C1325="","",IF(AND($L1325&lt;&gt;"",NOT(ISNUMBER($L1325))),"RAW SCORE NOT A NUMBER",IF(AND(ISNUMBER($L1325),OR($L1325&lt;0,$L1325&gt;100)),"RAW SCORE OUT OF RANGE",IF(AND($Y1325="Unexcused",OR($L1325="",NOT(ISNUMBER($L1325)),$L1325&lt;&gt;0)),"UNEXCUSED ABSENCE MUST RECORD 0",IF(COUNTIF(nrES_RecID,$B1325)&gt;1,"DUPLICATE RECORD",IF(N($K1325)&gt;2,"ATTEMPT 3+ NOT ALLOWED - policy 300.5 permits one retest per exam; this row records nothing",IF(AND($K1325=2,COUNTIFS(nrES_PID,$D1325,nrES_Code,$F1325,nrES_Att,1)=0),"ATTEMPT 2 WITHOUT ATTEMPT 1",IF(AND($K1325=2,$L1325=""),"RETEST ROW HAS NO SCORE",IF(AND($H1325="Final",$L1325&lt;&gt;"",IFERROR(INDEX(nrCKfinalExamElig,MATCH($D1325,rngCadetPIDs,0)),"")="No"),"FINAL EXAM AFTER FAILED FINAL PT (500.1.H)",IF(AND($K1325=2,ISNUMBER($L1325),COUNTIFS(nrES_PID,$D1325,nrES_Code,$F1325,nrES_Att,1)&gt;0,SUMIFS(nrES_Raw,nrES_PID,$D1325,nrES_Code,$F1325,nrES_Att,1)&gt;=$J1325),"RETEST AFTER A PASSING FIRST ATTEMPT","OK"))))))))))</f>
        <v/>
      </c>
      <c r="Y1325" s="16" t="n"/>
    </row>
    <row r="1326">
      <c r="B1326" s="17">
        <f>IF($C1326="","",$D1326&amp;"-"&amp;$F1326&amp;"-"&amp;$K1326)</f>
        <v/>
      </c>
      <c r="C1326" s="16" t="n"/>
      <c r="D1326" s="17">
        <f>IF($C1326="","",IFERROR(INDEX(rngCadetPIDs,MATCH($C1326,rngCadetNames,0)),"?"))</f>
        <v/>
      </c>
      <c r="E1326" s="17">
        <f>IF($D1326="","",IFERROR(INDEX(nrCadetAgency,MATCH($D1326,rngCadetPIDs,0)),""))</f>
        <v/>
      </c>
      <c r="F1326" s="16" t="n"/>
      <c r="G1326" s="17">
        <f>IF($F1326="","",IFERROR(INDEX(rngEPname,MATCH($F1326,rngEPcode,0)),"?"))</f>
        <v/>
      </c>
      <c r="H1326" s="17">
        <f>IF($F1326="","",IFERROR(INDEX(rngEPtype,MATCH($F1326,rngEPcode,0)),"?"))</f>
        <v/>
      </c>
      <c r="I1326" s="17">
        <f>IF($F1326="","",IFERROR(INDEX(rngEPseq,MATCH($F1326,rngEPcode,0)),""))</f>
        <v/>
      </c>
      <c r="J1326" s="17">
        <f>IF($F1326="","",IFERROR(INDEX(rngEPpass,MATCH($F1326,rngEPcode,0)),cfgPassingScore))</f>
        <v/>
      </c>
      <c r="K1326" s="16" t="n"/>
      <c r="L1326" s="16" t="n"/>
      <c r="M1326" s="17">
        <f>IF($C1326="","",IF($L1326="","",IF(NOT(ISNUMBER($L1326)),$L1326,IF(N($K1326)&gt;2,"",IF($K1326=1,IF(COUNTIFS(nrES_PID,$D1326,nrES_Code,$F1326,nrES_Att,2,nrES_Raw,"&gt;=0")&gt;0,"",$L1326),IF($L1326&gt;=$J1326,MAX($J1326,cfgRetakeRecordedCap),IF(COUNTIFS(nrES_PID,$D1326,nrES_Code,$F1326,nrES_Att,1)=0,$L1326,SUMIFS(nrES_Raw,nrES_PID,$D1326,nrES_Code,$F1326,nrES_Att,1))))))))</f>
        <v/>
      </c>
      <c r="N1326" s="17">
        <f>IF($C1326="","",IF($L1326="","",IF(NOT(ISNUMBER($L1326)),"(not a score)",IF($L1326&gt;=$J1326,"Yes","No"))))</f>
        <v/>
      </c>
      <c r="O1326" s="17">
        <f>IF($C1326="","",IF($M1326="","",IF(NOT(ISNUMBER($M1326)),"(not a score)",IF($M1326&gt;=$J1326,"Yes","No"))))</f>
        <v/>
      </c>
      <c r="P1326" s="17">
        <f>IF($C1326="","",IF($K1326="","",IF(N($K1326)&gt;2,"No",IF(COUNTIFS(nrES_PID,$D1326,nrES_Code,$F1326,nrES_Att,"&gt;"&amp;$K1326,nrES_Att,"&lt;=2",nrES_Raw,"&gt;=0")=0,"Yes","No"))))</f>
        <v/>
      </c>
      <c r="Q1326" s="17">
        <f>IF($C1326="","",IF($L1326="","",IF(AND($K1326=1,ISNUMBER($L1326),$L1326&lt;$J1326,COUNTIFS(nrES_PID,$D1326,nrES_Code,$F1326,nrES_Att,2,nrES_Raw,"&gt;=0")=0),"Yes","No")))</f>
        <v/>
      </c>
      <c r="R1326" s="17">
        <f>IF($C1326="","",IF($L1326="","",IF(AND(N($K1326)&gt;=2,ISNUMBER($L1326),$L1326&lt;$J1326),"Yes","No")))</f>
        <v/>
      </c>
      <c r="S1326" s="18" t="n"/>
      <c r="T1326" s="19">
        <f>IF(OR($C1326="",$L1326="",$K1326&lt;&gt;1,NOT(ISNUMBER($L1326)),$L1326&gt;=$J1326),"",IF($S1326="","(enter date)",_xlfn.LET(_xlpm.dn,_xlfn.XLOOKUP($S1326,nrCDdate,nrCDnum,"",1),IF(_xlpm.dn="","(after last class day)",_xlfn.LET(_xlpm.dd,_xlfn.XLOOKUP(_xlpm.dn+cfgRetestClassDays,nrCDnum,nrCDdate,""),_xlpm.ok,_xlfn.XLOOKUP(_xlpm.dn+cfgRetestClassDays,nrCDnum,nrCDinsession,"No"),IF(OR(_xlpm.dd="",_xlpm.ok&lt;&gt;"Yes"),"(after last class day)",_xlpm.dd))))))</f>
        <v/>
      </c>
      <c r="U1326" s="17">
        <f>IF($C1326="","",IF(AND($Y1326="Excused",$L1326="",N($K1326)&lt;=1),"EXCUSED - 1st attempt pending",IF(OR($L1326="",$K1326&lt;&gt;1,NOT(ISNUMBER($L1326)),$L1326&gt;=$J1326),"",IF(COUNTIFS(nrES_PID,$D1326,nrES_Code,$F1326,nrES_Att,2,nrES_Raw,"&gt;=0")&gt;0,IF(IFERROR(_xlfn.MINIFS(nrES_Date,nrES_PID,$D1326,nrES_Code,$F1326,nrES_Att,2,nrES_Raw,"&gt;=0",nrES_Date,"&gt;0"),0)=0,"RETEST UNDATED",IF(NOT(ISNUMBER($T1326)),"RETEST DATE UNCHECKED",IF(_xlfn.MINIFS(nrES_Date,nrES_PID,$D1326,nrES_Code,$F1326,nrES_Att,2,nrES_Raw,"&gt;=0",nrES_Date,"&gt;0")&gt;$T1326,"LATE RETEST "&amp;TEXT(_xlfn.MINIFS(nrES_Date,nrES_PID,$D1326,nrES_Code,$F1326,nrES_Att,2,nrES_Raw,"&gt;=0",nrES_Date,"&gt;0"),"mm/dd")&amp;" (due "&amp;TEXT($T1326,"mm/dd")&amp;")","Retested"))),IF(NOT(ISNUMBER($T1326)),"CHECK DATE",IF(TODAY()&gt;$T1326,"OVERDUE","Due "&amp;TEXT($T1326,"mm/dd")))))))</f>
        <v/>
      </c>
      <c r="V1326" s="16" t="n"/>
      <c r="W1326" s="16" t="n"/>
      <c r="X1326" s="17">
        <f>IF($C1326="","",IF(AND($L1326&lt;&gt;"",NOT(ISNUMBER($L1326))),"RAW SCORE NOT A NUMBER",IF(AND(ISNUMBER($L1326),OR($L1326&lt;0,$L1326&gt;100)),"RAW SCORE OUT OF RANGE",IF(AND($Y1326="Unexcused",OR($L1326="",NOT(ISNUMBER($L1326)),$L1326&lt;&gt;0)),"UNEXCUSED ABSENCE MUST RECORD 0",IF(COUNTIF(nrES_RecID,$B1326)&gt;1,"DUPLICATE RECORD",IF(N($K1326)&gt;2,"ATTEMPT 3+ NOT ALLOWED - policy 300.5 permits one retest per exam; this row records nothing",IF(AND($K1326=2,COUNTIFS(nrES_PID,$D1326,nrES_Code,$F1326,nrES_Att,1)=0),"ATTEMPT 2 WITHOUT ATTEMPT 1",IF(AND($K1326=2,$L1326=""),"RETEST ROW HAS NO SCORE",IF(AND($H1326="Final",$L1326&lt;&gt;"",IFERROR(INDEX(nrCKfinalExamElig,MATCH($D1326,rngCadetPIDs,0)),"")="No"),"FINAL EXAM AFTER FAILED FINAL PT (500.1.H)",IF(AND($K1326=2,ISNUMBER($L1326),COUNTIFS(nrES_PID,$D1326,nrES_Code,$F1326,nrES_Att,1)&gt;0,SUMIFS(nrES_Raw,nrES_PID,$D1326,nrES_Code,$F1326,nrES_Att,1)&gt;=$J1326),"RETEST AFTER A PASSING FIRST ATTEMPT","OK"))))))))))</f>
        <v/>
      </c>
      <c r="Y1326" s="16" t="n"/>
    </row>
    <row r="1327">
      <c r="B1327" s="17">
        <f>IF($C1327="","",$D1327&amp;"-"&amp;$F1327&amp;"-"&amp;$K1327)</f>
        <v/>
      </c>
      <c r="C1327" s="16" t="n"/>
      <c r="D1327" s="17">
        <f>IF($C1327="","",IFERROR(INDEX(rngCadetPIDs,MATCH($C1327,rngCadetNames,0)),"?"))</f>
        <v/>
      </c>
      <c r="E1327" s="17">
        <f>IF($D1327="","",IFERROR(INDEX(nrCadetAgency,MATCH($D1327,rngCadetPIDs,0)),""))</f>
        <v/>
      </c>
      <c r="F1327" s="16" t="n"/>
      <c r="G1327" s="17">
        <f>IF($F1327="","",IFERROR(INDEX(rngEPname,MATCH($F1327,rngEPcode,0)),"?"))</f>
        <v/>
      </c>
      <c r="H1327" s="17">
        <f>IF($F1327="","",IFERROR(INDEX(rngEPtype,MATCH($F1327,rngEPcode,0)),"?"))</f>
        <v/>
      </c>
      <c r="I1327" s="17">
        <f>IF($F1327="","",IFERROR(INDEX(rngEPseq,MATCH($F1327,rngEPcode,0)),""))</f>
        <v/>
      </c>
      <c r="J1327" s="17">
        <f>IF($F1327="","",IFERROR(INDEX(rngEPpass,MATCH($F1327,rngEPcode,0)),cfgPassingScore))</f>
        <v/>
      </c>
      <c r="K1327" s="16" t="n"/>
      <c r="L1327" s="16" t="n"/>
      <c r="M1327" s="17">
        <f>IF($C1327="","",IF($L1327="","",IF(NOT(ISNUMBER($L1327)),$L1327,IF(N($K1327)&gt;2,"",IF($K1327=1,IF(COUNTIFS(nrES_PID,$D1327,nrES_Code,$F1327,nrES_Att,2,nrES_Raw,"&gt;=0")&gt;0,"",$L1327),IF($L1327&gt;=$J1327,MAX($J1327,cfgRetakeRecordedCap),IF(COUNTIFS(nrES_PID,$D1327,nrES_Code,$F1327,nrES_Att,1)=0,$L1327,SUMIFS(nrES_Raw,nrES_PID,$D1327,nrES_Code,$F1327,nrES_Att,1))))))))</f>
        <v/>
      </c>
      <c r="N1327" s="17">
        <f>IF($C1327="","",IF($L1327="","",IF(NOT(ISNUMBER($L1327)),"(not a score)",IF($L1327&gt;=$J1327,"Yes","No"))))</f>
        <v/>
      </c>
      <c r="O1327" s="17">
        <f>IF($C1327="","",IF($M1327="","",IF(NOT(ISNUMBER($M1327)),"(not a score)",IF($M1327&gt;=$J1327,"Yes","No"))))</f>
        <v/>
      </c>
      <c r="P1327" s="17">
        <f>IF($C1327="","",IF($K1327="","",IF(N($K1327)&gt;2,"No",IF(COUNTIFS(nrES_PID,$D1327,nrES_Code,$F1327,nrES_Att,"&gt;"&amp;$K1327,nrES_Att,"&lt;=2",nrES_Raw,"&gt;=0")=0,"Yes","No"))))</f>
        <v/>
      </c>
      <c r="Q1327" s="17">
        <f>IF($C1327="","",IF($L1327="","",IF(AND($K1327=1,ISNUMBER($L1327),$L1327&lt;$J1327,COUNTIFS(nrES_PID,$D1327,nrES_Code,$F1327,nrES_Att,2,nrES_Raw,"&gt;=0")=0),"Yes","No")))</f>
        <v/>
      </c>
      <c r="R1327" s="17">
        <f>IF($C1327="","",IF($L1327="","",IF(AND(N($K1327)&gt;=2,ISNUMBER($L1327),$L1327&lt;$J1327),"Yes","No")))</f>
        <v/>
      </c>
      <c r="S1327" s="18" t="n"/>
      <c r="T1327" s="19">
        <f>IF(OR($C1327="",$L1327="",$K1327&lt;&gt;1,NOT(ISNUMBER($L1327)),$L1327&gt;=$J1327),"",IF($S1327="","(enter date)",_xlfn.LET(_xlpm.dn,_xlfn.XLOOKUP($S1327,nrCDdate,nrCDnum,"",1),IF(_xlpm.dn="","(after last class day)",_xlfn.LET(_xlpm.dd,_xlfn.XLOOKUP(_xlpm.dn+cfgRetestClassDays,nrCDnum,nrCDdate,""),_xlpm.ok,_xlfn.XLOOKUP(_xlpm.dn+cfgRetestClassDays,nrCDnum,nrCDinsession,"No"),IF(OR(_xlpm.dd="",_xlpm.ok&lt;&gt;"Yes"),"(after last class day)",_xlpm.dd))))))</f>
        <v/>
      </c>
      <c r="U1327" s="17">
        <f>IF($C1327="","",IF(AND($Y1327="Excused",$L1327="",N($K1327)&lt;=1),"EXCUSED - 1st attempt pending",IF(OR($L1327="",$K1327&lt;&gt;1,NOT(ISNUMBER($L1327)),$L1327&gt;=$J1327),"",IF(COUNTIFS(nrES_PID,$D1327,nrES_Code,$F1327,nrES_Att,2,nrES_Raw,"&gt;=0")&gt;0,IF(IFERROR(_xlfn.MINIFS(nrES_Date,nrES_PID,$D1327,nrES_Code,$F1327,nrES_Att,2,nrES_Raw,"&gt;=0",nrES_Date,"&gt;0"),0)=0,"RETEST UNDATED",IF(NOT(ISNUMBER($T1327)),"RETEST DATE UNCHECKED",IF(_xlfn.MINIFS(nrES_Date,nrES_PID,$D1327,nrES_Code,$F1327,nrES_Att,2,nrES_Raw,"&gt;=0",nrES_Date,"&gt;0")&gt;$T1327,"LATE RETEST "&amp;TEXT(_xlfn.MINIFS(nrES_Date,nrES_PID,$D1327,nrES_Code,$F1327,nrES_Att,2,nrES_Raw,"&gt;=0",nrES_Date,"&gt;0"),"mm/dd")&amp;" (due "&amp;TEXT($T1327,"mm/dd")&amp;")","Retested"))),IF(NOT(ISNUMBER($T1327)),"CHECK DATE",IF(TODAY()&gt;$T1327,"OVERDUE","Due "&amp;TEXT($T1327,"mm/dd")))))))</f>
        <v/>
      </c>
      <c r="V1327" s="16" t="n"/>
      <c r="W1327" s="16" t="n"/>
      <c r="X1327" s="17">
        <f>IF($C1327="","",IF(AND($L1327&lt;&gt;"",NOT(ISNUMBER($L1327))),"RAW SCORE NOT A NUMBER",IF(AND(ISNUMBER($L1327),OR($L1327&lt;0,$L1327&gt;100)),"RAW SCORE OUT OF RANGE",IF(AND($Y1327="Unexcused",OR($L1327="",NOT(ISNUMBER($L1327)),$L1327&lt;&gt;0)),"UNEXCUSED ABSENCE MUST RECORD 0",IF(COUNTIF(nrES_RecID,$B1327)&gt;1,"DUPLICATE RECORD",IF(N($K1327)&gt;2,"ATTEMPT 3+ NOT ALLOWED - policy 300.5 permits one retest per exam; this row records nothing",IF(AND($K1327=2,COUNTIFS(nrES_PID,$D1327,nrES_Code,$F1327,nrES_Att,1)=0),"ATTEMPT 2 WITHOUT ATTEMPT 1",IF(AND($K1327=2,$L1327=""),"RETEST ROW HAS NO SCORE",IF(AND($H1327="Final",$L1327&lt;&gt;"",IFERROR(INDEX(nrCKfinalExamElig,MATCH($D1327,rngCadetPIDs,0)),"")="No"),"FINAL EXAM AFTER FAILED FINAL PT (500.1.H)",IF(AND($K1327=2,ISNUMBER($L1327),COUNTIFS(nrES_PID,$D1327,nrES_Code,$F1327,nrES_Att,1)&gt;0,SUMIFS(nrES_Raw,nrES_PID,$D1327,nrES_Code,$F1327,nrES_Att,1)&gt;=$J1327),"RETEST AFTER A PASSING FIRST ATTEMPT","OK"))))))))))</f>
        <v/>
      </c>
      <c r="Y1327" s="16" t="n"/>
    </row>
    <row r="1328">
      <c r="B1328" s="17">
        <f>IF($C1328="","",$D1328&amp;"-"&amp;$F1328&amp;"-"&amp;$K1328)</f>
        <v/>
      </c>
      <c r="C1328" s="16" t="n"/>
      <c r="D1328" s="17">
        <f>IF($C1328="","",IFERROR(INDEX(rngCadetPIDs,MATCH($C1328,rngCadetNames,0)),"?"))</f>
        <v/>
      </c>
      <c r="E1328" s="17">
        <f>IF($D1328="","",IFERROR(INDEX(nrCadetAgency,MATCH($D1328,rngCadetPIDs,0)),""))</f>
        <v/>
      </c>
      <c r="F1328" s="16" t="n"/>
      <c r="G1328" s="17">
        <f>IF($F1328="","",IFERROR(INDEX(rngEPname,MATCH($F1328,rngEPcode,0)),"?"))</f>
        <v/>
      </c>
      <c r="H1328" s="17">
        <f>IF($F1328="","",IFERROR(INDEX(rngEPtype,MATCH($F1328,rngEPcode,0)),"?"))</f>
        <v/>
      </c>
      <c r="I1328" s="17">
        <f>IF($F1328="","",IFERROR(INDEX(rngEPseq,MATCH($F1328,rngEPcode,0)),""))</f>
        <v/>
      </c>
      <c r="J1328" s="17">
        <f>IF($F1328="","",IFERROR(INDEX(rngEPpass,MATCH($F1328,rngEPcode,0)),cfgPassingScore))</f>
        <v/>
      </c>
      <c r="K1328" s="16" t="n"/>
      <c r="L1328" s="16" t="n"/>
      <c r="M1328" s="17">
        <f>IF($C1328="","",IF($L1328="","",IF(NOT(ISNUMBER($L1328)),$L1328,IF(N($K1328)&gt;2,"",IF($K1328=1,IF(COUNTIFS(nrES_PID,$D1328,nrES_Code,$F1328,nrES_Att,2,nrES_Raw,"&gt;=0")&gt;0,"",$L1328),IF($L1328&gt;=$J1328,MAX($J1328,cfgRetakeRecordedCap),IF(COUNTIFS(nrES_PID,$D1328,nrES_Code,$F1328,nrES_Att,1)=0,$L1328,SUMIFS(nrES_Raw,nrES_PID,$D1328,nrES_Code,$F1328,nrES_Att,1))))))))</f>
        <v/>
      </c>
      <c r="N1328" s="17">
        <f>IF($C1328="","",IF($L1328="","",IF(NOT(ISNUMBER($L1328)),"(not a score)",IF($L1328&gt;=$J1328,"Yes","No"))))</f>
        <v/>
      </c>
      <c r="O1328" s="17">
        <f>IF($C1328="","",IF($M1328="","",IF(NOT(ISNUMBER($M1328)),"(not a score)",IF($M1328&gt;=$J1328,"Yes","No"))))</f>
        <v/>
      </c>
      <c r="P1328" s="17">
        <f>IF($C1328="","",IF($K1328="","",IF(N($K1328)&gt;2,"No",IF(COUNTIFS(nrES_PID,$D1328,nrES_Code,$F1328,nrES_Att,"&gt;"&amp;$K1328,nrES_Att,"&lt;=2",nrES_Raw,"&gt;=0")=0,"Yes","No"))))</f>
        <v/>
      </c>
      <c r="Q1328" s="17">
        <f>IF($C1328="","",IF($L1328="","",IF(AND($K1328=1,ISNUMBER($L1328),$L1328&lt;$J1328,COUNTIFS(nrES_PID,$D1328,nrES_Code,$F1328,nrES_Att,2,nrES_Raw,"&gt;=0")=0),"Yes","No")))</f>
        <v/>
      </c>
      <c r="R1328" s="17">
        <f>IF($C1328="","",IF($L1328="","",IF(AND(N($K1328)&gt;=2,ISNUMBER($L1328),$L1328&lt;$J1328),"Yes","No")))</f>
        <v/>
      </c>
      <c r="S1328" s="18" t="n"/>
      <c r="T1328" s="19">
        <f>IF(OR($C1328="",$L1328="",$K1328&lt;&gt;1,NOT(ISNUMBER($L1328)),$L1328&gt;=$J1328),"",IF($S1328="","(enter date)",_xlfn.LET(_xlpm.dn,_xlfn.XLOOKUP($S1328,nrCDdate,nrCDnum,"",1),IF(_xlpm.dn="","(after last class day)",_xlfn.LET(_xlpm.dd,_xlfn.XLOOKUP(_xlpm.dn+cfgRetestClassDays,nrCDnum,nrCDdate,""),_xlpm.ok,_xlfn.XLOOKUP(_xlpm.dn+cfgRetestClassDays,nrCDnum,nrCDinsession,"No"),IF(OR(_xlpm.dd="",_xlpm.ok&lt;&gt;"Yes"),"(after last class day)",_xlpm.dd))))))</f>
        <v/>
      </c>
      <c r="U1328" s="17">
        <f>IF($C1328="","",IF(AND($Y1328="Excused",$L1328="",N($K1328)&lt;=1),"EXCUSED - 1st attempt pending",IF(OR($L1328="",$K1328&lt;&gt;1,NOT(ISNUMBER($L1328)),$L1328&gt;=$J1328),"",IF(COUNTIFS(nrES_PID,$D1328,nrES_Code,$F1328,nrES_Att,2,nrES_Raw,"&gt;=0")&gt;0,IF(IFERROR(_xlfn.MINIFS(nrES_Date,nrES_PID,$D1328,nrES_Code,$F1328,nrES_Att,2,nrES_Raw,"&gt;=0",nrES_Date,"&gt;0"),0)=0,"RETEST UNDATED",IF(NOT(ISNUMBER($T1328)),"RETEST DATE UNCHECKED",IF(_xlfn.MINIFS(nrES_Date,nrES_PID,$D1328,nrES_Code,$F1328,nrES_Att,2,nrES_Raw,"&gt;=0",nrES_Date,"&gt;0")&gt;$T1328,"LATE RETEST "&amp;TEXT(_xlfn.MINIFS(nrES_Date,nrES_PID,$D1328,nrES_Code,$F1328,nrES_Att,2,nrES_Raw,"&gt;=0",nrES_Date,"&gt;0"),"mm/dd")&amp;" (due "&amp;TEXT($T1328,"mm/dd")&amp;")","Retested"))),IF(NOT(ISNUMBER($T1328)),"CHECK DATE",IF(TODAY()&gt;$T1328,"OVERDUE","Due "&amp;TEXT($T1328,"mm/dd")))))))</f>
        <v/>
      </c>
      <c r="V1328" s="16" t="n"/>
      <c r="W1328" s="16" t="n"/>
      <c r="X1328" s="17">
        <f>IF($C1328="","",IF(AND($L1328&lt;&gt;"",NOT(ISNUMBER($L1328))),"RAW SCORE NOT A NUMBER",IF(AND(ISNUMBER($L1328),OR($L1328&lt;0,$L1328&gt;100)),"RAW SCORE OUT OF RANGE",IF(AND($Y1328="Unexcused",OR($L1328="",NOT(ISNUMBER($L1328)),$L1328&lt;&gt;0)),"UNEXCUSED ABSENCE MUST RECORD 0",IF(COUNTIF(nrES_RecID,$B1328)&gt;1,"DUPLICATE RECORD",IF(N($K1328)&gt;2,"ATTEMPT 3+ NOT ALLOWED - policy 300.5 permits one retest per exam; this row records nothing",IF(AND($K1328=2,COUNTIFS(nrES_PID,$D1328,nrES_Code,$F1328,nrES_Att,1)=0),"ATTEMPT 2 WITHOUT ATTEMPT 1",IF(AND($K1328=2,$L1328=""),"RETEST ROW HAS NO SCORE",IF(AND($H1328="Final",$L1328&lt;&gt;"",IFERROR(INDEX(nrCKfinalExamElig,MATCH($D1328,rngCadetPIDs,0)),"")="No"),"FINAL EXAM AFTER FAILED FINAL PT (500.1.H)",IF(AND($K1328=2,ISNUMBER($L1328),COUNTIFS(nrES_PID,$D1328,nrES_Code,$F1328,nrES_Att,1)&gt;0,SUMIFS(nrES_Raw,nrES_PID,$D1328,nrES_Code,$F1328,nrES_Att,1)&gt;=$J1328),"RETEST AFTER A PASSING FIRST ATTEMPT","OK"))))))))))</f>
        <v/>
      </c>
      <c r="Y1328" s="16" t="n"/>
    </row>
    <row r="1329">
      <c r="B1329" s="17">
        <f>IF($C1329="","",$D1329&amp;"-"&amp;$F1329&amp;"-"&amp;$K1329)</f>
        <v/>
      </c>
      <c r="C1329" s="16" t="n"/>
      <c r="D1329" s="17">
        <f>IF($C1329="","",IFERROR(INDEX(rngCadetPIDs,MATCH($C1329,rngCadetNames,0)),"?"))</f>
        <v/>
      </c>
      <c r="E1329" s="17">
        <f>IF($D1329="","",IFERROR(INDEX(nrCadetAgency,MATCH($D1329,rngCadetPIDs,0)),""))</f>
        <v/>
      </c>
      <c r="F1329" s="16" t="n"/>
      <c r="G1329" s="17">
        <f>IF($F1329="","",IFERROR(INDEX(rngEPname,MATCH($F1329,rngEPcode,0)),"?"))</f>
        <v/>
      </c>
      <c r="H1329" s="17">
        <f>IF($F1329="","",IFERROR(INDEX(rngEPtype,MATCH($F1329,rngEPcode,0)),"?"))</f>
        <v/>
      </c>
      <c r="I1329" s="17">
        <f>IF($F1329="","",IFERROR(INDEX(rngEPseq,MATCH($F1329,rngEPcode,0)),""))</f>
        <v/>
      </c>
      <c r="J1329" s="17">
        <f>IF($F1329="","",IFERROR(INDEX(rngEPpass,MATCH($F1329,rngEPcode,0)),cfgPassingScore))</f>
        <v/>
      </c>
      <c r="K1329" s="16" t="n"/>
      <c r="L1329" s="16" t="n"/>
      <c r="M1329" s="17">
        <f>IF($C1329="","",IF($L1329="","",IF(NOT(ISNUMBER($L1329)),$L1329,IF(N($K1329)&gt;2,"",IF($K1329=1,IF(COUNTIFS(nrES_PID,$D1329,nrES_Code,$F1329,nrES_Att,2,nrES_Raw,"&gt;=0")&gt;0,"",$L1329),IF($L1329&gt;=$J1329,MAX($J1329,cfgRetakeRecordedCap),IF(COUNTIFS(nrES_PID,$D1329,nrES_Code,$F1329,nrES_Att,1)=0,$L1329,SUMIFS(nrES_Raw,nrES_PID,$D1329,nrES_Code,$F1329,nrES_Att,1))))))))</f>
        <v/>
      </c>
      <c r="N1329" s="17">
        <f>IF($C1329="","",IF($L1329="","",IF(NOT(ISNUMBER($L1329)),"(not a score)",IF($L1329&gt;=$J1329,"Yes","No"))))</f>
        <v/>
      </c>
      <c r="O1329" s="17">
        <f>IF($C1329="","",IF($M1329="","",IF(NOT(ISNUMBER($M1329)),"(not a score)",IF($M1329&gt;=$J1329,"Yes","No"))))</f>
        <v/>
      </c>
      <c r="P1329" s="17">
        <f>IF($C1329="","",IF($K1329="","",IF(N($K1329)&gt;2,"No",IF(COUNTIFS(nrES_PID,$D1329,nrES_Code,$F1329,nrES_Att,"&gt;"&amp;$K1329,nrES_Att,"&lt;=2",nrES_Raw,"&gt;=0")=0,"Yes","No"))))</f>
        <v/>
      </c>
      <c r="Q1329" s="17">
        <f>IF($C1329="","",IF($L1329="","",IF(AND($K1329=1,ISNUMBER($L1329),$L1329&lt;$J1329,COUNTIFS(nrES_PID,$D1329,nrES_Code,$F1329,nrES_Att,2,nrES_Raw,"&gt;=0")=0),"Yes","No")))</f>
        <v/>
      </c>
      <c r="R1329" s="17">
        <f>IF($C1329="","",IF($L1329="","",IF(AND(N($K1329)&gt;=2,ISNUMBER($L1329),$L1329&lt;$J1329),"Yes","No")))</f>
        <v/>
      </c>
      <c r="S1329" s="18" t="n"/>
      <c r="T1329" s="19">
        <f>IF(OR($C1329="",$L1329="",$K1329&lt;&gt;1,NOT(ISNUMBER($L1329)),$L1329&gt;=$J1329),"",IF($S1329="","(enter date)",_xlfn.LET(_xlpm.dn,_xlfn.XLOOKUP($S1329,nrCDdate,nrCDnum,"",1),IF(_xlpm.dn="","(after last class day)",_xlfn.LET(_xlpm.dd,_xlfn.XLOOKUP(_xlpm.dn+cfgRetestClassDays,nrCDnum,nrCDdate,""),_xlpm.ok,_xlfn.XLOOKUP(_xlpm.dn+cfgRetestClassDays,nrCDnum,nrCDinsession,"No"),IF(OR(_xlpm.dd="",_xlpm.ok&lt;&gt;"Yes"),"(after last class day)",_xlpm.dd))))))</f>
        <v/>
      </c>
      <c r="U1329" s="17">
        <f>IF($C1329="","",IF(AND($Y1329="Excused",$L1329="",N($K1329)&lt;=1),"EXCUSED - 1st attempt pending",IF(OR($L1329="",$K1329&lt;&gt;1,NOT(ISNUMBER($L1329)),$L1329&gt;=$J1329),"",IF(COUNTIFS(nrES_PID,$D1329,nrES_Code,$F1329,nrES_Att,2,nrES_Raw,"&gt;=0")&gt;0,IF(IFERROR(_xlfn.MINIFS(nrES_Date,nrES_PID,$D1329,nrES_Code,$F1329,nrES_Att,2,nrES_Raw,"&gt;=0",nrES_Date,"&gt;0"),0)=0,"RETEST UNDATED",IF(NOT(ISNUMBER($T1329)),"RETEST DATE UNCHECKED",IF(_xlfn.MINIFS(nrES_Date,nrES_PID,$D1329,nrES_Code,$F1329,nrES_Att,2,nrES_Raw,"&gt;=0",nrES_Date,"&gt;0")&gt;$T1329,"LATE RETEST "&amp;TEXT(_xlfn.MINIFS(nrES_Date,nrES_PID,$D1329,nrES_Code,$F1329,nrES_Att,2,nrES_Raw,"&gt;=0",nrES_Date,"&gt;0"),"mm/dd")&amp;" (due "&amp;TEXT($T1329,"mm/dd")&amp;")","Retested"))),IF(NOT(ISNUMBER($T1329)),"CHECK DATE",IF(TODAY()&gt;$T1329,"OVERDUE","Due "&amp;TEXT($T1329,"mm/dd")))))))</f>
        <v/>
      </c>
      <c r="V1329" s="16" t="n"/>
      <c r="W1329" s="16" t="n"/>
      <c r="X1329" s="17">
        <f>IF($C1329="","",IF(AND($L1329&lt;&gt;"",NOT(ISNUMBER($L1329))),"RAW SCORE NOT A NUMBER",IF(AND(ISNUMBER($L1329),OR($L1329&lt;0,$L1329&gt;100)),"RAW SCORE OUT OF RANGE",IF(AND($Y1329="Unexcused",OR($L1329="",NOT(ISNUMBER($L1329)),$L1329&lt;&gt;0)),"UNEXCUSED ABSENCE MUST RECORD 0",IF(COUNTIF(nrES_RecID,$B1329)&gt;1,"DUPLICATE RECORD",IF(N($K1329)&gt;2,"ATTEMPT 3+ NOT ALLOWED - policy 300.5 permits one retest per exam; this row records nothing",IF(AND($K1329=2,COUNTIFS(nrES_PID,$D1329,nrES_Code,$F1329,nrES_Att,1)=0),"ATTEMPT 2 WITHOUT ATTEMPT 1",IF(AND($K1329=2,$L1329=""),"RETEST ROW HAS NO SCORE",IF(AND($H1329="Final",$L1329&lt;&gt;"",IFERROR(INDEX(nrCKfinalExamElig,MATCH($D1329,rngCadetPIDs,0)),"")="No"),"FINAL EXAM AFTER FAILED FINAL PT (500.1.H)",IF(AND($K1329=2,ISNUMBER($L1329),COUNTIFS(nrES_PID,$D1329,nrES_Code,$F1329,nrES_Att,1)&gt;0,SUMIFS(nrES_Raw,nrES_PID,$D1329,nrES_Code,$F1329,nrES_Att,1)&gt;=$J1329),"RETEST AFTER A PASSING FIRST ATTEMPT","OK"))))))))))</f>
        <v/>
      </c>
      <c r="Y1329" s="16" t="n"/>
    </row>
    <row r="1330">
      <c r="B1330" s="17">
        <f>IF($C1330="","",$D1330&amp;"-"&amp;$F1330&amp;"-"&amp;$K1330)</f>
        <v/>
      </c>
      <c r="C1330" s="16" t="n"/>
      <c r="D1330" s="17">
        <f>IF($C1330="","",IFERROR(INDEX(rngCadetPIDs,MATCH($C1330,rngCadetNames,0)),"?"))</f>
        <v/>
      </c>
      <c r="E1330" s="17">
        <f>IF($D1330="","",IFERROR(INDEX(nrCadetAgency,MATCH($D1330,rngCadetPIDs,0)),""))</f>
        <v/>
      </c>
      <c r="F1330" s="16" t="n"/>
      <c r="G1330" s="17">
        <f>IF($F1330="","",IFERROR(INDEX(rngEPname,MATCH($F1330,rngEPcode,0)),"?"))</f>
        <v/>
      </c>
      <c r="H1330" s="17">
        <f>IF($F1330="","",IFERROR(INDEX(rngEPtype,MATCH($F1330,rngEPcode,0)),"?"))</f>
        <v/>
      </c>
      <c r="I1330" s="17">
        <f>IF($F1330="","",IFERROR(INDEX(rngEPseq,MATCH($F1330,rngEPcode,0)),""))</f>
        <v/>
      </c>
      <c r="J1330" s="17">
        <f>IF($F1330="","",IFERROR(INDEX(rngEPpass,MATCH($F1330,rngEPcode,0)),cfgPassingScore))</f>
        <v/>
      </c>
      <c r="K1330" s="16" t="n"/>
      <c r="L1330" s="16" t="n"/>
      <c r="M1330" s="17">
        <f>IF($C1330="","",IF($L1330="","",IF(NOT(ISNUMBER($L1330)),$L1330,IF(N($K1330)&gt;2,"",IF($K1330=1,IF(COUNTIFS(nrES_PID,$D1330,nrES_Code,$F1330,nrES_Att,2,nrES_Raw,"&gt;=0")&gt;0,"",$L1330),IF($L1330&gt;=$J1330,MAX($J1330,cfgRetakeRecordedCap),IF(COUNTIFS(nrES_PID,$D1330,nrES_Code,$F1330,nrES_Att,1)=0,$L1330,SUMIFS(nrES_Raw,nrES_PID,$D1330,nrES_Code,$F1330,nrES_Att,1))))))))</f>
        <v/>
      </c>
      <c r="N1330" s="17">
        <f>IF($C1330="","",IF($L1330="","",IF(NOT(ISNUMBER($L1330)),"(not a score)",IF($L1330&gt;=$J1330,"Yes","No"))))</f>
        <v/>
      </c>
      <c r="O1330" s="17">
        <f>IF($C1330="","",IF($M1330="","",IF(NOT(ISNUMBER($M1330)),"(not a score)",IF($M1330&gt;=$J1330,"Yes","No"))))</f>
        <v/>
      </c>
      <c r="P1330" s="17">
        <f>IF($C1330="","",IF($K1330="","",IF(N($K1330)&gt;2,"No",IF(COUNTIFS(nrES_PID,$D1330,nrES_Code,$F1330,nrES_Att,"&gt;"&amp;$K1330,nrES_Att,"&lt;=2",nrES_Raw,"&gt;=0")=0,"Yes","No"))))</f>
        <v/>
      </c>
      <c r="Q1330" s="17">
        <f>IF($C1330="","",IF($L1330="","",IF(AND($K1330=1,ISNUMBER($L1330),$L1330&lt;$J1330,COUNTIFS(nrES_PID,$D1330,nrES_Code,$F1330,nrES_Att,2,nrES_Raw,"&gt;=0")=0),"Yes","No")))</f>
        <v/>
      </c>
      <c r="R1330" s="17">
        <f>IF($C1330="","",IF($L1330="","",IF(AND(N($K1330)&gt;=2,ISNUMBER($L1330),$L1330&lt;$J1330),"Yes","No")))</f>
        <v/>
      </c>
      <c r="S1330" s="18" t="n"/>
      <c r="T1330" s="19">
        <f>IF(OR($C1330="",$L1330="",$K1330&lt;&gt;1,NOT(ISNUMBER($L1330)),$L1330&gt;=$J1330),"",IF($S1330="","(enter date)",_xlfn.LET(_xlpm.dn,_xlfn.XLOOKUP($S1330,nrCDdate,nrCDnum,"",1),IF(_xlpm.dn="","(after last class day)",_xlfn.LET(_xlpm.dd,_xlfn.XLOOKUP(_xlpm.dn+cfgRetestClassDays,nrCDnum,nrCDdate,""),_xlpm.ok,_xlfn.XLOOKUP(_xlpm.dn+cfgRetestClassDays,nrCDnum,nrCDinsession,"No"),IF(OR(_xlpm.dd="",_xlpm.ok&lt;&gt;"Yes"),"(after last class day)",_xlpm.dd))))))</f>
        <v/>
      </c>
      <c r="U1330" s="17">
        <f>IF($C1330="","",IF(AND($Y1330="Excused",$L1330="",N($K1330)&lt;=1),"EXCUSED - 1st attempt pending",IF(OR($L1330="",$K1330&lt;&gt;1,NOT(ISNUMBER($L1330)),$L1330&gt;=$J1330),"",IF(COUNTIFS(nrES_PID,$D1330,nrES_Code,$F1330,nrES_Att,2,nrES_Raw,"&gt;=0")&gt;0,IF(IFERROR(_xlfn.MINIFS(nrES_Date,nrES_PID,$D1330,nrES_Code,$F1330,nrES_Att,2,nrES_Raw,"&gt;=0",nrES_Date,"&gt;0"),0)=0,"RETEST UNDATED",IF(NOT(ISNUMBER($T1330)),"RETEST DATE UNCHECKED",IF(_xlfn.MINIFS(nrES_Date,nrES_PID,$D1330,nrES_Code,$F1330,nrES_Att,2,nrES_Raw,"&gt;=0",nrES_Date,"&gt;0")&gt;$T1330,"LATE RETEST "&amp;TEXT(_xlfn.MINIFS(nrES_Date,nrES_PID,$D1330,nrES_Code,$F1330,nrES_Att,2,nrES_Raw,"&gt;=0",nrES_Date,"&gt;0"),"mm/dd")&amp;" (due "&amp;TEXT($T1330,"mm/dd")&amp;")","Retested"))),IF(NOT(ISNUMBER($T1330)),"CHECK DATE",IF(TODAY()&gt;$T1330,"OVERDUE","Due "&amp;TEXT($T1330,"mm/dd")))))))</f>
        <v/>
      </c>
      <c r="V1330" s="16" t="n"/>
      <c r="W1330" s="16" t="n"/>
      <c r="X1330" s="17">
        <f>IF($C1330="","",IF(AND($L1330&lt;&gt;"",NOT(ISNUMBER($L1330))),"RAW SCORE NOT A NUMBER",IF(AND(ISNUMBER($L1330),OR($L1330&lt;0,$L1330&gt;100)),"RAW SCORE OUT OF RANGE",IF(AND($Y1330="Unexcused",OR($L1330="",NOT(ISNUMBER($L1330)),$L1330&lt;&gt;0)),"UNEXCUSED ABSENCE MUST RECORD 0",IF(COUNTIF(nrES_RecID,$B1330)&gt;1,"DUPLICATE RECORD",IF(N($K1330)&gt;2,"ATTEMPT 3+ NOT ALLOWED - policy 300.5 permits one retest per exam; this row records nothing",IF(AND($K1330=2,COUNTIFS(nrES_PID,$D1330,nrES_Code,$F1330,nrES_Att,1)=0),"ATTEMPT 2 WITHOUT ATTEMPT 1",IF(AND($K1330=2,$L1330=""),"RETEST ROW HAS NO SCORE",IF(AND($H1330="Final",$L1330&lt;&gt;"",IFERROR(INDEX(nrCKfinalExamElig,MATCH($D1330,rngCadetPIDs,0)),"")="No"),"FINAL EXAM AFTER FAILED FINAL PT (500.1.H)",IF(AND($K1330=2,ISNUMBER($L1330),COUNTIFS(nrES_PID,$D1330,nrES_Code,$F1330,nrES_Att,1)&gt;0,SUMIFS(nrES_Raw,nrES_PID,$D1330,nrES_Code,$F1330,nrES_Att,1)&gt;=$J1330),"RETEST AFTER A PASSING FIRST ATTEMPT","OK"))))))))))</f>
        <v/>
      </c>
      <c r="Y1330" s="16" t="n"/>
    </row>
    <row r="1331">
      <c r="B1331" s="17">
        <f>IF($C1331="","",$D1331&amp;"-"&amp;$F1331&amp;"-"&amp;$K1331)</f>
        <v/>
      </c>
      <c r="C1331" s="16" t="n"/>
      <c r="D1331" s="17">
        <f>IF($C1331="","",IFERROR(INDEX(rngCadetPIDs,MATCH($C1331,rngCadetNames,0)),"?"))</f>
        <v/>
      </c>
      <c r="E1331" s="17">
        <f>IF($D1331="","",IFERROR(INDEX(nrCadetAgency,MATCH($D1331,rngCadetPIDs,0)),""))</f>
        <v/>
      </c>
      <c r="F1331" s="16" t="n"/>
      <c r="G1331" s="17">
        <f>IF($F1331="","",IFERROR(INDEX(rngEPname,MATCH($F1331,rngEPcode,0)),"?"))</f>
        <v/>
      </c>
      <c r="H1331" s="17">
        <f>IF($F1331="","",IFERROR(INDEX(rngEPtype,MATCH($F1331,rngEPcode,0)),"?"))</f>
        <v/>
      </c>
      <c r="I1331" s="17">
        <f>IF($F1331="","",IFERROR(INDEX(rngEPseq,MATCH($F1331,rngEPcode,0)),""))</f>
        <v/>
      </c>
      <c r="J1331" s="17">
        <f>IF($F1331="","",IFERROR(INDEX(rngEPpass,MATCH($F1331,rngEPcode,0)),cfgPassingScore))</f>
        <v/>
      </c>
      <c r="K1331" s="16" t="n"/>
      <c r="L1331" s="16" t="n"/>
      <c r="M1331" s="17">
        <f>IF($C1331="","",IF($L1331="","",IF(NOT(ISNUMBER($L1331)),$L1331,IF(N($K1331)&gt;2,"",IF($K1331=1,IF(COUNTIFS(nrES_PID,$D1331,nrES_Code,$F1331,nrES_Att,2,nrES_Raw,"&gt;=0")&gt;0,"",$L1331),IF($L1331&gt;=$J1331,MAX($J1331,cfgRetakeRecordedCap),IF(COUNTIFS(nrES_PID,$D1331,nrES_Code,$F1331,nrES_Att,1)=0,$L1331,SUMIFS(nrES_Raw,nrES_PID,$D1331,nrES_Code,$F1331,nrES_Att,1))))))))</f>
        <v/>
      </c>
      <c r="N1331" s="17">
        <f>IF($C1331="","",IF($L1331="","",IF(NOT(ISNUMBER($L1331)),"(not a score)",IF($L1331&gt;=$J1331,"Yes","No"))))</f>
        <v/>
      </c>
      <c r="O1331" s="17">
        <f>IF($C1331="","",IF($M1331="","",IF(NOT(ISNUMBER($M1331)),"(not a score)",IF($M1331&gt;=$J1331,"Yes","No"))))</f>
        <v/>
      </c>
      <c r="P1331" s="17">
        <f>IF($C1331="","",IF($K1331="","",IF(N($K1331)&gt;2,"No",IF(COUNTIFS(nrES_PID,$D1331,nrES_Code,$F1331,nrES_Att,"&gt;"&amp;$K1331,nrES_Att,"&lt;=2",nrES_Raw,"&gt;=0")=0,"Yes","No"))))</f>
        <v/>
      </c>
      <c r="Q1331" s="17">
        <f>IF($C1331="","",IF($L1331="","",IF(AND($K1331=1,ISNUMBER($L1331),$L1331&lt;$J1331,COUNTIFS(nrES_PID,$D1331,nrES_Code,$F1331,nrES_Att,2,nrES_Raw,"&gt;=0")=0),"Yes","No")))</f>
        <v/>
      </c>
      <c r="R1331" s="17">
        <f>IF($C1331="","",IF($L1331="","",IF(AND(N($K1331)&gt;=2,ISNUMBER($L1331),$L1331&lt;$J1331),"Yes","No")))</f>
        <v/>
      </c>
      <c r="S1331" s="18" t="n"/>
      <c r="T1331" s="19">
        <f>IF(OR($C1331="",$L1331="",$K1331&lt;&gt;1,NOT(ISNUMBER($L1331)),$L1331&gt;=$J1331),"",IF($S1331="","(enter date)",_xlfn.LET(_xlpm.dn,_xlfn.XLOOKUP($S1331,nrCDdate,nrCDnum,"",1),IF(_xlpm.dn="","(after last class day)",_xlfn.LET(_xlpm.dd,_xlfn.XLOOKUP(_xlpm.dn+cfgRetestClassDays,nrCDnum,nrCDdate,""),_xlpm.ok,_xlfn.XLOOKUP(_xlpm.dn+cfgRetestClassDays,nrCDnum,nrCDinsession,"No"),IF(OR(_xlpm.dd="",_xlpm.ok&lt;&gt;"Yes"),"(after last class day)",_xlpm.dd))))))</f>
        <v/>
      </c>
      <c r="U1331" s="17">
        <f>IF($C1331="","",IF(AND($Y1331="Excused",$L1331="",N($K1331)&lt;=1),"EXCUSED - 1st attempt pending",IF(OR($L1331="",$K1331&lt;&gt;1,NOT(ISNUMBER($L1331)),$L1331&gt;=$J1331),"",IF(COUNTIFS(nrES_PID,$D1331,nrES_Code,$F1331,nrES_Att,2,nrES_Raw,"&gt;=0")&gt;0,IF(IFERROR(_xlfn.MINIFS(nrES_Date,nrES_PID,$D1331,nrES_Code,$F1331,nrES_Att,2,nrES_Raw,"&gt;=0",nrES_Date,"&gt;0"),0)=0,"RETEST UNDATED",IF(NOT(ISNUMBER($T1331)),"RETEST DATE UNCHECKED",IF(_xlfn.MINIFS(nrES_Date,nrES_PID,$D1331,nrES_Code,$F1331,nrES_Att,2,nrES_Raw,"&gt;=0",nrES_Date,"&gt;0")&gt;$T1331,"LATE RETEST "&amp;TEXT(_xlfn.MINIFS(nrES_Date,nrES_PID,$D1331,nrES_Code,$F1331,nrES_Att,2,nrES_Raw,"&gt;=0",nrES_Date,"&gt;0"),"mm/dd")&amp;" (due "&amp;TEXT($T1331,"mm/dd")&amp;")","Retested"))),IF(NOT(ISNUMBER($T1331)),"CHECK DATE",IF(TODAY()&gt;$T1331,"OVERDUE","Due "&amp;TEXT($T1331,"mm/dd")))))))</f>
        <v/>
      </c>
      <c r="V1331" s="16" t="n"/>
      <c r="W1331" s="16" t="n"/>
      <c r="X1331" s="17">
        <f>IF($C1331="","",IF(AND($L1331&lt;&gt;"",NOT(ISNUMBER($L1331))),"RAW SCORE NOT A NUMBER",IF(AND(ISNUMBER($L1331),OR($L1331&lt;0,$L1331&gt;100)),"RAW SCORE OUT OF RANGE",IF(AND($Y1331="Unexcused",OR($L1331="",NOT(ISNUMBER($L1331)),$L1331&lt;&gt;0)),"UNEXCUSED ABSENCE MUST RECORD 0",IF(COUNTIF(nrES_RecID,$B1331)&gt;1,"DUPLICATE RECORD",IF(N($K1331)&gt;2,"ATTEMPT 3+ NOT ALLOWED - policy 300.5 permits one retest per exam; this row records nothing",IF(AND($K1331=2,COUNTIFS(nrES_PID,$D1331,nrES_Code,$F1331,nrES_Att,1)=0),"ATTEMPT 2 WITHOUT ATTEMPT 1",IF(AND($K1331=2,$L1331=""),"RETEST ROW HAS NO SCORE",IF(AND($H1331="Final",$L1331&lt;&gt;"",IFERROR(INDEX(nrCKfinalExamElig,MATCH($D1331,rngCadetPIDs,0)),"")="No"),"FINAL EXAM AFTER FAILED FINAL PT (500.1.H)",IF(AND($K1331=2,ISNUMBER($L1331),COUNTIFS(nrES_PID,$D1331,nrES_Code,$F1331,nrES_Att,1)&gt;0,SUMIFS(nrES_Raw,nrES_PID,$D1331,nrES_Code,$F1331,nrES_Att,1)&gt;=$J1331),"RETEST AFTER A PASSING FIRST ATTEMPT","OK"))))))))))</f>
        <v/>
      </c>
      <c r="Y1331" s="16" t="n"/>
    </row>
    <row r="1332">
      <c r="B1332" s="17">
        <f>IF($C1332="","",$D1332&amp;"-"&amp;$F1332&amp;"-"&amp;$K1332)</f>
        <v/>
      </c>
      <c r="C1332" s="16" t="n"/>
      <c r="D1332" s="17">
        <f>IF($C1332="","",IFERROR(INDEX(rngCadetPIDs,MATCH($C1332,rngCadetNames,0)),"?"))</f>
        <v/>
      </c>
      <c r="E1332" s="17">
        <f>IF($D1332="","",IFERROR(INDEX(nrCadetAgency,MATCH($D1332,rngCadetPIDs,0)),""))</f>
        <v/>
      </c>
      <c r="F1332" s="16" t="n"/>
      <c r="G1332" s="17">
        <f>IF($F1332="","",IFERROR(INDEX(rngEPname,MATCH($F1332,rngEPcode,0)),"?"))</f>
        <v/>
      </c>
      <c r="H1332" s="17">
        <f>IF($F1332="","",IFERROR(INDEX(rngEPtype,MATCH($F1332,rngEPcode,0)),"?"))</f>
        <v/>
      </c>
      <c r="I1332" s="17">
        <f>IF($F1332="","",IFERROR(INDEX(rngEPseq,MATCH($F1332,rngEPcode,0)),""))</f>
        <v/>
      </c>
      <c r="J1332" s="17">
        <f>IF($F1332="","",IFERROR(INDEX(rngEPpass,MATCH($F1332,rngEPcode,0)),cfgPassingScore))</f>
        <v/>
      </c>
      <c r="K1332" s="16" t="n"/>
      <c r="L1332" s="16" t="n"/>
      <c r="M1332" s="17">
        <f>IF($C1332="","",IF($L1332="","",IF(NOT(ISNUMBER($L1332)),$L1332,IF(N($K1332)&gt;2,"",IF($K1332=1,IF(COUNTIFS(nrES_PID,$D1332,nrES_Code,$F1332,nrES_Att,2,nrES_Raw,"&gt;=0")&gt;0,"",$L1332),IF($L1332&gt;=$J1332,MAX($J1332,cfgRetakeRecordedCap),IF(COUNTIFS(nrES_PID,$D1332,nrES_Code,$F1332,nrES_Att,1)=0,$L1332,SUMIFS(nrES_Raw,nrES_PID,$D1332,nrES_Code,$F1332,nrES_Att,1))))))))</f>
        <v/>
      </c>
      <c r="N1332" s="17">
        <f>IF($C1332="","",IF($L1332="","",IF(NOT(ISNUMBER($L1332)),"(not a score)",IF($L1332&gt;=$J1332,"Yes","No"))))</f>
        <v/>
      </c>
      <c r="O1332" s="17">
        <f>IF($C1332="","",IF($M1332="","",IF(NOT(ISNUMBER($M1332)),"(not a score)",IF($M1332&gt;=$J1332,"Yes","No"))))</f>
        <v/>
      </c>
      <c r="P1332" s="17">
        <f>IF($C1332="","",IF($K1332="","",IF(N($K1332)&gt;2,"No",IF(COUNTIFS(nrES_PID,$D1332,nrES_Code,$F1332,nrES_Att,"&gt;"&amp;$K1332,nrES_Att,"&lt;=2",nrES_Raw,"&gt;=0")=0,"Yes","No"))))</f>
        <v/>
      </c>
      <c r="Q1332" s="17">
        <f>IF($C1332="","",IF($L1332="","",IF(AND($K1332=1,ISNUMBER($L1332),$L1332&lt;$J1332,COUNTIFS(nrES_PID,$D1332,nrES_Code,$F1332,nrES_Att,2,nrES_Raw,"&gt;=0")=0),"Yes","No")))</f>
        <v/>
      </c>
      <c r="R1332" s="17">
        <f>IF($C1332="","",IF($L1332="","",IF(AND(N($K1332)&gt;=2,ISNUMBER($L1332),$L1332&lt;$J1332),"Yes","No")))</f>
        <v/>
      </c>
      <c r="S1332" s="18" t="n"/>
      <c r="T1332" s="19">
        <f>IF(OR($C1332="",$L1332="",$K1332&lt;&gt;1,NOT(ISNUMBER($L1332)),$L1332&gt;=$J1332),"",IF($S1332="","(enter date)",_xlfn.LET(_xlpm.dn,_xlfn.XLOOKUP($S1332,nrCDdate,nrCDnum,"",1),IF(_xlpm.dn="","(after last class day)",_xlfn.LET(_xlpm.dd,_xlfn.XLOOKUP(_xlpm.dn+cfgRetestClassDays,nrCDnum,nrCDdate,""),_xlpm.ok,_xlfn.XLOOKUP(_xlpm.dn+cfgRetestClassDays,nrCDnum,nrCDinsession,"No"),IF(OR(_xlpm.dd="",_xlpm.ok&lt;&gt;"Yes"),"(after last class day)",_xlpm.dd))))))</f>
        <v/>
      </c>
      <c r="U1332" s="17">
        <f>IF($C1332="","",IF(AND($Y1332="Excused",$L1332="",N($K1332)&lt;=1),"EXCUSED - 1st attempt pending",IF(OR($L1332="",$K1332&lt;&gt;1,NOT(ISNUMBER($L1332)),$L1332&gt;=$J1332),"",IF(COUNTIFS(nrES_PID,$D1332,nrES_Code,$F1332,nrES_Att,2,nrES_Raw,"&gt;=0")&gt;0,IF(IFERROR(_xlfn.MINIFS(nrES_Date,nrES_PID,$D1332,nrES_Code,$F1332,nrES_Att,2,nrES_Raw,"&gt;=0",nrES_Date,"&gt;0"),0)=0,"RETEST UNDATED",IF(NOT(ISNUMBER($T1332)),"RETEST DATE UNCHECKED",IF(_xlfn.MINIFS(nrES_Date,nrES_PID,$D1332,nrES_Code,$F1332,nrES_Att,2,nrES_Raw,"&gt;=0",nrES_Date,"&gt;0")&gt;$T1332,"LATE RETEST "&amp;TEXT(_xlfn.MINIFS(nrES_Date,nrES_PID,$D1332,nrES_Code,$F1332,nrES_Att,2,nrES_Raw,"&gt;=0",nrES_Date,"&gt;0"),"mm/dd")&amp;" (due "&amp;TEXT($T1332,"mm/dd")&amp;")","Retested"))),IF(NOT(ISNUMBER($T1332)),"CHECK DATE",IF(TODAY()&gt;$T1332,"OVERDUE","Due "&amp;TEXT($T1332,"mm/dd")))))))</f>
        <v/>
      </c>
      <c r="V1332" s="16" t="n"/>
      <c r="W1332" s="16" t="n"/>
      <c r="X1332" s="17">
        <f>IF($C1332="","",IF(AND($L1332&lt;&gt;"",NOT(ISNUMBER($L1332))),"RAW SCORE NOT A NUMBER",IF(AND(ISNUMBER($L1332),OR($L1332&lt;0,$L1332&gt;100)),"RAW SCORE OUT OF RANGE",IF(AND($Y1332="Unexcused",OR($L1332="",NOT(ISNUMBER($L1332)),$L1332&lt;&gt;0)),"UNEXCUSED ABSENCE MUST RECORD 0",IF(COUNTIF(nrES_RecID,$B1332)&gt;1,"DUPLICATE RECORD",IF(N($K1332)&gt;2,"ATTEMPT 3+ NOT ALLOWED - policy 300.5 permits one retest per exam; this row records nothing",IF(AND($K1332=2,COUNTIFS(nrES_PID,$D1332,nrES_Code,$F1332,nrES_Att,1)=0),"ATTEMPT 2 WITHOUT ATTEMPT 1",IF(AND($K1332=2,$L1332=""),"RETEST ROW HAS NO SCORE",IF(AND($H1332="Final",$L1332&lt;&gt;"",IFERROR(INDEX(nrCKfinalExamElig,MATCH($D1332,rngCadetPIDs,0)),"")="No"),"FINAL EXAM AFTER FAILED FINAL PT (500.1.H)",IF(AND($K1332=2,ISNUMBER($L1332),COUNTIFS(nrES_PID,$D1332,nrES_Code,$F1332,nrES_Att,1)&gt;0,SUMIFS(nrES_Raw,nrES_PID,$D1332,nrES_Code,$F1332,nrES_Att,1)&gt;=$J1332),"RETEST AFTER A PASSING FIRST ATTEMPT","OK"))))))))))</f>
        <v/>
      </c>
      <c r="Y1332" s="16" t="n"/>
    </row>
    <row r="1333">
      <c r="B1333" s="17">
        <f>IF($C1333="","",$D1333&amp;"-"&amp;$F1333&amp;"-"&amp;$K1333)</f>
        <v/>
      </c>
      <c r="C1333" s="16" t="n"/>
      <c r="D1333" s="17">
        <f>IF($C1333="","",IFERROR(INDEX(rngCadetPIDs,MATCH($C1333,rngCadetNames,0)),"?"))</f>
        <v/>
      </c>
      <c r="E1333" s="17">
        <f>IF($D1333="","",IFERROR(INDEX(nrCadetAgency,MATCH($D1333,rngCadetPIDs,0)),""))</f>
        <v/>
      </c>
      <c r="F1333" s="16" t="n"/>
      <c r="G1333" s="17">
        <f>IF($F1333="","",IFERROR(INDEX(rngEPname,MATCH($F1333,rngEPcode,0)),"?"))</f>
        <v/>
      </c>
      <c r="H1333" s="17">
        <f>IF($F1333="","",IFERROR(INDEX(rngEPtype,MATCH($F1333,rngEPcode,0)),"?"))</f>
        <v/>
      </c>
      <c r="I1333" s="17">
        <f>IF($F1333="","",IFERROR(INDEX(rngEPseq,MATCH($F1333,rngEPcode,0)),""))</f>
        <v/>
      </c>
      <c r="J1333" s="17">
        <f>IF($F1333="","",IFERROR(INDEX(rngEPpass,MATCH($F1333,rngEPcode,0)),cfgPassingScore))</f>
        <v/>
      </c>
      <c r="K1333" s="16" t="n"/>
      <c r="L1333" s="16" t="n"/>
      <c r="M1333" s="17">
        <f>IF($C1333="","",IF($L1333="","",IF(NOT(ISNUMBER($L1333)),$L1333,IF(N($K1333)&gt;2,"",IF($K1333=1,IF(COUNTIFS(nrES_PID,$D1333,nrES_Code,$F1333,nrES_Att,2,nrES_Raw,"&gt;=0")&gt;0,"",$L1333),IF($L1333&gt;=$J1333,MAX($J1333,cfgRetakeRecordedCap),IF(COUNTIFS(nrES_PID,$D1333,nrES_Code,$F1333,nrES_Att,1)=0,$L1333,SUMIFS(nrES_Raw,nrES_PID,$D1333,nrES_Code,$F1333,nrES_Att,1))))))))</f>
        <v/>
      </c>
      <c r="N1333" s="17">
        <f>IF($C1333="","",IF($L1333="","",IF(NOT(ISNUMBER($L1333)),"(not a score)",IF($L1333&gt;=$J1333,"Yes","No"))))</f>
        <v/>
      </c>
      <c r="O1333" s="17">
        <f>IF($C1333="","",IF($M1333="","",IF(NOT(ISNUMBER($M1333)),"(not a score)",IF($M1333&gt;=$J1333,"Yes","No"))))</f>
        <v/>
      </c>
      <c r="P1333" s="17">
        <f>IF($C1333="","",IF($K1333="","",IF(N($K1333)&gt;2,"No",IF(COUNTIFS(nrES_PID,$D1333,nrES_Code,$F1333,nrES_Att,"&gt;"&amp;$K1333,nrES_Att,"&lt;=2",nrES_Raw,"&gt;=0")=0,"Yes","No"))))</f>
        <v/>
      </c>
      <c r="Q1333" s="17">
        <f>IF($C1333="","",IF($L1333="","",IF(AND($K1333=1,ISNUMBER($L1333),$L1333&lt;$J1333,COUNTIFS(nrES_PID,$D1333,nrES_Code,$F1333,nrES_Att,2,nrES_Raw,"&gt;=0")=0),"Yes","No")))</f>
        <v/>
      </c>
      <c r="R1333" s="17">
        <f>IF($C1333="","",IF($L1333="","",IF(AND(N($K1333)&gt;=2,ISNUMBER($L1333),$L1333&lt;$J1333),"Yes","No")))</f>
        <v/>
      </c>
      <c r="S1333" s="18" t="n"/>
      <c r="T1333" s="19">
        <f>IF(OR($C1333="",$L1333="",$K1333&lt;&gt;1,NOT(ISNUMBER($L1333)),$L1333&gt;=$J1333),"",IF($S1333="","(enter date)",_xlfn.LET(_xlpm.dn,_xlfn.XLOOKUP($S1333,nrCDdate,nrCDnum,"",1),IF(_xlpm.dn="","(after last class day)",_xlfn.LET(_xlpm.dd,_xlfn.XLOOKUP(_xlpm.dn+cfgRetestClassDays,nrCDnum,nrCDdate,""),_xlpm.ok,_xlfn.XLOOKUP(_xlpm.dn+cfgRetestClassDays,nrCDnum,nrCDinsession,"No"),IF(OR(_xlpm.dd="",_xlpm.ok&lt;&gt;"Yes"),"(after last class day)",_xlpm.dd))))))</f>
        <v/>
      </c>
      <c r="U1333" s="17">
        <f>IF($C1333="","",IF(AND($Y1333="Excused",$L1333="",N($K1333)&lt;=1),"EXCUSED - 1st attempt pending",IF(OR($L1333="",$K1333&lt;&gt;1,NOT(ISNUMBER($L1333)),$L1333&gt;=$J1333),"",IF(COUNTIFS(nrES_PID,$D1333,nrES_Code,$F1333,nrES_Att,2,nrES_Raw,"&gt;=0")&gt;0,IF(IFERROR(_xlfn.MINIFS(nrES_Date,nrES_PID,$D1333,nrES_Code,$F1333,nrES_Att,2,nrES_Raw,"&gt;=0",nrES_Date,"&gt;0"),0)=0,"RETEST UNDATED",IF(NOT(ISNUMBER($T1333)),"RETEST DATE UNCHECKED",IF(_xlfn.MINIFS(nrES_Date,nrES_PID,$D1333,nrES_Code,$F1333,nrES_Att,2,nrES_Raw,"&gt;=0",nrES_Date,"&gt;0")&gt;$T1333,"LATE RETEST "&amp;TEXT(_xlfn.MINIFS(nrES_Date,nrES_PID,$D1333,nrES_Code,$F1333,nrES_Att,2,nrES_Raw,"&gt;=0",nrES_Date,"&gt;0"),"mm/dd")&amp;" (due "&amp;TEXT($T1333,"mm/dd")&amp;")","Retested"))),IF(NOT(ISNUMBER($T1333)),"CHECK DATE",IF(TODAY()&gt;$T1333,"OVERDUE","Due "&amp;TEXT($T1333,"mm/dd")))))))</f>
        <v/>
      </c>
      <c r="V1333" s="16" t="n"/>
      <c r="W1333" s="16" t="n"/>
      <c r="X1333" s="17">
        <f>IF($C1333="","",IF(AND($L1333&lt;&gt;"",NOT(ISNUMBER($L1333))),"RAW SCORE NOT A NUMBER",IF(AND(ISNUMBER($L1333),OR($L1333&lt;0,$L1333&gt;100)),"RAW SCORE OUT OF RANGE",IF(AND($Y1333="Unexcused",OR($L1333="",NOT(ISNUMBER($L1333)),$L1333&lt;&gt;0)),"UNEXCUSED ABSENCE MUST RECORD 0",IF(COUNTIF(nrES_RecID,$B1333)&gt;1,"DUPLICATE RECORD",IF(N($K1333)&gt;2,"ATTEMPT 3+ NOT ALLOWED - policy 300.5 permits one retest per exam; this row records nothing",IF(AND($K1333=2,COUNTIFS(nrES_PID,$D1333,nrES_Code,$F1333,nrES_Att,1)=0),"ATTEMPT 2 WITHOUT ATTEMPT 1",IF(AND($K1333=2,$L1333=""),"RETEST ROW HAS NO SCORE",IF(AND($H1333="Final",$L1333&lt;&gt;"",IFERROR(INDEX(nrCKfinalExamElig,MATCH($D1333,rngCadetPIDs,0)),"")="No"),"FINAL EXAM AFTER FAILED FINAL PT (500.1.H)",IF(AND($K1333=2,ISNUMBER($L1333),COUNTIFS(nrES_PID,$D1333,nrES_Code,$F1333,nrES_Att,1)&gt;0,SUMIFS(nrES_Raw,nrES_PID,$D1333,nrES_Code,$F1333,nrES_Att,1)&gt;=$J1333),"RETEST AFTER A PASSING FIRST ATTEMPT","OK"))))))))))</f>
        <v/>
      </c>
      <c r="Y1333" s="16" t="n"/>
    </row>
    <row r="1334">
      <c r="B1334" s="17">
        <f>IF($C1334="","",$D1334&amp;"-"&amp;$F1334&amp;"-"&amp;$K1334)</f>
        <v/>
      </c>
      <c r="C1334" s="16" t="n"/>
      <c r="D1334" s="17">
        <f>IF($C1334="","",IFERROR(INDEX(rngCadetPIDs,MATCH($C1334,rngCadetNames,0)),"?"))</f>
        <v/>
      </c>
      <c r="E1334" s="17">
        <f>IF($D1334="","",IFERROR(INDEX(nrCadetAgency,MATCH($D1334,rngCadetPIDs,0)),""))</f>
        <v/>
      </c>
      <c r="F1334" s="16" t="n"/>
      <c r="G1334" s="17">
        <f>IF($F1334="","",IFERROR(INDEX(rngEPname,MATCH($F1334,rngEPcode,0)),"?"))</f>
        <v/>
      </c>
      <c r="H1334" s="17">
        <f>IF($F1334="","",IFERROR(INDEX(rngEPtype,MATCH($F1334,rngEPcode,0)),"?"))</f>
        <v/>
      </c>
      <c r="I1334" s="17">
        <f>IF($F1334="","",IFERROR(INDEX(rngEPseq,MATCH($F1334,rngEPcode,0)),""))</f>
        <v/>
      </c>
      <c r="J1334" s="17">
        <f>IF($F1334="","",IFERROR(INDEX(rngEPpass,MATCH($F1334,rngEPcode,0)),cfgPassingScore))</f>
        <v/>
      </c>
      <c r="K1334" s="16" t="n"/>
      <c r="L1334" s="16" t="n"/>
      <c r="M1334" s="17">
        <f>IF($C1334="","",IF($L1334="","",IF(NOT(ISNUMBER($L1334)),$L1334,IF(N($K1334)&gt;2,"",IF($K1334=1,IF(COUNTIFS(nrES_PID,$D1334,nrES_Code,$F1334,nrES_Att,2,nrES_Raw,"&gt;=0")&gt;0,"",$L1334),IF($L1334&gt;=$J1334,MAX($J1334,cfgRetakeRecordedCap),IF(COUNTIFS(nrES_PID,$D1334,nrES_Code,$F1334,nrES_Att,1)=0,$L1334,SUMIFS(nrES_Raw,nrES_PID,$D1334,nrES_Code,$F1334,nrES_Att,1))))))))</f>
        <v/>
      </c>
      <c r="N1334" s="17">
        <f>IF($C1334="","",IF($L1334="","",IF(NOT(ISNUMBER($L1334)),"(not a score)",IF($L1334&gt;=$J1334,"Yes","No"))))</f>
        <v/>
      </c>
      <c r="O1334" s="17">
        <f>IF($C1334="","",IF($M1334="","",IF(NOT(ISNUMBER($M1334)),"(not a score)",IF($M1334&gt;=$J1334,"Yes","No"))))</f>
        <v/>
      </c>
      <c r="P1334" s="17">
        <f>IF($C1334="","",IF($K1334="","",IF(N($K1334)&gt;2,"No",IF(COUNTIFS(nrES_PID,$D1334,nrES_Code,$F1334,nrES_Att,"&gt;"&amp;$K1334,nrES_Att,"&lt;=2",nrES_Raw,"&gt;=0")=0,"Yes","No"))))</f>
        <v/>
      </c>
      <c r="Q1334" s="17">
        <f>IF($C1334="","",IF($L1334="","",IF(AND($K1334=1,ISNUMBER($L1334),$L1334&lt;$J1334,COUNTIFS(nrES_PID,$D1334,nrES_Code,$F1334,nrES_Att,2,nrES_Raw,"&gt;=0")=0),"Yes","No")))</f>
        <v/>
      </c>
      <c r="R1334" s="17">
        <f>IF($C1334="","",IF($L1334="","",IF(AND(N($K1334)&gt;=2,ISNUMBER($L1334),$L1334&lt;$J1334),"Yes","No")))</f>
        <v/>
      </c>
      <c r="S1334" s="18" t="n"/>
      <c r="T1334" s="19">
        <f>IF(OR($C1334="",$L1334="",$K1334&lt;&gt;1,NOT(ISNUMBER($L1334)),$L1334&gt;=$J1334),"",IF($S1334="","(enter date)",_xlfn.LET(_xlpm.dn,_xlfn.XLOOKUP($S1334,nrCDdate,nrCDnum,"",1),IF(_xlpm.dn="","(after last class day)",_xlfn.LET(_xlpm.dd,_xlfn.XLOOKUP(_xlpm.dn+cfgRetestClassDays,nrCDnum,nrCDdate,""),_xlpm.ok,_xlfn.XLOOKUP(_xlpm.dn+cfgRetestClassDays,nrCDnum,nrCDinsession,"No"),IF(OR(_xlpm.dd="",_xlpm.ok&lt;&gt;"Yes"),"(after last class day)",_xlpm.dd))))))</f>
        <v/>
      </c>
      <c r="U1334" s="17">
        <f>IF($C1334="","",IF(AND($Y1334="Excused",$L1334="",N($K1334)&lt;=1),"EXCUSED - 1st attempt pending",IF(OR($L1334="",$K1334&lt;&gt;1,NOT(ISNUMBER($L1334)),$L1334&gt;=$J1334),"",IF(COUNTIFS(nrES_PID,$D1334,nrES_Code,$F1334,nrES_Att,2,nrES_Raw,"&gt;=0")&gt;0,IF(IFERROR(_xlfn.MINIFS(nrES_Date,nrES_PID,$D1334,nrES_Code,$F1334,nrES_Att,2,nrES_Raw,"&gt;=0",nrES_Date,"&gt;0"),0)=0,"RETEST UNDATED",IF(NOT(ISNUMBER($T1334)),"RETEST DATE UNCHECKED",IF(_xlfn.MINIFS(nrES_Date,nrES_PID,$D1334,nrES_Code,$F1334,nrES_Att,2,nrES_Raw,"&gt;=0",nrES_Date,"&gt;0")&gt;$T1334,"LATE RETEST "&amp;TEXT(_xlfn.MINIFS(nrES_Date,nrES_PID,$D1334,nrES_Code,$F1334,nrES_Att,2,nrES_Raw,"&gt;=0",nrES_Date,"&gt;0"),"mm/dd")&amp;" (due "&amp;TEXT($T1334,"mm/dd")&amp;")","Retested"))),IF(NOT(ISNUMBER($T1334)),"CHECK DATE",IF(TODAY()&gt;$T1334,"OVERDUE","Due "&amp;TEXT($T1334,"mm/dd")))))))</f>
        <v/>
      </c>
      <c r="V1334" s="16" t="n"/>
      <c r="W1334" s="16" t="n"/>
      <c r="X1334" s="17">
        <f>IF($C1334="","",IF(AND($L1334&lt;&gt;"",NOT(ISNUMBER($L1334))),"RAW SCORE NOT A NUMBER",IF(AND(ISNUMBER($L1334),OR($L1334&lt;0,$L1334&gt;100)),"RAW SCORE OUT OF RANGE",IF(AND($Y1334="Unexcused",OR($L1334="",NOT(ISNUMBER($L1334)),$L1334&lt;&gt;0)),"UNEXCUSED ABSENCE MUST RECORD 0",IF(COUNTIF(nrES_RecID,$B1334)&gt;1,"DUPLICATE RECORD",IF(N($K1334)&gt;2,"ATTEMPT 3+ NOT ALLOWED - policy 300.5 permits one retest per exam; this row records nothing",IF(AND($K1334=2,COUNTIFS(nrES_PID,$D1334,nrES_Code,$F1334,nrES_Att,1)=0),"ATTEMPT 2 WITHOUT ATTEMPT 1",IF(AND($K1334=2,$L1334=""),"RETEST ROW HAS NO SCORE",IF(AND($H1334="Final",$L1334&lt;&gt;"",IFERROR(INDEX(nrCKfinalExamElig,MATCH($D1334,rngCadetPIDs,0)),"")="No"),"FINAL EXAM AFTER FAILED FINAL PT (500.1.H)",IF(AND($K1334=2,ISNUMBER($L1334),COUNTIFS(nrES_PID,$D1334,nrES_Code,$F1334,nrES_Att,1)&gt;0,SUMIFS(nrES_Raw,nrES_PID,$D1334,nrES_Code,$F1334,nrES_Att,1)&gt;=$J1334),"RETEST AFTER A PASSING FIRST ATTEMPT","OK"))))))))))</f>
        <v/>
      </c>
      <c r="Y1334" s="16" t="n"/>
    </row>
    <row r="1335">
      <c r="B1335" s="17">
        <f>IF($C1335="","",$D1335&amp;"-"&amp;$F1335&amp;"-"&amp;$K1335)</f>
        <v/>
      </c>
      <c r="C1335" s="16" t="n"/>
      <c r="D1335" s="17">
        <f>IF($C1335="","",IFERROR(INDEX(rngCadetPIDs,MATCH($C1335,rngCadetNames,0)),"?"))</f>
        <v/>
      </c>
      <c r="E1335" s="17">
        <f>IF($D1335="","",IFERROR(INDEX(nrCadetAgency,MATCH($D1335,rngCadetPIDs,0)),""))</f>
        <v/>
      </c>
      <c r="F1335" s="16" t="n"/>
      <c r="G1335" s="17">
        <f>IF($F1335="","",IFERROR(INDEX(rngEPname,MATCH($F1335,rngEPcode,0)),"?"))</f>
        <v/>
      </c>
      <c r="H1335" s="17">
        <f>IF($F1335="","",IFERROR(INDEX(rngEPtype,MATCH($F1335,rngEPcode,0)),"?"))</f>
        <v/>
      </c>
      <c r="I1335" s="17">
        <f>IF($F1335="","",IFERROR(INDEX(rngEPseq,MATCH($F1335,rngEPcode,0)),""))</f>
        <v/>
      </c>
      <c r="J1335" s="17">
        <f>IF($F1335="","",IFERROR(INDEX(rngEPpass,MATCH($F1335,rngEPcode,0)),cfgPassingScore))</f>
        <v/>
      </c>
      <c r="K1335" s="16" t="n"/>
      <c r="L1335" s="16" t="n"/>
      <c r="M1335" s="17">
        <f>IF($C1335="","",IF($L1335="","",IF(NOT(ISNUMBER($L1335)),$L1335,IF(N($K1335)&gt;2,"",IF($K1335=1,IF(COUNTIFS(nrES_PID,$D1335,nrES_Code,$F1335,nrES_Att,2,nrES_Raw,"&gt;=0")&gt;0,"",$L1335),IF($L1335&gt;=$J1335,MAX($J1335,cfgRetakeRecordedCap),IF(COUNTIFS(nrES_PID,$D1335,nrES_Code,$F1335,nrES_Att,1)=0,$L1335,SUMIFS(nrES_Raw,nrES_PID,$D1335,nrES_Code,$F1335,nrES_Att,1))))))))</f>
        <v/>
      </c>
      <c r="N1335" s="17">
        <f>IF($C1335="","",IF($L1335="","",IF(NOT(ISNUMBER($L1335)),"(not a score)",IF($L1335&gt;=$J1335,"Yes","No"))))</f>
        <v/>
      </c>
      <c r="O1335" s="17">
        <f>IF($C1335="","",IF($M1335="","",IF(NOT(ISNUMBER($M1335)),"(not a score)",IF($M1335&gt;=$J1335,"Yes","No"))))</f>
        <v/>
      </c>
      <c r="P1335" s="17">
        <f>IF($C1335="","",IF($K1335="","",IF(N($K1335)&gt;2,"No",IF(COUNTIFS(nrES_PID,$D1335,nrES_Code,$F1335,nrES_Att,"&gt;"&amp;$K1335,nrES_Att,"&lt;=2",nrES_Raw,"&gt;=0")=0,"Yes","No"))))</f>
        <v/>
      </c>
      <c r="Q1335" s="17">
        <f>IF($C1335="","",IF($L1335="","",IF(AND($K1335=1,ISNUMBER($L1335),$L1335&lt;$J1335,COUNTIFS(nrES_PID,$D1335,nrES_Code,$F1335,nrES_Att,2,nrES_Raw,"&gt;=0")=0),"Yes","No")))</f>
        <v/>
      </c>
      <c r="R1335" s="17">
        <f>IF($C1335="","",IF($L1335="","",IF(AND(N($K1335)&gt;=2,ISNUMBER($L1335),$L1335&lt;$J1335),"Yes","No")))</f>
        <v/>
      </c>
      <c r="S1335" s="18" t="n"/>
      <c r="T1335" s="19">
        <f>IF(OR($C1335="",$L1335="",$K1335&lt;&gt;1,NOT(ISNUMBER($L1335)),$L1335&gt;=$J1335),"",IF($S1335="","(enter date)",_xlfn.LET(_xlpm.dn,_xlfn.XLOOKUP($S1335,nrCDdate,nrCDnum,"",1),IF(_xlpm.dn="","(after last class day)",_xlfn.LET(_xlpm.dd,_xlfn.XLOOKUP(_xlpm.dn+cfgRetestClassDays,nrCDnum,nrCDdate,""),_xlpm.ok,_xlfn.XLOOKUP(_xlpm.dn+cfgRetestClassDays,nrCDnum,nrCDinsession,"No"),IF(OR(_xlpm.dd="",_xlpm.ok&lt;&gt;"Yes"),"(after last class day)",_xlpm.dd))))))</f>
        <v/>
      </c>
      <c r="U1335" s="17">
        <f>IF($C1335="","",IF(AND($Y1335="Excused",$L1335="",N($K1335)&lt;=1),"EXCUSED - 1st attempt pending",IF(OR($L1335="",$K1335&lt;&gt;1,NOT(ISNUMBER($L1335)),$L1335&gt;=$J1335),"",IF(COUNTIFS(nrES_PID,$D1335,nrES_Code,$F1335,nrES_Att,2,nrES_Raw,"&gt;=0")&gt;0,IF(IFERROR(_xlfn.MINIFS(nrES_Date,nrES_PID,$D1335,nrES_Code,$F1335,nrES_Att,2,nrES_Raw,"&gt;=0",nrES_Date,"&gt;0"),0)=0,"RETEST UNDATED",IF(NOT(ISNUMBER($T1335)),"RETEST DATE UNCHECKED",IF(_xlfn.MINIFS(nrES_Date,nrES_PID,$D1335,nrES_Code,$F1335,nrES_Att,2,nrES_Raw,"&gt;=0",nrES_Date,"&gt;0")&gt;$T1335,"LATE RETEST "&amp;TEXT(_xlfn.MINIFS(nrES_Date,nrES_PID,$D1335,nrES_Code,$F1335,nrES_Att,2,nrES_Raw,"&gt;=0",nrES_Date,"&gt;0"),"mm/dd")&amp;" (due "&amp;TEXT($T1335,"mm/dd")&amp;")","Retested"))),IF(NOT(ISNUMBER($T1335)),"CHECK DATE",IF(TODAY()&gt;$T1335,"OVERDUE","Due "&amp;TEXT($T1335,"mm/dd")))))))</f>
        <v/>
      </c>
      <c r="V1335" s="16" t="n"/>
      <c r="W1335" s="16" t="n"/>
      <c r="X1335" s="17">
        <f>IF($C1335="","",IF(AND($L1335&lt;&gt;"",NOT(ISNUMBER($L1335))),"RAW SCORE NOT A NUMBER",IF(AND(ISNUMBER($L1335),OR($L1335&lt;0,$L1335&gt;100)),"RAW SCORE OUT OF RANGE",IF(AND($Y1335="Unexcused",OR($L1335="",NOT(ISNUMBER($L1335)),$L1335&lt;&gt;0)),"UNEXCUSED ABSENCE MUST RECORD 0",IF(COUNTIF(nrES_RecID,$B1335)&gt;1,"DUPLICATE RECORD",IF(N($K1335)&gt;2,"ATTEMPT 3+ NOT ALLOWED - policy 300.5 permits one retest per exam; this row records nothing",IF(AND($K1335=2,COUNTIFS(nrES_PID,$D1335,nrES_Code,$F1335,nrES_Att,1)=0),"ATTEMPT 2 WITHOUT ATTEMPT 1",IF(AND($K1335=2,$L1335=""),"RETEST ROW HAS NO SCORE",IF(AND($H1335="Final",$L1335&lt;&gt;"",IFERROR(INDEX(nrCKfinalExamElig,MATCH($D1335,rngCadetPIDs,0)),"")="No"),"FINAL EXAM AFTER FAILED FINAL PT (500.1.H)",IF(AND($K1335=2,ISNUMBER($L1335),COUNTIFS(nrES_PID,$D1335,nrES_Code,$F1335,nrES_Att,1)&gt;0,SUMIFS(nrES_Raw,nrES_PID,$D1335,nrES_Code,$F1335,nrES_Att,1)&gt;=$J1335),"RETEST AFTER A PASSING FIRST ATTEMPT","OK"))))))))))</f>
        <v/>
      </c>
      <c r="Y1335" s="16" t="n"/>
    </row>
    <row r="1336">
      <c r="B1336" s="17">
        <f>IF($C1336="","",$D1336&amp;"-"&amp;$F1336&amp;"-"&amp;$K1336)</f>
        <v/>
      </c>
      <c r="C1336" s="16" t="n"/>
      <c r="D1336" s="17">
        <f>IF($C1336="","",IFERROR(INDEX(rngCadetPIDs,MATCH($C1336,rngCadetNames,0)),"?"))</f>
        <v/>
      </c>
      <c r="E1336" s="17">
        <f>IF($D1336="","",IFERROR(INDEX(nrCadetAgency,MATCH($D1336,rngCadetPIDs,0)),""))</f>
        <v/>
      </c>
      <c r="F1336" s="16" t="n"/>
      <c r="G1336" s="17">
        <f>IF($F1336="","",IFERROR(INDEX(rngEPname,MATCH($F1336,rngEPcode,0)),"?"))</f>
        <v/>
      </c>
      <c r="H1336" s="17">
        <f>IF($F1336="","",IFERROR(INDEX(rngEPtype,MATCH($F1336,rngEPcode,0)),"?"))</f>
        <v/>
      </c>
      <c r="I1336" s="17">
        <f>IF($F1336="","",IFERROR(INDEX(rngEPseq,MATCH($F1336,rngEPcode,0)),""))</f>
        <v/>
      </c>
      <c r="J1336" s="17">
        <f>IF($F1336="","",IFERROR(INDEX(rngEPpass,MATCH($F1336,rngEPcode,0)),cfgPassingScore))</f>
        <v/>
      </c>
      <c r="K1336" s="16" t="n"/>
      <c r="L1336" s="16" t="n"/>
      <c r="M1336" s="17">
        <f>IF($C1336="","",IF($L1336="","",IF(NOT(ISNUMBER($L1336)),$L1336,IF(N($K1336)&gt;2,"",IF($K1336=1,IF(COUNTIFS(nrES_PID,$D1336,nrES_Code,$F1336,nrES_Att,2,nrES_Raw,"&gt;=0")&gt;0,"",$L1336),IF($L1336&gt;=$J1336,MAX($J1336,cfgRetakeRecordedCap),IF(COUNTIFS(nrES_PID,$D1336,nrES_Code,$F1336,nrES_Att,1)=0,$L1336,SUMIFS(nrES_Raw,nrES_PID,$D1336,nrES_Code,$F1336,nrES_Att,1))))))))</f>
        <v/>
      </c>
      <c r="N1336" s="17">
        <f>IF($C1336="","",IF($L1336="","",IF(NOT(ISNUMBER($L1336)),"(not a score)",IF($L1336&gt;=$J1336,"Yes","No"))))</f>
        <v/>
      </c>
      <c r="O1336" s="17">
        <f>IF($C1336="","",IF($M1336="","",IF(NOT(ISNUMBER($M1336)),"(not a score)",IF($M1336&gt;=$J1336,"Yes","No"))))</f>
        <v/>
      </c>
      <c r="P1336" s="17">
        <f>IF($C1336="","",IF($K1336="","",IF(N($K1336)&gt;2,"No",IF(COUNTIFS(nrES_PID,$D1336,nrES_Code,$F1336,nrES_Att,"&gt;"&amp;$K1336,nrES_Att,"&lt;=2",nrES_Raw,"&gt;=0")=0,"Yes","No"))))</f>
        <v/>
      </c>
      <c r="Q1336" s="17">
        <f>IF($C1336="","",IF($L1336="","",IF(AND($K1336=1,ISNUMBER($L1336),$L1336&lt;$J1336,COUNTIFS(nrES_PID,$D1336,nrES_Code,$F1336,nrES_Att,2,nrES_Raw,"&gt;=0")=0),"Yes","No")))</f>
        <v/>
      </c>
      <c r="R1336" s="17">
        <f>IF($C1336="","",IF($L1336="","",IF(AND(N($K1336)&gt;=2,ISNUMBER($L1336),$L1336&lt;$J1336),"Yes","No")))</f>
        <v/>
      </c>
      <c r="S1336" s="18" t="n"/>
      <c r="T1336" s="19">
        <f>IF(OR($C1336="",$L1336="",$K1336&lt;&gt;1,NOT(ISNUMBER($L1336)),$L1336&gt;=$J1336),"",IF($S1336="","(enter date)",_xlfn.LET(_xlpm.dn,_xlfn.XLOOKUP($S1336,nrCDdate,nrCDnum,"",1),IF(_xlpm.dn="","(after last class day)",_xlfn.LET(_xlpm.dd,_xlfn.XLOOKUP(_xlpm.dn+cfgRetestClassDays,nrCDnum,nrCDdate,""),_xlpm.ok,_xlfn.XLOOKUP(_xlpm.dn+cfgRetestClassDays,nrCDnum,nrCDinsession,"No"),IF(OR(_xlpm.dd="",_xlpm.ok&lt;&gt;"Yes"),"(after last class day)",_xlpm.dd))))))</f>
        <v/>
      </c>
      <c r="U1336" s="17">
        <f>IF($C1336="","",IF(AND($Y1336="Excused",$L1336="",N($K1336)&lt;=1),"EXCUSED - 1st attempt pending",IF(OR($L1336="",$K1336&lt;&gt;1,NOT(ISNUMBER($L1336)),$L1336&gt;=$J1336),"",IF(COUNTIFS(nrES_PID,$D1336,nrES_Code,$F1336,nrES_Att,2,nrES_Raw,"&gt;=0")&gt;0,IF(IFERROR(_xlfn.MINIFS(nrES_Date,nrES_PID,$D1336,nrES_Code,$F1336,nrES_Att,2,nrES_Raw,"&gt;=0",nrES_Date,"&gt;0"),0)=0,"RETEST UNDATED",IF(NOT(ISNUMBER($T1336)),"RETEST DATE UNCHECKED",IF(_xlfn.MINIFS(nrES_Date,nrES_PID,$D1336,nrES_Code,$F1336,nrES_Att,2,nrES_Raw,"&gt;=0",nrES_Date,"&gt;0")&gt;$T1336,"LATE RETEST "&amp;TEXT(_xlfn.MINIFS(nrES_Date,nrES_PID,$D1336,nrES_Code,$F1336,nrES_Att,2,nrES_Raw,"&gt;=0",nrES_Date,"&gt;0"),"mm/dd")&amp;" (due "&amp;TEXT($T1336,"mm/dd")&amp;")","Retested"))),IF(NOT(ISNUMBER($T1336)),"CHECK DATE",IF(TODAY()&gt;$T1336,"OVERDUE","Due "&amp;TEXT($T1336,"mm/dd")))))))</f>
        <v/>
      </c>
      <c r="V1336" s="16" t="n"/>
      <c r="W1336" s="16" t="n"/>
      <c r="X1336" s="17">
        <f>IF($C1336="","",IF(AND($L1336&lt;&gt;"",NOT(ISNUMBER($L1336))),"RAW SCORE NOT A NUMBER",IF(AND(ISNUMBER($L1336),OR($L1336&lt;0,$L1336&gt;100)),"RAW SCORE OUT OF RANGE",IF(AND($Y1336="Unexcused",OR($L1336="",NOT(ISNUMBER($L1336)),$L1336&lt;&gt;0)),"UNEXCUSED ABSENCE MUST RECORD 0",IF(COUNTIF(nrES_RecID,$B1336)&gt;1,"DUPLICATE RECORD",IF(N($K1336)&gt;2,"ATTEMPT 3+ NOT ALLOWED - policy 300.5 permits one retest per exam; this row records nothing",IF(AND($K1336=2,COUNTIFS(nrES_PID,$D1336,nrES_Code,$F1336,nrES_Att,1)=0),"ATTEMPT 2 WITHOUT ATTEMPT 1",IF(AND($K1336=2,$L1336=""),"RETEST ROW HAS NO SCORE",IF(AND($H1336="Final",$L1336&lt;&gt;"",IFERROR(INDEX(nrCKfinalExamElig,MATCH($D1336,rngCadetPIDs,0)),"")="No"),"FINAL EXAM AFTER FAILED FINAL PT (500.1.H)",IF(AND($K1336=2,ISNUMBER($L1336),COUNTIFS(nrES_PID,$D1336,nrES_Code,$F1336,nrES_Att,1)&gt;0,SUMIFS(nrES_Raw,nrES_PID,$D1336,nrES_Code,$F1336,nrES_Att,1)&gt;=$J1336),"RETEST AFTER A PASSING FIRST ATTEMPT","OK"))))))))))</f>
        <v/>
      </c>
      <c r="Y1336" s="16" t="n"/>
    </row>
    <row r="1337">
      <c r="B1337" s="17">
        <f>IF($C1337="","",$D1337&amp;"-"&amp;$F1337&amp;"-"&amp;$K1337)</f>
        <v/>
      </c>
      <c r="C1337" s="16" t="n"/>
      <c r="D1337" s="17">
        <f>IF($C1337="","",IFERROR(INDEX(rngCadetPIDs,MATCH($C1337,rngCadetNames,0)),"?"))</f>
        <v/>
      </c>
      <c r="E1337" s="17">
        <f>IF($D1337="","",IFERROR(INDEX(nrCadetAgency,MATCH($D1337,rngCadetPIDs,0)),""))</f>
        <v/>
      </c>
      <c r="F1337" s="16" t="n"/>
      <c r="G1337" s="17">
        <f>IF($F1337="","",IFERROR(INDEX(rngEPname,MATCH($F1337,rngEPcode,0)),"?"))</f>
        <v/>
      </c>
      <c r="H1337" s="17">
        <f>IF($F1337="","",IFERROR(INDEX(rngEPtype,MATCH($F1337,rngEPcode,0)),"?"))</f>
        <v/>
      </c>
      <c r="I1337" s="17">
        <f>IF($F1337="","",IFERROR(INDEX(rngEPseq,MATCH($F1337,rngEPcode,0)),""))</f>
        <v/>
      </c>
      <c r="J1337" s="17">
        <f>IF($F1337="","",IFERROR(INDEX(rngEPpass,MATCH($F1337,rngEPcode,0)),cfgPassingScore))</f>
        <v/>
      </c>
      <c r="K1337" s="16" t="n"/>
      <c r="L1337" s="16" t="n"/>
      <c r="M1337" s="17">
        <f>IF($C1337="","",IF($L1337="","",IF(NOT(ISNUMBER($L1337)),$L1337,IF(N($K1337)&gt;2,"",IF($K1337=1,IF(COUNTIFS(nrES_PID,$D1337,nrES_Code,$F1337,nrES_Att,2,nrES_Raw,"&gt;=0")&gt;0,"",$L1337),IF($L1337&gt;=$J1337,MAX($J1337,cfgRetakeRecordedCap),IF(COUNTIFS(nrES_PID,$D1337,nrES_Code,$F1337,nrES_Att,1)=0,$L1337,SUMIFS(nrES_Raw,nrES_PID,$D1337,nrES_Code,$F1337,nrES_Att,1))))))))</f>
        <v/>
      </c>
      <c r="N1337" s="17">
        <f>IF($C1337="","",IF($L1337="","",IF(NOT(ISNUMBER($L1337)),"(not a score)",IF($L1337&gt;=$J1337,"Yes","No"))))</f>
        <v/>
      </c>
      <c r="O1337" s="17">
        <f>IF($C1337="","",IF($M1337="","",IF(NOT(ISNUMBER($M1337)),"(not a score)",IF($M1337&gt;=$J1337,"Yes","No"))))</f>
        <v/>
      </c>
      <c r="P1337" s="17">
        <f>IF($C1337="","",IF($K1337="","",IF(N($K1337)&gt;2,"No",IF(COUNTIFS(nrES_PID,$D1337,nrES_Code,$F1337,nrES_Att,"&gt;"&amp;$K1337,nrES_Att,"&lt;=2",nrES_Raw,"&gt;=0")=0,"Yes","No"))))</f>
        <v/>
      </c>
      <c r="Q1337" s="17">
        <f>IF($C1337="","",IF($L1337="","",IF(AND($K1337=1,ISNUMBER($L1337),$L1337&lt;$J1337,COUNTIFS(nrES_PID,$D1337,nrES_Code,$F1337,nrES_Att,2,nrES_Raw,"&gt;=0")=0),"Yes","No")))</f>
        <v/>
      </c>
      <c r="R1337" s="17">
        <f>IF($C1337="","",IF($L1337="","",IF(AND(N($K1337)&gt;=2,ISNUMBER($L1337),$L1337&lt;$J1337),"Yes","No")))</f>
        <v/>
      </c>
      <c r="S1337" s="18" t="n"/>
      <c r="T1337" s="19">
        <f>IF(OR($C1337="",$L1337="",$K1337&lt;&gt;1,NOT(ISNUMBER($L1337)),$L1337&gt;=$J1337),"",IF($S1337="","(enter date)",_xlfn.LET(_xlpm.dn,_xlfn.XLOOKUP($S1337,nrCDdate,nrCDnum,"",1),IF(_xlpm.dn="","(after last class day)",_xlfn.LET(_xlpm.dd,_xlfn.XLOOKUP(_xlpm.dn+cfgRetestClassDays,nrCDnum,nrCDdate,""),_xlpm.ok,_xlfn.XLOOKUP(_xlpm.dn+cfgRetestClassDays,nrCDnum,nrCDinsession,"No"),IF(OR(_xlpm.dd="",_xlpm.ok&lt;&gt;"Yes"),"(after last class day)",_xlpm.dd))))))</f>
        <v/>
      </c>
      <c r="U1337" s="17">
        <f>IF($C1337="","",IF(AND($Y1337="Excused",$L1337="",N($K1337)&lt;=1),"EXCUSED - 1st attempt pending",IF(OR($L1337="",$K1337&lt;&gt;1,NOT(ISNUMBER($L1337)),$L1337&gt;=$J1337),"",IF(COUNTIFS(nrES_PID,$D1337,nrES_Code,$F1337,nrES_Att,2,nrES_Raw,"&gt;=0")&gt;0,IF(IFERROR(_xlfn.MINIFS(nrES_Date,nrES_PID,$D1337,nrES_Code,$F1337,nrES_Att,2,nrES_Raw,"&gt;=0",nrES_Date,"&gt;0"),0)=0,"RETEST UNDATED",IF(NOT(ISNUMBER($T1337)),"RETEST DATE UNCHECKED",IF(_xlfn.MINIFS(nrES_Date,nrES_PID,$D1337,nrES_Code,$F1337,nrES_Att,2,nrES_Raw,"&gt;=0",nrES_Date,"&gt;0")&gt;$T1337,"LATE RETEST "&amp;TEXT(_xlfn.MINIFS(nrES_Date,nrES_PID,$D1337,nrES_Code,$F1337,nrES_Att,2,nrES_Raw,"&gt;=0",nrES_Date,"&gt;0"),"mm/dd")&amp;" (due "&amp;TEXT($T1337,"mm/dd")&amp;")","Retested"))),IF(NOT(ISNUMBER($T1337)),"CHECK DATE",IF(TODAY()&gt;$T1337,"OVERDUE","Due "&amp;TEXT($T1337,"mm/dd")))))))</f>
        <v/>
      </c>
      <c r="V1337" s="16" t="n"/>
      <c r="W1337" s="16" t="n"/>
      <c r="X1337" s="17">
        <f>IF($C1337="","",IF(AND($L1337&lt;&gt;"",NOT(ISNUMBER($L1337))),"RAW SCORE NOT A NUMBER",IF(AND(ISNUMBER($L1337),OR($L1337&lt;0,$L1337&gt;100)),"RAW SCORE OUT OF RANGE",IF(AND($Y1337="Unexcused",OR($L1337="",NOT(ISNUMBER($L1337)),$L1337&lt;&gt;0)),"UNEXCUSED ABSENCE MUST RECORD 0",IF(COUNTIF(nrES_RecID,$B1337)&gt;1,"DUPLICATE RECORD",IF(N($K1337)&gt;2,"ATTEMPT 3+ NOT ALLOWED - policy 300.5 permits one retest per exam; this row records nothing",IF(AND($K1337=2,COUNTIFS(nrES_PID,$D1337,nrES_Code,$F1337,nrES_Att,1)=0),"ATTEMPT 2 WITHOUT ATTEMPT 1",IF(AND($K1337=2,$L1337=""),"RETEST ROW HAS NO SCORE",IF(AND($H1337="Final",$L1337&lt;&gt;"",IFERROR(INDEX(nrCKfinalExamElig,MATCH($D1337,rngCadetPIDs,0)),"")="No"),"FINAL EXAM AFTER FAILED FINAL PT (500.1.H)",IF(AND($K1337=2,ISNUMBER($L1337),COUNTIFS(nrES_PID,$D1337,nrES_Code,$F1337,nrES_Att,1)&gt;0,SUMIFS(nrES_Raw,nrES_PID,$D1337,nrES_Code,$F1337,nrES_Att,1)&gt;=$J1337),"RETEST AFTER A PASSING FIRST ATTEMPT","OK"))))))))))</f>
        <v/>
      </c>
      <c r="Y1337" s="16" t="n"/>
    </row>
    <row r="1338">
      <c r="B1338" s="17">
        <f>IF($C1338="","",$D1338&amp;"-"&amp;$F1338&amp;"-"&amp;$K1338)</f>
        <v/>
      </c>
      <c r="C1338" s="16" t="n"/>
      <c r="D1338" s="17">
        <f>IF($C1338="","",IFERROR(INDEX(rngCadetPIDs,MATCH($C1338,rngCadetNames,0)),"?"))</f>
        <v/>
      </c>
      <c r="E1338" s="17">
        <f>IF($D1338="","",IFERROR(INDEX(nrCadetAgency,MATCH($D1338,rngCadetPIDs,0)),""))</f>
        <v/>
      </c>
      <c r="F1338" s="16" t="n"/>
      <c r="G1338" s="17">
        <f>IF($F1338="","",IFERROR(INDEX(rngEPname,MATCH($F1338,rngEPcode,0)),"?"))</f>
        <v/>
      </c>
      <c r="H1338" s="17">
        <f>IF($F1338="","",IFERROR(INDEX(rngEPtype,MATCH($F1338,rngEPcode,0)),"?"))</f>
        <v/>
      </c>
      <c r="I1338" s="17">
        <f>IF($F1338="","",IFERROR(INDEX(rngEPseq,MATCH($F1338,rngEPcode,0)),""))</f>
        <v/>
      </c>
      <c r="J1338" s="17">
        <f>IF($F1338="","",IFERROR(INDEX(rngEPpass,MATCH($F1338,rngEPcode,0)),cfgPassingScore))</f>
        <v/>
      </c>
      <c r="K1338" s="16" t="n"/>
      <c r="L1338" s="16" t="n"/>
      <c r="M1338" s="17">
        <f>IF($C1338="","",IF($L1338="","",IF(NOT(ISNUMBER($L1338)),$L1338,IF(N($K1338)&gt;2,"",IF($K1338=1,IF(COUNTIFS(nrES_PID,$D1338,nrES_Code,$F1338,nrES_Att,2,nrES_Raw,"&gt;=0")&gt;0,"",$L1338),IF($L1338&gt;=$J1338,MAX($J1338,cfgRetakeRecordedCap),IF(COUNTIFS(nrES_PID,$D1338,nrES_Code,$F1338,nrES_Att,1)=0,$L1338,SUMIFS(nrES_Raw,nrES_PID,$D1338,nrES_Code,$F1338,nrES_Att,1))))))))</f>
        <v/>
      </c>
      <c r="N1338" s="17">
        <f>IF($C1338="","",IF($L1338="","",IF(NOT(ISNUMBER($L1338)),"(not a score)",IF($L1338&gt;=$J1338,"Yes","No"))))</f>
        <v/>
      </c>
      <c r="O1338" s="17">
        <f>IF($C1338="","",IF($M1338="","",IF(NOT(ISNUMBER($M1338)),"(not a score)",IF($M1338&gt;=$J1338,"Yes","No"))))</f>
        <v/>
      </c>
      <c r="P1338" s="17">
        <f>IF($C1338="","",IF($K1338="","",IF(N($K1338)&gt;2,"No",IF(COUNTIFS(nrES_PID,$D1338,nrES_Code,$F1338,nrES_Att,"&gt;"&amp;$K1338,nrES_Att,"&lt;=2",nrES_Raw,"&gt;=0")=0,"Yes","No"))))</f>
        <v/>
      </c>
      <c r="Q1338" s="17">
        <f>IF($C1338="","",IF($L1338="","",IF(AND($K1338=1,ISNUMBER($L1338),$L1338&lt;$J1338,COUNTIFS(nrES_PID,$D1338,nrES_Code,$F1338,nrES_Att,2,nrES_Raw,"&gt;=0")=0),"Yes","No")))</f>
        <v/>
      </c>
      <c r="R1338" s="17">
        <f>IF($C1338="","",IF($L1338="","",IF(AND(N($K1338)&gt;=2,ISNUMBER($L1338),$L1338&lt;$J1338),"Yes","No")))</f>
        <v/>
      </c>
      <c r="S1338" s="18" t="n"/>
      <c r="T1338" s="19">
        <f>IF(OR($C1338="",$L1338="",$K1338&lt;&gt;1,NOT(ISNUMBER($L1338)),$L1338&gt;=$J1338),"",IF($S1338="","(enter date)",_xlfn.LET(_xlpm.dn,_xlfn.XLOOKUP($S1338,nrCDdate,nrCDnum,"",1),IF(_xlpm.dn="","(after last class day)",_xlfn.LET(_xlpm.dd,_xlfn.XLOOKUP(_xlpm.dn+cfgRetestClassDays,nrCDnum,nrCDdate,""),_xlpm.ok,_xlfn.XLOOKUP(_xlpm.dn+cfgRetestClassDays,nrCDnum,nrCDinsession,"No"),IF(OR(_xlpm.dd="",_xlpm.ok&lt;&gt;"Yes"),"(after last class day)",_xlpm.dd))))))</f>
        <v/>
      </c>
      <c r="U1338" s="17">
        <f>IF($C1338="","",IF(AND($Y1338="Excused",$L1338="",N($K1338)&lt;=1),"EXCUSED - 1st attempt pending",IF(OR($L1338="",$K1338&lt;&gt;1,NOT(ISNUMBER($L1338)),$L1338&gt;=$J1338),"",IF(COUNTIFS(nrES_PID,$D1338,nrES_Code,$F1338,nrES_Att,2,nrES_Raw,"&gt;=0")&gt;0,IF(IFERROR(_xlfn.MINIFS(nrES_Date,nrES_PID,$D1338,nrES_Code,$F1338,nrES_Att,2,nrES_Raw,"&gt;=0",nrES_Date,"&gt;0"),0)=0,"RETEST UNDATED",IF(NOT(ISNUMBER($T1338)),"RETEST DATE UNCHECKED",IF(_xlfn.MINIFS(nrES_Date,nrES_PID,$D1338,nrES_Code,$F1338,nrES_Att,2,nrES_Raw,"&gt;=0",nrES_Date,"&gt;0")&gt;$T1338,"LATE RETEST "&amp;TEXT(_xlfn.MINIFS(nrES_Date,nrES_PID,$D1338,nrES_Code,$F1338,nrES_Att,2,nrES_Raw,"&gt;=0",nrES_Date,"&gt;0"),"mm/dd")&amp;" (due "&amp;TEXT($T1338,"mm/dd")&amp;")","Retested"))),IF(NOT(ISNUMBER($T1338)),"CHECK DATE",IF(TODAY()&gt;$T1338,"OVERDUE","Due "&amp;TEXT($T1338,"mm/dd")))))))</f>
        <v/>
      </c>
      <c r="V1338" s="16" t="n"/>
      <c r="W1338" s="16" t="n"/>
      <c r="X1338" s="17">
        <f>IF($C1338="","",IF(AND($L1338&lt;&gt;"",NOT(ISNUMBER($L1338))),"RAW SCORE NOT A NUMBER",IF(AND(ISNUMBER($L1338),OR($L1338&lt;0,$L1338&gt;100)),"RAW SCORE OUT OF RANGE",IF(AND($Y1338="Unexcused",OR($L1338="",NOT(ISNUMBER($L1338)),$L1338&lt;&gt;0)),"UNEXCUSED ABSENCE MUST RECORD 0",IF(COUNTIF(nrES_RecID,$B1338)&gt;1,"DUPLICATE RECORD",IF(N($K1338)&gt;2,"ATTEMPT 3+ NOT ALLOWED - policy 300.5 permits one retest per exam; this row records nothing",IF(AND($K1338=2,COUNTIFS(nrES_PID,$D1338,nrES_Code,$F1338,nrES_Att,1)=0),"ATTEMPT 2 WITHOUT ATTEMPT 1",IF(AND($K1338=2,$L1338=""),"RETEST ROW HAS NO SCORE",IF(AND($H1338="Final",$L1338&lt;&gt;"",IFERROR(INDEX(nrCKfinalExamElig,MATCH($D1338,rngCadetPIDs,0)),"")="No"),"FINAL EXAM AFTER FAILED FINAL PT (500.1.H)",IF(AND($K1338=2,ISNUMBER($L1338),COUNTIFS(nrES_PID,$D1338,nrES_Code,$F1338,nrES_Att,1)&gt;0,SUMIFS(nrES_Raw,nrES_PID,$D1338,nrES_Code,$F1338,nrES_Att,1)&gt;=$J1338),"RETEST AFTER A PASSING FIRST ATTEMPT","OK"))))))))))</f>
        <v/>
      </c>
      <c r="Y1338" s="16" t="n"/>
    </row>
    <row r="1339">
      <c r="B1339" s="17">
        <f>IF($C1339="","",$D1339&amp;"-"&amp;$F1339&amp;"-"&amp;$K1339)</f>
        <v/>
      </c>
      <c r="C1339" s="16" t="n"/>
      <c r="D1339" s="17">
        <f>IF($C1339="","",IFERROR(INDEX(rngCadetPIDs,MATCH($C1339,rngCadetNames,0)),"?"))</f>
        <v/>
      </c>
      <c r="E1339" s="17">
        <f>IF($D1339="","",IFERROR(INDEX(nrCadetAgency,MATCH($D1339,rngCadetPIDs,0)),""))</f>
        <v/>
      </c>
      <c r="F1339" s="16" t="n"/>
      <c r="G1339" s="17">
        <f>IF($F1339="","",IFERROR(INDEX(rngEPname,MATCH($F1339,rngEPcode,0)),"?"))</f>
        <v/>
      </c>
      <c r="H1339" s="17">
        <f>IF($F1339="","",IFERROR(INDEX(rngEPtype,MATCH($F1339,rngEPcode,0)),"?"))</f>
        <v/>
      </c>
      <c r="I1339" s="17">
        <f>IF($F1339="","",IFERROR(INDEX(rngEPseq,MATCH($F1339,rngEPcode,0)),""))</f>
        <v/>
      </c>
      <c r="J1339" s="17">
        <f>IF($F1339="","",IFERROR(INDEX(rngEPpass,MATCH($F1339,rngEPcode,0)),cfgPassingScore))</f>
        <v/>
      </c>
      <c r="K1339" s="16" t="n"/>
      <c r="L1339" s="16" t="n"/>
      <c r="M1339" s="17">
        <f>IF($C1339="","",IF($L1339="","",IF(NOT(ISNUMBER($L1339)),$L1339,IF(N($K1339)&gt;2,"",IF($K1339=1,IF(COUNTIFS(nrES_PID,$D1339,nrES_Code,$F1339,nrES_Att,2,nrES_Raw,"&gt;=0")&gt;0,"",$L1339),IF($L1339&gt;=$J1339,MAX($J1339,cfgRetakeRecordedCap),IF(COUNTIFS(nrES_PID,$D1339,nrES_Code,$F1339,nrES_Att,1)=0,$L1339,SUMIFS(nrES_Raw,nrES_PID,$D1339,nrES_Code,$F1339,nrES_Att,1))))))))</f>
        <v/>
      </c>
      <c r="N1339" s="17">
        <f>IF($C1339="","",IF($L1339="","",IF(NOT(ISNUMBER($L1339)),"(not a score)",IF($L1339&gt;=$J1339,"Yes","No"))))</f>
        <v/>
      </c>
      <c r="O1339" s="17">
        <f>IF($C1339="","",IF($M1339="","",IF(NOT(ISNUMBER($M1339)),"(not a score)",IF($M1339&gt;=$J1339,"Yes","No"))))</f>
        <v/>
      </c>
      <c r="P1339" s="17">
        <f>IF($C1339="","",IF($K1339="","",IF(N($K1339)&gt;2,"No",IF(COUNTIFS(nrES_PID,$D1339,nrES_Code,$F1339,nrES_Att,"&gt;"&amp;$K1339,nrES_Att,"&lt;=2",nrES_Raw,"&gt;=0")=0,"Yes","No"))))</f>
        <v/>
      </c>
      <c r="Q1339" s="17">
        <f>IF($C1339="","",IF($L1339="","",IF(AND($K1339=1,ISNUMBER($L1339),$L1339&lt;$J1339,COUNTIFS(nrES_PID,$D1339,nrES_Code,$F1339,nrES_Att,2,nrES_Raw,"&gt;=0")=0),"Yes","No")))</f>
        <v/>
      </c>
      <c r="R1339" s="17">
        <f>IF($C1339="","",IF($L1339="","",IF(AND(N($K1339)&gt;=2,ISNUMBER($L1339),$L1339&lt;$J1339),"Yes","No")))</f>
        <v/>
      </c>
      <c r="S1339" s="18" t="n"/>
      <c r="T1339" s="19">
        <f>IF(OR($C1339="",$L1339="",$K1339&lt;&gt;1,NOT(ISNUMBER($L1339)),$L1339&gt;=$J1339),"",IF($S1339="","(enter date)",_xlfn.LET(_xlpm.dn,_xlfn.XLOOKUP($S1339,nrCDdate,nrCDnum,"",1),IF(_xlpm.dn="","(after last class day)",_xlfn.LET(_xlpm.dd,_xlfn.XLOOKUP(_xlpm.dn+cfgRetestClassDays,nrCDnum,nrCDdate,""),_xlpm.ok,_xlfn.XLOOKUP(_xlpm.dn+cfgRetestClassDays,nrCDnum,nrCDinsession,"No"),IF(OR(_xlpm.dd="",_xlpm.ok&lt;&gt;"Yes"),"(after last class day)",_xlpm.dd))))))</f>
        <v/>
      </c>
      <c r="U1339" s="17">
        <f>IF($C1339="","",IF(AND($Y1339="Excused",$L1339="",N($K1339)&lt;=1),"EXCUSED - 1st attempt pending",IF(OR($L1339="",$K1339&lt;&gt;1,NOT(ISNUMBER($L1339)),$L1339&gt;=$J1339),"",IF(COUNTIFS(nrES_PID,$D1339,nrES_Code,$F1339,nrES_Att,2,nrES_Raw,"&gt;=0")&gt;0,IF(IFERROR(_xlfn.MINIFS(nrES_Date,nrES_PID,$D1339,nrES_Code,$F1339,nrES_Att,2,nrES_Raw,"&gt;=0",nrES_Date,"&gt;0"),0)=0,"RETEST UNDATED",IF(NOT(ISNUMBER($T1339)),"RETEST DATE UNCHECKED",IF(_xlfn.MINIFS(nrES_Date,nrES_PID,$D1339,nrES_Code,$F1339,nrES_Att,2,nrES_Raw,"&gt;=0",nrES_Date,"&gt;0")&gt;$T1339,"LATE RETEST "&amp;TEXT(_xlfn.MINIFS(nrES_Date,nrES_PID,$D1339,nrES_Code,$F1339,nrES_Att,2,nrES_Raw,"&gt;=0",nrES_Date,"&gt;0"),"mm/dd")&amp;" (due "&amp;TEXT($T1339,"mm/dd")&amp;")","Retested"))),IF(NOT(ISNUMBER($T1339)),"CHECK DATE",IF(TODAY()&gt;$T1339,"OVERDUE","Due "&amp;TEXT($T1339,"mm/dd")))))))</f>
        <v/>
      </c>
      <c r="V1339" s="16" t="n"/>
      <c r="W1339" s="16" t="n"/>
      <c r="X1339" s="17">
        <f>IF($C1339="","",IF(AND($L1339&lt;&gt;"",NOT(ISNUMBER($L1339))),"RAW SCORE NOT A NUMBER",IF(AND(ISNUMBER($L1339),OR($L1339&lt;0,$L1339&gt;100)),"RAW SCORE OUT OF RANGE",IF(AND($Y1339="Unexcused",OR($L1339="",NOT(ISNUMBER($L1339)),$L1339&lt;&gt;0)),"UNEXCUSED ABSENCE MUST RECORD 0",IF(COUNTIF(nrES_RecID,$B1339)&gt;1,"DUPLICATE RECORD",IF(N($K1339)&gt;2,"ATTEMPT 3+ NOT ALLOWED - policy 300.5 permits one retest per exam; this row records nothing",IF(AND($K1339=2,COUNTIFS(nrES_PID,$D1339,nrES_Code,$F1339,nrES_Att,1)=0),"ATTEMPT 2 WITHOUT ATTEMPT 1",IF(AND($K1339=2,$L1339=""),"RETEST ROW HAS NO SCORE",IF(AND($H1339="Final",$L1339&lt;&gt;"",IFERROR(INDEX(nrCKfinalExamElig,MATCH($D1339,rngCadetPIDs,0)),"")="No"),"FINAL EXAM AFTER FAILED FINAL PT (500.1.H)",IF(AND($K1339=2,ISNUMBER($L1339),COUNTIFS(nrES_PID,$D1339,nrES_Code,$F1339,nrES_Att,1)&gt;0,SUMIFS(nrES_Raw,nrES_PID,$D1339,nrES_Code,$F1339,nrES_Att,1)&gt;=$J1339),"RETEST AFTER A PASSING FIRST ATTEMPT","OK"))))))))))</f>
        <v/>
      </c>
      <c r="Y1339" s="16" t="n"/>
    </row>
    <row r="1340">
      <c r="B1340" s="17">
        <f>IF($C1340="","",$D1340&amp;"-"&amp;$F1340&amp;"-"&amp;$K1340)</f>
        <v/>
      </c>
      <c r="C1340" s="16" t="n"/>
      <c r="D1340" s="17">
        <f>IF($C1340="","",IFERROR(INDEX(rngCadetPIDs,MATCH($C1340,rngCadetNames,0)),"?"))</f>
        <v/>
      </c>
      <c r="E1340" s="17">
        <f>IF($D1340="","",IFERROR(INDEX(nrCadetAgency,MATCH($D1340,rngCadetPIDs,0)),""))</f>
        <v/>
      </c>
      <c r="F1340" s="16" t="n"/>
      <c r="G1340" s="17">
        <f>IF($F1340="","",IFERROR(INDEX(rngEPname,MATCH($F1340,rngEPcode,0)),"?"))</f>
        <v/>
      </c>
      <c r="H1340" s="17">
        <f>IF($F1340="","",IFERROR(INDEX(rngEPtype,MATCH($F1340,rngEPcode,0)),"?"))</f>
        <v/>
      </c>
      <c r="I1340" s="17">
        <f>IF($F1340="","",IFERROR(INDEX(rngEPseq,MATCH($F1340,rngEPcode,0)),""))</f>
        <v/>
      </c>
      <c r="J1340" s="17">
        <f>IF($F1340="","",IFERROR(INDEX(rngEPpass,MATCH($F1340,rngEPcode,0)),cfgPassingScore))</f>
        <v/>
      </c>
      <c r="K1340" s="16" t="n"/>
      <c r="L1340" s="16" t="n"/>
      <c r="M1340" s="17">
        <f>IF($C1340="","",IF($L1340="","",IF(NOT(ISNUMBER($L1340)),$L1340,IF(N($K1340)&gt;2,"",IF($K1340=1,IF(COUNTIFS(nrES_PID,$D1340,nrES_Code,$F1340,nrES_Att,2,nrES_Raw,"&gt;=0")&gt;0,"",$L1340),IF($L1340&gt;=$J1340,MAX($J1340,cfgRetakeRecordedCap),IF(COUNTIFS(nrES_PID,$D1340,nrES_Code,$F1340,nrES_Att,1)=0,$L1340,SUMIFS(nrES_Raw,nrES_PID,$D1340,nrES_Code,$F1340,nrES_Att,1))))))))</f>
        <v/>
      </c>
      <c r="N1340" s="17">
        <f>IF($C1340="","",IF($L1340="","",IF(NOT(ISNUMBER($L1340)),"(not a score)",IF($L1340&gt;=$J1340,"Yes","No"))))</f>
        <v/>
      </c>
      <c r="O1340" s="17">
        <f>IF($C1340="","",IF($M1340="","",IF(NOT(ISNUMBER($M1340)),"(not a score)",IF($M1340&gt;=$J1340,"Yes","No"))))</f>
        <v/>
      </c>
      <c r="P1340" s="17">
        <f>IF($C1340="","",IF($K1340="","",IF(N($K1340)&gt;2,"No",IF(COUNTIFS(nrES_PID,$D1340,nrES_Code,$F1340,nrES_Att,"&gt;"&amp;$K1340,nrES_Att,"&lt;=2",nrES_Raw,"&gt;=0")=0,"Yes","No"))))</f>
        <v/>
      </c>
      <c r="Q1340" s="17">
        <f>IF($C1340="","",IF($L1340="","",IF(AND($K1340=1,ISNUMBER($L1340),$L1340&lt;$J1340,COUNTIFS(nrES_PID,$D1340,nrES_Code,$F1340,nrES_Att,2,nrES_Raw,"&gt;=0")=0),"Yes","No")))</f>
        <v/>
      </c>
      <c r="R1340" s="17">
        <f>IF($C1340="","",IF($L1340="","",IF(AND(N($K1340)&gt;=2,ISNUMBER($L1340),$L1340&lt;$J1340),"Yes","No")))</f>
        <v/>
      </c>
      <c r="S1340" s="18" t="n"/>
      <c r="T1340" s="19">
        <f>IF(OR($C1340="",$L1340="",$K1340&lt;&gt;1,NOT(ISNUMBER($L1340)),$L1340&gt;=$J1340),"",IF($S1340="","(enter date)",_xlfn.LET(_xlpm.dn,_xlfn.XLOOKUP($S1340,nrCDdate,nrCDnum,"",1),IF(_xlpm.dn="","(after last class day)",_xlfn.LET(_xlpm.dd,_xlfn.XLOOKUP(_xlpm.dn+cfgRetestClassDays,nrCDnum,nrCDdate,""),_xlpm.ok,_xlfn.XLOOKUP(_xlpm.dn+cfgRetestClassDays,nrCDnum,nrCDinsession,"No"),IF(OR(_xlpm.dd="",_xlpm.ok&lt;&gt;"Yes"),"(after last class day)",_xlpm.dd))))))</f>
        <v/>
      </c>
      <c r="U1340" s="17">
        <f>IF($C1340="","",IF(AND($Y1340="Excused",$L1340="",N($K1340)&lt;=1),"EXCUSED - 1st attempt pending",IF(OR($L1340="",$K1340&lt;&gt;1,NOT(ISNUMBER($L1340)),$L1340&gt;=$J1340),"",IF(COUNTIFS(nrES_PID,$D1340,nrES_Code,$F1340,nrES_Att,2,nrES_Raw,"&gt;=0")&gt;0,IF(IFERROR(_xlfn.MINIFS(nrES_Date,nrES_PID,$D1340,nrES_Code,$F1340,nrES_Att,2,nrES_Raw,"&gt;=0",nrES_Date,"&gt;0"),0)=0,"RETEST UNDATED",IF(NOT(ISNUMBER($T1340)),"RETEST DATE UNCHECKED",IF(_xlfn.MINIFS(nrES_Date,nrES_PID,$D1340,nrES_Code,$F1340,nrES_Att,2,nrES_Raw,"&gt;=0",nrES_Date,"&gt;0")&gt;$T1340,"LATE RETEST "&amp;TEXT(_xlfn.MINIFS(nrES_Date,nrES_PID,$D1340,nrES_Code,$F1340,nrES_Att,2,nrES_Raw,"&gt;=0",nrES_Date,"&gt;0"),"mm/dd")&amp;" (due "&amp;TEXT($T1340,"mm/dd")&amp;")","Retested"))),IF(NOT(ISNUMBER($T1340)),"CHECK DATE",IF(TODAY()&gt;$T1340,"OVERDUE","Due "&amp;TEXT($T1340,"mm/dd")))))))</f>
        <v/>
      </c>
      <c r="V1340" s="16" t="n"/>
      <c r="W1340" s="16" t="n"/>
      <c r="X1340" s="17">
        <f>IF($C1340="","",IF(AND($L1340&lt;&gt;"",NOT(ISNUMBER($L1340))),"RAW SCORE NOT A NUMBER",IF(AND(ISNUMBER($L1340),OR($L1340&lt;0,$L1340&gt;100)),"RAW SCORE OUT OF RANGE",IF(AND($Y1340="Unexcused",OR($L1340="",NOT(ISNUMBER($L1340)),$L1340&lt;&gt;0)),"UNEXCUSED ABSENCE MUST RECORD 0",IF(COUNTIF(nrES_RecID,$B1340)&gt;1,"DUPLICATE RECORD",IF(N($K1340)&gt;2,"ATTEMPT 3+ NOT ALLOWED - policy 300.5 permits one retest per exam; this row records nothing",IF(AND($K1340=2,COUNTIFS(nrES_PID,$D1340,nrES_Code,$F1340,nrES_Att,1)=0),"ATTEMPT 2 WITHOUT ATTEMPT 1",IF(AND($K1340=2,$L1340=""),"RETEST ROW HAS NO SCORE",IF(AND($H1340="Final",$L1340&lt;&gt;"",IFERROR(INDEX(nrCKfinalExamElig,MATCH($D1340,rngCadetPIDs,0)),"")="No"),"FINAL EXAM AFTER FAILED FINAL PT (500.1.H)",IF(AND($K1340=2,ISNUMBER($L1340),COUNTIFS(nrES_PID,$D1340,nrES_Code,$F1340,nrES_Att,1)&gt;0,SUMIFS(nrES_Raw,nrES_PID,$D1340,nrES_Code,$F1340,nrES_Att,1)&gt;=$J1340),"RETEST AFTER A PASSING FIRST ATTEMPT","OK"))))))))))</f>
        <v/>
      </c>
      <c r="Y1340" s="16" t="n"/>
    </row>
    <row r="1341">
      <c r="B1341" s="17">
        <f>IF($C1341="","",$D1341&amp;"-"&amp;$F1341&amp;"-"&amp;$K1341)</f>
        <v/>
      </c>
      <c r="C1341" s="16" t="n"/>
      <c r="D1341" s="17">
        <f>IF($C1341="","",IFERROR(INDEX(rngCadetPIDs,MATCH($C1341,rngCadetNames,0)),"?"))</f>
        <v/>
      </c>
      <c r="E1341" s="17">
        <f>IF($D1341="","",IFERROR(INDEX(nrCadetAgency,MATCH($D1341,rngCadetPIDs,0)),""))</f>
        <v/>
      </c>
      <c r="F1341" s="16" t="n"/>
      <c r="G1341" s="17">
        <f>IF($F1341="","",IFERROR(INDEX(rngEPname,MATCH($F1341,rngEPcode,0)),"?"))</f>
        <v/>
      </c>
      <c r="H1341" s="17">
        <f>IF($F1341="","",IFERROR(INDEX(rngEPtype,MATCH($F1341,rngEPcode,0)),"?"))</f>
        <v/>
      </c>
      <c r="I1341" s="17">
        <f>IF($F1341="","",IFERROR(INDEX(rngEPseq,MATCH($F1341,rngEPcode,0)),""))</f>
        <v/>
      </c>
      <c r="J1341" s="17">
        <f>IF($F1341="","",IFERROR(INDEX(rngEPpass,MATCH($F1341,rngEPcode,0)),cfgPassingScore))</f>
        <v/>
      </c>
      <c r="K1341" s="16" t="n"/>
      <c r="L1341" s="16" t="n"/>
      <c r="M1341" s="17">
        <f>IF($C1341="","",IF($L1341="","",IF(NOT(ISNUMBER($L1341)),$L1341,IF(N($K1341)&gt;2,"",IF($K1341=1,IF(COUNTIFS(nrES_PID,$D1341,nrES_Code,$F1341,nrES_Att,2,nrES_Raw,"&gt;=0")&gt;0,"",$L1341),IF($L1341&gt;=$J1341,MAX($J1341,cfgRetakeRecordedCap),IF(COUNTIFS(nrES_PID,$D1341,nrES_Code,$F1341,nrES_Att,1)=0,$L1341,SUMIFS(nrES_Raw,nrES_PID,$D1341,nrES_Code,$F1341,nrES_Att,1))))))))</f>
        <v/>
      </c>
      <c r="N1341" s="17">
        <f>IF($C1341="","",IF($L1341="","",IF(NOT(ISNUMBER($L1341)),"(not a score)",IF($L1341&gt;=$J1341,"Yes","No"))))</f>
        <v/>
      </c>
      <c r="O1341" s="17">
        <f>IF($C1341="","",IF($M1341="","",IF(NOT(ISNUMBER($M1341)),"(not a score)",IF($M1341&gt;=$J1341,"Yes","No"))))</f>
        <v/>
      </c>
      <c r="P1341" s="17">
        <f>IF($C1341="","",IF($K1341="","",IF(N($K1341)&gt;2,"No",IF(COUNTIFS(nrES_PID,$D1341,nrES_Code,$F1341,nrES_Att,"&gt;"&amp;$K1341,nrES_Att,"&lt;=2",nrES_Raw,"&gt;=0")=0,"Yes","No"))))</f>
        <v/>
      </c>
      <c r="Q1341" s="17">
        <f>IF($C1341="","",IF($L1341="","",IF(AND($K1341=1,ISNUMBER($L1341),$L1341&lt;$J1341,COUNTIFS(nrES_PID,$D1341,nrES_Code,$F1341,nrES_Att,2,nrES_Raw,"&gt;=0")=0),"Yes","No")))</f>
        <v/>
      </c>
      <c r="R1341" s="17">
        <f>IF($C1341="","",IF($L1341="","",IF(AND(N($K1341)&gt;=2,ISNUMBER($L1341),$L1341&lt;$J1341),"Yes","No")))</f>
        <v/>
      </c>
      <c r="S1341" s="18" t="n"/>
      <c r="T1341" s="19">
        <f>IF(OR($C1341="",$L1341="",$K1341&lt;&gt;1,NOT(ISNUMBER($L1341)),$L1341&gt;=$J1341),"",IF($S1341="","(enter date)",_xlfn.LET(_xlpm.dn,_xlfn.XLOOKUP($S1341,nrCDdate,nrCDnum,"",1),IF(_xlpm.dn="","(after last class day)",_xlfn.LET(_xlpm.dd,_xlfn.XLOOKUP(_xlpm.dn+cfgRetestClassDays,nrCDnum,nrCDdate,""),_xlpm.ok,_xlfn.XLOOKUP(_xlpm.dn+cfgRetestClassDays,nrCDnum,nrCDinsession,"No"),IF(OR(_xlpm.dd="",_xlpm.ok&lt;&gt;"Yes"),"(after last class day)",_xlpm.dd))))))</f>
        <v/>
      </c>
      <c r="U1341" s="17">
        <f>IF($C1341="","",IF(AND($Y1341="Excused",$L1341="",N($K1341)&lt;=1),"EXCUSED - 1st attempt pending",IF(OR($L1341="",$K1341&lt;&gt;1,NOT(ISNUMBER($L1341)),$L1341&gt;=$J1341),"",IF(COUNTIFS(nrES_PID,$D1341,nrES_Code,$F1341,nrES_Att,2,nrES_Raw,"&gt;=0")&gt;0,IF(IFERROR(_xlfn.MINIFS(nrES_Date,nrES_PID,$D1341,nrES_Code,$F1341,nrES_Att,2,nrES_Raw,"&gt;=0",nrES_Date,"&gt;0"),0)=0,"RETEST UNDATED",IF(NOT(ISNUMBER($T1341)),"RETEST DATE UNCHECKED",IF(_xlfn.MINIFS(nrES_Date,nrES_PID,$D1341,nrES_Code,$F1341,nrES_Att,2,nrES_Raw,"&gt;=0",nrES_Date,"&gt;0")&gt;$T1341,"LATE RETEST "&amp;TEXT(_xlfn.MINIFS(nrES_Date,nrES_PID,$D1341,nrES_Code,$F1341,nrES_Att,2,nrES_Raw,"&gt;=0",nrES_Date,"&gt;0"),"mm/dd")&amp;" (due "&amp;TEXT($T1341,"mm/dd")&amp;")","Retested"))),IF(NOT(ISNUMBER($T1341)),"CHECK DATE",IF(TODAY()&gt;$T1341,"OVERDUE","Due "&amp;TEXT($T1341,"mm/dd")))))))</f>
        <v/>
      </c>
      <c r="V1341" s="16" t="n"/>
      <c r="W1341" s="16" t="n"/>
      <c r="X1341" s="17">
        <f>IF($C1341="","",IF(AND($L1341&lt;&gt;"",NOT(ISNUMBER($L1341))),"RAW SCORE NOT A NUMBER",IF(AND(ISNUMBER($L1341),OR($L1341&lt;0,$L1341&gt;100)),"RAW SCORE OUT OF RANGE",IF(AND($Y1341="Unexcused",OR($L1341="",NOT(ISNUMBER($L1341)),$L1341&lt;&gt;0)),"UNEXCUSED ABSENCE MUST RECORD 0",IF(COUNTIF(nrES_RecID,$B1341)&gt;1,"DUPLICATE RECORD",IF(N($K1341)&gt;2,"ATTEMPT 3+ NOT ALLOWED - policy 300.5 permits one retest per exam; this row records nothing",IF(AND($K1341=2,COUNTIFS(nrES_PID,$D1341,nrES_Code,$F1341,nrES_Att,1)=0),"ATTEMPT 2 WITHOUT ATTEMPT 1",IF(AND($K1341=2,$L1341=""),"RETEST ROW HAS NO SCORE",IF(AND($H1341="Final",$L1341&lt;&gt;"",IFERROR(INDEX(nrCKfinalExamElig,MATCH($D1341,rngCadetPIDs,0)),"")="No"),"FINAL EXAM AFTER FAILED FINAL PT (500.1.H)",IF(AND($K1341=2,ISNUMBER($L1341),COUNTIFS(nrES_PID,$D1341,nrES_Code,$F1341,nrES_Att,1)&gt;0,SUMIFS(nrES_Raw,nrES_PID,$D1341,nrES_Code,$F1341,nrES_Att,1)&gt;=$J1341),"RETEST AFTER A PASSING FIRST ATTEMPT","OK"))))))))))</f>
        <v/>
      </c>
      <c r="Y1341" s="16" t="n"/>
    </row>
    <row r="1342">
      <c r="B1342" s="17">
        <f>IF($C1342="","",$D1342&amp;"-"&amp;$F1342&amp;"-"&amp;$K1342)</f>
        <v/>
      </c>
      <c r="C1342" s="16" t="n"/>
      <c r="D1342" s="17">
        <f>IF($C1342="","",IFERROR(INDEX(rngCadetPIDs,MATCH($C1342,rngCadetNames,0)),"?"))</f>
        <v/>
      </c>
      <c r="E1342" s="17">
        <f>IF($D1342="","",IFERROR(INDEX(nrCadetAgency,MATCH($D1342,rngCadetPIDs,0)),""))</f>
        <v/>
      </c>
      <c r="F1342" s="16" t="n"/>
      <c r="G1342" s="17">
        <f>IF($F1342="","",IFERROR(INDEX(rngEPname,MATCH($F1342,rngEPcode,0)),"?"))</f>
        <v/>
      </c>
      <c r="H1342" s="17">
        <f>IF($F1342="","",IFERROR(INDEX(rngEPtype,MATCH($F1342,rngEPcode,0)),"?"))</f>
        <v/>
      </c>
      <c r="I1342" s="17">
        <f>IF($F1342="","",IFERROR(INDEX(rngEPseq,MATCH($F1342,rngEPcode,0)),""))</f>
        <v/>
      </c>
      <c r="J1342" s="17">
        <f>IF($F1342="","",IFERROR(INDEX(rngEPpass,MATCH($F1342,rngEPcode,0)),cfgPassingScore))</f>
        <v/>
      </c>
      <c r="K1342" s="16" t="n"/>
      <c r="L1342" s="16" t="n"/>
      <c r="M1342" s="17">
        <f>IF($C1342="","",IF($L1342="","",IF(NOT(ISNUMBER($L1342)),$L1342,IF(N($K1342)&gt;2,"",IF($K1342=1,IF(COUNTIFS(nrES_PID,$D1342,nrES_Code,$F1342,nrES_Att,2,nrES_Raw,"&gt;=0")&gt;0,"",$L1342),IF($L1342&gt;=$J1342,MAX($J1342,cfgRetakeRecordedCap),IF(COUNTIFS(nrES_PID,$D1342,nrES_Code,$F1342,nrES_Att,1)=0,$L1342,SUMIFS(nrES_Raw,nrES_PID,$D1342,nrES_Code,$F1342,nrES_Att,1))))))))</f>
        <v/>
      </c>
      <c r="N1342" s="17">
        <f>IF($C1342="","",IF($L1342="","",IF(NOT(ISNUMBER($L1342)),"(not a score)",IF($L1342&gt;=$J1342,"Yes","No"))))</f>
        <v/>
      </c>
      <c r="O1342" s="17">
        <f>IF($C1342="","",IF($M1342="","",IF(NOT(ISNUMBER($M1342)),"(not a score)",IF($M1342&gt;=$J1342,"Yes","No"))))</f>
        <v/>
      </c>
      <c r="P1342" s="17">
        <f>IF($C1342="","",IF($K1342="","",IF(N($K1342)&gt;2,"No",IF(COUNTIFS(nrES_PID,$D1342,nrES_Code,$F1342,nrES_Att,"&gt;"&amp;$K1342,nrES_Att,"&lt;=2",nrES_Raw,"&gt;=0")=0,"Yes","No"))))</f>
        <v/>
      </c>
      <c r="Q1342" s="17">
        <f>IF($C1342="","",IF($L1342="","",IF(AND($K1342=1,ISNUMBER($L1342),$L1342&lt;$J1342,COUNTIFS(nrES_PID,$D1342,nrES_Code,$F1342,nrES_Att,2,nrES_Raw,"&gt;=0")=0),"Yes","No")))</f>
        <v/>
      </c>
      <c r="R1342" s="17">
        <f>IF($C1342="","",IF($L1342="","",IF(AND(N($K1342)&gt;=2,ISNUMBER($L1342),$L1342&lt;$J1342),"Yes","No")))</f>
        <v/>
      </c>
      <c r="S1342" s="18" t="n"/>
      <c r="T1342" s="19">
        <f>IF(OR($C1342="",$L1342="",$K1342&lt;&gt;1,NOT(ISNUMBER($L1342)),$L1342&gt;=$J1342),"",IF($S1342="","(enter date)",_xlfn.LET(_xlpm.dn,_xlfn.XLOOKUP($S1342,nrCDdate,nrCDnum,"",1),IF(_xlpm.dn="","(after last class day)",_xlfn.LET(_xlpm.dd,_xlfn.XLOOKUP(_xlpm.dn+cfgRetestClassDays,nrCDnum,nrCDdate,""),_xlpm.ok,_xlfn.XLOOKUP(_xlpm.dn+cfgRetestClassDays,nrCDnum,nrCDinsession,"No"),IF(OR(_xlpm.dd="",_xlpm.ok&lt;&gt;"Yes"),"(after last class day)",_xlpm.dd))))))</f>
        <v/>
      </c>
      <c r="U1342" s="17">
        <f>IF($C1342="","",IF(AND($Y1342="Excused",$L1342="",N($K1342)&lt;=1),"EXCUSED - 1st attempt pending",IF(OR($L1342="",$K1342&lt;&gt;1,NOT(ISNUMBER($L1342)),$L1342&gt;=$J1342),"",IF(COUNTIFS(nrES_PID,$D1342,nrES_Code,$F1342,nrES_Att,2,nrES_Raw,"&gt;=0")&gt;0,IF(IFERROR(_xlfn.MINIFS(nrES_Date,nrES_PID,$D1342,nrES_Code,$F1342,nrES_Att,2,nrES_Raw,"&gt;=0",nrES_Date,"&gt;0"),0)=0,"RETEST UNDATED",IF(NOT(ISNUMBER($T1342)),"RETEST DATE UNCHECKED",IF(_xlfn.MINIFS(nrES_Date,nrES_PID,$D1342,nrES_Code,$F1342,nrES_Att,2,nrES_Raw,"&gt;=0",nrES_Date,"&gt;0")&gt;$T1342,"LATE RETEST "&amp;TEXT(_xlfn.MINIFS(nrES_Date,nrES_PID,$D1342,nrES_Code,$F1342,nrES_Att,2,nrES_Raw,"&gt;=0",nrES_Date,"&gt;0"),"mm/dd")&amp;" (due "&amp;TEXT($T1342,"mm/dd")&amp;")","Retested"))),IF(NOT(ISNUMBER($T1342)),"CHECK DATE",IF(TODAY()&gt;$T1342,"OVERDUE","Due "&amp;TEXT($T1342,"mm/dd")))))))</f>
        <v/>
      </c>
      <c r="V1342" s="16" t="n"/>
      <c r="W1342" s="16" t="n"/>
      <c r="X1342" s="17">
        <f>IF($C1342="","",IF(AND($L1342&lt;&gt;"",NOT(ISNUMBER($L1342))),"RAW SCORE NOT A NUMBER",IF(AND(ISNUMBER($L1342),OR($L1342&lt;0,$L1342&gt;100)),"RAW SCORE OUT OF RANGE",IF(AND($Y1342="Unexcused",OR($L1342="",NOT(ISNUMBER($L1342)),$L1342&lt;&gt;0)),"UNEXCUSED ABSENCE MUST RECORD 0",IF(COUNTIF(nrES_RecID,$B1342)&gt;1,"DUPLICATE RECORD",IF(N($K1342)&gt;2,"ATTEMPT 3+ NOT ALLOWED - policy 300.5 permits one retest per exam; this row records nothing",IF(AND($K1342=2,COUNTIFS(nrES_PID,$D1342,nrES_Code,$F1342,nrES_Att,1)=0),"ATTEMPT 2 WITHOUT ATTEMPT 1",IF(AND($K1342=2,$L1342=""),"RETEST ROW HAS NO SCORE",IF(AND($H1342="Final",$L1342&lt;&gt;"",IFERROR(INDEX(nrCKfinalExamElig,MATCH($D1342,rngCadetPIDs,0)),"")="No"),"FINAL EXAM AFTER FAILED FINAL PT (500.1.H)",IF(AND($K1342=2,ISNUMBER($L1342),COUNTIFS(nrES_PID,$D1342,nrES_Code,$F1342,nrES_Att,1)&gt;0,SUMIFS(nrES_Raw,nrES_PID,$D1342,nrES_Code,$F1342,nrES_Att,1)&gt;=$J1342),"RETEST AFTER A PASSING FIRST ATTEMPT","OK"))))))))))</f>
        <v/>
      </c>
      <c r="Y1342" s="16" t="n"/>
    </row>
    <row r="1343">
      <c r="B1343" s="17">
        <f>IF($C1343="","",$D1343&amp;"-"&amp;$F1343&amp;"-"&amp;$K1343)</f>
        <v/>
      </c>
      <c r="C1343" s="16" t="n"/>
      <c r="D1343" s="17">
        <f>IF($C1343="","",IFERROR(INDEX(rngCadetPIDs,MATCH($C1343,rngCadetNames,0)),"?"))</f>
        <v/>
      </c>
      <c r="E1343" s="17">
        <f>IF($D1343="","",IFERROR(INDEX(nrCadetAgency,MATCH($D1343,rngCadetPIDs,0)),""))</f>
        <v/>
      </c>
      <c r="F1343" s="16" t="n"/>
      <c r="G1343" s="17">
        <f>IF($F1343="","",IFERROR(INDEX(rngEPname,MATCH($F1343,rngEPcode,0)),"?"))</f>
        <v/>
      </c>
      <c r="H1343" s="17">
        <f>IF($F1343="","",IFERROR(INDEX(rngEPtype,MATCH($F1343,rngEPcode,0)),"?"))</f>
        <v/>
      </c>
      <c r="I1343" s="17">
        <f>IF($F1343="","",IFERROR(INDEX(rngEPseq,MATCH($F1343,rngEPcode,0)),""))</f>
        <v/>
      </c>
      <c r="J1343" s="17">
        <f>IF($F1343="","",IFERROR(INDEX(rngEPpass,MATCH($F1343,rngEPcode,0)),cfgPassingScore))</f>
        <v/>
      </c>
      <c r="K1343" s="16" t="n"/>
      <c r="L1343" s="16" t="n"/>
      <c r="M1343" s="17">
        <f>IF($C1343="","",IF($L1343="","",IF(NOT(ISNUMBER($L1343)),$L1343,IF(N($K1343)&gt;2,"",IF($K1343=1,IF(COUNTIFS(nrES_PID,$D1343,nrES_Code,$F1343,nrES_Att,2,nrES_Raw,"&gt;=0")&gt;0,"",$L1343),IF($L1343&gt;=$J1343,MAX($J1343,cfgRetakeRecordedCap),IF(COUNTIFS(nrES_PID,$D1343,nrES_Code,$F1343,nrES_Att,1)=0,$L1343,SUMIFS(nrES_Raw,nrES_PID,$D1343,nrES_Code,$F1343,nrES_Att,1))))))))</f>
        <v/>
      </c>
      <c r="N1343" s="17">
        <f>IF($C1343="","",IF($L1343="","",IF(NOT(ISNUMBER($L1343)),"(not a score)",IF($L1343&gt;=$J1343,"Yes","No"))))</f>
        <v/>
      </c>
      <c r="O1343" s="17">
        <f>IF($C1343="","",IF($M1343="","",IF(NOT(ISNUMBER($M1343)),"(not a score)",IF($M1343&gt;=$J1343,"Yes","No"))))</f>
        <v/>
      </c>
      <c r="P1343" s="17">
        <f>IF($C1343="","",IF($K1343="","",IF(N($K1343)&gt;2,"No",IF(COUNTIFS(nrES_PID,$D1343,nrES_Code,$F1343,nrES_Att,"&gt;"&amp;$K1343,nrES_Att,"&lt;=2",nrES_Raw,"&gt;=0")=0,"Yes","No"))))</f>
        <v/>
      </c>
      <c r="Q1343" s="17">
        <f>IF($C1343="","",IF($L1343="","",IF(AND($K1343=1,ISNUMBER($L1343),$L1343&lt;$J1343,COUNTIFS(nrES_PID,$D1343,nrES_Code,$F1343,nrES_Att,2,nrES_Raw,"&gt;=0")=0),"Yes","No")))</f>
        <v/>
      </c>
      <c r="R1343" s="17">
        <f>IF($C1343="","",IF($L1343="","",IF(AND(N($K1343)&gt;=2,ISNUMBER($L1343),$L1343&lt;$J1343),"Yes","No")))</f>
        <v/>
      </c>
      <c r="S1343" s="18" t="n"/>
      <c r="T1343" s="19">
        <f>IF(OR($C1343="",$L1343="",$K1343&lt;&gt;1,NOT(ISNUMBER($L1343)),$L1343&gt;=$J1343),"",IF($S1343="","(enter date)",_xlfn.LET(_xlpm.dn,_xlfn.XLOOKUP($S1343,nrCDdate,nrCDnum,"",1),IF(_xlpm.dn="","(after last class day)",_xlfn.LET(_xlpm.dd,_xlfn.XLOOKUP(_xlpm.dn+cfgRetestClassDays,nrCDnum,nrCDdate,""),_xlpm.ok,_xlfn.XLOOKUP(_xlpm.dn+cfgRetestClassDays,nrCDnum,nrCDinsession,"No"),IF(OR(_xlpm.dd="",_xlpm.ok&lt;&gt;"Yes"),"(after last class day)",_xlpm.dd))))))</f>
        <v/>
      </c>
      <c r="U1343" s="17">
        <f>IF($C1343="","",IF(AND($Y1343="Excused",$L1343="",N($K1343)&lt;=1),"EXCUSED - 1st attempt pending",IF(OR($L1343="",$K1343&lt;&gt;1,NOT(ISNUMBER($L1343)),$L1343&gt;=$J1343),"",IF(COUNTIFS(nrES_PID,$D1343,nrES_Code,$F1343,nrES_Att,2,nrES_Raw,"&gt;=0")&gt;0,IF(IFERROR(_xlfn.MINIFS(nrES_Date,nrES_PID,$D1343,nrES_Code,$F1343,nrES_Att,2,nrES_Raw,"&gt;=0",nrES_Date,"&gt;0"),0)=0,"RETEST UNDATED",IF(NOT(ISNUMBER($T1343)),"RETEST DATE UNCHECKED",IF(_xlfn.MINIFS(nrES_Date,nrES_PID,$D1343,nrES_Code,$F1343,nrES_Att,2,nrES_Raw,"&gt;=0",nrES_Date,"&gt;0")&gt;$T1343,"LATE RETEST "&amp;TEXT(_xlfn.MINIFS(nrES_Date,nrES_PID,$D1343,nrES_Code,$F1343,nrES_Att,2,nrES_Raw,"&gt;=0",nrES_Date,"&gt;0"),"mm/dd")&amp;" (due "&amp;TEXT($T1343,"mm/dd")&amp;")","Retested"))),IF(NOT(ISNUMBER($T1343)),"CHECK DATE",IF(TODAY()&gt;$T1343,"OVERDUE","Due "&amp;TEXT($T1343,"mm/dd")))))))</f>
        <v/>
      </c>
      <c r="V1343" s="16" t="n"/>
      <c r="W1343" s="16" t="n"/>
      <c r="X1343" s="17">
        <f>IF($C1343="","",IF(AND($L1343&lt;&gt;"",NOT(ISNUMBER($L1343))),"RAW SCORE NOT A NUMBER",IF(AND(ISNUMBER($L1343),OR($L1343&lt;0,$L1343&gt;100)),"RAW SCORE OUT OF RANGE",IF(AND($Y1343="Unexcused",OR($L1343="",NOT(ISNUMBER($L1343)),$L1343&lt;&gt;0)),"UNEXCUSED ABSENCE MUST RECORD 0",IF(COUNTIF(nrES_RecID,$B1343)&gt;1,"DUPLICATE RECORD",IF(N($K1343)&gt;2,"ATTEMPT 3+ NOT ALLOWED - policy 300.5 permits one retest per exam; this row records nothing",IF(AND($K1343=2,COUNTIFS(nrES_PID,$D1343,nrES_Code,$F1343,nrES_Att,1)=0),"ATTEMPT 2 WITHOUT ATTEMPT 1",IF(AND($K1343=2,$L1343=""),"RETEST ROW HAS NO SCORE",IF(AND($H1343="Final",$L1343&lt;&gt;"",IFERROR(INDEX(nrCKfinalExamElig,MATCH($D1343,rngCadetPIDs,0)),"")="No"),"FINAL EXAM AFTER FAILED FINAL PT (500.1.H)",IF(AND($K1343=2,ISNUMBER($L1343),COUNTIFS(nrES_PID,$D1343,nrES_Code,$F1343,nrES_Att,1)&gt;0,SUMIFS(nrES_Raw,nrES_PID,$D1343,nrES_Code,$F1343,nrES_Att,1)&gt;=$J1343),"RETEST AFTER A PASSING FIRST ATTEMPT","OK"))))))))))</f>
        <v/>
      </c>
      <c r="Y1343" s="16" t="n"/>
    </row>
    <row r="1344">
      <c r="B1344" s="17">
        <f>IF($C1344="","",$D1344&amp;"-"&amp;$F1344&amp;"-"&amp;$K1344)</f>
        <v/>
      </c>
      <c r="C1344" s="16" t="n"/>
      <c r="D1344" s="17">
        <f>IF($C1344="","",IFERROR(INDEX(rngCadetPIDs,MATCH($C1344,rngCadetNames,0)),"?"))</f>
        <v/>
      </c>
      <c r="E1344" s="17">
        <f>IF($D1344="","",IFERROR(INDEX(nrCadetAgency,MATCH($D1344,rngCadetPIDs,0)),""))</f>
        <v/>
      </c>
      <c r="F1344" s="16" t="n"/>
      <c r="G1344" s="17">
        <f>IF($F1344="","",IFERROR(INDEX(rngEPname,MATCH($F1344,rngEPcode,0)),"?"))</f>
        <v/>
      </c>
      <c r="H1344" s="17">
        <f>IF($F1344="","",IFERROR(INDEX(rngEPtype,MATCH($F1344,rngEPcode,0)),"?"))</f>
        <v/>
      </c>
      <c r="I1344" s="17">
        <f>IF($F1344="","",IFERROR(INDEX(rngEPseq,MATCH($F1344,rngEPcode,0)),""))</f>
        <v/>
      </c>
      <c r="J1344" s="17">
        <f>IF($F1344="","",IFERROR(INDEX(rngEPpass,MATCH($F1344,rngEPcode,0)),cfgPassingScore))</f>
        <v/>
      </c>
      <c r="K1344" s="16" t="n"/>
      <c r="L1344" s="16" t="n"/>
      <c r="M1344" s="17">
        <f>IF($C1344="","",IF($L1344="","",IF(NOT(ISNUMBER($L1344)),$L1344,IF(N($K1344)&gt;2,"",IF($K1344=1,IF(COUNTIFS(nrES_PID,$D1344,nrES_Code,$F1344,nrES_Att,2,nrES_Raw,"&gt;=0")&gt;0,"",$L1344),IF($L1344&gt;=$J1344,MAX($J1344,cfgRetakeRecordedCap),IF(COUNTIFS(nrES_PID,$D1344,nrES_Code,$F1344,nrES_Att,1)=0,$L1344,SUMIFS(nrES_Raw,nrES_PID,$D1344,nrES_Code,$F1344,nrES_Att,1))))))))</f>
        <v/>
      </c>
      <c r="N1344" s="17">
        <f>IF($C1344="","",IF($L1344="","",IF(NOT(ISNUMBER($L1344)),"(not a score)",IF($L1344&gt;=$J1344,"Yes","No"))))</f>
        <v/>
      </c>
      <c r="O1344" s="17">
        <f>IF($C1344="","",IF($M1344="","",IF(NOT(ISNUMBER($M1344)),"(not a score)",IF($M1344&gt;=$J1344,"Yes","No"))))</f>
        <v/>
      </c>
      <c r="P1344" s="17">
        <f>IF($C1344="","",IF($K1344="","",IF(N($K1344)&gt;2,"No",IF(COUNTIFS(nrES_PID,$D1344,nrES_Code,$F1344,nrES_Att,"&gt;"&amp;$K1344,nrES_Att,"&lt;=2",nrES_Raw,"&gt;=0")=0,"Yes","No"))))</f>
        <v/>
      </c>
      <c r="Q1344" s="17">
        <f>IF($C1344="","",IF($L1344="","",IF(AND($K1344=1,ISNUMBER($L1344),$L1344&lt;$J1344,COUNTIFS(nrES_PID,$D1344,nrES_Code,$F1344,nrES_Att,2,nrES_Raw,"&gt;=0")=0),"Yes","No")))</f>
        <v/>
      </c>
      <c r="R1344" s="17">
        <f>IF($C1344="","",IF($L1344="","",IF(AND(N($K1344)&gt;=2,ISNUMBER($L1344),$L1344&lt;$J1344),"Yes","No")))</f>
        <v/>
      </c>
      <c r="S1344" s="18" t="n"/>
      <c r="T1344" s="19">
        <f>IF(OR($C1344="",$L1344="",$K1344&lt;&gt;1,NOT(ISNUMBER($L1344)),$L1344&gt;=$J1344),"",IF($S1344="","(enter date)",_xlfn.LET(_xlpm.dn,_xlfn.XLOOKUP($S1344,nrCDdate,nrCDnum,"",1),IF(_xlpm.dn="","(after last class day)",_xlfn.LET(_xlpm.dd,_xlfn.XLOOKUP(_xlpm.dn+cfgRetestClassDays,nrCDnum,nrCDdate,""),_xlpm.ok,_xlfn.XLOOKUP(_xlpm.dn+cfgRetestClassDays,nrCDnum,nrCDinsession,"No"),IF(OR(_xlpm.dd="",_xlpm.ok&lt;&gt;"Yes"),"(after last class day)",_xlpm.dd))))))</f>
        <v/>
      </c>
      <c r="U1344" s="17">
        <f>IF($C1344="","",IF(AND($Y1344="Excused",$L1344="",N($K1344)&lt;=1),"EXCUSED - 1st attempt pending",IF(OR($L1344="",$K1344&lt;&gt;1,NOT(ISNUMBER($L1344)),$L1344&gt;=$J1344),"",IF(COUNTIFS(nrES_PID,$D1344,nrES_Code,$F1344,nrES_Att,2,nrES_Raw,"&gt;=0")&gt;0,IF(IFERROR(_xlfn.MINIFS(nrES_Date,nrES_PID,$D1344,nrES_Code,$F1344,nrES_Att,2,nrES_Raw,"&gt;=0",nrES_Date,"&gt;0"),0)=0,"RETEST UNDATED",IF(NOT(ISNUMBER($T1344)),"RETEST DATE UNCHECKED",IF(_xlfn.MINIFS(nrES_Date,nrES_PID,$D1344,nrES_Code,$F1344,nrES_Att,2,nrES_Raw,"&gt;=0",nrES_Date,"&gt;0")&gt;$T1344,"LATE RETEST "&amp;TEXT(_xlfn.MINIFS(nrES_Date,nrES_PID,$D1344,nrES_Code,$F1344,nrES_Att,2,nrES_Raw,"&gt;=0",nrES_Date,"&gt;0"),"mm/dd")&amp;" (due "&amp;TEXT($T1344,"mm/dd")&amp;")","Retested"))),IF(NOT(ISNUMBER($T1344)),"CHECK DATE",IF(TODAY()&gt;$T1344,"OVERDUE","Due "&amp;TEXT($T1344,"mm/dd")))))))</f>
        <v/>
      </c>
      <c r="V1344" s="16" t="n"/>
      <c r="W1344" s="16" t="n"/>
      <c r="X1344" s="17">
        <f>IF($C1344="","",IF(AND($L1344&lt;&gt;"",NOT(ISNUMBER($L1344))),"RAW SCORE NOT A NUMBER",IF(AND(ISNUMBER($L1344),OR($L1344&lt;0,$L1344&gt;100)),"RAW SCORE OUT OF RANGE",IF(AND($Y1344="Unexcused",OR($L1344="",NOT(ISNUMBER($L1344)),$L1344&lt;&gt;0)),"UNEXCUSED ABSENCE MUST RECORD 0",IF(COUNTIF(nrES_RecID,$B1344)&gt;1,"DUPLICATE RECORD",IF(N($K1344)&gt;2,"ATTEMPT 3+ NOT ALLOWED - policy 300.5 permits one retest per exam; this row records nothing",IF(AND($K1344=2,COUNTIFS(nrES_PID,$D1344,nrES_Code,$F1344,nrES_Att,1)=0),"ATTEMPT 2 WITHOUT ATTEMPT 1",IF(AND($K1344=2,$L1344=""),"RETEST ROW HAS NO SCORE",IF(AND($H1344="Final",$L1344&lt;&gt;"",IFERROR(INDEX(nrCKfinalExamElig,MATCH($D1344,rngCadetPIDs,0)),"")="No"),"FINAL EXAM AFTER FAILED FINAL PT (500.1.H)",IF(AND($K1344=2,ISNUMBER($L1344),COUNTIFS(nrES_PID,$D1344,nrES_Code,$F1344,nrES_Att,1)&gt;0,SUMIFS(nrES_Raw,nrES_PID,$D1344,nrES_Code,$F1344,nrES_Att,1)&gt;=$J1344),"RETEST AFTER A PASSING FIRST ATTEMPT","OK"))))))))))</f>
        <v/>
      </c>
      <c r="Y1344" s="16" t="n"/>
    </row>
    <row r="1345">
      <c r="B1345" s="17">
        <f>IF($C1345="","",$D1345&amp;"-"&amp;$F1345&amp;"-"&amp;$K1345)</f>
        <v/>
      </c>
      <c r="C1345" s="16" t="n"/>
      <c r="D1345" s="17">
        <f>IF($C1345="","",IFERROR(INDEX(rngCadetPIDs,MATCH($C1345,rngCadetNames,0)),"?"))</f>
        <v/>
      </c>
      <c r="E1345" s="17">
        <f>IF($D1345="","",IFERROR(INDEX(nrCadetAgency,MATCH($D1345,rngCadetPIDs,0)),""))</f>
        <v/>
      </c>
      <c r="F1345" s="16" t="n"/>
      <c r="G1345" s="17">
        <f>IF($F1345="","",IFERROR(INDEX(rngEPname,MATCH($F1345,rngEPcode,0)),"?"))</f>
        <v/>
      </c>
      <c r="H1345" s="17">
        <f>IF($F1345="","",IFERROR(INDEX(rngEPtype,MATCH($F1345,rngEPcode,0)),"?"))</f>
        <v/>
      </c>
      <c r="I1345" s="17">
        <f>IF($F1345="","",IFERROR(INDEX(rngEPseq,MATCH($F1345,rngEPcode,0)),""))</f>
        <v/>
      </c>
      <c r="J1345" s="17">
        <f>IF($F1345="","",IFERROR(INDEX(rngEPpass,MATCH($F1345,rngEPcode,0)),cfgPassingScore))</f>
        <v/>
      </c>
      <c r="K1345" s="16" t="n"/>
      <c r="L1345" s="16" t="n"/>
      <c r="M1345" s="17">
        <f>IF($C1345="","",IF($L1345="","",IF(NOT(ISNUMBER($L1345)),$L1345,IF(N($K1345)&gt;2,"",IF($K1345=1,IF(COUNTIFS(nrES_PID,$D1345,nrES_Code,$F1345,nrES_Att,2,nrES_Raw,"&gt;=0")&gt;0,"",$L1345),IF($L1345&gt;=$J1345,MAX($J1345,cfgRetakeRecordedCap),IF(COUNTIFS(nrES_PID,$D1345,nrES_Code,$F1345,nrES_Att,1)=0,$L1345,SUMIFS(nrES_Raw,nrES_PID,$D1345,nrES_Code,$F1345,nrES_Att,1))))))))</f>
        <v/>
      </c>
      <c r="N1345" s="17">
        <f>IF($C1345="","",IF($L1345="","",IF(NOT(ISNUMBER($L1345)),"(not a score)",IF($L1345&gt;=$J1345,"Yes","No"))))</f>
        <v/>
      </c>
      <c r="O1345" s="17">
        <f>IF($C1345="","",IF($M1345="","",IF(NOT(ISNUMBER($M1345)),"(not a score)",IF($M1345&gt;=$J1345,"Yes","No"))))</f>
        <v/>
      </c>
      <c r="P1345" s="17">
        <f>IF($C1345="","",IF($K1345="","",IF(N($K1345)&gt;2,"No",IF(COUNTIFS(nrES_PID,$D1345,nrES_Code,$F1345,nrES_Att,"&gt;"&amp;$K1345,nrES_Att,"&lt;=2",nrES_Raw,"&gt;=0")=0,"Yes","No"))))</f>
        <v/>
      </c>
      <c r="Q1345" s="17">
        <f>IF($C1345="","",IF($L1345="","",IF(AND($K1345=1,ISNUMBER($L1345),$L1345&lt;$J1345,COUNTIFS(nrES_PID,$D1345,nrES_Code,$F1345,nrES_Att,2,nrES_Raw,"&gt;=0")=0),"Yes","No")))</f>
        <v/>
      </c>
      <c r="R1345" s="17">
        <f>IF($C1345="","",IF($L1345="","",IF(AND(N($K1345)&gt;=2,ISNUMBER($L1345),$L1345&lt;$J1345),"Yes","No")))</f>
        <v/>
      </c>
      <c r="S1345" s="18" t="n"/>
      <c r="T1345" s="19">
        <f>IF(OR($C1345="",$L1345="",$K1345&lt;&gt;1,NOT(ISNUMBER($L1345)),$L1345&gt;=$J1345),"",IF($S1345="","(enter date)",_xlfn.LET(_xlpm.dn,_xlfn.XLOOKUP($S1345,nrCDdate,nrCDnum,"",1),IF(_xlpm.dn="","(after last class day)",_xlfn.LET(_xlpm.dd,_xlfn.XLOOKUP(_xlpm.dn+cfgRetestClassDays,nrCDnum,nrCDdate,""),_xlpm.ok,_xlfn.XLOOKUP(_xlpm.dn+cfgRetestClassDays,nrCDnum,nrCDinsession,"No"),IF(OR(_xlpm.dd="",_xlpm.ok&lt;&gt;"Yes"),"(after last class day)",_xlpm.dd))))))</f>
        <v/>
      </c>
      <c r="U1345" s="17">
        <f>IF($C1345="","",IF(AND($Y1345="Excused",$L1345="",N($K1345)&lt;=1),"EXCUSED - 1st attempt pending",IF(OR($L1345="",$K1345&lt;&gt;1,NOT(ISNUMBER($L1345)),$L1345&gt;=$J1345),"",IF(COUNTIFS(nrES_PID,$D1345,nrES_Code,$F1345,nrES_Att,2,nrES_Raw,"&gt;=0")&gt;0,IF(IFERROR(_xlfn.MINIFS(nrES_Date,nrES_PID,$D1345,nrES_Code,$F1345,nrES_Att,2,nrES_Raw,"&gt;=0",nrES_Date,"&gt;0"),0)=0,"RETEST UNDATED",IF(NOT(ISNUMBER($T1345)),"RETEST DATE UNCHECKED",IF(_xlfn.MINIFS(nrES_Date,nrES_PID,$D1345,nrES_Code,$F1345,nrES_Att,2,nrES_Raw,"&gt;=0",nrES_Date,"&gt;0")&gt;$T1345,"LATE RETEST "&amp;TEXT(_xlfn.MINIFS(nrES_Date,nrES_PID,$D1345,nrES_Code,$F1345,nrES_Att,2,nrES_Raw,"&gt;=0",nrES_Date,"&gt;0"),"mm/dd")&amp;" (due "&amp;TEXT($T1345,"mm/dd")&amp;")","Retested"))),IF(NOT(ISNUMBER($T1345)),"CHECK DATE",IF(TODAY()&gt;$T1345,"OVERDUE","Due "&amp;TEXT($T1345,"mm/dd")))))))</f>
        <v/>
      </c>
      <c r="V1345" s="16" t="n"/>
      <c r="W1345" s="16" t="n"/>
      <c r="X1345" s="17">
        <f>IF($C1345="","",IF(AND($L1345&lt;&gt;"",NOT(ISNUMBER($L1345))),"RAW SCORE NOT A NUMBER",IF(AND(ISNUMBER($L1345),OR($L1345&lt;0,$L1345&gt;100)),"RAW SCORE OUT OF RANGE",IF(AND($Y1345="Unexcused",OR($L1345="",NOT(ISNUMBER($L1345)),$L1345&lt;&gt;0)),"UNEXCUSED ABSENCE MUST RECORD 0",IF(COUNTIF(nrES_RecID,$B1345)&gt;1,"DUPLICATE RECORD",IF(N($K1345)&gt;2,"ATTEMPT 3+ NOT ALLOWED - policy 300.5 permits one retest per exam; this row records nothing",IF(AND($K1345=2,COUNTIFS(nrES_PID,$D1345,nrES_Code,$F1345,nrES_Att,1)=0),"ATTEMPT 2 WITHOUT ATTEMPT 1",IF(AND($K1345=2,$L1345=""),"RETEST ROW HAS NO SCORE",IF(AND($H1345="Final",$L1345&lt;&gt;"",IFERROR(INDEX(nrCKfinalExamElig,MATCH($D1345,rngCadetPIDs,0)),"")="No"),"FINAL EXAM AFTER FAILED FINAL PT (500.1.H)",IF(AND($K1345=2,ISNUMBER($L1345),COUNTIFS(nrES_PID,$D1345,nrES_Code,$F1345,nrES_Att,1)&gt;0,SUMIFS(nrES_Raw,nrES_PID,$D1345,nrES_Code,$F1345,nrES_Att,1)&gt;=$J1345),"RETEST AFTER A PASSING FIRST ATTEMPT","OK"))))))))))</f>
        <v/>
      </c>
      <c r="Y1345" s="16" t="n"/>
    </row>
    <row r="1346">
      <c r="B1346" s="17">
        <f>IF($C1346="","",$D1346&amp;"-"&amp;$F1346&amp;"-"&amp;$K1346)</f>
        <v/>
      </c>
      <c r="C1346" s="16" t="n"/>
      <c r="D1346" s="17">
        <f>IF($C1346="","",IFERROR(INDEX(rngCadetPIDs,MATCH($C1346,rngCadetNames,0)),"?"))</f>
        <v/>
      </c>
      <c r="E1346" s="17">
        <f>IF($D1346="","",IFERROR(INDEX(nrCadetAgency,MATCH($D1346,rngCadetPIDs,0)),""))</f>
        <v/>
      </c>
      <c r="F1346" s="16" t="n"/>
      <c r="G1346" s="17">
        <f>IF($F1346="","",IFERROR(INDEX(rngEPname,MATCH($F1346,rngEPcode,0)),"?"))</f>
        <v/>
      </c>
      <c r="H1346" s="17">
        <f>IF($F1346="","",IFERROR(INDEX(rngEPtype,MATCH($F1346,rngEPcode,0)),"?"))</f>
        <v/>
      </c>
      <c r="I1346" s="17">
        <f>IF($F1346="","",IFERROR(INDEX(rngEPseq,MATCH($F1346,rngEPcode,0)),""))</f>
        <v/>
      </c>
      <c r="J1346" s="17">
        <f>IF($F1346="","",IFERROR(INDEX(rngEPpass,MATCH($F1346,rngEPcode,0)),cfgPassingScore))</f>
        <v/>
      </c>
      <c r="K1346" s="16" t="n"/>
      <c r="L1346" s="16" t="n"/>
      <c r="M1346" s="17">
        <f>IF($C1346="","",IF($L1346="","",IF(NOT(ISNUMBER($L1346)),$L1346,IF(N($K1346)&gt;2,"",IF($K1346=1,IF(COUNTIFS(nrES_PID,$D1346,nrES_Code,$F1346,nrES_Att,2,nrES_Raw,"&gt;=0")&gt;0,"",$L1346),IF($L1346&gt;=$J1346,MAX($J1346,cfgRetakeRecordedCap),IF(COUNTIFS(nrES_PID,$D1346,nrES_Code,$F1346,nrES_Att,1)=0,$L1346,SUMIFS(nrES_Raw,nrES_PID,$D1346,nrES_Code,$F1346,nrES_Att,1))))))))</f>
        <v/>
      </c>
      <c r="N1346" s="17">
        <f>IF($C1346="","",IF($L1346="","",IF(NOT(ISNUMBER($L1346)),"(not a score)",IF($L1346&gt;=$J1346,"Yes","No"))))</f>
        <v/>
      </c>
      <c r="O1346" s="17">
        <f>IF($C1346="","",IF($M1346="","",IF(NOT(ISNUMBER($M1346)),"(not a score)",IF($M1346&gt;=$J1346,"Yes","No"))))</f>
        <v/>
      </c>
      <c r="P1346" s="17">
        <f>IF($C1346="","",IF($K1346="","",IF(N($K1346)&gt;2,"No",IF(COUNTIFS(nrES_PID,$D1346,nrES_Code,$F1346,nrES_Att,"&gt;"&amp;$K1346,nrES_Att,"&lt;=2",nrES_Raw,"&gt;=0")=0,"Yes","No"))))</f>
        <v/>
      </c>
      <c r="Q1346" s="17">
        <f>IF($C1346="","",IF($L1346="","",IF(AND($K1346=1,ISNUMBER($L1346),$L1346&lt;$J1346,COUNTIFS(nrES_PID,$D1346,nrES_Code,$F1346,nrES_Att,2,nrES_Raw,"&gt;=0")=0),"Yes","No")))</f>
        <v/>
      </c>
      <c r="R1346" s="17">
        <f>IF($C1346="","",IF($L1346="","",IF(AND(N($K1346)&gt;=2,ISNUMBER($L1346),$L1346&lt;$J1346),"Yes","No")))</f>
        <v/>
      </c>
      <c r="S1346" s="18" t="n"/>
      <c r="T1346" s="19">
        <f>IF(OR($C1346="",$L1346="",$K1346&lt;&gt;1,NOT(ISNUMBER($L1346)),$L1346&gt;=$J1346),"",IF($S1346="","(enter date)",_xlfn.LET(_xlpm.dn,_xlfn.XLOOKUP($S1346,nrCDdate,nrCDnum,"",1),IF(_xlpm.dn="","(after last class day)",_xlfn.LET(_xlpm.dd,_xlfn.XLOOKUP(_xlpm.dn+cfgRetestClassDays,nrCDnum,nrCDdate,""),_xlpm.ok,_xlfn.XLOOKUP(_xlpm.dn+cfgRetestClassDays,nrCDnum,nrCDinsession,"No"),IF(OR(_xlpm.dd="",_xlpm.ok&lt;&gt;"Yes"),"(after last class day)",_xlpm.dd))))))</f>
        <v/>
      </c>
      <c r="U1346" s="17">
        <f>IF($C1346="","",IF(AND($Y1346="Excused",$L1346="",N($K1346)&lt;=1),"EXCUSED - 1st attempt pending",IF(OR($L1346="",$K1346&lt;&gt;1,NOT(ISNUMBER($L1346)),$L1346&gt;=$J1346),"",IF(COUNTIFS(nrES_PID,$D1346,nrES_Code,$F1346,nrES_Att,2,nrES_Raw,"&gt;=0")&gt;0,IF(IFERROR(_xlfn.MINIFS(nrES_Date,nrES_PID,$D1346,nrES_Code,$F1346,nrES_Att,2,nrES_Raw,"&gt;=0",nrES_Date,"&gt;0"),0)=0,"RETEST UNDATED",IF(NOT(ISNUMBER($T1346)),"RETEST DATE UNCHECKED",IF(_xlfn.MINIFS(nrES_Date,nrES_PID,$D1346,nrES_Code,$F1346,nrES_Att,2,nrES_Raw,"&gt;=0",nrES_Date,"&gt;0")&gt;$T1346,"LATE RETEST "&amp;TEXT(_xlfn.MINIFS(nrES_Date,nrES_PID,$D1346,nrES_Code,$F1346,nrES_Att,2,nrES_Raw,"&gt;=0",nrES_Date,"&gt;0"),"mm/dd")&amp;" (due "&amp;TEXT($T1346,"mm/dd")&amp;")","Retested"))),IF(NOT(ISNUMBER($T1346)),"CHECK DATE",IF(TODAY()&gt;$T1346,"OVERDUE","Due "&amp;TEXT($T1346,"mm/dd")))))))</f>
        <v/>
      </c>
      <c r="V1346" s="16" t="n"/>
      <c r="W1346" s="16" t="n"/>
      <c r="X1346" s="17">
        <f>IF($C1346="","",IF(AND($L1346&lt;&gt;"",NOT(ISNUMBER($L1346))),"RAW SCORE NOT A NUMBER",IF(AND(ISNUMBER($L1346),OR($L1346&lt;0,$L1346&gt;100)),"RAW SCORE OUT OF RANGE",IF(AND($Y1346="Unexcused",OR($L1346="",NOT(ISNUMBER($L1346)),$L1346&lt;&gt;0)),"UNEXCUSED ABSENCE MUST RECORD 0",IF(COUNTIF(nrES_RecID,$B1346)&gt;1,"DUPLICATE RECORD",IF(N($K1346)&gt;2,"ATTEMPT 3+ NOT ALLOWED - policy 300.5 permits one retest per exam; this row records nothing",IF(AND($K1346=2,COUNTIFS(nrES_PID,$D1346,nrES_Code,$F1346,nrES_Att,1)=0),"ATTEMPT 2 WITHOUT ATTEMPT 1",IF(AND($K1346=2,$L1346=""),"RETEST ROW HAS NO SCORE",IF(AND($H1346="Final",$L1346&lt;&gt;"",IFERROR(INDEX(nrCKfinalExamElig,MATCH($D1346,rngCadetPIDs,0)),"")="No"),"FINAL EXAM AFTER FAILED FINAL PT (500.1.H)",IF(AND($K1346=2,ISNUMBER($L1346),COUNTIFS(nrES_PID,$D1346,nrES_Code,$F1346,nrES_Att,1)&gt;0,SUMIFS(nrES_Raw,nrES_PID,$D1346,nrES_Code,$F1346,nrES_Att,1)&gt;=$J1346),"RETEST AFTER A PASSING FIRST ATTEMPT","OK"))))))))))</f>
        <v/>
      </c>
      <c r="Y1346" s="16" t="n"/>
    </row>
    <row r="1347">
      <c r="B1347" s="17">
        <f>IF($C1347="","",$D1347&amp;"-"&amp;$F1347&amp;"-"&amp;$K1347)</f>
        <v/>
      </c>
      <c r="C1347" s="16" t="n"/>
      <c r="D1347" s="17">
        <f>IF($C1347="","",IFERROR(INDEX(rngCadetPIDs,MATCH($C1347,rngCadetNames,0)),"?"))</f>
        <v/>
      </c>
      <c r="E1347" s="17">
        <f>IF($D1347="","",IFERROR(INDEX(nrCadetAgency,MATCH($D1347,rngCadetPIDs,0)),""))</f>
        <v/>
      </c>
      <c r="F1347" s="16" t="n"/>
      <c r="G1347" s="17">
        <f>IF($F1347="","",IFERROR(INDEX(rngEPname,MATCH($F1347,rngEPcode,0)),"?"))</f>
        <v/>
      </c>
      <c r="H1347" s="17">
        <f>IF($F1347="","",IFERROR(INDEX(rngEPtype,MATCH($F1347,rngEPcode,0)),"?"))</f>
        <v/>
      </c>
      <c r="I1347" s="17">
        <f>IF($F1347="","",IFERROR(INDEX(rngEPseq,MATCH($F1347,rngEPcode,0)),""))</f>
        <v/>
      </c>
      <c r="J1347" s="17">
        <f>IF($F1347="","",IFERROR(INDEX(rngEPpass,MATCH($F1347,rngEPcode,0)),cfgPassingScore))</f>
        <v/>
      </c>
      <c r="K1347" s="16" t="n"/>
      <c r="L1347" s="16" t="n"/>
      <c r="M1347" s="17">
        <f>IF($C1347="","",IF($L1347="","",IF(NOT(ISNUMBER($L1347)),$L1347,IF(N($K1347)&gt;2,"",IF($K1347=1,IF(COUNTIFS(nrES_PID,$D1347,nrES_Code,$F1347,nrES_Att,2,nrES_Raw,"&gt;=0")&gt;0,"",$L1347),IF($L1347&gt;=$J1347,MAX($J1347,cfgRetakeRecordedCap),IF(COUNTIFS(nrES_PID,$D1347,nrES_Code,$F1347,nrES_Att,1)=0,$L1347,SUMIFS(nrES_Raw,nrES_PID,$D1347,nrES_Code,$F1347,nrES_Att,1))))))))</f>
        <v/>
      </c>
      <c r="N1347" s="17">
        <f>IF($C1347="","",IF($L1347="","",IF(NOT(ISNUMBER($L1347)),"(not a score)",IF($L1347&gt;=$J1347,"Yes","No"))))</f>
        <v/>
      </c>
      <c r="O1347" s="17">
        <f>IF($C1347="","",IF($M1347="","",IF(NOT(ISNUMBER($M1347)),"(not a score)",IF($M1347&gt;=$J1347,"Yes","No"))))</f>
        <v/>
      </c>
      <c r="P1347" s="17">
        <f>IF($C1347="","",IF($K1347="","",IF(N($K1347)&gt;2,"No",IF(COUNTIFS(nrES_PID,$D1347,nrES_Code,$F1347,nrES_Att,"&gt;"&amp;$K1347,nrES_Att,"&lt;=2",nrES_Raw,"&gt;=0")=0,"Yes","No"))))</f>
        <v/>
      </c>
      <c r="Q1347" s="17">
        <f>IF($C1347="","",IF($L1347="","",IF(AND($K1347=1,ISNUMBER($L1347),$L1347&lt;$J1347,COUNTIFS(nrES_PID,$D1347,nrES_Code,$F1347,nrES_Att,2,nrES_Raw,"&gt;=0")=0),"Yes","No")))</f>
        <v/>
      </c>
      <c r="R1347" s="17">
        <f>IF($C1347="","",IF($L1347="","",IF(AND(N($K1347)&gt;=2,ISNUMBER($L1347),$L1347&lt;$J1347),"Yes","No")))</f>
        <v/>
      </c>
      <c r="S1347" s="18" t="n"/>
      <c r="T1347" s="19">
        <f>IF(OR($C1347="",$L1347="",$K1347&lt;&gt;1,NOT(ISNUMBER($L1347)),$L1347&gt;=$J1347),"",IF($S1347="","(enter date)",_xlfn.LET(_xlpm.dn,_xlfn.XLOOKUP($S1347,nrCDdate,nrCDnum,"",1),IF(_xlpm.dn="","(after last class day)",_xlfn.LET(_xlpm.dd,_xlfn.XLOOKUP(_xlpm.dn+cfgRetestClassDays,nrCDnum,nrCDdate,""),_xlpm.ok,_xlfn.XLOOKUP(_xlpm.dn+cfgRetestClassDays,nrCDnum,nrCDinsession,"No"),IF(OR(_xlpm.dd="",_xlpm.ok&lt;&gt;"Yes"),"(after last class day)",_xlpm.dd))))))</f>
        <v/>
      </c>
      <c r="U1347" s="17">
        <f>IF($C1347="","",IF(AND($Y1347="Excused",$L1347="",N($K1347)&lt;=1),"EXCUSED - 1st attempt pending",IF(OR($L1347="",$K1347&lt;&gt;1,NOT(ISNUMBER($L1347)),$L1347&gt;=$J1347),"",IF(COUNTIFS(nrES_PID,$D1347,nrES_Code,$F1347,nrES_Att,2,nrES_Raw,"&gt;=0")&gt;0,IF(IFERROR(_xlfn.MINIFS(nrES_Date,nrES_PID,$D1347,nrES_Code,$F1347,nrES_Att,2,nrES_Raw,"&gt;=0",nrES_Date,"&gt;0"),0)=0,"RETEST UNDATED",IF(NOT(ISNUMBER($T1347)),"RETEST DATE UNCHECKED",IF(_xlfn.MINIFS(nrES_Date,nrES_PID,$D1347,nrES_Code,$F1347,nrES_Att,2,nrES_Raw,"&gt;=0",nrES_Date,"&gt;0")&gt;$T1347,"LATE RETEST "&amp;TEXT(_xlfn.MINIFS(nrES_Date,nrES_PID,$D1347,nrES_Code,$F1347,nrES_Att,2,nrES_Raw,"&gt;=0",nrES_Date,"&gt;0"),"mm/dd")&amp;" (due "&amp;TEXT($T1347,"mm/dd")&amp;")","Retested"))),IF(NOT(ISNUMBER($T1347)),"CHECK DATE",IF(TODAY()&gt;$T1347,"OVERDUE","Due "&amp;TEXT($T1347,"mm/dd")))))))</f>
        <v/>
      </c>
      <c r="V1347" s="16" t="n"/>
      <c r="W1347" s="16" t="n"/>
      <c r="X1347" s="17">
        <f>IF($C1347="","",IF(AND($L1347&lt;&gt;"",NOT(ISNUMBER($L1347))),"RAW SCORE NOT A NUMBER",IF(AND(ISNUMBER($L1347),OR($L1347&lt;0,$L1347&gt;100)),"RAW SCORE OUT OF RANGE",IF(AND($Y1347="Unexcused",OR($L1347="",NOT(ISNUMBER($L1347)),$L1347&lt;&gt;0)),"UNEXCUSED ABSENCE MUST RECORD 0",IF(COUNTIF(nrES_RecID,$B1347)&gt;1,"DUPLICATE RECORD",IF(N($K1347)&gt;2,"ATTEMPT 3+ NOT ALLOWED - policy 300.5 permits one retest per exam; this row records nothing",IF(AND($K1347=2,COUNTIFS(nrES_PID,$D1347,nrES_Code,$F1347,nrES_Att,1)=0),"ATTEMPT 2 WITHOUT ATTEMPT 1",IF(AND($K1347=2,$L1347=""),"RETEST ROW HAS NO SCORE",IF(AND($H1347="Final",$L1347&lt;&gt;"",IFERROR(INDEX(nrCKfinalExamElig,MATCH($D1347,rngCadetPIDs,0)),"")="No"),"FINAL EXAM AFTER FAILED FINAL PT (500.1.H)",IF(AND($K1347=2,ISNUMBER($L1347),COUNTIFS(nrES_PID,$D1347,nrES_Code,$F1347,nrES_Att,1)&gt;0,SUMIFS(nrES_Raw,nrES_PID,$D1347,nrES_Code,$F1347,nrES_Att,1)&gt;=$J1347),"RETEST AFTER A PASSING FIRST ATTEMPT","OK"))))))))))</f>
        <v/>
      </c>
      <c r="Y1347" s="16" t="n"/>
    </row>
    <row r="1348">
      <c r="B1348" s="17">
        <f>IF($C1348="","",$D1348&amp;"-"&amp;$F1348&amp;"-"&amp;$K1348)</f>
        <v/>
      </c>
      <c r="C1348" s="16" t="n"/>
      <c r="D1348" s="17">
        <f>IF($C1348="","",IFERROR(INDEX(rngCadetPIDs,MATCH($C1348,rngCadetNames,0)),"?"))</f>
        <v/>
      </c>
      <c r="E1348" s="17">
        <f>IF($D1348="","",IFERROR(INDEX(nrCadetAgency,MATCH($D1348,rngCadetPIDs,0)),""))</f>
        <v/>
      </c>
      <c r="F1348" s="16" t="n"/>
      <c r="G1348" s="17">
        <f>IF($F1348="","",IFERROR(INDEX(rngEPname,MATCH($F1348,rngEPcode,0)),"?"))</f>
        <v/>
      </c>
      <c r="H1348" s="17">
        <f>IF($F1348="","",IFERROR(INDEX(rngEPtype,MATCH($F1348,rngEPcode,0)),"?"))</f>
        <v/>
      </c>
      <c r="I1348" s="17">
        <f>IF($F1348="","",IFERROR(INDEX(rngEPseq,MATCH($F1348,rngEPcode,0)),""))</f>
        <v/>
      </c>
      <c r="J1348" s="17">
        <f>IF($F1348="","",IFERROR(INDEX(rngEPpass,MATCH($F1348,rngEPcode,0)),cfgPassingScore))</f>
        <v/>
      </c>
      <c r="K1348" s="16" t="n"/>
      <c r="L1348" s="16" t="n"/>
      <c r="M1348" s="17">
        <f>IF($C1348="","",IF($L1348="","",IF(NOT(ISNUMBER($L1348)),$L1348,IF(N($K1348)&gt;2,"",IF($K1348=1,IF(COUNTIFS(nrES_PID,$D1348,nrES_Code,$F1348,nrES_Att,2,nrES_Raw,"&gt;=0")&gt;0,"",$L1348),IF($L1348&gt;=$J1348,MAX($J1348,cfgRetakeRecordedCap),IF(COUNTIFS(nrES_PID,$D1348,nrES_Code,$F1348,nrES_Att,1)=0,$L1348,SUMIFS(nrES_Raw,nrES_PID,$D1348,nrES_Code,$F1348,nrES_Att,1))))))))</f>
        <v/>
      </c>
      <c r="N1348" s="17">
        <f>IF($C1348="","",IF($L1348="","",IF(NOT(ISNUMBER($L1348)),"(not a score)",IF($L1348&gt;=$J1348,"Yes","No"))))</f>
        <v/>
      </c>
      <c r="O1348" s="17">
        <f>IF($C1348="","",IF($M1348="","",IF(NOT(ISNUMBER($M1348)),"(not a score)",IF($M1348&gt;=$J1348,"Yes","No"))))</f>
        <v/>
      </c>
      <c r="P1348" s="17">
        <f>IF($C1348="","",IF($K1348="","",IF(N($K1348)&gt;2,"No",IF(COUNTIFS(nrES_PID,$D1348,nrES_Code,$F1348,nrES_Att,"&gt;"&amp;$K1348,nrES_Att,"&lt;=2",nrES_Raw,"&gt;=0")=0,"Yes","No"))))</f>
        <v/>
      </c>
      <c r="Q1348" s="17">
        <f>IF($C1348="","",IF($L1348="","",IF(AND($K1348=1,ISNUMBER($L1348),$L1348&lt;$J1348,COUNTIFS(nrES_PID,$D1348,nrES_Code,$F1348,nrES_Att,2,nrES_Raw,"&gt;=0")=0),"Yes","No")))</f>
        <v/>
      </c>
      <c r="R1348" s="17">
        <f>IF($C1348="","",IF($L1348="","",IF(AND(N($K1348)&gt;=2,ISNUMBER($L1348),$L1348&lt;$J1348),"Yes","No")))</f>
        <v/>
      </c>
      <c r="S1348" s="18" t="n"/>
      <c r="T1348" s="19">
        <f>IF(OR($C1348="",$L1348="",$K1348&lt;&gt;1,NOT(ISNUMBER($L1348)),$L1348&gt;=$J1348),"",IF($S1348="","(enter date)",_xlfn.LET(_xlpm.dn,_xlfn.XLOOKUP($S1348,nrCDdate,nrCDnum,"",1),IF(_xlpm.dn="","(after last class day)",_xlfn.LET(_xlpm.dd,_xlfn.XLOOKUP(_xlpm.dn+cfgRetestClassDays,nrCDnum,nrCDdate,""),_xlpm.ok,_xlfn.XLOOKUP(_xlpm.dn+cfgRetestClassDays,nrCDnum,nrCDinsession,"No"),IF(OR(_xlpm.dd="",_xlpm.ok&lt;&gt;"Yes"),"(after last class day)",_xlpm.dd))))))</f>
        <v/>
      </c>
      <c r="U1348" s="17">
        <f>IF($C1348="","",IF(AND($Y1348="Excused",$L1348="",N($K1348)&lt;=1),"EXCUSED - 1st attempt pending",IF(OR($L1348="",$K1348&lt;&gt;1,NOT(ISNUMBER($L1348)),$L1348&gt;=$J1348),"",IF(COUNTIFS(nrES_PID,$D1348,nrES_Code,$F1348,nrES_Att,2,nrES_Raw,"&gt;=0")&gt;0,IF(IFERROR(_xlfn.MINIFS(nrES_Date,nrES_PID,$D1348,nrES_Code,$F1348,nrES_Att,2,nrES_Raw,"&gt;=0",nrES_Date,"&gt;0"),0)=0,"RETEST UNDATED",IF(NOT(ISNUMBER($T1348)),"RETEST DATE UNCHECKED",IF(_xlfn.MINIFS(nrES_Date,nrES_PID,$D1348,nrES_Code,$F1348,nrES_Att,2,nrES_Raw,"&gt;=0",nrES_Date,"&gt;0")&gt;$T1348,"LATE RETEST "&amp;TEXT(_xlfn.MINIFS(nrES_Date,nrES_PID,$D1348,nrES_Code,$F1348,nrES_Att,2,nrES_Raw,"&gt;=0",nrES_Date,"&gt;0"),"mm/dd")&amp;" (due "&amp;TEXT($T1348,"mm/dd")&amp;")","Retested"))),IF(NOT(ISNUMBER($T1348)),"CHECK DATE",IF(TODAY()&gt;$T1348,"OVERDUE","Due "&amp;TEXT($T1348,"mm/dd")))))))</f>
        <v/>
      </c>
      <c r="V1348" s="16" t="n"/>
      <c r="W1348" s="16" t="n"/>
      <c r="X1348" s="17">
        <f>IF($C1348="","",IF(AND($L1348&lt;&gt;"",NOT(ISNUMBER($L1348))),"RAW SCORE NOT A NUMBER",IF(AND(ISNUMBER($L1348),OR($L1348&lt;0,$L1348&gt;100)),"RAW SCORE OUT OF RANGE",IF(AND($Y1348="Unexcused",OR($L1348="",NOT(ISNUMBER($L1348)),$L1348&lt;&gt;0)),"UNEXCUSED ABSENCE MUST RECORD 0",IF(COUNTIF(nrES_RecID,$B1348)&gt;1,"DUPLICATE RECORD",IF(N($K1348)&gt;2,"ATTEMPT 3+ NOT ALLOWED - policy 300.5 permits one retest per exam; this row records nothing",IF(AND($K1348=2,COUNTIFS(nrES_PID,$D1348,nrES_Code,$F1348,nrES_Att,1)=0),"ATTEMPT 2 WITHOUT ATTEMPT 1",IF(AND($K1348=2,$L1348=""),"RETEST ROW HAS NO SCORE",IF(AND($H1348="Final",$L1348&lt;&gt;"",IFERROR(INDEX(nrCKfinalExamElig,MATCH($D1348,rngCadetPIDs,0)),"")="No"),"FINAL EXAM AFTER FAILED FINAL PT (500.1.H)",IF(AND($K1348=2,ISNUMBER($L1348),COUNTIFS(nrES_PID,$D1348,nrES_Code,$F1348,nrES_Att,1)&gt;0,SUMIFS(nrES_Raw,nrES_PID,$D1348,nrES_Code,$F1348,nrES_Att,1)&gt;=$J1348),"RETEST AFTER A PASSING FIRST ATTEMPT","OK"))))))))))</f>
        <v/>
      </c>
      <c r="Y1348" s="16" t="n"/>
    </row>
    <row r="1349">
      <c r="B1349" s="17">
        <f>IF($C1349="","",$D1349&amp;"-"&amp;$F1349&amp;"-"&amp;$K1349)</f>
        <v/>
      </c>
      <c r="C1349" s="16" t="n"/>
      <c r="D1349" s="17">
        <f>IF($C1349="","",IFERROR(INDEX(rngCadetPIDs,MATCH($C1349,rngCadetNames,0)),"?"))</f>
        <v/>
      </c>
      <c r="E1349" s="17">
        <f>IF($D1349="","",IFERROR(INDEX(nrCadetAgency,MATCH($D1349,rngCadetPIDs,0)),""))</f>
        <v/>
      </c>
      <c r="F1349" s="16" t="n"/>
      <c r="G1349" s="17">
        <f>IF($F1349="","",IFERROR(INDEX(rngEPname,MATCH($F1349,rngEPcode,0)),"?"))</f>
        <v/>
      </c>
      <c r="H1349" s="17">
        <f>IF($F1349="","",IFERROR(INDEX(rngEPtype,MATCH($F1349,rngEPcode,0)),"?"))</f>
        <v/>
      </c>
      <c r="I1349" s="17">
        <f>IF($F1349="","",IFERROR(INDEX(rngEPseq,MATCH($F1349,rngEPcode,0)),""))</f>
        <v/>
      </c>
      <c r="J1349" s="17">
        <f>IF($F1349="","",IFERROR(INDEX(rngEPpass,MATCH($F1349,rngEPcode,0)),cfgPassingScore))</f>
        <v/>
      </c>
      <c r="K1349" s="16" t="n"/>
      <c r="L1349" s="16" t="n"/>
      <c r="M1349" s="17">
        <f>IF($C1349="","",IF($L1349="","",IF(NOT(ISNUMBER($L1349)),$L1349,IF(N($K1349)&gt;2,"",IF($K1349=1,IF(COUNTIFS(nrES_PID,$D1349,nrES_Code,$F1349,nrES_Att,2,nrES_Raw,"&gt;=0")&gt;0,"",$L1349),IF($L1349&gt;=$J1349,MAX($J1349,cfgRetakeRecordedCap),IF(COUNTIFS(nrES_PID,$D1349,nrES_Code,$F1349,nrES_Att,1)=0,$L1349,SUMIFS(nrES_Raw,nrES_PID,$D1349,nrES_Code,$F1349,nrES_Att,1))))))))</f>
        <v/>
      </c>
      <c r="N1349" s="17">
        <f>IF($C1349="","",IF($L1349="","",IF(NOT(ISNUMBER($L1349)),"(not a score)",IF($L1349&gt;=$J1349,"Yes","No"))))</f>
        <v/>
      </c>
      <c r="O1349" s="17">
        <f>IF($C1349="","",IF($M1349="","",IF(NOT(ISNUMBER($M1349)),"(not a score)",IF($M1349&gt;=$J1349,"Yes","No"))))</f>
        <v/>
      </c>
      <c r="P1349" s="17">
        <f>IF($C1349="","",IF($K1349="","",IF(N($K1349)&gt;2,"No",IF(COUNTIFS(nrES_PID,$D1349,nrES_Code,$F1349,nrES_Att,"&gt;"&amp;$K1349,nrES_Att,"&lt;=2",nrES_Raw,"&gt;=0")=0,"Yes","No"))))</f>
        <v/>
      </c>
      <c r="Q1349" s="17">
        <f>IF($C1349="","",IF($L1349="","",IF(AND($K1349=1,ISNUMBER($L1349),$L1349&lt;$J1349,COUNTIFS(nrES_PID,$D1349,nrES_Code,$F1349,nrES_Att,2,nrES_Raw,"&gt;=0")=0),"Yes","No")))</f>
        <v/>
      </c>
      <c r="R1349" s="17">
        <f>IF($C1349="","",IF($L1349="","",IF(AND(N($K1349)&gt;=2,ISNUMBER($L1349),$L1349&lt;$J1349),"Yes","No")))</f>
        <v/>
      </c>
      <c r="S1349" s="18" t="n"/>
      <c r="T1349" s="19">
        <f>IF(OR($C1349="",$L1349="",$K1349&lt;&gt;1,NOT(ISNUMBER($L1349)),$L1349&gt;=$J1349),"",IF($S1349="","(enter date)",_xlfn.LET(_xlpm.dn,_xlfn.XLOOKUP($S1349,nrCDdate,nrCDnum,"",1),IF(_xlpm.dn="","(after last class day)",_xlfn.LET(_xlpm.dd,_xlfn.XLOOKUP(_xlpm.dn+cfgRetestClassDays,nrCDnum,nrCDdate,""),_xlpm.ok,_xlfn.XLOOKUP(_xlpm.dn+cfgRetestClassDays,nrCDnum,nrCDinsession,"No"),IF(OR(_xlpm.dd="",_xlpm.ok&lt;&gt;"Yes"),"(after last class day)",_xlpm.dd))))))</f>
        <v/>
      </c>
      <c r="U1349" s="17">
        <f>IF($C1349="","",IF(AND($Y1349="Excused",$L1349="",N($K1349)&lt;=1),"EXCUSED - 1st attempt pending",IF(OR($L1349="",$K1349&lt;&gt;1,NOT(ISNUMBER($L1349)),$L1349&gt;=$J1349),"",IF(COUNTIFS(nrES_PID,$D1349,nrES_Code,$F1349,nrES_Att,2,nrES_Raw,"&gt;=0")&gt;0,IF(IFERROR(_xlfn.MINIFS(nrES_Date,nrES_PID,$D1349,nrES_Code,$F1349,nrES_Att,2,nrES_Raw,"&gt;=0",nrES_Date,"&gt;0"),0)=0,"RETEST UNDATED",IF(NOT(ISNUMBER($T1349)),"RETEST DATE UNCHECKED",IF(_xlfn.MINIFS(nrES_Date,nrES_PID,$D1349,nrES_Code,$F1349,nrES_Att,2,nrES_Raw,"&gt;=0",nrES_Date,"&gt;0")&gt;$T1349,"LATE RETEST "&amp;TEXT(_xlfn.MINIFS(nrES_Date,nrES_PID,$D1349,nrES_Code,$F1349,nrES_Att,2,nrES_Raw,"&gt;=0",nrES_Date,"&gt;0"),"mm/dd")&amp;" (due "&amp;TEXT($T1349,"mm/dd")&amp;")","Retested"))),IF(NOT(ISNUMBER($T1349)),"CHECK DATE",IF(TODAY()&gt;$T1349,"OVERDUE","Due "&amp;TEXT($T1349,"mm/dd")))))))</f>
        <v/>
      </c>
      <c r="V1349" s="16" t="n"/>
      <c r="W1349" s="16" t="n"/>
      <c r="X1349" s="17">
        <f>IF($C1349="","",IF(AND($L1349&lt;&gt;"",NOT(ISNUMBER($L1349))),"RAW SCORE NOT A NUMBER",IF(AND(ISNUMBER($L1349),OR($L1349&lt;0,$L1349&gt;100)),"RAW SCORE OUT OF RANGE",IF(AND($Y1349="Unexcused",OR($L1349="",NOT(ISNUMBER($L1349)),$L1349&lt;&gt;0)),"UNEXCUSED ABSENCE MUST RECORD 0",IF(COUNTIF(nrES_RecID,$B1349)&gt;1,"DUPLICATE RECORD",IF(N($K1349)&gt;2,"ATTEMPT 3+ NOT ALLOWED - policy 300.5 permits one retest per exam; this row records nothing",IF(AND($K1349=2,COUNTIFS(nrES_PID,$D1349,nrES_Code,$F1349,nrES_Att,1)=0),"ATTEMPT 2 WITHOUT ATTEMPT 1",IF(AND($K1349=2,$L1349=""),"RETEST ROW HAS NO SCORE",IF(AND($H1349="Final",$L1349&lt;&gt;"",IFERROR(INDEX(nrCKfinalExamElig,MATCH($D1349,rngCadetPIDs,0)),"")="No"),"FINAL EXAM AFTER FAILED FINAL PT (500.1.H)",IF(AND($K1349=2,ISNUMBER($L1349),COUNTIFS(nrES_PID,$D1349,nrES_Code,$F1349,nrES_Att,1)&gt;0,SUMIFS(nrES_Raw,nrES_PID,$D1349,nrES_Code,$F1349,nrES_Att,1)&gt;=$J1349),"RETEST AFTER A PASSING FIRST ATTEMPT","OK"))))))))))</f>
        <v/>
      </c>
      <c r="Y1349" s="16" t="n"/>
    </row>
    <row r="1350">
      <c r="B1350" s="17">
        <f>IF($C1350="","",$D1350&amp;"-"&amp;$F1350&amp;"-"&amp;$K1350)</f>
        <v/>
      </c>
      <c r="C1350" s="16" t="n"/>
      <c r="D1350" s="17">
        <f>IF($C1350="","",IFERROR(INDEX(rngCadetPIDs,MATCH($C1350,rngCadetNames,0)),"?"))</f>
        <v/>
      </c>
      <c r="E1350" s="17">
        <f>IF($D1350="","",IFERROR(INDEX(nrCadetAgency,MATCH($D1350,rngCadetPIDs,0)),""))</f>
        <v/>
      </c>
      <c r="F1350" s="16" t="n"/>
      <c r="G1350" s="17">
        <f>IF($F1350="","",IFERROR(INDEX(rngEPname,MATCH($F1350,rngEPcode,0)),"?"))</f>
        <v/>
      </c>
      <c r="H1350" s="17">
        <f>IF($F1350="","",IFERROR(INDEX(rngEPtype,MATCH($F1350,rngEPcode,0)),"?"))</f>
        <v/>
      </c>
      <c r="I1350" s="17">
        <f>IF($F1350="","",IFERROR(INDEX(rngEPseq,MATCH($F1350,rngEPcode,0)),""))</f>
        <v/>
      </c>
      <c r="J1350" s="17">
        <f>IF($F1350="","",IFERROR(INDEX(rngEPpass,MATCH($F1350,rngEPcode,0)),cfgPassingScore))</f>
        <v/>
      </c>
      <c r="K1350" s="16" t="n"/>
      <c r="L1350" s="16" t="n"/>
      <c r="M1350" s="17">
        <f>IF($C1350="","",IF($L1350="","",IF(NOT(ISNUMBER($L1350)),$L1350,IF(N($K1350)&gt;2,"",IF($K1350=1,IF(COUNTIFS(nrES_PID,$D1350,nrES_Code,$F1350,nrES_Att,2,nrES_Raw,"&gt;=0")&gt;0,"",$L1350),IF($L1350&gt;=$J1350,MAX($J1350,cfgRetakeRecordedCap),IF(COUNTIFS(nrES_PID,$D1350,nrES_Code,$F1350,nrES_Att,1)=0,$L1350,SUMIFS(nrES_Raw,nrES_PID,$D1350,nrES_Code,$F1350,nrES_Att,1))))))))</f>
        <v/>
      </c>
      <c r="N1350" s="17">
        <f>IF($C1350="","",IF($L1350="","",IF(NOT(ISNUMBER($L1350)),"(not a score)",IF($L1350&gt;=$J1350,"Yes","No"))))</f>
        <v/>
      </c>
      <c r="O1350" s="17">
        <f>IF($C1350="","",IF($M1350="","",IF(NOT(ISNUMBER($M1350)),"(not a score)",IF($M1350&gt;=$J1350,"Yes","No"))))</f>
        <v/>
      </c>
      <c r="P1350" s="17">
        <f>IF($C1350="","",IF($K1350="","",IF(N($K1350)&gt;2,"No",IF(COUNTIFS(nrES_PID,$D1350,nrES_Code,$F1350,nrES_Att,"&gt;"&amp;$K1350,nrES_Att,"&lt;=2",nrES_Raw,"&gt;=0")=0,"Yes","No"))))</f>
        <v/>
      </c>
      <c r="Q1350" s="17">
        <f>IF($C1350="","",IF($L1350="","",IF(AND($K1350=1,ISNUMBER($L1350),$L1350&lt;$J1350,COUNTIFS(nrES_PID,$D1350,nrES_Code,$F1350,nrES_Att,2,nrES_Raw,"&gt;=0")=0),"Yes","No")))</f>
        <v/>
      </c>
      <c r="R1350" s="17">
        <f>IF($C1350="","",IF($L1350="","",IF(AND(N($K1350)&gt;=2,ISNUMBER($L1350),$L1350&lt;$J1350),"Yes","No")))</f>
        <v/>
      </c>
      <c r="S1350" s="18" t="n"/>
      <c r="T1350" s="19">
        <f>IF(OR($C1350="",$L1350="",$K1350&lt;&gt;1,NOT(ISNUMBER($L1350)),$L1350&gt;=$J1350),"",IF($S1350="","(enter date)",_xlfn.LET(_xlpm.dn,_xlfn.XLOOKUP($S1350,nrCDdate,nrCDnum,"",1),IF(_xlpm.dn="","(after last class day)",_xlfn.LET(_xlpm.dd,_xlfn.XLOOKUP(_xlpm.dn+cfgRetestClassDays,nrCDnum,nrCDdate,""),_xlpm.ok,_xlfn.XLOOKUP(_xlpm.dn+cfgRetestClassDays,nrCDnum,nrCDinsession,"No"),IF(OR(_xlpm.dd="",_xlpm.ok&lt;&gt;"Yes"),"(after last class day)",_xlpm.dd))))))</f>
        <v/>
      </c>
      <c r="U1350" s="17">
        <f>IF($C1350="","",IF(AND($Y1350="Excused",$L1350="",N($K1350)&lt;=1),"EXCUSED - 1st attempt pending",IF(OR($L1350="",$K1350&lt;&gt;1,NOT(ISNUMBER($L1350)),$L1350&gt;=$J1350),"",IF(COUNTIFS(nrES_PID,$D1350,nrES_Code,$F1350,nrES_Att,2,nrES_Raw,"&gt;=0")&gt;0,IF(IFERROR(_xlfn.MINIFS(nrES_Date,nrES_PID,$D1350,nrES_Code,$F1350,nrES_Att,2,nrES_Raw,"&gt;=0",nrES_Date,"&gt;0"),0)=0,"RETEST UNDATED",IF(NOT(ISNUMBER($T1350)),"RETEST DATE UNCHECKED",IF(_xlfn.MINIFS(nrES_Date,nrES_PID,$D1350,nrES_Code,$F1350,nrES_Att,2,nrES_Raw,"&gt;=0",nrES_Date,"&gt;0")&gt;$T1350,"LATE RETEST "&amp;TEXT(_xlfn.MINIFS(nrES_Date,nrES_PID,$D1350,nrES_Code,$F1350,nrES_Att,2,nrES_Raw,"&gt;=0",nrES_Date,"&gt;0"),"mm/dd")&amp;" (due "&amp;TEXT($T1350,"mm/dd")&amp;")","Retested"))),IF(NOT(ISNUMBER($T1350)),"CHECK DATE",IF(TODAY()&gt;$T1350,"OVERDUE","Due "&amp;TEXT($T1350,"mm/dd")))))))</f>
        <v/>
      </c>
      <c r="V1350" s="16" t="n"/>
      <c r="W1350" s="16" t="n"/>
      <c r="X1350" s="17">
        <f>IF($C1350="","",IF(AND($L1350&lt;&gt;"",NOT(ISNUMBER($L1350))),"RAW SCORE NOT A NUMBER",IF(AND(ISNUMBER($L1350),OR($L1350&lt;0,$L1350&gt;100)),"RAW SCORE OUT OF RANGE",IF(AND($Y1350="Unexcused",OR($L1350="",NOT(ISNUMBER($L1350)),$L1350&lt;&gt;0)),"UNEXCUSED ABSENCE MUST RECORD 0",IF(COUNTIF(nrES_RecID,$B1350)&gt;1,"DUPLICATE RECORD",IF(N($K1350)&gt;2,"ATTEMPT 3+ NOT ALLOWED - policy 300.5 permits one retest per exam; this row records nothing",IF(AND($K1350=2,COUNTIFS(nrES_PID,$D1350,nrES_Code,$F1350,nrES_Att,1)=0),"ATTEMPT 2 WITHOUT ATTEMPT 1",IF(AND($K1350=2,$L1350=""),"RETEST ROW HAS NO SCORE",IF(AND($H1350="Final",$L1350&lt;&gt;"",IFERROR(INDEX(nrCKfinalExamElig,MATCH($D1350,rngCadetPIDs,0)),"")="No"),"FINAL EXAM AFTER FAILED FINAL PT (500.1.H)",IF(AND($K1350=2,ISNUMBER($L1350),COUNTIFS(nrES_PID,$D1350,nrES_Code,$F1350,nrES_Att,1)&gt;0,SUMIFS(nrES_Raw,nrES_PID,$D1350,nrES_Code,$F1350,nrES_Att,1)&gt;=$J1350),"RETEST AFTER A PASSING FIRST ATTEMPT","OK"))))))))))</f>
        <v/>
      </c>
      <c r="Y1350" s="16" t="n"/>
    </row>
    <row r="1351">
      <c r="B1351" s="17">
        <f>IF($C1351="","",$D1351&amp;"-"&amp;$F1351&amp;"-"&amp;$K1351)</f>
        <v/>
      </c>
      <c r="C1351" s="16" t="n"/>
      <c r="D1351" s="17">
        <f>IF($C1351="","",IFERROR(INDEX(rngCadetPIDs,MATCH($C1351,rngCadetNames,0)),"?"))</f>
        <v/>
      </c>
      <c r="E1351" s="17">
        <f>IF($D1351="","",IFERROR(INDEX(nrCadetAgency,MATCH($D1351,rngCadetPIDs,0)),""))</f>
        <v/>
      </c>
      <c r="F1351" s="16" t="n"/>
      <c r="G1351" s="17">
        <f>IF($F1351="","",IFERROR(INDEX(rngEPname,MATCH($F1351,rngEPcode,0)),"?"))</f>
        <v/>
      </c>
      <c r="H1351" s="17">
        <f>IF($F1351="","",IFERROR(INDEX(rngEPtype,MATCH($F1351,rngEPcode,0)),"?"))</f>
        <v/>
      </c>
      <c r="I1351" s="17">
        <f>IF($F1351="","",IFERROR(INDEX(rngEPseq,MATCH($F1351,rngEPcode,0)),""))</f>
        <v/>
      </c>
      <c r="J1351" s="17">
        <f>IF($F1351="","",IFERROR(INDEX(rngEPpass,MATCH($F1351,rngEPcode,0)),cfgPassingScore))</f>
        <v/>
      </c>
      <c r="K1351" s="16" t="n"/>
      <c r="L1351" s="16" t="n"/>
      <c r="M1351" s="17">
        <f>IF($C1351="","",IF($L1351="","",IF(NOT(ISNUMBER($L1351)),$L1351,IF(N($K1351)&gt;2,"",IF($K1351=1,IF(COUNTIFS(nrES_PID,$D1351,nrES_Code,$F1351,nrES_Att,2,nrES_Raw,"&gt;=0")&gt;0,"",$L1351),IF($L1351&gt;=$J1351,MAX($J1351,cfgRetakeRecordedCap),IF(COUNTIFS(nrES_PID,$D1351,nrES_Code,$F1351,nrES_Att,1)=0,$L1351,SUMIFS(nrES_Raw,nrES_PID,$D1351,nrES_Code,$F1351,nrES_Att,1))))))))</f>
        <v/>
      </c>
      <c r="N1351" s="17">
        <f>IF($C1351="","",IF($L1351="","",IF(NOT(ISNUMBER($L1351)),"(not a score)",IF($L1351&gt;=$J1351,"Yes","No"))))</f>
        <v/>
      </c>
      <c r="O1351" s="17">
        <f>IF($C1351="","",IF($M1351="","",IF(NOT(ISNUMBER($M1351)),"(not a score)",IF($M1351&gt;=$J1351,"Yes","No"))))</f>
        <v/>
      </c>
      <c r="P1351" s="17">
        <f>IF($C1351="","",IF($K1351="","",IF(N($K1351)&gt;2,"No",IF(COUNTIFS(nrES_PID,$D1351,nrES_Code,$F1351,nrES_Att,"&gt;"&amp;$K1351,nrES_Att,"&lt;=2",nrES_Raw,"&gt;=0")=0,"Yes","No"))))</f>
        <v/>
      </c>
      <c r="Q1351" s="17">
        <f>IF($C1351="","",IF($L1351="","",IF(AND($K1351=1,ISNUMBER($L1351),$L1351&lt;$J1351,COUNTIFS(nrES_PID,$D1351,nrES_Code,$F1351,nrES_Att,2,nrES_Raw,"&gt;=0")=0),"Yes","No")))</f>
        <v/>
      </c>
      <c r="R1351" s="17">
        <f>IF($C1351="","",IF($L1351="","",IF(AND(N($K1351)&gt;=2,ISNUMBER($L1351),$L1351&lt;$J1351),"Yes","No")))</f>
        <v/>
      </c>
      <c r="S1351" s="18" t="n"/>
      <c r="T1351" s="19">
        <f>IF(OR($C1351="",$L1351="",$K1351&lt;&gt;1,NOT(ISNUMBER($L1351)),$L1351&gt;=$J1351),"",IF($S1351="","(enter date)",_xlfn.LET(_xlpm.dn,_xlfn.XLOOKUP($S1351,nrCDdate,nrCDnum,"",1),IF(_xlpm.dn="","(after last class day)",_xlfn.LET(_xlpm.dd,_xlfn.XLOOKUP(_xlpm.dn+cfgRetestClassDays,nrCDnum,nrCDdate,""),_xlpm.ok,_xlfn.XLOOKUP(_xlpm.dn+cfgRetestClassDays,nrCDnum,nrCDinsession,"No"),IF(OR(_xlpm.dd="",_xlpm.ok&lt;&gt;"Yes"),"(after last class day)",_xlpm.dd))))))</f>
        <v/>
      </c>
      <c r="U1351" s="17">
        <f>IF($C1351="","",IF(AND($Y1351="Excused",$L1351="",N($K1351)&lt;=1),"EXCUSED - 1st attempt pending",IF(OR($L1351="",$K1351&lt;&gt;1,NOT(ISNUMBER($L1351)),$L1351&gt;=$J1351),"",IF(COUNTIFS(nrES_PID,$D1351,nrES_Code,$F1351,nrES_Att,2,nrES_Raw,"&gt;=0")&gt;0,IF(IFERROR(_xlfn.MINIFS(nrES_Date,nrES_PID,$D1351,nrES_Code,$F1351,nrES_Att,2,nrES_Raw,"&gt;=0",nrES_Date,"&gt;0"),0)=0,"RETEST UNDATED",IF(NOT(ISNUMBER($T1351)),"RETEST DATE UNCHECKED",IF(_xlfn.MINIFS(nrES_Date,nrES_PID,$D1351,nrES_Code,$F1351,nrES_Att,2,nrES_Raw,"&gt;=0",nrES_Date,"&gt;0")&gt;$T1351,"LATE RETEST "&amp;TEXT(_xlfn.MINIFS(nrES_Date,nrES_PID,$D1351,nrES_Code,$F1351,nrES_Att,2,nrES_Raw,"&gt;=0",nrES_Date,"&gt;0"),"mm/dd")&amp;" (due "&amp;TEXT($T1351,"mm/dd")&amp;")","Retested"))),IF(NOT(ISNUMBER($T1351)),"CHECK DATE",IF(TODAY()&gt;$T1351,"OVERDUE","Due "&amp;TEXT($T1351,"mm/dd")))))))</f>
        <v/>
      </c>
      <c r="V1351" s="16" t="n"/>
      <c r="W1351" s="16" t="n"/>
      <c r="X1351" s="17">
        <f>IF($C1351="","",IF(AND($L1351&lt;&gt;"",NOT(ISNUMBER($L1351))),"RAW SCORE NOT A NUMBER",IF(AND(ISNUMBER($L1351),OR($L1351&lt;0,$L1351&gt;100)),"RAW SCORE OUT OF RANGE",IF(AND($Y1351="Unexcused",OR($L1351="",NOT(ISNUMBER($L1351)),$L1351&lt;&gt;0)),"UNEXCUSED ABSENCE MUST RECORD 0",IF(COUNTIF(nrES_RecID,$B1351)&gt;1,"DUPLICATE RECORD",IF(N($K1351)&gt;2,"ATTEMPT 3+ NOT ALLOWED - policy 300.5 permits one retest per exam; this row records nothing",IF(AND($K1351=2,COUNTIFS(nrES_PID,$D1351,nrES_Code,$F1351,nrES_Att,1)=0),"ATTEMPT 2 WITHOUT ATTEMPT 1",IF(AND($K1351=2,$L1351=""),"RETEST ROW HAS NO SCORE",IF(AND($H1351="Final",$L1351&lt;&gt;"",IFERROR(INDEX(nrCKfinalExamElig,MATCH($D1351,rngCadetPIDs,0)),"")="No"),"FINAL EXAM AFTER FAILED FINAL PT (500.1.H)",IF(AND($K1351=2,ISNUMBER($L1351),COUNTIFS(nrES_PID,$D1351,nrES_Code,$F1351,nrES_Att,1)&gt;0,SUMIFS(nrES_Raw,nrES_PID,$D1351,nrES_Code,$F1351,nrES_Att,1)&gt;=$J1351),"RETEST AFTER A PASSING FIRST ATTEMPT","OK"))))))))))</f>
        <v/>
      </c>
      <c r="Y1351" s="16" t="n"/>
    </row>
    <row r="1352">
      <c r="B1352" s="17">
        <f>IF($C1352="","",$D1352&amp;"-"&amp;$F1352&amp;"-"&amp;$K1352)</f>
        <v/>
      </c>
      <c r="C1352" s="16" t="n"/>
      <c r="D1352" s="17">
        <f>IF($C1352="","",IFERROR(INDEX(rngCadetPIDs,MATCH($C1352,rngCadetNames,0)),"?"))</f>
        <v/>
      </c>
      <c r="E1352" s="17">
        <f>IF($D1352="","",IFERROR(INDEX(nrCadetAgency,MATCH($D1352,rngCadetPIDs,0)),""))</f>
        <v/>
      </c>
      <c r="F1352" s="16" t="n"/>
      <c r="G1352" s="17">
        <f>IF($F1352="","",IFERROR(INDEX(rngEPname,MATCH($F1352,rngEPcode,0)),"?"))</f>
        <v/>
      </c>
      <c r="H1352" s="17">
        <f>IF($F1352="","",IFERROR(INDEX(rngEPtype,MATCH($F1352,rngEPcode,0)),"?"))</f>
        <v/>
      </c>
      <c r="I1352" s="17">
        <f>IF($F1352="","",IFERROR(INDEX(rngEPseq,MATCH($F1352,rngEPcode,0)),""))</f>
        <v/>
      </c>
      <c r="J1352" s="17">
        <f>IF($F1352="","",IFERROR(INDEX(rngEPpass,MATCH($F1352,rngEPcode,0)),cfgPassingScore))</f>
        <v/>
      </c>
      <c r="K1352" s="16" t="n"/>
      <c r="L1352" s="16" t="n"/>
      <c r="M1352" s="17">
        <f>IF($C1352="","",IF($L1352="","",IF(NOT(ISNUMBER($L1352)),$L1352,IF(N($K1352)&gt;2,"",IF($K1352=1,IF(COUNTIFS(nrES_PID,$D1352,nrES_Code,$F1352,nrES_Att,2,nrES_Raw,"&gt;=0")&gt;0,"",$L1352),IF($L1352&gt;=$J1352,MAX($J1352,cfgRetakeRecordedCap),IF(COUNTIFS(nrES_PID,$D1352,nrES_Code,$F1352,nrES_Att,1)=0,$L1352,SUMIFS(nrES_Raw,nrES_PID,$D1352,nrES_Code,$F1352,nrES_Att,1))))))))</f>
        <v/>
      </c>
      <c r="N1352" s="17">
        <f>IF($C1352="","",IF($L1352="","",IF(NOT(ISNUMBER($L1352)),"(not a score)",IF($L1352&gt;=$J1352,"Yes","No"))))</f>
        <v/>
      </c>
      <c r="O1352" s="17">
        <f>IF($C1352="","",IF($M1352="","",IF(NOT(ISNUMBER($M1352)),"(not a score)",IF($M1352&gt;=$J1352,"Yes","No"))))</f>
        <v/>
      </c>
      <c r="P1352" s="17">
        <f>IF($C1352="","",IF($K1352="","",IF(N($K1352)&gt;2,"No",IF(COUNTIFS(nrES_PID,$D1352,nrES_Code,$F1352,nrES_Att,"&gt;"&amp;$K1352,nrES_Att,"&lt;=2",nrES_Raw,"&gt;=0")=0,"Yes","No"))))</f>
        <v/>
      </c>
      <c r="Q1352" s="17">
        <f>IF($C1352="","",IF($L1352="","",IF(AND($K1352=1,ISNUMBER($L1352),$L1352&lt;$J1352,COUNTIFS(nrES_PID,$D1352,nrES_Code,$F1352,nrES_Att,2,nrES_Raw,"&gt;=0")=0),"Yes","No")))</f>
        <v/>
      </c>
      <c r="R1352" s="17">
        <f>IF($C1352="","",IF($L1352="","",IF(AND(N($K1352)&gt;=2,ISNUMBER($L1352),$L1352&lt;$J1352),"Yes","No")))</f>
        <v/>
      </c>
      <c r="S1352" s="18" t="n"/>
      <c r="T1352" s="19">
        <f>IF(OR($C1352="",$L1352="",$K1352&lt;&gt;1,NOT(ISNUMBER($L1352)),$L1352&gt;=$J1352),"",IF($S1352="","(enter date)",_xlfn.LET(_xlpm.dn,_xlfn.XLOOKUP($S1352,nrCDdate,nrCDnum,"",1),IF(_xlpm.dn="","(after last class day)",_xlfn.LET(_xlpm.dd,_xlfn.XLOOKUP(_xlpm.dn+cfgRetestClassDays,nrCDnum,nrCDdate,""),_xlpm.ok,_xlfn.XLOOKUP(_xlpm.dn+cfgRetestClassDays,nrCDnum,nrCDinsession,"No"),IF(OR(_xlpm.dd="",_xlpm.ok&lt;&gt;"Yes"),"(after last class day)",_xlpm.dd))))))</f>
        <v/>
      </c>
      <c r="U1352" s="17">
        <f>IF($C1352="","",IF(AND($Y1352="Excused",$L1352="",N($K1352)&lt;=1),"EXCUSED - 1st attempt pending",IF(OR($L1352="",$K1352&lt;&gt;1,NOT(ISNUMBER($L1352)),$L1352&gt;=$J1352),"",IF(COUNTIFS(nrES_PID,$D1352,nrES_Code,$F1352,nrES_Att,2,nrES_Raw,"&gt;=0")&gt;0,IF(IFERROR(_xlfn.MINIFS(nrES_Date,nrES_PID,$D1352,nrES_Code,$F1352,nrES_Att,2,nrES_Raw,"&gt;=0",nrES_Date,"&gt;0"),0)=0,"RETEST UNDATED",IF(NOT(ISNUMBER($T1352)),"RETEST DATE UNCHECKED",IF(_xlfn.MINIFS(nrES_Date,nrES_PID,$D1352,nrES_Code,$F1352,nrES_Att,2,nrES_Raw,"&gt;=0",nrES_Date,"&gt;0")&gt;$T1352,"LATE RETEST "&amp;TEXT(_xlfn.MINIFS(nrES_Date,nrES_PID,$D1352,nrES_Code,$F1352,nrES_Att,2,nrES_Raw,"&gt;=0",nrES_Date,"&gt;0"),"mm/dd")&amp;" (due "&amp;TEXT($T1352,"mm/dd")&amp;")","Retested"))),IF(NOT(ISNUMBER($T1352)),"CHECK DATE",IF(TODAY()&gt;$T1352,"OVERDUE","Due "&amp;TEXT($T1352,"mm/dd")))))))</f>
        <v/>
      </c>
      <c r="V1352" s="16" t="n"/>
      <c r="W1352" s="16" t="n"/>
      <c r="X1352" s="17">
        <f>IF($C1352="","",IF(AND($L1352&lt;&gt;"",NOT(ISNUMBER($L1352))),"RAW SCORE NOT A NUMBER",IF(AND(ISNUMBER($L1352),OR($L1352&lt;0,$L1352&gt;100)),"RAW SCORE OUT OF RANGE",IF(AND($Y1352="Unexcused",OR($L1352="",NOT(ISNUMBER($L1352)),$L1352&lt;&gt;0)),"UNEXCUSED ABSENCE MUST RECORD 0",IF(COUNTIF(nrES_RecID,$B1352)&gt;1,"DUPLICATE RECORD",IF(N($K1352)&gt;2,"ATTEMPT 3+ NOT ALLOWED - policy 300.5 permits one retest per exam; this row records nothing",IF(AND($K1352=2,COUNTIFS(nrES_PID,$D1352,nrES_Code,$F1352,nrES_Att,1)=0),"ATTEMPT 2 WITHOUT ATTEMPT 1",IF(AND($K1352=2,$L1352=""),"RETEST ROW HAS NO SCORE",IF(AND($H1352="Final",$L1352&lt;&gt;"",IFERROR(INDEX(nrCKfinalExamElig,MATCH($D1352,rngCadetPIDs,0)),"")="No"),"FINAL EXAM AFTER FAILED FINAL PT (500.1.H)",IF(AND($K1352=2,ISNUMBER($L1352),COUNTIFS(nrES_PID,$D1352,nrES_Code,$F1352,nrES_Att,1)&gt;0,SUMIFS(nrES_Raw,nrES_PID,$D1352,nrES_Code,$F1352,nrES_Att,1)&gt;=$J1352),"RETEST AFTER A PASSING FIRST ATTEMPT","OK"))))))))))</f>
        <v/>
      </c>
      <c r="Y1352" s="16" t="n"/>
    </row>
    <row r="1353">
      <c r="B1353" s="17">
        <f>IF($C1353="","",$D1353&amp;"-"&amp;$F1353&amp;"-"&amp;$K1353)</f>
        <v/>
      </c>
      <c r="C1353" s="16" t="n"/>
      <c r="D1353" s="17">
        <f>IF($C1353="","",IFERROR(INDEX(rngCadetPIDs,MATCH($C1353,rngCadetNames,0)),"?"))</f>
        <v/>
      </c>
      <c r="E1353" s="17">
        <f>IF($D1353="","",IFERROR(INDEX(nrCadetAgency,MATCH($D1353,rngCadetPIDs,0)),""))</f>
        <v/>
      </c>
      <c r="F1353" s="16" t="n"/>
      <c r="G1353" s="17">
        <f>IF($F1353="","",IFERROR(INDEX(rngEPname,MATCH($F1353,rngEPcode,0)),"?"))</f>
        <v/>
      </c>
      <c r="H1353" s="17">
        <f>IF($F1353="","",IFERROR(INDEX(rngEPtype,MATCH($F1353,rngEPcode,0)),"?"))</f>
        <v/>
      </c>
      <c r="I1353" s="17">
        <f>IF($F1353="","",IFERROR(INDEX(rngEPseq,MATCH($F1353,rngEPcode,0)),""))</f>
        <v/>
      </c>
      <c r="J1353" s="17">
        <f>IF($F1353="","",IFERROR(INDEX(rngEPpass,MATCH($F1353,rngEPcode,0)),cfgPassingScore))</f>
        <v/>
      </c>
      <c r="K1353" s="16" t="n"/>
      <c r="L1353" s="16" t="n"/>
      <c r="M1353" s="17">
        <f>IF($C1353="","",IF($L1353="","",IF(NOT(ISNUMBER($L1353)),$L1353,IF(N($K1353)&gt;2,"",IF($K1353=1,IF(COUNTIFS(nrES_PID,$D1353,nrES_Code,$F1353,nrES_Att,2,nrES_Raw,"&gt;=0")&gt;0,"",$L1353),IF($L1353&gt;=$J1353,MAX($J1353,cfgRetakeRecordedCap),IF(COUNTIFS(nrES_PID,$D1353,nrES_Code,$F1353,nrES_Att,1)=0,$L1353,SUMIFS(nrES_Raw,nrES_PID,$D1353,nrES_Code,$F1353,nrES_Att,1))))))))</f>
        <v/>
      </c>
      <c r="N1353" s="17">
        <f>IF($C1353="","",IF($L1353="","",IF(NOT(ISNUMBER($L1353)),"(not a score)",IF($L1353&gt;=$J1353,"Yes","No"))))</f>
        <v/>
      </c>
      <c r="O1353" s="17">
        <f>IF($C1353="","",IF($M1353="","",IF(NOT(ISNUMBER($M1353)),"(not a score)",IF($M1353&gt;=$J1353,"Yes","No"))))</f>
        <v/>
      </c>
      <c r="P1353" s="17">
        <f>IF($C1353="","",IF($K1353="","",IF(N($K1353)&gt;2,"No",IF(COUNTIFS(nrES_PID,$D1353,nrES_Code,$F1353,nrES_Att,"&gt;"&amp;$K1353,nrES_Att,"&lt;=2",nrES_Raw,"&gt;=0")=0,"Yes","No"))))</f>
        <v/>
      </c>
      <c r="Q1353" s="17">
        <f>IF($C1353="","",IF($L1353="","",IF(AND($K1353=1,ISNUMBER($L1353),$L1353&lt;$J1353,COUNTIFS(nrES_PID,$D1353,nrES_Code,$F1353,nrES_Att,2,nrES_Raw,"&gt;=0")=0),"Yes","No")))</f>
        <v/>
      </c>
      <c r="R1353" s="17">
        <f>IF($C1353="","",IF($L1353="","",IF(AND(N($K1353)&gt;=2,ISNUMBER($L1353),$L1353&lt;$J1353),"Yes","No")))</f>
        <v/>
      </c>
      <c r="S1353" s="18" t="n"/>
      <c r="T1353" s="19">
        <f>IF(OR($C1353="",$L1353="",$K1353&lt;&gt;1,NOT(ISNUMBER($L1353)),$L1353&gt;=$J1353),"",IF($S1353="","(enter date)",_xlfn.LET(_xlpm.dn,_xlfn.XLOOKUP($S1353,nrCDdate,nrCDnum,"",1),IF(_xlpm.dn="","(after last class day)",_xlfn.LET(_xlpm.dd,_xlfn.XLOOKUP(_xlpm.dn+cfgRetestClassDays,nrCDnum,nrCDdate,""),_xlpm.ok,_xlfn.XLOOKUP(_xlpm.dn+cfgRetestClassDays,nrCDnum,nrCDinsession,"No"),IF(OR(_xlpm.dd="",_xlpm.ok&lt;&gt;"Yes"),"(after last class day)",_xlpm.dd))))))</f>
        <v/>
      </c>
      <c r="U1353" s="17">
        <f>IF($C1353="","",IF(AND($Y1353="Excused",$L1353="",N($K1353)&lt;=1),"EXCUSED - 1st attempt pending",IF(OR($L1353="",$K1353&lt;&gt;1,NOT(ISNUMBER($L1353)),$L1353&gt;=$J1353),"",IF(COUNTIFS(nrES_PID,$D1353,nrES_Code,$F1353,nrES_Att,2,nrES_Raw,"&gt;=0")&gt;0,IF(IFERROR(_xlfn.MINIFS(nrES_Date,nrES_PID,$D1353,nrES_Code,$F1353,nrES_Att,2,nrES_Raw,"&gt;=0",nrES_Date,"&gt;0"),0)=0,"RETEST UNDATED",IF(NOT(ISNUMBER($T1353)),"RETEST DATE UNCHECKED",IF(_xlfn.MINIFS(nrES_Date,nrES_PID,$D1353,nrES_Code,$F1353,nrES_Att,2,nrES_Raw,"&gt;=0",nrES_Date,"&gt;0")&gt;$T1353,"LATE RETEST "&amp;TEXT(_xlfn.MINIFS(nrES_Date,nrES_PID,$D1353,nrES_Code,$F1353,nrES_Att,2,nrES_Raw,"&gt;=0",nrES_Date,"&gt;0"),"mm/dd")&amp;" (due "&amp;TEXT($T1353,"mm/dd")&amp;")","Retested"))),IF(NOT(ISNUMBER($T1353)),"CHECK DATE",IF(TODAY()&gt;$T1353,"OVERDUE","Due "&amp;TEXT($T1353,"mm/dd")))))))</f>
        <v/>
      </c>
      <c r="V1353" s="16" t="n"/>
      <c r="W1353" s="16" t="n"/>
      <c r="X1353" s="17">
        <f>IF($C1353="","",IF(AND($L1353&lt;&gt;"",NOT(ISNUMBER($L1353))),"RAW SCORE NOT A NUMBER",IF(AND(ISNUMBER($L1353),OR($L1353&lt;0,$L1353&gt;100)),"RAW SCORE OUT OF RANGE",IF(AND($Y1353="Unexcused",OR($L1353="",NOT(ISNUMBER($L1353)),$L1353&lt;&gt;0)),"UNEXCUSED ABSENCE MUST RECORD 0",IF(COUNTIF(nrES_RecID,$B1353)&gt;1,"DUPLICATE RECORD",IF(N($K1353)&gt;2,"ATTEMPT 3+ NOT ALLOWED - policy 300.5 permits one retest per exam; this row records nothing",IF(AND($K1353=2,COUNTIFS(nrES_PID,$D1353,nrES_Code,$F1353,nrES_Att,1)=0),"ATTEMPT 2 WITHOUT ATTEMPT 1",IF(AND($K1353=2,$L1353=""),"RETEST ROW HAS NO SCORE",IF(AND($H1353="Final",$L1353&lt;&gt;"",IFERROR(INDEX(nrCKfinalExamElig,MATCH($D1353,rngCadetPIDs,0)),"")="No"),"FINAL EXAM AFTER FAILED FINAL PT (500.1.H)",IF(AND($K1353=2,ISNUMBER($L1353),COUNTIFS(nrES_PID,$D1353,nrES_Code,$F1353,nrES_Att,1)&gt;0,SUMIFS(nrES_Raw,nrES_PID,$D1353,nrES_Code,$F1353,nrES_Att,1)&gt;=$J1353),"RETEST AFTER A PASSING FIRST ATTEMPT","OK"))))))))))</f>
        <v/>
      </c>
      <c r="Y1353" s="16" t="n"/>
    </row>
    <row r="1354">
      <c r="B1354" s="17">
        <f>IF($C1354="","",$D1354&amp;"-"&amp;$F1354&amp;"-"&amp;$K1354)</f>
        <v/>
      </c>
      <c r="C1354" s="16" t="n"/>
      <c r="D1354" s="17">
        <f>IF($C1354="","",IFERROR(INDEX(rngCadetPIDs,MATCH($C1354,rngCadetNames,0)),"?"))</f>
        <v/>
      </c>
      <c r="E1354" s="17">
        <f>IF($D1354="","",IFERROR(INDEX(nrCadetAgency,MATCH($D1354,rngCadetPIDs,0)),""))</f>
        <v/>
      </c>
      <c r="F1354" s="16" t="n"/>
      <c r="G1354" s="17">
        <f>IF($F1354="","",IFERROR(INDEX(rngEPname,MATCH($F1354,rngEPcode,0)),"?"))</f>
        <v/>
      </c>
      <c r="H1354" s="17">
        <f>IF($F1354="","",IFERROR(INDEX(rngEPtype,MATCH($F1354,rngEPcode,0)),"?"))</f>
        <v/>
      </c>
      <c r="I1354" s="17">
        <f>IF($F1354="","",IFERROR(INDEX(rngEPseq,MATCH($F1354,rngEPcode,0)),""))</f>
        <v/>
      </c>
      <c r="J1354" s="17">
        <f>IF($F1354="","",IFERROR(INDEX(rngEPpass,MATCH($F1354,rngEPcode,0)),cfgPassingScore))</f>
        <v/>
      </c>
      <c r="K1354" s="16" t="n"/>
      <c r="L1354" s="16" t="n"/>
      <c r="M1354" s="17">
        <f>IF($C1354="","",IF($L1354="","",IF(NOT(ISNUMBER($L1354)),$L1354,IF(N($K1354)&gt;2,"",IF($K1354=1,IF(COUNTIFS(nrES_PID,$D1354,nrES_Code,$F1354,nrES_Att,2,nrES_Raw,"&gt;=0")&gt;0,"",$L1354),IF($L1354&gt;=$J1354,MAX($J1354,cfgRetakeRecordedCap),IF(COUNTIFS(nrES_PID,$D1354,nrES_Code,$F1354,nrES_Att,1)=0,$L1354,SUMIFS(nrES_Raw,nrES_PID,$D1354,nrES_Code,$F1354,nrES_Att,1))))))))</f>
        <v/>
      </c>
      <c r="N1354" s="17">
        <f>IF($C1354="","",IF($L1354="","",IF(NOT(ISNUMBER($L1354)),"(not a score)",IF($L1354&gt;=$J1354,"Yes","No"))))</f>
        <v/>
      </c>
      <c r="O1354" s="17">
        <f>IF($C1354="","",IF($M1354="","",IF(NOT(ISNUMBER($M1354)),"(not a score)",IF($M1354&gt;=$J1354,"Yes","No"))))</f>
        <v/>
      </c>
      <c r="P1354" s="17">
        <f>IF($C1354="","",IF($K1354="","",IF(N($K1354)&gt;2,"No",IF(COUNTIFS(nrES_PID,$D1354,nrES_Code,$F1354,nrES_Att,"&gt;"&amp;$K1354,nrES_Att,"&lt;=2",nrES_Raw,"&gt;=0")=0,"Yes","No"))))</f>
        <v/>
      </c>
      <c r="Q1354" s="17">
        <f>IF($C1354="","",IF($L1354="","",IF(AND($K1354=1,ISNUMBER($L1354),$L1354&lt;$J1354,COUNTIFS(nrES_PID,$D1354,nrES_Code,$F1354,nrES_Att,2,nrES_Raw,"&gt;=0")=0),"Yes","No")))</f>
        <v/>
      </c>
      <c r="R1354" s="17">
        <f>IF($C1354="","",IF($L1354="","",IF(AND(N($K1354)&gt;=2,ISNUMBER($L1354),$L1354&lt;$J1354),"Yes","No")))</f>
        <v/>
      </c>
      <c r="S1354" s="18" t="n"/>
      <c r="T1354" s="19">
        <f>IF(OR($C1354="",$L1354="",$K1354&lt;&gt;1,NOT(ISNUMBER($L1354)),$L1354&gt;=$J1354),"",IF($S1354="","(enter date)",_xlfn.LET(_xlpm.dn,_xlfn.XLOOKUP($S1354,nrCDdate,nrCDnum,"",1),IF(_xlpm.dn="","(after last class day)",_xlfn.LET(_xlpm.dd,_xlfn.XLOOKUP(_xlpm.dn+cfgRetestClassDays,nrCDnum,nrCDdate,""),_xlpm.ok,_xlfn.XLOOKUP(_xlpm.dn+cfgRetestClassDays,nrCDnum,nrCDinsession,"No"),IF(OR(_xlpm.dd="",_xlpm.ok&lt;&gt;"Yes"),"(after last class day)",_xlpm.dd))))))</f>
        <v/>
      </c>
      <c r="U1354" s="17">
        <f>IF($C1354="","",IF(AND($Y1354="Excused",$L1354="",N($K1354)&lt;=1),"EXCUSED - 1st attempt pending",IF(OR($L1354="",$K1354&lt;&gt;1,NOT(ISNUMBER($L1354)),$L1354&gt;=$J1354),"",IF(COUNTIFS(nrES_PID,$D1354,nrES_Code,$F1354,nrES_Att,2,nrES_Raw,"&gt;=0")&gt;0,IF(IFERROR(_xlfn.MINIFS(nrES_Date,nrES_PID,$D1354,nrES_Code,$F1354,nrES_Att,2,nrES_Raw,"&gt;=0",nrES_Date,"&gt;0"),0)=0,"RETEST UNDATED",IF(NOT(ISNUMBER($T1354)),"RETEST DATE UNCHECKED",IF(_xlfn.MINIFS(nrES_Date,nrES_PID,$D1354,nrES_Code,$F1354,nrES_Att,2,nrES_Raw,"&gt;=0",nrES_Date,"&gt;0")&gt;$T1354,"LATE RETEST "&amp;TEXT(_xlfn.MINIFS(nrES_Date,nrES_PID,$D1354,nrES_Code,$F1354,nrES_Att,2,nrES_Raw,"&gt;=0",nrES_Date,"&gt;0"),"mm/dd")&amp;" (due "&amp;TEXT($T1354,"mm/dd")&amp;")","Retested"))),IF(NOT(ISNUMBER($T1354)),"CHECK DATE",IF(TODAY()&gt;$T1354,"OVERDUE","Due "&amp;TEXT($T1354,"mm/dd")))))))</f>
        <v/>
      </c>
      <c r="V1354" s="16" t="n"/>
      <c r="W1354" s="16" t="n"/>
      <c r="X1354" s="17">
        <f>IF($C1354="","",IF(AND($L1354&lt;&gt;"",NOT(ISNUMBER($L1354))),"RAW SCORE NOT A NUMBER",IF(AND(ISNUMBER($L1354),OR($L1354&lt;0,$L1354&gt;100)),"RAW SCORE OUT OF RANGE",IF(AND($Y1354="Unexcused",OR($L1354="",NOT(ISNUMBER($L1354)),$L1354&lt;&gt;0)),"UNEXCUSED ABSENCE MUST RECORD 0",IF(COUNTIF(nrES_RecID,$B1354)&gt;1,"DUPLICATE RECORD",IF(N($K1354)&gt;2,"ATTEMPT 3+ NOT ALLOWED - policy 300.5 permits one retest per exam; this row records nothing",IF(AND($K1354=2,COUNTIFS(nrES_PID,$D1354,nrES_Code,$F1354,nrES_Att,1)=0),"ATTEMPT 2 WITHOUT ATTEMPT 1",IF(AND($K1354=2,$L1354=""),"RETEST ROW HAS NO SCORE",IF(AND($H1354="Final",$L1354&lt;&gt;"",IFERROR(INDEX(nrCKfinalExamElig,MATCH($D1354,rngCadetPIDs,0)),"")="No"),"FINAL EXAM AFTER FAILED FINAL PT (500.1.H)",IF(AND($K1354=2,ISNUMBER($L1354),COUNTIFS(nrES_PID,$D1354,nrES_Code,$F1354,nrES_Att,1)&gt;0,SUMIFS(nrES_Raw,nrES_PID,$D1354,nrES_Code,$F1354,nrES_Att,1)&gt;=$J1354),"RETEST AFTER A PASSING FIRST ATTEMPT","OK"))))))))))</f>
        <v/>
      </c>
      <c r="Y1354" s="16" t="n"/>
    </row>
    <row r="1355">
      <c r="B1355" s="17">
        <f>IF($C1355="","",$D1355&amp;"-"&amp;$F1355&amp;"-"&amp;$K1355)</f>
        <v/>
      </c>
      <c r="C1355" s="16" t="n"/>
      <c r="D1355" s="17">
        <f>IF($C1355="","",IFERROR(INDEX(rngCadetPIDs,MATCH($C1355,rngCadetNames,0)),"?"))</f>
        <v/>
      </c>
      <c r="E1355" s="17">
        <f>IF($D1355="","",IFERROR(INDEX(nrCadetAgency,MATCH($D1355,rngCadetPIDs,0)),""))</f>
        <v/>
      </c>
      <c r="F1355" s="16" t="n"/>
      <c r="G1355" s="17">
        <f>IF($F1355="","",IFERROR(INDEX(rngEPname,MATCH($F1355,rngEPcode,0)),"?"))</f>
        <v/>
      </c>
      <c r="H1355" s="17">
        <f>IF($F1355="","",IFERROR(INDEX(rngEPtype,MATCH($F1355,rngEPcode,0)),"?"))</f>
        <v/>
      </c>
      <c r="I1355" s="17">
        <f>IF($F1355="","",IFERROR(INDEX(rngEPseq,MATCH($F1355,rngEPcode,0)),""))</f>
        <v/>
      </c>
      <c r="J1355" s="17">
        <f>IF($F1355="","",IFERROR(INDEX(rngEPpass,MATCH($F1355,rngEPcode,0)),cfgPassingScore))</f>
        <v/>
      </c>
      <c r="K1355" s="16" t="n"/>
      <c r="L1355" s="16" t="n"/>
      <c r="M1355" s="17">
        <f>IF($C1355="","",IF($L1355="","",IF(NOT(ISNUMBER($L1355)),$L1355,IF(N($K1355)&gt;2,"",IF($K1355=1,IF(COUNTIFS(nrES_PID,$D1355,nrES_Code,$F1355,nrES_Att,2,nrES_Raw,"&gt;=0")&gt;0,"",$L1355),IF($L1355&gt;=$J1355,MAX($J1355,cfgRetakeRecordedCap),IF(COUNTIFS(nrES_PID,$D1355,nrES_Code,$F1355,nrES_Att,1)=0,$L1355,SUMIFS(nrES_Raw,nrES_PID,$D1355,nrES_Code,$F1355,nrES_Att,1))))))))</f>
        <v/>
      </c>
      <c r="N1355" s="17">
        <f>IF($C1355="","",IF($L1355="","",IF(NOT(ISNUMBER($L1355)),"(not a score)",IF($L1355&gt;=$J1355,"Yes","No"))))</f>
        <v/>
      </c>
      <c r="O1355" s="17">
        <f>IF($C1355="","",IF($M1355="","",IF(NOT(ISNUMBER($M1355)),"(not a score)",IF($M1355&gt;=$J1355,"Yes","No"))))</f>
        <v/>
      </c>
      <c r="P1355" s="17">
        <f>IF($C1355="","",IF($K1355="","",IF(N($K1355)&gt;2,"No",IF(COUNTIFS(nrES_PID,$D1355,nrES_Code,$F1355,nrES_Att,"&gt;"&amp;$K1355,nrES_Att,"&lt;=2",nrES_Raw,"&gt;=0")=0,"Yes","No"))))</f>
        <v/>
      </c>
      <c r="Q1355" s="17">
        <f>IF($C1355="","",IF($L1355="","",IF(AND($K1355=1,ISNUMBER($L1355),$L1355&lt;$J1355,COUNTIFS(nrES_PID,$D1355,nrES_Code,$F1355,nrES_Att,2,nrES_Raw,"&gt;=0")=0),"Yes","No")))</f>
        <v/>
      </c>
      <c r="R1355" s="17">
        <f>IF($C1355="","",IF($L1355="","",IF(AND(N($K1355)&gt;=2,ISNUMBER($L1355),$L1355&lt;$J1355),"Yes","No")))</f>
        <v/>
      </c>
      <c r="S1355" s="18" t="n"/>
      <c r="T1355" s="19">
        <f>IF(OR($C1355="",$L1355="",$K1355&lt;&gt;1,NOT(ISNUMBER($L1355)),$L1355&gt;=$J1355),"",IF($S1355="","(enter date)",_xlfn.LET(_xlpm.dn,_xlfn.XLOOKUP($S1355,nrCDdate,nrCDnum,"",1),IF(_xlpm.dn="","(after last class day)",_xlfn.LET(_xlpm.dd,_xlfn.XLOOKUP(_xlpm.dn+cfgRetestClassDays,nrCDnum,nrCDdate,""),_xlpm.ok,_xlfn.XLOOKUP(_xlpm.dn+cfgRetestClassDays,nrCDnum,nrCDinsession,"No"),IF(OR(_xlpm.dd="",_xlpm.ok&lt;&gt;"Yes"),"(after last class day)",_xlpm.dd))))))</f>
        <v/>
      </c>
      <c r="U1355" s="17">
        <f>IF($C1355="","",IF(AND($Y1355="Excused",$L1355="",N($K1355)&lt;=1),"EXCUSED - 1st attempt pending",IF(OR($L1355="",$K1355&lt;&gt;1,NOT(ISNUMBER($L1355)),$L1355&gt;=$J1355),"",IF(COUNTIFS(nrES_PID,$D1355,nrES_Code,$F1355,nrES_Att,2,nrES_Raw,"&gt;=0")&gt;0,IF(IFERROR(_xlfn.MINIFS(nrES_Date,nrES_PID,$D1355,nrES_Code,$F1355,nrES_Att,2,nrES_Raw,"&gt;=0",nrES_Date,"&gt;0"),0)=0,"RETEST UNDATED",IF(NOT(ISNUMBER($T1355)),"RETEST DATE UNCHECKED",IF(_xlfn.MINIFS(nrES_Date,nrES_PID,$D1355,nrES_Code,$F1355,nrES_Att,2,nrES_Raw,"&gt;=0",nrES_Date,"&gt;0")&gt;$T1355,"LATE RETEST "&amp;TEXT(_xlfn.MINIFS(nrES_Date,nrES_PID,$D1355,nrES_Code,$F1355,nrES_Att,2,nrES_Raw,"&gt;=0",nrES_Date,"&gt;0"),"mm/dd")&amp;" (due "&amp;TEXT($T1355,"mm/dd")&amp;")","Retested"))),IF(NOT(ISNUMBER($T1355)),"CHECK DATE",IF(TODAY()&gt;$T1355,"OVERDUE","Due "&amp;TEXT($T1355,"mm/dd")))))))</f>
        <v/>
      </c>
      <c r="V1355" s="16" t="n"/>
      <c r="W1355" s="16" t="n"/>
      <c r="X1355" s="17">
        <f>IF($C1355="","",IF(AND($L1355&lt;&gt;"",NOT(ISNUMBER($L1355))),"RAW SCORE NOT A NUMBER",IF(AND(ISNUMBER($L1355),OR($L1355&lt;0,$L1355&gt;100)),"RAW SCORE OUT OF RANGE",IF(AND($Y1355="Unexcused",OR($L1355="",NOT(ISNUMBER($L1355)),$L1355&lt;&gt;0)),"UNEXCUSED ABSENCE MUST RECORD 0",IF(COUNTIF(nrES_RecID,$B1355)&gt;1,"DUPLICATE RECORD",IF(N($K1355)&gt;2,"ATTEMPT 3+ NOT ALLOWED - policy 300.5 permits one retest per exam; this row records nothing",IF(AND($K1355=2,COUNTIFS(nrES_PID,$D1355,nrES_Code,$F1355,nrES_Att,1)=0),"ATTEMPT 2 WITHOUT ATTEMPT 1",IF(AND($K1355=2,$L1355=""),"RETEST ROW HAS NO SCORE",IF(AND($H1355="Final",$L1355&lt;&gt;"",IFERROR(INDEX(nrCKfinalExamElig,MATCH($D1355,rngCadetPIDs,0)),"")="No"),"FINAL EXAM AFTER FAILED FINAL PT (500.1.H)",IF(AND($K1355=2,ISNUMBER($L1355),COUNTIFS(nrES_PID,$D1355,nrES_Code,$F1355,nrES_Att,1)&gt;0,SUMIFS(nrES_Raw,nrES_PID,$D1355,nrES_Code,$F1355,nrES_Att,1)&gt;=$J1355),"RETEST AFTER A PASSING FIRST ATTEMPT","OK"))))))))))</f>
        <v/>
      </c>
      <c r="Y1355" s="16" t="n"/>
    </row>
    <row r="1356">
      <c r="B1356" s="17">
        <f>IF($C1356="","",$D1356&amp;"-"&amp;$F1356&amp;"-"&amp;$K1356)</f>
        <v/>
      </c>
      <c r="C1356" s="16" t="n"/>
      <c r="D1356" s="17">
        <f>IF($C1356="","",IFERROR(INDEX(rngCadetPIDs,MATCH($C1356,rngCadetNames,0)),"?"))</f>
        <v/>
      </c>
      <c r="E1356" s="17">
        <f>IF($D1356="","",IFERROR(INDEX(nrCadetAgency,MATCH($D1356,rngCadetPIDs,0)),""))</f>
        <v/>
      </c>
      <c r="F1356" s="16" t="n"/>
      <c r="G1356" s="17">
        <f>IF($F1356="","",IFERROR(INDEX(rngEPname,MATCH($F1356,rngEPcode,0)),"?"))</f>
        <v/>
      </c>
      <c r="H1356" s="17">
        <f>IF($F1356="","",IFERROR(INDEX(rngEPtype,MATCH($F1356,rngEPcode,0)),"?"))</f>
        <v/>
      </c>
      <c r="I1356" s="17">
        <f>IF($F1356="","",IFERROR(INDEX(rngEPseq,MATCH($F1356,rngEPcode,0)),""))</f>
        <v/>
      </c>
      <c r="J1356" s="17">
        <f>IF($F1356="","",IFERROR(INDEX(rngEPpass,MATCH($F1356,rngEPcode,0)),cfgPassingScore))</f>
        <v/>
      </c>
      <c r="K1356" s="16" t="n"/>
      <c r="L1356" s="16" t="n"/>
      <c r="M1356" s="17">
        <f>IF($C1356="","",IF($L1356="","",IF(NOT(ISNUMBER($L1356)),$L1356,IF(N($K1356)&gt;2,"",IF($K1356=1,IF(COUNTIFS(nrES_PID,$D1356,nrES_Code,$F1356,nrES_Att,2,nrES_Raw,"&gt;=0")&gt;0,"",$L1356),IF($L1356&gt;=$J1356,MAX($J1356,cfgRetakeRecordedCap),IF(COUNTIFS(nrES_PID,$D1356,nrES_Code,$F1356,nrES_Att,1)=0,$L1356,SUMIFS(nrES_Raw,nrES_PID,$D1356,nrES_Code,$F1356,nrES_Att,1))))))))</f>
        <v/>
      </c>
      <c r="N1356" s="17">
        <f>IF($C1356="","",IF($L1356="","",IF(NOT(ISNUMBER($L1356)),"(not a score)",IF($L1356&gt;=$J1356,"Yes","No"))))</f>
        <v/>
      </c>
      <c r="O1356" s="17">
        <f>IF($C1356="","",IF($M1356="","",IF(NOT(ISNUMBER($M1356)),"(not a score)",IF($M1356&gt;=$J1356,"Yes","No"))))</f>
        <v/>
      </c>
      <c r="P1356" s="17">
        <f>IF($C1356="","",IF($K1356="","",IF(N($K1356)&gt;2,"No",IF(COUNTIFS(nrES_PID,$D1356,nrES_Code,$F1356,nrES_Att,"&gt;"&amp;$K1356,nrES_Att,"&lt;=2",nrES_Raw,"&gt;=0")=0,"Yes","No"))))</f>
        <v/>
      </c>
      <c r="Q1356" s="17">
        <f>IF($C1356="","",IF($L1356="","",IF(AND($K1356=1,ISNUMBER($L1356),$L1356&lt;$J1356,COUNTIFS(nrES_PID,$D1356,nrES_Code,$F1356,nrES_Att,2,nrES_Raw,"&gt;=0")=0),"Yes","No")))</f>
        <v/>
      </c>
      <c r="R1356" s="17">
        <f>IF($C1356="","",IF($L1356="","",IF(AND(N($K1356)&gt;=2,ISNUMBER($L1356),$L1356&lt;$J1356),"Yes","No")))</f>
        <v/>
      </c>
      <c r="S1356" s="18" t="n"/>
      <c r="T1356" s="19">
        <f>IF(OR($C1356="",$L1356="",$K1356&lt;&gt;1,NOT(ISNUMBER($L1356)),$L1356&gt;=$J1356),"",IF($S1356="","(enter date)",_xlfn.LET(_xlpm.dn,_xlfn.XLOOKUP($S1356,nrCDdate,nrCDnum,"",1),IF(_xlpm.dn="","(after last class day)",_xlfn.LET(_xlpm.dd,_xlfn.XLOOKUP(_xlpm.dn+cfgRetestClassDays,nrCDnum,nrCDdate,""),_xlpm.ok,_xlfn.XLOOKUP(_xlpm.dn+cfgRetestClassDays,nrCDnum,nrCDinsession,"No"),IF(OR(_xlpm.dd="",_xlpm.ok&lt;&gt;"Yes"),"(after last class day)",_xlpm.dd))))))</f>
        <v/>
      </c>
      <c r="U1356" s="17">
        <f>IF($C1356="","",IF(AND($Y1356="Excused",$L1356="",N($K1356)&lt;=1),"EXCUSED - 1st attempt pending",IF(OR($L1356="",$K1356&lt;&gt;1,NOT(ISNUMBER($L1356)),$L1356&gt;=$J1356),"",IF(COUNTIFS(nrES_PID,$D1356,nrES_Code,$F1356,nrES_Att,2,nrES_Raw,"&gt;=0")&gt;0,IF(IFERROR(_xlfn.MINIFS(nrES_Date,nrES_PID,$D1356,nrES_Code,$F1356,nrES_Att,2,nrES_Raw,"&gt;=0",nrES_Date,"&gt;0"),0)=0,"RETEST UNDATED",IF(NOT(ISNUMBER($T1356)),"RETEST DATE UNCHECKED",IF(_xlfn.MINIFS(nrES_Date,nrES_PID,$D1356,nrES_Code,$F1356,nrES_Att,2,nrES_Raw,"&gt;=0",nrES_Date,"&gt;0")&gt;$T1356,"LATE RETEST "&amp;TEXT(_xlfn.MINIFS(nrES_Date,nrES_PID,$D1356,nrES_Code,$F1356,nrES_Att,2,nrES_Raw,"&gt;=0",nrES_Date,"&gt;0"),"mm/dd")&amp;" (due "&amp;TEXT($T1356,"mm/dd")&amp;")","Retested"))),IF(NOT(ISNUMBER($T1356)),"CHECK DATE",IF(TODAY()&gt;$T1356,"OVERDUE","Due "&amp;TEXT($T1356,"mm/dd")))))))</f>
        <v/>
      </c>
      <c r="V1356" s="16" t="n"/>
      <c r="W1356" s="16" t="n"/>
      <c r="X1356" s="17">
        <f>IF($C1356="","",IF(AND($L1356&lt;&gt;"",NOT(ISNUMBER($L1356))),"RAW SCORE NOT A NUMBER",IF(AND(ISNUMBER($L1356),OR($L1356&lt;0,$L1356&gt;100)),"RAW SCORE OUT OF RANGE",IF(AND($Y1356="Unexcused",OR($L1356="",NOT(ISNUMBER($L1356)),$L1356&lt;&gt;0)),"UNEXCUSED ABSENCE MUST RECORD 0",IF(COUNTIF(nrES_RecID,$B1356)&gt;1,"DUPLICATE RECORD",IF(N($K1356)&gt;2,"ATTEMPT 3+ NOT ALLOWED - policy 300.5 permits one retest per exam; this row records nothing",IF(AND($K1356=2,COUNTIFS(nrES_PID,$D1356,nrES_Code,$F1356,nrES_Att,1)=0),"ATTEMPT 2 WITHOUT ATTEMPT 1",IF(AND($K1356=2,$L1356=""),"RETEST ROW HAS NO SCORE",IF(AND($H1356="Final",$L1356&lt;&gt;"",IFERROR(INDEX(nrCKfinalExamElig,MATCH($D1356,rngCadetPIDs,0)),"")="No"),"FINAL EXAM AFTER FAILED FINAL PT (500.1.H)",IF(AND($K1356=2,ISNUMBER($L1356),COUNTIFS(nrES_PID,$D1356,nrES_Code,$F1356,nrES_Att,1)&gt;0,SUMIFS(nrES_Raw,nrES_PID,$D1356,nrES_Code,$F1356,nrES_Att,1)&gt;=$J1356),"RETEST AFTER A PASSING FIRST ATTEMPT","OK"))))))))))</f>
        <v/>
      </c>
      <c r="Y1356" s="16" t="n"/>
    </row>
    <row r="1357">
      <c r="B1357" s="17">
        <f>IF($C1357="","",$D1357&amp;"-"&amp;$F1357&amp;"-"&amp;$K1357)</f>
        <v/>
      </c>
      <c r="C1357" s="16" t="n"/>
      <c r="D1357" s="17">
        <f>IF($C1357="","",IFERROR(INDEX(rngCadetPIDs,MATCH($C1357,rngCadetNames,0)),"?"))</f>
        <v/>
      </c>
      <c r="E1357" s="17">
        <f>IF($D1357="","",IFERROR(INDEX(nrCadetAgency,MATCH($D1357,rngCadetPIDs,0)),""))</f>
        <v/>
      </c>
      <c r="F1357" s="16" t="n"/>
      <c r="G1357" s="17">
        <f>IF($F1357="","",IFERROR(INDEX(rngEPname,MATCH($F1357,rngEPcode,0)),"?"))</f>
        <v/>
      </c>
      <c r="H1357" s="17">
        <f>IF($F1357="","",IFERROR(INDEX(rngEPtype,MATCH($F1357,rngEPcode,0)),"?"))</f>
        <v/>
      </c>
      <c r="I1357" s="17">
        <f>IF($F1357="","",IFERROR(INDEX(rngEPseq,MATCH($F1357,rngEPcode,0)),""))</f>
        <v/>
      </c>
      <c r="J1357" s="17">
        <f>IF($F1357="","",IFERROR(INDEX(rngEPpass,MATCH($F1357,rngEPcode,0)),cfgPassingScore))</f>
        <v/>
      </c>
      <c r="K1357" s="16" t="n"/>
      <c r="L1357" s="16" t="n"/>
      <c r="M1357" s="17">
        <f>IF($C1357="","",IF($L1357="","",IF(NOT(ISNUMBER($L1357)),$L1357,IF(N($K1357)&gt;2,"",IF($K1357=1,IF(COUNTIFS(nrES_PID,$D1357,nrES_Code,$F1357,nrES_Att,2,nrES_Raw,"&gt;=0")&gt;0,"",$L1357),IF($L1357&gt;=$J1357,MAX($J1357,cfgRetakeRecordedCap),IF(COUNTIFS(nrES_PID,$D1357,nrES_Code,$F1357,nrES_Att,1)=0,$L1357,SUMIFS(nrES_Raw,nrES_PID,$D1357,nrES_Code,$F1357,nrES_Att,1))))))))</f>
        <v/>
      </c>
      <c r="N1357" s="17">
        <f>IF($C1357="","",IF($L1357="","",IF(NOT(ISNUMBER($L1357)),"(not a score)",IF($L1357&gt;=$J1357,"Yes","No"))))</f>
        <v/>
      </c>
      <c r="O1357" s="17">
        <f>IF($C1357="","",IF($M1357="","",IF(NOT(ISNUMBER($M1357)),"(not a score)",IF($M1357&gt;=$J1357,"Yes","No"))))</f>
        <v/>
      </c>
      <c r="P1357" s="17">
        <f>IF($C1357="","",IF($K1357="","",IF(N($K1357)&gt;2,"No",IF(COUNTIFS(nrES_PID,$D1357,nrES_Code,$F1357,nrES_Att,"&gt;"&amp;$K1357,nrES_Att,"&lt;=2",nrES_Raw,"&gt;=0")=0,"Yes","No"))))</f>
        <v/>
      </c>
      <c r="Q1357" s="17">
        <f>IF($C1357="","",IF($L1357="","",IF(AND($K1357=1,ISNUMBER($L1357),$L1357&lt;$J1357,COUNTIFS(nrES_PID,$D1357,nrES_Code,$F1357,nrES_Att,2,nrES_Raw,"&gt;=0")=0),"Yes","No")))</f>
        <v/>
      </c>
      <c r="R1357" s="17">
        <f>IF($C1357="","",IF($L1357="","",IF(AND(N($K1357)&gt;=2,ISNUMBER($L1357),$L1357&lt;$J1357),"Yes","No")))</f>
        <v/>
      </c>
      <c r="S1357" s="18" t="n"/>
      <c r="T1357" s="19">
        <f>IF(OR($C1357="",$L1357="",$K1357&lt;&gt;1,NOT(ISNUMBER($L1357)),$L1357&gt;=$J1357),"",IF($S1357="","(enter date)",_xlfn.LET(_xlpm.dn,_xlfn.XLOOKUP($S1357,nrCDdate,nrCDnum,"",1),IF(_xlpm.dn="","(after last class day)",_xlfn.LET(_xlpm.dd,_xlfn.XLOOKUP(_xlpm.dn+cfgRetestClassDays,nrCDnum,nrCDdate,""),_xlpm.ok,_xlfn.XLOOKUP(_xlpm.dn+cfgRetestClassDays,nrCDnum,nrCDinsession,"No"),IF(OR(_xlpm.dd="",_xlpm.ok&lt;&gt;"Yes"),"(after last class day)",_xlpm.dd))))))</f>
        <v/>
      </c>
      <c r="U1357" s="17">
        <f>IF($C1357="","",IF(AND($Y1357="Excused",$L1357="",N($K1357)&lt;=1),"EXCUSED - 1st attempt pending",IF(OR($L1357="",$K1357&lt;&gt;1,NOT(ISNUMBER($L1357)),$L1357&gt;=$J1357),"",IF(COUNTIFS(nrES_PID,$D1357,nrES_Code,$F1357,nrES_Att,2,nrES_Raw,"&gt;=0")&gt;0,IF(IFERROR(_xlfn.MINIFS(nrES_Date,nrES_PID,$D1357,nrES_Code,$F1357,nrES_Att,2,nrES_Raw,"&gt;=0",nrES_Date,"&gt;0"),0)=0,"RETEST UNDATED",IF(NOT(ISNUMBER($T1357)),"RETEST DATE UNCHECKED",IF(_xlfn.MINIFS(nrES_Date,nrES_PID,$D1357,nrES_Code,$F1357,nrES_Att,2,nrES_Raw,"&gt;=0",nrES_Date,"&gt;0")&gt;$T1357,"LATE RETEST "&amp;TEXT(_xlfn.MINIFS(nrES_Date,nrES_PID,$D1357,nrES_Code,$F1357,nrES_Att,2,nrES_Raw,"&gt;=0",nrES_Date,"&gt;0"),"mm/dd")&amp;" (due "&amp;TEXT($T1357,"mm/dd")&amp;")","Retested"))),IF(NOT(ISNUMBER($T1357)),"CHECK DATE",IF(TODAY()&gt;$T1357,"OVERDUE","Due "&amp;TEXT($T1357,"mm/dd")))))))</f>
        <v/>
      </c>
      <c r="V1357" s="16" t="n"/>
      <c r="W1357" s="16" t="n"/>
      <c r="X1357" s="17">
        <f>IF($C1357="","",IF(AND($L1357&lt;&gt;"",NOT(ISNUMBER($L1357))),"RAW SCORE NOT A NUMBER",IF(AND(ISNUMBER($L1357),OR($L1357&lt;0,$L1357&gt;100)),"RAW SCORE OUT OF RANGE",IF(AND($Y1357="Unexcused",OR($L1357="",NOT(ISNUMBER($L1357)),$L1357&lt;&gt;0)),"UNEXCUSED ABSENCE MUST RECORD 0",IF(COUNTIF(nrES_RecID,$B1357)&gt;1,"DUPLICATE RECORD",IF(N($K1357)&gt;2,"ATTEMPT 3+ NOT ALLOWED - policy 300.5 permits one retest per exam; this row records nothing",IF(AND($K1357=2,COUNTIFS(nrES_PID,$D1357,nrES_Code,$F1357,nrES_Att,1)=0),"ATTEMPT 2 WITHOUT ATTEMPT 1",IF(AND($K1357=2,$L1357=""),"RETEST ROW HAS NO SCORE",IF(AND($H1357="Final",$L1357&lt;&gt;"",IFERROR(INDEX(nrCKfinalExamElig,MATCH($D1357,rngCadetPIDs,0)),"")="No"),"FINAL EXAM AFTER FAILED FINAL PT (500.1.H)",IF(AND($K1357=2,ISNUMBER($L1357),COUNTIFS(nrES_PID,$D1357,nrES_Code,$F1357,nrES_Att,1)&gt;0,SUMIFS(nrES_Raw,nrES_PID,$D1357,nrES_Code,$F1357,nrES_Att,1)&gt;=$J1357),"RETEST AFTER A PASSING FIRST ATTEMPT","OK"))))))))))</f>
        <v/>
      </c>
      <c r="Y1357" s="16" t="n"/>
    </row>
    <row r="1358">
      <c r="B1358" s="17">
        <f>IF($C1358="","",$D1358&amp;"-"&amp;$F1358&amp;"-"&amp;$K1358)</f>
        <v/>
      </c>
      <c r="C1358" s="16" t="n"/>
      <c r="D1358" s="17">
        <f>IF($C1358="","",IFERROR(INDEX(rngCadetPIDs,MATCH($C1358,rngCadetNames,0)),"?"))</f>
        <v/>
      </c>
      <c r="E1358" s="17">
        <f>IF($D1358="","",IFERROR(INDEX(nrCadetAgency,MATCH($D1358,rngCadetPIDs,0)),""))</f>
        <v/>
      </c>
      <c r="F1358" s="16" t="n"/>
      <c r="G1358" s="17">
        <f>IF($F1358="","",IFERROR(INDEX(rngEPname,MATCH($F1358,rngEPcode,0)),"?"))</f>
        <v/>
      </c>
      <c r="H1358" s="17">
        <f>IF($F1358="","",IFERROR(INDEX(rngEPtype,MATCH($F1358,rngEPcode,0)),"?"))</f>
        <v/>
      </c>
      <c r="I1358" s="17">
        <f>IF($F1358="","",IFERROR(INDEX(rngEPseq,MATCH($F1358,rngEPcode,0)),""))</f>
        <v/>
      </c>
      <c r="J1358" s="17">
        <f>IF($F1358="","",IFERROR(INDEX(rngEPpass,MATCH($F1358,rngEPcode,0)),cfgPassingScore))</f>
        <v/>
      </c>
      <c r="K1358" s="16" t="n"/>
      <c r="L1358" s="16" t="n"/>
      <c r="M1358" s="17">
        <f>IF($C1358="","",IF($L1358="","",IF(NOT(ISNUMBER($L1358)),$L1358,IF(N($K1358)&gt;2,"",IF($K1358=1,IF(COUNTIFS(nrES_PID,$D1358,nrES_Code,$F1358,nrES_Att,2,nrES_Raw,"&gt;=0")&gt;0,"",$L1358),IF($L1358&gt;=$J1358,MAX($J1358,cfgRetakeRecordedCap),IF(COUNTIFS(nrES_PID,$D1358,nrES_Code,$F1358,nrES_Att,1)=0,$L1358,SUMIFS(nrES_Raw,nrES_PID,$D1358,nrES_Code,$F1358,nrES_Att,1))))))))</f>
        <v/>
      </c>
      <c r="N1358" s="17">
        <f>IF($C1358="","",IF($L1358="","",IF(NOT(ISNUMBER($L1358)),"(not a score)",IF($L1358&gt;=$J1358,"Yes","No"))))</f>
        <v/>
      </c>
      <c r="O1358" s="17">
        <f>IF($C1358="","",IF($M1358="","",IF(NOT(ISNUMBER($M1358)),"(not a score)",IF($M1358&gt;=$J1358,"Yes","No"))))</f>
        <v/>
      </c>
      <c r="P1358" s="17">
        <f>IF($C1358="","",IF($K1358="","",IF(N($K1358)&gt;2,"No",IF(COUNTIFS(nrES_PID,$D1358,nrES_Code,$F1358,nrES_Att,"&gt;"&amp;$K1358,nrES_Att,"&lt;=2",nrES_Raw,"&gt;=0")=0,"Yes","No"))))</f>
        <v/>
      </c>
      <c r="Q1358" s="17">
        <f>IF($C1358="","",IF($L1358="","",IF(AND($K1358=1,ISNUMBER($L1358),$L1358&lt;$J1358,COUNTIFS(nrES_PID,$D1358,nrES_Code,$F1358,nrES_Att,2,nrES_Raw,"&gt;=0")=0),"Yes","No")))</f>
        <v/>
      </c>
      <c r="R1358" s="17">
        <f>IF($C1358="","",IF($L1358="","",IF(AND(N($K1358)&gt;=2,ISNUMBER($L1358),$L1358&lt;$J1358),"Yes","No")))</f>
        <v/>
      </c>
      <c r="S1358" s="18" t="n"/>
      <c r="T1358" s="19">
        <f>IF(OR($C1358="",$L1358="",$K1358&lt;&gt;1,NOT(ISNUMBER($L1358)),$L1358&gt;=$J1358),"",IF($S1358="","(enter date)",_xlfn.LET(_xlpm.dn,_xlfn.XLOOKUP($S1358,nrCDdate,nrCDnum,"",1),IF(_xlpm.dn="","(after last class day)",_xlfn.LET(_xlpm.dd,_xlfn.XLOOKUP(_xlpm.dn+cfgRetestClassDays,nrCDnum,nrCDdate,""),_xlpm.ok,_xlfn.XLOOKUP(_xlpm.dn+cfgRetestClassDays,nrCDnum,nrCDinsession,"No"),IF(OR(_xlpm.dd="",_xlpm.ok&lt;&gt;"Yes"),"(after last class day)",_xlpm.dd))))))</f>
        <v/>
      </c>
      <c r="U1358" s="17">
        <f>IF($C1358="","",IF(AND($Y1358="Excused",$L1358="",N($K1358)&lt;=1),"EXCUSED - 1st attempt pending",IF(OR($L1358="",$K1358&lt;&gt;1,NOT(ISNUMBER($L1358)),$L1358&gt;=$J1358),"",IF(COUNTIFS(nrES_PID,$D1358,nrES_Code,$F1358,nrES_Att,2,nrES_Raw,"&gt;=0")&gt;0,IF(IFERROR(_xlfn.MINIFS(nrES_Date,nrES_PID,$D1358,nrES_Code,$F1358,nrES_Att,2,nrES_Raw,"&gt;=0",nrES_Date,"&gt;0"),0)=0,"RETEST UNDATED",IF(NOT(ISNUMBER($T1358)),"RETEST DATE UNCHECKED",IF(_xlfn.MINIFS(nrES_Date,nrES_PID,$D1358,nrES_Code,$F1358,nrES_Att,2,nrES_Raw,"&gt;=0",nrES_Date,"&gt;0")&gt;$T1358,"LATE RETEST "&amp;TEXT(_xlfn.MINIFS(nrES_Date,nrES_PID,$D1358,nrES_Code,$F1358,nrES_Att,2,nrES_Raw,"&gt;=0",nrES_Date,"&gt;0"),"mm/dd")&amp;" (due "&amp;TEXT($T1358,"mm/dd")&amp;")","Retested"))),IF(NOT(ISNUMBER($T1358)),"CHECK DATE",IF(TODAY()&gt;$T1358,"OVERDUE","Due "&amp;TEXT($T1358,"mm/dd")))))))</f>
        <v/>
      </c>
      <c r="V1358" s="16" t="n"/>
      <c r="W1358" s="16" t="n"/>
      <c r="X1358" s="17">
        <f>IF($C1358="","",IF(AND($L1358&lt;&gt;"",NOT(ISNUMBER($L1358))),"RAW SCORE NOT A NUMBER",IF(AND(ISNUMBER($L1358),OR($L1358&lt;0,$L1358&gt;100)),"RAW SCORE OUT OF RANGE",IF(AND($Y1358="Unexcused",OR($L1358="",NOT(ISNUMBER($L1358)),$L1358&lt;&gt;0)),"UNEXCUSED ABSENCE MUST RECORD 0",IF(COUNTIF(nrES_RecID,$B1358)&gt;1,"DUPLICATE RECORD",IF(N($K1358)&gt;2,"ATTEMPT 3+ NOT ALLOWED - policy 300.5 permits one retest per exam; this row records nothing",IF(AND($K1358=2,COUNTIFS(nrES_PID,$D1358,nrES_Code,$F1358,nrES_Att,1)=0),"ATTEMPT 2 WITHOUT ATTEMPT 1",IF(AND($K1358=2,$L1358=""),"RETEST ROW HAS NO SCORE",IF(AND($H1358="Final",$L1358&lt;&gt;"",IFERROR(INDEX(nrCKfinalExamElig,MATCH($D1358,rngCadetPIDs,0)),"")="No"),"FINAL EXAM AFTER FAILED FINAL PT (500.1.H)",IF(AND($K1358=2,ISNUMBER($L1358),COUNTIFS(nrES_PID,$D1358,nrES_Code,$F1358,nrES_Att,1)&gt;0,SUMIFS(nrES_Raw,nrES_PID,$D1358,nrES_Code,$F1358,nrES_Att,1)&gt;=$J1358),"RETEST AFTER A PASSING FIRST ATTEMPT","OK"))))))))))</f>
        <v/>
      </c>
      <c r="Y1358" s="16" t="n"/>
    </row>
    <row r="1359">
      <c r="B1359" s="17">
        <f>IF($C1359="","",$D1359&amp;"-"&amp;$F1359&amp;"-"&amp;$K1359)</f>
        <v/>
      </c>
      <c r="C1359" s="16" t="n"/>
      <c r="D1359" s="17">
        <f>IF($C1359="","",IFERROR(INDEX(rngCadetPIDs,MATCH($C1359,rngCadetNames,0)),"?"))</f>
        <v/>
      </c>
      <c r="E1359" s="17">
        <f>IF($D1359="","",IFERROR(INDEX(nrCadetAgency,MATCH($D1359,rngCadetPIDs,0)),""))</f>
        <v/>
      </c>
      <c r="F1359" s="16" t="n"/>
      <c r="G1359" s="17">
        <f>IF($F1359="","",IFERROR(INDEX(rngEPname,MATCH($F1359,rngEPcode,0)),"?"))</f>
        <v/>
      </c>
      <c r="H1359" s="17">
        <f>IF($F1359="","",IFERROR(INDEX(rngEPtype,MATCH($F1359,rngEPcode,0)),"?"))</f>
        <v/>
      </c>
      <c r="I1359" s="17">
        <f>IF($F1359="","",IFERROR(INDEX(rngEPseq,MATCH($F1359,rngEPcode,0)),""))</f>
        <v/>
      </c>
      <c r="J1359" s="17">
        <f>IF($F1359="","",IFERROR(INDEX(rngEPpass,MATCH($F1359,rngEPcode,0)),cfgPassingScore))</f>
        <v/>
      </c>
      <c r="K1359" s="16" t="n"/>
      <c r="L1359" s="16" t="n"/>
      <c r="M1359" s="17">
        <f>IF($C1359="","",IF($L1359="","",IF(NOT(ISNUMBER($L1359)),$L1359,IF(N($K1359)&gt;2,"",IF($K1359=1,IF(COUNTIFS(nrES_PID,$D1359,nrES_Code,$F1359,nrES_Att,2,nrES_Raw,"&gt;=0")&gt;0,"",$L1359),IF($L1359&gt;=$J1359,MAX($J1359,cfgRetakeRecordedCap),IF(COUNTIFS(nrES_PID,$D1359,nrES_Code,$F1359,nrES_Att,1)=0,$L1359,SUMIFS(nrES_Raw,nrES_PID,$D1359,nrES_Code,$F1359,nrES_Att,1))))))))</f>
        <v/>
      </c>
      <c r="N1359" s="17">
        <f>IF($C1359="","",IF($L1359="","",IF(NOT(ISNUMBER($L1359)),"(not a score)",IF($L1359&gt;=$J1359,"Yes","No"))))</f>
        <v/>
      </c>
      <c r="O1359" s="17">
        <f>IF($C1359="","",IF($M1359="","",IF(NOT(ISNUMBER($M1359)),"(not a score)",IF($M1359&gt;=$J1359,"Yes","No"))))</f>
        <v/>
      </c>
      <c r="P1359" s="17">
        <f>IF($C1359="","",IF($K1359="","",IF(N($K1359)&gt;2,"No",IF(COUNTIFS(nrES_PID,$D1359,nrES_Code,$F1359,nrES_Att,"&gt;"&amp;$K1359,nrES_Att,"&lt;=2",nrES_Raw,"&gt;=0")=0,"Yes","No"))))</f>
        <v/>
      </c>
      <c r="Q1359" s="17">
        <f>IF($C1359="","",IF($L1359="","",IF(AND($K1359=1,ISNUMBER($L1359),$L1359&lt;$J1359,COUNTIFS(nrES_PID,$D1359,nrES_Code,$F1359,nrES_Att,2,nrES_Raw,"&gt;=0")=0),"Yes","No")))</f>
        <v/>
      </c>
      <c r="R1359" s="17">
        <f>IF($C1359="","",IF($L1359="","",IF(AND(N($K1359)&gt;=2,ISNUMBER($L1359),$L1359&lt;$J1359),"Yes","No")))</f>
        <v/>
      </c>
      <c r="S1359" s="18" t="n"/>
      <c r="T1359" s="19">
        <f>IF(OR($C1359="",$L1359="",$K1359&lt;&gt;1,NOT(ISNUMBER($L1359)),$L1359&gt;=$J1359),"",IF($S1359="","(enter date)",_xlfn.LET(_xlpm.dn,_xlfn.XLOOKUP($S1359,nrCDdate,nrCDnum,"",1),IF(_xlpm.dn="","(after last class day)",_xlfn.LET(_xlpm.dd,_xlfn.XLOOKUP(_xlpm.dn+cfgRetestClassDays,nrCDnum,nrCDdate,""),_xlpm.ok,_xlfn.XLOOKUP(_xlpm.dn+cfgRetestClassDays,nrCDnum,nrCDinsession,"No"),IF(OR(_xlpm.dd="",_xlpm.ok&lt;&gt;"Yes"),"(after last class day)",_xlpm.dd))))))</f>
        <v/>
      </c>
      <c r="U1359" s="17">
        <f>IF($C1359="","",IF(AND($Y1359="Excused",$L1359="",N($K1359)&lt;=1),"EXCUSED - 1st attempt pending",IF(OR($L1359="",$K1359&lt;&gt;1,NOT(ISNUMBER($L1359)),$L1359&gt;=$J1359),"",IF(COUNTIFS(nrES_PID,$D1359,nrES_Code,$F1359,nrES_Att,2,nrES_Raw,"&gt;=0")&gt;0,IF(IFERROR(_xlfn.MINIFS(nrES_Date,nrES_PID,$D1359,nrES_Code,$F1359,nrES_Att,2,nrES_Raw,"&gt;=0",nrES_Date,"&gt;0"),0)=0,"RETEST UNDATED",IF(NOT(ISNUMBER($T1359)),"RETEST DATE UNCHECKED",IF(_xlfn.MINIFS(nrES_Date,nrES_PID,$D1359,nrES_Code,$F1359,nrES_Att,2,nrES_Raw,"&gt;=0",nrES_Date,"&gt;0")&gt;$T1359,"LATE RETEST "&amp;TEXT(_xlfn.MINIFS(nrES_Date,nrES_PID,$D1359,nrES_Code,$F1359,nrES_Att,2,nrES_Raw,"&gt;=0",nrES_Date,"&gt;0"),"mm/dd")&amp;" (due "&amp;TEXT($T1359,"mm/dd")&amp;")","Retested"))),IF(NOT(ISNUMBER($T1359)),"CHECK DATE",IF(TODAY()&gt;$T1359,"OVERDUE","Due "&amp;TEXT($T1359,"mm/dd")))))))</f>
        <v/>
      </c>
      <c r="V1359" s="16" t="n"/>
      <c r="W1359" s="16" t="n"/>
      <c r="X1359" s="17">
        <f>IF($C1359="","",IF(AND($L1359&lt;&gt;"",NOT(ISNUMBER($L1359))),"RAW SCORE NOT A NUMBER",IF(AND(ISNUMBER($L1359),OR($L1359&lt;0,$L1359&gt;100)),"RAW SCORE OUT OF RANGE",IF(AND($Y1359="Unexcused",OR($L1359="",NOT(ISNUMBER($L1359)),$L1359&lt;&gt;0)),"UNEXCUSED ABSENCE MUST RECORD 0",IF(COUNTIF(nrES_RecID,$B1359)&gt;1,"DUPLICATE RECORD",IF(N($K1359)&gt;2,"ATTEMPT 3+ NOT ALLOWED - policy 300.5 permits one retest per exam; this row records nothing",IF(AND($K1359=2,COUNTIFS(nrES_PID,$D1359,nrES_Code,$F1359,nrES_Att,1)=0),"ATTEMPT 2 WITHOUT ATTEMPT 1",IF(AND($K1359=2,$L1359=""),"RETEST ROW HAS NO SCORE",IF(AND($H1359="Final",$L1359&lt;&gt;"",IFERROR(INDEX(nrCKfinalExamElig,MATCH($D1359,rngCadetPIDs,0)),"")="No"),"FINAL EXAM AFTER FAILED FINAL PT (500.1.H)",IF(AND($K1359=2,ISNUMBER($L1359),COUNTIFS(nrES_PID,$D1359,nrES_Code,$F1359,nrES_Att,1)&gt;0,SUMIFS(nrES_Raw,nrES_PID,$D1359,nrES_Code,$F1359,nrES_Att,1)&gt;=$J1359),"RETEST AFTER A PASSING FIRST ATTEMPT","OK"))))))))))</f>
        <v/>
      </c>
      <c r="Y1359" s="16" t="n"/>
    </row>
    <row r="1360">
      <c r="B1360" s="17">
        <f>IF($C1360="","",$D1360&amp;"-"&amp;$F1360&amp;"-"&amp;$K1360)</f>
        <v/>
      </c>
      <c r="C1360" s="16" t="n"/>
      <c r="D1360" s="17">
        <f>IF($C1360="","",IFERROR(INDEX(rngCadetPIDs,MATCH($C1360,rngCadetNames,0)),"?"))</f>
        <v/>
      </c>
      <c r="E1360" s="17">
        <f>IF($D1360="","",IFERROR(INDEX(nrCadetAgency,MATCH($D1360,rngCadetPIDs,0)),""))</f>
        <v/>
      </c>
      <c r="F1360" s="16" t="n"/>
      <c r="G1360" s="17">
        <f>IF($F1360="","",IFERROR(INDEX(rngEPname,MATCH($F1360,rngEPcode,0)),"?"))</f>
        <v/>
      </c>
      <c r="H1360" s="17">
        <f>IF($F1360="","",IFERROR(INDEX(rngEPtype,MATCH($F1360,rngEPcode,0)),"?"))</f>
        <v/>
      </c>
      <c r="I1360" s="17">
        <f>IF($F1360="","",IFERROR(INDEX(rngEPseq,MATCH($F1360,rngEPcode,0)),""))</f>
        <v/>
      </c>
      <c r="J1360" s="17">
        <f>IF($F1360="","",IFERROR(INDEX(rngEPpass,MATCH($F1360,rngEPcode,0)),cfgPassingScore))</f>
        <v/>
      </c>
      <c r="K1360" s="16" t="n"/>
      <c r="L1360" s="16" t="n"/>
      <c r="M1360" s="17">
        <f>IF($C1360="","",IF($L1360="","",IF(NOT(ISNUMBER($L1360)),$L1360,IF(N($K1360)&gt;2,"",IF($K1360=1,IF(COUNTIFS(nrES_PID,$D1360,nrES_Code,$F1360,nrES_Att,2,nrES_Raw,"&gt;=0")&gt;0,"",$L1360),IF($L1360&gt;=$J1360,MAX($J1360,cfgRetakeRecordedCap),IF(COUNTIFS(nrES_PID,$D1360,nrES_Code,$F1360,nrES_Att,1)=0,$L1360,SUMIFS(nrES_Raw,nrES_PID,$D1360,nrES_Code,$F1360,nrES_Att,1))))))))</f>
        <v/>
      </c>
      <c r="N1360" s="17">
        <f>IF($C1360="","",IF($L1360="","",IF(NOT(ISNUMBER($L1360)),"(not a score)",IF($L1360&gt;=$J1360,"Yes","No"))))</f>
        <v/>
      </c>
      <c r="O1360" s="17">
        <f>IF($C1360="","",IF($M1360="","",IF(NOT(ISNUMBER($M1360)),"(not a score)",IF($M1360&gt;=$J1360,"Yes","No"))))</f>
        <v/>
      </c>
      <c r="P1360" s="17">
        <f>IF($C1360="","",IF($K1360="","",IF(N($K1360)&gt;2,"No",IF(COUNTIFS(nrES_PID,$D1360,nrES_Code,$F1360,nrES_Att,"&gt;"&amp;$K1360,nrES_Att,"&lt;=2",nrES_Raw,"&gt;=0")=0,"Yes","No"))))</f>
        <v/>
      </c>
      <c r="Q1360" s="17">
        <f>IF($C1360="","",IF($L1360="","",IF(AND($K1360=1,ISNUMBER($L1360),$L1360&lt;$J1360,COUNTIFS(nrES_PID,$D1360,nrES_Code,$F1360,nrES_Att,2,nrES_Raw,"&gt;=0")=0),"Yes","No")))</f>
        <v/>
      </c>
      <c r="R1360" s="17">
        <f>IF($C1360="","",IF($L1360="","",IF(AND(N($K1360)&gt;=2,ISNUMBER($L1360),$L1360&lt;$J1360),"Yes","No")))</f>
        <v/>
      </c>
      <c r="S1360" s="18" t="n"/>
      <c r="T1360" s="19">
        <f>IF(OR($C1360="",$L1360="",$K1360&lt;&gt;1,NOT(ISNUMBER($L1360)),$L1360&gt;=$J1360),"",IF($S1360="","(enter date)",_xlfn.LET(_xlpm.dn,_xlfn.XLOOKUP($S1360,nrCDdate,nrCDnum,"",1),IF(_xlpm.dn="","(after last class day)",_xlfn.LET(_xlpm.dd,_xlfn.XLOOKUP(_xlpm.dn+cfgRetestClassDays,nrCDnum,nrCDdate,""),_xlpm.ok,_xlfn.XLOOKUP(_xlpm.dn+cfgRetestClassDays,nrCDnum,nrCDinsession,"No"),IF(OR(_xlpm.dd="",_xlpm.ok&lt;&gt;"Yes"),"(after last class day)",_xlpm.dd))))))</f>
        <v/>
      </c>
      <c r="U1360" s="17">
        <f>IF($C1360="","",IF(AND($Y1360="Excused",$L1360="",N($K1360)&lt;=1),"EXCUSED - 1st attempt pending",IF(OR($L1360="",$K1360&lt;&gt;1,NOT(ISNUMBER($L1360)),$L1360&gt;=$J1360),"",IF(COUNTIFS(nrES_PID,$D1360,nrES_Code,$F1360,nrES_Att,2,nrES_Raw,"&gt;=0")&gt;0,IF(IFERROR(_xlfn.MINIFS(nrES_Date,nrES_PID,$D1360,nrES_Code,$F1360,nrES_Att,2,nrES_Raw,"&gt;=0",nrES_Date,"&gt;0"),0)=0,"RETEST UNDATED",IF(NOT(ISNUMBER($T1360)),"RETEST DATE UNCHECKED",IF(_xlfn.MINIFS(nrES_Date,nrES_PID,$D1360,nrES_Code,$F1360,nrES_Att,2,nrES_Raw,"&gt;=0",nrES_Date,"&gt;0")&gt;$T1360,"LATE RETEST "&amp;TEXT(_xlfn.MINIFS(nrES_Date,nrES_PID,$D1360,nrES_Code,$F1360,nrES_Att,2,nrES_Raw,"&gt;=0",nrES_Date,"&gt;0"),"mm/dd")&amp;" (due "&amp;TEXT($T1360,"mm/dd")&amp;")","Retested"))),IF(NOT(ISNUMBER($T1360)),"CHECK DATE",IF(TODAY()&gt;$T1360,"OVERDUE","Due "&amp;TEXT($T1360,"mm/dd")))))))</f>
        <v/>
      </c>
      <c r="V1360" s="16" t="n"/>
      <c r="W1360" s="16" t="n"/>
      <c r="X1360" s="17">
        <f>IF($C1360="","",IF(AND($L1360&lt;&gt;"",NOT(ISNUMBER($L1360))),"RAW SCORE NOT A NUMBER",IF(AND(ISNUMBER($L1360),OR($L1360&lt;0,$L1360&gt;100)),"RAW SCORE OUT OF RANGE",IF(AND($Y1360="Unexcused",OR($L1360="",NOT(ISNUMBER($L1360)),$L1360&lt;&gt;0)),"UNEXCUSED ABSENCE MUST RECORD 0",IF(COUNTIF(nrES_RecID,$B1360)&gt;1,"DUPLICATE RECORD",IF(N($K1360)&gt;2,"ATTEMPT 3+ NOT ALLOWED - policy 300.5 permits one retest per exam; this row records nothing",IF(AND($K1360=2,COUNTIFS(nrES_PID,$D1360,nrES_Code,$F1360,nrES_Att,1)=0),"ATTEMPT 2 WITHOUT ATTEMPT 1",IF(AND($K1360=2,$L1360=""),"RETEST ROW HAS NO SCORE",IF(AND($H1360="Final",$L1360&lt;&gt;"",IFERROR(INDEX(nrCKfinalExamElig,MATCH($D1360,rngCadetPIDs,0)),"")="No"),"FINAL EXAM AFTER FAILED FINAL PT (500.1.H)",IF(AND($K1360=2,ISNUMBER($L1360),COUNTIFS(nrES_PID,$D1360,nrES_Code,$F1360,nrES_Att,1)&gt;0,SUMIFS(nrES_Raw,nrES_PID,$D1360,nrES_Code,$F1360,nrES_Att,1)&gt;=$J1360),"RETEST AFTER A PASSING FIRST ATTEMPT","OK"))))))))))</f>
        <v/>
      </c>
      <c r="Y1360" s="16" t="n"/>
    </row>
    <row r="1361">
      <c r="B1361" s="17">
        <f>IF($C1361="","",$D1361&amp;"-"&amp;$F1361&amp;"-"&amp;$K1361)</f>
        <v/>
      </c>
      <c r="C1361" s="16" t="n"/>
      <c r="D1361" s="17">
        <f>IF($C1361="","",IFERROR(INDEX(rngCadetPIDs,MATCH($C1361,rngCadetNames,0)),"?"))</f>
        <v/>
      </c>
      <c r="E1361" s="17">
        <f>IF($D1361="","",IFERROR(INDEX(nrCadetAgency,MATCH($D1361,rngCadetPIDs,0)),""))</f>
        <v/>
      </c>
      <c r="F1361" s="16" t="n"/>
      <c r="G1361" s="17">
        <f>IF($F1361="","",IFERROR(INDEX(rngEPname,MATCH($F1361,rngEPcode,0)),"?"))</f>
        <v/>
      </c>
      <c r="H1361" s="17">
        <f>IF($F1361="","",IFERROR(INDEX(rngEPtype,MATCH($F1361,rngEPcode,0)),"?"))</f>
        <v/>
      </c>
      <c r="I1361" s="17">
        <f>IF($F1361="","",IFERROR(INDEX(rngEPseq,MATCH($F1361,rngEPcode,0)),""))</f>
        <v/>
      </c>
      <c r="J1361" s="17">
        <f>IF($F1361="","",IFERROR(INDEX(rngEPpass,MATCH($F1361,rngEPcode,0)),cfgPassingScore))</f>
        <v/>
      </c>
      <c r="K1361" s="16" t="n"/>
      <c r="L1361" s="16" t="n"/>
      <c r="M1361" s="17">
        <f>IF($C1361="","",IF($L1361="","",IF(NOT(ISNUMBER($L1361)),$L1361,IF(N($K1361)&gt;2,"",IF($K1361=1,IF(COUNTIFS(nrES_PID,$D1361,nrES_Code,$F1361,nrES_Att,2,nrES_Raw,"&gt;=0")&gt;0,"",$L1361),IF($L1361&gt;=$J1361,MAX($J1361,cfgRetakeRecordedCap),IF(COUNTIFS(nrES_PID,$D1361,nrES_Code,$F1361,nrES_Att,1)=0,$L1361,SUMIFS(nrES_Raw,nrES_PID,$D1361,nrES_Code,$F1361,nrES_Att,1))))))))</f>
        <v/>
      </c>
      <c r="N1361" s="17">
        <f>IF($C1361="","",IF($L1361="","",IF(NOT(ISNUMBER($L1361)),"(not a score)",IF($L1361&gt;=$J1361,"Yes","No"))))</f>
        <v/>
      </c>
      <c r="O1361" s="17">
        <f>IF($C1361="","",IF($M1361="","",IF(NOT(ISNUMBER($M1361)),"(not a score)",IF($M1361&gt;=$J1361,"Yes","No"))))</f>
        <v/>
      </c>
      <c r="P1361" s="17">
        <f>IF($C1361="","",IF($K1361="","",IF(N($K1361)&gt;2,"No",IF(COUNTIFS(nrES_PID,$D1361,nrES_Code,$F1361,nrES_Att,"&gt;"&amp;$K1361,nrES_Att,"&lt;=2",nrES_Raw,"&gt;=0")=0,"Yes","No"))))</f>
        <v/>
      </c>
      <c r="Q1361" s="17">
        <f>IF($C1361="","",IF($L1361="","",IF(AND($K1361=1,ISNUMBER($L1361),$L1361&lt;$J1361,COUNTIFS(nrES_PID,$D1361,nrES_Code,$F1361,nrES_Att,2,nrES_Raw,"&gt;=0")=0),"Yes","No")))</f>
        <v/>
      </c>
      <c r="R1361" s="17">
        <f>IF($C1361="","",IF($L1361="","",IF(AND(N($K1361)&gt;=2,ISNUMBER($L1361),$L1361&lt;$J1361),"Yes","No")))</f>
        <v/>
      </c>
      <c r="S1361" s="18" t="n"/>
      <c r="T1361" s="19">
        <f>IF(OR($C1361="",$L1361="",$K1361&lt;&gt;1,NOT(ISNUMBER($L1361)),$L1361&gt;=$J1361),"",IF($S1361="","(enter date)",_xlfn.LET(_xlpm.dn,_xlfn.XLOOKUP($S1361,nrCDdate,nrCDnum,"",1),IF(_xlpm.dn="","(after last class day)",_xlfn.LET(_xlpm.dd,_xlfn.XLOOKUP(_xlpm.dn+cfgRetestClassDays,nrCDnum,nrCDdate,""),_xlpm.ok,_xlfn.XLOOKUP(_xlpm.dn+cfgRetestClassDays,nrCDnum,nrCDinsession,"No"),IF(OR(_xlpm.dd="",_xlpm.ok&lt;&gt;"Yes"),"(after last class day)",_xlpm.dd))))))</f>
        <v/>
      </c>
      <c r="U1361" s="17">
        <f>IF($C1361="","",IF(AND($Y1361="Excused",$L1361="",N($K1361)&lt;=1),"EXCUSED - 1st attempt pending",IF(OR($L1361="",$K1361&lt;&gt;1,NOT(ISNUMBER($L1361)),$L1361&gt;=$J1361),"",IF(COUNTIFS(nrES_PID,$D1361,nrES_Code,$F1361,nrES_Att,2,nrES_Raw,"&gt;=0")&gt;0,IF(IFERROR(_xlfn.MINIFS(nrES_Date,nrES_PID,$D1361,nrES_Code,$F1361,nrES_Att,2,nrES_Raw,"&gt;=0",nrES_Date,"&gt;0"),0)=0,"RETEST UNDATED",IF(NOT(ISNUMBER($T1361)),"RETEST DATE UNCHECKED",IF(_xlfn.MINIFS(nrES_Date,nrES_PID,$D1361,nrES_Code,$F1361,nrES_Att,2,nrES_Raw,"&gt;=0",nrES_Date,"&gt;0")&gt;$T1361,"LATE RETEST "&amp;TEXT(_xlfn.MINIFS(nrES_Date,nrES_PID,$D1361,nrES_Code,$F1361,nrES_Att,2,nrES_Raw,"&gt;=0",nrES_Date,"&gt;0"),"mm/dd")&amp;" (due "&amp;TEXT($T1361,"mm/dd")&amp;")","Retested"))),IF(NOT(ISNUMBER($T1361)),"CHECK DATE",IF(TODAY()&gt;$T1361,"OVERDUE","Due "&amp;TEXT($T1361,"mm/dd")))))))</f>
        <v/>
      </c>
      <c r="V1361" s="16" t="n"/>
      <c r="W1361" s="16" t="n"/>
      <c r="X1361" s="17">
        <f>IF($C1361="","",IF(AND($L1361&lt;&gt;"",NOT(ISNUMBER($L1361))),"RAW SCORE NOT A NUMBER",IF(AND(ISNUMBER($L1361),OR($L1361&lt;0,$L1361&gt;100)),"RAW SCORE OUT OF RANGE",IF(AND($Y1361="Unexcused",OR($L1361="",NOT(ISNUMBER($L1361)),$L1361&lt;&gt;0)),"UNEXCUSED ABSENCE MUST RECORD 0",IF(COUNTIF(nrES_RecID,$B1361)&gt;1,"DUPLICATE RECORD",IF(N($K1361)&gt;2,"ATTEMPT 3+ NOT ALLOWED - policy 300.5 permits one retest per exam; this row records nothing",IF(AND($K1361=2,COUNTIFS(nrES_PID,$D1361,nrES_Code,$F1361,nrES_Att,1)=0),"ATTEMPT 2 WITHOUT ATTEMPT 1",IF(AND($K1361=2,$L1361=""),"RETEST ROW HAS NO SCORE",IF(AND($H1361="Final",$L1361&lt;&gt;"",IFERROR(INDEX(nrCKfinalExamElig,MATCH($D1361,rngCadetPIDs,0)),"")="No"),"FINAL EXAM AFTER FAILED FINAL PT (500.1.H)",IF(AND($K1361=2,ISNUMBER($L1361),COUNTIFS(nrES_PID,$D1361,nrES_Code,$F1361,nrES_Att,1)&gt;0,SUMIFS(nrES_Raw,nrES_PID,$D1361,nrES_Code,$F1361,nrES_Att,1)&gt;=$J1361),"RETEST AFTER A PASSING FIRST ATTEMPT","OK"))))))))))</f>
        <v/>
      </c>
      <c r="Y1361" s="16" t="n"/>
    </row>
    <row r="1362">
      <c r="B1362" s="17">
        <f>IF($C1362="","",$D1362&amp;"-"&amp;$F1362&amp;"-"&amp;$K1362)</f>
        <v/>
      </c>
      <c r="C1362" s="16" t="n"/>
      <c r="D1362" s="17">
        <f>IF($C1362="","",IFERROR(INDEX(rngCadetPIDs,MATCH($C1362,rngCadetNames,0)),"?"))</f>
        <v/>
      </c>
      <c r="E1362" s="17">
        <f>IF($D1362="","",IFERROR(INDEX(nrCadetAgency,MATCH($D1362,rngCadetPIDs,0)),""))</f>
        <v/>
      </c>
      <c r="F1362" s="16" t="n"/>
      <c r="G1362" s="17">
        <f>IF($F1362="","",IFERROR(INDEX(rngEPname,MATCH($F1362,rngEPcode,0)),"?"))</f>
        <v/>
      </c>
      <c r="H1362" s="17">
        <f>IF($F1362="","",IFERROR(INDEX(rngEPtype,MATCH($F1362,rngEPcode,0)),"?"))</f>
        <v/>
      </c>
      <c r="I1362" s="17">
        <f>IF($F1362="","",IFERROR(INDEX(rngEPseq,MATCH($F1362,rngEPcode,0)),""))</f>
        <v/>
      </c>
      <c r="J1362" s="17">
        <f>IF($F1362="","",IFERROR(INDEX(rngEPpass,MATCH($F1362,rngEPcode,0)),cfgPassingScore))</f>
        <v/>
      </c>
      <c r="K1362" s="16" t="n"/>
      <c r="L1362" s="16" t="n"/>
      <c r="M1362" s="17">
        <f>IF($C1362="","",IF($L1362="","",IF(NOT(ISNUMBER($L1362)),$L1362,IF(N($K1362)&gt;2,"",IF($K1362=1,IF(COUNTIFS(nrES_PID,$D1362,nrES_Code,$F1362,nrES_Att,2,nrES_Raw,"&gt;=0")&gt;0,"",$L1362),IF($L1362&gt;=$J1362,MAX($J1362,cfgRetakeRecordedCap),IF(COUNTIFS(nrES_PID,$D1362,nrES_Code,$F1362,nrES_Att,1)=0,$L1362,SUMIFS(nrES_Raw,nrES_PID,$D1362,nrES_Code,$F1362,nrES_Att,1))))))))</f>
        <v/>
      </c>
      <c r="N1362" s="17">
        <f>IF($C1362="","",IF($L1362="","",IF(NOT(ISNUMBER($L1362)),"(not a score)",IF($L1362&gt;=$J1362,"Yes","No"))))</f>
        <v/>
      </c>
      <c r="O1362" s="17">
        <f>IF($C1362="","",IF($M1362="","",IF(NOT(ISNUMBER($M1362)),"(not a score)",IF($M1362&gt;=$J1362,"Yes","No"))))</f>
        <v/>
      </c>
      <c r="P1362" s="17">
        <f>IF($C1362="","",IF($K1362="","",IF(N($K1362)&gt;2,"No",IF(COUNTIFS(nrES_PID,$D1362,nrES_Code,$F1362,nrES_Att,"&gt;"&amp;$K1362,nrES_Att,"&lt;=2",nrES_Raw,"&gt;=0")=0,"Yes","No"))))</f>
        <v/>
      </c>
      <c r="Q1362" s="17">
        <f>IF($C1362="","",IF($L1362="","",IF(AND($K1362=1,ISNUMBER($L1362),$L1362&lt;$J1362,COUNTIFS(nrES_PID,$D1362,nrES_Code,$F1362,nrES_Att,2,nrES_Raw,"&gt;=0")=0),"Yes","No")))</f>
        <v/>
      </c>
      <c r="R1362" s="17">
        <f>IF($C1362="","",IF($L1362="","",IF(AND(N($K1362)&gt;=2,ISNUMBER($L1362),$L1362&lt;$J1362),"Yes","No")))</f>
        <v/>
      </c>
      <c r="S1362" s="18" t="n"/>
      <c r="T1362" s="19">
        <f>IF(OR($C1362="",$L1362="",$K1362&lt;&gt;1,NOT(ISNUMBER($L1362)),$L1362&gt;=$J1362),"",IF($S1362="","(enter date)",_xlfn.LET(_xlpm.dn,_xlfn.XLOOKUP($S1362,nrCDdate,nrCDnum,"",1),IF(_xlpm.dn="","(after last class day)",_xlfn.LET(_xlpm.dd,_xlfn.XLOOKUP(_xlpm.dn+cfgRetestClassDays,nrCDnum,nrCDdate,""),_xlpm.ok,_xlfn.XLOOKUP(_xlpm.dn+cfgRetestClassDays,nrCDnum,nrCDinsession,"No"),IF(OR(_xlpm.dd="",_xlpm.ok&lt;&gt;"Yes"),"(after last class day)",_xlpm.dd))))))</f>
        <v/>
      </c>
      <c r="U1362" s="17">
        <f>IF($C1362="","",IF(AND($Y1362="Excused",$L1362="",N($K1362)&lt;=1),"EXCUSED - 1st attempt pending",IF(OR($L1362="",$K1362&lt;&gt;1,NOT(ISNUMBER($L1362)),$L1362&gt;=$J1362),"",IF(COUNTIFS(nrES_PID,$D1362,nrES_Code,$F1362,nrES_Att,2,nrES_Raw,"&gt;=0")&gt;0,IF(IFERROR(_xlfn.MINIFS(nrES_Date,nrES_PID,$D1362,nrES_Code,$F1362,nrES_Att,2,nrES_Raw,"&gt;=0",nrES_Date,"&gt;0"),0)=0,"RETEST UNDATED",IF(NOT(ISNUMBER($T1362)),"RETEST DATE UNCHECKED",IF(_xlfn.MINIFS(nrES_Date,nrES_PID,$D1362,nrES_Code,$F1362,nrES_Att,2,nrES_Raw,"&gt;=0",nrES_Date,"&gt;0")&gt;$T1362,"LATE RETEST "&amp;TEXT(_xlfn.MINIFS(nrES_Date,nrES_PID,$D1362,nrES_Code,$F1362,nrES_Att,2,nrES_Raw,"&gt;=0",nrES_Date,"&gt;0"),"mm/dd")&amp;" (due "&amp;TEXT($T1362,"mm/dd")&amp;")","Retested"))),IF(NOT(ISNUMBER($T1362)),"CHECK DATE",IF(TODAY()&gt;$T1362,"OVERDUE","Due "&amp;TEXT($T1362,"mm/dd")))))))</f>
        <v/>
      </c>
      <c r="V1362" s="16" t="n"/>
      <c r="W1362" s="16" t="n"/>
      <c r="X1362" s="17">
        <f>IF($C1362="","",IF(AND($L1362&lt;&gt;"",NOT(ISNUMBER($L1362))),"RAW SCORE NOT A NUMBER",IF(AND(ISNUMBER($L1362),OR($L1362&lt;0,$L1362&gt;100)),"RAW SCORE OUT OF RANGE",IF(AND($Y1362="Unexcused",OR($L1362="",NOT(ISNUMBER($L1362)),$L1362&lt;&gt;0)),"UNEXCUSED ABSENCE MUST RECORD 0",IF(COUNTIF(nrES_RecID,$B1362)&gt;1,"DUPLICATE RECORD",IF(N($K1362)&gt;2,"ATTEMPT 3+ NOT ALLOWED - policy 300.5 permits one retest per exam; this row records nothing",IF(AND($K1362=2,COUNTIFS(nrES_PID,$D1362,nrES_Code,$F1362,nrES_Att,1)=0),"ATTEMPT 2 WITHOUT ATTEMPT 1",IF(AND($K1362=2,$L1362=""),"RETEST ROW HAS NO SCORE",IF(AND($H1362="Final",$L1362&lt;&gt;"",IFERROR(INDEX(nrCKfinalExamElig,MATCH($D1362,rngCadetPIDs,0)),"")="No"),"FINAL EXAM AFTER FAILED FINAL PT (500.1.H)",IF(AND($K1362=2,ISNUMBER($L1362),COUNTIFS(nrES_PID,$D1362,nrES_Code,$F1362,nrES_Att,1)&gt;0,SUMIFS(nrES_Raw,nrES_PID,$D1362,nrES_Code,$F1362,nrES_Att,1)&gt;=$J1362),"RETEST AFTER A PASSING FIRST ATTEMPT","OK"))))))))))</f>
        <v/>
      </c>
      <c r="Y1362" s="16" t="n"/>
    </row>
    <row r="1363">
      <c r="B1363" s="17">
        <f>IF($C1363="","",$D1363&amp;"-"&amp;$F1363&amp;"-"&amp;$K1363)</f>
        <v/>
      </c>
      <c r="C1363" s="16" t="n"/>
      <c r="D1363" s="17">
        <f>IF($C1363="","",IFERROR(INDEX(rngCadetPIDs,MATCH($C1363,rngCadetNames,0)),"?"))</f>
        <v/>
      </c>
      <c r="E1363" s="17">
        <f>IF($D1363="","",IFERROR(INDEX(nrCadetAgency,MATCH($D1363,rngCadetPIDs,0)),""))</f>
        <v/>
      </c>
      <c r="F1363" s="16" t="n"/>
      <c r="G1363" s="17">
        <f>IF($F1363="","",IFERROR(INDEX(rngEPname,MATCH($F1363,rngEPcode,0)),"?"))</f>
        <v/>
      </c>
      <c r="H1363" s="17">
        <f>IF($F1363="","",IFERROR(INDEX(rngEPtype,MATCH($F1363,rngEPcode,0)),"?"))</f>
        <v/>
      </c>
      <c r="I1363" s="17">
        <f>IF($F1363="","",IFERROR(INDEX(rngEPseq,MATCH($F1363,rngEPcode,0)),""))</f>
        <v/>
      </c>
      <c r="J1363" s="17">
        <f>IF($F1363="","",IFERROR(INDEX(rngEPpass,MATCH($F1363,rngEPcode,0)),cfgPassingScore))</f>
        <v/>
      </c>
      <c r="K1363" s="16" t="n"/>
      <c r="L1363" s="16" t="n"/>
      <c r="M1363" s="17">
        <f>IF($C1363="","",IF($L1363="","",IF(NOT(ISNUMBER($L1363)),$L1363,IF(N($K1363)&gt;2,"",IF($K1363=1,IF(COUNTIFS(nrES_PID,$D1363,nrES_Code,$F1363,nrES_Att,2,nrES_Raw,"&gt;=0")&gt;0,"",$L1363),IF($L1363&gt;=$J1363,MAX($J1363,cfgRetakeRecordedCap),IF(COUNTIFS(nrES_PID,$D1363,nrES_Code,$F1363,nrES_Att,1)=0,$L1363,SUMIFS(nrES_Raw,nrES_PID,$D1363,nrES_Code,$F1363,nrES_Att,1))))))))</f>
        <v/>
      </c>
      <c r="N1363" s="17">
        <f>IF($C1363="","",IF($L1363="","",IF(NOT(ISNUMBER($L1363)),"(not a score)",IF($L1363&gt;=$J1363,"Yes","No"))))</f>
        <v/>
      </c>
      <c r="O1363" s="17">
        <f>IF($C1363="","",IF($M1363="","",IF(NOT(ISNUMBER($M1363)),"(not a score)",IF($M1363&gt;=$J1363,"Yes","No"))))</f>
        <v/>
      </c>
      <c r="P1363" s="17">
        <f>IF($C1363="","",IF($K1363="","",IF(N($K1363)&gt;2,"No",IF(COUNTIFS(nrES_PID,$D1363,nrES_Code,$F1363,nrES_Att,"&gt;"&amp;$K1363,nrES_Att,"&lt;=2",nrES_Raw,"&gt;=0")=0,"Yes","No"))))</f>
        <v/>
      </c>
      <c r="Q1363" s="17">
        <f>IF($C1363="","",IF($L1363="","",IF(AND($K1363=1,ISNUMBER($L1363),$L1363&lt;$J1363,COUNTIFS(nrES_PID,$D1363,nrES_Code,$F1363,nrES_Att,2,nrES_Raw,"&gt;=0")=0),"Yes","No")))</f>
        <v/>
      </c>
      <c r="R1363" s="17">
        <f>IF($C1363="","",IF($L1363="","",IF(AND(N($K1363)&gt;=2,ISNUMBER($L1363),$L1363&lt;$J1363),"Yes","No")))</f>
        <v/>
      </c>
      <c r="S1363" s="18" t="n"/>
      <c r="T1363" s="19">
        <f>IF(OR($C1363="",$L1363="",$K1363&lt;&gt;1,NOT(ISNUMBER($L1363)),$L1363&gt;=$J1363),"",IF($S1363="","(enter date)",_xlfn.LET(_xlpm.dn,_xlfn.XLOOKUP($S1363,nrCDdate,nrCDnum,"",1),IF(_xlpm.dn="","(after last class day)",_xlfn.LET(_xlpm.dd,_xlfn.XLOOKUP(_xlpm.dn+cfgRetestClassDays,nrCDnum,nrCDdate,""),_xlpm.ok,_xlfn.XLOOKUP(_xlpm.dn+cfgRetestClassDays,nrCDnum,nrCDinsession,"No"),IF(OR(_xlpm.dd="",_xlpm.ok&lt;&gt;"Yes"),"(after last class day)",_xlpm.dd))))))</f>
        <v/>
      </c>
      <c r="U1363" s="17">
        <f>IF($C1363="","",IF(AND($Y1363="Excused",$L1363="",N($K1363)&lt;=1),"EXCUSED - 1st attempt pending",IF(OR($L1363="",$K1363&lt;&gt;1,NOT(ISNUMBER($L1363)),$L1363&gt;=$J1363),"",IF(COUNTIFS(nrES_PID,$D1363,nrES_Code,$F1363,nrES_Att,2,nrES_Raw,"&gt;=0")&gt;0,IF(IFERROR(_xlfn.MINIFS(nrES_Date,nrES_PID,$D1363,nrES_Code,$F1363,nrES_Att,2,nrES_Raw,"&gt;=0",nrES_Date,"&gt;0"),0)=0,"RETEST UNDATED",IF(NOT(ISNUMBER($T1363)),"RETEST DATE UNCHECKED",IF(_xlfn.MINIFS(nrES_Date,nrES_PID,$D1363,nrES_Code,$F1363,nrES_Att,2,nrES_Raw,"&gt;=0",nrES_Date,"&gt;0")&gt;$T1363,"LATE RETEST "&amp;TEXT(_xlfn.MINIFS(nrES_Date,nrES_PID,$D1363,nrES_Code,$F1363,nrES_Att,2,nrES_Raw,"&gt;=0",nrES_Date,"&gt;0"),"mm/dd")&amp;" (due "&amp;TEXT($T1363,"mm/dd")&amp;")","Retested"))),IF(NOT(ISNUMBER($T1363)),"CHECK DATE",IF(TODAY()&gt;$T1363,"OVERDUE","Due "&amp;TEXT($T1363,"mm/dd")))))))</f>
        <v/>
      </c>
      <c r="V1363" s="16" t="n"/>
      <c r="W1363" s="16" t="n"/>
      <c r="X1363" s="17">
        <f>IF($C1363="","",IF(AND($L1363&lt;&gt;"",NOT(ISNUMBER($L1363))),"RAW SCORE NOT A NUMBER",IF(AND(ISNUMBER($L1363),OR($L1363&lt;0,$L1363&gt;100)),"RAW SCORE OUT OF RANGE",IF(AND($Y1363="Unexcused",OR($L1363="",NOT(ISNUMBER($L1363)),$L1363&lt;&gt;0)),"UNEXCUSED ABSENCE MUST RECORD 0",IF(COUNTIF(nrES_RecID,$B1363)&gt;1,"DUPLICATE RECORD",IF(N($K1363)&gt;2,"ATTEMPT 3+ NOT ALLOWED - policy 300.5 permits one retest per exam; this row records nothing",IF(AND($K1363=2,COUNTIFS(nrES_PID,$D1363,nrES_Code,$F1363,nrES_Att,1)=0),"ATTEMPT 2 WITHOUT ATTEMPT 1",IF(AND($K1363=2,$L1363=""),"RETEST ROW HAS NO SCORE",IF(AND($H1363="Final",$L1363&lt;&gt;"",IFERROR(INDEX(nrCKfinalExamElig,MATCH($D1363,rngCadetPIDs,0)),"")="No"),"FINAL EXAM AFTER FAILED FINAL PT (500.1.H)",IF(AND($K1363=2,ISNUMBER($L1363),COUNTIFS(nrES_PID,$D1363,nrES_Code,$F1363,nrES_Att,1)&gt;0,SUMIFS(nrES_Raw,nrES_PID,$D1363,nrES_Code,$F1363,nrES_Att,1)&gt;=$J1363),"RETEST AFTER A PASSING FIRST ATTEMPT","OK"))))))))))</f>
        <v/>
      </c>
      <c r="Y1363" s="16" t="n"/>
    </row>
    <row r="1364">
      <c r="B1364" s="17">
        <f>IF($C1364="","",$D1364&amp;"-"&amp;$F1364&amp;"-"&amp;$K1364)</f>
        <v/>
      </c>
      <c r="C1364" s="16" t="n"/>
      <c r="D1364" s="17">
        <f>IF($C1364="","",IFERROR(INDEX(rngCadetPIDs,MATCH($C1364,rngCadetNames,0)),"?"))</f>
        <v/>
      </c>
      <c r="E1364" s="17">
        <f>IF($D1364="","",IFERROR(INDEX(nrCadetAgency,MATCH($D1364,rngCadetPIDs,0)),""))</f>
        <v/>
      </c>
      <c r="F1364" s="16" t="n"/>
      <c r="G1364" s="17">
        <f>IF($F1364="","",IFERROR(INDEX(rngEPname,MATCH($F1364,rngEPcode,0)),"?"))</f>
        <v/>
      </c>
      <c r="H1364" s="17">
        <f>IF($F1364="","",IFERROR(INDEX(rngEPtype,MATCH($F1364,rngEPcode,0)),"?"))</f>
        <v/>
      </c>
      <c r="I1364" s="17">
        <f>IF($F1364="","",IFERROR(INDEX(rngEPseq,MATCH($F1364,rngEPcode,0)),""))</f>
        <v/>
      </c>
      <c r="J1364" s="17">
        <f>IF($F1364="","",IFERROR(INDEX(rngEPpass,MATCH($F1364,rngEPcode,0)),cfgPassingScore))</f>
        <v/>
      </c>
      <c r="K1364" s="16" t="n"/>
      <c r="L1364" s="16" t="n"/>
      <c r="M1364" s="17">
        <f>IF($C1364="","",IF($L1364="","",IF(NOT(ISNUMBER($L1364)),$L1364,IF(N($K1364)&gt;2,"",IF($K1364=1,IF(COUNTIFS(nrES_PID,$D1364,nrES_Code,$F1364,nrES_Att,2,nrES_Raw,"&gt;=0")&gt;0,"",$L1364),IF($L1364&gt;=$J1364,MAX($J1364,cfgRetakeRecordedCap),IF(COUNTIFS(nrES_PID,$D1364,nrES_Code,$F1364,nrES_Att,1)=0,$L1364,SUMIFS(nrES_Raw,nrES_PID,$D1364,nrES_Code,$F1364,nrES_Att,1))))))))</f>
        <v/>
      </c>
      <c r="N1364" s="17">
        <f>IF($C1364="","",IF($L1364="","",IF(NOT(ISNUMBER($L1364)),"(not a score)",IF($L1364&gt;=$J1364,"Yes","No"))))</f>
        <v/>
      </c>
      <c r="O1364" s="17">
        <f>IF($C1364="","",IF($M1364="","",IF(NOT(ISNUMBER($M1364)),"(not a score)",IF($M1364&gt;=$J1364,"Yes","No"))))</f>
        <v/>
      </c>
      <c r="P1364" s="17">
        <f>IF($C1364="","",IF($K1364="","",IF(N($K1364)&gt;2,"No",IF(COUNTIFS(nrES_PID,$D1364,nrES_Code,$F1364,nrES_Att,"&gt;"&amp;$K1364,nrES_Att,"&lt;=2",nrES_Raw,"&gt;=0")=0,"Yes","No"))))</f>
        <v/>
      </c>
      <c r="Q1364" s="17">
        <f>IF($C1364="","",IF($L1364="","",IF(AND($K1364=1,ISNUMBER($L1364),$L1364&lt;$J1364,COUNTIFS(nrES_PID,$D1364,nrES_Code,$F1364,nrES_Att,2,nrES_Raw,"&gt;=0")=0),"Yes","No")))</f>
        <v/>
      </c>
      <c r="R1364" s="17">
        <f>IF($C1364="","",IF($L1364="","",IF(AND(N($K1364)&gt;=2,ISNUMBER($L1364),$L1364&lt;$J1364),"Yes","No")))</f>
        <v/>
      </c>
      <c r="S1364" s="18" t="n"/>
      <c r="T1364" s="19">
        <f>IF(OR($C1364="",$L1364="",$K1364&lt;&gt;1,NOT(ISNUMBER($L1364)),$L1364&gt;=$J1364),"",IF($S1364="","(enter date)",_xlfn.LET(_xlpm.dn,_xlfn.XLOOKUP($S1364,nrCDdate,nrCDnum,"",1),IF(_xlpm.dn="","(after last class day)",_xlfn.LET(_xlpm.dd,_xlfn.XLOOKUP(_xlpm.dn+cfgRetestClassDays,nrCDnum,nrCDdate,""),_xlpm.ok,_xlfn.XLOOKUP(_xlpm.dn+cfgRetestClassDays,nrCDnum,nrCDinsession,"No"),IF(OR(_xlpm.dd="",_xlpm.ok&lt;&gt;"Yes"),"(after last class day)",_xlpm.dd))))))</f>
        <v/>
      </c>
      <c r="U1364" s="17">
        <f>IF($C1364="","",IF(AND($Y1364="Excused",$L1364="",N($K1364)&lt;=1),"EXCUSED - 1st attempt pending",IF(OR($L1364="",$K1364&lt;&gt;1,NOT(ISNUMBER($L1364)),$L1364&gt;=$J1364),"",IF(COUNTIFS(nrES_PID,$D1364,nrES_Code,$F1364,nrES_Att,2,nrES_Raw,"&gt;=0")&gt;0,IF(IFERROR(_xlfn.MINIFS(nrES_Date,nrES_PID,$D1364,nrES_Code,$F1364,nrES_Att,2,nrES_Raw,"&gt;=0",nrES_Date,"&gt;0"),0)=0,"RETEST UNDATED",IF(NOT(ISNUMBER($T1364)),"RETEST DATE UNCHECKED",IF(_xlfn.MINIFS(nrES_Date,nrES_PID,$D1364,nrES_Code,$F1364,nrES_Att,2,nrES_Raw,"&gt;=0",nrES_Date,"&gt;0")&gt;$T1364,"LATE RETEST "&amp;TEXT(_xlfn.MINIFS(nrES_Date,nrES_PID,$D1364,nrES_Code,$F1364,nrES_Att,2,nrES_Raw,"&gt;=0",nrES_Date,"&gt;0"),"mm/dd")&amp;" (due "&amp;TEXT($T1364,"mm/dd")&amp;")","Retested"))),IF(NOT(ISNUMBER($T1364)),"CHECK DATE",IF(TODAY()&gt;$T1364,"OVERDUE","Due "&amp;TEXT($T1364,"mm/dd")))))))</f>
        <v/>
      </c>
      <c r="V1364" s="16" t="n"/>
      <c r="W1364" s="16" t="n"/>
      <c r="X1364" s="17">
        <f>IF($C1364="","",IF(AND($L1364&lt;&gt;"",NOT(ISNUMBER($L1364))),"RAW SCORE NOT A NUMBER",IF(AND(ISNUMBER($L1364),OR($L1364&lt;0,$L1364&gt;100)),"RAW SCORE OUT OF RANGE",IF(AND($Y1364="Unexcused",OR($L1364="",NOT(ISNUMBER($L1364)),$L1364&lt;&gt;0)),"UNEXCUSED ABSENCE MUST RECORD 0",IF(COUNTIF(nrES_RecID,$B1364)&gt;1,"DUPLICATE RECORD",IF(N($K1364)&gt;2,"ATTEMPT 3+ NOT ALLOWED - policy 300.5 permits one retest per exam; this row records nothing",IF(AND($K1364=2,COUNTIFS(nrES_PID,$D1364,nrES_Code,$F1364,nrES_Att,1)=0),"ATTEMPT 2 WITHOUT ATTEMPT 1",IF(AND($K1364=2,$L1364=""),"RETEST ROW HAS NO SCORE",IF(AND($H1364="Final",$L1364&lt;&gt;"",IFERROR(INDEX(nrCKfinalExamElig,MATCH($D1364,rngCadetPIDs,0)),"")="No"),"FINAL EXAM AFTER FAILED FINAL PT (500.1.H)",IF(AND($K1364=2,ISNUMBER($L1364),COUNTIFS(nrES_PID,$D1364,nrES_Code,$F1364,nrES_Att,1)&gt;0,SUMIFS(nrES_Raw,nrES_PID,$D1364,nrES_Code,$F1364,nrES_Att,1)&gt;=$J1364),"RETEST AFTER A PASSING FIRST ATTEMPT","OK"))))))))))</f>
        <v/>
      </c>
      <c r="Y1364" s="16" t="n"/>
    </row>
    <row r="1365">
      <c r="B1365" s="17">
        <f>IF($C1365="","",$D1365&amp;"-"&amp;$F1365&amp;"-"&amp;$K1365)</f>
        <v/>
      </c>
      <c r="C1365" s="16" t="n"/>
      <c r="D1365" s="17">
        <f>IF($C1365="","",IFERROR(INDEX(rngCadetPIDs,MATCH($C1365,rngCadetNames,0)),"?"))</f>
        <v/>
      </c>
      <c r="E1365" s="17">
        <f>IF($D1365="","",IFERROR(INDEX(nrCadetAgency,MATCH($D1365,rngCadetPIDs,0)),""))</f>
        <v/>
      </c>
      <c r="F1365" s="16" t="n"/>
      <c r="G1365" s="17">
        <f>IF($F1365="","",IFERROR(INDEX(rngEPname,MATCH($F1365,rngEPcode,0)),"?"))</f>
        <v/>
      </c>
      <c r="H1365" s="17">
        <f>IF($F1365="","",IFERROR(INDEX(rngEPtype,MATCH($F1365,rngEPcode,0)),"?"))</f>
        <v/>
      </c>
      <c r="I1365" s="17">
        <f>IF($F1365="","",IFERROR(INDEX(rngEPseq,MATCH($F1365,rngEPcode,0)),""))</f>
        <v/>
      </c>
      <c r="J1365" s="17">
        <f>IF($F1365="","",IFERROR(INDEX(rngEPpass,MATCH($F1365,rngEPcode,0)),cfgPassingScore))</f>
        <v/>
      </c>
      <c r="K1365" s="16" t="n"/>
      <c r="L1365" s="16" t="n"/>
      <c r="M1365" s="17">
        <f>IF($C1365="","",IF($L1365="","",IF(NOT(ISNUMBER($L1365)),$L1365,IF(N($K1365)&gt;2,"",IF($K1365=1,IF(COUNTIFS(nrES_PID,$D1365,nrES_Code,$F1365,nrES_Att,2,nrES_Raw,"&gt;=0")&gt;0,"",$L1365),IF($L1365&gt;=$J1365,MAX($J1365,cfgRetakeRecordedCap),IF(COUNTIFS(nrES_PID,$D1365,nrES_Code,$F1365,nrES_Att,1)=0,$L1365,SUMIFS(nrES_Raw,nrES_PID,$D1365,nrES_Code,$F1365,nrES_Att,1))))))))</f>
        <v/>
      </c>
      <c r="N1365" s="17">
        <f>IF($C1365="","",IF($L1365="","",IF(NOT(ISNUMBER($L1365)),"(not a score)",IF($L1365&gt;=$J1365,"Yes","No"))))</f>
        <v/>
      </c>
      <c r="O1365" s="17">
        <f>IF($C1365="","",IF($M1365="","",IF(NOT(ISNUMBER($M1365)),"(not a score)",IF($M1365&gt;=$J1365,"Yes","No"))))</f>
        <v/>
      </c>
      <c r="P1365" s="17">
        <f>IF($C1365="","",IF($K1365="","",IF(N($K1365)&gt;2,"No",IF(COUNTIFS(nrES_PID,$D1365,nrES_Code,$F1365,nrES_Att,"&gt;"&amp;$K1365,nrES_Att,"&lt;=2",nrES_Raw,"&gt;=0")=0,"Yes","No"))))</f>
        <v/>
      </c>
      <c r="Q1365" s="17">
        <f>IF($C1365="","",IF($L1365="","",IF(AND($K1365=1,ISNUMBER($L1365),$L1365&lt;$J1365,COUNTIFS(nrES_PID,$D1365,nrES_Code,$F1365,nrES_Att,2,nrES_Raw,"&gt;=0")=0),"Yes","No")))</f>
        <v/>
      </c>
      <c r="R1365" s="17">
        <f>IF($C1365="","",IF($L1365="","",IF(AND(N($K1365)&gt;=2,ISNUMBER($L1365),$L1365&lt;$J1365),"Yes","No")))</f>
        <v/>
      </c>
      <c r="S1365" s="18" t="n"/>
      <c r="T1365" s="19">
        <f>IF(OR($C1365="",$L1365="",$K1365&lt;&gt;1,NOT(ISNUMBER($L1365)),$L1365&gt;=$J1365),"",IF($S1365="","(enter date)",_xlfn.LET(_xlpm.dn,_xlfn.XLOOKUP($S1365,nrCDdate,nrCDnum,"",1),IF(_xlpm.dn="","(after last class day)",_xlfn.LET(_xlpm.dd,_xlfn.XLOOKUP(_xlpm.dn+cfgRetestClassDays,nrCDnum,nrCDdate,""),_xlpm.ok,_xlfn.XLOOKUP(_xlpm.dn+cfgRetestClassDays,nrCDnum,nrCDinsession,"No"),IF(OR(_xlpm.dd="",_xlpm.ok&lt;&gt;"Yes"),"(after last class day)",_xlpm.dd))))))</f>
        <v/>
      </c>
      <c r="U1365" s="17">
        <f>IF($C1365="","",IF(AND($Y1365="Excused",$L1365="",N($K1365)&lt;=1),"EXCUSED - 1st attempt pending",IF(OR($L1365="",$K1365&lt;&gt;1,NOT(ISNUMBER($L1365)),$L1365&gt;=$J1365),"",IF(COUNTIFS(nrES_PID,$D1365,nrES_Code,$F1365,nrES_Att,2,nrES_Raw,"&gt;=0")&gt;0,IF(IFERROR(_xlfn.MINIFS(nrES_Date,nrES_PID,$D1365,nrES_Code,$F1365,nrES_Att,2,nrES_Raw,"&gt;=0",nrES_Date,"&gt;0"),0)=0,"RETEST UNDATED",IF(NOT(ISNUMBER($T1365)),"RETEST DATE UNCHECKED",IF(_xlfn.MINIFS(nrES_Date,nrES_PID,$D1365,nrES_Code,$F1365,nrES_Att,2,nrES_Raw,"&gt;=0",nrES_Date,"&gt;0")&gt;$T1365,"LATE RETEST "&amp;TEXT(_xlfn.MINIFS(nrES_Date,nrES_PID,$D1365,nrES_Code,$F1365,nrES_Att,2,nrES_Raw,"&gt;=0",nrES_Date,"&gt;0"),"mm/dd")&amp;" (due "&amp;TEXT($T1365,"mm/dd")&amp;")","Retested"))),IF(NOT(ISNUMBER($T1365)),"CHECK DATE",IF(TODAY()&gt;$T1365,"OVERDUE","Due "&amp;TEXT($T1365,"mm/dd")))))))</f>
        <v/>
      </c>
      <c r="V1365" s="16" t="n"/>
      <c r="W1365" s="16" t="n"/>
      <c r="X1365" s="17">
        <f>IF($C1365="","",IF(AND($L1365&lt;&gt;"",NOT(ISNUMBER($L1365))),"RAW SCORE NOT A NUMBER",IF(AND(ISNUMBER($L1365),OR($L1365&lt;0,$L1365&gt;100)),"RAW SCORE OUT OF RANGE",IF(AND($Y1365="Unexcused",OR($L1365="",NOT(ISNUMBER($L1365)),$L1365&lt;&gt;0)),"UNEXCUSED ABSENCE MUST RECORD 0",IF(COUNTIF(nrES_RecID,$B1365)&gt;1,"DUPLICATE RECORD",IF(N($K1365)&gt;2,"ATTEMPT 3+ NOT ALLOWED - policy 300.5 permits one retest per exam; this row records nothing",IF(AND($K1365=2,COUNTIFS(nrES_PID,$D1365,nrES_Code,$F1365,nrES_Att,1)=0),"ATTEMPT 2 WITHOUT ATTEMPT 1",IF(AND($K1365=2,$L1365=""),"RETEST ROW HAS NO SCORE",IF(AND($H1365="Final",$L1365&lt;&gt;"",IFERROR(INDEX(nrCKfinalExamElig,MATCH($D1365,rngCadetPIDs,0)),"")="No"),"FINAL EXAM AFTER FAILED FINAL PT (500.1.H)",IF(AND($K1365=2,ISNUMBER($L1365),COUNTIFS(nrES_PID,$D1365,nrES_Code,$F1365,nrES_Att,1)&gt;0,SUMIFS(nrES_Raw,nrES_PID,$D1365,nrES_Code,$F1365,nrES_Att,1)&gt;=$J1365),"RETEST AFTER A PASSING FIRST ATTEMPT","OK"))))))))))</f>
        <v/>
      </c>
      <c r="Y1365" s="16" t="n"/>
    </row>
    <row r="1366">
      <c r="B1366" s="17">
        <f>IF($C1366="","",$D1366&amp;"-"&amp;$F1366&amp;"-"&amp;$K1366)</f>
        <v/>
      </c>
      <c r="C1366" s="16" t="n"/>
      <c r="D1366" s="17">
        <f>IF($C1366="","",IFERROR(INDEX(rngCadetPIDs,MATCH($C1366,rngCadetNames,0)),"?"))</f>
        <v/>
      </c>
      <c r="E1366" s="17">
        <f>IF($D1366="","",IFERROR(INDEX(nrCadetAgency,MATCH($D1366,rngCadetPIDs,0)),""))</f>
        <v/>
      </c>
      <c r="F1366" s="16" t="n"/>
      <c r="G1366" s="17">
        <f>IF($F1366="","",IFERROR(INDEX(rngEPname,MATCH($F1366,rngEPcode,0)),"?"))</f>
        <v/>
      </c>
      <c r="H1366" s="17">
        <f>IF($F1366="","",IFERROR(INDEX(rngEPtype,MATCH($F1366,rngEPcode,0)),"?"))</f>
        <v/>
      </c>
      <c r="I1366" s="17">
        <f>IF($F1366="","",IFERROR(INDEX(rngEPseq,MATCH($F1366,rngEPcode,0)),""))</f>
        <v/>
      </c>
      <c r="J1366" s="17">
        <f>IF($F1366="","",IFERROR(INDEX(rngEPpass,MATCH($F1366,rngEPcode,0)),cfgPassingScore))</f>
        <v/>
      </c>
      <c r="K1366" s="16" t="n"/>
      <c r="L1366" s="16" t="n"/>
      <c r="M1366" s="17">
        <f>IF($C1366="","",IF($L1366="","",IF(NOT(ISNUMBER($L1366)),$L1366,IF(N($K1366)&gt;2,"",IF($K1366=1,IF(COUNTIFS(nrES_PID,$D1366,nrES_Code,$F1366,nrES_Att,2,nrES_Raw,"&gt;=0")&gt;0,"",$L1366),IF($L1366&gt;=$J1366,MAX($J1366,cfgRetakeRecordedCap),IF(COUNTIFS(nrES_PID,$D1366,nrES_Code,$F1366,nrES_Att,1)=0,$L1366,SUMIFS(nrES_Raw,nrES_PID,$D1366,nrES_Code,$F1366,nrES_Att,1))))))))</f>
        <v/>
      </c>
      <c r="N1366" s="17">
        <f>IF($C1366="","",IF($L1366="","",IF(NOT(ISNUMBER($L1366)),"(not a score)",IF($L1366&gt;=$J1366,"Yes","No"))))</f>
        <v/>
      </c>
      <c r="O1366" s="17">
        <f>IF($C1366="","",IF($M1366="","",IF(NOT(ISNUMBER($M1366)),"(not a score)",IF($M1366&gt;=$J1366,"Yes","No"))))</f>
        <v/>
      </c>
      <c r="P1366" s="17">
        <f>IF($C1366="","",IF($K1366="","",IF(N($K1366)&gt;2,"No",IF(COUNTIFS(nrES_PID,$D1366,nrES_Code,$F1366,nrES_Att,"&gt;"&amp;$K1366,nrES_Att,"&lt;=2",nrES_Raw,"&gt;=0")=0,"Yes","No"))))</f>
        <v/>
      </c>
      <c r="Q1366" s="17">
        <f>IF($C1366="","",IF($L1366="","",IF(AND($K1366=1,ISNUMBER($L1366),$L1366&lt;$J1366,COUNTIFS(nrES_PID,$D1366,nrES_Code,$F1366,nrES_Att,2,nrES_Raw,"&gt;=0")=0),"Yes","No")))</f>
        <v/>
      </c>
      <c r="R1366" s="17">
        <f>IF($C1366="","",IF($L1366="","",IF(AND(N($K1366)&gt;=2,ISNUMBER($L1366),$L1366&lt;$J1366),"Yes","No")))</f>
        <v/>
      </c>
      <c r="S1366" s="18" t="n"/>
      <c r="T1366" s="19">
        <f>IF(OR($C1366="",$L1366="",$K1366&lt;&gt;1,NOT(ISNUMBER($L1366)),$L1366&gt;=$J1366),"",IF($S1366="","(enter date)",_xlfn.LET(_xlpm.dn,_xlfn.XLOOKUP($S1366,nrCDdate,nrCDnum,"",1),IF(_xlpm.dn="","(after last class day)",_xlfn.LET(_xlpm.dd,_xlfn.XLOOKUP(_xlpm.dn+cfgRetestClassDays,nrCDnum,nrCDdate,""),_xlpm.ok,_xlfn.XLOOKUP(_xlpm.dn+cfgRetestClassDays,nrCDnum,nrCDinsession,"No"),IF(OR(_xlpm.dd="",_xlpm.ok&lt;&gt;"Yes"),"(after last class day)",_xlpm.dd))))))</f>
        <v/>
      </c>
      <c r="U1366" s="17">
        <f>IF($C1366="","",IF(AND($Y1366="Excused",$L1366="",N($K1366)&lt;=1),"EXCUSED - 1st attempt pending",IF(OR($L1366="",$K1366&lt;&gt;1,NOT(ISNUMBER($L1366)),$L1366&gt;=$J1366),"",IF(COUNTIFS(nrES_PID,$D1366,nrES_Code,$F1366,nrES_Att,2,nrES_Raw,"&gt;=0")&gt;0,IF(IFERROR(_xlfn.MINIFS(nrES_Date,nrES_PID,$D1366,nrES_Code,$F1366,nrES_Att,2,nrES_Raw,"&gt;=0",nrES_Date,"&gt;0"),0)=0,"RETEST UNDATED",IF(NOT(ISNUMBER($T1366)),"RETEST DATE UNCHECKED",IF(_xlfn.MINIFS(nrES_Date,nrES_PID,$D1366,nrES_Code,$F1366,nrES_Att,2,nrES_Raw,"&gt;=0",nrES_Date,"&gt;0")&gt;$T1366,"LATE RETEST "&amp;TEXT(_xlfn.MINIFS(nrES_Date,nrES_PID,$D1366,nrES_Code,$F1366,nrES_Att,2,nrES_Raw,"&gt;=0",nrES_Date,"&gt;0"),"mm/dd")&amp;" (due "&amp;TEXT($T1366,"mm/dd")&amp;")","Retested"))),IF(NOT(ISNUMBER($T1366)),"CHECK DATE",IF(TODAY()&gt;$T1366,"OVERDUE","Due "&amp;TEXT($T1366,"mm/dd")))))))</f>
        <v/>
      </c>
      <c r="V1366" s="16" t="n"/>
      <c r="W1366" s="16" t="n"/>
      <c r="X1366" s="17">
        <f>IF($C1366="","",IF(AND($L1366&lt;&gt;"",NOT(ISNUMBER($L1366))),"RAW SCORE NOT A NUMBER",IF(AND(ISNUMBER($L1366),OR($L1366&lt;0,$L1366&gt;100)),"RAW SCORE OUT OF RANGE",IF(AND($Y1366="Unexcused",OR($L1366="",NOT(ISNUMBER($L1366)),$L1366&lt;&gt;0)),"UNEXCUSED ABSENCE MUST RECORD 0",IF(COUNTIF(nrES_RecID,$B1366)&gt;1,"DUPLICATE RECORD",IF(N($K1366)&gt;2,"ATTEMPT 3+ NOT ALLOWED - policy 300.5 permits one retest per exam; this row records nothing",IF(AND($K1366=2,COUNTIFS(nrES_PID,$D1366,nrES_Code,$F1366,nrES_Att,1)=0),"ATTEMPT 2 WITHOUT ATTEMPT 1",IF(AND($K1366=2,$L1366=""),"RETEST ROW HAS NO SCORE",IF(AND($H1366="Final",$L1366&lt;&gt;"",IFERROR(INDEX(nrCKfinalExamElig,MATCH($D1366,rngCadetPIDs,0)),"")="No"),"FINAL EXAM AFTER FAILED FINAL PT (500.1.H)",IF(AND($K1366=2,ISNUMBER($L1366),COUNTIFS(nrES_PID,$D1366,nrES_Code,$F1366,nrES_Att,1)&gt;0,SUMIFS(nrES_Raw,nrES_PID,$D1366,nrES_Code,$F1366,nrES_Att,1)&gt;=$J1366),"RETEST AFTER A PASSING FIRST ATTEMPT","OK"))))))))))</f>
        <v/>
      </c>
      <c r="Y1366" s="16" t="n"/>
    </row>
    <row r="1367">
      <c r="B1367" s="17">
        <f>IF($C1367="","",$D1367&amp;"-"&amp;$F1367&amp;"-"&amp;$K1367)</f>
        <v/>
      </c>
      <c r="C1367" s="16" t="n"/>
      <c r="D1367" s="17">
        <f>IF($C1367="","",IFERROR(INDEX(rngCadetPIDs,MATCH($C1367,rngCadetNames,0)),"?"))</f>
        <v/>
      </c>
      <c r="E1367" s="17">
        <f>IF($D1367="","",IFERROR(INDEX(nrCadetAgency,MATCH($D1367,rngCadetPIDs,0)),""))</f>
        <v/>
      </c>
      <c r="F1367" s="16" t="n"/>
      <c r="G1367" s="17">
        <f>IF($F1367="","",IFERROR(INDEX(rngEPname,MATCH($F1367,rngEPcode,0)),"?"))</f>
        <v/>
      </c>
      <c r="H1367" s="17">
        <f>IF($F1367="","",IFERROR(INDEX(rngEPtype,MATCH($F1367,rngEPcode,0)),"?"))</f>
        <v/>
      </c>
      <c r="I1367" s="17">
        <f>IF($F1367="","",IFERROR(INDEX(rngEPseq,MATCH($F1367,rngEPcode,0)),""))</f>
        <v/>
      </c>
      <c r="J1367" s="17">
        <f>IF($F1367="","",IFERROR(INDEX(rngEPpass,MATCH($F1367,rngEPcode,0)),cfgPassingScore))</f>
        <v/>
      </c>
      <c r="K1367" s="16" t="n"/>
      <c r="L1367" s="16" t="n"/>
      <c r="M1367" s="17">
        <f>IF($C1367="","",IF($L1367="","",IF(NOT(ISNUMBER($L1367)),$L1367,IF(N($K1367)&gt;2,"",IF($K1367=1,IF(COUNTIFS(nrES_PID,$D1367,nrES_Code,$F1367,nrES_Att,2,nrES_Raw,"&gt;=0")&gt;0,"",$L1367),IF($L1367&gt;=$J1367,MAX($J1367,cfgRetakeRecordedCap),IF(COUNTIFS(nrES_PID,$D1367,nrES_Code,$F1367,nrES_Att,1)=0,$L1367,SUMIFS(nrES_Raw,nrES_PID,$D1367,nrES_Code,$F1367,nrES_Att,1))))))))</f>
        <v/>
      </c>
      <c r="N1367" s="17">
        <f>IF($C1367="","",IF($L1367="","",IF(NOT(ISNUMBER($L1367)),"(not a score)",IF($L1367&gt;=$J1367,"Yes","No"))))</f>
        <v/>
      </c>
      <c r="O1367" s="17">
        <f>IF($C1367="","",IF($M1367="","",IF(NOT(ISNUMBER($M1367)),"(not a score)",IF($M1367&gt;=$J1367,"Yes","No"))))</f>
        <v/>
      </c>
      <c r="P1367" s="17">
        <f>IF($C1367="","",IF($K1367="","",IF(N($K1367)&gt;2,"No",IF(COUNTIFS(nrES_PID,$D1367,nrES_Code,$F1367,nrES_Att,"&gt;"&amp;$K1367,nrES_Att,"&lt;=2",nrES_Raw,"&gt;=0")=0,"Yes","No"))))</f>
        <v/>
      </c>
      <c r="Q1367" s="17">
        <f>IF($C1367="","",IF($L1367="","",IF(AND($K1367=1,ISNUMBER($L1367),$L1367&lt;$J1367,COUNTIFS(nrES_PID,$D1367,nrES_Code,$F1367,nrES_Att,2,nrES_Raw,"&gt;=0")=0),"Yes","No")))</f>
        <v/>
      </c>
      <c r="R1367" s="17">
        <f>IF($C1367="","",IF($L1367="","",IF(AND(N($K1367)&gt;=2,ISNUMBER($L1367),$L1367&lt;$J1367),"Yes","No")))</f>
        <v/>
      </c>
      <c r="S1367" s="18" t="n"/>
      <c r="T1367" s="19">
        <f>IF(OR($C1367="",$L1367="",$K1367&lt;&gt;1,NOT(ISNUMBER($L1367)),$L1367&gt;=$J1367),"",IF($S1367="","(enter date)",_xlfn.LET(_xlpm.dn,_xlfn.XLOOKUP($S1367,nrCDdate,nrCDnum,"",1),IF(_xlpm.dn="","(after last class day)",_xlfn.LET(_xlpm.dd,_xlfn.XLOOKUP(_xlpm.dn+cfgRetestClassDays,nrCDnum,nrCDdate,""),_xlpm.ok,_xlfn.XLOOKUP(_xlpm.dn+cfgRetestClassDays,nrCDnum,nrCDinsession,"No"),IF(OR(_xlpm.dd="",_xlpm.ok&lt;&gt;"Yes"),"(after last class day)",_xlpm.dd))))))</f>
        <v/>
      </c>
      <c r="U1367" s="17">
        <f>IF($C1367="","",IF(AND($Y1367="Excused",$L1367="",N($K1367)&lt;=1),"EXCUSED - 1st attempt pending",IF(OR($L1367="",$K1367&lt;&gt;1,NOT(ISNUMBER($L1367)),$L1367&gt;=$J1367),"",IF(COUNTIFS(nrES_PID,$D1367,nrES_Code,$F1367,nrES_Att,2,nrES_Raw,"&gt;=0")&gt;0,IF(IFERROR(_xlfn.MINIFS(nrES_Date,nrES_PID,$D1367,nrES_Code,$F1367,nrES_Att,2,nrES_Raw,"&gt;=0",nrES_Date,"&gt;0"),0)=0,"RETEST UNDATED",IF(NOT(ISNUMBER($T1367)),"RETEST DATE UNCHECKED",IF(_xlfn.MINIFS(nrES_Date,nrES_PID,$D1367,nrES_Code,$F1367,nrES_Att,2,nrES_Raw,"&gt;=0",nrES_Date,"&gt;0")&gt;$T1367,"LATE RETEST "&amp;TEXT(_xlfn.MINIFS(nrES_Date,nrES_PID,$D1367,nrES_Code,$F1367,nrES_Att,2,nrES_Raw,"&gt;=0",nrES_Date,"&gt;0"),"mm/dd")&amp;" (due "&amp;TEXT($T1367,"mm/dd")&amp;")","Retested"))),IF(NOT(ISNUMBER($T1367)),"CHECK DATE",IF(TODAY()&gt;$T1367,"OVERDUE","Due "&amp;TEXT($T1367,"mm/dd")))))))</f>
        <v/>
      </c>
      <c r="V1367" s="16" t="n"/>
      <c r="W1367" s="16" t="n"/>
      <c r="X1367" s="17">
        <f>IF($C1367="","",IF(AND($L1367&lt;&gt;"",NOT(ISNUMBER($L1367))),"RAW SCORE NOT A NUMBER",IF(AND(ISNUMBER($L1367),OR($L1367&lt;0,$L1367&gt;100)),"RAW SCORE OUT OF RANGE",IF(AND($Y1367="Unexcused",OR($L1367="",NOT(ISNUMBER($L1367)),$L1367&lt;&gt;0)),"UNEXCUSED ABSENCE MUST RECORD 0",IF(COUNTIF(nrES_RecID,$B1367)&gt;1,"DUPLICATE RECORD",IF(N($K1367)&gt;2,"ATTEMPT 3+ NOT ALLOWED - policy 300.5 permits one retest per exam; this row records nothing",IF(AND($K1367=2,COUNTIFS(nrES_PID,$D1367,nrES_Code,$F1367,nrES_Att,1)=0),"ATTEMPT 2 WITHOUT ATTEMPT 1",IF(AND($K1367=2,$L1367=""),"RETEST ROW HAS NO SCORE",IF(AND($H1367="Final",$L1367&lt;&gt;"",IFERROR(INDEX(nrCKfinalExamElig,MATCH($D1367,rngCadetPIDs,0)),"")="No"),"FINAL EXAM AFTER FAILED FINAL PT (500.1.H)",IF(AND($K1367=2,ISNUMBER($L1367),COUNTIFS(nrES_PID,$D1367,nrES_Code,$F1367,nrES_Att,1)&gt;0,SUMIFS(nrES_Raw,nrES_PID,$D1367,nrES_Code,$F1367,nrES_Att,1)&gt;=$J1367),"RETEST AFTER A PASSING FIRST ATTEMPT","OK"))))))))))</f>
        <v/>
      </c>
      <c r="Y1367" s="16" t="n"/>
    </row>
    <row r="1368">
      <c r="B1368" s="17">
        <f>IF($C1368="","",$D1368&amp;"-"&amp;$F1368&amp;"-"&amp;$K1368)</f>
        <v/>
      </c>
      <c r="C1368" s="16" t="n"/>
      <c r="D1368" s="17">
        <f>IF($C1368="","",IFERROR(INDEX(rngCadetPIDs,MATCH($C1368,rngCadetNames,0)),"?"))</f>
        <v/>
      </c>
      <c r="E1368" s="17">
        <f>IF($D1368="","",IFERROR(INDEX(nrCadetAgency,MATCH($D1368,rngCadetPIDs,0)),""))</f>
        <v/>
      </c>
      <c r="F1368" s="16" t="n"/>
      <c r="G1368" s="17">
        <f>IF($F1368="","",IFERROR(INDEX(rngEPname,MATCH($F1368,rngEPcode,0)),"?"))</f>
        <v/>
      </c>
      <c r="H1368" s="17">
        <f>IF($F1368="","",IFERROR(INDEX(rngEPtype,MATCH($F1368,rngEPcode,0)),"?"))</f>
        <v/>
      </c>
      <c r="I1368" s="17">
        <f>IF($F1368="","",IFERROR(INDEX(rngEPseq,MATCH($F1368,rngEPcode,0)),""))</f>
        <v/>
      </c>
      <c r="J1368" s="17">
        <f>IF($F1368="","",IFERROR(INDEX(rngEPpass,MATCH($F1368,rngEPcode,0)),cfgPassingScore))</f>
        <v/>
      </c>
      <c r="K1368" s="16" t="n"/>
      <c r="L1368" s="16" t="n"/>
      <c r="M1368" s="17">
        <f>IF($C1368="","",IF($L1368="","",IF(NOT(ISNUMBER($L1368)),$L1368,IF(N($K1368)&gt;2,"",IF($K1368=1,IF(COUNTIFS(nrES_PID,$D1368,nrES_Code,$F1368,nrES_Att,2,nrES_Raw,"&gt;=0")&gt;0,"",$L1368),IF($L1368&gt;=$J1368,MAX($J1368,cfgRetakeRecordedCap),IF(COUNTIFS(nrES_PID,$D1368,nrES_Code,$F1368,nrES_Att,1)=0,$L1368,SUMIFS(nrES_Raw,nrES_PID,$D1368,nrES_Code,$F1368,nrES_Att,1))))))))</f>
        <v/>
      </c>
      <c r="N1368" s="17">
        <f>IF($C1368="","",IF($L1368="","",IF(NOT(ISNUMBER($L1368)),"(not a score)",IF($L1368&gt;=$J1368,"Yes","No"))))</f>
        <v/>
      </c>
      <c r="O1368" s="17">
        <f>IF($C1368="","",IF($M1368="","",IF(NOT(ISNUMBER($M1368)),"(not a score)",IF($M1368&gt;=$J1368,"Yes","No"))))</f>
        <v/>
      </c>
      <c r="P1368" s="17">
        <f>IF($C1368="","",IF($K1368="","",IF(N($K1368)&gt;2,"No",IF(COUNTIFS(nrES_PID,$D1368,nrES_Code,$F1368,nrES_Att,"&gt;"&amp;$K1368,nrES_Att,"&lt;=2",nrES_Raw,"&gt;=0")=0,"Yes","No"))))</f>
        <v/>
      </c>
      <c r="Q1368" s="17">
        <f>IF($C1368="","",IF($L1368="","",IF(AND($K1368=1,ISNUMBER($L1368),$L1368&lt;$J1368,COUNTIFS(nrES_PID,$D1368,nrES_Code,$F1368,nrES_Att,2,nrES_Raw,"&gt;=0")=0),"Yes","No")))</f>
        <v/>
      </c>
      <c r="R1368" s="17">
        <f>IF($C1368="","",IF($L1368="","",IF(AND(N($K1368)&gt;=2,ISNUMBER($L1368),$L1368&lt;$J1368),"Yes","No")))</f>
        <v/>
      </c>
      <c r="S1368" s="18" t="n"/>
      <c r="T1368" s="19">
        <f>IF(OR($C1368="",$L1368="",$K1368&lt;&gt;1,NOT(ISNUMBER($L1368)),$L1368&gt;=$J1368),"",IF($S1368="","(enter date)",_xlfn.LET(_xlpm.dn,_xlfn.XLOOKUP($S1368,nrCDdate,nrCDnum,"",1),IF(_xlpm.dn="","(after last class day)",_xlfn.LET(_xlpm.dd,_xlfn.XLOOKUP(_xlpm.dn+cfgRetestClassDays,nrCDnum,nrCDdate,""),_xlpm.ok,_xlfn.XLOOKUP(_xlpm.dn+cfgRetestClassDays,nrCDnum,nrCDinsession,"No"),IF(OR(_xlpm.dd="",_xlpm.ok&lt;&gt;"Yes"),"(after last class day)",_xlpm.dd))))))</f>
        <v/>
      </c>
      <c r="U1368" s="17">
        <f>IF($C1368="","",IF(AND($Y1368="Excused",$L1368="",N($K1368)&lt;=1),"EXCUSED - 1st attempt pending",IF(OR($L1368="",$K1368&lt;&gt;1,NOT(ISNUMBER($L1368)),$L1368&gt;=$J1368),"",IF(COUNTIFS(nrES_PID,$D1368,nrES_Code,$F1368,nrES_Att,2,nrES_Raw,"&gt;=0")&gt;0,IF(IFERROR(_xlfn.MINIFS(nrES_Date,nrES_PID,$D1368,nrES_Code,$F1368,nrES_Att,2,nrES_Raw,"&gt;=0",nrES_Date,"&gt;0"),0)=0,"RETEST UNDATED",IF(NOT(ISNUMBER($T1368)),"RETEST DATE UNCHECKED",IF(_xlfn.MINIFS(nrES_Date,nrES_PID,$D1368,nrES_Code,$F1368,nrES_Att,2,nrES_Raw,"&gt;=0",nrES_Date,"&gt;0")&gt;$T1368,"LATE RETEST "&amp;TEXT(_xlfn.MINIFS(nrES_Date,nrES_PID,$D1368,nrES_Code,$F1368,nrES_Att,2,nrES_Raw,"&gt;=0",nrES_Date,"&gt;0"),"mm/dd")&amp;" (due "&amp;TEXT($T1368,"mm/dd")&amp;")","Retested"))),IF(NOT(ISNUMBER($T1368)),"CHECK DATE",IF(TODAY()&gt;$T1368,"OVERDUE","Due "&amp;TEXT($T1368,"mm/dd")))))))</f>
        <v/>
      </c>
      <c r="V1368" s="16" t="n"/>
      <c r="W1368" s="16" t="n"/>
      <c r="X1368" s="17">
        <f>IF($C1368="","",IF(AND($L1368&lt;&gt;"",NOT(ISNUMBER($L1368))),"RAW SCORE NOT A NUMBER",IF(AND(ISNUMBER($L1368),OR($L1368&lt;0,$L1368&gt;100)),"RAW SCORE OUT OF RANGE",IF(AND($Y1368="Unexcused",OR($L1368="",NOT(ISNUMBER($L1368)),$L1368&lt;&gt;0)),"UNEXCUSED ABSENCE MUST RECORD 0",IF(COUNTIF(nrES_RecID,$B1368)&gt;1,"DUPLICATE RECORD",IF(N($K1368)&gt;2,"ATTEMPT 3+ NOT ALLOWED - policy 300.5 permits one retest per exam; this row records nothing",IF(AND($K1368=2,COUNTIFS(nrES_PID,$D1368,nrES_Code,$F1368,nrES_Att,1)=0),"ATTEMPT 2 WITHOUT ATTEMPT 1",IF(AND($K1368=2,$L1368=""),"RETEST ROW HAS NO SCORE",IF(AND($H1368="Final",$L1368&lt;&gt;"",IFERROR(INDEX(nrCKfinalExamElig,MATCH($D1368,rngCadetPIDs,0)),"")="No"),"FINAL EXAM AFTER FAILED FINAL PT (500.1.H)",IF(AND($K1368=2,ISNUMBER($L1368),COUNTIFS(nrES_PID,$D1368,nrES_Code,$F1368,nrES_Att,1)&gt;0,SUMIFS(nrES_Raw,nrES_PID,$D1368,nrES_Code,$F1368,nrES_Att,1)&gt;=$J1368),"RETEST AFTER A PASSING FIRST ATTEMPT","OK"))))))))))</f>
        <v/>
      </c>
      <c r="Y1368" s="16" t="n"/>
    </row>
    <row r="1369">
      <c r="B1369" s="17">
        <f>IF($C1369="","",$D1369&amp;"-"&amp;$F1369&amp;"-"&amp;$K1369)</f>
        <v/>
      </c>
      <c r="C1369" s="16" t="n"/>
      <c r="D1369" s="17">
        <f>IF($C1369="","",IFERROR(INDEX(rngCadetPIDs,MATCH($C1369,rngCadetNames,0)),"?"))</f>
        <v/>
      </c>
      <c r="E1369" s="17">
        <f>IF($D1369="","",IFERROR(INDEX(nrCadetAgency,MATCH($D1369,rngCadetPIDs,0)),""))</f>
        <v/>
      </c>
      <c r="F1369" s="16" t="n"/>
      <c r="G1369" s="17">
        <f>IF($F1369="","",IFERROR(INDEX(rngEPname,MATCH($F1369,rngEPcode,0)),"?"))</f>
        <v/>
      </c>
      <c r="H1369" s="17">
        <f>IF($F1369="","",IFERROR(INDEX(rngEPtype,MATCH($F1369,rngEPcode,0)),"?"))</f>
        <v/>
      </c>
      <c r="I1369" s="17">
        <f>IF($F1369="","",IFERROR(INDEX(rngEPseq,MATCH($F1369,rngEPcode,0)),""))</f>
        <v/>
      </c>
      <c r="J1369" s="17">
        <f>IF($F1369="","",IFERROR(INDEX(rngEPpass,MATCH($F1369,rngEPcode,0)),cfgPassingScore))</f>
        <v/>
      </c>
      <c r="K1369" s="16" t="n"/>
      <c r="L1369" s="16" t="n"/>
      <c r="M1369" s="17">
        <f>IF($C1369="","",IF($L1369="","",IF(NOT(ISNUMBER($L1369)),$L1369,IF(N($K1369)&gt;2,"",IF($K1369=1,IF(COUNTIFS(nrES_PID,$D1369,nrES_Code,$F1369,nrES_Att,2,nrES_Raw,"&gt;=0")&gt;0,"",$L1369),IF($L1369&gt;=$J1369,MAX($J1369,cfgRetakeRecordedCap),IF(COUNTIFS(nrES_PID,$D1369,nrES_Code,$F1369,nrES_Att,1)=0,$L1369,SUMIFS(nrES_Raw,nrES_PID,$D1369,nrES_Code,$F1369,nrES_Att,1))))))))</f>
        <v/>
      </c>
      <c r="N1369" s="17">
        <f>IF($C1369="","",IF($L1369="","",IF(NOT(ISNUMBER($L1369)),"(not a score)",IF($L1369&gt;=$J1369,"Yes","No"))))</f>
        <v/>
      </c>
      <c r="O1369" s="17">
        <f>IF($C1369="","",IF($M1369="","",IF(NOT(ISNUMBER($M1369)),"(not a score)",IF($M1369&gt;=$J1369,"Yes","No"))))</f>
        <v/>
      </c>
      <c r="P1369" s="17">
        <f>IF($C1369="","",IF($K1369="","",IF(N($K1369)&gt;2,"No",IF(COUNTIFS(nrES_PID,$D1369,nrES_Code,$F1369,nrES_Att,"&gt;"&amp;$K1369,nrES_Att,"&lt;=2",nrES_Raw,"&gt;=0")=0,"Yes","No"))))</f>
        <v/>
      </c>
      <c r="Q1369" s="17">
        <f>IF($C1369="","",IF($L1369="","",IF(AND($K1369=1,ISNUMBER($L1369),$L1369&lt;$J1369,COUNTIFS(nrES_PID,$D1369,nrES_Code,$F1369,nrES_Att,2,nrES_Raw,"&gt;=0")=0),"Yes","No")))</f>
        <v/>
      </c>
      <c r="R1369" s="17">
        <f>IF($C1369="","",IF($L1369="","",IF(AND(N($K1369)&gt;=2,ISNUMBER($L1369),$L1369&lt;$J1369),"Yes","No")))</f>
        <v/>
      </c>
      <c r="S1369" s="18" t="n"/>
      <c r="T1369" s="19">
        <f>IF(OR($C1369="",$L1369="",$K1369&lt;&gt;1,NOT(ISNUMBER($L1369)),$L1369&gt;=$J1369),"",IF($S1369="","(enter date)",_xlfn.LET(_xlpm.dn,_xlfn.XLOOKUP($S1369,nrCDdate,nrCDnum,"",1),IF(_xlpm.dn="","(after last class day)",_xlfn.LET(_xlpm.dd,_xlfn.XLOOKUP(_xlpm.dn+cfgRetestClassDays,nrCDnum,nrCDdate,""),_xlpm.ok,_xlfn.XLOOKUP(_xlpm.dn+cfgRetestClassDays,nrCDnum,nrCDinsession,"No"),IF(OR(_xlpm.dd="",_xlpm.ok&lt;&gt;"Yes"),"(after last class day)",_xlpm.dd))))))</f>
        <v/>
      </c>
      <c r="U1369" s="17">
        <f>IF($C1369="","",IF(AND($Y1369="Excused",$L1369="",N($K1369)&lt;=1),"EXCUSED - 1st attempt pending",IF(OR($L1369="",$K1369&lt;&gt;1,NOT(ISNUMBER($L1369)),$L1369&gt;=$J1369),"",IF(COUNTIFS(nrES_PID,$D1369,nrES_Code,$F1369,nrES_Att,2,nrES_Raw,"&gt;=0")&gt;0,IF(IFERROR(_xlfn.MINIFS(nrES_Date,nrES_PID,$D1369,nrES_Code,$F1369,nrES_Att,2,nrES_Raw,"&gt;=0",nrES_Date,"&gt;0"),0)=0,"RETEST UNDATED",IF(NOT(ISNUMBER($T1369)),"RETEST DATE UNCHECKED",IF(_xlfn.MINIFS(nrES_Date,nrES_PID,$D1369,nrES_Code,$F1369,nrES_Att,2,nrES_Raw,"&gt;=0",nrES_Date,"&gt;0")&gt;$T1369,"LATE RETEST "&amp;TEXT(_xlfn.MINIFS(nrES_Date,nrES_PID,$D1369,nrES_Code,$F1369,nrES_Att,2,nrES_Raw,"&gt;=0",nrES_Date,"&gt;0"),"mm/dd")&amp;" (due "&amp;TEXT($T1369,"mm/dd")&amp;")","Retested"))),IF(NOT(ISNUMBER($T1369)),"CHECK DATE",IF(TODAY()&gt;$T1369,"OVERDUE","Due "&amp;TEXT($T1369,"mm/dd")))))))</f>
        <v/>
      </c>
      <c r="V1369" s="16" t="n"/>
      <c r="W1369" s="16" t="n"/>
      <c r="X1369" s="17">
        <f>IF($C1369="","",IF(AND($L1369&lt;&gt;"",NOT(ISNUMBER($L1369))),"RAW SCORE NOT A NUMBER",IF(AND(ISNUMBER($L1369),OR($L1369&lt;0,$L1369&gt;100)),"RAW SCORE OUT OF RANGE",IF(AND($Y1369="Unexcused",OR($L1369="",NOT(ISNUMBER($L1369)),$L1369&lt;&gt;0)),"UNEXCUSED ABSENCE MUST RECORD 0",IF(COUNTIF(nrES_RecID,$B1369)&gt;1,"DUPLICATE RECORD",IF(N($K1369)&gt;2,"ATTEMPT 3+ NOT ALLOWED - policy 300.5 permits one retest per exam; this row records nothing",IF(AND($K1369=2,COUNTIFS(nrES_PID,$D1369,nrES_Code,$F1369,nrES_Att,1)=0),"ATTEMPT 2 WITHOUT ATTEMPT 1",IF(AND($K1369=2,$L1369=""),"RETEST ROW HAS NO SCORE",IF(AND($H1369="Final",$L1369&lt;&gt;"",IFERROR(INDEX(nrCKfinalExamElig,MATCH($D1369,rngCadetPIDs,0)),"")="No"),"FINAL EXAM AFTER FAILED FINAL PT (500.1.H)",IF(AND($K1369=2,ISNUMBER($L1369),COUNTIFS(nrES_PID,$D1369,nrES_Code,$F1369,nrES_Att,1)&gt;0,SUMIFS(nrES_Raw,nrES_PID,$D1369,nrES_Code,$F1369,nrES_Att,1)&gt;=$J1369),"RETEST AFTER A PASSING FIRST ATTEMPT","OK"))))))))))</f>
        <v/>
      </c>
      <c r="Y1369" s="16" t="n"/>
    </row>
    <row r="1370">
      <c r="B1370" s="17">
        <f>IF($C1370="","",$D1370&amp;"-"&amp;$F1370&amp;"-"&amp;$K1370)</f>
        <v/>
      </c>
      <c r="C1370" s="16" t="n"/>
      <c r="D1370" s="17">
        <f>IF($C1370="","",IFERROR(INDEX(rngCadetPIDs,MATCH($C1370,rngCadetNames,0)),"?"))</f>
        <v/>
      </c>
      <c r="E1370" s="17">
        <f>IF($D1370="","",IFERROR(INDEX(nrCadetAgency,MATCH($D1370,rngCadetPIDs,0)),""))</f>
        <v/>
      </c>
      <c r="F1370" s="16" t="n"/>
      <c r="G1370" s="17">
        <f>IF($F1370="","",IFERROR(INDEX(rngEPname,MATCH($F1370,rngEPcode,0)),"?"))</f>
        <v/>
      </c>
      <c r="H1370" s="17">
        <f>IF($F1370="","",IFERROR(INDEX(rngEPtype,MATCH($F1370,rngEPcode,0)),"?"))</f>
        <v/>
      </c>
      <c r="I1370" s="17">
        <f>IF($F1370="","",IFERROR(INDEX(rngEPseq,MATCH($F1370,rngEPcode,0)),""))</f>
        <v/>
      </c>
      <c r="J1370" s="17">
        <f>IF($F1370="","",IFERROR(INDEX(rngEPpass,MATCH($F1370,rngEPcode,0)),cfgPassingScore))</f>
        <v/>
      </c>
      <c r="K1370" s="16" t="n"/>
      <c r="L1370" s="16" t="n"/>
      <c r="M1370" s="17">
        <f>IF($C1370="","",IF($L1370="","",IF(NOT(ISNUMBER($L1370)),$L1370,IF(N($K1370)&gt;2,"",IF($K1370=1,IF(COUNTIFS(nrES_PID,$D1370,nrES_Code,$F1370,nrES_Att,2,nrES_Raw,"&gt;=0")&gt;0,"",$L1370),IF($L1370&gt;=$J1370,MAX($J1370,cfgRetakeRecordedCap),IF(COUNTIFS(nrES_PID,$D1370,nrES_Code,$F1370,nrES_Att,1)=0,$L1370,SUMIFS(nrES_Raw,nrES_PID,$D1370,nrES_Code,$F1370,nrES_Att,1))))))))</f>
        <v/>
      </c>
      <c r="N1370" s="17">
        <f>IF($C1370="","",IF($L1370="","",IF(NOT(ISNUMBER($L1370)),"(not a score)",IF($L1370&gt;=$J1370,"Yes","No"))))</f>
        <v/>
      </c>
      <c r="O1370" s="17">
        <f>IF($C1370="","",IF($M1370="","",IF(NOT(ISNUMBER($M1370)),"(not a score)",IF($M1370&gt;=$J1370,"Yes","No"))))</f>
        <v/>
      </c>
      <c r="P1370" s="17">
        <f>IF($C1370="","",IF($K1370="","",IF(N($K1370)&gt;2,"No",IF(COUNTIFS(nrES_PID,$D1370,nrES_Code,$F1370,nrES_Att,"&gt;"&amp;$K1370,nrES_Att,"&lt;=2",nrES_Raw,"&gt;=0")=0,"Yes","No"))))</f>
        <v/>
      </c>
      <c r="Q1370" s="17">
        <f>IF($C1370="","",IF($L1370="","",IF(AND($K1370=1,ISNUMBER($L1370),$L1370&lt;$J1370,COUNTIFS(nrES_PID,$D1370,nrES_Code,$F1370,nrES_Att,2,nrES_Raw,"&gt;=0")=0),"Yes","No")))</f>
        <v/>
      </c>
      <c r="R1370" s="17">
        <f>IF($C1370="","",IF($L1370="","",IF(AND(N($K1370)&gt;=2,ISNUMBER($L1370),$L1370&lt;$J1370),"Yes","No")))</f>
        <v/>
      </c>
      <c r="S1370" s="18" t="n"/>
      <c r="T1370" s="19">
        <f>IF(OR($C1370="",$L1370="",$K1370&lt;&gt;1,NOT(ISNUMBER($L1370)),$L1370&gt;=$J1370),"",IF($S1370="","(enter date)",_xlfn.LET(_xlpm.dn,_xlfn.XLOOKUP($S1370,nrCDdate,nrCDnum,"",1),IF(_xlpm.dn="","(after last class day)",_xlfn.LET(_xlpm.dd,_xlfn.XLOOKUP(_xlpm.dn+cfgRetestClassDays,nrCDnum,nrCDdate,""),_xlpm.ok,_xlfn.XLOOKUP(_xlpm.dn+cfgRetestClassDays,nrCDnum,nrCDinsession,"No"),IF(OR(_xlpm.dd="",_xlpm.ok&lt;&gt;"Yes"),"(after last class day)",_xlpm.dd))))))</f>
        <v/>
      </c>
      <c r="U1370" s="17">
        <f>IF($C1370="","",IF(AND($Y1370="Excused",$L1370="",N($K1370)&lt;=1),"EXCUSED - 1st attempt pending",IF(OR($L1370="",$K1370&lt;&gt;1,NOT(ISNUMBER($L1370)),$L1370&gt;=$J1370),"",IF(COUNTIFS(nrES_PID,$D1370,nrES_Code,$F1370,nrES_Att,2,nrES_Raw,"&gt;=0")&gt;0,IF(IFERROR(_xlfn.MINIFS(nrES_Date,nrES_PID,$D1370,nrES_Code,$F1370,nrES_Att,2,nrES_Raw,"&gt;=0",nrES_Date,"&gt;0"),0)=0,"RETEST UNDATED",IF(NOT(ISNUMBER($T1370)),"RETEST DATE UNCHECKED",IF(_xlfn.MINIFS(nrES_Date,nrES_PID,$D1370,nrES_Code,$F1370,nrES_Att,2,nrES_Raw,"&gt;=0",nrES_Date,"&gt;0")&gt;$T1370,"LATE RETEST "&amp;TEXT(_xlfn.MINIFS(nrES_Date,nrES_PID,$D1370,nrES_Code,$F1370,nrES_Att,2,nrES_Raw,"&gt;=0",nrES_Date,"&gt;0"),"mm/dd")&amp;" (due "&amp;TEXT($T1370,"mm/dd")&amp;")","Retested"))),IF(NOT(ISNUMBER($T1370)),"CHECK DATE",IF(TODAY()&gt;$T1370,"OVERDUE","Due "&amp;TEXT($T1370,"mm/dd")))))))</f>
        <v/>
      </c>
      <c r="V1370" s="16" t="n"/>
      <c r="W1370" s="16" t="n"/>
      <c r="X1370" s="17">
        <f>IF($C1370="","",IF(AND($L1370&lt;&gt;"",NOT(ISNUMBER($L1370))),"RAW SCORE NOT A NUMBER",IF(AND(ISNUMBER($L1370),OR($L1370&lt;0,$L1370&gt;100)),"RAW SCORE OUT OF RANGE",IF(AND($Y1370="Unexcused",OR($L1370="",NOT(ISNUMBER($L1370)),$L1370&lt;&gt;0)),"UNEXCUSED ABSENCE MUST RECORD 0",IF(COUNTIF(nrES_RecID,$B1370)&gt;1,"DUPLICATE RECORD",IF(N($K1370)&gt;2,"ATTEMPT 3+ NOT ALLOWED - policy 300.5 permits one retest per exam; this row records nothing",IF(AND($K1370=2,COUNTIFS(nrES_PID,$D1370,nrES_Code,$F1370,nrES_Att,1)=0),"ATTEMPT 2 WITHOUT ATTEMPT 1",IF(AND($K1370=2,$L1370=""),"RETEST ROW HAS NO SCORE",IF(AND($H1370="Final",$L1370&lt;&gt;"",IFERROR(INDEX(nrCKfinalExamElig,MATCH($D1370,rngCadetPIDs,0)),"")="No"),"FINAL EXAM AFTER FAILED FINAL PT (500.1.H)",IF(AND($K1370=2,ISNUMBER($L1370),COUNTIFS(nrES_PID,$D1370,nrES_Code,$F1370,nrES_Att,1)&gt;0,SUMIFS(nrES_Raw,nrES_PID,$D1370,nrES_Code,$F1370,nrES_Att,1)&gt;=$J1370),"RETEST AFTER A PASSING FIRST ATTEMPT","OK"))))))))))</f>
        <v/>
      </c>
      <c r="Y1370" s="16" t="n"/>
    </row>
    <row r="1371">
      <c r="B1371" s="17">
        <f>IF($C1371="","",$D1371&amp;"-"&amp;$F1371&amp;"-"&amp;$K1371)</f>
        <v/>
      </c>
      <c r="C1371" s="16" t="n"/>
      <c r="D1371" s="17">
        <f>IF($C1371="","",IFERROR(INDEX(rngCadetPIDs,MATCH($C1371,rngCadetNames,0)),"?"))</f>
        <v/>
      </c>
      <c r="E1371" s="17">
        <f>IF($D1371="","",IFERROR(INDEX(nrCadetAgency,MATCH($D1371,rngCadetPIDs,0)),""))</f>
        <v/>
      </c>
      <c r="F1371" s="16" t="n"/>
      <c r="G1371" s="17">
        <f>IF($F1371="","",IFERROR(INDEX(rngEPname,MATCH($F1371,rngEPcode,0)),"?"))</f>
        <v/>
      </c>
      <c r="H1371" s="17">
        <f>IF($F1371="","",IFERROR(INDEX(rngEPtype,MATCH($F1371,rngEPcode,0)),"?"))</f>
        <v/>
      </c>
      <c r="I1371" s="17">
        <f>IF($F1371="","",IFERROR(INDEX(rngEPseq,MATCH($F1371,rngEPcode,0)),""))</f>
        <v/>
      </c>
      <c r="J1371" s="17">
        <f>IF($F1371="","",IFERROR(INDEX(rngEPpass,MATCH($F1371,rngEPcode,0)),cfgPassingScore))</f>
        <v/>
      </c>
      <c r="K1371" s="16" t="n"/>
      <c r="L1371" s="16" t="n"/>
      <c r="M1371" s="17">
        <f>IF($C1371="","",IF($L1371="","",IF(NOT(ISNUMBER($L1371)),$L1371,IF(N($K1371)&gt;2,"",IF($K1371=1,IF(COUNTIFS(nrES_PID,$D1371,nrES_Code,$F1371,nrES_Att,2,nrES_Raw,"&gt;=0")&gt;0,"",$L1371),IF($L1371&gt;=$J1371,MAX($J1371,cfgRetakeRecordedCap),IF(COUNTIFS(nrES_PID,$D1371,nrES_Code,$F1371,nrES_Att,1)=0,$L1371,SUMIFS(nrES_Raw,nrES_PID,$D1371,nrES_Code,$F1371,nrES_Att,1))))))))</f>
        <v/>
      </c>
      <c r="N1371" s="17">
        <f>IF($C1371="","",IF($L1371="","",IF(NOT(ISNUMBER($L1371)),"(not a score)",IF($L1371&gt;=$J1371,"Yes","No"))))</f>
        <v/>
      </c>
      <c r="O1371" s="17">
        <f>IF($C1371="","",IF($M1371="","",IF(NOT(ISNUMBER($M1371)),"(not a score)",IF($M1371&gt;=$J1371,"Yes","No"))))</f>
        <v/>
      </c>
      <c r="P1371" s="17">
        <f>IF($C1371="","",IF($K1371="","",IF(N($K1371)&gt;2,"No",IF(COUNTIFS(nrES_PID,$D1371,nrES_Code,$F1371,nrES_Att,"&gt;"&amp;$K1371,nrES_Att,"&lt;=2",nrES_Raw,"&gt;=0")=0,"Yes","No"))))</f>
        <v/>
      </c>
      <c r="Q1371" s="17">
        <f>IF($C1371="","",IF($L1371="","",IF(AND($K1371=1,ISNUMBER($L1371),$L1371&lt;$J1371,COUNTIFS(nrES_PID,$D1371,nrES_Code,$F1371,nrES_Att,2,nrES_Raw,"&gt;=0")=0),"Yes","No")))</f>
        <v/>
      </c>
      <c r="R1371" s="17">
        <f>IF($C1371="","",IF($L1371="","",IF(AND(N($K1371)&gt;=2,ISNUMBER($L1371),$L1371&lt;$J1371),"Yes","No")))</f>
        <v/>
      </c>
      <c r="S1371" s="18" t="n"/>
      <c r="T1371" s="19">
        <f>IF(OR($C1371="",$L1371="",$K1371&lt;&gt;1,NOT(ISNUMBER($L1371)),$L1371&gt;=$J1371),"",IF($S1371="","(enter date)",_xlfn.LET(_xlpm.dn,_xlfn.XLOOKUP($S1371,nrCDdate,nrCDnum,"",1),IF(_xlpm.dn="","(after last class day)",_xlfn.LET(_xlpm.dd,_xlfn.XLOOKUP(_xlpm.dn+cfgRetestClassDays,nrCDnum,nrCDdate,""),_xlpm.ok,_xlfn.XLOOKUP(_xlpm.dn+cfgRetestClassDays,nrCDnum,nrCDinsession,"No"),IF(OR(_xlpm.dd="",_xlpm.ok&lt;&gt;"Yes"),"(after last class day)",_xlpm.dd))))))</f>
        <v/>
      </c>
      <c r="U1371" s="17">
        <f>IF($C1371="","",IF(AND($Y1371="Excused",$L1371="",N($K1371)&lt;=1),"EXCUSED - 1st attempt pending",IF(OR($L1371="",$K1371&lt;&gt;1,NOT(ISNUMBER($L1371)),$L1371&gt;=$J1371),"",IF(COUNTIFS(nrES_PID,$D1371,nrES_Code,$F1371,nrES_Att,2,nrES_Raw,"&gt;=0")&gt;0,IF(IFERROR(_xlfn.MINIFS(nrES_Date,nrES_PID,$D1371,nrES_Code,$F1371,nrES_Att,2,nrES_Raw,"&gt;=0",nrES_Date,"&gt;0"),0)=0,"RETEST UNDATED",IF(NOT(ISNUMBER($T1371)),"RETEST DATE UNCHECKED",IF(_xlfn.MINIFS(nrES_Date,nrES_PID,$D1371,nrES_Code,$F1371,nrES_Att,2,nrES_Raw,"&gt;=0",nrES_Date,"&gt;0")&gt;$T1371,"LATE RETEST "&amp;TEXT(_xlfn.MINIFS(nrES_Date,nrES_PID,$D1371,nrES_Code,$F1371,nrES_Att,2,nrES_Raw,"&gt;=0",nrES_Date,"&gt;0"),"mm/dd")&amp;" (due "&amp;TEXT($T1371,"mm/dd")&amp;")","Retested"))),IF(NOT(ISNUMBER($T1371)),"CHECK DATE",IF(TODAY()&gt;$T1371,"OVERDUE","Due "&amp;TEXT($T1371,"mm/dd")))))))</f>
        <v/>
      </c>
      <c r="V1371" s="16" t="n"/>
      <c r="W1371" s="16" t="n"/>
      <c r="X1371" s="17">
        <f>IF($C1371="","",IF(AND($L1371&lt;&gt;"",NOT(ISNUMBER($L1371))),"RAW SCORE NOT A NUMBER",IF(AND(ISNUMBER($L1371),OR($L1371&lt;0,$L1371&gt;100)),"RAW SCORE OUT OF RANGE",IF(AND($Y1371="Unexcused",OR($L1371="",NOT(ISNUMBER($L1371)),$L1371&lt;&gt;0)),"UNEXCUSED ABSENCE MUST RECORD 0",IF(COUNTIF(nrES_RecID,$B1371)&gt;1,"DUPLICATE RECORD",IF(N($K1371)&gt;2,"ATTEMPT 3+ NOT ALLOWED - policy 300.5 permits one retest per exam; this row records nothing",IF(AND($K1371=2,COUNTIFS(nrES_PID,$D1371,nrES_Code,$F1371,nrES_Att,1)=0),"ATTEMPT 2 WITHOUT ATTEMPT 1",IF(AND($K1371=2,$L1371=""),"RETEST ROW HAS NO SCORE",IF(AND($H1371="Final",$L1371&lt;&gt;"",IFERROR(INDEX(nrCKfinalExamElig,MATCH($D1371,rngCadetPIDs,0)),"")="No"),"FINAL EXAM AFTER FAILED FINAL PT (500.1.H)",IF(AND($K1371=2,ISNUMBER($L1371),COUNTIFS(nrES_PID,$D1371,nrES_Code,$F1371,nrES_Att,1)&gt;0,SUMIFS(nrES_Raw,nrES_PID,$D1371,nrES_Code,$F1371,nrES_Att,1)&gt;=$J1371),"RETEST AFTER A PASSING FIRST ATTEMPT","OK"))))))))))</f>
        <v/>
      </c>
      <c r="Y1371" s="16" t="n"/>
    </row>
    <row r="1372">
      <c r="B1372" s="17">
        <f>IF($C1372="","",$D1372&amp;"-"&amp;$F1372&amp;"-"&amp;$K1372)</f>
        <v/>
      </c>
      <c r="C1372" s="16" t="n"/>
      <c r="D1372" s="17">
        <f>IF($C1372="","",IFERROR(INDEX(rngCadetPIDs,MATCH($C1372,rngCadetNames,0)),"?"))</f>
        <v/>
      </c>
      <c r="E1372" s="17">
        <f>IF($D1372="","",IFERROR(INDEX(nrCadetAgency,MATCH($D1372,rngCadetPIDs,0)),""))</f>
        <v/>
      </c>
      <c r="F1372" s="16" t="n"/>
      <c r="G1372" s="17">
        <f>IF($F1372="","",IFERROR(INDEX(rngEPname,MATCH($F1372,rngEPcode,0)),"?"))</f>
        <v/>
      </c>
      <c r="H1372" s="17">
        <f>IF($F1372="","",IFERROR(INDEX(rngEPtype,MATCH($F1372,rngEPcode,0)),"?"))</f>
        <v/>
      </c>
      <c r="I1372" s="17">
        <f>IF($F1372="","",IFERROR(INDEX(rngEPseq,MATCH($F1372,rngEPcode,0)),""))</f>
        <v/>
      </c>
      <c r="J1372" s="17">
        <f>IF($F1372="","",IFERROR(INDEX(rngEPpass,MATCH($F1372,rngEPcode,0)),cfgPassingScore))</f>
        <v/>
      </c>
      <c r="K1372" s="16" t="n"/>
      <c r="L1372" s="16" t="n"/>
      <c r="M1372" s="17">
        <f>IF($C1372="","",IF($L1372="","",IF(NOT(ISNUMBER($L1372)),$L1372,IF(N($K1372)&gt;2,"",IF($K1372=1,IF(COUNTIFS(nrES_PID,$D1372,nrES_Code,$F1372,nrES_Att,2,nrES_Raw,"&gt;=0")&gt;0,"",$L1372),IF($L1372&gt;=$J1372,MAX($J1372,cfgRetakeRecordedCap),IF(COUNTIFS(nrES_PID,$D1372,nrES_Code,$F1372,nrES_Att,1)=0,$L1372,SUMIFS(nrES_Raw,nrES_PID,$D1372,nrES_Code,$F1372,nrES_Att,1))))))))</f>
        <v/>
      </c>
      <c r="N1372" s="17">
        <f>IF($C1372="","",IF($L1372="","",IF(NOT(ISNUMBER($L1372)),"(not a score)",IF($L1372&gt;=$J1372,"Yes","No"))))</f>
        <v/>
      </c>
      <c r="O1372" s="17">
        <f>IF($C1372="","",IF($M1372="","",IF(NOT(ISNUMBER($M1372)),"(not a score)",IF($M1372&gt;=$J1372,"Yes","No"))))</f>
        <v/>
      </c>
      <c r="P1372" s="17">
        <f>IF($C1372="","",IF($K1372="","",IF(N($K1372)&gt;2,"No",IF(COUNTIFS(nrES_PID,$D1372,nrES_Code,$F1372,nrES_Att,"&gt;"&amp;$K1372,nrES_Att,"&lt;=2",nrES_Raw,"&gt;=0")=0,"Yes","No"))))</f>
        <v/>
      </c>
      <c r="Q1372" s="17">
        <f>IF($C1372="","",IF($L1372="","",IF(AND($K1372=1,ISNUMBER($L1372),$L1372&lt;$J1372,COUNTIFS(nrES_PID,$D1372,nrES_Code,$F1372,nrES_Att,2,nrES_Raw,"&gt;=0")=0),"Yes","No")))</f>
        <v/>
      </c>
      <c r="R1372" s="17">
        <f>IF($C1372="","",IF($L1372="","",IF(AND(N($K1372)&gt;=2,ISNUMBER($L1372),$L1372&lt;$J1372),"Yes","No")))</f>
        <v/>
      </c>
      <c r="S1372" s="18" t="n"/>
      <c r="T1372" s="19">
        <f>IF(OR($C1372="",$L1372="",$K1372&lt;&gt;1,NOT(ISNUMBER($L1372)),$L1372&gt;=$J1372),"",IF($S1372="","(enter date)",_xlfn.LET(_xlpm.dn,_xlfn.XLOOKUP($S1372,nrCDdate,nrCDnum,"",1),IF(_xlpm.dn="","(after last class day)",_xlfn.LET(_xlpm.dd,_xlfn.XLOOKUP(_xlpm.dn+cfgRetestClassDays,nrCDnum,nrCDdate,""),_xlpm.ok,_xlfn.XLOOKUP(_xlpm.dn+cfgRetestClassDays,nrCDnum,nrCDinsession,"No"),IF(OR(_xlpm.dd="",_xlpm.ok&lt;&gt;"Yes"),"(after last class day)",_xlpm.dd))))))</f>
        <v/>
      </c>
      <c r="U1372" s="17">
        <f>IF($C1372="","",IF(AND($Y1372="Excused",$L1372="",N($K1372)&lt;=1),"EXCUSED - 1st attempt pending",IF(OR($L1372="",$K1372&lt;&gt;1,NOT(ISNUMBER($L1372)),$L1372&gt;=$J1372),"",IF(COUNTIFS(nrES_PID,$D1372,nrES_Code,$F1372,nrES_Att,2,nrES_Raw,"&gt;=0")&gt;0,IF(IFERROR(_xlfn.MINIFS(nrES_Date,nrES_PID,$D1372,nrES_Code,$F1372,nrES_Att,2,nrES_Raw,"&gt;=0",nrES_Date,"&gt;0"),0)=0,"RETEST UNDATED",IF(NOT(ISNUMBER($T1372)),"RETEST DATE UNCHECKED",IF(_xlfn.MINIFS(nrES_Date,nrES_PID,$D1372,nrES_Code,$F1372,nrES_Att,2,nrES_Raw,"&gt;=0",nrES_Date,"&gt;0")&gt;$T1372,"LATE RETEST "&amp;TEXT(_xlfn.MINIFS(nrES_Date,nrES_PID,$D1372,nrES_Code,$F1372,nrES_Att,2,nrES_Raw,"&gt;=0",nrES_Date,"&gt;0"),"mm/dd")&amp;" (due "&amp;TEXT($T1372,"mm/dd")&amp;")","Retested"))),IF(NOT(ISNUMBER($T1372)),"CHECK DATE",IF(TODAY()&gt;$T1372,"OVERDUE","Due "&amp;TEXT($T1372,"mm/dd")))))))</f>
        <v/>
      </c>
      <c r="V1372" s="16" t="n"/>
      <c r="W1372" s="16" t="n"/>
      <c r="X1372" s="17">
        <f>IF($C1372="","",IF(AND($L1372&lt;&gt;"",NOT(ISNUMBER($L1372))),"RAW SCORE NOT A NUMBER",IF(AND(ISNUMBER($L1372),OR($L1372&lt;0,$L1372&gt;100)),"RAW SCORE OUT OF RANGE",IF(AND($Y1372="Unexcused",OR($L1372="",NOT(ISNUMBER($L1372)),$L1372&lt;&gt;0)),"UNEXCUSED ABSENCE MUST RECORD 0",IF(COUNTIF(nrES_RecID,$B1372)&gt;1,"DUPLICATE RECORD",IF(N($K1372)&gt;2,"ATTEMPT 3+ NOT ALLOWED - policy 300.5 permits one retest per exam; this row records nothing",IF(AND($K1372=2,COUNTIFS(nrES_PID,$D1372,nrES_Code,$F1372,nrES_Att,1)=0),"ATTEMPT 2 WITHOUT ATTEMPT 1",IF(AND($K1372=2,$L1372=""),"RETEST ROW HAS NO SCORE",IF(AND($H1372="Final",$L1372&lt;&gt;"",IFERROR(INDEX(nrCKfinalExamElig,MATCH($D1372,rngCadetPIDs,0)),"")="No"),"FINAL EXAM AFTER FAILED FINAL PT (500.1.H)",IF(AND($K1372=2,ISNUMBER($L1372),COUNTIFS(nrES_PID,$D1372,nrES_Code,$F1372,nrES_Att,1)&gt;0,SUMIFS(nrES_Raw,nrES_PID,$D1372,nrES_Code,$F1372,nrES_Att,1)&gt;=$J1372),"RETEST AFTER A PASSING FIRST ATTEMPT","OK"))))))))))</f>
        <v/>
      </c>
      <c r="Y1372" s="16" t="n"/>
    </row>
    <row r="1373">
      <c r="B1373" s="17">
        <f>IF($C1373="","",$D1373&amp;"-"&amp;$F1373&amp;"-"&amp;$K1373)</f>
        <v/>
      </c>
      <c r="C1373" s="16" t="n"/>
      <c r="D1373" s="17">
        <f>IF($C1373="","",IFERROR(INDEX(rngCadetPIDs,MATCH($C1373,rngCadetNames,0)),"?"))</f>
        <v/>
      </c>
      <c r="E1373" s="17">
        <f>IF($D1373="","",IFERROR(INDEX(nrCadetAgency,MATCH($D1373,rngCadetPIDs,0)),""))</f>
        <v/>
      </c>
      <c r="F1373" s="16" t="n"/>
      <c r="G1373" s="17">
        <f>IF($F1373="","",IFERROR(INDEX(rngEPname,MATCH($F1373,rngEPcode,0)),"?"))</f>
        <v/>
      </c>
      <c r="H1373" s="17">
        <f>IF($F1373="","",IFERROR(INDEX(rngEPtype,MATCH($F1373,rngEPcode,0)),"?"))</f>
        <v/>
      </c>
      <c r="I1373" s="17">
        <f>IF($F1373="","",IFERROR(INDEX(rngEPseq,MATCH($F1373,rngEPcode,0)),""))</f>
        <v/>
      </c>
      <c r="J1373" s="17">
        <f>IF($F1373="","",IFERROR(INDEX(rngEPpass,MATCH($F1373,rngEPcode,0)),cfgPassingScore))</f>
        <v/>
      </c>
      <c r="K1373" s="16" t="n"/>
      <c r="L1373" s="16" t="n"/>
      <c r="M1373" s="17">
        <f>IF($C1373="","",IF($L1373="","",IF(NOT(ISNUMBER($L1373)),$L1373,IF(N($K1373)&gt;2,"",IF($K1373=1,IF(COUNTIFS(nrES_PID,$D1373,nrES_Code,$F1373,nrES_Att,2,nrES_Raw,"&gt;=0")&gt;0,"",$L1373),IF($L1373&gt;=$J1373,MAX($J1373,cfgRetakeRecordedCap),IF(COUNTIFS(nrES_PID,$D1373,nrES_Code,$F1373,nrES_Att,1)=0,$L1373,SUMIFS(nrES_Raw,nrES_PID,$D1373,nrES_Code,$F1373,nrES_Att,1))))))))</f>
        <v/>
      </c>
      <c r="N1373" s="17">
        <f>IF($C1373="","",IF($L1373="","",IF(NOT(ISNUMBER($L1373)),"(not a score)",IF($L1373&gt;=$J1373,"Yes","No"))))</f>
        <v/>
      </c>
      <c r="O1373" s="17">
        <f>IF($C1373="","",IF($M1373="","",IF(NOT(ISNUMBER($M1373)),"(not a score)",IF($M1373&gt;=$J1373,"Yes","No"))))</f>
        <v/>
      </c>
      <c r="P1373" s="17">
        <f>IF($C1373="","",IF($K1373="","",IF(N($K1373)&gt;2,"No",IF(COUNTIFS(nrES_PID,$D1373,nrES_Code,$F1373,nrES_Att,"&gt;"&amp;$K1373,nrES_Att,"&lt;=2",nrES_Raw,"&gt;=0")=0,"Yes","No"))))</f>
        <v/>
      </c>
      <c r="Q1373" s="17">
        <f>IF($C1373="","",IF($L1373="","",IF(AND($K1373=1,ISNUMBER($L1373),$L1373&lt;$J1373,COUNTIFS(nrES_PID,$D1373,nrES_Code,$F1373,nrES_Att,2,nrES_Raw,"&gt;=0")=0),"Yes","No")))</f>
        <v/>
      </c>
      <c r="R1373" s="17">
        <f>IF($C1373="","",IF($L1373="","",IF(AND(N($K1373)&gt;=2,ISNUMBER($L1373),$L1373&lt;$J1373),"Yes","No")))</f>
        <v/>
      </c>
      <c r="S1373" s="18" t="n"/>
      <c r="T1373" s="19">
        <f>IF(OR($C1373="",$L1373="",$K1373&lt;&gt;1,NOT(ISNUMBER($L1373)),$L1373&gt;=$J1373),"",IF($S1373="","(enter date)",_xlfn.LET(_xlpm.dn,_xlfn.XLOOKUP($S1373,nrCDdate,nrCDnum,"",1),IF(_xlpm.dn="","(after last class day)",_xlfn.LET(_xlpm.dd,_xlfn.XLOOKUP(_xlpm.dn+cfgRetestClassDays,nrCDnum,nrCDdate,""),_xlpm.ok,_xlfn.XLOOKUP(_xlpm.dn+cfgRetestClassDays,nrCDnum,nrCDinsession,"No"),IF(OR(_xlpm.dd="",_xlpm.ok&lt;&gt;"Yes"),"(after last class day)",_xlpm.dd))))))</f>
        <v/>
      </c>
      <c r="U1373" s="17">
        <f>IF($C1373="","",IF(AND($Y1373="Excused",$L1373="",N($K1373)&lt;=1),"EXCUSED - 1st attempt pending",IF(OR($L1373="",$K1373&lt;&gt;1,NOT(ISNUMBER($L1373)),$L1373&gt;=$J1373),"",IF(COUNTIFS(nrES_PID,$D1373,nrES_Code,$F1373,nrES_Att,2,nrES_Raw,"&gt;=0")&gt;0,IF(IFERROR(_xlfn.MINIFS(nrES_Date,nrES_PID,$D1373,nrES_Code,$F1373,nrES_Att,2,nrES_Raw,"&gt;=0",nrES_Date,"&gt;0"),0)=0,"RETEST UNDATED",IF(NOT(ISNUMBER($T1373)),"RETEST DATE UNCHECKED",IF(_xlfn.MINIFS(nrES_Date,nrES_PID,$D1373,nrES_Code,$F1373,nrES_Att,2,nrES_Raw,"&gt;=0",nrES_Date,"&gt;0")&gt;$T1373,"LATE RETEST "&amp;TEXT(_xlfn.MINIFS(nrES_Date,nrES_PID,$D1373,nrES_Code,$F1373,nrES_Att,2,nrES_Raw,"&gt;=0",nrES_Date,"&gt;0"),"mm/dd")&amp;" (due "&amp;TEXT($T1373,"mm/dd")&amp;")","Retested"))),IF(NOT(ISNUMBER($T1373)),"CHECK DATE",IF(TODAY()&gt;$T1373,"OVERDUE","Due "&amp;TEXT($T1373,"mm/dd")))))))</f>
        <v/>
      </c>
      <c r="V1373" s="16" t="n"/>
      <c r="W1373" s="16" t="n"/>
      <c r="X1373" s="17">
        <f>IF($C1373="","",IF(AND($L1373&lt;&gt;"",NOT(ISNUMBER($L1373))),"RAW SCORE NOT A NUMBER",IF(AND(ISNUMBER($L1373),OR($L1373&lt;0,$L1373&gt;100)),"RAW SCORE OUT OF RANGE",IF(AND($Y1373="Unexcused",OR($L1373="",NOT(ISNUMBER($L1373)),$L1373&lt;&gt;0)),"UNEXCUSED ABSENCE MUST RECORD 0",IF(COUNTIF(nrES_RecID,$B1373)&gt;1,"DUPLICATE RECORD",IF(N($K1373)&gt;2,"ATTEMPT 3+ NOT ALLOWED - policy 300.5 permits one retest per exam; this row records nothing",IF(AND($K1373=2,COUNTIFS(nrES_PID,$D1373,nrES_Code,$F1373,nrES_Att,1)=0),"ATTEMPT 2 WITHOUT ATTEMPT 1",IF(AND($K1373=2,$L1373=""),"RETEST ROW HAS NO SCORE",IF(AND($H1373="Final",$L1373&lt;&gt;"",IFERROR(INDEX(nrCKfinalExamElig,MATCH($D1373,rngCadetPIDs,0)),"")="No"),"FINAL EXAM AFTER FAILED FINAL PT (500.1.H)",IF(AND($K1373=2,ISNUMBER($L1373),COUNTIFS(nrES_PID,$D1373,nrES_Code,$F1373,nrES_Att,1)&gt;0,SUMIFS(nrES_Raw,nrES_PID,$D1373,nrES_Code,$F1373,nrES_Att,1)&gt;=$J1373),"RETEST AFTER A PASSING FIRST ATTEMPT","OK"))))))))))</f>
        <v/>
      </c>
      <c r="Y1373" s="16" t="n"/>
    </row>
    <row r="1374">
      <c r="B1374" s="17">
        <f>IF($C1374="","",$D1374&amp;"-"&amp;$F1374&amp;"-"&amp;$K1374)</f>
        <v/>
      </c>
      <c r="C1374" s="16" t="n"/>
      <c r="D1374" s="17">
        <f>IF($C1374="","",IFERROR(INDEX(rngCadetPIDs,MATCH($C1374,rngCadetNames,0)),"?"))</f>
        <v/>
      </c>
      <c r="E1374" s="17">
        <f>IF($D1374="","",IFERROR(INDEX(nrCadetAgency,MATCH($D1374,rngCadetPIDs,0)),""))</f>
        <v/>
      </c>
      <c r="F1374" s="16" t="n"/>
      <c r="G1374" s="17">
        <f>IF($F1374="","",IFERROR(INDEX(rngEPname,MATCH($F1374,rngEPcode,0)),"?"))</f>
        <v/>
      </c>
      <c r="H1374" s="17">
        <f>IF($F1374="","",IFERROR(INDEX(rngEPtype,MATCH($F1374,rngEPcode,0)),"?"))</f>
        <v/>
      </c>
      <c r="I1374" s="17">
        <f>IF($F1374="","",IFERROR(INDEX(rngEPseq,MATCH($F1374,rngEPcode,0)),""))</f>
        <v/>
      </c>
      <c r="J1374" s="17">
        <f>IF($F1374="","",IFERROR(INDEX(rngEPpass,MATCH($F1374,rngEPcode,0)),cfgPassingScore))</f>
        <v/>
      </c>
      <c r="K1374" s="16" t="n"/>
      <c r="L1374" s="16" t="n"/>
      <c r="M1374" s="17">
        <f>IF($C1374="","",IF($L1374="","",IF(NOT(ISNUMBER($L1374)),$L1374,IF(N($K1374)&gt;2,"",IF($K1374=1,IF(COUNTIFS(nrES_PID,$D1374,nrES_Code,$F1374,nrES_Att,2,nrES_Raw,"&gt;=0")&gt;0,"",$L1374),IF($L1374&gt;=$J1374,MAX($J1374,cfgRetakeRecordedCap),IF(COUNTIFS(nrES_PID,$D1374,nrES_Code,$F1374,nrES_Att,1)=0,$L1374,SUMIFS(nrES_Raw,nrES_PID,$D1374,nrES_Code,$F1374,nrES_Att,1))))))))</f>
        <v/>
      </c>
      <c r="N1374" s="17">
        <f>IF($C1374="","",IF($L1374="","",IF(NOT(ISNUMBER($L1374)),"(not a score)",IF($L1374&gt;=$J1374,"Yes","No"))))</f>
        <v/>
      </c>
      <c r="O1374" s="17">
        <f>IF($C1374="","",IF($M1374="","",IF(NOT(ISNUMBER($M1374)),"(not a score)",IF($M1374&gt;=$J1374,"Yes","No"))))</f>
        <v/>
      </c>
      <c r="P1374" s="17">
        <f>IF($C1374="","",IF($K1374="","",IF(N($K1374)&gt;2,"No",IF(COUNTIFS(nrES_PID,$D1374,nrES_Code,$F1374,nrES_Att,"&gt;"&amp;$K1374,nrES_Att,"&lt;=2",nrES_Raw,"&gt;=0")=0,"Yes","No"))))</f>
        <v/>
      </c>
      <c r="Q1374" s="17">
        <f>IF($C1374="","",IF($L1374="","",IF(AND($K1374=1,ISNUMBER($L1374),$L1374&lt;$J1374,COUNTIFS(nrES_PID,$D1374,nrES_Code,$F1374,nrES_Att,2,nrES_Raw,"&gt;=0")=0),"Yes","No")))</f>
        <v/>
      </c>
      <c r="R1374" s="17">
        <f>IF($C1374="","",IF($L1374="","",IF(AND(N($K1374)&gt;=2,ISNUMBER($L1374),$L1374&lt;$J1374),"Yes","No")))</f>
        <v/>
      </c>
      <c r="S1374" s="18" t="n"/>
      <c r="T1374" s="19">
        <f>IF(OR($C1374="",$L1374="",$K1374&lt;&gt;1,NOT(ISNUMBER($L1374)),$L1374&gt;=$J1374),"",IF($S1374="","(enter date)",_xlfn.LET(_xlpm.dn,_xlfn.XLOOKUP($S1374,nrCDdate,nrCDnum,"",1),IF(_xlpm.dn="","(after last class day)",_xlfn.LET(_xlpm.dd,_xlfn.XLOOKUP(_xlpm.dn+cfgRetestClassDays,nrCDnum,nrCDdate,""),_xlpm.ok,_xlfn.XLOOKUP(_xlpm.dn+cfgRetestClassDays,nrCDnum,nrCDinsession,"No"),IF(OR(_xlpm.dd="",_xlpm.ok&lt;&gt;"Yes"),"(after last class day)",_xlpm.dd))))))</f>
        <v/>
      </c>
      <c r="U1374" s="17">
        <f>IF($C1374="","",IF(AND($Y1374="Excused",$L1374="",N($K1374)&lt;=1),"EXCUSED - 1st attempt pending",IF(OR($L1374="",$K1374&lt;&gt;1,NOT(ISNUMBER($L1374)),$L1374&gt;=$J1374),"",IF(COUNTIFS(nrES_PID,$D1374,nrES_Code,$F1374,nrES_Att,2,nrES_Raw,"&gt;=0")&gt;0,IF(IFERROR(_xlfn.MINIFS(nrES_Date,nrES_PID,$D1374,nrES_Code,$F1374,nrES_Att,2,nrES_Raw,"&gt;=0",nrES_Date,"&gt;0"),0)=0,"RETEST UNDATED",IF(NOT(ISNUMBER($T1374)),"RETEST DATE UNCHECKED",IF(_xlfn.MINIFS(nrES_Date,nrES_PID,$D1374,nrES_Code,$F1374,nrES_Att,2,nrES_Raw,"&gt;=0",nrES_Date,"&gt;0")&gt;$T1374,"LATE RETEST "&amp;TEXT(_xlfn.MINIFS(nrES_Date,nrES_PID,$D1374,nrES_Code,$F1374,nrES_Att,2,nrES_Raw,"&gt;=0",nrES_Date,"&gt;0"),"mm/dd")&amp;" (due "&amp;TEXT($T1374,"mm/dd")&amp;")","Retested"))),IF(NOT(ISNUMBER($T1374)),"CHECK DATE",IF(TODAY()&gt;$T1374,"OVERDUE","Due "&amp;TEXT($T1374,"mm/dd")))))))</f>
        <v/>
      </c>
      <c r="V1374" s="16" t="n"/>
      <c r="W1374" s="16" t="n"/>
      <c r="X1374" s="17">
        <f>IF($C1374="","",IF(AND($L1374&lt;&gt;"",NOT(ISNUMBER($L1374))),"RAW SCORE NOT A NUMBER",IF(AND(ISNUMBER($L1374),OR($L1374&lt;0,$L1374&gt;100)),"RAW SCORE OUT OF RANGE",IF(AND($Y1374="Unexcused",OR($L1374="",NOT(ISNUMBER($L1374)),$L1374&lt;&gt;0)),"UNEXCUSED ABSENCE MUST RECORD 0",IF(COUNTIF(nrES_RecID,$B1374)&gt;1,"DUPLICATE RECORD",IF(N($K1374)&gt;2,"ATTEMPT 3+ NOT ALLOWED - policy 300.5 permits one retest per exam; this row records nothing",IF(AND($K1374=2,COUNTIFS(nrES_PID,$D1374,nrES_Code,$F1374,nrES_Att,1)=0),"ATTEMPT 2 WITHOUT ATTEMPT 1",IF(AND($K1374=2,$L1374=""),"RETEST ROW HAS NO SCORE",IF(AND($H1374="Final",$L1374&lt;&gt;"",IFERROR(INDEX(nrCKfinalExamElig,MATCH($D1374,rngCadetPIDs,0)),"")="No"),"FINAL EXAM AFTER FAILED FINAL PT (500.1.H)",IF(AND($K1374=2,ISNUMBER($L1374),COUNTIFS(nrES_PID,$D1374,nrES_Code,$F1374,nrES_Att,1)&gt;0,SUMIFS(nrES_Raw,nrES_PID,$D1374,nrES_Code,$F1374,nrES_Att,1)&gt;=$J1374),"RETEST AFTER A PASSING FIRST ATTEMPT","OK"))))))))))</f>
        <v/>
      </c>
      <c r="Y1374" s="16" t="n"/>
    </row>
    <row r="1375">
      <c r="B1375" s="17">
        <f>IF($C1375="","",$D1375&amp;"-"&amp;$F1375&amp;"-"&amp;$K1375)</f>
        <v/>
      </c>
      <c r="C1375" s="16" t="n"/>
      <c r="D1375" s="17">
        <f>IF($C1375="","",IFERROR(INDEX(rngCadetPIDs,MATCH($C1375,rngCadetNames,0)),"?"))</f>
        <v/>
      </c>
      <c r="E1375" s="17">
        <f>IF($D1375="","",IFERROR(INDEX(nrCadetAgency,MATCH($D1375,rngCadetPIDs,0)),""))</f>
        <v/>
      </c>
      <c r="F1375" s="16" t="n"/>
      <c r="G1375" s="17">
        <f>IF($F1375="","",IFERROR(INDEX(rngEPname,MATCH($F1375,rngEPcode,0)),"?"))</f>
        <v/>
      </c>
      <c r="H1375" s="17">
        <f>IF($F1375="","",IFERROR(INDEX(rngEPtype,MATCH($F1375,rngEPcode,0)),"?"))</f>
        <v/>
      </c>
      <c r="I1375" s="17">
        <f>IF($F1375="","",IFERROR(INDEX(rngEPseq,MATCH($F1375,rngEPcode,0)),""))</f>
        <v/>
      </c>
      <c r="J1375" s="17">
        <f>IF($F1375="","",IFERROR(INDEX(rngEPpass,MATCH($F1375,rngEPcode,0)),cfgPassingScore))</f>
        <v/>
      </c>
      <c r="K1375" s="16" t="n"/>
      <c r="L1375" s="16" t="n"/>
      <c r="M1375" s="17">
        <f>IF($C1375="","",IF($L1375="","",IF(NOT(ISNUMBER($L1375)),$L1375,IF(N($K1375)&gt;2,"",IF($K1375=1,IF(COUNTIFS(nrES_PID,$D1375,nrES_Code,$F1375,nrES_Att,2,nrES_Raw,"&gt;=0")&gt;0,"",$L1375),IF($L1375&gt;=$J1375,MAX($J1375,cfgRetakeRecordedCap),IF(COUNTIFS(nrES_PID,$D1375,nrES_Code,$F1375,nrES_Att,1)=0,$L1375,SUMIFS(nrES_Raw,nrES_PID,$D1375,nrES_Code,$F1375,nrES_Att,1))))))))</f>
        <v/>
      </c>
      <c r="N1375" s="17">
        <f>IF($C1375="","",IF($L1375="","",IF(NOT(ISNUMBER($L1375)),"(not a score)",IF($L1375&gt;=$J1375,"Yes","No"))))</f>
        <v/>
      </c>
      <c r="O1375" s="17">
        <f>IF($C1375="","",IF($M1375="","",IF(NOT(ISNUMBER($M1375)),"(not a score)",IF($M1375&gt;=$J1375,"Yes","No"))))</f>
        <v/>
      </c>
      <c r="P1375" s="17">
        <f>IF($C1375="","",IF($K1375="","",IF(N($K1375)&gt;2,"No",IF(COUNTIFS(nrES_PID,$D1375,nrES_Code,$F1375,nrES_Att,"&gt;"&amp;$K1375,nrES_Att,"&lt;=2",nrES_Raw,"&gt;=0")=0,"Yes","No"))))</f>
        <v/>
      </c>
      <c r="Q1375" s="17">
        <f>IF($C1375="","",IF($L1375="","",IF(AND($K1375=1,ISNUMBER($L1375),$L1375&lt;$J1375,COUNTIFS(nrES_PID,$D1375,nrES_Code,$F1375,nrES_Att,2,nrES_Raw,"&gt;=0")=0),"Yes","No")))</f>
        <v/>
      </c>
      <c r="R1375" s="17">
        <f>IF($C1375="","",IF($L1375="","",IF(AND(N($K1375)&gt;=2,ISNUMBER($L1375),$L1375&lt;$J1375),"Yes","No")))</f>
        <v/>
      </c>
      <c r="S1375" s="18" t="n"/>
      <c r="T1375" s="19">
        <f>IF(OR($C1375="",$L1375="",$K1375&lt;&gt;1,NOT(ISNUMBER($L1375)),$L1375&gt;=$J1375),"",IF($S1375="","(enter date)",_xlfn.LET(_xlpm.dn,_xlfn.XLOOKUP($S1375,nrCDdate,nrCDnum,"",1),IF(_xlpm.dn="","(after last class day)",_xlfn.LET(_xlpm.dd,_xlfn.XLOOKUP(_xlpm.dn+cfgRetestClassDays,nrCDnum,nrCDdate,""),_xlpm.ok,_xlfn.XLOOKUP(_xlpm.dn+cfgRetestClassDays,nrCDnum,nrCDinsession,"No"),IF(OR(_xlpm.dd="",_xlpm.ok&lt;&gt;"Yes"),"(after last class day)",_xlpm.dd))))))</f>
        <v/>
      </c>
      <c r="U1375" s="17">
        <f>IF($C1375="","",IF(AND($Y1375="Excused",$L1375="",N($K1375)&lt;=1),"EXCUSED - 1st attempt pending",IF(OR($L1375="",$K1375&lt;&gt;1,NOT(ISNUMBER($L1375)),$L1375&gt;=$J1375),"",IF(COUNTIFS(nrES_PID,$D1375,nrES_Code,$F1375,nrES_Att,2,nrES_Raw,"&gt;=0")&gt;0,IF(IFERROR(_xlfn.MINIFS(nrES_Date,nrES_PID,$D1375,nrES_Code,$F1375,nrES_Att,2,nrES_Raw,"&gt;=0",nrES_Date,"&gt;0"),0)=0,"RETEST UNDATED",IF(NOT(ISNUMBER($T1375)),"RETEST DATE UNCHECKED",IF(_xlfn.MINIFS(nrES_Date,nrES_PID,$D1375,nrES_Code,$F1375,nrES_Att,2,nrES_Raw,"&gt;=0",nrES_Date,"&gt;0")&gt;$T1375,"LATE RETEST "&amp;TEXT(_xlfn.MINIFS(nrES_Date,nrES_PID,$D1375,nrES_Code,$F1375,nrES_Att,2,nrES_Raw,"&gt;=0",nrES_Date,"&gt;0"),"mm/dd")&amp;" (due "&amp;TEXT($T1375,"mm/dd")&amp;")","Retested"))),IF(NOT(ISNUMBER($T1375)),"CHECK DATE",IF(TODAY()&gt;$T1375,"OVERDUE","Due "&amp;TEXT($T1375,"mm/dd")))))))</f>
        <v/>
      </c>
      <c r="V1375" s="16" t="n"/>
      <c r="W1375" s="16" t="n"/>
      <c r="X1375" s="17">
        <f>IF($C1375="","",IF(AND($L1375&lt;&gt;"",NOT(ISNUMBER($L1375))),"RAW SCORE NOT A NUMBER",IF(AND(ISNUMBER($L1375),OR($L1375&lt;0,$L1375&gt;100)),"RAW SCORE OUT OF RANGE",IF(AND($Y1375="Unexcused",OR($L1375="",NOT(ISNUMBER($L1375)),$L1375&lt;&gt;0)),"UNEXCUSED ABSENCE MUST RECORD 0",IF(COUNTIF(nrES_RecID,$B1375)&gt;1,"DUPLICATE RECORD",IF(N($K1375)&gt;2,"ATTEMPT 3+ NOT ALLOWED - policy 300.5 permits one retest per exam; this row records nothing",IF(AND($K1375=2,COUNTIFS(nrES_PID,$D1375,nrES_Code,$F1375,nrES_Att,1)=0),"ATTEMPT 2 WITHOUT ATTEMPT 1",IF(AND($K1375=2,$L1375=""),"RETEST ROW HAS NO SCORE",IF(AND($H1375="Final",$L1375&lt;&gt;"",IFERROR(INDEX(nrCKfinalExamElig,MATCH($D1375,rngCadetPIDs,0)),"")="No"),"FINAL EXAM AFTER FAILED FINAL PT (500.1.H)",IF(AND($K1375=2,ISNUMBER($L1375),COUNTIFS(nrES_PID,$D1375,nrES_Code,$F1375,nrES_Att,1)&gt;0,SUMIFS(nrES_Raw,nrES_PID,$D1375,nrES_Code,$F1375,nrES_Att,1)&gt;=$J1375),"RETEST AFTER A PASSING FIRST ATTEMPT","OK"))))))))))</f>
        <v/>
      </c>
      <c r="Y1375" s="16" t="n"/>
    </row>
    <row r="1376">
      <c r="B1376" s="17">
        <f>IF($C1376="","",$D1376&amp;"-"&amp;$F1376&amp;"-"&amp;$K1376)</f>
        <v/>
      </c>
      <c r="C1376" s="16" t="n"/>
      <c r="D1376" s="17">
        <f>IF($C1376="","",IFERROR(INDEX(rngCadetPIDs,MATCH($C1376,rngCadetNames,0)),"?"))</f>
        <v/>
      </c>
      <c r="E1376" s="17">
        <f>IF($D1376="","",IFERROR(INDEX(nrCadetAgency,MATCH($D1376,rngCadetPIDs,0)),""))</f>
        <v/>
      </c>
      <c r="F1376" s="16" t="n"/>
      <c r="G1376" s="17">
        <f>IF($F1376="","",IFERROR(INDEX(rngEPname,MATCH($F1376,rngEPcode,0)),"?"))</f>
        <v/>
      </c>
      <c r="H1376" s="17">
        <f>IF($F1376="","",IFERROR(INDEX(rngEPtype,MATCH($F1376,rngEPcode,0)),"?"))</f>
        <v/>
      </c>
      <c r="I1376" s="17">
        <f>IF($F1376="","",IFERROR(INDEX(rngEPseq,MATCH($F1376,rngEPcode,0)),""))</f>
        <v/>
      </c>
      <c r="J1376" s="17">
        <f>IF($F1376="","",IFERROR(INDEX(rngEPpass,MATCH($F1376,rngEPcode,0)),cfgPassingScore))</f>
        <v/>
      </c>
      <c r="K1376" s="16" t="n"/>
      <c r="L1376" s="16" t="n"/>
      <c r="M1376" s="17">
        <f>IF($C1376="","",IF($L1376="","",IF(NOT(ISNUMBER($L1376)),$L1376,IF(N($K1376)&gt;2,"",IF($K1376=1,IF(COUNTIFS(nrES_PID,$D1376,nrES_Code,$F1376,nrES_Att,2,nrES_Raw,"&gt;=0")&gt;0,"",$L1376),IF($L1376&gt;=$J1376,MAX($J1376,cfgRetakeRecordedCap),IF(COUNTIFS(nrES_PID,$D1376,nrES_Code,$F1376,nrES_Att,1)=0,$L1376,SUMIFS(nrES_Raw,nrES_PID,$D1376,nrES_Code,$F1376,nrES_Att,1))))))))</f>
        <v/>
      </c>
      <c r="N1376" s="17">
        <f>IF($C1376="","",IF($L1376="","",IF(NOT(ISNUMBER($L1376)),"(not a score)",IF($L1376&gt;=$J1376,"Yes","No"))))</f>
        <v/>
      </c>
      <c r="O1376" s="17">
        <f>IF($C1376="","",IF($M1376="","",IF(NOT(ISNUMBER($M1376)),"(not a score)",IF($M1376&gt;=$J1376,"Yes","No"))))</f>
        <v/>
      </c>
      <c r="P1376" s="17">
        <f>IF($C1376="","",IF($K1376="","",IF(N($K1376)&gt;2,"No",IF(COUNTIFS(nrES_PID,$D1376,nrES_Code,$F1376,nrES_Att,"&gt;"&amp;$K1376,nrES_Att,"&lt;=2",nrES_Raw,"&gt;=0")=0,"Yes","No"))))</f>
        <v/>
      </c>
      <c r="Q1376" s="17">
        <f>IF($C1376="","",IF($L1376="","",IF(AND($K1376=1,ISNUMBER($L1376),$L1376&lt;$J1376,COUNTIFS(nrES_PID,$D1376,nrES_Code,$F1376,nrES_Att,2,nrES_Raw,"&gt;=0")=0),"Yes","No")))</f>
        <v/>
      </c>
      <c r="R1376" s="17">
        <f>IF($C1376="","",IF($L1376="","",IF(AND(N($K1376)&gt;=2,ISNUMBER($L1376),$L1376&lt;$J1376),"Yes","No")))</f>
        <v/>
      </c>
      <c r="S1376" s="18" t="n"/>
      <c r="T1376" s="19">
        <f>IF(OR($C1376="",$L1376="",$K1376&lt;&gt;1,NOT(ISNUMBER($L1376)),$L1376&gt;=$J1376),"",IF($S1376="","(enter date)",_xlfn.LET(_xlpm.dn,_xlfn.XLOOKUP($S1376,nrCDdate,nrCDnum,"",1),IF(_xlpm.dn="","(after last class day)",_xlfn.LET(_xlpm.dd,_xlfn.XLOOKUP(_xlpm.dn+cfgRetestClassDays,nrCDnum,nrCDdate,""),_xlpm.ok,_xlfn.XLOOKUP(_xlpm.dn+cfgRetestClassDays,nrCDnum,nrCDinsession,"No"),IF(OR(_xlpm.dd="",_xlpm.ok&lt;&gt;"Yes"),"(after last class day)",_xlpm.dd))))))</f>
        <v/>
      </c>
      <c r="U1376" s="17">
        <f>IF($C1376="","",IF(AND($Y1376="Excused",$L1376="",N($K1376)&lt;=1),"EXCUSED - 1st attempt pending",IF(OR($L1376="",$K1376&lt;&gt;1,NOT(ISNUMBER($L1376)),$L1376&gt;=$J1376),"",IF(COUNTIFS(nrES_PID,$D1376,nrES_Code,$F1376,nrES_Att,2,nrES_Raw,"&gt;=0")&gt;0,IF(IFERROR(_xlfn.MINIFS(nrES_Date,nrES_PID,$D1376,nrES_Code,$F1376,nrES_Att,2,nrES_Raw,"&gt;=0",nrES_Date,"&gt;0"),0)=0,"RETEST UNDATED",IF(NOT(ISNUMBER($T1376)),"RETEST DATE UNCHECKED",IF(_xlfn.MINIFS(nrES_Date,nrES_PID,$D1376,nrES_Code,$F1376,nrES_Att,2,nrES_Raw,"&gt;=0",nrES_Date,"&gt;0")&gt;$T1376,"LATE RETEST "&amp;TEXT(_xlfn.MINIFS(nrES_Date,nrES_PID,$D1376,nrES_Code,$F1376,nrES_Att,2,nrES_Raw,"&gt;=0",nrES_Date,"&gt;0"),"mm/dd")&amp;" (due "&amp;TEXT($T1376,"mm/dd")&amp;")","Retested"))),IF(NOT(ISNUMBER($T1376)),"CHECK DATE",IF(TODAY()&gt;$T1376,"OVERDUE","Due "&amp;TEXT($T1376,"mm/dd")))))))</f>
        <v/>
      </c>
      <c r="V1376" s="16" t="n"/>
      <c r="W1376" s="16" t="n"/>
      <c r="X1376" s="17">
        <f>IF($C1376="","",IF(AND($L1376&lt;&gt;"",NOT(ISNUMBER($L1376))),"RAW SCORE NOT A NUMBER",IF(AND(ISNUMBER($L1376),OR($L1376&lt;0,$L1376&gt;100)),"RAW SCORE OUT OF RANGE",IF(AND($Y1376="Unexcused",OR($L1376="",NOT(ISNUMBER($L1376)),$L1376&lt;&gt;0)),"UNEXCUSED ABSENCE MUST RECORD 0",IF(COUNTIF(nrES_RecID,$B1376)&gt;1,"DUPLICATE RECORD",IF(N($K1376)&gt;2,"ATTEMPT 3+ NOT ALLOWED - policy 300.5 permits one retest per exam; this row records nothing",IF(AND($K1376=2,COUNTIFS(nrES_PID,$D1376,nrES_Code,$F1376,nrES_Att,1)=0),"ATTEMPT 2 WITHOUT ATTEMPT 1",IF(AND($K1376=2,$L1376=""),"RETEST ROW HAS NO SCORE",IF(AND($H1376="Final",$L1376&lt;&gt;"",IFERROR(INDEX(nrCKfinalExamElig,MATCH($D1376,rngCadetPIDs,0)),"")="No"),"FINAL EXAM AFTER FAILED FINAL PT (500.1.H)",IF(AND($K1376=2,ISNUMBER($L1376),COUNTIFS(nrES_PID,$D1376,nrES_Code,$F1376,nrES_Att,1)&gt;0,SUMIFS(nrES_Raw,nrES_PID,$D1376,nrES_Code,$F1376,nrES_Att,1)&gt;=$J1376),"RETEST AFTER A PASSING FIRST ATTEMPT","OK"))))))))))</f>
        <v/>
      </c>
      <c r="Y1376" s="16" t="n"/>
    </row>
    <row r="1377">
      <c r="B1377" s="17">
        <f>IF($C1377="","",$D1377&amp;"-"&amp;$F1377&amp;"-"&amp;$K1377)</f>
        <v/>
      </c>
      <c r="C1377" s="16" t="n"/>
      <c r="D1377" s="17">
        <f>IF($C1377="","",IFERROR(INDEX(rngCadetPIDs,MATCH($C1377,rngCadetNames,0)),"?"))</f>
        <v/>
      </c>
      <c r="E1377" s="17">
        <f>IF($D1377="","",IFERROR(INDEX(nrCadetAgency,MATCH($D1377,rngCadetPIDs,0)),""))</f>
        <v/>
      </c>
      <c r="F1377" s="16" t="n"/>
      <c r="G1377" s="17">
        <f>IF($F1377="","",IFERROR(INDEX(rngEPname,MATCH($F1377,rngEPcode,0)),"?"))</f>
        <v/>
      </c>
      <c r="H1377" s="17">
        <f>IF($F1377="","",IFERROR(INDEX(rngEPtype,MATCH($F1377,rngEPcode,0)),"?"))</f>
        <v/>
      </c>
      <c r="I1377" s="17">
        <f>IF($F1377="","",IFERROR(INDEX(rngEPseq,MATCH($F1377,rngEPcode,0)),""))</f>
        <v/>
      </c>
      <c r="J1377" s="17">
        <f>IF($F1377="","",IFERROR(INDEX(rngEPpass,MATCH($F1377,rngEPcode,0)),cfgPassingScore))</f>
        <v/>
      </c>
      <c r="K1377" s="16" t="n"/>
      <c r="L1377" s="16" t="n"/>
      <c r="M1377" s="17">
        <f>IF($C1377="","",IF($L1377="","",IF(NOT(ISNUMBER($L1377)),$L1377,IF(N($K1377)&gt;2,"",IF($K1377=1,IF(COUNTIFS(nrES_PID,$D1377,nrES_Code,$F1377,nrES_Att,2,nrES_Raw,"&gt;=0")&gt;0,"",$L1377),IF($L1377&gt;=$J1377,MAX($J1377,cfgRetakeRecordedCap),IF(COUNTIFS(nrES_PID,$D1377,nrES_Code,$F1377,nrES_Att,1)=0,$L1377,SUMIFS(nrES_Raw,nrES_PID,$D1377,nrES_Code,$F1377,nrES_Att,1))))))))</f>
        <v/>
      </c>
      <c r="N1377" s="17">
        <f>IF($C1377="","",IF($L1377="","",IF(NOT(ISNUMBER($L1377)),"(not a score)",IF($L1377&gt;=$J1377,"Yes","No"))))</f>
        <v/>
      </c>
      <c r="O1377" s="17">
        <f>IF($C1377="","",IF($M1377="","",IF(NOT(ISNUMBER($M1377)),"(not a score)",IF($M1377&gt;=$J1377,"Yes","No"))))</f>
        <v/>
      </c>
      <c r="P1377" s="17">
        <f>IF($C1377="","",IF($K1377="","",IF(N($K1377)&gt;2,"No",IF(COUNTIFS(nrES_PID,$D1377,nrES_Code,$F1377,nrES_Att,"&gt;"&amp;$K1377,nrES_Att,"&lt;=2",nrES_Raw,"&gt;=0")=0,"Yes","No"))))</f>
        <v/>
      </c>
      <c r="Q1377" s="17">
        <f>IF($C1377="","",IF($L1377="","",IF(AND($K1377=1,ISNUMBER($L1377),$L1377&lt;$J1377,COUNTIFS(nrES_PID,$D1377,nrES_Code,$F1377,nrES_Att,2,nrES_Raw,"&gt;=0")=0),"Yes","No")))</f>
        <v/>
      </c>
      <c r="R1377" s="17">
        <f>IF($C1377="","",IF($L1377="","",IF(AND(N($K1377)&gt;=2,ISNUMBER($L1377),$L1377&lt;$J1377),"Yes","No")))</f>
        <v/>
      </c>
      <c r="S1377" s="18" t="n"/>
      <c r="T1377" s="19">
        <f>IF(OR($C1377="",$L1377="",$K1377&lt;&gt;1,NOT(ISNUMBER($L1377)),$L1377&gt;=$J1377),"",IF($S1377="","(enter date)",_xlfn.LET(_xlpm.dn,_xlfn.XLOOKUP($S1377,nrCDdate,nrCDnum,"",1),IF(_xlpm.dn="","(after last class day)",_xlfn.LET(_xlpm.dd,_xlfn.XLOOKUP(_xlpm.dn+cfgRetestClassDays,nrCDnum,nrCDdate,""),_xlpm.ok,_xlfn.XLOOKUP(_xlpm.dn+cfgRetestClassDays,nrCDnum,nrCDinsession,"No"),IF(OR(_xlpm.dd="",_xlpm.ok&lt;&gt;"Yes"),"(after last class day)",_xlpm.dd))))))</f>
        <v/>
      </c>
      <c r="U1377" s="17">
        <f>IF($C1377="","",IF(AND($Y1377="Excused",$L1377="",N($K1377)&lt;=1),"EXCUSED - 1st attempt pending",IF(OR($L1377="",$K1377&lt;&gt;1,NOT(ISNUMBER($L1377)),$L1377&gt;=$J1377),"",IF(COUNTIFS(nrES_PID,$D1377,nrES_Code,$F1377,nrES_Att,2,nrES_Raw,"&gt;=0")&gt;0,IF(IFERROR(_xlfn.MINIFS(nrES_Date,nrES_PID,$D1377,nrES_Code,$F1377,nrES_Att,2,nrES_Raw,"&gt;=0",nrES_Date,"&gt;0"),0)=0,"RETEST UNDATED",IF(NOT(ISNUMBER($T1377)),"RETEST DATE UNCHECKED",IF(_xlfn.MINIFS(nrES_Date,nrES_PID,$D1377,nrES_Code,$F1377,nrES_Att,2,nrES_Raw,"&gt;=0",nrES_Date,"&gt;0")&gt;$T1377,"LATE RETEST "&amp;TEXT(_xlfn.MINIFS(nrES_Date,nrES_PID,$D1377,nrES_Code,$F1377,nrES_Att,2,nrES_Raw,"&gt;=0",nrES_Date,"&gt;0"),"mm/dd")&amp;" (due "&amp;TEXT($T1377,"mm/dd")&amp;")","Retested"))),IF(NOT(ISNUMBER($T1377)),"CHECK DATE",IF(TODAY()&gt;$T1377,"OVERDUE","Due "&amp;TEXT($T1377,"mm/dd")))))))</f>
        <v/>
      </c>
      <c r="V1377" s="16" t="n"/>
      <c r="W1377" s="16" t="n"/>
      <c r="X1377" s="17">
        <f>IF($C1377="","",IF(AND($L1377&lt;&gt;"",NOT(ISNUMBER($L1377))),"RAW SCORE NOT A NUMBER",IF(AND(ISNUMBER($L1377),OR($L1377&lt;0,$L1377&gt;100)),"RAW SCORE OUT OF RANGE",IF(AND($Y1377="Unexcused",OR($L1377="",NOT(ISNUMBER($L1377)),$L1377&lt;&gt;0)),"UNEXCUSED ABSENCE MUST RECORD 0",IF(COUNTIF(nrES_RecID,$B1377)&gt;1,"DUPLICATE RECORD",IF(N($K1377)&gt;2,"ATTEMPT 3+ NOT ALLOWED - policy 300.5 permits one retest per exam; this row records nothing",IF(AND($K1377=2,COUNTIFS(nrES_PID,$D1377,nrES_Code,$F1377,nrES_Att,1)=0),"ATTEMPT 2 WITHOUT ATTEMPT 1",IF(AND($K1377=2,$L1377=""),"RETEST ROW HAS NO SCORE",IF(AND($H1377="Final",$L1377&lt;&gt;"",IFERROR(INDEX(nrCKfinalExamElig,MATCH($D1377,rngCadetPIDs,0)),"")="No"),"FINAL EXAM AFTER FAILED FINAL PT (500.1.H)",IF(AND($K1377=2,ISNUMBER($L1377),COUNTIFS(nrES_PID,$D1377,nrES_Code,$F1377,nrES_Att,1)&gt;0,SUMIFS(nrES_Raw,nrES_PID,$D1377,nrES_Code,$F1377,nrES_Att,1)&gt;=$J1377),"RETEST AFTER A PASSING FIRST ATTEMPT","OK"))))))))))</f>
        <v/>
      </c>
      <c r="Y1377" s="16" t="n"/>
    </row>
    <row r="1378">
      <c r="B1378" s="17">
        <f>IF($C1378="","",$D1378&amp;"-"&amp;$F1378&amp;"-"&amp;$K1378)</f>
        <v/>
      </c>
      <c r="C1378" s="16" t="n"/>
      <c r="D1378" s="17">
        <f>IF($C1378="","",IFERROR(INDEX(rngCadetPIDs,MATCH($C1378,rngCadetNames,0)),"?"))</f>
        <v/>
      </c>
      <c r="E1378" s="17">
        <f>IF($D1378="","",IFERROR(INDEX(nrCadetAgency,MATCH($D1378,rngCadetPIDs,0)),""))</f>
        <v/>
      </c>
      <c r="F1378" s="16" t="n"/>
      <c r="G1378" s="17">
        <f>IF($F1378="","",IFERROR(INDEX(rngEPname,MATCH($F1378,rngEPcode,0)),"?"))</f>
        <v/>
      </c>
      <c r="H1378" s="17">
        <f>IF($F1378="","",IFERROR(INDEX(rngEPtype,MATCH($F1378,rngEPcode,0)),"?"))</f>
        <v/>
      </c>
      <c r="I1378" s="17">
        <f>IF($F1378="","",IFERROR(INDEX(rngEPseq,MATCH($F1378,rngEPcode,0)),""))</f>
        <v/>
      </c>
      <c r="J1378" s="17">
        <f>IF($F1378="","",IFERROR(INDEX(rngEPpass,MATCH($F1378,rngEPcode,0)),cfgPassingScore))</f>
        <v/>
      </c>
      <c r="K1378" s="16" t="n"/>
      <c r="L1378" s="16" t="n"/>
      <c r="M1378" s="17">
        <f>IF($C1378="","",IF($L1378="","",IF(NOT(ISNUMBER($L1378)),$L1378,IF(N($K1378)&gt;2,"",IF($K1378=1,IF(COUNTIFS(nrES_PID,$D1378,nrES_Code,$F1378,nrES_Att,2,nrES_Raw,"&gt;=0")&gt;0,"",$L1378),IF($L1378&gt;=$J1378,MAX($J1378,cfgRetakeRecordedCap),IF(COUNTIFS(nrES_PID,$D1378,nrES_Code,$F1378,nrES_Att,1)=0,$L1378,SUMIFS(nrES_Raw,nrES_PID,$D1378,nrES_Code,$F1378,nrES_Att,1))))))))</f>
        <v/>
      </c>
      <c r="N1378" s="17">
        <f>IF($C1378="","",IF($L1378="","",IF(NOT(ISNUMBER($L1378)),"(not a score)",IF($L1378&gt;=$J1378,"Yes","No"))))</f>
        <v/>
      </c>
      <c r="O1378" s="17">
        <f>IF($C1378="","",IF($M1378="","",IF(NOT(ISNUMBER($M1378)),"(not a score)",IF($M1378&gt;=$J1378,"Yes","No"))))</f>
        <v/>
      </c>
      <c r="P1378" s="17">
        <f>IF($C1378="","",IF($K1378="","",IF(N($K1378)&gt;2,"No",IF(COUNTIFS(nrES_PID,$D1378,nrES_Code,$F1378,nrES_Att,"&gt;"&amp;$K1378,nrES_Att,"&lt;=2",nrES_Raw,"&gt;=0")=0,"Yes","No"))))</f>
        <v/>
      </c>
      <c r="Q1378" s="17">
        <f>IF($C1378="","",IF($L1378="","",IF(AND($K1378=1,ISNUMBER($L1378),$L1378&lt;$J1378,COUNTIFS(nrES_PID,$D1378,nrES_Code,$F1378,nrES_Att,2,nrES_Raw,"&gt;=0")=0),"Yes","No")))</f>
        <v/>
      </c>
      <c r="R1378" s="17">
        <f>IF($C1378="","",IF($L1378="","",IF(AND(N($K1378)&gt;=2,ISNUMBER($L1378),$L1378&lt;$J1378),"Yes","No")))</f>
        <v/>
      </c>
      <c r="S1378" s="18" t="n"/>
      <c r="T1378" s="19">
        <f>IF(OR($C1378="",$L1378="",$K1378&lt;&gt;1,NOT(ISNUMBER($L1378)),$L1378&gt;=$J1378),"",IF($S1378="","(enter date)",_xlfn.LET(_xlpm.dn,_xlfn.XLOOKUP($S1378,nrCDdate,nrCDnum,"",1),IF(_xlpm.dn="","(after last class day)",_xlfn.LET(_xlpm.dd,_xlfn.XLOOKUP(_xlpm.dn+cfgRetestClassDays,nrCDnum,nrCDdate,""),_xlpm.ok,_xlfn.XLOOKUP(_xlpm.dn+cfgRetestClassDays,nrCDnum,nrCDinsession,"No"),IF(OR(_xlpm.dd="",_xlpm.ok&lt;&gt;"Yes"),"(after last class day)",_xlpm.dd))))))</f>
        <v/>
      </c>
      <c r="U1378" s="17">
        <f>IF($C1378="","",IF(AND($Y1378="Excused",$L1378="",N($K1378)&lt;=1),"EXCUSED - 1st attempt pending",IF(OR($L1378="",$K1378&lt;&gt;1,NOT(ISNUMBER($L1378)),$L1378&gt;=$J1378),"",IF(COUNTIFS(nrES_PID,$D1378,nrES_Code,$F1378,nrES_Att,2,nrES_Raw,"&gt;=0")&gt;0,IF(IFERROR(_xlfn.MINIFS(nrES_Date,nrES_PID,$D1378,nrES_Code,$F1378,nrES_Att,2,nrES_Raw,"&gt;=0",nrES_Date,"&gt;0"),0)=0,"RETEST UNDATED",IF(NOT(ISNUMBER($T1378)),"RETEST DATE UNCHECKED",IF(_xlfn.MINIFS(nrES_Date,nrES_PID,$D1378,nrES_Code,$F1378,nrES_Att,2,nrES_Raw,"&gt;=0",nrES_Date,"&gt;0")&gt;$T1378,"LATE RETEST "&amp;TEXT(_xlfn.MINIFS(nrES_Date,nrES_PID,$D1378,nrES_Code,$F1378,nrES_Att,2,nrES_Raw,"&gt;=0",nrES_Date,"&gt;0"),"mm/dd")&amp;" (due "&amp;TEXT($T1378,"mm/dd")&amp;")","Retested"))),IF(NOT(ISNUMBER($T1378)),"CHECK DATE",IF(TODAY()&gt;$T1378,"OVERDUE","Due "&amp;TEXT($T1378,"mm/dd")))))))</f>
        <v/>
      </c>
      <c r="V1378" s="16" t="n"/>
      <c r="W1378" s="16" t="n"/>
      <c r="X1378" s="17">
        <f>IF($C1378="","",IF(AND($L1378&lt;&gt;"",NOT(ISNUMBER($L1378))),"RAW SCORE NOT A NUMBER",IF(AND(ISNUMBER($L1378),OR($L1378&lt;0,$L1378&gt;100)),"RAW SCORE OUT OF RANGE",IF(AND($Y1378="Unexcused",OR($L1378="",NOT(ISNUMBER($L1378)),$L1378&lt;&gt;0)),"UNEXCUSED ABSENCE MUST RECORD 0",IF(COUNTIF(nrES_RecID,$B1378)&gt;1,"DUPLICATE RECORD",IF(N($K1378)&gt;2,"ATTEMPT 3+ NOT ALLOWED - policy 300.5 permits one retest per exam; this row records nothing",IF(AND($K1378=2,COUNTIFS(nrES_PID,$D1378,nrES_Code,$F1378,nrES_Att,1)=0),"ATTEMPT 2 WITHOUT ATTEMPT 1",IF(AND($K1378=2,$L1378=""),"RETEST ROW HAS NO SCORE",IF(AND($H1378="Final",$L1378&lt;&gt;"",IFERROR(INDEX(nrCKfinalExamElig,MATCH($D1378,rngCadetPIDs,0)),"")="No"),"FINAL EXAM AFTER FAILED FINAL PT (500.1.H)",IF(AND($K1378=2,ISNUMBER($L1378),COUNTIFS(nrES_PID,$D1378,nrES_Code,$F1378,nrES_Att,1)&gt;0,SUMIFS(nrES_Raw,nrES_PID,$D1378,nrES_Code,$F1378,nrES_Att,1)&gt;=$J1378),"RETEST AFTER A PASSING FIRST ATTEMPT","OK"))))))))))</f>
        <v/>
      </c>
      <c r="Y1378" s="16" t="n"/>
    </row>
    <row r="1379">
      <c r="B1379" s="17">
        <f>IF($C1379="","",$D1379&amp;"-"&amp;$F1379&amp;"-"&amp;$K1379)</f>
        <v/>
      </c>
      <c r="C1379" s="16" t="n"/>
      <c r="D1379" s="17">
        <f>IF($C1379="","",IFERROR(INDEX(rngCadetPIDs,MATCH($C1379,rngCadetNames,0)),"?"))</f>
        <v/>
      </c>
      <c r="E1379" s="17">
        <f>IF($D1379="","",IFERROR(INDEX(nrCadetAgency,MATCH($D1379,rngCadetPIDs,0)),""))</f>
        <v/>
      </c>
      <c r="F1379" s="16" t="n"/>
      <c r="G1379" s="17">
        <f>IF($F1379="","",IFERROR(INDEX(rngEPname,MATCH($F1379,rngEPcode,0)),"?"))</f>
        <v/>
      </c>
      <c r="H1379" s="17">
        <f>IF($F1379="","",IFERROR(INDEX(rngEPtype,MATCH($F1379,rngEPcode,0)),"?"))</f>
        <v/>
      </c>
      <c r="I1379" s="17">
        <f>IF($F1379="","",IFERROR(INDEX(rngEPseq,MATCH($F1379,rngEPcode,0)),""))</f>
        <v/>
      </c>
      <c r="J1379" s="17">
        <f>IF($F1379="","",IFERROR(INDEX(rngEPpass,MATCH($F1379,rngEPcode,0)),cfgPassingScore))</f>
        <v/>
      </c>
      <c r="K1379" s="16" t="n"/>
      <c r="L1379" s="16" t="n"/>
      <c r="M1379" s="17">
        <f>IF($C1379="","",IF($L1379="","",IF(NOT(ISNUMBER($L1379)),$L1379,IF(N($K1379)&gt;2,"",IF($K1379=1,IF(COUNTIFS(nrES_PID,$D1379,nrES_Code,$F1379,nrES_Att,2,nrES_Raw,"&gt;=0")&gt;0,"",$L1379),IF($L1379&gt;=$J1379,MAX($J1379,cfgRetakeRecordedCap),IF(COUNTIFS(nrES_PID,$D1379,nrES_Code,$F1379,nrES_Att,1)=0,$L1379,SUMIFS(nrES_Raw,nrES_PID,$D1379,nrES_Code,$F1379,nrES_Att,1))))))))</f>
        <v/>
      </c>
      <c r="N1379" s="17">
        <f>IF($C1379="","",IF($L1379="","",IF(NOT(ISNUMBER($L1379)),"(not a score)",IF($L1379&gt;=$J1379,"Yes","No"))))</f>
        <v/>
      </c>
      <c r="O1379" s="17">
        <f>IF($C1379="","",IF($M1379="","",IF(NOT(ISNUMBER($M1379)),"(not a score)",IF($M1379&gt;=$J1379,"Yes","No"))))</f>
        <v/>
      </c>
      <c r="P1379" s="17">
        <f>IF($C1379="","",IF($K1379="","",IF(N($K1379)&gt;2,"No",IF(COUNTIFS(nrES_PID,$D1379,nrES_Code,$F1379,nrES_Att,"&gt;"&amp;$K1379,nrES_Att,"&lt;=2",nrES_Raw,"&gt;=0")=0,"Yes","No"))))</f>
        <v/>
      </c>
      <c r="Q1379" s="17">
        <f>IF($C1379="","",IF($L1379="","",IF(AND($K1379=1,ISNUMBER($L1379),$L1379&lt;$J1379,COUNTIFS(nrES_PID,$D1379,nrES_Code,$F1379,nrES_Att,2,nrES_Raw,"&gt;=0")=0),"Yes","No")))</f>
        <v/>
      </c>
      <c r="R1379" s="17">
        <f>IF($C1379="","",IF($L1379="","",IF(AND(N($K1379)&gt;=2,ISNUMBER($L1379),$L1379&lt;$J1379),"Yes","No")))</f>
        <v/>
      </c>
      <c r="S1379" s="18" t="n"/>
      <c r="T1379" s="19">
        <f>IF(OR($C1379="",$L1379="",$K1379&lt;&gt;1,NOT(ISNUMBER($L1379)),$L1379&gt;=$J1379),"",IF($S1379="","(enter date)",_xlfn.LET(_xlpm.dn,_xlfn.XLOOKUP($S1379,nrCDdate,nrCDnum,"",1),IF(_xlpm.dn="","(after last class day)",_xlfn.LET(_xlpm.dd,_xlfn.XLOOKUP(_xlpm.dn+cfgRetestClassDays,nrCDnum,nrCDdate,""),_xlpm.ok,_xlfn.XLOOKUP(_xlpm.dn+cfgRetestClassDays,nrCDnum,nrCDinsession,"No"),IF(OR(_xlpm.dd="",_xlpm.ok&lt;&gt;"Yes"),"(after last class day)",_xlpm.dd))))))</f>
        <v/>
      </c>
      <c r="U1379" s="17">
        <f>IF($C1379="","",IF(AND($Y1379="Excused",$L1379="",N($K1379)&lt;=1),"EXCUSED - 1st attempt pending",IF(OR($L1379="",$K1379&lt;&gt;1,NOT(ISNUMBER($L1379)),$L1379&gt;=$J1379),"",IF(COUNTIFS(nrES_PID,$D1379,nrES_Code,$F1379,nrES_Att,2,nrES_Raw,"&gt;=0")&gt;0,IF(IFERROR(_xlfn.MINIFS(nrES_Date,nrES_PID,$D1379,nrES_Code,$F1379,nrES_Att,2,nrES_Raw,"&gt;=0",nrES_Date,"&gt;0"),0)=0,"RETEST UNDATED",IF(NOT(ISNUMBER($T1379)),"RETEST DATE UNCHECKED",IF(_xlfn.MINIFS(nrES_Date,nrES_PID,$D1379,nrES_Code,$F1379,nrES_Att,2,nrES_Raw,"&gt;=0",nrES_Date,"&gt;0")&gt;$T1379,"LATE RETEST "&amp;TEXT(_xlfn.MINIFS(nrES_Date,nrES_PID,$D1379,nrES_Code,$F1379,nrES_Att,2,nrES_Raw,"&gt;=0",nrES_Date,"&gt;0"),"mm/dd")&amp;" (due "&amp;TEXT($T1379,"mm/dd")&amp;")","Retested"))),IF(NOT(ISNUMBER($T1379)),"CHECK DATE",IF(TODAY()&gt;$T1379,"OVERDUE","Due "&amp;TEXT($T1379,"mm/dd")))))))</f>
        <v/>
      </c>
      <c r="V1379" s="16" t="n"/>
      <c r="W1379" s="16" t="n"/>
      <c r="X1379" s="17">
        <f>IF($C1379="","",IF(AND($L1379&lt;&gt;"",NOT(ISNUMBER($L1379))),"RAW SCORE NOT A NUMBER",IF(AND(ISNUMBER($L1379),OR($L1379&lt;0,$L1379&gt;100)),"RAW SCORE OUT OF RANGE",IF(AND($Y1379="Unexcused",OR($L1379="",NOT(ISNUMBER($L1379)),$L1379&lt;&gt;0)),"UNEXCUSED ABSENCE MUST RECORD 0",IF(COUNTIF(nrES_RecID,$B1379)&gt;1,"DUPLICATE RECORD",IF(N($K1379)&gt;2,"ATTEMPT 3+ NOT ALLOWED - policy 300.5 permits one retest per exam; this row records nothing",IF(AND($K1379=2,COUNTIFS(nrES_PID,$D1379,nrES_Code,$F1379,nrES_Att,1)=0),"ATTEMPT 2 WITHOUT ATTEMPT 1",IF(AND($K1379=2,$L1379=""),"RETEST ROW HAS NO SCORE",IF(AND($H1379="Final",$L1379&lt;&gt;"",IFERROR(INDEX(nrCKfinalExamElig,MATCH($D1379,rngCadetPIDs,0)),"")="No"),"FINAL EXAM AFTER FAILED FINAL PT (500.1.H)",IF(AND($K1379=2,ISNUMBER($L1379),COUNTIFS(nrES_PID,$D1379,nrES_Code,$F1379,nrES_Att,1)&gt;0,SUMIFS(nrES_Raw,nrES_PID,$D1379,nrES_Code,$F1379,nrES_Att,1)&gt;=$J1379),"RETEST AFTER A PASSING FIRST ATTEMPT","OK"))))))))))</f>
        <v/>
      </c>
      <c r="Y1379" s="16" t="n"/>
    </row>
    <row r="1380">
      <c r="B1380" s="17">
        <f>IF($C1380="","",$D1380&amp;"-"&amp;$F1380&amp;"-"&amp;$K1380)</f>
        <v/>
      </c>
      <c r="C1380" s="16" t="n"/>
      <c r="D1380" s="17">
        <f>IF($C1380="","",IFERROR(INDEX(rngCadetPIDs,MATCH($C1380,rngCadetNames,0)),"?"))</f>
        <v/>
      </c>
      <c r="E1380" s="17">
        <f>IF($D1380="","",IFERROR(INDEX(nrCadetAgency,MATCH($D1380,rngCadetPIDs,0)),""))</f>
        <v/>
      </c>
      <c r="F1380" s="16" t="n"/>
      <c r="G1380" s="17">
        <f>IF($F1380="","",IFERROR(INDEX(rngEPname,MATCH($F1380,rngEPcode,0)),"?"))</f>
        <v/>
      </c>
      <c r="H1380" s="17">
        <f>IF($F1380="","",IFERROR(INDEX(rngEPtype,MATCH($F1380,rngEPcode,0)),"?"))</f>
        <v/>
      </c>
      <c r="I1380" s="17">
        <f>IF($F1380="","",IFERROR(INDEX(rngEPseq,MATCH($F1380,rngEPcode,0)),""))</f>
        <v/>
      </c>
      <c r="J1380" s="17">
        <f>IF($F1380="","",IFERROR(INDEX(rngEPpass,MATCH($F1380,rngEPcode,0)),cfgPassingScore))</f>
        <v/>
      </c>
      <c r="K1380" s="16" t="n"/>
      <c r="L1380" s="16" t="n"/>
      <c r="M1380" s="17">
        <f>IF($C1380="","",IF($L1380="","",IF(NOT(ISNUMBER($L1380)),$L1380,IF(N($K1380)&gt;2,"",IF($K1380=1,IF(COUNTIFS(nrES_PID,$D1380,nrES_Code,$F1380,nrES_Att,2,nrES_Raw,"&gt;=0")&gt;0,"",$L1380),IF($L1380&gt;=$J1380,MAX($J1380,cfgRetakeRecordedCap),IF(COUNTIFS(nrES_PID,$D1380,nrES_Code,$F1380,nrES_Att,1)=0,$L1380,SUMIFS(nrES_Raw,nrES_PID,$D1380,nrES_Code,$F1380,nrES_Att,1))))))))</f>
        <v/>
      </c>
      <c r="N1380" s="17">
        <f>IF($C1380="","",IF($L1380="","",IF(NOT(ISNUMBER($L1380)),"(not a score)",IF($L1380&gt;=$J1380,"Yes","No"))))</f>
        <v/>
      </c>
      <c r="O1380" s="17">
        <f>IF($C1380="","",IF($M1380="","",IF(NOT(ISNUMBER($M1380)),"(not a score)",IF($M1380&gt;=$J1380,"Yes","No"))))</f>
        <v/>
      </c>
      <c r="P1380" s="17">
        <f>IF($C1380="","",IF($K1380="","",IF(N($K1380)&gt;2,"No",IF(COUNTIFS(nrES_PID,$D1380,nrES_Code,$F1380,nrES_Att,"&gt;"&amp;$K1380,nrES_Att,"&lt;=2",nrES_Raw,"&gt;=0")=0,"Yes","No"))))</f>
        <v/>
      </c>
      <c r="Q1380" s="17">
        <f>IF($C1380="","",IF($L1380="","",IF(AND($K1380=1,ISNUMBER($L1380),$L1380&lt;$J1380,COUNTIFS(nrES_PID,$D1380,nrES_Code,$F1380,nrES_Att,2,nrES_Raw,"&gt;=0")=0),"Yes","No")))</f>
        <v/>
      </c>
      <c r="R1380" s="17">
        <f>IF($C1380="","",IF($L1380="","",IF(AND(N($K1380)&gt;=2,ISNUMBER($L1380),$L1380&lt;$J1380),"Yes","No")))</f>
        <v/>
      </c>
      <c r="S1380" s="18" t="n"/>
      <c r="T1380" s="19">
        <f>IF(OR($C1380="",$L1380="",$K1380&lt;&gt;1,NOT(ISNUMBER($L1380)),$L1380&gt;=$J1380),"",IF($S1380="","(enter date)",_xlfn.LET(_xlpm.dn,_xlfn.XLOOKUP($S1380,nrCDdate,nrCDnum,"",1),IF(_xlpm.dn="","(after last class day)",_xlfn.LET(_xlpm.dd,_xlfn.XLOOKUP(_xlpm.dn+cfgRetestClassDays,nrCDnum,nrCDdate,""),_xlpm.ok,_xlfn.XLOOKUP(_xlpm.dn+cfgRetestClassDays,nrCDnum,nrCDinsession,"No"),IF(OR(_xlpm.dd="",_xlpm.ok&lt;&gt;"Yes"),"(after last class day)",_xlpm.dd))))))</f>
        <v/>
      </c>
      <c r="U1380" s="17">
        <f>IF($C1380="","",IF(AND($Y1380="Excused",$L1380="",N($K1380)&lt;=1),"EXCUSED - 1st attempt pending",IF(OR($L1380="",$K1380&lt;&gt;1,NOT(ISNUMBER($L1380)),$L1380&gt;=$J1380),"",IF(COUNTIFS(nrES_PID,$D1380,nrES_Code,$F1380,nrES_Att,2,nrES_Raw,"&gt;=0")&gt;0,IF(IFERROR(_xlfn.MINIFS(nrES_Date,nrES_PID,$D1380,nrES_Code,$F1380,nrES_Att,2,nrES_Raw,"&gt;=0",nrES_Date,"&gt;0"),0)=0,"RETEST UNDATED",IF(NOT(ISNUMBER($T1380)),"RETEST DATE UNCHECKED",IF(_xlfn.MINIFS(nrES_Date,nrES_PID,$D1380,nrES_Code,$F1380,nrES_Att,2,nrES_Raw,"&gt;=0",nrES_Date,"&gt;0")&gt;$T1380,"LATE RETEST "&amp;TEXT(_xlfn.MINIFS(nrES_Date,nrES_PID,$D1380,nrES_Code,$F1380,nrES_Att,2,nrES_Raw,"&gt;=0",nrES_Date,"&gt;0"),"mm/dd")&amp;" (due "&amp;TEXT($T1380,"mm/dd")&amp;")","Retested"))),IF(NOT(ISNUMBER($T1380)),"CHECK DATE",IF(TODAY()&gt;$T1380,"OVERDUE","Due "&amp;TEXT($T1380,"mm/dd")))))))</f>
        <v/>
      </c>
      <c r="V1380" s="16" t="n"/>
      <c r="W1380" s="16" t="n"/>
      <c r="X1380" s="17">
        <f>IF($C1380="","",IF(AND($L1380&lt;&gt;"",NOT(ISNUMBER($L1380))),"RAW SCORE NOT A NUMBER",IF(AND(ISNUMBER($L1380),OR($L1380&lt;0,$L1380&gt;100)),"RAW SCORE OUT OF RANGE",IF(AND($Y1380="Unexcused",OR($L1380="",NOT(ISNUMBER($L1380)),$L1380&lt;&gt;0)),"UNEXCUSED ABSENCE MUST RECORD 0",IF(COUNTIF(nrES_RecID,$B1380)&gt;1,"DUPLICATE RECORD",IF(N($K1380)&gt;2,"ATTEMPT 3+ NOT ALLOWED - policy 300.5 permits one retest per exam; this row records nothing",IF(AND($K1380=2,COUNTIFS(nrES_PID,$D1380,nrES_Code,$F1380,nrES_Att,1)=0),"ATTEMPT 2 WITHOUT ATTEMPT 1",IF(AND($K1380=2,$L1380=""),"RETEST ROW HAS NO SCORE",IF(AND($H1380="Final",$L1380&lt;&gt;"",IFERROR(INDEX(nrCKfinalExamElig,MATCH($D1380,rngCadetPIDs,0)),"")="No"),"FINAL EXAM AFTER FAILED FINAL PT (500.1.H)",IF(AND($K1380=2,ISNUMBER($L1380),COUNTIFS(nrES_PID,$D1380,nrES_Code,$F1380,nrES_Att,1)&gt;0,SUMIFS(nrES_Raw,nrES_PID,$D1380,nrES_Code,$F1380,nrES_Att,1)&gt;=$J1380),"RETEST AFTER A PASSING FIRST ATTEMPT","OK"))))))))))</f>
        <v/>
      </c>
      <c r="Y1380" s="16" t="n"/>
    </row>
    <row r="1381">
      <c r="B1381" s="17">
        <f>IF($C1381="","",$D1381&amp;"-"&amp;$F1381&amp;"-"&amp;$K1381)</f>
        <v/>
      </c>
      <c r="C1381" s="16" t="n"/>
      <c r="D1381" s="17">
        <f>IF($C1381="","",IFERROR(INDEX(rngCadetPIDs,MATCH($C1381,rngCadetNames,0)),"?"))</f>
        <v/>
      </c>
      <c r="E1381" s="17">
        <f>IF($D1381="","",IFERROR(INDEX(nrCadetAgency,MATCH($D1381,rngCadetPIDs,0)),""))</f>
        <v/>
      </c>
      <c r="F1381" s="16" t="n"/>
      <c r="G1381" s="17">
        <f>IF($F1381="","",IFERROR(INDEX(rngEPname,MATCH($F1381,rngEPcode,0)),"?"))</f>
        <v/>
      </c>
      <c r="H1381" s="17">
        <f>IF($F1381="","",IFERROR(INDEX(rngEPtype,MATCH($F1381,rngEPcode,0)),"?"))</f>
        <v/>
      </c>
      <c r="I1381" s="17">
        <f>IF($F1381="","",IFERROR(INDEX(rngEPseq,MATCH($F1381,rngEPcode,0)),""))</f>
        <v/>
      </c>
      <c r="J1381" s="17">
        <f>IF($F1381="","",IFERROR(INDEX(rngEPpass,MATCH($F1381,rngEPcode,0)),cfgPassingScore))</f>
        <v/>
      </c>
      <c r="K1381" s="16" t="n"/>
      <c r="L1381" s="16" t="n"/>
      <c r="M1381" s="17">
        <f>IF($C1381="","",IF($L1381="","",IF(NOT(ISNUMBER($L1381)),$L1381,IF(N($K1381)&gt;2,"",IF($K1381=1,IF(COUNTIFS(nrES_PID,$D1381,nrES_Code,$F1381,nrES_Att,2,nrES_Raw,"&gt;=0")&gt;0,"",$L1381),IF($L1381&gt;=$J1381,MAX($J1381,cfgRetakeRecordedCap),IF(COUNTIFS(nrES_PID,$D1381,nrES_Code,$F1381,nrES_Att,1)=0,$L1381,SUMIFS(nrES_Raw,nrES_PID,$D1381,nrES_Code,$F1381,nrES_Att,1))))))))</f>
        <v/>
      </c>
      <c r="N1381" s="17">
        <f>IF($C1381="","",IF($L1381="","",IF(NOT(ISNUMBER($L1381)),"(not a score)",IF($L1381&gt;=$J1381,"Yes","No"))))</f>
        <v/>
      </c>
      <c r="O1381" s="17">
        <f>IF($C1381="","",IF($M1381="","",IF(NOT(ISNUMBER($M1381)),"(not a score)",IF($M1381&gt;=$J1381,"Yes","No"))))</f>
        <v/>
      </c>
      <c r="P1381" s="17">
        <f>IF($C1381="","",IF($K1381="","",IF(N($K1381)&gt;2,"No",IF(COUNTIFS(nrES_PID,$D1381,nrES_Code,$F1381,nrES_Att,"&gt;"&amp;$K1381,nrES_Att,"&lt;=2",nrES_Raw,"&gt;=0")=0,"Yes","No"))))</f>
        <v/>
      </c>
      <c r="Q1381" s="17">
        <f>IF($C1381="","",IF($L1381="","",IF(AND($K1381=1,ISNUMBER($L1381),$L1381&lt;$J1381,COUNTIFS(nrES_PID,$D1381,nrES_Code,$F1381,nrES_Att,2,nrES_Raw,"&gt;=0")=0),"Yes","No")))</f>
        <v/>
      </c>
      <c r="R1381" s="17">
        <f>IF($C1381="","",IF($L1381="","",IF(AND(N($K1381)&gt;=2,ISNUMBER($L1381),$L1381&lt;$J1381),"Yes","No")))</f>
        <v/>
      </c>
      <c r="S1381" s="18" t="n"/>
      <c r="T1381" s="19">
        <f>IF(OR($C1381="",$L1381="",$K1381&lt;&gt;1,NOT(ISNUMBER($L1381)),$L1381&gt;=$J1381),"",IF($S1381="","(enter date)",_xlfn.LET(_xlpm.dn,_xlfn.XLOOKUP($S1381,nrCDdate,nrCDnum,"",1),IF(_xlpm.dn="","(after last class day)",_xlfn.LET(_xlpm.dd,_xlfn.XLOOKUP(_xlpm.dn+cfgRetestClassDays,nrCDnum,nrCDdate,""),_xlpm.ok,_xlfn.XLOOKUP(_xlpm.dn+cfgRetestClassDays,nrCDnum,nrCDinsession,"No"),IF(OR(_xlpm.dd="",_xlpm.ok&lt;&gt;"Yes"),"(after last class day)",_xlpm.dd))))))</f>
        <v/>
      </c>
      <c r="U1381" s="17">
        <f>IF($C1381="","",IF(AND($Y1381="Excused",$L1381="",N($K1381)&lt;=1),"EXCUSED - 1st attempt pending",IF(OR($L1381="",$K1381&lt;&gt;1,NOT(ISNUMBER($L1381)),$L1381&gt;=$J1381),"",IF(COUNTIFS(nrES_PID,$D1381,nrES_Code,$F1381,nrES_Att,2,nrES_Raw,"&gt;=0")&gt;0,IF(IFERROR(_xlfn.MINIFS(nrES_Date,nrES_PID,$D1381,nrES_Code,$F1381,nrES_Att,2,nrES_Raw,"&gt;=0",nrES_Date,"&gt;0"),0)=0,"RETEST UNDATED",IF(NOT(ISNUMBER($T1381)),"RETEST DATE UNCHECKED",IF(_xlfn.MINIFS(nrES_Date,nrES_PID,$D1381,nrES_Code,$F1381,nrES_Att,2,nrES_Raw,"&gt;=0",nrES_Date,"&gt;0")&gt;$T1381,"LATE RETEST "&amp;TEXT(_xlfn.MINIFS(nrES_Date,nrES_PID,$D1381,nrES_Code,$F1381,nrES_Att,2,nrES_Raw,"&gt;=0",nrES_Date,"&gt;0"),"mm/dd")&amp;" (due "&amp;TEXT($T1381,"mm/dd")&amp;")","Retested"))),IF(NOT(ISNUMBER($T1381)),"CHECK DATE",IF(TODAY()&gt;$T1381,"OVERDUE","Due "&amp;TEXT($T1381,"mm/dd")))))))</f>
        <v/>
      </c>
      <c r="V1381" s="16" t="n"/>
      <c r="W1381" s="16" t="n"/>
      <c r="X1381" s="17">
        <f>IF($C1381="","",IF(AND($L1381&lt;&gt;"",NOT(ISNUMBER($L1381))),"RAW SCORE NOT A NUMBER",IF(AND(ISNUMBER($L1381),OR($L1381&lt;0,$L1381&gt;100)),"RAW SCORE OUT OF RANGE",IF(AND($Y1381="Unexcused",OR($L1381="",NOT(ISNUMBER($L1381)),$L1381&lt;&gt;0)),"UNEXCUSED ABSENCE MUST RECORD 0",IF(COUNTIF(nrES_RecID,$B1381)&gt;1,"DUPLICATE RECORD",IF(N($K1381)&gt;2,"ATTEMPT 3+ NOT ALLOWED - policy 300.5 permits one retest per exam; this row records nothing",IF(AND($K1381=2,COUNTIFS(nrES_PID,$D1381,nrES_Code,$F1381,nrES_Att,1)=0),"ATTEMPT 2 WITHOUT ATTEMPT 1",IF(AND($K1381=2,$L1381=""),"RETEST ROW HAS NO SCORE",IF(AND($H1381="Final",$L1381&lt;&gt;"",IFERROR(INDEX(nrCKfinalExamElig,MATCH($D1381,rngCadetPIDs,0)),"")="No"),"FINAL EXAM AFTER FAILED FINAL PT (500.1.H)",IF(AND($K1381=2,ISNUMBER($L1381),COUNTIFS(nrES_PID,$D1381,nrES_Code,$F1381,nrES_Att,1)&gt;0,SUMIFS(nrES_Raw,nrES_PID,$D1381,nrES_Code,$F1381,nrES_Att,1)&gt;=$J1381),"RETEST AFTER A PASSING FIRST ATTEMPT","OK"))))))))))</f>
        <v/>
      </c>
      <c r="Y1381" s="16" t="n"/>
    </row>
    <row r="1382">
      <c r="B1382" s="17">
        <f>IF($C1382="","",$D1382&amp;"-"&amp;$F1382&amp;"-"&amp;$K1382)</f>
        <v/>
      </c>
      <c r="C1382" s="16" t="n"/>
      <c r="D1382" s="17">
        <f>IF($C1382="","",IFERROR(INDEX(rngCadetPIDs,MATCH($C1382,rngCadetNames,0)),"?"))</f>
        <v/>
      </c>
      <c r="E1382" s="17">
        <f>IF($D1382="","",IFERROR(INDEX(nrCadetAgency,MATCH($D1382,rngCadetPIDs,0)),""))</f>
        <v/>
      </c>
      <c r="F1382" s="16" t="n"/>
      <c r="G1382" s="17">
        <f>IF($F1382="","",IFERROR(INDEX(rngEPname,MATCH($F1382,rngEPcode,0)),"?"))</f>
        <v/>
      </c>
      <c r="H1382" s="17">
        <f>IF($F1382="","",IFERROR(INDEX(rngEPtype,MATCH($F1382,rngEPcode,0)),"?"))</f>
        <v/>
      </c>
      <c r="I1382" s="17">
        <f>IF($F1382="","",IFERROR(INDEX(rngEPseq,MATCH($F1382,rngEPcode,0)),""))</f>
        <v/>
      </c>
      <c r="J1382" s="17">
        <f>IF($F1382="","",IFERROR(INDEX(rngEPpass,MATCH($F1382,rngEPcode,0)),cfgPassingScore))</f>
        <v/>
      </c>
      <c r="K1382" s="16" t="n"/>
      <c r="L1382" s="16" t="n"/>
      <c r="M1382" s="17">
        <f>IF($C1382="","",IF($L1382="","",IF(NOT(ISNUMBER($L1382)),$L1382,IF(N($K1382)&gt;2,"",IF($K1382=1,IF(COUNTIFS(nrES_PID,$D1382,nrES_Code,$F1382,nrES_Att,2,nrES_Raw,"&gt;=0")&gt;0,"",$L1382),IF($L1382&gt;=$J1382,MAX($J1382,cfgRetakeRecordedCap),IF(COUNTIFS(nrES_PID,$D1382,nrES_Code,$F1382,nrES_Att,1)=0,$L1382,SUMIFS(nrES_Raw,nrES_PID,$D1382,nrES_Code,$F1382,nrES_Att,1))))))))</f>
        <v/>
      </c>
      <c r="N1382" s="17">
        <f>IF($C1382="","",IF($L1382="","",IF(NOT(ISNUMBER($L1382)),"(not a score)",IF($L1382&gt;=$J1382,"Yes","No"))))</f>
        <v/>
      </c>
      <c r="O1382" s="17">
        <f>IF($C1382="","",IF($M1382="","",IF(NOT(ISNUMBER($M1382)),"(not a score)",IF($M1382&gt;=$J1382,"Yes","No"))))</f>
        <v/>
      </c>
      <c r="P1382" s="17">
        <f>IF($C1382="","",IF($K1382="","",IF(N($K1382)&gt;2,"No",IF(COUNTIFS(nrES_PID,$D1382,nrES_Code,$F1382,nrES_Att,"&gt;"&amp;$K1382,nrES_Att,"&lt;=2",nrES_Raw,"&gt;=0")=0,"Yes","No"))))</f>
        <v/>
      </c>
      <c r="Q1382" s="17">
        <f>IF($C1382="","",IF($L1382="","",IF(AND($K1382=1,ISNUMBER($L1382),$L1382&lt;$J1382,COUNTIFS(nrES_PID,$D1382,nrES_Code,$F1382,nrES_Att,2,nrES_Raw,"&gt;=0")=0),"Yes","No")))</f>
        <v/>
      </c>
      <c r="R1382" s="17">
        <f>IF($C1382="","",IF($L1382="","",IF(AND(N($K1382)&gt;=2,ISNUMBER($L1382),$L1382&lt;$J1382),"Yes","No")))</f>
        <v/>
      </c>
      <c r="S1382" s="18" t="n"/>
      <c r="T1382" s="19">
        <f>IF(OR($C1382="",$L1382="",$K1382&lt;&gt;1,NOT(ISNUMBER($L1382)),$L1382&gt;=$J1382),"",IF($S1382="","(enter date)",_xlfn.LET(_xlpm.dn,_xlfn.XLOOKUP($S1382,nrCDdate,nrCDnum,"",1),IF(_xlpm.dn="","(after last class day)",_xlfn.LET(_xlpm.dd,_xlfn.XLOOKUP(_xlpm.dn+cfgRetestClassDays,nrCDnum,nrCDdate,""),_xlpm.ok,_xlfn.XLOOKUP(_xlpm.dn+cfgRetestClassDays,nrCDnum,nrCDinsession,"No"),IF(OR(_xlpm.dd="",_xlpm.ok&lt;&gt;"Yes"),"(after last class day)",_xlpm.dd))))))</f>
        <v/>
      </c>
      <c r="U1382" s="17">
        <f>IF($C1382="","",IF(AND($Y1382="Excused",$L1382="",N($K1382)&lt;=1),"EXCUSED - 1st attempt pending",IF(OR($L1382="",$K1382&lt;&gt;1,NOT(ISNUMBER($L1382)),$L1382&gt;=$J1382),"",IF(COUNTIFS(nrES_PID,$D1382,nrES_Code,$F1382,nrES_Att,2,nrES_Raw,"&gt;=0")&gt;0,IF(IFERROR(_xlfn.MINIFS(nrES_Date,nrES_PID,$D1382,nrES_Code,$F1382,nrES_Att,2,nrES_Raw,"&gt;=0",nrES_Date,"&gt;0"),0)=0,"RETEST UNDATED",IF(NOT(ISNUMBER($T1382)),"RETEST DATE UNCHECKED",IF(_xlfn.MINIFS(nrES_Date,nrES_PID,$D1382,nrES_Code,$F1382,nrES_Att,2,nrES_Raw,"&gt;=0",nrES_Date,"&gt;0")&gt;$T1382,"LATE RETEST "&amp;TEXT(_xlfn.MINIFS(nrES_Date,nrES_PID,$D1382,nrES_Code,$F1382,nrES_Att,2,nrES_Raw,"&gt;=0",nrES_Date,"&gt;0"),"mm/dd")&amp;" (due "&amp;TEXT($T1382,"mm/dd")&amp;")","Retested"))),IF(NOT(ISNUMBER($T1382)),"CHECK DATE",IF(TODAY()&gt;$T1382,"OVERDUE","Due "&amp;TEXT($T1382,"mm/dd")))))))</f>
        <v/>
      </c>
      <c r="V1382" s="16" t="n"/>
      <c r="W1382" s="16" t="n"/>
      <c r="X1382" s="17">
        <f>IF($C1382="","",IF(AND($L1382&lt;&gt;"",NOT(ISNUMBER($L1382))),"RAW SCORE NOT A NUMBER",IF(AND(ISNUMBER($L1382),OR($L1382&lt;0,$L1382&gt;100)),"RAW SCORE OUT OF RANGE",IF(AND($Y1382="Unexcused",OR($L1382="",NOT(ISNUMBER($L1382)),$L1382&lt;&gt;0)),"UNEXCUSED ABSENCE MUST RECORD 0",IF(COUNTIF(nrES_RecID,$B1382)&gt;1,"DUPLICATE RECORD",IF(N($K1382)&gt;2,"ATTEMPT 3+ NOT ALLOWED - policy 300.5 permits one retest per exam; this row records nothing",IF(AND($K1382=2,COUNTIFS(nrES_PID,$D1382,nrES_Code,$F1382,nrES_Att,1)=0),"ATTEMPT 2 WITHOUT ATTEMPT 1",IF(AND($K1382=2,$L1382=""),"RETEST ROW HAS NO SCORE",IF(AND($H1382="Final",$L1382&lt;&gt;"",IFERROR(INDEX(nrCKfinalExamElig,MATCH($D1382,rngCadetPIDs,0)),"")="No"),"FINAL EXAM AFTER FAILED FINAL PT (500.1.H)",IF(AND($K1382=2,ISNUMBER($L1382),COUNTIFS(nrES_PID,$D1382,nrES_Code,$F1382,nrES_Att,1)&gt;0,SUMIFS(nrES_Raw,nrES_PID,$D1382,nrES_Code,$F1382,nrES_Att,1)&gt;=$J1382),"RETEST AFTER A PASSING FIRST ATTEMPT","OK"))))))))))</f>
        <v/>
      </c>
      <c r="Y1382" s="16" t="n"/>
    </row>
    <row r="1383">
      <c r="B1383" s="17">
        <f>IF($C1383="","",$D1383&amp;"-"&amp;$F1383&amp;"-"&amp;$K1383)</f>
        <v/>
      </c>
      <c r="C1383" s="16" t="n"/>
      <c r="D1383" s="17">
        <f>IF($C1383="","",IFERROR(INDEX(rngCadetPIDs,MATCH($C1383,rngCadetNames,0)),"?"))</f>
        <v/>
      </c>
      <c r="E1383" s="17">
        <f>IF($D1383="","",IFERROR(INDEX(nrCadetAgency,MATCH($D1383,rngCadetPIDs,0)),""))</f>
        <v/>
      </c>
      <c r="F1383" s="16" t="n"/>
      <c r="G1383" s="17">
        <f>IF($F1383="","",IFERROR(INDEX(rngEPname,MATCH($F1383,rngEPcode,0)),"?"))</f>
        <v/>
      </c>
      <c r="H1383" s="17">
        <f>IF($F1383="","",IFERROR(INDEX(rngEPtype,MATCH($F1383,rngEPcode,0)),"?"))</f>
        <v/>
      </c>
      <c r="I1383" s="17">
        <f>IF($F1383="","",IFERROR(INDEX(rngEPseq,MATCH($F1383,rngEPcode,0)),""))</f>
        <v/>
      </c>
      <c r="J1383" s="17">
        <f>IF($F1383="","",IFERROR(INDEX(rngEPpass,MATCH($F1383,rngEPcode,0)),cfgPassingScore))</f>
        <v/>
      </c>
      <c r="K1383" s="16" t="n"/>
      <c r="L1383" s="16" t="n"/>
      <c r="M1383" s="17">
        <f>IF($C1383="","",IF($L1383="","",IF(NOT(ISNUMBER($L1383)),$L1383,IF(N($K1383)&gt;2,"",IF($K1383=1,IF(COUNTIFS(nrES_PID,$D1383,nrES_Code,$F1383,nrES_Att,2,nrES_Raw,"&gt;=0")&gt;0,"",$L1383),IF($L1383&gt;=$J1383,MAX($J1383,cfgRetakeRecordedCap),IF(COUNTIFS(nrES_PID,$D1383,nrES_Code,$F1383,nrES_Att,1)=0,$L1383,SUMIFS(nrES_Raw,nrES_PID,$D1383,nrES_Code,$F1383,nrES_Att,1))))))))</f>
        <v/>
      </c>
      <c r="N1383" s="17">
        <f>IF($C1383="","",IF($L1383="","",IF(NOT(ISNUMBER($L1383)),"(not a score)",IF($L1383&gt;=$J1383,"Yes","No"))))</f>
        <v/>
      </c>
      <c r="O1383" s="17">
        <f>IF($C1383="","",IF($M1383="","",IF(NOT(ISNUMBER($M1383)),"(not a score)",IF($M1383&gt;=$J1383,"Yes","No"))))</f>
        <v/>
      </c>
      <c r="P1383" s="17">
        <f>IF($C1383="","",IF($K1383="","",IF(N($K1383)&gt;2,"No",IF(COUNTIFS(nrES_PID,$D1383,nrES_Code,$F1383,nrES_Att,"&gt;"&amp;$K1383,nrES_Att,"&lt;=2",nrES_Raw,"&gt;=0")=0,"Yes","No"))))</f>
        <v/>
      </c>
      <c r="Q1383" s="17">
        <f>IF($C1383="","",IF($L1383="","",IF(AND($K1383=1,ISNUMBER($L1383),$L1383&lt;$J1383,COUNTIFS(nrES_PID,$D1383,nrES_Code,$F1383,nrES_Att,2,nrES_Raw,"&gt;=0")=0),"Yes","No")))</f>
        <v/>
      </c>
      <c r="R1383" s="17">
        <f>IF($C1383="","",IF($L1383="","",IF(AND(N($K1383)&gt;=2,ISNUMBER($L1383),$L1383&lt;$J1383),"Yes","No")))</f>
        <v/>
      </c>
      <c r="S1383" s="18" t="n"/>
      <c r="T1383" s="19">
        <f>IF(OR($C1383="",$L1383="",$K1383&lt;&gt;1,NOT(ISNUMBER($L1383)),$L1383&gt;=$J1383),"",IF($S1383="","(enter date)",_xlfn.LET(_xlpm.dn,_xlfn.XLOOKUP($S1383,nrCDdate,nrCDnum,"",1),IF(_xlpm.dn="","(after last class day)",_xlfn.LET(_xlpm.dd,_xlfn.XLOOKUP(_xlpm.dn+cfgRetestClassDays,nrCDnum,nrCDdate,""),_xlpm.ok,_xlfn.XLOOKUP(_xlpm.dn+cfgRetestClassDays,nrCDnum,nrCDinsession,"No"),IF(OR(_xlpm.dd="",_xlpm.ok&lt;&gt;"Yes"),"(after last class day)",_xlpm.dd))))))</f>
        <v/>
      </c>
      <c r="U1383" s="17">
        <f>IF($C1383="","",IF(AND($Y1383="Excused",$L1383="",N($K1383)&lt;=1),"EXCUSED - 1st attempt pending",IF(OR($L1383="",$K1383&lt;&gt;1,NOT(ISNUMBER($L1383)),$L1383&gt;=$J1383),"",IF(COUNTIFS(nrES_PID,$D1383,nrES_Code,$F1383,nrES_Att,2,nrES_Raw,"&gt;=0")&gt;0,IF(IFERROR(_xlfn.MINIFS(nrES_Date,nrES_PID,$D1383,nrES_Code,$F1383,nrES_Att,2,nrES_Raw,"&gt;=0",nrES_Date,"&gt;0"),0)=0,"RETEST UNDATED",IF(NOT(ISNUMBER($T1383)),"RETEST DATE UNCHECKED",IF(_xlfn.MINIFS(nrES_Date,nrES_PID,$D1383,nrES_Code,$F1383,nrES_Att,2,nrES_Raw,"&gt;=0",nrES_Date,"&gt;0")&gt;$T1383,"LATE RETEST "&amp;TEXT(_xlfn.MINIFS(nrES_Date,nrES_PID,$D1383,nrES_Code,$F1383,nrES_Att,2,nrES_Raw,"&gt;=0",nrES_Date,"&gt;0"),"mm/dd")&amp;" (due "&amp;TEXT($T1383,"mm/dd")&amp;")","Retested"))),IF(NOT(ISNUMBER($T1383)),"CHECK DATE",IF(TODAY()&gt;$T1383,"OVERDUE","Due "&amp;TEXT($T1383,"mm/dd")))))))</f>
        <v/>
      </c>
      <c r="V1383" s="16" t="n"/>
      <c r="W1383" s="16" t="n"/>
      <c r="X1383" s="17">
        <f>IF($C1383="","",IF(AND($L1383&lt;&gt;"",NOT(ISNUMBER($L1383))),"RAW SCORE NOT A NUMBER",IF(AND(ISNUMBER($L1383),OR($L1383&lt;0,$L1383&gt;100)),"RAW SCORE OUT OF RANGE",IF(AND($Y1383="Unexcused",OR($L1383="",NOT(ISNUMBER($L1383)),$L1383&lt;&gt;0)),"UNEXCUSED ABSENCE MUST RECORD 0",IF(COUNTIF(nrES_RecID,$B1383)&gt;1,"DUPLICATE RECORD",IF(N($K1383)&gt;2,"ATTEMPT 3+ NOT ALLOWED - policy 300.5 permits one retest per exam; this row records nothing",IF(AND($K1383=2,COUNTIFS(nrES_PID,$D1383,nrES_Code,$F1383,nrES_Att,1)=0),"ATTEMPT 2 WITHOUT ATTEMPT 1",IF(AND($K1383=2,$L1383=""),"RETEST ROW HAS NO SCORE",IF(AND($H1383="Final",$L1383&lt;&gt;"",IFERROR(INDEX(nrCKfinalExamElig,MATCH($D1383,rngCadetPIDs,0)),"")="No"),"FINAL EXAM AFTER FAILED FINAL PT (500.1.H)",IF(AND($K1383=2,ISNUMBER($L1383),COUNTIFS(nrES_PID,$D1383,nrES_Code,$F1383,nrES_Att,1)&gt;0,SUMIFS(nrES_Raw,nrES_PID,$D1383,nrES_Code,$F1383,nrES_Att,1)&gt;=$J1383),"RETEST AFTER A PASSING FIRST ATTEMPT","OK"))))))))))</f>
        <v/>
      </c>
      <c r="Y1383" s="16" t="n"/>
    </row>
    <row r="1384">
      <c r="B1384" s="17">
        <f>IF($C1384="","",$D1384&amp;"-"&amp;$F1384&amp;"-"&amp;$K1384)</f>
        <v/>
      </c>
      <c r="C1384" s="16" t="n"/>
      <c r="D1384" s="17">
        <f>IF($C1384="","",IFERROR(INDEX(rngCadetPIDs,MATCH($C1384,rngCadetNames,0)),"?"))</f>
        <v/>
      </c>
      <c r="E1384" s="17">
        <f>IF($D1384="","",IFERROR(INDEX(nrCadetAgency,MATCH($D1384,rngCadetPIDs,0)),""))</f>
        <v/>
      </c>
      <c r="F1384" s="16" t="n"/>
      <c r="G1384" s="17">
        <f>IF($F1384="","",IFERROR(INDEX(rngEPname,MATCH($F1384,rngEPcode,0)),"?"))</f>
        <v/>
      </c>
      <c r="H1384" s="17">
        <f>IF($F1384="","",IFERROR(INDEX(rngEPtype,MATCH($F1384,rngEPcode,0)),"?"))</f>
        <v/>
      </c>
      <c r="I1384" s="17">
        <f>IF($F1384="","",IFERROR(INDEX(rngEPseq,MATCH($F1384,rngEPcode,0)),""))</f>
        <v/>
      </c>
      <c r="J1384" s="17">
        <f>IF($F1384="","",IFERROR(INDEX(rngEPpass,MATCH($F1384,rngEPcode,0)),cfgPassingScore))</f>
        <v/>
      </c>
      <c r="K1384" s="16" t="n"/>
      <c r="L1384" s="16" t="n"/>
      <c r="M1384" s="17">
        <f>IF($C1384="","",IF($L1384="","",IF(NOT(ISNUMBER($L1384)),$L1384,IF(N($K1384)&gt;2,"",IF($K1384=1,IF(COUNTIFS(nrES_PID,$D1384,nrES_Code,$F1384,nrES_Att,2,nrES_Raw,"&gt;=0")&gt;0,"",$L1384),IF($L1384&gt;=$J1384,MAX($J1384,cfgRetakeRecordedCap),IF(COUNTIFS(nrES_PID,$D1384,nrES_Code,$F1384,nrES_Att,1)=0,$L1384,SUMIFS(nrES_Raw,nrES_PID,$D1384,nrES_Code,$F1384,nrES_Att,1))))))))</f>
        <v/>
      </c>
      <c r="N1384" s="17">
        <f>IF($C1384="","",IF($L1384="","",IF(NOT(ISNUMBER($L1384)),"(not a score)",IF($L1384&gt;=$J1384,"Yes","No"))))</f>
        <v/>
      </c>
      <c r="O1384" s="17">
        <f>IF($C1384="","",IF($M1384="","",IF(NOT(ISNUMBER($M1384)),"(not a score)",IF($M1384&gt;=$J1384,"Yes","No"))))</f>
        <v/>
      </c>
      <c r="P1384" s="17">
        <f>IF($C1384="","",IF($K1384="","",IF(N($K1384)&gt;2,"No",IF(COUNTIFS(nrES_PID,$D1384,nrES_Code,$F1384,nrES_Att,"&gt;"&amp;$K1384,nrES_Att,"&lt;=2",nrES_Raw,"&gt;=0")=0,"Yes","No"))))</f>
        <v/>
      </c>
      <c r="Q1384" s="17">
        <f>IF($C1384="","",IF($L1384="","",IF(AND($K1384=1,ISNUMBER($L1384),$L1384&lt;$J1384,COUNTIFS(nrES_PID,$D1384,nrES_Code,$F1384,nrES_Att,2,nrES_Raw,"&gt;=0")=0),"Yes","No")))</f>
        <v/>
      </c>
      <c r="R1384" s="17">
        <f>IF($C1384="","",IF($L1384="","",IF(AND(N($K1384)&gt;=2,ISNUMBER($L1384),$L1384&lt;$J1384),"Yes","No")))</f>
        <v/>
      </c>
      <c r="S1384" s="18" t="n"/>
      <c r="T1384" s="19">
        <f>IF(OR($C1384="",$L1384="",$K1384&lt;&gt;1,NOT(ISNUMBER($L1384)),$L1384&gt;=$J1384),"",IF($S1384="","(enter date)",_xlfn.LET(_xlpm.dn,_xlfn.XLOOKUP($S1384,nrCDdate,nrCDnum,"",1),IF(_xlpm.dn="","(after last class day)",_xlfn.LET(_xlpm.dd,_xlfn.XLOOKUP(_xlpm.dn+cfgRetestClassDays,nrCDnum,nrCDdate,""),_xlpm.ok,_xlfn.XLOOKUP(_xlpm.dn+cfgRetestClassDays,nrCDnum,nrCDinsession,"No"),IF(OR(_xlpm.dd="",_xlpm.ok&lt;&gt;"Yes"),"(after last class day)",_xlpm.dd))))))</f>
        <v/>
      </c>
      <c r="U1384" s="17">
        <f>IF($C1384="","",IF(AND($Y1384="Excused",$L1384="",N($K1384)&lt;=1),"EXCUSED - 1st attempt pending",IF(OR($L1384="",$K1384&lt;&gt;1,NOT(ISNUMBER($L1384)),$L1384&gt;=$J1384),"",IF(COUNTIFS(nrES_PID,$D1384,nrES_Code,$F1384,nrES_Att,2,nrES_Raw,"&gt;=0")&gt;0,IF(IFERROR(_xlfn.MINIFS(nrES_Date,nrES_PID,$D1384,nrES_Code,$F1384,nrES_Att,2,nrES_Raw,"&gt;=0",nrES_Date,"&gt;0"),0)=0,"RETEST UNDATED",IF(NOT(ISNUMBER($T1384)),"RETEST DATE UNCHECKED",IF(_xlfn.MINIFS(nrES_Date,nrES_PID,$D1384,nrES_Code,$F1384,nrES_Att,2,nrES_Raw,"&gt;=0",nrES_Date,"&gt;0")&gt;$T1384,"LATE RETEST "&amp;TEXT(_xlfn.MINIFS(nrES_Date,nrES_PID,$D1384,nrES_Code,$F1384,nrES_Att,2,nrES_Raw,"&gt;=0",nrES_Date,"&gt;0"),"mm/dd")&amp;" (due "&amp;TEXT($T1384,"mm/dd")&amp;")","Retested"))),IF(NOT(ISNUMBER($T1384)),"CHECK DATE",IF(TODAY()&gt;$T1384,"OVERDUE","Due "&amp;TEXT($T1384,"mm/dd")))))))</f>
        <v/>
      </c>
      <c r="V1384" s="16" t="n"/>
      <c r="W1384" s="16" t="n"/>
      <c r="X1384" s="17">
        <f>IF($C1384="","",IF(AND($L1384&lt;&gt;"",NOT(ISNUMBER($L1384))),"RAW SCORE NOT A NUMBER",IF(AND(ISNUMBER($L1384),OR($L1384&lt;0,$L1384&gt;100)),"RAW SCORE OUT OF RANGE",IF(AND($Y1384="Unexcused",OR($L1384="",NOT(ISNUMBER($L1384)),$L1384&lt;&gt;0)),"UNEXCUSED ABSENCE MUST RECORD 0",IF(COUNTIF(nrES_RecID,$B1384)&gt;1,"DUPLICATE RECORD",IF(N($K1384)&gt;2,"ATTEMPT 3+ NOT ALLOWED - policy 300.5 permits one retest per exam; this row records nothing",IF(AND($K1384=2,COUNTIFS(nrES_PID,$D1384,nrES_Code,$F1384,nrES_Att,1)=0),"ATTEMPT 2 WITHOUT ATTEMPT 1",IF(AND($K1384=2,$L1384=""),"RETEST ROW HAS NO SCORE",IF(AND($H1384="Final",$L1384&lt;&gt;"",IFERROR(INDEX(nrCKfinalExamElig,MATCH($D1384,rngCadetPIDs,0)),"")="No"),"FINAL EXAM AFTER FAILED FINAL PT (500.1.H)",IF(AND($K1384=2,ISNUMBER($L1384),COUNTIFS(nrES_PID,$D1384,nrES_Code,$F1384,nrES_Att,1)&gt;0,SUMIFS(nrES_Raw,nrES_PID,$D1384,nrES_Code,$F1384,nrES_Att,1)&gt;=$J1384),"RETEST AFTER A PASSING FIRST ATTEMPT","OK"))))))))))</f>
        <v/>
      </c>
      <c r="Y1384" s="16" t="n"/>
    </row>
    <row r="1385">
      <c r="B1385" s="17">
        <f>IF($C1385="","",$D1385&amp;"-"&amp;$F1385&amp;"-"&amp;$K1385)</f>
        <v/>
      </c>
      <c r="C1385" s="16" t="n"/>
      <c r="D1385" s="17">
        <f>IF($C1385="","",IFERROR(INDEX(rngCadetPIDs,MATCH($C1385,rngCadetNames,0)),"?"))</f>
        <v/>
      </c>
      <c r="E1385" s="17">
        <f>IF($D1385="","",IFERROR(INDEX(nrCadetAgency,MATCH($D1385,rngCadetPIDs,0)),""))</f>
        <v/>
      </c>
      <c r="F1385" s="16" t="n"/>
      <c r="G1385" s="17">
        <f>IF($F1385="","",IFERROR(INDEX(rngEPname,MATCH($F1385,rngEPcode,0)),"?"))</f>
        <v/>
      </c>
      <c r="H1385" s="17">
        <f>IF($F1385="","",IFERROR(INDEX(rngEPtype,MATCH($F1385,rngEPcode,0)),"?"))</f>
        <v/>
      </c>
      <c r="I1385" s="17">
        <f>IF($F1385="","",IFERROR(INDEX(rngEPseq,MATCH($F1385,rngEPcode,0)),""))</f>
        <v/>
      </c>
      <c r="J1385" s="17">
        <f>IF($F1385="","",IFERROR(INDEX(rngEPpass,MATCH($F1385,rngEPcode,0)),cfgPassingScore))</f>
        <v/>
      </c>
      <c r="K1385" s="16" t="n"/>
      <c r="L1385" s="16" t="n"/>
      <c r="M1385" s="17">
        <f>IF($C1385="","",IF($L1385="","",IF(NOT(ISNUMBER($L1385)),$L1385,IF(N($K1385)&gt;2,"",IF($K1385=1,IF(COUNTIFS(nrES_PID,$D1385,nrES_Code,$F1385,nrES_Att,2,nrES_Raw,"&gt;=0")&gt;0,"",$L1385),IF($L1385&gt;=$J1385,MAX($J1385,cfgRetakeRecordedCap),IF(COUNTIFS(nrES_PID,$D1385,nrES_Code,$F1385,nrES_Att,1)=0,$L1385,SUMIFS(nrES_Raw,nrES_PID,$D1385,nrES_Code,$F1385,nrES_Att,1))))))))</f>
        <v/>
      </c>
      <c r="N1385" s="17">
        <f>IF($C1385="","",IF($L1385="","",IF(NOT(ISNUMBER($L1385)),"(not a score)",IF($L1385&gt;=$J1385,"Yes","No"))))</f>
        <v/>
      </c>
      <c r="O1385" s="17">
        <f>IF($C1385="","",IF($M1385="","",IF(NOT(ISNUMBER($M1385)),"(not a score)",IF($M1385&gt;=$J1385,"Yes","No"))))</f>
        <v/>
      </c>
      <c r="P1385" s="17">
        <f>IF($C1385="","",IF($K1385="","",IF(N($K1385)&gt;2,"No",IF(COUNTIFS(nrES_PID,$D1385,nrES_Code,$F1385,nrES_Att,"&gt;"&amp;$K1385,nrES_Att,"&lt;=2",nrES_Raw,"&gt;=0")=0,"Yes","No"))))</f>
        <v/>
      </c>
      <c r="Q1385" s="17">
        <f>IF($C1385="","",IF($L1385="","",IF(AND($K1385=1,ISNUMBER($L1385),$L1385&lt;$J1385,COUNTIFS(nrES_PID,$D1385,nrES_Code,$F1385,nrES_Att,2,nrES_Raw,"&gt;=0")=0),"Yes","No")))</f>
        <v/>
      </c>
      <c r="R1385" s="17">
        <f>IF($C1385="","",IF($L1385="","",IF(AND(N($K1385)&gt;=2,ISNUMBER($L1385),$L1385&lt;$J1385),"Yes","No")))</f>
        <v/>
      </c>
      <c r="S1385" s="18" t="n"/>
      <c r="T1385" s="19">
        <f>IF(OR($C1385="",$L1385="",$K1385&lt;&gt;1,NOT(ISNUMBER($L1385)),$L1385&gt;=$J1385),"",IF($S1385="","(enter date)",_xlfn.LET(_xlpm.dn,_xlfn.XLOOKUP($S1385,nrCDdate,nrCDnum,"",1),IF(_xlpm.dn="","(after last class day)",_xlfn.LET(_xlpm.dd,_xlfn.XLOOKUP(_xlpm.dn+cfgRetestClassDays,nrCDnum,nrCDdate,""),_xlpm.ok,_xlfn.XLOOKUP(_xlpm.dn+cfgRetestClassDays,nrCDnum,nrCDinsession,"No"),IF(OR(_xlpm.dd="",_xlpm.ok&lt;&gt;"Yes"),"(after last class day)",_xlpm.dd))))))</f>
        <v/>
      </c>
      <c r="U1385" s="17">
        <f>IF($C1385="","",IF(AND($Y1385="Excused",$L1385="",N($K1385)&lt;=1),"EXCUSED - 1st attempt pending",IF(OR($L1385="",$K1385&lt;&gt;1,NOT(ISNUMBER($L1385)),$L1385&gt;=$J1385),"",IF(COUNTIFS(nrES_PID,$D1385,nrES_Code,$F1385,nrES_Att,2,nrES_Raw,"&gt;=0")&gt;0,IF(IFERROR(_xlfn.MINIFS(nrES_Date,nrES_PID,$D1385,nrES_Code,$F1385,nrES_Att,2,nrES_Raw,"&gt;=0",nrES_Date,"&gt;0"),0)=0,"RETEST UNDATED",IF(NOT(ISNUMBER($T1385)),"RETEST DATE UNCHECKED",IF(_xlfn.MINIFS(nrES_Date,nrES_PID,$D1385,nrES_Code,$F1385,nrES_Att,2,nrES_Raw,"&gt;=0",nrES_Date,"&gt;0")&gt;$T1385,"LATE RETEST "&amp;TEXT(_xlfn.MINIFS(nrES_Date,nrES_PID,$D1385,nrES_Code,$F1385,nrES_Att,2,nrES_Raw,"&gt;=0",nrES_Date,"&gt;0"),"mm/dd")&amp;" (due "&amp;TEXT($T1385,"mm/dd")&amp;")","Retested"))),IF(NOT(ISNUMBER($T1385)),"CHECK DATE",IF(TODAY()&gt;$T1385,"OVERDUE","Due "&amp;TEXT($T1385,"mm/dd")))))))</f>
        <v/>
      </c>
      <c r="V1385" s="16" t="n"/>
      <c r="W1385" s="16" t="n"/>
      <c r="X1385" s="17">
        <f>IF($C1385="","",IF(AND($L1385&lt;&gt;"",NOT(ISNUMBER($L1385))),"RAW SCORE NOT A NUMBER",IF(AND(ISNUMBER($L1385),OR($L1385&lt;0,$L1385&gt;100)),"RAW SCORE OUT OF RANGE",IF(AND($Y1385="Unexcused",OR($L1385="",NOT(ISNUMBER($L1385)),$L1385&lt;&gt;0)),"UNEXCUSED ABSENCE MUST RECORD 0",IF(COUNTIF(nrES_RecID,$B1385)&gt;1,"DUPLICATE RECORD",IF(N($K1385)&gt;2,"ATTEMPT 3+ NOT ALLOWED - policy 300.5 permits one retest per exam; this row records nothing",IF(AND($K1385=2,COUNTIFS(nrES_PID,$D1385,nrES_Code,$F1385,nrES_Att,1)=0),"ATTEMPT 2 WITHOUT ATTEMPT 1",IF(AND($K1385=2,$L1385=""),"RETEST ROW HAS NO SCORE",IF(AND($H1385="Final",$L1385&lt;&gt;"",IFERROR(INDEX(nrCKfinalExamElig,MATCH($D1385,rngCadetPIDs,0)),"")="No"),"FINAL EXAM AFTER FAILED FINAL PT (500.1.H)",IF(AND($K1385=2,ISNUMBER($L1385),COUNTIFS(nrES_PID,$D1385,nrES_Code,$F1385,nrES_Att,1)&gt;0,SUMIFS(nrES_Raw,nrES_PID,$D1385,nrES_Code,$F1385,nrES_Att,1)&gt;=$J1385),"RETEST AFTER A PASSING FIRST ATTEMPT","OK"))))))))))</f>
        <v/>
      </c>
      <c r="Y1385" s="16" t="n"/>
    </row>
    <row r="1386">
      <c r="B1386" s="17">
        <f>IF($C1386="","",$D1386&amp;"-"&amp;$F1386&amp;"-"&amp;$K1386)</f>
        <v/>
      </c>
      <c r="C1386" s="16" t="n"/>
      <c r="D1386" s="17">
        <f>IF($C1386="","",IFERROR(INDEX(rngCadetPIDs,MATCH($C1386,rngCadetNames,0)),"?"))</f>
        <v/>
      </c>
      <c r="E1386" s="17">
        <f>IF($D1386="","",IFERROR(INDEX(nrCadetAgency,MATCH($D1386,rngCadetPIDs,0)),""))</f>
        <v/>
      </c>
      <c r="F1386" s="16" t="n"/>
      <c r="G1386" s="17">
        <f>IF($F1386="","",IFERROR(INDEX(rngEPname,MATCH($F1386,rngEPcode,0)),"?"))</f>
        <v/>
      </c>
      <c r="H1386" s="17">
        <f>IF($F1386="","",IFERROR(INDEX(rngEPtype,MATCH($F1386,rngEPcode,0)),"?"))</f>
        <v/>
      </c>
      <c r="I1386" s="17">
        <f>IF($F1386="","",IFERROR(INDEX(rngEPseq,MATCH($F1386,rngEPcode,0)),""))</f>
        <v/>
      </c>
      <c r="J1386" s="17">
        <f>IF($F1386="","",IFERROR(INDEX(rngEPpass,MATCH($F1386,rngEPcode,0)),cfgPassingScore))</f>
        <v/>
      </c>
      <c r="K1386" s="16" t="n"/>
      <c r="L1386" s="16" t="n"/>
      <c r="M1386" s="17">
        <f>IF($C1386="","",IF($L1386="","",IF(NOT(ISNUMBER($L1386)),$L1386,IF(N($K1386)&gt;2,"",IF($K1386=1,IF(COUNTIFS(nrES_PID,$D1386,nrES_Code,$F1386,nrES_Att,2,nrES_Raw,"&gt;=0")&gt;0,"",$L1386),IF($L1386&gt;=$J1386,MAX($J1386,cfgRetakeRecordedCap),IF(COUNTIFS(nrES_PID,$D1386,nrES_Code,$F1386,nrES_Att,1)=0,$L1386,SUMIFS(nrES_Raw,nrES_PID,$D1386,nrES_Code,$F1386,nrES_Att,1))))))))</f>
        <v/>
      </c>
      <c r="N1386" s="17">
        <f>IF($C1386="","",IF($L1386="","",IF(NOT(ISNUMBER($L1386)),"(not a score)",IF($L1386&gt;=$J1386,"Yes","No"))))</f>
        <v/>
      </c>
      <c r="O1386" s="17">
        <f>IF($C1386="","",IF($M1386="","",IF(NOT(ISNUMBER($M1386)),"(not a score)",IF($M1386&gt;=$J1386,"Yes","No"))))</f>
        <v/>
      </c>
      <c r="P1386" s="17">
        <f>IF($C1386="","",IF($K1386="","",IF(N($K1386)&gt;2,"No",IF(COUNTIFS(nrES_PID,$D1386,nrES_Code,$F1386,nrES_Att,"&gt;"&amp;$K1386,nrES_Att,"&lt;=2",nrES_Raw,"&gt;=0")=0,"Yes","No"))))</f>
        <v/>
      </c>
      <c r="Q1386" s="17">
        <f>IF($C1386="","",IF($L1386="","",IF(AND($K1386=1,ISNUMBER($L1386),$L1386&lt;$J1386,COUNTIFS(nrES_PID,$D1386,nrES_Code,$F1386,nrES_Att,2,nrES_Raw,"&gt;=0")=0),"Yes","No")))</f>
        <v/>
      </c>
      <c r="R1386" s="17">
        <f>IF($C1386="","",IF($L1386="","",IF(AND(N($K1386)&gt;=2,ISNUMBER($L1386),$L1386&lt;$J1386),"Yes","No")))</f>
        <v/>
      </c>
      <c r="S1386" s="18" t="n"/>
      <c r="T1386" s="19">
        <f>IF(OR($C1386="",$L1386="",$K1386&lt;&gt;1,NOT(ISNUMBER($L1386)),$L1386&gt;=$J1386),"",IF($S1386="","(enter date)",_xlfn.LET(_xlpm.dn,_xlfn.XLOOKUP($S1386,nrCDdate,nrCDnum,"",1),IF(_xlpm.dn="","(after last class day)",_xlfn.LET(_xlpm.dd,_xlfn.XLOOKUP(_xlpm.dn+cfgRetestClassDays,nrCDnum,nrCDdate,""),_xlpm.ok,_xlfn.XLOOKUP(_xlpm.dn+cfgRetestClassDays,nrCDnum,nrCDinsession,"No"),IF(OR(_xlpm.dd="",_xlpm.ok&lt;&gt;"Yes"),"(after last class day)",_xlpm.dd))))))</f>
        <v/>
      </c>
      <c r="U1386" s="17">
        <f>IF($C1386="","",IF(AND($Y1386="Excused",$L1386="",N($K1386)&lt;=1),"EXCUSED - 1st attempt pending",IF(OR($L1386="",$K1386&lt;&gt;1,NOT(ISNUMBER($L1386)),$L1386&gt;=$J1386),"",IF(COUNTIFS(nrES_PID,$D1386,nrES_Code,$F1386,nrES_Att,2,nrES_Raw,"&gt;=0")&gt;0,IF(IFERROR(_xlfn.MINIFS(nrES_Date,nrES_PID,$D1386,nrES_Code,$F1386,nrES_Att,2,nrES_Raw,"&gt;=0",nrES_Date,"&gt;0"),0)=0,"RETEST UNDATED",IF(NOT(ISNUMBER($T1386)),"RETEST DATE UNCHECKED",IF(_xlfn.MINIFS(nrES_Date,nrES_PID,$D1386,nrES_Code,$F1386,nrES_Att,2,nrES_Raw,"&gt;=0",nrES_Date,"&gt;0")&gt;$T1386,"LATE RETEST "&amp;TEXT(_xlfn.MINIFS(nrES_Date,nrES_PID,$D1386,nrES_Code,$F1386,nrES_Att,2,nrES_Raw,"&gt;=0",nrES_Date,"&gt;0"),"mm/dd")&amp;" (due "&amp;TEXT($T1386,"mm/dd")&amp;")","Retested"))),IF(NOT(ISNUMBER($T1386)),"CHECK DATE",IF(TODAY()&gt;$T1386,"OVERDUE","Due "&amp;TEXT($T1386,"mm/dd")))))))</f>
        <v/>
      </c>
      <c r="V1386" s="16" t="n"/>
      <c r="W1386" s="16" t="n"/>
      <c r="X1386" s="17">
        <f>IF($C1386="","",IF(AND($L1386&lt;&gt;"",NOT(ISNUMBER($L1386))),"RAW SCORE NOT A NUMBER",IF(AND(ISNUMBER($L1386),OR($L1386&lt;0,$L1386&gt;100)),"RAW SCORE OUT OF RANGE",IF(AND($Y1386="Unexcused",OR($L1386="",NOT(ISNUMBER($L1386)),$L1386&lt;&gt;0)),"UNEXCUSED ABSENCE MUST RECORD 0",IF(COUNTIF(nrES_RecID,$B1386)&gt;1,"DUPLICATE RECORD",IF(N($K1386)&gt;2,"ATTEMPT 3+ NOT ALLOWED - policy 300.5 permits one retest per exam; this row records nothing",IF(AND($K1386=2,COUNTIFS(nrES_PID,$D1386,nrES_Code,$F1386,nrES_Att,1)=0),"ATTEMPT 2 WITHOUT ATTEMPT 1",IF(AND($K1386=2,$L1386=""),"RETEST ROW HAS NO SCORE",IF(AND($H1386="Final",$L1386&lt;&gt;"",IFERROR(INDEX(nrCKfinalExamElig,MATCH($D1386,rngCadetPIDs,0)),"")="No"),"FINAL EXAM AFTER FAILED FINAL PT (500.1.H)",IF(AND($K1386=2,ISNUMBER($L1386),COUNTIFS(nrES_PID,$D1386,nrES_Code,$F1386,nrES_Att,1)&gt;0,SUMIFS(nrES_Raw,nrES_PID,$D1386,nrES_Code,$F1386,nrES_Att,1)&gt;=$J1386),"RETEST AFTER A PASSING FIRST ATTEMPT","OK"))))))))))</f>
        <v/>
      </c>
      <c r="Y1386" s="16" t="n"/>
    </row>
    <row r="1387">
      <c r="B1387" s="17">
        <f>IF($C1387="","",$D1387&amp;"-"&amp;$F1387&amp;"-"&amp;$K1387)</f>
        <v/>
      </c>
      <c r="C1387" s="16" t="n"/>
      <c r="D1387" s="17">
        <f>IF($C1387="","",IFERROR(INDEX(rngCadetPIDs,MATCH($C1387,rngCadetNames,0)),"?"))</f>
        <v/>
      </c>
      <c r="E1387" s="17">
        <f>IF($D1387="","",IFERROR(INDEX(nrCadetAgency,MATCH($D1387,rngCadetPIDs,0)),""))</f>
        <v/>
      </c>
      <c r="F1387" s="16" t="n"/>
      <c r="G1387" s="17">
        <f>IF($F1387="","",IFERROR(INDEX(rngEPname,MATCH($F1387,rngEPcode,0)),"?"))</f>
        <v/>
      </c>
      <c r="H1387" s="17">
        <f>IF($F1387="","",IFERROR(INDEX(rngEPtype,MATCH($F1387,rngEPcode,0)),"?"))</f>
        <v/>
      </c>
      <c r="I1387" s="17">
        <f>IF($F1387="","",IFERROR(INDEX(rngEPseq,MATCH($F1387,rngEPcode,0)),""))</f>
        <v/>
      </c>
      <c r="J1387" s="17">
        <f>IF($F1387="","",IFERROR(INDEX(rngEPpass,MATCH($F1387,rngEPcode,0)),cfgPassingScore))</f>
        <v/>
      </c>
      <c r="K1387" s="16" t="n"/>
      <c r="L1387" s="16" t="n"/>
      <c r="M1387" s="17">
        <f>IF($C1387="","",IF($L1387="","",IF(NOT(ISNUMBER($L1387)),$L1387,IF(N($K1387)&gt;2,"",IF($K1387=1,IF(COUNTIFS(nrES_PID,$D1387,nrES_Code,$F1387,nrES_Att,2,nrES_Raw,"&gt;=0")&gt;0,"",$L1387),IF($L1387&gt;=$J1387,MAX($J1387,cfgRetakeRecordedCap),IF(COUNTIFS(nrES_PID,$D1387,nrES_Code,$F1387,nrES_Att,1)=0,$L1387,SUMIFS(nrES_Raw,nrES_PID,$D1387,nrES_Code,$F1387,nrES_Att,1))))))))</f>
        <v/>
      </c>
      <c r="N1387" s="17">
        <f>IF($C1387="","",IF($L1387="","",IF(NOT(ISNUMBER($L1387)),"(not a score)",IF($L1387&gt;=$J1387,"Yes","No"))))</f>
        <v/>
      </c>
      <c r="O1387" s="17">
        <f>IF($C1387="","",IF($M1387="","",IF(NOT(ISNUMBER($M1387)),"(not a score)",IF($M1387&gt;=$J1387,"Yes","No"))))</f>
        <v/>
      </c>
      <c r="P1387" s="17">
        <f>IF($C1387="","",IF($K1387="","",IF(N($K1387)&gt;2,"No",IF(COUNTIFS(nrES_PID,$D1387,nrES_Code,$F1387,nrES_Att,"&gt;"&amp;$K1387,nrES_Att,"&lt;=2",nrES_Raw,"&gt;=0")=0,"Yes","No"))))</f>
        <v/>
      </c>
      <c r="Q1387" s="17">
        <f>IF($C1387="","",IF($L1387="","",IF(AND($K1387=1,ISNUMBER($L1387),$L1387&lt;$J1387,COUNTIFS(nrES_PID,$D1387,nrES_Code,$F1387,nrES_Att,2,nrES_Raw,"&gt;=0")=0),"Yes","No")))</f>
        <v/>
      </c>
      <c r="R1387" s="17">
        <f>IF($C1387="","",IF($L1387="","",IF(AND(N($K1387)&gt;=2,ISNUMBER($L1387),$L1387&lt;$J1387),"Yes","No")))</f>
        <v/>
      </c>
      <c r="S1387" s="18" t="n"/>
      <c r="T1387" s="19">
        <f>IF(OR($C1387="",$L1387="",$K1387&lt;&gt;1,NOT(ISNUMBER($L1387)),$L1387&gt;=$J1387),"",IF($S1387="","(enter date)",_xlfn.LET(_xlpm.dn,_xlfn.XLOOKUP($S1387,nrCDdate,nrCDnum,"",1),IF(_xlpm.dn="","(after last class day)",_xlfn.LET(_xlpm.dd,_xlfn.XLOOKUP(_xlpm.dn+cfgRetestClassDays,nrCDnum,nrCDdate,""),_xlpm.ok,_xlfn.XLOOKUP(_xlpm.dn+cfgRetestClassDays,nrCDnum,nrCDinsession,"No"),IF(OR(_xlpm.dd="",_xlpm.ok&lt;&gt;"Yes"),"(after last class day)",_xlpm.dd))))))</f>
        <v/>
      </c>
      <c r="U1387" s="17">
        <f>IF($C1387="","",IF(AND($Y1387="Excused",$L1387="",N($K1387)&lt;=1),"EXCUSED - 1st attempt pending",IF(OR($L1387="",$K1387&lt;&gt;1,NOT(ISNUMBER($L1387)),$L1387&gt;=$J1387),"",IF(COUNTIFS(nrES_PID,$D1387,nrES_Code,$F1387,nrES_Att,2,nrES_Raw,"&gt;=0")&gt;0,IF(IFERROR(_xlfn.MINIFS(nrES_Date,nrES_PID,$D1387,nrES_Code,$F1387,nrES_Att,2,nrES_Raw,"&gt;=0",nrES_Date,"&gt;0"),0)=0,"RETEST UNDATED",IF(NOT(ISNUMBER($T1387)),"RETEST DATE UNCHECKED",IF(_xlfn.MINIFS(nrES_Date,nrES_PID,$D1387,nrES_Code,$F1387,nrES_Att,2,nrES_Raw,"&gt;=0",nrES_Date,"&gt;0")&gt;$T1387,"LATE RETEST "&amp;TEXT(_xlfn.MINIFS(nrES_Date,nrES_PID,$D1387,nrES_Code,$F1387,nrES_Att,2,nrES_Raw,"&gt;=0",nrES_Date,"&gt;0"),"mm/dd")&amp;" (due "&amp;TEXT($T1387,"mm/dd")&amp;")","Retested"))),IF(NOT(ISNUMBER($T1387)),"CHECK DATE",IF(TODAY()&gt;$T1387,"OVERDUE","Due "&amp;TEXT($T1387,"mm/dd")))))))</f>
        <v/>
      </c>
      <c r="V1387" s="16" t="n"/>
      <c r="W1387" s="16" t="n"/>
      <c r="X1387" s="17">
        <f>IF($C1387="","",IF(AND($L1387&lt;&gt;"",NOT(ISNUMBER($L1387))),"RAW SCORE NOT A NUMBER",IF(AND(ISNUMBER($L1387),OR($L1387&lt;0,$L1387&gt;100)),"RAW SCORE OUT OF RANGE",IF(AND($Y1387="Unexcused",OR($L1387="",NOT(ISNUMBER($L1387)),$L1387&lt;&gt;0)),"UNEXCUSED ABSENCE MUST RECORD 0",IF(COUNTIF(nrES_RecID,$B1387)&gt;1,"DUPLICATE RECORD",IF(N($K1387)&gt;2,"ATTEMPT 3+ NOT ALLOWED - policy 300.5 permits one retest per exam; this row records nothing",IF(AND($K1387=2,COUNTIFS(nrES_PID,$D1387,nrES_Code,$F1387,nrES_Att,1)=0),"ATTEMPT 2 WITHOUT ATTEMPT 1",IF(AND($K1387=2,$L1387=""),"RETEST ROW HAS NO SCORE",IF(AND($H1387="Final",$L1387&lt;&gt;"",IFERROR(INDEX(nrCKfinalExamElig,MATCH($D1387,rngCadetPIDs,0)),"")="No"),"FINAL EXAM AFTER FAILED FINAL PT (500.1.H)",IF(AND($K1387=2,ISNUMBER($L1387),COUNTIFS(nrES_PID,$D1387,nrES_Code,$F1387,nrES_Att,1)&gt;0,SUMIFS(nrES_Raw,nrES_PID,$D1387,nrES_Code,$F1387,nrES_Att,1)&gt;=$J1387),"RETEST AFTER A PASSING FIRST ATTEMPT","OK"))))))))))</f>
        <v/>
      </c>
      <c r="Y1387" s="16" t="n"/>
    </row>
    <row r="1388">
      <c r="B1388" s="17">
        <f>IF($C1388="","",$D1388&amp;"-"&amp;$F1388&amp;"-"&amp;$K1388)</f>
        <v/>
      </c>
      <c r="C1388" s="16" t="n"/>
      <c r="D1388" s="17">
        <f>IF($C1388="","",IFERROR(INDEX(rngCadetPIDs,MATCH($C1388,rngCadetNames,0)),"?"))</f>
        <v/>
      </c>
      <c r="E1388" s="17">
        <f>IF($D1388="","",IFERROR(INDEX(nrCadetAgency,MATCH($D1388,rngCadetPIDs,0)),""))</f>
        <v/>
      </c>
      <c r="F1388" s="16" t="n"/>
      <c r="G1388" s="17">
        <f>IF($F1388="","",IFERROR(INDEX(rngEPname,MATCH($F1388,rngEPcode,0)),"?"))</f>
        <v/>
      </c>
      <c r="H1388" s="17">
        <f>IF($F1388="","",IFERROR(INDEX(rngEPtype,MATCH($F1388,rngEPcode,0)),"?"))</f>
        <v/>
      </c>
      <c r="I1388" s="17">
        <f>IF($F1388="","",IFERROR(INDEX(rngEPseq,MATCH($F1388,rngEPcode,0)),""))</f>
        <v/>
      </c>
      <c r="J1388" s="17">
        <f>IF($F1388="","",IFERROR(INDEX(rngEPpass,MATCH($F1388,rngEPcode,0)),cfgPassingScore))</f>
        <v/>
      </c>
      <c r="K1388" s="16" t="n"/>
      <c r="L1388" s="16" t="n"/>
      <c r="M1388" s="17">
        <f>IF($C1388="","",IF($L1388="","",IF(NOT(ISNUMBER($L1388)),$L1388,IF(N($K1388)&gt;2,"",IF($K1388=1,IF(COUNTIFS(nrES_PID,$D1388,nrES_Code,$F1388,nrES_Att,2,nrES_Raw,"&gt;=0")&gt;0,"",$L1388),IF($L1388&gt;=$J1388,MAX($J1388,cfgRetakeRecordedCap),IF(COUNTIFS(nrES_PID,$D1388,nrES_Code,$F1388,nrES_Att,1)=0,$L1388,SUMIFS(nrES_Raw,nrES_PID,$D1388,nrES_Code,$F1388,nrES_Att,1))))))))</f>
        <v/>
      </c>
      <c r="N1388" s="17">
        <f>IF($C1388="","",IF($L1388="","",IF(NOT(ISNUMBER($L1388)),"(not a score)",IF($L1388&gt;=$J1388,"Yes","No"))))</f>
        <v/>
      </c>
      <c r="O1388" s="17">
        <f>IF($C1388="","",IF($M1388="","",IF(NOT(ISNUMBER($M1388)),"(not a score)",IF($M1388&gt;=$J1388,"Yes","No"))))</f>
        <v/>
      </c>
      <c r="P1388" s="17">
        <f>IF($C1388="","",IF($K1388="","",IF(N($K1388)&gt;2,"No",IF(COUNTIFS(nrES_PID,$D1388,nrES_Code,$F1388,nrES_Att,"&gt;"&amp;$K1388,nrES_Att,"&lt;=2",nrES_Raw,"&gt;=0")=0,"Yes","No"))))</f>
        <v/>
      </c>
      <c r="Q1388" s="17">
        <f>IF($C1388="","",IF($L1388="","",IF(AND($K1388=1,ISNUMBER($L1388),$L1388&lt;$J1388,COUNTIFS(nrES_PID,$D1388,nrES_Code,$F1388,nrES_Att,2,nrES_Raw,"&gt;=0")=0),"Yes","No")))</f>
        <v/>
      </c>
      <c r="R1388" s="17">
        <f>IF($C1388="","",IF($L1388="","",IF(AND(N($K1388)&gt;=2,ISNUMBER($L1388),$L1388&lt;$J1388),"Yes","No")))</f>
        <v/>
      </c>
      <c r="S1388" s="18" t="n"/>
      <c r="T1388" s="19">
        <f>IF(OR($C1388="",$L1388="",$K1388&lt;&gt;1,NOT(ISNUMBER($L1388)),$L1388&gt;=$J1388),"",IF($S1388="","(enter date)",_xlfn.LET(_xlpm.dn,_xlfn.XLOOKUP($S1388,nrCDdate,nrCDnum,"",1),IF(_xlpm.dn="","(after last class day)",_xlfn.LET(_xlpm.dd,_xlfn.XLOOKUP(_xlpm.dn+cfgRetestClassDays,nrCDnum,nrCDdate,""),_xlpm.ok,_xlfn.XLOOKUP(_xlpm.dn+cfgRetestClassDays,nrCDnum,nrCDinsession,"No"),IF(OR(_xlpm.dd="",_xlpm.ok&lt;&gt;"Yes"),"(after last class day)",_xlpm.dd))))))</f>
        <v/>
      </c>
      <c r="U1388" s="17">
        <f>IF($C1388="","",IF(AND($Y1388="Excused",$L1388="",N($K1388)&lt;=1),"EXCUSED - 1st attempt pending",IF(OR($L1388="",$K1388&lt;&gt;1,NOT(ISNUMBER($L1388)),$L1388&gt;=$J1388),"",IF(COUNTIFS(nrES_PID,$D1388,nrES_Code,$F1388,nrES_Att,2,nrES_Raw,"&gt;=0")&gt;0,IF(IFERROR(_xlfn.MINIFS(nrES_Date,nrES_PID,$D1388,nrES_Code,$F1388,nrES_Att,2,nrES_Raw,"&gt;=0",nrES_Date,"&gt;0"),0)=0,"RETEST UNDATED",IF(NOT(ISNUMBER($T1388)),"RETEST DATE UNCHECKED",IF(_xlfn.MINIFS(nrES_Date,nrES_PID,$D1388,nrES_Code,$F1388,nrES_Att,2,nrES_Raw,"&gt;=0",nrES_Date,"&gt;0")&gt;$T1388,"LATE RETEST "&amp;TEXT(_xlfn.MINIFS(nrES_Date,nrES_PID,$D1388,nrES_Code,$F1388,nrES_Att,2,nrES_Raw,"&gt;=0",nrES_Date,"&gt;0"),"mm/dd")&amp;" (due "&amp;TEXT($T1388,"mm/dd")&amp;")","Retested"))),IF(NOT(ISNUMBER($T1388)),"CHECK DATE",IF(TODAY()&gt;$T1388,"OVERDUE","Due "&amp;TEXT($T1388,"mm/dd")))))))</f>
        <v/>
      </c>
      <c r="V1388" s="16" t="n"/>
      <c r="W1388" s="16" t="n"/>
      <c r="X1388" s="17">
        <f>IF($C1388="","",IF(AND($L1388&lt;&gt;"",NOT(ISNUMBER($L1388))),"RAW SCORE NOT A NUMBER",IF(AND(ISNUMBER($L1388),OR($L1388&lt;0,$L1388&gt;100)),"RAW SCORE OUT OF RANGE",IF(AND($Y1388="Unexcused",OR($L1388="",NOT(ISNUMBER($L1388)),$L1388&lt;&gt;0)),"UNEXCUSED ABSENCE MUST RECORD 0",IF(COUNTIF(nrES_RecID,$B1388)&gt;1,"DUPLICATE RECORD",IF(N($K1388)&gt;2,"ATTEMPT 3+ NOT ALLOWED - policy 300.5 permits one retest per exam; this row records nothing",IF(AND($K1388=2,COUNTIFS(nrES_PID,$D1388,nrES_Code,$F1388,nrES_Att,1)=0),"ATTEMPT 2 WITHOUT ATTEMPT 1",IF(AND($K1388=2,$L1388=""),"RETEST ROW HAS NO SCORE",IF(AND($H1388="Final",$L1388&lt;&gt;"",IFERROR(INDEX(nrCKfinalExamElig,MATCH($D1388,rngCadetPIDs,0)),"")="No"),"FINAL EXAM AFTER FAILED FINAL PT (500.1.H)",IF(AND($K1388=2,ISNUMBER($L1388),COUNTIFS(nrES_PID,$D1388,nrES_Code,$F1388,nrES_Att,1)&gt;0,SUMIFS(nrES_Raw,nrES_PID,$D1388,nrES_Code,$F1388,nrES_Att,1)&gt;=$J1388),"RETEST AFTER A PASSING FIRST ATTEMPT","OK"))))))))))</f>
        <v/>
      </c>
      <c r="Y1388" s="16" t="n"/>
    </row>
    <row r="1389">
      <c r="B1389" s="17">
        <f>IF($C1389="","",$D1389&amp;"-"&amp;$F1389&amp;"-"&amp;$K1389)</f>
        <v/>
      </c>
      <c r="C1389" s="16" t="n"/>
      <c r="D1389" s="17">
        <f>IF($C1389="","",IFERROR(INDEX(rngCadetPIDs,MATCH($C1389,rngCadetNames,0)),"?"))</f>
        <v/>
      </c>
      <c r="E1389" s="17">
        <f>IF($D1389="","",IFERROR(INDEX(nrCadetAgency,MATCH($D1389,rngCadetPIDs,0)),""))</f>
        <v/>
      </c>
      <c r="F1389" s="16" t="n"/>
      <c r="G1389" s="17">
        <f>IF($F1389="","",IFERROR(INDEX(rngEPname,MATCH($F1389,rngEPcode,0)),"?"))</f>
        <v/>
      </c>
      <c r="H1389" s="17">
        <f>IF($F1389="","",IFERROR(INDEX(rngEPtype,MATCH($F1389,rngEPcode,0)),"?"))</f>
        <v/>
      </c>
      <c r="I1389" s="17">
        <f>IF($F1389="","",IFERROR(INDEX(rngEPseq,MATCH($F1389,rngEPcode,0)),""))</f>
        <v/>
      </c>
      <c r="J1389" s="17">
        <f>IF($F1389="","",IFERROR(INDEX(rngEPpass,MATCH($F1389,rngEPcode,0)),cfgPassingScore))</f>
        <v/>
      </c>
      <c r="K1389" s="16" t="n"/>
      <c r="L1389" s="16" t="n"/>
      <c r="M1389" s="17">
        <f>IF($C1389="","",IF($L1389="","",IF(NOT(ISNUMBER($L1389)),$L1389,IF(N($K1389)&gt;2,"",IF($K1389=1,IF(COUNTIFS(nrES_PID,$D1389,nrES_Code,$F1389,nrES_Att,2,nrES_Raw,"&gt;=0")&gt;0,"",$L1389),IF($L1389&gt;=$J1389,MAX($J1389,cfgRetakeRecordedCap),IF(COUNTIFS(nrES_PID,$D1389,nrES_Code,$F1389,nrES_Att,1)=0,$L1389,SUMIFS(nrES_Raw,nrES_PID,$D1389,nrES_Code,$F1389,nrES_Att,1))))))))</f>
        <v/>
      </c>
      <c r="N1389" s="17">
        <f>IF($C1389="","",IF($L1389="","",IF(NOT(ISNUMBER($L1389)),"(not a score)",IF($L1389&gt;=$J1389,"Yes","No"))))</f>
        <v/>
      </c>
      <c r="O1389" s="17">
        <f>IF($C1389="","",IF($M1389="","",IF(NOT(ISNUMBER($M1389)),"(not a score)",IF($M1389&gt;=$J1389,"Yes","No"))))</f>
        <v/>
      </c>
      <c r="P1389" s="17">
        <f>IF($C1389="","",IF($K1389="","",IF(N($K1389)&gt;2,"No",IF(COUNTIFS(nrES_PID,$D1389,nrES_Code,$F1389,nrES_Att,"&gt;"&amp;$K1389,nrES_Att,"&lt;=2",nrES_Raw,"&gt;=0")=0,"Yes","No"))))</f>
        <v/>
      </c>
      <c r="Q1389" s="17">
        <f>IF($C1389="","",IF($L1389="","",IF(AND($K1389=1,ISNUMBER($L1389),$L1389&lt;$J1389,COUNTIFS(nrES_PID,$D1389,nrES_Code,$F1389,nrES_Att,2,nrES_Raw,"&gt;=0")=0),"Yes","No")))</f>
        <v/>
      </c>
      <c r="R1389" s="17">
        <f>IF($C1389="","",IF($L1389="","",IF(AND(N($K1389)&gt;=2,ISNUMBER($L1389),$L1389&lt;$J1389),"Yes","No")))</f>
        <v/>
      </c>
      <c r="S1389" s="18" t="n"/>
      <c r="T1389" s="19">
        <f>IF(OR($C1389="",$L1389="",$K1389&lt;&gt;1,NOT(ISNUMBER($L1389)),$L1389&gt;=$J1389),"",IF($S1389="","(enter date)",_xlfn.LET(_xlpm.dn,_xlfn.XLOOKUP($S1389,nrCDdate,nrCDnum,"",1),IF(_xlpm.dn="","(after last class day)",_xlfn.LET(_xlpm.dd,_xlfn.XLOOKUP(_xlpm.dn+cfgRetestClassDays,nrCDnum,nrCDdate,""),_xlpm.ok,_xlfn.XLOOKUP(_xlpm.dn+cfgRetestClassDays,nrCDnum,nrCDinsession,"No"),IF(OR(_xlpm.dd="",_xlpm.ok&lt;&gt;"Yes"),"(after last class day)",_xlpm.dd))))))</f>
        <v/>
      </c>
      <c r="U1389" s="17">
        <f>IF($C1389="","",IF(AND($Y1389="Excused",$L1389="",N($K1389)&lt;=1),"EXCUSED - 1st attempt pending",IF(OR($L1389="",$K1389&lt;&gt;1,NOT(ISNUMBER($L1389)),$L1389&gt;=$J1389),"",IF(COUNTIFS(nrES_PID,$D1389,nrES_Code,$F1389,nrES_Att,2,nrES_Raw,"&gt;=0")&gt;0,IF(IFERROR(_xlfn.MINIFS(nrES_Date,nrES_PID,$D1389,nrES_Code,$F1389,nrES_Att,2,nrES_Raw,"&gt;=0",nrES_Date,"&gt;0"),0)=0,"RETEST UNDATED",IF(NOT(ISNUMBER($T1389)),"RETEST DATE UNCHECKED",IF(_xlfn.MINIFS(nrES_Date,nrES_PID,$D1389,nrES_Code,$F1389,nrES_Att,2,nrES_Raw,"&gt;=0",nrES_Date,"&gt;0")&gt;$T1389,"LATE RETEST "&amp;TEXT(_xlfn.MINIFS(nrES_Date,nrES_PID,$D1389,nrES_Code,$F1389,nrES_Att,2,nrES_Raw,"&gt;=0",nrES_Date,"&gt;0"),"mm/dd")&amp;" (due "&amp;TEXT($T1389,"mm/dd")&amp;")","Retested"))),IF(NOT(ISNUMBER($T1389)),"CHECK DATE",IF(TODAY()&gt;$T1389,"OVERDUE","Due "&amp;TEXT($T1389,"mm/dd")))))))</f>
        <v/>
      </c>
      <c r="V1389" s="16" t="n"/>
      <c r="W1389" s="16" t="n"/>
      <c r="X1389" s="17">
        <f>IF($C1389="","",IF(AND($L1389&lt;&gt;"",NOT(ISNUMBER($L1389))),"RAW SCORE NOT A NUMBER",IF(AND(ISNUMBER($L1389),OR($L1389&lt;0,$L1389&gt;100)),"RAW SCORE OUT OF RANGE",IF(AND($Y1389="Unexcused",OR($L1389="",NOT(ISNUMBER($L1389)),$L1389&lt;&gt;0)),"UNEXCUSED ABSENCE MUST RECORD 0",IF(COUNTIF(nrES_RecID,$B1389)&gt;1,"DUPLICATE RECORD",IF(N($K1389)&gt;2,"ATTEMPT 3+ NOT ALLOWED - policy 300.5 permits one retest per exam; this row records nothing",IF(AND($K1389=2,COUNTIFS(nrES_PID,$D1389,nrES_Code,$F1389,nrES_Att,1)=0),"ATTEMPT 2 WITHOUT ATTEMPT 1",IF(AND($K1389=2,$L1389=""),"RETEST ROW HAS NO SCORE",IF(AND($H1389="Final",$L1389&lt;&gt;"",IFERROR(INDEX(nrCKfinalExamElig,MATCH($D1389,rngCadetPIDs,0)),"")="No"),"FINAL EXAM AFTER FAILED FINAL PT (500.1.H)",IF(AND($K1389=2,ISNUMBER($L1389),COUNTIFS(nrES_PID,$D1389,nrES_Code,$F1389,nrES_Att,1)&gt;0,SUMIFS(nrES_Raw,nrES_PID,$D1389,nrES_Code,$F1389,nrES_Att,1)&gt;=$J1389),"RETEST AFTER A PASSING FIRST ATTEMPT","OK"))))))))))</f>
        <v/>
      </c>
      <c r="Y1389" s="16" t="n"/>
    </row>
    <row r="1390">
      <c r="B1390" s="17">
        <f>IF($C1390="","",$D1390&amp;"-"&amp;$F1390&amp;"-"&amp;$K1390)</f>
        <v/>
      </c>
      <c r="C1390" s="16" t="n"/>
      <c r="D1390" s="17">
        <f>IF($C1390="","",IFERROR(INDEX(rngCadetPIDs,MATCH($C1390,rngCadetNames,0)),"?"))</f>
        <v/>
      </c>
      <c r="E1390" s="17">
        <f>IF($D1390="","",IFERROR(INDEX(nrCadetAgency,MATCH($D1390,rngCadetPIDs,0)),""))</f>
        <v/>
      </c>
      <c r="F1390" s="16" t="n"/>
      <c r="G1390" s="17">
        <f>IF($F1390="","",IFERROR(INDEX(rngEPname,MATCH($F1390,rngEPcode,0)),"?"))</f>
        <v/>
      </c>
      <c r="H1390" s="17">
        <f>IF($F1390="","",IFERROR(INDEX(rngEPtype,MATCH($F1390,rngEPcode,0)),"?"))</f>
        <v/>
      </c>
      <c r="I1390" s="17">
        <f>IF($F1390="","",IFERROR(INDEX(rngEPseq,MATCH($F1390,rngEPcode,0)),""))</f>
        <v/>
      </c>
      <c r="J1390" s="17">
        <f>IF($F1390="","",IFERROR(INDEX(rngEPpass,MATCH($F1390,rngEPcode,0)),cfgPassingScore))</f>
        <v/>
      </c>
      <c r="K1390" s="16" t="n"/>
      <c r="L1390" s="16" t="n"/>
      <c r="M1390" s="17">
        <f>IF($C1390="","",IF($L1390="","",IF(NOT(ISNUMBER($L1390)),$L1390,IF(N($K1390)&gt;2,"",IF($K1390=1,IF(COUNTIFS(nrES_PID,$D1390,nrES_Code,$F1390,nrES_Att,2,nrES_Raw,"&gt;=0")&gt;0,"",$L1390),IF($L1390&gt;=$J1390,MAX($J1390,cfgRetakeRecordedCap),IF(COUNTIFS(nrES_PID,$D1390,nrES_Code,$F1390,nrES_Att,1)=0,$L1390,SUMIFS(nrES_Raw,nrES_PID,$D1390,nrES_Code,$F1390,nrES_Att,1))))))))</f>
        <v/>
      </c>
      <c r="N1390" s="17">
        <f>IF($C1390="","",IF($L1390="","",IF(NOT(ISNUMBER($L1390)),"(not a score)",IF($L1390&gt;=$J1390,"Yes","No"))))</f>
        <v/>
      </c>
      <c r="O1390" s="17">
        <f>IF($C1390="","",IF($M1390="","",IF(NOT(ISNUMBER($M1390)),"(not a score)",IF($M1390&gt;=$J1390,"Yes","No"))))</f>
        <v/>
      </c>
      <c r="P1390" s="17">
        <f>IF($C1390="","",IF($K1390="","",IF(N($K1390)&gt;2,"No",IF(COUNTIFS(nrES_PID,$D1390,nrES_Code,$F1390,nrES_Att,"&gt;"&amp;$K1390,nrES_Att,"&lt;=2",nrES_Raw,"&gt;=0")=0,"Yes","No"))))</f>
        <v/>
      </c>
      <c r="Q1390" s="17">
        <f>IF($C1390="","",IF($L1390="","",IF(AND($K1390=1,ISNUMBER($L1390),$L1390&lt;$J1390,COUNTIFS(nrES_PID,$D1390,nrES_Code,$F1390,nrES_Att,2,nrES_Raw,"&gt;=0")=0),"Yes","No")))</f>
        <v/>
      </c>
      <c r="R1390" s="17">
        <f>IF($C1390="","",IF($L1390="","",IF(AND(N($K1390)&gt;=2,ISNUMBER($L1390),$L1390&lt;$J1390),"Yes","No")))</f>
        <v/>
      </c>
      <c r="S1390" s="18" t="n"/>
      <c r="T1390" s="19">
        <f>IF(OR($C1390="",$L1390="",$K1390&lt;&gt;1,NOT(ISNUMBER($L1390)),$L1390&gt;=$J1390),"",IF($S1390="","(enter date)",_xlfn.LET(_xlpm.dn,_xlfn.XLOOKUP($S1390,nrCDdate,nrCDnum,"",1),IF(_xlpm.dn="","(after last class day)",_xlfn.LET(_xlpm.dd,_xlfn.XLOOKUP(_xlpm.dn+cfgRetestClassDays,nrCDnum,nrCDdate,""),_xlpm.ok,_xlfn.XLOOKUP(_xlpm.dn+cfgRetestClassDays,nrCDnum,nrCDinsession,"No"),IF(OR(_xlpm.dd="",_xlpm.ok&lt;&gt;"Yes"),"(after last class day)",_xlpm.dd))))))</f>
        <v/>
      </c>
      <c r="U1390" s="17">
        <f>IF($C1390="","",IF(AND($Y1390="Excused",$L1390="",N($K1390)&lt;=1),"EXCUSED - 1st attempt pending",IF(OR($L1390="",$K1390&lt;&gt;1,NOT(ISNUMBER($L1390)),$L1390&gt;=$J1390),"",IF(COUNTIFS(nrES_PID,$D1390,nrES_Code,$F1390,nrES_Att,2,nrES_Raw,"&gt;=0")&gt;0,IF(IFERROR(_xlfn.MINIFS(nrES_Date,nrES_PID,$D1390,nrES_Code,$F1390,nrES_Att,2,nrES_Raw,"&gt;=0",nrES_Date,"&gt;0"),0)=0,"RETEST UNDATED",IF(NOT(ISNUMBER($T1390)),"RETEST DATE UNCHECKED",IF(_xlfn.MINIFS(nrES_Date,nrES_PID,$D1390,nrES_Code,$F1390,nrES_Att,2,nrES_Raw,"&gt;=0",nrES_Date,"&gt;0")&gt;$T1390,"LATE RETEST "&amp;TEXT(_xlfn.MINIFS(nrES_Date,nrES_PID,$D1390,nrES_Code,$F1390,nrES_Att,2,nrES_Raw,"&gt;=0",nrES_Date,"&gt;0"),"mm/dd")&amp;" (due "&amp;TEXT($T1390,"mm/dd")&amp;")","Retested"))),IF(NOT(ISNUMBER($T1390)),"CHECK DATE",IF(TODAY()&gt;$T1390,"OVERDUE","Due "&amp;TEXT($T1390,"mm/dd")))))))</f>
        <v/>
      </c>
      <c r="V1390" s="16" t="n"/>
      <c r="W1390" s="16" t="n"/>
      <c r="X1390" s="17">
        <f>IF($C1390="","",IF(AND($L1390&lt;&gt;"",NOT(ISNUMBER($L1390))),"RAW SCORE NOT A NUMBER",IF(AND(ISNUMBER($L1390),OR($L1390&lt;0,$L1390&gt;100)),"RAW SCORE OUT OF RANGE",IF(AND($Y1390="Unexcused",OR($L1390="",NOT(ISNUMBER($L1390)),$L1390&lt;&gt;0)),"UNEXCUSED ABSENCE MUST RECORD 0",IF(COUNTIF(nrES_RecID,$B1390)&gt;1,"DUPLICATE RECORD",IF(N($K1390)&gt;2,"ATTEMPT 3+ NOT ALLOWED - policy 300.5 permits one retest per exam; this row records nothing",IF(AND($K1390=2,COUNTIFS(nrES_PID,$D1390,nrES_Code,$F1390,nrES_Att,1)=0),"ATTEMPT 2 WITHOUT ATTEMPT 1",IF(AND($K1390=2,$L1390=""),"RETEST ROW HAS NO SCORE",IF(AND($H1390="Final",$L1390&lt;&gt;"",IFERROR(INDEX(nrCKfinalExamElig,MATCH($D1390,rngCadetPIDs,0)),"")="No"),"FINAL EXAM AFTER FAILED FINAL PT (500.1.H)",IF(AND($K1390=2,ISNUMBER($L1390),COUNTIFS(nrES_PID,$D1390,nrES_Code,$F1390,nrES_Att,1)&gt;0,SUMIFS(nrES_Raw,nrES_PID,$D1390,nrES_Code,$F1390,nrES_Att,1)&gt;=$J1390),"RETEST AFTER A PASSING FIRST ATTEMPT","OK"))))))))))</f>
        <v/>
      </c>
      <c r="Y1390" s="16" t="n"/>
    </row>
    <row r="1391">
      <c r="B1391" s="17">
        <f>IF($C1391="","",$D1391&amp;"-"&amp;$F1391&amp;"-"&amp;$K1391)</f>
        <v/>
      </c>
      <c r="C1391" s="16" t="n"/>
      <c r="D1391" s="17">
        <f>IF($C1391="","",IFERROR(INDEX(rngCadetPIDs,MATCH($C1391,rngCadetNames,0)),"?"))</f>
        <v/>
      </c>
      <c r="E1391" s="17">
        <f>IF($D1391="","",IFERROR(INDEX(nrCadetAgency,MATCH($D1391,rngCadetPIDs,0)),""))</f>
        <v/>
      </c>
      <c r="F1391" s="16" t="n"/>
      <c r="G1391" s="17">
        <f>IF($F1391="","",IFERROR(INDEX(rngEPname,MATCH($F1391,rngEPcode,0)),"?"))</f>
        <v/>
      </c>
      <c r="H1391" s="17">
        <f>IF($F1391="","",IFERROR(INDEX(rngEPtype,MATCH($F1391,rngEPcode,0)),"?"))</f>
        <v/>
      </c>
      <c r="I1391" s="17">
        <f>IF($F1391="","",IFERROR(INDEX(rngEPseq,MATCH($F1391,rngEPcode,0)),""))</f>
        <v/>
      </c>
      <c r="J1391" s="17">
        <f>IF($F1391="","",IFERROR(INDEX(rngEPpass,MATCH($F1391,rngEPcode,0)),cfgPassingScore))</f>
        <v/>
      </c>
      <c r="K1391" s="16" t="n"/>
      <c r="L1391" s="16" t="n"/>
      <c r="M1391" s="17">
        <f>IF($C1391="","",IF($L1391="","",IF(NOT(ISNUMBER($L1391)),$L1391,IF(N($K1391)&gt;2,"",IF($K1391=1,IF(COUNTIFS(nrES_PID,$D1391,nrES_Code,$F1391,nrES_Att,2,nrES_Raw,"&gt;=0")&gt;0,"",$L1391),IF($L1391&gt;=$J1391,MAX($J1391,cfgRetakeRecordedCap),IF(COUNTIFS(nrES_PID,$D1391,nrES_Code,$F1391,nrES_Att,1)=0,$L1391,SUMIFS(nrES_Raw,nrES_PID,$D1391,nrES_Code,$F1391,nrES_Att,1))))))))</f>
        <v/>
      </c>
      <c r="N1391" s="17">
        <f>IF($C1391="","",IF($L1391="","",IF(NOT(ISNUMBER($L1391)),"(not a score)",IF($L1391&gt;=$J1391,"Yes","No"))))</f>
        <v/>
      </c>
      <c r="O1391" s="17">
        <f>IF($C1391="","",IF($M1391="","",IF(NOT(ISNUMBER($M1391)),"(not a score)",IF($M1391&gt;=$J1391,"Yes","No"))))</f>
        <v/>
      </c>
      <c r="P1391" s="17">
        <f>IF($C1391="","",IF($K1391="","",IF(N($K1391)&gt;2,"No",IF(COUNTIFS(nrES_PID,$D1391,nrES_Code,$F1391,nrES_Att,"&gt;"&amp;$K1391,nrES_Att,"&lt;=2",nrES_Raw,"&gt;=0")=0,"Yes","No"))))</f>
        <v/>
      </c>
      <c r="Q1391" s="17">
        <f>IF($C1391="","",IF($L1391="","",IF(AND($K1391=1,ISNUMBER($L1391),$L1391&lt;$J1391,COUNTIFS(nrES_PID,$D1391,nrES_Code,$F1391,nrES_Att,2,nrES_Raw,"&gt;=0")=0),"Yes","No")))</f>
        <v/>
      </c>
      <c r="R1391" s="17">
        <f>IF($C1391="","",IF($L1391="","",IF(AND(N($K1391)&gt;=2,ISNUMBER($L1391),$L1391&lt;$J1391),"Yes","No")))</f>
        <v/>
      </c>
      <c r="S1391" s="18" t="n"/>
      <c r="T1391" s="19">
        <f>IF(OR($C1391="",$L1391="",$K1391&lt;&gt;1,NOT(ISNUMBER($L1391)),$L1391&gt;=$J1391),"",IF($S1391="","(enter date)",_xlfn.LET(_xlpm.dn,_xlfn.XLOOKUP($S1391,nrCDdate,nrCDnum,"",1),IF(_xlpm.dn="","(after last class day)",_xlfn.LET(_xlpm.dd,_xlfn.XLOOKUP(_xlpm.dn+cfgRetestClassDays,nrCDnum,nrCDdate,""),_xlpm.ok,_xlfn.XLOOKUP(_xlpm.dn+cfgRetestClassDays,nrCDnum,nrCDinsession,"No"),IF(OR(_xlpm.dd="",_xlpm.ok&lt;&gt;"Yes"),"(after last class day)",_xlpm.dd))))))</f>
        <v/>
      </c>
      <c r="U1391" s="17">
        <f>IF($C1391="","",IF(AND($Y1391="Excused",$L1391="",N($K1391)&lt;=1),"EXCUSED - 1st attempt pending",IF(OR($L1391="",$K1391&lt;&gt;1,NOT(ISNUMBER($L1391)),$L1391&gt;=$J1391),"",IF(COUNTIFS(nrES_PID,$D1391,nrES_Code,$F1391,nrES_Att,2,nrES_Raw,"&gt;=0")&gt;0,IF(IFERROR(_xlfn.MINIFS(nrES_Date,nrES_PID,$D1391,nrES_Code,$F1391,nrES_Att,2,nrES_Raw,"&gt;=0",nrES_Date,"&gt;0"),0)=0,"RETEST UNDATED",IF(NOT(ISNUMBER($T1391)),"RETEST DATE UNCHECKED",IF(_xlfn.MINIFS(nrES_Date,nrES_PID,$D1391,nrES_Code,$F1391,nrES_Att,2,nrES_Raw,"&gt;=0",nrES_Date,"&gt;0")&gt;$T1391,"LATE RETEST "&amp;TEXT(_xlfn.MINIFS(nrES_Date,nrES_PID,$D1391,nrES_Code,$F1391,nrES_Att,2,nrES_Raw,"&gt;=0",nrES_Date,"&gt;0"),"mm/dd")&amp;" (due "&amp;TEXT($T1391,"mm/dd")&amp;")","Retested"))),IF(NOT(ISNUMBER($T1391)),"CHECK DATE",IF(TODAY()&gt;$T1391,"OVERDUE","Due "&amp;TEXT($T1391,"mm/dd")))))))</f>
        <v/>
      </c>
      <c r="V1391" s="16" t="n"/>
      <c r="W1391" s="16" t="n"/>
      <c r="X1391" s="17">
        <f>IF($C1391="","",IF(AND($L1391&lt;&gt;"",NOT(ISNUMBER($L1391))),"RAW SCORE NOT A NUMBER",IF(AND(ISNUMBER($L1391),OR($L1391&lt;0,$L1391&gt;100)),"RAW SCORE OUT OF RANGE",IF(AND($Y1391="Unexcused",OR($L1391="",NOT(ISNUMBER($L1391)),$L1391&lt;&gt;0)),"UNEXCUSED ABSENCE MUST RECORD 0",IF(COUNTIF(nrES_RecID,$B1391)&gt;1,"DUPLICATE RECORD",IF(N($K1391)&gt;2,"ATTEMPT 3+ NOT ALLOWED - policy 300.5 permits one retest per exam; this row records nothing",IF(AND($K1391=2,COUNTIFS(nrES_PID,$D1391,nrES_Code,$F1391,nrES_Att,1)=0),"ATTEMPT 2 WITHOUT ATTEMPT 1",IF(AND($K1391=2,$L1391=""),"RETEST ROW HAS NO SCORE",IF(AND($H1391="Final",$L1391&lt;&gt;"",IFERROR(INDEX(nrCKfinalExamElig,MATCH($D1391,rngCadetPIDs,0)),"")="No"),"FINAL EXAM AFTER FAILED FINAL PT (500.1.H)",IF(AND($K1391=2,ISNUMBER($L1391),COUNTIFS(nrES_PID,$D1391,nrES_Code,$F1391,nrES_Att,1)&gt;0,SUMIFS(nrES_Raw,nrES_PID,$D1391,nrES_Code,$F1391,nrES_Att,1)&gt;=$J1391),"RETEST AFTER A PASSING FIRST ATTEMPT","OK"))))))))))</f>
        <v/>
      </c>
      <c r="Y1391" s="16" t="n"/>
    </row>
    <row r="1392">
      <c r="B1392" s="17">
        <f>IF($C1392="","",$D1392&amp;"-"&amp;$F1392&amp;"-"&amp;$K1392)</f>
        <v/>
      </c>
      <c r="C1392" s="16" t="n"/>
      <c r="D1392" s="17">
        <f>IF($C1392="","",IFERROR(INDEX(rngCadetPIDs,MATCH($C1392,rngCadetNames,0)),"?"))</f>
        <v/>
      </c>
      <c r="E1392" s="17">
        <f>IF($D1392="","",IFERROR(INDEX(nrCadetAgency,MATCH($D1392,rngCadetPIDs,0)),""))</f>
        <v/>
      </c>
      <c r="F1392" s="16" t="n"/>
      <c r="G1392" s="17">
        <f>IF($F1392="","",IFERROR(INDEX(rngEPname,MATCH($F1392,rngEPcode,0)),"?"))</f>
        <v/>
      </c>
      <c r="H1392" s="17">
        <f>IF($F1392="","",IFERROR(INDEX(rngEPtype,MATCH($F1392,rngEPcode,0)),"?"))</f>
        <v/>
      </c>
      <c r="I1392" s="17">
        <f>IF($F1392="","",IFERROR(INDEX(rngEPseq,MATCH($F1392,rngEPcode,0)),""))</f>
        <v/>
      </c>
      <c r="J1392" s="17">
        <f>IF($F1392="","",IFERROR(INDEX(rngEPpass,MATCH($F1392,rngEPcode,0)),cfgPassingScore))</f>
        <v/>
      </c>
      <c r="K1392" s="16" t="n"/>
      <c r="L1392" s="16" t="n"/>
      <c r="M1392" s="17">
        <f>IF($C1392="","",IF($L1392="","",IF(NOT(ISNUMBER($L1392)),$L1392,IF(N($K1392)&gt;2,"",IF($K1392=1,IF(COUNTIFS(nrES_PID,$D1392,nrES_Code,$F1392,nrES_Att,2,nrES_Raw,"&gt;=0")&gt;0,"",$L1392),IF($L1392&gt;=$J1392,MAX($J1392,cfgRetakeRecordedCap),IF(COUNTIFS(nrES_PID,$D1392,nrES_Code,$F1392,nrES_Att,1)=0,$L1392,SUMIFS(nrES_Raw,nrES_PID,$D1392,nrES_Code,$F1392,nrES_Att,1))))))))</f>
        <v/>
      </c>
      <c r="N1392" s="17">
        <f>IF($C1392="","",IF($L1392="","",IF(NOT(ISNUMBER($L1392)),"(not a score)",IF($L1392&gt;=$J1392,"Yes","No"))))</f>
        <v/>
      </c>
      <c r="O1392" s="17">
        <f>IF($C1392="","",IF($M1392="","",IF(NOT(ISNUMBER($M1392)),"(not a score)",IF($M1392&gt;=$J1392,"Yes","No"))))</f>
        <v/>
      </c>
      <c r="P1392" s="17">
        <f>IF($C1392="","",IF($K1392="","",IF(N($K1392)&gt;2,"No",IF(COUNTIFS(nrES_PID,$D1392,nrES_Code,$F1392,nrES_Att,"&gt;"&amp;$K1392,nrES_Att,"&lt;=2",nrES_Raw,"&gt;=0")=0,"Yes","No"))))</f>
        <v/>
      </c>
      <c r="Q1392" s="17">
        <f>IF($C1392="","",IF($L1392="","",IF(AND($K1392=1,ISNUMBER($L1392),$L1392&lt;$J1392,COUNTIFS(nrES_PID,$D1392,nrES_Code,$F1392,nrES_Att,2,nrES_Raw,"&gt;=0")=0),"Yes","No")))</f>
        <v/>
      </c>
      <c r="R1392" s="17">
        <f>IF($C1392="","",IF($L1392="","",IF(AND(N($K1392)&gt;=2,ISNUMBER($L1392),$L1392&lt;$J1392),"Yes","No")))</f>
        <v/>
      </c>
      <c r="S1392" s="18" t="n"/>
      <c r="T1392" s="19">
        <f>IF(OR($C1392="",$L1392="",$K1392&lt;&gt;1,NOT(ISNUMBER($L1392)),$L1392&gt;=$J1392),"",IF($S1392="","(enter date)",_xlfn.LET(_xlpm.dn,_xlfn.XLOOKUP($S1392,nrCDdate,nrCDnum,"",1),IF(_xlpm.dn="","(after last class day)",_xlfn.LET(_xlpm.dd,_xlfn.XLOOKUP(_xlpm.dn+cfgRetestClassDays,nrCDnum,nrCDdate,""),_xlpm.ok,_xlfn.XLOOKUP(_xlpm.dn+cfgRetestClassDays,nrCDnum,nrCDinsession,"No"),IF(OR(_xlpm.dd="",_xlpm.ok&lt;&gt;"Yes"),"(after last class day)",_xlpm.dd))))))</f>
        <v/>
      </c>
      <c r="U1392" s="17">
        <f>IF($C1392="","",IF(AND($Y1392="Excused",$L1392="",N($K1392)&lt;=1),"EXCUSED - 1st attempt pending",IF(OR($L1392="",$K1392&lt;&gt;1,NOT(ISNUMBER($L1392)),$L1392&gt;=$J1392),"",IF(COUNTIFS(nrES_PID,$D1392,nrES_Code,$F1392,nrES_Att,2,nrES_Raw,"&gt;=0")&gt;0,IF(IFERROR(_xlfn.MINIFS(nrES_Date,nrES_PID,$D1392,nrES_Code,$F1392,nrES_Att,2,nrES_Raw,"&gt;=0",nrES_Date,"&gt;0"),0)=0,"RETEST UNDATED",IF(NOT(ISNUMBER($T1392)),"RETEST DATE UNCHECKED",IF(_xlfn.MINIFS(nrES_Date,nrES_PID,$D1392,nrES_Code,$F1392,nrES_Att,2,nrES_Raw,"&gt;=0",nrES_Date,"&gt;0")&gt;$T1392,"LATE RETEST "&amp;TEXT(_xlfn.MINIFS(nrES_Date,nrES_PID,$D1392,nrES_Code,$F1392,nrES_Att,2,nrES_Raw,"&gt;=0",nrES_Date,"&gt;0"),"mm/dd")&amp;" (due "&amp;TEXT($T1392,"mm/dd")&amp;")","Retested"))),IF(NOT(ISNUMBER($T1392)),"CHECK DATE",IF(TODAY()&gt;$T1392,"OVERDUE","Due "&amp;TEXT($T1392,"mm/dd")))))))</f>
        <v/>
      </c>
      <c r="V1392" s="16" t="n"/>
      <c r="W1392" s="16" t="n"/>
      <c r="X1392" s="17">
        <f>IF($C1392="","",IF(AND($L1392&lt;&gt;"",NOT(ISNUMBER($L1392))),"RAW SCORE NOT A NUMBER",IF(AND(ISNUMBER($L1392),OR($L1392&lt;0,$L1392&gt;100)),"RAW SCORE OUT OF RANGE",IF(AND($Y1392="Unexcused",OR($L1392="",NOT(ISNUMBER($L1392)),$L1392&lt;&gt;0)),"UNEXCUSED ABSENCE MUST RECORD 0",IF(COUNTIF(nrES_RecID,$B1392)&gt;1,"DUPLICATE RECORD",IF(N($K1392)&gt;2,"ATTEMPT 3+ NOT ALLOWED - policy 300.5 permits one retest per exam; this row records nothing",IF(AND($K1392=2,COUNTIFS(nrES_PID,$D1392,nrES_Code,$F1392,nrES_Att,1)=0),"ATTEMPT 2 WITHOUT ATTEMPT 1",IF(AND($K1392=2,$L1392=""),"RETEST ROW HAS NO SCORE",IF(AND($H1392="Final",$L1392&lt;&gt;"",IFERROR(INDEX(nrCKfinalExamElig,MATCH($D1392,rngCadetPIDs,0)),"")="No"),"FINAL EXAM AFTER FAILED FINAL PT (500.1.H)",IF(AND($K1392=2,ISNUMBER($L1392),COUNTIFS(nrES_PID,$D1392,nrES_Code,$F1392,nrES_Att,1)&gt;0,SUMIFS(nrES_Raw,nrES_PID,$D1392,nrES_Code,$F1392,nrES_Att,1)&gt;=$J1392),"RETEST AFTER A PASSING FIRST ATTEMPT","OK"))))))))))</f>
        <v/>
      </c>
      <c r="Y1392" s="16" t="n"/>
    </row>
    <row r="1393">
      <c r="B1393" s="17">
        <f>IF($C1393="","",$D1393&amp;"-"&amp;$F1393&amp;"-"&amp;$K1393)</f>
        <v/>
      </c>
      <c r="C1393" s="16" t="n"/>
      <c r="D1393" s="17">
        <f>IF($C1393="","",IFERROR(INDEX(rngCadetPIDs,MATCH($C1393,rngCadetNames,0)),"?"))</f>
        <v/>
      </c>
      <c r="E1393" s="17">
        <f>IF($D1393="","",IFERROR(INDEX(nrCadetAgency,MATCH($D1393,rngCadetPIDs,0)),""))</f>
        <v/>
      </c>
      <c r="F1393" s="16" t="n"/>
      <c r="G1393" s="17">
        <f>IF($F1393="","",IFERROR(INDEX(rngEPname,MATCH($F1393,rngEPcode,0)),"?"))</f>
        <v/>
      </c>
      <c r="H1393" s="17">
        <f>IF($F1393="","",IFERROR(INDEX(rngEPtype,MATCH($F1393,rngEPcode,0)),"?"))</f>
        <v/>
      </c>
      <c r="I1393" s="17">
        <f>IF($F1393="","",IFERROR(INDEX(rngEPseq,MATCH($F1393,rngEPcode,0)),""))</f>
        <v/>
      </c>
      <c r="J1393" s="17">
        <f>IF($F1393="","",IFERROR(INDEX(rngEPpass,MATCH($F1393,rngEPcode,0)),cfgPassingScore))</f>
        <v/>
      </c>
      <c r="K1393" s="16" t="n"/>
      <c r="L1393" s="16" t="n"/>
      <c r="M1393" s="17">
        <f>IF($C1393="","",IF($L1393="","",IF(NOT(ISNUMBER($L1393)),$L1393,IF(N($K1393)&gt;2,"",IF($K1393=1,IF(COUNTIFS(nrES_PID,$D1393,nrES_Code,$F1393,nrES_Att,2,nrES_Raw,"&gt;=0")&gt;0,"",$L1393),IF($L1393&gt;=$J1393,MAX($J1393,cfgRetakeRecordedCap),IF(COUNTIFS(nrES_PID,$D1393,nrES_Code,$F1393,nrES_Att,1)=0,$L1393,SUMIFS(nrES_Raw,nrES_PID,$D1393,nrES_Code,$F1393,nrES_Att,1))))))))</f>
        <v/>
      </c>
      <c r="N1393" s="17">
        <f>IF($C1393="","",IF($L1393="","",IF(NOT(ISNUMBER($L1393)),"(not a score)",IF($L1393&gt;=$J1393,"Yes","No"))))</f>
        <v/>
      </c>
      <c r="O1393" s="17">
        <f>IF($C1393="","",IF($M1393="","",IF(NOT(ISNUMBER($M1393)),"(not a score)",IF($M1393&gt;=$J1393,"Yes","No"))))</f>
        <v/>
      </c>
      <c r="P1393" s="17">
        <f>IF($C1393="","",IF($K1393="","",IF(N($K1393)&gt;2,"No",IF(COUNTIFS(nrES_PID,$D1393,nrES_Code,$F1393,nrES_Att,"&gt;"&amp;$K1393,nrES_Att,"&lt;=2",nrES_Raw,"&gt;=0")=0,"Yes","No"))))</f>
        <v/>
      </c>
      <c r="Q1393" s="17">
        <f>IF($C1393="","",IF($L1393="","",IF(AND($K1393=1,ISNUMBER($L1393),$L1393&lt;$J1393,COUNTIFS(nrES_PID,$D1393,nrES_Code,$F1393,nrES_Att,2,nrES_Raw,"&gt;=0")=0),"Yes","No")))</f>
        <v/>
      </c>
      <c r="R1393" s="17">
        <f>IF($C1393="","",IF($L1393="","",IF(AND(N($K1393)&gt;=2,ISNUMBER($L1393),$L1393&lt;$J1393),"Yes","No")))</f>
        <v/>
      </c>
      <c r="S1393" s="18" t="n"/>
      <c r="T1393" s="19">
        <f>IF(OR($C1393="",$L1393="",$K1393&lt;&gt;1,NOT(ISNUMBER($L1393)),$L1393&gt;=$J1393),"",IF($S1393="","(enter date)",_xlfn.LET(_xlpm.dn,_xlfn.XLOOKUP($S1393,nrCDdate,nrCDnum,"",1),IF(_xlpm.dn="","(after last class day)",_xlfn.LET(_xlpm.dd,_xlfn.XLOOKUP(_xlpm.dn+cfgRetestClassDays,nrCDnum,nrCDdate,""),_xlpm.ok,_xlfn.XLOOKUP(_xlpm.dn+cfgRetestClassDays,nrCDnum,nrCDinsession,"No"),IF(OR(_xlpm.dd="",_xlpm.ok&lt;&gt;"Yes"),"(after last class day)",_xlpm.dd))))))</f>
        <v/>
      </c>
      <c r="U1393" s="17">
        <f>IF($C1393="","",IF(AND($Y1393="Excused",$L1393="",N($K1393)&lt;=1),"EXCUSED - 1st attempt pending",IF(OR($L1393="",$K1393&lt;&gt;1,NOT(ISNUMBER($L1393)),$L1393&gt;=$J1393),"",IF(COUNTIFS(nrES_PID,$D1393,nrES_Code,$F1393,nrES_Att,2,nrES_Raw,"&gt;=0")&gt;0,IF(IFERROR(_xlfn.MINIFS(nrES_Date,nrES_PID,$D1393,nrES_Code,$F1393,nrES_Att,2,nrES_Raw,"&gt;=0",nrES_Date,"&gt;0"),0)=0,"RETEST UNDATED",IF(NOT(ISNUMBER($T1393)),"RETEST DATE UNCHECKED",IF(_xlfn.MINIFS(nrES_Date,nrES_PID,$D1393,nrES_Code,$F1393,nrES_Att,2,nrES_Raw,"&gt;=0",nrES_Date,"&gt;0")&gt;$T1393,"LATE RETEST "&amp;TEXT(_xlfn.MINIFS(nrES_Date,nrES_PID,$D1393,nrES_Code,$F1393,nrES_Att,2,nrES_Raw,"&gt;=0",nrES_Date,"&gt;0"),"mm/dd")&amp;" (due "&amp;TEXT($T1393,"mm/dd")&amp;")","Retested"))),IF(NOT(ISNUMBER($T1393)),"CHECK DATE",IF(TODAY()&gt;$T1393,"OVERDUE","Due "&amp;TEXT($T1393,"mm/dd")))))))</f>
        <v/>
      </c>
      <c r="V1393" s="16" t="n"/>
      <c r="W1393" s="16" t="n"/>
      <c r="X1393" s="17">
        <f>IF($C1393="","",IF(AND($L1393&lt;&gt;"",NOT(ISNUMBER($L1393))),"RAW SCORE NOT A NUMBER",IF(AND(ISNUMBER($L1393),OR($L1393&lt;0,$L1393&gt;100)),"RAW SCORE OUT OF RANGE",IF(AND($Y1393="Unexcused",OR($L1393="",NOT(ISNUMBER($L1393)),$L1393&lt;&gt;0)),"UNEXCUSED ABSENCE MUST RECORD 0",IF(COUNTIF(nrES_RecID,$B1393)&gt;1,"DUPLICATE RECORD",IF(N($K1393)&gt;2,"ATTEMPT 3+ NOT ALLOWED - policy 300.5 permits one retest per exam; this row records nothing",IF(AND($K1393=2,COUNTIFS(nrES_PID,$D1393,nrES_Code,$F1393,nrES_Att,1)=0),"ATTEMPT 2 WITHOUT ATTEMPT 1",IF(AND($K1393=2,$L1393=""),"RETEST ROW HAS NO SCORE",IF(AND($H1393="Final",$L1393&lt;&gt;"",IFERROR(INDEX(nrCKfinalExamElig,MATCH($D1393,rngCadetPIDs,0)),"")="No"),"FINAL EXAM AFTER FAILED FINAL PT (500.1.H)",IF(AND($K1393=2,ISNUMBER($L1393),COUNTIFS(nrES_PID,$D1393,nrES_Code,$F1393,nrES_Att,1)&gt;0,SUMIFS(nrES_Raw,nrES_PID,$D1393,nrES_Code,$F1393,nrES_Att,1)&gt;=$J1393),"RETEST AFTER A PASSING FIRST ATTEMPT","OK"))))))))))</f>
        <v/>
      </c>
      <c r="Y1393" s="16" t="n"/>
    </row>
    <row r="1394">
      <c r="B1394" s="17">
        <f>IF($C1394="","",$D1394&amp;"-"&amp;$F1394&amp;"-"&amp;$K1394)</f>
        <v/>
      </c>
      <c r="C1394" s="16" t="n"/>
      <c r="D1394" s="17">
        <f>IF($C1394="","",IFERROR(INDEX(rngCadetPIDs,MATCH($C1394,rngCadetNames,0)),"?"))</f>
        <v/>
      </c>
      <c r="E1394" s="17">
        <f>IF($D1394="","",IFERROR(INDEX(nrCadetAgency,MATCH($D1394,rngCadetPIDs,0)),""))</f>
        <v/>
      </c>
      <c r="F1394" s="16" t="n"/>
      <c r="G1394" s="17">
        <f>IF($F1394="","",IFERROR(INDEX(rngEPname,MATCH($F1394,rngEPcode,0)),"?"))</f>
        <v/>
      </c>
      <c r="H1394" s="17">
        <f>IF($F1394="","",IFERROR(INDEX(rngEPtype,MATCH($F1394,rngEPcode,0)),"?"))</f>
        <v/>
      </c>
      <c r="I1394" s="17">
        <f>IF($F1394="","",IFERROR(INDEX(rngEPseq,MATCH($F1394,rngEPcode,0)),""))</f>
        <v/>
      </c>
      <c r="J1394" s="17">
        <f>IF($F1394="","",IFERROR(INDEX(rngEPpass,MATCH($F1394,rngEPcode,0)),cfgPassingScore))</f>
        <v/>
      </c>
      <c r="K1394" s="16" t="n"/>
      <c r="L1394" s="16" t="n"/>
      <c r="M1394" s="17">
        <f>IF($C1394="","",IF($L1394="","",IF(NOT(ISNUMBER($L1394)),$L1394,IF(N($K1394)&gt;2,"",IF($K1394=1,IF(COUNTIFS(nrES_PID,$D1394,nrES_Code,$F1394,nrES_Att,2,nrES_Raw,"&gt;=0")&gt;0,"",$L1394),IF($L1394&gt;=$J1394,MAX($J1394,cfgRetakeRecordedCap),IF(COUNTIFS(nrES_PID,$D1394,nrES_Code,$F1394,nrES_Att,1)=0,$L1394,SUMIFS(nrES_Raw,nrES_PID,$D1394,nrES_Code,$F1394,nrES_Att,1))))))))</f>
        <v/>
      </c>
      <c r="N1394" s="17">
        <f>IF($C1394="","",IF($L1394="","",IF(NOT(ISNUMBER($L1394)),"(not a score)",IF($L1394&gt;=$J1394,"Yes","No"))))</f>
        <v/>
      </c>
      <c r="O1394" s="17">
        <f>IF($C1394="","",IF($M1394="","",IF(NOT(ISNUMBER($M1394)),"(not a score)",IF($M1394&gt;=$J1394,"Yes","No"))))</f>
        <v/>
      </c>
      <c r="P1394" s="17">
        <f>IF($C1394="","",IF($K1394="","",IF(N($K1394)&gt;2,"No",IF(COUNTIFS(nrES_PID,$D1394,nrES_Code,$F1394,nrES_Att,"&gt;"&amp;$K1394,nrES_Att,"&lt;=2",nrES_Raw,"&gt;=0")=0,"Yes","No"))))</f>
        <v/>
      </c>
      <c r="Q1394" s="17">
        <f>IF($C1394="","",IF($L1394="","",IF(AND($K1394=1,ISNUMBER($L1394),$L1394&lt;$J1394,COUNTIFS(nrES_PID,$D1394,nrES_Code,$F1394,nrES_Att,2,nrES_Raw,"&gt;=0")=0),"Yes","No")))</f>
        <v/>
      </c>
      <c r="R1394" s="17">
        <f>IF($C1394="","",IF($L1394="","",IF(AND(N($K1394)&gt;=2,ISNUMBER($L1394),$L1394&lt;$J1394),"Yes","No")))</f>
        <v/>
      </c>
      <c r="S1394" s="18" t="n"/>
      <c r="T1394" s="19">
        <f>IF(OR($C1394="",$L1394="",$K1394&lt;&gt;1,NOT(ISNUMBER($L1394)),$L1394&gt;=$J1394),"",IF($S1394="","(enter date)",_xlfn.LET(_xlpm.dn,_xlfn.XLOOKUP($S1394,nrCDdate,nrCDnum,"",1),IF(_xlpm.dn="","(after last class day)",_xlfn.LET(_xlpm.dd,_xlfn.XLOOKUP(_xlpm.dn+cfgRetestClassDays,nrCDnum,nrCDdate,""),_xlpm.ok,_xlfn.XLOOKUP(_xlpm.dn+cfgRetestClassDays,nrCDnum,nrCDinsession,"No"),IF(OR(_xlpm.dd="",_xlpm.ok&lt;&gt;"Yes"),"(after last class day)",_xlpm.dd))))))</f>
        <v/>
      </c>
      <c r="U1394" s="17">
        <f>IF($C1394="","",IF(AND($Y1394="Excused",$L1394="",N($K1394)&lt;=1),"EXCUSED - 1st attempt pending",IF(OR($L1394="",$K1394&lt;&gt;1,NOT(ISNUMBER($L1394)),$L1394&gt;=$J1394),"",IF(COUNTIFS(nrES_PID,$D1394,nrES_Code,$F1394,nrES_Att,2,nrES_Raw,"&gt;=0")&gt;0,IF(IFERROR(_xlfn.MINIFS(nrES_Date,nrES_PID,$D1394,nrES_Code,$F1394,nrES_Att,2,nrES_Raw,"&gt;=0",nrES_Date,"&gt;0"),0)=0,"RETEST UNDATED",IF(NOT(ISNUMBER($T1394)),"RETEST DATE UNCHECKED",IF(_xlfn.MINIFS(nrES_Date,nrES_PID,$D1394,nrES_Code,$F1394,nrES_Att,2,nrES_Raw,"&gt;=0",nrES_Date,"&gt;0")&gt;$T1394,"LATE RETEST "&amp;TEXT(_xlfn.MINIFS(nrES_Date,nrES_PID,$D1394,nrES_Code,$F1394,nrES_Att,2,nrES_Raw,"&gt;=0",nrES_Date,"&gt;0"),"mm/dd")&amp;" (due "&amp;TEXT($T1394,"mm/dd")&amp;")","Retested"))),IF(NOT(ISNUMBER($T1394)),"CHECK DATE",IF(TODAY()&gt;$T1394,"OVERDUE","Due "&amp;TEXT($T1394,"mm/dd")))))))</f>
        <v/>
      </c>
      <c r="V1394" s="16" t="n"/>
      <c r="W1394" s="16" t="n"/>
      <c r="X1394" s="17">
        <f>IF($C1394="","",IF(AND($L1394&lt;&gt;"",NOT(ISNUMBER($L1394))),"RAW SCORE NOT A NUMBER",IF(AND(ISNUMBER($L1394),OR($L1394&lt;0,$L1394&gt;100)),"RAW SCORE OUT OF RANGE",IF(AND($Y1394="Unexcused",OR($L1394="",NOT(ISNUMBER($L1394)),$L1394&lt;&gt;0)),"UNEXCUSED ABSENCE MUST RECORD 0",IF(COUNTIF(nrES_RecID,$B1394)&gt;1,"DUPLICATE RECORD",IF(N($K1394)&gt;2,"ATTEMPT 3+ NOT ALLOWED - policy 300.5 permits one retest per exam; this row records nothing",IF(AND($K1394=2,COUNTIFS(nrES_PID,$D1394,nrES_Code,$F1394,nrES_Att,1)=0),"ATTEMPT 2 WITHOUT ATTEMPT 1",IF(AND($K1394=2,$L1394=""),"RETEST ROW HAS NO SCORE",IF(AND($H1394="Final",$L1394&lt;&gt;"",IFERROR(INDEX(nrCKfinalExamElig,MATCH($D1394,rngCadetPIDs,0)),"")="No"),"FINAL EXAM AFTER FAILED FINAL PT (500.1.H)",IF(AND($K1394=2,ISNUMBER($L1394),COUNTIFS(nrES_PID,$D1394,nrES_Code,$F1394,nrES_Att,1)&gt;0,SUMIFS(nrES_Raw,nrES_PID,$D1394,nrES_Code,$F1394,nrES_Att,1)&gt;=$J1394),"RETEST AFTER A PASSING FIRST ATTEMPT","OK"))))))))))</f>
        <v/>
      </c>
      <c r="Y1394" s="16" t="n"/>
    </row>
    <row r="1395">
      <c r="B1395" s="17">
        <f>IF($C1395="","",$D1395&amp;"-"&amp;$F1395&amp;"-"&amp;$K1395)</f>
        <v/>
      </c>
      <c r="C1395" s="16" t="n"/>
      <c r="D1395" s="17">
        <f>IF($C1395="","",IFERROR(INDEX(rngCadetPIDs,MATCH($C1395,rngCadetNames,0)),"?"))</f>
        <v/>
      </c>
      <c r="E1395" s="17">
        <f>IF($D1395="","",IFERROR(INDEX(nrCadetAgency,MATCH($D1395,rngCadetPIDs,0)),""))</f>
        <v/>
      </c>
      <c r="F1395" s="16" t="n"/>
      <c r="G1395" s="17">
        <f>IF($F1395="","",IFERROR(INDEX(rngEPname,MATCH($F1395,rngEPcode,0)),"?"))</f>
        <v/>
      </c>
      <c r="H1395" s="17">
        <f>IF($F1395="","",IFERROR(INDEX(rngEPtype,MATCH($F1395,rngEPcode,0)),"?"))</f>
        <v/>
      </c>
      <c r="I1395" s="17">
        <f>IF($F1395="","",IFERROR(INDEX(rngEPseq,MATCH($F1395,rngEPcode,0)),""))</f>
        <v/>
      </c>
      <c r="J1395" s="17">
        <f>IF($F1395="","",IFERROR(INDEX(rngEPpass,MATCH($F1395,rngEPcode,0)),cfgPassingScore))</f>
        <v/>
      </c>
      <c r="K1395" s="16" t="n"/>
      <c r="L1395" s="16" t="n"/>
      <c r="M1395" s="17">
        <f>IF($C1395="","",IF($L1395="","",IF(NOT(ISNUMBER($L1395)),$L1395,IF(N($K1395)&gt;2,"",IF($K1395=1,IF(COUNTIFS(nrES_PID,$D1395,nrES_Code,$F1395,nrES_Att,2,nrES_Raw,"&gt;=0")&gt;0,"",$L1395),IF($L1395&gt;=$J1395,MAX($J1395,cfgRetakeRecordedCap),IF(COUNTIFS(nrES_PID,$D1395,nrES_Code,$F1395,nrES_Att,1)=0,$L1395,SUMIFS(nrES_Raw,nrES_PID,$D1395,nrES_Code,$F1395,nrES_Att,1))))))))</f>
        <v/>
      </c>
      <c r="N1395" s="17">
        <f>IF($C1395="","",IF($L1395="","",IF(NOT(ISNUMBER($L1395)),"(not a score)",IF($L1395&gt;=$J1395,"Yes","No"))))</f>
        <v/>
      </c>
      <c r="O1395" s="17">
        <f>IF($C1395="","",IF($M1395="","",IF(NOT(ISNUMBER($M1395)),"(not a score)",IF($M1395&gt;=$J1395,"Yes","No"))))</f>
        <v/>
      </c>
      <c r="P1395" s="17">
        <f>IF($C1395="","",IF($K1395="","",IF(N($K1395)&gt;2,"No",IF(COUNTIFS(nrES_PID,$D1395,nrES_Code,$F1395,nrES_Att,"&gt;"&amp;$K1395,nrES_Att,"&lt;=2",nrES_Raw,"&gt;=0")=0,"Yes","No"))))</f>
        <v/>
      </c>
      <c r="Q1395" s="17">
        <f>IF($C1395="","",IF($L1395="","",IF(AND($K1395=1,ISNUMBER($L1395),$L1395&lt;$J1395,COUNTIFS(nrES_PID,$D1395,nrES_Code,$F1395,nrES_Att,2,nrES_Raw,"&gt;=0")=0),"Yes","No")))</f>
        <v/>
      </c>
      <c r="R1395" s="17">
        <f>IF($C1395="","",IF($L1395="","",IF(AND(N($K1395)&gt;=2,ISNUMBER($L1395),$L1395&lt;$J1395),"Yes","No")))</f>
        <v/>
      </c>
      <c r="S1395" s="18" t="n"/>
      <c r="T1395" s="19">
        <f>IF(OR($C1395="",$L1395="",$K1395&lt;&gt;1,NOT(ISNUMBER($L1395)),$L1395&gt;=$J1395),"",IF($S1395="","(enter date)",_xlfn.LET(_xlpm.dn,_xlfn.XLOOKUP($S1395,nrCDdate,nrCDnum,"",1),IF(_xlpm.dn="","(after last class day)",_xlfn.LET(_xlpm.dd,_xlfn.XLOOKUP(_xlpm.dn+cfgRetestClassDays,nrCDnum,nrCDdate,""),_xlpm.ok,_xlfn.XLOOKUP(_xlpm.dn+cfgRetestClassDays,nrCDnum,nrCDinsession,"No"),IF(OR(_xlpm.dd="",_xlpm.ok&lt;&gt;"Yes"),"(after last class day)",_xlpm.dd))))))</f>
        <v/>
      </c>
      <c r="U1395" s="17">
        <f>IF($C1395="","",IF(AND($Y1395="Excused",$L1395="",N($K1395)&lt;=1),"EXCUSED - 1st attempt pending",IF(OR($L1395="",$K1395&lt;&gt;1,NOT(ISNUMBER($L1395)),$L1395&gt;=$J1395),"",IF(COUNTIFS(nrES_PID,$D1395,nrES_Code,$F1395,nrES_Att,2,nrES_Raw,"&gt;=0")&gt;0,IF(IFERROR(_xlfn.MINIFS(nrES_Date,nrES_PID,$D1395,nrES_Code,$F1395,nrES_Att,2,nrES_Raw,"&gt;=0",nrES_Date,"&gt;0"),0)=0,"RETEST UNDATED",IF(NOT(ISNUMBER($T1395)),"RETEST DATE UNCHECKED",IF(_xlfn.MINIFS(nrES_Date,nrES_PID,$D1395,nrES_Code,$F1395,nrES_Att,2,nrES_Raw,"&gt;=0",nrES_Date,"&gt;0")&gt;$T1395,"LATE RETEST "&amp;TEXT(_xlfn.MINIFS(nrES_Date,nrES_PID,$D1395,nrES_Code,$F1395,nrES_Att,2,nrES_Raw,"&gt;=0",nrES_Date,"&gt;0"),"mm/dd")&amp;" (due "&amp;TEXT($T1395,"mm/dd")&amp;")","Retested"))),IF(NOT(ISNUMBER($T1395)),"CHECK DATE",IF(TODAY()&gt;$T1395,"OVERDUE","Due "&amp;TEXT($T1395,"mm/dd")))))))</f>
        <v/>
      </c>
      <c r="V1395" s="16" t="n"/>
      <c r="W1395" s="16" t="n"/>
      <c r="X1395" s="17">
        <f>IF($C1395="","",IF(AND($L1395&lt;&gt;"",NOT(ISNUMBER($L1395))),"RAW SCORE NOT A NUMBER",IF(AND(ISNUMBER($L1395),OR($L1395&lt;0,$L1395&gt;100)),"RAW SCORE OUT OF RANGE",IF(AND($Y1395="Unexcused",OR($L1395="",NOT(ISNUMBER($L1395)),$L1395&lt;&gt;0)),"UNEXCUSED ABSENCE MUST RECORD 0",IF(COUNTIF(nrES_RecID,$B1395)&gt;1,"DUPLICATE RECORD",IF(N($K1395)&gt;2,"ATTEMPT 3+ NOT ALLOWED - policy 300.5 permits one retest per exam; this row records nothing",IF(AND($K1395=2,COUNTIFS(nrES_PID,$D1395,nrES_Code,$F1395,nrES_Att,1)=0),"ATTEMPT 2 WITHOUT ATTEMPT 1",IF(AND($K1395=2,$L1395=""),"RETEST ROW HAS NO SCORE",IF(AND($H1395="Final",$L1395&lt;&gt;"",IFERROR(INDEX(nrCKfinalExamElig,MATCH($D1395,rngCadetPIDs,0)),"")="No"),"FINAL EXAM AFTER FAILED FINAL PT (500.1.H)",IF(AND($K1395=2,ISNUMBER($L1395),COUNTIFS(nrES_PID,$D1395,nrES_Code,$F1395,nrES_Att,1)&gt;0,SUMIFS(nrES_Raw,nrES_PID,$D1395,nrES_Code,$F1395,nrES_Att,1)&gt;=$J1395),"RETEST AFTER A PASSING FIRST ATTEMPT","OK"))))))))))</f>
        <v/>
      </c>
      <c r="Y1395" s="16" t="n"/>
    </row>
    <row r="1396">
      <c r="B1396" s="17">
        <f>IF($C1396="","",$D1396&amp;"-"&amp;$F1396&amp;"-"&amp;$K1396)</f>
        <v/>
      </c>
      <c r="C1396" s="16" t="n"/>
      <c r="D1396" s="17">
        <f>IF($C1396="","",IFERROR(INDEX(rngCadetPIDs,MATCH($C1396,rngCadetNames,0)),"?"))</f>
        <v/>
      </c>
      <c r="E1396" s="17">
        <f>IF($D1396="","",IFERROR(INDEX(nrCadetAgency,MATCH($D1396,rngCadetPIDs,0)),""))</f>
        <v/>
      </c>
      <c r="F1396" s="16" t="n"/>
      <c r="G1396" s="17">
        <f>IF($F1396="","",IFERROR(INDEX(rngEPname,MATCH($F1396,rngEPcode,0)),"?"))</f>
        <v/>
      </c>
      <c r="H1396" s="17">
        <f>IF($F1396="","",IFERROR(INDEX(rngEPtype,MATCH($F1396,rngEPcode,0)),"?"))</f>
        <v/>
      </c>
      <c r="I1396" s="17">
        <f>IF($F1396="","",IFERROR(INDEX(rngEPseq,MATCH($F1396,rngEPcode,0)),""))</f>
        <v/>
      </c>
      <c r="J1396" s="17">
        <f>IF($F1396="","",IFERROR(INDEX(rngEPpass,MATCH($F1396,rngEPcode,0)),cfgPassingScore))</f>
        <v/>
      </c>
      <c r="K1396" s="16" t="n"/>
      <c r="L1396" s="16" t="n"/>
      <c r="M1396" s="17">
        <f>IF($C1396="","",IF($L1396="","",IF(NOT(ISNUMBER($L1396)),$L1396,IF(N($K1396)&gt;2,"",IF($K1396=1,IF(COUNTIFS(nrES_PID,$D1396,nrES_Code,$F1396,nrES_Att,2,nrES_Raw,"&gt;=0")&gt;0,"",$L1396),IF($L1396&gt;=$J1396,MAX($J1396,cfgRetakeRecordedCap),IF(COUNTIFS(nrES_PID,$D1396,nrES_Code,$F1396,nrES_Att,1)=0,$L1396,SUMIFS(nrES_Raw,nrES_PID,$D1396,nrES_Code,$F1396,nrES_Att,1))))))))</f>
        <v/>
      </c>
      <c r="N1396" s="17">
        <f>IF($C1396="","",IF($L1396="","",IF(NOT(ISNUMBER($L1396)),"(not a score)",IF($L1396&gt;=$J1396,"Yes","No"))))</f>
        <v/>
      </c>
      <c r="O1396" s="17">
        <f>IF($C1396="","",IF($M1396="","",IF(NOT(ISNUMBER($M1396)),"(not a score)",IF($M1396&gt;=$J1396,"Yes","No"))))</f>
        <v/>
      </c>
      <c r="P1396" s="17">
        <f>IF($C1396="","",IF($K1396="","",IF(N($K1396)&gt;2,"No",IF(COUNTIFS(nrES_PID,$D1396,nrES_Code,$F1396,nrES_Att,"&gt;"&amp;$K1396,nrES_Att,"&lt;=2",nrES_Raw,"&gt;=0")=0,"Yes","No"))))</f>
        <v/>
      </c>
      <c r="Q1396" s="17">
        <f>IF($C1396="","",IF($L1396="","",IF(AND($K1396=1,ISNUMBER($L1396),$L1396&lt;$J1396,COUNTIFS(nrES_PID,$D1396,nrES_Code,$F1396,nrES_Att,2,nrES_Raw,"&gt;=0")=0),"Yes","No")))</f>
        <v/>
      </c>
      <c r="R1396" s="17">
        <f>IF($C1396="","",IF($L1396="","",IF(AND(N($K1396)&gt;=2,ISNUMBER($L1396),$L1396&lt;$J1396),"Yes","No")))</f>
        <v/>
      </c>
      <c r="S1396" s="18" t="n"/>
      <c r="T1396" s="19">
        <f>IF(OR($C1396="",$L1396="",$K1396&lt;&gt;1,NOT(ISNUMBER($L1396)),$L1396&gt;=$J1396),"",IF($S1396="","(enter date)",_xlfn.LET(_xlpm.dn,_xlfn.XLOOKUP($S1396,nrCDdate,nrCDnum,"",1),IF(_xlpm.dn="","(after last class day)",_xlfn.LET(_xlpm.dd,_xlfn.XLOOKUP(_xlpm.dn+cfgRetestClassDays,nrCDnum,nrCDdate,""),_xlpm.ok,_xlfn.XLOOKUP(_xlpm.dn+cfgRetestClassDays,nrCDnum,nrCDinsession,"No"),IF(OR(_xlpm.dd="",_xlpm.ok&lt;&gt;"Yes"),"(after last class day)",_xlpm.dd))))))</f>
        <v/>
      </c>
      <c r="U1396" s="17">
        <f>IF($C1396="","",IF(AND($Y1396="Excused",$L1396="",N($K1396)&lt;=1),"EXCUSED - 1st attempt pending",IF(OR($L1396="",$K1396&lt;&gt;1,NOT(ISNUMBER($L1396)),$L1396&gt;=$J1396),"",IF(COUNTIFS(nrES_PID,$D1396,nrES_Code,$F1396,nrES_Att,2,nrES_Raw,"&gt;=0")&gt;0,IF(IFERROR(_xlfn.MINIFS(nrES_Date,nrES_PID,$D1396,nrES_Code,$F1396,nrES_Att,2,nrES_Raw,"&gt;=0",nrES_Date,"&gt;0"),0)=0,"RETEST UNDATED",IF(NOT(ISNUMBER($T1396)),"RETEST DATE UNCHECKED",IF(_xlfn.MINIFS(nrES_Date,nrES_PID,$D1396,nrES_Code,$F1396,nrES_Att,2,nrES_Raw,"&gt;=0",nrES_Date,"&gt;0")&gt;$T1396,"LATE RETEST "&amp;TEXT(_xlfn.MINIFS(nrES_Date,nrES_PID,$D1396,nrES_Code,$F1396,nrES_Att,2,nrES_Raw,"&gt;=0",nrES_Date,"&gt;0"),"mm/dd")&amp;" (due "&amp;TEXT($T1396,"mm/dd")&amp;")","Retested"))),IF(NOT(ISNUMBER($T1396)),"CHECK DATE",IF(TODAY()&gt;$T1396,"OVERDUE","Due "&amp;TEXT($T1396,"mm/dd")))))))</f>
        <v/>
      </c>
      <c r="V1396" s="16" t="n"/>
      <c r="W1396" s="16" t="n"/>
      <c r="X1396" s="17">
        <f>IF($C1396="","",IF(AND($L1396&lt;&gt;"",NOT(ISNUMBER($L1396))),"RAW SCORE NOT A NUMBER",IF(AND(ISNUMBER($L1396),OR($L1396&lt;0,$L1396&gt;100)),"RAW SCORE OUT OF RANGE",IF(AND($Y1396="Unexcused",OR($L1396="",NOT(ISNUMBER($L1396)),$L1396&lt;&gt;0)),"UNEXCUSED ABSENCE MUST RECORD 0",IF(COUNTIF(nrES_RecID,$B1396)&gt;1,"DUPLICATE RECORD",IF(N($K1396)&gt;2,"ATTEMPT 3+ NOT ALLOWED - policy 300.5 permits one retest per exam; this row records nothing",IF(AND($K1396=2,COUNTIFS(nrES_PID,$D1396,nrES_Code,$F1396,nrES_Att,1)=0),"ATTEMPT 2 WITHOUT ATTEMPT 1",IF(AND($K1396=2,$L1396=""),"RETEST ROW HAS NO SCORE",IF(AND($H1396="Final",$L1396&lt;&gt;"",IFERROR(INDEX(nrCKfinalExamElig,MATCH($D1396,rngCadetPIDs,0)),"")="No"),"FINAL EXAM AFTER FAILED FINAL PT (500.1.H)",IF(AND($K1396=2,ISNUMBER($L1396),COUNTIFS(nrES_PID,$D1396,nrES_Code,$F1396,nrES_Att,1)&gt;0,SUMIFS(nrES_Raw,nrES_PID,$D1396,nrES_Code,$F1396,nrES_Att,1)&gt;=$J1396),"RETEST AFTER A PASSING FIRST ATTEMPT","OK"))))))))))</f>
        <v/>
      </c>
      <c r="Y1396" s="16" t="n"/>
    </row>
    <row r="1397">
      <c r="B1397" s="17">
        <f>IF($C1397="","",$D1397&amp;"-"&amp;$F1397&amp;"-"&amp;$K1397)</f>
        <v/>
      </c>
      <c r="C1397" s="16" t="n"/>
      <c r="D1397" s="17">
        <f>IF($C1397="","",IFERROR(INDEX(rngCadetPIDs,MATCH($C1397,rngCadetNames,0)),"?"))</f>
        <v/>
      </c>
      <c r="E1397" s="17">
        <f>IF($D1397="","",IFERROR(INDEX(nrCadetAgency,MATCH($D1397,rngCadetPIDs,0)),""))</f>
        <v/>
      </c>
      <c r="F1397" s="16" t="n"/>
      <c r="G1397" s="17">
        <f>IF($F1397="","",IFERROR(INDEX(rngEPname,MATCH($F1397,rngEPcode,0)),"?"))</f>
        <v/>
      </c>
      <c r="H1397" s="17">
        <f>IF($F1397="","",IFERROR(INDEX(rngEPtype,MATCH($F1397,rngEPcode,0)),"?"))</f>
        <v/>
      </c>
      <c r="I1397" s="17">
        <f>IF($F1397="","",IFERROR(INDEX(rngEPseq,MATCH($F1397,rngEPcode,0)),""))</f>
        <v/>
      </c>
      <c r="J1397" s="17">
        <f>IF($F1397="","",IFERROR(INDEX(rngEPpass,MATCH($F1397,rngEPcode,0)),cfgPassingScore))</f>
        <v/>
      </c>
      <c r="K1397" s="16" t="n"/>
      <c r="L1397" s="16" t="n"/>
      <c r="M1397" s="17">
        <f>IF($C1397="","",IF($L1397="","",IF(NOT(ISNUMBER($L1397)),$L1397,IF(N($K1397)&gt;2,"",IF($K1397=1,IF(COUNTIFS(nrES_PID,$D1397,nrES_Code,$F1397,nrES_Att,2,nrES_Raw,"&gt;=0")&gt;0,"",$L1397),IF($L1397&gt;=$J1397,MAX($J1397,cfgRetakeRecordedCap),IF(COUNTIFS(nrES_PID,$D1397,nrES_Code,$F1397,nrES_Att,1)=0,$L1397,SUMIFS(nrES_Raw,nrES_PID,$D1397,nrES_Code,$F1397,nrES_Att,1))))))))</f>
        <v/>
      </c>
      <c r="N1397" s="17">
        <f>IF($C1397="","",IF($L1397="","",IF(NOT(ISNUMBER($L1397)),"(not a score)",IF($L1397&gt;=$J1397,"Yes","No"))))</f>
        <v/>
      </c>
      <c r="O1397" s="17">
        <f>IF($C1397="","",IF($M1397="","",IF(NOT(ISNUMBER($M1397)),"(not a score)",IF($M1397&gt;=$J1397,"Yes","No"))))</f>
        <v/>
      </c>
      <c r="P1397" s="17">
        <f>IF($C1397="","",IF($K1397="","",IF(N($K1397)&gt;2,"No",IF(COUNTIFS(nrES_PID,$D1397,nrES_Code,$F1397,nrES_Att,"&gt;"&amp;$K1397,nrES_Att,"&lt;=2",nrES_Raw,"&gt;=0")=0,"Yes","No"))))</f>
        <v/>
      </c>
      <c r="Q1397" s="17">
        <f>IF($C1397="","",IF($L1397="","",IF(AND($K1397=1,ISNUMBER($L1397),$L1397&lt;$J1397,COUNTIFS(nrES_PID,$D1397,nrES_Code,$F1397,nrES_Att,2,nrES_Raw,"&gt;=0")=0),"Yes","No")))</f>
        <v/>
      </c>
      <c r="R1397" s="17">
        <f>IF($C1397="","",IF($L1397="","",IF(AND(N($K1397)&gt;=2,ISNUMBER($L1397),$L1397&lt;$J1397),"Yes","No")))</f>
        <v/>
      </c>
      <c r="S1397" s="18" t="n"/>
      <c r="T1397" s="19">
        <f>IF(OR($C1397="",$L1397="",$K1397&lt;&gt;1,NOT(ISNUMBER($L1397)),$L1397&gt;=$J1397),"",IF($S1397="","(enter date)",_xlfn.LET(_xlpm.dn,_xlfn.XLOOKUP($S1397,nrCDdate,nrCDnum,"",1),IF(_xlpm.dn="","(after last class day)",_xlfn.LET(_xlpm.dd,_xlfn.XLOOKUP(_xlpm.dn+cfgRetestClassDays,nrCDnum,nrCDdate,""),_xlpm.ok,_xlfn.XLOOKUP(_xlpm.dn+cfgRetestClassDays,nrCDnum,nrCDinsession,"No"),IF(OR(_xlpm.dd="",_xlpm.ok&lt;&gt;"Yes"),"(after last class day)",_xlpm.dd))))))</f>
        <v/>
      </c>
      <c r="U1397" s="17">
        <f>IF($C1397="","",IF(AND($Y1397="Excused",$L1397="",N($K1397)&lt;=1),"EXCUSED - 1st attempt pending",IF(OR($L1397="",$K1397&lt;&gt;1,NOT(ISNUMBER($L1397)),$L1397&gt;=$J1397),"",IF(COUNTIFS(nrES_PID,$D1397,nrES_Code,$F1397,nrES_Att,2,nrES_Raw,"&gt;=0")&gt;0,IF(IFERROR(_xlfn.MINIFS(nrES_Date,nrES_PID,$D1397,nrES_Code,$F1397,nrES_Att,2,nrES_Raw,"&gt;=0",nrES_Date,"&gt;0"),0)=0,"RETEST UNDATED",IF(NOT(ISNUMBER($T1397)),"RETEST DATE UNCHECKED",IF(_xlfn.MINIFS(nrES_Date,nrES_PID,$D1397,nrES_Code,$F1397,nrES_Att,2,nrES_Raw,"&gt;=0",nrES_Date,"&gt;0")&gt;$T1397,"LATE RETEST "&amp;TEXT(_xlfn.MINIFS(nrES_Date,nrES_PID,$D1397,nrES_Code,$F1397,nrES_Att,2,nrES_Raw,"&gt;=0",nrES_Date,"&gt;0"),"mm/dd")&amp;" (due "&amp;TEXT($T1397,"mm/dd")&amp;")","Retested"))),IF(NOT(ISNUMBER($T1397)),"CHECK DATE",IF(TODAY()&gt;$T1397,"OVERDUE","Due "&amp;TEXT($T1397,"mm/dd")))))))</f>
        <v/>
      </c>
      <c r="V1397" s="16" t="n"/>
      <c r="W1397" s="16" t="n"/>
      <c r="X1397" s="17">
        <f>IF($C1397="","",IF(AND($L1397&lt;&gt;"",NOT(ISNUMBER($L1397))),"RAW SCORE NOT A NUMBER",IF(AND(ISNUMBER($L1397),OR($L1397&lt;0,$L1397&gt;100)),"RAW SCORE OUT OF RANGE",IF(AND($Y1397="Unexcused",OR($L1397="",NOT(ISNUMBER($L1397)),$L1397&lt;&gt;0)),"UNEXCUSED ABSENCE MUST RECORD 0",IF(COUNTIF(nrES_RecID,$B1397)&gt;1,"DUPLICATE RECORD",IF(N($K1397)&gt;2,"ATTEMPT 3+ NOT ALLOWED - policy 300.5 permits one retest per exam; this row records nothing",IF(AND($K1397=2,COUNTIFS(nrES_PID,$D1397,nrES_Code,$F1397,nrES_Att,1)=0),"ATTEMPT 2 WITHOUT ATTEMPT 1",IF(AND($K1397=2,$L1397=""),"RETEST ROW HAS NO SCORE",IF(AND($H1397="Final",$L1397&lt;&gt;"",IFERROR(INDEX(nrCKfinalExamElig,MATCH($D1397,rngCadetPIDs,0)),"")="No"),"FINAL EXAM AFTER FAILED FINAL PT (500.1.H)",IF(AND($K1397=2,ISNUMBER($L1397),COUNTIFS(nrES_PID,$D1397,nrES_Code,$F1397,nrES_Att,1)&gt;0,SUMIFS(nrES_Raw,nrES_PID,$D1397,nrES_Code,$F1397,nrES_Att,1)&gt;=$J1397),"RETEST AFTER A PASSING FIRST ATTEMPT","OK"))))))))))</f>
        <v/>
      </c>
      <c r="Y1397" s="16" t="n"/>
    </row>
    <row r="1398">
      <c r="B1398" s="17">
        <f>IF($C1398="","",$D1398&amp;"-"&amp;$F1398&amp;"-"&amp;$K1398)</f>
        <v/>
      </c>
      <c r="C1398" s="16" t="n"/>
      <c r="D1398" s="17">
        <f>IF($C1398="","",IFERROR(INDEX(rngCadetPIDs,MATCH($C1398,rngCadetNames,0)),"?"))</f>
        <v/>
      </c>
      <c r="E1398" s="17">
        <f>IF($D1398="","",IFERROR(INDEX(nrCadetAgency,MATCH($D1398,rngCadetPIDs,0)),""))</f>
        <v/>
      </c>
      <c r="F1398" s="16" t="n"/>
      <c r="G1398" s="17">
        <f>IF($F1398="","",IFERROR(INDEX(rngEPname,MATCH($F1398,rngEPcode,0)),"?"))</f>
        <v/>
      </c>
      <c r="H1398" s="17">
        <f>IF($F1398="","",IFERROR(INDEX(rngEPtype,MATCH($F1398,rngEPcode,0)),"?"))</f>
        <v/>
      </c>
      <c r="I1398" s="17">
        <f>IF($F1398="","",IFERROR(INDEX(rngEPseq,MATCH($F1398,rngEPcode,0)),""))</f>
        <v/>
      </c>
      <c r="J1398" s="17">
        <f>IF($F1398="","",IFERROR(INDEX(rngEPpass,MATCH($F1398,rngEPcode,0)),cfgPassingScore))</f>
        <v/>
      </c>
      <c r="K1398" s="16" t="n"/>
      <c r="L1398" s="16" t="n"/>
      <c r="M1398" s="17">
        <f>IF($C1398="","",IF($L1398="","",IF(NOT(ISNUMBER($L1398)),$L1398,IF(N($K1398)&gt;2,"",IF($K1398=1,IF(COUNTIFS(nrES_PID,$D1398,nrES_Code,$F1398,nrES_Att,2,nrES_Raw,"&gt;=0")&gt;0,"",$L1398),IF($L1398&gt;=$J1398,MAX($J1398,cfgRetakeRecordedCap),IF(COUNTIFS(nrES_PID,$D1398,nrES_Code,$F1398,nrES_Att,1)=0,$L1398,SUMIFS(nrES_Raw,nrES_PID,$D1398,nrES_Code,$F1398,nrES_Att,1))))))))</f>
        <v/>
      </c>
      <c r="N1398" s="17">
        <f>IF($C1398="","",IF($L1398="","",IF(NOT(ISNUMBER($L1398)),"(not a score)",IF($L1398&gt;=$J1398,"Yes","No"))))</f>
        <v/>
      </c>
      <c r="O1398" s="17">
        <f>IF($C1398="","",IF($M1398="","",IF(NOT(ISNUMBER($M1398)),"(not a score)",IF($M1398&gt;=$J1398,"Yes","No"))))</f>
        <v/>
      </c>
      <c r="P1398" s="17">
        <f>IF($C1398="","",IF($K1398="","",IF(N($K1398)&gt;2,"No",IF(COUNTIFS(nrES_PID,$D1398,nrES_Code,$F1398,nrES_Att,"&gt;"&amp;$K1398,nrES_Att,"&lt;=2",nrES_Raw,"&gt;=0")=0,"Yes","No"))))</f>
        <v/>
      </c>
      <c r="Q1398" s="17">
        <f>IF($C1398="","",IF($L1398="","",IF(AND($K1398=1,ISNUMBER($L1398),$L1398&lt;$J1398,COUNTIFS(nrES_PID,$D1398,nrES_Code,$F1398,nrES_Att,2,nrES_Raw,"&gt;=0")=0),"Yes","No")))</f>
        <v/>
      </c>
      <c r="R1398" s="17">
        <f>IF($C1398="","",IF($L1398="","",IF(AND(N($K1398)&gt;=2,ISNUMBER($L1398),$L1398&lt;$J1398),"Yes","No")))</f>
        <v/>
      </c>
      <c r="S1398" s="18" t="n"/>
      <c r="T1398" s="19">
        <f>IF(OR($C1398="",$L1398="",$K1398&lt;&gt;1,NOT(ISNUMBER($L1398)),$L1398&gt;=$J1398),"",IF($S1398="","(enter date)",_xlfn.LET(_xlpm.dn,_xlfn.XLOOKUP($S1398,nrCDdate,nrCDnum,"",1),IF(_xlpm.dn="","(after last class day)",_xlfn.LET(_xlpm.dd,_xlfn.XLOOKUP(_xlpm.dn+cfgRetestClassDays,nrCDnum,nrCDdate,""),_xlpm.ok,_xlfn.XLOOKUP(_xlpm.dn+cfgRetestClassDays,nrCDnum,nrCDinsession,"No"),IF(OR(_xlpm.dd="",_xlpm.ok&lt;&gt;"Yes"),"(after last class day)",_xlpm.dd))))))</f>
        <v/>
      </c>
      <c r="U1398" s="17">
        <f>IF($C1398="","",IF(AND($Y1398="Excused",$L1398="",N($K1398)&lt;=1),"EXCUSED - 1st attempt pending",IF(OR($L1398="",$K1398&lt;&gt;1,NOT(ISNUMBER($L1398)),$L1398&gt;=$J1398),"",IF(COUNTIFS(nrES_PID,$D1398,nrES_Code,$F1398,nrES_Att,2,nrES_Raw,"&gt;=0")&gt;0,IF(IFERROR(_xlfn.MINIFS(nrES_Date,nrES_PID,$D1398,nrES_Code,$F1398,nrES_Att,2,nrES_Raw,"&gt;=0",nrES_Date,"&gt;0"),0)=0,"RETEST UNDATED",IF(NOT(ISNUMBER($T1398)),"RETEST DATE UNCHECKED",IF(_xlfn.MINIFS(nrES_Date,nrES_PID,$D1398,nrES_Code,$F1398,nrES_Att,2,nrES_Raw,"&gt;=0",nrES_Date,"&gt;0")&gt;$T1398,"LATE RETEST "&amp;TEXT(_xlfn.MINIFS(nrES_Date,nrES_PID,$D1398,nrES_Code,$F1398,nrES_Att,2,nrES_Raw,"&gt;=0",nrES_Date,"&gt;0"),"mm/dd")&amp;" (due "&amp;TEXT($T1398,"mm/dd")&amp;")","Retested"))),IF(NOT(ISNUMBER($T1398)),"CHECK DATE",IF(TODAY()&gt;$T1398,"OVERDUE","Due "&amp;TEXT($T1398,"mm/dd")))))))</f>
        <v/>
      </c>
      <c r="V1398" s="16" t="n"/>
      <c r="W1398" s="16" t="n"/>
      <c r="X1398" s="17">
        <f>IF($C1398="","",IF(AND($L1398&lt;&gt;"",NOT(ISNUMBER($L1398))),"RAW SCORE NOT A NUMBER",IF(AND(ISNUMBER($L1398),OR($L1398&lt;0,$L1398&gt;100)),"RAW SCORE OUT OF RANGE",IF(AND($Y1398="Unexcused",OR($L1398="",NOT(ISNUMBER($L1398)),$L1398&lt;&gt;0)),"UNEXCUSED ABSENCE MUST RECORD 0",IF(COUNTIF(nrES_RecID,$B1398)&gt;1,"DUPLICATE RECORD",IF(N($K1398)&gt;2,"ATTEMPT 3+ NOT ALLOWED - policy 300.5 permits one retest per exam; this row records nothing",IF(AND($K1398=2,COUNTIFS(nrES_PID,$D1398,nrES_Code,$F1398,nrES_Att,1)=0),"ATTEMPT 2 WITHOUT ATTEMPT 1",IF(AND($K1398=2,$L1398=""),"RETEST ROW HAS NO SCORE",IF(AND($H1398="Final",$L1398&lt;&gt;"",IFERROR(INDEX(nrCKfinalExamElig,MATCH($D1398,rngCadetPIDs,0)),"")="No"),"FINAL EXAM AFTER FAILED FINAL PT (500.1.H)",IF(AND($K1398=2,ISNUMBER($L1398),COUNTIFS(nrES_PID,$D1398,nrES_Code,$F1398,nrES_Att,1)&gt;0,SUMIFS(nrES_Raw,nrES_PID,$D1398,nrES_Code,$F1398,nrES_Att,1)&gt;=$J1398),"RETEST AFTER A PASSING FIRST ATTEMPT","OK"))))))))))</f>
        <v/>
      </c>
      <c r="Y1398" s="16" t="n"/>
    </row>
    <row r="1399">
      <c r="B1399" s="17">
        <f>IF($C1399="","",$D1399&amp;"-"&amp;$F1399&amp;"-"&amp;$K1399)</f>
        <v/>
      </c>
      <c r="C1399" s="16" t="n"/>
      <c r="D1399" s="17">
        <f>IF($C1399="","",IFERROR(INDEX(rngCadetPIDs,MATCH($C1399,rngCadetNames,0)),"?"))</f>
        <v/>
      </c>
      <c r="E1399" s="17">
        <f>IF($D1399="","",IFERROR(INDEX(nrCadetAgency,MATCH($D1399,rngCadetPIDs,0)),""))</f>
        <v/>
      </c>
      <c r="F1399" s="16" t="n"/>
      <c r="G1399" s="17">
        <f>IF($F1399="","",IFERROR(INDEX(rngEPname,MATCH($F1399,rngEPcode,0)),"?"))</f>
        <v/>
      </c>
      <c r="H1399" s="17">
        <f>IF($F1399="","",IFERROR(INDEX(rngEPtype,MATCH($F1399,rngEPcode,0)),"?"))</f>
        <v/>
      </c>
      <c r="I1399" s="17">
        <f>IF($F1399="","",IFERROR(INDEX(rngEPseq,MATCH($F1399,rngEPcode,0)),""))</f>
        <v/>
      </c>
      <c r="J1399" s="17">
        <f>IF($F1399="","",IFERROR(INDEX(rngEPpass,MATCH($F1399,rngEPcode,0)),cfgPassingScore))</f>
        <v/>
      </c>
      <c r="K1399" s="16" t="n"/>
      <c r="L1399" s="16" t="n"/>
      <c r="M1399" s="17">
        <f>IF($C1399="","",IF($L1399="","",IF(NOT(ISNUMBER($L1399)),$L1399,IF(N($K1399)&gt;2,"",IF($K1399=1,IF(COUNTIFS(nrES_PID,$D1399,nrES_Code,$F1399,nrES_Att,2,nrES_Raw,"&gt;=0")&gt;0,"",$L1399),IF($L1399&gt;=$J1399,MAX($J1399,cfgRetakeRecordedCap),IF(COUNTIFS(nrES_PID,$D1399,nrES_Code,$F1399,nrES_Att,1)=0,$L1399,SUMIFS(nrES_Raw,nrES_PID,$D1399,nrES_Code,$F1399,nrES_Att,1))))))))</f>
        <v/>
      </c>
      <c r="N1399" s="17">
        <f>IF($C1399="","",IF($L1399="","",IF(NOT(ISNUMBER($L1399)),"(not a score)",IF($L1399&gt;=$J1399,"Yes","No"))))</f>
        <v/>
      </c>
      <c r="O1399" s="17">
        <f>IF($C1399="","",IF($M1399="","",IF(NOT(ISNUMBER($M1399)),"(not a score)",IF($M1399&gt;=$J1399,"Yes","No"))))</f>
        <v/>
      </c>
      <c r="P1399" s="17">
        <f>IF($C1399="","",IF($K1399="","",IF(N($K1399)&gt;2,"No",IF(COUNTIFS(nrES_PID,$D1399,nrES_Code,$F1399,nrES_Att,"&gt;"&amp;$K1399,nrES_Att,"&lt;=2",nrES_Raw,"&gt;=0")=0,"Yes","No"))))</f>
        <v/>
      </c>
      <c r="Q1399" s="17">
        <f>IF($C1399="","",IF($L1399="","",IF(AND($K1399=1,ISNUMBER($L1399),$L1399&lt;$J1399,COUNTIFS(nrES_PID,$D1399,nrES_Code,$F1399,nrES_Att,2,nrES_Raw,"&gt;=0")=0),"Yes","No")))</f>
        <v/>
      </c>
      <c r="R1399" s="17">
        <f>IF($C1399="","",IF($L1399="","",IF(AND(N($K1399)&gt;=2,ISNUMBER($L1399),$L1399&lt;$J1399),"Yes","No")))</f>
        <v/>
      </c>
      <c r="S1399" s="18" t="n"/>
      <c r="T1399" s="19">
        <f>IF(OR($C1399="",$L1399="",$K1399&lt;&gt;1,NOT(ISNUMBER($L1399)),$L1399&gt;=$J1399),"",IF($S1399="","(enter date)",_xlfn.LET(_xlpm.dn,_xlfn.XLOOKUP($S1399,nrCDdate,nrCDnum,"",1),IF(_xlpm.dn="","(after last class day)",_xlfn.LET(_xlpm.dd,_xlfn.XLOOKUP(_xlpm.dn+cfgRetestClassDays,nrCDnum,nrCDdate,""),_xlpm.ok,_xlfn.XLOOKUP(_xlpm.dn+cfgRetestClassDays,nrCDnum,nrCDinsession,"No"),IF(OR(_xlpm.dd="",_xlpm.ok&lt;&gt;"Yes"),"(after last class day)",_xlpm.dd))))))</f>
        <v/>
      </c>
      <c r="U1399" s="17">
        <f>IF($C1399="","",IF(AND($Y1399="Excused",$L1399="",N($K1399)&lt;=1),"EXCUSED - 1st attempt pending",IF(OR($L1399="",$K1399&lt;&gt;1,NOT(ISNUMBER($L1399)),$L1399&gt;=$J1399),"",IF(COUNTIFS(nrES_PID,$D1399,nrES_Code,$F1399,nrES_Att,2,nrES_Raw,"&gt;=0")&gt;0,IF(IFERROR(_xlfn.MINIFS(nrES_Date,nrES_PID,$D1399,nrES_Code,$F1399,nrES_Att,2,nrES_Raw,"&gt;=0",nrES_Date,"&gt;0"),0)=0,"RETEST UNDATED",IF(NOT(ISNUMBER($T1399)),"RETEST DATE UNCHECKED",IF(_xlfn.MINIFS(nrES_Date,nrES_PID,$D1399,nrES_Code,$F1399,nrES_Att,2,nrES_Raw,"&gt;=0",nrES_Date,"&gt;0")&gt;$T1399,"LATE RETEST "&amp;TEXT(_xlfn.MINIFS(nrES_Date,nrES_PID,$D1399,nrES_Code,$F1399,nrES_Att,2,nrES_Raw,"&gt;=0",nrES_Date,"&gt;0"),"mm/dd")&amp;" (due "&amp;TEXT($T1399,"mm/dd")&amp;")","Retested"))),IF(NOT(ISNUMBER($T1399)),"CHECK DATE",IF(TODAY()&gt;$T1399,"OVERDUE","Due "&amp;TEXT($T1399,"mm/dd")))))))</f>
        <v/>
      </c>
      <c r="V1399" s="16" t="n"/>
      <c r="W1399" s="16" t="n"/>
      <c r="X1399" s="17">
        <f>IF($C1399="","",IF(AND($L1399&lt;&gt;"",NOT(ISNUMBER($L1399))),"RAW SCORE NOT A NUMBER",IF(AND(ISNUMBER($L1399),OR($L1399&lt;0,$L1399&gt;100)),"RAW SCORE OUT OF RANGE",IF(AND($Y1399="Unexcused",OR($L1399="",NOT(ISNUMBER($L1399)),$L1399&lt;&gt;0)),"UNEXCUSED ABSENCE MUST RECORD 0",IF(COUNTIF(nrES_RecID,$B1399)&gt;1,"DUPLICATE RECORD",IF(N($K1399)&gt;2,"ATTEMPT 3+ NOT ALLOWED - policy 300.5 permits one retest per exam; this row records nothing",IF(AND($K1399=2,COUNTIFS(nrES_PID,$D1399,nrES_Code,$F1399,nrES_Att,1)=0),"ATTEMPT 2 WITHOUT ATTEMPT 1",IF(AND($K1399=2,$L1399=""),"RETEST ROW HAS NO SCORE",IF(AND($H1399="Final",$L1399&lt;&gt;"",IFERROR(INDEX(nrCKfinalExamElig,MATCH($D1399,rngCadetPIDs,0)),"")="No"),"FINAL EXAM AFTER FAILED FINAL PT (500.1.H)",IF(AND($K1399=2,ISNUMBER($L1399),COUNTIFS(nrES_PID,$D1399,nrES_Code,$F1399,nrES_Att,1)&gt;0,SUMIFS(nrES_Raw,nrES_PID,$D1399,nrES_Code,$F1399,nrES_Att,1)&gt;=$J1399),"RETEST AFTER A PASSING FIRST ATTEMPT","OK"))))))))))</f>
        <v/>
      </c>
      <c r="Y1399" s="16" t="n"/>
    </row>
    <row r="1400">
      <c r="B1400" s="17">
        <f>IF($C1400="","",$D1400&amp;"-"&amp;$F1400&amp;"-"&amp;$K1400)</f>
        <v/>
      </c>
      <c r="C1400" s="16" t="n"/>
      <c r="D1400" s="17">
        <f>IF($C1400="","",IFERROR(INDEX(rngCadetPIDs,MATCH($C1400,rngCadetNames,0)),"?"))</f>
        <v/>
      </c>
      <c r="E1400" s="17">
        <f>IF($D1400="","",IFERROR(INDEX(nrCadetAgency,MATCH($D1400,rngCadetPIDs,0)),""))</f>
        <v/>
      </c>
      <c r="F1400" s="16" t="n"/>
      <c r="G1400" s="17">
        <f>IF($F1400="","",IFERROR(INDEX(rngEPname,MATCH($F1400,rngEPcode,0)),"?"))</f>
        <v/>
      </c>
      <c r="H1400" s="17">
        <f>IF($F1400="","",IFERROR(INDEX(rngEPtype,MATCH($F1400,rngEPcode,0)),"?"))</f>
        <v/>
      </c>
      <c r="I1400" s="17">
        <f>IF($F1400="","",IFERROR(INDEX(rngEPseq,MATCH($F1400,rngEPcode,0)),""))</f>
        <v/>
      </c>
      <c r="J1400" s="17">
        <f>IF($F1400="","",IFERROR(INDEX(rngEPpass,MATCH($F1400,rngEPcode,0)),cfgPassingScore))</f>
        <v/>
      </c>
      <c r="K1400" s="16" t="n"/>
      <c r="L1400" s="16" t="n"/>
      <c r="M1400" s="17">
        <f>IF($C1400="","",IF($L1400="","",IF(NOT(ISNUMBER($L1400)),$L1400,IF(N($K1400)&gt;2,"",IF($K1400=1,IF(COUNTIFS(nrES_PID,$D1400,nrES_Code,$F1400,nrES_Att,2,nrES_Raw,"&gt;=0")&gt;0,"",$L1400),IF($L1400&gt;=$J1400,MAX($J1400,cfgRetakeRecordedCap),IF(COUNTIFS(nrES_PID,$D1400,nrES_Code,$F1400,nrES_Att,1)=0,$L1400,SUMIFS(nrES_Raw,nrES_PID,$D1400,nrES_Code,$F1400,nrES_Att,1))))))))</f>
        <v/>
      </c>
      <c r="N1400" s="17">
        <f>IF($C1400="","",IF($L1400="","",IF(NOT(ISNUMBER($L1400)),"(not a score)",IF($L1400&gt;=$J1400,"Yes","No"))))</f>
        <v/>
      </c>
      <c r="O1400" s="17">
        <f>IF($C1400="","",IF($M1400="","",IF(NOT(ISNUMBER($M1400)),"(not a score)",IF($M1400&gt;=$J1400,"Yes","No"))))</f>
        <v/>
      </c>
      <c r="P1400" s="17">
        <f>IF($C1400="","",IF($K1400="","",IF(N($K1400)&gt;2,"No",IF(COUNTIFS(nrES_PID,$D1400,nrES_Code,$F1400,nrES_Att,"&gt;"&amp;$K1400,nrES_Att,"&lt;=2",nrES_Raw,"&gt;=0")=0,"Yes","No"))))</f>
        <v/>
      </c>
      <c r="Q1400" s="17">
        <f>IF($C1400="","",IF($L1400="","",IF(AND($K1400=1,ISNUMBER($L1400),$L1400&lt;$J1400,COUNTIFS(nrES_PID,$D1400,nrES_Code,$F1400,nrES_Att,2,nrES_Raw,"&gt;=0")=0),"Yes","No")))</f>
        <v/>
      </c>
      <c r="R1400" s="17">
        <f>IF($C1400="","",IF($L1400="","",IF(AND(N($K1400)&gt;=2,ISNUMBER($L1400),$L1400&lt;$J1400),"Yes","No")))</f>
        <v/>
      </c>
      <c r="S1400" s="18" t="n"/>
      <c r="T1400" s="19">
        <f>IF(OR($C1400="",$L1400="",$K1400&lt;&gt;1,NOT(ISNUMBER($L1400)),$L1400&gt;=$J1400),"",IF($S1400="","(enter date)",_xlfn.LET(_xlpm.dn,_xlfn.XLOOKUP($S1400,nrCDdate,nrCDnum,"",1),IF(_xlpm.dn="","(after last class day)",_xlfn.LET(_xlpm.dd,_xlfn.XLOOKUP(_xlpm.dn+cfgRetestClassDays,nrCDnum,nrCDdate,""),_xlpm.ok,_xlfn.XLOOKUP(_xlpm.dn+cfgRetestClassDays,nrCDnum,nrCDinsession,"No"),IF(OR(_xlpm.dd="",_xlpm.ok&lt;&gt;"Yes"),"(after last class day)",_xlpm.dd))))))</f>
        <v/>
      </c>
      <c r="U1400" s="17">
        <f>IF($C1400="","",IF(AND($Y1400="Excused",$L1400="",N($K1400)&lt;=1),"EXCUSED - 1st attempt pending",IF(OR($L1400="",$K1400&lt;&gt;1,NOT(ISNUMBER($L1400)),$L1400&gt;=$J1400),"",IF(COUNTIFS(nrES_PID,$D1400,nrES_Code,$F1400,nrES_Att,2,nrES_Raw,"&gt;=0")&gt;0,IF(IFERROR(_xlfn.MINIFS(nrES_Date,nrES_PID,$D1400,nrES_Code,$F1400,nrES_Att,2,nrES_Raw,"&gt;=0",nrES_Date,"&gt;0"),0)=0,"RETEST UNDATED",IF(NOT(ISNUMBER($T1400)),"RETEST DATE UNCHECKED",IF(_xlfn.MINIFS(nrES_Date,nrES_PID,$D1400,nrES_Code,$F1400,nrES_Att,2,nrES_Raw,"&gt;=0",nrES_Date,"&gt;0")&gt;$T1400,"LATE RETEST "&amp;TEXT(_xlfn.MINIFS(nrES_Date,nrES_PID,$D1400,nrES_Code,$F1400,nrES_Att,2,nrES_Raw,"&gt;=0",nrES_Date,"&gt;0"),"mm/dd")&amp;" (due "&amp;TEXT($T1400,"mm/dd")&amp;")","Retested"))),IF(NOT(ISNUMBER($T1400)),"CHECK DATE",IF(TODAY()&gt;$T1400,"OVERDUE","Due "&amp;TEXT($T1400,"mm/dd")))))))</f>
        <v/>
      </c>
      <c r="V1400" s="16" t="n"/>
      <c r="W1400" s="16" t="n"/>
      <c r="X1400" s="17">
        <f>IF($C1400="","",IF(AND($L1400&lt;&gt;"",NOT(ISNUMBER($L1400))),"RAW SCORE NOT A NUMBER",IF(AND(ISNUMBER($L1400),OR($L1400&lt;0,$L1400&gt;100)),"RAW SCORE OUT OF RANGE",IF(AND($Y1400="Unexcused",OR($L1400="",NOT(ISNUMBER($L1400)),$L1400&lt;&gt;0)),"UNEXCUSED ABSENCE MUST RECORD 0",IF(COUNTIF(nrES_RecID,$B1400)&gt;1,"DUPLICATE RECORD",IF(N($K1400)&gt;2,"ATTEMPT 3+ NOT ALLOWED - policy 300.5 permits one retest per exam; this row records nothing",IF(AND($K1400=2,COUNTIFS(nrES_PID,$D1400,nrES_Code,$F1400,nrES_Att,1)=0),"ATTEMPT 2 WITHOUT ATTEMPT 1",IF(AND($K1400=2,$L1400=""),"RETEST ROW HAS NO SCORE",IF(AND($H1400="Final",$L1400&lt;&gt;"",IFERROR(INDEX(nrCKfinalExamElig,MATCH($D1400,rngCadetPIDs,0)),"")="No"),"FINAL EXAM AFTER FAILED FINAL PT (500.1.H)",IF(AND($K1400=2,ISNUMBER($L1400),COUNTIFS(nrES_PID,$D1400,nrES_Code,$F1400,nrES_Att,1)&gt;0,SUMIFS(nrES_Raw,nrES_PID,$D1400,nrES_Code,$F1400,nrES_Att,1)&gt;=$J1400),"RETEST AFTER A PASSING FIRST ATTEMPT","OK"))))))))))</f>
        <v/>
      </c>
      <c r="Y1400" s="16" t="n"/>
    </row>
    <row r="1401">
      <c r="B1401" s="17">
        <f>IF($C1401="","",$D1401&amp;"-"&amp;$F1401&amp;"-"&amp;$K1401)</f>
        <v/>
      </c>
      <c r="C1401" s="16" t="n"/>
      <c r="D1401" s="17">
        <f>IF($C1401="","",IFERROR(INDEX(rngCadetPIDs,MATCH($C1401,rngCadetNames,0)),"?"))</f>
        <v/>
      </c>
      <c r="E1401" s="17">
        <f>IF($D1401="","",IFERROR(INDEX(nrCadetAgency,MATCH($D1401,rngCadetPIDs,0)),""))</f>
        <v/>
      </c>
      <c r="F1401" s="16" t="n"/>
      <c r="G1401" s="17">
        <f>IF($F1401="","",IFERROR(INDEX(rngEPname,MATCH($F1401,rngEPcode,0)),"?"))</f>
        <v/>
      </c>
      <c r="H1401" s="17">
        <f>IF($F1401="","",IFERROR(INDEX(rngEPtype,MATCH($F1401,rngEPcode,0)),"?"))</f>
        <v/>
      </c>
      <c r="I1401" s="17">
        <f>IF($F1401="","",IFERROR(INDEX(rngEPseq,MATCH($F1401,rngEPcode,0)),""))</f>
        <v/>
      </c>
      <c r="J1401" s="17">
        <f>IF($F1401="","",IFERROR(INDEX(rngEPpass,MATCH($F1401,rngEPcode,0)),cfgPassingScore))</f>
        <v/>
      </c>
      <c r="K1401" s="16" t="n"/>
      <c r="L1401" s="16" t="n"/>
      <c r="M1401" s="17">
        <f>IF($C1401="","",IF($L1401="","",IF(NOT(ISNUMBER($L1401)),$L1401,IF(N($K1401)&gt;2,"",IF($K1401=1,IF(COUNTIFS(nrES_PID,$D1401,nrES_Code,$F1401,nrES_Att,2,nrES_Raw,"&gt;=0")&gt;0,"",$L1401),IF($L1401&gt;=$J1401,MAX($J1401,cfgRetakeRecordedCap),IF(COUNTIFS(nrES_PID,$D1401,nrES_Code,$F1401,nrES_Att,1)=0,$L1401,SUMIFS(nrES_Raw,nrES_PID,$D1401,nrES_Code,$F1401,nrES_Att,1))))))))</f>
        <v/>
      </c>
      <c r="N1401" s="17">
        <f>IF($C1401="","",IF($L1401="","",IF(NOT(ISNUMBER($L1401)),"(not a score)",IF($L1401&gt;=$J1401,"Yes","No"))))</f>
        <v/>
      </c>
      <c r="O1401" s="17">
        <f>IF($C1401="","",IF($M1401="","",IF(NOT(ISNUMBER($M1401)),"(not a score)",IF($M1401&gt;=$J1401,"Yes","No"))))</f>
        <v/>
      </c>
      <c r="P1401" s="17">
        <f>IF($C1401="","",IF($K1401="","",IF(N($K1401)&gt;2,"No",IF(COUNTIFS(nrES_PID,$D1401,nrES_Code,$F1401,nrES_Att,"&gt;"&amp;$K1401,nrES_Att,"&lt;=2",nrES_Raw,"&gt;=0")=0,"Yes","No"))))</f>
        <v/>
      </c>
      <c r="Q1401" s="17">
        <f>IF($C1401="","",IF($L1401="","",IF(AND($K1401=1,ISNUMBER($L1401),$L1401&lt;$J1401,COUNTIFS(nrES_PID,$D1401,nrES_Code,$F1401,nrES_Att,2,nrES_Raw,"&gt;=0")=0),"Yes","No")))</f>
        <v/>
      </c>
      <c r="R1401" s="17">
        <f>IF($C1401="","",IF($L1401="","",IF(AND(N($K1401)&gt;=2,ISNUMBER($L1401),$L1401&lt;$J1401),"Yes","No")))</f>
        <v/>
      </c>
      <c r="S1401" s="18" t="n"/>
      <c r="T1401" s="19">
        <f>IF(OR($C1401="",$L1401="",$K1401&lt;&gt;1,NOT(ISNUMBER($L1401)),$L1401&gt;=$J1401),"",IF($S1401="","(enter date)",_xlfn.LET(_xlpm.dn,_xlfn.XLOOKUP($S1401,nrCDdate,nrCDnum,"",1),IF(_xlpm.dn="","(after last class day)",_xlfn.LET(_xlpm.dd,_xlfn.XLOOKUP(_xlpm.dn+cfgRetestClassDays,nrCDnum,nrCDdate,""),_xlpm.ok,_xlfn.XLOOKUP(_xlpm.dn+cfgRetestClassDays,nrCDnum,nrCDinsession,"No"),IF(OR(_xlpm.dd="",_xlpm.ok&lt;&gt;"Yes"),"(after last class day)",_xlpm.dd))))))</f>
        <v/>
      </c>
      <c r="U1401" s="17">
        <f>IF($C1401="","",IF(AND($Y1401="Excused",$L1401="",N($K1401)&lt;=1),"EXCUSED - 1st attempt pending",IF(OR($L1401="",$K1401&lt;&gt;1,NOT(ISNUMBER($L1401)),$L1401&gt;=$J1401),"",IF(COUNTIFS(nrES_PID,$D1401,nrES_Code,$F1401,nrES_Att,2,nrES_Raw,"&gt;=0")&gt;0,IF(IFERROR(_xlfn.MINIFS(nrES_Date,nrES_PID,$D1401,nrES_Code,$F1401,nrES_Att,2,nrES_Raw,"&gt;=0",nrES_Date,"&gt;0"),0)=0,"RETEST UNDATED",IF(NOT(ISNUMBER($T1401)),"RETEST DATE UNCHECKED",IF(_xlfn.MINIFS(nrES_Date,nrES_PID,$D1401,nrES_Code,$F1401,nrES_Att,2,nrES_Raw,"&gt;=0",nrES_Date,"&gt;0")&gt;$T1401,"LATE RETEST "&amp;TEXT(_xlfn.MINIFS(nrES_Date,nrES_PID,$D1401,nrES_Code,$F1401,nrES_Att,2,nrES_Raw,"&gt;=0",nrES_Date,"&gt;0"),"mm/dd")&amp;" (due "&amp;TEXT($T1401,"mm/dd")&amp;")","Retested"))),IF(NOT(ISNUMBER($T1401)),"CHECK DATE",IF(TODAY()&gt;$T1401,"OVERDUE","Due "&amp;TEXT($T1401,"mm/dd")))))))</f>
        <v/>
      </c>
      <c r="V1401" s="16" t="n"/>
      <c r="W1401" s="16" t="n"/>
      <c r="X1401" s="17">
        <f>IF($C1401="","",IF(AND($L1401&lt;&gt;"",NOT(ISNUMBER($L1401))),"RAW SCORE NOT A NUMBER",IF(AND(ISNUMBER($L1401),OR($L1401&lt;0,$L1401&gt;100)),"RAW SCORE OUT OF RANGE",IF(AND($Y1401="Unexcused",OR($L1401="",NOT(ISNUMBER($L1401)),$L1401&lt;&gt;0)),"UNEXCUSED ABSENCE MUST RECORD 0",IF(COUNTIF(nrES_RecID,$B1401)&gt;1,"DUPLICATE RECORD",IF(N($K1401)&gt;2,"ATTEMPT 3+ NOT ALLOWED - policy 300.5 permits one retest per exam; this row records nothing",IF(AND($K1401=2,COUNTIFS(nrES_PID,$D1401,nrES_Code,$F1401,nrES_Att,1)=0),"ATTEMPT 2 WITHOUT ATTEMPT 1",IF(AND($K1401=2,$L1401=""),"RETEST ROW HAS NO SCORE",IF(AND($H1401="Final",$L1401&lt;&gt;"",IFERROR(INDEX(nrCKfinalExamElig,MATCH($D1401,rngCadetPIDs,0)),"")="No"),"FINAL EXAM AFTER FAILED FINAL PT (500.1.H)",IF(AND($K1401=2,ISNUMBER($L1401),COUNTIFS(nrES_PID,$D1401,nrES_Code,$F1401,nrES_Att,1)&gt;0,SUMIFS(nrES_Raw,nrES_PID,$D1401,nrES_Code,$F1401,nrES_Att,1)&gt;=$J1401),"RETEST AFTER A PASSING FIRST ATTEMPT","OK"))))))))))</f>
        <v/>
      </c>
      <c r="Y1401" s="16" t="n"/>
    </row>
    <row r="1402">
      <c r="B1402" s="17">
        <f>IF($C1402="","",$D1402&amp;"-"&amp;$F1402&amp;"-"&amp;$K1402)</f>
        <v/>
      </c>
      <c r="C1402" s="16" t="n"/>
      <c r="D1402" s="17">
        <f>IF($C1402="","",IFERROR(INDEX(rngCadetPIDs,MATCH($C1402,rngCadetNames,0)),"?"))</f>
        <v/>
      </c>
      <c r="E1402" s="17">
        <f>IF($D1402="","",IFERROR(INDEX(nrCadetAgency,MATCH($D1402,rngCadetPIDs,0)),""))</f>
        <v/>
      </c>
      <c r="F1402" s="16" t="n"/>
      <c r="G1402" s="17">
        <f>IF($F1402="","",IFERROR(INDEX(rngEPname,MATCH($F1402,rngEPcode,0)),"?"))</f>
        <v/>
      </c>
      <c r="H1402" s="17">
        <f>IF($F1402="","",IFERROR(INDEX(rngEPtype,MATCH($F1402,rngEPcode,0)),"?"))</f>
        <v/>
      </c>
      <c r="I1402" s="17">
        <f>IF($F1402="","",IFERROR(INDEX(rngEPseq,MATCH($F1402,rngEPcode,0)),""))</f>
        <v/>
      </c>
      <c r="J1402" s="17">
        <f>IF($F1402="","",IFERROR(INDEX(rngEPpass,MATCH($F1402,rngEPcode,0)),cfgPassingScore))</f>
        <v/>
      </c>
      <c r="K1402" s="16" t="n"/>
      <c r="L1402" s="16" t="n"/>
      <c r="M1402" s="17">
        <f>IF($C1402="","",IF($L1402="","",IF(NOT(ISNUMBER($L1402)),$L1402,IF(N($K1402)&gt;2,"",IF($K1402=1,IF(COUNTIFS(nrES_PID,$D1402,nrES_Code,$F1402,nrES_Att,2,nrES_Raw,"&gt;=0")&gt;0,"",$L1402),IF($L1402&gt;=$J1402,MAX($J1402,cfgRetakeRecordedCap),IF(COUNTIFS(nrES_PID,$D1402,nrES_Code,$F1402,nrES_Att,1)=0,$L1402,SUMIFS(nrES_Raw,nrES_PID,$D1402,nrES_Code,$F1402,nrES_Att,1))))))))</f>
        <v/>
      </c>
      <c r="N1402" s="17">
        <f>IF($C1402="","",IF($L1402="","",IF(NOT(ISNUMBER($L1402)),"(not a score)",IF($L1402&gt;=$J1402,"Yes","No"))))</f>
        <v/>
      </c>
      <c r="O1402" s="17">
        <f>IF($C1402="","",IF($M1402="","",IF(NOT(ISNUMBER($M1402)),"(not a score)",IF($M1402&gt;=$J1402,"Yes","No"))))</f>
        <v/>
      </c>
      <c r="P1402" s="17">
        <f>IF($C1402="","",IF($K1402="","",IF(N($K1402)&gt;2,"No",IF(COUNTIFS(nrES_PID,$D1402,nrES_Code,$F1402,nrES_Att,"&gt;"&amp;$K1402,nrES_Att,"&lt;=2",nrES_Raw,"&gt;=0")=0,"Yes","No"))))</f>
        <v/>
      </c>
      <c r="Q1402" s="17">
        <f>IF($C1402="","",IF($L1402="","",IF(AND($K1402=1,ISNUMBER($L1402),$L1402&lt;$J1402,COUNTIFS(nrES_PID,$D1402,nrES_Code,$F1402,nrES_Att,2,nrES_Raw,"&gt;=0")=0),"Yes","No")))</f>
        <v/>
      </c>
      <c r="R1402" s="17">
        <f>IF($C1402="","",IF($L1402="","",IF(AND(N($K1402)&gt;=2,ISNUMBER($L1402),$L1402&lt;$J1402),"Yes","No")))</f>
        <v/>
      </c>
      <c r="S1402" s="18" t="n"/>
      <c r="T1402" s="19">
        <f>IF(OR($C1402="",$L1402="",$K1402&lt;&gt;1,NOT(ISNUMBER($L1402)),$L1402&gt;=$J1402),"",IF($S1402="","(enter date)",_xlfn.LET(_xlpm.dn,_xlfn.XLOOKUP($S1402,nrCDdate,nrCDnum,"",1),IF(_xlpm.dn="","(after last class day)",_xlfn.LET(_xlpm.dd,_xlfn.XLOOKUP(_xlpm.dn+cfgRetestClassDays,nrCDnum,nrCDdate,""),_xlpm.ok,_xlfn.XLOOKUP(_xlpm.dn+cfgRetestClassDays,nrCDnum,nrCDinsession,"No"),IF(OR(_xlpm.dd="",_xlpm.ok&lt;&gt;"Yes"),"(after last class day)",_xlpm.dd))))))</f>
        <v/>
      </c>
      <c r="U1402" s="17">
        <f>IF($C1402="","",IF(AND($Y1402="Excused",$L1402="",N($K1402)&lt;=1),"EXCUSED - 1st attempt pending",IF(OR($L1402="",$K1402&lt;&gt;1,NOT(ISNUMBER($L1402)),$L1402&gt;=$J1402),"",IF(COUNTIFS(nrES_PID,$D1402,nrES_Code,$F1402,nrES_Att,2,nrES_Raw,"&gt;=0")&gt;0,IF(IFERROR(_xlfn.MINIFS(nrES_Date,nrES_PID,$D1402,nrES_Code,$F1402,nrES_Att,2,nrES_Raw,"&gt;=0",nrES_Date,"&gt;0"),0)=0,"RETEST UNDATED",IF(NOT(ISNUMBER($T1402)),"RETEST DATE UNCHECKED",IF(_xlfn.MINIFS(nrES_Date,nrES_PID,$D1402,nrES_Code,$F1402,nrES_Att,2,nrES_Raw,"&gt;=0",nrES_Date,"&gt;0")&gt;$T1402,"LATE RETEST "&amp;TEXT(_xlfn.MINIFS(nrES_Date,nrES_PID,$D1402,nrES_Code,$F1402,nrES_Att,2,nrES_Raw,"&gt;=0",nrES_Date,"&gt;0"),"mm/dd")&amp;" (due "&amp;TEXT($T1402,"mm/dd")&amp;")","Retested"))),IF(NOT(ISNUMBER($T1402)),"CHECK DATE",IF(TODAY()&gt;$T1402,"OVERDUE","Due "&amp;TEXT($T1402,"mm/dd")))))))</f>
        <v/>
      </c>
      <c r="V1402" s="16" t="n"/>
      <c r="W1402" s="16" t="n"/>
      <c r="X1402" s="17">
        <f>IF($C1402="","",IF(AND($L1402&lt;&gt;"",NOT(ISNUMBER($L1402))),"RAW SCORE NOT A NUMBER",IF(AND(ISNUMBER($L1402),OR($L1402&lt;0,$L1402&gt;100)),"RAW SCORE OUT OF RANGE",IF(AND($Y1402="Unexcused",OR($L1402="",NOT(ISNUMBER($L1402)),$L1402&lt;&gt;0)),"UNEXCUSED ABSENCE MUST RECORD 0",IF(COUNTIF(nrES_RecID,$B1402)&gt;1,"DUPLICATE RECORD",IF(N($K1402)&gt;2,"ATTEMPT 3+ NOT ALLOWED - policy 300.5 permits one retest per exam; this row records nothing",IF(AND($K1402=2,COUNTIFS(nrES_PID,$D1402,nrES_Code,$F1402,nrES_Att,1)=0),"ATTEMPT 2 WITHOUT ATTEMPT 1",IF(AND($K1402=2,$L1402=""),"RETEST ROW HAS NO SCORE",IF(AND($H1402="Final",$L1402&lt;&gt;"",IFERROR(INDEX(nrCKfinalExamElig,MATCH($D1402,rngCadetPIDs,0)),"")="No"),"FINAL EXAM AFTER FAILED FINAL PT (500.1.H)",IF(AND($K1402=2,ISNUMBER($L1402),COUNTIFS(nrES_PID,$D1402,nrES_Code,$F1402,nrES_Att,1)&gt;0,SUMIFS(nrES_Raw,nrES_PID,$D1402,nrES_Code,$F1402,nrES_Att,1)&gt;=$J1402),"RETEST AFTER A PASSING FIRST ATTEMPT","OK"))))))))))</f>
        <v/>
      </c>
      <c r="Y1402" s="16" t="n"/>
    </row>
    <row r="1403">
      <c r="B1403" s="17">
        <f>IF($C1403="","",$D1403&amp;"-"&amp;$F1403&amp;"-"&amp;$K1403)</f>
        <v/>
      </c>
      <c r="C1403" s="16" t="n"/>
      <c r="D1403" s="17">
        <f>IF($C1403="","",IFERROR(INDEX(rngCadetPIDs,MATCH($C1403,rngCadetNames,0)),"?"))</f>
        <v/>
      </c>
      <c r="E1403" s="17">
        <f>IF($D1403="","",IFERROR(INDEX(nrCadetAgency,MATCH($D1403,rngCadetPIDs,0)),""))</f>
        <v/>
      </c>
      <c r="F1403" s="16" t="n"/>
      <c r="G1403" s="17">
        <f>IF($F1403="","",IFERROR(INDEX(rngEPname,MATCH($F1403,rngEPcode,0)),"?"))</f>
        <v/>
      </c>
      <c r="H1403" s="17">
        <f>IF($F1403="","",IFERROR(INDEX(rngEPtype,MATCH($F1403,rngEPcode,0)),"?"))</f>
        <v/>
      </c>
      <c r="I1403" s="17">
        <f>IF($F1403="","",IFERROR(INDEX(rngEPseq,MATCH($F1403,rngEPcode,0)),""))</f>
        <v/>
      </c>
      <c r="J1403" s="17">
        <f>IF($F1403="","",IFERROR(INDEX(rngEPpass,MATCH($F1403,rngEPcode,0)),cfgPassingScore))</f>
        <v/>
      </c>
      <c r="K1403" s="16" t="n"/>
      <c r="L1403" s="16" t="n"/>
      <c r="M1403" s="17">
        <f>IF($C1403="","",IF($L1403="","",IF(NOT(ISNUMBER($L1403)),$L1403,IF(N($K1403)&gt;2,"",IF($K1403=1,IF(COUNTIFS(nrES_PID,$D1403,nrES_Code,$F1403,nrES_Att,2,nrES_Raw,"&gt;=0")&gt;0,"",$L1403),IF($L1403&gt;=$J1403,MAX($J1403,cfgRetakeRecordedCap),IF(COUNTIFS(nrES_PID,$D1403,nrES_Code,$F1403,nrES_Att,1)=0,$L1403,SUMIFS(nrES_Raw,nrES_PID,$D1403,nrES_Code,$F1403,nrES_Att,1))))))))</f>
        <v/>
      </c>
      <c r="N1403" s="17">
        <f>IF($C1403="","",IF($L1403="","",IF(NOT(ISNUMBER($L1403)),"(not a score)",IF($L1403&gt;=$J1403,"Yes","No"))))</f>
        <v/>
      </c>
      <c r="O1403" s="17">
        <f>IF($C1403="","",IF($M1403="","",IF(NOT(ISNUMBER($M1403)),"(not a score)",IF($M1403&gt;=$J1403,"Yes","No"))))</f>
        <v/>
      </c>
      <c r="P1403" s="17">
        <f>IF($C1403="","",IF($K1403="","",IF(N($K1403)&gt;2,"No",IF(COUNTIFS(nrES_PID,$D1403,nrES_Code,$F1403,nrES_Att,"&gt;"&amp;$K1403,nrES_Att,"&lt;=2",nrES_Raw,"&gt;=0")=0,"Yes","No"))))</f>
        <v/>
      </c>
      <c r="Q1403" s="17">
        <f>IF($C1403="","",IF($L1403="","",IF(AND($K1403=1,ISNUMBER($L1403),$L1403&lt;$J1403,COUNTIFS(nrES_PID,$D1403,nrES_Code,$F1403,nrES_Att,2,nrES_Raw,"&gt;=0")=0),"Yes","No")))</f>
        <v/>
      </c>
      <c r="R1403" s="17">
        <f>IF($C1403="","",IF($L1403="","",IF(AND(N($K1403)&gt;=2,ISNUMBER($L1403),$L1403&lt;$J1403),"Yes","No")))</f>
        <v/>
      </c>
      <c r="S1403" s="18" t="n"/>
      <c r="T1403" s="19">
        <f>IF(OR($C1403="",$L1403="",$K1403&lt;&gt;1,NOT(ISNUMBER($L1403)),$L1403&gt;=$J1403),"",IF($S1403="","(enter date)",_xlfn.LET(_xlpm.dn,_xlfn.XLOOKUP($S1403,nrCDdate,nrCDnum,"",1),IF(_xlpm.dn="","(after last class day)",_xlfn.LET(_xlpm.dd,_xlfn.XLOOKUP(_xlpm.dn+cfgRetestClassDays,nrCDnum,nrCDdate,""),_xlpm.ok,_xlfn.XLOOKUP(_xlpm.dn+cfgRetestClassDays,nrCDnum,nrCDinsession,"No"),IF(OR(_xlpm.dd="",_xlpm.ok&lt;&gt;"Yes"),"(after last class day)",_xlpm.dd))))))</f>
        <v/>
      </c>
      <c r="U1403" s="17">
        <f>IF($C1403="","",IF(AND($Y1403="Excused",$L1403="",N($K1403)&lt;=1),"EXCUSED - 1st attempt pending",IF(OR($L1403="",$K1403&lt;&gt;1,NOT(ISNUMBER($L1403)),$L1403&gt;=$J1403),"",IF(COUNTIFS(nrES_PID,$D1403,nrES_Code,$F1403,nrES_Att,2,nrES_Raw,"&gt;=0")&gt;0,IF(IFERROR(_xlfn.MINIFS(nrES_Date,nrES_PID,$D1403,nrES_Code,$F1403,nrES_Att,2,nrES_Raw,"&gt;=0",nrES_Date,"&gt;0"),0)=0,"RETEST UNDATED",IF(NOT(ISNUMBER($T1403)),"RETEST DATE UNCHECKED",IF(_xlfn.MINIFS(nrES_Date,nrES_PID,$D1403,nrES_Code,$F1403,nrES_Att,2,nrES_Raw,"&gt;=0",nrES_Date,"&gt;0")&gt;$T1403,"LATE RETEST "&amp;TEXT(_xlfn.MINIFS(nrES_Date,nrES_PID,$D1403,nrES_Code,$F1403,nrES_Att,2,nrES_Raw,"&gt;=0",nrES_Date,"&gt;0"),"mm/dd")&amp;" (due "&amp;TEXT($T1403,"mm/dd")&amp;")","Retested"))),IF(NOT(ISNUMBER($T1403)),"CHECK DATE",IF(TODAY()&gt;$T1403,"OVERDUE","Due "&amp;TEXT($T1403,"mm/dd")))))))</f>
        <v/>
      </c>
      <c r="V1403" s="16" t="n"/>
      <c r="W1403" s="16" t="n"/>
      <c r="X1403" s="17">
        <f>IF($C1403="","",IF(AND($L1403&lt;&gt;"",NOT(ISNUMBER($L1403))),"RAW SCORE NOT A NUMBER",IF(AND(ISNUMBER($L1403),OR($L1403&lt;0,$L1403&gt;100)),"RAW SCORE OUT OF RANGE",IF(AND($Y1403="Unexcused",OR($L1403="",NOT(ISNUMBER($L1403)),$L1403&lt;&gt;0)),"UNEXCUSED ABSENCE MUST RECORD 0",IF(COUNTIF(nrES_RecID,$B1403)&gt;1,"DUPLICATE RECORD",IF(N($K1403)&gt;2,"ATTEMPT 3+ NOT ALLOWED - policy 300.5 permits one retest per exam; this row records nothing",IF(AND($K1403=2,COUNTIFS(nrES_PID,$D1403,nrES_Code,$F1403,nrES_Att,1)=0),"ATTEMPT 2 WITHOUT ATTEMPT 1",IF(AND($K1403=2,$L1403=""),"RETEST ROW HAS NO SCORE",IF(AND($H1403="Final",$L1403&lt;&gt;"",IFERROR(INDEX(nrCKfinalExamElig,MATCH($D1403,rngCadetPIDs,0)),"")="No"),"FINAL EXAM AFTER FAILED FINAL PT (500.1.H)",IF(AND($K1403=2,ISNUMBER($L1403),COUNTIFS(nrES_PID,$D1403,nrES_Code,$F1403,nrES_Att,1)&gt;0,SUMIFS(nrES_Raw,nrES_PID,$D1403,nrES_Code,$F1403,nrES_Att,1)&gt;=$J1403),"RETEST AFTER A PASSING FIRST ATTEMPT","OK"))))))))))</f>
        <v/>
      </c>
      <c r="Y1403" s="16" t="n"/>
    </row>
    <row r="1404">
      <c r="B1404" s="17">
        <f>IF($C1404="","",$D1404&amp;"-"&amp;$F1404&amp;"-"&amp;$K1404)</f>
        <v/>
      </c>
      <c r="C1404" s="16" t="n"/>
      <c r="D1404" s="17">
        <f>IF($C1404="","",IFERROR(INDEX(rngCadetPIDs,MATCH($C1404,rngCadetNames,0)),"?"))</f>
        <v/>
      </c>
      <c r="E1404" s="17">
        <f>IF($D1404="","",IFERROR(INDEX(nrCadetAgency,MATCH($D1404,rngCadetPIDs,0)),""))</f>
        <v/>
      </c>
      <c r="F1404" s="16" t="n"/>
      <c r="G1404" s="17">
        <f>IF($F1404="","",IFERROR(INDEX(rngEPname,MATCH($F1404,rngEPcode,0)),"?"))</f>
        <v/>
      </c>
      <c r="H1404" s="17">
        <f>IF($F1404="","",IFERROR(INDEX(rngEPtype,MATCH($F1404,rngEPcode,0)),"?"))</f>
        <v/>
      </c>
      <c r="I1404" s="17">
        <f>IF($F1404="","",IFERROR(INDEX(rngEPseq,MATCH($F1404,rngEPcode,0)),""))</f>
        <v/>
      </c>
      <c r="J1404" s="17">
        <f>IF($F1404="","",IFERROR(INDEX(rngEPpass,MATCH($F1404,rngEPcode,0)),cfgPassingScore))</f>
        <v/>
      </c>
      <c r="K1404" s="16" t="n"/>
      <c r="L1404" s="16" t="n"/>
      <c r="M1404" s="17">
        <f>IF($C1404="","",IF($L1404="","",IF(NOT(ISNUMBER($L1404)),$L1404,IF(N($K1404)&gt;2,"",IF($K1404=1,IF(COUNTIFS(nrES_PID,$D1404,nrES_Code,$F1404,nrES_Att,2,nrES_Raw,"&gt;=0")&gt;0,"",$L1404),IF($L1404&gt;=$J1404,MAX($J1404,cfgRetakeRecordedCap),IF(COUNTIFS(nrES_PID,$D1404,nrES_Code,$F1404,nrES_Att,1)=0,$L1404,SUMIFS(nrES_Raw,nrES_PID,$D1404,nrES_Code,$F1404,nrES_Att,1))))))))</f>
        <v/>
      </c>
      <c r="N1404" s="17">
        <f>IF($C1404="","",IF($L1404="","",IF(NOT(ISNUMBER($L1404)),"(not a score)",IF($L1404&gt;=$J1404,"Yes","No"))))</f>
        <v/>
      </c>
      <c r="O1404" s="17">
        <f>IF($C1404="","",IF($M1404="","",IF(NOT(ISNUMBER($M1404)),"(not a score)",IF($M1404&gt;=$J1404,"Yes","No"))))</f>
        <v/>
      </c>
      <c r="P1404" s="17">
        <f>IF($C1404="","",IF($K1404="","",IF(N($K1404)&gt;2,"No",IF(COUNTIFS(nrES_PID,$D1404,nrES_Code,$F1404,nrES_Att,"&gt;"&amp;$K1404,nrES_Att,"&lt;=2",nrES_Raw,"&gt;=0")=0,"Yes","No"))))</f>
        <v/>
      </c>
      <c r="Q1404" s="17">
        <f>IF($C1404="","",IF($L1404="","",IF(AND($K1404=1,ISNUMBER($L1404),$L1404&lt;$J1404,COUNTIFS(nrES_PID,$D1404,nrES_Code,$F1404,nrES_Att,2,nrES_Raw,"&gt;=0")=0),"Yes","No")))</f>
        <v/>
      </c>
      <c r="R1404" s="17">
        <f>IF($C1404="","",IF($L1404="","",IF(AND(N($K1404)&gt;=2,ISNUMBER($L1404),$L1404&lt;$J1404),"Yes","No")))</f>
        <v/>
      </c>
      <c r="S1404" s="18" t="n"/>
      <c r="T1404" s="19">
        <f>IF(OR($C1404="",$L1404="",$K1404&lt;&gt;1,NOT(ISNUMBER($L1404)),$L1404&gt;=$J1404),"",IF($S1404="","(enter date)",_xlfn.LET(_xlpm.dn,_xlfn.XLOOKUP($S1404,nrCDdate,nrCDnum,"",1),IF(_xlpm.dn="","(after last class day)",_xlfn.LET(_xlpm.dd,_xlfn.XLOOKUP(_xlpm.dn+cfgRetestClassDays,nrCDnum,nrCDdate,""),_xlpm.ok,_xlfn.XLOOKUP(_xlpm.dn+cfgRetestClassDays,nrCDnum,nrCDinsession,"No"),IF(OR(_xlpm.dd="",_xlpm.ok&lt;&gt;"Yes"),"(after last class day)",_xlpm.dd))))))</f>
        <v/>
      </c>
      <c r="U1404" s="17">
        <f>IF($C1404="","",IF(AND($Y1404="Excused",$L1404="",N($K1404)&lt;=1),"EXCUSED - 1st attempt pending",IF(OR($L1404="",$K1404&lt;&gt;1,NOT(ISNUMBER($L1404)),$L1404&gt;=$J1404),"",IF(COUNTIFS(nrES_PID,$D1404,nrES_Code,$F1404,nrES_Att,2,nrES_Raw,"&gt;=0")&gt;0,IF(IFERROR(_xlfn.MINIFS(nrES_Date,nrES_PID,$D1404,nrES_Code,$F1404,nrES_Att,2,nrES_Raw,"&gt;=0",nrES_Date,"&gt;0"),0)=0,"RETEST UNDATED",IF(NOT(ISNUMBER($T1404)),"RETEST DATE UNCHECKED",IF(_xlfn.MINIFS(nrES_Date,nrES_PID,$D1404,nrES_Code,$F1404,nrES_Att,2,nrES_Raw,"&gt;=0",nrES_Date,"&gt;0")&gt;$T1404,"LATE RETEST "&amp;TEXT(_xlfn.MINIFS(nrES_Date,nrES_PID,$D1404,nrES_Code,$F1404,nrES_Att,2,nrES_Raw,"&gt;=0",nrES_Date,"&gt;0"),"mm/dd")&amp;" (due "&amp;TEXT($T1404,"mm/dd")&amp;")","Retested"))),IF(NOT(ISNUMBER($T1404)),"CHECK DATE",IF(TODAY()&gt;$T1404,"OVERDUE","Due "&amp;TEXT($T1404,"mm/dd")))))))</f>
        <v/>
      </c>
      <c r="V1404" s="16" t="n"/>
      <c r="W1404" s="16" t="n"/>
      <c r="X1404" s="17">
        <f>IF($C1404="","",IF(AND($L1404&lt;&gt;"",NOT(ISNUMBER($L1404))),"RAW SCORE NOT A NUMBER",IF(AND(ISNUMBER($L1404),OR($L1404&lt;0,$L1404&gt;100)),"RAW SCORE OUT OF RANGE",IF(AND($Y1404="Unexcused",OR($L1404="",NOT(ISNUMBER($L1404)),$L1404&lt;&gt;0)),"UNEXCUSED ABSENCE MUST RECORD 0",IF(COUNTIF(nrES_RecID,$B1404)&gt;1,"DUPLICATE RECORD",IF(N($K1404)&gt;2,"ATTEMPT 3+ NOT ALLOWED - policy 300.5 permits one retest per exam; this row records nothing",IF(AND($K1404=2,COUNTIFS(nrES_PID,$D1404,nrES_Code,$F1404,nrES_Att,1)=0),"ATTEMPT 2 WITHOUT ATTEMPT 1",IF(AND($K1404=2,$L1404=""),"RETEST ROW HAS NO SCORE",IF(AND($H1404="Final",$L1404&lt;&gt;"",IFERROR(INDEX(nrCKfinalExamElig,MATCH($D1404,rngCadetPIDs,0)),"")="No"),"FINAL EXAM AFTER FAILED FINAL PT (500.1.H)",IF(AND($K1404=2,ISNUMBER($L1404),COUNTIFS(nrES_PID,$D1404,nrES_Code,$F1404,nrES_Att,1)&gt;0,SUMIFS(nrES_Raw,nrES_PID,$D1404,nrES_Code,$F1404,nrES_Att,1)&gt;=$J1404),"RETEST AFTER A PASSING FIRST ATTEMPT","OK"))))))))))</f>
        <v/>
      </c>
      <c r="Y1404" s="16" t="n"/>
    </row>
    <row r="1405">
      <c r="B1405" s="17">
        <f>IF($C1405="","",$D1405&amp;"-"&amp;$F1405&amp;"-"&amp;$K1405)</f>
        <v/>
      </c>
      <c r="C1405" s="16" t="n"/>
      <c r="D1405" s="17">
        <f>IF($C1405="","",IFERROR(INDEX(rngCadetPIDs,MATCH($C1405,rngCadetNames,0)),"?"))</f>
        <v/>
      </c>
      <c r="E1405" s="17">
        <f>IF($D1405="","",IFERROR(INDEX(nrCadetAgency,MATCH($D1405,rngCadetPIDs,0)),""))</f>
        <v/>
      </c>
      <c r="F1405" s="16" t="n"/>
      <c r="G1405" s="17">
        <f>IF($F1405="","",IFERROR(INDEX(rngEPname,MATCH($F1405,rngEPcode,0)),"?"))</f>
        <v/>
      </c>
      <c r="H1405" s="17">
        <f>IF($F1405="","",IFERROR(INDEX(rngEPtype,MATCH($F1405,rngEPcode,0)),"?"))</f>
        <v/>
      </c>
      <c r="I1405" s="17">
        <f>IF($F1405="","",IFERROR(INDEX(rngEPseq,MATCH($F1405,rngEPcode,0)),""))</f>
        <v/>
      </c>
      <c r="J1405" s="17">
        <f>IF($F1405="","",IFERROR(INDEX(rngEPpass,MATCH($F1405,rngEPcode,0)),cfgPassingScore))</f>
        <v/>
      </c>
      <c r="K1405" s="16" t="n"/>
      <c r="L1405" s="16" t="n"/>
      <c r="M1405" s="17">
        <f>IF($C1405="","",IF($L1405="","",IF(NOT(ISNUMBER($L1405)),$L1405,IF(N($K1405)&gt;2,"",IF($K1405=1,IF(COUNTIFS(nrES_PID,$D1405,nrES_Code,$F1405,nrES_Att,2,nrES_Raw,"&gt;=0")&gt;0,"",$L1405),IF($L1405&gt;=$J1405,MAX($J1405,cfgRetakeRecordedCap),IF(COUNTIFS(nrES_PID,$D1405,nrES_Code,$F1405,nrES_Att,1)=0,$L1405,SUMIFS(nrES_Raw,nrES_PID,$D1405,nrES_Code,$F1405,nrES_Att,1))))))))</f>
        <v/>
      </c>
      <c r="N1405" s="17">
        <f>IF($C1405="","",IF($L1405="","",IF(NOT(ISNUMBER($L1405)),"(not a score)",IF($L1405&gt;=$J1405,"Yes","No"))))</f>
        <v/>
      </c>
      <c r="O1405" s="17">
        <f>IF($C1405="","",IF($M1405="","",IF(NOT(ISNUMBER($M1405)),"(not a score)",IF($M1405&gt;=$J1405,"Yes","No"))))</f>
        <v/>
      </c>
      <c r="P1405" s="17">
        <f>IF($C1405="","",IF($K1405="","",IF(N($K1405)&gt;2,"No",IF(COUNTIFS(nrES_PID,$D1405,nrES_Code,$F1405,nrES_Att,"&gt;"&amp;$K1405,nrES_Att,"&lt;=2",nrES_Raw,"&gt;=0")=0,"Yes","No"))))</f>
        <v/>
      </c>
      <c r="Q1405" s="17">
        <f>IF($C1405="","",IF($L1405="","",IF(AND($K1405=1,ISNUMBER($L1405),$L1405&lt;$J1405,COUNTIFS(nrES_PID,$D1405,nrES_Code,$F1405,nrES_Att,2,nrES_Raw,"&gt;=0")=0),"Yes","No")))</f>
        <v/>
      </c>
      <c r="R1405" s="17">
        <f>IF($C1405="","",IF($L1405="","",IF(AND(N($K1405)&gt;=2,ISNUMBER($L1405),$L1405&lt;$J1405),"Yes","No")))</f>
        <v/>
      </c>
      <c r="S1405" s="18" t="n"/>
      <c r="T1405" s="19">
        <f>IF(OR($C1405="",$L1405="",$K1405&lt;&gt;1,NOT(ISNUMBER($L1405)),$L1405&gt;=$J1405),"",IF($S1405="","(enter date)",_xlfn.LET(_xlpm.dn,_xlfn.XLOOKUP($S1405,nrCDdate,nrCDnum,"",1),IF(_xlpm.dn="","(after last class day)",_xlfn.LET(_xlpm.dd,_xlfn.XLOOKUP(_xlpm.dn+cfgRetestClassDays,nrCDnum,nrCDdate,""),_xlpm.ok,_xlfn.XLOOKUP(_xlpm.dn+cfgRetestClassDays,nrCDnum,nrCDinsession,"No"),IF(OR(_xlpm.dd="",_xlpm.ok&lt;&gt;"Yes"),"(after last class day)",_xlpm.dd))))))</f>
        <v/>
      </c>
      <c r="U1405" s="17">
        <f>IF($C1405="","",IF(AND($Y1405="Excused",$L1405="",N($K1405)&lt;=1),"EXCUSED - 1st attempt pending",IF(OR($L1405="",$K1405&lt;&gt;1,NOT(ISNUMBER($L1405)),$L1405&gt;=$J1405),"",IF(COUNTIFS(nrES_PID,$D1405,nrES_Code,$F1405,nrES_Att,2,nrES_Raw,"&gt;=0")&gt;0,IF(IFERROR(_xlfn.MINIFS(nrES_Date,nrES_PID,$D1405,nrES_Code,$F1405,nrES_Att,2,nrES_Raw,"&gt;=0",nrES_Date,"&gt;0"),0)=0,"RETEST UNDATED",IF(NOT(ISNUMBER($T1405)),"RETEST DATE UNCHECKED",IF(_xlfn.MINIFS(nrES_Date,nrES_PID,$D1405,nrES_Code,$F1405,nrES_Att,2,nrES_Raw,"&gt;=0",nrES_Date,"&gt;0")&gt;$T1405,"LATE RETEST "&amp;TEXT(_xlfn.MINIFS(nrES_Date,nrES_PID,$D1405,nrES_Code,$F1405,nrES_Att,2,nrES_Raw,"&gt;=0",nrES_Date,"&gt;0"),"mm/dd")&amp;" (due "&amp;TEXT($T1405,"mm/dd")&amp;")","Retested"))),IF(NOT(ISNUMBER($T1405)),"CHECK DATE",IF(TODAY()&gt;$T1405,"OVERDUE","Due "&amp;TEXT($T1405,"mm/dd")))))))</f>
        <v/>
      </c>
      <c r="V1405" s="16" t="n"/>
      <c r="W1405" s="16" t="n"/>
      <c r="X1405" s="17">
        <f>IF($C1405="","",IF(AND($L1405&lt;&gt;"",NOT(ISNUMBER($L1405))),"RAW SCORE NOT A NUMBER",IF(AND(ISNUMBER($L1405),OR($L1405&lt;0,$L1405&gt;100)),"RAW SCORE OUT OF RANGE",IF(AND($Y1405="Unexcused",OR($L1405="",NOT(ISNUMBER($L1405)),$L1405&lt;&gt;0)),"UNEXCUSED ABSENCE MUST RECORD 0",IF(COUNTIF(nrES_RecID,$B1405)&gt;1,"DUPLICATE RECORD",IF(N($K1405)&gt;2,"ATTEMPT 3+ NOT ALLOWED - policy 300.5 permits one retest per exam; this row records nothing",IF(AND($K1405=2,COUNTIFS(nrES_PID,$D1405,nrES_Code,$F1405,nrES_Att,1)=0),"ATTEMPT 2 WITHOUT ATTEMPT 1",IF(AND($K1405=2,$L1405=""),"RETEST ROW HAS NO SCORE",IF(AND($H1405="Final",$L1405&lt;&gt;"",IFERROR(INDEX(nrCKfinalExamElig,MATCH($D1405,rngCadetPIDs,0)),"")="No"),"FINAL EXAM AFTER FAILED FINAL PT (500.1.H)",IF(AND($K1405=2,ISNUMBER($L1405),COUNTIFS(nrES_PID,$D1405,nrES_Code,$F1405,nrES_Att,1)&gt;0,SUMIFS(nrES_Raw,nrES_PID,$D1405,nrES_Code,$F1405,nrES_Att,1)&gt;=$J1405),"RETEST AFTER A PASSING FIRST ATTEMPT","OK"))))))))))</f>
        <v/>
      </c>
      <c r="Y1405" s="16" t="n"/>
    </row>
    <row r="1406">
      <c r="B1406" s="17">
        <f>IF($C1406="","",$D1406&amp;"-"&amp;$F1406&amp;"-"&amp;$K1406)</f>
        <v/>
      </c>
      <c r="C1406" s="16" t="n"/>
      <c r="D1406" s="17">
        <f>IF($C1406="","",IFERROR(INDEX(rngCadetPIDs,MATCH($C1406,rngCadetNames,0)),"?"))</f>
        <v/>
      </c>
      <c r="E1406" s="17">
        <f>IF($D1406="","",IFERROR(INDEX(nrCadetAgency,MATCH($D1406,rngCadetPIDs,0)),""))</f>
        <v/>
      </c>
      <c r="F1406" s="16" t="n"/>
      <c r="G1406" s="17">
        <f>IF($F1406="","",IFERROR(INDEX(rngEPname,MATCH($F1406,rngEPcode,0)),"?"))</f>
        <v/>
      </c>
      <c r="H1406" s="17">
        <f>IF($F1406="","",IFERROR(INDEX(rngEPtype,MATCH($F1406,rngEPcode,0)),"?"))</f>
        <v/>
      </c>
      <c r="I1406" s="17">
        <f>IF($F1406="","",IFERROR(INDEX(rngEPseq,MATCH($F1406,rngEPcode,0)),""))</f>
        <v/>
      </c>
      <c r="J1406" s="17">
        <f>IF($F1406="","",IFERROR(INDEX(rngEPpass,MATCH($F1406,rngEPcode,0)),cfgPassingScore))</f>
        <v/>
      </c>
      <c r="K1406" s="16" t="n"/>
      <c r="L1406" s="16" t="n"/>
      <c r="M1406" s="17">
        <f>IF($C1406="","",IF($L1406="","",IF(NOT(ISNUMBER($L1406)),$L1406,IF(N($K1406)&gt;2,"",IF($K1406=1,IF(COUNTIFS(nrES_PID,$D1406,nrES_Code,$F1406,nrES_Att,2,nrES_Raw,"&gt;=0")&gt;0,"",$L1406),IF($L1406&gt;=$J1406,MAX($J1406,cfgRetakeRecordedCap),IF(COUNTIFS(nrES_PID,$D1406,nrES_Code,$F1406,nrES_Att,1)=0,$L1406,SUMIFS(nrES_Raw,nrES_PID,$D1406,nrES_Code,$F1406,nrES_Att,1))))))))</f>
        <v/>
      </c>
      <c r="N1406" s="17">
        <f>IF($C1406="","",IF($L1406="","",IF(NOT(ISNUMBER($L1406)),"(not a score)",IF($L1406&gt;=$J1406,"Yes","No"))))</f>
        <v/>
      </c>
      <c r="O1406" s="17">
        <f>IF($C1406="","",IF($M1406="","",IF(NOT(ISNUMBER($M1406)),"(not a score)",IF($M1406&gt;=$J1406,"Yes","No"))))</f>
        <v/>
      </c>
      <c r="P1406" s="17">
        <f>IF($C1406="","",IF($K1406="","",IF(N($K1406)&gt;2,"No",IF(COUNTIFS(nrES_PID,$D1406,nrES_Code,$F1406,nrES_Att,"&gt;"&amp;$K1406,nrES_Att,"&lt;=2",nrES_Raw,"&gt;=0")=0,"Yes","No"))))</f>
        <v/>
      </c>
      <c r="Q1406" s="17">
        <f>IF($C1406="","",IF($L1406="","",IF(AND($K1406=1,ISNUMBER($L1406),$L1406&lt;$J1406,COUNTIFS(nrES_PID,$D1406,nrES_Code,$F1406,nrES_Att,2,nrES_Raw,"&gt;=0")=0),"Yes","No")))</f>
        <v/>
      </c>
      <c r="R1406" s="17">
        <f>IF($C1406="","",IF($L1406="","",IF(AND(N($K1406)&gt;=2,ISNUMBER($L1406),$L1406&lt;$J1406),"Yes","No")))</f>
        <v/>
      </c>
      <c r="S1406" s="18" t="n"/>
      <c r="T1406" s="19">
        <f>IF(OR($C1406="",$L1406="",$K1406&lt;&gt;1,NOT(ISNUMBER($L1406)),$L1406&gt;=$J1406),"",IF($S1406="","(enter date)",_xlfn.LET(_xlpm.dn,_xlfn.XLOOKUP($S1406,nrCDdate,nrCDnum,"",1),IF(_xlpm.dn="","(after last class day)",_xlfn.LET(_xlpm.dd,_xlfn.XLOOKUP(_xlpm.dn+cfgRetestClassDays,nrCDnum,nrCDdate,""),_xlpm.ok,_xlfn.XLOOKUP(_xlpm.dn+cfgRetestClassDays,nrCDnum,nrCDinsession,"No"),IF(OR(_xlpm.dd="",_xlpm.ok&lt;&gt;"Yes"),"(after last class day)",_xlpm.dd))))))</f>
        <v/>
      </c>
      <c r="U1406" s="17">
        <f>IF($C1406="","",IF(AND($Y1406="Excused",$L1406="",N($K1406)&lt;=1),"EXCUSED - 1st attempt pending",IF(OR($L1406="",$K1406&lt;&gt;1,NOT(ISNUMBER($L1406)),$L1406&gt;=$J1406),"",IF(COUNTIFS(nrES_PID,$D1406,nrES_Code,$F1406,nrES_Att,2,nrES_Raw,"&gt;=0")&gt;0,IF(IFERROR(_xlfn.MINIFS(nrES_Date,nrES_PID,$D1406,nrES_Code,$F1406,nrES_Att,2,nrES_Raw,"&gt;=0",nrES_Date,"&gt;0"),0)=0,"RETEST UNDATED",IF(NOT(ISNUMBER($T1406)),"RETEST DATE UNCHECKED",IF(_xlfn.MINIFS(nrES_Date,nrES_PID,$D1406,nrES_Code,$F1406,nrES_Att,2,nrES_Raw,"&gt;=0",nrES_Date,"&gt;0")&gt;$T1406,"LATE RETEST "&amp;TEXT(_xlfn.MINIFS(nrES_Date,nrES_PID,$D1406,nrES_Code,$F1406,nrES_Att,2,nrES_Raw,"&gt;=0",nrES_Date,"&gt;0"),"mm/dd")&amp;" (due "&amp;TEXT($T1406,"mm/dd")&amp;")","Retested"))),IF(NOT(ISNUMBER($T1406)),"CHECK DATE",IF(TODAY()&gt;$T1406,"OVERDUE","Due "&amp;TEXT($T1406,"mm/dd")))))))</f>
        <v/>
      </c>
      <c r="V1406" s="16" t="n"/>
      <c r="W1406" s="16" t="n"/>
      <c r="X1406" s="17">
        <f>IF($C1406="","",IF(AND($L1406&lt;&gt;"",NOT(ISNUMBER($L1406))),"RAW SCORE NOT A NUMBER",IF(AND(ISNUMBER($L1406),OR($L1406&lt;0,$L1406&gt;100)),"RAW SCORE OUT OF RANGE",IF(AND($Y1406="Unexcused",OR($L1406="",NOT(ISNUMBER($L1406)),$L1406&lt;&gt;0)),"UNEXCUSED ABSENCE MUST RECORD 0",IF(COUNTIF(nrES_RecID,$B1406)&gt;1,"DUPLICATE RECORD",IF(N($K1406)&gt;2,"ATTEMPT 3+ NOT ALLOWED - policy 300.5 permits one retest per exam; this row records nothing",IF(AND($K1406=2,COUNTIFS(nrES_PID,$D1406,nrES_Code,$F1406,nrES_Att,1)=0),"ATTEMPT 2 WITHOUT ATTEMPT 1",IF(AND($K1406=2,$L1406=""),"RETEST ROW HAS NO SCORE",IF(AND($H1406="Final",$L1406&lt;&gt;"",IFERROR(INDEX(nrCKfinalExamElig,MATCH($D1406,rngCadetPIDs,0)),"")="No"),"FINAL EXAM AFTER FAILED FINAL PT (500.1.H)",IF(AND($K1406=2,ISNUMBER($L1406),COUNTIFS(nrES_PID,$D1406,nrES_Code,$F1406,nrES_Att,1)&gt;0,SUMIFS(nrES_Raw,nrES_PID,$D1406,nrES_Code,$F1406,nrES_Att,1)&gt;=$J1406),"RETEST AFTER A PASSING FIRST ATTEMPT","OK"))))))))))</f>
        <v/>
      </c>
      <c r="Y1406" s="16" t="n"/>
    </row>
    <row r="1407">
      <c r="B1407" s="17">
        <f>IF($C1407="","",$D1407&amp;"-"&amp;$F1407&amp;"-"&amp;$K1407)</f>
        <v/>
      </c>
      <c r="C1407" s="16" t="n"/>
      <c r="D1407" s="17">
        <f>IF($C1407="","",IFERROR(INDEX(rngCadetPIDs,MATCH($C1407,rngCadetNames,0)),"?"))</f>
        <v/>
      </c>
      <c r="E1407" s="17">
        <f>IF($D1407="","",IFERROR(INDEX(nrCadetAgency,MATCH($D1407,rngCadetPIDs,0)),""))</f>
        <v/>
      </c>
      <c r="F1407" s="16" t="n"/>
      <c r="G1407" s="17">
        <f>IF($F1407="","",IFERROR(INDEX(rngEPname,MATCH($F1407,rngEPcode,0)),"?"))</f>
        <v/>
      </c>
      <c r="H1407" s="17">
        <f>IF($F1407="","",IFERROR(INDEX(rngEPtype,MATCH($F1407,rngEPcode,0)),"?"))</f>
        <v/>
      </c>
      <c r="I1407" s="17">
        <f>IF($F1407="","",IFERROR(INDEX(rngEPseq,MATCH($F1407,rngEPcode,0)),""))</f>
        <v/>
      </c>
      <c r="J1407" s="17">
        <f>IF($F1407="","",IFERROR(INDEX(rngEPpass,MATCH($F1407,rngEPcode,0)),cfgPassingScore))</f>
        <v/>
      </c>
      <c r="K1407" s="16" t="n"/>
      <c r="L1407" s="16" t="n"/>
      <c r="M1407" s="17">
        <f>IF($C1407="","",IF($L1407="","",IF(NOT(ISNUMBER($L1407)),$L1407,IF(N($K1407)&gt;2,"",IF($K1407=1,IF(COUNTIFS(nrES_PID,$D1407,nrES_Code,$F1407,nrES_Att,2,nrES_Raw,"&gt;=0")&gt;0,"",$L1407),IF($L1407&gt;=$J1407,MAX($J1407,cfgRetakeRecordedCap),IF(COUNTIFS(nrES_PID,$D1407,nrES_Code,$F1407,nrES_Att,1)=0,$L1407,SUMIFS(nrES_Raw,nrES_PID,$D1407,nrES_Code,$F1407,nrES_Att,1))))))))</f>
        <v/>
      </c>
      <c r="N1407" s="17">
        <f>IF($C1407="","",IF($L1407="","",IF(NOT(ISNUMBER($L1407)),"(not a score)",IF($L1407&gt;=$J1407,"Yes","No"))))</f>
        <v/>
      </c>
      <c r="O1407" s="17">
        <f>IF($C1407="","",IF($M1407="","",IF(NOT(ISNUMBER($M1407)),"(not a score)",IF($M1407&gt;=$J1407,"Yes","No"))))</f>
        <v/>
      </c>
      <c r="P1407" s="17">
        <f>IF($C1407="","",IF($K1407="","",IF(N($K1407)&gt;2,"No",IF(COUNTIFS(nrES_PID,$D1407,nrES_Code,$F1407,nrES_Att,"&gt;"&amp;$K1407,nrES_Att,"&lt;=2",nrES_Raw,"&gt;=0")=0,"Yes","No"))))</f>
        <v/>
      </c>
      <c r="Q1407" s="17">
        <f>IF($C1407="","",IF($L1407="","",IF(AND($K1407=1,ISNUMBER($L1407),$L1407&lt;$J1407,COUNTIFS(nrES_PID,$D1407,nrES_Code,$F1407,nrES_Att,2,nrES_Raw,"&gt;=0")=0),"Yes","No")))</f>
        <v/>
      </c>
      <c r="R1407" s="17">
        <f>IF($C1407="","",IF($L1407="","",IF(AND(N($K1407)&gt;=2,ISNUMBER($L1407),$L1407&lt;$J1407),"Yes","No")))</f>
        <v/>
      </c>
      <c r="S1407" s="18" t="n"/>
      <c r="T1407" s="19">
        <f>IF(OR($C1407="",$L1407="",$K1407&lt;&gt;1,NOT(ISNUMBER($L1407)),$L1407&gt;=$J1407),"",IF($S1407="","(enter date)",_xlfn.LET(_xlpm.dn,_xlfn.XLOOKUP($S1407,nrCDdate,nrCDnum,"",1),IF(_xlpm.dn="","(after last class day)",_xlfn.LET(_xlpm.dd,_xlfn.XLOOKUP(_xlpm.dn+cfgRetestClassDays,nrCDnum,nrCDdate,""),_xlpm.ok,_xlfn.XLOOKUP(_xlpm.dn+cfgRetestClassDays,nrCDnum,nrCDinsession,"No"),IF(OR(_xlpm.dd="",_xlpm.ok&lt;&gt;"Yes"),"(after last class day)",_xlpm.dd))))))</f>
        <v/>
      </c>
      <c r="U1407" s="17">
        <f>IF($C1407="","",IF(AND($Y1407="Excused",$L1407="",N($K1407)&lt;=1),"EXCUSED - 1st attempt pending",IF(OR($L1407="",$K1407&lt;&gt;1,NOT(ISNUMBER($L1407)),$L1407&gt;=$J1407),"",IF(COUNTIFS(nrES_PID,$D1407,nrES_Code,$F1407,nrES_Att,2,nrES_Raw,"&gt;=0")&gt;0,IF(IFERROR(_xlfn.MINIFS(nrES_Date,nrES_PID,$D1407,nrES_Code,$F1407,nrES_Att,2,nrES_Raw,"&gt;=0",nrES_Date,"&gt;0"),0)=0,"RETEST UNDATED",IF(NOT(ISNUMBER($T1407)),"RETEST DATE UNCHECKED",IF(_xlfn.MINIFS(nrES_Date,nrES_PID,$D1407,nrES_Code,$F1407,nrES_Att,2,nrES_Raw,"&gt;=0",nrES_Date,"&gt;0")&gt;$T1407,"LATE RETEST "&amp;TEXT(_xlfn.MINIFS(nrES_Date,nrES_PID,$D1407,nrES_Code,$F1407,nrES_Att,2,nrES_Raw,"&gt;=0",nrES_Date,"&gt;0"),"mm/dd")&amp;" (due "&amp;TEXT($T1407,"mm/dd")&amp;")","Retested"))),IF(NOT(ISNUMBER($T1407)),"CHECK DATE",IF(TODAY()&gt;$T1407,"OVERDUE","Due "&amp;TEXT($T1407,"mm/dd")))))))</f>
        <v/>
      </c>
      <c r="V1407" s="16" t="n"/>
      <c r="W1407" s="16" t="n"/>
      <c r="X1407" s="17">
        <f>IF($C1407="","",IF(AND($L1407&lt;&gt;"",NOT(ISNUMBER($L1407))),"RAW SCORE NOT A NUMBER",IF(AND(ISNUMBER($L1407),OR($L1407&lt;0,$L1407&gt;100)),"RAW SCORE OUT OF RANGE",IF(AND($Y1407="Unexcused",OR($L1407="",NOT(ISNUMBER($L1407)),$L1407&lt;&gt;0)),"UNEXCUSED ABSENCE MUST RECORD 0",IF(COUNTIF(nrES_RecID,$B1407)&gt;1,"DUPLICATE RECORD",IF(N($K1407)&gt;2,"ATTEMPT 3+ NOT ALLOWED - policy 300.5 permits one retest per exam; this row records nothing",IF(AND($K1407=2,COUNTIFS(nrES_PID,$D1407,nrES_Code,$F1407,nrES_Att,1)=0),"ATTEMPT 2 WITHOUT ATTEMPT 1",IF(AND($K1407=2,$L1407=""),"RETEST ROW HAS NO SCORE",IF(AND($H1407="Final",$L1407&lt;&gt;"",IFERROR(INDEX(nrCKfinalExamElig,MATCH($D1407,rngCadetPIDs,0)),"")="No"),"FINAL EXAM AFTER FAILED FINAL PT (500.1.H)",IF(AND($K1407=2,ISNUMBER($L1407),COUNTIFS(nrES_PID,$D1407,nrES_Code,$F1407,nrES_Att,1)&gt;0,SUMIFS(nrES_Raw,nrES_PID,$D1407,nrES_Code,$F1407,nrES_Att,1)&gt;=$J1407),"RETEST AFTER A PASSING FIRST ATTEMPT","OK"))))))))))</f>
        <v/>
      </c>
      <c r="Y1407" s="16" t="n"/>
    </row>
    <row r="1408">
      <c r="B1408" s="17">
        <f>IF($C1408="","",$D1408&amp;"-"&amp;$F1408&amp;"-"&amp;$K1408)</f>
        <v/>
      </c>
      <c r="C1408" s="16" t="n"/>
      <c r="D1408" s="17">
        <f>IF($C1408="","",IFERROR(INDEX(rngCadetPIDs,MATCH($C1408,rngCadetNames,0)),"?"))</f>
        <v/>
      </c>
      <c r="E1408" s="17">
        <f>IF($D1408="","",IFERROR(INDEX(nrCadetAgency,MATCH($D1408,rngCadetPIDs,0)),""))</f>
        <v/>
      </c>
      <c r="F1408" s="16" t="n"/>
      <c r="G1408" s="17">
        <f>IF($F1408="","",IFERROR(INDEX(rngEPname,MATCH($F1408,rngEPcode,0)),"?"))</f>
        <v/>
      </c>
      <c r="H1408" s="17">
        <f>IF($F1408="","",IFERROR(INDEX(rngEPtype,MATCH($F1408,rngEPcode,0)),"?"))</f>
        <v/>
      </c>
      <c r="I1408" s="17">
        <f>IF($F1408="","",IFERROR(INDEX(rngEPseq,MATCH($F1408,rngEPcode,0)),""))</f>
        <v/>
      </c>
      <c r="J1408" s="17">
        <f>IF($F1408="","",IFERROR(INDEX(rngEPpass,MATCH($F1408,rngEPcode,0)),cfgPassingScore))</f>
        <v/>
      </c>
      <c r="K1408" s="16" t="n"/>
      <c r="L1408" s="16" t="n"/>
      <c r="M1408" s="17">
        <f>IF($C1408="","",IF($L1408="","",IF(NOT(ISNUMBER($L1408)),$L1408,IF(N($K1408)&gt;2,"",IF($K1408=1,IF(COUNTIFS(nrES_PID,$D1408,nrES_Code,$F1408,nrES_Att,2,nrES_Raw,"&gt;=0")&gt;0,"",$L1408),IF($L1408&gt;=$J1408,MAX($J1408,cfgRetakeRecordedCap),IF(COUNTIFS(nrES_PID,$D1408,nrES_Code,$F1408,nrES_Att,1)=0,$L1408,SUMIFS(nrES_Raw,nrES_PID,$D1408,nrES_Code,$F1408,nrES_Att,1))))))))</f>
        <v/>
      </c>
      <c r="N1408" s="17">
        <f>IF($C1408="","",IF($L1408="","",IF(NOT(ISNUMBER($L1408)),"(not a score)",IF($L1408&gt;=$J1408,"Yes","No"))))</f>
        <v/>
      </c>
      <c r="O1408" s="17">
        <f>IF($C1408="","",IF($M1408="","",IF(NOT(ISNUMBER($M1408)),"(not a score)",IF($M1408&gt;=$J1408,"Yes","No"))))</f>
        <v/>
      </c>
      <c r="P1408" s="17">
        <f>IF($C1408="","",IF($K1408="","",IF(N($K1408)&gt;2,"No",IF(COUNTIFS(nrES_PID,$D1408,nrES_Code,$F1408,nrES_Att,"&gt;"&amp;$K1408,nrES_Att,"&lt;=2",nrES_Raw,"&gt;=0")=0,"Yes","No"))))</f>
        <v/>
      </c>
      <c r="Q1408" s="17">
        <f>IF($C1408="","",IF($L1408="","",IF(AND($K1408=1,ISNUMBER($L1408),$L1408&lt;$J1408,COUNTIFS(nrES_PID,$D1408,nrES_Code,$F1408,nrES_Att,2,nrES_Raw,"&gt;=0")=0),"Yes","No")))</f>
        <v/>
      </c>
      <c r="R1408" s="17">
        <f>IF($C1408="","",IF($L1408="","",IF(AND(N($K1408)&gt;=2,ISNUMBER($L1408),$L1408&lt;$J1408),"Yes","No")))</f>
        <v/>
      </c>
      <c r="S1408" s="18" t="n"/>
      <c r="T1408" s="19">
        <f>IF(OR($C1408="",$L1408="",$K1408&lt;&gt;1,NOT(ISNUMBER($L1408)),$L1408&gt;=$J1408),"",IF($S1408="","(enter date)",_xlfn.LET(_xlpm.dn,_xlfn.XLOOKUP($S1408,nrCDdate,nrCDnum,"",1),IF(_xlpm.dn="","(after last class day)",_xlfn.LET(_xlpm.dd,_xlfn.XLOOKUP(_xlpm.dn+cfgRetestClassDays,nrCDnum,nrCDdate,""),_xlpm.ok,_xlfn.XLOOKUP(_xlpm.dn+cfgRetestClassDays,nrCDnum,nrCDinsession,"No"),IF(OR(_xlpm.dd="",_xlpm.ok&lt;&gt;"Yes"),"(after last class day)",_xlpm.dd))))))</f>
        <v/>
      </c>
      <c r="U1408" s="17">
        <f>IF($C1408="","",IF(AND($Y1408="Excused",$L1408="",N($K1408)&lt;=1),"EXCUSED - 1st attempt pending",IF(OR($L1408="",$K1408&lt;&gt;1,NOT(ISNUMBER($L1408)),$L1408&gt;=$J1408),"",IF(COUNTIFS(nrES_PID,$D1408,nrES_Code,$F1408,nrES_Att,2,nrES_Raw,"&gt;=0")&gt;0,IF(IFERROR(_xlfn.MINIFS(nrES_Date,nrES_PID,$D1408,nrES_Code,$F1408,nrES_Att,2,nrES_Raw,"&gt;=0",nrES_Date,"&gt;0"),0)=0,"RETEST UNDATED",IF(NOT(ISNUMBER($T1408)),"RETEST DATE UNCHECKED",IF(_xlfn.MINIFS(nrES_Date,nrES_PID,$D1408,nrES_Code,$F1408,nrES_Att,2,nrES_Raw,"&gt;=0",nrES_Date,"&gt;0")&gt;$T1408,"LATE RETEST "&amp;TEXT(_xlfn.MINIFS(nrES_Date,nrES_PID,$D1408,nrES_Code,$F1408,nrES_Att,2,nrES_Raw,"&gt;=0",nrES_Date,"&gt;0"),"mm/dd")&amp;" (due "&amp;TEXT($T1408,"mm/dd")&amp;")","Retested"))),IF(NOT(ISNUMBER($T1408)),"CHECK DATE",IF(TODAY()&gt;$T1408,"OVERDUE","Due "&amp;TEXT($T1408,"mm/dd")))))))</f>
        <v/>
      </c>
      <c r="V1408" s="16" t="n"/>
      <c r="W1408" s="16" t="n"/>
      <c r="X1408" s="17">
        <f>IF($C1408="","",IF(AND($L1408&lt;&gt;"",NOT(ISNUMBER($L1408))),"RAW SCORE NOT A NUMBER",IF(AND(ISNUMBER($L1408),OR($L1408&lt;0,$L1408&gt;100)),"RAW SCORE OUT OF RANGE",IF(AND($Y1408="Unexcused",OR($L1408="",NOT(ISNUMBER($L1408)),$L1408&lt;&gt;0)),"UNEXCUSED ABSENCE MUST RECORD 0",IF(COUNTIF(nrES_RecID,$B1408)&gt;1,"DUPLICATE RECORD",IF(N($K1408)&gt;2,"ATTEMPT 3+ NOT ALLOWED - policy 300.5 permits one retest per exam; this row records nothing",IF(AND($K1408=2,COUNTIFS(nrES_PID,$D1408,nrES_Code,$F1408,nrES_Att,1)=0),"ATTEMPT 2 WITHOUT ATTEMPT 1",IF(AND($K1408=2,$L1408=""),"RETEST ROW HAS NO SCORE",IF(AND($H1408="Final",$L1408&lt;&gt;"",IFERROR(INDEX(nrCKfinalExamElig,MATCH($D1408,rngCadetPIDs,0)),"")="No"),"FINAL EXAM AFTER FAILED FINAL PT (500.1.H)",IF(AND($K1408=2,ISNUMBER($L1408),COUNTIFS(nrES_PID,$D1408,nrES_Code,$F1408,nrES_Att,1)&gt;0,SUMIFS(nrES_Raw,nrES_PID,$D1408,nrES_Code,$F1408,nrES_Att,1)&gt;=$J1408),"RETEST AFTER A PASSING FIRST ATTEMPT","OK"))))))))))</f>
        <v/>
      </c>
      <c r="Y1408" s="16" t="n"/>
    </row>
    <row r="1409">
      <c r="B1409" s="17">
        <f>IF($C1409="","",$D1409&amp;"-"&amp;$F1409&amp;"-"&amp;$K1409)</f>
        <v/>
      </c>
      <c r="C1409" s="16" t="n"/>
      <c r="D1409" s="17">
        <f>IF($C1409="","",IFERROR(INDEX(rngCadetPIDs,MATCH($C1409,rngCadetNames,0)),"?"))</f>
        <v/>
      </c>
      <c r="E1409" s="17">
        <f>IF($D1409="","",IFERROR(INDEX(nrCadetAgency,MATCH($D1409,rngCadetPIDs,0)),""))</f>
        <v/>
      </c>
      <c r="F1409" s="16" t="n"/>
      <c r="G1409" s="17">
        <f>IF($F1409="","",IFERROR(INDEX(rngEPname,MATCH($F1409,rngEPcode,0)),"?"))</f>
        <v/>
      </c>
      <c r="H1409" s="17">
        <f>IF($F1409="","",IFERROR(INDEX(rngEPtype,MATCH($F1409,rngEPcode,0)),"?"))</f>
        <v/>
      </c>
      <c r="I1409" s="17">
        <f>IF($F1409="","",IFERROR(INDEX(rngEPseq,MATCH($F1409,rngEPcode,0)),""))</f>
        <v/>
      </c>
      <c r="J1409" s="17">
        <f>IF($F1409="","",IFERROR(INDEX(rngEPpass,MATCH($F1409,rngEPcode,0)),cfgPassingScore))</f>
        <v/>
      </c>
      <c r="K1409" s="16" t="n"/>
      <c r="L1409" s="16" t="n"/>
      <c r="M1409" s="17">
        <f>IF($C1409="","",IF($L1409="","",IF(NOT(ISNUMBER($L1409)),$L1409,IF(N($K1409)&gt;2,"",IF($K1409=1,IF(COUNTIFS(nrES_PID,$D1409,nrES_Code,$F1409,nrES_Att,2,nrES_Raw,"&gt;=0")&gt;0,"",$L1409),IF($L1409&gt;=$J1409,MAX($J1409,cfgRetakeRecordedCap),IF(COUNTIFS(nrES_PID,$D1409,nrES_Code,$F1409,nrES_Att,1)=0,$L1409,SUMIFS(nrES_Raw,nrES_PID,$D1409,nrES_Code,$F1409,nrES_Att,1))))))))</f>
        <v/>
      </c>
      <c r="N1409" s="17">
        <f>IF($C1409="","",IF($L1409="","",IF(NOT(ISNUMBER($L1409)),"(not a score)",IF($L1409&gt;=$J1409,"Yes","No"))))</f>
        <v/>
      </c>
      <c r="O1409" s="17">
        <f>IF($C1409="","",IF($M1409="","",IF(NOT(ISNUMBER($M1409)),"(not a score)",IF($M1409&gt;=$J1409,"Yes","No"))))</f>
        <v/>
      </c>
      <c r="P1409" s="17">
        <f>IF($C1409="","",IF($K1409="","",IF(N($K1409)&gt;2,"No",IF(COUNTIFS(nrES_PID,$D1409,nrES_Code,$F1409,nrES_Att,"&gt;"&amp;$K1409,nrES_Att,"&lt;=2",nrES_Raw,"&gt;=0")=0,"Yes","No"))))</f>
        <v/>
      </c>
      <c r="Q1409" s="17">
        <f>IF($C1409="","",IF($L1409="","",IF(AND($K1409=1,ISNUMBER($L1409),$L1409&lt;$J1409,COUNTIFS(nrES_PID,$D1409,nrES_Code,$F1409,nrES_Att,2,nrES_Raw,"&gt;=0")=0),"Yes","No")))</f>
        <v/>
      </c>
      <c r="R1409" s="17">
        <f>IF($C1409="","",IF($L1409="","",IF(AND(N($K1409)&gt;=2,ISNUMBER($L1409),$L1409&lt;$J1409),"Yes","No")))</f>
        <v/>
      </c>
      <c r="S1409" s="18" t="n"/>
      <c r="T1409" s="19">
        <f>IF(OR($C1409="",$L1409="",$K1409&lt;&gt;1,NOT(ISNUMBER($L1409)),$L1409&gt;=$J1409),"",IF($S1409="","(enter date)",_xlfn.LET(_xlpm.dn,_xlfn.XLOOKUP($S1409,nrCDdate,nrCDnum,"",1),IF(_xlpm.dn="","(after last class day)",_xlfn.LET(_xlpm.dd,_xlfn.XLOOKUP(_xlpm.dn+cfgRetestClassDays,nrCDnum,nrCDdate,""),_xlpm.ok,_xlfn.XLOOKUP(_xlpm.dn+cfgRetestClassDays,nrCDnum,nrCDinsession,"No"),IF(OR(_xlpm.dd="",_xlpm.ok&lt;&gt;"Yes"),"(after last class day)",_xlpm.dd))))))</f>
        <v/>
      </c>
      <c r="U1409" s="17">
        <f>IF($C1409="","",IF(AND($Y1409="Excused",$L1409="",N($K1409)&lt;=1),"EXCUSED - 1st attempt pending",IF(OR($L1409="",$K1409&lt;&gt;1,NOT(ISNUMBER($L1409)),$L1409&gt;=$J1409),"",IF(COUNTIFS(nrES_PID,$D1409,nrES_Code,$F1409,nrES_Att,2,nrES_Raw,"&gt;=0")&gt;0,IF(IFERROR(_xlfn.MINIFS(nrES_Date,nrES_PID,$D1409,nrES_Code,$F1409,nrES_Att,2,nrES_Raw,"&gt;=0",nrES_Date,"&gt;0"),0)=0,"RETEST UNDATED",IF(NOT(ISNUMBER($T1409)),"RETEST DATE UNCHECKED",IF(_xlfn.MINIFS(nrES_Date,nrES_PID,$D1409,nrES_Code,$F1409,nrES_Att,2,nrES_Raw,"&gt;=0",nrES_Date,"&gt;0")&gt;$T1409,"LATE RETEST "&amp;TEXT(_xlfn.MINIFS(nrES_Date,nrES_PID,$D1409,nrES_Code,$F1409,nrES_Att,2,nrES_Raw,"&gt;=0",nrES_Date,"&gt;0"),"mm/dd")&amp;" (due "&amp;TEXT($T1409,"mm/dd")&amp;")","Retested"))),IF(NOT(ISNUMBER($T1409)),"CHECK DATE",IF(TODAY()&gt;$T1409,"OVERDUE","Due "&amp;TEXT($T1409,"mm/dd")))))))</f>
        <v/>
      </c>
      <c r="V1409" s="16" t="n"/>
      <c r="W1409" s="16" t="n"/>
      <c r="X1409" s="17">
        <f>IF($C1409="","",IF(AND($L1409&lt;&gt;"",NOT(ISNUMBER($L1409))),"RAW SCORE NOT A NUMBER",IF(AND(ISNUMBER($L1409),OR($L1409&lt;0,$L1409&gt;100)),"RAW SCORE OUT OF RANGE",IF(AND($Y1409="Unexcused",OR($L1409="",NOT(ISNUMBER($L1409)),$L1409&lt;&gt;0)),"UNEXCUSED ABSENCE MUST RECORD 0",IF(COUNTIF(nrES_RecID,$B1409)&gt;1,"DUPLICATE RECORD",IF(N($K1409)&gt;2,"ATTEMPT 3+ NOT ALLOWED - policy 300.5 permits one retest per exam; this row records nothing",IF(AND($K1409=2,COUNTIFS(nrES_PID,$D1409,nrES_Code,$F1409,nrES_Att,1)=0),"ATTEMPT 2 WITHOUT ATTEMPT 1",IF(AND($K1409=2,$L1409=""),"RETEST ROW HAS NO SCORE",IF(AND($H1409="Final",$L1409&lt;&gt;"",IFERROR(INDEX(nrCKfinalExamElig,MATCH($D1409,rngCadetPIDs,0)),"")="No"),"FINAL EXAM AFTER FAILED FINAL PT (500.1.H)",IF(AND($K1409=2,ISNUMBER($L1409),COUNTIFS(nrES_PID,$D1409,nrES_Code,$F1409,nrES_Att,1)&gt;0,SUMIFS(nrES_Raw,nrES_PID,$D1409,nrES_Code,$F1409,nrES_Att,1)&gt;=$J1409),"RETEST AFTER A PASSING FIRST ATTEMPT","OK"))))))))))</f>
        <v/>
      </c>
      <c r="Y1409" s="16" t="n"/>
    </row>
    <row r="1410">
      <c r="B1410" s="17">
        <f>IF($C1410="","",$D1410&amp;"-"&amp;$F1410&amp;"-"&amp;$K1410)</f>
        <v/>
      </c>
      <c r="C1410" s="16" t="n"/>
      <c r="D1410" s="17">
        <f>IF($C1410="","",IFERROR(INDEX(rngCadetPIDs,MATCH($C1410,rngCadetNames,0)),"?"))</f>
        <v/>
      </c>
      <c r="E1410" s="17">
        <f>IF($D1410="","",IFERROR(INDEX(nrCadetAgency,MATCH($D1410,rngCadetPIDs,0)),""))</f>
        <v/>
      </c>
      <c r="F1410" s="16" t="n"/>
      <c r="G1410" s="17">
        <f>IF($F1410="","",IFERROR(INDEX(rngEPname,MATCH($F1410,rngEPcode,0)),"?"))</f>
        <v/>
      </c>
      <c r="H1410" s="17">
        <f>IF($F1410="","",IFERROR(INDEX(rngEPtype,MATCH($F1410,rngEPcode,0)),"?"))</f>
        <v/>
      </c>
      <c r="I1410" s="17">
        <f>IF($F1410="","",IFERROR(INDEX(rngEPseq,MATCH($F1410,rngEPcode,0)),""))</f>
        <v/>
      </c>
      <c r="J1410" s="17">
        <f>IF($F1410="","",IFERROR(INDEX(rngEPpass,MATCH($F1410,rngEPcode,0)),cfgPassingScore))</f>
        <v/>
      </c>
      <c r="K1410" s="16" t="n"/>
      <c r="L1410" s="16" t="n"/>
      <c r="M1410" s="17">
        <f>IF($C1410="","",IF($L1410="","",IF(NOT(ISNUMBER($L1410)),$L1410,IF(N($K1410)&gt;2,"",IF($K1410=1,IF(COUNTIFS(nrES_PID,$D1410,nrES_Code,$F1410,nrES_Att,2,nrES_Raw,"&gt;=0")&gt;0,"",$L1410),IF($L1410&gt;=$J1410,MAX($J1410,cfgRetakeRecordedCap),IF(COUNTIFS(nrES_PID,$D1410,nrES_Code,$F1410,nrES_Att,1)=0,$L1410,SUMIFS(nrES_Raw,nrES_PID,$D1410,nrES_Code,$F1410,nrES_Att,1))))))))</f>
        <v/>
      </c>
      <c r="N1410" s="17">
        <f>IF($C1410="","",IF($L1410="","",IF(NOT(ISNUMBER($L1410)),"(not a score)",IF($L1410&gt;=$J1410,"Yes","No"))))</f>
        <v/>
      </c>
      <c r="O1410" s="17">
        <f>IF($C1410="","",IF($M1410="","",IF(NOT(ISNUMBER($M1410)),"(not a score)",IF($M1410&gt;=$J1410,"Yes","No"))))</f>
        <v/>
      </c>
      <c r="P1410" s="17">
        <f>IF($C1410="","",IF($K1410="","",IF(N($K1410)&gt;2,"No",IF(COUNTIFS(nrES_PID,$D1410,nrES_Code,$F1410,nrES_Att,"&gt;"&amp;$K1410,nrES_Att,"&lt;=2",nrES_Raw,"&gt;=0")=0,"Yes","No"))))</f>
        <v/>
      </c>
      <c r="Q1410" s="17">
        <f>IF($C1410="","",IF($L1410="","",IF(AND($K1410=1,ISNUMBER($L1410),$L1410&lt;$J1410,COUNTIFS(nrES_PID,$D1410,nrES_Code,$F1410,nrES_Att,2,nrES_Raw,"&gt;=0")=0),"Yes","No")))</f>
        <v/>
      </c>
      <c r="R1410" s="17">
        <f>IF($C1410="","",IF($L1410="","",IF(AND(N($K1410)&gt;=2,ISNUMBER($L1410),$L1410&lt;$J1410),"Yes","No")))</f>
        <v/>
      </c>
      <c r="S1410" s="18" t="n"/>
      <c r="T1410" s="19">
        <f>IF(OR($C1410="",$L1410="",$K1410&lt;&gt;1,NOT(ISNUMBER($L1410)),$L1410&gt;=$J1410),"",IF($S1410="","(enter date)",_xlfn.LET(_xlpm.dn,_xlfn.XLOOKUP($S1410,nrCDdate,nrCDnum,"",1),IF(_xlpm.dn="","(after last class day)",_xlfn.LET(_xlpm.dd,_xlfn.XLOOKUP(_xlpm.dn+cfgRetestClassDays,nrCDnum,nrCDdate,""),_xlpm.ok,_xlfn.XLOOKUP(_xlpm.dn+cfgRetestClassDays,nrCDnum,nrCDinsession,"No"),IF(OR(_xlpm.dd="",_xlpm.ok&lt;&gt;"Yes"),"(after last class day)",_xlpm.dd))))))</f>
        <v/>
      </c>
      <c r="U1410" s="17">
        <f>IF($C1410="","",IF(AND($Y1410="Excused",$L1410="",N($K1410)&lt;=1),"EXCUSED - 1st attempt pending",IF(OR($L1410="",$K1410&lt;&gt;1,NOT(ISNUMBER($L1410)),$L1410&gt;=$J1410),"",IF(COUNTIFS(nrES_PID,$D1410,nrES_Code,$F1410,nrES_Att,2,nrES_Raw,"&gt;=0")&gt;0,IF(IFERROR(_xlfn.MINIFS(nrES_Date,nrES_PID,$D1410,nrES_Code,$F1410,nrES_Att,2,nrES_Raw,"&gt;=0",nrES_Date,"&gt;0"),0)=0,"RETEST UNDATED",IF(NOT(ISNUMBER($T1410)),"RETEST DATE UNCHECKED",IF(_xlfn.MINIFS(nrES_Date,nrES_PID,$D1410,nrES_Code,$F1410,nrES_Att,2,nrES_Raw,"&gt;=0",nrES_Date,"&gt;0")&gt;$T1410,"LATE RETEST "&amp;TEXT(_xlfn.MINIFS(nrES_Date,nrES_PID,$D1410,nrES_Code,$F1410,nrES_Att,2,nrES_Raw,"&gt;=0",nrES_Date,"&gt;0"),"mm/dd")&amp;" (due "&amp;TEXT($T1410,"mm/dd")&amp;")","Retested"))),IF(NOT(ISNUMBER($T1410)),"CHECK DATE",IF(TODAY()&gt;$T1410,"OVERDUE","Due "&amp;TEXT($T1410,"mm/dd")))))))</f>
        <v/>
      </c>
      <c r="V1410" s="16" t="n"/>
      <c r="W1410" s="16" t="n"/>
      <c r="X1410" s="17">
        <f>IF($C1410="","",IF(AND($L1410&lt;&gt;"",NOT(ISNUMBER($L1410))),"RAW SCORE NOT A NUMBER",IF(AND(ISNUMBER($L1410),OR($L1410&lt;0,$L1410&gt;100)),"RAW SCORE OUT OF RANGE",IF(AND($Y1410="Unexcused",OR($L1410="",NOT(ISNUMBER($L1410)),$L1410&lt;&gt;0)),"UNEXCUSED ABSENCE MUST RECORD 0",IF(COUNTIF(nrES_RecID,$B1410)&gt;1,"DUPLICATE RECORD",IF(N($K1410)&gt;2,"ATTEMPT 3+ NOT ALLOWED - policy 300.5 permits one retest per exam; this row records nothing",IF(AND($K1410=2,COUNTIFS(nrES_PID,$D1410,nrES_Code,$F1410,nrES_Att,1)=0),"ATTEMPT 2 WITHOUT ATTEMPT 1",IF(AND($K1410=2,$L1410=""),"RETEST ROW HAS NO SCORE",IF(AND($H1410="Final",$L1410&lt;&gt;"",IFERROR(INDEX(nrCKfinalExamElig,MATCH($D1410,rngCadetPIDs,0)),"")="No"),"FINAL EXAM AFTER FAILED FINAL PT (500.1.H)",IF(AND($K1410=2,ISNUMBER($L1410),COUNTIFS(nrES_PID,$D1410,nrES_Code,$F1410,nrES_Att,1)&gt;0,SUMIFS(nrES_Raw,nrES_PID,$D1410,nrES_Code,$F1410,nrES_Att,1)&gt;=$J1410),"RETEST AFTER A PASSING FIRST ATTEMPT","OK"))))))))))</f>
        <v/>
      </c>
      <c r="Y1410" s="16" t="n"/>
    </row>
    <row r="1411">
      <c r="B1411" s="17">
        <f>IF($C1411="","",$D1411&amp;"-"&amp;$F1411&amp;"-"&amp;$K1411)</f>
        <v/>
      </c>
      <c r="C1411" s="16" t="n"/>
      <c r="D1411" s="17">
        <f>IF($C1411="","",IFERROR(INDEX(rngCadetPIDs,MATCH($C1411,rngCadetNames,0)),"?"))</f>
        <v/>
      </c>
      <c r="E1411" s="17">
        <f>IF($D1411="","",IFERROR(INDEX(nrCadetAgency,MATCH($D1411,rngCadetPIDs,0)),""))</f>
        <v/>
      </c>
      <c r="F1411" s="16" t="n"/>
      <c r="G1411" s="17">
        <f>IF($F1411="","",IFERROR(INDEX(rngEPname,MATCH($F1411,rngEPcode,0)),"?"))</f>
        <v/>
      </c>
      <c r="H1411" s="17">
        <f>IF($F1411="","",IFERROR(INDEX(rngEPtype,MATCH($F1411,rngEPcode,0)),"?"))</f>
        <v/>
      </c>
      <c r="I1411" s="17">
        <f>IF($F1411="","",IFERROR(INDEX(rngEPseq,MATCH($F1411,rngEPcode,0)),""))</f>
        <v/>
      </c>
      <c r="J1411" s="17">
        <f>IF($F1411="","",IFERROR(INDEX(rngEPpass,MATCH($F1411,rngEPcode,0)),cfgPassingScore))</f>
        <v/>
      </c>
      <c r="K1411" s="16" t="n"/>
      <c r="L1411" s="16" t="n"/>
      <c r="M1411" s="17">
        <f>IF($C1411="","",IF($L1411="","",IF(NOT(ISNUMBER($L1411)),$L1411,IF(N($K1411)&gt;2,"",IF($K1411=1,IF(COUNTIFS(nrES_PID,$D1411,nrES_Code,$F1411,nrES_Att,2,nrES_Raw,"&gt;=0")&gt;0,"",$L1411),IF($L1411&gt;=$J1411,MAX($J1411,cfgRetakeRecordedCap),IF(COUNTIFS(nrES_PID,$D1411,nrES_Code,$F1411,nrES_Att,1)=0,$L1411,SUMIFS(nrES_Raw,nrES_PID,$D1411,nrES_Code,$F1411,nrES_Att,1))))))))</f>
        <v/>
      </c>
      <c r="N1411" s="17">
        <f>IF($C1411="","",IF($L1411="","",IF(NOT(ISNUMBER($L1411)),"(not a score)",IF($L1411&gt;=$J1411,"Yes","No"))))</f>
        <v/>
      </c>
      <c r="O1411" s="17">
        <f>IF($C1411="","",IF($M1411="","",IF(NOT(ISNUMBER($M1411)),"(not a score)",IF($M1411&gt;=$J1411,"Yes","No"))))</f>
        <v/>
      </c>
      <c r="P1411" s="17">
        <f>IF($C1411="","",IF($K1411="","",IF(N($K1411)&gt;2,"No",IF(COUNTIFS(nrES_PID,$D1411,nrES_Code,$F1411,nrES_Att,"&gt;"&amp;$K1411,nrES_Att,"&lt;=2",nrES_Raw,"&gt;=0")=0,"Yes","No"))))</f>
        <v/>
      </c>
      <c r="Q1411" s="17">
        <f>IF($C1411="","",IF($L1411="","",IF(AND($K1411=1,ISNUMBER($L1411),$L1411&lt;$J1411,COUNTIFS(nrES_PID,$D1411,nrES_Code,$F1411,nrES_Att,2,nrES_Raw,"&gt;=0")=0),"Yes","No")))</f>
        <v/>
      </c>
      <c r="R1411" s="17">
        <f>IF($C1411="","",IF($L1411="","",IF(AND(N($K1411)&gt;=2,ISNUMBER($L1411),$L1411&lt;$J1411),"Yes","No")))</f>
        <v/>
      </c>
      <c r="S1411" s="18" t="n"/>
      <c r="T1411" s="19">
        <f>IF(OR($C1411="",$L1411="",$K1411&lt;&gt;1,NOT(ISNUMBER($L1411)),$L1411&gt;=$J1411),"",IF($S1411="","(enter date)",_xlfn.LET(_xlpm.dn,_xlfn.XLOOKUP($S1411,nrCDdate,nrCDnum,"",1),IF(_xlpm.dn="","(after last class day)",_xlfn.LET(_xlpm.dd,_xlfn.XLOOKUP(_xlpm.dn+cfgRetestClassDays,nrCDnum,nrCDdate,""),_xlpm.ok,_xlfn.XLOOKUP(_xlpm.dn+cfgRetestClassDays,nrCDnum,nrCDinsession,"No"),IF(OR(_xlpm.dd="",_xlpm.ok&lt;&gt;"Yes"),"(after last class day)",_xlpm.dd))))))</f>
        <v/>
      </c>
      <c r="U1411" s="17">
        <f>IF($C1411="","",IF(AND($Y1411="Excused",$L1411="",N($K1411)&lt;=1),"EXCUSED - 1st attempt pending",IF(OR($L1411="",$K1411&lt;&gt;1,NOT(ISNUMBER($L1411)),$L1411&gt;=$J1411),"",IF(COUNTIFS(nrES_PID,$D1411,nrES_Code,$F1411,nrES_Att,2,nrES_Raw,"&gt;=0")&gt;0,IF(IFERROR(_xlfn.MINIFS(nrES_Date,nrES_PID,$D1411,nrES_Code,$F1411,nrES_Att,2,nrES_Raw,"&gt;=0",nrES_Date,"&gt;0"),0)=0,"RETEST UNDATED",IF(NOT(ISNUMBER($T1411)),"RETEST DATE UNCHECKED",IF(_xlfn.MINIFS(nrES_Date,nrES_PID,$D1411,nrES_Code,$F1411,nrES_Att,2,nrES_Raw,"&gt;=0",nrES_Date,"&gt;0")&gt;$T1411,"LATE RETEST "&amp;TEXT(_xlfn.MINIFS(nrES_Date,nrES_PID,$D1411,nrES_Code,$F1411,nrES_Att,2,nrES_Raw,"&gt;=0",nrES_Date,"&gt;0"),"mm/dd")&amp;" (due "&amp;TEXT($T1411,"mm/dd")&amp;")","Retested"))),IF(NOT(ISNUMBER($T1411)),"CHECK DATE",IF(TODAY()&gt;$T1411,"OVERDUE","Due "&amp;TEXT($T1411,"mm/dd")))))))</f>
        <v/>
      </c>
      <c r="V1411" s="16" t="n"/>
      <c r="W1411" s="16" t="n"/>
      <c r="X1411" s="17">
        <f>IF($C1411="","",IF(AND($L1411&lt;&gt;"",NOT(ISNUMBER($L1411))),"RAW SCORE NOT A NUMBER",IF(AND(ISNUMBER($L1411),OR($L1411&lt;0,$L1411&gt;100)),"RAW SCORE OUT OF RANGE",IF(AND($Y1411="Unexcused",OR($L1411="",NOT(ISNUMBER($L1411)),$L1411&lt;&gt;0)),"UNEXCUSED ABSENCE MUST RECORD 0",IF(COUNTIF(nrES_RecID,$B1411)&gt;1,"DUPLICATE RECORD",IF(N($K1411)&gt;2,"ATTEMPT 3+ NOT ALLOWED - policy 300.5 permits one retest per exam; this row records nothing",IF(AND($K1411=2,COUNTIFS(nrES_PID,$D1411,nrES_Code,$F1411,nrES_Att,1)=0),"ATTEMPT 2 WITHOUT ATTEMPT 1",IF(AND($K1411=2,$L1411=""),"RETEST ROW HAS NO SCORE",IF(AND($H1411="Final",$L1411&lt;&gt;"",IFERROR(INDEX(nrCKfinalExamElig,MATCH($D1411,rngCadetPIDs,0)),"")="No"),"FINAL EXAM AFTER FAILED FINAL PT (500.1.H)",IF(AND($K1411=2,ISNUMBER($L1411),COUNTIFS(nrES_PID,$D1411,nrES_Code,$F1411,nrES_Att,1)&gt;0,SUMIFS(nrES_Raw,nrES_PID,$D1411,nrES_Code,$F1411,nrES_Att,1)&gt;=$J1411),"RETEST AFTER A PASSING FIRST ATTEMPT","OK"))))))))))</f>
        <v/>
      </c>
      <c r="Y1411" s="16" t="n"/>
    </row>
    <row r="1412">
      <c r="B1412" s="17">
        <f>IF($C1412="","",$D1412&amp;"-"&amp;$F1412&amp;"-"&amp;$K1412)</f>
        <v/>
      </c>
      <c r="C1412" s="16" t="n"/>
      <c r="D1412" s="17">
        <f>IF($C1412="","",IFERROR(INDEX(rngCadetPIDs,MATCH($C1412,rngCadetNames,0)),"?"))</f>
        <v/>
      </c>
      <c r="E1412" s="17">
        <f>IF($D1412="","",IFERROR(INDEX(nrCadetAgency,MATCH($D1412,rngCadetPIDs,0)),""))</f>
        <v/>
      </c>
      <c r="F1412" s="16" t="n"/>
      <c r="G1412" s="17">
        <f>IF($F1412="","",IFERROR(INDEX(rngEPname,MATCH($F1412,rngEPcode,0)),"?"))</f>
        <v/>
      </c>
      <c r="H1412" s="17">
        <f>IF($F1412="","",IFERROR(INDEX(rngEPtype,MATCH($F1412,rngEPcode,0)),"?"))</f>
        <v/>
      </c>
      <c r="I1412" s="17">
        <f>IF($F1412="","",IFERROR(INDEX(rngEPseq,MATCH($F1412,rngEPcode,0)),""))</f>
        <v/>
      </c>
      <c r="J1412" s="17">
        <f>IF($F1412="","",IFERROR(INDEX(rngEPpass,MATCH($F1412,rngEPcode,0)),cfgPassingScore))</f>
        <v/>
      </c>
      <c r="K1412" s="16" t="n"/>
      <c r="L1412" s="16" t="n"/>
      <c r="M1412" s="17">
        <f>IF($C1412="","",IF($L1412="","",IF(NOT(ISNUMBER($L1412)),$L1412,IF(N($K1412)&gt;2,"",IF($K1412=1,IF(COUNTIFS(nrES_PID,$D1412,nrES_Code,$F1412,nrES_Att,2,nrES_Raw,"&gt;=0")&gt;0,"",$L1412),IF($L1412&gt;=$J1412,MAX($J1412,cfgRetakeRecordedCap),IF(COUNTIFS(nrES_PID,$D1412,nrES_Code,$F1412,nrES_Att,1)=0,$L1412,SUMIFS(nrES_Raw,nrES_PID,$D1412,nrES_Code,$F1412,nrES_Att,1))))))))</f>
        <v/>
      </c>
      <c r="N1412" s="17">
        <f>IF($C1412="","",IF($L1412="","",IF(NOT(ISNUMBER($L1412)),"(not a score)",IF($L1412&gt;=$J1412,"Yes","No"))))</f>
        <v/>
      </c>
      <c r="O1412" s="17">
        <f>IF($C1412="","",IF($M1412="","",IF(NOT(ISNUMBER($M1412)),"(not a score)",IF($M1412&gt;=$J1412,"Yes","No"))))</f>
        <v/>
      </c>
      <c r="P1412" s="17">
        <f>IF($C1412="","",IF($K1412="","",IF(N($K1412)&gt;2,"No",IF(COUNTIFS(nrES_PID,$D1412,nrES_Code,$F1412,nrES_Att,"&gt;"&amp;$K1412,nrES_Att,"&lt;=2",nrES_Raw,"&gt;=0")=0,"Yes","No"))))</f>
        <v/>
      </c>
      <c r="Q1412" s="17">
        <f>IF($C1412="","",IF($L1412="","",IF(AND($K1412=1,ISNUMBER($L1412),$L1412&lt;$J1412,COUNTIFS(nrES_PID,$D1412,nrES_Code,$F1412,nrES_Att,2,nrES_Raw,"&gt;=0")=0),"Yes","No")))</f>
        <v/>
      </c>
      <c r="R1412" s="17">
        <f>IF($C1412="","",IF($L1412="","",IF(AND(N($K1412)&gt;=2,ISNUMBER($L1412),$L1412&lt;$J1412),"Yes","No")))</f>
        <v/>
      </c>
      <c r="S1412" s="18" t="n"/>
      <c r="T1412" s="19">
        <f>IF(OR($C1412="",$L1412="",$K1412&lt;&gt;1,NOT(ISNUMBER($L1412)),$L1412&gt;=$J1412),"",IF($S1412="","(enter date)",_xlfn.LET(_xlpm.dn,_xlfn.XLOOKUP($S1412,nrCDdate,nrCDnum,"",1),IF(_xlpm.dn="","(after last class day)",_xlfn.LET(_xlpm.dd,_xlfn.XLOOKUP(_xlpm.dn+cfgRetestClassDays,nrCDnum,nrCDdate,""),_xlpm.ok,_xlfn.XLOOKUP(_xlpm.dn+cfgRetestClassDays,nrCDnum,nrCDinsession,"No"),IF(OR(_xlpm.dd="",_xlpm.ok&lt;&gt;"Yes"),"(after last class day)",_xlpm.dd))))))</f>
        <v/>
      </c>
      <c r="U1412" s="17">
        <f>IF($C1412="","",IF(AND($Y1412="Excused",$L1412="",N($K1412)&lt;=1),"EXCUSED - 1st attempt pending",IF(OR($L1412="",$K1412&lt;&gt;1,NOT(ISNUMBER($L1412)),$L1412&gt;=$J1412),"",IF(COUNTIFS(nrES_PID,$D1412,nrES_Code,$F1412,nrES_Att,2,nrES_Raw,"&gt;=0")&gt;0,IF(IFERROR(_xlfn.MINIFS(nrES_Date,nrES_PID,$D1412,nrES_Code,$F1412,nrES_Att,2,nrES_Raw,"&gt;=0",nrES_Date,"&gt;0"),0)=0,"RETEST UNDATED",IF(NOT(ISNUMBER($T1412)),"RETEST DATE UNCHECKED",IF(_xlfn.MINIFS(nrES_Date,nrES_PID,$D1412,nrES_Code,$F1412,nrES_Att,2,nrES_Raw,"&gt;=0",nrES_Date,"&gt;0")&gt;$T1412,"LATE RETEST "&amp;TEXT(_xlfn.MINIFS(nrES_Date,nrES_PID,$D1412,nrES_Code,$F1412,nrES_Att,2,nrES_Raw,"&gt;=0",nrES_Date,"&gt;0"),"mm/dd")&amp;" (due "&amp;TEXT($T1412,"mm/dd")&amp;")","Retested"))),IF(NOT(ISNUMBER($T1412)),"CHECK DATE",IF(TODAY()&gt;$T1412,"OVERDUE","Due "&amp;TEXT($T1412,"mm/dd")))))))</f>
        <v/>
      </c>
      <c r="V1412" s="16" t="n"/>
      <c r="W1412" s="16" t="n"/>
      <c r="X1412" s="17">
        <f>IF($C1412="","",IF(AND($L1412&lt;&gt;"",NOT(ISNUMBER($L1412))),"RAW SCORE NOT A NUMBER",IF(AND(ISNUMBER($L1412),OR($L1412&lt;0,$L1412&gt;100)),"RAW SCORE OUT OF RANGE",IF(AND($Y1412="Unexcused",OR($L1412="",NOT(ISNUMBER($L1412)),$L1412&lt;&gt;0)),"UNEXCUSED ABSENCE MUST RECORD 0",IF(COUNTIF(nrES_RecID,$B1412)&gt;1,"DUPLICATE RECORD",IF(N($K1412)&gt;2,"ATTEMPT 3+ NOT ALLOWED - policy 300.5 permits one retest per exam; this row records nothing",IF(AND($K1412=2,COUNTIFS(nrES_PID,$D1412,nrES_Code,$F1412,nrES_Att,1)=0),"ATTEMPT 2 WITHOUT ATTEMPT 1",IF(AND($K1412=2,$L1412=""),"RETEST ROW HAS NO SCORE",IF(AND($H1412="Final",$L1412&lt;&gt;"",IFERROR(INDEX(nrCKfinalExamElig,MATCH($D1412,rngCadetPIDs,0)),"")="No"),"FINAL EXAM AFTER FAILED FINAL PT (500.1.H)",IF(AND($K1412=2,ISNUMBER($L1412),COUNTIFS(nrES_PID,$D1412,nrES_Code,$F1412,nrES_Att,1)&gt;0,SUMIFS(nrES_Raw,nrES_PID,$D1412,nrES_Code,$F1412,nrES_Att,1)&gt;=$J1412),"RETEST AFTER A PASSING FIRST ATTEMPT","OK"))))))))))</f>
        <v/>
      </c>
      <c r="Y1412" s="16" t="n"/>
    </row>
    <row r="1413">
      <c r="B1413" s="17">
        <f>IF($C1413="","",$D1413&amp;"-"&amp;$F1413&amp;"-"&amp;$K1413)</f>
        <v/>
      </c>
      <c r="C1413" s="16" t="n"/>
      <c r="D1413" s="17">
        <f>IF($C1413="","",IFERROR(INDEX(rngCadetPIDs,MATCH($C1413,rngCadetNames,0)),"?"))</f>
        <v/>
      </c>
      <c r="E1413" s="17">
        <f>IF($D1413="","",IFERROR(INDEX(nrCadetAgency,MATCH($D1413,rngCadetPIDs,0)),""))</f>
        <v/>
      </c>
      <c r="F1413" s="16" t="n"/>
      <c r="G1413" s="17">
        <f>IF($F1413="","",IFERROR(INDEX(rngEPname,MATCH($F1413,rngEPcode,0)),"?"))</f>
        <v/>
      </c>
      <c r="H1413" s="17">
        <f>IF($F1413="","",IFERROR(INDEX(rngEPtype,MATCH($F1413,rngEPcode,0)),"?"))</f>
        <v/>
      </c>
      <c r="I1413" s="17">
        <f>IF($F1413="","",IFERROR(INDEX(rngEPseq,MATCH($F1413,rngEPcode,0)),""))</f>
        <v/>
      </c>
      <c r="J1413" s="17">
        <f>IF($F1413="","",IFERROR(INDEX(rngEPpass,MATCH($F1413,rngEPcode,0)),cfgPassingScore))</f>
        <v/>
      </c>
      <c r="K1413" s="16" t="n"/>
      <c r="L1413" s="16" t="n"/>
      <c r="M1413" s="17">
        <f>IF($C1413="","",IF($L1413="","",IF(NOT(ISNUMBER($L1413)),$L1413,IF(N($K1413)&gt;2,"",IF($K1413=1,IF(COUNTIFS(nrES_PID,$D1413,nrES_Code,$F1413,nrES_Att,2,nrES_Raw,"&gt;=0")&gt;0,"",$L1413),IF($L1413&gt;=$J1413,MAX($J1413,cfgRetakeRecordedCap),IF(COUNTIFS(nrES_PID,$D1413,nrES_Code,$F1413,nrES_Att,1)=0,$L1413,SUMIFS(nrES_Raw,nrES_PID,$D1413,nrES_Code,$F1413,nrES_Att,1))))))))</f>
        <v/>
      </c>
      <c r="N1413" s="17">
        <f>IF($C1413="","",IF($L1413="","",IF(NOT(ISNUMBER($L1413)),"(not a score)",IF($L1413&gt;=$J1413,"Yes","No"))))</f>
        <v/>
      </c>
      <c r="O1413" s="17">
        <f>IF($C1413="","",IF($M1413="","",IF(NOT(ISNUMBER($M1413)),"(not a score)",IF($M1413&gt;=$J1413,"Yes","No"))))</f>
        <v/>
      </c>
      <c r="P1413" s="17">
        <f>IF($C1413="","",IF($K1413="","",IF(N($K1413)&gt;2,"No",IF(COUNTIFS(nrES_PID,$D1413,nrES_Code,$F1413,nrES_Att,"&gt;"&amp;$K1413,nrES_Att,"&lt;=2",nrES_Raw,"&gt;=0")=0,"Yes","No"))))</f>
        <v/>
      </c>
      <c r="Q1413" s="17">
        <f>IF($C1413="","",IF($L1413="","",IF(AND($K1413=1,ISNUMBER($L1413),$L1413&lt;$J1413,COUNTIFS(nrES_PID,$D1413,nrES_Code,$F1413,nrES_Att,2,nrES_Raw,"&gt;=0")=0),"Yes","No")))</f>
        <v/>
      </c>
      <c r="R1413" s="17">
        <f>IF($C1413="","",IF($L1413="","",IF(AND(N($K1413)&gt;=2,ISNUMBER($L1413),$L1413&lt;$J1413),"Yes","No")))</f>
        <v/>
      </c>
      <c r="S1413" s="18" t="n"/>
      <c r="T1413" s="19">
        <f>IF(OR($C1413="",$L1413="",$K1413&lt;&gt;1,NOT(ISNUMBER($L1413)),$L1413&gt;=$J1413),"",IF($S1413="","(enter date)",_xlfn.LET(_xlpm.dn,_xlfn.XLOOKUP($S1413,nrCDdate,nrCDnum,"",1),IF(_xlpm.dn="","(after last class day)",_xlfn.LET(_xlpm.dd,_xlfn.XLOOKUP(_xlpm.dn+cfgRetestClassDays,nrCDnum,nrCDdate,""),_xlpm.ok,_xlfn.XLOOKUP(_xlpm.dn+cfgRetestClassDays,nrCDnum,nrCDinsession,"No"),IF(OR(_xlpm.dd="",_xlpm.ok&lt;&gt;"Yes"),"(after last class day)",_xlpm.dd))))))</f>
        <v/>
      </c>
      <c r="U1413" s="17">
        <f>IF($C1413="","",IF(AND($Y1413="Excused",$L1413="",N($K1413)&lt;=1),"EXCUSED - 1st attempt pending",IF(OR($L1413="",$K1413&lt;&gt;1,NOT(ISNUMBER($L1413)),$L1413&gt;=$J1413),"",IF(COUNTIFS(nrES_PID,$D1413,nrES_Code,$F1413,nrES_Att,2,nrES_Raw,"&gt;=0")&gt;0,IF(IFERROR(_xlfn.MINIFS(nrES_Date,nrES_PID,$D1413,nrES_Code,$F1413,nrES_Att,2,nrES_Raw,"&gt;=0",nrES_Date,"&gt;0"),0)=0,"RETEST UNDATED",IF(NOT(ISNUMBER($T1413)),"RETEST DATE UNCHECKED",IF(_xlfn.MINIFS(nrES_Date,nrES_PID,$D1413,nrES_Code,$F1413,nrES_Att,2,nrES_Raw,"&gt;=0",nrES_Date,"&gt;0")&gt;$T1413,"LATE RETEST "&amp;TEXT(_xlfn.MINIFS(nrES_Date,nrES_PID,$D1413,nrES_Code,$F1413,nrES_Att,2,nrES_Raw,"&gt;=0",nrES_Date,"&gt;0"),"mm/dd")&amp;" (due "&amp;TEXT($T1413,"mm/dd")&amp;")","Retested"))),IF(NOT(ISNUMBER($T1413)),"CHECK DATE",IF(TODAY()&gt;$T1413,"OVERDUE","Due "&amp;TEXT($T1413,"mm/dd")))))))</f>
        <v/>
      </c>
      <c r="V1413" s="16" t="n"/>
      <c r="W1413" s="16" t="n"/>
      <c r="X1413" s="17">
        <f>IF($C1413="","",IF(AND($L1413&lt;&gt;"",NOT(ISNUMBER($L1413))),"RAW SCORE NOT A NUMBER",IF(AND(ISNUMBER($L1413),OR($L1413&lt;0,$L1413&gt;100)),"RAW SCORE OUT OF RANGE",IF(AND($Y1413="Unexcused",OR($L1413="",NOT(ISNUMBER($L1413)),$L1413&lt;&gt;0)),"UNEXCUSED ABSENCE MUST RECORD 0",IF(COUNTIF(nrES_RecID,$B1413)&gt;1,"DUPLICATE RECORD",IF(N($K1413)&gt;2,"ATTEMPT 3+ NOT ALLOWED - policy 300.5 permits one retest per exam; this row records nothing",IF(AND($K1413=2,COUNTIFS(nrES_PID,$D1413,nrES_Code,$F1413,nrES_Att,1)=0),"ATTEMPT 2 WITHOUT ATTEMPT 1",IF(AND($K1413=2,$L1413=""),"RETEST ROW HAS NO SCORE",IF(AND($H1413="Final",$L1413&lt;&gt;"",IFERROR(INDEX(nrCKfinalExamElig,MATCH($D1413,rngCadetPIDs,0)),"")="No"),"FINAL EXAM AFTER FAILED FINAL PT (500.1.H)",IF(AND($K1413=2,ISNUMBER($L1413),COUNTIFS(nrES_PID,$D1413,nrES_Code,$F1413,nrES_Att,1)&gt;0,SUMIFS(nrES_Raw,nrES_PID,$D1413,nrES_Code,$F1413,nrES_Att,1)&gt;=$J1413),"RETEST AFTER A PASSING FIRST ATTEMPT","OK"))))))))))</f>
        <v/>
      </c>
      <c r="Y1413" s="16" t="n"/>
    </row>
    <row r="1414">
      <c r="B1414" s="17">
        <f>IF($C1414="","",$D1414&amp;"-"&amp;$F1414&amp;"-"&amp;$K1414)</f>
        <v/>
      </c>
      <c r="C1414" s="16" t="n"/>
      <c r="D1414" s="17">
        <f>IF($C1414="","",IFERROR(INDEX(rngCadetPIDs,MATCH($C1414,rngCadetNames,0)),"?"))</f>
        <v/>
      </c>
      <c r="E1414" s="17">
        <f>IF($D1414="","",IFERROR(INDEX(nrCadetAgency,MATCH($D1414,rngCadetPIDs,0)),""))</f>
        <v/>
      </c>
      <c r="F1414" s="16" t="n"/>
      <c r="G1414" s="17">
        <f>IF($F1414="","",IFERROR(INDEX(rngEPname,MATCH($F1414,rngEPcode,0)),"?"))</f>
        <v/>
      </c>
      <c r="H1414" s="17">
        <f>IF($F1414="","",IFERROR(INDEX(rngEPtype,MATCH($F1414,rngEPcode,0)),"?"))</f>
        <v/>
      </c>
      <c r="I1414" s="17">
        <f>IF($F1414="","",IFERROR(INDEX(rngEPseq,MATCH($F1414,rngEPcode,0)),""))</f>
        <v/>
      </c>
      <c r="J1414" s="17">
        <f>IF($F1414="","",IFERROR(INDEX(rngEPpass,MATCH($F1414,rngEPcode,0)),cfgPassingScore))</f>
        <v/>
      </c>
      <c r="K1414" s="16" t="n"/>
      <c r="L1414" s="16" t="n"/>
      <c r="M1414" s="17">
        <f>IF($C1414="","",IF($L1414="","",IF(NOT(ISNUMBER($L1414)),$L1414,IF(N($K1414)&gt;2,"",IF($K1414=1,IF(COUNTIFS(nrES_PID,$D1414,nrES_Code,$F1414,nrES_Att,2,nrES_Raw,"&gt;=0")&gt;0,"",$L1414),IF($L1414&gt;=$J1414,MAX($J1414,cfgRetakeRecordedCap),IF(COUNTIFS(nrES_PID,$D1414,nrES_Code,$F1414,nrES_Att,1)=0,$L1414,SUMIFS(nrES_Raw,nrES_PID,$D1414,nrES_Code,$F1414,nrES_Att,1))))))))</f>
        <v/>
      </c>
      <c r="N1414" s="17">
        <f>IF($C1414="","",IF($L1414="","",IF(NOT(ISNUMBER($L1414)),"(not a score)",IF($L1414&gt;=$J1414,"Yes","No"))))</f>
        <v/>
      </c>
      <c r="O1414" s="17">
        <f>IF($C1414="","",IF($M1414="","",IF(NOT(ISNUMBER($M1414)),"(not a score)",IF($M1414&gt;=$J1414,"Yes","No"))))</f>
        <v/>
      </c>
      <c r="P1414" s="17">
        <f>IF($C1414="","",IF($K1414="","",IF(N($K1414)&gt;2,"No",IF(COUNTIFS(nrES_PID,$D1414,nrES_Code,$F1414,nrES_Att,"&gt;"&amp;$K1414,nrES_Att,"&lt;=2",nrES_Raw,"&gt;=0")=0,"Yes","No"))))</f>
        <v/>
      </c>
      <c r="Q1414" s="17">
        <f>IF($C1414="","",IF($L1414="","",IF(AND($K1414=1,ISNUMBER($L1414),$L1414&lt;$J1414,COUNTIFS(nrES_PID,$D1414,nrES_Code,$F1414,nrES_Att,2,nrES_Raw,"&gt;=0")=0),"Yes","No")))</f>
        <v/>
      </c>
      <c r="R1414" s="17">
        <f>IF($C1414="","",IF($L1414="","",IF(AND(N($K1414)&gt;=2,ISNUMBER($L1414),$L1414&lt;$J1414),"Yes","No")))</f>
        <v/>
      </c>
      <c r="S1414" s="18" t="n"/>
      <c r="T1414" s="19">
        <f>IF(OR($C1414="",$L1414="",$K1414&lt;&gt;1,NOT(ISNUMBER($L1414)),$L1414&gt;=$J1414),"",IF($S1414="","(enter date)",_xlfn.LET(_xlpm.dn,_xlfn.XLOOKUP($S1414,nrCDdate,nrCDnum,"",1),IF(_xlpm.dn="","(after last class day)",_xlfn.LET(_xlpm.dd,_xlfn.XLOOKUP(_xlpm.dn+cfgRetestClassDays,nrCDnum,nrCDdate,""),_xlpm.ok,_xlfn.XLOOKUP(_xlpm.dn+cfgRetestClassDays,nrCDnum,nrCDinsession,"No"),IF(OR(_xlpm.dd="",_xlpm.ok&lt;&gt;"Yes"),"(after last class day)",_xlpm.dd))))))</f>
        <v/>
      </c>
      <c r="U1414" s="17">
        <f>IF($C1414="","",IF(AND($Y1414="Excused",$L1414="",N($K1414)&lt;=1),"EXCUSED - 1st attempt pending",IF(OR($L1414="",$K1414&lt;&gt;1,NOT(ISNUMBER($L1414)),$L1414&gt;=$J1414),"",IF(COUNTIFS(nrES_PID,$D1414,nrES_Code,$F1414,nrES_Att,2,nrES_Raw,"&gt;=0")&gt;0,IF(IFERROR(_xlfn.MINIFS(nrES_Date,nrES_PID,$D1414,nrES_Code,$F1414,nrES_Att,2,nrES_Raw,"&gt;=0",nrES_Date,"&gt;0"),0)=0,"RETEST UNDATED",IF(NOT(ISNUMBER($T1414)),"RETEST DATE UNCHECKED",IF(_xlfn.MINIFS(nrES_Date,nrES_PID,$D1414,nrES_Code,$F1414,nrES_Att,2,nrES_Raw,"&gt;=0",nrES_Date,"&gt;0")&gt;$T1414,"LATE RETEST "&amp;TEXT(_xlfn.MINIFS(nrES_Date,nrES_PID,$D1414,nrES_Code,$F1414,nrES_Att,2,nrES_Raw,"&gt;=0",nrES_Date,"&gt;0"),"mm/dd")&amp;" (due "&amp;TEXT($T1414,"mm/dd")&amp;")","Retested"))),IF(NOT(ISNUMBER($T1414)),"CHECK DATE",IF(TODAY()&gt;$T1414,"OVERDUE","Due "&amp;TEXT($T1414,"mm/dd")))))))</f>
        <v/>
      </c>
      <c r="V1414" s="16" t="n"/>
      <c r="W1414" s="16" t="n"/>
      <c r="X1414" s="17">
        <f>IF($C1414="","",IF(AND($L1414&lt;&gt;"",NOT(ISNUMBER($L1414))),"RAW SCORE NOT A NUMBER",IF(AND(ISNUMBER($L1414),OR($L1414&lt;0,$L1414&gt;100)),"RAW SCORE OUT OF RANGE",IF(AND($Y1414="Unexcused",OR($L1414="",NOT(ISNUMBER($L1414)),$L1414&lt;&gt;0)),"UNEXCUSED ABSENCE MUST RECORD 0",IF(COUNTIF(nrES_RecID,$B1414)&gt;1,"DUPLICATE RECORD",IF(N($K1414)&gt;2,"ATTEMPT 3+ NOT ALLOWED - policy 300.5 permits one retest per exam; this row records nothing",IF(AND($K1414=2,COUNTIFS(nrES_PID,$D1414,nrES_Code,$F1414,nrES_Att,1)=0),"ATTEMPT 2 WITHOUT ATTEMPT 1",IF(AND($K1414=2,$L1414=""),"RETEST ROW HAS NO SCORE",IF(AND($H1414="Final",$L1414&lt;&gt;"",IFERROR(INDEX(nrCKfinalExamElig,MATCH($D1414,rngCadetPIDs,0)),"")="No"),"FINAL EXAM AFTER FAILED FINAL PT (500.1.H)",IF(AND($K1414=2,ISNUMBER($L1414),COUNTIFS(nrES_PID,$D1414,nrES_Code,$F1414,nrES_Att,1)&gt;0,SUMIFS(nrES_Raw,nrES_PID,$D1414,nrES_Code,$F1414,nrES_Att,1)&gt;=$J1414),"RETEST AFTER A PASSING FIRST ATTEMPT","OK"))))))))))</f>
        <v/>
      </c>
      <c r="Y1414" s="16" t="n"/>
    </row>
    <row r="1415">
      <c r="B1415" s="17">
        <f>IF($C1415="","",$D1415&amp;"-"&amp;$F1415&amp;"-"&amp;$K1415)</f>
        <v/>
      </c>
      <c r="C1415" s="16" t="n"/>
      <c r="D1415" s="17">
        <f>IF($C1415="","",IFERROR(INDEX(rngCadetPIDs,MATCH($C1415,rngCadetNames,0)),"?"))</f>
        <v/>
      </c>
      <c r="E1415" s="17">
        <f>IF($D1415="","",IFERROR(INDEX(nrCadetAgency,MATCH($D1415,rngCadetPIDs,0)),""))</f>
        <v/>
      </c>
      <c r="F1415" s="16" t="n"/>
      <c r="G1415" s="17">
        <f>IF($F1415="","",IFERROR(INDEX(rngEPname,MATCH($F1415,rngEPcode,0)),"?"))</f>
        <v/>
      </c>
      <c r="H1415" s="17">
        <f>IF($F1415="","",IFERROR(INDEX(rngEPtype,MATCH($F1415,rngEPcode,0)),"?"))</f>
        <v/>
      </c>
      <c r="I1415" s="17">
        <f>IF($F1415="","",IFERROR(INDEX(rngEPseq,MATCH($F1415,rngEPcode,0)),""))</f>
        <v/>
      </c>
      <c r="J1415" s="17">
        <f>IF($F1415="","",IFERROR(INDEX(rngEPpass,MATCH($F1415,rngEPcode,0)),cfgPassingScore))</f>
        <v/>
      </c>
      <c r="K1415" s="16" t="n"/>
      <c r="L1415" s="16" t="n"/>
      <c r="M1415" s="17">
        <f>IF($C1415="","",IF($L1415="","",IF(NOT(ISNUMBER($L1415)),$L1415,IF(N($K1415)&gt;2,"",IF($K1415=1,IF(COUNTIFS(nrES_PID,$D1415,nrES_Code,$F1415,nrES_Att,2,nrES_Raw,"&gt;=0")&gt;0,"",$L1415),IF($L1415&gt;=$J1415,MAX($J1415,cfgRetakeRecordedCap),IF(COUNTIFS(nrES_PID,$D1415,nrES_Code,$F1415,nrES_Att,1)=0,$L1415,SUMIFS(nrES_Raw,nrES_PID,$D1415,nrES_Code,$F1415,nrES_Att,1))))))))</f>
        <v/>
      </c>
      <c r="N1415" s="17">
        <f>IF($C1415="","",IF($L1415="","",IF(NOT(ISNUMBER($L1415)),"(not a score)",IF($L1415&gt;=$J1415,"Yes","No"))))</f>
        <v/>
      </c>
      <c r="O1415" s="17">
        <f>IF($C1415="","",IF($M1415="","",IF(NOT(ISNUMBER($M1415)),"(not a score)",IF($M1415&gt;=$J1415,"Yes","No"))))</f>
        <v/>
      </c>
      <c r="P1415" s="17">
        <f>IF($C1415="","",IF($K1415="","",IF(N($K1415)&gt;2,"No",IF(COUNTIFS(nrES_PID,$D1415,nrES_Code,$F1415,nrES_Att,"&gt;"&amp;$K1415,nrES_Att,"&lt;=2",nrES_Raw,"&gt;=0")=0,"Yes","No"))))</f>
        <v/>
      </c>
      <c r="Q1415" s="17">
        <f>IF($C1415="","",IF($L1415="","",IF(AND($K1415=1,ISNUMBER($L1415),$L1415&lt;$J1415,COUNTIFS(nrES_PID,$D1415,nrES_Code,$F1415,nrES_Att,2,nrES_Raw,"&gt;=0")=0),"Yes","No")))</f>
        <v/>
      </c>
      <c r="R1415" s="17">
        <f>IF($C1415="","",IF($L1415="","",IF(AND(N($K1415)&gt;=2,ISNUMBER($L1415),$L1415&lt;$J1415),"Yes","No")))</f>
        <v/>
      </c>
      <c r="S1415" s="18" t="n"/>
      <c r="T1415" s="19">
        <f>IF(OR($C1415="",$L1415="",$K1415&lt;&gt;1,NOT(ISNUMBER($L1415)),$L1415&gt;=$J1415),"",IF($S1415="","(enter date)",_xlfn.LET(_xlpm.dn,_xlfn.XLOOKUP($S1415,nrCDdate,nrCDnum,"",1),IF(_xlpm.dn="","(after last class day)",_xlfn.LET(_xlpm.dd,_xlfn.XLOOKUP(_xlpm.dn+cfgRetestClassDays,nrCDnum,nrCDdate,""),_xlpm.ok,_xlfn.XLOOKUP(_xlpm.dn+cfgRetestClassDays,nrCDnum,nrCDinsession,"No"),IF(OR(_xlpm.dd="",_xlpm.ok&lt;&gt;"Yes"),"(after last class day)",_xlpm.dd))))))</f>
        <v/>
      </c>
      <c r="U1415" s="17">
        <f>IF($C1415="","",IF(AND($Y1415="Excused",$L1415="",N($K1415)&lt;=1),"EXCUSED - 1st attempt pending",IF(OR($L1415="",$K1415&lt;&gt;1,NOT(ISNUMBER($L1415)),$L1415&gt;=$J1415),"",IF(COUNTIFS(nrES_PID,$D1415,nrES_Code,$F1415,nrES_Att,2,nrES_Raw,"&gt;=0")&gt;0,IF(IFERROR(_xlfn.MINIFS(nrES_Date,nrES_PID,$D1415,nrES_Code,$F1415,nrES_Att,2,nrES_Raw,"&gt;=0",nrES_Date,"&gt;0"),0)=0,"RETEST UNDATED",IF(NOT(ISNUMBER($T1415)),"RETEST DATE UNCHECKED",IF(_xlfn.MINIFS(nrES_Date,nrES_PID,$D1415,nrES_Code,$F1415,nrES_Att,2,nrES_Raw,"&gt;=0",nrES_Date,"&gt;0")&gt;$T1415,"LATE RETEST "&amp;TEXT(_xlfn.MINIFS(nrES_Date,nrES_PID,$D1415,nrES_Code,$F1415,nrES_Att,2,nrES_Raw,"&gt;=0",nrES_Date,"&gt;0"),"mm/dd")&amp;" (due "&amp;TEXT($T1415,"mm/dd")&amp;")","Retested"))),IF(NOT(ISNUMBER($T1415)),"CHECK DATE",IF(TODAY()&gt;$T1415,"OVERDUE","Due "&amp;TEXT($T1415,"mm/dd")))))))</f>
        <v/>
      </c>
      <c r="V1415" s="16" t="n"/>
      <c r="W1415" s="16" t="n"/>
      <c r="X1415" s="17">
        <f>IF($C1415="","",IF(AND($L1415&lt;&gt;"",NOT(ISNUMBER($L1415))),"RAW SCORE NOT A NUMBER",IF(AND(ISNUMBER($L1415),OR($L1415&lt;0,$L1415&gt;100)),"RAW SCORE OUT OF RANGE",IF(AND($Y1415="Unexcused",OR($L1415="",NOT(ISNUMBER($L1415)),$L1415&lt;&gt;0)),"UNEXCUSED ABSENCE MUST RECORD 0",IF(COUNTIF(nrES_RecID,$B1415)&gt;1,"DUPLICATE RECORD",IF(N($K1415)&gt;2,"ATTEMPT 3+ NOT ALLOWED - policy 300.5 permits one retest per exam; this row records nothing",IF(AND($K1415=2,COUNTIFS(nrES_PID,$D1415,nrES_Code,$F1415,nrES_Att,1)=0),"ATTEMPT 2 WITHOUT ATTEMPT 1",IF(AND($K1415=2,$L1415=""),"RETEST ROW HAS NO SCORE",IF(AND($H1415="Final",$L1415&lt;&gt;"",IFERROR(INDEX(nrCKfinalExamElig,MATCH($D1415,rngCadetPIDs,0)),"")="No"),"FINAL EXAM AFTER FAILED FINAL PT (500.1.H)",IF(AND($K1415=2,ISNUMBER($L1415),COUNTIFS(nrES_PID,$D1415,nrES_Code,$F1415,nrES_Att,1)&gt;0,SUMIFS(nrES_Raw,nrES_PID,$D1415,nrES_Code,$F1415,nrES_Att,1)&gt;=$J1415),"RETEST AFTER A PASSING FIRST ATTEMPT","OK"))))))))))</f>
        <v/>
      </c>
      <c r="Y1415" s="16" t="n"/>
    </row>
    <row r="1416">
      <c r="B1416" s="17">
        <f>IF($C1416="","",$D1416&amp;"-"&amp;$F1416&amp;"-"&amp;$K1416)</f>
        <v/>
      </c>
      <c r="C1416" s="16" t="n"/>
      <c r="D1416" s="17">
        <f>IF($C1416="","",IFERROR(INDEX(rngCadetPIDs,MATCH($C1416,rngCadetNames,0)),"?"))</f>
        <v/>
      </c>
      <c r="E1416" s="17">
        <f>IF($D1416="","",IFERROR(INDEX(nrCadetAgency,MATCH($D1416,rngCadetPIDs,0)),""))</f>
        <v/>
      </c>
      <c r="F1416" s="16" t="n"/>
      <c r="G1416" s="17">
        <f>IF($F1416="","",IFERROR(INDEX(rngEPname,MATCH($F1416,rngEPcode,0)),"?"))</f>
        <v/>
      </c>
      <c r="H1416" s="17">
        <f>IF($F1416="","",IFERROR(INDEX(rngEPtype,MATCH($F1416,rngEPcode,0)),"?"))</f>
        <v/>
      </c>
      <c r="I1416" s="17">
        <f>IF($F1416="","",IFERROR(INDEX(rngEPseq,MATCH($F1416,rngEPcode,0)),""))</f>
        <v/>
      </c>
      <c r="J1416" s="17">
        <f>IF($F1416="","",IFERROR(INDEX(rngEPpass,MATCH($F1416,rngEPcode,0)),cfgPassingScore))</f>
        <v/>
      </c>
      <c r="K1416" s="16" t="n"/>
      <c r="L1416" s="16" t="n"/>
      <c r="M1416" s="17">
        <f>IF($C1416="","",IF($L1416="","",IF(NOT(ISNUMBER($L1416)),$L1416,IF(N($K1416)&gt;2,"",IF($K1416=1,IF(COUNTIFS(nrES_PID,$D1416,nrES_Code,$F1416,nrES_Att,2,nrES_Raw,"&gt;=0")&gt;0,"",$L1416),IF($L1416&gt;=$J1416,MAX($J1416,cfgRetakeRecordedCap),IF(COUNTIFS(nrES_PID,$D1416,nrES_Code,$F1416,nrES_Att,1)=0,$L1416,SUMIFS(nrES_Raw,nrES_PID,$D1416,nrES_Code,$F1416,nrES_Att,1))))))))</f>
        <v/>
      </c>
      <c r="N1416" s="17">
        <f>IF($C1416="","",IF($L1416="","",IF(NOT(ISNUMBER($L1416)),"(not a score)",IF($L1416&gt;=$J1416,"Yes","No"))))</f>
        <v/>
      </c>
      <c r="O1416" s="17">
        <f>IF($C1416="","",IF($M1416="","",IF(NOT(ISNUMBER($M1416)),"(not a score)",IF($M1416&gt;=$J1416,"Yes","No"))))</f>
        <v/>
      </c>
      <c r="P1416" s="17">
        <f>IF($C1416="","",IF($K1416="","",IF(N($K1416)&gt;2,"No",IF(COUNTIFS(nrES_PID,$D1416,nrES_Code,$F1416,nrES_Att,"&gt;"&amp;$K1416,nrES_Att,"&lt;=2",nrES_Raw,"&gt;=0")=0,"Yes","No"))))</f>
        <v/>
      </c>
      <c r="Q1416" s="17">
        <f>IF($C1416="","",IF($L1416="","",IF(AND($K1416=1,ISNUMBER($L1416),$L1416&lt;$J1416,COUNTIFS(nrES_PID,$D1416,nrES_Code,$F1416,nrES_Att,2,nrES_Raw,"&gt;=0")=0),"Yes","No")))</f>
        <v/>
      </c>
      <c r="R1416" s="17">
        <f>IF($C1416="","",IF($L1416="","",IF(AND(N($K1416)&gt;=2,ISNUMBER($L1416),$L1416&lt;$J1416),"Yes","No")))</f>
        <v/>
      </c>
      <c r="S1416" s="18" t="n"/>
      <c r="T1416" s="19">
        <f>IF(OR($C1416="",$L1416="",$K1416&lt;&gt;1,NOT(ISNUMBER($L1416)),$L1416&gt;=$J1416),"",IF($S1416="","(enter date)",_xlfn.LET(_xlpm.dn,_xlfn.XLOOKUP($S1416,nrCDdate,nrCDnum,"",1),IF(_xlpm.dn="","(after last class day)",_xlfn.LET(_xlpm.dd,_xlfn.XLOOKUP(_xlpm.dn+cfgRetestClassDays,nrCDnum,nrCDdate,""),_xlpm.ok,_xlfn.XLOOKUP(_xlpm.dn+cfgRetestClassDays,nrCDnum,nrCDinsession,"No"),IF(OR(_xlpm.dd="",_xlpm.ok&lt;&gt;"Yes"),"(after last class day)",_xlpm.dd))))))</f>
        <v/>
      </c>
      <c r="U1416" s="17">
        <f>IF($C1416="","",IF(AND($Y1416="Excused",$L1416="",N($K1416)&lt;=1),"EXCUSED - 1st attempt pending",IF(OR($L1416="",$K1416&lt;&gt;1,NOT(ISNUMBER($L1416)),$L1416&gt;=$J1416),"",IF(COUNTIFS(nrES_PID,$D1416,nrES_Code,$F1416,nrES_Att,2,nrES_Raw,"&gt;=0")&gt;0,IF(IFERROR(_xlfn.MINIFS(nrES_Date,nrES_PID,$D1416,nrES_Code,$F1416,nrES_Att,2,nrES_Raw,"&gt;=0",nrES_Date,"&gt;0"),0)=0,"RETEST UNDATED",IF(NOT(ISNUMBER($T1416)),"RETEST DATE UNCHECKED",IF(_xlfn.MINIFS(nrES_Date,nrES_PID,$D1416,nrES_Code,$F1416,nrES_Att,2,nrES_Raw,"&gt;=0",nrES_Date,"&gt;0")&gt;$T1416,"LATE RETEST "&amp;TEXT(_xlfn.MINIFS(nrES_Date,nrES_PID,$D1416,nrES_Code,$F1416,nrES_Att,2,nrES_Raw,"&gt;=0",nrES_Date,"&gt;0"),"mm/dd")&amp;" (due "&amp;TEXT($T1416,"mm/dd")&amp;")","Retested"))),IF(NOT(ISNUMBER($T1416)),"CHECK DATE",IF(TODAY()&gt;$T1416,"OVERDUE","Due "&amp;TEXT($T1416,"mm/dd")))))))</f>
        <v/>
      </c>
      <c r="V1416" s="16" t="n"/>
      <c r="W1416" s="16" t="n"/>
      <c r="X1416" s="17">
        <f>IF($C1416="","",IF(AND($L1416&lt;&gt;"",NOT(ISNUMBER($L1416))),"RAW SCORE NOT A NUMBER",IF(AND(ISNUMBER($L1416),OR($L1416&lt;0,$L1416&gt;100)),"RAW SCORE OUT OF RANGE",IF(AND($Y1416="Unexcused",OR($L1416="",NOT(ISNUMBER($L1416)),$L1416&lt;&gt;0)),"UNEXCUSED ABSENCE MUST RECORD 0",IF(COUNTIF(nrES_RecID,$B1416)&gt;1,"DUPLICATE RECORD",IF(N($K1416)&gt;2,"ATTEMPT 3+ NOT ALLOWED - policy 300.5 permits one retest per exam; this row records nothing",IF(AND($K1416=2,COUNTIFS(nrES_PID,$D1416,nrES_Code,$F1416,nrES_Att,1)=0),"ATTEMPT 2 WITHOUT ATTEMPT 1",IF(AND($K1416=2,$L1416=""),"RETEST ROW HAS NO SCORE",IF(AND($H1416="Final",$L1416&lt;&gt;"",IFERROR(INDEX(nrCKfinalExamElig,MATCH($D1416,rngCadetPIDs,0)),"")="No"),"FINAL EXAM AFTER FAILED FINAL PT (500.1.H)",IF(AND($K1416=2,ISNUMBER($L1416),COUNTIFS(nrES_PID,$D1416,nrES_Code,$F1416,nrES_Att,1)&gt;0,SUMIFS(nrES_Raw,nrES_PID,$D1416,nrES_Code,$F1416,nrES_Att,1)&gt;=$J1416),"RETEST AFTER A PASSING FIRST ATTEMPT","OK"))))))))))</f>
        <v/>
      </c>
      <c r="Y1416" s="16" t="n"/>
    </row>
    <row r="1417">
      <c r="B1417" s="17">
        <f>IF($C1417="","",$D1417&amp;"-"&amp;$F1417&amp;"-"&amp;$K1417)</f>
        <v/>
      </c>
      <c r="C1417" s="16" t="n"/>
      <c r="D1417" s="17">
        <f>IF($C1417="","",IFERROR(INDEX(rngCadetPIDs,MATCH($C1417,rngCadetNames,0)),"?"))</f>
        <v/>
      </c>
      <c r="E1417" s="17">
        <f>IF($D1417="","",IFERROR(INDEX(nrCadetAgency,MATCH($D1417,rngCadetPIDs,0)),""))</f>
        <v/>
      </c>
      <c r="F1417" s="16" t="n"/>
      <c r="G1417" s="17">
        <f>IF($F1417="","",IFERROR(INDEX(rngEPname,MATCH($F1417,rngEPcode,0)),"?"))</f>
        <v/>
      </c>
      <c r="H1417" s="17">
        <f>IF($F1417="","",IFERROR(INDEX(rngEPtype,MATCH($F1417,rngEPcode,0)),"?"))</f>
        <v/>
      </c>
      <c r="I1417" s="17">
        <f>IF($F1417="","",IFERROR(INDEX(rngEPseq,MATCH($F1417,rngEPcode,0)),""))</f>
        <v/>
      </c>
      <c r="J1417" s="17">
        <f>IF($F1417="","",IFERROR(INDEX(rngEPpass,MATCH($F1417,rngEPcode,0)),cfgPassingScore))</f>
        <v/>
      </c>
      <c r="K1417" s="16" t="n"/>
      <c r="L1417" s="16" t="n"/>
      <c r="M1417" s="17">
        <f>IF($C1417="","",IF($L1417="","",IF(NOT(ISNUMBER($L1417)),$L1417,IF(N($K1417)&gt;2,"",IF($K1417=1,IF(COUNTIFS(nrES_PID,$D1417,nrES_Code,$F1417,nrES_Att,2,nrES_Raw,"&gt;=0")&gt;0,"",$L1417),IF($L1417&gt;=$J1417,MAX($J1417,cfgRetakeRecordedCap),IF(COUNTIFS(nrES_PID,$D1417,nrES_Code,$F1417,nrES_Att,1)=0,$L1417,SUMIFS(nrES_Raw,nrES_PID,$D1417,nrES_Code,$F1417,nrES_Att,1))))))))</f>
        <v/>
      </c>
      <c r="N1417" s="17">
        <f>IF($C1417="","",IF($L1417="","",IF(NOT(ISNUMBER($L1417)),"(not a score)",IF($L1417&gt;=$J1417,"Yes","No"))))</f>
        <v/>
      </c>
      <c r="O1417" s="17">
        <f>IF($C1417="","",IF($M1417="","",IF(NOT(ISNUMBER($M1417)),"(not a score)",IF($M1417&gt;=$J1417,"Yes","No"))))</f>
        <v/>
      </c>
      <c r="P1417" s="17">
        <f>IF($C1417="","",IF($K1417="","",IF(N($K1417)&gt;2,"No",IF(COUNTIFS(nrES_PID,$D1417,nrES_Code,$F1417,nrES_Att,"&gt;"&amp;$K1417,nrES_Att,"&lt;=2",nrES_Raw,"&gt;=0")=0,"Yes","No"))))</f>
        <v/>
      </c>
      <c r="Q1417" s="17">
        <f>IF($C1417="","",IF($L1417="","",IF(AND($K1417=1,ISNUMBER($L1417),$L1417&lt;$J1417,COUNTIFS(nrES_PID,$D1417,nrES_Code,$F1417,nrES_Att,2,nrES_Raw,"&gt;=0")=0),"Yes","No")))</f>
        <v/>
      </c>
      <c r="R1417" s="17">
        <f>IF($C1417="","",IF($L1417="","",IF(AND(N($K1417)&gt;=2,ISNUMBER($L1417),$L1417&lt;$J1417),"Yes","No")))</f>
        <v/>
      </c>
      <c r="S1417" s="18" t="n"/>
      <c r="T1417" s="19">
        <f>IF(OR($C1417="",$L1417="",$K1417&lt;&gt;1,NOT(ISNUMBER($L1417)),$L1417&gt;=$J1417),"",IF($S1417="","(enter date)",_xlfn.LET(_xlpm.dn,_xlfn.XLOOKUP($S1417,nrCDdate,nrCDnum,"",1),IF(_xlpm.dn="","(after last class day)",_xlfn.LET(_xlpm.dd,_xlfn.XLOOKUP(_xlpm.dn+cfgRetestClassDays,nrCDnum,nrCDdate,""),_xlpm.ok,_xlfn.XLOOKUP(_xlpm.dn+cfgRetestClassDays,nrCDnum,nrCDinsession,"No"),IF(OR(_xlpm.dd="",_xlpm.ok&lt;&gt;"Yes"),"(after last class day)",_xlpm.dd))))))</f>
        <v/>
      </c>
      <c r="U1417" s="17">
        <f>IF($C1417="","",IF(AND($Y1417="Excused",$L1417="",N($K1417)&lt;=1),"EXCUSED - 1st attempt pending",IF(OR($L1417="",$K1417&lt;&gt;1,NOT(ISNUMBER($L1417)),$L1417&gt;=$J1417),"",IF(COUNTIFS(nrES_PID,$D1417,nrES_Code,$F1417,nrES_Att,2,nrES_Raw,"&gt;=0")&gt;0,IF(IFERROR(_xlfn.MINIFS(nrES_Date,nrES_PID,$D1417,nrES_Code,$F1417,nrES_Att,2,nrES_Raw,"&gt;=0",nrES_Date,"&gt;0"),0)=0,"RETEST UNDATED",IF(NOT(ISNUMBER($T1417)),"RETEST DATE UNCHECKED",IF(_xlfn.MINIFS(nrES_Date,nrES_PID,$D1417,nrES_Code,$F1417,nrES_Att,2,nrES_Raw,"&gt;=0",nrES_Date,"&gt;0")&gt;$T1417,"LATE RETEST "&amp;TEXT(_xlfn.MINIFS(nrES_Date,nrES_PID,$D1417,nrES_Code,$F1417,nrES_Att,2,nrES_Raw,"&gt;=0",nrES_Date,"&gt;0"),"mm/dd")&amp;" (due "&amp;TEXT($T1417,"mm/dd")&amp;")","Retested"))),IF(NOT(ISNUMBER($T1417)),"CHECK DATE",IF(TODAY()&gt;$T1417,"OVERDUE","Due "&amp;TEXT($T1417,"mm/dd")))))))</f>
        <v/>
      </c>
      <c r="V1417" s="16" t="n"/>
      <c r="W1417" s="16" t="n"/>
      <c r="X1417" s="17">
        <f>IF($C1417="","",IF(AND($L1417&lt;&gt;"",NOT(ISNUMBER($L1417))),"RAW SCORE NOT A NUMBER",IF(AND(ISNUMBER($L1417),OR($L1417&lt;0,$L1417&gt;100)),"RAW SCORE OUT OF RANGE",IF(AND($Y1417="Unexcused",OR($L1417="",NOT(ISNUMBER($L1417)),$L1417&lt;&gt;0)),"UNEXCUSED ABSENCE MUST RECORD 0",IF(COUNTIF(nrES_RecID,$B1417)&gt;1,"DUPLICATE RECORD",IF(N($K1417)&gt;2,"ATTEMPT 3+ NOT ALLOWED - policy 300.5 permits one retest per exam; this row records nothing",IF(AND($K1417=2,COUNTIFS(nrES_PID,$D1417,nrES_Code,$F1417,nrES_Att,1)=0),"ATTEMPT 2 WITHOUT ATTEMPT 1",IF(AND($K1417=2,$L1417=""),"RETEST ROW HAS NO SCORE",IF(AND($H1417="Final",$L1417&lt;&gt;"",IFERROR(INDEX(nrCKfinalExamElig,MATCH($D1417,rngCadetPIDs,0)),"")="No"),"FINAL EXAM AFTER FAILED FINAL PT (500.1.H)",IF(AND($K1417=2,ISNUMBER($L1417),COUNTIFS(nrES_PID,$D1417,nrES_Code,$F1417,nrES_Att,1)&gt;0,SUMIFS(nrES_Raw,nrES_PID,$D1417,nrES_Code,$F1417,nrES_Att,1)&gt;=$J1417),"RETEST AFTER A PASSING FIRST ATTEMPT","OK"))))))))))</f>
        <v/>
      </c>
      <c r="Y1417" s="16" t="n"/>
    </row>
    <row r="1418">
      <c r="B1418" s="17">
        <f>IF($C1418="","",$D1418&amp;"-"&amp;$F1418&amp;"-"&amp;$K1418)</f>
        <v/>
      </c>
      <c r="C1418" s="16" t="n"/>
      <c r="D1418" s="17">
        <f>IF($C1418="","",IFERROR(INDEX(rngCadetPIDs,MATCH($C1418,rngCadetNames,0)),"?"))</f>
        <v/>
      </c>
      <c r="E1418" s="17">
        <f>IF($D1418="","",IFERROR(INDEX(nrCadetAgency,MATCH($D1418,rngCadetPIDs,0)),""))</f>
        <v/>
      </c>
      <c r="F1418" s="16" t="n"/>
      <c r="G1418" s="17">
        <f>IF($F1418="","",IFERROR(INDEX(rngEPname,MATCH($F1418,rngEPcode,0)),"?"))</f>
        <v/>
      </c>
      <c r="H1418" s="17">
        <f>IF($F1418="","",IFERROR(INDEX(rngEPtype,MATCH($F1418,rngEPcode,0)),"?"))</f>
        <v/>
      </c>
      <c r="I1418" s="17">
        <f>IF($F1418="","",IFERROR(INDEX(rngEPseq,MATCH($F1418,rngEPcode,0)),""))</f>
        <v/>
      </c>
      <c r="J1418" s="17">
        <f>IF($F1418="","",IFERROR(INDEX(rngEPpass,MATCH($F1418,rngEPcode,0)),cfgPassingScore))</f>
        <v/>
      </c>
      <c r="K1418" s="16" t="n"/>
      <c r="L1418" s="16" t="n"/>
      <c r="M1418" s="17">
        <f>IF($C1418="","",IF($L1418="","",IF(NOT(ISNUMBER($L1418)),$L1418,IF(N($K1418)&gt;2,"",IF($K1418=1,IF(COUNTIFS(nrES_PID,$D1418,nrES_Code,$F1418,nrES_Att,2,nrES_Raw,"&gt;=0")&gt;0,"",$L1418),IF($L1418&gt;=$J1418,MAX($J1418,cfgRetakeRecordedCap),IF(COUNTIFS(nrES_PID,$D1418,nrES_Code,$F1418,nrES_Att,1)=0,$L1418,SUMIFS(nrES_Raw,nrES_PID,$D1418,nrES_Code,$F1418,nrES_Att,1))))))))</f>
        <v/>
      </c>
      <c r="N1418" s="17">
        <f>IF($C1418="","",IF($L1418="","",IF(NOT(ISNUMBER($L1418)),"(not a score)",IF($L1418&gt;=$J1418,"Yes","No"))))</f>
        <v/>
      </c>
      <c r="O1418" s="17">
        <f>IF($C1418="","",IF($M1418="","",IF(NOT(ISNUMBER($M1418)),"(not a score)",IF($M1418&gt;=$J1418,"Yes","No"))))</f>
        <v/>
      </c>
      <c r="P1418" s="17">
        <f>IF($C1418="","",IF($K1418="","",IF(N($K1418)&gt;2,"No",IF(COUNTIFS(nrES_PID,$D1418,nrES_Code,$F1418,nrES_Att,"&gt;"&amp;$K1418,nrES_Att,"&lt;=2",nrES_Raw,"&gt;=0")=0,"Yes","No"))))</f>
        <v/>
      </c>
      <c r="Q1418" s="17">
        <f>IF($C1418="","",IF($L1418="","",IF(AND($K1418=1,ISNUMBER($L1418),$L1418&lt;$J1418,COUNTIFS(nrES_PID,$D1418,nrES_Code,$F1418,nrES_Att,2,nrES_Raw,"&gt;=0")=0),"Yes","No")))</f>
        <v/>
      </c>
      <c r="R1418" s="17">
        <f>IF($C1418="","",IF($L1418="","",IF(AND(N($K1418)&gt;=2,ISNUMBER($L1418),$L1418&lt;$J1418),"Yes","No")))</f>
        <v/>
      </c>
      <c r="S1418" s="18" t="n"/>
      <c r="T1418" s="19">
        <f>IF(OR($C1418="",$L1418="",$K1418&lt;&gt;1,NOT(ISNUMBER($L1418)),$L1418&gt;=$J1418),"",IF($S1418="","(enter date)",_xlfn.LET(_xlpm.dn,_xlfn.XLOOKUP($S1418,nrCDdate,nrCDnum,"",1),IF(_xlpm.dn="","(after last class day)",_xlfn.LET(_xlpm.dd,_xlfn.XLOOKUP(_xlpm.dn+cfgRetestClassDays,nrCDnum,nrCDdate,""),_xlpm.ok,_xlfn.XLOOKUP(_xlpm.dn+cfgRetestClassDays,nrCDnum,nrCDinsession,"No"),IF(OR(_xlpm.dd="",_xlpm.ok&lt;&gt;"Yes"),"(after last class day)",_xlpm.dd))))))</f>
        <v/>
      </c>
      <c r="U1418" s="17">
        <f>IF($C1418="","",IF(AND($Y1418="Excused",$L1418="",N($K1418)&lt;=1),"EXCUSED - 1st attempt pending",IF(OR($L1418="",$K1418&lt;&gt;1,NOT(ISNUMBER($L1418)),$L1418&gt;=$J1418),"",IF(COUNTIFS(nrES_PID,$D1418,nrES_Code,$F1418,nrES_Att,2,nrES_Raw,"&gt;=0")&gt;0,IF(IFERROR(_xlfn.MINIFS(nrES_Date,nrES_PID,$D1418,nrES_Code,$F1418,nrES_Att,2,nrES_Raw,"&gt;=0",nrES_Date,"&gt;0"),0)=0,"RETEST UNDATED",IF(NOT(ISNUMBER($T1418)),"RETEST DATE UNCHECKED",IF(_xlfn.MINIFS(nrES_Date,nrES_PID,$D1418,nrES_Code,$F1418,nrES_Att,2,nrES_Raw,"&gt;=0",nrES_Date,"&gt;0")&gt;$T1418,"LATE RETEST "&amp;TEXT(_xlfn.MINIFS(nrES_Date,nrES_PID,$D1418,nrES_Code,$F1418,nrES_Att,2,nrES_Raw,"&gt;=0",nrES_Date,"&gt;0"),"mm/dd")&amp;" (due "&amp;TEXT($T1418,"mm/dd")&amp;")","Retested"))),IF(NOT(ISNUMBER($T1418)),"CHECK DATE",IF(TODAY()&gt;$T1418,"OVERDUE","Due "&amp;TEXT($T1418,"mm/dd")))))))</f>
        <v/>
      </c>
      <c r="V1418" s="16" t="n"/>
      <c r="W1418" s="16" t="n"/>
      <c r="X1418" s="17">
        <f>IF($C1418="","",IF(AND($L1418&lt;&gt;"",NOT(ISNUMBER($L1418))),"RAW SCORE NOT A NUMBER",IF(AND(ISNUMBER($L1418),OR($L1418&lt;0,$L1418&gt;100)),"RAW SCORE OUT OF RANGE",IF(AND($Y1418="Unexcused",OR($L1418="",NOT(ISNUMBER($L1418)),$L1418&lt;&gt;0)),"UNEXCUSED ABSENCE MUST RECORD 0",IF(COUNTIF(nrES_RecID,$B1418)&gt;1,"DUPLICATE RECORD",IF(N($K1418)&gt;2,"ATTEMPT 3+ NOT ALLOWED - policy 300.5 permits one retest per exam; this row records nothing",IF(AND($K1418=2,COUNTIFS(nrES_PID,$D1418,nrES_Code,$F1418,nrES_Att,1)=0),"ATTEMPT 2 WITHOUT ATTEMPT 1",IF(AND($K1418=2,$L1418=""),"RETEST ROW HAS NO SCORE",IF(AND($H1418="Final",$L1418&lt;&gt;"",IFERROR(INDEX(nrCKfinalExamElig,MATCH($D1418,rngCadetPIDs,0)),"")="No"),"FINAL EXAM AFTER FAILED FINAL PT (500.1.H)",IF(AND($K1418=2,ISNUMBER($L1418),COUNTIFS(nrES_PID,$D1418,nrES_Code,$F1418,nrES_Att,1)&gt;0,SUMIFS(nrES_Raw,nrES_PID,$D1418,nrES_Code,$F1418,nrES_Att,1)&gt;=$J1418),"RETEST AFTER A PASSING FIRST ATTEMPT","OK"))))))))))</f>
        <v/>
      </c>
      <c r="Y1418" s="16" t="n"/>
    </row>
    <row r="1419">
      <c r="B1419" s="17">
        <f>IF($C1419="","",$D1419&amp;"-"&amp;$F1419&amp;"-"&amp;$K1419)</f>
        <v/>
      </c>
      <c r="C1419" s="16" t="n"/>
      <c r="D1419" s="17">
        <f>IF($C1419="","",IFERROR(INDEX(rngCadetPIDs,MATCH($C1419,rngCadetNames,0)),"?"))</f>
        <v/>
      </c>
      <c r="E1419" s="17">
        <f>IF($D1419="","",IFERROR(INDEX(nrCadetAgency,MATCH($D1419,rngCadetPIDs,0)),""))</f>
        <v/>
      </c>
      <c r="F1419" s="16" t="n"/>
      <c r="G1419" s="17">
        <f>IF($F1419="","",IFERROR(INDEX(rngEPname,MATCH($F1419,rngEPcode,0)),"?"))</f>
        <v/>
      </c>
      <c r="H1419" s="17">
        <f>IF($F1419="","",IFERROR(INDEX(rngEPtype,MATCH($F1419,rngEPcode,0)),"?"))</f>
        <v/>
      </c>
      <c r="I1419" s="17">
        <f>IF($F1419="","",IFERROR(INDEX(rngEPseq,MATCH($F1419,rngEPcode,0)),""))</f>
        <v/>
      </c>
      <c r="J1419" s="17">
        <f>IF($F1419="","",IFERROR(INDEX(rngEPpass,MATCH($F1419,rngEPcode,0)),cfgPassingScore))</f>
        <v/>
      </c>
      <c r="K1419" s="16" t="n"/>
      <c r="L1419" s="16" t="n"/>
      <c r="M1419" s="17">
        <f>IF($C1419="","",IF($L1419="","",IF(NOT(ISNUMBER($L1419)),$L1419,IF(N($K1419)&gt;2,"",IF($K1419=1,IF(COUNTIFS(nrES_PID,$D1419,nrES_Code,$F1419,nrES_Att,2,nrES_Raw,"&gt;=0")&gt;0,"",$L1419),IF($L1419&gt;=$J1419,MAX($J1419,cfgRetakeRecordedCap),IF(COUNTIFS(nrES_PID,$D1419,nrES_Code,$F1419,nrES_Att,1)=0,$L1419,SUMIFS(nrES_Raw,nrES_PID,$D1419,nrES_Code,$F1419,nrES_Att,1))))))))</f>
        <v/>
      </c>
      <c r="N1419" s="17">
        <f>IF($C1419="","",IF($L1419="","",IF(NOT(ISNUMBER($L1419)),"(not a score)",IF($L1419&gt;=$J1419,"Yes","No"))))</f>
        <v/>
      </c>
      <c r="O1419" s="17">
        <f>IF($C1419="","",IF($M1419="","",IF(NOT(ISNUMBER($M1419)),"(not a score)",IF($M1419&gt;=$J1419,"Yes","No"))))</f>
        <v/>
      </c>
      <c r="P1419" s="17">
        <f>IF($C1419="","",IF($K1419="","",IF(N($K1419)&gt;2,"No",IF(COUNTIFS(nrES_PID,$D1419,nrES_Code,$F1419,nrES_Att,"&gt;"&amp;$K1419,nrES_Att,"&lt;=2",nrES_Raw,"&gt;=0")=0,"Yes","No"))))</f>
        <v/>
      </c>
      <c r="Q1419" s="17">
        <f>IF($C1419="","",IF($L1419="","",IF(AND($K1419=1,ISNUMBER($L1419),$L1419&lt;$J1419,COUNTIFS(nrES_PID,$D1419,nrES_Code,$F1419,nrES_Att,2,nrES_Raw,"&gt;=0")=0),"Yes","No")))</f>
        <v/>
      </c>
      <c r="R1419" s="17">
        <f>IF($C1419="","",IF($L1419="","",IF(AND(N($K1419)&gt;=2,ISNUMBER($L1419),$L1419&lt;$J1419),"Yes","No")))</f>
        <v/>
      </c>
      <c r="S1419" s="18" t="n"/>
      <c r="T1419" s="19">
        <f>IF(OR($C1419="",$L1419="",$K1419&lt;&gt;1,NOT(ISNUMBER($L1419)),$L1419&gt;=$J1419),"",IF($S1419="","(enter date)",_xlfn.LET(_xlpm.dn,_xlfn.XLOOKUP($S1419,nrCDdate,nrCDnum,"",1),IF(_xlpm.dn="","(after last class day)",_xlfn.LET(_xlpm.dd,_xlfn.XLOOKUP(_xlpm.dn+cfgRetestClassDays,nrCDnum,nrCDdate,""),_xlpm.ok,_xlfn.XLOOKUP(_xlpm.dn+cfgRetestClassDays,nrCDnum,nrCDinsession,"No"),IF(OR(_xlpm.dd="",_xlpm.ok&lt;&gt;"Yes"),"(after last class day)",_xlpm.dd))))))</f>
        <v/>
      </c>
      <c r="U1419" s="17">
        <f>IF($C1419="","",IF(AND($Y1419="Excused",$L1419="",N($K1419)&lt;=1),"EXCUSED - 1st attempt pending",IF(OR($L1419="",$K1419&lt;&gt;1,NOT(ISNUMBER($L1419)),$L1419&gt;=$J1419),"",IF(COUNTIFS(nrES_PID,$D1419,nrES_Code,$F1419,nrES_Att,2,nrES_Raw,"&gt;=0")&gt;0,IF(IFERROR(_xlfn.MINIFS(nrES_Date,nrES_PID,$D1419,nrES_Code,$F1419,nrES_Att,2,nrES_Raw,"&gt;=0",nrES_Date,"&gt;0"),0)=0,"RETEST UNDATED",IF(NOT(ISNUMBER($T1419)),"RETEST DATE UNCHECKED",IF(_xlfn.MINIFS(nrES_Date,nrES_PID,$D1419,nrES_Code,$F1419,nrES_Att,2,nrES_Raw,"&gt;=0",nrES_Date,"&gt;0")&gt;$T1419,"LATE RETEST "&amp;TEXT(_xlfn.MINIFS(nrES_Date,nrES_PID,$D1419,nrES_Code,$F1419,nrES_Att,2,nrES_Raw,"&gt;=0",nrES_Date,"&gt;0"),"mm/dd")&amp;" (due "&amp;TEXT($T1419,"mm/dd")&amp;")","Retested"))),IF(NOT(ISNUMBER($T1419)),"CHECK DATE",IF(TODAY()&gt;$T1419,"OVERDUE","Due "&amp;TEXT($T1419,"mm/dd")))))))</f>
        <v/>
      </c>
      <c r="V1419" s="16" t="n"/>
      <c r="W1419" s="16" t="n"/>
      <c r="X1419" s="17">
        <f>IF($C1419="","",IF(AND($L1419&lt;&gt;"",NOT(ISNUMBER($L1419))),"RAW SCORE NOT A NUMBER",IF(AND(ISNUMBER($L1419),OR($L1419&lt;0,$L1419&gt;100)),"RAW SCORE OUT OF RANGE",IF(AND($Y1419="Unexcused",OR($L1419="",NOT(ISNUMBER($L1419)),$L1419&lt;&gt;0)),"UNEXCUSED ABSENCE MUST RECORD 0",IF(COUNTIF(nrES_RecID,$B1419)&gt;1,"DUPLICATE RECORD",IF(N($K1419)&gt;2,"ATTEMPT 3+ NOT ALLOWED - policy 300.5 permits one retest per exam; this row records nothing",IF(AND($K1419=2,COUNTIFS(nrES_PID,$D1419,nrES_Code,$F1419,nrES_Att,1)=0),"ATTEMPT 2 WITHOUT ATTEMPT 1",IF(AND($K1419=2,$L1419=""),"RETEST ROW HAS NO SCORE",IF(AND($H1419="Final",$L1419&lt;&gt;"",IFERROR(INDEX(nrCKfinalExamElig,MATCH($D1419,rngCadetPIDs,0)),"")="No"),"FINAL EXAM AFTER FAILED FINAL PT (500.1.H)",IF(AND($K1419=2,ISNUMBER($L1419),COUNTIFS(nrES_PID,$D1419,nrES_Code,$F1419,nrES_Att,1)&gt;0,SUMIFS(nrES_Raw,nrES_PID,$D1419,nrES_Code,$F1419,nrES_Att,1)&gt;=$J1419),"RETEST AFTER A PASSING FIRST ATTEMPT","OK"))))))))))</f>
        <v/>
      </c>
      <c r="Y1419" s="16" t="n"/>
    </row>
    <row r="1420">
      <c r="B1420" s="17">
        <f>IF($C1420="","",$D1420&amp;"-"&amp;$F1420&amp;"-"&amp;$K1420)</f>
        <v/>
      </c>
      <c r="C1420" s="16" t="n"/>
      <c r="D1420" s="17">
        <f>IF($C1420="","",IFERROR(INDEX(rngCadetPIDs,MATCH($C1420,rngCadetNames,0)),"?"))</f>
        <v/>
      </c>
      <c r="E1420" s="17">
        <f>IF($D1420="","",IFERROR(INDEX(nrCadetAgency,MATCH($D1420,rngCadetPIDs,0)),""))</f>
        <v/>
      </c>
      <c r="F1420" s="16" t="n"/>
      <c r="G1420" s="17">
        <f>IF($F1420="","",IFERROR(INDEX(rngEPname,MATCH($F1420,rngEPcode,0)),"?"))</f>
        <v/>
      </c>
      <c r="H1420" s="17">
        <f>IF($F1420="","",IFERROR(INDEX(rngEPtype,MATCH($F1420,rngEPcode,0)),"?"))</f>
        <v/>
      </c>
      <c r="I1420" s="17">
        <f>IF($F1420="","",IFERROR(INDEX(rngEPseq,MATCH($F1420,rngEPcode,0)),""))</f>
        <v/>
      </c>
      <c r="J1420" s="17">
        <f>IF($F1420="","",IFERROR(INDEX(rngEPpass,MATCH($F1420,rngEPcode,0)),cfgPassingScore))</f>
        <v/>
      </c>
      <c r="K1420" s="16" t="n"/>
      <c r="L1420" s="16" t="n"/>
      <c r="M1420" s="17">
        <f>IF($C1420="","",IF($L1420="","",IF(NOT(ISNUMBER($L1420)),$L1420,IF(N($K1420)&gt;2,"",IF($K1420=1,IF(COUNTIFS(nrES_PID,$D1420,nrES_Code,$F1420,nrES_Att,2,nrES_Raw,"&gt;=0")&gt;0,"",$L1420),IF($L1420&gt;=$J1420,MAX($J1420,cfgRetakeRecordedCap),IF(COUNTIFS(nrES_PID,$D1420,nrES_Code,$F1420,nrES_Att,1)=0,$L1420,SUMIFS(nrES_Raw,nrES_PID,$D1420,nrES_Code,$F1420,nrES_Att,1))))))))</f>
        <v/>
      </c>
      <c r="N1420" s="17">
        <f>IF($C1420="","",IF($L1420="","",IF(NOT(ISNUMBER($L1420)),"(not a score)",IF($L1420&gt;=$J1420,"Yes","No"))))</f>
        <v/>
      </c>
      <c r="O1420" s="17">
        <f>IF($C1420="","",IF($M1420="","",IF(NOT(ISNUMBER($M1420)),"(not a score)",IF($M1420&gt;=$J1420,"Yes","No"))))</f>
        <v/>
      </c>
      <c r="P1420" s="17">
        <f>IF($C1420="","",IF($K1420="","",IF(N($K1420)&gt;2,"No",IF(COUNTIFS(nrES_PID,$D1420,nrES_Code,$F1420,nrES_Att,"&gt;"&amp;$K1420,nrES_Att,"&lt;=2",nrES_Raw,"&gt;=0")=0,"Yes","No"))))</f>
        <v/>
      </c>
      <c r="Q1420" s="17">
        <f>IF($C1420="","",IF($L1420="","",IF(AND($K1420=1,ISNUMBER($L1420),$L1420&lt;$J1420,COUNTIFS(nrES_PID,$D1420,nrES_Code,$F1420,nrES_Att,2,nrES_Raw,"&gt;=0")=0),"Yes","No")))</f>
        <v/>
      </c>
      <c r="R1420" s="17">
        <f>IF($C1420="","",IF($L1420="","",IF(AND(N($K1420)&gt;=2,ISNUMBER($L1420),$L1420&lt;$J1420),"Yes","No")))</f>
        <v/>
      </c>
      <c r="S1420" s="18" t="n"/>
      <c r="T1420" s="19">
        <f>IF(OR($C1420="",$L1420="",$K1420&lt;&gt;1,NOT(ISNUMBER($L1420)),$L1420&gt;=$J1420),"",IF($S1420="","(enter date)",_xlfn.LET(_xlpm.dn,_xlfn.XLOOKUP($S1420,nrCDdate,nrCDnum,"",1),IF(_xlpm.dn="","(after last class day)",_xlfn.LET(_xlpm.dd,_xlfn.XLOOKUP(_xlpm.dn+cfgRetestClassDays,nrCDnum,nrCDdate,""),_xlpm.ok,_xlfn.XLOOKUP(_xlpm.dn+cfgRetestClassDays,nrCDnum,nrCDinsession,"No"),IF(OR(_xlpm.dd="",_xlpm.ok&lt;&gt;"Yes"),"(after last class day)",_xlpm.dd))))))</f>
        <v/>
      </c>
      <c r="U1420" s="17">
        <f>IF($C1420="","",IF(AND($Y1420="Excused",$L1420="",N($K1420)&lt;=1),"EXCUSED - 1st attempt pending",IF(OR($L1420="",$K1420&lt;&gt;1,NOT(ISNUMBER($L1420)),$L1420&gt;=$J1420),"",IF(COUNTIFS(nrES_PID,$D1420,nrES_Code,$F1420,nrES_Att,2,nrES_Raw,"&gt;=0")&gt;0,IF(IFERROR(_xlfn.MINIFS(nrES_Date,nrES_PID,$D1420,nrES_Code,$F1420,nrES_Att,2,nrES_Raw,"&gt;=0",nrES_Date,"&gt;0"),0)=0,"RETEST UNDATED",IF(NOT(ISNUMBER($T1420)),"RETEST DATE UNCHECKED",IF(_xlfn.MINIFS(nrES_Date,nrES_PID,$D1420,nrES_Code,$F1420,nrES_Att,2,nrES_Raw,"&gt;=0",nrES_Date,"&gt;0")&gt;$T1420,"LATE RETEST "&amp;TEXT(_xlfn.MINIFS(nrES_Date,nrES_PID,$D1420,nrES_Code,$F1420,nrES_Att,2,nrES_Raw,"&gt;=0",nrES_Date,"&gt;0"),"mm/dd")&amp;" (due "&amp;TEXT($T1420,"mm/dd")&amp;")","Retested"))),IF(NOT(ISNUMBER($T1420)),"CHECK DATE",IF(TODAY()&gt;$T1420,"OVERDUE","Due "&amp;TEXT($T1420,"mm/dd")))))))</f>
        <v/>
      </c>
      <c r="V1420" s="16" t="n"/>
      <c r="W1420" s="16" t="n"/>
      <c r="X1420" s="17">
        <f>IF($C1420="","",IF(AND($L1420&lt;&gt;"",NOT(ISNUMBER($L1420))),"RAW SCORE NOT A NUMBER",IF(AND(ISNUMBER($L1420),OR($L1420&lt;0,$L1420&gt;100)),"RAW SCORE OUT OF RANGE",IF(AND($Y1420="Unexcused",OR($L1420="",NOT(ISNUMBER($L1420)),$L1420&lt;&gt;0)),"UNEXCUSED ABSENCE MUST RECORD 0",IF(COUNTIF(nrES_RecID,$B1420)&gt;1,"DUPLICATE RECORD",IF(N($K1420)&gt;2,"ATTEMPT 3+ NOT ALLOWED - policy 300.5 permits one retest per exam; this row records nothing",IF(AND($K1420=2,COUNTIFS(nrES_PID,$D1420,nrES_Code,$F1420,nrES_Att,1)=0),"ATTEMPT 2 WITHOUT ATTEMPT 1",IF(AND($K1420=2,$L1420=""),"RETEST ROW HAS NO SCORE",IF(AND($H1420="Final",$L1420&lt;&gt;"",IFERROR(INDEX(nrCKfinalExamElig,MATCH($D1420,rngCadetPIDs,0)),"")="No"),"FINAL EXAM AFTER FAILED FINAL PT (500.1.H)",IF(AND($K1420=2,ISNUMBER($L1420),COUNTIFS(nrES_PID,$D1420,nrES_Code,$F1420,nrES_Att,1)&gt;0,SUMIFS(nrES_Raw,nrES_PID,$D1420,nrES_Code,$F1420,nrES_Att,1)&gt;=$J1420),"RETEST AFTER A PASSING FIRST ATTEMPT","OK"))))))))))</f>
        <v/>
      </c>
      <c r="Y1420" s="16" t="n"/>
    </row>
    <row r="1421">
      <c r="B1421" s="17">
        <f>IF($C1421="","",$D1421&amp;"-"&amp;$F1421&amp;"-"&amp;$K1421)</f>
        <v/>
      </c>
      <c r="C1421" s="16" t="n"/>
      <c r="D1421" s="17">
        <f>IF($C1421="","",IFERROR(INDEX(rngCadetPIDs,MATCH($C1421,rngCadetNames,0)),"?"))</f>
        <v/>
      </c>
      <c r="E1421" s="17">
        <f>IF($D1421="","",IFERROR(INDEX(nrCadetAgency,MATCH($D1421,rngCadetPIDs,0)),""))</f>
        <v/>
      </c>
      <c r="F1421" s="16" t="n"/>
      <c r="G1421" s="17">
        <f>IF($F1421="","",IFERROR(INDEX(rngEPname,MATCH($F1421,rngEPcode,0)),"?"))</f>
        <v/>
      </c>
      <c r="H1421" s="17">
        <f>IF($F1421="","",IFERROR(INDEX(rngEPtype,MATCH($F1421,rngEPcode,0)),"?"))</f>
        <v/>
      </c>
      <c r="I1421" s="17">
        <f>IF($F1421="","",IFERROR(INDEX(rngEPseq,MATCH($F1421,rngEPcode,0)),""))</f>
        <v/>
      </c>
      <c r="J1421" s="17">
        <f>IF($F1421="","",IFERROR(INDEX(rngEPpass,MATCH($F1421,rngEPcode,0)),cfgPassingScore))</f>
        <v/>
      </c>
      <c r="K1421" s="16" t="n"/>
      <c r="L1421" s="16" t="n"/>
      <c r="M1421" s="17">
        <f>IF($C1421="","",IF($L1421="","",IF(NOT(ISNUMBER($L1421)),$L1421,IF(N($K1421)&gt;2,"",IF($K1421=1,IF(COUNTIFS(nrES_PID,$D1421,nrES_Code,$F1421,nrES_Att,2,nrES_Raw,"&gt;=0")&gt;0,"",$L1421),IF($L1421&gt;=$J1421,MAX($J1421,cfgRetakeRecordedCap),IF(COUNTIFS(nrES_PID,$D1421,nrES_Code,$F1421,nrES_Att,1)=0,$L1421,SUMIFS(nrES_Raw,nrES_PID,$D1421,nrES_Code,$F1421,nrES_Att,1))))))))</f>
        <v/>
      </c>
      <c r="N1421" s="17">
        <f>IF($C1421="","",IF($L1421="","",IF(NOT(ISNUMBER($L1421)),"(not a score)",IF($L1421&gt;=$J1421,"Yes","No"))))</f>
        <v/>
      </c>
      <c r="O1421" s="17">
        <f>IF($C1421="","",IF($M1421="","",IF(NOT(ISNUMBER($M1421)),"(not a score)",IF($M1421&gt;=$J1421,"Yes","No"))))</f>
        <v/>
      </c>
      <c r="P1421" s="17">
        <f>IF($C1421="","",IF($K1421="","",IF(N($K1421)&gt;2,"No",IF(COUNTIFS(nrES_PID,$D1421,nrES_Code,$F1421,nrES_Att,"&gt;"&amp;$K1421,nrES_Att,"&lt;=2",nrES_Raw,"&gt;=0")=0,"Yes","No"))))</f>
        <v/>
      </c>
      <c r="Q1421" s="17">
        <f>IF($C1421="","",IF($L1421="","",IF(AND($K1421=1,ISNUMBER($L1421),$L1421&lt;$J1421,COUNTIFS(nrES_PID,$D1421,nrES_Code,$F1421,nrES_Att,2,nrES_Raw,"&gt;=0")=0),"Yes","No")))</f>
        <v/>
      </c>
      <c r="R1421" s="17">
        <f>IF($C1421="","",IF($L1421="","",IF(AND(N($K1421)&gt;=2,ISNUMBER($L1421),$L1421&lt;$J1421),"Yes","No")))</f>
        <v/>
      </c>
      <c r="S1421" s="18" t="n"/>
      <c r="T1421" s="19">
        <f>IF(OR($C1421="",$L1421="",$K1421&lt;&gt;1,NOT(ISNUMBER($L1421)),$L1421&gt;=$J1421),"",IF($S1421="","(enter date)",_xlfn.LET(_xlpm.dn,_xlfn.XLOOKUP($S1421,nrCDdate,nrCDnum,"",1),IF(_xlpm.dn="","(after last class day)",_xlfn.LET(_xlpm.dd,_xlfn.XLOOKUP(_xlpm.dn+cfgRetestClassDays,nrCDnum,nrCDdate,""),_xlpm.ok,_xlfn.XLOOKUP(_xlpm.dn+cfgRetestClassDays,nrCDnum,nrCDinsession,"No"),IF(OR(_xlpm.dd="",_xlpm.ok&lt;&gt;"Yes"),"(after last class day)",_xlpm.dd))))))</f>
        <v/>
      </c>
      <c r="U1421" s="17">
        <f>IF($C1421="","",IF(AND($Y1421="Excused",$L1421="",N($K1421)&lt;=1),"EXCUSED - 1st attempt pending",IF(OR($L1421="",$K1421&lt;&gt;1,NOT(ISNUMBER($L1421)),$L1421&gt;=$J1421),"",IF(COUNTIFS(nrES_PID,$D1421,nrES_Code,$F1421,nrES_Att,2,nrES_Raw,"&gt;=0")&gt;0,IF(IFERROR(_xlfn.MINIFS(nrES_Date,nrES_PID,$D1421,nrES_Code,$F1421,nrES_Att,2,nrES_Raw,"&gt;=0",nrES_Date,"&gt;0"),0)=0,"RETEST UNDATED",IF(NOT(ISNUMBER($T1421)),"RETEST DATE UNCHECKED",IF(_xlfn.MINIFS(nrES_Date,nrES_PID,$D1421,nrES_Code,$F1421,nrES_Att,2,nrES_Raw,"&gt;=0",nrES_Date,"&gt;0")&gt;$T1421,"LATE RETEST "&amp;TEXT(_xlfn.MINIFS(nrES_Date,nrES_PID,$D1421,nrES_Code,$F1421,nrES_Att,2,nrES_Raw,"&gt;=0",nrES_Date,"&gt;0"),"mm/dd")&amp;" (due "&amp;TEXT($T1421,"mm/dd")&amp;")","Retested"))),IF(NOT(ISNUMBER($T1421)),"CHECK DATE",IF(TODAY()&gt;$T1421,"OVERDUE","Due "&amp;TEXT($T1421,"mm/dd")))))))</f>
        <v/>
      </c>
      <c r="V1421" s="16" t="n"/>
      <c r="W1421" s="16" t="n"/>
      <c r="X1421" s="17">
        <f>IF($C1421="","",IF(AND($L1421&lt;&gt;"",NOT(ISNUMBER($L1421))),"RAW SCORE NOT A NUMBER",IF(AND(ISNUMBER($L1421),OR($L1421&lt;0,$L1421&gt;100)),"RAW SCORE OUT OF RANGE",IF(AND($Y1421="Unexcused",OR($L1421="",NOT(ISNUMBER($L1421)),$L1421&lt;&gt;0)),"UNEXCUSED ABSENCE MUST RECORD 0",IF(COUNTIF(nrES_RecID,$B1421)&gt;1,"DUPLICATE RECORD",IF(N($K1421)&gt;2,"ATTEMPT 3+ NOT ALLOWED - policy 300.5 permits one retest per exam; this row records nothing",IF(AND($K1421=2,COUNTIFS(nrES_PID,$D1421,nrES_Code,$F1421,nrES_Att,1)=0),"ATTEMPT 2 WITHOUT ATTEMPT 1",IF(AND($K1421=2,$L1421=""),"RETEST ROW HAS NO SCORE",IF(AND($H1421="Final",$L1421&lt;&gt;"",IFERROR(INDEX(nrCKfinalExamElig,MATCH($D1421,rngCadetPIDs,0)),"")="No"),"FINAL EXAM AFTER FAILED FINAL PT (500.1.H)",IF(AND($K1421=2,ISNUMBER($L1421),COUNTIFS(nrES_PID,$D1421,nrES_Code,$F1421,nrES_Att,1)&gt;0,SUMIFS(nrES_Raw,nrES_PID,$D1421,nrES_Code,$F1421,nrES_Att,1)&gt;=$J1421),"RETEST AFTER A PASSING FIRST ATTEMPT","OK"))))))))))</f>
        <v/>
      </c>
      <c r="Y1421" s="16" t="n"/>
    </row>
    <row r="1422">
      <c r="B1422" s="17">
        <f>IF($C1422="","",$D1422&amp;"-"&amp;$F1422&amp;"-"&amp;$K1422)</f>
        <v/>
      </c>
      <c r="C1422" s="16" t="n"/>
      <c r="D1422" s="17">
        <f>IF($C1422="","",IFERROR(INDEX(rngCadetPIDs,MATCH($C1422,rngCadetNames,0)),"?"))</f>
        <v/>
      </c>
      <c r="E1422" s="17">
        <f>IF($D1422="","",IFERROR(INDEX(nrCadetAgency,MATCH($D1422,rngCadetPIDs,0)),""))</f>
        <v/>
      </c>
      <c r="F1422" s="16" t="n"/>
      <c r="G1422" s="17">
        <f>IF($F1422="","",IFERROR(INDEX(rngEPname,MATCH($F1422,rngEPcode,0)),"?"))</f>
        <v/>
      </c>
      <c r="H1422" s="17">
        <f>IF($F1422="","",IFERROR(INDEX(rngEPtype,MATCH($F1422,rngEPcode,0)),"?"))</f>
        <v/>
      </c>
      <c r="I1422" s="17">
        <f>IF($F1422="","",IFERROR(INDEX(rngEPseq,MATCH($F1422,rngEPcode,0)),""))</f>
        <v/>
      </c>
      <c r="J1422" s="17">
        <f>IF($F1422="","",IFERROR(INDEX(rngEPpass,MATCH($F1422,rngEPcode,0)),cfgPassingScore))</f>
        <v/>
      </c>
      <c r="K1422" s="16" t="n"/>
      <c r="L1422" s="16" t="n"/>
      <c r="M1422" s="17">
        <f>IF($C1422="","",IF($L1422="","",IF(NOT(ISNUMBER($L1422)),$L1422,IF(N($K1422)&gt;2,"",IF($K1422=1,IF(COUNTIFS(nrES_PID,$D1422,nrES_Code,$F1422,nrES_Att,2,nrES_Raw,"&gt;=0")&gt;0,"",$L1422),IF($L1422&gt;=$J1422,MAX($J1422,cfgRetakeRecordedCap),IF(COUNTIFS(nrES_PID,$D1422,nrES_Code,$F1422,nrES_Att,1)=0,$L1422,SUMIFS(nrES_Raw,nrES_PID,$D1422,nrES_Code,$F1422,nrES_Att,1))))))))</f>
        <v/>
      </c>
      <c r="N1422" s="17">
        <f>IF($C1422="","",IF($L1422="","",IF(NOT(ISNUMBER($L1422)),"(not a score)",IF($L1422&gt;=$J1422,"Yes","No"))))</f>
        <v/>
      </c>
      <c r="O1422" s="17">
        <f>IF($C1422="","",IF($M1422="","",IF(NOT(ISNUMBER($M1422)),"(not a score)",IF($M1422&gt;=$J1422,"Yes","No"))))</f>
        <v/>
      </c>
      <c r="P1422" s="17">
        <f>IF($C1422="","",IF($K1422="","",IF(N($K1422)&gt;2,"No",IF(COUNTIFS(nrES_PID,$D1422,nrES_Code,$F1422,nrES_Att,"&gt;"&amp;$K1422,nrES_Att,"&lt;=2",nrES_Raw,"&gt;=0")=0,"Yes","No"))))</f>
        <v/>
      </c>
      <c r="Q1422" s="17">
        <f>IF($C1422="","",IF($L1422="","",IF(AND($K1422=1,ISNUMBER($L1422),$L1422&lt;$J1422,COUNTIFS(nrES_PID,$D1422,nrES_Code,$F1422,nrES_Att,2,nrES_Raw,"&gt;=0")=0),"Yes","No")))</f>
        <v/>
      </c>
      <c r="R1422" s="17">
        <f>IF($C1422="","",IF($L1422="","",IF(AND(N($K1422)&gt;=2,ISNUMBER($L1422),$L1422&lt;$J1422),"Yes","No")))</f>
        <v/>
      </c>
      <c r="S1422" s="18" t="n"/>
      <c r="T1422" s="19">
        <f>IF(OR($C1422="",$L1422="",$K1422&lt;&gt;1,NOT(ISNUMBER($L1422)),$L1422&gt;=$J1422),"",IF($S1422="","(enter date)",_xlfn.LET(_xlpm.dn,_xlfn.XLOOKUP($S1422,nrCDdate,nrCDnum,"",1),IF(_xlpm.dn="","(after last class day)",_xlfn.LET(_xlpm.dd,_xlfn.XLOOKUP(_xlpm.dn+cfgRetestClassDays,nrCDnum,nrCDdate,""),_xlpm.ok,_xlfn.XLOOKUP(_xlpm.dn+cfgRetestClassDays,nrCDnum,nrCDinsession,"No"),IF(OR(_xlpm.dd="",_xlpm.ok&lt;&gt;"Yes"),"(after last class day)",_xlpm.dd))))))</f>
        <v/>
      </c>
      <c r="U1422" s="17">
        <f>IF($C1422="","",IF(AND($Y1422="Excused",$L1422="",N($K1422)&lt;=1),"EXCUSED - 1st attempt pending",IF(OR($L1422="",$K1422&lt;&gt;1,NOT(ISNUMBER($L1422)),$L1422&gt;=$J1422),"",IF(COUNTIFS(nrES_PID,$D1422,nrES_Code,$F1422,nrES_Att,2,nrES_Raw,"&gt;=0")&gt;0,IF(IFERROR(_xlfn.MINIFS(nrES_Date,nrES_PID,$D1422,nrES_Code,$F1422,nrES_Att,2,nrES_Raw,"&gt;=0",nrES_Date,"&gt;0"),0)=0,"RETEST UNDATED",IF(NOT(ISNUMBER($T1422)),"RETEST DATE UNCHECKED",IF(_xlfn.MINIFS(nrES_Date,nrES_PID,$D1422,nrES_Code,$F1422,nrES_Att,2,nrES_Raw,"&gt;=0",nrES_Date,"&gt;0")&gt;$T1422,"LATE RETEST "&amp;TEXT(_xlfn.MINIFS(nrES_Date,nrES_PID,$D1422,nrES_Code,$F1422,nrES_Att,2,nrES_Raw,"&gt;=0",nrES_Date,"&gt;0"),"mm/dd")&amp;" (due "&amp;TEXT($T1422,"mm/dd")&amp;")","Retested"))),IF(NOT(ISNUMBER($T1422)),"CHECK DATE",IF(TODAY()&gt;$T1422,"OVERDUE","Due "&amp;TEXT($T1422,"mm/dd")))))))</f>
        <v/>
      </c>
      <c r="V1422" s="16" t="n"/>
      <c r="W1422" s="16" t="n"/>
      <c r="X1422" s="17">
        <f>IF($C1422="","",IF(AND($L1422&lt;&gt;"",NOT(ISNUMBER($L1422))),"RAW SCORE NOT A NUMBER",IF(AND(ISNUMBER($L1422),OR($L1422&lt;0,$L1422&gt;100)),"RAW SCORE OUT OF RANGE",IF(AND($Y1422="Unexcused",OR($L1422="",NOT(ISNUMBER($L1422)),$L1422&lt;&gt;0)),"UNEXCUSED ABSENCE MUST RECORD 0",IF(COUNTIF(nrES_RecID,$B1422)&gt;1,"DUPLICATE RECORD",IF(N($K1422)&gt;2,"ATTEMPT 3+ NOT ALLOWED - policy 300.5 permits one retest per exam; this row records nothing",IF(AND($K1422=2,COUNTIFS(nrES_PID,$D1422,nrES_Code,$F1422,nrES_Att,1)=0),"ATTEMPT 2 WITHOUT ATTEMPT 1",IF(AND($K1422=2,$L1422=""),"RETEST ROW HAS NO SCORE",IF(AND($H1422="Final",$L1422&lt;&gt;"",IFERROR(INDEX(nrCKfinalExamElig,MATCH($D1422,rngCadetPIDs,0)),"")="No"),"FINAL EXAM AFTER FAILED FINAL PT (500.1.H)",IF(AND($K1422=2,ISNUMBER($L1422),COUNTIFS(nrES_PID,$D1422,nrES_Code,$F1422,nrES_Att,1)&gt;0,SUMIFS(nrES_Raw,nrES_PID,$D1422,nrES_Code,$F1422,nrES_Att,1)&gt;=$J1422),"RETEST AFTER A PASSING FIRST ATTEMPT","OK"))))))))))</f>
        <v/>
      </c>
      <c r="Y1422" s="16" t="n"/>
    </row>
    <row r="1423">
      <c r="B1423" s="17">
        <f>IF($C1423="","",$D1423&amp;"-"&amp;$F1423&amp;"-"&amp;$K1423)</f>
        <v/>
      </c>
      <c r="C1423" s="16" t="n"/>
      <c r="D1423" s="17">
        <f>IF($C1423="","",IFERROR(INDEX(rngCadetPIDs,MATCH($C1423,rngCadetNames,0)),"?"))</f>
        <v/>
      </c>
      <c r="E1423" s="17">
        <f>IF($D1423="","",IFERROR(INDEX(nrCadetAgency,MATCH($D1423,rngCadetPIDs,0)),""))</f>
        <v/>
      </c>
      <c r="F1423" s="16" t="n"/>
      <c r="G1423" s="17">
        <f>IF($F1423="","",IFERROR(INDEX(rngEPname,MATCH($F1423,rngEPcode,0)),"?"))</f>
        <v/>
      </c>
      <c r="H1423" s="17">
        <f>IF($F1423="","",IFERROR(INDEX(rngEPtype,MATCH($F1423,rngEPcode,0)),"?"))</f>
        <v/>
      </c>
      <c r="I1423" s="17">
        <f>IF($F1423="","",IFERROR(INDEX(rngEPseq,MATCH($F1423,rngEPcode,0)),""))</f>
        <v/>
      </c>
      <c r="J1423" s="17">
        <f>IF($F1423="","",IFERROR(INDEX(rngEPpass,MATCH($F1423,rngEPcode,0)),cfgPassingScore))</f>
        <v/>
      </c>
      <c r="K1423" s="16" t="n"/>
      <c r="L1423" s="16" t="n"/>
      <c r="M1423" s="17">
        <f>IF($C1423="","",IF($L1423="","",IF(NOT(ISNUMBER($L1423)),$L1423,IF(N($K1423)&gt;2,"",IF($K1423=1,IF(COUNTIFS(nrES_PID,$D1423,nrES_Code,$F1423,nrES_Att,2,nrES_Raw,"&gt;=0")&gt;0,"",$L1423),IF($L1423&gt;=$J1423,MAX($J1423,cfgRetakeRecordedCap),IF(COUNTIFS(nrES_PID,$D1423,nrES_Code,$F1423,nrES_Att,1)=0,$L1423,SUMIFS(nrES_Raw,nrES_PID,$D1423,nrES_Code,$F1423,nrES_Att,1))))))))</f>
        <v/>
      </c>
      <c r="N1423" s="17">
        <f>IF($C1423="","",IF($L1423="","",IF(NOT(ISNUMBER($L1423)),"(not a score)",IF($L1423&gt;=$J1423,"Yes","No"))))</f>
        <v/>
      </c>
      <c r="O1423" s="17">
        <f>IF($C1423="","",IF($M1423="","",IF(NOT(ISNUMBER($M1423)),"(not a score)",IF($M1423&gt;=$J1423,"Yes","No"))))</f>
        <v/>
      </c>
      <c r="P1423" s="17">
        <f>IF($C1423="","",IF($K1423="","",IF(N($K1423)&gt;2,"No",IF(COUNTIFS(nrES_PID,$D1423,nrES_Code,$F1423,nrES_Att,"&gt;"&amp;$K1423,nrES_Att,"&lt;=2",nrES_Raw,"&gt;=0")=0,"Yes","No"))))</f>
        <v/>
      </c>
      <c r="Q1423" s="17">
        <f>IF($C1423="","",IF($L1423="","",IF(AND($K1423=1,ISNUMBER($L1423),$L1423&lt;$J1423,COUNTIFS(nrES_PID,$D1423,nrES_Code,$F1423,nrES_Att,2,nrES_Raw,"&gt;=0")=0),"Yes","No")))</f>
        <v/>
      </c>
      <c r="R1423" s="17">
        <f>IF($C1423="","",IF($L1423="","",IF(AND(N($K1423)&gt;=2,ISNUMBER($L1423),$L1423&lt;$J1423),"Yes","No")))</f>
        <v/>
      </c>
      <c r="S1423" s="18" t="n"/>
      <c r="T1423" s="19">
        <f>IF(OR($C1423="",$L1423="",$K1423&lt;&gt;1,NOT(ISNUMBER($L1423)),$L1423&gt;=$J1423),"",IF($S1423="","(enter date)",_xlfn.LET(_xlpm.dn,_xlfn.XLOOKUP($S1423,nrCDdate,nrCDnum,"",1),IF(_xlpm.dn="","(after last class day)",_xlfn.LET(_xlpm.dd,_xlfn.XLOOKUP(_xlpm.dn+cfgRetestClassDays,nrCDnum,nrCDdate,""),_xlpm.ok,_xlfn.XLOOKUP(_xlpm.dn+cfgRetestClassDays,nrCDnum,nrCDinsession,"No"),IF(OR(_xlpm.dd="",_xlpm.ok&lt;&gt;"Yes"),"(after last class day)",_xlpm.dd))))))</f>
        <v/>
      </c>
      <c r="U1423" s="17">
        <f>IF($C1423="","",IF(AND($Y1423="Excused",$L1423="",N($K1423)&lt;=1),"EXCUSED - 1st attempt pending",IF(OR($L1423="",$K1423&lt;&gt;1,NOT(ISNUMBER($L1423)),$L1423&gt;=$J1423),"",IF(COUNTIFS(nrES_PID,$D1423,nrES_Code,$F1423,nrES_Att,2,nrES_Raw,"&gt;=0")&gt;0,IF(IFERROR(_xlfn.MINIFS(nrES_Date,nrES_PID,$D1423,nrES_Code,$F1423,nrES_Att,2,nrES_Raw,"&gt;=0",nrES_Date,"&gt;0"),0)=0,"RETEST UNDATED",IF(NOT(ISNUMBER($T1423)),"RETEST DATE UNCHECKED",IF(_xlfn.MINIFS(nrES_Date,nrES_PID,$D1423,nrES_Code,$F1423,nrES_Att,2,nrES_Raw,"&gt;=0",nrES_Date,"&gt;0")&gt;$T1423,"LATE RETEST "&amp;TEXT(_xlfn.MINIFS(nrES_Date,nrES_PID,$D1423,nrES_Code,$F1423,nrES_Att,2,nrES_Raw,"&gt;=0",nrES_Date,"&gt;0"),"mm/dd")&amp;" (due "&amp;TEXT($T1423,"mm/dd")&amp;")","Retested"))),IF(NOT(ISNUMBER($T1423)),"CHECK DATE",IF(TODAY()&gt;$T1423,"OVERDUE","Due "&amp;TEXT($T1423,"mm/dd")))))))</f>
        <v/>
      </c>
      <c r="V1423" s="16" t="n"/>
      <c r="W1423" s="16" t="n"/>
      <c r="X1423" s="17">
        <f>IF($C1423="","",IF(AND($L1423&lt;&gt;"",NOT(ISNUMBER($L1423))),"RAW SCORE NOT A NUMBER",IF(AND(ISNUMBER($L1423),OR($L1423&lt;0,$L1423&gt;100)),"RAW SCORE OUT OF RANGE",IF(AND($Y1423="Unexcused",OR($L1423="",NOT(ISNUMBER($L1423)),$L1423&lt;&gt;0)),"UNEXCUSED ABSENCE MUST RECORD 0",IF(COUNTIF(nrES_RecID,$B1423)&gt;1,"DUPLICATE RECORD",IF(N($K1423)&gt;2,"ATTEMPT 3+ NOT ALLOWED - policy 300.5 permits one retest per exam; this row records nothing",IF(AND($K1423=2,COUNTIFS(nrES_PID,$D1423,nrES_Code,$F1423,nrES_Att,1)=0),"ATTEMPT 2 WITHOUT ATTEMPT 1",IF(AND($K1423=2,$L1423=""),"RETEST ROW HAS NO SCORE",IF(AND($H1423="Final",$L1423&lt;&gt;"",IFERROR(INDEX(nrCKfinalExamElig,MATCH($D1423,rngCadetPIDs,0)),"")="No"),"FINAL EXAM AFTER FAILED FINAL PT (500.1.H)",IF(AND($K1423=2,ISNUMBER($L1423),COUNTIFS(nrES_PID,$D1423,nrES_Code,$F1423,nrES_Att,1)&gt;0,SUMIFS(nrES_Raw,nrES_PID,$D1423,nrES_Code,$F1423,nrES_Att,1)&gt;=$J1423),"RETEST AFTER A PASSING FIRST ATTEMPT","OK"))))))))))</f>
        <v/>
      </c>
      <c r="Y1423" s="16" t="n"/>
    </row>
    <row r="1424">
      <c r="B1424" s="17">
        <f>IF($C1424="","",$D1424&amp;"-"&amp;$F1424&amp;"-"&amp;$K1424)</f>
        <v/>
      </c>
      <c r="C1424" s="16" t="n"/>
      <c r="D1424" s="17">
        <f>IF($C1424="","",IFERROR(INDEX(rngCadetPIDs,MATCH($C1424,rngCadetNames,0)),"?"))</f>
        <v/>
      </c>
      <c r="E1424" s="17">
        <f>IF($D1424="","",IFERROR(INDEX(nrCadetAgency,MATCH($D1424,rngCadetPIDs,0)),""))</f>
        <v/>
      </c>
      <c r="F1424" s="16" t="n"/>
      <c r="G1424" s="17">
        <f>IF($F1424="","",IFERROR(INDEX(rngEPname,MATCH($F1424,rngEPcode,0)),"?"))</f>
        <v/>
      </c>
      <c r="H1424" s="17">
        <f>IF($F1424="","",IFERROR(INDEX(rngEPtype,MATCH($F1424,rngEPcode,0)),"?"))</f>
        <v/>
      </c>
      <c r="I1424" s="17">
        <f>IF($F1424="","",IFERROR(INDEX(rngEPseq,MATCH($F1424,rngEPcode,0)),""))</f>
        <v/>
      </c>
      <c r="J1424" s="17">
        <f>IF($F1424="","",IFERROR(INDEX(rngEPpass,MATCH($F1424,rngEPcode,0)),cfgPassingScore))</f>
        <v/>
      </c>
      <c r="K1424" s="16" t="n"/>
      <c r="L1424" s="16" t="n"/>
      <c r="M1424" s="17">
        <f>IF($C1424="","",IF($L1424="","",IF(NOT(ISNUMBER($L1424)),$L1424,IF(N($K1424)&gt;2,"",IF($K1424=1,IF(COUNTIFS(nrES_PID,$D1424,nrES_Code,$F1424,nrES_Att,2,nrES_Raw,"&gt;=0")&gt;0,"",$L1424),IF($L1424&gt;=$J1424,MAX($J1424,cfgRetakeRecordedCap),IF(COUNTIFS(nrES_PID,$D1424,nrES_Code,$F1424,nrES_Att,1)=0,$L1424,SUMIFS(nrES_Raw,nrES_PID,$D1424,nrES_Code,$F1424,nrES_Att,1))))))))</f>
        <v/>
      </c>
      <c r="N1424" s="17">
        <f>IF($C1424="","",IF($L1424="","",IF(NOT(ISNUMBER($L1424)),"(not a score)",IF($L1424&gt;=$J1424,"Yes","No"))))</f>
        <v/>
      </c>
      <c r="O1424" s="17">
        <f>IF($C1424="","",IF($M1424="","",IF(NOT(ISNUMBER($M1424)),"(not a score)",IF($M1424&gt;=$J1424,"Yes","No"))))</f>
        <v/>
      </c>
      <c r="P1424" s="17">
        <f>IF($C1424="","",IF($K1424="","",IF(N($K1424)&gt;2,"No",IF(COUNTIFS(nrES_PID,$D1424,nrES_Code,$F1424,nrES_Att,"&gt;"&amp;$K1424,nrES_Att,"&lt;=2",nrES_Raw,"&gt;=0")=0,"Yes","No"))))</f>
        <v/>
      </c>
      <c r="Q1424" s="17">
        <f>IF($C1424="","",IF($L1424="","",IF(AND($K1424=1,ISNUMBER($L1424),$L1424&lt;$J1424,COUNTIFS(nrES_PID,$D1424,nrES_Code,$F1424,nrES_Att,2,nrES_Raw,"&gt;=0")=0),"Yes","No")))</f>
        <v/>
      </c>
      <c r="R1424" s="17">
        <f>IF($C1424="","",IF($L1424="","",IF(AND(N($K1424)&gt;=2,ISNUMBER($L1424),$L1424&lt;$J1424),"Yes","No")))</f>
        <v/>
      </c>
      <c r="S1424" s="18" t="n"/>
      <c r="T1424" s="19">
        <f>IF(OR($C1424="",$L1424="",$K1424&lt;&gt;1,NOT(ISNUMBER($L1424)),$L1424&gt;=$J1424),"",IF($S1424="","(enter date)",_xlfn.LET(_xlpm.dn,_xlfn.XLOOKUP($S1424,nrCDdate,nrCDnum,"",1),IF(_xlpm.dn="","(after last class day)",_xlfn.LET(_xlpm.dd,_xlfn.XLOOKUP(_xlpm.dn+cfgRetestClassDays,nrCDnum,nrCDdate,""),_xlpm.ok,_xlfn.XLOOKUP(_xlpm.dn+cfgRetestClassDays,nrCDnum,nrCDinsession,"No"),IF(OR(_xlpm.dd="",_xlpm.ok&lt;&gt;"Yes"),"(after last class day)",_xlpm.dd))))))</f>
        <v/>
      </c>
      <c r="U1424" s="17">
        <f>IF($C1424="","",IF(AND($Y1424="Excused",$L1424="",N($K1424)&lt;=1),"EXCUSED - 1st attempt pending",IF(OR($L1424="",$K1424&lt;&gt;1,NOT(ISNUMBER($L1424)),$L1424&gt;=$J1424),"",IF(COUNTIFS(nrES_PID,$D1424,nrES_Code,$F1424,nrES_Att,2,nrES_Raw,"&gt;=0")&gt;0,IF(IFERROR(_xlfn.MINIFS(nrES_Date,nrES_PID,$D1424,nrES_Code,$F1424,nrES_Att,2,nrES_Raw,"&gt;=0",nrES_Date,"&gt;0"),0)=0,"RETEST UNDATED",IF(NOT(ISNUMBER($T1424)),"RETEST DATE UNCHECKED",IF(_xlfn.MINIFS(nrES_Date,nrES_PID,$D1424,nrES_Code,$F1424,nrES_Att,2,nrES_Raw,"&gt;=0",nrES_Date,"&gt;0")&gt;$T1424,"LATE RETEST "&amp;TEXT(_xlfn.MINIFS(nrES_Date,nrES_PID,$D1424,nrES_Code,$F1424,nrES_Att,2,nrES_Raw,"&gt;=0",nrES_Date,"&gt;0"),"mm/dd")&amp;" (due "&amp;TEXT($T1424,"mm/dd")&amp;")","Retested"))),IF(NOT(ISNUMBER($T1424)),"CHECK DATE",IF(TODAY()&gt;$T1424,"OVERDUE","Due "&amp;TEXT($T1424,"mm/dd")))))))</f>
        <v/>
      </c>
      <c r="V1424" s="16" t="n"/>
      <c r="W1424" s="16" t="n"/>
      <c r="X1424" s="17">
        <f>IF($C1424="","",IF(AND($L1424&lt;&gt;"",NOT(ISNUMBER($L1424))),"RAW SCORE NOT A NUMBER",IF(AND(ISNUMBER($L1424),OR($L1424&lt;0,$L1424&gt;100)),"RAW SCORE OUT OF RANGE",IF(AND($Y1424="Unexcused",OR($L1424="",NOT(ISNUMBER($L1424)),$L1424&lt;&gt;0)),"UNEXCUSED ABSENCE MUST RECORD 0",IF(COUNTIF(nrES_RecID,$B1424)&gt;1,"DUPLICATE RECORD",IF(N($K1424)&gt;2,"ATTEMPT 3+ NOT ALLOWED - policy 300.5 permits one retest per exam; this row records nothing",IF(AND($K1424=2,COUNTIFS(nrES_PID,$D1424,nrES_Code,$F1424,nrES_Att,1)=0),"ATTEMPT 2 WITHOUT ATTEMPT 1",IF(AND($K1424=2,$L1424=""),"RETEST ROW HAS NO SCORE",IF(AND($H1424="Final",$L1424&lt;&gt;"",IFERROR(INDEX(nrCKfinalExamElig,MATCH($D1424,rngCadetPIDs,0)),"")="No"),"FINAL EXAM AFTER FAILED FINAL PT (500.1.H)",IF(AND($K1424=2,ISNUMBER($L1424),COUNTIFS(nrES_PID,$D1424,nrES_Code,$F1424,nrES_Att,1)&gt;0,SUMIFS(nrES_Raw,nrES_PID,$D1424,nrES_Code,$F1424,nrES_Att,1)&gt;=$J1424),"RETEST AFTER A PASSING FIRST ATTEMPT","OK"))))))))))</f>
        <v/>
      </c>
      <c r="Y1424" s="16" t="n"/>
    </row>
    <row r="1425">
      <c r="B1425" s="17">
        <f>IF($C1425="","",$D1425&amp;"-"&amp;$F1425&amp;"-"&amp;$K1425)</f>
        <v/>
      </c>
      <c r="C1425" s="16" t="n"/>
      <c r="D1425" s="17">
        <f>IF($C1425="","",IFERROR(INDEX(rngCadetPIDs,MATCH($C1425,rngCadetNames,0)),"?"))</f>
        <v/>
      </c>
      <c r="E1425" s="17">
        <f>IF($D1425="","",IFERROR(INDEX(nrCadetAgency,MATCH($D1425,rngCadetPIDs,0)),""))</f>
        <v/>
      </c>
      <c r="F1425" s="16" t="n"/>
      <c r="G1425" s="17">
        <f>IF($F1425="","",IFERROR(INDEX(rngEPname,MATCH($F1425,rngEPcode,0)),"?"))</f>
        <v/>
      </c>
      <c r="H1425" s="17">
        <f>IF($F1425="","",IFERROR(INDEX(rngEPtype,MATCH($F1425,rngEPcode,0)),"?"))</f>
        <v/>
      </c>
      <c r="I1425" s="17">
        <f>IF($F1425="","",IFERROR(INDEX(rngEPseq,MATCH($F1425,rngEPcode,0)),""))</f>
        <v/>
      </c>
      <c r="J1425" s="17">
        <f>IF($F1425="","",IFERROR(INDEX(rngEPpass,MATCH($F1425,rngEPcode,0)),cfgPassingScore))</f>
        <v/>
      </c>
      <c r="K1425" s="16" t="n"/>
      <c r="L1425" s="16" t="n"/>
      <c r="M1425" s="17">
        <f>IF($C1425="","",IF($L1425="","",IF(NOT(ISNUMBER($L1425)),$L1425,IF(N($K1425)&gt;2,"",IF($K1425=1,IF(COUNTIFS(nrES_PID,$D1425,nrES_Code,$F1425,nrES_Att,2,nrES_Raw,"&gt;=0")&gt;0,"",$L1425),IF($L1425&gt;=$J1425,MAX($J1425,cfgRetakeRecordedCap),IF(COUNTIFS(nrES_PID,$D1425,nrES_Code,$F1425,nrES_Att,1)=0,$L1425,SUMIFS(nrES_Raw,nrES_PID,$D1425,nrES_Code,$F1425,nrES_Att,1))))))))</f>
        <v/>
      </c>
      <c r="N1425" s="17">
        <f>IF($C1425="","",IF($L1425="","",IF(NOT(ISNUMBER($L1425)),"(not a score)",IF($L1425&gt;=$J1425,"Yes","No"))))</f>
        <v/>
      </c>
      <c r="O1425" s="17">
        <f>IF($C1425="","",IF($M1425="","",IF(NOT(ISNUMBER($M1425)),"(not a score)",IF($M1425&gt;=$J1425,"Yes","No"))))</f>
        <v/>
      </c>
      <c r="P1425" s="17">
        <f>IF($C1425="","",IF($K1425="","",IF(N($K1425)&gt;2,"No",IF(COUNTIFS(nrES_PID,$D1425,nrES_Code,$F1425,nrES_Att,"&gt;"&amp;$K1425,nrES_Att,"&lt;=2",nrES_Raw,"&gt;=0")=0,"Yes","No"))))</f>
        <v/>
      </c>
      <c r="Q1425" s="17">
        <f>IF($C1425="","",IF($L1425="","",IF(AND($K1425=1,ISNUMBER($L1425),$L1425&lt;$J1425,COUNTIFS(nrES_PID,$D1425,nrES_Code,$F1425,nrES_Att,2,nrES_Raw,"&gt;=0")=0),"Yes","No")))</f>
        <v/>
      </c>
      <c r="R1425" s="17">
        <f>IF($C1425="","",IF($L1425="","",IF(AND(N($K1425)&gt;=2,ISNUMBER($L1425),$L1425&lt;$J1425),"Yes","No")))</f>
        <v/>
      </c>
      <c r="S1425" s="18" t="n"/>
      <c r="T1425" s="19">
        <f>IF(OR($C1425="",$L1425="",$K1425&lt;&gt;1,NOT(ISNUMBER($L1425)),$L1425&gt;=$J1425),"",IF($S1425="","(enter date)",_xlfn.LET(_xlpm.dn,_xlfn.XLOOKUP($S1425,nrCDdate,nrCDnum,"",1),IF(_xlpm.dn="","(after last class day)",_xlfn.LET(_xlpm.dd,_xlfn.XLOOKUP(_xlpm.dn+cfgRetestClassDays,nrCDnum,nrCDdate,""),_xlpm.ok,_xlfn.XLOOKUP(_xlpm.dn+cfgRetestClassDays,nrCDnum,nrCDinsession,"No"),IF(OR(_xlpm.dd="",_xlpm.ok&lt;&gt;"Yes"),"(after last class day)",_xlpm.dd))))))</f>
        <v/>
      </c>
      <c r="U1425" s="17">
        <f>IF($C1425="","",IF(AND($Y1425="Excused",$L1425="",N($K1425)&lt;=1),"EXCUSED - 1st attempt pending",IF(OR($L1425="",$K1425&lt;&gt;1,NOT(ISNUMBER($L1425)),$L1425&gt;=$J1425),"",IF(COUNTIFS(nrES_PID,$D1425,nrES_Code,$F1425,nrES_Att,2,nrES_Raw,"&gt;=0")&gt;0,IF(IFERROR(_xlfn.MINIFS(nrES_Date,nrES_PID,$D1425,nrES_Code,$F1425,nrES_Att,2,nrES_Raw,"&gt;=0",nrES_Date,"&gt;0"),0)=0,"RETEST UNDATED",IF(NOT(ISNUMBER($T1425)),"RETEST DATE UNCHECKED",IF(_xlfn.MINIFS(nrES_Date,nrES_PID,$D1425,nrES_Code,$F1425,nrES_Att,2,nrES_Raw,"&gt;=0",nrES_Date,"&gt;0")&gt;$T1425,"LATE RETEST "&amp;TEXT(_xlfn.MINIFS(nrES_Date,nrES_PID,$D1425,nrES_Code,$F1425,nrES_Att,2,nrES_Raw,"&gt;=0",nrES_Date,"&gt;0"),"mm/dd")&amp;" (due "&amp;TEXT($T1425,"mm/dd")&amp;")","Retested"))),IF(NOT(ISNUMBER($T1425)),"CHECK DATE",IF(TODAY()&gt;$T1425,"OVERDUE","Due "&amp;TEXT($T1425,"mm/dd")))))))</f>
        <v/>
      </c>
      <c r="V1425" s="16" t="n"/>
      <c r="W1425" s="16" t="n"/>
      <c r="X1425" s="17">
        <f>IF($C1425="","",IF(AND($L1425&lt;&gt;"",NOT(ISNUMBER($L1425))),"RAW SCORE NOT A NUMBER",IF(AND(ISNUMBER($L1425),OR($L1425&lt;0,$L1425&gt;100)),"RAW SCORE OUT OF RANGE",IF(AND($Y1425="Unexcused",OR($L1425="",NOT(ISNUMBER($L1425)),$L1425&lt;&gt;0)),"UNEXCUSED ABSENCE MUST RECORD 0",IF(COUNTIF(nrES_RecID,$B1425)&gt;1,"DUPLICATE RECORD",IF(N($K1425)&gt;2,"ATTEMPT 3+ NOT ALLOWED - policy 300.5 permits one retest per exam; this row records nothing",IF(AND($K1425=2,COUNTIFS(nrES_PID,$D1425,nrES_Code,$F1425,nrES_Att,1)=0),"ATTEMPT 2 WITHOUT ATTEMPT 1",IF(AND($K1425=2,$L1425=""),"RETEST ROW HAS NO SCORE",IF(AND($H1425="Final",$L1425&lt;&gt;"",IFERROR(INDEX(nrCKfinalExamElig,MATCH($D1425,rngCadetPIDs,0)),"")="No"),"FINAL EXAM AFTER FAILED FINAL PT (500.1.H)",IF(AND($K1425=2,ISNUMBER($L1425),COUNTIFS(nrES_PID,$D1425,nrES_Code,$F1425,nrES_Att,1)&gt;0,SUMIFS(nrES_Raw,nrES_PID,$D1425,nrES_Code,$F1425,nrES_Att,1)&gt;=$J1425),"RETEST AFTER A PASSING FIRST ATTEMPT","OK"))))))))))</f>
        <v/>
      </c>
      <c r="Y1425" s="16" t="n"/>
    </row>
    <row r="1426">
      <c r="B1426" s="17">
        <f>IF($C1426="","",$D1426&amp;"-"&amp;$F1426&amp;"-"&amp;$K1426)</f>
        <v/>
      </c>
      <c r="C1426" s="16" t="n"/>
      <c r="D1426" s="17">
        <f>IF($C1426="","",IFERROR(INDEX(rngCadetPIDs,MATCH($C1426,rngCadetNames,0)),"?"))</f>
        <v/>
      </c>
      <c r="E1426" s="17">
        <f>IF($D1426="","",IFERROR(INDEX(nrCadetAgency,MATCH($D1426,rngCadetPIDs,0)),""))</f>
        <v/>
      </c>
      <c r="F1426" s="16" t="n"/>
      <c r="G1426" s="17">
        <f>IF($F1426="","",IFERROR(INDEX(rngEPname,MATCH($F1426,rngEPcode,0)),"?"))</f>
        <v/>
      </c>
      <c r="H1426" s="17">
        <f>IF($F1426="","",IFERROR(INDEX(rngEPtype,MATCH($F1426,rngEPcode,0)),"?"))</f>
        <v/>
      </c>
      <c r="I1426" s="17">
        <f>IF($F1426="","",IFERROR(INDEX(rngEPseq,MATCH($F1426,rngEPcode,0)),""))</f>
        <v/>
      </c>
      <c r="J1426" s="17">
        <f>IF($F1426="","",IFERROR(INDEX(rngEPpass,MATCH($F1426,rngEPcode,0)),cfgPassingScore))</f>
        <v/>
      </c>
      <c r="K1426" s="16" t="n"/>
      <c r="L1426" s="16" t="n"/>
      <c r="M1426" s="17">
        <f>IF($C1426="","",IF($L1426="","",IF(NOT(ISNUMBER($L1426)),$L1426,IF(N($K1426)&gt;2,"",IF($K1426=1,IF(COUNTIFS(nrES_PID,$D1426,nrES_Code,$F1426,nrES_Att,2,nrES_Raw,"&gt;=0")&gt;0,"",$L1426),IF($L1426&gt;=$J1426,MAX($J1426,cfgRetakeRecordedCap),IF(COUNTIFS(nrES_PID,$D1426,nrES_Code,$F1426,nrES_Att,1)=0,$L1426,SUMIFS(nrES_Raw,nrES_PID,$D1426,nrES_Code,$F1426,nrES_Att,1))))))))</f>
        <v/>
      </c>
      <c r="N1426" s="17">
        <f>IF($C1426="","",IF($L1426="","",IF(NOT(ISNUMBER($L1426)),"(not a score)",IF($L1426&gt;=$J1426,"Yes","No"))))</f>
        <v/>
      </c>
      <c r="O1426" s="17">
        <f>IF($C1426="","",IF($M1426="","",IF(NOT(ISNUMBER($M1426)),"(not a score)",IF($M1426&gt;=$J1426,"Yes","No"))))</f>
        <v/>
      </c>
      <c r="P1426" s="17">
        <f>IF($C1426="","",IF($K1426="","",IF(N($K1426)&gt;2,"No",IF(COUNTIFS(nrES_PID,$D1426,nrES_Code,$F1426,nrES_Att,"&gt;"&amp;$K1426,nrES_Att,"&lt;=2",nrES_Raw,"&gt;=0")=0,"Yes","No"))))</f>
        <v/>
      </c>
      <c r="Q1426" s="17">
        <f>IF($C1426="","",IF($L1426="","",IF(AND($K1426=1,ISNUMBER($L1426),$L1426&lt;$J1426,COUNTIFS(nrES_PID,$D1426,nrES_Code,$F1426,nrES_Att,2,nrES_Raw,"&gt;=0")=0),"Yes","No")))</f>
        <v/>
      </c>
      <c r="R1426" s="17">
        <f>IF($C1426="","",IF($L1426="","",IF(AND(N($K1426)&gt;=2,ISNUMBER($L1426),$L1426&lt;$J1426),"Yes","No")))</f>
        <v/>
      </c>
      <c r="S1426" s="18" t="n"/>
      <c r="T1426" s="19">
        <f>IF(OR($C1426="",$L1426="",$K1426&lt;&gt;1,NOT(ISNUMBER($L1426)),$L1426&gt;=$J1426),"",IF($S1426="","(enter date)",_xlfn.LET(_xlpm.dn,_xlfn.XLOOKUP($S1426,nrCDdate,nrCDnum,"",1),IF(_xlpm.dn="","(after last class day)",_xlfn.LET(_xlpm.dd,_xlfn.XLOOKUP(_xlpm.dn+cfgRetestClassDays,nrCDnum,nrCDdate,""),_xlpm.ok,_xlfn.XLOOKUP(_xlpm.dn+cfgRetestClassDays,nrCDnum,nrCDinsession,"No"),IF(OR(_xlpm.dd="",_xlpm.ok&lt;&gt;"Yes"),"(after last class day)",_xlpm.dd))))))</f>
        <v/>
      </c>
      <c r="U1426" s="17">
        <f>IF($C1426="","",IF(AND($Y1426="Excused",$L1426="",N($K1426)&lt;=1),"EXCUSED - 1st attempt pending",IF(OR($L1426="",$K1426&lt;&gt;1,NOT(ISNUMBER($L1426)),$L1426&gt;=$J1426),"",IF(COUNTIFS(nrES_PID,$D1426,nrES_Code,$F1426,nrES_Att,2,nrES_Raw,"&gt;=0")&gt;0,IF(IFERROR(_xlfn.MINIFS(nrES_Date,nrES_PID,$D1426,nrES_Code,$F1426,nrES_Att,2,nrES_Raw,"&gt;=0",nrES_Date,"&gt;0"),0)=0,"RETEST UNDATED",IF(NOT(ISNUMBER($T1426)),"RETEST DATE UNCHECKED",IF(_xlfn.MINIFS(nrES_Date,nrES_PID,$D1426,nrES_Code,$F1426,nrES_Att,2,nrES_Raw,"&gt;=0",nrES_Date,"&gt;0")&gt;$T1426,"LATE RETEST "&amp;TEXT(_xlfn.MINIFS(nrES_Date,nrES_PID,$D1426,nrES_Code,$F1426,nrES_Att,2,nrES_Raw,"&gt;=0",nrES_Date,"&gt;0"),"mm/dd")&amp;" (due "&amp;TEXT($T1426,"mm/dd")&amp;")","Retested"))),IF(NOT(ISNUMBER($T1426)),"CHECK DATE",IF(TODAY()&gt;$T1426,"OVERDUE","Due "&amp;TEXT($T1426,"mm/dd")))))))</f>
        <v/>
      </c>
      <c r="V1426" s="16" t="n"/>
      <c r="W1426" s="16" t="n"/>
      <c r="X1426" s="17">
        <f>IF($C1426="","",IF(AND($L1426&lt;&gt;"",NOT(ISNUMBER($L1426))),"RAW SCORE NOT A NUMBER",IF(AND(ISNUMBER($L1426),OR($L1426&lt;0,$L1426&gt;100)),"RAW SCORE OUT OF RANGE",IF(AND($Y1426="Unexcused",OR($L1426="",NOT(ISNUMBER($L1426)),$L1426&lt;&gt;0)),"UNEXCUSED ABSENCE MUST RECORD 0",IF(COUNTIF(nrES_RecID,$B1426)&gt;1,"DUPLICATE RECORD",IF(N($K1426)&gt;2,"ATTEMPT 3+ NOT ALLOWED - policy 300.5 permits one retest per exam; this row records nothing",IF(AND($K1426=2,COUNTIFS(nrES_PID,$D1426,nrES_Code,$F1426,nrES_Att,1)=0),"ATTEMPT 2 WITHOUT ATTEMPT 1",IF(AND($K1426=2,$L1426=""),"RETEST ROW HAS NO SCORE",IF(AND($H1426="Final",$L1426&lt;&gt;"",IFERROR(INDEX(nrCKfinalExamElig,MATCH($D1426,rngCadetPIDs,0)),"")="No"),"FINAL EXAM AFTER FAILED FINAL PT (500.1.H)",IF(AND($K1426=2,ISNUMBER($L1426),COUNTIFS(nrES_PID,$D1426,nrES_Code,$F1426,nrES_Att,1)&gt;0,SUMIFS(nrES_Raw,nrES_PID,$D1426,nrES_Code,$F1426,nrES_Att,1)&gt;=$J1426),"RETEST AFTER A PASSING FIRST ATTEMPT","OK"))))))))))</f>
        <v/>
      </c>
      <c r="Y1426" s="16" t="n"/>
    </row>
    <row r="1427">
      <c r="B1427" s="17">
        <f>IF($C1427="","",$D1427&amp;"-"&amp;$F1427&amp;"-"&amp;$K1427)</f>
        <v/>
      </c>
      <c r="C1427" s="16" t="n"/>
      <c r="D1427" s="17">
        <f>IF($C1427="","",IFERROR(INDEX(rngCadetPIDs,MATCH($C1427,rngCadetNames,0)),"?"))</f>
        <v/>
      </c>
      <c r="E1427" s="17">
        <f>IF($D1427="","",IFERROR(INDEX(nrCadetAgency,MATCH($D1427,rngCadetPIDs,0)),""))</f>
        <v/>
      </c>
      <c r="F1427" s="16" t="n"/>
      <c r="G1427" s="17">
        <f>IF($F1427="","",IFERROR(INDEX(rngEPname,MATCH($F1427,rngEPcode,0)),"?"))</f>
        <v/>
      </c>
      <c r="H1427" s="17">
        <f>IF($F1427="","",IFERROR(INDEX(rngEPtype,MATCH($F1427,rngEPcode,0)),"?"))</f>
        <v/>
      </c>
      <c r="I1427" s="17">
        <f>IF($F1427="","",IFERROR(INDEX(rngEPseq,MATCH($F1427,rngEPcode,0)),""))</f>
        <v/>
      </c>
      <c r="J1427" s="17">
        <f>IF($F1427="","",IFERROR(INDEX(rngEPpass,MATCH($F1427,rngEPcode,0)),cfgPassingScore))</f>
        <v/>
      </c>
      <c r="K1427" s="16" t="n"/>
      <c r="L1427" s="16" t="n"/>
      <c r="M1427" s="17">
        <f>IF($C1427="","",IF($L1427="","",IF(NOT(ISNUMBER($L1427)),$L1427,IF(N($K1427)&gt;2,"",IF($K1427=1,IF(COUNTIFS(nrES_PID,$D1427,nrES_Code,$F1427,nrES_Att,2,nrES_Raw,"&gt;=0")&gt;0,"",$L1427),IF($L1427&gt;=$J1427,MAX($J1427,cfgRetakeRecordedCap),IF(COUNTIFS(nrES_PID,$D1427,nrES_Code,$F1427,nrES_Att,1)=0,$L1427,SUMIFS(nrES_Raw,nrES_PID,$D1427,nrES_Code,$F1427,nrES_Att,1))))))))</f>
        <v/>
      </c>
      <c r="N1427" s="17">
        <f>IF($C1427="","",IF($L1427="","",IF(NOT(ISNUMBER($L1427)),"(not a score)",IF($L1427&gt;=$J1427,"Yes","No"))))</f>
        <v/>
      </c>
      <c r="O1427" s="17">
        <f>IF($C1427="","",IF($M1427="","",IF(NOT(ISNUMBER($M1427)),"(not a score)",IF($M1427&gt;=$J1427,"Yes","No"))))</f>
        <v/>
      </c>
      <c r="P1427" s="17">
        <f>IF($C1427="","",IF($K1427="","",IF(N($K1427)&gt;2,"No",IF(COUNTIFS(nrES_PID,$D1427,nrES_Code,$F1427,nrES_Att,"&gt;"&amp;$K1427,nrES_Att,"&lt;=2",nrES_Raw,"&gt;=0")=0,"Yes","No"))))</f>
        <v/>
      </c>
      <c r="Q1427" s="17">
        <f>IF($C1427="","",IF($L1427="","",IF(AND($K1427=1,ISNUMBER($L1427),$L1427&lt;$J1427,COUNTIFS(nrES_PID,$D1427,nrES_Code,$F1427,nrES_Att,2,nrES_Raw,"&gt;=0")=0),"Yes","No")))</f>
        <v/>
      </c>
      <c r="R1427" s="17">
        <f>IF($C1427="","",IF($L1427="","",IF(AND(N($K1427)&gt;=2,ISNUMBER($L1427),$L1427&lt;$J1427),"Yes","No")))</f>
        <v/>
      </c>
      <c r="S1427" s="18" t="n"/>
      <c r="T1427" s="19">
        <f>IF(OR($C1427="",$L1427="",$K1427&lt;&gt;1,NOT(ISNUMBER($L1427)),$L1427&gt;=$J1427),"",IF($S1427="","(enter date)",_xlfn.LET(_xlpm.dn,_xlfn.XLOOKUP($S1427,nrCDdate,nrCDnum,"",1),IF(_xlpm.dn="","(after last class day)",_xlfn.LET(_xlpm.dd,_xlfn.XLOOKUP(_xlpm.dn+cfgRetestClassDays,nrCDnum,nrCDdate,""),_xlpm.ok,_xlfn.XLOOKUP(_xlpm.dn+cfgRetestClassDays,nrCDnum,nrCDinsession,"No"),IF(OR(_xlpm.dd="",_xlpm.ok&lt;&gt;"Yes"),"(after last class day)",_xlpm.dd))))))</f>
        <v/>
      </c>
      <c r="U1427" s="17">
        <f>IF($C1427="","",IF(AND($Y1427="Excused",$L1427="",N($K1427)&lt;=1),"EXCUSED - 1st attempt pending",IF(OR($L1427="",$K1427&lt;&gt;1,NOT(ISNUMBER($L1427)),$L1427&gt;=$J1427),"",IF(COUNTIFS(nrES_PID,$D1427,nrES_Code,$F1427,nrES_Att,2,nrES_Raw,"&gt;=0")&gt;0,IF(IFERROR(_xlfn.MINIFS(nrES_Date,nrES_PID,$D1427,nrES_Code,$F1427,nrES_Att,2,nrES_Raw,"&gt;=0",nrES_Date,"&gt;0"),0)=0,"RETEST UNDATED",IF(NOT(ISNUMBER($T1427)),"RETEST DATE UNCHECKED",IF(_xlfn.MINIFS(nrES_Date,nrES_PID,$D1427,nrES_Code,$F1427,nrES_Att,2,nrES_Raw,"&gt;=0",nrES_Date,"&gt;0")&gt;$T1427,"LATE RETEST "&amp;TEXT(_xlfn.MINIFS(nrES_Date,nrES_PID,$D1427,nrES_Code,$F1427,nrES_Att,2,nrES_Raw,"&gt;=0",nrES_Date,"&gt;0"),"mm/dd")&amp;" (due "&amp;TEXT($T1427,"mm/dd")&amp;")","Retested"))),IF(NOT(ISNUMBER($T1427)),"CHECK DATE",IF(TODAY()&gt;$T1427,"OVERDUE","Due "&amp;TEXT($T1427,"mm/dd")))))))</f>
        <v/>
      </c>
      <c r="V1427" s="16" t="n"/>
      <c r="W1427" s="16" t="n"/>
      <c r="X1427" s="17">
        <f>IF($C1427="","",IF(AND($L1427&lt;&gt;"",NOT(ISNUMBER($L1427))),"RAW SCORE NOT A NUMBER",IF(AND(ISNUMBER($L1427),OR($L1427&lt;0,$L1427&gt;100)),"RAW SCORE OUT OF RANGE",IF(AND($Y1427="Unexcused",OR($L1427="",NOT(ISNUMBER($L1427)),$L1427&lt;&gt;0)),"UNEXCUSED ABSENCE MUST RECORD 0",IF(COUNTIF(nrES_RecID,$B1427)&gt;1,"DUPLICATE RECORD",IF(N($K1427)&gt;2,"ATTEMPT 3+ NOT ALLOWED - policy 300.5 permits one retest per exam; this row records nothing",IF(AND($K1427=2,COUNTIFS(nrES_PID,$D1427,nrES_Code,$F1427,nrES_Att,1)=0),"ATTEMPT 2 WITHOUT ATTEMPT 1",IF(AND($K1427=2,$L1427=""),"RETEST ROW HAS NO SCORE",IF(AND($H1427="Final",$L1427&lt;&gt;"",IFERROR(INDEX(nrCKfinalExamElig,MATCH($D1427,rngCadetPIDs,0)),"")="No"),"FINAL EXAM AFTER FAILED FINAL PT (500.1.H)",IF(AND($K1427=2,ISNUMBER($L1427),COUNTIFS(nrES_PID,$D1427,nrES_Code,$F1427,nrES_Att,1)&gt;0,SUMIFS(nrES_Raw,nrES_PID,$D1427,nrES_Code,$F1427,nrES_Att,1)&gt;=$J1427),"RETEST AFTER A PASSING FIRST ATTEMPT","OK"))))))))))</f>
        <v/>
      </c>
      <c r="Y1427" s="16" t="n"/>
    </row>
    <row r="1428">
      <c r="B1428" s="17">
        <f>IF($C1428="","",$D1428&amp;"-"&amp;$F1428&amp;"-"&amp;$K1428)</f>
        <v/>
      </c>
      <c r="C1428" s="16" t="n"/>
      <c r="D1428" s="17">
        <f>IF($C1428="","",IFERROR(INDEX(rngCadetPIDs,MATCH($C1428,rngCadetNames,0)),"?"))</f>
        <v/>
      </c>
      <c r="E1428" s="17">
        <f>IF($D1428="","",IFERROR(INDEX(nrCadetAgency,MATCH($D1428,rngCadetPIDs,0)),""))</f>
        <v/>
      </c>
      <c r="F1428" s="16" t="n"/>
      <c r="G1428" s="17">
        <f>IF($F1428="","",IFERROR(INDEX(rngEPname,MATCH($F1428,rngEPcode,0)),"?"))</f>
        <v/>
      </c>
      <c r="H1428" s="17">
        <f>IF($F1428="","",IFERROR(INDEX(rngEPtype,MATCH($F1428,rngEPcode,0)),"?"))</f>
        <v/>
      </c>
      <c r="I1428" s="17">
        <f>IF($F1428="","",IFERROR(INDEX(rngEPseq,MATCH($F1428,rngEPcode,0)),""))</f>
        <v/>
      </c>
      <c r="J1428" s="17">
        <f>IF($F1428="","",IFERROR(INDEX(rngEPpass,MATCH($F1428,rngEPcode,0)),cfgPassingScore))</f>
        <v/>
      </c>
      <c r="K1428" s="16" t="n"/>
      <c r="L1428" s="16" t="n"/>
      <c r="M1428" s="17">
        <f>IF($C1428="","",IF($L1428="","",IF(NOT(ISNUMBER($L1428)),$L1428,IF(N($K1428)&gt;2,"",IF($K1428=1,IF(COUNTIFS(nrES_PID,$D1428,nrES_Code,$F1428,nrES_Att,2,nrES_Raw,"&gt;=0")&gt;0,"",$L1428),IF($L1428&gt;=$J1428,MAX($J1428,cfgRetakeRecordedCap),IF(COUNTIFS(nrES_PID,$D1428,nrES_Code,$F1428,nrES_Att,1)=0,$L1428,SUMIFS(nrES_Raw,nrES_PID,$D1428,nrES_Code,$F1428,nrES_Att,1))))))))</f>
        <v/>
      </c>
      <c r="N1428" s="17">
        <f>IF($C1428="","",IF($L1428="","",IF(NOT(ISNUMBER($L1428)),"(not a score)",IF($L1428&gt;=$J1428,"Yes","No"))))</f>
        <v/>
      </c>
      <c r="O1428" s="17">
        <f>IF($C1428="","",IF($M1428="","",IF(NOT(ISNUMBER($M1428)),"(not a score)",IF($M1428&gt;=$J1428,"Yes","No"))))</f>
        <v/>
      </c>
      <c r="P1428" s="17">
        <f>IF($C1428="","",IF($K1428="","",IF(N($K1428)&gt;2,"No",IF(COUNTIFS(nrES_PID,$D1428,nrES_Code,$F1428,nrES_Att,"&gt;"&amp;$K1428,nrES_Att,"&lt;=2",nrES_Raw,"&gt;=0")=0,"Yes","No"))))</f>
        <v/>
      </c>
      <c r="Q1428" s="17">
        <f>IF($C1428="","",IF($L1428="","",IF(AND($K1428=1,ISNUMBER($L1428),$L1428&lt;$J1428,COUNTIFS(nrES_PID,$D1428,nrES_Code,$F1428,nrES_Att,2,nrES_Raw,"&gt;=0")=0),"Yes","No")))</f>
        <v/>
      </c>
      <c r="R1428" s="17">
        <f>IF($C1428="","",IF($L1428="","",IF(AND(N($K1428)&gt;=2,ISNUMBER($L1428),$L1428&lt;$J1428),"Yes","No")))</f>
        <v/>
      </c>
      <c r="S1428" s="18" t="n"/>
      <c r="T1428" s="19">
        <f>IF(OR($C1428="",$L1428="",$K1428&lt;&gt;1,NOT(ISNUMBER($L1428)),$L1428&gt;=$J1428),"",IF($S1428="","(enter date)",_xlfn.LET(_xlpm.dn,_xlfn.XLOOKUP($S1428,nrCDdate,nrCDnum,"",1),IF(_xlpm.dn="","(after last class day)",_xlfn.LET(_xlpm.dd,_xlfn.XLOOKUP(_xlpm.dn+cfgRetestClassDays,nrCDnum,nrCDdate,""),_xlpm.ok,_xlfn.XLOOKUP(_xlpm.dn+cfgRetestClassDays,nrCDnum,nrCDinsession,"No"),IF(OR(_xlpm.dd="",_xlpm.ok&lt;&gt;"Yes"),"(after last class day)",_xlpm.dd))))))</f>
        <v/>
      </c>
      <c r="U1428" s="17">
        <f>IF($C1428="","",IF(AND($Y1428="Excused",$L1428="",N($K1428)&lt;=1),"EXCUSED - 1st attempt pending",IF(OR($L1428="",$K1428&lt;&gt;1,NOT(ISNUMBER($L1428)),$L1428&gt;=$J1428),"",IF(COUNTIFS(nrES_PID,$D1428,nrES_Code,$F1428,nrES_Att,2,nrES_Raw,"&gt;=0")&gt;0,IF(IFERROR(_xlfn.MINIFS(nrES_Date,nrES_PID,$D1428,nrES_Code,$F1428,nrES_Att,2,nrES_Raw,"&gt;=0",nrES_Date,"&gt;0"),0)=0,"RETEST UNDATED",IF(NOT(ISNUMBER($T1428)),"RETEST DATE UNCHECKED",IF(_xlfn.MINIFS(nrES_Date,nrES_PID,$D1428,nrES_Code,$F1428,nrES_Att,2,nrES_Raw,"&gt;=0",nrES_Date,"&gt;0")&gt;$T1428,"LATE RETEST "&amp;TEXT(_xlfn.MINIFS(nrES_Date,nrES_PID,$D1428,nrES_Code,$F1428,nrES_Att,2,nrES_Raw,"&gt;=0",nrES_Date,"&gt;0"),"mm/dd")&amp;" (due "&amp;TEXT($T1428,"mm/dd")&amp;")","Retested"))),IF(NOT(ISNUMBER($T1428)),"CHECK DATE",IF(TODAY()&gt;$T1428,"OVERDUE","Due "&amp;TEXT($T1428,"mm/dd")))))))</f>
        <v/>
      </c>
      <c r="V1428" s="16" t="n"/>
      <c r="W1428" s="16" t="n"/>
      <c r="X1428" s="17">
        <f>IF($C1428="","",IF(AND($L1428&lt;&gt;"",NOT(ISNUMBER($L1428))),"RAW SCORE NOT A NUMBER",IF(AND(ISNUMBER($L1428),OR($L1428&lt;0,$L1428&gt;100)),"RAW SCORE OUT OF RANGE",IF(AND($Y1428="Unexcused",OR($L1428="",NOT(ISNUMBER($L1428)),$L1428&lt;&gt;0)),"UNEXCUSED ABSENCE MUST RECORD 0",IF(COUNTIF(nrES_RecID,$B1428)&gt;1,"DUPLICATE RECORD",IF(N($K1428)&gt;2,"ATTEMPT 3+ NOT ALLOWED - policy 300.5 permits one retest per exam; this row records nothing",IF(AND($K1428=2,COUNTIFS(nrES_PID,$D1428,nrES_Code,$F1428,nrES_Att,1)=0),"ATTEMPT 2 WITHOUT ATTEMPT 1",IF(AND($K1428=2,$L1428=""),"RETEST ROW HAS NO SCORE",IF(AND($H1428="Final",$L1428&lt;&gt;"",IFERROR(INDEX(nrCKfinalExamElig,MATCH($D1428,rngCadetPIDs,0)),"")="No"),"FINAL EXAM AFTER FAILED FINAL PT (500.1.H)",IF(AND($K1428=2,ISNUMBER($L1428),COUNTIFS(nrES_PID,$D1428,nrES_Code,$F1428,nrES_Att,1)&gt;0,SUMIFS(nrES_Raw,nrES_PID,$D1428,nrES_Code,$F1428,nrES_Att,1)&gt;=$J1428),"RETEST AFTER A PASSING FIRST ATTEMPT","OK"))))))))))</f>
        <v/>
      </c>
      <c r="Y1428" s="16" t="n"/>
    </row>
    <row r="1429">
      <c r="B1429" s="17">
        <f>IF($C1429="","",$D1429&amp;"-"&amp;$F1429&amp;"-"&amp;$K1429)</f>
        <v/>
      </c>
      <c r="C1429" s="16" t="n"/>
      <c r="D1429" s="17">
        <f>IF($C1429="","",IFERROR(INDEX(rngCadetPIDs,MATCH($C1429,rngCadetNames,0)),"?"))</f>
        <v/>
      </c>
      <c r="E1429" s="17">
        <f>IF($D1429="","",IFERROR(INDEX(nrCadetAgency,MATCH($D1429,rngCadetPIDs,0)),""))</f>
        <v/>
      </c>
      <c r="F1429" s="16" t="n"/>
      <c r="G1429" s="17">
        <f>IF($F1429="","",IFERROR(INDEX(rngEPname,MATCH($F1429,rngEPcode,0)),"?"))</f>
        <v/>
      </c>
      <c r="H1429" s="17">
        <f>IF($F1429="","",IFERROR(INDEX(rngEPtype,MATCH($F1429,rngEPcode,0)),"?"))</f>
        <v/>
      </c>
      <c r="I1429" s="17">
        <f>IF($F1429="","",IFERROR(INDEX(rngEPseq,MATCH($F1429,rngEPcode,0)),""))</f>
        <v/>
      </c>
      <c r="J1429" s="17">
        <f>IF($F1429="","",IFERROR(INDEX(rngEPpass,MATCH($F1429,rngEPcode,0)),cfgPassingScore))</f>
        <v/>
      </c>
      <c r="K1429" s="16" t="n"/>
      <c r="L1429" s="16" t="n"/>
      <c r="M1429" s="17">
        <f>IF($C1429="","",IF($L1429="","",IF(NOT(ISNUMBER($L1429)),$L1429,IF(N($K1429)&gt;2,"",IF($K1429=1,IF(COUNTIFS(nrES_PID,$D1429,nrES_Code,$F1429,nrES_Att,2,nrES_Raw,"&gt;=0")&gt;0,"",$L1429),IF($L1429&gt;=$J1429,MAX($J1429,cfgRetakeRecordedCap),IF(COUNTIFS(nrES_PID,$D1429,nrES_Code,$F1429,nrES_Att,1)=0,$L1429,SUMIFS(nrES_Raw,nrES_PID,$D1429,nrES_Code,$F1429,nrES_Att,1))))))))</f>
        <v/>
      </c>
      <c r="N1429" s="17">
        <f>IF($C1429="","",IF($L1429="","",IF(NOT(ISNUMBER($L1429)),"(not a score)",IF($L1429&gt;=$J1429,"Yes","No"))))</f>
        <v/>
      </c>
      <c r="O1429" s="17">
        <f>IF($C1429="","",IF($M1429="","",IF(NOT(ISNUMBER($M1429)),"(not a score)",IF($M1429&gt;=$J1429,"Yes","No"))))</f>
        <v/>
      </c>
      <c r="P1429" s="17">
        <f>IF($C1429="","",IF($K1429="","",IF(N($K1429)&gt;2,"No",IF(COUNTIFS(nrES_PID,$D1429,nrES_Code,$F1429,nrES_Att,"&gt;"&amp;$K1429,nrES_Att,"&lt;=2",nrES_Raw,"&gt;=0")=0,"Yes","No"))))</f>
        <v/>
      </c>
      <c r="Q1429" s="17">
        <f>IF($C1429="","",IF($L1429="","",IF(AND($K1429=1,ISNUMBER($L1429),$L1429&lt;$J1429,COUNTIFS(nrES_PID,$D1429,nrES_Code,$F1429,nrES_Att,2,nrES_Raw,"&gt;=0")=0),"Yes","No")))</f>
        <v/>
      </c>
      <c r="R1429" s="17">
        <f>IF($C1429="","",IF($L1429="","",IF(AND(N($K1429)&gt;=2,ISNUMBER($L1429),$L1429&lt;$J1429),"Yes","No")))</f>
        <v/>
      </c>
      <c r="S1429" s="18" t="n"/>
      <c r="T1429" s="19">
        <f>IF(OR($C1429="",$L1429="",$K1429&lt;&gt;1,NOT(ISNUMBER($L1429)),$L1429&gt;=$J1429),"",IF($S1429="","(enter date)",_xlfn.LET(_xlpm.dn,_xlfn.XLOOKUP($S1429,nrCDdate,nrCDnum,"",1),IF(_xlpm.dn="","(after last class day)",_xlfn.LET(_xlpm.dd,_xlfn.XLOOKUP(_xlpm.dn+cfgRetestClassDays,nrCDnum,nrCDdate,""),_xlpm.ok,_xlfn.XLOOKUP(_xlpm.dn+cfgRetestClassDays,nrCDnum,nrCDinsession,"No"),IF(OR(_xlpm.dd="",_xlpm.ok&lt;&gt;"Yes"),"(after last class day)",_xlpm.dd))))))</f>
        <v/>
      </c>
      <c r="U1429" s="17">
        <f>IF($C1429="","",IF(AND($Y1429="Excused",$L1429="",N($K1429)&lt;=1),"EXCUSED - 1st attempt pending",IF(OR($L1429="",$K1429&lt;&gt;1,NOT(ISNUMBER($L1429)),$L1429&gt;=$J1429),"",IF(COUNTIFS(nrES_PID,$D1429,nrES_Code,$F1429,nrES_Att,2,nrES_Raw,"&gt;=0")&gt;0,IF(IFERROR(_xlfn.MINIFS(nrES_Date,nrES_PID,$D1429,nrES_Code,$F1429,nrES_Att,2,nrES_Raw,"&gt;=0",nrES_Date,"&gt;0"),0)=0,"RETEST UNDATED",IF(NOT(ISNUMBER($T1429)),"RETEST DATE UNCHECKED",IF(_xlfn.MINIFS(nrES_Date,nrES_PID,$D1429,nrES_Code,$F1429,nrES_Att,2,nrES_Raw,"&gt;=0",nrES_Date,"&gt;0")&gt;$T1429,"LATE RETEST "&amp;TEXT(_xlfn.MINIFS(nrES_Date,nrES_PID,$D1429,nrES_Code,$F1429,nrES_Att,2,nrES_Raw,"&gt;=0",nrES_Date,"&gt;0"),"mm/dd")&amp;" (due "&amp;TEXT($T1429,"mm/dd")&amp;")","Retested"))),IF(NOT(ISNUMBER($T1429)),"CHECK DATE",IF(TODAY()&gt;$T1429,"OVERDUE","Due "&amp;TEXT($T1429,"mm/dd")))))))</f>
        <v/>
      </c>
      <c r="V1429" s="16" t="n"/>
      <c r="W1429" s="16" t="n"/>
      <c r="X1429" s="17">
        <f>IF($C1429="","",IF(AND($L1429&lt;&gt;"",NOT(ISNUMBER($L1429))),"RAW SCORE NOT A NUMBER",IF(AND(ISNUMBER($L1429),OR($L1429&lt;0,$L1429&gt;100)),"RAW SCORE OUT OF RANGE",IF(AND($Y1429="Unexcused",OR($L1429="",NOT(ISNUMBER($L1429)),$L1429&lt;&gt;0)),"UNEXCUSED ABSENCE MUST RECORD 0",IF(COUNTIF(nrES_RecID,$B1429)&gt;1,"DUPLICATE RECORD",IF(N($K1429)&gt;2,"ATTEMPT 3+ NOT ALLOWED - policy 300.5 permits one retest per exam; this row records nothing",IF(AND($K1429=2,COUNTIFS(nrES_PID,$D1429,nrES_Code,$F1429,nrES_Att,1)=0),"ATTEMPT 2 WITHOUT ATTEMPT 1",IF(AND($K1429=2,$L1429=""),"RETEST ROW HAS NO SCORE",IF(AND($H1429="Final",$L1429&lt;&gt;"",IFERROR(INDEX(nrCKfinalExamElig,MATCH($D1429,rngCadetPIDs,0)),"")="No"),"FINAL EXAM AFTER FAILED FINAL PT (500.1.H)",IF(AND($K1429=2,ISNUMBER($L1429),COUNTIFS(nrES_PID,$D1429,nrES_Code,$F1429,nrES_Att,1)&gt;0,SUMIFS(nrES_Raw,nrES_PID,$D1429,nrES_Code,$F1429,nrES_Att,1)&gt;=$J1429),"RETEST AFTER A PASSING FIRST ATTEMPT","OK"))))))))))</f>
        <v/>
      </c>
      <c r="Y1429" s="16" t="n"/>
    </row>
    <row r="1430">
      <c r="B1430" s="17">
        <f>IF($C1430="","",$D1430&amp;"-"&amp;$F1430&amp;"-"&amp;$K1430)</f>
        <v/>
      </c>
      <c r="C1430" s="16" t="n"/>
      <c r="D1430" s="17">
        <f>IF($C1430="","",IFERROR(INDEX(rngCadetPIDs,MATCH($C1430,rngCadetNames,0)),"?"))</f>
        <v/>
      </c>
      <c r="E1430" s="17">
        <f>IF($D1430="","",IFERROR(INDEX(nrCadetAgency,MATCH($D1430,rngCadetPIDs,0)),""))</f>
        <v/>
      </c>
      <c r="F1430" s="16" t="n"/>
      <c r="G1430" s="17">
        <f>IF($F1430="","",IFERROR(INDEX(rngEPname,MATCH($F1430,rngEPcode,0)),"?"))</f>
        <v/>
      </c>
      <c r="H1430" s="17">
        <f>IF($F1430="","",IFERROR(INDEX(rngEPtype,MATCH($F1430,rngEPcode,0)),"?"))</f>
        <v/>
      </c>
      <c r="I1430" s="17">
        <f>IF($F1430="","",IFERROR(INDEX(rngEPseq,MATCH($F1430,rngEPcode,0)),""))</f>
        <v/>
      </c>
      <c r="J1430" s="17">
        <f>IF($F1430="","",IFERROR(INDEX(rngEPpass,MATCH($F1430,rngEPcode,0)),cfgPassingScore))</f>
        <v/>
      </c>
      <c r="K1430" s="16" t="n"/>
      <c r="L1430" s="16" t="n"/>
      <c r="M1430" s="17">
        <f>IF($C1430="","",IF($L1430="","",IF(NOT(ISNUMBER($L1430)),$L1430,IF(N($K1430)&gt;2,"",IF($K1430=1,IF(COUNTIFS(nrES_PID,$D1430,nrES_Code,$F1430,nrES_Att,2,nrES_Raw,"&gt;=0")&gt;0,"",$L1430),IF($L1430&gt;=$J1430,MAX($J1430,cfgRetakeRecordedCap),IF(COUNTIFS(nrES_PID,$D1430,nrES_Code,$F1430,nrES_Att,1)=0,$L1430,SUMIFS(nrES_Raw,nrES_PID,$D1430,nrES_Code,$F1430,nrES_Att,1))))))))</f>
        <v/>
      </c>
      <c r="N1430" s="17">
        <f>IF($C1430="","",IF($L1430="","",IF(NOT(ISNUMBER($L1430)),"(not a score)",IF($L1430&gt;=$J1430,"Yes","No"))))</f>
        <v/>
      </c>
      <c r="O1430" s="17">
        <f>IF($C1430="","",IF($M1430="","",IF(NOT(ISNUMBER($M1430)),"(not a score)",IF($M1430&gt;=$J1430,"Yes","No"))))</f>
        <v/>
      </c>
      <c r="P1430" s="17">
        <f>IF($C1430="","",IF($K1430="","",IF(N($K1430)&gt;2,"No",IF(COUNTIFS(nrES_PID,$D1430,nrES_Code,$F1430,nrES_Att,"&gt;"&amp;$K1430,nrES_Att,"&lt;=2",nrES_Raw,"&gt;=0")=0,"Yes","No"))))</f>
        <v/>
      </c>
      <c r="Q1430" s="17">
        <f>IF($C1430="","",IF($L1430="","",IF(AND($K1430=1,ISNUMBER($L1430),$L1430&lt;$J1430,COUNTIFS(nrES_PID,$D1430,nrES_Code,$F1430,nrES_Att,2,nrES_Raw,"&gt;=0")=0),"Yes","No")))</f>
        <v/>
      </c>
      <c r="R1430" s="17">
        <f>IF($C1430="","",IF($L1430="","",IF(AND(N($K1430)&gt;=2,ISNUMBER($L1430),$L1430&lt;$J1430),"Yes","No")))</f>
        <v/>
      </c>
      <c r="S1430" s="18" t="n"/>
      <c r="T1430" s="19">
        <f>IF(OR($C1430="",$L1430="",$K1430&lt;&gt;1,NOT(ISNUMBER($L1430)),$L1430&gt;=$J1430),"",IF($S1430="","(enter date)",_xlfn.LET(_xlpm.dn,_xlfn.XLOOKUP($S1430,nrCDdate,nrCDnum,"",1),IF(_xlpm.dn="","(after last class day)",_xlfn.LET(_xlpm.dd,_xlfn.XLOOKUP(_xlpm.dn+cfgRetestClassDays,nrCDnum,nrCDdate,""),_xlpm.ok,_xlfn.XLOOKUP(_xlpm.dn+cfgRetestClassDays,nrCDnum,nrCDinsession,"No"),IF(OR(_xlpm.dd="",_xlpm.ok&lt;&gt;"Yes"),"(after last class day)",_xlpm.dd))))))</f>
        <v/>
      </c>
      <c r="U1430" s="17">
        <f>IF($C1430="","",IF(AND($Y1430="Excused",$L1430="",N($K1430)&lt;=1),"EXCUSED - 1st attempt pending",IF(OR($L1430="",$K1430&lt;&gt;1,NOT(ISNUMBER($L1430)),$L1430&gt;=$J1430),"",IF(COUNTIFS(nrES_PID,$D1430,nrES_Code,$F1430,nrES_Att,2,nrES_Raw,"&gt;=0")&gt;0,IF(IFERROR(_xlfn.MINIFS(nrES_Date,nrES_PID,$D1430,nrES_Code,$F1430,nrES_Att,2,nrES_Raw,"&gt;=0",nrES_Date,"&gt;0"),0)=0,"RETEST UNDATED",IF(NOT(ISNUMBER($T1430)),"RETEST DATE UNCHECKED",IF(_xlfn.MINIFS(nrES_Date,nrES_PID,$D1430,nrES_Code,$F1430,nrES_Att,2,nrES_Raw,"&gt;=0",nrES_Date,"&gt;0")&gt;$T1430,"LATE RETEST "&amp;TEXT(_xlfn.MINIFS(nrES_Date,nrES_PID,$D1430,nrES_Code,$F1430,nrES_Att,2,nrES_Raw,"&gt;=0",nrES_Date,"&gt;0"),"mm/dd")&amp;" (due "&amp;TEXT($T1430,"mm/dd")&amp;")","Retested"))),IF(NOT(ISNUMBER($T1430)),"CHECK DATE",IF(TODAY()&gt;$T1430,"OVERDUE","Due "&amp;TEXT($T1430,"mm/dd")))))))</f>
        <v/>
      </c>
      <c r="V1430" s="16" t="n"/>
      <c r="W1430" s="16" t="n"/>
      <c r="X1430" s="17">
        <f>IF($C1430="","",IF(AND($L1430&lt;&gt;"",NOT(ISNUMBER($L1430))),"RAW SCORE NOT A NUMBER",IF(AND(ISNUMBER($L1430),OR($L1430&lt;0,$L1430&gt;100)),"RAW SCORE OUT OF RANGE",IF(AND($Y1430="Unexcused",OR($L1430="",NOT(ISNUMBER($L1430)),$L1430&lt;&gt;0)),"UNEXCUSED ABSENCE MUST RECORD 0",IF(COUNTIF(nrES_RecID,$B1430)&gt;1,"DUPLICATE RECORD",IF(N($K1430)&gt;2,"ATTEMPT 3+ NOT ALLOWED - policy 300.5 permits one retest per exam; this row records nothing",IF(AND($K1430=2,COUNTIFS(nrES_PID,$D1430,nrES_Code,$F1430,nrES_Att,1)=0),"ATTEMPT 2 WITHOUT ATTEMPT 1",IF(AND($K1430=2,$L1430=""),"RETEST ROW HAS NO SCORE",IF(AND($H1430="Final",$L1430&lt;&gt;"",IFERROR(INDEX(nrCKfinalExamElig,MATCH($D1430,rngCadetPIDs,0)),"")="No"),"FINAL EXAM AFTER FAILED FINAL PT (500.1.H)",IF(AND($K1430=2,ISNUMBER($L1430),COUNTIFS(nrES_PID,$D1430,nrES_Code,$F1430,nrES_Att,1)&gt;0,SUMIFS(nrES_Raw,nrES_PID,$D1430,nrES_Code,$F1430,nrES_Att,1)&gt;=$J1430),"RETEST AFTER A PASSING FIRST ATTEMPT","OK"))))))))))</f>
        <v/>
      </c>
      <c r="Y1430" s="16" t="n"/>
    </row>
    <row r="1431">
      <c r="B1431" s="17">
        <f>IF($C1431="","",$D1431&amp;"-"&amp;$F1431&amp;"-"&amp;$K1431)</f>
        <v/>
      </c>
      <c r="C1431" s="16" t="n"/>
      <c r="D1431" s="17">
        <f>IF($C1431="","",IFERROR(INDEX(rngCadetPIDs,MATCH($C1431,rngCadetNames,0)),"?"))</f>
        <v/>
      </c>
      <c r="E1431" s="17">
        <f>IF($D1431="","",IFERROR(INDEX(nrCadetAgency,MATCH($D1431,rngCadetPIDs,0)),""))</f>
        <v/>
      </c>
      <c r="F1431" s="16" t="n"/>
      <c r="G1431" s="17">
        <f>IF($F1431="","",IFERROR(INDEX(rngEPname,MATCH($F1431,rngEPcode,0)),"?"))</f>
        <v/>
      </c>
      <c r="H1431" s="17">
        <f>IF($F1431="","",IFERROR(INDEX(rngEPtype,MATCH($F1431,rngEPcode,0)),"?"))</f>
        <v/>
      </c>
      <c r="I1431" s="17">
        <f>IF($F1431="","",IFERROR(INDEX(rngEPseq,MATCH($F1431,rngEPcode,0)),""))</f>
        <v/>
      </c>
      <c r="J1431" s="17">
        <f>IF($F1431="","",IFERROR(INDEX(rngEPpass,MATCH($F1431,rngEPcode,0)),cfgPassingScore))</f>
        <v/>
      </c>
      <c r="K1431" s="16" t="n"/>
      <c r="L1431" s="16" t="n"/>
      <c r="M1431" s="17">
        <f>IF($C1431="","",IF($L1431="","",IF(NOT(ISNUMBER($L1431)),$L1431,IF(N($K1431)&gt;2,"",IF($K1431=1,IF(COUNTIFS(nrES_PID,$D1431,nrES_Code,$F1431,nrES_Att,2,nrES_Raw,"&gt;=0")&gt;0,"",$L1431),IF($L1431&gt;=$J1431,MAX($J1431,cfgRetakeRecordedCap),IF(COUNTIFS(nrES_PID,$D1431,nrES_Code,$F1431,nrES_Att,1)=0,$L1431,SUMIFS(nrES_Raw,nrES_PID,$D1431,nrES_Code,$F1431,nrES_Att,1))))))))</f>
        <v/>
      </c>
      <c r="N1431" s="17">
        <f>IF($C1431="","",IF($L1431="","",IF(NOT(ISNUMBER($L1431)),"(not a score)",IF($L1431&gt;=$J1431,"Yes","No"))))</f>
        <v/>
      </c>
      <c r="O1431" s="17">
        <f>IF($C1431="","",IF($M1431="","",IF(NOT(ISNUMBER($M1431)),"(not a score)",IF($M1431&gt;=$J1431,"Yes","No"))))</f>
        <v/>
      </c>
      <c r="P1431" s="17">
        <f>IF($C1431="","",IF($K1431="","",IF(N($K1431)&gt;2,"No",IF(COUNTIFS(nrES_PID,$D1431,nrES_Code,$F1431,nrES_Att,"&gt;"&amp;$K1431,nrES_Att,"&lt;=2",nrES_Raw,"&gt;=0")=0,"Yes","No"))))</f>
        <v/>
      </c>
      <c r="Q1431" s="17">
        <f>IF($C1431="","",IF($L1431="","",IF(AND($K1431=1,ISNUMBER($L1431),$L1431&lt;$J1431,COUNTIFS(nrES_PID,$D1431,nrES_Code,$F1431,nrES_Att,2,nrES_Raw,"&gt;=0")=0),"Yes","No")))</f>
        <v/>
      </c>
      <c r="R1431" s="17">
        <f>IF($C1431="","",IF($L1431="","",IF(AND(N($K1431)&gt;=2,ISNUMBER($L1431),$L1431&lt;$J1431),"Yes","No")))</f>
        <v/>
      </c>
      <c r="S1431" s="18" t="n"/>
      <c r="T1431" s="19">
        <f>IF(OR($C1431="",$L1431="",$K1431&lt;&gt;1,NOT(ISNUMBER($L1431)),$L1431&gt;=$J1431),"",IF($S1431="","(enter date)",_xlfn.LET(_xlpm.dn,_xlfn.XLOOKUP($S1431,nrCDdate,nrCDnum,"",1),IF(_xlpm.dn="","(after last class day)",_xlfn.LET(_xlpm.dd,_xlfn.XLOOKUP(_xlpm.dn+cfgRetestClassDays,nrCDnum,nrCDdate,""),_xlpm.ok,_xlfn.XLOOKUP(_xlpm.dn+cfgRetestClassDays,nrCDnum,nrCDinsession,"No"),IF(OR(_xlpm.dd="",_xlpm.ok&lt;&gt;"Yes"),"(after last class day)",_xlpm.dd))))))</f>
        <v/>
      </c>
      <c r="U1431" s="17">
        <f>IF($C1431="","",IF(AND($Y1431="Excused",$L1431="",N($K1431)&lt;=1),"EXCUSED - 1st attempt pending",IF(OR($L1431="",$K1431&lt;&gt;1,NOT(ISNUMBER($L1431)),$L1431&gt;=$J1431),"",IF(COUNTIFS(nrES_PID,$D1431,nrES_Code,$F1431,nrES_Att,2,nrES_Raw,"&gt;=0")&gt;0,IF(IFERROR(_xlfn.MINIFS(nrES_Date,nrES_PID,$D1431,nrES_Code,$F1431,nrES_Att,2,nrES_Raw,"&gt;=0",nrES_Date,"&gt;0"),0)=0,"RETEST UNDATED",IF(NOT(ISNUMBER($T1431)),"RETEST DATE UNCHECKED",IF(_xlfn.MINIFS(nrES_Date,nrES_PID,$D1431,nrES_Code,$F1431,nrES_Att,2,nrES_Raw,"&gt;=0",nrES_Date,"&gt;0")&gt;$T1431,"LATE RETEST "&amp;TEXT(_xlfn.MINIFS(nrES_Date,nrES_PID,$D1431,nrES_Code,$F1431,nrES_Att,2,nrES_Raw,"&gt;=0",nrES_Date,"&gt;0"),"mm/dd")&amp;" (due "&amp;TEXT($T1431,"mm/dd")&amp;")","Retested"))),IF(NOT(ISNUMBER($T1431)),"CHECK DATE",IF(TODAY()&gt;$T1431,"OVERDUE","Due "&amp;TEXT($T1431,"mm/dd")))))))</f>
        <v/>
      </c>
      <c r="V1431" s="16" t="n"/>
      <c r="W1431" s="16" t="n"/>
      <c r="X1431" s="17">
        <f>IF($C1431="","",IF(AND($L1431&lt;&gt;"",NOT(ISNUMBER($L1431))),"RAW SCORE NOT A NUMBER",IF(AND(ISNUMBER($L1431),OR($L1431&lt;0,$L1431&gt;100)),"RAW SCORE OUT OF RANGE",IF(AND($Y1431="Unexcused",OR($L1431="",NOT(ISNUMBER($L1431)),$L1431&lt;&gt;0)),"UNEXCUSED ABSENCE MUST RECORD 0",IF(COUNTIF(nrES_RecID,$B1431)&gt;1,"DUPLICATE RECORD",IF(N($K1431)&gt;2,"ATTEMPT 3+ NOT ALLOWED - policy 300.5 permits one retest per exam; this row records nothing",IF(AND($K1431=2,COUNTIFS(nrES_PID,$D1431,nrES_Code,$F1431,nrES_Att,1)=0),"ATTEMPT 2 WITHOUT ATTEMPT 1",IF(AND($K1431=2,$L1431=""),"RETEST ROW HAS NO SCORE",IF(AND($H1431="Final",$L1431&lt;&gt;"",IFERROR(INDEX(nrCKfinalExamElig,MATCH($D1431,rngCadetPIDs,0)),"")="No"),"FINAL EXAM AFTER FAILED FINAL PT (500.1.H)",IF(AND($K1431=2,ISNUMBER($L1431),COUNTIFS(nrES_PID,$D1431,nrES_Code,$F1431,nrES_Att,1)&gt;0,SUMIFS(nrES_Raw,nrES_PID,$D1431,nrES_Code,$F1431,nrES_Att,1)&gt;=$J1431),"RETEST AFTER A PASSING FIRST ATTEMPT","OK"))))))))))</f>
        <v/>
      </c>
      <c r="Y1431" s="16" t="n"/>
    </row>
    <row r="1432">
      <c r="B1432" s="17">
        <f>IF($C1432="","",$D1432&amp;"-"&amp;$F1432&amp;"-"&amp;$K1432)</f>
        <v/>
      </c>
      <c r="C1432" s="16" t="n"/>
      <c r="D1432" s="17">
        <f>IF($C1432="","",IFERROR(INDEX(rngCadetPIDs,MATCH($C1432,rngCadetNames,0)),"?"))</f>
        <v/>
      </c>
      <c r="E1432" s="17">
        <f>IF($D1432="","",IFERROR(INDEX(nrCadetAgency,MATCH($D1432,rngCadetPIDs,0)),""))</f>
        <v/>
      </c>
      <c r="F1432" s="16" t="n"/>
      <c r="G1432" s="17">
        <f>IF($F1432="","",IFERROR(INDEX(rngEPname,MATCH($F1432,rngEPcode,0)),"?"))</f>
        <v/>
      </c>
      <c r="H1432" s="17">
        <f>IF($F1432="","",IFERROR(INDEX(rngEPtype,MATCH($F1432,rngEPcode,0)),"?"))</f>
        <v/>
      </c>
      <c r="I1432" s="17">
        <f>IF($F1432="","",IFERROR(INDEX(rngEPseq,MATCH($F1432,rngEPcode,0)),""))</f>
        <v/>
      </c>
      <c r="J1432" s="17">
        <f>IF($F1432="","",IFERROR(INDEX(rngEPpass,MATCH($F1432,rngEPcode,0)),cfgPassingScore))</f>
        <v/>
      </c>
      <c r="K1432" s="16" t="n"/>
      <c r="L1432" s="16" t="n"/>
      <c r="M1432" s="17">
        <f>IF($C1432="","",IF($L1432="","",IF(NOT(ISNUMBER($L1432)),$L1432,IF(N($K1432)&gt;2,"",IF($K1432=1,IF(COUNTIFS(nrES_PID,$D1432,nrES_Code,$F1432,nrES_Att,2,nrES_Raw,"&gt;=0")&gt;0,"",$L1432),IF($L1432&gt;=$J1432,MAX($J1432,cfgRetakeRecordedCap),IF(COUNTIFS(nrES_PID,$D1432,nrES_Code,$F1432,nrES_Att,1)=0,$L1432,SUMIFS(nrES_Raw,nrES_PID,$D1432,nrES_Code,$F1432,nrES_Att,1))))))))</f>
        <v/>
      </c>
      <c r="N1432" s="17">
        <f>IF($C1432="","",IF($L1432="","",IF(NOT(ISNUMBER($L1432)),"(not a score)",IF($L1432&gt;=$J1432,"Yes","No"))))</f>
        <v/>
      </c>
      <c r="O1432" s="17">
        <f>IF($C1432="","",IF($M1432="","",IF(NOT(ISNUMBER($M1432)),"(not a score)",IF($M1432&gt;=$J1432,"Yes","No"))))</f>
        <v/>
      </c>
      <c r="P1432" s="17">
        <f>IF($C1432="","",IF($K1432="","",IF(N($K1432)&gt;2,"No",IF(COUNTIFS(nrES_PID,$D1432,nrES_Code,$F1432,nrES_Att,"&gt;"&amp;$K1432,nrES_Att,"&lt;=2",nrES_Raw,"&gt;=0")=0,"Yes","No"))))</f>
        <v/>
      </c>
      <c r="Q1432" s="17">
        <f>IF($C1432="","",IF($L1432="","",IF(AND($K1432=1,ISNUMBER($L1432),$L1432&lt;$J1432,COUNTIFS(nrES_PID,$D1432,nrES_Code,$F1432,nrES_Att,2,nrES_Raw,"&gt;=0")=0),"Yes","No")))</f>
        <v/>
      </c>
      <c r="R1432" s="17">
        <f>IF($C1432="","",IF($L1432="","",IF(AND(N($K1432)&gt;=2,ISNUMBER($L1432),$L1432&lt;$J1432),"Yes","No")))</f>
        <v/>
      </c>
      <c r="S1432" s="18" t="n"/>
      <c r="T1432" s="19">
        <f>IF(OR($C1432="",$L1432="",$K1432&lt;&gt;1,NOT(ISNUMBER($L1432)),$L1432&gt;=$J1432),"",IF($S1432="","(enter date)",_xlfn.LET(_xlpm.dn,_xlfn.XLOOKUP($S1432,nrCDdate,nrCDnum,"",1),IF(_xlpm.dn="","(after last class day)",_xlfn.LET(_xlpm.dd,_xlfn.XLOOKUP(_xlpm.dn+cfgRetestClassDays,nrCDnum,nrCDdate,""),_xlpm.ok,_xlfn.XLOOKUP(_xlpm.dn+cfgRetestClassDays,nrCDnum,nrCDinsession,"No"),IF(OR(_xlpm.dd="",_xlpm.ok&lt;&gt;"Yes"),"(after last class day)",_xlpm.dd))))))</f>
        <v/>
      </c>
      <c r="U1432" s="17">
        <f>IF($C1432="","",IF(AND($Y1432="Excused",$L1432="",N($K1432)&lt;=1),"EXCUSED - 1st attempt pending",IF(OR($L1432="",$K1432&lt;&gt;1,NOT(ISNUMBER($L1432)),$L1432&gt;=$J1432),"",IF(COUNTIFS(nrES_PID,$D1432,nrES_Code,$F1432,nrES_Att,2,nrES_Raw,"&gt;=0")&gt;0,IF(IFERROR(_xlfn.MINIFS(nrES_Date,nrES_PID,$D1432,nrES_Code,$F1432,nrES_Att,2,nrES_Raw,"&gt;=0",nrES_Date,"&gt;0"),0)=0,"RETEST UNDATED",IF(NOT(ISNUMBER($T1432)),"RETEST DATE UNCHECKED",IF(_xlfn.MINIFS(nrES_Date,nrES_PID,$D1432,nrES_Code,$F1432,nrES_Att,2,nrES_Raw,"&gt;=0",nrES_Date,"&gt;0")&gt;$T1432,"LATE RETEST "&amp;TEXT(_xlfn.MINIFS(nrES_Date,nrES_PID,$D1432,nrES_Code,$F1432,nrES_Att,2,nrES_Raw,"&gt;=0",nrES_Date,"&gt;0"),"mm/dd")&amp;" (due "&amp;TEXT($T1432,"mm/dd")&amp;")","Retested"))),IF(NOT(ISNUMBER($T1432)),"CHECK DATE",IF(TODAY()&gt;$T1432,"OVERDUE","Due "&amp;TEXT($T1432,"mm/dd")))))))</f>
        <v/>
      </c>
      <c r="V1432" s="16" t="n"/>
      <c r="W1432" s="16" t="n"/>
      <c r="X1432" s="17">
        <f>IF($C1432="","",IF(AND($L1432&lt;&gt;"",NOT(ISNUMBER($L1432))),"RAW SCORE NOT A NUMBER",IF(AND(ISNUMBER($L1432),OR($L1432&lt;0,$L1432&gt;100)),"RAW SCORE OUT OF RANGE",IF(AND($Y1432="Unexcused",OR($L1432="",NOT(ISNUMBER($L1432)),$L1432&lt;&gt;0)),"UNEXCUSED ABSENCE MUST RECORD 0",IF(COUNTIF(nrES_RecID,$B1432)&gt;1,"DUPLICATE RECORD",IF(N($K1432)&gt;2,"ATTEMPT 3+ NOT ALLOWED - policy 300.5 permits one retest per exam; this row records nothing",IF(AND($K1432=2,COUNTIFS(nrES_PID,$D1432,nrES_Code,$F1432,nrES_Att,1)=0),"ATTEMPT 2 WITHOUT ATTEMPT 1",IF(AND($K1432=2,$L1432=""),"RETEST ROW HAS NO SCORE",IF(AND($H1432="Final",$L1432&lt;&gt;"",IFERROR(INDEX(nrCKfinalExamElig,MATCH($D1432,rngCadetPIDs,0)),"")="No"),"FINAL EXAM AFTER FAILED FINAL PT (500.1.H)",IF(AND($K1432=2,ISNUMBER($L1432),COUNTIFS(nrES_PID,$D1432,nrES_Code,$F1432,nrES_Att,1)&gt;0,SUMIFS(nrES_Raw,nrES_PID,$D1432,nrES_Code,$F1432,nrES_Att,1)&gt;=$J1432),"RETEST AFTER A PASSING FIRST ATTEMPT","OK"))))))))))</f>
        <v/>
      </c>
      <c r="Y1432" s="16" t="n"/>
    </row>
    <row r="1433">
      <c r="B1433" s="17">
        <f>IF($C1433="","",$D1433&amp;"-"&amp;$F1433&amp;"-"&amp;$K1433)</f>
        <v/>
      </c>
      <c r="C1433" s="16" t="n"/>
      <c r="D1433" s="17">
        <f>IF($C1433="","",IFERROR(INDEX(rngCadetPIDs,MATCH($C1433,rngCadetNames,0)),"?"))</f>
        <v/>
      </c>
      <c r="E1433" s="17">
        <f>IF($D1433="","",IFERROR(INDEX(nrCadetAgency,MATCH($D1433,rngCadetPIDs,0)),""))</f>
        <v/>
      </c>
      <c r="F1433" s="16" t="n"/>
      <c r="G1433" s="17">
        <f>IF($F1433="","",IFERROR(INDEX(rngEPname,MATCH($F1433,rngEPcode,0)),"?"))</f>
        <v/>
      </c>
      <c r="H1433" s="17">
        <f>IF($F1433="","",IFERROR(INDEX(rngEPtype,MATCH($F1433,rngEPcode,0)),"?"))</f>
        <v/>
      </c>
      <c r="I1433" s="17">
        <f>IF($F1433="","",IFERROR(INDEX(rngEPseq,MATCH($F1433,rngEPcode,0)),""))</f>
        <v/>
      </c>
      <c r="J1433" s="17">
        <f>IF($F1433="","",IFERROR(INDEX(rngEPpass,MATCH($F1433,rngEPcode,0)),cfgPassingScore))</f>
        <v/>
      </c>
      <c r="K1433" s="16" t="n"/>
      <c r="L1433" s="16" t="n"/>
      <c r="M1433" s="17">
        <f>IF($C1433="","",IF($L1433="","",IF(NOT(ISNUMBER($L1433)),$L1433,IF(N($K1433)&gt;2,"",IF($K1433=1,IF(COUNTIFS(nrES_PID,$D1433,nrES_Code,$F1433,nrES_Att,2,nrES_Raw,"&gt;=0")&gt;0,"",$L1433),IF($L1433&gt;=$J1433,MAX($J1433,cfgRetakeRecordedCap),IF(COUNTIFS(nrES_PID,$D1433,nrES_Code,$F1433,nrES_Att,1)=0,$L1433,SUMIFS(nrES_Raw,nrES_PID,$D1433,nrES_Code,$F1433,nrES_Att,1))))))))</f>
        <v/>
      </c>
      <c r="N1433" s="17">
        <f>IF($C1433="","",IF($L1433="","",IF(NOT(ISNUMBER($L1433)),"(not a score)",IF($L1433&gt;=$J1433,"Yes","No"))))</f>
        <v/>
      </c>
      <c r="O1433" s="17">
        <f>IF($C1433="","",IF($M1433="","",IF(NOT(ISNUMBER($M1433)),"(not a score)",IF($M1433&gt;=$J1433,"Yes","No"))))</f>
        <v/>
      </c>
      <c r="P1433" s="17">
        <f>IF($C1433="","",IF($K1433="","",IF(N($K1433)&gt;2,"No",IF(COUNTIFS(nrES_PID,$D1433,nrES_Code,$F1433,nrES_Att,"&gt;"&amp;$K1433,nrES_Att,"&lt;=2",nrES_Raw,"&gt;=0")=0,"Yes","No"))))</f>
        <v/>
      </c>
      <c r="Q1433" s="17">
        <f>IF($C1433="","",IF($L1433="","",IF(AND($K1433=1,ISNUMBER($L1433),$L1433&lt;$J1433,COUNTIFS(nrES_PID,$D1433,nrES_Code,$F1433,nrES_Att,2,nrES_Raw,"&gt;=0")=0),"Yes","No")))</f>
        <v/>
      </c>
      <c r="R1433" s="17">
        <f>IF($C1433="","",IF($L1433="","",IF(AND(N($K1433)&gt;=2,ISNUMBER($L1433),$L1433&lt;$J1433),"Yes","No")))</f>
        <v/>
      </c>
      <c r="S1433" s="18" t="n"/>
      <c r="T1433" s="19">
        <f>IF(OR($C1433="",$L1433="",$K1433&lt;&gt;1,NOT(ISNUMBER($L1433)),$L1433&gt;=$J1433),"",IF($S1433="","(enter date)",_xlfn.LET(_xlpm.dn,_xlfn.XLOOKUP($S1433,nrCDdate,nrCDnum,"",1),IF(_xlpm.dn="","(after last class day)",_xlfn.LET(_xlpm.dd,_xlfn.XLOOKUP(_xlpm.dn+cfgRetestClassDays,nrCDnum,nrCDdate,""),_xlpm.ok,_xlfn.XLOOKUP(_xlpm.dn+cfgRetestClassDays,nrCDnum,nrCDinsession,"No"),IF(OR(_xlpm.dd="",_xlpm.ok&lt;&gt;"Yes"),"(after last class day)",_xlpm.dd))))))</f>
        <v/>
      </c>
      <c r="U1433" s="17">
        <f>IF($C1433="","",IF(AND($Y1433="Excused",$L1433="",N($K1433)&lt;=1),"EXCUSED - 1st attempt pending",IF(OR($L1433="",$K1433&lt;&gt;1,NOT(ISNUMBER($L1433)),$L1433&gt;=$J1433),"",IF(COUNTIFS(nrES_PID,$D1433,nrES_Code,$F1433,nrES_Att,2,nrES_Raw,"&gt;=0")&gt;0,IF(IFERROR(_xlfn.MINIFS(nrES_Date,nrES_PID,$D1433,nrES_Code,$F1433,nrES_Att,2,nrES_Raw,"&gt;=0",nrES_Date,"&gt;0"),0)=0,"RETEST UNDATED",IF(NOT(ISNUMBER($T1433)),"RETEST DATE UNCHECKED",IF(_xlfn.MINIFS(nrES_Date,nrES_PID,$D1433,nrES_Code,$F1433,nrES_Att,2,nrES_Raw,"&gt;=0",nrES_Date,"&gt;0")&gt;$T1433,"LATE RETEST "&amp;TEXT(_xlfn.MINIFS(nrES_Date,nrES_PID,$D1433,nrES_Code,$F1433,nrES_Att,2,nrES_Raw,"&gt;=0",nrES_Date,"&gt;0"),"mm/dd")&amp;" (due "&amp;TEXT($T1433,"mm/dd")&amp;")","Retested"))),IF(NOT(ISNUMBER($T1433)),"CHECK DATE",IF(TODAY()&gt;$T1433,"OVERDUE","Due "&amp;TEXT($T1433,"mm/dd")))))))</f>
        <v/>
      </c>
      <c r="V1433" s="16" t="n"/>
      <c r="W1433" s="16" t="n"/>
      <c r="X1433" s="17">
        <f>IF($C1433="","",IF(AND($L1433&lt;&gt;"",NOT(ISNUMBER($L1433))),"RAW SCORE NOT A NUMBER",IF(AND(ISNUMBER($L1433),OR($L1433&lt;0,$L1433&gt;100)),"RAW SCORE OUT OF RANGE",IF(AND($Y1433="Unexcused",OR($L1433="",NOT(ISNUMBER($L1433)),$L1433&lt;&gt;0)),"UNEXCUSED ABSENCE MUST RECORD 0",IF(COUNTIF(nrES_RecID,$B1433)&gt;1,"DUPLICATE RECORD",IF(N($K1433)&gt;2,"ATTEMPT 3+ NOT ALLOWED - policy 300.5 permits one retest per exam; this row records nothing",IF(AND($K1433=2,COUNTIFS(nrES_PID,$D1433,nrES_Code,$F1433,nrES_Att,1)=0),"ATTEMPT 2 WITHOUT ATTEMPT 1",IF(AND($K1433=2,$L1433=""),"RETEST ROW HAS NO SCORE",IF(AND($H1433="Final",$L1433&lt;&gt;"",IFERROR(INDEX(nrCKfinalExamElig,MATCH($D1433,rngCadetPIDs,0)),"")="No"),"FINAL EXAM AFTER FAILED FINAL PT (500.1.H)",IF(AND($K1433=2,ISNUMBER($L1433),COUNTIFS(nrES_PID,$D1433,nrES_Code,$F1433,nrES_Att,1)&gt;0,SUMIFS(nrES_Raw,nrES_PID,$D1433,nrES_Code,$F1433,nrES_Att,1)&gt;=$J1433),"RETEST AFTER A PASSING FIRST ATTEMPT","OK"))))))))))</f>
        <v/>
      </c>
      <c r="Y1433" s="16" t="n"/>
    </row>
    <row r="1434">
      <c r="B1434" s="17">
        <f>IF($C1434="","",$D1434&amp;"-"&amp;$F1434&amp;"-"&amp;$K1434)</f>
        <v/>
      </c>
      <c r="C1434" s="16" t="n"/>
      <c r="D1434" s="17">
        <f>IF($C1434="","",IFERROR(INDEX(rngCadetPIDs,MATCH($C1434,rngCadetNames,0)),"?"))</f>
        <v/>
      </c>
      <c r="E1434" s="17">
        <f>IF($D1434="","",IFERROR(INDEX(nrCadetAgency,MATCH($D1434,rngCadetPIDs,0)),""))</f>
        <v/>
      </c>
      <c r="F1434" s="16" t="n"/>
      <c r="G1434" s="17">
        <f>IF($F1434="","",IFERROR(INDEX(rngEPname,MATCH($F1434,rngEPcode,0)),"?"))</f>
        <v/>
      </c>
      <c r="H1434" s="17">
        <f>IF($F1434="","",IFERROR(INDEX(rngEPtype,MATCH($F1434,rngEPcode,0)),"?"))</f>
        <v/>
      </c>
      <c r="I1434" s="17">
        <f>IF($F1434="","",IFERROR(INDEX(rngEPseq,MATCH($F1434,rngEPcode,0)),""))</f>
        <v/>
      </c>
      <c r="J1434" s="17">
        <f>IF($F1434="","",IFERROR(INDEX(rngEPpass,MATCH($F1434,rngEPcode,0)),cfgPassingScore))</f>
        <v/>
      </c>
      <c r="K1434" s="16" t="n"/>
      <c r="L1434" s="16" t="n"/>
      <c r="M1434" s="17">
        <f>IF($C1434="","",IF($L1434="","",IF(NOT(ISNUMBER($L1434)),$L1434,IF(N($K1434)&gt;2,"",IF($K1434=1,IF(COUNTIFS(nrES_PID,$D1434,nrES_Code,$F1434,nrES_Att,2,nrES_Raw,"&gt;=0")&gt;0,"",$L1434),IF($L1434&gt;=$J1434,MAX($J1434,cfgRetakeRecordedCap),IF(COUNTIFS(nrES_PID,$D1434,nrES_Code,$F1434,nrES_Att,1)=0,$L1434,SUMIFS(nrES_Raw,nrES_PID,$D1434,nrES_Code,$F1434,nrES_Att,1))))))))</f>
        <v/>
      </c>
      <c r="N1434" s="17">
        <f>IF($C1434="","",IF($L1434="","",IF(NOT(ISNUMBER($L1434)),"(not a score)",IF($L1434&gt;=$J1434,"Yes","No"))))</f>
        <v/>
      </c>
      <c r="O1434" s="17">
        <f>IF($C1434="","",IF($M1434="","",IF(NOT(ISNUMBER($M1434)),"(not a score)",IF($M1434&gt;=$J1434,"Yes","No"))))</f>
        <v/>
      </c>
      <c r="P1434" s="17">
        <f>IF($C1434="","",IF($K1434="","",IF(N($K1434)&gt;2,"No",IF(COUNTIFS(nrES_PID,$D1434,nrES_Code,$F1434,nrES_Att,"&gt;"&amp;$K1434,nrES_Att,"&lt;=2",nrES_Raw,"&gt;=0")=0,"Yes","No"))))</f>
        <v/>
      </c>
      <c r="Q1434" s="17">
        <f>IF($C1434="","",IF($L1434="","",IF(AND($K1434=1,ISNUMBER($L1434),$L1434&lt;$J1434,COUNTIFS(nrES_PID,$D1434,nrES_Code,$F1434,nrES_Att,2,nrES_Raw,"&gt;=0")=0),"Yes","No")))</f>
        <v/>
      </c>
      <c r="R1434" s="17">
        <f>IF($C1434="","",IF($L1434="","",IF(AND(N($K1434)&gt;=2,ISNUMBER($L1434),$L1434&lt;$J1434),"Yes","No")))</f>
        <v/>
      </c>
      <c r="S1434" s="18" t="n"/>
      <c r="T1434" s="19">
        <f>IF(OR($C1434="",$L1434="",$K1434&lt;&gt;1,NOT(ISNUMBER($L1434)),$L1434&gt;=$J1434),"",IF($S1434="","(enter date)",_xlfn.LET(_xlpm.dn,_xlfn.XLOOKUP($S1434,nrCDdate,nrCDnum,"",1),IF(_xlpm.dn="","(after last class day)",_xlfn.LET(_xlpm.dd,_xlfn.XLOOKUP(_xlpm.dn+cfgRetestClassDays,nrCDnum,nrCDdate,""),_xlpm.ok,_xlfn.XLOOKUP(_xlpm.dn+cfgRetestClassDays,nrCDnum,nrCDinsession,"No"),IF(OR(_xlpm.dd="",_xlpm.ok&lt;&gt;"Yes"),"(after last class day)",_xlpm.dd))))))</f>
        <v/>
      </c>
      <c r="U1434" s="17">
        <f>IF($C1434="","",IF(AND($Y1434="Excused",$L1434="",N($K1434)&lt;=1),"EXCUSED - 1st attempt pending",IF(OR($L1434="",$K1434&lt;&gt;1,NOT(ISNUMBER($L1434)),$L1434&gt;=$J1434),"",IF(COUNTIFS(nrES_PID,$D1434,nrES_Code,$F1434,nrES_Att,2,nrES_Raw,"&gt;=0")&gt;0,IF(IFERROR(_xlfn.MINIFS(nrES_Date,nrES_PID,$D1434,nrES_Code,$F1434,nrES_Att,2,nrES_Raw,"&gt;=0",nrES_Date,"&gt;0"),0)=0,"RETEST UNDATED",IF(NOT(ISNUMBER($T1434)),"RETEST DATE UNCHECKED",IF(_xlfn.MINIFS(nrES_Date,nrES_PID,$D1434,nrES_Code,$F1434,nrES_Att,2,nrES_Raw,"&gt;=0",nrES_Date,"&gt;0")&gt;$T1434,"LATE RETEST "&amp;TEXT(_xlfn.MINIFS(nrES_Date,nrES_PID,$D1434,nrES_Code,$F1434,nrES_Att,2,nrES_Raw,"&gt;=0",nrES_Date,"&gt;0"),"mm/dd")&amp;" (due "&amp;TEXT($T1434,"mm/dd")&amp;")","Retested"))),IF(NOT(ISNUMBER($T1434)),"CHECK DATE",IF(TODAY()&gt;$T1434,"OVERDUE","Due "&amp;TEXT($T1434,"mm/dd")))))))</f>
        <v/>
      </c>
      <c r="V1434" s="16" t="n"/>
      <c r="W1434" s="16" t="n"/>
      <c r="X1434" s="17">
        <f>IF($C1434="","",IF(AND($L1434&lt;&gt;"",NOT(ISNUMBER($L1434))),"RAW SCORE NOT A NUMBER",IF(AND(ISNUMBER($L1434),OR($L1434&lt;0,$L1434&gt;100)),"RAW SCORE OUT OF RANGE",IF(AND($Y1434="Unexcused",OR($L1434="",NOT(ISNUMBER($L1434)),$L1434&lt;&gt;0)),"UNEXCUSED ABSENCE MUST RECORD 0",IF(COUNTIF(nrES_RecID,$B1434)&gt;1,"DUPLICATE RECORD",IF(N($K1434)&gt;2,"ATTEMPT 3+ NOT ALLOWED - policy 300.5 permits one retest per exam; this row records nothing",IF(AND($K1434=2,COUNTIFS(nrES_PID,$D1434,nrES_Code,$F1434,nrES_Att,1)=0),"ATTEMPT 2 WITHOUT ATTEMPT 1",IF(AND($K1434=2,$L1434=""),"RETEST ROW HAS NO SCORE",IF(AND($H1434="Final",$L1434&lt;&gt;"",IFERROR(INDEX(nrCKfinalExamElig,MATCH($D1434,rngCadetPIDs,0)),"")="No"),"FINAL EXAM AFTER FAILED FINAL PT (500.1.H)",IF(AND($K1434=2,ISNUMBER($L1434),COUNTIFS(nrES_PID,$D1434,nrES_Code,$F1434,nrES_Att,1)&gt;0,SUMIFS(nrES_Raw,nrES_PID,$D1434,nrES_Code,$F1434,nrES_Att,1)&gt;=$J1434),"RETEST AFTER A PASSING FIRST ATTEMPT","OK"))))))))))</f>
        <v/>
      </c>
      <c r="Y1434" s="16" t="n"/>
    </row>
    <row r="1435">
      <c r="B1435" s="17">
        <f>IF($C1435="","",$D1435&amp;"-"&amp;$F1435&amp;"-"&amp;$K1435)</f>
        <v/>
      </c>
      <c r="C1435" s="16" t="n"/>
      <c r="D1435" s="17">
        <f>IF($C1435="","",IFERROR(INDEX(rngCadetPIDs,MATCH($C1435,rngCadetNames,0)),"?"))</f>
        <v/>
      </c>
      <c r="E1435" s="17">
        <f>IF($D1435="","",IFERROR(INDEX(nrCadetAgency,MATCH($D1435,rngCadetPIDs,0)),""))</f>
        <v/>
      </c>
      <c r="F1435" s="16" t="n"/>
      <c r="G1435" s="17">
        <f>IF($F1435="","",IFERROR(INDEX(rngEPname,MATCH($F1435,rngEPcode,0)),"?"))</f>
        <v/>
      </c>
      <c r="H1435" s="17">
        <f>IF($F1435="","",IFERROR(INDEX(rngEPtype,MATCH($F1435,rngEPcode,0)),"?"))</f>
        <v/>
      </c>
      <c r="I1435" s="17">
        <f>IF($F1435="","",IFERROR(INDEX(rngEPseq,MATCH($F1435,rngEPcode,0)),""))</f>
        <v/>
      </c>
      <c r="J1435" s="17">
        <f>IF($F1435="","",IFERROR(INDEX(rngEPpass,MATCH($F1435,rngEPcode,0)),cfgPassingScore))</f>
        <v/>
      </c>
      <c r="K1435" s="16" t="n"/>
      <c r="L1435" s="16" t="n"/>
      <c r="M1435" s="17">
        <f>IF($C1435="","",IF($L1435="","",IF(NOT(ISNUMBER($L1435)),$L1435,IF(N($K1435)&gt;2,"",IF($K1435=1,IF(COUNTIFS(nrES_PID,$D1435,nrES_Code,$F1435,nrES_Att,2,nrES_Raw,"&gt;=0")&gt;0,"",$L1435),IF($L1435&gt;=$J1435,MAX($J1435,cfgRetakeRecordedCap),IF(COUNTIFS(nrES_PID,$D1435,nrES_Code,$F1435,nrES_Att,1)=0,$L1435,SUMIFS(nrES_Raw,nrES_PID,$D1435,nrES_Code,$F1435,nrES_Att,1))))))))</f>
        <v/>
      </c>
      <c r="N1435" s="17">
        <f>IF($C1435="","",IF($L1435="","",IF(NOT(ISNUMBER($L1435)),"(not a score)",IF($L1435&gt;=$J1435,"Yes","No"))))</f>
        <v/>
      </c>
      <c r="O1435" s="17">
        <f>IF($C1435="","",IF($M1435="","",IF(NOT(ISNUMBER($M1435)),"(not a score)",IF($M1435&gt;=$J1435,"Yes","No"))))</f>
        <v/>
      </c>
      <c r="P1435" s="17">
        <f>IF($C1435="","",IF($K1435="","",IF(N($K1435)&gt;2,"No",IF(COUNTIFS(nrES_PID,$D1435,nrES_Code,$F1435,nrES_Att,"&gt;"&amp;$K1435,nrES_Att,"&lt;=2",nrES_Raw,"&gt;=0")=0,"Yes","No"))))</f>
        <v/>
      </c>
      <c r="Q1435" s="17">
        <f>IF($C1435="","",IF($L1435="","",IF(AND($K1435=1,ISNUMBER($L1435),$L1435&lt;$J1435,COUNTIFS(nrES_PID,$D1435,nrES_Code,$F1435,nrES_Att,2,nrES_Raw,"&gt;=0")=0),"Yes","No")))</f>
        <v/>
      </c>
      <c r="R1435" s="17">
        <f>IF($C1435="","",IF($L1435="","",IF(AND(N($K1435)&gt;=2,ISNUMBER($L1435),$L1435&lt;$J1435),"Yes","No")))</f>
        <v/>
      </c>
      <c r="S1435" s="18" t="n"/>
      <c r="T1435" s="19">
        <f>IF(OR($C1435="",$L1435="",$K1435&lt;&gt;1,NOT(ISNUMBER($L1435)),$L1435&gt;=$J1435),"",IF($S1435="","(enter date)",_xlfn.LET(_xlpm.dn,_xlfn.XLOOKUP($S1435,nrCDdate,nrCDnum,"",1),IF(_xlpm.dn="","(after last class day)",_xlfn.LET(_xlpm.dd,_xlfn.XLOOKUP(_xlpm.dn+cfgRetestClassDays,nrCDnum,nrCDdate,""),_xlpm.ok,_xlfn.XLOOKUP(_xlpm.dn+cfgRetestClassDays,nrCDnum,nrCDinsession,"No"),IF(OR(_xlpm.dd="",_xlpm.ok&lt;&gt;"Yes"),"(after last class day)",_xlpm.dd))))))</f>
        <v/>
      </c>
      <c r="U1435" s="17">
        <f>IF($C1435="","",IF(AND($Y1435="Excused",$L1435="",N($K1435)&lt;=1),"EXCUSED - 1st attempt pending",IF(OR($L1435="",$K1435&lt;&gt;1,NOT(ISNUMBER($L1435)),$L1435&gt;=$J1435),"",IF(COUNTIFS(nrES_PID,$D1435,nrES_Code,$F1435,nrES_Att,2,nrES_Raw,"&gt;=0")&gt;0,IF(IFERROR(_xlfn.MINIFS(nrES_Date,nrES_PID,$D1435,nrES_Code,$F1435,nrES_Att,2,nrES_Raw,"&gt;=0",nrES_Date,"&gt;0"),0)=0,"RETEST UNDATED",IF(NOT(ISNUMBER($T1435)),"RETEST DATE UNCHECKED",IF(_xlfn.MINIFS(nrES_Date,nrES_PID,$D1435,nrES_Code,$F1435,nrES_Att,2,nrES_Raw,"&gt;=0",nrES_Date,"&gt;0")&gt;$T1435,"LATE RETEST "&amp;TEXT(_xlfn.MINIFS(nrES_Date,nrES_PID,$D1435,nrES_Code,$F1435,nrES_Att,2,nrES_Raw,"&gt;=0",nrES_Date,"&gt;0"),"mm/dd")&amp;" (due "&amp;TEXT($T1435,"mm/dd")&amp;")","Retested"))),IF(NOT(ISNUMBER($T1435)),"CHECK DATE",IF(TODAY()&gt;$T1435,"OVERDUE","Due "&amp;TEXT($T1435,"mm/dd")))))))</f>
        <v/>
      </c>
      <c r="V1435" s="16" t="n"/>
      <c r="W1435" s="16" t="n"/>
      <c r="X1435" s="17">
        <f>IF($C1435="","",IF(AND($L1435&lt;&gt;"",NOT(ISNUMBER($L1435))),"RAW SCORE NOT A NUMBER",IF(AND(ISNUMBER($L1435),OR($L1435&lt;0,$L1435&gt;100)),"RAW SCORE OUT OF RANGE",IF(AND($Y1435="Unexcused",OR($L1435="",NOT(ISNUMBER($L1435)),$L1435&lt;&gt;0)),"UNEXCUSED ABSENCE MUST RECORD 0",IF(COUNTIF(nrES_RecID,$B1435)&gt;1,"DUPLICATE RECORD",IF(N($K1435)&gt;2,"ATTEMPT 3+ NOT ALLOWED - policy 300.5 permits one retest per exam; this row records nothing",IF(AND($K1435=2,COUNTIFS(nrES_PID,$D1435,nrES_Code,$F1435,nrES_Att,1)=0),"ATTEMPT 2 WITHOUT ATTEMPT 1",IF(AND($K1435=2,$L1435=""),"RETEST ROW HAS NO SCORE",IF(AND($H1435="Final",$L1435&lt;&gt;"",IFERROR(INDEX(nrCKfinalExamElig,MATCH($D1435,rngCadetPIDs,0)),"")="No"),"FINAL EXAM AFTER FAILED FINAL PT (500.1.H)",IF(AND($K1435=2,ISNUMBER($L1435),COUNTIFS(nrES_PID,$D1435,nrES_Code,$F1435,nrES_Att,1)&gt;0,SUMIFS(nrES_Raw,nrES_PID,$D1435,nrES_Code,$F1435,nrES_Att,1)&gt;=$J1435),"RETEST AFTER A PASSING FIRST ATTEMPT","OK"))))))))))</f>
        <v/>
      </c>
      <c r="Y1435" s="16" t="n"/>
    </row>
    <row r="1436">
      <c r="B1436" s="17">
        <f>IF($C1436="","",$D1436&amp;"-"&amp;$F1436&amp;"-"&amp;$K1436)</f>
        <v/>
      </c>
      <c r="C1436" s="16" t="n"/>
      <c r="D1436" s="17">
        <f>IF($C1436="","",IFERROR(INDEX(rngCadetPIDs,MATCH($C1436,rngCadetNames,0)),"?"))</f>
        <v/>
      </c>
      <c r="E1436" s="17">
        <f>IF($D1436="","",IFERROR(INDEX(nrCadetAgency,MATCH($D1436,rngCadetPIDs,0)),""))</f>
        <v/>
      </c>
      <c r="F1436" s="16" t="n"/>
      <c r="G1436" s="17">
        <f>IF($F1436="","",IFERROR(INDEX(rngEPname,MATCH($F1436,rngEPcode,0)),"?"))</f>
        <v/>
      </c>
      <c r="H1436" s="17">
        <f>IF($F1436="","",IFERROR(INDEX(rngEPtype,MATCH($F1436,rngEPcode,0)),"?"))</f>
        <v/>
      </c>
      <c r="I1436" s="17">
        <f>IF($F1436="","",IFERROR(INDEX(rngEPseq,MATCH($F1436,rngEPcode,0)),""))</f>
        <v/>
      </c>
      <c r="J1436" s="17">
        <f>IF($F1436="","",IFERROR(INDEX(rngEPpass,MATCH($F1436,rngEPcode,0)),cfgPassingScore))</f>
        <v/>
      </c>
      <c r="K1436" s="16" t="n"/>
      <c r="L1436" s="16" t="n"/>
      <c r="M1436" s="17">
        <f>IF($C1436="","",IF($L1436="","",IF(NOT(ISNUMBER($L1436)),$L1436,IF(N($K1436)&gt;2,"",IF($K1436=1,IF(COUNTIFS(nrES_PID,$D1436,nrES_Code,$F1436,nrES_Att,2,nrES_Raw,"&gt;=0")&gt;0,"",$L1436),IF($L1436&gt;=$J1436,MAX($J1436,cfgRetakeRecordedCap),IF(COUNTIFS(nrES_PID,$D1436,nrES_Code,$F1436,nrES_Att,1)=0,$L1436,SUMIFS(nrES_Raw,nrES_PID,$D1436,nrES_Code,$F1436,nrES_Att,1))))))))</f>
        <v/>
      </c>
      <c r="N1436" s="17">
        <f>IF($C1436="","",IF($L1436="","",IF(NOT(ISNUMBER($L1436)),"(not a score)",IF($L1436&gt;=$J1436,"Yes","No"))))</f>
        <v/>
      </c>
      <c r="O1436" s="17">
        <f>IF($C1436="","",IF($M1436="","",IF(NOT(ISNUMBER($M1436)),"(not a score)",IF($M1436&gt;=$J1436,"Yes","No"))))</f>
        <v/>
      </c>
      <c r="P1436" s="17">
        <f>IF($C1436="","",IF($K1436="","",IF(N($K1436)&gt;2,"No",IF(COUNTIFS(nrES_PID,$D1436,nrES_Code,$F1436,nrES_Att,"&gt;"&amp;$K1436,nrES_Att,"&lt;=2",nrES_Raw,"&gt;=0")=0,"Yes","No"))))</f>
        <v/>
      </c>
      <c r="Q1436" s="17">
        <f>IF($C1436="","",IF($L1436="","",IF(AND($K1436=1,ISNUMBER($L1436),$L1436&lt;$J1436,COUNTIFS(nrES_PID,$D1436,nrES_Code,$F1436,nrES_Att,2,nrES_Raw,"&gt;=0")=0),"Yes","No")))</f>
        <v/>
      </c>
      <c r="R1436" s="17">
        <f>IF($C1436="","",IF($L1436="","",IF(AND(N($K1436)&gt;=2,ISNUMBER($L1436),$L1436&lt;$J1436),"Yes","No")))</f>
        <v/>
      </c>
      <c r="S1436" s="18" t="n"/>
      <c r="T1436" s="19">
        <f>IF(OR($C1436="",$L1436="",$K1436&lt;&gt;1,NOT(ISNUMBER($L1436)),$L1436&gt;=$J1436),"",IF($S1436="","(enter date)",_xlfn.LET(_xlpm.dn,_xlfn.XLOOKUP($S1436,nrCDdate,nrCDnum,"",1),IF(_xlpm.dn="","(after last class day)",_xlfn.LET(_xlpm.dd,_xlfn.XLOOKUP(_xlpm.dn+cfgRetestClassDays,nrCDnum,nrCDdate,""),_xlpm.ok,_xlfn.XLOOKUP(_xlpm.dn+cfgRetestClassDays,nrCDnum,nrCDinsession,"No"),IF(OR(_xlpm.dd="",_xlpm.ok&lt;&gt;"Yes"),"(after last class day)",_xlpm.dd))))))</f>
        <v/>
      </c>
      <c r="U1436" s="17">
        <f>IF($C1436="","",IF(AND($Y1436="Excused",$L1436="",N($K1436)&lt;=1),"EXCUSED - 1st attempt pending",IF(OR($L1436="",$K1436&lt;&gt;1,NOT(ISNUMBER($L1436)),$L1436&gt;=$J1436),"",IF(COUNTIFS(nrES_PID,$D1436,nrES_Code,$F1436,nrES_Att,2,nrES_Raw,"&gt;=0")&gt;0,IF(IFERROR(_xlfn.MINIFS(nrES_Date,nrES_PID,$D1436,nrES_Code,$F1436,nrES_Att,2,nrES_Raw,"&gt;=0",nrES_Date,"&gt;0"),0)=0,"RETEST UNDATED",IF(NOT(ISNUMBER($T1436)),"RETEST DATE UNCHECKED",IF(_xlfn.MINIFS(nrES_Date,nrES_PID,$D1436,nrES_Code,$F1436,nrES_Att,2,nrES_Raw,"&gt;=0",nrES_Date,"&gt;0")&gt;$T1436,"LATE RETEST "&amp;TEXT(_xlfn.MINIFS(nrES_Date,nrES_PID,$D1436,nrES_Code,$F1436,nrES_Att,2,nrES_Raw,"&gt;=0",nrES_Date,"&gt;0"),"mm/dd")&amp;" (due "&amp;TEXT($T1436,"mm/dd")&amp;")","Retested"))),IF(NOT(ISNUMBER($T1436)),"CHECK DATE",IF(TODAY()&gt;$T1436,"OVERDUE","Due "&amp;TEXT($T1436,"mm/dd")))))))</f>
        <v/>
      </c>
      <c r="V1436" s="16" t="n"/>
      <c r="W1436" s="16" t="n"/>
      <c r="X1436" s="17">
        <f>IF($C1436="","",IF(AND($L1436&lt;&gt;"",NOT(ISNUMBER($L1436))),"RAW SCORE NOT A NUMBER",IF(AND(ISNUMBER($L1436),OR($L1436&lt;0,$L1436&gt;100)),"RAW SCORE OUT OF RANGE",IF(AND($Y1436="Unexcused",OR($L1436="",NOT(ISNUMBER($L1436)),$L1436&lt;&gt;0)),"UNEXCUSED ABSENCE MUST RECORD 0",IF(COUNTIF(nrES_RecID,$B1436)&gt;1,"DUPLICATE RECORD",IF(N($K1436)&gt;2,"ATTEMPT 3+ NOT ALLOWED - policy 300.5 permits one retest per exam; this row records nothing",IF(AND($K1436=2,COUNTIFS(nrES_PID,$D1436,nrES_Code,$F1436,nrES_Att,1)=0),"ATTEMPT 2 WITHOUT ATTEMPT 1",IF(AND($K1436=2,$L1436=""),"RETEST ROW HAS NO SCORE",IF(AND($H1436="Final",$L1436&lt;&gt;"",IFERROR(INDEX(nrCKfinalExamElig,MATCH($D1436,rngCadetPIDs,0)),"")="No"),"FINAL EXAM AFTER FAILED FINAL PT (500.1.H)",IF(AND($K1436=2,ISNUMBER($L1436),COUNTIFS(nrES_PID,$D1436,nrES_Code,$F1436,nrES_Att,1)&gt;0,SUMIFS(nrES_Raw,nrES_PID,$D1436,nrES_Code,$F1436,nrES_Att,1)&gt;=$J1436),"RETEST AFTER A PASSING FIRST ATTEMPT","OK"))))))))))</f>
        <v/>
      </c>
      <c r="Y1436" s="16" t="n"/>
    </row>
    <row r="1437">
      <c r="B1437" s="17">
        <f>IF($C1437="","",$D1437&amp;"-"&amp;$F1437&amp;"-"&amp;$K1437)</f>
        <v/>
      </c>
      <c r="C1437" s="16" t="n"/>
      <c r="D1437" s="17">
        <f>IF($C1437="","",IFERROR(INDEX(rngCadetPIDs,MATCH($C1437,rngCadetNames,0)),"?"))</f>
        <v/>
      </c>
      <c r="E1437" s="17">
        <f>IF($D1437="","",IFERROR(INDEX(nrCadetAgency,MATCH($D1437,rngCadetPIDs,0)),""))</f>
        <v/>
      </c>
      <c r="F1437" s="16" t="n"/>
      <c r="G1437" s="17">
        <f>IF($F1437="","",IFERROR(INDEX(rngEPname,MATCH($F1437,rngEPcode,0)),"?"))</f>
        <v/>
      </c>
      <c r="H1437" s="17">
        <f>IF($F1437="","",IFERROR(INDEX(rngEPtype,MATCH($F1437,rngEPcode,0)),"?"))</f>
        <v/>
      </c>
      <c r="I1437" s="17">
        <f>IF($F1437="","",IFERROR(INDEX(rngEPseq,MATCH($F1437,rngEPcode,0)),""))</f>
        <v/>
      </c>
      <c r="J1437" s="17">
        <f>IF($F1437="","",IFERROR(INDEX(rngEPpass,MATCH($F1437,rngEPcode,0)),cfgPassingScore))</f>
        <v/>
      </c>
      <c r="K1437" s="16" t="n"/>
      <c r="L1437" s="16" t="n"/>
      <c r="M1437" s="17">
        <f>IF($C1437="","",IF($L1437="","",IF(NOT(ISNUMBER($L1437)),$L1437,IF(N($K1437)&gt;2,"",IF($K1437=1,IF(COUNTIFS(nrES_PID,$D1437,nrES_Code,$F1437,nrES_Att,2,nrES_Raw,"&gt;=0")&gt;0,"",$L1437),IF($L1437&gt;=$J1437,MAX($J1437,cfgRetakeRecordedCap),IF(COUNTIFS(nrES_PID,$D1437,nrES_Code,$F1437,nrES_Att,1)=0,$L1437,SUMIFS(nrES_Raw,nrES_PID,$D1437,nrES_Code,$F1437,nrES_Att,1))))))))</f>
        <v/>
      </c>
      <c r="N1437" s="17">
        <f>IF($C1437="","",IF($L1437="","",IF(NOT(ISNUMBER($L1437)),"(not a score)",IF($L1437&gt;=$J1437,"Yes","No"))))</f>
        <v/>
      </c>
      <c r="O1437" s="17">
        <f>IF($C1437="","",IF($M1437="","",IF(NOT(ISNUMBER($M1437)),"(not a score)",IF($M1437&gt;=$J1437,"Yes","No"))))</f>
        <v/>
      </c>
      <c r="P1437" s="17">
        <f>IF($C1437="","",IF($K1437="","",IF(N($K1437)&gt;2,"No",IF(COUNTIFS(nrES_PID,$D1437,nrES_Code,$F1437,nrES_Att,"&gt;"&amp;$K1437,nrES_Att,"&lt;=2",nrES_Raw,"&gt;=0")=0,"Yes","No"))))</f>
        <v/>
      </c>
      <c r="Q1437" s="17">
        <f>IF($C1437="","",IF($L1437="","",IF(AND($K1437=1,ISNUMBER($L1437),$L1437&lt;$J1437,COUNTIFS(nrES_PID,$D1437,nrES_Code,$F1437,nrES_Att,2,nrES_Raw,"&gt;=0")=0),"Yes","No")))</f>
        <v/>
      </c>
      <c r="R1437" s="17">
        <f>IF($C1437="","",IF($L1437="","",IF(AND(N($K1437)&gt;=2,ISNUMBER($L1437),$L1437&lt;$J1437),"Yes","No")))</f>
        <v/>
      </c>
      <c r="S1437" s="18" t="n"/>
      <c r="T1437" s="19">
        <f>IF(OR($C1437="",$L1437="",$K1437&lt;&gt;1,NOT(ISNUMBER($L1437)),$L1437&gt;=$J1437),"",IF($S1437="","(enter date)",_xlfn.LET(_xlpm.dn,_xlfn.XLOOKUP($S1437,nrCDdate,nrCDnum,"",1),IF(_xlpm.dn="","(after last class day)",_xlfn.LET(_xlpm.dd,_xlfn.XLOOKUP(_xlpm.dn+cfgRetestClassDays,nrCDnum,nrCDdate,""),_xlpm.ok,_xlfn.XLOOKUP(_xlpm.dn+cfgRetestClassDays,nrCDnum,nrCDinsession,"No"),IF(OR(_xlpm.dd="",_xlpm.ok&lt;&gt;"Yes"),"(after last class day)",_xlpm.dd))))))</f>
        <v/>
      </c>
      <c r="U1437" s="17">
        <f>IF($C1437="","",IF(AND($Y1437="Excused",$L1437="",N($K1437)&lt;=1),"EXCUSED - 1st attempt pending",IF(OR($L1437="",$K1437&lt;&gt;1,NOT(ISNUMBER($L1437)),$L1437&gt;=$J1437),"",IF(COUNTIFS(nrES_PID,$D1437,nrES_Code,$F1437,nrES_Att,2,nrES_Raw,"&gt;=0")&gt;0,IF(IFERROR(_xlfn.MINIFS(nrES_Date,nrES_PID,$D1437,nrES_Code,$F1437,nrES_Att,2,nrES_Raw,"&gt;=0",nrES_Date,"&gt;0"),0)=0,"RETEST UNDATED",IF(NOT(ISNUMBER($T1437)),"RETEST DATE UNCHECKED",IF(_xlfn.MINIFS(nrES_Date,nrES_PID,$D1437,nrES_Code,$F1437,nrES_Att,2,nrES_Raw,"&gt;=0",nrES_Date,"&gt;0")&gt;$T1437,"LATE RETEST "&amp;TEXT(_xlfn.MINIFS(nrES_Date,nrES_PID,$D1437,nrES_Code,$F1437,nrES_Att,2,nrES_Raw,"&gt;=0",nrES_Date,"&gt;0"),"mm/dd")&amp;" (due "&amp;TEXT($T1437,"mm/dd")&amp;")","Retested"))),IF(NOT(ISNUMBER($T1437)),"CHECK DATE",IF(TODAY()&gt;$T1437,"OVERDUE","Due "&amp;TEXT($T1437,"mm/dd")))))))</f>
        <v/>
      </c>
      <c r="V1437" s="16" t="n"/>
      <c r="W1437" s="16" t="n"/>
      <c r="X1437" s="17">
        <f>IF($C1437="","",IF(AND($L1437&lt;&gt;"",NOT(ISNUMBER($L1437))),"RAW SCORE NOT A NUMBER",IF(AND(ISNUMBER($L1437),OR($L1437&lt;0,$L1437&gt;100)),"RAW SCORE OUT OF RANGE",IF(AND($Y1437="Unexcused",OR($L1437="",NOT(ISNUMBER($L1437)),$L1437&lt;&gt;0)),"UNEXCUSED ABSENCE MUST RECORD 0",IF(COUNTIF(nrES_RecID,$B1437)&gt;1,"DUPLICATE RECORD",IF(N($K1437)&gt;2,"ATTEMPT 3+ NOT ALLOWED - policy 300.5 permits one retest per exam; this row records nothing",IF(AND($K1437=2,COUNTIFS(nrES_PID,$D1437,nrES_Code,$F1437,nrES_Att,1)=0),"ATTEMPT 2 WITHOUT ATTEMPT 1",IF(AND($K1437=2,$L1437=""),"RETEST ROW HAS NO SCORE",IF(AND($H1437="Final",$L1437&lt;&gt;"",IFERROR(INDEX(nrCKfinalExamElig,MATCH($D1437,rngCadetPIDs,0)),"")="No"),"FINAL EXAM AFTER FAILED FINAL PT (500.1.H)",IF(AND($K1437=2,ISNUMBER($L1437),COUNTIFS(nrES_PID,$D1437,nrES_Code,$F1437,nrES_Att,1)&gt;0,SUMIFS(nrES_Raw,nrES_PID,$D1437,nrES_Code,$F1437,nrES_Att,1)&gt;=$J1437),"RETEST AFTER A PASSING FIRST ATTEMPT","OK"))))))))))</f>
        <v/>
      </c>
      <c r="Y1437" s="16" t="n"/>
    </row>
    <row r="1438">
      <c r="B1438" s="17">
        <f>IF($C1438="","",$D1438&amp;"-"&amp;$F1438&amp;"-"&amp;$K1438)</f>
        <v/>
      </c>
      <c r="C1438" s="16" t="n"/>
      <c r="D1438" s="17">
        <f>IF($C1438="","",IFERROR(INDEX(rngCadetPIDs,MATCH($C1438,rngCadetNames,0)),"?"))</f>
        <v/>
      </c>
      <c r="E1438" s="17">
        <f>IF($D1438="","",IFERROR(INDEX(nrCadetAgency,MATCH($D1438,rngCadetPIDs,0)),""))</f>
        <v/>
      </c>
      <c r="F1438" s="16" t="n"/>
      <c r="G1438" s="17">
        <f>IF($F1438="","",IFERROR(INDEX(rngEPname,MATCH($F1438,rngEPcode,0)),"?"))</f>
        <v/>
      </c>
      <c r="H1438" s="17">
        <f>IF($F1438="","",IFERROR(INDEX(rngEPtype,MATCH($F1438,rngEPcode,0)),"?"))</f>
        <v/>
      </c>
      <c r="I1438" s="17">
        <f>IF($F1438="","",IFERROR(INDEX(rngEPseq,MATCH($F1438,rngEPcode,0)),""))</f>
        <v/>
      </c>
      <c r="J1438" s="17">
        <f>IF($F1438="","",IFERROR(INDEX(rngEPpass,MATCH($F1438,rngEPcode,0)),cfgPassingScore))</f>
        <v/>
      </c>
      <c r="K1438" s="16" t="n"/>
      <c r="L1438" s="16" t="n"/>
      <c r="M1438" s="17">
        <f>IF($C1438="","",IF($L1438="","",IF(NOT(ISNUMBER($L1438)),$L1438,IF(N($K1438)&gt;2,"",IF($K1438=1,IF(COUNTIFS(nrES_PID,$D1438,nrES_Code,$F1438,nrES_Att,2,nrES_Raw,"&gt;=0")&gt;0,"",$L1438),IF($L1438&gt;=$J1438,MAX($J1438,cfgRetakeRecordedCap),IF(COUNTIFS(nrES_PID,$D1438,nrES_Code,$F1438,nrES_Att,1)=0,$L1438,SUMIFS(nrES_Raw,nrES_PID,$D1438,nrES_Code,$F1438,nrES_Att,1))))))))</f>
        <v/>
      </c>
      <c r="N1438" s="17">
        <f>IF($C1438="","",IF($L1438="","",IF(NOT(ISNUMBER($L1438)),"(not a score)",IF($L1438&gt;=$J1438,"Yes","No"))))</f>
        <v/>
      </c>
      <c r="O1438" s="17">
        <f>IF($C1438="","",IF($M1438="","",IF(NOT(ISNUMBER($M1438)),"(not a score)",IF($M1438&gt;=$J1438,"Yes","No"))))</f>
        <v/>
      </c>
      <c r="P1438" s="17">
        <f>IF($C1438="","",IF($K1438="","",IF(N($K1438)&gt;2,"No",IF(COUNTIFS(nrES_PID,$D1438,nrES_Code,$F1438,nrES_Att,"&gt;"&amp;$K1438,nrES_Att,"&lt;=2",nrES_Raw,"&gt;=0")=0,"Yes","No"))))</f>
        <v/>
      </c>
      <c r="Q1438" s="17">
        <f>IF($C1438="","",IF($L1438="","",IF(AND($K1438=1,ISNUMBER($L1438),$L1438&lt;$J1438,COUNTIFS(nrES_PID,$D1438,nrES_Code,$F1438,nrES_Att,2,nrES_Raw,"&gt;=0")=0),"Yes","No")))</f>
        <v/>
      </c>
      <c r="R1438" s="17">
        <f>IF($C1438="","",IF($L1438="","",IF(AND(N($K1438)&gt;=2,ISNUMBER($L1438),$L1438&lt;$J1438),"Yes","No")))</f>
        <v/>
      </c>
      <c r="S1438" s="18" t="n"/>
      <c r="T1438" s="19">
        <f>IF(OR($C1438="",$L1438="",$K1438&lt;&gt;1,NOT(ISNUMBER($L1438)),$L1438&gt;=$J1438),"",IF($S1438="","(enter date)",_xlfn.LET(_xlpm.dn,_xlfn.XLOOKUP($S1438,nrCDdate,nrCDnum,"",1),IF(_xlpm.dn="","(after last class day)",_xlfn.LET(_xlpm.dd,_xlfn.XLOOKUP(_xlpm.dn+cfgRetestClassDays,nrCDnum,nrCDdate,""),_xlpm.ok,_xlfn.XLOOKUP(_xlpm.dn+cfgRetestClassDays,nrCDnum,nrCDinsession,"No"),IF(OR(_xlpm.dd="",_xlpm.ok&lt;&gt;"Yes"),"(after last class day)",_xlpm.dd))))))</f>
        <v/>
      </c>
      <c r="U1438" s="17">
        <f>IF($C1438="","",IF(AND($Y1438="Excused",$L1438="",N($K1438)&lt;=1),"EXCUSED - 1st attempt pending",IF(OR($L1438="",$K1438&lt;&gt;1,NOT(ISNUMBER($L1438)),$L1438&gt;=$J1438),"",IF(COUNTIFS(nrES_PID,$D1438,nrES_Code,$F1438,nrES_Att,2,nrES_Raw,"&gt;=0")&gt;0,IF(IFERROR(_xlfn.MINIFS(nrES_Date,nrES_PID,$D1438,nrES_Code,$F1438,nrES_Att,2,nrES_Raw,"&gt;=0",nrES_Date,"&gt;0"),0)=0,"RETEST UNDATED",IF(NOT(ISNUMBER($T1438)),"RETEST DATE UNCHECKED",IF(_xlfn.MINIFS(nrES_Date,nrES_PID,$D1438,nrES_Code,$F1438,nrES_Att,2,nrES_Raw,"&gt;=0",nrES_Date,"&gt;0")&gt;$T1438,"LATE RETEST "&amp;TEXT(_xlfn.MINIFS(nrES_Date,nrES_PID,$D1438,nrES_Code,$F1438,nrES_Att,2,nrES_Raw,"&gt;=0",nrES_Date,"&gt;0"),"mm/dd")&amp;" (due "&amp;TEXT($T1438,"mm/dd")&amp;")","Retested"))),IF(NOT(ISNUMBER($T1438)),"CHECK DATE",IF(TODAY()&gt;$T1438,"OVERDUE","Due "&amp;TEXT($T1438,"mm/dd")))))))</f>
        <v/>
      </c>
      <c r="V1438" s="16" t="n"/>
      <c r="W1438" s="16" t="n"/>
      <c r="X1438" s="17">
        <f>IF($C1438="","",IF(AND($L1438&lt;&gt;"",NOT(ISNUMBER($L1438))),"RAW SCORE NOT A NUMBER",IF(AND(ISNUMBER($L1438),OR($L1438&lt;0,$L1438&gt;100)),"RAW SCORE OUT OF RANGE",IF(AND($Y1438="Unexcused",OR($L1438="",NOT(ISNUMBER($L1438)),$L1438&lt;&gt;0)),"UNEXCUSED ABSENCE MUST RECORD 0",IF(COUNTIF(nrES_RecID,$B1438)&gt;1,"DUPLICATE RECORD",IF(N($K1438)&gt;2,"ATTEMPT 3+ NOT ALLOWED - policy 300.5 permits one retest per exam; this row records nothing",IF(AND($K1438=2,COUNTIFS(nrES_PID,$D1438,nrES_Code,$F1438,nrES_Att,1)=0),"ATTEMPT 2 WITHOUT ATTEMPT 1",IF(AND($K1438=2,$L1438=""),"RETEST ROW HAS NO SCORE",IF(AND($H1438="Final",$L1438&lt;&gt;"",IFERROR(INDEX(nrCKfinalExamElig,MATCH($D1438,rngCadetPIDs,0)),"")="No"),"FINAL EXAM AFTER FAILED FINAL PT (500.1.H)",IF(AND($K1438=2,ISNUMBER($L1438),COUNTIFS(nrES_PID,$D1438,nrES_Code,$F1438,nrES_Att,1)&gt;0,SUMIFS(nrES_Raw,nrES_PID,$D1438,nrES_Code,$F1438,nrES_Att,1)&gt;=$J1438),"RETEST AFTER A PASSING FIRST ATTEMPT","OK"))))))))))</f>
        <v/>
      </c>
      <c r="Y1438" s="16" t="n"/>
    </row>
    <row r="1439">
      <c r="B1439" s="17">
        <f>IF($C1439="","",$D1439&amp;"-"&amp;$F1439&amp;"-"&amp;$K1439)</f>
        <v/>
      </c>
      <c r="C1439" s="16" t="n"/>
      <c r="D1439" s="17">
        <f>IF($C1439="","",IFERROR(INDEX(rngCadetPIDs,MATCH($C1439,rngCadetNames,0)),"?"))</f>
        <v/>
      </c>
      <c r="E1439" s="17">
        <f>IF($D1439="","",IFERROR(INDEX(nrCadetAgency,MATCH($D1439,rngCadetPIDs,0)),""))</f>
        <v/>
      </c>
      <c r="F1439" s="16" t="n"/>
      <c r="G1439" s="17">
        <f>IF($F1439="","",IFERROR(INDEX(rngEPname,MATCH($F1439,rngEPcode,0)),"?"))</f>
        <v/>
      </c>
      <c r="H1439" s="17">
        <f>IF($F1439="","",IFERROR(INDEX(rngEPtype,MATCH($F1439,rngEPcode,0)),"?"))</f>
        <v/>
      </c>
      <c r="I1439" s="17">
        <f>IF($F1439="","",IFERROR(INDEX(rngEPseq,MATCH($F1439,rngEPcode,0)),""))</f>
        <v/>
      </c>
      <c r="J1439" s="17">
        <f>IF($F1439="","",IFERROR(INDEX(rngEPpass,MATCH($F1439,rngEPcode,0)),cfgPassingScore))</f>
        <v/>
      </c>
      <c r="K1439" s="16" t="n"/>
      <c r="L1439" s="16" t="n"/>
      <c r="M1439" s="17">
        <f>IF($C1439="","",IF($L1439="","",IF(NOT(ISNUMBER($L1439)),$L1439,IF(N($K1439)&gt;2,"",IF($K1439=1,IF(COUNTIFS(nrES_PID,$D1439,nrES_Code,$F1439,nrES_Att,2,nrES_Raw,"&gt;=0")&gt;0,"",$L1439),IF($L1439&gt;=$J1439,MAX($J1439,cfgRetakeRecordedCap),IF(COUNTIFS(nrES_PID,$D1439,nrES_Code,$F1439,nrES_Att,1)=0,$L1439,SUMIFS(nrES_Raw,nrES_PID,$D1439,nrES_Code,$F1439,nrES_Att,1))))))))</f>
        <v/>
      </c>
      <c r="N1439" s="17">
        <f>IF($C1439="","",IF($L1439="","",IF(NOT(ISNUMBER($L1439)),"(not a score)",IF($L1439&gt;=$J1439,"Yes","No"))))</f>
        <v/>
      </c>
      <c r="O1439" s="17">
        <f>IF($C1439="","",IF($M1439="","",IF(NOT(ISNUMBER($M1439)),"(not a score)",IF($M1439&gt;=$J1439,"Yes","No"))))</f>
        <v/>
      </c>
      <c r="P1439" s="17">
        <f>IF($C1439="","",IF($K1439="","",IF(N($K1439)&gt;2,"No",IF(COUNTIFS(nrES_PID,$D1439,nrES_Code,$F1439,nrES_Att,"&gt;"&amp;$K1439,nrES_Att,"&lt;=2",nrES_Raw,"&gt;=0")=0,"Yes","No"))))</f>
        <v/>
      </c>
      <c r="Q1439" s="17">
        <f>IF($C1439="","",IF($L1439="","",IF(AND($K1439=1,ISNUMBER($L1439),$L1439&lt;$J1439,COUNTIFS(nrES_PID,$D1439,nrES_Code,$F1439,nrES_Att,2,nrES_Raw,"&gt;=0")=0),"Yes","No")))</f>
        <v/>
      </c>
      <c r="R1439" s="17">
        <f>IF($C1439="","",IF($L1439="","",IF(AND(N($K1439)&gt;=2,ISNUMBER($L1439),$L1439&lt;$J1439),"Yes","No")))</f>
        <v/>
      </c>
      <c r="S1439" s="18" t="n"/>
      <c r="T1439" s="19">
        <f>IF(OR($C1439="",$L1439="",$K1439&lt;&gt;1,NOT(ISNUMBER($L1439)),$L1439&gt;=$J1439),"",IF($S1439="","(enter date)",_xlfn.LET(_xlpm.dn,_xlfn.XLOOKUP($S1439,nrCDdate,nrCDnum,"",1),IF(_xlpm.dn="","(after last class day)",_xlfn.LET(_xlpm.dd,_xlfn.XLOOKUP(_xlpm.dn+cfgRetestClassDays,nrCDnum,nrCDdate,""),_xlpm.ok,_xlfn.XLOOKUP(_xlpm.dn+cfgRetestClassDays,nrCDnum,nrCDinsession,"No"),IF(OR(_xlpm.dd="",_xlpm.ok&lt;&gt;"Yes"),"(after last class day)",_xlpm.dd))))))</f>
        <v/>
      </c>
      <c r="U1439" s="17">
        <f>IF($C1439="","",IF(AND($Y1439="Excused",$L1439="",N($K1439)&lt;=1),"EXCUSED - 1st attempt pending",IF(OR($L1439="",$K1439&lt;&gt;1,NOT(ISNUMBER($L1439)),$L1439&gt;=$J1439),"",IF(COUNTIFS(nrES_PID,$D1439,nrES_Code,$F1439,nrES_Att,2,nrES_Raw,"&gt;=0")&gt;0,IF(IFERROR(_xlfn.MINIFS(nrES_Date,nrES_PID,$D1439,nrES_Code,$F1439,nrES_Att,2,nrES_Raw,"&gt;=0",nrES_Date,"&gt;0"),0)=0,"RETEST UNDATED",IF(NOT(ISNUMBER($T1439)),"RETEST DATE UNCHECKED",IF(_xlfn.MINIFS(nrES_Date,nrES_PID,$D1439,nrES_Code,$F1439,nrES_Att,2,nrES_Raw,"&gt;=0",nrES_Date,"&gt;0")&gt;$T1439,"LATE RETEST "&amp;TEXT(_xlfn.MINIFS(nrES_Date,nrES_PID,$D1439,nrES_Code,$F1439,nrES_Att,2,nrES_Raw,"&gt;=0",nrES_Date,"&gt;0"),"mm/dd")&amp;" (due "&amp;TEXT($T1439,"mm/dd")&amp;")","Retested"))),IF(NOT(ISNUMBER($T1439)),"CHECK DATE",IF(TODAY()&gt;$T1439,"OVERDUE","Due "&amp;TEXT($T1439,"mm/dd")))))))</f>
        <v/>
      </c>
      <c r="V1439" s="16" t="n"/>
      <c r="W1439" s="16" t="n"/>
      <c r="X1439" s="17">
        <f>IF($C1439="","",IF(AND($L1439&lt;&gt;"",NOT(ISNUMBER($L1439))),"RAW SCORE NOT A NUMBER",IF(AND(ISNUMBER($L1439),OR($L1439&lt;0,$L1439&gt;100)),"RAW SCORE OUT OF RANGE",IF(AND($Y1439="Unexcused",OR($L1439="",NOT(ISNUMBER($L1439)),$L1439&lt;&gt;0)),"UNEXCUSED ABSENCE MUST RECORD 0",IF(COUNTIF(nrES_RecID,$B1439)&gt;1,"DUPLICATE RECORD",IF(N($K1439)&gt;2,"ATTEMPT 3+ NOT ALLOWED - policy 300.5 permits one retest per exam; this row records nothing",IF(AND($K1439=2,COUNTIFS(nrES_PID,$D1439,nrES_Code,$F1439,nrES_Att,1)=0),"ATTEMPT 2 WITHOUT ATTEMPT 1",IF(AND($K1439=2,$L1439=""),"RETEST ROW HAS NO SCORE",IF(AND($H1439="Final",$L1439&lt;&gt;"",IFERROR(INDEX(nrCKfinalExamElig,MATCH($D1439,rngCadetPIDs,0)),"")="No"),"FINAL EXAM AFTER FAILED FINAL PT (500.1.H)",IF(AND($K1439=2,ISNUMBER($L1439),COUNTIFS(nrES_PID,$D1439,nrES_Code,$F1439,nrES_Att,1)&gt;0,SUMIFS(nrES_Raw,nrES_PID,$D1439,nrES_Code,$F1439,nrES_Att,1)&gt;=$J1439),"RETEST AFTER A PASSING FIRST ATTEMPT","OK"))))))))))</f>
        <v/>
      </c>
      <c r="Y1439" s="16" t="n"/>
    </row>
    <row r="1440">
      <c r="B1440" s="17">
        <f>IF($C1440="","",$D1440&amp;"-"&amp;$F1440&amp;"-"&amp;$K1440)</f>
        <v/>
      </c>
      <c r="C1440" s="16" t="n"/>
      <c r="D1440" s="17">
        <f>IF($C1440="","",IFERROR(INDEX(rngCadetPIDs,MATCH($C1440,rngCadetNames,0)),"?"))</f>
        <v/>
      </c>
      <c r="E1440" s="17">
        <f>IF($D1440="","",IFERROR(INDEX(nrCadetAgency,MATCH($D1440,rngCadetPIDs,0)),""))</f>
        <v/>
      </c>
      <c r="F1440" s="16" t="n"/>
      <c r="G1440" s="17">
        <f>IF($F1440="","",IFERROR(INDEX(rngEPname,MATCH($F1440,rngEPcode,0)),"?"))</f>
        <v/>
      </c>
      <c r="H1440" s="17">
        <f>IF($F1440="","",IFERROR(INDEX(rngEPtype,MATCH($F1440,rngEPcode,0)),"?"))</f>
        <v/>
      </c>
      <c r="I1440" s="17">
        <f>IF($F1440="","",IFERROR(INDEX(rngEPseq,MATCH($F1440,rngEPcode,0)),""))</f>
        <v/>
      </c>
      <c r="J1440" s="17">
        <f>IF($F1440="","",IFERROR(INDEX(rngEPpass,MATCH($F1440,rngEPcode,0)),cfgPassingScore))</f>
        <v/>
      </c>
      <c r="K1440" s="16" t="n"/>
      <c r="L1440" s="16" t="n"/>
      <c r="M1440" s="17">
        <f>IF($C1440="","",IF($L1440="","",IF(NOT(ISNUMBER($L1440)),$L1440,IF(N($K1440)&gt;2,"",IF($K1440=1,IF(COUNTIFS(nrES_PID,$D1440,nrES_Code,$F1440,nrES_Att,2,nrES_Raw,"&gt;=0")&gt;0,"",$L1440),IF($L1440&gt;=$J1440,MAX($J1440,cfgRetakeRecordedCap),IF(COUNTIFS(nrES_PID,$D1440,nrES_Code,$F1440,nrES_Att,1)=0,$L1440,SUMIFS(nrES_Raw,nrES_PID,$D1440,nrES_Code,$F1440,nrES_Att,1))))))))</f>
        <v/>
      </c>
      <c r="N1440" s="17">
        <f>IF($C1440="","",IF($L1440="","",IF(NOT(ISNUMBER($L1440)),"(not a score)",IF($L1440&gt;=$J1440,"Yes","No"))))</f>
        <v/>
      </c>
      <c r="O1440" s="17">
        <f>IF($C1440="","",IF($M1440="","",IF(NOT(ISNUMBER($M1440)),"(not a score)",IF($M1440&gt;=$J1440,"Yes","No"))))</f>
        <v/>
      </c>
      <c r="P1440" s="17">
        <f>IF($C1440="","",IF($K1440="","",IF(N($K1440)&gt;2,"No",IF(COUNTIFS(nrES_PID,$D1440,nrES_Code,$F1440,nrES_Att,"&gt;"&amp;$K1440,nrES_Att,"&lt;=2",nrES_Raw,"&gt;=0")=0,"Yes","No"))))</f>
        <v/>
      </c>
      <c r="Q1440" s="17">
        <f>IF($C1440="","",IF($L1440="","",IF(AND($K1440=1,ISNUMBER($L1440),$L1440&lt;$J1440,COUNTIFS(nrES_PID,$D1440,nrES_Code,$F1440,nrES_Att,2,nrES_Raw,"&gt;=0")=0),"Yes","No")))</f>
        <v/>
      </c>
      <c r="R1440" s="17">
        <f>IF($C1440="","",IF($L1440="","",IF(AND(N($K1440)&gt;=2,ISNUMBER($L1440),$L1440&lt;$J1440),"Yes","No")))</f>
        <v/>
      </c>
      <c r="S1440" s="18" t="n"/>
      <c r="T1440" s="19">
        <f>IF(OR($C1440="",$L1440="",$K1440&lt;&gt;1,NOT(ISNUMBER($L1440)),$L1440&gt;=$J1440),"",IF($S1440="","(enter date)",_xlfn.LET(_xlpm.dn,_xlfn.XLOOKUP($S1440,nrCDdate,nrCDnum,"",1),IF(_xlpm.dn="","(after last class day)",_xlfn.LET(_xlpm.dd,_xlfn.XLOOKUP(_xlpm.dn+cfgRetestClassDays,nrCDnum,nrCDdate,""),_xlpm.ok,_xlfn.XLOOKUP(_xlpm.dn+cfgRetestClassDays,nrCDnum,nrCDinsession,"No"),IF(OR(_xlpm.dd="",_xlpm.ok&lt;&gt;"Yes"),"(after last class day)",_xlpm.dd))))))</f>
        <v/>
      </c>
      <c r="U1440" s="17">
        <f>IF($C1440="","",IF(AND($Y1440="Excused",$L1440="",N($K1440)&lt;=1),"EXCUSED - 1st attempt pending",IF(OR($L1440="",$K1440&lt;&gt;1,NOT(ISNUMBER($L1440)),$L1440&gt;=$J1440),"",IF(COUNTIFS(nrES_PID,$D1440,nrES_Code,$F1440,nrES_Att,2,nrES_Raw,"&gt;=0")&gt;0,IF(IFERROR(_xlfn.MINIFS(nrES_Date,nrES_PID,$D1440,nrES_Code,$F1440,nrES_Att,2,nrES_Raw,"&gt;=0",nrES_Date,"&gt;0"),0)=0,"RETEST UNDATED",IF(NOT(ISNUMBER($T1440)),"RETEST DATE UNCHECKED",IF(_xlfn.MINIFS(nrES_Date,nrES_PID,$D1440,nrES_Code,$F1440,nrES_Att,2,nrES_Raw,"&gt;=0",nrES_Date,"&gt;0")&gt;$T1440,"LATE RETEST "&amp;TEXT(_xlfn.MINIFS(nrES_Date,nrES_PID,$D1440,nrES_Code,$F1440,nrES_Att,2,nrES_Raw,"&gt;=0",nrES_Date,"&gt;0"),"mm/dd")&amp;" (due "&amp;TEXT($T1440,"mm/dd")&amp;")","Retested"))),IF(NOT(ISNUMBER($T1440)),"CHECK DATE",IF(TODAY()&gt;$T1440,"OVERDUE","Due "&amp;TEXT($T1440,"mm/dd")))))))</f>
        <v/>
      </c>
      <c r="V1440" s="16" t="n"/>
      <c r="W1440" s="16" t="n"/>
      <c r="X1440" s="17">
        <f>IF($C1440="","",IF(AND($L1440&lt;&gt;"",NOT(ISNUMBER($L1440))),"RAW SCORE NOT A NUMBER",IF(AND(ISNUMBER($L1440),OR($L1440&lt;0,$L1440&gt;100)),"RAW SCORE OUT OF RANGE",IF(AND($Y1440="Unexcused",OR($L1440="",NOT(ISNUMBER($L1440)),$L1440&lt;&gt;0)),"UNEXCUSED ABSENCE MUST RECORD 0",IF(COUNTIF(nrES_RecID,$B1440)&gt;1,"DUPLICATE RECORD",IF(N($K1440)&gt;2,"ATTEMPT 3+ NOT ALLOWED - policy 300.5 permits one retest per exam; this row records nothing",IF(AND($K1440=2,COUNTIFS(nrES_PID,$D1440,nrES_Code,$F1440,nrES_Att,1)=0),"ATTEMPT 2 WITHOUT ATTEMPT 1",IF(AND($K1440=2,$L1440=""),"RETEST ROW HAS NO SCORE",IF(AND($H1440="Final",$L1440&lt;&gt;"",IFERROR(INDEX(nrCKfinalExamElig,MATCH($D1440,rngCadetPIDs,0)),"")="No"),"FINAL EXAM AFTER FAILED FINAL PT (500.1.H)",IF(AND($K1440=2,ISNUMBER($L1440),COUNTIFS(nrES_PID,$D1440,nrES_Code,$F1440,nrES_Att,1)&gt;0,SUMIFS(nrES_Raw,nrES_PID,$D1440,nrES_Code,$F1440,nrES_Att,1)&gt;=$J1440),"RETEST AFTER A PASSING FIRST ATTEMPT","OK"))))))))))</f>
        <v/>
      </c>
      <c r="Y1440" s="16" t="n"/>
    </row>
    <row r="1441">
      <c r="B1441" s="17">
        <f>IF($C1441="","",$D1441&amp;"-"&amp;$F1441&amp;"-"&amp;$K1441)</f>
        <v/>
      </c>
      <c r="C1441" s="16" t="n"/>
      <c r="D1441" s="17">
        <f>IF($C1441="","",IFERROR(INDEX(rngCadetPIDs,MATCH($C1441,rngCadetNames,0)),"?"))</f>
        <v/>
      </c>
      <c r="E1441" s="17">
        <f>IF($D1441="","",IFERROR(INDEX(nrCadetAgency,MATCH($D1441,rngCadetPIDs,0)),""))</f>
        <v/>
      </c>
      <c r="F1441" s="16" t="n"/>
      <c r="G1441" s="17">
        <f>IF($F1441="","",IFERROR(INDEX(rngEPname,MATCH($F1441,rngEPcode,0)),"?"))</f>
        <v/>
      </c>
      <c r="H1441" s="17">
        <f>IF($F1441="","",IFERROR(INDEX(rngEPtype,MATCH($F1441,rngEPcode,0)),"?"))</f>
        <v/>
      </c>
      <c r="I1441" s="17">
        <f>IF($F1441="","",IFERROR(INDEX(rngEPseq,MATCH($F1441,rngEPcode,0)),""))</f>
        <v/>
      </c>
      <c r="J1441" s="17">
        <f>IF($F1441="","",IFERROR(INDEX(rngEPpass,MATCH($F1441,rngEPcode,0)),cfgPassingScore))</f>
        <v/>
      </c>
      <c r="K1441" s="16" t="n"/>
      <c r="L1441" s="16" t="n"/>
      <c r="M1441" s="17">
        <f>IF($C1441="","",IF($L1441="","",IF(NOT(ISNUMBER($L1441)),$L1441,IF(N($K1441)&gt;2,"",IF($K1441=1,IF(COUNTIFS(nrES_PID,$D1441,nrES_Code,$F1441,nrES_Att,2,nrES_Raw,"&gt;=0")&gt;0,"",$L1441),IF($L1441&gt;=$J1441,MAX($J1441,cfgRetakeRecordedCap),IF(COUNTIFS(nrES_PID,$D1441,nrES_Code,$F1441,nrES_Att,1)=0,$L1441,SUMIFS(nrES_Raw,nrES_PID,$D1441,nrES_Code,$F1441,nrES_Att,1))))))))</f>
        <v/>
      </c>
      <c r="N1441" s="17">
        <f>IF($C1441="","",IF($L1441="","",IF(NOT(ISNUMBER($L1441)),"(not a score)",IF($L1441&gt;=$J1441,"Yes","No"))))</f>
        <v/>
      </c>
      <c r="O1441" s="17">
        <f>IF($C1441="","",IF($M1441="","",IF(NOT(ISNUMBER($M1441)),"(not a score)",IF($M1441&gt;=$J1441,"Yes","No"))))</f>
        <v/>
      </c>
      <c r="P1441" s="17">
        <f>IF($C1441="","",IF($K1441="","",IF(N($K1441)&gt;2,"No",IF(COUNTIFS(nrES_PID,$D1441,nrES_Code,$F1441,nrES_Att,"&gt;"&amp;$K1441,nrES_Att,"&lt;=2",nrES_Raw,"&gt;=0")=0,"Yes","No"))))</f>
        <v/>
      </c>
      <c r="Q1441" s="17">
        <f>IF($C1441="","",IF($L1441="","",IF(AND($K1441=1,ISNUMBER($L1441),$L1441&lt;$J1441,COUNTIFS(nrES_PID,$D1441,nrES_Code,$F1441,nrES_Att,2,nrES_Raw,"&gt;=0")=0),"Yes","No")))</f>
        <v/>
      </c>
      <c r="R1441" s="17">
        <f>IF($C1441="","",IF($L1441="","",IF(AND(N($K1441)&gt;=2,ISNUMBER($L1441),$L1441&lt;$J1441),"Yes","No")))</f>
        <v/>
      </c>
      <c r="S1441" s="18" t="n"/>
      <c r="T1441" s="19">
        <f>IF(OR($C1441="",$L1441="",$K1441&lt;&gt;1,NOT(ISNUMBER($L1441)),$L1441&gt;=$J1441),"",IF($S1441="","(enter date)",_xlfn.LET(_xlpm.dn,_xlfn.XLOOKUP($S1441,nrCDdate,nrCDnum,"",1),IF(_xlpm.dn="","(after last class day)",_xlfn.LET(_xlpm.dd,_xlfn.XLOOKUP(_xlpm.dn+cfgRetestClassDays,nrCDnum,nrCDdate,""),_xlpm.ok,_xlfn.XLOOKUP(_xlpm.dn+cfgRetestClassDays,nrCDnum,nrCDinsession,"No"),IF(OR(_xlpm.dd="",_xlpm.ok&lt;&gt;"Yes"),"(after last class day)",_xlpm.dd))))))</f>
        <v/>
      </c>
      <c r="U1441" s="17">
        <f>IF($C1441="","",IF(AND($Y1441="Excused",$L1441="",N($K1441)&lt;=1),"EXCUSED - 1st attempt pending",IF(OR($L1441="",$K1441&lt;&gt;1,NOT(ISNUMBER($L1441)),$L1441&gt;=$J1441),"",IF(COUNTIFS(nrES_PID,$D1441,nrES_Code,$F1441,nrES_Att,2,nrES_Raw,"&gt;=0")&gt;0,IF(IFERROR(_xlfn.MINIFS(nrES_Date,nrES_PID,$D1441,nrES_Code,$F1441,nrES_Att,2,nrES_Raw,"&gt;=0",nrES_Date,"&gt;0"),0)=0,"RETEST UNDATED",IF(NOT(ISNUMBER($T1441)),"RETEST DATE UNCHECKED",IF(_xlfn.MINIFS(nrES_Date,nrES_PID,$D1441,nrES_Code,$F1441,nrES_Att,2,nrES_Raw,"&gt;=0",nrES_Date,"&gt;0")&gt;$T1441,"LATE RETEST "&amp;TEXT(_xlfn.MINIFS(nrES_Date,nrES_PID,$D1441,nrES_Code,$F1441,nrES_Att,2,nrES_Raw,"&gt;=0",nrES_Date,"&gt;0"),"mm/dd")&amp;" (due "&amp;TEXT($T1441,"mm/dd")&amp;")","Retested"))),IF(NOT(ISNUMBER($T1441)),"CHECK DATE",IF(TODAY()&gt;$T1441,"OVERDUE","Due "&amp;TEXT($T1441,"mm/dd")))))))</f>
        <v/>
      </c>
      <c r="V1441" s="16" t="n"/>
      <c r="W1441" s="16" t="n"/>
      <c r="X1441" s="17">
        <f>IF($C1441="","",IF(AND($L1441&lt;&gt;"",NOT(ISNUMBER($L1441))),"RAW SCORE NOT A NUMBER",IF(AND(ISNUMBER($L1441),OR($L1441&lt;0,$L1441&gt;100)),"RAW SCORE OUT OF RANGE",IF(AND($Y1441="Unexcused",OR($L1441="",NOT(ISNUMBER($L1441)),$L1441&lt;&gt;0)),"UNEXCUSED ABSENCE MUST RECORD 0",IF(COUNTIF(nrES_RecID,$B1441)&gt;1,"DUPLICATE RECORD",IF(N($K1441)&gt;2,"ATTEMPT 3+ NOT ALLOWED - policy 300.5 permits one retest per exam; this row records nothing",IF(AND($K1441=2,COUNTIFS(nrES_PID,$D1441,nrES_Code,$F1441,nrES_Att,1)=0),"ATTEMPT 2 WITHOUT ATTEMPT 1",IF(AND($K1441=2,$L1441=""),"RETEST ROW HAS NO SCORE",IF(AND($H1441="Final",$L1441&lt;&gt;"",IFERROR(INDEX(nrCKfinalExamElig,MATCH($D1441,rngCadetPIDs,0)),"")="No"),"FINAL EXAM AFTER FAILED FINAL PT (500.1.H)",IF(AND($K1441=2,ISNUMBER($L1441),COUNTIFS(nrES_PID,$D1441,nrES_Code,$F1441,nrES_Att,1)&gt;0,SUMIFS(nrES_Raw,nrES_PID,$D1441,nrES_Code,$F1441,nrES_Att,1)&gt;=$J1441),"RETEST AFTER A PASSING FIRST ATTEMPT","OK"))))))))))</f>
        <v/>
      </c>
      <c r="Y1441" s="16" t="n"/>
    </row>
    <row r="1442">
      <c r="B1442" s="17">
        <f>IF($C1442="","",$D1442&amp;"-"&amp;$F1442&amp;"-"&amp;$K1442)</f>
        <v/>
      </c>
      <c r="C1442" s="16" t="n"/>
      <c r="D1442" s="17">
        <f>IF($C1442="","",IFERROR(INDEX(rngCadetPIDs,MATCH($C1442,rngCadetNames,0)),"?"))</f>
        <v/>
      </c>
      <c r="E1442" s="17">
        <f>IF($D1442="","",IFERROR(INDEX(nrCadetAgency,MATCH($D1442,rngCadetPIDs,0)),""))</f>
        <v/>
      </c>
      <c r="F1442" s="16" t="n"/>
      <c r="G1442" s="17">
        <f>IF($F1442="","",IFERROR(INDEX(rngEPname,MATCH($F1442,rngEPcode,0)),"?"))</f>
        <v/>
      </c>
      <c r="H1442" s="17">
        <f>IF($F1442="","",IFERROR(INDEX(rngEPtype,MATCH($F1442,rngEPcode,0)),"?"))</f>
        <v/>
      </c>
      <c r="I1442" s="17">
        <f>IF($F1442="","",IFERROR(INDEX(rngEPseq,MATCH($F1442,rngEPcode,0)),""))</f>
        <v/>
      </c>
      <c r="J1442" s="17">
        <f>IF($F1442="","",IFERROR(INDEX(rngEPpass,MATCH($F1442,rngEPcode,0)),cfgPassingScore))</f>
        <v/>
      </c>
      <c r="K1442" s="16" t="n"/>
      <c r="L1442" s="16" t="n"/>
      <c r="M1442" s="17">
        <f>IF($C1442="","",IF($L1442="","",IF(NOT(ISNUMBER($L1442)),$L1442,IF(N($K1442)&gt;2,"",IF($K1442=1,IF(COUNTIFS(nrES_PID,$D1442,nrES_Code,$F1442,nrES_Att,2,nrES_Raw,"&gt;=0")&gt;0,"",$L1442),IF($L1442&gt;=$J1442,MAX($J1442,cfgRetakeRecordedCap),IF(COUNTIFS(nrES_PID,$D1442,nrES_Code,$F1442,nrES_Att,1)=0,$L1442,SUMIFS(nrES_Raw,nrES_PID,$D1442,nrES_Code,$F1442,nrES_Att,1))))))))</f>
        <v/>
      </c>
      <c r="N1442" s="17">
        <f>IF($C1442="","",IF($L1442="","",IF(NOT(ISNUMBER($L1442)),"(not a score)",IF($L1442&gt;=$J1442,"Yes","No"))))</f>
        <v/>
      </c>
      <c r="O1442" s="17">
        <f>IF($C1442="","",IF($M1442="","",IF(NOT(ISNUMBER($M1442)),"(not a score)",IF($M1442&gt;=$J1442,"Yes","No"))))</f>
        <v/>
      </c>
      <c r="P1442" s="17">
        <f>IF($C1442="","",IF($K1442="","",IF(N($K1442)&gt;2,"No",IF(COUNTIFS(nrES_PID,$D1442,nrES_Code,$F1442,nrES_Att,"&gt;"&amp;$K1442,nrES_Att,"&lt;=2",nrES_Raw,"&gt;=0")=0,"Yes","No"))))</f>
        <v/>
      </c>
      <c r="Q1442" s="17">
        <f>IF($C1442="","",IF($L1442="","",IF(AND($K1442=1,ISNUMBER($L1442),$L1442&lt;$J1442,COUNTIFS(nrES_PID,$D1442,nrES_Code,$F1442,nrES_Att,2,nrES_Raw,"&gt;=0")=0),"Yes","No")))</f>
        <v/>
      </c>
      <c r="R1442" s="17">
        <f>IF($C1442="","",IF($L1442="","",IF(AND(N($K1442)&gt;=2,ISNUMBER($L1442),$L1442&lt;$J1442),"Yes","No")))</f>
        <v/>
      </c>
      <c r="S1442" s="18" t="n"/>
      <c r="T1442" s="19">
        <f>IF(OR($C1442="",$L1442="",$K1442&lt;&gt;1,NOT(ISNUMBER($L1442)),$L1442&gt;=$J1442),"",IF($S1442="","(enter date)",_xlfn.LET(_xlpm.dn,_xlfn.XLOOKUP($S1442,nrCDdate,nrCDnum,"",1),IF(_xlpm.dn="","(after last class day)",_xlfn.LET(_xlpm.dd,_xlfn.XLOOKUP(_xlpm.dn+cfgRetestClassDays,nrCDnum,nrCDdate,""),_xlpm.ok,_xlfn.XLOOKUP(_xlpm.dn+cfgRetestClassDays,nrCDnum,nrCDinsession,"No"),IF(OR(_xlpm.dd="",_xlpm.ok&lt;&gt;"Yes"),"(after last class day)",_xlpm.dd))))))</f>
        <v/>
      </c>
      <c r="U1442" s="17">
        <f>IF($C1442="","",IF(AND($Y1442="Excused",$L1442="",N($K1442)&lt;=1),"EXCUSED - 1st attempt pending",IF(OR($L1442="",$K1442&lt;&gt;1,NOT(ISNUMBER($L1442)),$L1442&gt;=$J1442),"",IF(COUNTIFS(nrES_PID,$D1442,nrES_Code,$F1442,nrES_Att,2,nrES_Raw,"&gt;=0")&gt;0,IF(IFERROR(_xlfn.MINIFS(nrES_Date,nrES_PID,$D1442,nrES_Code,$F1442,nrES_Att,2,nrES_Raw,"&gt;=0",nrES_Date,"&gt;0"),0)=0,"RETEST UNDATED",IF(NOT(ISNUMBER($T1442)),"RETEST DATE UNCHECKED",IF(_xlfn.MINIFS(nrES_Date,nrES_PID,$D1442,nrES_Code,$F1442,nrES_Att,2,nrES_Raw,"&gt;=0",nrES_Date,"&gt;0")&gt;$T1442,"LATE RETEST "&amp;TEXT(_xlfn.MINIFS(nrES_Date,nrES_PID,$D1442,nrES_Code,$F1442,nrES_Att,2,nrES_Raw,"&gt;=0",nrES_Date,"&gt;0"),"mm/dd")&amp;" (due "&amp;TEXT($T1442,"mm/dd")&amp;")","Retested"))),IF(NOT(ISNUMBER($T1442)),"CHECK DATE",IF(TODAY()&gt;$T1442,"OVERDUE","Due "&amp;TEXT($T1442,"mm/dd")))))))</f>
        <v/>
      </c>
      <c r="V1442" s="16" t="n"/>
      <c r="W1442" s="16" t="n"/>
      <c r="X1442" s="17">
        <f>IF($C1442="","",IF(AND($L1442&lt;&gt;"",NOT(ISNUMBER($L1442))),"RAW SCORE NOT A NUMBER",IF(AND(ISNUMBER($L1442),OR($L1442&lt;0,$L1442&gt;100)),"RAW SCORE OUT OF RANGE",IF(AND($Y1442="Unexcused",OR($L1442="",NOT(ISNUMBER($L1442)),$L1442&lt;&gt;0)),"UNEXCUSED ABSENCE MUST RECORD 0",IF(COUNTIF(nrES_RecID,$B1442)&gt;1,"DUPLICATE RECORD",IF(N($K1442)&gt;2,"ATTEMPT 3+ NOT ALLOWED - policy 300.5 permits one retest per exam; this row records nothing",IF(AND($K1442=2,COUNTIFS(nrES_PID,$D1442,nrES_Code,$F1442,nrES_Att,1)=0),"ATTEMPT 2 WITHOUT ATTEMPT 1",IF(AND($K1442=2,$L1442=""),"RETEST ROW HAS NO SCORE",IF(AND($H1442="Final",$L1442&lt;&gt;"",IFERROR(INDEX(nrCKfinalExamElig,MATCH($D1442,rngCadetPIDs,0)),"")="No"),"FINAL EXAM AFTER FAILED FINAL PT (500.1.H)",IF(AND($K1442=2,ISNUMBER($L1442),COUNTIFS(nrES_PID,$D1442,nrES_Code,$F1442,nrES_Att,1)&gt;0,SUMIFS(nrES_Raw,nrES_PID,$D1442,nrES_Code,$F1442,nrES_Att,1)&gt;=$J1442),"RETEST AFTER A PASSING FIRST ATTEMPT","OK"))))))))))</f>
        <v/>
      </c>
      <c r="Y1442" s="16" t="n"/>
    </row>
    <row r="1443">
      <c r="B1443" s="17">
        <f>IF($C1443="","",$D1443&amp;"-"&amp;$F1443&amp;"-"&amp;$K1443)</f>
        <v/>
      </c>
      <c r="C1443" s="16" t="n"/>
      <c r="D1443" s="17">
        <f>IF($C1443="","",IFERROR(INDEX(rngCadetPIDs,MATCH($C1443,rngCadetNames,0)),"?"))</f>
        <v/>
      </c>
      <c r="E1443" s="17">
        <f>IF($D1443="","",IFERROR(INDEX(nrCadetAgency,MATCH($D1443,rngCadetPIDs,0)),""))</f>
        <v/>
      </c>
      <c r="F1443" s="16" t="n"/>
      <c r="G1443" s="17">
        <f>IF($F1443="","",IFERROR(INDEX(rngEPname,MATCH($F1443,rngEPcode,0)),"?"))</f>
        <v/>
      </c>
      <c r="H1443" s="17">
        <f>IF($F1443="","",IFERROR(INDEX(rngEPtype,MATCH($F1443,rngEPcode,0)),"?"))</f>
        <v/>
      </c>
      <c r="I1443" s="17">
        <f>IF($F1443="","",IFERROR(INDEX(rngEPseq,MATCH($F1443,rngEPcode,0)),""))</f>
        <v/>
      </c>
      <c r="J1443" s="17">
        <f>IF($F1443="","",IFERROR(INDEX(rngEPpass,MATCH($F1443,rngEPcode,0)),cfgPassingScore))</f>
        <v/>
      </c>
      <c r="K1443" s="16" t="n"/>
      <c r="L1443" s="16" t="n"/>
      <c r="M1443" s="17">
        <f>IF($C1443="","",IF($L1443="","",IF(NOT(ISNUMBER($L1443)),$L1443,IF(N($K1443)&gt;2,"",IF($K1443=1,IF(COUNTIFS(nrES_PID,$D1443,nrES_Code,$F1443,nrES_Att,2,nrES_Raw,"&gt;=0")&gt;0,"",$L1443),IF($L1443&gt;=$J1443,MAX($J1443,cfgRetakeRecordedCap),IF(COUNTIFS(nrES_PID,$D1443,nrES_Code,$F1443,nrES_Att,1)=0,$L1443,SUMIFS(nrES_Raw,nrES_PID,$D1443,nrES_Code,$F1443,nrES_Att,1))))))))</f>
        <v/>
      </c>
      <c r="N1443" s="17">
        <f>IF($C1443="","",IF($L1443="","",IF(NOT(ISNUMBER($L1443)),"(not a score)",IF($L1443&gt;=$J1443,"Yes","No"))))</f>
        <v/>
      </c>
      <c r="O1443" s="17">
        <f>IF($C1443="","",IF($M1443="","",IF(NOT(ISNUMBER($M1443)),"(not a score)",IF($M1443&gt;=$J1443,"Yes","No"))))</f>
        <v/>
      </c>
      <c r="P1443" s="17">
        <f>IF($C1443="","",IF($K1443="","",IF(N($K1443)&gt;2,"No",IF(COUNTIFS(nrES_PID,$D1443,nrES_Code,$F1443,nrES_Att,"&gt;"&amp;$K1443,nrES_Att,"&lt;=2",nrES_Raw,"&gt;=0")=0,"Yes","No"))))</f>
        <v/>
      </c>
      <c r="Q1443" s="17">
        <f>IF($C1443="","",IF($L1443="","",IF(AND($K1443=1,ISNUMBER($L1443),$L1443&lt;$J1443,COUNTIFS(nrES_PID,$D1443,nrES_Code,$F1443,nrES_Att,2,nrES_Raw,"&gt;=0")=0),"Yes","No")))</f>
        <v/>
      </c>
      <c r="R1443" s="17">
        <f>IF($C1443="","",IF($L1443="","",IF(AND(N($K1443)&gt;=2,ISNUMBER($L1443),$L1443&lt;$J1443),"Yes","No")))</f>
        <v/>
      </c>
      <c r="S1443" s="18" t="n"/>
      <c r="T1443" s="19">
        <f>IF(OR($C1443="",$L1443="",$K1443&lt;&gt;1,NOT(ISNUMBER($L1443)),$L1443&gt;=$J1443),"",IF($S1443="","(enter date)",_xlfn.LET(_xlpm.dn,_xlfn.XLOOKUP($S1443,nrCDdate,nrCDnum,"",1),IF(_xlpm.dn="","(after last class day)",_xlfn.LET(_xlpm.dd,_xlfn.XLOOKUP(_xlpm.dn+cfgRetestClassDays,nrCDnum,nrCDdate,""),_xlpm.ok,_xlfn.XLOOKUP(_xlpm.dn+cfgRetestClassDays,nrCDnum,nrCDinsession,"No"),IF(OR(_xlpm.dd="",_xlpm.ok&lt;&gt;"Yes"),"(after last class day)",_xlpm.dd))))))</f>
        <v/>
      </c>
      <c r="U1443" s="17">
        <f>IF($C1443="","",IF(AND($Y1443="Excused",$L1443="",N($K1443)&lt;=1),"EXCUSED - 1st attempt pending",IF(OR($L1443="",$K1443&lt;&gt;1,NOT(ISNUMBER($L1443)),$L1443&gt;=$J1443),"",IF(COUNTIFS(nrES_PID,$D1443,nrES_Code,$F1443,nrES_Att,2,nrES_Raw,"&gt;=0")&gt;0,IF(IFERROR(_xlfn.MINIFS(nrES_Date,nrES_PID,$D1443,nrES_Code,$F1443,nrES_Att,2,nrES_Raw,"&gt;=0",nrES_Date,"&gt;0"),0)=0,"RETEST UNDATED",IF(NOT(ISNUMBER($T1443)),"RETEST DATE UNCHECKED",IF(_xlfn.MINIFS(nrES_Date,nrES_PID,$D1443,nrES_Code,$F1443,nrES_Att,2,nrES_Raw,"&gt;=0",nrES_Date,"&gt;0")&gt;$T1443,"LATE RETEST "&amp;TEXT(_xlfn.MINIFS(nrES_Date,nrES_PID,$D1443,nrES_Code,$F1443,nrES_Att,2,nrES_Raw,"&gt;=0",nrES_Date,"&gt;0"),"mm/dd")&amp;" (due "&amp;TEXT($T1443,"mm/dd")&amp;")","Retested"))),IF(NOT(ISNUMBER($T1443)),"CHECK DATE",IF(TODAY()&gt;$T1443,"OVERDUE","Due "&amp;TEXT($T1443,"mm/dd")))))))</f>
        <v/>
      </c>
      <c r="V1443" s="16" t="n"/>
      <c r="W1443" s="16" t="n"/>
      <c r="X1443" s="17">
        <f>IF($C1443="","",IF(AND($L1443&lt;&gt;"",NOT(ISNUMBER($L1443))),"RAW SCORE NOT A NUMBER",IF(AND(ISNUMBER($L1443),OR($L1443&lt;0,$L1443&gt;100)),"RAW SCORE OUT OF RANGE",IF(AND($Y1443="Unexcused",OR($L1443="",NOT(ISNUMBER($L1443)),$L1443&lt;&gt;0)),"UNEXCUSED ABSENCE MUST RECORD 0",IF(COUNTIF(nrES_RecID,$B1443)&gt;1,"DUPLICATE RECORD",IF(N($K1443)&gt;2,"ATTEMPT 3+ NOT ALLOWED - policy 300.5 permits one retest per exam; this row records nothing",IF(AND($K1443=2,COUNTIFS(nrES_PID,$D1443,nrES_Code,$F1443,nrES_Att,1)=0),"ATTEMPT 2 WITHOUT ATTEMPT 1",IF(AND($K1443=2,$L1443=""),"RETEST ROW HAS NO SCORE",IF(AND($H1443="Final",$L1443&lt;&gt;"",IFERROR(INDEX(nrCKfinalExamElig,MATCH($D1443,rngCadetPIDs,0)),"")="No"),"FINAL EXAM AFTER FAILED FINAL PT (500.1.H)",IF(AND($K1443=2,ISNUMBER($L1443),COUNTIFS(nrES_PID,$D1443,nrES_Code,$F1443,nrES_Att,1)&gt;0,SUMIFS(nrES_Raw,nrES_PID,$D1443,nrES_Code,$F1443,nrES_Att,1)&gt;=$J1443),"RETEST AFTER A PASSING FIRST ATTEMPT","OK"))))))))))</f>
        <v/>
      </c>
      <c r="Y1443" s="16" t="n"/>
    </row>
    <row r="1444">
      <c r="B1444" s="17">
        <f>IF($C1444="","",$D1444&amp;"-"&amp;$F1444&amp;"-"&amp;$K1444)</f>
        <v/>
      </c>
      <c r="C1444" s="16" t="n"/>
      <c r="D1444" s="17">
        <f>IF($C1444="","",IFERROR(INDEX(rngCadetPIDs,MATCH($C1444,rngCadetNames,0)),"?"))</f>
        <v/>
      </c>
      <c r="E1444" s="17">
        <f>IF($D1444="","",IFERROR(INDEX(nrCadetAgency,MATCH($D1444,rngCadetPIDs,0)),""))</f>
        <v/>
      </c>
      <c r="F1444" s="16" t="n"/>
      <c r="G1444" s="17">
        <f>IF($F1444="","",IFERROR(INDEX(rngEPname,MATCH($F1444,rngEPcode,0)),"?"))</f>
        <v/>
      </c>
      <c r="H1444" s="17">
        <f>IF($F1444="","",IFERROR(INDEX(rngEPtype,MATCH($F1444,rngEPcode,0)),"?"))</f>
        <v/>
      </c>
      <c r="I1444" s="17">
        <f>IF($F1444="","",IFERROR(INDEX(rngEPseq,MATCH($F1444,rngEPcode,0)),""))</f>
        <v/>
      </c>
      <c r="J1444" s="17">
        <f>IF($F1444="","",IFERROR(INDEX(rngEPpass,MATCH($F1444,rngEPcode,0)),cfgPassingScore))</f>
        <v/>
      </c>
      <c r="K1444" s="16" t="n"/>
      <c r="L1444" s="16" t="n"/>
      <c r="M1444" s="17">
        <f>IF($C1444="","",IF($L1444="","",IF(NOT(ISNUMBER($L1444)),$L1444,IF(N($K1444)&gt;2,"",IF($K1444=1,IF(COUNTIFS(nrES_PID,$D1444,nrES_Code,$F1444,nrES_Att,2,nrES_Raw,"&gt;=0")&gt;0,"",$L1444),IF($L1444&gt;=$J1444,MAX($J1444,cfgRetakeRecordedCap),IF(COUNTIFS(nrES_PID,$D1444,nrES_Code,$F1444,nrES_Att,1)=0,$L1444,SUMIFS(nrES_Raw,nrES_PID,$D1444,nrES_Code,$F1444,nrES_Att,1))))))))</f>
        <v/>
      </c>
      <c r="N1444" s="17">
        <f>IF($C1444="","",IF($L1444="","",IF(NOT(ISNUMBER($L1444)),"(not a score)",IF($L1444&gt;=$J1444,"Yes","No"))))</f>
        <v/>
      </c>
      <c r="O1444" s="17">
        <f>IF($C1444="","",IF($M1444="","",IF(NOT(ISNUMBER($M1444)),"(not a score)",IF($M1444&gt;=$J1444,"Yes","No"))))</f>
        <v/>
      </c>
      <c r="P1444" s="17">
        <f>IF($C1444="","",IF($K1444="","",IF(N($K1444)&gt;2,"No",IF(COUNTIFS(nrES_PID,$D1444,nrES_Code,$F1444,nrES_Att,"&gt;"&amp;$K1444,nrES_Att,"&lt;=2",nrES_Raw,"&gt;=0")=0,"Yes","No"))))</f>
        <v/>
      </c>
      <c r="Q1444" s="17">
        <f>IF($C1444="","",IF($L1444="","",IF(AND($K1444=1,ISNUMBER($L1444),$L1444&lt;$J1444,COUNTIFS(nrES_PID,$D1444,nrES_Code,$F1444,nrES_Att,2,nrES_Raw,"&gt;=0")=0),"Yes","No")))</f>
        <v/>
      </c>
      <c r="R1444" s="17">
        <f>IF($C1444="","",IF($L1444="","",IF(AND(N($K1444)&gt;=2,ISNUMBER($L1444),$L1444&lt;$J1444),"Yes","No")))</f>
        <v/>
      </c>
      <c r="S1444" s="18" t="n"/>
      <c r="T1444" s="19">
        <f>IF(OR($C1444="",$L1444="",$K1444&lt;&gt;1,NOT(ISNUMBER($L1444)),$L1444&gt;=$J1444),"",IF($S1444="","(enter date)",_xlfn.LET(_xlpm.dn,_xlfn.XLOOKUP($S1444,nrCDdate,nrCDnum,"",1),IF(_xlpm.dn="","(after last class day)",_xlfn.LET(_xlpm.dd,_xlfn.XLOOKUP(_xlpm.dn+cfgRetestClassDays,nrCDnum,nrCDdate,""),_xlpm.ok,_xlfn.XLOOKUP(_xlpm.dn+cfgRetestClassDays,nrCDnum,nrCDinsession,"No"),IF(OR(_xlpm.dd="",_xlpm.ok&lt;&gt;"Yes"),"(after last class day)",_xlpm.dd))))))</f>
        <v/>
      </c>
      <c r="U1444" s="17">
        <f>IF($C1444="","",IF(AND($Y1444="Excused",$L1444="",N($K1444)&lt;=1),"EXCUSED - 1st attempt pending",IF(OR($L1444="",$K1444&lt;&gt;1,NOT(ISNUMBER($L1444)),$L1444&gt;=$J1444),"",IF(COUNTIFS(nrES_PID,$D1444,nrES_Code,$F1444,nrES_Att,2,nrES_Raw,"&gt;=0")&gt;0,IF(IFERROR(_xlfn.MINIFS(nrES_Date,nrES_PID,$D1444,nrES_Code,$F1444,nrES_Att,2,nrES_Raw,"&gt;=0",nrES_Date,"&gt;0"),0)=0,"RETEST UNDATED",IF(NOT(ISNUMBER($T1444)),"RETEST DATE UNCHECKED",IF(_xlfn.MINIFS(nrES_Date,nrES_PID,$D1444,nrES_Code,$F1444,nrES_Att,2,nrES_Raw,"&gt;=0",nrES_Date,"&gt;0")&gt;$T1444,"LATE RETEST "&amp;TEXT(_xlfn.MINIFS(nrES_Date,nrES_PID,$D1444,nrES_Code,$F1444,nrES_Att,2,nrES_Raw,"&gt;=0",nrES_Date,"&gt;0"),"mm/dd")&amp;" (due "&amp;TEXT($T1444,"mm/dd")&amp;")","Retested"))),IF(NOT(ISNUMBER($T1444)),"CHECK DATE",IF(TODAY()&gt;$T1444,"OVERDUE","Due "&amp;TEXT($T1444,"mm/dd")))))))</f>
        <v/>
      </c>
      <c r="V1444" s="16" t="n"/>
      <c r="W1444" s="16" t="n"/>
      <c r="X1444" s="17">
        <f>IF($C1444="","",IF(AND($L1444&lt;&gt;"",NOT(ISNUMBER($L1444))),"RAW SCORE NOT A NUMBER",IF(AND(ISNUMBER($L1444),OR($L1444&lt;0,$L1444&gt;100)),"RAW SCORE OUT OF RANGE",IF(AND($Y1444="Unexcused",OR($L1444="",NOT(ISNUMBER($L1444)),$L1444&lt;&gt;0)),"UNEXCUSED ABSENCE MUST RECORD 0",IF(COUNTIF(nrES_RecID,$B1444)&gt;1,"DUPLICATE RECORD",IF(N($K1444)&gt;2,"ATTEMPT 3+ NOT ALLOWED - policy 300.5 permits one retest per exam; this row records nothing",IF(AND($K1444=2,COUNTIFS(nrES_PID,$D1444,nrES_Code,$F1444,nrES_Att,1)=0),"ATTEMPT 2 WITHOUT ATTEMPT 1",IF(AND($K1444=2,$L1444=""),"RETEST ROW HAS NO SCORE",IF(AND($H1444="Final",$L1444&lt;&gt;"",IFERROR(INDEX(nrCKfinalExamElig,MATCH($D1444,rngCadetPIDs,0)),"")="No"),"FINAL EXAM AFTER FAILED FINAL PT (500.1.H)",IF(AND($K1444=2,ISNUMBER($L1444),COUNTIFS(nrES_PID,$D1444,nrES_Code,$F1444,nrES_Att,1)&gt;0,SUMIFS(nrES_Raw,nrES_PID,$D1444,nrES_Code,$F1444,nrES_Att,1)&gt;=$J1444),"RETEST AFTER A PASSING FIRST ATTEMPT","OK"))))))))))</f>
        <v/>
      </c>
      <c r="Y1444" s="16" t="n"/>
    </row>
    <row r="1445">
      <c r="B1445" s="17">
        <f>IF($C1445="","",$D1445&amp;"-"&amp;$F1445&amp;"-"&amp;$K1445)</f>
        <v/>
      </c>
      <c r="C1445" s="16" t="n"/>
      <c r="D1445" s="17">
        <f>IF($C1445="","",IFERROR(INDEX(rngCadetPIDs,MATCH($C1445,rngCadetNames,0)),"?"))</f>
        <v/>
      </c>
      <c r="E1445" s="17">
        <f>IF($D1445="","",IFERROR(INDEX(nrCadetAgency,MATCH($D1445,rngCadetPIDs,0)),""))</f>
        <v/>
      </c>
      <c r="F1445" s="16" t="n"/>
      <c r="G1445" s="17">
        <f>IF($F1445="","",IFERROR(INDEX(rngEPname,MATCH($F1445,rngEPcode,0)),"?"))</f>
        <v/>
      </c>
      <c r="H1445" s="17">
        <f>IF($F1445="","",IFERROR(INDEX(rngEPtype,MATCH($F1445,rngEPcode,0)),"?"))</f>
        <v/>
      </c>
      <c r="I1445" s="17">
        <f>IF($F1445="","",IFERROR(INDEX(rngEPseq,MATCH($F1445,rngEPcode,0)),""))</f>
        <v/>
      </c>
      <c r="J1445" s="17">
        <f>IF($F1445="","",IFERROR(INDEX(rngEPpass,MATCH($F1445,rngEPcode,0)),cfgPassingScore))</f>
        <v/>
      </c>
      <c r="K1445" s="16" t="n"/>
      <c r="L1445" s="16" t="n"/>
      <c r="M1445" s="17">
        <f>IF($C1445="","",IF($L1445="","",IF(NOT(ISNUMBER($L1445)),$L1445,IF(N($K1445)&gt;2,"",IF($K1445=1,IF(COUNTIFS(nrES_PID,$D1445,nrES_Code,$F1445,nrES_Att,2,nrES_Raw,"&gt;=0")&gt;0,"",$L1445),IF($L1445&gt;=$J1445,MAX($J1445,cfgRetakeRecordedCap),IF(COUNTIFS(nrES_PID,$D1445,nrES_Code,$F1445,nrES_Att,1)=0,$L1445,SUMIFS(nrES_Raw,nrES_PID,$D1445,nrES_Code,$F1445,nrES_Att,1))))))))</f>
        <v/>
      </c>
      <c r="N1445" s="17">
        <f>IF($C1445="","",IF($L1445="","",IF(NOT(ISNUMBER($L1445)),"(not a score)",IF($L1445&gt;=$J1445,"Yes","No"))))</f>
        <v/>
      </c>
      <c r="O1445" s="17">
        <f>IF($C1445="","",IF($M1445="","",IF(NOT(ISNUMBER($M1445)),"(not a score)",IF($M1445&gt;=$J1445,"Yes","No"))))</f>
        <v/>
      </c>
      <c r="P1445" s="17">
        <f>IF($C1445="","",IF($K1445="","",IF(N($K1445)&gt;2,"No",IF(COUNTIFS(nrES_PID,$D1445,nrES_Code,$F1445,nrES_Att,"&gt;"&amp;$K1445,nrES_Att,"&lt;=2",nrES_Raw,"&gt;=0")=0,"Yes","No"))))</f>
        <v/>
      </c>
      <c r="Q1445" s="17">
        <f>IF($C1445="","",IF($L1445="","",IF(AND($K1445=1,ISNUMBER($L1445),$L1445&lt;$J1445,COUNTIFS(nrES_PID,$D1445,nrES_Code,$F1445,nrES_Att,2,nrES_Raw,"&gt;=0")=0),"Yes","No")))</f>
        <v/>
      </c>
      <c r="R1445" s="17">
        <f>IF($C1445="","",IF($L1445="","",IF(AND(N($K1445)&gt;=2,ISNUMBER($L1445),$L1445&lt;$J1445),"Yes","No")))</f>
        <v/>
      </c>
      <c r="S1445" s="18" t="n"/>
      <c r="T1445" s="19">
        <f>IF(OR($C1445="",$L1445="",$K1445&lt;&gt;1,NOT(ISNUMBER($L1445)),$L1445&gt;=$J1445),"",IF($S1445="","(enter date)",_xlfn.LET(_xlpm.dn,_xlfn.XLOOKUP($S1445,nrCDdate,nrCDnum,"",1),IF(_xlpm.dn="","(after last class day)",_xlfn.LET(_xlpm.dd,_xlfn.XLOOKUP(_xlpm.dn+cfgRetestClassDays,nrCDnum,nrCDdate,""),_xlpm.ok,_xlfn.XLOOKUP(_xlpm.dn+cfgRetestClassDays,nrCDnum,nrCDinsession,"No"),IF(OR(_xlpm.dd="",_xlpm.ok&lt;&gt;"Yes"),"(after last class day)",_xlpm.dd))))))</f>
        <v/>
      </c>
      <c r="U1445" s="17">
        <f>IF($C1445="","",IF(AND($Y1445="Excused",$L1445="",N($K1445)&lt;=1),"EXCUSED - 1st attempt pending",IF(OR($L1445="",$K1445&lt;&gt;1,NOT(ISNUMBER($L1445)),$L1445&gt;=$J1445),"",IF(COUNTIFS(nrES_PID,$D1445,nrES_Code,$F1445,nrES_Att,2,nrES_Raw,"&gt;=0")&gt;0,IF(IFERROR(_xlfn.MINIFS(nrES_Date,nrES_PID,$D1445,nrES_Code,$F1445,nrES_Att,2,nrES_Raw,"&gt;=0",nrES_Date,"&gt;0"),0)=0,"RETEST UNDATED",IF(NOT(ISNUMBER($T1445)),"RETEST DATE UNCHECKED",IF(_xlfn.MINIFS(nrES_Date,nrES_PID,$D1445,nrES_Code,$F1445,nrES_Att,2,nrES_Raw,"&gt;=0",nrES_Date,"&gt;0")&gt;$T1445,"LATE RETEST "&amp;TEXT(_xlfn.MINIFS(nrES_Date,nrES_PID,$D1445,nrES_Code,$F1445,nrES_Att,2,nrES_Raw,"&gt;=0",nrES_Date,"&gt;0"),"mm/dd")&amp;" (due "&amp;TEXT($T1445,"mm/dd")&amp;")","Retested"))),IF(NOT(ISNUMBER($T1445)),"CHECK DATE",IF(TODAY()&gt;$T1445,"OVERDUE","Due "&amp;TEXT($T1445,"mm/dd")))))))</f>
        <v/>
      </c>
      <c r="V1445" s="16" t="n"/>
      <c r="W1445" s="16" t="n"/>
      <c r="X1445" s="17">
        <f>IF($C1445="","",IF(AND($L1445&lt;&gt;"",NOT(ISNUMBER($L1445))),"RAW SCORE NOT A NUMBER",IF(AND(ISNUMBER($L1445),OR($L1445&lt;0,$L1445&gt;100)),"RAW SCORE OUT OF RANGE",IF(AND($Y1445="Unexcused",OR($L1445="",NOT(ISNUMBER($L1445)),$L1445&lt;&gt;0)),"UNEXCUSED ABSENCE MUST RECORD 0",IF(COUNTIF(nrES_RecID,$B1445)&gt;1,"DUPLICATE RECORD",IF(N($K1445)&gt;2,"ATTEMPT 3+ NOT ALLOWED - policy 300.5 permits one retest per exam; this row records nothing",IF(AND($K1445=2,COUNTIFS(nrES_PID,$D1445,nrES_Code,$F1445,nrES_Att,1)=0),"ATTEMPT 2 WITHOUT ATTEMPT 1",IF(AND($K1445=2,$L1445=""),"RETEST ROW HAS NO SCORE",IF(AND($H1445="Final",$L1445&lt;&gt;"",IFERROR(INDEX(nrCKfinalExamElig,MATCH($D1445,rngCadetPIDs,0)),"")="No"),"FINAL EXAM AFTER FAILED FINAL PT (500.1.H)",IF(AND($K1445=2,ISNUMBER($L1445),COUNTIFS(nrES_PID,$D1445,nrES_Code,$F1445,nrES_Att,1)&gt;0,SUMIFS(nrES_Raw,nrES_PID,$D1445,nrES_Code,$F1445,nrES_Att,1)&gt;=$J1445),"RETEST AFTER A PASSING FIRST ATTEMPT","OK"))))))))))</f>
        <v/>
      </c>
      <c r="Y1445" s="16" t="n"/>
    </row>
    <row r="1446">
      <c r="B1446" s="17">
        <f>IF($C1446="","",$D1446&amp;"-"&amp;$F1446&amp;"-"&amp;$K1446)</f>
        <v/>
      </c>
      <c r="C1446" s="16" t="n"/>
      <c r="D1446" s="17">
        <f>IF($C1446="","",IFERROR(INDEX(rngCadetPIDs,MATCH($C1446,rngCadetNames,0)),"?"))</f>
        <v/>
      </c>
      <c r="E1446" s="17">
        <f>IF($D1446="","",IFERROR(INDEX(nrCadetAgency,MATCH($D1446,rngCadetPIDs,0)),""))</f>
        <v/>
      </c>
      <c r="F1446" s="16" t="n"/>
      <c r="G1446" s="17">
        <f>IF($F1446="","",IFERROR(INDEX(rngEPname,MATCH($F1446,rngEPcode,0)),"?"))</f>
        <v/>
      </c>
      <c r="H1446" s="17">
        <f>IF($F1446="","",IFERROR(INDEX(rngEPtype,MATCH($F1446,rngEPcode,0)),"?"))</f>
        <v/>
      </c>
      <c r="I1446" s="17">
        <f>IF($F1446="","",IFERROR(INDEX(rngEPseq,MATCH($F1446,rngEPcode,0)),""))</f>
        <v/>
      </c>
      <c r="J1446" s="17">
        <f>IF($F1446="","",IFERROR(INDEX(rngEPpass,MATCH($F1446,rngEPcode,0)),cfgPassingScore))</f>
        <v/>
      </c>
      <c r="K1446" s="16" t="n"/>
      <c r="L1446" s="16" t="n"/>
      <c r="M1446" s="17">
        <f>IF($C1446="","",IF($L1446="","",IF(NOT(ISNUMBER($L1446)),$L1446,IF(N($K1446)&gt;2,"",IF($K1446=1,IF(COUNTIFS(nrES_PID,$D1446,nrES_Code,$F1446,nrES_Att,2,nrES_Raw,"&gt;=0")&gt;0,"",$L1446),IF($L1446&gt;=$J1446,MAX($J1446,cfgRetakeRecordedCap),IF(COUNTIFS(nrES_PID,$D1446,nrES_Code,$F1446,nrES_Att,1)=0,$L1446,SUMIFS(nrES_Raw,nrES_PID,$D1446,nrES_Code,$F1446,nrES_Att,1))))))))</f>
        <v/>
      </c>
      <c r="N1446" s="17">
        <f>IF($C1446="","",IF($L1446="","",IF(NOT(ISNUMBER($L1446)),"(not a score)",IF($L1446&gt;=$J1446,"Yes","No"))))</f>
        <v/>
      </c>
      <c r="O1446" s="17">
        <f>IF($C1446="","",IF($M1446="","",IF(NOT(ISNUMBER($M1446)),"(not a score)",IF($M1446&gt;=$J1446,"Yes","No"))))</f>
        <v/>
      </c>
      <c r="P1446" s="17">
        <f>IF($C1446="","",IF($K1446="","",IF(N($K1446)&gt;2,"No",IF(COUNTIFS(nrES_PID,$D1446,nrES_Code,$F1446,nrES_Att,"&gt;"&amp;$K1446,nrES_Att,"&lt;=2",nrES_Raw,"&gt;=0")=0,"Yes","No"))))</f>
        <v/>
      </c>
      <c r="Q1446" s="17">
        <f>IF($C1446="","",IF($L1446="","",IF(AND($K1446=1,ISNUMBER($L1446),$L1446&lt;$J1446,COUNTIFS(nrES_PID,$D1446,nrES_Code,$F1446,nrES_Att,2,nrES_Raw,"&gt;=0")=0),"Yes","No")))</f>
        <v/>
      </c>
      <c r="R1446" s="17">
        <f>IF($C1446="","",IF($L1446="","",IF(AND(N($K1446)&gt;=2,ISNUMBER($L1446),$L1446&lt;$J1446),"Yes","No")))</f>
        <v/>
      </c>
      <c r="S1446" s="18" t="n"/>
      <c r="T1446" s="19">
        <f>IF(OR($C1446="",$L1446="",$K1446&lt;&gt;1,NOT(ISNUMBER($L1446)),$L1446&gt;=$J1446),"",IF($S1446="","(enter date)",_xlfn.LET(_xlpm.dn,_xlfn.XLOOKUP($S1446,nrCDdate,nrCDnum,"",1),IF(_xlpm.dn="","(after last class day)",_xlfn.LET(_xlpm.dd,_xlfn.XLOOKUP(_xlpm.dn+cfgRetestClassDays,nrCDnum,nrCDdate,""),_xlpm.ok,_xlfn.XLOOKUP(_xlpm.dn+cfgRetestClassDays,nrCDnum,nrCDinsession,"No"),IF(OR(_xlpm.dd="",_xlpm.ok&lt;&gt;"Yes"),"(after last class day)",_xlpm.dd))))))</f>
        <v/>
      </c>
      <c r="U1446" s="17">
        <f>IF($C1446="","",IF(AND($Y1446="Excused",$L1446="",N($K1446)&lt;=1),"EXCUSED - 1st attempt pending",IF(OR($L1446="",$K1446&lt;&gt;1,NOT(ISNUMBER($L1446)),$L1446&gt;=$J1446),"",IF(COUNTIFS(nrES_PID,$D1446,nrES_Code,$F1446,nrES_Att,2,nrES_Raw,"&gt;=0")&gt;0,IF(IFERROR(_xlfn.MINIFS(nrES_Date,nrES_PID,$D1446,nrES_Code,$F1446,nrES_Att,2,nrES_Raw,"&gt;=0",nrES_Date,"&gt;0"),0)=0,"RETEST UNDATED",IF(NOT(ISNUMBER($T1446)),"RETEST DATE UNCHECKED",IF(_xlfn.MINIFS(nrES_Date,nrES_PID,$D1446,nrES_Code,$F1446,nrES_Att,2,nrES_Raw,"&gt;=0",nrES_Date,"&gt;0")&gt;$T1446,"LATE RETEST "&amp;TEXT(_xlfn.MINIFS(nrES_Date,nrES_PID,$D1446,nrES_Code,$F1446,nrES_Att,2,nrES_Raw,"&gt;=0",nrES_Date,"&gt;0"),"mm/dd")&amp;" (due "&amp;TEXT($T1446,"mm/dd")&amp;")","Retested"))),IF(NOT(ISNUMBER($T1446)),"CHECK DATE",IF(TODAY()&gt;$T1446,"OVERDUE","Due "&amp;TEXT($T1446,"mm/dd")))))))</f>
        <v/>
      </c>
      <c r="V1446" s="16" t="n"/>
      <c r="W1446" s="16" t="n"/>
      <c r="X1446" s="17">
        <f>IF($C1446="","",IF(AND($L1446&lt;&gt;"",NOT(ISNUMBER($L1446))),"RAW SCORE NOT A NUMBER",IF(AND(ISNUMBER($L1446),OR($L1446&lt;0,$L1446&gt;100)),"RAW SCORE OUT OF RANGE",IF(AND($Y1446="Unexcused",OR($L1446="",NOT(ISNUMBER($L1446)),$L1446&lt;&gt;0)),"UNEXCUSED ABSENCE MUST RECORD 0",IF(COUNTIF(nrES_RecID,$B1446)&gt;1,"DUPLICATE RECORD",IF(N($K1446)&gt;2,"ATTEMPT 3+ NOT ALLOWED - policy 300.5 permits one retest per exam; this row records nothing",IF(AND($K1446=2,COUNTIFS(nrES_PID,$D1446,nrES_Code,$F1446,nrES_Att,1)=0),"ATTEMPT 2 WITHOUT ATTEMPT 1",IF(AND($K1446=2,$L1446=""),"RETEST ROW HAS NO SCORE",IF(AND($H1446="Final",$L1446&lt;&gt;"",IFERROR(INDEX(nrCKfinalExamElig,MATCH($D1446,rngCadetPIDs,0)),"")="No"),"FINAL EXAM AFTER FAILED FINAL PT (500.1.H)",IF(AND($K1446=2,ISNUMBER($L1446),COUNTIFS(nrES_PID,$D1446,nrES_Code,$F1446,nrES_Att,1)&gt;0,SUMIFS(nrES_Raw,nrES_PID,$D1446,nrES_Code,$F1446,nrES_Att,1)&gt;=$J1446),"RETEST AFTER A PASSING FIRST ATTEMPT","OK"))))))))))</f>
        <v/>
      </c>
      <c r="Y1446" s="16" t="n"/>
    </row>
    <row r="1447">
      <c r="B1447" s="17">
        <f>IF($C1447="","",$D1447&amp;"-"&amp;$F1447&amp;"-"&amp;$K1447)</f>
        <v/>
      </c>
      <c r="C1447" s="16" t="n"/>
      <c r="D1447" s="17">
        <f>IF($C1447="","",IFERROR(INDEX(rngCadetPIDs,MATCH($C1447,rngCadetNames,0)),"?"))</f>
        <v/>
      </c>
      <c r="E1447" s="17">
        <f>IF($D1447="","",IFERROR(INDEX(nrCadetAgency,MATCH($D1447,rngCadetPIDs,0)),""))</f>
        <v/>
      </c>
      <c r="F1447" s="16" t="n"/>
      <c r="G1447" s="17">
        <f>IF($F1447="","",IFERROR(INDEX(rngEPname,MATCH($F1447,rngEPcode,0)),"?"))</f>
        <v/>
      </c>
      <c r="H1447" s="17">
        <f>IF($F1447="","",IFERROR(INDEX(rngEPtype,MATCH($F1447,rngEPcode,0)),"?"))</f>
        <v/>
      </c>
      <c r="I1447" s="17">
        <f>IF($F1447="","",IFERROR(INDEX(rngEPseq,MATCH($F1447,rngEPcode,0)),""))</f>
        <v/>
      </c>
      <c r="J1447" s="17">
        <f>IF($F1447="","",IFERROR(INDEX(rngEPpass,MATCH($F1447,rngEPcode,0)),cfgPassingScore))</f>
        <v/>
      </c>
      <c r="K1447" s="16" t="n"/>
      <c r="L1447" s="16" t="n"/>
      <c r="M1447" s="17">
        <f>IF($C1447="","",IF($L1447="","",IF(NOT(ISNUMBER($L1447)),$L1447,IF(N($K1447)&gt;2,"",IF($K1447=1,IF(COUNTIFS(nrES_PID,$D1447,nrES_Code,$F1447,nrES_Att,2,nrES_Raw,"&gt;=0")&gt;0,"",$L1447),IF($L1447&gt;=$J1447,MAX($J1447,cfgRetakeRecordedCap),IF(COUNTIFS(nrES_PID,$D1447,nrES_Code,$F1447,nrES_Att,1)=0,$L1447,SUMIFS(nrES_Raw,nrES_PID,$D1447,nrES_Code,$F1447,nrES_Att,1))))))))</f>
        <v/>
      </c>
      <c r="N1447" s="17">
        <f>IF($C1447="","",IF($L1447="","",IF(NOT(ISNUMBER($L1447)),"(not a score)",IF($L1447&gt;=$J1447,"Yes","No"))))</f>
        <v/>
      </c>
      <c r="O1447" s="17">
        <f>IF($C1447="","",IF($M1447="","",IF(NOT(ISNUMBER($M1447)),"(not a score)",IF($M1447&gt;=$J1447,"Yes","No"))))</f>
        <v/>
      </c>
      <c r="P1447" s="17">
        <f>IF($C1447="","",IF($K1447="","",IF(N($K1447)&gt;2,"No",IF(COUNTIFS(nrES_PID,$D1447,nrES_Code,$F1447,nrES_Att,"&gt;"&amp;$K1447,nrES_Att,"&lt;=2",nrES_Raw,"&gt;=0")=0,"Yes","No"))))</f>
        <v/>
      </c>
      <c r="Q1447" s="17">
        <f>IF($C1447="","",IF($L1447="","",IF(AND($K1447=1,ISNUMBER($L1447),$L1447&lt;$J1447,COUNTIFS(nrES_PID,$D1447,nrES_Code,$F1447,nrES_Att,2,nrES_Raw,"&gt;=0")=0),"Yes","No")))</f>
        <v/>
      </c>
      <c r="R1447" s="17">
        <f>IF($C1447="","",IF($L1447="","",IF(AND(N($K1447)&gt;=2,ISNUMBER($L1447),$L1447&lt;$J1447),"Yes","No")))</f>
        <v/>
      </c>
      <c r="S1447" s="18" t="n"/>
      <c r="T1447" s="19">
        <f>IF(OR($C1447="",$L1447="",$K1447&lt;&gt;1,NOT(ISNUMBER($L1447)),$L1447&gt;=$J1447),"",IF($S1447="","(enter date)",_xlfn.LET(_xlpm.dn,_xlfn.XLOOKUP($S1447,nrCDdate,nrCDnum,"",1),IF(_xlpm.dn="","(after last class day)",_xlfn.LET(_xlpm.dd,_xlfn.XLOOKUP(_xlpm.dn+cfgRetestClassDays,nrCDnum,nrCDdate,""),_xlpm.ok,_xlfn.XLOOKUP(_xlpm.dn+cfgRetestClassDays,nrCDnum,nrCDinsession,"No"),IF(OR(_xlpm.dd="",_xlpm.ok&lt;&gt;"Yes"),"(after last class day)",_xlpm.dd))))))</f>
        <v/>
      </c>
      <c r="U1447" s="17">
        <f>IF($C1447="","",IF(AND($Y1447="Excused",$L1447="",N($K1447)&lt;=1),"EXCUSED - 1st attempt pending",IF(OR($L1447="",$K1447&lt;&gt;1,NOT(ISNUMBER($L1447)),$L1447&gt;=$J1447),"",IF(COUNTIFS(nrES_PID,$D1447,nrES_Code,$F1447,nrES_Att,2,nrES_Raw,"&gt;=0")&gt;0,IF(IFERROR(_xlfn.MINIFS(nrES_Date,nrES_PID,$D1447,nrES_Code,$F1447,nrES_Att,2,nrES_Raw,"&gt;=0",nrES_Date,"&gt;0"),0)=0,"RETEST UNDATED",IF(NOT(ISNUMBER($T1447)),"RETEST DATE UNCHECKED",IF(_xlfn.MINIFS(nrES_Date,nrES_PID,$D1447,nrES_Code,$F1447,nrES_Att,2,nrES_Raw,"&gt;=0",nrES_Date,"&gt;0")&gt;$T1447,"LATE RETEST "&amp;TEXT(_xlfn.MINIFS(nrES_Date,nrES_PID,$D1447,nrES_Code,$F1447,nrES_Att,2,nrES_Raw,"&gt;=0",nrES_Date,"&gt;0"),"mm/dd")&amp;" (due "&amp;TEXT($T1447,"mm/dd")&amp;")","Retested"))),IF(NOT(ISNUMBER($T1447)),"CHECK DATE",IF(TODAY()&gt;$T1447,"OVERDUE","Due "&amp;TEXT($T1447,"mm/dd")))))))</f>
        <v/>
      </c>
      <c r="V1447" s="16" t="n"/>
      <c r="W1447" s="16" t="n"/>
      <c r="X1447" s="17">
        <f>IF($C1447="","",IF(AND($L1447&lt;&gt;"",NOT(ISNUMBER($L1447))),"RAW SCORE NOT A NUMBER",IF(AND(ISNUMBER($L1447),OR($L1447&lt;0,$L1447&gt;100)),"RAW SCORE OUT OF RANGE",IF(AND($Y1447="Unexcused",OR($L1447="",NOT(ISNUMBER($L1447)),$L1447&lt;&gt;0)),"UNEXCUSED ABSENCE MUST RECORD 0",IF(COUNTIF(nrES_RecID,$B1447)&gt;1,"DUPLICATE RECORD",IF(N($K1447)&gt;2,"ATTEMPT 3+ NOT ALLOWED - policy 300.5 permits one retest per exam; this row records nothing",IF(AND($K1447=2,COUNTIFS(nrES_PID,$D1447,nrES_Code,$F1447,nrES_Att,1)=0),"ATTEMPT 2 WITHOUT ATTEMPT 1",IF(AND($K1447=2,$L1447=""),"RETEST ROW HAS NO SCORE",IF(AND($H1447="Final",$L1447&lt;&gt;"",IFERROR(INDEX(nrCKfinalExamElig,MATCH($D1447,rngCadetPIDs,0)),"")="No"),"FINAL EXAM AFTER FAILED FINAL PT (500.1.H)",IF(AND($K1447=2,ISNUMBER($L1447),COUNTIFS(nrES_PID,$D1447,nrES_Code,$F1447,nrES_Att,1)&gt;0,SUMIFS(nrES_Raw,nrES_PID,$D1447,nrES_Code,$F1447,nrES_Att,1)&gt;=$J1447),"RETEST AFTER A PASSING FIRST ATTEMPT","OK"))))))))))</f>
        <v/>
      </c>
      <c r="Y1447" s="16" t="n"/>
    </row>
    <row r="1448">
      <c r="B1448" s="17">
        <f>IF($C1448="","",$D1448&amp;"-"&amp;$F1448&amp;"-"&amp;$K1448)</f>
        <v/>
      </c>
      <c r="C1448" s="16" t="n"/>
      <c r="D1448" s="17">
        <f>IF($C1448="","",IFERROR(INDEX(rngCadetPIDs,MATCH($C1448,rngCadetNames,0)),"?"))</f>
        <v/>
      </c>
      <c r="E1448" s="17">
        <f>IF($D1448="","",IFERROR(INDEX(nrCadetAgency,MATCH($D1448,rngCadetPIDs,0)),""))</f>
        <v/>
      </c>
      <c r="F1448" s="16" t="n"/>
      <c r="G1448" s="17">
        <f>IF($F1448="","",IFERROR(INDEX(rngEPname,MATCH($F1448,rngEPcode,0)),"?"))</f>
        <v/>
      </c>
      <c r="H1448" s="17">
        <f>IF($F1448="","",IFERROR(INDEX(rngEPtype,MATCH($F1448,rngEPcode,0)),"?"))</f>
        <v/>
      </c>
      <c r="I1448" s="17">
        <f>IF($F1448="","",IFERROR(INDEX(rngEPseq,MATCH($F1448,rngEPcode,0)),""))</f>
        <v/>
      </c>
      <c r="J1448" s="17">
        <f>IF($F1448="","",IFERROR(INDEX(rngEPpass,MATCH($F1448,rngEPcode,0)),cfgPassingScore))</f>
        <v/>
      </c>
      <c r="K1448" s="16" t="n"/>
      <c r="L1448" s="16" t="n"/>
      <c r="M1448" s="17">
        <f>IF($C1448="","",IF($L1448="","",IF(NOT(ISNUMBER($L1448)),$L1448,IF(N($K1448)&gt;2,"",IF($K1448=1,IF(COUNTIFS(nrES_PID,$D1448,nrES_Code,$F1448,nrES_Att,2,nrES_Raw,"&gt;=0")&gt;0,"",$L1448),IF($L1448&gt;=$J1448,MAX($J1448,cfgRetakeRecordedCap),IF(COUNTIFS(nrES_PID,$D1448,nrES_Code,$F1448,nrES_Att,1)=0,$L1448,SUMIFS(nrES_Raw,nrES_PID,$D1448,nrES_Code,$F1448,nrES_Att,1))))))))</f>
        <v/>
      </c>
      <c r="N1448" s="17">
        <f>IF($C1448="","",IF($L1448="","",IF(NOT(ISNUMBER($L1448)),"(not a score)",IF($L1448&gt;=$J1448,"Yes","No"))))</f>
        <v/>
      </c>
      <c r="O1448" s="17">
        <f>IF($C1448="","",IF($M1448="","",IF(NOT(ISNUMBER($M1448)),"(not a score)",IF($M1448&gt;=$J1448,"Yes","No"))))</f>
        <v/>
      </c>
      <c r="P1448" s="17">
        <f>IF($C1448="","",IF($K1448="","",IF(N($K1448)&gt;2,"No",IF(COUNTIFS(nrES_PID,$D1448,nrES_Code,$F1448,nrES_Att,"&gt;"&amp;$K1448,nrES_Att,"&lt;=2",nrES_Raw,"&gt;=0")=0,"Yes","No"))))</f>
        <v/>
      </c>
      <c r="Q1448" s="17">
        <f>IF($C1448="","",IF($L1448="","",IF(AND($K1448=1,ISNUMBER($L1448),$L1448&lt;$J1448,COUNTIFS(nrES_PID,$D1448,nrES_Code,$F1448,nrES_Att,2,nrES_Raw,"&gt;=0")=0),"Yes","No")))</f>
        <v/>
      </c>
      <c r="R1448" s="17">
        <f>IF($C1448="","",IF($L1448="","",IF(AND(N($K1448)&gt;=2,ISNUMBER($L1448),$L1448&lt;$J1448),"Yes","No")))</f>
        <v/>
      </c>
      <c r="S1448" s="18" t="n"/>
      <c r="T1448" s="19">
        <f>IF(OR($C1448="",$L1448="",$K1448&lt;&gt;1,NOT(ISNUMBER($L1448)),$L1448&gt;=$J1448),"",IF($S1448="","(enter date)",_xlfn.LET(_xlpm.dn,_xlfn.XLOOKUP($S1448,nrCDdate,nrCDnum,"",1),IF(_xlpm.dn="","(after last class day)",_xlfn.LET(_xlpm.dd,_xlfn.XLOOKUP(_xlpm.dn+cfgRetestClassDays,nrCDnum,nrCDdate,""),_xlpm.ok,_xlfn.XLOOKUP(_xlpm.dn+cfgRetestClassDays,nrCDnum,nrCDinsession,"No"),IF(OR(_xlpm.dd="",_xlpm.ok&lt;&gt;"Yes"),"(after last class day)",_xlpm.dd))))))</f>
        <v/>
      </c>
      <c r="U1448" s="17">
        <f>IF($C1448="","",IF(AND($Y1448="Excused",$L1448="",N($K1448)&lt;=1),"EXCUSED - 1st attempt pending",IF(OR($L1448="",$K1448&lt;&gt;1,NOT(ISNUMBER($L1448)),$L1448&gt;=$J1448),"",IF(COUNTIFS(nrES_PID,$D1448,nrES_Code,$F1448,nrES_Att,2,nrES_Raw,"&gt;=0")&gt;0,IF(IFERROR(_xlfn.MINIFS(nrES_Date,nrES_PID,$D1448,nrES_Code,$F1448,nrES_Att,2,nrES_Raw,"&gt;=0",nrES_Date,"&gt;0"),0)=0,"RETEST UNDATED",IF(NOT(ISNUMBER($T1448)),"RETEST DATE UNCHECKED",IF(_xlfn.MINIFS(nrES_Date,nrES_PID,$D1448,nrES_Code,$F1448,nrES_Att,2,nrES_Raw,"&gt;=0",nrES_Date,"&gt;0")&gt;$T1448,"LATE RETEST "&amp;TEXT(_xlfn.MINIFS(nrES_Date,nrES_PID,$D1448,nrES_Code,$F1448,nrES_Att,2,nrES_Raw,"&gt;=0",nrES_Date,"&gt;0"),"mm/dd")&amp;" (due "&amp;TEXT($T1448,"mm/dd")&amp;")","Retested"))),IF(NOT(ISNUMBER($T1448)),"CHECK DATE",IF(TODAY()&gt;$T1448,"OVERDUE","Due "&amp;TEXT($T1448,"mm/dd")))))))</f>
        <v/>
      </c>
      <c r="V1448" s="16" t="n"/>
      <c r="W1448" s="16" t="n"/>
      <c r="X1448" s="17">
        <f>IF($C1448="","",IF(AND($L1448&lt;&gt;"",NOT(ISNUMBER($L1448))),"RAW SCORE NOT A NUMBER",IF(AND(ISNUMBER($L1448),OR($L1448&lt;0,$L1448&gt;100)),"RAW SCORE OUT OF RANGE",IF(AND($Y1448="Unexcused",OR($L1448="",NOT(ISNUMBER($L1448)),$L1448&lt;&gt;0)),"UNEXCUSED ABSENCE MUST RECORD 0",IF(COUNTIF(nrES_RecID,$B1448)&gt;1,"DUPLICATE RECORD",IF(N($K1448)&gt;2,"ATTEMPT 3+ NOT ALLOWED - policy 300.5 permits one retest per exam; this row records nothing",IF(AND($K1448=2,COUNTIFS(nrES_PID,$D1448,nrES_Code,$F1448,nrES_Att,1)=0),"ATTEMPT 2 WITHOUT ATTEMPT 1",IF(AND($K1448=2,$L1448=""),"RETEST ROW HAS NO SCORE",IF(AND($H1448="Final",$L1448&lt;&gt;"",IFERROR(INDEX(nrCKfinalExamElig,MATCH($D1448,rngCadetPIDs,0)),"")="No"),"FINAL EXAM AFTER FAILED FINAL PT (500.1.H)",IF(AND($K1448=2,ISNUMBER($L1448),COUNTIFS(nrES_PID,$D1448,nrES_Code,$F1448,nrES_Att,1)&gt;0,SUMIFS(nrES_Raw,nrES_PID,$D1448,nrES_Code,$F1448,nrES_Att,1)&gt;=$J1448),"RETEST AFTER A PASSING FIRST ATTEMPT","OK"))))))))))</f>
        <v/>
      </c>
      <c r="Y1448" s="16" t="n"/>
    </row>
    <row r="1449">
      <c r="B1449" s="17">
        <f>IF($C1449="","",$D1449&amp;"-"&amp;$F1449&amp;"-"&amp;$K1449)</f>
        <v/>
      </c>
      <c r="C1449" s="16" t="n"/>
      <c r="D1449" s="17">
        <f>IF($C1449="","",IFERROR(INDEX(rngCadetPIDs,MATCH($C1449,rngCadetNames,0)),"?"))</f>
        <v/>
      </c>
      <c r="E1449" s="17">
        <f>IF($D1449="","",IFERROR(INDEX(nrCadetAgency,MATCH($D1449,rngCadetPIDs,0)),""))</f>
        <v/>
      </c>
      <c r="F1449" s="16" t="n"/>
      <c r="G1449" s="17">
        <f>IF($F1449="","",IFERROR(INDEX(rngEPname,MATCH($F1449,rngEPcode,0)),"?"))</f>
        <v/>
      </c>
      <c r="H1449" s="17">
        <f>IF($F1449="","",IFERROR(INDEX(rngEPtype,MATCH($F1449,rngEPcode,0)),"?"))</f>
        <v/>
      </c>
      <c r="I1449" s="17">
        <f>IF($F1449="","",IFERROR(INDEX(rngEPseq,MATCH($F1449,rngEPcode,0)),""))</f>
        <v/>
      </c>
      <c r="J1449" s="17">
        <f>IF($F1449="","",IFERROR(INDEX(rngEPpass,MATCH($F1449,rngEPcode,0)),cfgPassingScore))</f>
        <v/>
      </c>
      <c r="K1449" s="16" t="n"/>
      <c r="L1449" s="16" t="n"/>
      <c r="M1449" s="17">
        <f>IF($C1449="","",IF($L1449="","",IF(NOT(ISNUMBER($L1449)),$L1449,IF(N($K1449)&gt;2,"",IF($K1449=1,IF(COUNTIFS(nrES_PID,$D1449,nrES_Code,$F1449,nrES_Att,2,nrES_Raw,"&gt;=0")&gt;0,"",$L1449),IF($L1449&gt;=$J1449,MAX($J1449,cfgRetakeRecordedCap),IF(COUNTIFS(nrES_PID,$D1449,nrES_Code,$F1449,nrES_Att,1)=0,$L1449,SUMIFS(nrES_Raw,nrES_PID,$D1449,nrES_Code,$F1449,nrES_Att,1))))))))</f>
        <v/>
      </c>
      <c r="N1449" s="17">
        <f>IF($C1449="","",IF($L1449="","",IF(NOT(ISNUMBER($L1449)),"(not a score)",IF($L1449&gt;=$J1449,"Yes","No"))))</f>
        <v/>
      </c>
      <c r="O1449" s="17">
        <f>IF($C1449="","",IF($M1449="","",IF(NOT(ISNUMBER($M1449)),"(not a score)",IF($M1449&gt;=$J1449,"Yes","No"))))</f>
        <v/>
      </c>
      <c r="P1449" s="17">
        <f>IF($C1449="","",IF($K1449="","",IF(N($K1449)&gt;2,"No",IF(COUNTIFS(nrES_PID,$D1449,nrES_Code,$F1449,nrES_Att,"&gt;"&amp;$K1449,nrES_Att,"&lt;=2",nrES_Raw,"&gt;=0")=0,"Yes","No"))))</f>
        <v/>
      </c>
      <c r="Q1449" s="17">
        <f>IF($C1449="","",IF($L1449="","",IF(AND($K1449=1,ISNUMBER($L1449),$L1449&lt;$J1449,COUNTIFS(nrES_PID,$D1449,nrES_Code,$F1449,nrES_Att,2,nrES_Raw,"&gt;=0")=0),"Yes","No")))</f>
        <v/>
      </c>
      <c r="R1449" s="17">
        <f>IF($C1449="","",IF($L1449="","",IF(AND(N($K1449)&gt;=2,ISNUMBER($L1449),$L1449&lt;$J1449),"Yes","No")))</f>
        <v/>
      </c>
      <c r="S1449" s="18" t="n"/>
      <c r="T1449" s="19">
        <f>IF(OR($C1449="",$L1449="",$K1449&lt;&gt;1,NOT(ISNUMBER($L1449)),$L1449&gt;=$J1449),"",IF($S1449="","(enter date)",_xlfn.LET(_xlpm.dn,_xlfn.XLOOKUP($S1449,nrCDdate,nrCDnum,"",1),IF(_xlpm.dn="","(after last class day)",_xlfn.LET(_xlpm.dd,_xlfn.XLOOKUP(_xlpm.dn+cfgRetestClassDays,nrCDnum,nrCDdate,""),_xlpm.ok,_xlfn.XLOOKUP(_xlpm.dn+cfgRetestClassDays,nrCDnum,nrCDinsession,"No"),IF(OR(_xlpm.dd="",_xlpm.ok&lt;&gt;"Yes"),"(after last class day)",_xlpm.dd))))))</f>
        <v/>
      </c>
      <c r="U1449" s="17">
        <f>IF($C1449="","",IF(AND($Y1449="Excused",$L1449="",N($K1449)&lt;=1),"EXCUSED - 1st attempt pending",IF(OR($L1449="",$K1449&lt;&gt;1,NOT(ISNUMBER($L1449)),$L1449&gt;=$J1449),"",IF(COUNTIFS(nrES_PID,$D1449,nrES_Code,$F1449,nrES_Att,2,nrES_Raw,"&gt;=0")&gt;0,IF(IFERROR(_xlfn.MINIFS(nrES_Date,nrES_PID,$D1449,nrES_Code,$F1449,nrES_Att,2,nrES_Raw,"&gt;=0",nrES_Date,"&gt;0"),0)=0,"RETEST UNDATED",IF(NOT(ISNUMBER($T1449)),"RETEST DATE UNCHECKED",IF(_xlfn.MINIFS(nrES_Date,nrES_PID,$D1449,nrES_Code,$F1449,nrES_Att,2,nrES_Raw,"&gt;=0",nrES_Date,"&gt;0")&gt;$T1449,"LATE RETEST "&amp;TEXT(_xlfn.MINIFS(nrES_Date,nrES_PID,$D1449,nrES_Code,$F1449,nrES_Att,2,nrES_Raw,"&gt;=0",nrES_Date,"&gt;0"),"mm/dd")&amp;" (due "&amp;TEXT($T1449,"mm/dd")&amp;")","Retested"))),IF(NOT(ISNUMBER($T1449)),"CHECK DATE",IF(TODAY()&gt;$T1449,"OVERDUE","Due "&amp;TEXT($T1449,"mm/dd")))))))</f>
        <v/>
      </c>
      <c r="V1449" s="16" t="n"/>
      <c r="W1449" s="16" t="n"/>
      <c r="X1449" s="17">
        <f>IF($C1449="","",IF(AND($L1449&lt;&gt;"",NOT(ISNUMBER($L1449))),"RAW SCORE NOT A NUMBER",IF(AND(ISNUMBER($L1449),OR($L1449&lt;0,$L1449&gt;100)),"RAW SCORE OUT OF RANGE",IF(AND($Y1449="Unexcused",OR($L1449="",NOT(ISNUMBER($L1449)),$L1449&lt;&gt;0)),"UNEXCUSED ABSENCE MUST RECORD 0",IF(COUNTIF(nrES_RecID,$B1449)&gt;1,"DUPLICATE RECORD",IF(N($K1449)&gt;2,"ATTEMPT 3+ NOT ALLOWED - policy 300.5 permits one retest per exam; this row records nothing",IF(AND($K1449=2,COUNTIFS(nrES_PID,$D1449,nrES_Code,$F1449,nrES_Att,1)=0),"ATTEMPT 2 WITHOUT ATTEMPT 1",IF(AND($K1449=2,$L1449=""),"RETEST ROW HAS NO SCORE",IF(AND($H1449="Final",$L1449&lt;&gt;"",IFERROR(INDEX(nrCKfinalExamElig,MATCH($D1449,rngCadetPIDs,0)),"")="No"),"FINAL EXAM AFTER FAILED FINAL PT (500.1.H)",IF(AND($K1449=2,ISNUMBER($L1449),COUNTIFS(nrES_PID,$D1449,nrES_Code,$F1449,nrES_Att,1)&gt;0,SUMIFS(nrES_Raw,nrES_PID,$D1449,nrES_Code,$F1449,nrES_Att,1)&gt;=$J1449),"RETEST AFTER A PASSING FIRST ATTEMPT","OK"))))))))))</f>
        <v/>
      </c>
      <c r="Y1449" s="16" t="n"/>
    </row>
    <row r="1450">
      <c r="B1450" s="17">
        <f>IF($C1450="","",$D1450&amp;"-"&amp;$F1450&amp;"-"&amp;$K1450)</f>
        <v/>
      </c>
      <c r="C1450" s="16" t="n"/>
      <c r="D1450" s="17">
        <f>IF($C1450="","",IFERROR(INDEX(rngCadetPIDs,MATCH($C1450,rngCadetNames,0)),"?"))</f>
        <v/>
      </c>
      <c r="E1450" s="17">
        <f>IF($D1450="","",IFERROR(INDEX(nrCadetAgency,MATCH($D1450,rngCadetPIDs,0)),""))</f>
        <v/>
      </c>
      <c r="F1450" s="16" t="n"/>
      <c r="G1450" s="17">
        <f>IF($F1450="","",IFERROR(INDEX(rngEPname,MATCH($F1450,rngEPcode,0)),"?"))</f>
        <v/>
      </c>
      <c r="H1450" s="17">
        <f>IF($F1450="","",IFERROR(INDEX(rngEPtype,MATCH($F1450,rngEPcode,0)),"?"))</f>
        <v/>
      </c>
      <c r="I1450" s="17">
        <f>IF($F1450="","",IFERROR(INDEX(rngEPseq,MATCH($F1450,rngEPcode,0)),""))</f>
        <v/>
      </c>
      <c r="J1450" s="17">
        <f>IF($F1450="","",IFERROR(INDEX(rngEPpass,MATCH($F1450,rngEPcode,0)),cfgPassingScore))</f>
        <v/>
      </c>
      <c r="K1450" s="16" t="n"/>
      <c r="L1450" s="16" t="n"/>
      <c r="M1450" s="17">
        <f>IF($C1450="","",IF($L1450="","",IF(NOT(ISNUMBER($L1450)),$L1450,IF(N($K1450)&gt;2,"",IF($K1450=1,IF(COUNTIFS(nrES_PID,$D1450,nrES_Code,$F1450,nrES_Att,2,nrES_Raw,"&gt;=0")&gt;0,"",$L1450),IF($L1450&gt;=$J1450,MAX($J1450,cfgRetakeRecordedCap),IF(COUNTIFS(nrES_PID,$D1450,nrES_Code,$F1450,nrES_Att,1)=0,$L1450,SUMIFS(nrES_Raw,nrES_PID,$D1450,nrES_Code,$F1450,nrES_Att,1))))))))</f>
        <v/>
      </c>
      <c r="N1450" s="17">
        <f>IF($C1450="","",IF($L1450="","",IF(NOT(ISNUMBER($L1450)),"(not a score)",IF($L1450&gt;=$J1450,"Yes","No"))))</f>
        <v/>
      </c>
      <c r="O1450" s="17">
        <f>IF($C1450="","",IF($M1450="","",IF(NOT(ISNUMBER($M1450)),"(not a score)",IF($M1450&gt;=$J1450,"Yes","No"))))</f>
        <v/>
      </c>
      <c r="P1450" s="17">
        <f>IF($C1450="","",IF($K1450="","",IF(N($K1450)&gt;2,"No",IF(COUNTIFS(nrES_PID,$D1450,nrES_Code,$F1450,nrES_Att,"&gt;"&amp;$K1450,nrES_Att,"&lt;=2",nrES_Raw,"&gt;=0")=0,"Yes","No"))))</f>
        <v/>
      </c>
      <c r="Q1450" s="17">
        <f>IF($C1450="","",IF($L1450="","",IF(AND($K1450=1,ISNUMBER($L1450),$L1450&lt;$J1450,COUNTIFS(nrES_PID,$D1450,nrES_Code,$F1450,nrES_Att,2,nrES_Raw,"&gt;=0")=0),"Yes","No")))</f>
        <v/>
      </c>
      <c r="R1450" s="17">
        <f>IF($C1450="","",IF($L1450="","",IF(AND(N($K1450)&gt;=2,ISNUMBER($L1450),$L1450&lt;$J1450),"Yes","No")))</f>
        <v/>
      </c>
      <c r="S1450" s="18" t="n"/>
      <c r="T1450" s="19">
        <f>IF(OR($C1450="",$L1450="",$K1450&lt;&gt;1,NOT(ISNUMBER($L1450)),$L1450&gt;=$J1450),"",IF($S1450="","(enter date)",_xlfn.LET(_xlpm.dn,_xlfn.XLOOKUP($S1450,nrCDdate,nrCDnum,"",1),IF(_xlpm.dn="","(after last class day)",_xlfn.LET(_xlpm.dd,_xlfn.XLOOKUP(_xlpm.dn+cfgRetestClassDays,nrCDnum,nrCDdate,""),_xlpm.ok,_xlfn.XLOOKUP(_xlpm.dn+cfgRetestClassDays,nrCDnum,nrCDinsession,"No"),IF(OR(_xlpm.dd="",_xlpm.ok&lt;&gt;"Yes"),"(after last class day)",_xlpm.dd))))))</f>
        <v/>
      </c>
      <c r="U1450" s="17">
        <f>IF($C1450="","",IF(AND($Y1450="Excused",$L1450="",N($K1450)&lt;=1),"EXCUSED - 1st attempt pending",IF(OR($L1450="",$K1450&lt;&gt;1,NOT(ISNUMBER($L1450)),$L1450&gt;=$J1450),"",IF(COUNTIFS(nrES_PID,$D1450,nrES_Code,$F1450,nrES_Att,2,nrES_Raw,"&gt;=0")&gt;0,IF(IFERROR(_xlfn.MINIFS(nrES_Date,nrES_PID,$D1450,nrES_Code,$F1450,nrES_Att,2,nrES_Raw,"&gt;=0",nrES_Date,"&gt;0"),0)=0,"RETEST UNDATED",IF(NOT(ISNUMBER($T1450)),"RETEST DATE UNCHECKED",IF(_xlfn.MINIFS(nrES_Date,nrES_PID,$D1450,nrES_Code,$F1450,nrES_Att,2,nrES_Raw,"&gt;=0",nrES_Date,"&gt;0")&gt;$T1450,"LATE RETEST "&amp;TEXT(_xlfn.MINIFS(nrES_Date,nrES_PID,$D1450,nrES_Code,$F1450,nrES_Att,2,nrES_Raw,"&gt;=0",nrES_Date,"&gt;0"),"mm/dd")&amp;" (due "&amp;TEXT($T1450,"mm/dd")&amp;")","Retested"))),IF(NOT(ISNUMBER($T1450)),"CHECK DATE",IF(TODAY()&gt;$T1450,"OVERDUE","Due "&amp;TEXT($T1450,"mm/dd")))))))</f>
        <v/>
      </c>
      <c r="V1450" s="16" t="n"/>
      <c r="W1450" s="16" t="n"/>
      <c r="X1450" s="17">
        <f>IF($C1450="","",IF(AND($L1450&lt;&gt;"",NOT(ISNUMBER($L1450))),"RAW SCORE NOT A NUMBER",IF(AND(ISNUMBER($L1450),OR($L1450&lt;0,$L1450&gt;100)),"RAW SCORE OUT OF RANGE",IF(AND($Y1450="Unexcused",OR($L1450="",NOT(ISNUMBER($L1450)),$L1450&lt;&gt;0)),"UNEXCUSED ABSENCE MUST RECORD 0",IF(COUNTIF(nrES_RecID,$B1450)&gt;1,"DUPLICATE RECORD",IF(N($K1450)&gt;2,"ATTEMPT 3+ NOT ALLOWED - policy 300.5 permits one retest per exam; this row records nothing",IF(AND($K1450=2,COUNTIFS(nrES_PID,$D1450,nrES_Code,$F1450,nrES_Att,1)=0),"ATTEMPT 2 WITHOUT ATTEMPT 1",IF(AND($K1450=2,$L1450=""),"RETEST ROW HAS NO SCORE",IF(AND($H1450="Final",$L1450&lt;&gt;"",IFERROR(INDEX(nrCKfinalExamElig,MATCH($D1450,rngCadetPIDs,0)),"")="No"),"FINAL EXAM AFTER FAILED FINAL PT (500.1.H)",IF(AND($K1450=2,ISNUMBER($L1450),COUNTIFS(nrES_PID,$D1450,nrES_Code,$F1450,nrES_Att,1)&gt;0,SUMIFS(nrES_Raw,nrES_PID,$D1450,nrES_Code,$F1450,nrES_Att,1)&gt;=$J1450),"RETEST AFTER A PASSING FIRST ATTEMPT","OK"))))))))))</f>
        <v/>
      </c>
      <c r="Y1450" s="16" t="n"/>
    </row>
    <row r="1451">
      <c r="B1451" s="17">
        <f>IF($C1451="","",$D1451&amp;"-"&amp;$F1451&amp;"-"&amp;$K1451)</f>
        <v/>
      </c>
      <c r="C1451" s="16" t="n"/>
      <c r="D1451" s="17">
        <f>IF($C1451="","",IFERROR(INDEX(rngCadetPIDs,MATCH($C1451,rngCadetNames,0)),"?"))</f>
        <v/>
      </c>
      <c r="E1451" s="17">
        <f>IF($D1451="","",IFERROR(INDEX(nrCadetAgency,MATCH($D1451,rngCadetPIDs,0)),""))</f>
        <v/>
      </c>
      <c r="F1451" s="16" t="n"/>
      <c r="G1451" s="17">
        <f>IF($F1451="","",IFERROR(INDEX(rngEPname,MATCH($F1451,rngEPcode,0)),"?"))</f>
        <v/>
      </c>
      <c r="H1451" s="17">
        <f>IF($F1451="","",IFERROR(INDEX(rngEPtype,MATCH($F1451,rngEPcode,0)),"?"))</f>
        <v/>
      </c>
      <c r="I1451" s="17">
        <f>IF($F1451="","",IFERROR(INDEX(rngEPseq,MATCH($F1451,rngEPcode,0)),""))</f>
        <v/>
      </c>
      <c r="J1451" s="17">
        <f>IF($F1451="","",IFERROR(INDEX(rngEPpass,MATCH($F1451,rngEPcode,0)),cfgPassingScore))</f>
        <v/>
      </c>
      <c r="K1451" s="16" t="n"/>
      <c r="L1451" s="16" t="n"/>
      <c r="M1451" s="17">
        <f>IF($C1451="","",IF($L1451="","",IF(NOT(ISNUMBER($L1451)),$L1451,IF(N($K1451)&gt;2,"",IF($K1451=1,IF(COUNTIFS(nrES_PID,$D1451,nrES_Code,$F1451,nrES_Att,2,nrES_Raw,"&gt;=0")&gt;0,"",$L1451),IF($L1451&gt;=$J1451,MAX($J1451,cfgRetakeRecordedCap),IF(COUNTIFS(nrES_PID,$D1451,nrES_Code,$F1451,nrES_Att,1)=0,$L1451,SUMIFS(nrES_Raw,nrES_PID,$D1451,nrES_Code,$F1451,nrES_Att,1))))))))</f>
        <v/>
      </c>
      <c r="N1451" s="17">
        <f>IF($C1451="","",IF($L1451="","",IF(NOT(ISNUMBER($L1451)),"(not a score)",IF($L1451&gt;=$J1451,"Yes","No"))))</f>
        <v/>
      </c>
      <c r="O1451" s="17">
        <f>IF($C1451="","",IF($M1451="","",IF(NOT(ISNUMBER($M1451)),"(not a score)",IF($M1451&gt;=$J1451,"Yes","No"))))</f>
        <v/>
      </c>
      <c r="P1451" s="17">
        <f>IF($C1451="","",IF($K1451="","",IF(N($K1451)&gt;2,"No",IF(COUNTIFS(nrES_PID,$D1451,nrES_Code,$F1451,nrES_Att,"&gt;"&amp;$K1451,nrES_Att,"&lt;=2",nrES_Raw,"&gt;=0")=0,"Yes","No"))))</f>
        <v/>
      </c>
      <c r="Q1451" s="17">
        <f>IF($C1451="","",IF($L1451="","",IF(AND($K1451=1,ISNUMBER($L1451),$L1451&lt;$J1451,COUNTIFS(nrES_PID,$D1451,nrES_Code,$F1451,nrES_Att,2,nrES_Raw,"&gt;=0")=0),"Yes","No")))</f>
        <v/>
      </c>
      <c r="R1451" s="17">
        <f>IF($C1451="","",IF($L1451="","",IF(AND(N($K1451)&gt;=2,ISNUMBER($L1451),$L1451&lt;$J1451),"Yes","No")))</f>
        <v/>
      </c>
      <c r="S1451" s="18" t="n"/>
      <c r="T1451" s="19">
        <f>IF(OR($C1451="",$L1451="",$K1451&lt;&gt;1,NOT(ISNUMBER($L1451)),$L1451&gt;=$J1451),"",IF($S1451="","(enter date)",_xlfn.LET(_xlpm.dn,_xlfn.XLOOKUP($S1451,nrCDdate,nrCDnum,"",1),IF(_xlpm.dn="","(after last class day)",_xlfn.LET(_xlpm.dd,_xlfn.XLOOKUP(_xlpm.dn+cfgRetestClassDays,nrCDnum,nrCDdate,""),_xlpm.ok,_xlfn.XLOOKUP(_xlpm.dn+cfgRetestClassDays,nrCDnum,nrCDinsession,"No"),IF(OR(_xlpm.dd="",_xlpm.ok&lt;&gt;"Yes"),"(after last class day)",_xlpm.dd))))))</f>
        <v/>
      </c>
      <c r="U1451" s="17">
        <f>IF($C1451="","",IF(AND($Y1451="Excused",$L1451="",N($K1451)&lt;=1),"EXCUSED - 1st attempt pending",IF(OR($L1451="",$K1451&lt;&gt;1,NOT(ISNUMBER($L1451)),$L1451&gt;=$J1451),"",IF(COUNTIFS(nrES_PID,$D1451,nrES_Code,$F1451,nrES_Att,2,nrES_Raw,"&gt;=0")&gt;0,IF(IFERROR(_xlfn.MINIFS(nrES_Date,nrES_PID,$D1451,nrES_Code,$F1451,nrES_Att,2,nrES_Raw,"&gt;=0",nrES_Date,"&gt;0"),0)=0,"RETEST UNDATED",IF(NOT(ISNUMBER($T1451)),"RETEST DATE UNCHECKED",IF(_xlfn.MINIFS(nrES_Date,nrES_PID,$D1451,nrES_Code,$F1451,nrES_Att,2,nrES_Raw,"&gt;=0",nrES_Date,"&gt;0")&gt;$T1451,"LATE RETEST "&amp;TEXT(_xlfn.MINIFS(nrES_Date,nrES_PID,$D1451,nrES_Code,$F1451,nrES_Att,2,nrES_Raw,"&gt;=0",nrES_Date,"&gt;0"),"mm/dd")&amp;" (due "&amp;TEXT($T1451,"mm/dd")&amp;")","Retested"))),IF(NOT(ISNUMBER($T1451)),"CHECK DATE",IF(TODAY()&gt;$T1451,"OVERDUE","Due "&amp;TEXT($T1451,"mm/dd")))))))</f>
        <v/>
      </c>
      <c r="V1451" s="16" t="n"/>
      <c r="W1451" s="16" t="n"/>
      <c r="X1451" s="17">
        <f>IF($C1451="","",IF(AND($L1451&lt;&gt;"",NOT(ISNUMBER($L1451))),"RAW SCORE NOT A NUMBER",IF(AND(ISNUMBER($L1451),OR($L1451&lt;0,$L1451&gt;100)),"RAW SCORE OUT OF RANGE",IF(AND($Y1451="Unexcused",OR($L1451="",NOT(ISNUMBER($L1451)),$L1451&lt;&gt;0)),"UNEXCUSED ABSENCE MUST RECORD 0",IF(COUNTIF(nrES_RecID,$B1451)&gt;1,"DUPLICATE RECORD",IF(N($K1451)&gt;2,"ATTEMPT 3+ NOT ALLOWED - policy 300.5 permits one retest per exam; this row records nothing",IF(AND($K1451=2,COUNTIFS(nrES_PID,$D1451,nrES_Code,$F1451,nrES_Att,1)=0),"ATTEMPT 2 WITHOUT ATTEMPT 1",IF(AND($K1451=2,$L1451=""),"RETEST ROW HAS NO SCORE",IF(AND($H1451="Final",$L1451&lt;&gt;"",IFERROR(INDEX(nrCKfinalExamElig,MATCH($D1451,rngCadetPIDs,0)),"")="No"),"FINAL EXAM AFTER FAILED FINAL PT (500.1.H)",IF(AND($K1451=2,ISNUMBER($L1451),COUNTIFS(nrES_PID,$D1451,nrES_Code,$F1451,nrES_Att,1)&gt;0,SUMIFS(nrES_Raw,nrES_PID,$D1451,nrES_Code,$F1451,nrES_Att,1)&gt;=$J1451),"RETEST AFTER A PASSING FIRST ATTEMPT","OK"))))))))))</f>
        <v/>
      </c>
      <c r="Y1451" s="16" t="n"/>
    </row>
    <row r="1452">
      <c r="B1452" s="17">
        <f>IF($C1452="","",$D1452&amp;"-"&amp;$F1452&amp;"-"&amp;$K1452)</f>
        <v/>
      </c>
      <c r="C1452" s="16" t="n"/>
      <c r="D1452" s="17">
        <f>IF($C1452="","",IFERROR(INDEX(rngCadetPIDs,MATCH($C1452,rngCadetNames,0)),"?"))</f>
        <v/>
      </c>
      <c r="E1452" s="17">
        <f>IF($D1452="","",IFERROR(INDEX(nrCadetAgency,MATCH($D1452,rngCadetPIDs,0)),""))</f>
        <v/>
      </c>
      <c r="F1452" s="16" t="n"/>
      <c r="G1452" s="17">
        <f>IF($F1452="","",IFERROR(INDEX(rngEPname,MATCH($F1452,rngEPcode,0)),"?"))</f>
        <v/>
      </c>
      <c r="H1452" s="17">
        <f>IF($F1452="","",IFERROR(INDEX(rngEPtype,MATCH($F1452,rngEPcode,0)),"?"))</f>
        <v/>
      </c>
      <c r="I1452" s="17">
        <f>IF($F1452="","",IFERROR(INDEX(rngEPseq,MATCH($F1452,rngEPcode,0)),""))</f>
        <v/>
      </c>
      <c r="J1452" s="17">
        <f>IF($F1452="","",IFERROR(INDEX(rngEPpass,MATCH($F1452,rngEPcode,0)),cfgPassingScore))</f>
        <v/>
      </c>
      <c r="K1452" s="16" t="n"/>
      <c r="L1452" s="16" t="n"/>
      <c r="M1452" s="17">
        <f>IF($C1452="","",IF($L1452="","",IF(NOT(ISNUMBER($L1452)),$L1452,IF(N($K1452)&gt;2,"",IF($K1452=1,IF(COUNTIFS(nrES_PID,$D1452,nrES_Code,$F1452,nrES_Att,2,nrES_Raw,"&gt;=0")&gt;0,"",$L1452),IF($L1452&gt;=$J1452,MAX($J1452,cfgRetakeRecordedCap),IF(COUNTIFS(nrES_PID,$D1452,nrES_Code,$F1452,nrES_Att,1)=0,$L1452,SUMIFS(nrES_Raw,nrES_PID,$D1452,nrES_Code,$F1452,nrES_Att,1))))))))</f>
        <v/>
      </c>
      <c r="N1452" s="17">
        <f>IF($C1452="","",IF($L1452="","",IF(NOT(ISNUMBER($L1452)),"(not a score)",IF($L1452&gt;=$J1452,"Yes","No"))))</f>
        <v/>
      </c>
      <c r="O1452" s="17">
        <f>IF($C1452="","",IF($M1452="","",IF(NOT(ISNUMBER($M1452)),"(not a score)",IF($M1452&gt;=$J1452,"Yes","No"))))</f>
        <v/>
      </c>
      <c r="P1452" s="17">
        <f>IF($C1452="","",IF($K1452="","",IF(N($K1452)&gt;2,"No",IF(COUNTIFS(nrES_PID,$D1452,nrES_Code,$F1452,nrES_Att,"&gt;"&amp;$K1452,nrES_Att,"&lt;=2",nrES_Raw,"&gt;=0")=0,"Yes","No"))))</f>
        <v/>
      </c>
      <c r="Q1452" s="17">
        <f>IF($C1452="","",IF($L1452="","",IF(AND($K1452=1,ISNUMBER($L1452),$L1452&lt;$J1452,COUNTIFS(nrES_PID,$D1452,nrES_Code,$F1452,nrES_Att,2,nrES_Raw,"&gt;=0")=0),"Yes","No")))</f>
        <v/>
      </c>
      <c r="R1452" s="17">
        <f>IF($C1452="","",IF($L1452="","",IF(AND(N($K1452)&gt;=2,ISNUMBER($L1452),$L1452&lt;$J1452),"Yes","No")))</f>
        <v/>
      </c>
      <c r="S1452" s="18" t="n"/>
      <c r="T1452" s="19">
        <f>IF(OR($C1452="",$L1452="",$K1452&lt;&gt;1,NOT(ISNUMBER($L1452)),$L1452&gt;=$J1452),"",IF($S1452="","(enter date)",_xlfn.LET(_xlpm.dn,_xlfn.XLOOKUP($S1452,nrCDdate,nrCDnum,"",1),IF(_xlpm.dn="","(after last class day)",_xlfn.LET(_xlpm.dd,_xlfn.XLOOKUP(_xlpm.dn+cfgRetestClassDays,nrCDnum,nrCDdate,""),_xlpm.ok,_xlfn.XLOOKUP(_xlpm.dn+cfgRetestClassDays,nrCDnum,nrCDinsession,"No"),IF(OR(_xlpm.dd="",_xlpm.ok&lt;&gt;"Yes"),"(after last class day)",_xlpm.dd))))))</f>
        <v/>
      </c>
      <c r="U1452" s="17">
        <f>IF($C1452="","",IF(AND($Y1452="Excused",$L1452="",N($K1452)&lt;=1),"EXCUSED - 1st attempt pending",IF(OR($L1452="",$K1452&lt;&gt;1,NOT(ISNUMBER($L1452)),$L1452&gt;=$J1452),"",IF(COUNTIFS(nrES_PID,$D1452,nrES_Code,$F1452,nrES_Att,2,nrES_Raw,"&gt;=0")&gt;0,IF(IFERROR(_xlfn.MINIFS(nrES_Date,nrES_PID,$D1452,nrES_Code,$F1452,nrES_Att,2,nrES_Raw,"&gt;=0",nrES_Date,"&gt;0"),0)=0,"RETEST UNDATED",IF(NOT(ISNUMBER($T1452)),"RETEST DATE UNCHECKED",IF(_xlfn.MINIFS(nrES_Date,nrES_PID,$D1452,nrES_Code,$F1452,nrES_Att,2,nrES_Raw,"&gt;=0",nrES_Date,"&gt;0")&gt;$T1452,"LATE RETEST "&amp;TEXT(_xlfn.MINIFS(nrES_Date,nrES_PID,$D1452,nrES_Code,$F1452,nrES_Att,2,nrES_Raw,"&gt;=0",nrES_Date,"&gt;0"),"mm/dd")&amp;" (due "&amp;TEXT($T1452,"mm/dd")&amp;")","Retested"))),IF(NOT(ISNUMBER($T1452)),"CHECK DATE",IF(TODAY()&gt;$T1452,"OVERDUE","Due "&amp;TEXT($T1452,"mm/dd")))))))</f>
        <v/>
      </c>
      <c r="V1452" s="16" t="n"/>
      <c r="W1452" s="16" t="n"/>
      <c r="X1452" s="17">
        <f>IF($C1452="","",IF(AND($L1452&lt;&gt;"",NOT(ISNUMBER($L1452))),"RAW SCORE NOT A NUMBER",IF(AND(ISNUMBER($L1452),OR($L1452&lt;0,$L1452&gt;100)),"RAW SCORE OUT OF RANGE",IF(AND($Y1452="Unexcused",OR($L1452="",NOT(ISNUMBER($L1452)),$L1452&lt;&gt;0)),"UNEXCUSED ABSENCE MUST RECORD 0",IF(COUNTIF(nrES_RecID,$B1452)&gt;1,"DUPLICATE RECORD",IF(N($K1452)&gt;2,"ATTEMPT 3+ NOT ALLOWED - policy 300.5 permits one retest per exam; this row records nothing",IF(AND($K1452=2,COUNTIFS(nrES_PID,$D1452,nrES_Code,$F1452,nrES_Att,1)=0),"ATTEMPT 2 WITHOUT ATTEMPT 1",IF(AND($K1452=2,$L1452=""),"RETEST ROW HAS NO SCORE",IF(AND($H1452="Final",$L1452&lt;&gt;"",IFERROR(INDEX(nrCKfinalExamElig,MATCH($D1452,rngCadetPIDs,0)),"")="No"),"FINAL EXAM AFTER FAILED FINAL PT (500.1.H)",IF(AND($K1452=2,ISNUMBER($L1452),COUNTIFS(nrES_PID,$D1452,nrES_Code,$F1452,nrES_Att,1)&gt;0,SUMIFS(nrES_Raw,nrES_PID,$D1452,nrES_Code,$F1452,nrES_Att,1)&gt;=$J1452),"RETEST AFTER A PASSING FIRST ATTEMPT","OK"))))))))))</f>
        <v/>
      </c>
      <c r="Y1452" s="16" t="n"/>
    </row>
    <row r="1453">
      <c r="B1453" s="17">
        <f>IF($C1453="","",$D1453&amp;"-"&amp;$F1453&amp;"-"&amp;$K1453)</f>
        <v/>
      </c>
      <c r="C1453" s="16" t="n"/>
      <c r="D1453" s="17">
        <f>IF($C1453="","",IFERROR(INDEX(rngCadetPIDs,MATCH($C1453,rngCadetNames,0)),"?"))</f>
        <v/>
      </c>
      <c r="E1453" s="17">
        <f>IF($D1453="","",IFERROR(INDEX(nrCadetAgency,MATCH($D1453,rngCadetPIDs,0)),""))</f>
        <v/>
      </c>
      <c r="F1453" s="16" t="n"/>
      <c r="G1453" s="17">
        <f>IF($F1453="","",IFERROR(INDEX(rngEPname,MATCH($F1453,rngEPcode,0)),"?"))</f>
        <v/>
      </c>
      <c r="H1453" s="17">
        <f>IF($F1453="","",IFERROR(INDEX(rngEPtype,MATCH($F1453,rngEPcode,0)),"?"))</f>
        <v/>
      </c>
      <c r="I1453" s="17">
        <f>IF($F1453="","",IFERROR(INDEX(rngEPseq,MATCH($F1453,rngEPcode,0)),""))</f>
        <v/>
      </c>
      <c r="J1453" s="17">
        <f>IF($F1453="","",IFERROR(INDEX(rngEPpass,MATCH($F1453,rngEPcode,0)),cfgPassingScore))</f>
        <v/>
      </c>
      <c r="K1453" s="16" t="n"/>
      <c r="L1453" s="16" t="n"/>
      <c r="M1453" s="17">
        <f>IF($C1453="","",IF($L1453="","",IF(NOT(ISNUMBER($L1453)),$L1453,IF(N($K1453)&gt;2,"",IF($K1453=1,IF(COUNTIFS(nrES_PID,$D1453,nrES_Code,$F1453,nrES_Att,2,nrES_Raw,"&gt;=0")&gt;0,"",$L1453),IF($L1453&gt;=$J1453,MAX($J1453,cfgRetakeRecordedCap),IF(COUNTIFS(nrES_PID,$D1453,nrES_Code,$F1453,nrES_Att,1)=0,$L1453,SUMIFS(nrES_Raw,nrES_PID,$D1453,nrES_Code,$F1453,nrES_Att,1))))))))</f>
        <v/>
      </c>
      <c r="N1453" s="17">
        <f>IF($C1453="","",IF($L1453="","",IF(NOT(ISNUMBER($L1453)),"(not a score)",IF($L1453&gt;=$J1453,"Yes","No"))))</f>
        <v/>
      </c>
      <c r="O1453" s="17">
        <f>IF($C1453="","",IF($M1453="","",IF(NOT(ISNUMBER($M1453)),"(not a score)",IF($M1453&gt;=$J1453,"Yes","No"))))</f>
        <v/>
      </c>
      <c r="P1453" s="17">
        <f>IF($C1453="","",IF($K1453="","",IF(N($K1453)&gt;2,"No",IF(COUNTIFS(nrES_PID,$D1453,nrES_Code,$F1453,nrES_Att,"&gt;"&amp;$K1453,nrES_Att,"&lt;=2",nrES_Raw,"&gt;=0")=0,"Yes","No"))))</f>
        <v/>
      </c>
      <c r="Q1453" s="17">
        <f>IF($C1453="","",IF($L1453="","",IF(AND($K1453=1,ISNUMBER($L1453),$L1453&lt;$J1453,COUNTIFS(nrES_PID,$D1453,nrES_Code,$F1453,nrES_Att,2,nrES_Raw,"&gt;=0")=0),"Yes","No")))</f>
        <v/>
      </c>
      <c r="R1453" s="17">
        <f>IF($C1453="","",IF($L1453="","",IF(AND(N($K1453)&gt;=2,ISNUMBER($L1453),$L1453&lt;$J1453),"Yes","No")))</f>
        <v/>
      </c>
      <c r="S1453" s="18" t="n"/>
      <c r="T1453" s="19">
        <f>IF(OR($C1453="",$L1453="",$K1453&lt;&gt;1,NOT(ISNUMBER($L1453)),$L1453&gt;=$J1453),"",IF($S1453="","(enter date)",_xlfn.LET(_xlpm.dn,_xlfn.XLOOKUP($S1453,nrCDdate,nrCDnum,"",1),IF(_xlpm.dn="","(after last class day)",_xlfn.LET(_xlpm.dd,_xlfn.XLOOKUP(_xlpm.dn+cfgRetestClassDays,nrCDnum,nrCDdate,""),_xlpm.ok,_xlfn.XLOOKUP(_xlpm.dn+cfgRetestClassDays,nrCDnum,nrCDinsession,"No"),IF(OR(_xlpm.dd="",_xlpm.ok&lt;&gt;"Yes"),"(after last class day)",_xlpm.dd))))))</f>
        <v/>
      </c>
      <c r="U1453" s="17">
        <f>IF($C1453="","",IF(AND($Y1453="Excused",$L1453="",N($K1453)&lt;=1),"EXCUSED - 1st attempt pending",IF(OR($L1453="",$K1453&lt;&gt;1,NOT(ISNUMBER($L1453)),$L1453&gt;=$J1453),"",IF(COUNTIFS(nrES_PID,$D1453,nrES_Code,$F1453,nrES_Att,2,nrES_Raw,"&gt;=0")&gt;0,IF(IFERROR(_xlfn.MINIFS(nrES_Date,nrES_PID,$D1453,nrES_Code,$F1453,nrES_Att,2,nrES_Raw,"&gt;=0",nrES_Date,"&gt;0"),0)=0,"RETEST UNDATED",IF(NOT(ISNUMBER($T1453)),"RETEST DATE UNCHECKED",IF(_xlfn.MINIFS(nrES_Date,nrES_PID,$D1453,nrES_Code,$F1453,nrES_Att,2,nrES_Raw,"&gt;=0",nrES_Date,"&gt;0")&gt;$T1453,"LATE RETEST "&amp;TEXT(_xlfn.MINIFS(nrES_Date,nrES_PID,$D1453,nrES_Code,$F1453,nrES_Att,2,nrES_Raw,"&gt;=0",nrES_Date,"&gt;0"),"mm/dd")&amp;" (due "&amp;TEXT($T1453,"mm/dd")&amp;")","Retested"))),IF(NOT(ISNUMBER($T1453)),"CHECK DATE",IF(TODAY()&gt;$T1453,"OVERDUE","Due "&amp;TEXT($T1453,"mm/dd")))))))</f>
        <v/>
      </c>
      <c r="V1453" s="16" t="n"/>
      <c r="W1453" s="16" t="n"/>
      <c r="X1453" s="17">
        <f>IF($C1453="","",IF(AND($L1453&lt;&gt;"",NOT(ISNUMBER($L1453))),"RAW SCORE NOT A NUMBER",IF(AND(ISNUMBER($L1453),OR($L1453&lt;0,$L1453&gt;100)),"RAW SCORE OUT OF RANGE",IF(AND($Y1453="Unexcused",OR($L1453="",NOT(ISNUMBER($L1453)),$L1453&lt;&gt;0)),"UNEXCUSED ABSENCE MUST RECORD 0",IF(COUNTIF(nrES_RecID,$B1453)&gt;1,"DUPLICATE RECORD",IF(N($K1453)&gt;2,"ATTEMPT 3+ NOT ALLOWED - policy 300.5 permits one retest per exam; this row records nothing",IF(AND($K1453=2,COUNTIFS(nrES_PID,$D1453,nrES_Code,$F1453,nrES_Att,1)=0),"ATTEMPT 2 WITHOUT ATTEMPT 1",IF(AND($K1453=2,$L1453=""),"RETEST ROW HAS NO SCORE",IF(AND($H1453="Final",$L1453&lt;&gt;"",IFERROR(INDEX(nrCKfinalExamElig,MATCH($D1453,rngCadetPIDs,0)),"")="No"),"FINAL EXAM AFTER FAILED FINAL PT (500.1.H)",IF(AND($K1453=2,ISNUMBER($L1453),COUNTIFS(nrES_PID,$D1453,nrES_Code,$F1453,nrES_Att,1)&gt;0,SUMIFS(nrES_Raw,nrES_PID,$D1453,nrES_Code,$F1453,nrES_Att,1)&gt;=$J1453),"RETEST AFTER A PASSING FIRST ATTEMPT","OK"))))))))))</f>
        <v/>
      </c>
      <c r="Y1453" s="16" t="n"/>
    </row>
    <row r="1454">
      <c r="B1454" s="17">
        <f>IF($C1454="","",$D1454&amp;"-"&amp;$F1454&amp;"-"&amp;$K1454)</f>
        <v/>
      </c>
      <c r="C1454" s="16" t="n"/>
      <c r="D1454" s="17">
        <f>IF($C1454="","",IFERROR(INDEX(rngCadetPIDs,MATCH($C1454,rngCadetNames,0)),"?"))</f>
        <v/>
      </c>
      <c r="E1454" s="17">
        <f>IF($D1454="","",IFERROR(INDEX(nrCadetAgency,MATCH($D1454,rngCadetPIDs,0)),""))</f>
        <v/>
      </c>
      <c r="F1454" s="16" t="n"/>
      <c r="G1454" s="17">
        <f>IF($F1454="","",IFERROR(INDEX(rngEPname,MATCH($F1454,rngEPcode,0)),"?"))</f>
        <v/>
      </c>
      <c r="H1454" s="17">
        <f>IF($F1454="","",IFERROR(INDEX(rngEPtype,MATCH($F1454,rngEPcode,0)),"?"))</f>
        <v/>
      </c>
      <c r="I1454" s="17">
        <f>IF($F1454="","",IFERROR(INDEX(rngEPseq,MATCH($F1454,rngEPcode,0)),""))</f>
        <v/>
      </c>
      <c r="J1454" s="17">
        <f>IF($F1454="","",IFERROR(INDEX(rngEPpass,MATCH($F1454,rngEPcode,0)),cfgPassingScore))</f>
        <v/>
      </c>
      <c r="K1454" s="16" t="n"/>
      <c r="L1454" s="16" t="n"/>
      <c r="M1454" s="17">
        <f>IF($C1454="","",IF($L1454="","",IF(NOT(ISNUMBER($L1454)),$L1454,IF(N($K1454)&gt;2,"",IF($K1454=1,IF(COUNTIFS(nrES_PID,$D1454,nrES_Code,$F1454,nrES_Att,2,nrES_Raw,"&gt;=0")&gt;0,"",$L1454),IF($L1454&gt;=$J1454,MAX($J1454,cfgRetakeRecordedCap),IF(COUNTIFS(nrES_PID,$D1454,nrES_Code,$F1454,nrES_Att,1)=0,$L1454,SUMIFS(nrES_Raw,nrES_PID,$D1454,nrES_Code,$F1454,nrES_Att,1))))))))</f>
        <v/>
      </c>
      <c r="N1454" s="17">
        <f>IF($C1454="","",IF($L1454="","",IF(NOT(ISNUMBER($L1454)),"(not a score)",IF($L1454&gt;=$J1454,"Yes","No"))))</f>
        <v/>
      </c>
      <c r="O1454" s="17">
        <f>IF($C1454="","",IF($M1454="","",IF(NOT(ISNUMBER($M1454)),"(not a score)",IF($M1454&gt;=$J1454,"Yes","No"))))</f>
        <v/>
      </c>
      <c r="P1454" s="17">
        <f>IF($C1454="","",IF($K1454="","",IF(N($K1454)&gt;2,"No",IF(COUNTIFS(nrES_PID,$D1454,nrES_Code,$F1454,nrES_Att,"&gt;"&amp;$K1454,nrES_Att,"&lt;=2",nrES_Raw,"&gt;=0")=0,"Yes","No"))))</f>
        <v/>
      </c>
      <c r="Q1454" s="17">
        <f>IF($C1454="","",IF($L1454="","",IF(AND($K1454=1,ISNUMBER($L1454),$L1454&lt;$J1454,COUNTIFS(nrES_PID,$D1454,nrES_Code,$F1454,nrES_Att,2,nrES_Raw,"&gt;=0")=0),"Yes","No")))</f>
        <v/>
      </c>
      <c r="R1454" s="17">
        <f>IF($C1454="","",IF($L1454="","",IF(AND(N($K1454)&gt;=2,ISNUMBER($L1454),$L1454&lt;$J1454),"Yes","No")))</f>
        <v/>
      </c>
      <c r="S1454" s="18" t="n"/>
      <c r="T1454" s="19">
        <f>IF(OR($C1454="",$L1454="",$K1454&lt;&gt;1,NOT(ISNUMBER($L1454)),$L1454&gt;=$J1454),"",IF($S1454="","(enter date)",_xlfn.LET(_xlpm.dn,_xlfn.XLOOKUP($S1454,nrCDdate,nrCDnum,"",1),IF(_xlpm.dn="","(after last class day)",_xlfn.LET(_xlpm.dd,_xlfn.XLOOKUP(_xlpm.dn+cfgRetestClassDays,nrCDnum,nrCDdate,""),_xlpm.ok,_xlfn.XLOOKUP(_xlpm.dn+cfgRetestClassDays,nrCDnum,nrCDinsession,"No"),IF(OR(_xlpm.dd="",_xlpm.ok&lt;&gt;"Yes"),"(after last class day)",_xlpm.dd))))))</f>
        <v/>
      </c>
      <c r="U1454" s="17">
        <f>IF($C1454="","",IF(AND($Y1454="Excused",$L1454="",N($K1454)&lt;=1),"EXCUSED - 1st attempt pending",IF(OR($L1454="",$K1454&lt;&gt;1,NOT(ISNUMBER($L1454)),$L1454&gt;=$J1454),"",IF(COUNTIFS(nrES_PID,$D1454,nrES_Code,$F1454,nrES_Att,2,nrES_Raw,"&gt;=0")&gt;0,IF(IFERROR(_xlfn.MINIFS(nrES_Date,nrES_PID,$D1454,nrES_Code,$F1454,nrES_Att,2,nrES_Raw,"&gt;=0",nrES_Date,"&gt;0"),0)=0,"RETEST UNDATED",IF(NOT(ISNUMBER($T1454)),"RETEST DATE UNCHECKED",IF(_xlfn.MINIFS(nrES_Date,nrES_PID,$D1454,nrES_Code,$F1454,nrES_Att,2,nrES_Raw,"&gt;=0",nrES_Date,"&gt;0")&gt;$T1454,"LATE RETEST "&amp;TEXT(_xlfn.MINIFS(nrES_Date,nrES_PID,$D1454,nrES_Code,$F1454,nrES_Att,2,nrES_Raw,"&gt;=0",nrES_Date,"&gt;0"),"mm/dd")&amp;" (due "&amp;TEXT($T1454,"mm/dd")&amp;")","Retested"))),IF(NOT(ISNUMBER($T1454)),"CHECK DATE",IF(TODAY()&gt;$T1454,"OVERDUE","Due "&amp;TEXT($T1454,"mm/dd")))))))</f>
        <v/>
      </c>
      <c r="V1454" s="16" t="n"/>
      <c r="W1454" s="16" t="n"/>
      <c r="X1454" s="17">
        <f>IF($C1454="","",IF(AND($L1454&lt;&gt;"",NOT(ISNUMBER($L1454))),"RAW SCORE NOT A NUMBER",IF(AND(ISNUMBER($L1454),OR($L1454&lt;0,$L1454&gt;100)),"RAW SCORE OUT OF RANGE",IF(AND($Y1454="Unexcused",OR($L1454="",NOT(ISNUMBER($L1454)),$L1454&lt;&gt;0)),"UNEXCUSED ABSENCE MUST RECORD 0",IF(COUNTIF(nrES_RecID,$B1454)&gt;1,"DUPLICATE RECORD",IF(N($K1454)&gt;2,"ATTEMPT 3+ NOT ALLOWED - policy 300.5 permits one retest per exam; this row records nothing",IF(AND($K1454=2,COUNTIFS(nrES_PID,$D1454,nrES_Code,$F1454,nrES_Att,1)=0),"ATTEMPT 2 WITHOUT ATTEMPT 1",IF(AND($K1454=2,$L1454=""),"RETEST ROW HAS NO SCORE",IF(AND($H1454="Final",$L1454&lt;&gt;"",IFERROR(INDEX(nrCKfinalExamElig,MATCH($D1454,rngCadetPIDs,0)),"")="No"),"FINAL EXAM AFTER FAILED FINAL PT (500.1.H)",IF(AND($K1454=2,ISNUMBER($L1454),COUNTIFS(nrES_PID,$D1454,nrES_Code,$F1454,nrES_Att,1)&gt;0,SUMIFS(nrES_Raw,nrES_PID,$D1454,nrES_Code,$F1454,nrES_Att,1)&gt;=$J1454),"RETEST AFTER A PASSING FIRST ATTEMPT","OK"))))))))))</f>
        <v/>
      </c>
      <c r="Y1454" s="16" t="n"/>
    </row>
    <row r="1455">
      <c r="B1455" s="17">
        <f>IF($C1455="","",$D1455&amp;"-"&amp;$F1455&amp;"-"&amp;$K1455)</f>
        <v/>
      </c>
      <c r="C1455" s="16" t="n"/>
      <c r="D1455" s="17">
        <f>IF($C1455="","",IFERROR(INDEX(rngCadetPIDs,MATCH($C1455,rngCadetNames,0)),"?"))</f>
        <v/>
      </c>
      <c r="E1455" s="17">
        <f>IF($D1455="","",IFERROR(INDEX(nrCadetAgency,MATCH($D1455,rngCadetPIDs,0)),""))</f>
        <v/>
      </c>
      <c r="F1455" s="16" t="n"/>
      <c r="G1455" s="17">
        <f>IF($F1455="","",IFERROR(INDEX(rngEPname,MATCH($F1455,rngEPcode,0)),"?"))</f>
        <v/>
      </c>
      <c r="H1455" s="17">
        <f>IF($F1455="","",IFERROR(INDEX(rngEPtype,MATCH($F1455,rngEPcode,0)),"?"))</f>
        <v/>
      </c>
      <c r="I1455" s="17">
        <f>IF($F1455="","",IFERROR(INDEX(rngEPseq,MATCH($F1455,rngEPcode,0)),""))</f>
        <v/>
      </c>
      <c r="J1455" s="17">
        <f>IF($F1455="","",IFERROR(INDEX(rngEPpass,MATCH($F1455,rngEPcode,0)),cfgPassingScore))</f>
        <v/>
      </c>
      <c r="K1455" s="16" t="n"/>
      <c r="L1455" s="16" t="n"/>
      <c r="M1455" s="17">
        <f>IF($C1455="","",IF($L1455="","",IF(NOT(ISNUMBER($L1455)),$L1455,IF(N($K1455)&gt;2,"",IF($K1455=1,IF(COUNTIFS(nrES_PID,$D1455,nrES_Code,$F1455,nrES_Att,2,nrES_Raw,"&gt;=0")&gt;0,"",$L1455),IF($L1455&gt;=$J1455,MAX($J1455,cfgRetakeRecordedCap),IF(COUNTIFS(nrES_PID,$D1455,nrES_Code,$F1455,nrES_Att,1)=0,$L1455,SUMIFS(nrES_Raw,nrES_PID,$D1455,nrES_Code,$F1455,nrES_Att,1))))))))</f>
        <v/>
      </c>
      <c r="N1455" s="17">
        <f>IF($C1455="","",IF($L1455="","",IF(NOT(ISNUMBER($L1455)),"(not a score)",IF($L1455&gt;=$J1455,"Yes","No"))))</f>
        <v/>
      </c>
      <c r="O1455" s="17">
        <f>IF($C1455="","",IF($M1455="","",IF(NOT(ISNUMBER($M1455)),"(not a score)",IF($M1455&gt;=$J1455,"Yes","No"))))</f>
        <v/>
      </c>
      <c r="P1455" s="17">
        <f>IF($C1455="","",IF($K1455="","",IF(N($K1455)&gt;2,"No",IF(COUNTIFS(nrES_PID,$D1455,nrES_Code,$F1455,nrES_Att,"&gt;"&amp;$K1455,nrES_Att,"&lt;=2",nrES_Raw,"&gt;=0")=0,"Yes","No"))))</f>
        <v/>
      </c>
      <c r="Q1455" s="17">
        <f>IF($C1455="","",IF($L1455="","",IF(AND($K1455=1,ISNUMBER($L1455),$L1455&lt;$J1455,COUNTIFS(nrES_PID,$D1455,nrES_Code,$F1455,nrES_Att,2,nrES_Raw,"&gt;=0")=0),"Yes","No")))</f>
        <v/>
      </c>
      <c r="R1455" s="17">
        <f>IF($C1455="","",IF($L1455="","",IF(AND(N($K1455)&gt;=2,ISNUMBER($L1455),$L1455&lt;$J1455),"Yes","No")))</f>
        <v/>
      </c>
      <c r="S1455" s="18" t="n"/>
      <c r="T1455" s="19">
        <f>IF(OR($C1455="",$L1455="",$K1455&lt;&gt;1,NOT(ISNUMBER($L1455)),$L1455&gt;=$J1455),"",IF($S1455="","(enter date)",_xlfn.LET(_xlpm.dn,_xlfn.XLOOKUP($S1455,nrCDdate,nrCDnum,"",1),IF(_xlpm.dn="","(after last class day)",_xlfn.LET(_xlpm.dd,_xlfn.XLOOKUP(_xlpm.dn+cfgRetestClassDays,nrCDnum,nrCDdate,""),_xlpm.ok,_xlfn.XLOOKUP(_xlpm.dn+cfgRetestClassDays,nrCDnum,nrCDinsession,"No"),IF(OR(_xlpm.dd="",_xlpm.ok&lt;&gt;"Yes"),"(after last class day)",_xlpm.dd))))))</f>
        <v/>
      </c>
      <c r="U1455" s="17">
        <f>IF($C1455="","",IF(AND($Y1455="Excused",$L1455="",N($K1455)&lt;=1),"EXCUSED - 1st attempt pending",IF(OR($L1455="",$K1455&lt;&gt;1,NOT(ISNUMBER($L1455)),$L1455&gt;=$J1455),"",IF(COUNTIFS(nrES_PID,$D1455,nrES_Code,$F1455,nrES_Att,2,nrES_Raw,"&gt;=0")&gt;0,IF(IFERROR(_xlfn.MINIFS(nrES_Date,nrES_PID,$D1455,nrES_Code,$F1455,nrES_Att,2,nrES_Raw,"&gt;=0",nrES_Date,"&gt;0"),0)=0,"RETEST UNDATED",IF(NOT(ISNUMBER($T1455)),"RETEST DATE UNCHECKED",IF(_xlfn.MINIFS(nrES_Date,nrES_PID,$D1455,nrES_Code,$F1455,nrES_Att,2,nrES_Raw,"&gt;=0",nrES_Date,"&gt;0")&gt;$T1455,"LATE RETEST "&amp;TEXT(_xlfn.MINIFS(nrES_Date,nrES_PID,$D1455,nrES_Code,$F1455,nrES_Att,2,nrES_Raw,"&gt;=0",nrES_Date,"&gt;0"),"mm/dd")&amp;" (due "&amp;TEXT($T1455,"mm/dd")&amp;")","Retested"))),IF(NOT(ISNUMBER($T1455)),"CHECK DATE",IF(TODAY()&gt;$T1455,"OVERDUE","Due "&amp;TEXT($T1455,"mm/dd")))))))</f>
        <v/>
      </c>
      <c r="V1455" s="16" t="n"/>
      <c r="W1455" s="16" t="n"/>
      <c r="X1455" s="17">
        <f>IF($C1455="","",IF(AND($L1455&lt;&gt;"",NOT(ISNUMBER($L1455))),"RAW SCORE NOT A NUMBER",IF(AND(ISNUMBER($L1455),OR($L1455&lt;0,$L1455&gt;100)),"RAW SCORE OUT OF RANGE",IF(AND($Y1455="Unexcused",OR($L1455="",NOT(ISNUMBER($L1455)),$L1455&lt;&gt;0)),"UNEXCUSED ABSENCE MUST RECORD 0",IF(COUNTIF(nrES_RecID,$B1455)&gt;1,"DUPLICATE RECORD",IF(N($K1455)&gt;2,"ATTEMPT 3+ NOT ALLOWED - policy 300.5 permits one retest per exam; this row records nothing",IF(AND($K1455=2,COUNTIFS(nrES_PID,$D1455,nrES_Code,$F1455,nrES_Att,1)=0),"ATTEMPT 2 WITHOUT ATTEMPT 1",IF(AND($K1455=2,$L1455=""),"RETEST ROW HAS NO SCORE",IF(AND($H1455="Final",$L1455&lt;&gt;"",IFERROR(INDEX(nrCKfinalExamElig,MATCH($D1455,rngCadetPIDs,0)),"")="No"),"FINAL EXAM AFTER FAILED FINAL PT (500.1.H)",IF(AND($K1455=2,ISNUMBER($L1455),COUNTIFS(nrES_PID,$D1455,nrES_Code,$F1455,nrES_Att,1)&gt;0,SUMIFS(nrES_Raw,nrES_PID,$D1455,nrES_Code,$F1455,nrES_Att,1)&gt;=$J1455),"RETEST AFTER A PASSING FIRST ATTEMPT","OK"))))))))))</f>
        <v/>
      </c>
      <c r="Y1455" s="16" t="n"/>
    </row>
    <row r="1456">
      <c r="B1456" s="17">
        <f>IF($C1456="","",$D1456&amp;"-"&amp;$F1456&amp;"-"&amp;$K1456)</f>
        <v/>
      </c>
      <c r="C1456" s="16" t="n"/>
      <c r="D1456" s="17">
        <f>IF($C1456="","",IFERROR(INDEX(rngCadetPIDs,MATCH($C1456,rngCadetNames,0)),"?"))</f>
        <v/>
      </c>
      <c r="E1456" s="17">
        <f>IF($D1456="","",IFERROR(INDEX(nrCadetAgency,MATCH($D1456,rngCadetPIDs,0)),""))</f>
        <v/>
      </c>
      <c r="F1456" s="16" t="n"/>
      <c r="G1456" s="17">
        <f>IF($F1456="","",IFERROR(INDEX(rngEPname,MATCH($F1456,rngEPcode,0)),"?"))</f>
        <v/>
      </c>
      <c r="H1456" s="17">
        <f>IF($F1456="","",IFERROR(INDEX(rngEPtype,MATCH($F1456,rngEPcode,0)),"?"))</f>
        <v/>
      </c>
      <c r="I1456" s="17">
        <f>IF($F1456="","",IFERROR(INDEX(rngEPseq,MATCH($F1456,rngEPcode,0)),""))</f>
        <v/>
      </c>
      <c r="J1456" s="17">
        <f>IF($F1456="","",IFERROR(INDEX(rngEPpass,MATCH($F1456,rngEPcode,0)),cfgPassingScore))</f>
        <v/>
      </c>
      <c r="K1456" s="16" t="n"/>
      <c r="L1456" s="16" t="n"/>
      <c r="M1456" s="17">
        <f>IF($C1456="","",IF($L1456="","",IF(NOT(ISNUMBER($L1456)),$L1456,IF(N($K1456)&gt;2,"",IF($K1456=1,IF(COUNTIFS(nrES_PID,$D1456,nrES_Code,$F1456,nrES_Att,2,nrES_Raw,"&gt;=0")&gt;0,"",$L1456),IF($L1456&gt;=$J1456,MAX($J1456,cfgRetakeRecordedCap),IF(COUNTIFS(nrES_PID,$D1456,nrES_Code,$F1456,nrES_Att,1)=0,$L1456,SUMIFS(nrES_Raw,nrES_PID,$D1456,nrES_Code,$F1456,nrES_Att,1))))))))</f>
        <v/>
      </c>
      <c r="N1456" s="17">
        <f>IF($C1456="","",IF($L1456="","",IF(NOT(ISNUMBER($L1456)),"(not a score)",IF($L1456&gt;=$J1456,"Yes","No"))))</f>
        <v/>
      </c>
      <c r="O1456" s="17">
        <f>IF($C1456="","",IF($M1456="","",IF(NOT(ISNUMBER($M1456)),"(not a score)",IF($M1456&gt;=$J1456,"Yes","No"))))</f>
        <v/>
      </c>
      <c r="P1456" s="17">
        <f>IF($C1456="","",IF($K1456="","",IF(N($K1456)&gt;2,"No",IF(COUNTIFS(nrES_PID,$D1456,nrES_Code,$F1456,nrES_Att,"&gt;"&amp;$K1456,nrES_Att,"&lt;=2",nrES_Raw,"&gt;=0")=0,"Yes","No"))))</f>
        <v/>
      </c>
      <c r="Q1456" s="17">
        <f>IF($C1456="","",IF($L1456="","",IF(AND($K1456=1,ISNUMBER($L1456),$L1456&lt;$J1456,COUNTIFS(nrES_PID,$D1456,nrES_Code,$F1456,nrES_Att,2,nrES_Raw,"&gt;=0")=0),"Yes","No")))</f>
        <v/>
      </c>
      <c r="R1456" s="17">
        <f>IF($C1456="","",IF($L1456="","",IF(AND(N($K1456)&gt;=2,ISNUMBER($L1456),$L1456&lt;$J1456),"Yes","No")))</f>
        <v/>
      </c>
      <c r="S1456" s="18" t="n"/>
      <c r="T1456" s="19">
        <f>IF(OR($C1456="",$L1456="",$K1456&lt;&gt;1,NOT(ISNUMBER($L1456)),$L1456&gt;=$J1456),"",IF($S1456="","(enter date)",_xlfn.LET(_xlpm.dn,_xlfn.XLOOKUP($S1456,nrCDdate,nrCDnum,"",1),IF(_xlpm.dn="","(after last class day)",_xlfn.LET(_xlpm.dd,_xlfn.XLOOKUP(_xlpm.dn+cfgRetestClassDays,nrCDnum,nrCDdate,""),_xlpm.ok,_xlfn.XLOOKUP(_xlpm.dn+cfgRetestClassDays,nrCDnum,nrCDinsession,"No"),IF(OR(_xlpm.dd="",_xlpm.ok&lt;&gt;"Yes"),"(after last class day)",_xlpm.dd))))))</f>
        <v/>
      </c>
      <c r="U1456" s="17">
        <f>IF($C1456="","",IF(AND($Y1456="Excused",$L1456="",N($K1456)&lt;=1),"EXCUSED - 1st attempt pending",IF(OR($L1456="",$K1456&lt;&gt;1,NOT(ISNUMBER($L1456)),$L1456&gt;=$J1456),"",IF(COUNTIFS(nrES_PID,$D1456,nrES_Code,$F1456,nrES_Att,2,nrES_Raw,"&gt;=0")&gt;0,IF(IFERROR(_xlfn.MINIFS(nrES_Date,nrES_PID,$D1456,nrES_Code,$F1456,nrES_Att,2,nrES_Raw,"&gt;=0",nrES_Date,"&gt;0"),0)=0,"RETEST UNDATED",IF(NOT(ISNUMBER($T1456)),"RETEST DATE UNCHECKED",IF(_xlfn.MINIFS(nrES_Date,nrES_PID,$D1456,nrES_Code,$F1456,nrES_Att,2,nrES_Raw,"&gt;=0",nrES_Date,"&gt;0")&gt;$T1456,"LATE RETEST "&amp;TEXT(_xlfn.MINIFS(nrES_Date,nrES_PID,$D1456,nrES_Code,$F1456,nrES_Att,2,nrES_Raw,"&gt;=0",nrES_Date,"&gt;0"),"mm/dd")&amp;" (due "&amp;TEXT($T1456,"mm/dd")&amp;")","Retested"))),IF(NOT(ISNUMBER($T1456)),"CHECK DATE",IF(TODAY()&gt;$T1456,"OVERDUE","Due "&amp;TEXT($T1456,"mm/dd")))))))</f>
        <v/>
      </c>
      <c r="V1456" s="16" t="n"/>
      <c r="W1456" s="16" t="n"/>
      <c r="X1456" s="17">
        <f>IF($C1456="","",IF(AND($L1456&lt;&gt;"",NOT(ISNUMBER($L1456))),"RAW SCORE NOT A NUMBER",IF(AND(ISNUMBER($L1456),OR($L1456&lt;0,$L1456&gt;100)),"RAW SCORE OUT OF RANGE",IF(AND($Y1456="Unexcused",OR($L1456="",NOT(ISNUMBER($L1456)),$L1456&lt;&gt;0)),"UNEXCUSED ABSENCE MUST RECORD 0",IF(COUNTIF(nrES_RecID,$B1456)&gt;1,"DUPLICATE RECORD",IF(N($K1456)&gt;2,"ATTEMPT 3+ NOT ALLOWED - policy 300.5 permits one retest per exam; this row records nothing",IF(AND($K1456=2,COUNTIFS(nrES_PID,$D1456,nrES_Code,$F1456,nrES_Att,1)=0),"ATTEMPT 2 WITHOUT ATTEMPT 1",IF(AND($K1456=2,$L1456=""),"RETEST ROW HAS NO SCORE",IF(AND($H1456="Final",$L1456&lt;&gt;"",IFERROR(INDEX(nrCKfinalExamElig,MATCH($D1456,rngCadetPIDs,0)),"")="No"),"FINAL EXAM AFTER FAILED FINAL PT (500.1.H)",IF(AND($K1456=2,ISNUMBER($L1456),COUNTIFS(nrES_PID,$D1456,nrES_Code,$F1456,nrES_Att,1)&gt;0,SUMIFS(nrES_Raw,nrES_PID,$D1456,nrES_Code,$F1456,nrES_Att,1)&gt;=$J1456),"RETEST AFTER A PASSING FIRST ATTEMPT","OK"))))))))))</f>
        <v/>
      </c>
      <c r="Y1456" s="16" t="n"/>
    </row>
    <row r="1457">
      <c r="B1457" s="17">
        <f>IF($C1457="","",$D1457&amp;"-"&amp;$F1457&amp;"-"&amp;$K1457)</f>
        <v/>
      </c>
      <c r="C1457" s="16" t="n"/>
      <c r="D1457" s="17">
        <f>IF($C1457="","",IFERROR(INDEX(rngCadetPIDs,MATCH($C1457,rngCadetNames,0)),"?"))</f>
        <v/>
      </c>
      <c r="E1457" s="17">
        <f>IF($D1457="","",IFERROR(INDEX(nrCadetAgency,MATCH($D1457,rngCadetPIDs,0)),""))</f>
        <v/>
      </c>
      <c r="F1457" s="16" t="n"/>
      <c r="G1457" s="17">
        <f>IF($F1457="","",IFERROR(INDEX(rngEPname,MATCH($F1457,rngEPcode,0)),"?"))</f>
        <v/>
      </c>
      <c r="H1457" s="17">
        <f>IF($F1457="","",IFERROR(INDEX(rngEPtype,MATCH($F1457,rngEPcode,0)),"?"))</f>
        <v/>
      </c>
      <c r="I1457" s="17">
        <f>IF($F1457="","",IFERROR(INDEX(rngEPseq,MATCH($F1457,rngEPcode,0)),""))</f>
        <v/>
      </c>
      <c r="J1457" s="17">
        <f>IF($F1457="","",IFERROR(INDEX(rngEPpass,MATCH($F1457,rngEPcode,0)),cfgPassingScore))</f>
        <v/>
      </c>
      <c r="K1457" s="16" t="n"/>
      <c r="L1457" s="16" t="n"/>
      <c r="M1457" s="17">
        <f>IF($C1457="","",IF($L1457="","",IF(NOT(ISNUMBER($L1457)),$L1457,IF(N($K1457)&gt;2,"",IF($K1457=1,IF(COUNTIFS(nrES_PID,$D1457,nrES_Code,$F1457,nrES_Att,2,nrES_Raw,"&gt;=0")&gt;0,"",$L1457),IF($L1457&gt;=$J1457,MAX($J1457,cfgRetakeRecordedCap),IF(COUNTIFS(nrES_PID,$D1457,nrES_Code,$F1457,nrES_Att,1)=0,$L1457,SUMIFS(nrES_Raw,nrES_PID,$D1457,nrES_Code,$F1457,nrES_Att,1))))))))</f>
        <v/>
      </c>
      <c r="N1457" s="17">
        <f>IF($C1457="","",IF($L1457="","",IF(NOT(ISNUMBER($L1457)),"(not a score)",IF($L1457&gt;=$J1457,"Yes","No"))))</f>
        <v/>
      </c>
      <c r="O1457" s="17">
        <f>IF($C1457="","",IF($M1457="","",IF(NOT(ISNUMBER($M1457)),"(not a score)",IF($M1457&gt;=$J1457,"Yes","No"))))</f>
        <v/>
      </c>
      <c r="P1457" s="17">
        <f>IF($C1457="","",IF($K1457="","",IF(N($K1457)&gt;2,"No",IF(COUNTIFS(nrES_PID,$D1457,nrES_Code,$F1457,nrES_Att,"&gt;"&amp;$K1457,nrES_Att,"&lt;=2",nrES_Raw,"&gt;=0")=0,"Yes","No"))))</f>
        <v/>
      </c>
      <c r="Q1457" s="17">
        <f>IF($C1457="","",IF($L1457="","",IF(AND($K1457=1,ISNUMBER($L1457),$L1457&lt;$J1457,COUNTIFS(nrES_PID,$D1457,nrES_Code,$F1457,nrES_Att,2,nrES_Raw,"&gt;=0")=0),"Yes","No")))</f>
        <v/>
      </c>
      <c r="R1457" s="17">
        <f>IF($C1457="","",IF($L1457="","",IF(AND(N($K1457)&gt;=2,ISNUMBER($L1457),$L1457&lt;$J1457),"Yes","No")))</f>
        <v/>
      </c>
      <c r="S1457" s="18" t="n"/>
      <c r="T1457" s="19">
        <f>IF(OR($C1457="",$L1457="",$K1457&lt;&gt;1,NOT(ISNUMBER($L1457)),$L1457&gt;=$J1457),"",IF($S1457="","(enter date)",_xlfn.LET(_xlpm.dn,_xlfn.XLOOKUP($S1457,nrCDdate,nrCDnum,"",1),IF(_xlpm.dn="","(after last class day)",_xlfn.LET(_xlpm.dd,_xlfn.XLOOKUP(_xlpm.dn+cfgRetestClassDays,nrCDnum,nrCDdate,""),_xlpm.ok,_xlfn.XLOOKUP(_xlpm.dn+cfgRetestClassDays,nrCDnum,nrCDinsession,"No"),IF(OR(_xlpm.dd="",_xlpm.ok&lt;&gt;"Yes"),"(after last class day)",_xlpm.dd))))))</f>
        <v/>
      </c>
      <c r="U1457" s="17">
        <f>IF($C1457="","",IF(AND($Y1457="Excused",$L1457="",N($K1457)&lt;=1),"EXCUSED - 1st attempt pending",IF(OR($L1457="",$K1457&lt;&gt;1,NOT(ISNUMBER($L1457)),$L1457&gt;=$J1457),"",IF(COUNTIFS(nrES_PID,$D1457,nrES_Code,$F1457,nrES_Att,2,nrES_Raw,"&gt;=0")&gt;0,IF(IFERROR(_xlfn.MINIFS(nrES_Date,nrES_PID,$D1457,nrES_Code,$F1457,nrES_Att,2,nrES_Raw,"&gt;=0",nrES_Date,"&gt;0"),0)=0,"RETEST UNDATED",IF(NOT(ISNUMBER($T1457)),"RETEST DATE UNCHECKED",IF(_xlfn.MINIFS(nrES_Date,nrES_PID,$D1457,nrES_Code,$F1457,nrES_Att,2,nrES_Raw,"&gt;=0",nrES_Date,"&gt;0")&gt;$T1457,"LATE RETEST "&amp;TEXT(_xlfn.MINIFS(nrES_Date,nrES_PID,$D1457,nrES_Code,$F1457,nrES_Att,2,nrES_Raw,"&gt;=0",nrES_Date,"&gt;0"),"mm/dd")&amp;" (due "&amp;TEXT($T1457,"mm/dd")&amp;")","Retested"))),IF(NOT(ISNUMBER($T1457)),"CHECK DATE",IF(TODAY()&gt;$T1457,"OVERDUE","Due "&amp;TEXT($T1457,"mm/dd")))))))</f>
        <v/>
      </c>
      <c r="V1457" s="16" t="n"/>
      <c r="W1457" s="16" t="n"/>
      <c r="X1457" s="17">
        <f>IF($C1457="","",IF(AND($L1457&lt;&gt;"",NOT(ISNUMBER($L1457))),"RAW SCORE NOT A NUMBER",IF(AND(ISNUMBER($L1457),OR($L1457&lt;0,$L1457&gt;100)),"RAW SCORE OUT OF RANGE",IF(AND($Y1457="Unexcused",OR($L1457="",NOT(ISNUMBER($L1457)),$L1457&lt;&gt;0)),"UNEXCUSED ABSENCE MUST RECORD 0",IF(COUNTIF(nrES_RecID,$B1457)&gt;1,"DUPLICATE RECORD",IF(N($K1457)&gt;2,"ATTEMPT 3+ NOT ALLOWED - policy 300.5 permits one retest per exam; this row records nothing",IF(AND($K1457=2,COUNTIFS(nrES_PID,$D1457,nrES_Code,$F1457,nrES_Att,1)=0),"ATTEMPT 2 WITHOUT ATTEMPT 1",IF(AND($K1457=2,$L1457=""),"RETEST ROW HAS NO SCORE",IF(AND($H1457="Final",$L1457&lt;&gt;"",IFERROR(INDEX(nrCKfinalExamElig,MATCH($D1457,rngCadetPIDs,0)),"")="No"),"FINAL EXAM AFTER FAILED FINAL PT (500.1.H)",IF(AND($K1457=2,ISNUMBER($L1457),COUNTIFS(nrES_PID,$D1457,nrES_Code,$F1457,nrES_Att,1)&gt;0,SUMIFS(nrES_Raw,nrES_PID,$D1457,nrES_Code,$F1457,nrES_Att,1)&gt;=$J1457),"RETEST AFTER A PASSING FIRST ATTEMPT","OK"))))))))))</f>
        <v/>
      </c>
      <c r="Y1457" s="16" t="n"/>
    </row>
    <row r="1458">
      <c r="B1458" s="17">
        <f>IF($C1458="","",$D1458&amp;"-"&amp;$F1458&amp;"-"&amp;$K1458)</f>
        <v/>
      </c>
      <c r="C1458" s="16" t="n"/>
      <c r="D1458" s="17">
        <f>IF($C1458="","",IFERROR(INDEX(rngCadetPIDs,MATCH($C1458,rngCadetNames,0)),"?"))</f>
        <v/>
      </c>
      <c r="E1458" s="17">
        <f>IF($D1458="","",IFERROR(INDEX(nrCadetAgency,MATCH($D1458,rngCadetPIDs,0)),""))</f>
        <v/>
      </c>
      <c r="F1458" s="16" t="n"/>
      <c r="G1458" s="17">
        <f>IF($F1458="","",IFERROR(INDEX(rngEPname,MATCH($F1458,rngEPcode,0)),"?"))</f>
        <v/>
      </c>
      <c r="H1458" s="17">
        <f>IF($F1458="","",IFERROR(INDEX(rngEPtype,MATCH($F1458,rngEPcode,0)),"?"))</f>
        <v/>
      </c>
      <c r="I1458" s="17">
        <f>IF($F1458="","",IFERROR(INDEX(rngEPseq,MATCH($F1458,rngEPcode,0)),""))</f>
        <v/>
      </c>
      <c r="J1458" s="17">
        <f>IF($F1458="","",IFERROR(INDEX(rngEPpass,MATCH($F1458,rngEPcode,0)),cfgPassingScore))</f>
        <v/>
      </c>
      <c r="K1458" s="16" t="n"/>
      <c r="L1458" s="16" t="n"/>
      <c r="M1458" s="17">
        <f>IF($C1458="","",IF($L1458="","",IF(NOT(ISNUMBER($L1458)),$L1458,IF(N($K1458)&gt;2,"",IF($K1458=1,IF(COUNTIFS(nrES_PID,$D1458,nrES_Code,$F1458,nrES_Att,2,nrES_Raw,"&gt;=0")&gt;0,"",$L1458),IF($L1458&gt;=$J1458,MAX($J1458,cfgRetakeRecordedCap),IF(COUNTIFS(nrES_PID,$D1458,nrES_Code,$F1458,nrES_Att,1)=0,$L1458,SUMIFS(nrES_Raw,nrES_PID,$D1458,nrES_Code,$F1458,nrES_Att,1))))))))</f>
        <v/>
      </c>
      <c r="N1458" s="17">
        <f>IF($C1458="","",IF($L1458="","",IF(NOT(ISNUMBER($L1458)),"(not a score)",IF($L1458&gt;=$J1458,"Yes","No"))))</f>
        <v/>
      </c>
      <c r="O1458" s="17">
        <f>IF($C1458="","",IF($M1458="","",IF(NOT(ISNUMBER($M1458)),"(not a score)",IF($M1458&gt;=$J1458,"Yes","No"))))</f>
        <v/>
      </c>
      <c r="P1458" s="17">
        <f>IF($C1458="","",IF($K1458="","",IF(N($K1458)&gt;2,"No",IF(COUNTIFS(nrES_PID,$D1458,nrES_Code,$F1458,nrES_Att,"&gt;"&amp;$K1458,nrES_Att,"&lt;=2",nrES_Raw,"&gt;=0")=0,"Yes","No"))))</f>
        <v/>
      </c>
      <c r="Q1458" s="17">
        <f>IF($C1458="","",IF($L1458="","",IF(AND($K1458=1,ISNUMBER($L1458),$L1458&lt;$J1458,COUNTIFS(nrES_PID,$D1458,nrES_Code,$F1458,nrES_Att,2,nrES_Raw,"&gt;=0")=0),"Yes","No")))</f>
        <v/>
      </c>
      <c r="R1458" s="17">
        <f>IF($C1458="","",IF($L1458="","",IF(AND(N($K1458)&gt;=2,ISNUMBER($L1458),$L1458&lt;$J1458),"Yes","No")))</f>
        <v/>
      </c>
      <c r="S1458" s="18" t="n"/>
      <c r="T1458" s="19">
        <f>IF(OR($C1458="",$L1458="",$K1458&lt;&gt;1,NOT(ISNUMBER($L1458)),$L1458&gt;=$J1458),"",IF($S1458="","(enter date)",_xlfn.LET(_xlpm.dn,_xlfn.XLOOKUP($S1458,nrCDdate,nrCDnum,"",1),IF(_xlpm.dn="","(after last class day)",_xlfn.LET(_xlpm.dd,_xlfn.XLOOKUP(_xlpm.dn+cfgRetestClassDays,nrCDnum,nrCDdate,""),_xlpm.ok,_xlfn.XLOOKUP(_xlpm.dn+cfgRetestClassDays,nrCDnum,nrCDinsession,"No"),IF(OR(_xlpm.dd="",_xlpm.ok&lt;&gt;"Yes"),"(after last class day)",_xlpm.dd))))))</f>
        <v/>
      </c>
      <c r="U1458" s="17">
        <f>IF($C1458="","",IF(AND($Y1458="Excused",$L1458="",N($K1458)&lt;=1),"EXCUSED - 1st attempt pending",IF(OR($L1458="",$K1458&lt;&gt;1,NOT(ISNUMBER($L1458)),$L1458&gt;=$J1458),"",IF(COUNTIFS(nrES_PID,$D1458,nrES_Code,$F1458,nrES_Att,2,nrES_Raw,"&gt;=0")&gt;0,IF(IFERROR(_xlfn.MINIFS(nrES_Date,nrES_PID,$D1458,nrES_Code,$F1458,nrES_Att,2,nrES_Raw,"&gt;=0",nrES_Date,"&gt;0"),0)=0,"RETEST UNDATED",IF(NOT(ISNUMBER($T1458)),"RETEST DATE UNCHECKED",IF(_xlfn.MINIFS(nrES_Date,nrES_PID,$D1458,nrES_Code,$F1458,nrES_Att,2,nrES_Raw,"&gt;=0",nrES_Date,"&gt;0")&gt;$T1458,"LATE RETEST "&amp;TEXT(_xlfn.MINIFS(nrES_Date,nrES_PID,$D1458,nrES_Code,$F1458,nrES_Att,2,nrES_Raw,"&gt;=0",nrES_Date,"&gt;0"),"mm/dd")&amp;" (due "&amp;TEXT($T1458,"mm/dd")&amp;")","Retested"))),IF(NOT(ISNUMBER($T1458)),"CHECK DATE",IF(TODAY()&gt;$T1458,"OVERDUE","Due "&amp;TEXT($T1458,"mm/dd")))))))</f>
        <v/>
      </c>
      <c r="V1458" s="16" t="n"/>
      <c r="W1458" s="16" t="n"/>
      <c r="X1458" s="17">
        <f>IF($C1458="","",IF(AND($L1458&lt;&gt;"",NOT(ISNUMBER($L1458))),"RAW SCORE NOT A NUMBER",IF(AND(ISNUMBER($L1458),OR($L1458&lt;0,$L1458&gt;100)),"RAW SCORE OUT OF RANGE",IF(AND($Y1458="Unexcused",OR($L1458="",NOT(ISNUMBER($L1458)),$L1458&lt;&gt;0)),"UNEXCUSED ABSENCE MUST RECORD 0",IF(COUNTIF(nrES_RecID,$B1458)&gt;1,"DUPLICATE RECORD",IF(N($K1458)&gt;2,"ATTEMPT 3+ NOT ALLOWED - policy 300.5 permits one retest per exam; this row records nothing",IF(AND($K1458=2,COUNTIFS(nrES_PID,$D1458,nrES_Code,$F1458,nrES_Att,1)=0),"ATTEMPT 2 WITHOUT ATTEMPT 1",IF(AND($K1458=2,$L1458=""),"RETEST ROW HAS NO SCORE",IF(AND($H1458="Final",$L1458&lt;&gt;"",IFERROR(INDEX(nrCKfinalExamElig,MATCH($D1458,rngCadetPIDs,0)),"")="No"),"FINAL EXAM AFTER FAILED FINAL PT (500.1.H)",IF(AND($K1458=2,ISNUMBER($L1458),COUNTIFS(nrES_PID,$D1458,nrES_Code,$F1458,nrES_Att,1)&gt;0,SUMIFS(nrES_Raw,nrES_PID,$D1458,nrES_Code,$F1458,nrES_Att,1)&gt;=$J1458),"RETEST AFTER A PASSING FIRST ATTEMPT","OK"))))))))))</f>
        <v/>
      </c>
      <c r="Y1458" s="16" t="n"/>
    </row>
    <row r="1459">
      <c r="B1459" s="17">
        <f>IF($C1459="","",$D1459&amp;"-"&amp;$F1459&amp;"-"&amp;$K1459)</f>
        <v/>
      </c>
      <c r="C1459" s="16" t="n"/>
      <c r="D1459" s="17">
        <f>IF($C1459="","",IFERROR(INDEX(rngCadetPIDs,MATCH($C1459,rngCadetNames,0)),"?"))</f>
        <v/>
      </c>
      <c r="E1459" s="17">
        <f>IF($D1459="","",IFERROR(INDEX(nrCadetAgency,MATCH($D1459,rngCadetPIDs,0)),""))</f>
        <v/>
      </c>
      <c r="F1459" s="16" t="n"/>
      <c r="G1459" s="17">
        <f>IF($F1459="","",IFERROR(INDEX(rngEPname,MATCH($F1459,rngEPcode,0)),"?"))</f>
        <v/>
      </c>
      <c r="H1459" s="17">
        <f>IF($F1459="","",IFERROR(INDEX(rngEPtype,MATCH($F1459,rngEPcode,0)),"?"))</f>
        <v/>
      </c>
      <c r="I1459" s="17">
        <f>IF($F1459="","",IFERROR(INDEX(rngEPseq,MATCH($F1459,rngEPcode,0)),""))</f>
        <v/>
      </c>
      <c r="J1459" s="17">
        <f>IF($F1459="","",IFERROR(INDEX(rngEPpass,MATCH($F1459,rngEPcode,0)),cfgPassingScore))</f>
        <v/>
      </c>
      <c r="K1459" s="16" t="n"/>
      <c r="L1459" s="16" t="n"/>
      <c r="M1459" s="17">
        <f>IF($C1459="","",IF($L1459="","",IF(NOT(ISNUMBER($L1459)),$L1459,IF(N($K1459)&gt;2,"",IF($K1459=1,IF(COUNTIFS(nrES_PID,$D1459,nrES_Code,$F1459,nrES_Att,2,nrES_Raw,"&gt;=0")&gt;0,"",$L1459),IF($L1459&gt;=$J1459,MAX($J1459,cfgRetakeRecordedCap),IF(COUNTIFS(nrES_PID,$D1459,nrES_Code,$F1459,nrES_Att,1)=0,$L1459,SUMIFS(nrES_Raw,nrES_PID,$D1459,nrES_Code,$F1459,nrES_Att,1))))))))</f>
        <v/>
      </c>
      <c r="N1459" s="17">
        <f>IF($C1459="","",IF($L1459="","",IF(NOT(ISNUMBER($L1459)),"(not a score)",IF($L1459&gt;=$J1459,"Yes","No"))))</f>
        <v/>
      </c>
      <c r="O1459" s="17">
        <f>IF($C1459="","",IF($M1459="","",IF(NOT(ISNUMBER($M1459)),"(not a score)",IF($M1459&gt;=$J1459,"Yes","No"))))</f>
        <v/>
      </c>
      <c r="P1459" s="17">
        <f>IF($C1459="","",IF($K1459="","",IF(N($K1459)&gt;2,"No",IF(COUNTIFS(nrES_PID,$D1459,nrES_Code,$F1459,nrES_Att,"&gt;"&amp;$K1459,nrES_Att,"&lt;=2",nrES_Raw,"&gt;=0")=0,"Yes","No"))))</f>
        <v/>
      </c>
      <c r="Q1459" s="17">
        <f>IF($C1459="","",IF($L1459="","",IF(AND($K1459=1,ISNUMBER($L1459),$L1459&lt;$J1459,COUNTIFS(nrES_PID,$D1459,nrES_Code,$F1459,nrES_Att,2,nrES_Raw,"&gt;=0")=0),"Yes","No")))</f>
        <v/>
      </c>
      <c r="R1459" s="17">
        <f>IF($C1459="","",IF($L1459="","",IF(AND(N($K1459)&gt;=2,ISNUMBER($L1459),$L1459&lt;$J1459),"Yes","No")))</f>
        <v/>
      </c>
      <c r="S1459" s="18" t="n"/>
      <c r="T1459" s="19">
        <f>IF(OR($C1459="",$L1459="",$K1459&lt;&gt;1,NOT(ISNUMBER($L1459)),$L1459&gt;=$J1459),"",IF($S1459="","(enter date)",_xlfn.LET(_xlpm.dn,_xlfn.XLOOKUP($S1459,nrCDdate,nrCDnum,"",1),IF(_xlpm.dn="","(after last class day)",_xlfn.LET(_xlpm.dd,_xlfn.XLOOKUP(_xlpm.dn+cfgRetestClassDays,nrCDnum,nrCDdate,""),_xlpm.ok,_xlfn.XLOOKUP(_xlpm.dn+cfgRetestClassDays,nrCDnum,nrCDinsession,"No"),IF(OR(_xlpm.dd="",_xlpm.ok&lt;&gt;"Yes"),"(after last class day)",_xlpm.dd))))))</f>
        <v/>
      </c>
      <c r="U1459" s="17">
        <f>IF($C1459="","",IF(AND($Y1459="Excused",$L1459="",N($K1459)&lt;=1),"EXCUSED - 1st attempt pending",IF(OR($L1459="",$K1459&lt;&gt;1,NOT(ISNUMBER($L1459)),$L1459&gt;=$J1459),"",IF(COUNTIFS(nrES_PID,$D1459,nrES_Code,$F1459,nrES_Att,2,nrES_Raw,"&gt;=0")&gt;0,IF(IFERROR(_xlfn.MINIFS(nrES_Date,nrES_PID,$D1459,nrES_Code,$F1459,nrES_Att,2,nrES_Raw,"&gt;=0",nrES_Date,"&gt;0"),0)=0,"RETEST UNDATED",IF(NOT(ISNUMBER($T1459)),"RETEST DATE UNCHECKED",IF(_xlfn.MINIFS(nrES_Date,nrES_PID,$D1459,nrES_Code,$F1459,nrES_Att,2,nrES_Raw,"&gt;=0",nrES_Date,"&gt;0")&gt;$T1459,"LATE RETEST "&amp;TEXT(_xlfn.MINIFS(nrES_Date,nrES_PID,$D1459,nrES_Code,$F1459,nrES_Att,2,nrES_Raw,"&gt;=0",nrES_Date,"&gt;0"),"mm/dd")&amp;" (due "&amp;TEXT($T1459,"mm/dd")&amp;")","Retested"))),IF(NOT(ISNUMBER($T1459)),"CHECK DATE",IF(TODAY()&gt;$T1459,"OVERDUE","Due "&amp;TEXT($T1459,"mm/dd")))))))</f>
        <v/>
      </c>
      <c r="V1459" s="16" t="n"/>
      <c r="W1459" s="16" t="n"/>
      <c r="X1459" s="17">
        <f>IF($C1459="","",IF(AND($L1459&lt;&gt;"",NOT(ISNUMBER($L1459))),"RAW SCORE NOT A NUMBER",IF(AND(ISNUMBER($L1459),OR($L1459&lt;0,$L1459&gt;100)),"RAW SCORE OUT OF RANGE",IF(AND($Y1459="Unexcused",OR($L1459="",NOT(ISNUMBER($L1459)),$L1459&lt;&gt;0)),"UNEXCUSED ABSENCE MUST RECORD 0",IF(COUNTIF(nrES_RecID,$B1459)&gt;1,"DUPLICATE RECORD",IF(N($K1459)&gt;2,"ATTEMPT 3+ NOT ALLOWED - policy 300.5 permits one retest per exam; this row records nothing",IF(AND($K1459=2,COUNTIFS(nrES_PID,$D1459,nrES_Code,$F1459,nrES_Att,1)=0),"ATTEMPT 2 WITHOUT ATTEMPT 1",IF(AND($K1459=2,$L1459=""),"RETEST ROW HAS NO SCORE",IF(AND($H1459="Final",$L1459&lt;&gt;"",IFERROR(INDEX(nrCKfinalExamElig,MATCH($D1459,rngCadetPIDs,0)),"")="No"),"FINAL EXAM AFTER FAILED FINAL PT (500.1.H)",IF(AND($K1459=2,ISNUMBER($L1459),COUNTIFS(nrES_PID,$D1459,nrES_Code,$F1459,nrES_Att,1)&gt;0,SUMIFS(nrES_Raw,nrES_PID,$D1459,nrES_Code,$F1459,nrES_Att,1)&gt;=$J1459),"RETEST AFTER A PASSING FIRST ATTEMPT","OK"))))))))))</f>
        <v/>
      </c>
      <c r="Y1459" s="16" t="n"/>
    </row>
    <row r="1460">
      <c r="B1460" s="17">
        <f>IF($C1460="","",$D1460&amp;"-"&amp;$F1460&amp;"-"&amp;$K1460)</f>
        <v/>
      </c>
      <c r="C1460" s="16" t="n"/>
      <c r="D1460" s="17">
        <f>IF($C1460="","",IFERROR(INDEX(rngCadetPIDs,MATCH($C1460,rngCadetNames,0)),"?"))</f>
        <v/>
      </c>
      <c r="E1460" s="17">
        <f>IF($D1460="","",IFERROR(INDEX(nrCadetAgency,MATCH($D1460,rngCadetPIDs,0)),""))</f>
        <v/>
      </c>
      <c r="F1460" s="16" t="n"/>
      <c r="G1460" s="17">
        <f>IF($F1460="","",IFERROR(INDEX(rngEPname,MATCH($F1460,rngEPcode,0)),"?"))</f>
        <v/>
      </c>
      <c r="H1460" s="17">
        <f>IF($F1460="","",IFERROR(INDEX(rngEPtype,MATCH($F1460,rngEPcode,0)),"?"))</f>
        <v/>
      </c>
      <c r="I1460" s="17">
        <f>IF($F1460="","",IFERROR(INDEX(rngEPseq,MATCH($F1460,rngEPcode,0)),""))</f>
        <v/>
      </c>
      <c r="J1460" s="17">
        <f>IF($F1460="","",IFERROR(INDEX(rngEPpass,MATCH($F1460,rngEPcode,0)),cfgPassingScore))</f>
        <v/>
      </c>
      <c r="K1460" s="16" t="n"/>
      <c r="L1460" s="16" t="n"/>
      <c r="M1460" s="17">
        <f>IF($C1460="","",IF($L1460="","",IF(NOT(ISNUMBER($L1460)),$L1460,IF(N($K1460)&gt;2,"",IF($K1460=1,IF(COUNTIFS(nrES_PID,$D1460,nrES_Code,$F1460,nrES_Att,2,nrES_Raw,"&gt;=0")&gt;0,"",$L1460),IF($L1460&gt;=$J1460,MAX($J1460,cfgRetakeRecordedCap),IF(COUNTIFS(nrES_PID,$D1460,nrES_Code,$F1460,nrES_Att,1)=0,$L1460,SUMIFS(nrES_Raw,nrES_PID,$D1460,nrES_Code,$F1460,nrES_Att,1))))))))</f>
        <v/>
      </c>
      <c r="N1460" s="17">
        <f>IF($C1460="","",IF($L1460="","",IF(NOT(ISNUMBER($L1460)),"(not a score)",IF($L1460&gt;=$J1460,"Yes","No"))))</f>
        <v/>
      </c>
      <c r="O1460" s="17">
        <f>IF($C1460="","",IF($M1460="","",IF(NOT(ISNUMBER($M1460)),"(not a score)",IF($M1460&gt;=$J1460,"Yes","No"))))</f>
        <v/>
      </c>
      <c r="P1460" s="17">
        <f>IF($C1460="","",IF($K1460="","",IF(N($K1460)&gt;2,"No",IF(COUNTIFS(nrES_PID,$D1460,nrES_Code,$F1460,nrES_Att,"&gt;"&amp;$K1460,nrES_Att,"&lt;=2",nrES_Raw,"&gt;=0")=0,"Yes","No"))))</f>
        <v/>
      </c>
      <c r="Q1460" s="17">
        <f>IF($C1460="","",IF($L1460="","",IF(AND($K1460=1,ISNUMBER($L1460),$L1460&lt;$J1460,COUNTIFS(nrES_PID,$D1460,nrES_Code,$F1460,nrES_Att,2,nrES_Raw,"&gt;=0")=0),"Yes","No")))</f>
        <v/>
      </c>
      <c r="R1460" s="17">
        <f>IF($C1460="","",IF($L1460="","",IF(AND(N($K1460)&gt;=2,ISNUMBER($L1460),$L1460&lt;$J1460),"Yes","No")))</f>
        <v/>
      </c>
      <c r="S1460" s="18" t="n"/>
      <c r="T1460" s="19">
        <f>IF(OR($C1460="",$L1460="",$K1460&lt;&gt;1,NOT(ISNUMBER($L1460)),$L1460&gt;=$J1460),"",IF($S1460="","(enter date)",_xlfn.LET(_xlpm.dn,_xlfn.XLOOKUP($S1460,nrCDdate,nrCDnum,"",1),IF(_xlpm.dn="","(after last class day)",_xlfn.LET(_xlpm.dd,_xlfn.XLOOKUP(_xlpm.dn+cfgRetestClassDays,nrCDnum,nrCDdate,""),_xlpm.ok,_xlfn.XLOOKUP(_xlpm.dn+cfgRetestClassDays,nrCDnum,nrCDinsession,"No"),IF(OR(_xlpm.dd="",_xlpm.ok&lt;&gt;"Yes"),"(after last class day)",_xlpm.dd))))))</f>
        <v/>
      </c>
      <c r="U1460" s="17">
        <f>IF($C1460="","",IF(AND($Y1460="Excused",$L1460="",N($K1460)&lt;=1),"EXCUSED - 1st attempt pending",IF(OR($L1460="",$K1460&lt;&gt;1,NOT(ISNUMBER($L1460)),$L1460&gt;=$J1460),"",IF(COUNTIFS(nrES_PID,$D1460,nrES_Code,$F1460,nrES_Att,2,nrES_Raw,"&gt;=0")&gt;0,IF(IFERROR(_xlfn.MINIFS(nrES_Date,nrES_PID,$D1460,nrES_Code,$F1460,nrES_Att,2,nrES_Raw,"&gt;=0",nrES_Date,"&gt;0"),0)=0,"RETEST UNDATED",IF(NOT(ISNUMBER($T1460)),"RETEST DATE UNCHECKED",IF(_xlfn.MINIFS(nrES_Date,nrES_PID,$D1460,nrES_Code,$F1460,nrES_Att,2,nrES_Raw,"&gt;=0",nrES_Date,"&gt;0")&gt;$T1460,"LATE RETEST "&amp;TEXT(_xlfn.MINIFS(nrES_Date,nrES_PID,$D1460,nrES_Code,$F1460,nrES_Att,2,nrES_Raw,"&gt;=0",nrES_Date,"&gt;0"),"mm/dd")&amp;" (due "&amp;TEXT($T1460,"mm/dd")&amp;")","Retested"))),IF(NOT(ISNUMBER($T1460)),"CHECK DATE",IF(TODAY()&gt;$T1460,"OVERDUE","Due "&amp;TEXT($T1460,"mm/dd")))))))</f>
        <v/>
      </c>
      <c r="V1460" s="16" t="n"/>
      <c r="W1460" s="16" t="n"/>
      <c r="X1460" s="17">
        <f>IF($C1460="","",IF(AND($L1460&lt;&gt;"",NOT(ISNUMBER($L1460))),"RAW SCORE NOT A NUMBER",IF(AND(ISNUMBER($L1460),OR($L1460&lt;0,$L1460&gt;100)),"RAW SCORE OUT OF RANGE",IF(AND($Y1460="Unexcused",OR($L1460="",NOT(ISNUMBER($L1460)),$L1460&lt;&gt;0)),"UNEXCUSED ABSENCE MUST RECORD 0",IF(COUNTIF(nrES_RecID,$B1460)&gt;1,"DUPLICATE RECORD",IF(N($K1460)&gt;2,"ATTEMPT 3+ NOT ALLOWED - policy 300.5 permits one retest per exam; this row records nothing",IF(AND($K1460=2,COUNTIFS(nrES_PID,$D1460,nrES_Code,$F1460,nrES_Att,1)=0),"ATTEMPT 2 WITHOUT ATTEMPT 1",IF(AND($K1460=2,$L1460=""),"RETEST ROW HAS NO SCORE",IF(AND($H1460="Final",$L1460&lt;&gt;"",IFERROR(INDEX(nrCKfinalExamElig,MATCH($D1460,rngCadetPIDs,0)),"")="No"),"FINAL EXAM AFTER FAILED FINAL PT (500.1.H)",IF(AND($K1460=2,ISNUMBER($L1460),COUNTIFS(nrES_PID,$D1460,nrES_Code,$F1460,nrES_Att,1)&gt;0,SUMIFS(nrES_Raw,nrES_PID,$D1460,nrES_Code,$F1460,nrES_Att,1)&gt;=$J1460),"RETEST AFTER A PASSING FIRST ATTEMPT","OK"))))))))))</f>
        <v/>
      </c>
      <c r="Y1460" s="16" t="n"/>
    </row>
    <row r="1461">
      <c r="B1461" s="17">
        <f>IF($C1461="","",$D1461&amp;"-"&amp;$F1461&amp;"-"&amp;$K1461)</f>
        <v/>
      </c>
      <c r="C1461" s="16" t="n"/>
      <c r="D1461" s="17">
        <f>IF($C1461="","",IFERROR(INDEX(rngCadetPIDs,MATCH($C1461,rngCadetNames,0)),"?"))</f>
        <v/>
      </c>
      <c r="E1461" s="17">
        <f>IF($D1461="","",IFERROR(INDEX(nrCadetAgency,MATCH($D1461,rngCadetPIDs,0)),""))</f>
        <v/>
      </c>
      <c r="F1461" s="16" t="n"/>
      <c r="G1461" s="17">
        <f>IF($F1461="","",IFERROR(INDEX(rngEPname,MATCH($F1461,rngEPcode,0)),"?"))</f>
        <v/>
      </c>
      <c r="H1461" s="17">
        <f>IF($F1461="","",IFERROR(INDEX(rngEPtype,MATCH($F1461,rngEPcode,0)),"?"))</f>
        <v/>
      </c>
      <c r="I1461" s="17">
        <f>IF($F1461="","",IFERROR(INDEX(rngEPseq,MATCH($F1461,rngEPcode,0)),""))</f>
        <v/>
      </c>
      <c r="J1461" s="17">
        <f>IF($F1461="","",IFERROR(INDEX(rngEPpass,MATCH($F1461,rngEPcode,0)),cfgPassingScore))</f>
        <v/>
      </c>
      <c r="K1461" s="16" t="n"/>
      <c r="L1461" s="16" t="n"/>
      <c r="M1461" s="17">
        <f>IF($C1461="","",IF($L1461="","",IF(NOT(ISNUMBER($L1461)),$L1461,IF(N($K1461)&gt;2,"",IF($K1461=1,IF(COUNTIFS(nrES_PID,$D1461,nrES_Code,$F1461,nrES_Att,2,nrES_Raw,"&gt;=0")&gt;0,"",$L1461),IF($L1461&gt;=$J1461,MAX($J1461,cfgRetakeRecordedCap),IF(COUNTIFS(nrES_PID,$D1461,nrES_Code,$F1461,nrES_Att,1)=0,$L1461,SUMIFS(nrES_Raw,nrES_PID,$D1461,nrES_Code,$F1461,nrES_Att,1))))))))</f>
        <v/>
      </c>
      <c r="N1461" s="17">
        <f>IF($C1461="","",IF($L1461="","",IF(NOT(ISNUMBER($L1461)),"(not a score)",IF($L1461&gt;=$J1461,"Yes","No"))))</f>
        <v/>
      </c>
      <c r="O1461" s="17">
        <f>IF($C1461="","",IF($M1461="","",IF(NOT(ISNUMBER($M1461)),"(not a score)",IF($M1461&gt;=$J1461,"Yes","No"))))</f>
        <v/>
      </c>
      <c r="P1461" s="17">
        <f>IF($C1461="","",IF($K1461="","",IF(N($K1461)&gt;2,"No",IF(COUNTIFS(nrES_PID,$D1461,nrES_Code,$F1461,nrES_Att,"&gt;"&amp;$K1461,nrES_Att,"&lt;=2",nrES_Raw,"&gt;=0")=0,"Yes","No"))))</f>
        <v/>
      </c>
      <c r="Q1461" s="17">
        <f>IF($C1461="","",IF($L1461="","",IF(AND($K1461=1,ISNUMBER($L1461),$L1461&lt;$J1461,COUNTIFS(nrES_PID,$D1461,nrES_Code,$F1461,nrES_Att,2,nrES_Raw,"&gt;=0")=0),"Yes","No")))</f>
        <v/>
      </c>
      <c r="R1461" s="17">
        <f>IF($C1461="","",IF($L1461="","",IF(AND(N($K1461)&gt;=2,ISNUMBER($L1461),$L1461&lt;$J1461),"Yes","No")))</f>
        <v/>
      </c>
      <c r="S1461" s="18" t="n"/>
      <c r="T1461" s="19">
        <f>IF(OR($C1461="",$L1461="",$K1461&lt;&gt;1,NOT(ISNUMBER($L1461)),$L1461&gt;=$J1461),"",IF($S1461="","(enter date)",_xlfn.LET(_xlpm.dn,_xlfn.XLOOKUP($S1461,nrCDdate,nrCDnum,"",1),IF(_xlpm.dn="","(after last class day)",_xlfn.LET(_xlpm.dd,_xlfn.XLOOKUP(_xlpm.dn+cfgRetestClassDays,nrCDnum,nrCDdate,""),_xlpm.ok,_xlfn.XLOOKUP(_xlpm.dn+cfgRetestClassDays,nrCDnum,nrCDinsession,"No"),IF(OR(_xlpm.dd="",_xlpm.ok&lt;&gt;"Yes"),"(after last class day)",_xlpm.dd))))))</f>
        <v/>
      </c>
      <c r="U1461" s="17">
        <f>IF($C1461="","",IF(AND($Y1461="Excused",$L1461="",N($K1461)&lt;=1),"EXCUSED - 1st attempt pending",IF(OR($L1461="",$K1461&lt;&gt;1,NOT(ISNUMBER($L1461)),$L1461&gt;=$J1461),"",IF(COUNTIFS(nrES_PID,$D1461,nrES_Code,$F1461,nrES_Att,2,nrES_Raw,"&gt;=0")&gt;0,IF(IFERROR(_xlfn.MINIFS(nrES_Date,nrES_PID,$D1461,nrES_Code,$F1461,nrES_Att,2,nrES_Raw,"&gt;=0",nrES_Date,"&gt;0"),0)=0,"RETEST UNDATED",IF(NOT(ISNUMBER($T1461)),"RETEST DATE UNCHECKED",IF(_xlfn.MINIFS(nrES_Date,nrES_PID,$D1461,nrES_Code,$F1461,nrES_Att,2,nrES_Raw,"&gt;=0",nrES_Date,"&gt;0")&gt;$T1461,"LATE RETEST "&amp;TEXT(_xlfn.MINIFS(nrES_Date,nrES_PID,$D1461,nrES_Code,$F1461,nrES_Att,2,nrES_Raw,"&gt;=0",nrES_Date,"&gt;0"),"mm/dd")&amp;" (due "&amp;TEXT($T1461,"mm/dd")&amp;")","Retested"))),IF(NOT(ISNUMBER($T1461)),"CHECK DATE",IF(TODAY()&gt;$T1461,"OVERDUE","Due "&amp;TEXT($T1461,"mm/dd")))))))</f>
        <v/>
      </c>
      <c r="V1461" s="16" t="n"/>
      <c r="W1461" s="16" t="n"/>
      <c r="X1461" s="17">
        <f>IF($C1461="","",IF(AND($L1461&lt;&gt;"",NOT(ISNUMBER($L1461))),"RAW SCORE NOT A NUMBER",IF(AND(ISNUMBER($L1461),OR($L1461&lt;0,$L1461&gt;100)),"RAW SCORE OUT OF RANGE",IF(AND($Y1461="Unexcused",OR($L1461="",NOT(ISNUMBER($L1461)),$L1461&lt;&gt;0)),"UNEXCUSED ABSENCE MUST RECORD 0",IF(COUNTIF(nrES_RecID,$B1461)&gt;1,"DUPLICATE RECORD",IF(N($K1461)&gt;2,"ATTEMPT 3+ NOT ALLOWED - policy 300.5 permits one retest per exam; this row records nothing",IF(AND($K1461=2,COUNTIFS(nrES_PID,$D1461,nrES_Code,$F1461,nrES_Att,1)=0),"ATTEMPT 2 WITHOUT ATTEMPT 1",IF(AND($K1461=2,$L1461=""),"RETEST ROW HAS NO SCORE",IF(AND($H1461="Final",$L1461&lt;&gt;"",IFERROR(INDEX(nrCKfinalExamElig,MATCH($D1461,rngCadetPIDs,0)),"")="No"),"FINAL EXAM AFTER FAILED FINAL PT (500.1.H)",IF(AND($K1461=2,ISNUMBER($L1461),COUNTIFS(nrES_PID,$D1461,nrES_Code,$F1461,nrES_Att,1)&gt;0,SUMIFS(nrES_Raw,nrES_PID,$D1461,nrES_Code,$F1461,nrES_Att,1)&gt;=$J1461),"RETEST AFTER A PASSING FIRST ATTEMPT","OK"))))))))))</f>
        <v/>
      </c>
      <c r="Y1461" s="16" t="n"/>
    </row>
    <row r="1462">
      <c r="B1462" s="17">
        <f>IF($C1462="","",$D1462&amp;"-"&amp;$F1462&amp;"-"&amp;$K1462)</f>
        <v/>
      </c>
      <c r="C1462" s="16" t="n"/>
      <c r="D1462" s="17">
        <f>IF($C1462="","",IFERROR(INDEX(rngCadetPIDs,MATCH($C1462,rngCadetNames,0)),"?"))</f>
        <v/>
      </c>
      <c r="E1462" s="17">
        <f>IF($D1462="","",IFERROR(INDEX(nrCadetAgency,MATCH($D1462,rngCadetPIDs,0)),""))</f>
        <v/>
      </c>
      <c r="F1462" s="16" t="n"/>
      <c r="G1462" s="17">
        <f>IF($F1462="","",IFERROR(INDEX(rngEPname,MATCH($F1462,rngEPcode,0)),"?"))</f>
        <v/>
      </c>
      <c r="H1462" s="17">
        <f>IF($F1462="","",IFERROR(INDEX(rngEPtype,MATCH($F1462,rngEPcode,0)),"?"))</f>
        <v/>
      </c>
      <c r="I1462" s="17">
        <f>IF($F1462="","",IFERROR(INDEX(rngEPseq,MATCH($F1462,rngEPcode,0)),""))</f>
        <v/>
      </c>
      <c r="J1462" s="17">
        <f>IF($F1462="","",IFERROR(INDEX(rngEPpass,MATCH($F1462,rngEPcode,0)),cfgPassingScore))</f>
        <v/>
      </c>
      <c r="K1462" s="16" t="n"/>
      <c r="L1462" s="16" t="n"/>
      <c r="M1462" s="17">
        <f>IF($C1462="","",IF($L1462="","",IF(NOT(ISNUMBER($L1462)),$L1462,IF(N($K1462)&gt;2,"",IF($K1462=1,IF(COUNTIFS(nrES_PID,$D1462,nrES_Code,$F1462,nrES_Att,2,nrES_Raw,"&gt;=0")&gt;0,"",$L1462),IF($L1462&gt;=$J1462,MAX($J1462,cfgRetakeRecordedCap),IF(COUNTIFS(nrES_PID,$D1462,nrES_Code,$F1462,nrES_Att,1)=0,$L1462,SUMIFS(nrES_Raw,nrES_PID,$D1462,nrES_Code,$F1462,nrES_Att,1))))))))</f>
        <v/>
      </c>
      <c r="N1462" s="17">
        <f>IF($C1462="","",IF($L1462="","",IF(NOT(ISNUMBER($L1462)),"(not a score)",IF($L1462&gt;=$J1462,"Yes","No"))))</f>
        <v/>
      </c>
      <c r="O1462" s="17">
        <f>IF($C1462="","",IF($M1462="","",IF(NOT(ISNUMBER($M1462)),"(not a score)",IF($M1462&gt;=$J1462,"Yes","No"))))</f>
        <v/>
      </c>
      <c r="P1462" s="17">
        <f>IF($C1462="","",IF($K1462="","",IF(N($K1462)&gt;2,"No",IF(COUNTIFS(nrES_PID,$D1462,nrES_Code,$F1462,nrES_Att,"&gt;"&amp;$K1462,nrES_Att,"&lt;=2",nrES_Raw,"&gt;=0")=0,"Yes","No"))))</f>
        <v/>
      </c>
      <c r="Q1462" s="17">
        <f>IF($C1462="","",IF($L1462="","",IF(AND($K1462=1,ISNUMBER($L1462),$L1462&lt;$J1462,COUNTIFS(nrES_PID,$D1462,nrES_Code,$F1462,nrES_Att,2,nrES_Raw,"&gt;=0")=0),"Yes","No")))</f>
        <v/>
      </c>
      <c r="R1462" s="17">
        <f>IF($C1462="","",IF($L1462="","",IF(AND(N($K1462)&gt;=2,ISNUMBER($L1462),$L1462&lt;$J1462),"Yes","No")))</f>
        <v/>
      </c>
      <c r="S1462" s="18" t="n"/>
      <c r="T1462" s="19">
        <f>IF(OR($C1462="",$L1462="",$K1462&lt;&gt;1,NOT(ISNUMBER($L1462)),$L1462&gt;=$J1462),"",IF($S1462="","(enter date)",_xlfn.LET(_xlpm.dn,_xlfn.XLOOKUP($S1462,nrCDdate,nrCDnum,"",1),IF(_xlpm.dn="","(after last class day)",_xlfn.LET(_xlpm.dd,_xlfn.XLOOKUP(_xlpm.dn+cfgRetestClassDays,nrCDnum,nrCDdate,""),_xlpm.ok,_xlfn.XLOOKUP(_xlpm.dn+cfgRetestClassDays,nrCDnum,nrCDinsession,"No"),IF(OR(_xlpm.dd="",_xlpm.ok&lt;&gt;"Yes"),"(after last class day)",_xlpm.dd))))))</f>
        <v/>
      </c>
      <c r="U1462" s="17">
        <f>IF($C1462="","",IF(AND($Y1462="Excused",$L1462="",N($K1462)&lt;=1),"EXCUSED - 1st attempt pending",IF(OR($L1462="",$K1462&lt;&gt;1,NOT(ISNUMBER($L1462)),$L1462&gt;=$J1462),"",IF(COUNTIFS(nrES_PID,$D1462,nrES_Code,$F1462,nrES_Att,2,nrES_Raw,"&gt;=0")&gt;0,IF(IFERROR(_xlfn.MINIFS(nrES_Date,nrES_PID,$D1462,nrES_Code,$F1462,nrES_Att,2,nrES_Raw,"&gt;=0",nrES_Date,"&gt;0"),0)=0,"RETEST UNDATED",IF(NOT(ISNUMBER($T1462)),"RETEST DATE UNCHECKED",IF(_xlfn.MINIFS(nrES_Date,nrES_PID,$D1462,nrES_Code,$F1462,nrES_Att,2,nrES_Raw,"&gt;=0",nrES_Date,"&gt;0")&gt;$T1462,"LATE RETEST "&amp;TEXT(_xlfn.MINIFS(nrES_Date,nrES_PID,$D1462,nrES_Code,$F1462,nrES_Att,2,nrES_Raw,"&gt;=0",nrES_Date,"&gt;0"),"mm/dd")&amp;" (due "&amp;TEXT($T1462,"mm/dd")&amp;")","Retested"))),IF(NOT(ISNUMBER($T1462)),"CHECK DATE",IF(TODAY()&gt;$T1462,"OVERDUE","Due "&amp;TEXT($T1462,"mm/dd")))))))</f>
        <v/>
      </c>
      <c r="V1462" s="16" t="n"/>
      <c r="W1462" s="16" t="n"/>
      <c r="X1462" s="17">
        <f>IF($C1462="","",IF(AND($L1462&lt;&gt;"",NOT(ISNUMBER($L1462))),"RAW SCORE NOT A NUMBER",IF(AND(ISNUMBER($L1462),OR($L1462&lt;0,$L1462&gt;100)),"RAW SCORE OUT OF RANGE",IF(AND($Y1462="Unexcused",OR($L1462="",NOT(ISNUMBER($L1462)),$L1462&lt;&gt;0)),"UNEXCUSED ABSENCE MUST RECORD 0",IF(COUNTIF(nrES_RecID,$B1462)&gt;1,"DUPLICATE RECORD",IF(N($K1462)&gt;2,"ATTEMPT 3+ NOT ALLOWED - policy 300.5 permits one retest per exam; this row records nothing",IF(AND($K1462=2,COUNTIFS(nrES_PID,$D1462,nrES_Code,$F1462,nrES_Att,1)=0),"ATTEMPT 2 WITHOUT ATTEMPT 1",IF(AND($K1462=2,$L1462=""),"RETEST ROW HAS NO SCORE",IF(AND($H1462="Final",$L1462&lt;&gt;"",IFERROR(INDEX(nrCKfinalExamElig,MATCH($D1462,rngCadetPIDs,0)),"")="No"),"FINAL EXAM AFTER FAILED FINAL PT (500.1.H)",IF(AND($K1462=2,ISNUMBER($L1462),COUNTIFS(nrES_PID,$D1462,nrES_Code,$F1462,nrES_Att,1)&gt;0,SUMIFS(nrES_Raw,nrES_PID,$D1462,nrES_Code,$F1462,nrES_Att,1)&gt;=$J1462),"RETEST AFTER A PASSING FIRST ATTEMPT","OK"))))))))))</f>
        <v/>
      </c>
      <c r="Y1462" s="16" t="n"/>
    </row>
    <row r="1463">
      <c r="B1463" s="17">
        <f>IF($C1463="","",$D1463&amp;"-"&amp;$F1463&amp;"-"&amp;$K1463)</f>
        <v/>
      </c>
      <c r="C1463" s="16" t="n"/>
      <c r="D1463" s="17">
        <f>IF($C1463="","",IFERROR(INDEX(rngCadetPIDs,MATCH($C1463,rngCadetNames,0)),"?"))</f>
        <v/>
      </c>
      <c r="E1463" s="17">
        <f>IF($D1463="","",IFERROR(INDEX(nrCadetAgency,MATCH($D1463,rngCadetPIDs,0)),""))</f>
        <v/>
      </c>
      <c r="F1463" s="16" t="n"/>
      <c r="G1463" s="17">
        <f>IF($F1463="","",IFERROR(INDEX(rngEPname,MATCH($F1463,rngEPcode,0)),"?"))</f>
        <v/>
      </c>
      <c r="H1463" s="17">
        <f>IF($F1463="","",IFERROR(INDEX(rngEPtype,MATCH($F1463,rngEPcode,0)),"?"))</f>
        <v/>
      </c>
      <c r="I1463" s="17">
        <f>IF($F1463="","",IFERROR(INDEX(rngEPseq,MATCH($F1463,rngEPcode,0)),""))</f>
        <v/>
      </c>
      <c r="J1463" s="17">
        <f>IF($F1463="","",IFERROR(INDEX(rngEPpass,MATCH($F1463,rngEPcode,0)),cfgPassingScore))</f>
        <v/>
      </c>
      <c r="K1463" s="16" t="n"/>
      <c r="L1463" s="16" t="n"/>
      <c r="M1463" s="17">
        <f>IF($C1463="","",IF($L1463="","",IF(NOT(ISNUMBER($L1463)),$L1463,IF(N($K1463)&gt;2,"",IF($K1463=1,IF(COUNTIFS(nrES_PID,$D1463,nrES_Code,$F1463,nrES_Att,2,nrES_Raw,"&gt;=0")&gt;0,"",$L1463),IF($L1463&gt;=$J1463,MAX($J1463,cfgRetakeRecordedCap),IF(COUNTIFS(nrES_PID,$D1463,nrES_Code,$F1463,nrES_Att,1)=0,$L1463,SUMIFS(nrES_Raw,nrES_PID,$D1463,nrES_Code,$F1463,nrES_Att,1))))))))</f>
        <v/>
      </c>
      <c r="N1463" s="17">
        <f>IF($C1463="","",IF($L1463="","",IF(NOT(ISNUMBER($L1463)),"(not a score)",IF($L1463&gt;=$J1463,"Yes","No"))))</f>
        <v/>
      </c>
      <c r="O1463" s="17">
        <f>IF($C1463="","",IF($M1463="","",IF(NOT(ISNUMBER($M1463)),"(not a score)",IF($M1463&gt;=$J1463,"Yes","No"))))</f>
        <v/>
      </c>
      <c r="P1463" s="17">
        <f>IF($C1463="","",IF($K1463="","",IF(N($K1463)&gt;2,"No",IF(COUNTIFS(nrES_PID,$D1463,nrES_Code,$F1463,nrES_Att,"&gt;"&amp;$K1463,nrES_Att,"&lt;=2",nrES_Raw,"&gt;=0")=0,"Yes","No"))))</f>
        <v/>
      </c>
      <c r="Q1463" s="17">
        <f>IF($C1463="","",IF($L1463="","",IF(AND($K1463=1,ISNUMBER($L1463),$L1463&lt;$J1463,COUNTIFS(nrES_PID,$D1463,nrES_Code,$F1463,nrES_Att,2,nrES_Raw,"&gt;=0")=0),"Yes","No")))</f>
        <v/>
      </c>
      <c r="R1463" s="17">
        <f>IF($C1463="","",IF($L1463="","",IF(AND(N($K1463)&gt;=2,ISNUMBER($L1463),$L1463&lt;$J1463),"Yes","No")))</f>
        <v/>
      </c>
      <c r="S1463" s="18" t="n"/>
      <c r="T1463" s="19">
        <f>IF(OR($C1463="",$L1463="",$K1463&lt;&gt;1,NOT(ISNUMBER($L1463)),$L1463&gt;=$J1463),"",IF($S1463="","(enter date)",_xlfn.LET(_xlpm.dn,_xlfn.XLOOKUP($S1463,nrCDdate,nrCDnum,"",1),IF(_xlpm.dn="","(after last class day)",_xlfn.LET(_xlpm.dd,_xlfn.XLOOKUP(_xlpm.dn+cfgRetestClassDays,nrCDnum,nrCDdate,""),_xlpm.ok,_xlfn.XLOOKUP(_xlpm.dn+cfgRetestClassDays,nrCDnum,nrCDinsession,"No"),IF(OR(_xlpm.dd="",_xlpm.ok&lt;&gt;"Yes"),"(after last class day)",_xlpm.dd))))))</f>
        <v/>
      </c>
      <c r="U1463" s="17">
        <f>IF($C1463="","",IF(AND($Y1463="Excused",$L1463="",N($K1463)&lt;=1),"EXCUSED - 1st attempt pending",IF(OR($L1463="",$K1463&lt;&gt;1,NOT(ISNUMBER($L1463)),$L1463&gt;=$J1463),"",IF(COUNTIFS(nrES_PID,$D1463,nrES_Code,$F1463,nrES_Att,2,nrES_Raw,"&gt;=0")&gt;0,IF(IFERROR(_xlfn.MINIFS(nrES_Date,nrES_PID,$D1463,nrES_Code,$F1463,nrES_Att,2,nrES_Raw,"&gt;=0",nrES_Date,"&gt;0"),0)=0,"RETEST UNDATED",IF(NOT(ISNUMBER($T1463)),"RETEST DATE UNCHECKED",IF(_xlfn.MINIFS(nrES_Date,nrES_PID,$D1463,nrES_Code,$F1463,nrES_Att,2,nrES_Raw,"&gt;=0",nrES_Date,"&gt;0")&gt;$T1463,"LATE RETEST "&amp;TEXT(_xlfn.MINIFS(nrES_Date,nrES_PID,$D1463,nrES_Code,$F1463,nrES_Att,2,nrES_Raw,"&gt;=0",nrES_Date,"&gt;0"),"mm/dd")&amp;" (due "&amp;TEXT($T1463,"mm/dd")&amp;")","Retested"))),IF(NOT(ISNUMBER($T1463)),"CHECK DATE",IF(TODAY()&gt;$T1463,"OVERDUE","Due "&amp;TEXT($T1463,"mm/dd")))))))</f>
        <v/>
      </c>
      <c r="V1463" s="16" t="n"/>
      <c r="W1463" s="16" t="n"/>
      <c r="X1463" s="17">
        <f>IF($C1463="","",IF(AND($L1463&lt;&gt;"",NOT(ISNUMBER($L1463))),"RAW SCORE NOT A NUMBER",IF(AND(ISNUMBER($L1463),OR($L1463&lt;0,$L1463&gt;100)),"RAW SCORE OUT OF RANGE",IF(AND($Y1463="Unexcused",OR($L1463="",NOT(ISNUMBER($L1463)),$L1463&lt;&gt;0)),"UNEXCUSED ABSENCE MUST RECORD 0",IF(COUNTIF(nrES_RecID,$B1463)&gt;1,"DUPLICATE RECORD",IF(N($K1463)&gt;2,"ATTEMPT 3+ NOT ALLOWED - policy 300.5 permits one retest per exam; this row records nothing",IF(AND($K1463=2,COUNTIFS(nrES_PID,$D1463,nrES_Code,$F1463,nrES_Att,1)=0),"ATTEMPT 2 WITHOUT ATTEMPT 1",IF(AND($K1463=2,$L1463=""),"RETEST ROW HAS NO SCORE",IF(AND($H1463="Final",$L1463&lt;&gt;"",IFERROR(INDEX(nrCKfinalExamElig,MATCH($D1463,rngCadetPIDs,0)),"")="No"),"FINAL EXAM AFTER FAILED FINAL PT (500.1.H)",IF(AND($K1463=2,ISNUMBER($L1463),COUNTIFS(nrES_PID,$D1463,nrES_Code,$F1463,nrES_Att,1)&gt;0,SUMIFS(nrES_Raw,nrES_PID,$D1463,nrES_Code,$F1463,nrES_Att,1)&gt;=$J1463),"RETEST AFTER A PASSING FIRST ATTEMPT","OK"))))))))))</f>
        <v/>
      </c>
      <c r="Y1463" s="16" t="n"/>
    </row>
    <row r="1464">
      <c r="B1464" s="17">
        <f>IF($C1464="","",$D1464&amp;"-"&amp;$F1464&amp;"-"&amp;$K1464)</f>
        <v/>
      </c>
      <c r="C1464" s="16" t="n"/>
      <c r="D1464" s="17">
        <f>IF($C1464="","",IFERROR(INDEX(rngCadetPIDs,MATCH($C1464,rngCadetNames,0)),"?"))</f>
        <v/>
      </c>
      <c r="E1464" s="17">
        <f>IF($D1464="","",IFERROR(INDEX(nrCadetAgency,MATCH($D1464,rngCadetPIDs,0)),""))</f>
        <v/>
      </c>
      <c r="F1464" s="16" t="n"/>
      <c r="G1464" s="17">
        <f>IF($F1464="","",IFERROR(INDEX(rngEPname,MATCH($F1464,rngEPcode,0)),"?"))</f>
        <v/>
      </c>
      <c r="H1464" s="17">
        <f>IF($F1464="","",IFERROR(INDEX(rngEPtype,MATCH($F1464,rngEPcode,0)),"?"))</f>
        <v/>
      </c>
      <c r="I1464" s="17">
        <f>IF($F1464="","",IFERROR(INDEX(rngEPseq,MATCH($F1464,rngEPcode,0)),""))</f>
        <v/>
      </c>
      <c r="J1464" s="17">
        <f>IF($F1464="","",IFERROR(INDEX(rngEPpass,MATCH($F1464,rngEPcode,0)),cfgPassingScore))</f>
        <v/>
      </c>
      <c r="K1464" s="16" t="n"/>
      <c r="L1464" s="16" t="n"/>
      <c r="M1464" s="17">
        <f>IF($C1464="","",IF($L1464="","",IF(NOT(ISNUMBER($L1464)),$L1464,IF(N($K1464)&gt;2,"",IF($K1464=1,IF(COUNTIFS(nrES_PID,$D1464,nrES_Code,$F1464,nrES_Att,2,nrES_Raw,"&gt;=0")&gt;0,"",$L1464),IF($L1464&gt;=$J1464,MAX($J1464,cfgRetakeRecordedCap),IF(COUNTIFS(nrES_PID,$D1464,nrES_Code,$F1464,nrES_Att,1)=0,$L1464,SUMIFS(nrES_Raw,nrES_PID,$D1464,nrES_Code,$F1464,nrES_Att,1))))))))</f>
        <v/>
      </c>
      <c r="N1464" s="17">
        <f>IF($C1464="","",IF($L1464="","",IF(NOT(ISNUMBER($L1464)),"(not a score)",IF($L1464&gt;=$J1464,"Yes","No"))))</f>
        <v/>
      </c>
      <c r="O1464" s="17">
        <f>IF($C1464="","",IF($M1464="","",IF(NOT(ISNUMBER($M1464)),"(not a score)",IF($M1464&gt;=$J1464,"Yes","No"))))</f>
        <v/>
      </c>
      <c r="P1464" s="17">
        <f>IF($C1464="","",IF($K1464="","",IF(N($K1464)&gt;2,"No",IF(COUNTIFS(nrES_PID,$D1464,nrES_Code,$F1464,nrES_Att,"&gt;"&amp;$K1464,nrES_Att,"&lt;=2",nrES_Raw,"&gt;=0")=0,"Yes","No"))))</f>
        <v/>
      </c>
      <c r="Q1464" s="17">
        <f>IF($C1464="","",IF($L1464="","",IF(AND($K1464=1,ISNUMBER($L1464),$L1464&lt;$J1464,COUNTIFS(nrES_PID,$D1464,nrES_Code,$F1464,nrES_Att,2,nrES_Raw,"&gt;=0")=0),"Yes","No")))</f>
        <v/>
      </c>
      <c r="R1464" s="17">
        <f>IF($C1464="","",IF($L1464="","",IF(AND(N($K1464)&gt;=2,ISNUMBER($L1464),$L1464&lt;$J1464),"Yes","No")))</f>
        <v/>
      </c>
      <c r="S1464" s="18" t="n"/>
      <c r="T1464" s="19">
        <f>IF(OR($C1464="",$L1464="",$K1464&lt;&gt;1,NOT(ISNUMBER($L1464)),$L1464&gt;=$J1464),"",IF($S1464="","(enter date)",_xlfn.LET(_xlpm.dn,_xlfn.XLOOKUP($S1464,nrCDdate,nrCDnum,"",1),IF(_xlpm.dn="","(after last class day)",_xlfn.LET(_xlpm.dd,_xlfn.XLOOKUP(_xlpm.dn+cfgRetestClassDays,nrCDnum,nrCDdate,""),_xlpm.ok,_xlfn.XLOOKUP(_xlpm.dn+cfgRetestClassDays,nrCDnum,nrCDinsession,"No"),IF(OR(_xlpm.dd="",_xlpm.ok&lt;&gt;"Yes"),"(after last class day)",_xlpm.dd))))))</f>
        <v/>
      </c>
      <c r="U1464" s="17">
        <f>IF($C1464="","",IF(AND($Y1464="Excused",$L1464="",N($K1464)&lt;=1),"EXCUSED - 1st attempt pending",IF(OR($L1464="",$K1464&lt;&gt;1,NOT(ISNUMBER($L1464)),$L1464&gt;=$J1464),"",IF(COUNTIFS(nrES_PID,$D1464,nrES_Code,$F1464,nrES_Att,2,nrES_Raw,"&gt;=0")&gt;0,IF(IFERROR(_xlfn.MINIFS(nrES_Date,nrES_PID,$D1464,nrES_Code,$F1464,nrES_Att,2,nrES_Raw,"&gt;=0",nrES_Date,"&gt;0"),0)=0,"RETEST UNDATED",IF(NOT(ISNUMBER($T1464)),"RETEST DATE UNCHECKED",IF(_xlfn.MINIFS(nrES_Date,nrES_PID,$D1464,nrES_Code,$F1464,nrES_Att,2,nrES_Raw,"&gt;=0",nrES_Date,"&gt;0")&gt;$T1464,"LATE RETEST "&amp;TEXT(_xlfn.MINIFS(nrES_Date,nrES_PID,$D1464,nrES_Code,$F1464,nrES_Att,2,nrES_Raw,"&gt;=0",nrES_Date,"&gt;0"),"mm/dd")&amp;" (due "&amp;TEXT($T1464,"mm/dd")&amp;")","Retested"))),IF(NOT(ISNUMBER($T1464)),"CHECK DATE",IF(TODAY()&gt;$T1464,"OVERDUE","Due "&amp;TEXT($T1464,"mm/dd")))))))</f>
        <v/>
      </c>
      <c r="V1464" s="16" t="n"/>
      <c r="W1464" s="16" t="n"/>
      <c r="X1464" s="17">
        <f>IF($C1464="","",IF(AND($L1464&lt;&gt;"",NOT(ISNUMBER($L1464))),"RAW SCORE NOT A NUMBER",IF(AND(ISNUMBER($L1464),OR($L1464&lt;0,$L1464&gt;100)),"RAW SCORE OUT OF RANGE",IF(AND($Y1464="Unexcused",OR($L1464="",NOT(ISNUMBER($L1464)),$L1464&lt;&gt;0)),"UNEXCUSED ABSENCE MUST RECORD 0",IF(COUNTIF(nrES_RecID,$B1464)&gt;1,"DUPLICATE RECORD",IF(N($K1464)&gt;2,"ATTEMPT 3+ NOT ALLOWED - policy 300.5 permits one retest per exam; this row records nothing",IF(AND($K1464=2,COUNTIFS(nrES_PID,$D1464,nrES_Code,$F1464,nrES_Att,1)=0),"ATTEMPT 2 WITHOUT ATTEMPT 1",IF(AND($K1464=2,$L1464=""),"RETEST ROW HAS NO SCORE",IF(AND($H1464="Final",$L1464&lt;&gt;"",IFERROR(INDEX(nrCKfinalExamElig,MATCH($D1464,rngCadetPIDs,0)),"")="No"),"FINAL EXAM AFTER FAILED FINAL PT (500.1.H)",IF(AND($K1464=2,ISNUMBER($L1464),COUNTIFS(nrES_PID,$D1464,nrES_Code,$F1464,nrES_Att,1)&gt;0,SUMIFS(nrES_Raw,nrES_PID,$D1464,nrES_Code,$F1464,nrES_Att,1)&gt;=$J1464),"RETEST AFTER A PASSING FIRST ATTEMPT","OK"))))))))))</f>
        <v/>
      </c>
      <c r="Y1464" s="16" t="n"/>
    </row>
    <row r="1465">
      <c r="B1465" s="17">
        <f>IF($C1465="","",$D1465&amp;"-"&amp;$F1465&amp;"-"&amp;$K1465)</f>
        <v/>
      </c>
      <c r="C1465" s="16" t="n"/>
      <c r="D1465" s="17">
        <f>IF($C1465="","",IFERROR(INDEX(rngCadetPIDs,MATCH($C1465,rngCadetNames,0)),"?"))</f>
        <v/>
      </c>
      <c r="E1465" s="17">
        <f>IF($D1465="","",IFERROR(INDEX(nrCadetAgency,MATCH($D1465,rngCadetPIDs,0)),""))</f>
        <v/>
      </c>
      <c r="F1465" s="16" t="n"/>
      <c r="G1465" s="17">
        <f>IF($F1465="","",IFERROR(INDEX(rngEPname,MATCH($F1465,rngEPcode,0)),"?"))</f>
        <v/>
      </c>
      <c r="H1465" s="17">
        <f>IF($F1465="","",IFERROR(INDEX(rngEPtype,MATCH($F1465,rngEPcode,0)),"?"))</f>
        <v/>
      </c>
      <c r="I1465" s="17">
        <f>IF($F1465="","",IFERROR(INDEX(rngEPseq,MATCH($F1465,rngEPcode,0)),""))</f>
        <v/>
      </c>
      <c r="J1465" s="17">
        <f>IF($F1465="","",IFERROR(INDEX(rngEPpass,MATCH($F1465,rngEPcode,0)),cfgPassingScore))</f>
        <v/>
      </c>
      <c r="K1465" s="16" t="n"/>
      <c r="L1465" s="16" t="n"/>
      <c r="M1465" s="17">
        <f>IF($C1465="","",IF($L1465="","",IF(NOT(ISNUMBER($L1465)),$L1465,IF(N($K1465)&gt;2,"",IF($K1465=1,IF(COUNTIFS(nrES_PID,$D1465,nrES_Code,$F1465,nrES_Att,2,nrES_Raw,"&gt;=0")&gt;0,"",$L1465),IF($L1465&gt;=$J1465,MAX($J1465,cfgRetakeRecordedCap),IF(COUNTIFS(nrES_PID,$D1465,nrES_Code,$F1465,nrES_Att,1)=0,$L1465,SUMIFS(nrES_Raw,nrES_PID,$D1465,nrES_Code,$F1465,nrES_Att,1))))))))</f>
        <v/>
      </c>
      <c r="N1465" s="17">
        <f>IF($C1465="","",IF($L1465="","",IF(NOT(ISNUMBER($L1465)),"(not a score)",IF($L1465&gt;=$J1465,"Yes","No"))))</f>
        <v/>
      </c>
      <c r="O1465" s="17">
        <f>IF($C1465="","",IF($M1465="","",IF(NOT(ISNUMBER($M1465)),"(not a score)",IF($M1465&gt;=$J1465,"Yes","No"))))</f>
        <v/>
      </c>
      <c r="P1465" s="17">
        <f>IF($C1465="","",IF($K1465="","",IF(N($K1465)&gt;2,"No",IF(COUNTIFS(nrES_PID,$D1465,nrES_Code,$F1465,nrES_Att,"&gt;"&amp;$K1465,nrES_Att,"&lt;=2",nrES_Raw,"&gt;=0")=0,"Yes","No"))))</f>
        <v/>
      </c>
      <c r="Q1465" s="17">
        <f>IF($C1465="","",IF($L1465="","",IF(AND($K1465=1,ISNUMBER($L1465),$L1465&lt;$J1465,COUNTIFS(nrES_PID,$D1465,nrES_Code,$F1465,nrES_Att,2,nrES_Raw,"&gt;=0")=0),"Yes","No")))</f>
        <v/>
      </c>
      <c r="R1465" s="17">
        <f>IF($C1465="","",IF($L1465="","",IF(AND(N($K1465)&gt;=2,ISNUMBER($L1465),$L1465&lt;$J1465),"Yes","No")))</f>
        <v/>
      </c>
      <c r="S1465" s="18" t="n"/>
      <c r="T1465" s="19">
        <f>IF(OR($C1465="",$L1465="",$K1465&lt;&gt;1,NOT(ISNUMBER($L1465)),$L1465&gt;=$J1465),"",IF($S1465="","(enter date)",_xlfn.LET(_xlpm.dn,_xlfn.XLOOKUP($S1465,nrCDdate,nrCDnum,"",1),IF(_xlpm.dn="","(after last class day)",_xlfn.LET(_xlpm.dd,_xlfn.XLOOKUP(_xlpm.dn+cfgRetestClassDays,nrCDnum,nrCDdate,""),_xlpm.ok,_xlfn.XLOOKUP(_xlpm.dn+cfgRetestClassDays,nrCDnum,nrCDinsession,"No"),IF(OR(_xlpm.dd="",_xlpm.ok&lt;&gt;"Yes"),"(after last class day)",_xlpm.dd))))))</f>
        <v/>
      </c>
      <c r="U1465" s="17">
        <f>IF($C1465="","",IF(AND($Y1465="Excused",$L1465="",N($K1465)&lt;=1),"EXCUSED - 1st attempt pending",IF(OR($L1465="",$K1465&lt;&gt;1,NOT(ISNUMBER($L1465)),$L1465&gt;=$J1465),"",IF(COUNTIFS(nrES_PID,$D1465,nrES_Code,$F1465,nrES_Att,2,nrES_Raw,"&gt;=0")&gt;0,IF(IFERROR(_xlfn.MINIFS(nrES_Date,nrES_PID,$D1465,nrES_Code,$F1465,nrES_Att,2,nrES_Raw,"&gt;=0",nrES_Date,"&gt;0"),0)=0,"RETEST UNDATED",IF(NOT(ISNUMBER($T1465)),"RETEST DATE UNCHECKED",IF(_xlfn.MINIFS(nrES_Date,nrES_PID,$D1465,nrES_Code,$F1465,nrES_Att,2,nrES_Raw,"&gt;=0",nrES_Date,"&gt;0")&gt;$T1465,"LATE RETEST "&amp;TEXT(_xlfn.MINIFS(nrES_Date,nrES_PID,$D1465,nrES_Code,$F1465,nrES_Att,2,nrES_Raw,"&gt;=0",nrES_Date,"&gt;0"),"mm/dd")&amp;" (due "&amp;TEXT($T1465,"mm/dd")&amp;")","Retested"))),IF(NOT(ISNUMBER($T1465)),"CHECK DATE",IF(TODAY()&gt;$T1465,"OVERDUE","Due "&amp;TEXT($T1465,"mm/dd")))))))</f>
        <v/>
      </c>
      <c r="V1465" s="16" t="n"/>
      <c r="W1465" s="16" t="n"/>
      <c r="X1465" s="17">
        <f>IF($C1465="","",IF(AND($L1465&lt;&gt;"",NOT(ISNUMBER($L1465))),"RAW SCORE NOT A NUMBER",IF(AND(ISNUMBER($L1465),OR($L1465&lt;0,$L1465&gt;100)),"RAW SCORE OUT OF RANGE",IF(AND($Y1465="Unexcused",OR($L1465="",NOT(ISNUMBER($L1465)),$L1465&lt;&gt;0)),"UNEXCUSED ABSENCE MUST RECORD 0",IF(COUNTIF(nrES_RecID,$B1465)&gt;1,"DUPLICATE RECORD",IF(N($K1465)&gt;2,"ATTEMPT 3+ NOT ALLOWED - policy 300.5 permits one retest per exam; this row records nothing",IF(AND($K1465=2,COUNTIFS(nrES_PID,$D1465,nrES_Code,$F1465,nrES_Att,1)=0),"ATTEMPT 2 WITHOUT ATTEMPT 1",IF(AND($K1465=2,$L1465=""),"RETEST ROW HAS NO SCORE",IF(AND($H1465="Final",$L1465&lt;&gt;"",IFERROR(INDEX(nrCKfinalExamElig,MATCH($D1465,rngCadetPIDs,0)),"")="No"),"FINAL EXAM AFTER FAILED FINAL PT (500.1.H)",IF(AND($K1465=2,ISNUMBER($L1465),COUNTIFS(nrES_PID,$D1465,nrES_Code,$F1465,nrES_Att,1)&gt;0,SUMIFS(nrES_Raw,nrES_PID,$D1465,nrES_Code,$F1465,nrES_Att,1)&gt;=$J1465),"RETEST AFTER A PASSING FIRST ATTEMPT","OK"))))))))))</f>
        <v/>
      </c>
      <c r="Y1465" s="16" t="n"/>
    </row>
    <row r="1466">
      <c r="B1466" s="17">
        <f>IF($C1466="","",$D1466&amp;"-"&amp;$F1466&amp;"-"&amp;$K1466)</f>
        <v/>
      </c>
      <c r="C1466" s="16" t="n"/>
      <c r="D1466" s="17">
        <f>IF($C1466="","",IFERROR(INDEX(rngCadetPIDs,MATCH($C1466,rngCadetNames,0)),"?"))</f>
        <v/>
      </c>
      <c r="E1466" s="17">
        <f>IF($D1466="","",IFERROR(INDEX(nrCadetAgency,MATCH($D1466,rngCadetPIDs,0)),""))</f>
        <v/>
      </c>
      <c r="F1466" s="16" t="n"/>
      <c r="G1466" s="17">
        <f>IF($F1466="","",IFERROR(INDEX(rngEPname,MATCH($F1466,rngEPcode,0)),"?"))</f>
        <v/>
      </c>
      <c r="H1466" s="17">
        <f>IF($F1466="","",IFERROR(INDEX(rngEPtype,MATCH($F1466,rngEPcode,0)),"?"))</f>
        <v/>
      </c>
      <c r="I1466" s="17">
        <f>IF($F1466="","",IFERROR(INDEX(rngEPseq,MATCH($F1466,rngEPcode,0)),""))</f>
        <v/>
      </c>
      <c r="J1466" s="17">
        <f>IF($F1466="","",IFERROR(INDEX(rngEPpass,MATCH($F1466,rngEPcode,0)),cfgPassingScore))</f>
        <v/>
      </c>
      <c r="K1466" s="16" t="n"/>
      <c r="L1466" s="16" t="n"/>
      <c r="M1466" s="17">
        <f>IF($C1466="","",IF($L1466="","",IF(NOT(ISNUMBER($L1466)),$L1466,IF(N($K1466)&gt;2,"",IF($K1466=1,IF(COUNTIFS(nrES_PID,$D1466,nrES_Code,$F1466,nrES_Att,2,nrES_Raw,"&gt;=0")&gt;0,"",$L1466),IF($L1466&gt;=$J1466,MAX($J1466,cfgRetakeRecordedCap),IF(COUNTIFS(nrES_PID,$D1466,nrES_Code,$F1466,nrES_Att,1)=0,$L1466,SUMIFS(nrES_Raw,nrES_PID,$D1466,nrES_Code,$F1466,nrES_Att,1))))))))</f>
        <v/>
      </c>
      <c r="N1466" s="17">
        <f>IF($C1466="","",IF($L1466="","",IF(NOT(ISNUMBER($L1466)),"(not a score)",IF($L1466&gt;=$J1466,"Yes","No"))))</f>
        <v/>
      </c>
      <c r="O1466" s="17">
        <f>IF($C1466="","",IF($M1466="","",IF(NOT(ISNUMBER($M1466)),"(not a score)",IF($M1466&gt;=$J1466,"Yes","No"))))</f>
        <v/>
      </c>
      <c r="P1466" s="17">
        <f>IF($C1466="","",IF($K1466="","",IF(N($K1466)&gt;2,"No",IF(COUNTIFS(nrES_PID,$D1466,nrES_Code,$F1466,nrES_Att,"&gt;"&amp;$K1466,nrES_Att,"&lt;=2",nrES_Raw,"&gt;=0")=0,"Yes","No"))))</f>
        <v/>
      </c>
      <c r="Q1466" s="17">
        <f>IF($C1466="","",IF($L1466="","",IF(AND($K1466=1,ISNUMBER($L1466),$L1466&lt;$J1466,COUNTIFS(nrES_PID,$D1466,nrES_Code,$F1466,nrES_Att,2,nrES_Raw,"&gt;=0")=0),"Yes","No")))</f>
        <v/>
      </c>
      <c r="R1466" s="17">
        <f>IF($C1466="","",IF($L1466="","",IF(AND(N($K1466)&gt;=2,ISNUMBER($L1466),$L1466&lt;$J1466),"Yes","No")))</f>
        <v/>
      </c>
      <c r="S1466" s="18" t="n"/>
      <c r="T1466" s="19">
        <f>IF(OR($C1466="",$L1466="",$K1466&lt;&gt;1,NOT(ISNUMBER($L1466)),$L1466&gt;=$J1466),"",IF($S1466="","(enter date)",_xlfn.LET(_xlpm.dn,_xlfn.XLOOKUP($S1466,nrCDdate,nrCDnum,"",1),IF(_xlpm.dn="","(after last class day)",_xlfn.LET(_xlpm.dd,_xlfn.XLOOKUP(_xlpm.dn+cfgRetestClassDays,nrCDnum,nrCDdate,""),_xlpm.ok,_xlfn.XLOOKUP(_xlpm.dn+cfgRetestClassDays,nrCDnum,nrCDinsession,"No"),IF(OR(_xlpm.dd="",_xlpm.ok&lt;&gt;"Yes"),"(after last class day)",_xlpm.dd))))))</f>
        <v/>
      </c>
      <c r="U1466" s="17">
        <f>IF($C1466="","",IF(AND($Y1466="Excused",$L1466="",N($K1466)&lt;=1),"EXCUSED - 1st attempt pending",IF(OR($L1466="",$K1466&lt;&gt;1,NOT(ISNUMBER($L1466)),$L1466&gt;=$J1466),"",IF(COUNTIFS(nrES_PID,$D1466,nrES_Code,$F1466,nrES_Att,2,nrES_Raw,"&gt;=0")&gt;0,IF(IFERROR(_xlfn.MINIFS(nrES_Date,nrES_PID,$D1466,nrES_Code,$F1466,nrES_Att,2,nrES_Raw,"&gt;=0",nrES_Date,"&gt;0"),0)=0,"RETEST UNDATED",IF(NOT(ISNUMBER($T1466)),"RETEST DATE UNCHECKED",IF(_xlfn.MINIFS(nrES_Date,nrES_PID,$D1466,nrES_Code,$F1466,nrES_Att,2,nrES_Raw,"&gt;=0",nrES_Date,"&gt;0")&gt;$T1466,"LATE RETEST "&amp;TEXT(_xlfn.MINIFS(nrES_Date,nrES_PID,$D1466,nrES_Code,$F1466,nrES_Att,2,nrES_Raw,"&gt;=0",nrES_Date,"&gt;0"),"mm/dd")&amp;" (due "&amp;TEXT($T1466,"mm/dd")&amp;")","Retested"))),IF(NOT(ISNUMBER($T1466)),"CHECK DATE",IF(TODAY()&gt;$T1466,"OVERDUE","Due "&amp;TEXT($T1466,"mm/dd")))))))</f>
        <v/>
      </c>
      <c r="V1466" s="16" t="n"/>
      <c r="W1466" s="16" t="n"/>
      <c r="X1466" s="17">
        <f>IF($C1466="","",IF(AND($L1466&lt;&gt;"",NOT(ISNUMBER($L1466))),"RAW SCORE NOT A NUMBER",IF(AND(ISNUMBER($L1466),OR($L1466&lt;0,$L1466&gt;100)),"RAW SCORE OUT OF RANGE",IF(AND($Y1466="Unexcused",OR($L1466="",NOT(ISNUMBER($L1466)),$L1466&lt;&gt;0)),"UNEXCUSED ABSENCE MUST RECORD 0",IF(COUNTIF(nrES_RecID,$B1466)&gt;1,"DUPLICATE RECORD",IF(N($K1466)&gt;2,"ATTEMPT 3+ NOT ALLOWED - policy 300.5 permits one retest per exam; this row records nothing",IF(AND($K1466=2,COUNTIFS(nrES_PID,$D1466,nrES_Code,$F1466,nrES_Att,1)=0),"ATTEMPT 2 WITHOUT ATTEMPT 1",IF(AND($K1466=2,$L1466=""),"RETEST ROW HAS NO SCORE",IF(AND($H1466="Final",$L1466&lt;&gt;"",IFERROR(INDEX(nrCKfinalExamElig,MATCH($D1466,rngCadetPIDs,0)),"")="No"),"FINAL EXAM AFTER FAILED FINAL PT (500.1.H)",IF(AND($K1466=2,ISNUMBER($L1466),COUNTIFS(nrES_PID,$D1466,nrES_Code,$F1466,nrES_Att,1)&gt;0,SUMIFS(nrES_Raw,nrES_PID,$D1466,nrES_Code,$F1466,nrES_Att,1)&gt;=$J1466),"RETEST AFTER A PASSING FIRST ATTEMPT","OK"))))))))))</f>
        <v/>
      </c>
      <c r="Y1466" s="16" t="n"/>
    </row>
    <row r="1467">
      <c r="B1467" s="17">
        <f>IF($C1467="","",$D1467&amp;"-"&amp;$F1467&amp;"-"&amp;$K1467)</f>
        <v/>
      </c>
      <c r="C1467" s="16" t="n"/>
      <c r="D1467" s="17">
        <f>IF($C1467="","",IFERROR(INDEX(rngCadetPIDs,MATCH($C1467,rngCadetNames,0)),"?"))</f>
        <v/>
      </c>
      <c r="E1467" s="17">
        <f>IF($D1467="","",IFERROR(INDEX(nrCadetAgency,MATCH($D1467,rngCadetPIDs,0)),""))</f>
        <v/>
      </c>
      <c r="F1467" s="16" t="n"/>
      <c r="G1467" s="17">
        <f>IF($F1467="","",IFERROR(INDEX(rngEPname,MATCH($F1467,rngEPcode,0)),"?"))</f>
        <v/>
      </c>
      <c r="H1467" s="17">
        <f>IF($F1467="","",IFERROR(INDEX(rngEPtype,MATCH($F1467,rngEPcode,0)),"?"))</f>
        <v/>
      </c>
      <c r="I1467" s="17">
        <f>IF($F1467="","",IFERROR(INDEX(rngEPseq,MATCH($F1467,rngEPcode,0)),""))</f>
        <v/>
      </c>
      <c r="J1467" s="17">
        <f>IF($F1467="","",IFERROR(INDEX(rngEPpass,MATCH($F1467,rngEPcode,0)),cfgPassingScore))</f>
        <v/>
      </c>
      <c r="K1467" s="16" t="n"/>
      <c r="L1467" s="16" t="n"/>
      <c r="M1467" s="17">
        <f>IF($C1467="","",IF($L1467="","",IF(NOT(ISNUMBER($L1467)),$L1467,IF(N($K1467)&gt;2,"",IF($K1467=1,IF(COUNTIFS(nrES_PID,$D1467,nrES_Code,$F1467,nrES_Att,2,nrES_Raw,"&gt;=0")&gt;0,"",$L1467),IF($L1467&gt;=$J1467,MAX($J1467,cfgRetakeRecordedCap),IF(COUNTIFS(nrES_PID,$D1467,nrES_Code,$F1467,nrES_Att,1)=0,$L1467,SUMIFS(nrES_Raw,nrES_PID,$D1467,nrES_Code,$F1467,nrES_Att,1))))))))</f>
        <v/>
      </c>
      <c r="N1467" s="17">
        <f>IF($C1467="","",IF($L1467="","",IF(NOT(ISNUMBER($L1467)),"(not a score)",IF($L1467&gt;=$J1467,"Yes","No"))))</f>
        <v/>
      </c>
      <c r="O1467" s="17">
        <f>IF($C1467="","",IF($M1467="","",IF(NOT(ISNUMBER($M1467)),"(not a score)",IF($M1467&gt;=$J1467,"Yes","No"))))</f>
        <v/>
      </c>
      <c r="P1467" s="17">
        <f>IF($C1467="","",IF($K1467="","",IF(N($K1467)&gt;2,"No",IF(COUNTIFS(nrES_PID,$D1467,nrES_Code,$F1467,nrES_Att,"&gt;"&amp;$K1467,nrES_Att,"&lt;=2",nrES_Raw,"&gt;=0")=0,"Yes","No"))))</f>
        <v/>
      </c>
      <c r="Q1467" s="17">
        <f>IF($C1467="","",IF($L1467="","",IF(AND($K1467=1,ISNUMBER($L1467),$L1467&lt;$J1467,COUNTIFS(nrES_PID,$D1467,nrES_Code,$F1467,nrES_Att,2,nrES_Raw,"&gt;=0")=0),"Yes","No")))</f>
        <v/>
      </c>
      <c r="R1467" s="17">
        <f>IF($C1467="","",IF($L1467="","",IF(AND(N($K1467)&gt;=2,ISNUMBER($L1467),$L1467&lt;$J1467),"Yes","No")))</f>
        <v/>
      </c>
      <c r="S1467" s="18" t="n"/>
      <c r="T1467" s="19">
        <f>IF(OR($C1467="",$L1467="",$K1467&lt;&gt;1,NOT(ISNUMBER($L1467)),$L1467&gt;=$J1467),"",IF($S1467="","(enter date)",_xlfn.LET(_xlpm.dn,_xlfn.XLOOKUP($S1467,nrCDdate,nrCDnum,"",1),IF(_xlpm.dn="","(after last class day)",_xlfn.LET(_xlpm.dd,_xlfn.XLOOKUP(_xlpm.dn+cfgRetestClassDays,nrCDnum,nrCDdate,""),_xlpm.ok,_xlfn.XLOOKUP(_xlpm.dn+cfgRetestClassDays,nrCDnum,nrCDinsession,"No"),IF(OR(_xlpm.dd="",_xlpm.ok&lt;&gt;"Yes"),"(after last class day)",_xlpm.dd))))))</f>
        <v/>
      </c>
      <c r="U1467" s="17">
        <f>IF($C1467="","",IF(AND($Y1467="Excused",$L1467="",N($K1467)&lt;=1),"EXCUSED - 1st attempt pending",IF(OR($L1467="",$K1467&lt;&gt;1,NOT(ISNUMBER($L1467)),$L1467&gt;=$J1467),"",IF(COUNTIFS(nrES_PID,$D1467,nrES_Code,$F1467,nrES_Att,2,nrES_Raw,"&gt;=0")&gt;0,IF(IFERROR(_xlfn.MINIFS(nrES_Date,nrES_PID,$D1467,nrES_Code,$F1467,nrES_Att,2,nrES_Raw,"&gt;=0",nrES_Date,"&gt;0"),0)=0,"RETEST UNDATED",IF(NOT(ISNUMBER($T1467)),"RETEST DATE UNCHECKED",IF(_xlfn.MINIFS(nrES_Date,nrES_PID,$D1467,nrES_Code,$F1467,nrES_Att,2,nrES_Raw,"&gt;=0",nrES_Date,"&gt;0")&gt;$T1467,"LATE RETEST "&amp;TEXT(_xlfn.MINIFS(nrES_Date,nrES_PID,$D1467,nrES_Code,$F1467,nrES_Att,2,nrES_Raw,"&gt;=0",nrES_Date,"&gt;0"),"mm/dd")&amp;" (due "&amp;TEXT($T1467,"mm/dd")&amp;")","Retested"))),IF(NOT(ISNUMBER($T1467)),"CHECK DATE",IF(TODAY()&gt;$T1467,"OVERDUE","Due "&amp;TEXT($T1467,"mm/dd")))))))</f>
        <v/>
      </c>
      <c r="V1467" s="16" t="n"/>
      <c r="W1467" s="16" t="n"/>
      <c r="X1467" s="17">
        <f>IF($C1467="","",IF(AND($L1467&lt;&gt;"",NOT(ISNUMBER($L1467))),"RAW SCORE NOT A NUMBER",IF(AND(ISNUMBER($L1467),OR($L1467&lt;0,$L1467&gt;100)),"RAW SCORE OUT OF RANGE",IF(AND($Y1467="Unexcused",OR($L1467="",NOT(ISNUMBER($L1467)),$L1467&lt;&gt;0)),"UNEXCUSED ABSENCE MUST RECORD 0",IF(COUNTIF(nrES_RecID,$B1467)&gt;1,"DUPLICATE RECORD",IF(N($K1467)&gt;2,"ATTEMPT 3+ NOT ALLOWED - policy 300.5 permits one retest per exam; this row records nothing",IF(AND($K1467=2,COUNTIFS(nrES_PID,$D1467,nrES_Code,$F1467,nrES_Att,1)=0),"ATTEMPT 2 WITHOUT ATTEMPT 1",IF(AND($K1467=2,$L1467=""),"RETEST ROW HAS NO SCORE",IF(AND($H1467="Final",$L1467&lt;&gt;"",IFERROR(INDEX(nrCKfinalExamElig,MATCH($D1467,rngCadetPIDs,0)),"")="No"),"FINAL EXAM AFTER FAILED FINAL PT (500.1.H)",IF(AND($K1467=2,ISNUMBER($L1467),COUNTIFS(nrES_PID,$D1467,nrES_Code,$F1467,nrES_Att,1)&gt;0,SUMIFS(nrES_Raw,nrES_PID,$D1467,nrES_Code,$F1467,nrES_Att,1)&gt;=$J1467),"RETEST AFTER A PASSING FIRST ATTEMPT","OK"))))))))))</f>
        <v/>
      </c>
      <c r="Y1467" s="16" t="n"/>
    </row>
    <row r="1468">
      <c r="B1468" s="17">
        <f>IF($C1468="","",$D1468&amp;"-"&amp;$F1468&amp;"-"&amp;$K1468)</f>
        <v/>
      </c>
      <c r="C1468" s="16" t="n"/>
      <c r="D1468" s="17">
        <f>IF($C1468="","",IFERROR(INDEX(rngCadetPIDs,MATCH($C1468,rngCadetNames,0)),"?"))</f>
        <v/>
      </c>
      <c r="E1468" s="17">
        <f>IF($D1468="","",IFERROR(INDEX(nrCadetAgency,MATCH($D1468,rngCadetPIDs,0)),""))</f>
        <v/>
      </c>
      <c r="F1468" s="16" t="n"/>
      <c r="G1468" s="17">
        <f>IF($F1468="","",IFERROR(INDEX(rngEPname,MATCH($F1468,rngEPcode,0)),"?"))</f>
        <v/>
      </c>
      <c r="H1468" s="17">
        <f>IF($F1468="","",IFERROR(INDEX(rngEPtype,MATCH($F1468,rngEPcode,0)),"?"))</f>
        <v/>
      </c>
      <c r="I1468" s="17">
        <f>IF($F1468="","",IFERROR(INDEX(rngEPseq,MATCH($F1468,rngEPcode,0)),""))</f>
        <v/>
      </c>
      <c r="J1468" s="17">
        <f>IF($F1468="","",IFERROR(INDEX(rngEPpass,MATCH($F1468,rngEPcode,0)),cfgPassingScore))</f>
        <v/>
      </c>
      <c r="K1468" s="16" t="n"/>
      <c r="L1468" s="16" t="n"/>
      <c r="M1468" s="17">
        <f>IF($C1468="","",IF($L1468="","",IF(NOT(ISNUMBER($L1468)),$L1468,IF(N($K1468)&gt;2,"",IF($K1468=1,IF(COUNTIFS(nrES_PID,$D1468,nrES_Code,$F1468,nrES_Att,2,nrES_Raw,"&gt;=0")&gt;0,"",$L1468),IF($L1468&gt;=$J1468,MAX($J1468,cfgRetakeRecordedCap),IF(COUNTIFS(nrES_PID,$D1468,nrES_Code,$F1468,nrES_Att,1)=0,$L1468,SUMIFS(nrES_Raw,nrES_PID,$D1468,nrES_Code,$F1468,nrES_Att,1))))))))</f>
        <v/>
      </c>
      <c r="N1468" s="17">
        <f>IF($C1468="","",IF($L1468="","",IF(NOT(ISNUMBER($L1468)),"(not a score)",IF($L1468&gt;=$J1468,"Yes","No"))))</f>
        <v/>
      </c>
      <c r="O1468" s="17">
        <f>IF($C1468="","",IF($M1468="","",IF(NOT(ISNUMBER($M1468)),"(not a score)",IF($M1468&gt;=$J1468,"Yes","No"))))</f>
        <v/>
      </c>
      <c r="P1468" s="17">
        <f>IF($C1468="","",IF($K1468="","",IF(N($K1468)&gt;2,"No",IF(COUNTIFS(nrES_PID,$D1468,nrES_Code,$F1468,nrES_Att,"&gt;"&amp;$K1468,nrES_Att,"&lt;=2",nrES_Raw,"&gt;=0")=0,"Yes","No"))))</f>
        <v/>
      </c>
      <c r="Q1468" s="17">
        <f>IF($C1468="","",IF($L1468="","",IF(AND($K1468=1,ISNUMBER($L1468),$L1468&lt;$J1468,COUNTIFS(nrES_PID,$D1468,nrES_Code,$F1468,nrES_Att,2,nrES_Raw,"&gt;=0")=0),"Yes","No")))</f>
        <v/>
      </c>
      <c r="R1468" s="17">
        <f>IF($C1468="","",IF($L1468="","",IF(AND(N($K1468)&gt;=2,ISNUMBER($L1468),$L1468&lt;$J1468),"Yes","No")))</f>
        <v/>
      </c>
      <c r="S1468" s="18" t="n"/>
      <c r="T1468" s="19">
        <f>IF(OR($C1468="",$L1468="",$K1468&lt;&gt;1,NOT(ISNUMBER($L1468)),$L1468&gt;=$J1468),"",IF($S1468="","(enter date)",_xlfn.LET(_xlpm.dn,_xlfn.XLOOKUP($S1468,nrCDdate,nrCDnum,"",1),IF(_xlpm.dn="","(after last class day)",_xlfn.LET(_xlpm.dd,_xlfn.XLOOKUP(_xlpm.dn+cfgRetestClassDays,nrCDnum,nrCDdate,""),_xlpm.ok,_xlfn.XLOOKUP(_xlpm.dn+cfgRetestClassDays,nrCDnum,nrCDinsession,"No"),IF(OR(_xlpm.dd="",_xlpm.ok&lt;&gt;"Yes"),"(after last class day)",_xlpm.dd))))))</f>
        <v/>
      </c>
      <c r="U1468" s="17">
        <f>IF($C1468="","",IF(AND($Y1468="Excused",$L1468="",N($K1468)&lt;=1),"EXCUSED - 1st attempt pending",IF(OR($L1468="",$K1468&lt;&gt;1,NOT(ISNUMBER($L1468)),$L1468&gt;=$J1468),"",IF(COUNTIFS(nrES_PID,$D1468,nrES_Code,$F1468,nrES_Att,2,nrES_Raw,"&gt;=0")&gt;0,IF(IFERROR(_xlfn.MINIFS(nrES_Date,nrES_PID,$D1468,nrES_Code,$F1468,nrES_Att,2,nrES_Raw,"&gt;=0",nrES_Date,"&gt;0"),0)=0,"RETEST UNDATED",IF(NOT(ISNUMBER($T1468)),"RETEST DATE UNCHECKED",IF(_xlfn.MINIFS(nrES_Date,nrES_PID,$D1468,nrES_Code,$F1468,nrES_Att,2,nrES_Raw,"&gt;=0",nrES_Date,"&gt;0")&gt;$T1468,"LATE RETEST "&amp;TEXT(_xlfn.MINIFS(nrES_Date,nrES_PID,$D1468,nrES_Code,$F1468,nrES_Att,2,nrES_Raw,"&gt;=0",nrES_Date,"&gt;0"),"mm/dd")&amp;" (due "&amp;TEXT($T1468,"mm/dd")&amp;")","Retested"))),IF(NOT(ISNUMBER($T1468)),"CHECK DATE",IF(TODAY()&gt;$T1468,"OVERDUE","Due "&amp;TEXT($T1468,"mm/dd")))))))</f>
        <v/>
      </c>
      <c r="V1468" s="16" t="n"/>
      <c r="W1468" s="16" t="n"/>
      <c r="X1468" s="17">
        <f>IF($C1468="","",IF(AND($L1468&lt;&gt;"",NOT(ISNUMBER($L1468))),"RAW SCORE NOT A NUMBER",IF(AND(ISNUMBER($L1468),OR($L1468&lt;0,$L1468&gt;100)),"RAW SCORE OUT OF RANGE",IF(AND($Y1468="Unexcused",OR($L1468="",NOT(ISNUMBER($L1468)),$L1468&lt;&gt;0)),"UNEXCUSED ABSENCE MUST RECORD 0",IF(COUNTIF(nrES_RecID,$B1468)&gt;1,"DUPLICATE RECORD",IF(N($K1468)&gt;2,"ATTEMPT 3+ NOT ALLOWED - policy 300.5 permits one retest per exam; this row records nothing",IF(AND($K1468=2,COUNTIFS(nrES_PID,$D1468,nrES_Code,$F1468,nrES_Att,1)=0),"ATTEMPT 2 WITHOUT ATTEMPT 1",IF(AND($K1468=2,$L1468=""),"RETEST ROW HAS NO SCORE",IF(AND($H1468="Final",$L1468&lt;&gt;"",IFERROR(INDEX(nrCKfinalExamElig,MATCH($D1468,rngCadetPIDs,0)),"")="No"),"FINAL EXAM AFTER FAILED FINAL PT (500.1.H)",IF(AND($K1468=2,ISNUMBER($L1468),COUNTIFS(nrES_PID,$D1468,nrES_Code,$F1468,nrES_Att,1)&gt;0,SUMIFS(nrES_Raw,nrES_PID,$D1468,nrES_Code,$F1468,nrES_Att,1)&gt;=$J1468),"RETEST AFTER A PASSING FIRST ATTEMPT","OK"))))))))))</f>
        <v/>
      </c>
      <c r="Y1468" s="16" t="n"/>
    </row>
    <row r="1469">
      <c r="B1469" s="17">
        <f>IF($C1469="","",$D1469&amp;"-"&amp;$F1469&amp;"-"&amp;$K1469)</f>
        <v/>
      </c>
      <c r="C1469" s="16" t="n"/>
      <c r="D1469" s="17">
        <f>IF($C1469="","",IFERROR(INDEX(rngCadetPIDs,MATCH($C1469,rngCadetNames,0)),"?"))</f>
        <v/>
      </c>
      <c r="E1469" s="17">
        <f>IF($D1469="","",IFERROR(INDEX(nrCadetAgency,MATCH($D1469,rngCadetPIDs,0)),""))</f>
        <v/>
      </c>
      <c r="F1469" s="16" t="n"/>
      <c r="G1469" s="17">
        <f>IF($F1469="","",IFERROR(INDEX(rngEPname,MATCH($F1469,rngEPcode,0)),"?"))</f>
        <v/>
      </c>
      <c r="H1469" s="17">
        <f>IF($F1469="","",IFERROR(INDEX(rngEPtype,MATCH($F1469,rngEPcode,0)),"?"))</f>
        <v/>
      </c>
      <c r="I1469" s="17">
        <f>IF($F1469="","",IFERROR(INDEX(rngEPseq,MATCH($F1469,rngEPcode,0)),""))</f>
        <v/>
      </c>
      <c r="J1469" s="17">
        <f>IF($F1469="","",IFERROR(INDEX(rngEPpass,MATCH($F1469,rngEPcode,0)),cfgPassingScore))</f>
        <v/>
      </c>
      <c r="K1469" s="16" t="n"/>
      <c r="L1469" s="16" t="n"/>
      <c r="M1469" s="17">
        <f>IF($C1469="","",IF($L1469="","",IF(NOT(ISNUMBER($L1469)),$L1469,IF(N($K1469)&gt;2,"",IF($K1469=1,IF(COUNTIFS(nrES_PID,$D1469,nrES_Code,$F1469,nrES_Att,2,nrES_Raw,"&gt;=0")&gt;0,"",$L1469),IF($L1469&gt;=$J1469,MAX($J1469,cfgRetakeRecordedCap),IF(COUNTIFS(nrES_PID,$D1469,nrES_Code,$F1469,nrES_Att,1)=0,$L1469,SUMIFS(nrES_Raw,nrES_PID,$D1469,nrES_Code,$F1469,nrES_Att,1))))))))</f>
        <v/>
      </c>
      <c r="N1469" s="17">
        <f>IF($C1469="","",IF($L1469="","",IF(NOT(ISNUMBER($L1469)),"(not a score)",IF($L1469&gt;=$J1469,"Yes","No"))))</f>
        <v/>
      </c>
      <c r="O1469" s="17">
        <f>IF($C1469="","",IF($M1469="","",IF(NOT(ISNUMBER($M1469)),"(not a score)",IF($M1469&gt;=$J1469,"Yes","No"))))</f>
        <v/>
      </c>
      <c r="P1469" s="17">
        <f>IF($C1469="","",IF($K1469="","",IF(N($K1469)&gt;2,"No",IF(COUNTIFS(nrES_PID,$D1469,nrES_Code,$F1469,nrES_Att,"&gt;"&amp;$K1469,nrES_Att,"&lt;=2",nrES_Raw,"&gt;=0")=0,"Yes","No"))))</f>
        <v/>
      </c>
      <c r="Q1469" s="17">
        <f>IF($C1469="","",IF($L1469="","",IF(AND($K1469=1,ISNUMBER($L1469),$L1469&lt;$J1469,COUNTIFS(nrES_PID,$D1469,nrES_Code,$F1469,nrES_Att,2,nrES_Raw,"&gt;=0")=0),"Yes","No")))</f>
        <v/>
      </c>
      <c r="R1469" s="17">
        <f>IF($C1469="","",IF($L1469="","",IF(AND(N($K1469)&gt;=2,ISNUMBER($L1469),$L1469&lt;$J1469),"Yes","No")))</f>
        <v/>
      </c>
      <c r="S1469" s="18" t="n"/>
      <c r="T1469" s="19">
        <f>IF(OR($C1469="",$L1469="",$K1469&lt;&gt;1,NOT(ISNUMBER($L1469)),$L1469&gt;=$J1469),"",IF($S1469="","(enter date)",_xlfn.LET(_xlpm.dn,_xlfn.XLOOKUP($S1469,nrCDdate,nrCDnum,"",1),IF(_xlpm.dn="","(after last class day)",_xlfn.LET(_xlpm.dd,_xlfn.XLOOKUP(_xlpm.dn+cfgRetestClassDays,nrCDnum,nrCDdate,""),_xlpm.ok,_xlfn.XLOOKUP(_xlpm.dn+cfgRetestClassDays,nrCDnum,nrCDinsession,"No"),IF(OR(_xlpm.dd="",_xlpm.ok&lt;&gt;"Yes"),"(after last class day)",_xlpm.dd))))))</f>
        <v/>
      </c>
      <c r="U1469" s="17">
        <f>IF($C1469="","",IF(AND($Y1469="Excused",$L1469="",N($K1469)&lt;=1),"EXCUSED - 1st attempt pending",IF(OR($L1469="",$K1469&lt;&gt;1,NOT(ISNUMBER($L1469)),$L1469&gt;=$J1469),"",IF(COUNTIFS(nrES_PID,$D1469,nrES_Code,$F1469,nrES_Att,2,nrES_Raw,"&gt;=0")&gt;0,IF(IFERROR(_xlfn.MINIFS(nrES_Date,nrES_PID,$D1469,nrES_Code,$F1469,nrES_Att,2,nrES_Raw,"&gt;=0",nrES_Date,"&gt;0"),0)=0,"RETEST UNDATED",IF(NOT(ISNUMBER($T1469)),"RETEST DATE UNCHECKED",IF(_xlfn.MINIFS(nrES_Date,nrES_PID,$D1469,nrES_Code,$F1469,nrES_Att,2,nrES_Raw,"&gt;=0",nrES_Date,"&gt;0")&gt;$T1469,"LATE RETEST "&amp;TEXT(_xlfn.MINIFS(nrES_Date,nrES_PID,$D1469,nrES_Code,$F1469,nrES_Att,2,nrES_Raw,"&gt;=0",nrES_Date,"&gt;0"),"mm/dd")&amp;" (due "&amp;TEXT($T1469,"mm/dd")&amp;")","Retested"))),IF(NOT(ISNUMBER($T1469)),"CHECK DATE",IF(TODAY()&gt;$T1469,"OVERDUE","Due "&amp;TEXT($T1469,"mm/dd")))))))</f>
        <v/>
      </c>
      <c r="V1469" s="16" t="n"/>
      <c r="W1469" s="16" t="n"/>
      <c r="X1469" s="17">
        <f>IF($C1469="","",IF(AND($L1469&lt;&gt;"",NOT(ISNUMBER($L1469))),"RAW SCORE NOT A NUMBER",IF(AND(ISNUMBER($L1469),OR($L1469&lt;0,$L1469&gt;100)),"RAW SCORE OUT OF RANGE",IF(AND($Y1469="Unexcused",OR($L1469="",NOT(ISNUMBER($L1469)),$L1469&lt;&gt;0)),"UNEXCUSED ABSENCE MUST RECORD 0",IF(COUNTIF(nrES_RecID,$B1469)&gt;1,"DUPLICATE RECORD",IF(N($K1469)&gt;2,"ATTEMPT 3+ NOT ALLOWED - policy 300.5 permits one retest per exam; this row records nothing",IF(AND($K1469=2,COUNTIFS(nrES_PID,$D1469,nrES_Code,$F1469,nrES_Att,1)=0),"ATTEMPT 2 WITHOUT ATTEMPT 1",IF(AND($K1469=2,$L1469=""),"RETEST ROW HAS NO SCORE",IF(AND($H1469="Final",$L1469&lt;&gt;"",IFERROR(INDEX(nrCKfinalExamElig,MATCH($D1469,rngCadetPIDs,0)),"")="No"),"FINAL EXAM AFTER FAILED FINAL PT (500.1.H)",IF(AND($K1469=2,ISNUMBER($L1469),COUNTIFS(nrES_PID,$D1469,nrES_Code,$F1469,nrES_Att,1)&gt;0,SUMIFS(nrES_Raw,nrES_PID,$D1469,nrES_Code,$F1469,nrES_Att,1)&gt;=$J1469),"RETEST AFTER A PASSING FIRST ATTEMPT","OK"))))))))))</f>
        <v/>
      </c>
      <c r="Y1469" s="16" t="n"/>
    </row>
    <row r="1470">
      <c r="B1470" s="17">
        <f>IF($C1470="","",$D1470&amp;"-"&amp;$F1470&amp;"-"&amp;$K1470)</f>
        <v/>
      </c>
      <c r="C1470" s="16" t="n"/>
      <c r="D1470" s="17">
        <f>IF($C1470="","",IFERROR(INDEX(rngCadetPIDs,MATCH($C1470,rngCadetNames,0)),"?"))</f>
        <v/>
      </c>
      <c r="E1470" s="17">
        <f>IF($D1470="","",IFERROR(INDEX(nrCadetAgency,MATCH($D1470,rngCadetPIDs,0)),""))</f>
        <v/>
      </c>
      <c r="F1470" s="16" t="n"/>
      <c r="G1470" s="17">
        <f>IF($F1470="","",IFERROR(INDEX(rngEPname,MATCH($F1470,rngEPcode,0)),"?"))</f>
        <v/>
      </c>
      <c r="H1470" s="17">
        <f>IF($F1470="","",IFERROR(INDEX(rngEPtype,MATCH($F1470,rngEPcode,0)),"?"))</f>
        <v/>
      </c>
      <c r="I1470" s="17">
        <f>IF($F1470="","",IFERROR(INDEX(rngEPseq,MATCH($F1470,rngEPcode,0)),""))</f>
        <v/>
      </c>
      <c r="J1470" s="17">
        <f>IF($F1470="","",IFERROR(INDEX(rngEPpass,MATCH($F1470,rngEPcode,0)),cfgPassingScore))</f>
        <v/>
      </c>
      <c r="K1470" s="16" t="n"/>
      <c r="L1470" s="16" t="n"/>
      <c r="M1470" s="17">
        <f>IF($C1470="","",IF($L1470="","",IF(NOT(ISNUMBER($L1470)),$L1470,IF(N($K1470)&gt;2,"",IF($K1470=1,IF(COUNTIFS(nrES_PID,$D1470,nrES_Code,$F1470,nrES_Att,2,nrES_Raw,"&gt;=0")&gt;0,"",$L1470),IF($L1470&gt;=$J1470,MAX($J1470,cfgRetakeRecordedCap),IF(COUNTIFS(nrES_PID,$D1470,nrES_Code,$F1470,nrES_Att,1)=0,$L1470,SUMIFS(nrES_Raw,nrES_PID,$D1470,nrES_Code,$F1470,nrES_Att,1))))))))</f>
        <v/>
      </c>
      <c r="N1470" s="17">
        <f>IF($C1470="","",IF($L1470="","",IF(NOT(ISNUMBER($L1470)),"(not a score)",IF($L1470&gt;=$J1470,"Yes","No"))))</f>
        <v/>
      </c>
      <c r="O1470" s="17">
        <f>IF($C1470="","",IF($M1470="","",IF(NOT(ISNUMBER($M1470)),"(not a score)",IF($M1470&gt;=$J1470,"Yes","No"))))</f>
        <v/>
      </c>
      <c r="P1470" s="17">
        <f>IF($C1470="","",IF($K1470="","",IF(N($K1470)&gt;2,"No",IF(COUNTIFS(nrES_PID,$D1470,nrES_Code,$F1470,nrES_Att,"&gt;"&amp;$K1470,nrES_Att,"&lt;=2",nrES_Raw,"&gt;=0")=0,"Yes","No"))))</f>
        <v/>
      </c>
      <c r="Q1470" s="17">
        <f>IF($C1470="","",IF($L1470="","",IF(AND($K1470=1,ISNUMBER($L1470),$L1470&lt;$J1470,COUNTIFS(nrES_PID,$D1470,nrES_Code,$F1470,nrES_Att,2,nrES_Raw,"&gt;=0")=0),"Yes","No")))</f>
        <v/>
      </c>
      <c r="R1470" s="17">
        <f>IF($C1470="","",IF($L1470="","",IF(AND(N($K1470)&gt;=2,ISNUMBER($L1470),$L1470&lt;$J1470),"Yes","No")))</f>
        <v/>
      </c>
      <c r="S1470" s="18" t="n"/>
      <c r="T1470" s="19">
        <f>IF(OR($C1470="",$L1470="",$K1470&lt;&gt;1,NOT(ISNUMBER($L1470)),$L1470&gt;=$J1470),"",IF($S1470="","(enter date)",_xlfn.LET(_xlpm.dn,_xlfn.XLOOKUP($S1470,nrCDdate,nrCDnum,"",1),IF(_xlpm.dn="","(after last class day)",_xlfn.LET(_xlpm.dd,_xlfn.XLOOKUP(_xlpm.dn+cfgRetestClassDays,nrCDnum,nrCDdate,""),_xlpm.ok,_xlfn.XLOOKUP(_xlpm.dn+cfgRetestClassDays,nrCDnum,nrCDinsession,"No"),IF(OR(_xlpm.dd="",_xlpm.ok&lt;&gt;"Yes"),"(after last class day)",_xlpm.dd))))))</f>
        <v/>
      </c>
      <c r="U1470" s="17">
        <f>IF($C1470="","",IF(AND($Y1470="Excused",$L1470="",N($K1470)&lt;=1),"EXCUSED - 1st attempt pending",IF(OR($L1470="",$K1470&lt;&gt;1,NOT(ISNUMBER($L1470)),$L1470&gt;=$J1470),"",IF(COUNTIFS(nrES_PID,$D1470,nrES_Code,$F1470,nrES_Att,2,nrES_Raw,"&gt;=0")&gt;0,IF(IFERROR(_xlfn.MINIFS(nrES_Date,nrES_PID,$D1470,nrES_Code,$F1470,nrES_Att,2,nrES_Raw,"&gt;=0",nrES_Date,"&gt;0"),0)=0,"RETEST UNDATED",IF(NOT(ISNUMBER($T1470)),"RETEST DATE UNCHECKED",IF(_xlfn.MINIFS(nrES_Date,nrES_PID,$D1470,nrES_Code,$F1470,nrES_Att,2,nrES_Raw,"&gt;=0",nrES_Date,"&gt;0")&gt;$T1470,"LATE RETEST "&amp;TEXT(_xlfn.MINIFS(nrES_Date,nrES_PID,$D1470,nrES_Code,$F1470,nrES_Att,2,nrES_Raw,"&gt;=0",nrES_Date,"&gt;0"),"mm/dd")&amp;" (due "&amp;TEXT($T1470,"mm/dd")&amp;")","Retested"))),IF(NOT(ISNUMBER($T1470)),"CHECK DATE",IF(TODAY()&gt;$T1470,"OVERDUE","Due "&amp;TEXT($T1470,"mm/dd")))))))</f>
        <v/>
      </c>
      <c r="V1470" s="16" t="n"/>
      <c r="W1470" s="16" t="n"/>
      <c r="X1470" s="17">
        <f>IF($C1470="","",IF(AND($L1470&lt;&gt;"",NOT(ISNUMBER($L1470))),"RAW SCORE NOT A NUMBER",IF(AND(ISNUMBER($L1470),OR($L1470&lt;0,$L1470&gt;100)),"RAW SCORE OUT OF RANGE",IF(AND($Y1470="Unexcused",OR($L1470="",NOT(ISNUMBER($L1470)),$L1470&lt;&gt;0)),"UNEXCUSED ABSENCE MUST RECORD 0",IF(COUNTIF(nrES_RecID,$B1470)&gt;1,"DUPLICATE RECORD",IF(N($K1470)&gt;2,"ATTEMPT 3+ NOT ALLOWED - policy 300.5 permits one retest per exam; this row records nothing",IF(AND($K1470=2,COUNTIFS(nrES_PID,$D1470,nrES_Code,$F1470,nrES_Att,1)=0),"ATTEMPT 2 WITHOUT ATTEMPT 1",IF(AND($K1470=2,$L1470=""),"RETEST ROW HAS NO SCORE",IF(AND($H1470="Final",$L1470&lt;&gt;"",IFERROR(INDEX(nrCKfinalExamElig,MATCH($D1470,rngCadetPIDs,0)),"")="No"),"FINAL EXAM AFTER FAILED FINAL PT (500.1.H)",IF(AND($K1470=2,ISNUMBER($L1470),COUNTIFS(nrES_PID,$D1470,nrES_Code,$F1470,nrES_Att,1)&gt;0,SUMIFS(nrES_Raw,nrES_PID,$D1470,nrES_Code,$F1470,nrES_Att,1)&gt;=$J1470),"RETEST AFTER A PASSING FIRST ATTEMPT","OK"))))))))))</f>
        <v/>
      </c>
      <c r="Y1470" s="16" t="n"/>
    </row>
    <row r="1471">
      <c r="B1471" s="17">
        <f>IF($C1471="","",$D1471&amp;"-"&amp;$F1471&amp;"-"&amp;$K1471)</f>
        <v/>
      </c>
      <c r="C1471" s="16" t="n"/>
      <c r="D1471" s="17">
        <f>IF($C1471="","",IFERROR(INDEX(rngCadetPIDs,MATCH($C1471,rngCadetNames,0)),"?"))</f>
        <v/>
      </c>
      <c r="E1471" s="17">
        <f>IF($D1471="","",IFERROR(INDEX(nrCadetAgency,MATCH($D1471,rngCadetPIDs,0)),""))</f>
        <v/>
      </c>
      <c r="F1471" s="16" t="n"/>
      <c r="G1471" s="17">
        <f>IF($F1471="","",IFERROR(INDEX(rngEPname,MATCH($F1471,rngEPcode,0)),"?"))</f>
        <v/>
      </c>
      <c r="H1471" s="17">
        <f>IF($F1471="","",IFERROR(INDEX(rngEPtype,MATCH($F1471,rngEPcode,0)),"?"))</f>
        <v/>
      </c>
      <c r="I1471" s="17">
        <f>IF($F1471="","",IFERROR(INDEX(rngEPseq,MATCH($F1471,rngEPcode,0)),""))</f>
        <v/>
      </c>
      <c r="J1471" s="17">
        <f>IF($F1471="","",IFERROR(INDEX(rngEPpass,MATCH($F1471,rngEPcode,0)),cfgPassingScore))</f>
        <v/>
      </c>
      <c r="K1471" s="16" t="n"/>
      <c r="L1471" s="16" t="n"/>
      <c r="M1471" s="17">
        <f>IF($C1471="","",IF($L1471="","",IF(NOT(ISNUMBER($L1471)),$L1471,IF(N($K1471)&gt;2,"",IF($K1471=1,IF(COUNTIFS(nrES_PID,$D1471,nrES_Code,$F1471,nrES_Att,2,nrES_Raw,"&gt;=0")&gt;0,"",$L1471),IF($L1471&gt;=$J1471,MAX($J1471,cfgRetakeRecordedCap),IF(COUNTIFS(nrES_PID,$D1471,nrES_Code,$F1471,nrES_Att,1)=0,$L1471,SUMIFS(nrES_Raw,nrES_PID,$D1471,nrES_Code,$F1471,nrES_Att,1))))))))</f>
        <v/>
      </c>
      <c r="N1471" s="17">
        <f>IF($C1471="","",IF($L1471="","",IF(NOT(ISNUMBER($L1471)),"(not a score)",IF($L1471&gt;=$J1471,"Yes","No"))))</f>
        <v/>
      </c>
      <c r="O1471" s="17">
        <f>IF($C1471="","",IF($M1471="","",IF(NOT(ISNUMBER($M1471)),"(not a score)",IF($M1471&gt;=$J1471,"Yes","No"))))</f>
        <v/>
      </c>
      <c r="P1471" s="17">
        <f>IF($C1471="","",IF($K1471="","",IF(N($K1471)&gt;2,"No",IF(COUNTIFS(nrES_PID,$D1471,nrES_Code,$F1471,nrES_Att,"&gt;"&amp;$K1471,nrES_Att,"&lt;=2",nrES_Raw,"&gt;=0")=0,"Yes","No"))))</f>
        <v/>
      </c>
      <c r="Q1471" s="17">
        <f>IF($C1471="","",IF($L1471="","",IF(AND($K1471=1,ISNUMBER($L1471),$L1471&lt;$J1471,COUNTIFS(nrES_PID,$D1471,nrES_Code,$F1471,nrES_Att,2,nrES_Raw,"&gt;=0")=0),"Yes","No")))</f>
        <v/>
      </c>
      <c r="R1471" s="17">
        <f>IF($C1471="","",IF($L1471="","",IF(AND(N($K1471)&gt;=2,ISNUMBER($L1471),$L1471&lt;$J1471),"Yes","No")))</f>
        <v/>
      </c>
      <c r="S1471" s="18" t="n"/>
      <c r="T1471" s="19">
        <f>IF(OR($C1471="",$L1471="",$K1471&lt;&gt;1,NOT(ISNUMBER($L1471)),$L1471&gt;=$J1471),"",IF($S1471="","(enter date)",_xlfn.LET(_xlpm.dn,_xlfn.XLOOKUP($S1471,nrCDdate,nrCDnum,"",1),IF(_xlpm.dn="","(after last class day)",_xlfn.LET(_xlpm.dd,_xlfn.XLOOKUP(_xlpm.dn+cfgRetestClassDays,nrCDnum,nrCDdate,""),_xlpm.ok,_xlfn.XLOOKUP(_xlpm.dn+cfgRetestClassDays,nrCDnum,nrCDinsession,"No"),IF(OR(_xlpm.dd="",_xlpm.ok&lt;&gt;"Yes"),"(after last class day)",_xlpm.dd))))))</f>
        <v/>
      </c>
      <c r="U1471" s="17">
        <f>IF($C1471="","",IF(AND($Y1471="Excused",$L1471="",N($K1471)&lt;=1),"EXCUSED - 1st attempt pending",IF(OR($L1471="",$K1471&lt;&gt;1,NOT(ISNUMBER($L1471)),$L1471&gt;=$J1471),"",IF(COUNTIFS(nrES_PID,$D1471,nrES_Code,$F1471,nrES_Att,2,nrES_Raw,"&gt;=0")&gt;0,IF(IFERROR(_xlfn.MINIFS(nrES_Date,nrES_PID,$D1471,nrES_Code,$F1471,nrES_Att,2,nrES_Raw,"&gt;=0",nrES_Date,"&gt;0"),0)=0,"RETEST UNDATED",IF(NOT(ISNUMBER($T1471)),"RETEST DATE UNCHECKED",IF(_xlfn.MINIFS(nrES_Date,nrES_PID,$D1471,nrES_Code,$F1471,nrES_Att,2,nrES_Raw,"&gt;=0",nrES_Date,"&gt;0")&gt;$T1471,"LATE RETEST "&amp;TEXT(_xlfn.MINIFS(nrES_Date,nrES_PID,$D1471,nrES_Code,$F1471,nrES_Att,2,nrES_Raw,"&gt;=0",nrES_Date,"&gt;0"),"mm/dd")&amp;" (due "&amp;TEXT($T1471,"mm/dd")&amp;")","Retested"))),IF(NOT(ISNUMBER($T1471)),"CHECK DATE",IF(TODAY()&gt;$T1471,"OVERDUE","Due "&amp;TEXT($T1471,"mm/dd")))))))</f>
        <v/>
      </c>
      <c r="V1471" s="16" t="n"/>
      <c r="W1471" s="16" t="n"/>
      <c r="X1471" s="17">
        <f>IF($C1471="","",IF(AND($L1471&lt;&gt;"",NOT(ISNUMBER($L1471))),"RAW SCORE NOT A NUMBER",IF(AND(ISNUMBER($L1471),OR($L1471&lt;0,$L1471&gt;100)),"RAW SCORE OUT OF RANGE",IF(AND($Y1471="Unexcused",OR($L1471="",NOT(ISNUMBER($L1471)),$L1471&lt;&gt;0)),"UNEXCUSED ABSENCE MUST RECORD 0",IF(COUNTIF(nrES_RecID,$B1471)&gt;1,"DUPLICATE RECORD",IF(N($K1471)&gt;2,"ATTEMPT 3+ NOT ALLOWED - policy 300.5 permits one retest per exam; this row records nothing",IF(AND($K1471=2,COUNTIFS(nrES_PID,$D1471,nrES_Code,$F1471,nrES_Att,1)=0),"ATTEMPT 2 WITHOUT ATTEMPT 1",IF(AND($K1471=2,$L1471=""),"RETEST ROW HAS NO SCORE",IF(AND($H1471="Final",$L1471&lt;&gt;"",IFERROR(INDEX(nrCKfinalExamElig,MATCH($D1471,rngCadetPIDs,0)),"")="No"),"FINAL EXAM AFTER FAILED FINAL PT (500.1.H)",IF(AND($K1471=2,ISNUMBER($L1471),COUNTIFS(nrES_PID,$D1471,nrES_Code,$F1471,nrES_Att,1)&gt;0,SUMIFS(nrES_Raw,nrES_PID,$D1471,nrES_Code,$F1471,nrES_Att,1)&gt;=$J1471),"RETEST AFTER A PASSING FIRST ATTEMPT","OK"))))))))))</f>
        <v/>
      </c>
      <c r="Y1471" s="16" t="n"/>
    </row>
    <row r="1472">
      <c r="B1472" s="17">
        <f>IF($C1472="","",$D1472&amp;"-"&amp;$F1472&amp;"-"&amp;$K1472)</f>
        <v/>
      </c>
      <c r="C1472" s="16" t="n"/>
      <c r="D1472" s="17">
        <f>IF($C1472="","",IFERROR(INDEX(rngCadetPIDs,MATCH($C1472,rngCadetNames,0)),"?"))</f>
        <v/>
      </c>
      <c r="E1472" s="17">
        <f>IF($D1472="","",IFERROR(INDEX(nrCadetAgency,MATCH($D1472,rngCadetPIDs,0)),""))</f>
        <v/>
      </c>
      <c r="F1472" s="16" t="n"/>
      <c r="G1472" s="17">
        <f>IF($F1472="","",IFERROR(INDEX(rngEPname,MATCH($F1472,rngEPcode,0)),"?"))</f>
        <v/>
      </c>
      <c r="H1472" s="17">
        <f>IF($F1472="","",IFERROR(INDEX(rngEPtype,MATCH($F1472,rngEPcode,0)),"?"))</f>
        <v/>
      </c>
      <c r="I1472" s="17">
        <f>IF($F1472="","",IFERROR(INDEX(rngEPseq,MATCH($F1472,rngEPcode,0)),""))</f>
        <v/>
      </c>
      <c r="J1472" s="17">
        <f>IF($F1472="","",IFERROR(INDEX(rngEPpass,MATCH($F1472,rngEPcode,0)),cfgPassingScore))</f>
        <v/>
      </c>
      <c r="K1472" s="16" t="n"/>
      <c r="L1472" s="16" t="n"/>
      <c r="M1472" s="17">
        <f>IF($C1472="","",IF($L1472="","",IF(NOT(ISNUMBER($L1472)),$L1472,IF(N($K1472)&gt;2,"",IF($K1472=1,IF(COUNTIFS(nrES_PID,$D1472,nrES_Code,$F1472,nrES_Att,2,nrES_Raw,"&gt;=0")&gt;0,"",$L1472),IF($L1472&gt;=$J1472,MAX($J1472,cfgRetakeRecordedCap),IF(COUNTIFS(nrES_PID,$D1472,nrES_Code,$F1472,nrES_Att,1)=0,$L1472,SUMIFS(nrES_Raw,nrES_PID,$D1472,nrES_Code,$F1472,nrES_Att,1))))))))</f>
        <v/>
      </c>
      <c r="N1472" s="17">
        <f>IF($C1472="","",IF($L1472="","",IF(NOT(ISNUMBER($L1472)),"(not a score)",IF($L1472&gt;=$J1472,"Yes","No"))))</f>
        <v/>
      </c>
      <c r="O1472" s="17">
        <f>IF($C1472="","",IF($M1472="","",IF(NOT(ISNUMBER($M1472)),"(not a score)",IF($M1472&gt;=$J1472,"Yes","No"))))</f>
        <v/>
      </c>
      <c r="P1472" s="17">
        <f>IF($C1472="","",IF($K1472="","",IF(N($K1472)&gt;2,"No",IF(COUNTIFS(nrES_PID,$D1472,nrES_Code,$F1472,nrES_Att,"&gt;"&amp;$K1472,nrES_Att,"&lt;=2",nrES_Raw,"&gt;=0")=0,"Yes","No"))))</f>
        <v/>
      </c>
      <c r="Q1472" s="17">
        <f>IF($C1472="","",IF($L1472="","",IF(AND($K1472=1,ISNUMBER($L1472),$L1472&lt;$J1472,COUNTIFS(nrES_PID,$D1472,nrES_Code,$F1472,nrES_Att,2,nrES_Raw,"&gt;=0")=0),"Yes","No")))</f>
        <v/>
      </c>
      <c r="R1472" s="17">
        <f>IF($C1472="","",IF($L1472="","",IF(AND(N($K1472)&gt;=2,ISNUMBER($L1472),$L1472&lt;$J1472),"Yes","No")))</f>
        <v/>
      </c>
      <c r="S1472" s="18" t="n"/>
      <c r="T1472" s="19">
        <f>IF(OR($C1472="",$L1472="",$K1472&lt;&gt;1,NOT(ISNUMBER($L1472)),$L1472&gt;=$J1472),"",IF($S1472="","(enter date)",_xlfn.LET(_xlpm.dn,_xlfn.XLOOKUP($S1472,nrCDdate,nrCDnum,"",1),IF(_xlpm.dn="","(after last class day)",_xlfn.LET(_xlpm.dd,_xlfn.XLOOKUP(_xlpm.dn+cfgRetestClassDays,nrCDnum,nrCDdate,""),_xlpm.ok,_xlfn.XLOOKUP(_xlpm.dn+cfgRetestClassDays,nrCDnum,nrCDinsession,"No"),IF(OR(_xlpm.dd="",_xlpm.ok&lt;&gt;"Yes"),"(after last class day)",_xlpm.dd))))))</f>
        <v/>
      </c>
      <c r="U1472" s="17">
        <f>IF($C1472="","",IF(AND($Y1472="Excused",$L1472="",N($K1472)&lt;=1),"EXCUSED - 1st attempt pending",IF(OR($L1472="",$K1472&lt;&gt;1,NOT(ISNUMBER($L1472)),$L1472&gt;=$J1472),"",IF(COUNTIFS(nrES_PID,$D1472,nrES_Code,$F1472,nrES_Att,2,nrES_Raw,"&gt;=0")&gt;0,IF(IFERROR(_xlfn.MINIFS(nrES_Date,nrES_PID,$D1472,nrES_Code,$F1472,nrES_Att,2,nrES_Raw,"&gt;=0",nrES_Date,"&gt;0"),0)=0,"RETEST UNDATED",IF(NOT(ISNUMBER($T1472)),"RETEST DATE UNCHECKED",IF(_xlfn.MINIFS(nrES_Date,nrES_PID,$D1472,nrES_Code,$F1472,nrES_Att,2,nrES_Raw,"&gt;=0",nrES_Date,"&gt;0")&gt;$T1472,"LATE RETEST "&amp;TEXT(_xlfn.MINIFS(nrES_Date,nrES_PID,$D1472,nrES_Code,$F1472,nrES_Att,2,nrES_Raw,"&gt;=0",nrES_Date,"&gt;0"),"mm/dd")&amp;" (due "&amp;TEXT($T1472,"mm/dd")&amp;")","Retested"))),IF(NOT(ISNUMBER($T1472)),"CHECK DATE",IF(TODAY()&gt;$T1472,"OVERDUE","Due "&amp;TEXT($T1472,"mm/dd")))))))</f>
        <v/>
      </c>
      <c r="V1472" s="16" t="n"/>
      <c r="W1472" s="16" t="n"/>
      <c r="X1472" s="17">
        <f>IF($C1472="","",IF(AND($L1472&lt;&gt;"",NOT(ISNUMBER($L1472))),"RAW SCORE NOT A NUMBER",IF(AND(ISNUMBER($L1472),OR($L1472&lt;0,$L1472&gt;100)),"RAW SCORE OUT OF RANGE",IF(AND($Y1472="Unexcused",OR($L1472="",NOT(ISNUMBER($L1472)),$L1472&lt;&gt;0)),"UNEXCUSED ABSENCE MUST RECORD 0",IF(COUNTIF(nrES_RecID,$B1472)&gt;1,"DUPLICATE RECORD",IF(N($K1472)&gt;2,"ATTEMPT 3+ NOT ALLOWED - policy 300.5 permits one retest per exam; this row records nothing",IF(AND($K1472=2,COUNTIFS(nrES_PID,$D1472,nrES_Code,$F1472,nrES_Att,1)=0),"ATTEMPT 2 WITHOUT ATTEMPT 1",IF(AND($K1472=2,$L1472=""),"RETEST ROW HAS NO SCORE",IF(AND($H1472="Final",$L1472&lt;&gt;"",IFERROR(INDEX(nrCKfinalExamElig,MATCH($D1472,rngCadetPIDs,0)),"")="No"),"FINAL EXAM AFTER FAILED FINAL PT (500.1.H)",IF(AND($K1472=2,ISNUMBER($L1472),COUNTIFS(nrES_PID,$D1472,nrES_Code,$F1472,nrES_Att,1)&gt;0,SUMIFS(nrES_Raw,nrES_PID,$D1472,nrES_Code,$F1472,nrES_Att,1)&gt;=$J1472),"RETEST AFTER A PASSING FIRST ATTEMPT","OK"))))))))))</f>
        <v/>
      </c>
      <c r="Y1472" s="16" t="n"/>
    </row>
    <row r="1473">
      <c r="B1473" s="17">
        <f>IF($C1473="","",$D1473&amp;"-"&amp;$F1473&amp;"-"&amp;$K1473)</f>
        <v/>
      </c>
      <c r="C1473" s="16" t="n"/>
      <c r="D1473" s="17">
        <f>IF($C1473="","",IFERROR(INDEX(rngCadetPIDs,MATCH($C1473,rngCadetNames,0)),"?"))</f>
        <v/>
      </c>
      <c r="E1473" s="17">
        <f>IF($D1473="","",IFERROR(INDEX(nrCadetAgency,MATCH($D1473,rngCadetPIDs,0)),""))</f>
        <v/>
      </c>
      <c r="F1473" s="16" t="n"/>
      <c r="G1473" s="17">
        <f>IF($F1473="","",IFERROR(INDEX(rngEPname,MATCH($F1473,rngEPcode,0)),"?"))</f>
        <v/>
      </c>
      <c r="H1473" s="17">
        <f>IF($F1473="","",IFERROR(INDEX(rngEPtype,MATCH($F1473,rngEPcode,0)),"?"))</f>
        <v/>
      </c>
      <c r="I1473" s="17">
        <f>IF($F1473="","",IFERROR(INDEX(rngEPseq,MATCH($F1473,rngEPcode,0)),""))</f>
        <v/>
      </c>
      <c r="J1473" s="17">
        <f>IF($F1473="","",IFERROR(INDEX(rngEPpass,MATCH($F1473,rngEPcode,0)),cfgPassingScore))</f>
        <v/>
      </c>
      <c r="K1473" s="16" t="n"/>
      <c r="L1473" s="16" t="n"/>
      <c r="M1473" s="17">
        <f>IF($C1473="","",IF($L1473="","",IF(NOT(ISNUMBER($L1473)),$L1473,IF(N($K1473)&gt;2,"",IF($K1473=1,IF(COUNTIFS(nrES_PID,$D1473,nrES_Code,$F1473,nrES_Att,2,nrES_Raw,"&gt;=0")&gt;0,"",$L1473),IF($L1473&gt;=$J1473,MAX($J1473,cfgRetakeRecordedCap),IF(COUNTIFS(nrES_PID,$D1473,nrES_Code,$F1473,nrES_Att,1)=0,$L1473,SUMIFS(nrES_Raw,nrES_PID,$D1473,nrES_Code,$F1473,nrES_Att,1))))))))</f>
        <v/>
      </c>
      <c r="N1473" s="17">
        <f>IF($C1473="","",IF($L1473="","",IF(NOT(ISNUMBER($L1473)),"(not a score)",IF($L1473&gt;=$J1473,"Yes","No"))))</f>
        <v/>
      </c>
      <c r="O1473" s="17">
        <f>IF($C1473="","",IF($M1473="","",IF(NOT(ISNUMBER($M1473)),"(not a score)",IF($M1473&gt;=$J1473,"Yes","No"))))</f>
        <v/>
      </c>
      <c r="P1473" s="17">
        <f>IF($C1473="","",IF($K1473="","",IF(N($K1473)&gt;2,"No",IF(COUNTIFS(nrES_PID,$D1473,nrES_Code,$F1473,nrES_Att,"&gt;"&amp;$K1473,nrES_Att,"&lt;=2",nrES_Raw,"&gt;=0")=0,"Yes","No"))))</f>
        <v/>
      </c>
      <c r="Q1473" s="17">
        <f>IF($C1473="","",IF($L1473="","",IF(AND($K1473=1,ISNUMBER($L1473),$L1473&lt;$J1473,COUNTIFS(nrES_PID,$D1473,nrES_Code,$F1473,nrES_Att,2,nrES_Raw,"&gt;=0")=0),"Yes","No")))</f>
        <v/>
      </c>
      <c r="R1473" s="17">
        <f>IF($C1473="","",IF($L1473="","",IF(AND(N($K1473)&gt;=2,ISNUMBER($L1473),$L1473&lt;$J1473),"Yes","No")))</f>
        <v/>
      </c>
      <c r="S1473" s="18" t="n"/>
      <c r="T1473" s="19">
        <f>IF(OR($C1473="",$L1473="",$K1473&lt;&gt;1,NOT(ISNUMBER($L1473)),$L1473&gt;=$J1473),"",IF($S1473="","(enter date)",_xlfn.LET(_xlpm.dn,_xlfn.XLOOKUP($S1473,nrCDdate,nrCDnum,"",1),IF(_xlpm.dn="","(after last class day)",_xlfn.LET(_xlpm.dd,_xlfn.XLOOKUP(_xlpm.dn+cfgRetestClassDays,nrCDnum,nrCDdate,""),_xlpm.ok,_xlfn.XLOOKUP(_xlpm.dn+cfgRetestClassDays,nrCDnum,nrCDinsession,"No"),IF(OR(_xlpm.dd="",_xlpm.ok&lt;&gt;"Yes"),"(after last class day)",_xlpm.dd))))))</f>
        <v/>
      </c>
      <c r="U1473" s="17">
        <f>IF($C1473="","",IF(AND($Y1473="Excused",$L1473="",N($K1473)&lt;=1),"EXCUSED - 1st attempt pending",IF(OR($L1473="",$K1473&lt;&gt;1,NOT(ISNUMBER($L1473)),$L1473&gt;=$J1473),"",IF(COUNTIFS(nrES_PID,$D1473,nrES_Code,$F1473,nrES_Att,2,nrES_Raw,"&gt;=0")&gt;0,IF(IFERROR(_xlfn.MINIFS(nrES_Date,nrES_PID,$D1473,nrES_Code,$F1473,nrES_Att,2,nrES_Raw,"&gt;=0",nrES_Date,"&gt;0"),0)=0,"RETEST UNDATED",IF(NOT(ISNUMBER($T1473)),"RETEST DATE UNCHECKED",IF(_xlfn.MINIFS(nrES_Date,nrES_PID,$D1473,nrES_Code,$F1473,nrES_Att,2,nrES_Raw,"&gt;=0",nrES_Date,"&gt;0")&gt;$T1473,"LATE RETEST "&amp;TEXT(_xlfn.MINIFS(nrES_Date,nrES_PID,$D1473,nrES_Code,$F1473,nrES_Att,2,nrES_Raw,"&gt;=0",nrES_Date,"&gt;0"),"mm/dd")&amp;" (due "&amp;TEXT($T1473,"mm/dd")&amp;")","Retested"))),IF(NOT(ISNUMBER($T1473)),"CHECK DATE",IF(TODAY()&gt;$T1473,"OVERDUE","Due "&amp;TEXT($T1473,"mm/dd")))))))</f>
        <v/>
      </c>
      <c r="V1473" s="16" t="n"/>
      <c r="W1473" s="16" t="n"/>
      <c r="X1473" s="17">
        <f>IF($C1473="","",IF(AND($L1473&lt;&gt;"",NOT(ISNUMBER($L1473))),"RAW SCORE NOT A NUMBER",IF(AND(ISNUMBER($L1473),OR($L1473&lt;0,$L1473&gt;100)),"RAW SCORE OUT OF RANGE",IF(AND($Y1473="Unexcused",OR($L1473="",NOT(ISNUMBER($L1473)),$L1473&lt;&gt;0)),"UNEXCUSED ABSENCE MUST RECORD 0",IF(COUNTIF(nrES_RecID,$B1473)&gt;1,"DUPLICATE RECORD",IF(N($K1473)&gt;2,"ATTEMPT 3+ NOT ALLOWED - policy 300.5 permits one retest per exam; this row records nothing",IF(AND($K1473=2,COUNTIFS(nrES_PID,$D1473,nrES_Code,$F1473,nrES_Att,1)=0),"ATTEMPT 2 WITHOUT ATTEMPT 1",IF(AND($K1473=2,$L1473=""),"RETEST ROW HAS NO SCORE",IF(AND($H1473="Final",$L1473&lt;&gt;"",IFERROR(INDEX(nrCKfinalExamElig,MATCH($D1473,rngCadetPIDs,0)),"")="No"),"FINAL EXAM AFTER FAILED FINAL PT (500.1.H)",IF(AND($K1473=2,ISNUMBER($L1473),COUNTIFS(nrES_PID,$D1473,nrES_Code,$F1473,nrES_Att,1)&gt;0,SUMIFS(nrES_Raw,nrES_PID,$D1473,nrES_Code,$F1473,nrES_Att,1)&gt;=$J1473),"RETEST AFTER A PASSING FIRST ATTEMPT","OK"))))))))))</f>
        <v/>
      </c>
      <c r="Y1473" s="16" t="n"/>
    </row>
    <row r="1474">
      <c r="B1474" s="17">
        <f>IF($C1474="","",$D1474&amp;"-"&amp;$F1474&amp;"-"&amp;$K1474)</f>
        <v/>
      </c>
      <c r="C1474" s="16" t="n"/>
      <c r="D1474" s="17">
        <f>IF($C1474="","",IFERROR(INDEX(rngCadetPIDs,MATCH($C1474,rngCadetNames,0)),"?"))</f>
        <v/>
      </c>
      <c r="E1474" s="17">
        <f>IF($D1474="","",IFERROR(INDEX(nrCadetAgency,MATCH($D1474,rngCadetPIDs,0)),""))</f>
        <v/>
      </c>
      <c r="F1474" s="16" t="n"/>
      <c r="G1474" s="17">
        <f>IF($F1474="","",IFERROR(INDEX(rngEPname,MATCH($F1474,rngEPcode,0)),"?"))</f>
        <v/>
      </c>
      <c r="H1474" s="17">
        <f>IF($F1474="","",IFERROR(INDEX(rngEPtype,MATCH($F1474,rngEPcode,0)),"?"))</f>
        <v/>
      </c>
      <c r="I1474" s="17">
        <f>IF($F1474="","",IFERROR(INDEX(rngEPseq,MATCH($F1474,rngEPcode,0)),""))</f>
        <v/>
      </c>
      <c r="J1474" s="17">
        <f>IF($F1474="","",IFERROR(INDEX(rngEPpass,MATCH($F1474,rngEPcode,0)),cfgPassingScore))</f>
        <v/>
      </c>
      <c r="K1474" s="16" t="n"/>
      <c r="L1474" s="16" t="n"/>
      <c r="M1474" s="17">
        <f>IF($C1474="","",IF($L1474="","",IF(NOT(ISNUMBER($L1474)),$L1474,IF(N($K1474)&gt;2,"",IF($K1474=1,IF(COUNTIFS(nrES_PID,$D1474,nrES_Code,$F1474,nrES_Att,2,nrES_Raw,"&gt;=0")&gt;0,"",$L1474),IF($L1474&gt;=$J1474,MAX($J1474,cfgRetakeRecordedCap),IF(COUNTIFS(nrES_PID,$D1474,nrES_Code,$F1474,nrES_Att,1)=0,$L1474,SUMIFS(nrES_Raw,nrES_PID,$D1474,nrES_Code,$F1474,nrES_Att,1))))))))</f>
        <v/>
      </c>
      <c r="N1474" s="17">
        <f>IF($C1474="","",IF($L1474="","",IF(NOT(ISNUMBER($L1474)),"(not a score)",IF($L1474&gt;=$J1474,"Yes","No"))))</f>
        <v/>
      </c>
      <c r="O1474" s="17">
        <f>IF($C1474="","",IF($M1474="","",IF(NOT(ISNUMBER($M1474)),"(not a score)",IF($M1474&gt;=$J1474,"Yes","No"))))</f>
        <v/>
      </c>
      <c r="P1474" s="17">
        <f>IF($C1474="","",IF($K1474="","",IF(N($K1474)&gt;2,"No",IF(COUNTIFS(nrES_PID,$D1474,nrES_Code,$F1474,nrES_Att,"&gt;"&amp;$K1474,nrES_Att,"&lt;=2",nrES_Raw,"&gt;=0")=0,"Yes","No"))))</f>
        <v/>
      </c>
      <c r="Q1474" s="17">
        <f>IF($C1474="","",IF($L1474="","",IF(AND($K1474=1,ISNUMBER($L1474),$L1474&lt;$J1474,COUNTIFS(nrES_PID,$D1474,nrES_Code,$F1474,nrES_Att,2,nrES_Raw,"&gt;=0")=0),"Yes","No")))</f>
        <v/>
      </c>
      <c r="R1474" s="17">
        <f>IF($C1474="","",IF($L1474="","",IF(AND(N($K1474)&gt;=2,ISNUMBER($L1474),$L1474&lt;$J1474),"Yes","No")))</f>
        <v/>
      </c>
      <c r="S1474" s="18" t="n"/>
      <c r="T1474" s="19">
        <f>IF(OR($C1474="",$L1474="",$K1474&lt;&gt;1,NOT(ISNUMBER($L1474)),$L1474&gt;=$J1474),"",IF($S1474="","(enter date)",_xlfn.LET(_xlpm.dn,_xlfn.XLOOKUP($S1474,nrCDdate,nrCDnum,"",1),IF(_xlpm.dn="","(after last class day)",_xlfn.LET(_xlpm.dd,_xlfn.XLOOKUP(_xlpm.dn+cfgRetestClassDays,nrCDnum,nrCDdate,""),_xlpm.ok,_xlfn.XLOOKUP(_xlpm.dn+cfgRetestClassDays,nrCDnum,nrCDinsession,"No"),IF(OR(_xlpm.dd="",_xlpm.ok&lt;&gt;"Yes"),"(after last class day)",_xlpm.dd))))))</f>
        <v/>
      </c>
      <c r="U1474" s="17">
        <f>IF($C1474="","",IF(AND($Y1474="Excused",$L1474="",N($K1474)&lt;=1),"EXCUSED - 1st attempt pending",IF(OR($L1474="",$K1474&lt;&gt;1,NOT(ISNUMBER($L1474)),$L1474&gt;=$J1474),"",IF(COUNTIFS(nrES_PID,$D1474,nrES_Code,$F1474,nrES_Att,2,nrES_Raw,"&gt;=0")&gt;0,IF(IFERROR(_xlfn.MINIFS(nrES_Date,nrES_PID,$D1474,nrES_Code,$F1474,nrES_Att,2,nrES_Raw,"&gt;=0",nrES_Date,"&gt;0"),0)=0,"RETEST UNDATED",IF(NOT(ISNUMBER($T1474)),"RETEST DATE UNCHECKED",IF(_xlfn.MINIFS(nrES_Date,nrES_PID,$D1474,nrES_Code,$F1474,nrES_Att,2,nrES_Raw,"&gt;=0",nrES_Date,"&gt;0")&gt;$T1474,"LATE RETEST "&amp;TEXT(_xlfn.MINIFS(nrES_Date,nrES_PID,$D1474,nrES_Code,$F1474,nrES_Att,2,nrES_Raw,"&gt;=0",nrES_Date,"&gt;0"),"mm/dd")&amp;" (due "&amp;TEXT($T1474,"mm/dd")&amp;")","Retested"))),IF(NOT(ISNUMBER($T1474)),"CHECK DATE",IF(TODAY()&gt;$T1474,"OVERDUE","Due "&amp;TEXT($T1474,"mm/dd")))))))</f>
        <v/>
      </c>
      <c r="V1474" s="16" t="n"/>
      <c r="W1474" s="16" t="n"/>
      <c r="X1474" s="17">
        <f>IF($C1474="","",IF(AND($L1474&lt;&gt;"",NOT(ISNUMBER($L1474))),"RAW SCORE NOT A NUMBER",IF(AND(ISNUMBER($L1474),OR($L1474&lt;0,$L1474&gt;100)),"RAW SCORE OUT OF RANGE",IF(AND($Y1474="Unexcused",OR($L1474="",NOT(ISNUMBER($L1474)),$L1474&lt;&gt;0)),"UNEXCUSED ABSENCE MUST RECORD 0",IF(COUNTIF(nrES_RecID,$B1474)&gt;1,"DUPLICATE RECORD",IF(N($K1474)&gt;2,"ATTEMPT 3+ NOT ALLOWED - policy 300.5 permits one retest per exam; this row records nothing",IF(AND($K1474=2,COUNTIFS(nrES_PID,$D1474,nrES_Code,$F1474,nrES_Att,1)=0),"ATTEMPT 2 WITHOUT ATTEMPT 1",IF(AND($K1474=2,$L1474=""),"RETEST ROW HAS NO SCORE",IF(AND($H1474="Final",$L1474&lt;&gt;"",IFERROR(INDEX(nrCKfinalExamElig,MATCH($D1474,rngCadetPIDs,0)),"")="No"),"FINAL EXAM AFTER FAILED FINAL PT (500.1.H)",IF(AND($K1474=2,ISNUMBER($L1474),COUNTIFS(nrES_PID,$D1474,nrES_Code,$F1474,nrES_Att,1)&gt;0,SUMIFS(nrES_Raw,nrES_PID,$D1474,nrES_Code,$F1474,nrES_Att,1)&gt;=$J1474),"RETEST AFTER A PASSING FIRST ATTEMPT","OK"))))))))))</f>
        <v/>
      </c>
      <c r="Y1474" s="16" t="n"/>
    </row>
    <row r="1475">
      <c r="B1475" s="17">
        <f>IF($C1475="","",$D1475&amp;"-"&amp;$F1475&amp;"-"&amp;$K1475)</f>
        <v/>
      </c>
      <c r="C1475" s="16" t="n"/>
      <c r="D1475" s="17">
        <f>IF($C1475="","",IFERROR(INDEX(rngCadetPIDs,MATCH($C1475,rngCadetNames,0)),"?"))</f>
        <v/>
      </c>
      <c r="E1475" s="17">
        <f>IF($D1475="","",IFERROR(INDEX(nrCadetAgency,MATCH($D1475,rngCadetPIDs,0)),""))</f>
        <v/>
      </c>
      <c r="F1475" s="16" t="n"/>
      <c r="G1475" s="17">
        <f>IF($F1475="","",IFERROR(INDEX(rngEPname,MATCH($F1475,rngEPcode,0)),"?"))</f>
        <v/>
      </c>
      <c r="H1475" s="17">
        <f>IF($F1475="","",IFERROR(INDEX(rngEPtype,MATCH($F1475,rngEPcode,0)),"?"))</f>
        <v/>
      </c>
      <c r="I1475" s="17">
        <f>IF($F1475="","",IFERROR(INDEX(rngEPseq,MATCH($F1475,rngEPcode,0)),""))</f>
        <v/>
      </c>
      <c r="J1475" s="17">
        <f>IF($F1475="","",IFERROR(INDEX(rngEPpass,MATCH($F1475,rngEPcode,0)),cfgPassingScore))</f>
        <v/>
      </c>
      <c r="K1475" s="16" t="n"/>
      <c r="L1475" s="16" t="n"/>
      <c r="M1475" s="17">
        <f>IF($C1475="","",IF($L1475="","",IF(NOT(ISNUMBER($L1475)),$L1475,IF(N($K1475)&gt;2,"",IF($K1475=1,IF(COUNTIFS(nrES_PID,$D1475,nrES_Code,$F1475,nrES_Att,2,nrES_Raw,"&gt;=0")&gt;0,"",$L1475),IF($L1475&gt;=$J1475,MAX($J1475,cfgRetakeRecordedCap),IF(COUNTIFS(nrES_PID,$D1475,nrES_Code,$F1475,nrES_Att,1)=0,$L1475,SUMIFS(nrES_Raw,nrES_PID,$D1475,nrES_Code,$F1475,nrES_Att,1))))))))</f>
        <v/>
      </c>
      <c r="N1475" s="17">
        <f>IF($C1475="","",IF($L1475="","",IF(NOT(ISNUMBER($L1475)),"(not a score)",IF($L1475&gt;=$J1475,"Yes","No"))))</f>
        <v/>
      </c>
      <c r="O1475" s="17">
        <f>IF($C1475="","",IF($M1475="","",IF(NOT(ISNUMBER($M1475)),"(not a score)",IF($M1475&gt;=$J1475,"Yes","No"))))</f>
        <v/>
      </c>
      <c r="P1475" s="17">
        <f>IF($C1475="","",IF($K1475="","",IF(N($K1475)&gt;2,"No",IF(COUNTIFS(nrES_PID,$D1475,nrES_Code,$F1475,nrES_Att,"&gt;"&amp;$K1475,nrES_Att,"&lt;=2",nrES_Raw,"&gt;=0")=0,"Yes","No"))))</f>
        <v/>
      </c>
      <c r="Q1475" s="17">
        <f>IF($C1475="","",IF($L1475="","",IF(AND($K1475=1,ISNUMBER($L1475),$L1475&lt;$J1475,COUNTIFS(nrES_PID,$D1475,nrES_Code,$F1475,nrES_Att,2,nrES_Raw,"&gt;=0")=0),"Yes","No")))</f>
        <v/>
      </c>
      <c r="R1475" s="17">
        <f>IF($C1475="","",IF($L1475="","",IF(AND(N($K1475)&gt;=2,ISNUMBER($L1475),$L1475&lt;$J1475),"Yes","No")))</f>
        <v/>
      </c>
      <c r="S1475" s="18" t="n"/>
      <c r="T1475" s="19">
        <f>IF(OR($C1475="",$L1475="",$K1475&lt;&gt;1,NOT(ISNUMBER($L1475)),$L1475&gt;=$J1475),"",IF($S1475="","(enter date)",_xlfn.LET(_xlpm.dn,_xlfn.XLOOKUP($S1475,nrCDdate,nrCDnum,"",1),IF(_xlpm.dn="","(after last class day)",_xlfn.LET(_xlpm.dd,_xlfn.XLOOKUP(_xlpm.dn+cfgRetestClassDays,nrCDnum,nrCDdate,""),_xlpm.ok,_xlfn.XLOOKUP(_xlpm.dn+cfgRetestClassDays,nrCDnum,nrCDinsession,"No"),IF(OR(_xlpm.dd="",_xlpm.ok&lt;&gt;"Yes"),"(after last class day)",_xlpm.dd))))))</f>
        <v/>
      </c>
      <c r="U1475" s="17">
        <f>IF($C1475="","",IF(AND($Y1475="Excused",$L1475="",N($K1475)&lt;=1),"EXCUSED - 1st attempt pending",IF(OR($L1475="",$K1475&lt;&gt;1,NOT(ISNUMBER($L1475)),$L1475&gt;=$J1475),"",IF(COUNTIFS(nrES_PID,$D1475,nrES_Code,$F1475,nrES_Att,2,nrES_Raw,"&gt;=0")&gt;0,IF(IFERROR(_xlfn.MINIFS(nrES_Date,nrES_PID,$D1475,nrES_Code,$F1475,nrES_Att,2,nrES_Raw,"&gt;=0",nrES_Date,"&gt;0"),0)=0,"RETEST UNDATED",IF(NOT(ISNUMBER($T1475)),"RETEST DATE UNCHECKED",IF(_xlfn.MINIFS(nrES_Date,nrES_PID,$D1475,nrES_Code,$F1475,nrES_Att,2,nrES_Raw,"&gt;=0",nrES_Date,"&gt;0")&gt;$T1475,"LATE RETEST "&amp;TEXT(_xlfn.MINIFS(nrES_Date,nrES_PID,$D1475,nrES_Code,$F1475,nrES_Att,2,nrES_Raw,"&gt;=0",nrES_Date,"&gt;0"),"mm/dd")&amp;" (due "&amp;TEXT($T1475,"mm/dd")&amp;")","Retested"))),IF(NOT(ISNUMBER($T1475)),"CHECK DATE",IF(TODAY()&gt;$T1475,"OVERDUE","Due "&amp;TEXT($T1475,"mm/dd")))))))</f>
        <v/>
      </c>
      <c r="V1475" s="16" t="n"/>
      <c r="W1475" s="16" t="n"/>
      <c r="X1475" s="17">
        <f>IF($C1475="","",IF(AND($L1475&lt;&gt;"",NOT(ISNUMBER($L1475))),"RAW SCORE NOT A NUMBER",IF(AND(ISNUMBER($L1475),OR($L1475&lt;0,$L1475&gt;100)),"RAW SCORE OUT OF RANGE",IF(AND($Y1475="Unexcused",OR($L1475="",NOT(ISNUMBER($L1475)),$L1475&lt;&gt;0)),"UNEXCUSED ABSENCE MUST RECORD 0",IF(COUNTIF(nrES_RecID,$B1475)&gt;1,"DUPLICATE RECORD",IF(N($K1475)&gt;2,"ATTEMPT 3+ NOT ALLOWED - policy 300.5 permits one retest per exam; this row records nothing",IF(AND($K1475=2,COUNTIFS(nrES_PID,$D1475,nrES_Code,$F1475,nrES_Att,1)=0),"ATTEMPT 2 WITHOUT ATTEMPT 1",IF(AND($K1475=2,$L1475=""),"RETEST ROW HAS NO SCORE",IF(AND($H1475="Final",$L1475&lt;&gt;"",IFERROR(INDEX(nrCKfinalExamElig,MATCH($D1475,rngCadetPIDs,0)),"")="No"),"FINAL EXAM AFTER FAILED FINAL PT (500.1.H)",IF(AND($K1475=2,ISNUMBER($L1475),COUNTIFS(nrES_PID,$D1475,nrES_Code,$F1475,nrES_Att,1)&gt;0,SUMIFS(nrES_Raw,nrES_PID,$D1475,nrES_Code,$F1475,nrES_Att,1)&gt;=$J1475),"RETEST AFTER A PASSING FIRST ATTEMPT","OK"))))))))))</f>
        <v/>
      </c>
      <c r="Y1475" s="16" t="n"/>
    </row>
    <row r="1476">
      <c r="B1476" s="17">
        <f>IF($C1476="","",$D1476&amp;"-"&amp;$F1476&amp;"-"&amp;$K1476)</f>
        <v/>
      </c>
      <c r="C1476" s="16" t="n"/>
      <c r="D1476" s="17">
        <f>IF($C1476="","",IFERROR(INDEX(rngCadetPIDs,MATCH($C1476,rngCadetNames,0)),"?"))</f>
        <v/>
      </c>
      <c r="E1476" s="17">
        <f>IF($D1476="","",IFERROR(INDEX(nrCadetAgency,MATCH($D1476,rngCadetPIDs,0)),""))</f>
        <v/>
      </c>
      <c r="F1476" s="16" t="n"/>
      <c r="G1476" s="17">
        <f>IF($F1476="","",IFERROR(INDEX(rngEPname,MATCH($F1476,rngEPcode,0)),"?"))</f>
        <v/>
      </c>
      <c r="H1476" s="17">
        <f>IF($F1476="","",IFERROR(INDEX(rngEPtype,MATCH($F1476,rngEPcode,0)),"?"))</f>
        <v/>
      </c>
      <c r="I1476" s="17">
        <f>IF($F1476="","",IFERROR(INDEX(rngEPseq,MATCH($F1476,rngEPcode,0)),""))</f>
        <v/>
      </c>
      <c r="J1476" s="17">
        <f>IF($F1476="","",IFERROR(INDEX(rngEPpass,MATCH($F1476,rngEPcode,0)),cfgPassingScore))</f>
        <v/>
      </c>
      <c r="K1476" s="16" t="n"/>
      <c r="L1476" s="16" t="n"/>
      <c r="M1476" s="17">
        <f>IF($C1476="","",IF($L1476="","",IF(NOT(ISNUMBER($L1476)),$L1476,IF(N($K1476)&gt;2,"",IF($K1476=1,IF(COUNTIFS(nrES_PID,$D1476,nrES_Code,$F1476,nrES_Att,2,nrES_Raw,"&gt;=0")&gt;0,"",$L1476),IF($L1476&gt;=$J1476,MAX($J1476,cfgRetakeRecordedCap),IF(COUNTIFS(nrES_PID,$D1476,nrES_Code,$F1476,nrES_Att,1)=0,$L1476,SUMIFS(nrES_Raw,nrES_PID,$D1476,nrES_Code,$F1476,nrES_Att,1))))))))</f>
        <v/>
      </c>
      <c r="N1476" s="17">
        <f>IF($C1476="","",IF($L1476="","",IF(NOT(ISNUMBER($L1476)),"(not a score)",IF($L1476&gt;=$J1476,"Yes","No"))))</f>
        <v/>
      </c>
      <c r="O1476" s="17">
        <f>IF($C1476="","",IF($M1476="","",IF(NOT(ISNUMBER($M1476)),"(not a score)",IF($M1476&gt;=$J1476,"Yes","No"))))</f>
        <v/>
      </c>
      <c r="P1476" s="17">
        <f>IF($C1476="","",IF($K1476="","",IF(N($K1476)&gt;2,"No",IF(COUNTIFS(nrES_PID,$D1476,nrES_Code,$F1476,nrES_Att,"&gt;"&amp;$K1476,nrES_Att,"&lt;=2",nrES_Raw,"&gt;=0")=0,"Yes","No"))))</f>
        <v/>
      </c>
      <c r="Q1476" s="17">
        <f>IF($C1476="","",IF($L1476="","",IF(AND($K1476=1,ISNUMBER($L1476),$L1476&lt;$J1476,COUNTIFS(nrES_PID,$D1476,nrES_Code,$F1476,nrES_Att,2,nrES_Raw,"&gt;=0")=0),"Yes","No")))</f>
        <v/>
      </c>
      <c r="R1476" s="17">
        <f>IF($C1476="","",IF($L1476="","",IF(AND(N($K1476)&gt;=2,ISNUMBER($L1476),$L1476&lt;$J1476),"Yes","No")))</f>
        <v/>
      </c>
      <c r="S1476" s="18" t="n"/>
      <c r="T1476" s="19">
        <f>IF(OR($C1476="",$L1476="",$K1476&lt;&gt;1,NOT(ISNUMBER($L1476)),$L1476&gt;=$J1476),"",IF($S1476="","(enter date)",_xlfn.LET(_xlpm.dn,_xlfn.XLOOKUP($S1476,nrCDdate,nrCDnum,"",1),IF(_xlpm.dn="","(after last class day)",_xlfn.LET(_xlpm.dd,_xlfn.XLOOKUP(_xlpm.dn+cfgRetestClassDays,nrCDnum,nrCDdate,""),_xlpm.ok,_xlfn.XLOOKUP(_xlpm.dn+cfgRetestClassDays,nrCDnum,nrCDinsession,"No"),IF(OR(_xlpm.dd="",_xlpm.ok&lt;&gt;"Yes"),"(after last class day)",_xlpm.dd))))))</f>
        <v/>
      </c>
      <c r="U1476" s="17">
        <f>IF($C1476="","",IF(AND($Y1476="Excused",$L1476="",N($K1476)&lt;=1),"EXCUSED - 1st attempt pending",IF(OR($L1476="",$K1476&lt;&gt;1,NOT(ISNUMBER($L1476)),$L1476&gt;=$J1476),"",IF(COUNTIFS(nrES_PID,$D1476,nrES_Code,$F1476,nrES_Att,2,nrES_Raw,"&gt;=0")&gt;0,IF(IFERROR(_xlfn.MINIFS(nrES_Date,nrES_PID,$D1476,nrES_Code,$F1476,nrES_Att,2,nrES_Raw,"&gt;=0",nrES_Date,"&gt;0"),0)=0,"RETEST UNDATED",IF(NOT(ISNUMBER($T1476)),"RETEST DATE UNCHECKED",IF(_xlfn.MINIFS(nrES_Date,nrES_PID,$D1476,nrES_Code,$F1476,nrES_Att,2,nrES_Raw,"&gt;=0",nrES_Date,"&gt;0")&gt;$T1476,"LATE RETEST "&amp;TEXT(_xlfn.MINIFS(nrES_Date,nrES_PID,$D1476,nrES_Code,$F1476,nrES_Att,2,nrES_Raw,"&gt;=0",nrES_Date,"&gt;0"),"mm/dd")&amp;" (due "&amp;TEXT($T1476,"mm/dd")&amp;")","Retested"))),IF(NOT(ISNUMBER($T1476)),"CHECK DATE",IF(TODAY()&gt;$T1476,"OVERDUE","Due "&amp;TEXT($T1476,"mm/dd")))))))</f>
        <v/>
      </c>
      <c r="V1476" s="16" t="n"/>
      <c r="W1476" s="16" t="n"/>
      <c r="X1476" s="17">
        <f>IF($C1476="","",IF(AND($L1476&lt;&gt;"",NOT(ISNUMBER($L1476))),"RAW SCORE NOT A NUMBER",IF(AND(ISNUMBER($L1476),OR($L1476&lt;0,$L1476&gt;100)),"RAW SCORE OUT OF RANGE",IF(AND($Y1476="Unexcused",OR($L1476="",NOT(ISNUMBER($L1476)),$L1476&lt;&gt;0)),"UNEXCUSED ABSENCE MUST RECORD 0",IF(COUNTIF(nrES_RecID,$B1476)&gt;1,"DUPLICATE RECORD",IF(N($K1476)&gt;2,"ATTEMPT 3+ NOT ALLOWED - policy 300.5 permits one retest per exam; this row records nothing",IF(AND($K1476=2,COUNTIFS(nrES_PID,$D1476,nrES_Code,$F1476,nrES_Att,1)=0),"ATTEMPT 2 WITHOUT ATTEMPT 1",IF(AND($K1476=2,$L1476=""),"RETEST ROW HAS NO SCORE",IF(AND($H1476="Final",$L1476&lt;&gt;"",IFERROR(INDEX(nrCKfinalExamElig,MATCH($D1476,rngCadetPIDs,0)),"")="No"),"FINAL EXAM AFTER FAILED FINAL PT (500.1.H)",IF(AND($K1476=2,ISNUMBER($L1476),COUNTIFS(nrES_PID,$D1476,nrES_Code,$F1476,nrES_Att,1)&gt;0,SUMIFS(nrES_Raw,nrES_PID,$D1476,nrES_Code,$F1476,nrES_Att,1)&gt;=$J1476),"RETEST AFTER A PASSING FIRST ATTEMPT","OK"))))))))))</f>
        <v/>
      </c>
      <c r="Y1476" s="16" t="n"/>
    </row>
    <row r="1477">
      <c r="B1477" s="17">
        <f>IF($C1477="","",$D1477&amp;"-"&amp;$F1477&amp;"-"&amp;$K1477)</f>
        <v/>
      </c>
      <c r="C1477" s="16" t="n"/>
      <c r="D1477" s="17">
        <f>IF($C1477="","",IFERROR(INDEX(rngCadetPIDs,MATCH($C1477,rngCadetNames,0)),"?"))</f>
        <v/>
      </c>
      <c r="E1477" s="17">
        <f>IF($D1477="","",IFERROR(INDEX(nrCadetAgency,MATCH($D1477,rngCadetPIDs,0)),""))</f>
        <v/>
      </c>
      <c r="F1477" s="16" t="n"/>
      <c r="G1477" s="17">
        <f>IF($F1477="","",IFERROR(INDEX(rngEPname,MATCH($F1477,rngEPcode,0)),"?"))</f>
        <v/>
      </c>
      <c r="H1477" s="17">
        <f>IF($F1477="","",IFERROR(INDEX(rngEPtype,MATCH($F1477,rngEPcode,0)),"?"))</f>
        <v/>
      </c>
      <c r="I1477" s="17">
        <f>IF($F1477="","",IFERROR(INDEX(rngEPseq,MATCH($F1477,rngEPcode,0)),""))</f>
        <v/>
      </c>
      <c r="J1477" s="17">
        <f>IF($F1477="","",IFERROR(INDEX(rngEPpass,MATCH($F1477,rngEPcode,0)),cfgPassingScore))</f>
        <v/>
      </c>
      <c r="K1477" s="16" t="n"/>
      <c r="L1477" s="16" t="n"/>
      <c r="M1477" s="17">
        <f>IF($C1477="","",IF($L1477="","",IF(NOT(ISNUMBER($L1477)),$L1477,IF(N($K1477)&gt;2,"",IF($K1477=1,IF(COUNTIFS(nrES_PID,$D1477,nrES_Code,$F1477,nrES_Att,2,nrES_Raw,"&gt;=0")&gt;0,"",$L1477),IF($L1477&gt;=$J1477,MAX($J1477,cfgRetakeRecordedCap),IF(COUNTIFS(nrES_PID,$D1477,nrES_Code,$F1477,nrES_Att,1)=0,$L1477,SUMIFS(nrES_Raw,nrES_PID,$D1477,nrES_Code,$F1477,nrES_Att,1))))))))</f>
        <v/>
      </c>
      <c r="N1477" s="17">
        <f>IF($C1477="","",IF($L1477="","",IF(NOT(ISNUMBER($L1477)),"(not a score)",IF($L1477&gt;=$J1477,"Yes","No"))))</f>
        <v/>
      </c>
      <c r="O1477" s="17">
        <f>IF($C1477="","",IF($M1477="","",IF(NOT(ISNUMBER($M1477)),"(not a score)",IF($M1477&gt;=$J1477,"Yes","No"))))</f>
        <v/>
      </c>
      <c r="P1477" s="17">
        <f>IF($C1477="","",IF($K1477="","",IF(N($K1477)&gt;2,"No",IF(COUNTIFS(nrES_PID,$D1477,nrES_Code,$F1477,nrES_Att,"&gt;"&amp;$K1477,nrES_Att,"&lt;=2",nrES_Raw,"&gt;=0")=0,"Yes","No"))))</f>
        <v/>
      </c>
      <c r="Q1477" s="17">
        <f>IF($C1477="","",IF($L1477="","",IF(AND($K1477=1,ISNUMBER($L1477),$L1477&lt;$J1477,COUNTIFS(nrES_PID,$D1477,nrES_Code,$F1477,nrES_Att,2,nrES_Raw,"&gt;=0")=0),"Yes","No")))</f>
        <v/>
      </c>
      <c r="R1477" s="17">
        <f>IF($C1477="","",IF($L1477="","",IF(AND(N($K1477)&gt;=2,ISNUMBER($L1477),$L1477&lt;$J1477),"Yes","No")))</f>
        <v/>
      </c>
      <c r="S1477" s="18" t="n"/>
      <c r="T1477" s="19">
        <f>IF(OR($C1477="",$L1477="",$K1477&lt;&gt;1,NOT(ISNUMBER($L1477)),$L1477&gt;=$J1477),"",IF($S1477="","(enter date)",_xlfn.LET(_xlpm.dn,_xlfn.XLOOKUP($S1477,nrCDdate,nrCDnum,"",1),IF(_xlpm.dn="","(after last class day)",_xlfn.LET(_xlpm.dd,_xlfn.XLOOKUP(_xlpm.dn+cfgRetestClassDays,nrCDnum,nrCDdate,""),_xlpm.ok,_xlfn.XLOOKUP(_xlpm.dn+cfgRetestClassDays,nrCDnum,nrCDinsession,"No"),IF(OR(_xlpm.dd="",_xlpm.ok&lt;&gt;"Yes"),"(after last class day)",_xlpm.dd))))))</f>
        <v/>
      </c>
      <c r="U1477" s="17">
        <f>IF($C1477="","",IF(AND($Y1477="Excused",$L1477="",N($K1477)&lt;=1),"EXCUSED - 1st attempt pending",IF(OR($L1477="",$K1477&lt;&gt;1,NOT(ISNUMBER($L1477)),$L1477&gt;=$J1477),"",IF(COUNTIFS(nrES_PID,$D1477,nrES_Code,$F1477,nrES_Att,2,nrES_Raw,"&gt;=0")&gt;0,IF(IFERROR(_xlfn.MINIFS(nrES_Date,nrES_PID,$D1477,nrES_Code,$F1477,nrES_Att,2,nrES_Raw,"&gt;=0",nrES_Date,"&gt;0"),0)=0,"RETEST UNDATED",IF(NOT(ISNUMBER($T1477)),"RETEST DATE UNCHECKED",IF(_xlfn.MINIFS(nrES_Date,nrES_PID,$D1477,nrES_Code,$F1477,nrES_Att,2,nrES_Raw,"&gt;=0",nrES_Date,"&gt;0")&gt;$T1477,"LATE RETEST "&amp;TEXT(_xlfn.MINIFS(nrES_Date,nrES_PID,$D1477,nrES_Code,$F1477,nrES_Att,2,nrES_Raw,"&gt;=0",nrES_Date,"&gt;0"),"mm/dd")&amp;" (due "&amp;TEXT($T1477,"mm/dd")&amp;")","Retested"))),IF(NOT(ISNUMBER($T1477)),"CHECK DATE",IF(TODAY()&gt;$T1477,"OVERDUE","Due "&amp;TEXT($T1477,"mm/dd")))))))</f>
        <v/>
      </c>
      <c r="V1477" s="16" t="n"/>
      <c r="W1477" s="16" t="n"/>
      <c r="X1477" s="17">
        <f>IF($C1477="","",IF(AND($L1477&lt;&gt;"",NOT(ISNUMBER($L1477))),"RAW SCORE NOT A NUMBER",IF(AND(ISNUMBER($L1477),OR($L1477&lt;0,$L1477&gt;100)),"RAW SCORE OUT OF RANGE",IF(AND($Y1477="Unexcused",OR($L1477="",NOT(ISNUMBER($L1477)),$L1477&lt;&gt;0)),"UNEXCUSED ABSENCE MUST RECORD 0",IF(COUNTIF(nrES_RecID,$B1477)&gt;1,"DUPLICATE RECORD",IF(N($K1477)&gt;2,"ATTEMPT 3+ NOT ALLOWED - policy 300.5 permits one retest per exam; this row records nothing",IF(AND($K1477=2,COUNTIFS(nrES_PID,$D1477,nrES_Code,$F1477,nrES_Att,1)=0),"ATTEMPT 2 WITHOUT ATTEMPT 1",IF(AND($K1477=2,$L1477=""),"RETEST ROW HAS NO SCORE",IF(AND($H1477="Final",$L1477&lt;&gt;"",IFERROR(INDEX(nrCKfinalExamElig,MATCH($D1477,rngCadetPIDs,0)),"")="No"),"FINAL EXAM AFTER FAILED FINAL PT (500.1.H)",IF(AND($K1477=2,ISNUMBER($L1477),COUNTIFS(nrES_PID,$D1477,nrES_Code,$F1477,nrES_Att,1)&gt;0,SUMIFS(nrES_Raw,nrES_PID,$D1477,nrES_Code,$F1477,nrES_Att,1)&gt;=$J1477),"RETEST AFTER A PASSING FIRST ATTEMPT","OK"))))))))))</f>
        <v/>
      </c>
      <c r="Y1477" s="16" t="n"/>
    </row>
    <row r="1478">
      <c r="B1478" s="17">
        <f>IF($C1478="","",$D1478&amp;"-"&amp;$F1478&amp;"-"&amp;$K1478)</f>
        <v/>
      </c>
      <c r="C1478" s="16" t="n"/>
      <c r="D1478" s="17">
        <f>IF($C1478="","",IFERROR(INDEX(rngCadetPIDs,MATCH($C1478,rngCadetNames,0)),"?"))</f>
        <v/>
      </c>
      <c r="E1478" s="17">
        <f>IF($D1478="","",IFERROR(INDEX(nrCadetAgency,MATCH($D1478,rngCadetPIDs,0)),""))</f>
        <v/>
      </c>
      <c r="F1478" s="16" t="n"/>
      <c r="G1478" s="17">
        <f>IF($F1478="","",IFERROR(INDEX(rngEPname,MATCH($F1478,rngEPcode,0)),"?"))</f>
        <v/>
      </c>
      <c r="H1478" s="17">
        <f>IF($F1478="","",IFERROR(INDEX(rngEPtype,MATCH($F1478,rngEPcode,0)),"?"))</f>
        <v/>
      </c>
      <c r="I1478" s="17">
        <f>IF($F1478="","",IFERROR(INDEX(rngEPseq,MATCH($F1478,rngEPcode,0)),""))</f>
        <v/>
      </c>
      <c r="J1478" s="17">
        <f>IF($F1478="","",IFERROR(INDEX(rngEPpass,MATCH($F1478,rngEPcode,0)),cfgPassingScore))</f>
        <v/>
      </c>
      <c r="K1478" s="16" t="n"/>
      <c r="L1478" s="16" t="n"/>
      <c r="M1478" s="17">
        <f>IF($C1478="","",IF($L1478="","",IF(NOT(ISNUMBER($L1478)),$L1478,IF(N($K1478)&gt;2,"",IF($K1478=1,IF(COUNTIFS(nrES_PID,$D1478,nrES_Code,$F1478,nrES_Att,2,nrES_Raw,"&gt;=0")&gt;0,"",$L1478),IF($L1478&gt;=$J1478,MAX($J1478,cfgRetakeRecordedCap),IF(COUNTIFS(nrES_PID,$D1478,nrES_Code,$F1478,nrES_Att,1)=0,$L1478,SUMIFS(nrES_Raw,nrES_PID,$D1478,nrES_Code,$F1478,nrES_Att,1))))))))</f>
        <v/>
      </c>
      <c r="N1478" s="17">
        <f>IF($C1478="","",IF($L1478="","",IF(NOT(ISNUMBER($L1478)),"(not a score)",IF($L1478&gt;=$J1478,"Yes","No"))))</f>
        <v/>
      </c>
      <c r="O1478" s="17">
        <f>IF($C1478="","",IF($M1478="","",IF(NOT(ISNUMBER($M1478)),"(not a score)",IF($M1478&gt;=$J1478,"Yes","No"))))</f>
        <v/>
      </c>
      <c r="P1478" s="17">
        <f>IF($C1478="","",IF($K1478="","",IF(N($K1478)&gt;2,"No",IF(COUNTIFS(nrES_PID,$D1478,nrES_Code,$F1478,nrES_Att,"&gt;"&amp;$K1478,nrES_Att,"&lt;=2",nrES_Raw,"&gt;=0")=0,"Yes","No"))))</f>
        <v/>
      </c>
      <c r="Q1478" s="17">
        <f>IF($C1478="","",IF($L1478="","",IF(AND($K1478=1,ISNUMBER($L1478),$L1478&lt;$J1478,COUNTIFS(nrES_PID,$D1478,nrES_Code,$F1478,nrES_Att,2,nrES_Raw,"&gt;=0")=0),"Yes","No")))</f>
        <v/>
      </c>
      <c r="R1478" s="17">
        <f>IF($C1478="","",IF($L1478="","",IF(AND(N($K1478)&gt;=2,ISNUMBER($L1478),$L1478&lt;$J1478),"Yes","No")))</f>
        <v/>
      </c>
      <c r="S1478" s="18" t="n"/>
      <c r="T1478" s="19">
        <f>IF(OR($C1478="",$L1478="",$K1478&lt;&gt;1,NOT(ISNUMBER($L1478)),$L1478&gt;=$J1478),"",IF($S1478="","(enter date)",_xlfn.LET(_xlpm.dn,_xlfn.XLOOKUP($S1478,nrCDdate,nrCDnum,"",1),IF(_xlpm.dn="","(after last class day)",_xlfn.LET(_xlpm.dd,_xlfn.XLOOKUP(_xlpm.dn+cfgRetestClassDays,nrCDnum,nrCDdate,""),_xlpm.ok,_xlfn.XLOOKUP(_xlpm.dn+cfgRetestClassDays,nrCDnum,nrCDinsession,"No"),IF(OR(_xlpm.dd="",_xlpm.ok&lt;&gt;"Yes"),"(after last class day)",_xlpm.dd))))))</f>
        <v/>
      </c>
      <c r="U1478" s="17">
        <f>IF($C1478="","",IF(AND($Y1478="Excused",$L1478="",N($K1478)&lt;=1),"EXCUSED - 1st attempt pending",IF(OR($L1478="",$K1478&lt;&gt;1,NOT(ISNUMBER($L1478)),$L1478&gt;=$J1478),"",IF(COUNTIFS(nrES_PID,$D1478,nrES_Code,$F1478,nrES_Att,2,nrES_Raw,"&gt;=0")&gt;0,IF(IFERROR(_xlfn.MINIFS(nrES_Date,nrES_PID,$D1478,nrES_Code,$F1478,nrES_Att,2,nrES_Raw,"&gt;=0",nrES_Date,"&gt;0"),0)=0,"RETEST UNDATED",IF(NOT(ISNUMBER($T1478)),"RETEST DATE UNCHECKED",IF(_xlfn.MINIFS(nrES_Date,nrES_PID,$D1478,nrES_Code,$F1478,nrES_Att,2,nrES_Raw,"&gt;=0",nrES_Date,"&gt;0")&gt;$T1478,"LATE RETEST "&amp;TEXT(_xlfn.MINIFS(nrES_Date,nrES_PID,$D1478,nrES_Code,$F1478,nrES_Att,2,nrES_Raw,"&gt;=0",nrES_Date,"&gt;0"),"mm/dd")&amp;" (due "&amp;TEXT($T1478,"mm/dd")&amp;")","Retested"))),IF(NOT(ISNUMBER($T1478)),"CHECK DATE",IF(TODAY()&gt;$T1478,"OVERDUE","Due "&amp;TEXT($T1478,"mm/dd")))))))</f>
        <v/>
      </c>
      <c r="V1478" s="16" t="n"/>
      <c r="W1478" s="16" t="n"/>
      <c r="X1478" s="17">
        <f>IF($C1478="","",IF(AND($L1478&lt;&gt;"",NOT(ISNUMBER($L1478))),"RAW SCORE NOT A NUMBER",IF(AND(ISNUMBER($L1478),OR($L1478&lt;0,$L1478&gt;100)),"RAW SCORE OUT OF RANGE",IF(AND($Y1478="Unexcused",OR($L1478="",NOT(ISNUMBER($L1478)),$L1478&lt;&gt;0)),"UNEXCUSED ABSENCE MUST RECORD 0",IF(COUNTIF(nrES_RecID,$B1478)&gt;1,"DUPLICATE RECORD",IF(N($K1478)&gt;2,"ATTEMPT 3+ NOT ALLOWED - policy 300.5 permits one retest per exam; this row records nothing",IF(AND($K1478=2,COUNTIFS(nrES_PID,$D1478,nrES_Code,$F1478,nrES_Att,1)=0),"ATTEMPT 2 WITHOUT ATTEMPT 1",IF(AND($K1478=2,$L1478=""),"RETEST ROW HAS NO SCORE",IF(AND($H1478="Final",$L1478&lt;&gt;"",IFERROR(INDEX(nrCKfinalExamElig,MATCH($D1478,rngCadetPIDs,0)),"")="No"),"FINAL EXAM AFTER FAILED FINAL PT (500.1.H)",IF(AND($K1478=2,ISNUMBER($L1478),COUNTIFS(nrES_PID,$D1478,nrES_Code,$F1478,nrES_Att,1)&gt;0,SUMIFS(nrES_Raw,nrES_PID,$D1478,nrES_Code,$F1478,nrES_Att,1)&gt;=$J1478),"RETEST AFTER A PASSING FIRST ATTEMPT","OK"))))))))))</f>
        <v/>
      </c>
      <c r="Y1478" s="16" t="n"/>
    </row>
    <row r="1479">
      <c r="B1479" s="17">
        <f>IF($C1479="","",$D1479&amp;"-"&amp;$F1479&amp;"-"&amp;$K1479)</f>
        <v/>
      </c>
      <c r="C1479" s="16" t="n"/>
      <c r="D1479" s="17">
        <f>IF($C1479="","",IFERROR(INDEX(rngCadetPIDs,MATCH($C1479,rngCadetNames,0)),"?"))</f>
        <v/>
      </c>
      <c r="E1479" s="17">
        <f>IF($D1479="","",IFERROR(INDEX(nrCadetAgency,MATCH($D1479,rngCadetPIDs,0)),""))</f>
        <v/>
      </c>
      <c r="F1479" s="16" t="n"/>
      <c r="G1479" s="17">
        <f>IF($F1479="","",IFERROR(INDEX(rngEPname,MATCH($F1479,rngEPcode,0)),"?"))</f>
        <v/>
      </c>
      <c r="H1479" s="17">
        <f>IF($F1479="","",IFERROR(INDEX(rngEPtype,MATCH($F1479,rngEPcode,0)),"?"))</f>
        <v/>
      </c>
      <c r="I1479" s="17">
        <f>IF($F1479="","",IFERROR(INDEX(rngEPseq,MATCH($F1479,rngEPcode,0)),""))</f>
        <v/>
      </c>
      <c r="J1479" s="17">
        <f>IF($F1479="","",IFERROR(INDEX(rngEPpass,MATCH($F1479,rngEPcode,0)),cfgPassingScore))</f>
        <v/>
      </c>
      <c r="K1479" s="16" t="n"/>
      <c r="L1479" s="16" t="n"/>
      <c r="M1479" s="17">
        <f>IF($C1479="","",IF($L1479="","",IF(NOT(ISNUMBER($L1479)),$L1479,IF(N($K1479)&gt;2,"",IF($K1479=1,IF(COUNTIFS(nrES_PID,$D1479,nrES_Code,$F1479,nrES_Att,2,nrES_Raw,"&gt;=0")&gt;0,"",$L1479),IF($L1479&gt;=$J1479,MAX($J1479,cfgRetakeRecordedCap),IF(COUNTIFS(nrES_PID,$D1479,nrES_Code,$F1479,nrES_Att,1)=0,$L1479,SUMIFS(nrES_Raw,nrES_PID,$D1479,nrES_Code,$F1479,nrES_Att,1))))))))</f>
        <v/>
      </c>
      <c r="N1479" s="17">
        <f>IF($C1479="","",IF($L1479="","",IF(NOT(ISNUMBER($L1479)),"(not a score)",IF($L1479&gt;=$J1479,"Yes","No"))))</f>
        <v/>
      </c>
      <c r="O1479" s="17">
        <f>IF($C1479="","",IF($M1479="","",IF(NOT(ISNUMBER($M1479)),"(not a score)",IF($M1479&gt;=$J1479,"Yes","No"))))</f>
        <v/>
      </c>
      <c r="P1479" s="17">
        <f>IF($C1479="","",IF($K1479="","",IF(N($K1479)&gt;2,"No",IF(COUNTIFS(nrES_PID,$D1479,nrES_Code,$F1479,nrES_Att,"&gt;"&amp;$K1479,nrES_Att,"&lt;=2",nrES_Raw,"&gt;=0")=0,"Yes","No"))))</f>
        <v/>
      </c>
      <c r="Q1479" s="17">
        <f>IF($C1479="","",IF($L1479="","",IF(AND($K1479=1,ISNUMBER($L1479),$L1479&lt;$J1479,COUNTIFS(nrES_PID,$D1479,nrES_Code,$F1479,nrES_Att,2,nrES_Raw,"&gt;=0")=0),"Yes","No")))</f>
        <v/>
      </c>
      <c r="R1479" s="17">
        <f>IF($C1479="","",IF($L1479="","",IF(AND(N($K1479)&gt;=2,ISNUMBER($L1479),$L1479&lt;$J1479),"Yes","No")))</f>
        <v/>
      </c>
      <c r="S1479" s="18" t="n"/>
      <c r="T1479" s="19">
        <f>IF(OR($C1479="",$L1479="",$K1479&lt;&gt;1,NOT(ISNUMBER($L1479)),$L1479&gt;=$J1479),"",IF($S1479="","(enter date)",_xlfn.LET(_xlpm.dn,_xlfn.XLOOKUP($S1479,nrCDdate,nrCDnum,"",1),IF(_xlpm.dn="","(after last class day)",_xlfn.LET(_xlpm.dd,_xlfn.XLOOKUP(_xlpm.dn+cfgRetestClassDays,nrCDnum,nrCDdate,""),_xlpm.ok,_xlfn.XLOOKUP(_xlpm.dn+cfgRetestClassDays,nrCDnum,nrCDinsession,"No"),IF(OR(_xlpm.dd="",_xlpm.ok&lt;&gt;"Yes"),"(after last class day)",_xlpm.dd))))))</f>
        <v/>
      </c>
      <c r="U1479" s="17">
        <f>IF($C1479="","",IF(AND($Y1479="Excused",$L1479="",N($K1479)&lt;=1),"EXCUSED - 1st attempt pending",IF(OR($L1479="",$K1479&lt;&gt;1,NOT(ISNUMBER($L1479)),$L1479&gt;=$J1479),"",IF(COUNTIFS(nrES_PID,$D1479,nrES_Code,$F1479,nrES_Att,2,nrES_Raw,"&gt;=0")&gt;0,IF(IFERROR(_xlfn.MINIFS(nrES_Date,nrES_PID,$D1479,nrES_Code,$F1479,nrES_Att,2,nrES_Raw,"&gt;=0",nrES_Date,"&gt;0"),0)=0,"RETEST UNDATED",IF(NOT(ISNUMBER($T1479)),"RETEST DATE UNCHECKED",IF(_xlfn.MINIFS(nrES_Date,nrES_PID,$D1479,nrES_Code,$F1479,nrES_Att,2,nrES_Raw,"&gt;=0",nrES_Date,"&gt;0")&gt;$T1479,"LATE RETEST "&amp;TEXT(_xlfn.MINIFS(nrES_Date,nrES_PID,$D1479,nrES_Code,$F1479,nrES_Att,2,nrES_Raw,"&gt;=0",nrES_Date,"&gt;0"),"mm/dd")&amp;" (due "&amp;TEXT($T1479,"mm/dd")&amp;")","Retested"))),IF(NOT(ISNUMBER($T1479)),"CHECK DATE",IF(TODAY()&gt;$T1479,"OVERDUE","Due "&amp;TEXT($T1479,"mm/dd")))))))</f>
        <v/>
      </c>
      <c r="V1479" s="16" t="n"/>
      <c r="W1479" s="16" t="n"/>
      <c r="X1479" s="17">
        <f>IF($C1479="","",IF(AND($L1479&lt;&gt;"",NOT(ISNUMBER($L1479))),"RAW SCORE NOT A NUMBER",IF(AND(ISNUMBER($L1479),OR($L1479&lt;0,$L1479&gt;100)),"RAW SCORE OUT OF RANGE",IF(AND($Y1479="Unexcused",OR($L1479="",NOT(ISNUMBER($L1479)),$L1479&lt;&gt;0)),"UNEXCUSED ABSENCE MUST RECORD 0",IF(COUNTIF(nrES_RecID,$B1479)&gt;1,"DUPLICATE RECORD",IF(N($K1479)&gt;2,"ATTEMPT 3+ NOT ALLOWED - policy 300.5 permits one retest per exam; this row records nothing",IF(AND($K1479=2,COUNTIFS(nrES_PID,$D1479,nrES_Code,$F1479,nrES_Att,1)=0),"ATTEMPT 2 WITHOUT ATTEMPT 1",IF(AND($K1479=2,$L1479=""),"RETEST ROW HAS NO SCORE",IF(AND($H1479="Final",$L1479&lt;&gt;"",IFERROR(INDEX(nrCKfinalExamElig,MATCH($D1479,rngCadetPIDs,0)),"")="No"),"FINAL EXAM AFTER FAILED FINAL PT (500.1.H)",IF(AND($K1479=2,ISNUMBER($L1479),COUNTIFS(nrES_PID,$D1479,nrES_Code,$F1479,nrES_Att,1)&gt;0,SUMIFS(nrES_Raw,nrES_PID,$D1479,nrES_Code,$F1479,nrES_Att,1)&gt;=$J1479),"RETEST AFTER A PASSING FIRST ATTEMPT","OK"))))))))))</f>
        <v/>
      </c>
      <c r="Y1479" s="16" t="n"/>
    </row>
    <row r="1480">
      <c r="B1480" s="17">
        <f>IF($C1480="","",$D1480&amp;"-"&amp;$F1480&amp;"-"&amp;$K1480)</f>
        <v/>
      </c>
      <c r="C1480" s="16" t="n"/>
      <c r="D1480" s="17">
        <f>IF($C1480="","",IFERROR(INDEX(rngCadetPIDs,MATCH($C1480,rngCadetNames,0)),"?"))</f>
        <v/>
      </c>
      <c r="E1480" s="17">
        <f>IF($D1480="","",IFERROR(INDEX(nrCadetAgency,MATCH($D1480,rngCadetPIDs,0)),""))</f>
        <v/>
      </c>
      <c r="F1480" s="16" t="n"/>
      <c r="G1480" s="17">
        <f>IF($F1480="","",IFERROR(INDEX(rngEPname,MATCH($F1480,rngEPcode,0)),"?"))</f>
        <v/>
      </c>
      <c r="H1480" s="17">
        <f>IF($F1480="","",IFERROR(INDEX(rngEPtype,MATCH($F1480,rngEPcode,0)),"?"))</f>
        <v/>
      </c>
      <c r="I1480" s="17">
        <f>IF($F1480="","",IFERROR(INDEX(rngEPseq,MATCH($F1480,rngEPcode,0)),""))</f>
        <v/>
      </c>
      <c r="J1480" s="17">
        <f>IF($F1480="","",IFERROR(INDEX(rngEPpass,MATCH($F1480,rngEPcode,0)),cfgPassingScore))</f>
        <v/>
      </c>
      <c r="K1480" s="16" t="n"/>
      <c r="L1480" s="16" t="n"/>
      <c r="M1480" s="17">
        <f>IF($C1480="","",IF($L1480="","",IF(NOT(ISNUMBER($L1480)),$L1480,IF(N($K1480)&gt;2,"",IF($K1480=1,IF(COUNTIFS(nrES_PID,$D1480,nrES_Code,$F1480,nrES_Att,2,nrES_Raw,"&gt;=0")&gt;0,"",$L1480),IF($L1480&gt;=$J1480,MAX($J1480,cfgRetakeRecordedCap),IF(COUNTIFS(nrES_PID,$D1480,nrES_Code,$F1480,nrES_Att,1)=0,$L1480,SUMIFS(nrES_Raw,nrES_PID,$D1480,nrES_Code,$F1480,nrES_Att,1))))))))</f>
        <v/>
      </c>
      <c r="N1480" s="17">
        <f>IF($C1480="","",IF($L1480="","",IF(NOT(ISNUMBER($L1480)),"(not a score)",IF($L1480&gt;=$J1480,"Yes","No"))))</f>
        <v/>
      </c>
      <c r="O1480" s="17">
        <f>IF($C1480="","",IF($M1480="","",IF(NOT(ISNUMBER($M1480)),"(not a score)",IF($M1480&gt;=$J1480,"Yes","No"))))</f>
        <v/>
      </c>
      <c r="P1480" s="17">
        <f>IF($C1480="","",IF($K1480="","",IF(N($K1480)&gt;2,"No",IF(COUNTIFS(nrES_PID,$D1480,nrES_Code,$F1480,nrES_Att,"&gt;"&amp;$K1480,nrES_Att,"&lt;=2",nrES_Raw,"&gt;=0")=0,"Yes","No"))))</f>
        <v/>
      </c>
      <c r="Q1480" s="17">
        <f>IF($C1480="","",IF($L1480="","",IF(AND($K1480=1,ISNUMBER($L1480),$L1480&lt;$J1480,COUNTIFS(nrES_PID,$D1480,nrES_Code,$F1480,nrES_Att,2,nrES_Raw,"&gt;=0")=0),"Yes","No")))</f>
        <v/>
      </c>
      <c r="R1480" s="17">
        <f>IF($C1480="","",IF($L1480="","",IF(AND(N($K1480)&gt;=2,ISNUMBER($L1480),$L1480&lt;$J1480),"Yes","No")))</f>
        <v/>
      </c>
      <c r="S1480" s="18" t="n"/>
      <c r="T1480" s="19">
        <f>IF(OR($C1480="",$L1480="",$K1480&lt;&gt;1,NOT(ISNUMBER($L1480)),$L1480&gt;=$J1480),"",IF($S1480="","(enter date)",_xlfn.LET(_xlpm.dn,_xlfn.XLOOKUP($S1480,nrCDdate,nrCDnum,"",1),IF(_xlpm.dn="","(after last class day)",_xlfn.LET(_xlpm.dd,_xlfn.XLOOKUP(_xlpm.dn+cfgRetestClassDays,nrCDnum,nrCDdate,""),_xlpm.ok,_xlfn.XLOOKUP(_xlpm.dn+cfgRetestClassDays,nrCDnum,nrCDinsession,"No"),IF(OR(_xlpm.dd="",_xlpm.ok&lt;&gt;"Yes"),"(after last class day)",_xlpm.dd))))))</f>
        <v/>
      </c>
      <c r="U1480" s="17">
        <f>IF($C1480="","",IF(AND($Y1480="Excused",$L1480="",N($K1480)&lt;=1),"EXCUSED - 1st attempt pending",IF(OR($L1480="",$K1480&lt;&gt;1,NOT(ISNUMBER($L1480)),$L1480&gt;=$J1480),"",IF(COUNTIFS(nrES_PID,$D1480,nrES_Code,$F1480,nrES_Att,2,nrES_Raw,"&gt;=0")&gt;0,IF(IFERROR(_xlfn.MINIFS(nrES_Date,nrES_PID,$D1480,nrES_Code,$F1480,nrES_Att,2,nrES_Raw,"&gt;=0",nrES_Date,"&gt;0"),0)=0,"RETEST UNDATED",IF(NOT(ISNUMBER($T1480)),"RETEST DATE UNCHECKED",IF(_xlfn.MINIFS(nrES_Date,nrES_PID,$D1480,nrES_Code,$F1480,nrES_Att,2,nrES_Raw,"&gt;=0",nrES_Date,"&gt;0")&gt;$T1480,"LATE RETEST "&amp;TEXT(_xlfn.MINIFS(nrES_Date,nrES_PID,$D1480,nrES_Code,$F1480,nrES_Att,2,nrES_Raw,"&gt;=0",nrES_Date,"&gt;0"),"mm/dd")&amp;" (due "&amp;TEXT($T1480,"mm/dd")&amp;")","Retested"))),IF(NOT(ISNUMBER($T1480)),"CHECK DATE",IF(TODAY()&gt;$T1480,"OVERDUE","Due "&amp;TEXT($T1480,"mm/dd")))))))</f>
        <v/>
      </c>
      <c r="V1480" s="16" t="n"/>
      <c r="W1480" s="16" t="n"/>
      <c r="X1480" s="17">
        <f>IF($C1480="","",IF(AND($L1480&lt;&gt;"",NOT(ISNUMBER($L1480))),"RAW SCORE NOT A NUMBER",IF(AND(ISNUMBER($L1480),OR($L1480&lt;0,$L1480&gt;100)),"RAW SCORE OUT OF RANGE",IF(AND($Y1480="Unexcused",OR($L1480="",NOT(ISNUMBER($L1480)),$L1480&lt;&gt;0)),"UNEXCUSED ABSENCE MUST RECORD 0",IF(COUNTIF(nrES_RecID,$B1480)&gt;1,"DUPLICATE RECORD",IF(N($K1480)&gt;2,"ATTEMPT 3+ NOT ALLOWED - policy 300.5 permits one retest per exam; this row records nothing",IF(AND($K1480=2,COUNTIFS(nrES_PID,$D1480,nrES_Code,$F1480,nrES_Att,1)=0),"ATTEMPT 2 WITHOUT ATTEMPT 1",IF(AND($K1480=2,$L1480=""),"RETEST ROW HAS NO SCORE",IF(AND($H1480="Final",$L1480&lt;&gt;"",IFERROR(INDEX(nrCKfinalExamElig,MATCH($D1480,rngCadetPIDs,0)),"")="No"),"FINAL EXAM AFTER FAILED FINAL PT (500.1.H)",IF(AND($K1480=2,ISNUMBER($L1480),COUNTIFS(nrES_PID,$D1480,nrES_Code,$F1480,nrES_Att,1)&gt;0,SUMIFS(nrES_Raw,nrES_PID,$D1480,nrES_Code,$F1480,nrES_Att,1)&gt;=$J1480),"RETEST AFTER A PASSING FIRST ATTEMPT","OK"))))))))))</f>
        <v/>
      </c>
      <c r="Y1480" s="16" t="n"/>
    </row>
    <row r="1481">
      <c r="B1481" s="17">
        <f>IF($C1481="","",$D1481&amp;"-"&amp;$F1481&amp;"-"&amp;$K1481)</f>
        <v/>
      </c>
      <c r="C1481" s="16" t="n"/>
      <c r="D1481" s="17">
        <f>IF($C1481="","",IFERROR(INDEX(rngCadetPIDs,MATCH($C1481,rngCadetNames,0)),"?"))</f>
        <v/>
      </c>
      <c r="E1481" s="17">
        <f>IF($D1481="","",IFERROR(INDEX(nrCadetAgency,MATCH($D1481,rngCadetPIDs,0)),""))</f>
        <v/>
      </c>
      <c r="F1481" s="16" t="n"/>
      <c r="G1481" s="17">
        <f>IF($F1481="","",IFERROR(INDEX(rngEPname,MATCH($F1481,rngEPcode,0)),"?"))</f>
        <v/>
      </c>
      <c r="H1481" s="17">
        <f>IF($F1481="","",IFERROR(INDEX(rngEPtype,MATCH($F1481,rngEPcode,0)),"?"))</f>
        <v/>
      </c>
      <c r="I1481" s="17">
        <f>IF($F1481="","",IFERROR(INDEX(rngEPseq,MATCH($F1481,rngEPcode,0)),""))</f>
        <v/>
      </c>
      <c r="J1481" s="17">
        <f>IF($F1481="","",IFERROR(INDEX(rngEPpass,MATCH($F1481,rngEPcode,0)),cfgPassingScore))</f>
        <v/>
      </c>
      <c r="K1481" s="16" t="n"/>
      <c r="L1481" s="16" t="n"/>
      <c r="M1481" s="17">
        <f>IF($C1481="","",IF($L1481="","",IF(NOT(ISNUMBER($L1481)),$L1481,IF(N($K1481)&gt;2,"",IF($K1481=1,IF(COUNTIFS(nrES_PID,$D1481,nrES_Code,$F1481,nrES_Att,2,nrES_Raw,"&gt;=0")&gt;0,"",$L1481),IF($L1481&gt;=$J1481,MAX($J1481,cfgRetakeRecordedCap),IF(COUNTIFS(nrES_PID,$D1481,nrES_Code,$F1481,nrES_Att,1)=0,$L1481,SUMIFS(nrES_Raw,nrES_PID,$D1481,nrES_Code,$F1481,nrES_Att,1))))))))</f>
        <v/>
      </c>
      <c r="N1481" s="17">
        <f>IF($C1481="","",IF($L1481="","",IF(NOT(ISNUMBER($L1481)),"(not a score)",IF($L1481&gt;=$J1481,"Yes","No"))))</f>
        <v/>
      </c>
      <c r="O1481" s="17">
        <f>IF($C1481="","",IF($M1481="","",IF(NOT(ISNUMBER($M1481)),"(not a score)",IF($M1481&gt;=$J1481,"Yes","No"))))</f>
        <v/>
      </c>
      <c r="P1481" s="17">
        <f>IF($C1481="","",IF($K1481="","",IF(N($K1481)&gt;2,"No",IF(COUNTIFS(nrES_PID,$D1481,nrES_Code,$F1481,nrES_Att,"&gt;"&amp;$K1481,nrES_Att,"&lt;=2",nrES_Raw,"&gt;=0")=0,"Yes","No"))))</f>
        <v/>
      </c>
      <c r="Q1481" s="17">
        <f>IF($C1481="","",IF($L1481="","",IF(AND($K1481=1,ISNUMBER($L1481),$L1481&lt;$J1481,COUNTIFS(nrES_PID,$D1481,nrES_Code,$F1481,nrES_Att,2,nrES_Raw,"&gt;=0")=0),"Yes","No")))</f>
        <v/>
      </c>
      <c r="R1481" s="17">
        <f>IF($C1481="","",IF($L1481="","",IF(AND(N($K1481)&gt;=2,ISNUMBER($L1481),$L1481&lt;$J1481),"Yes","No")))</f>
        <v/>
      </c>
      <c r="S1481" s="18" t="n"/>
      <c r="T1481" s="19">
        <f>IF(OR($C1481="",$L1481="",$K1481&lt;&gt;1,NOT(ISNUMBER($L1481)),$L1481&gt;=$J1481),"",IF($S1481="","(enter date)",_xlfn.LET(_xlpm.dn,_xlfn.XLOOKUP($S1481,nrCDdate,nrCDnum,"",1),IF(_xlpm.dn="","(after last class day)",_xlfn.LET(_xlpm.dd,_xlfn.XLOOKUP(_xlpm.dn+cfgRetestClassDays,nrCDnum,nrCDdate,""),_xlpm.ok,_xlfn.XLOOKUP(_xlpm.dn+cfgRetestClassDays,nrCDnum,nrCDinsession,"No"),IF(OR(_xlpm.dd="",_xlpm.ok&lt;&gt;"Yes"),"(after last class day)",_xlpm.dd))))))</f>
        <v/>
      </c>
      <c r="U1481" s="17">
        <f>IF($C1481="","",IF(AND($Y1481="Excused",$L1481="",N($K1481)&lt;=1),"EXCUSED - 1st attempt pending",IF(OR($L1481="",$K1481&lt;&gt;1,NOT(ISNUMBER($L1481)),$L1481&gt;=$J1481),"",IF(COUNTIFS(nrES_PID,$D1481,nrES_Code,$F1481,nrES_Att,2,nrES_Raw,"&gt;=0")&gt;0,IF(IFERROR(_xlfn.MINIFS(nrES_Date,nrES_PID,$D1481,nrES_Code,$F1481,nrES_Att,2,nrES_Raw,"&gt;=0",nrES_Date,"&gt;0"),0)=0,"RETEST UNDATED",IF(NOT(ISNUMBER($T1481)),"RETEST DATE UNCHECKED",IF(_xlfn.MINIFS(nrES_Date,nrES_PID,$D1481,nrES_Code,$F1481,nrES_Att,2,nrES_Raw,"&gt;=0",nrES_Date,"&gt;0")&gt;$T1481,"LATE RETEST "&amp;TEXT(_xlfn.MINIFS(nrES_Date,nrES_PID,$D1481,nrES_Code,$F1481,nrES_Att,2,nrES_Raw,"&gt;=0",nrES_Date,"&gt;0"),"mm/dd")&amp;" (due "&amp;TEXT($T1481,"mm/dd")&amp;")","Retested"))),IF(NOT(ISNUMBER($T1481)),"CHECK DATE",IF(TODAY()&gt;$T1481,"OVERDUE","Due "&amp;TEXT($T1481,"mm/dd")))))))</f>
        <v/>
      </c>
      <c r="V1481" s="16" t="n"/>
      <c r="W1481" s="16" t="n"/>
      <c r="X1481" s="17">
        <f>IF($C1481="","",IF(AND($L1481&lt;&gt;"",NOT(ISNUMBER($L1481))),"RAW SCORE NOT A NUMBER",IF(AND(ISNUMBER($L1481),OR($L1481&lt;0,$L1481&gt;100)),"RAW SCORE OUT OF RANGE",IF(AND($Y1481="Unexcused",OR($L1481="",NOT(ISNUMBER($L1481)),$L1481&lt;&gt;0)),"UNEXCUSED ABSENCE MUST RECORD 0",IF(COUNTIF(nrES_RecID,$B1481)&gt;1,"DUPLICATE RECORD",IF(N($K1481)&gt;2,"ATTEMPT 3+ NOT ALLOWED - policy 300.5 permits one retest per exam; this row records nothing",IF(AND($K1481=2,COUNTIFS(nrES_PID,$D1481,nrES_Code,$F1481,nrES_Att,1)=0),"ATTEMPT 2 WITHOUT ATTEMPT 1",IF(AND($K1481=2,$L1481=""),"RETEST ROW HAS NO SCORE",IF(AND($H1481="Final",$L1481&lt;&gt;"",IFERROR(INDEX(nrCKfinalExamElig,MATCH($D1481,rngCadetPIDs,0)),"")="No"),"FINAL EXAM AFTER FAILED FINAL PT (500.1.H)",IF(AND($K1481=2,ISNUMBER($L1481),COUNTIFS(nrES_PID,$D1481,nrES_Code,$F1481,nrES_Att,1)&gt;0,SUMIFS(nrES_Raw,nrES_PID,$D1481,nrES_Code,$F1481,nrES_Att,1)&gt;=$J1481),"RETEST AFTER A PASSING FIRST ATTEMPT","OK"))))))))))</f>
        <v/>
      </c>
      <c r="Y1481" s="16" t="n"/>
    </row>
    <row r="1482">
      <c r="B1482" s="17">
        <f>IF($C1482="","",$D1482&amp;"-"&amp;$F1482&amp;"-"&amp;$K1482)</f>
        <v/>
      </c>
      <c r="C1482" s="16" t="n"/>
      <c r="D1482" s="17">
        <f>IF($C1482="","",IFERROR(INDEX(rngCadetPIDs,MATCH($C1482,rngCadetNames,0)),"?"))</f>
        <v/>
      </c>
      <c r="E1482" s="17">
        <f>IF($D1482="","",IFERROR(INDEX(nrCadetAgency,MATCH($D1482,rngCadetPIDs,0)),""))</f>
        <v/>
      </c>
      <c r="F1482" s="16" t="n"/>
      <c r="G1482" s="17">
        <f>IF($F1482="","",IFERROR(INDEX(rngEPname,MATCH($F1482,rngEPcode,0)),"?"))</f>
        <v/>
      </c>
      <c r="H1482" s="17">
        <f>IF($F1482="","",IFERROR(INDEX(rngEPtype,MATCH($F1482,rngEPcode,0)),"?"))</f>
        <v/>
      </c>
      <c r="I1482" s="17">
        <f>IF($F1482="","",IFERROR(INDEX(rngEPseq,MATCH($F1482,rngEPcode,0)),""))</f>
        <v/>
      </c>
      <c r="J1482" s="17">
        <f>IF($F1482="","",IFERROR(INDEX(rngEPpass,MATCH($F1482,rngEPcode,0)),cfgPassingScore))</f>
        <v/>
      </c>
      <c r="K1482" s="16" t="n"/>
      <c r="L1482" s="16" t="n"/>
      <c r="M1482" s="17">
        <f>IF($C1482="","",IF($L1482="","",IF(NOT(ISNUMBER($L1482)),$L1482,IF(N($K1482)&gt;2,"",IF($K1482=1,IF(COUNTIFS(nrES_PID,$D1482,nrES_Code,$F1482,nrES_Att,2,nrES_Raw,"&gt;=0")&gt;0,"",$L1482),IF($L1482&gt;=$J1482,MAX($J1482,cfgRetakeRecordedCap),IF(COUNTIFS(nrES_PID,$D1482,nrES_Code,$F1482,nrES_Att,1)=0,$L1482,SUMIFS(nrES_Raw,nrES_PID,$D1482,nrES_Code,$F1482,nrES_Att,1))))))))</f>
        <v/>
      </c>
      <c r="N1482" s="17">
        <f>IF($C1482="","",IF($L1482="","",IF(NOT(ISNUMBER($L1482)),"(not a score)",IF($L1482&gt;=$J1482,"Yes","No"))))</f>
        <v/>
      </c>
      <c r="O1482" s="17">
        <f>IF($C1482="","",IF($M1482="","",IF(NOT(ISNUMBER($M1482)),"(not a score)",IF($M1482&gt;=$J1482,"Yes","No"))))</f>
        <v/>
      </c>
      <c r="P1482" s="17">
        <f>IF($C1482="","",IF($K1482="","",IF(N($K1482)&gt;2,"No",IF(COUNTIFS(nrES_PID,$D1482,nrES_Code,$F1482,nrES_Att,"&gt;"&amp;$K1482,nrES_Att,"&lt;=2",nrES_Raw,"&gt;=0")=0,"Yes","No"))))</f>
        <v/>
      </c>
      <c r="Q1482" s="17">
        <f>IF($C1482="","",IF($L1482="","",IF(AND($K1482=1,ISNUMBER($L1482),$L1482&lt;$J1482,COUNTIFS(nrES_PID,$D1482,nrES_Code,$F1482,nrES_Att,2,nrES_Raw,"&gt;=0")=0),"Yes","No")))</f>
        <v/>
      </c>
      <c r="R1482" s="17">
        <f>IF($C1482="","",IF($L1482="","",IF(AND(N($K1482)&gt;=2,ISNUMBER($L1482),$L1482&lt;$J1482),"Yes","No")))</f>
        <v/>
      </c>
      <c r="S1482" s="18" t="n"/>
      <c r="T1482" s="19">
        <f>IF(OR($C1482="",$L1482="",$K1482&lt;&gt;1,NOT(ISNUMBER($L1482)),$L1482&gt;=$J1482),"",IF($S1482="","(enter date)",_xlfn.LET(_xlpm.dn,_xlfn.XLOOKUP($S1482,nrCDdate,nrCDnum,"",1),IF(_xlpm.dn="","(after last class day)",_xlfn.LET(_xlpm.dd,_xlfn.XLOOKUP(_xlpm.dn+cfgRetestClassDays,nrCDnum,nrCDdate,""),_xlpm.ok,_xlfn.XLOOKUP(_xlpm.dn+cfgRetestClassDays,nrCDnum,nrCDinsession,"No"),IF(OR(_xlpm.dd="",_xlpm.ok&lt;&gt;"Yes"),"(after last class day)",_xlpm.dd))))))</f>
        <v/>
      </c>
      <c r="U1482" s="17">
        <f>IF($C1482="","",IF(AND($Y1482="Excused",$L1482="",N($K1482)&lt;=1),"EXCUSED - 1st attempt pending",IF(OR($L1482="",$K1482&lt;&gt;1,NOT(ISNUMBER($L1482)),$L1482&gt;=$J1482),"",IF(COUNTIFS(nrES_PID,$D1482,nrES_Code,$F1482,nrES_Att,2,nrES_Raw,"&gt;=0")&gt;0,IF(IFERROR(_xlfn.MINIFS(nrES_Date,nrES_PID,$D1482,nrES_Code,$F1482,nrES_Att,2,nrES_Raw,"&gt;=0",nrES_Date,"&gt;0"),0)=0,"RETEST UNDATED",IF(NOT(ISNUMBER($T1482)),"RETEST DATE UNCHECKED",IF(_xlfn.MINIFS(nrES_Date,nrES_PID,$D1482,nrES_Code,$F1482,nrES_Att,2,nrES_Raw,"&gt;=0",nrES_Date,"&gt;0")&gt;$T1482,"LATE RETEST "&amp;TEXT(_xlfn.MINIFS(nrES_Date,nrES_PID,$D1482,nrES_Code,$F1482,nrES_Att,2,nrES_Raw,"&gt;=0",nrES_Date,"&gt;0"),"mm/dd")&amp;" (due "&amp;TEXT($T1482,"mm/dd")&amp;")","Retested"))),IF(NOT(ISNUMBER($T1482)),"CHECK DATE",IF(TODAY()&gt;$T1482,"OVERDUE","Due "&amp;TEXT($T1482,"mm/dd")))))))</f>
        <v/>
      </c>
      <c r="V1482" s="16" t="n"/>
      <c r="W1482" s="16" t="n"/>
      <c r="X1482" s="17">
        <f>IF($C1482="","",IF(AND($L1482&lt;&gt;"",NOT(ISNUMBER($L1482))),"RAW SCORE NOT A NUMBER",IF(AND(ISNUMBER($L1482),OR($L1482&lt;0,$L1482&gt;100)),"RAW SCORE OUT OF RANGE",IF(AND($Y1482="Unexcused",OR($L1482="",NOT(ISNUMBER($L1482)),$L1482&lt;&gt;0)),"UNEXCUSED ABSENCE MUST RECORD 0",IF(COUNTIF(nrES_RecID,$B1482)&gt;1,"DUPLICATE RECORD",IF(N($K1482)&gt;2,"ATTEMPT 3+ NOT ALLOWED - policy 300.5 permits one retest per exam; this row records nothing",IF(AND($K1482=2,COUNTIFS(nrES_PID,$D1482,nrES_Code,$F1482,nrES_Att,1)=0),"ATTEMPT 2 WITHOUT ATTEMPT 1",IF(AND($K1482=2,$L1482=""),"RETEST ROW HAS NO SCORE",IF(AND($H1482="Final",$L1482&lt;&gt;"",IFERROR(INDEX(nrCKfinalExamElig,MATCH($D1482,rngCadetPIDs,0)),"")="No"),"FINAL EXAM AFTER FAILED FINAL PT (500.1.H)",IF(AND($K1482=2,ISNUMBER($L1482),COUNTIFS(nrES_PID,$D1482,nrES_Code,$F1482,nrES_Att,1)&gt;0,SUMIFS(nrES_Raw,nrES_PID,$D1482,nrES_Code,$F1482,nrES_Att,1)&gt;=$J1482),"RETEST AFTER A PASSING FIRST ATTEMPT","OK"))))))))))</f>
        <v/>
      </c>
      <c r="Y1482" s="16" t="n"/>
    </row>
    <row r="1483">
      <c r="B1483" s="17">
        <f>IF($C1483="","",$D1483&amp;"-"&amp;$F1483&amp;"-"&amp;$K1483)</f>
        <v/>
      </c>
      <c r="C1483" s="16" t="n"/>
      <c r="D1483" s="17">
        <f>IF($C1483="","",IFERROR(INDEX(rngCadetPIDs,MATCH($C1483,rngCadetNames,0)),"?"))</f>
        <v/>
      </c>
      <c r="E1483" s="17">
        <f>IF($D1483="","",IFERROR(INDEX(nrCadetAgency,MATCH($D1483,rngCadetPIDs,0)),""))</f>
        <v/>
      </c>
      <c r="F1483" s="16" t="n"/>
      <c r="G1483" s="17">
        <f>IF($F1483="","",IFERROR(INDEX(rngEPname,MATCH($F1483,rngEPcode,0)),"?"))</f>
        <v/>
      </c>
      <c r="H1483" s="17">
        <f>IF($F1483="","",IFERROR(INDEX(rngEPtype,MATCH($F1483,rngEPcode,0)),"?"))</f>
        <v/>
      </c>
      <c r="I1483" s="17">
        <f>IF($F1483="","",IFERROR(INDEX(rngEPseq,MATCH($F1483,rngEPcode,0)),""))</f>
        <v/>
      </c>
      <c r="J1483" s="17">
        <f>IF($F1483="","",IFERROR(INDEX(rngEPpass,MATCH($F1483,rngEPcode,0)),cfgPassingScore))</f>
        <v/>
      </c>
      <c r="K1483" s="16" t="n"/>
      <c r="L1483" s="16" t="n"/>
      <c r="M1483" s="17">
        <f>IF($C1483="","",IF($L1483="","",IF(NOT(ISNUMBER($L1483)),$L1483,IF(N($K1483)&gt;2,"",IF($K1483=1,IF(COUNTIFS(nrES_PID,$D1483,nrES_Code,$F1483,nrES_Att,2,nrES_Raw,"&gt;=0")&gt;0,"",$L1483),IF($L1483&gt;=$J1483,MAX($J1483,cfgRetakeRecordedCap),IF(COUNTIFS(nrES_PID,$D1483,nrES_Code,$F1483,nrES_Att,1)=0,$L1483,SUMIFS(nrES_Raw,nrES_PID,$D1483,nrES_Code,$F1483,nrES_Att,1))))))))</f>
        <v/>
      </c>
      <c r="N1483" s="17">
        <f>IF($C1483="","",IF($L1483="","",IF(NOT(ISNUMBER($L1483)),"(not a score)",IF($L1483&gt;=$J1483,"Yes","No"))))</f>
        <v/>
      </c>
      <c r="O1483" s="17">
        <f>IF($C1483="","",IF($M1483="","",IF(NOT(ISNUMBER($M1483)),"(not a score)",IF($M1483&gt;=$J1483,"Yes","No"))))</f>
        <v/>
      </c>
      <c r="P1483" s="17">
        <f>IF($C1483="","",IF($K1483="","",IF(N($K1483)&gt;2,"No",IF(COUNTIFS(nrES_PID,$D1483,nrES_Code,$F1483,nrES_Att,"&gt;"&amp;$K1483,nrES_Att,"&lt;=2",nrES_Raw,"&gt;=0")=0,"Yes","No"))))</f>
        <v/>
      </c>
      <c r="Q1483" s="17">
        <f>IF($C1483="","",IF($L1483="","",IF(AND($K1483=1,ISNUMBER($L1483),$L1483&lt;$J1483,COUNTIFS(nrES_PID,$D1483,nrES_Code,$F1483,nrES_Att,2,nrES_Raw,"&gt;=0")=0),"Yes","No")))</f>
        <v/>
      </c>
      <c r="R1483" s="17">
        <f>IF($C1483="","",IF($L1483="","",IF(AND(N($K1483)&gt;=2,ISNUMBER($L1483),$L1483&lt;$J1483),"Yes","No")))</f>
        <v/>
      </c>
      <c r="S1483" s="18" t="n"/>
      <c r="T1483" s="19">
        <f>IF(OR($C1483="",$L1483="",$K1483&lt;&gt;1,NOT(ISNUMBER($L1483)),$L1483&gt;=$J1483),"",IF($S1483="","(enter date)",_xlfn.LET(_xlpm.dn,_xlfn.XLOOKUP($S1483,nrCDdate,nrCDnum,"",1),IF(_xlpm.dn="","(after last class day)",_xlfn.LET(_xlpm.dd,_xlfn.XLOOKUP(_xlpm.dn+cfgRetestClassDays,nrCDnum,nrCDdate,""),_xlpm.ok,_xlfn.XLOOKUP(_xlpm.dn+cfgRetestClassDays,nrCDnum,nrCDinsession,"No"),IF(OR(_xlpm.dd="",_xlpm.ok&lt;&gt;"Yes"),"(after last class day)",_xlpm.dd))))))</f>
        <v/>
      </c>
      <c r="U1483" s="17">
        <f>IF($C1483="","",IF(AND($Y1483="Excused",$L1483="",N($K1483)&lt;=1),"EXCUSED - 1st attempt pending",IF(OR($L1483="",$K1483&lt;&gt;1,NOT(ISNUMBER($L1483)),$L1483&gt;=$J1483),"",IF(COUNTIFS(nrES_PID,$D1483,nrES_Code,$F1483,nrES_Att,2,nrES_Raw,"&gt;=0")&gt;0,IF(IFERROR(_xlfn.MINIFS(nrES_Date,nrES_PID,$D1483,nrES_Code,$F1483,nrES_Att,2,nrES_Raw,"&gt;=0",nrES_Date,"&gt;0"),0)=0,"RETEST UNDATED",IF(NOT(ISNUMBER($T1483)),"RETEST DATE UNCHECKED",IF(_xlfn.MINIFS(nrES_Date,nrES_PID,$D1483,nrES_Code,$F1483,nrES_Att,2,nrES_Raw,"&gt;=0",nrES_Date,"&gt;0")&gt;$T1483,"LATE RETEST "&amp;TEXT(_xlfn.MINIFS(nrES_Date,nrES_PID,$D1483,nrES_Code,$F1483,nrES_Att,2,nrES_Raw,"&gt;=0",nrES_Date,"&gt;0"),"mm/dd")&amp;" (due "&amp;TEXT($T1483,"mm/dd")&amp;")","Retested"))),IF(NOT(ISNUMBER($T1483)),"CHECK DATE",IF(TODAY()&gt;$T1483,"OVERDUE","Due "&amp;TEXT($T1483,"mm/dd")))))))</f>
        <v/>
      </c>
      <c r="V1483" s="16" t="n"/>
      <c r="W1483" s="16" t="n"/>
      <c r="X1483" s="17">
        <f>IF($C1483="","",IF(AND($L1483&lt;&gt;"",NOT(ISNUMBER($L1483))),"RAW SCORE NOT A NUMBER",IF(AND(ISNUMBER($L1483),OR($L1483&lt;0,$L1483&gt;100)),"RAW SCORE OUT OF RANGE",IF(AND($Y1483="Unexcused",OR($L1483="",NOT(ISNUMBER($L1483)),$L1483&lt;&gt;0)),"UNEXCUSED ABSENCE MUST RECORD 0",IF(COUNTIF(nrES_RecID,$B1483)&gt;1,"DUPLICATE RECORD",IF(N($K1483)&gt;2,"ATTEMPT 3+ NOT ALLOWED - policy 300.5 permits one retest per exam; this row records nothing",IF(AND($K1483=2,COUNTIFS(nrES_PID,$D1483,nrES_Code,$F1483,nrES_Att,1)=0),"ATTEMPT 2 WITHOUT ATTEMPT 1",IF(AND($K1483=2,$L1483=""),"RETEST ROW HAS NO SCORE",IF(AND($H1483="Final",$L1483&lt;&gt;"",IFERROR(INDEX(nrCKfinalExamElig,MATCH($D1483,rngCadetPIDs,0)),"")="No"),"FINAL EXAM AFTER FAILED FINAL PT (500.1.H)",IF(AND($K1483=2,ISNUMBER($L1483),COUNTIFS(nrES_PID,$D1483,nrES_Code,$F1483,nrES_Att,1)&gt;0,SUMIFS(nrES_Raw,nrES_PID,$D1483,nrES_Code,$F1483,nrES_Att,1)&gt;=$J1483),"RETEST AFTER A PASSING FIRST ATTEMPT","OK"))))))))))</f>
        <v/>
      </c>
      <c r="Y1483" s="16" t="n"/>
    </row>
    <row r="1484">
      <c r="B1484" s="17">
        <f>IF($C1484="","",$D1484&amp;"-"&amp;$F1484&amp;"-"&amp;$K1484)</f>
        <v/>
      </c>
      <c r="C1484" s="16" t="n"/>
      <c r="D1484" s="17">
        <f>IF($C1484="","",IFERROR(INDEX(rngCadetPIDs,MATCH($C1484,rngCadetNames,0)),"?"))</f>
        <v/>
      </c>
      <c r="E1484" s="17">
        <f>IF($D1484="","",IFERROR(INDEX(nrCadetAgency,MATCH($D1484,rngCadetPIDs,0)),""))</f>
        <v/>
      </c>
      <c r="F1484" s="16" t="n"/>
      <c r="G1484" s="17">
        <f>IF($F1484="","",IFERROR(INDEX(rngEPname,MATCH($F1484,rngEPcode,0)),"?"))</f>
        <v/>
      </c>
      <c r="H1484" s="17">
        <f>IF($F1484="","",IFERROR(INDEX(rngEPtype,MATCH($F1484,rngEPcode,0)),"?"))</f>
        <v/>
      </c>
      <c r="I1484" s="17">
        <f>IF($F1484="","",IFERROR(INDEX(rngEPseq,MATCH($F1484,rngEPcode,0)),""))</f>
        <v/>
      </c>
      <c r="J1484" s="17">
        <f>IF($F1484="","",IFERROR(INDEX(rngEPpass,MATCH($F1484,rngEPcode,0)),cfgPassingScore))</f>
        <v/>
      </c>
      <c r="K1484" s="16" t="n"/>
      <c r="L1484" s="16" t="n"/>
      <c r="M1484" s="17">
        <f>IF($C1484="","",IF($L1484="","",IF(NOT(ISNUMBER($L1484)),$L1484,IF(N($K1484)&gt;2,"",IF($K1484=1,IF(COUNTIFS(nrES_PID,$D1484,nrES_Code,$F1484,nrES_Att,2,nrES_Raw,"&gt;=0")&gt;0,"",$L1484),IF($L1484&gt;=$J1484,MAX($J1484,cfgRetakeRecordedCap),IF(COUNTIFS(nrES_PID,$D1484,nrES_Code,$F1484,nrES_Att,1)=0,$L1484,SUMIFS(nrES_Raw,nrES_PID,$D1484,nrES_Code,$F1484,nrES_Att,1))))))))</f>
        <v/>
      </c>
      <c r="N1484" s="17">
        <f>IF($C1484="","",IF($L1484="","",IF(NOT(ISNUMBER($L1484)),"(not a score)",IF($L1484&gt;=$J1484,"Yes","No"))))</f>
        <v/>
      </c>
      <c r="O1484" s="17">
        <f>IF($C1484="","",IF($M1484="","",IF(NOT(ISNUMBER($M1484)),"(not a score)",IF($M1484&gt;=$J1484,"Yes","No"))))</f>
        <v/>
      </c>
      <c r="P1484" s="17">
        <f>IF($C1484="","",IF($K1484="","",IF(N($K1484)&gt;2,"No",IF(COUNTIFS(nrES_PID,$D1484,nrES_Code,$F1484,nrES_Att,"&gt;"&amp;$K1484,nrES_Att,"&lt;=2",nrES_Raw,"&gt;=0")=0,"Yes","No"))))</f>
        <v/>
      </c>
      <c r="Q1484" s="17">
        <f>IF($C1484="","",IF($L1484="","",IF(AND($K1484=1,ISNUMBER($L1484),$L1484&lt;$J1484,COUNTIFS(nrES_PID,$D1484,nrES_Code,$F1484,nrES_Att,2,nrES_Raw,"&gt;=0")=0),"Yes","No")))</f>
        <v/>
      </c>
      <c r="R1484" s="17">
        <f>IF($C1484="","",IF($L1484="","",IF(AND(N($K1484)&gt;=2,ISNUMBER($L1484),$L1484&lt;$J1484),"Yes","No")))</f>
        <v/>
      </c>
      <c r="S1484" s="18" t="n"/>
      <c r="T1484" s="19">
        <f>IF(OR($C1484="",$L1484="",$K1484&lt;&gt;1,NOT(ISNUMBER($L1484)),$L1484&gt;=$J1484),"",IF($S1484="","(enter date)",_xlfn.LET(_xlpm.dn,_xlfn.XLOOKUP($S1484,nrCDdate,nrCDnum,"",1),IF(_xlpm.dn="","(after last class day)",_xlfn.LET(_xlpm.dd,_xlfn.XLOOKUP(_xlpm.dn+cfgRetestClassDays,nrCDnum,nrCDdate,""),_xlpm.ok,_xlfn.XLOOKUP(_xlpm.dn+cfgRetestClassDays,nrCDnum,nrCDinsession,"No"),IF(OR(_xlpm.dd="",_xlpm.ok&lt;&gt;"Yes"),"(after last class day)",_xlpm.dd))))))</f>
        <v/>
      </c>
      <c r="U1484" s="17">
        <f>IF($C1484="","",IF(AND($Y1484="Excused",$L1484="",N($K1484)&lt;=1),"EXCUSED - 1st attempt pending",IF(OR($L1484="",$K1484&lt;&gt;1,NOT(ISNUMBER($L1484)),$L1484&gt;=$J1484),"",IF(COUNTIFS(nrES_PID,$D1484,nrES_Code,$F1484,nrES_Att,2,nrES_Raw,"&gt;=0")&gt;0,IF(IFERROR(_xlfn.MINIFS(nrES_Date,nrES_PID,$D1484,nrES_Code,$F1484,nrES_Att,2,nrES_Raw,"&gt;=0",nrES_Date,"&gt;0"),0)=0,"RETEST UNDATED",IF(NOT(ISNUMBER($T1484)),"RETEST DATE UNCHECKED",IF(_xlfn.MINIFS(nrES_Date,nrES_PID,$D1484,nrES_Code,$F1484,nrES_Att,2,nrES_Raw,"&gt;=0",nrES_Date,"&gt;0")&gt;$T1484,"LATE RETEST "&amp;TEXT(_xlfn.MINIFS(nrES_Date,nrES_PID,$D1484,nrES_Code,$F1484,nrES_Att,2,nrES_Raw,"&gt;=0",nrES_Date,"&gt;0"),"mm/dd")&amp;" (due "&amp;TEXT($T1484,"mm/dd")&amp;")","Retested"))),IF(NOT(ISNUMBER($T1484)),"CHECK DATE",IF(TODAY()&gt;$T1484,"OVERDUE","Due "&amp;TEXT($T1484,"mm/dd")))))))</f>
        <v/>
      </c>
      <c r="V1484" s="16" t="n"/>
      <c r="W1484" s="16" t="n"/>
      <c r="X1484" s="17">
        <f>IF($C1484="","",IF(AND($L1484&lt;&gt;"",NOT(ISNUMBER($L1484))),"RAW SCORE NOT A NUMBER",IF(AND(ISNUMBER($L1484),OR($L1484&lt;0,$L1484&gt;100)),"RAW SCORE OUT OF RANGE",IF(AND($Y1484="Unexcused",OR($L1484="",NOT(ISNUMBER($L1484)),$L1484&lt;&gt;0)),"UNEXCUSED ABSENCE MUST RECORD 0",IF(COUNTIF(nrES_RecID,$B1484)&gt;1,"DUPLICATE RECORD",IF(N($K1484)&gt;2,"ATTEMPT 3+ NOT ALLOWED - policy 300.5 permits one retest per exam; this row records nothing",IF(AND($K1484=2,COUNTIFS(nrES_PID,$D1484,nrES_Code,$F1484,nrES_Att,1)=0),"ATTEMPT 2 WITHOUT ATTEMPT 1",IF(AND($K1484=2,$L1484=""),"RETEST ROW HAS NO SCORE",IF(AND($H1484="Final",$L1484&lt;&gt;"",IFERROR(INDEX(nrCKfinalExamElig,MATCH($D1484,rngCadetPIDs,0)),"")="No"),"FINAL EXAM AFTER FAILED FINAL PT (500.1.H)",IF(AND($K1484=2,ISNUMBER($L1484),COUNTIFS(nrES_PID,$D1484,nrES_Code,$F1484,nrES_Att,1)&gt;0,SUMIFS(nrES_Raw,nrES_PID,$D1484,nrES_Code,$F1484,nrES_Att,1)&gt;=$J1484),"RETEST AFTER A PASSING FIRST ATTEMPT","OK"))))))))))</f>
        <v/>
      </c>
      <c r="Y1484" s="16" t="n"/>
    </row>
    <row r="1485">
      <c r="B1485" s="17">
        <f>IF($C1485="","",$D1485&amp;"-"&amp;$F1485&amp;"-"&amp;$K1485)</f>
        <v/>
      </c>
      <c r="C1485" s="16" t="n"/>
      <c r="D1485" s="17">
        <f>IF($C1485="","",IFERROR(INDEX(rngCadetPIDs,MATCH($C1485,rngCadetNames,0)),"?"))</f>
        <v/>
      </c>
      <c r="E1485" s="17">
        <f>IF($D1485="","",IFERROR(INDEX(nrCadetAgency,MATCH($D1485,rngCadetPIDs,0)),""))</f>
        <v/>
      </c>
      <c r="F1485" s="16" t="n"/>
      <c r="G1485" s="17">
        <f>IF($F1485="","",IFERROR(INDEX(rngEPname,MATCH($F1485,rngEPcode,0)),"?"))</f>
        <v/>
      </c>
      <c r="H1485" s="17">
        <f>IF($F1485="","",IFERROR(INDEX(rngEPtype,MATCH($F1485,rngEPcode,0)),"?"))</f>
        <v/>
      </c>
      <c r="I1485" s="17">
        <f>IF($F1485="","",IFERROR(INDEX(rngEPseq,MATCH($F1485,rngEPcode,0)),""))</f>
        <v/>
      </c>
      <c r="J1485" s="17">
        <f>IF($F1485="","",IFERROR(INDEX(rngEPpass,MATCH($F1485,rngEPcode,0)),cfgPassingScore))</f>
        <v/>
      </c>
      <c r="K1485" s="16" t="n"/>
      <c r="L1485" s="16" t="n"/>
      <c r="M1485" s="17">
        <f>IF($C1485="","",IF($L1485="","",IF(NOT(ISNUMBER($L1485)),$L1485,IF(N($K1485)&gt;2,"",IF($K1485=1,IF(COUNTIFS(nrES_PID,$D1485,nrES_Code,$F1485,nrES_Att,2,nrES_Raw,"&gt;=0")&gt;0,"",$L1485),IF($L1485&gt;=$J1485,MAX($J1485,cfgRetakeRecordedCap),IF(COUNTIFS(nrES_PID,$D1485,nrES_Code,$F1485,nrES_Att,1)=0,$L1485,SUMIFS(nrES_Raw,nrES_PID,$D1485,nrES_Code,$F1485,nrES_Att,1))))))))</f>
        <v/>
      </c>
      <c r="N1485" s="17">
        <f>IF($C1485="","",IF($L1485="","",IF(NOT(ISNUMBER($L1485)),"(not a score)",IF($L1485&gt;=$J1485,"Yes","No"))))</f>
        <v/>
      </c>
      <c r="O1485" s="17">
        <f>IF($C1485="","",IF($M1485="","",IF(NOT(ISNUMBER($M1485)),"(not a score)",IF($M1485&gt;=$J1485,"Yes","No"))))</f>
        <v/>
      </c>
      <c r="P1485" s="17">
        <f>IF($C1485="","",IF($K1485="","",IF(N($K1485)&gt;2,"No",IF(COUNTIFS(nrES_PID,$D1485,nrES_Code,$F1485,nrES_Att,"&gt;"&amp;$K1485,nrES_Att,"&lt;=2",nrES_Raw,"&gt;=0")=0,"Yes","No"))))</f>
        <v/>
      </c>
      <c r="Q1485" s="17">
        <f>IF($C1485="","",IF($L1485="","",IF(AND($K1485=1,ISNUMBER($L1485),$L1485&lt;$J1485,COUNTIFS(nrES_PID,$D1485,nrES_Code,$F1485,nrES_Att,2,nrES_Raw,"&gt;=0")=0),"Yes","No")))</f>
        <v/>
      </c>
      <c r="R1485" s="17">
        <f>IF($C1485="","",IF($L1485="","",IF(AND(N($K1485)&gt;=2,ISNUMBER($L1485),$L1485&lt;$J1485),"Yes","No")))</f>
        <v/>
      </c>
      <c r="S1485" s="18" t="n"/>
      <c r="T1485" s="19">
        <f>IF(OR($C1485="",$L1485="",$K1485&lt;&gt;1,NOT(ISNUMBER($L1485)),$L1485&gt;=$J1485),"",IF($S1485="","(enter date)",_xlfn.LET(_xlpm.dn,_xlfn.XLOOKUP($S1485,nrCDdate,nrCDnum,"",1),IF(_xlpm.dn="","(after last class day)",_xlfn.LET(_xlpm.dd,_xlfn.XLOOKUP(_xlpm.dn+cfgRetestClassDays,nrCDnum,nrCDdate,""),_xlpm.ok,_xlfn.XLOOKUP(_xlpm.dn+cfgRetestClassDays,nrCDnum,nrCDinsession,"No"),IF(OR(_xlpm.dd="",_xlpm.ok&lt;&gt;"Yes"),"(after last class day)",_xlpm.dd))))))</f>
        <v/>
      </c>
      <c r="U1485" s="17">
        <f>IF($C1485="","",IF(AND($Y1485="Excused",$L1485="",N($K1485)&lt;=1),"EXCUSED - 1st attempt pending",IF(OR($L1485="",$K1485&lt;&gt;1,NOT(ISNUMBER($L1485)),$L1485&gt;=$J1485),"",IF(COUNTIFS(nrES_PID,$D1485,nrES_Code,$F1485,nrES_Att,2,nrES_Raw,"&gt;=0")&gt;0,IF(IFERROR(_xlfn.MINIFS(nrES_Date,nrES_PID,$D1485,nrES_Code,$F1485,nrES_Att,2,nrES_Raw,"&gt;=0",nrES_Date,"&gt;0"),0)=0,"RETEST UNDATED",IF(NOT(ISNUMBER($T1485)),"RETEST DATE UNCHECKED",IF(_xlfn.MINIFS(nrES_Date,nrES_PID,$D1485,nrES_Code,$F1485,nrES_Att,2,nrES_Raw,"&gt;=0",nrES_Date,"&gt;0")&gt;$T1485,"LATE RETEST "&amp;TEXT(_xlfn.MINIFS(nrES_Date,nrES_PID,$D1485,nrES_Code,$F1485,nrES_Att,2,nrES_Raw,"&gt;=0",nrES_Date,"&gt;0"),"mm/dd")&amp;" (due "&amp;TEXT($T1485,"mm/dd")&amp;")","Retested"))),IF(NOT(ISNUMBER($T1485)),"CHECK DATE",IF(TODAY()&gt;$T1485,"OVERDUE","Due "&amp;TEXT($T1485,"mm/dd")))))))</f>
        <v/>
      </c>
      <c r="V1485" s="16" t="n"/>
      <c r="W1485" s="16" t="n"/>
      <c r="X1485" s="17">
        <f>IF($C1485="","",IF(AND($L1485&lt;&gt;"",NOT(ISNUMBER($L1485))),"RAW SCORE NOT A NUMBER",IF(AND(ISNUMBER($L1485),OR($L1485&lt;0,$L1485&gt;100)),"RAW SCORE OUT OF RANGE",IF(AND($Y1485="Unexcused",OR($L1485="",NOT(ISNUMBER($L1485)),$L1485&lt;&gt;0)),"UNEXCUSED ABSENCE MUST RECORD 0",IF(COUNTIF(nrES_RecID,$B1485)&gt;1,"DUPLICATE RECORD",IF(N($K1485)&gt;2,"ATTEMPT 3+ NOT ALLOWED - policy 300.5 permits one retest per exam; this row records nothing",IF(AND($K1485=2,COUNTIFS(nrES_PID,$D1485,nrES_Code,$F1485,nrES_Att,1)=0),"ATTEMPT 2 WITHOUT ATTEMPT 1",IF(AND($K1485=2,$L1485=""),"RETEST ROW HAS NO SCORE",IF(AND($H1485="Final",$L1485&lt;&gt;"",IFERROR(INDEX(nrCKfinalExamElig,MATCH($D1485,rngCadetPIDs,0)),"")="No"),"FINAL EXAM AFTER FAILED FINAL PT (500.1.H)",IF(AND($K1485=2,ISNUMBER($L1485),COUNTIFS(nrES_PID,$D1485,nrES_Code,$F1485,nrES_Att,1)&gt;0,SUMIFS(nrES_Raw,nrES_PID,$D1485,nrES_Code,$F1485,nrES_Att,1)&gt;=$J1485),"RETEST AFTER A PASSING FIRST ATTEMPT","OK"))))))))))</f>
        <v/>
      </c>
      <c r="Y1485" s="16" t="n"/>
    </row>
    <row r="1486">
      <c r="B1486" s="17">
        <f>IF($C1486="","",$D1486&amp;"-"&amp;$F1486&amp;"-"&amp;$K1486)</f>
        <v/>
      </c>
      <c r="C1486" s="16" t="n"/>
      <c r="D1486" s="17">
        <f>IF($C1486="","",IFERROR(INDEX(rngCadetPIDs,MATCH($C1486,rngCadetNames,0)),"?"))</f>
        <v/>
      </c>
      <c r="E1486" s="17">
        <f>IF($D1486="","",IFERROR(INDEX(nrCadetAgency,MATCH($D1486,rngCadetPIDs,0)),""))</f>
        <v/>
      </c>
      <c r="F1486" s="16" t="n"/>
      <c r="G1486" s="17">
        <f>IF($F1486="","",IFERROR(INDEX(rngEPname,MATCH($F1486,rngEPcode,0)),"?"))</f>
        <v/>
      </c>
      <c r="H1486" s="17">
        <f>IF($F1486="","",IFERROR(INDEX(rngEPtype,MATCH($F1486,rngEPcode,0)),"?"))</f>
        <v/>
      </c>
      <c r="I1486" s="17">
        <f>IF($F1486="","",IFERROR(INDEX(rngEPseq,MATCH($F1486,rngEPcode,0)),""))</f>
        <v/>
      </c>
      <c r="J1486" s="17">
        <f>IF($F1486="","",IFERROR(INDEX(rngEPpass,MATCH($F1486,rngEPcode,0)),cfgPassingScore))</f>
        <v/>
      </c>
      <c r="K1486" s="16" t="n"/>
      <c r="L1486" s="16" t="n"/>
      <c r="M1486" s="17">
        <f>IF($C1486="","",IF($L1486="","",IF(NOT(ISNUMBER($L1486)),$L1486,IF(N($K1486)&gt;2,"",IF($K1486=1,IF(COUNTIFS(nrES_PID,$D1486,nrES_Code,$F1486,nrES_Att,2,nrES_Raw,"&gt;=0")&gt;0,"",$L1486),IF($L1486&gt;=$J1486,MAX($J1486,cfgRetakeRecordedCap),IF(COUNTIFS(nrES_PID,$D1486,nrES_Code,$F1486,nrES_Att,1)=0,$L1486,SUMIFS(nrES_Raw,nrES_PID,$D1486,nrES_Code,$F1486,nrES_Att,1))))))))</f>
        <v/>
      </c>
      <c r="N1486" s="17">
        <f>IF($C1486="","",IF($L1486="","",IF(NOT(ISNUMBER($L1486)),"(not a score)",IF($L1486&gt;=$J1486,"Yes","No"))))</f>
        <v/>
      </c>
      <c r="O1486" s="17">
        <f>IF($C1486="","",IF($M1486="","",IF(NOT(ISNUMBER($M1486)),"(not a score)",IF($M1486&gt;=$J1486,"Yes","No"))))</f>
        <v/>
      </c>
      <c r="P1486" s="17">
        <f>IF($C1486="","",IF($K1486="","",IF(N($K1486)&gt;2,"No",IF(COUNTIFS(nrES_PID,$D1486,nrES_Code,$F1486,nrES_Att,"&gt;"&amp;$K1486,nrES_Att,"&lt;=2",nrES_Raw,"&gt;=0")=0,"Yes","No"))))</f>
        <v/>
      </c>
      <c r="Q1486" s="17">
        <f>IF($C1486="","",IF($L1486="","",IF(AND($K1486=1,ISNUMBER($L1486),$L1486&lt;$J1486,COUNTIFS(nrES_PID,$D1486,nrES_Code,$F1486,nrES_Att,2,nrES_Raw,"&gt;=0")=0),"Yes","No")))</f>
        <v/>
      </c>
      <c r="R1486" s="17">
        <f>IF($C1486="","",IF($L1486="","",IF(AND(N($K1486)&gt;=2,ISNUMBER($L1486),$L1486&lt;$J1486),"Yes","No")))</f>
        <v/>
      </c>
      <c r="S1486" s="18" t="n"/>
      <c r="T1486" s="19">
        <f>IF(OR($C1486="",$L1486="",$K1486&lt;&gt;1,NOT(ISNUMBER($L1486)),$L1486&gt;=$J1486),"",IF($S1486="","(enter date)",_xlfn.LET(_xlpm.dn,_xlfn.XLOOKUP($S1486,nrCDdate,nrCDnum,"",1),IF(_xlpm.dn="","(after last class day)",_xlfn.LET(_xlpm.dd,_xlfn.XLOOKUP(_xlpm.dn+cfgRetestClassDays,nrCDnum,nrCDdate,""),_xlpm.ok,_xlfn.XLOOKUP(_xlpm.dn+cfgRetestClassDays,nrCDnum,nrCDinsession,"No"),IF(OR(_xlpm.dd="",_xlpm.ok&lt;&gt;"Yes"),"(after last class day)",_xlpm.dd))))))</f>
        <v/>
      </c>
      <c r="U1486" s="17">
        <f>IF($C1486="","",IF(AND($Y1486="Excused",$L1486="",N($K1486)&lt;=1),"EXCUSED - 1st attempt pending",IF(OR($L1486="",$K1486&lt;&gt;1,NOT(ISNUMBER($L1486)),$L1486&gt;=$J1486),"",IF(COUNTIFS(nrES_PID,$D1486,nrES_Code,$F1486,nrES_Att,2,nrES_Raw,"&gt;=0")&gt;0,IF(IFERROR(_xlfn.MINIFS(nrES_Date,nrES_PID,$D1486,nrES_Code,$F1486,nrES_Att,2,nrES_Raw,"&gt;=0",nrES_Date,"&gt;0"),0)=0,"RETEST UNDATED",IF(NOT(ISNUMBER($T1486)),"RETEST DATE UNCHECKED",IF(_xlfn.MINIFS(nrES_Date,nrES_PID,$D1486,nrES_Code,$F1486,nrES_Att,2,nrES_Raw,"&gt;=0",nrES_Date,"&gt;0")&gt;$T1486,"LATE RETEST "&amp;TEXT(_xlfn.MINIFS(nrES_Date,nrES_PID,$D1486,nrES_Code,$F1486,nrES_Att,2,nrES_Raw,"&gt;=0",nrES_Date,"&gt;0"),"mm/dd")&amp;" (due "&amp;TEXT($T1486,"mm/dd")&amp;")","Retested"))),IF(NOT(ISNUMBER($T1486)),"CHECK DATE",IF(TODAY()&gt;$T1486,"OVERDUE","Due "&amp;TEXT($T1486,"mm/dd")))))))</f>
        <v/>
      </c>
      <c r="V1486" s="16" t="n"/>
      <c r="W1486" s="16" t="n"/>
      <c r="X1486" s="17">
        <f>IF($C1486="","",IF(AND($L1486&lt;&gt;"",NOT(ISNUMBER($L1486))),"RAW SCORE NOT A NUMBER",IF(AND(ISNUMBER($L1486),OR($L1486&lt;0,$L1486&gt;100)),"RAW SCORE OUT OF RANGE",IF(AND($Y1486="Unexcused",OR($L1486="",NOT(ISNUMBER($L1486)),$L1486&lt;&gt;0)),"UNEXCUSED ABSENCE MUST RECORD 0",IF(COUNTIF(nrES_RecID,$B1486)&gt;1,"DUPLICATE RECORD",IF(N($K1486)&gt;2,"ATTEMPT 3+ NOT ALLOWED - policy 300.5 permits one retest per exam; this row records nothing",IF(AND($K1486=2,COUNTIFS(nrES_PID,$D1486,nrES_Code,$F1486,nrES_Att,1)=0),"ATTEMPT 2 WITHOUT ATTEMPT 1",IF(AND($K1486=2,$L1486=""),"RETEST ROW HAS NO SCORE",IF(AND($H1486="Final",$L1486&lt;&gt;"",IFERROR(INDEX(nrCKfinalExamElig,MATCH($D1486,rngCadetPIDs,0)),"")="No"),"FINAL EXAM AFTER FAILED FINAL PT (500.1.H)",IF(AND($K1486=2,ISNUMBER($L1486),COUNTIFS(nrES_PID,$D1486,nrES_Code,$F1486,nrES_Att,1)&gt;0,SUMIFS(nrES_Raw,nrES_PID,$D1486,nrES_Code,$F1486,nrES_Att,1)&gt;=$J1486),"RETEST AFTER A PASSING FIRST ATTEMPT","OK"))))))))))</f>
        <v/>
      </c>
      <c r="Y1486" s="16" t="n"/>
    </row>
    <row r="1487">
      <c r="B1487" s="17">
        <f>IF($C1487="","",$D1487&amp;"-"&amp;$F1487&amp;"-"&amp;$K1487)</f>
        <v/>
      </c>
      <c r="C1487" s="16" t="n"/>
      <c r="D1487" s="17">
        <f>IF($C1487="","",IFERROR(INDEX(rngCadetPIDs,MATCH($C1487,rngCadetNames,0)),"?"))</f>
        <v/>
      </c>
      <c r="E1487" s="17">
        <f>IF($D1487="","",IFERROR(INDEX(nrCadetAgency,MATCH($D1487,rngCadetPIDs,0)),""))</f>
        <v/>
      </c>
      <c r="F1487" s="16" t="n"/>
      <c r="G1487" s="17">
        <f>IF($F1487="","",IFERROR(INDEX(rngEPname,MATCH($F1487,rngEPcode,0)),"?"))</f>
        <v/>
      </c>
      <c r="H1487" s="17">
        <f>IF($F1487="","",IFERROR(INDEX(rngEPtype,MATCH($F1487,rngEPcode,0)),"?"))</f>
        <v/>
      </c>
      <c r="I1487" s="17">
        <f>IF($F1487="","",IFERROR(INDEX(rngEPseq,MATCH($F1487,rngEPcode,0)),""))</f>
        <v/>
      </c>
      <c r="J1487" s="17">
        <f>IF($F1487="","",IFERROR(INDEX(rngEPpass,MATCH($F1487,rngEPcode,0)),cfgPassingScore))</f>
        <v/>
      </c>
      <c r="K1487" s="16" t="n"/>
      <c r="L1487" s="16" t="n"/>
      <c r="M1487" s="17">
        <f>IF($C1487="","",IF($L1487="","",IF(NOT(ISNUMBER($L1487)),$L1487,IF(N($K1487)&gt;2,"",IF($K1487=1,IF(COUNTIFS(nrES_PID,$D1487,nrES_Code,$F1487,nrES_Att,2,nrES_Raw,"&gt;=0")&gt;0,"",$L1487),IF($L1487&gt;=$J1487,MAX($J1487,cfgRetakeRecordedCap),IF(COUNTIFS(nrES_PID,$D1487,nrES_Code,$F1487,nrES_Att,1)=0,$L1487,SUMIFS(nrES_Raw,nrES_PID,$D1487,nrES_Code,$F1487,nrES_Att,1))))))))</f>
        <v/>
      </c>
      <c r="N1487" s="17">
        <f>IF($C1487="","",IF($L1487="","",IF(NOT(ISNUMBER($L1487)),"(not a score)",IF($L1487&gt;=$J1487,"Yes","No"))))</f>
        <v/>
      </c>
      <c r="O1487" s="17">
        <f>IF($C1487="","",IF($M1487="","",IF(NOT(ISNUMBER($M1487)),"(not a score)",IF($M1487&gt;=$J1487,"Yes","No"))))</f>
        <v/>
      </c>
      <c r="P1487" s="17">
        <f>IF($C1487="","",IF($K1487="","",IF(N($K1487)&gt;2,"No",IF(COUNTIFS(nrES_PID,$D1487,nrES_Code,$F1487,nrES_Att,"&gt;"&amp;$K1487,nrES_Att,"&lt;=2",nrES_Raw,"&gt;=0")=0,"Yes","No"))))</f>
        <v/>
      </c>
      <c r="Q1487" s="17">
        <f>IF($C1487="","",IF($L1487="","",IF(AND($K1487=1,ISNUMBER($L1487),$L1487&lt;$J1487,COUNTIFS(nrES_PID,$D1487,nrES_Code,$F1487,nrES_Att,2,nrES_Raw,"&gt;=0")=0),"Yes","No")))</f>
        <v/>
      </c>
      <c r="R1487" s="17">
        <f>IF($C1487="","",IF($L1487="","",IF(AND(N($K1487)&gt;=2,ISNUMBER($L1487),$L1487&lt;$J1487),"Yes","No")))</f>
        <v/>
      </c>
      <c r="S1487" s="18" t="n"/>
      <c r="T1487" s="19">
        <f>IF(OR($C1487="",$L1487="",$K1487&lt;&gt;1,NOT(ISNUMBER($L1487)),$L1487&gt;=$J1487),"",IF($S1487="","(enter date)",_xlfn.LET(_xlpm.dn,_xlfn.XLOOKUP($S1487,nrCDdate,nrCDnum,"",1),IF(_xlpm.dn="","(after last class day)",_xlfn.LET(_xlpm.dd,_xlfn.XLOOKUP(_xlpm.dn+cfgRetestClassDays,nrCDnum,nrCDdate,""),_xlpm.ok,_xlfn.XLOOKUP(_xlpm.dn+cfgRetestClassDays,nrCDnum,nrCDinsession,"No"),IF(OR(_xlpm.dd="",_xlpm.ok&lt;&gt;"Yes"),"(after last class day)",_xlpm.dd))))))</f>
        <v/>
      </c>
      <c r="U1487" s="17">
        <f>IF($C1487="","",IF(AND($Y1487="Excused",$L1487="",N($K1487)&lt;=1),"EXCUSED - 1st attempt pending",IF(OR($L1487="",$K1487&lt;&gt;1,NOT(ISNUMBER($L1487)),$L1487&gt;=$J1487),"",IF(COUNTIFS(nrES_PID,$D1487,nrES_Code,$F1487,nrES_Att,2,nrES_Raw,"&gt;=0")&gt;0,IF(IFERROR(_xlfn.MINIFS(nrES_Date,nrES_PID,$D1487,nrES_Code,$F1487,nrES_Att,2,nrES_Raw,"&gt;=0",nrES_Date,"&gt;0"),0)=0,"RETEST UNDATED",IF(NOT(ISNUMBER($T1487)),"RETEST DATE UNCHECKED",IF(_xlfn.MINIFS(nrES_Date,nrES_PID,$D1487,nrES_Code,$F1487,nrES_Att,2,nrES_Raw,"&gt;=0",nrES_Date,"&gt;0")&gt;$T1487,"LATE RETEST "&amp;TEXT(_xlfn.MINIFS(nrES_Date,nrES_PID,$D1487,nrES_Code,$F1487,nrES_Att,2,nrES_Raw,"&gt;=0",nrES_Date,"&gt;0"),"mm/dd")&amp;" (due "&amp;TEXT($T1487,"mm/dd")&amp;")","Retested"))),IF(NOT(ISNUMBER($T1487)),"CHECK DATE",IF(TODAY()&gt;$T1487,"OVERDUE","Due "&amp;TEXT($T1487,"mm/dd")))))))</f>
        <v/>
      </c>
      <c r="V1487" s="16" t="n"/>
      <c r="W1487" s="16" t="n"/>
      <c r="X1487" s="17">
        <f>IF($C1487="","",IF(AND($L1487&lt;&gt;"",NOT(ISNUMBER($L1487))),"RAW SCORE NOT A NUMBER",IF(AND(ISNUMBER($L1487),OR($L1487&lt;0,$L1487&gt;100)),"RAW SCORE OUT OF RANGE",IF(AND($Y1487="Unexcused",OR($L1487="",NOT(ISNUMBER($L1487)),$L1487&lt;&gt;0)),"UNEXCUSED ABSENCE MUST RECORD 0",IF(COUNTIF(nrES_RecID,$B1487)&gt;1,"DUPLICATE RECORD",IF(N($K1487)&gt;2,"ATTEMPT 3+ NOT ALLOWED - policy 300.5 permits one retest per exam; this row records nothing",IF(AND($K1487=2,COUNTIFS(nrES_PID,$D1487,nrES_Code,$F1487,nrES_Att,1)=0),"ATTEMPT 2 WITHOUT ATTEMPT 1",IF(AND($K1487=2,$L1487=""),"RETEST ROW HAS NO SCORE",IF(AND($H1487="Final",$L1487&lt;&gt;"",IFERROR(INDEX(nrCKfinalExamElig,MATCH($D1487,rngCadetPIDs,0)),"")="No"),"FINAL EXAM AFTER FAILED FINAL PT (500.1.H)",IF(AND($K1487=2,ISNUMBER($L1487),COUNTIFS(nrES_PID,$D1487,nrES_Code,$F1487,nrES_Att,1)&gt;0,SUMIFS(nrES_Raw,nrES_PID,$D1487,nrES_Code,$F1487,nrES_Att,1)&gt;=$J1487),"RETEST AFTER A PASSING FIRST ATTEMPT","OK"))))))))))</f>
        <v/>
      </c>
      <c r="Y1487" s="16" t="n"/>
    </row>
    <row r="1488">
      <c r="B1488" s="17">
        <f>IF($C1488="","",$D1488&amp;"-"&amp;$F1488&amp;"-"&amp;$K1488)</f>
        <v/>
      </c>
      <c r="C1488" s="16" t="n"/>
      <c r="D1488" s="17">
        <f>IF($C1488="","",IFERROR(INDEX(rngCadetPIDs,MATCH($C1488,rngCadetNames,0)),"?"))</f>
        <v/>
      </c>
      <c r="E1488" s="17">
        <f>IF($D1488="","",IFERROR(INDEX(nrCadetAgency,MATCH($D1488,rngCadetPIDs,0)),""))</f>
        <v/>
      </c>
      <c r="F1488" s="16" t="n"/>
      <c r="G1488" s="17">
        <f>IF($F1488="","",IFERROR(INDEX(rngEPname,MATCH($F1488,rngEPcode,0)),"?"))</f>
        <v/>
      </c>
      <c r="H1488" s="17">
        <f>IF($F1488="","",IFERROR(INDEX(rngEPtype,MATCH($F1488,rngEPcode,0)),"?"))</f>
        <v/>
      </c>
      <c r="I1488" s="17">
        <f>IF($F1488="","",IFERROR(INDEX(rngEPseq,MATCH($F1488,rngEPcode,0)),""))</f>
        <v/>
      </c>
      <c r="J1488" s="17">
        <f>IF($F1488="","",IFERROR(INDEX(rngEPpass,MATCH($F1488,rngEPcode,0)),cfgPassingScore))</f>
        <v/>
      </c>
      <c r="K1488" s="16" t="n"/>
      <c r="L1488" s="16" t="n"/>
      <c r="M1488" s="17">
        <f>IF($C1488="","",IF($L1488="","",IF(NOT(ISNUMBER($L1488)),$L1488,IF(N($K1488)&gt;2,"",IF($K1488=1,IF(COUNTIFS(nrES_PID,$D1488,nrES_Code,$F1488,nrES_Att,2,nrES_Raw,"&gt;=0")&gt;0,"",$L1488),IF($L1488&gt;=$J1488,MAX($J1488,cfgRetakeRecordedCap),IF(COUNTIFS(nrES_PID,$D1488,nrES_Code,$F1488,nrES_Att,1)=0,$L1488,SUMIFS(nrES_Raw,nrES_PID,$D1488,nrES_Code,$F1488,nrES_Att,1))))))))</f>
        <v/>
      </c>
      <c r="N1488" s="17">
        <f>IF($C1488="","",IF($L1488="","",IF(NOT(ISNUMBER($L1488)),"(not a score)",IF($L1488&gt;=$J1488,"Yes","No"))))</f>
        <v/>
      </c>
      <c r="O1488" s="17">
        <f>IF($C1488="","",IF($M1488="","",IF(NOT(ISNUMBER($M1488)),"(not a score)",IF($M1488&gt;=$J1488,"Yes","No"))))</f>
        <v/>
      </c>
      <c r="P1488" s="17">
        <f>IF($C1488="","",IF($K1488="","",IF(N($K1488)&gt;2,"No",IF(COUNTIFS(nrES_PID,$D1488,nrES_Code,$F1488,nrES_Att,"&gt;"&amp;$K1488,nrES_Att,"&lt;=2",nrES_Raw,"&gt;=0")=0,"Yes","No"))))</f>
        <v/>
      </c>
      <c r="Q1488" s="17">
        <f>IF($C1488="","",IF($L1488="","",IF(AND($K1488=1,ISNUMBER($L1488),$L1488&lt;$J1488,COUNTIFS(nrES_PID,$D1488,nrES_Code,$F1488,nrES_Att,2,nrES_Raw,"&gt;=0")=0),"Yes","No")))</f>
        <v/>
      </c>
      <c r="R1488" s="17">
        <f>IF($C1488="","",IF($L1488="","",IF(AND(N($K1488)&gt;=2,ISNUMBER($L1488),$L1488&lt;$J1488),"Yes","No")))</f>
        <v/>
      </c>
      <c r="S1488" s="18" t="n"/>
      <c r="T1488" s="19">
        <f>IF(OR($C1488="",$L1488="",$K1488&lt;&gt;1,NOT(ISNUMBER($L1488)),$L1488&gt;=$J1488),"",IF($S1488="","(enter date)",_xlfn.LET(_xlpm.dn,_xlfn.XLOOKUP($S1488,nrCDdate,nrCDnum,"",1),IF(_xlpm.dn="","(after last class day)",_xlfn.LET(_xlpm.dd,_xlfn.XLOOKUP(_xlpm.dn+cfgRetestClassDays,nrCDnum,nrCDdate,""),_xlpm.ok,_xlfn.XLOOKUP(_xlpm.dn+cfgRetestClassDays,nrCDnum,nrCDinsession,"No"),IF(OR(_xlpm.dd="",_xlpm.ok&lt;&gt;"Yes"),"(after last class day)",_xlpm.dd))))))</f>
        <v/>
      </c>
      <c r="U1488" s="17">
        <f>IF($C1488="","",IF(AND($Y1488="Excused",$L1488="",N($K1488)&lt;=1),"EXCUSED - 1st attempt pending",IF(OR($L1488="",$K1488&lt;&gt;1,NOT(ISNUMBER($L1488)),$L1488&gt;=$J1488),"",IF(COUNTIFS(nrES_PID,$D1488,nrES_Code,$F1488,nrES_Att,2,nrES_Raw,"&gt;=0")&gt;0,IF(IFERROR(_xlfn.MINIFS(nrES_Date,nrES_PID,$D1488,nrES_Code,$F1488,nrES_Att,2,nrES_Raw,"&gt;=0",nrES_Date,"&gt;0"),0)=0,"RETEST UNDATED",IF(NOT(ISNUMBER($T1488)),"RETEST DATE UNCHECKED",IF(_xlfn.MINIFS(nrES_Date,nrES_PID,$D1488,nrES_Code,$F1488,nrES_Att,2,nrES_Raw,"&gt;=0",nrES_Date,"&gt;0")&gt;$T1488,"LATE RETEST "&amp;TEXT(_xlfn.MINIFS(nrES_Date,nrES_PID,$D1488,nrES_Code,$F1488,nrES_Att,2,nrES_Raw,"&gt;=0",nrES_Date,"&gt;0"),"mm/dd")&amp;" (due "&amp;TEXT($T1488,"mm/dd")&amp;")","Retested"))),IF(NOT(ISNUMBER($T1488)),"CHECK DATE",IF(TODAY()&gt;$T1488,"OVERDUE","Due "&amp;TEXT($T1488,"mm/dd")))))))</f>
        <v/>
      </c>
      <c r="V1488" s="16" t="n"/>
      <c r="W1488" s="16" t="n"/>
      <c r="X1488" s="17">
        <f>IF($C1488="","",IF(AND($L1488&lt;&gt;"",NOT(ISNUMBER($L1488))),"RAW SCORE NOT A NUMBER",IF(AND(ISNUMBER($L1488),OR($L1488&lt;0,$L1488&gt;100)),"RAW SCORE OUT OF RANGE",IF(AND($Y1488="Unexcused",OR($L1488="",NOT(ISNUMBER($L1488)),$L1488&lt;&gt;0)),"UNEXCUSED ABSENCE MUST RECORD 0",IF(COUNTIF(nrES_RecID,$B1488)&gt;1,"DUPLICATE RECORD",IF(N($K1488)&gt;2,"ATTEMPT 3+ NOT ALLOWED - policy 300.5 permits one retest per exam; this row records nothing",IF(AND($K1488=2,COUNTIFS(nrES_PID,$D1488,nrES_Code,$F1488,nrES_Att,1)=0),"ATTEMPT 2 WITHOUT ATTEMPT 1",IF(AND($K1488=2,$L1488=""),"RETEST ROW HAS NO SCORE",IF(AND($H1488="Final",$L1488&lt;&gt;"",IFERROR(INDEX(nrCKfinalExamElig,MATCH($D1488,rngCadetPIDs,0)),"")="No"),"FINAL EXAM AFTER FAILED FINAL PT (500.1.H)",IF(AND($K1488=2,ISNUMBER($L1488),COUNTIFS(nrES_PID,$D1488,nrES_Code,$F1488,nrES_Att,1)&gt;0,SUMIFS(nrES_Raw,nrES_PID,$D1488,nrES_Code,$F1488,nrES_Att,1)&gt;=$J1488),"RETEST AFTER A PASSING FIRST ATTEMPT","OK"))))))))))</f>
        <v/>
      </c>
      <c r="Y1488" s="16" t="n"/>
    </row>
    <row r="1489">
      <c r="B1489" s="17">
        <f>IF($C1489="","",$D1489&amp;"-"&amp;$F1489&amp;"-"&amp;$K1489)</f>
        <v/>
      </c>
      <c r="C1489" s="16" t="n"/>
      <c r="D1489" s="17">
        <f>IF($C1489="","",IFERROR(INDEX(rngCadetPIDs,MATCH($C1489,rngCadetNames,0)),"?"))</f>
        <v/>
      </c>
      <c r="E1489" s="17">
        <f>IF($D1489="","",IFERROR(INDEX(nrCadetAgency,MATCH($D1489,rngCadetPIDs,0)),""))</f>
        <v/>
      </c>
      <c r="F1489" s="16" t="n"/>
      <c r="G1489" s="17">
        <f>IF($F1489="","",IFERROR(INDEX(rngEPname,MATCH($F1489,rngEPcode,0)),"?"))</f>
        <v/>
      </c>
      <c r="H1489" s="17">
        <f>IF($F1489="","",IFERROR(INDEX(rngEPtype,MATCH($F1489,rngEPcode,0)),"?"))</f>
        <v/>
      </c>
      <c r="I1489" s="17">
        <f>IF($F1489="","",IFERROR(INDEX(rngEPseq,MATCH($F1489,rngEPcode,0)),""))</f>
        <v/>
      </c>
      <c r="J1489" s="17">
        <f>IF($F1489="","",IFERROR(INDEX(rngEPpass,MATCH($F1489,rngEPcode,0)),cfgPassingScore))</f>
        <v/>
      </c>
      <c r="K1489" s="16" t="n"/>
      <c r="L1489" s="16" t="n"/>
      <c r="M1489" s="17">
        <f>IF($C1489="","",IF($L1489="","",IF(NOT(ISNUMBER($L1489)),$L1489,IF(N($K1489)&gt;2,"",IF($K1489=1,IF(COUNTIFS(nrES_PID,$D1489,nrES_Code,$F1489,nrES_Att,2,nrES_Raw,"&gt;=0")&gt;0,"",$L1489),IF($L1489&gt;=$J1489,MAX($J1489,cfgRetakeRecordedCap),IF(COUNTIFS(nrES_PID,$D1489,nrES_Code,$F1489,nrES_Att,1)=0,$L1489,SUMIFS(nrES_Raw,nrES_PID,$D1489,nrES_Code,$F1489,nrES_Att,1))))))))</f>
        <v/>
      </c>
      <c r="N1489" s="17">
        <f>IF($C1489="","",IF($L1489="","",IF(NOT(ISNUMBER($L1489)),"(not a score)",IF($L1489&gt;=$J1489,"Yes","No"))))</f>
        <v/>
      </c>
      <c r="O1489" s="17">
        <f>IF($C1489="","",IF($M1489="","",IF(NOT(ISNUMBER($M1489)),"(not a score)",IF($M1489&gt;=$J1489,"Yes","No"))))</f>
        <v/>
      </c>
      <c r="P1489" s="17">
        <f>IF($C1489="","",IF($K1489="","",IF(N($K1489)&gt;2,"No",IF(COUNTIFS(nrES_PID,$D1489,nrES_Code,$F1489,nrES_Att,"&gt;"&amp;$K1489,nrES_Att,"&lt;=2",nrES_Raw,"&gt;=0")=0,"Yes","No"))))</f>
        <v/>
      </c>
      <c r="Q1489" s="17">
        <f>IF($C1489="","",IF($L1489="","",IF(AND($K1489=1,ISNUMBER($L1489),$L1489&lt;$J1489,COUNTIFS(nrES_PID,$D1489,nrES_Code,$F1489,nrES_Att,2,nrES_Raw,"&gt;=0")=0),"Yes","No")))</f>
        <v/>
      </c>
      <c r="R1489" s="17">
        <f>IF($C1489="","",IF($L1489="","",IF(AND(N($K1489)&gt;=2,ISNUMBER($L1489),$L1489&lt;$J1489),"Yes","No")))</f>
        <v/>
      </c>
      <c r="S1489" s="18" t="n"/>
      <c r="T1489" s="19">
        <f>IF(OR($C1489="",$L1489="",$K1489&lt;&gt;1,NOT(ISNUMBER($L1489)),$L1489&gt;=$J1489),"",IF($S1489="","(enter date)",_xlfn.LET(_xlpm.dn,_xlfn.XLOOKUP($S1489,nrCDdate,nrCDnum,"",1),IF(_xlpm.dn="","(after last class day)",_xlfn.LET(_xlpm.dd,_xlfn.XLOOKUP(_xlpm.dn+cfgRetestClassDays,nrCDnum,nrCDdate,""),_xlpm.ok,_xlfn.XLOOKUP(_xlpm.dn+cfgRetestClassDays,nrCDnum,nrCDinsession,"No"),IF(OR(_xlpm.dd="",_xlpm.ok&lt;&gt;"Yes"),"(after last class day)",_xlpm.dd))))))</f>
        <v/>
      </c>
      <c r="U1489" s="17">
        <f>IF($C1489="","",IF(AND($Y1489="Excused",$L1489="",N($K1489)&lt;=1),"EXCUSED - 1st attempt pending",IF(OR($L1489="",$K1489&lt;&gt;1,NOT(ISNUMBER($L1489)),$L1489&gt;=$J1489),"",IF(COUNTIFS(nrES_PID,$D1489,nrES_Code,$F1489,nrES_Att,2,nrES_Raw,"&gt;=0")&gt;0,IF(IFERROR(_xlfn.MINIFS(nrES_Date,nrES_PID,$D1489,nrES_Code,$F1489,nrES_Att,2,nrES_Raw,"&gt;=0",nrES_Date,"&gt;0"),0)=0,"RETEST UNDATED",IF(NOT(ISNUMBER($T1489)),"RETEST DATE UNCHECKED",IF(_xlfn.MINIFS(nrES_Date,nrES_PID,$D1489,nrES_Code,$F1489,nrES_Att,2,nrES_Raw,"&gt;=0",nrES_Date,"&gt;0")&gt;$T1489,"LATE RETEST "&amp;TEXT(_xlfn.MINIFS(nrES_Date,nrES_PID,$D1489,nrES_Code,$F1489,nrES_Att,2,nrES_Raw,"&gt;=0",nrES_Date,"&gt;0"),"mm/dd")&amp;" (due "&amp;TEXT($T1489,"mm/dd")&amp;")","Retested"))),IF(NOT(ISNUMBER($T1489)),"CHECK DATE",IF(TODAY()&gt;$T1489,"OVERDUE","Due "&amp;TEXT($T1489,"mm/dd")))))))</f>
        <v/>
      </c>
      <c r="V1489" s="16" t="n"/>
      <c r="W1489" s="16" t="n"/>
      <c r="X1489" s="17">
        <f>IF($C1489="","",IF(AND($L1489&lt;&gt;"",NOT(ISNUMBER($L1489))),"RAW SCORE NOT A NUMBER",IF(AND(ISNUMBER($L1489),OR($L1489&lt;0,$L1489&gt;100)),"RAW SCORE OUT OF RANGE",IF(AND($Y1489="Unexcused",OR($L1489="",NOT(ISNUMBER($L1489)),$L1489&lt;&gt;0)),"UNEXCUSED ABSENCE MUST RECORD 0",IF(COUNTIF(nrES_RecID,$B1489)&gt;1,"DUPLICATE RECORD",IF(N($K1489)&gt;2,"ATTEMPT 3+ NOT ALLOWED - policy 300.5 permits one retest per exam; this row records nothing",IF(AND($K1489=2,COUNTIFS(nrES_PID,$D1489,nrES_Code,$F1489,nrES_Att,1)=0),"ATTEMPT 2 WITHOUT ATTEMPT 1",IF(AND($K1489=2,$L1489=""),"RETEST ROW HAS NO SCORE",IF(AND($H1489="Final",$L1489&lt;&gt;"",IFERROR(INDEX(nrCKfinalExamElig,MATCH($D1489,rngCadetPIDs,0)),"")="No"),"FINAL EXAM AFTER FAILED FINAL PT (500.1.H)",IF(AND($K1489=2,ISNUMBER($L1489),COUNTIFS(nrES_PID,$D1489,nrES_Code,$F1489,nrES_Att,1)&gt;0,SUMIFS(nrES_Raw,nrES_PID,$D1489,nrES_Code,$F1489,nrES_Att,1)&gt;=$J1489),"RETEST AFTER A PASSING FIRST ATTEMPT","OK"))))))))))</f>
        <v/>
      </c>
      <c r="Y1489" s="16" t="n"/>
    </row>
    <row r="1490">
      <c r="B1490" s="17">
        <f>IF($C1490="","",$D1490&amp;"-"&amp;$F1490&amp;"-"&amp;$K1490)</f>
        <v/>
      </c>
      <c r="C1490" s="16" t="n"/>
      <c r="D1490" s="17">
        <f>IF($C1490="","",IFERROR(INDEX(rngCadetPIDs,MATCH($C1490,rngCadetNames,0)),"?"))</f>
        <v/>
      </c>
      <c r="E1490" s="17">
        <f>IF($D1490="","",IFERROR(INDEX(nrCadetAgency,MATCH($D1490,rngCadetPIDs,0)),""))</f>
        <v/>
      </c>
      <c r="F1490" s="16" t="n"/>
      <c r="G1490" s="17">
        <f>IF($F1490="","",IFERROR(INDEX(rngEPname,MATCH($F1490,rngEPcode,0)),"?"))</f>
        <v/>
      </c>
      <c r="H1490" s="17">
        <f>IF($F1490="","",IFERROR(INDEX(rngEPtype,MATCH($F1490,rngEPcode,0)),"?"))</f>
        <v/>
      </c>
      <c r="I1490" s="17">
        <f>IF($F1490="","",IFERROR(INDEX(rngEPseq,MATCH($F1490,rngEPcode,0)),""))</f>
        <v/>
      </c>
      <c r="J1490" s="17">
        <f>IF($F1490="","",IFERROR(INDEX(rngEPpass,MATCH($F1490,rngEPcode,0)),cfgPassingScore))</f>
        <v/>
      </c>
      <c r="K1490" s="16" t="n"/>
      <c r="L1490" s="16" t="n"/>
      <c r="M1490" s="17">
        <f>IF($C1490="","",IF($L1490="","",IF(NOT(ISNUMBER($L1490)),$L1490,IF(N($K1490)&gt;2,"",IF($K1490=1,IF(COUNTIFS(nrES_PID,$D1490,nrES_Code,$F1490,nrES_Att,2,nrES_Raw,"&gt;=0")&gt;0,"",$L1490),IF($L1490&gt;=$J1490,MAX($J1490,cfgRetakeRecordedCap),IF(COUNTIFS(nrES_PID,$D1490,nrES_Code,$F1490,nrES_Att,1)=0,$L1490,SUMIFS(nrES_Raw,nrES_PID,$D1490,nrES_Code,$F1490,nrES_Att,1))))))))</f>
        <v/>
      </c>
      <c r="N1490" s="17">
        <f>IF($C1490="","",IF($L1490="","",IF(NOT(ISNUMBER($L1490)),"(not a score)",IF($L1490&gt;=$J1490,"Yes","No"))))</f>
        <v/>
      </c>
      <c r="O1490" s="17">
        <f>IF($C1490="","",IF($M1490="","",IF(NOT(ISNUMBER($M1490)),"(not a score)",IF($M1490&gt;=$J1490,"Yes","No"))))</f>
        <v/>
      </c>
      <c r="P1490" s="17">
        <f>IF($C1490="","",IF($K1490="","",IF(N($K1490)&gt;2,"No",IF(COUNTIFS(nrES_PID,$D1490,nrES_Code,$F1490,nrES_Att,"&gt;"&amp;$K1490,nrES_Att,"&lt;=2",nrES_Raw,"&gt;=0")=0,"Yes","No"))))</f>
        <v/>
      </c>
      <c r="Q1490" s="17">
        <f>IF($C1490="","",IF($L1490="","",IF(AND($K1490=1,ISNUMBER($L1490),$L1490&lt;$J1490,COUNTIFS(nrES_PID,$D1490,nrES_Code,$F1490,nrES_Att,2,nrES_Raw,"&gt;=0")=0),"Yes","No")))</f>
        <v/>
      </c>
      <c r="R1490" s="17">
        <f>IF($C1490="","",IF($L1490="","",IF(AND(N($K1490)&gt;=2,ISNUMBER($L1490),$L1490&lt;$J1490),"Yes","No")))</f>
        <v/>
      </c>
      <c r="S1490" s="18" t="n"/>
      <c r="T1490" s="19">
        <f>IF(OR($C1490="",$L1490="",$K1490&lt;&gt;1,NOT(ISNUMBER($L1490)),$L1490&gt;=$J1490),"",IF($S1490="","(enter date)",_xlfn.LET(_xlpm.dn,_xlfn.XLOOKUP($S1490,nrCDdate,nrCDnum,"",1),IF(_xlpm.dn="","(after last class day)",_xlfn.LET(_xlpm.dd,_xlfn.XLOOKUP(_xlpm.dn+cfgRetestClassDays,nrCDnum,nrCDdate,""),_xlpm.ok,_xlfn.XLOOKUP(_xlpm.dn+cfgRetestClassDays,nrCDnum,nrCDinsession,"No"),IF(OR(_xlpm.dd="",_xlpm.ok&lt;&gt;"Yes"),"(after last class day)",_xlpm.dd))))))</f>
        <v/>
      </c>
      <c r="U1490" s="17">
        <f>IF($C1490="","",IF(AND($Y1490="Excused",$L1490="",N($K1490)&lt;=1),"EXCUSED - 1st attempt pending",IF(OR($L1490="",$K1490&lt;&gt;1,NOT(ISNUMBER($L1490)),$L1490&gt;=$J1490),"",IF(COUNTIFS(nrES_PID,$D1490,nrES_Code,$F1490,nrES_Att,2,nrES_Raw,"&gt;=0")&gt;0,IF(IFERROR(_xlfn.MINIFS(nrES_Date,nrES_PID,$D1490,nrES_Code,$F1490,nrES_Att,2,nrES_Raw,"&gt;=0",nrES_Date,"&gt;0"),0)=0,"RETEST UNDATED",IF(NOT(ISNUMBER($T1490)),"RETEST DATE UNCHECKED",IF(_xlfn.MINIFS(nrES_Date,nrES_PID,$D1490,nrES_Code,$F1490,nrES_Att,2,nrES_Raw,"&gt;=0",nrES_Date,"&gt;0")&gt;$T1490,"LATE RETEST "&amp;TEXT(_xlfn.MINIFS(nrES_Date,nrES_PID,$D1490,nrES_Code,$F1490,nrES_Att,2,nrES_Raw,"&gt;=0",nrES_Date,"&gt;0"),"mm/dd")&amp;" (due "&amp;TEXT($T1490,"mm/dd")&amp;")","Retested"))),IF(NOT(ISNUMBER($T1490)),"CHECK DATE",IF(TODAY()&gt;$T1490,"OVERDUE","Due "&amp;TEXT($T1490,"mm/dd")))))))</f>
        <v/>
      </c>
      <c r="V1490" s="16" t="n"/>
      <c r="W1490" s="16" t="n"/>
      <c r="X1490" s="17">
        <f>IF($C1490="","",IF(AND($L1490&lt;&gt;"",NOT(ISNUMBER($L1490))),"RAW SCORE NOT A NUMBER",IF(AND(ISNUMBER($L1490),OR($L1490&lt;0,$L1490&gt;100)),"RAW SCORE OUT OF RANGE",IF(AND($Y1490="Unexcused",OR($L1490="",NOT(ISNUMBER($L1490)),$L1490&lt;&gt;0)),"UNEXCUSED ABSENCE MUST RECORD 0",IF(COUNTIF(nrES_RecID,$B1490)&gt;1,"DUPLICATE RECORD",IF(N($K1490)&gt;2,"ATTEMPT 3+ NOT ALLOWED - policy 300.5 permits one retest per exam; this row records nothing",IF(AND($K1490=2,COUNTIFS(nrES_PID,$D1490,nrES_Code,$F1490,nrES_Att,1)=0),"ATTEMPT 2 WITHOUT ATTEMPT 1",IF(AND($K1490=2,$L1490=""),"RETEST ROW HAS NO SCORE",IF(AND($H1490="Final",$L1490&lt;&gt;"",IFERROR(INDEX(nrCKfinalExamElig,MATCH($D1490,rngCadetPIDs,0)),"")="No"),"FINAL EXAM AFTER FAILED FINAL PT (500.1.H)",IF(AND($K1490=2,ISNUMBER($L1490),COUNTIFS(nrES_PID,$D1490,nrES_Code,$F1490,nrES_Att,1)&gt;0,SUMIFS(nrES_Raw,nrES_PID,$D1490,nrES_Code,$F1490,nrES_Att,1)&gt;=$J1490),"RETEST AFTER A PASSING FIRST ATTEMPT","OK"))))))))))</f>
        <v/>
      </c>
      <c r="Y1490" s="16" t="n"/>
    </row>
    <row r="1491">
      <c r="B1491" s="17">
        <f>IF($C1491="","",$D1491&amp;"-"&amp;$F1491&amp;"-"&amp;$K1491)</f>
        <v/>
      </c>
      <c r="C1491" s="16" t="n"/>
      <c r="D1491" s="17">
        <f>IF($C1491="","",IFERROR(INDEX(rngCadetPIDs,MATCH($C1491,rngCadetNames,0)),"?"))</f>
        <v/>
      </c>
      <c r="E1491" s="17">
        <f>IF($D1491="","",IFERROR(INDEX(nrCadetAgency,MATCH($D1491,rngCadetPIDs,0)),""))</f>
        <v/>
      </c>
      <c r="F1491" s="16" t="n"/>
      <c r="G1491" s="17">
        <f>IF($F1491="","",IFERROR(INDEX(rngEPname,MATCH($F1491,rngEPcode,0)),"?"))</f>
        <v/>
      </c>
      <c r="H1491" s="17">
        <f>IF($F1491="","",IFERROR(INDEX(rngEPtype,MATCH($F1491,rngEPcode,0)),"?"))</f>
        <v/>
      </c>
      <c r="I1491" s="17">
        <f>IF($F1491="","",IFERROR(INDEX(rngEPseq,MATCH($F1491,rngEPcode,0)),""))</f>
        <v/>
      </c>
      <c r="J1491" s="17">
        <f>IF($F1491="","",IFERROR(INDEX(rngEPpass,MATCH($F1491,rngEPcode,0)),cfgPassingScore))</f>
        <v/>
      </c>
      <c r="K1491" s="16" t="n"/>
      <c r="L1491" s="16" t="n"/>
      <c r="M1491" s="17">
        <f>IF($C1491="","",IF($L1491="","",IF(NOT(ISNUMBER($L1491)),$L1491,IF(N($K1491)&gt;2,"",IF($K1491=1,IF(COUNTIFS(nrES_PID,$D1491,nrES_Code,$F1491,nrES_Att,2,nrES_Raw,"&gt;=0")&gt;0,"",$L1491),IF($L1491&gt;=$J1491,MAX($J1491,cfgRetakeRecordedCap),IF(COUNTIFS(nrES_PID,$D1491,nrES_Code,$F1491,nrES_Att,1)=0,$L1491,SUMIFS(nrES_Raw,nrES_PID,$D1491,nrES_Code,$F1491,nrES_Att,1))))))))</f>
        <v/>
      </c>
      <c r="N1491" s="17">
        <f>IF($C1491="","",IF($L1491="","",IF(NOT(ISNUMBER($L1491)),"(not a score)",IF($L1491&gt;=$J1491,"Yes","No"))))</f>
        <v/>
      </c>
      <c r="O1491" s="17">
        <f>IF($C1491="","",IF($M1491="","",IF(NOT(ISNUMBER($M1491)),"(not a score)",IF($M1491&gt;=$J1491,"Yes","No"))))</f>
        <v/>
      </c>
      <c r="P1491" s="17">
        <f>IF($C1491="","",IF($K1491="","",IF(N($K1491)&gt;2,"No",IF(COUNTIFS(nrES_PID,$D1491,nrES_Code,$F1491,nrES_Att,"&gt;"&amp;$K1491,nrES_Att,"&lt;=2",nrES_Raw,"&gt;=0")=0,"Yes","No"))))</f>
        <v/>
      </c>
      <c r="Q1491" s="17">
        <f>IF($C1491="","",IF($L1491="","",IF(AND($K1491=1,ISNUMBER($L1491),$L1491&lt;$J1491,COUNTIFS(nrES_PID,$D1491,nrES_Code,$F1491,nrES_Att,2,nrES_Raw,"&gt;=0")=0),"Yes","No")))</f>
        <v/>
      </c>
      <c r="R1491" s="17">
        <f>IF($C1491="","",IF($L1491="","",IF(AND(N($K1491)&gt;=2,ISNUMBER($L1491),$L1491&lt;$J1491),"Yes","No")))</f>
        <v/>
      </c>
      <c r="S1491" s="18" t="n"/>
      <c r="T1491" s="19">
        <f>IF(OR($C1491="",$L1491="",$K1491&lt;&gt;1,NOT(ISNUMBER($L1491)),$L1491&gt;=$J1491),"",IF($S1491="","(enter date)",_xlfn.LET(_xlpm.dn,_xlfn.XLOOKUP($S1491,nrCDdate,nrCDnum,"",1),IF(_xlpm.dn="","(after last class day)",_xlfn.LET(_xlpm.dd,_xlfn.XLOOKUP(_xlpm.dn+cfgRetestClassDays,nrCDnum,nrCDdate,""),_xlpm.ok,_xlfn.XLOOKUP(_xlpm.dn+cfgRetestClassDays,nrCDnum,nrCDinsession,"No"),IF(OR(_xlpm.dd="",_xlpm.ok&lt;&gt;"Yes"),"(after last class day)",_xlpm.dd))))))</f>
        <v/>
      </c>
      <c r="U1491" s="17">
        <f>IF($C1491="","",IF(AND($Y1491="Excused",$L1491="",N($K1491)&lt;=1),"EXCUSED - 1st attempt pending",IF(OR($L1491="",$K1491&lt;&gt;1,NOT(ISNUMBER($L1491)),$L1491&gt;=$J1491),"",IF(COUNTIFS(nrES_PID,$D1491,nrES_Code,$F1491,nrES_Att,2,nrES_Raw,"&gt;=0")&gt;0,IF(IFERROR(_xlfn.MINIFS(nrES_Date,nrES_PID,$D1491,nrES_Code,$F1491,nrES_Att,2,nrES_Raw,"&gt;=0",nrES_Date,"&gt;0"),0)=0,"RETEST UNDATED",IF(NOT(ISNUMBER($T1491)),"RETEST DATE UNCHECKED",IF(_xlfn.MINIFS(nrES_Date,nrES_PID,$D1491,nrES_Code,$F1491,nrES_Att,2,nrES_Raw,"&gt;=0",nrES_Date,"&gt;0")&gt;$T1491,"LATE RETEST "&amp;TEXT(_xlfn.MINIFS(nrES_Date,nrES_PID,$D1491,nrES_Code,$F1491,nrES_Att,2,nrES_Raw,"&gt;=0",nrES_Date,"&gt;0"),"mm/dd")&amp;" (due "&amp;TEXT($T1491,"mm/dd")&amp;")","Retested"))),IF(NOT(ISNUMBER($T1491)),"CHECK DATE",IF(TODAY()&gt;$T1491,"OVERDUE","Due "&amp;TEXT($T1491,"mm/dd")))))))</f>
        <v/>
      </c>
      <c r="V1491" s="16" t="n"/>
      <c r="W1491" s="16" t="n"/>
      <c r="X1491" s="17">
        <f>IF($C1491="","",IF(AND($L1491&lt;&gt;"",NOT(ISNUMBER($L1491))),"RAW SCORE NOT A NUMBER",IF(AND(ISNUMBER($L1491),OR($L1491&lt;0,$L1491&gt;100)),"RAW SCORE OUT OF RANGE",IF(AND($Y1491="Unexcused",OR($L1491="",NOT(ISNUMBER($L1491)),$L1491&lt;&gt;0)),"UNEXCUSED ABSENCE MUST RECORD 0",IF(COUNTIF(nrES_RecID,$B1491)&gt;1,"DUPLICATE RECORD",IF(N($K1491)&gt;2,"ATTEMPT 3+ NOT ALLOWED - policy 300.5 permits one retest per exam; this row records nothing",IF(AND($K1491=2,COUNTIFS(nrES_PID,$D1491,nrES_Code,$F1491,nrES_Att,1)=0),"ATTEMPT 2 WITHOUT ATTEMPT 1",IF(AND($K1491=2,$L1491=""),"RETEST ROW HAS NO SCORE",IF(AND($H1491="Final",$L1491&lt;&gt;"",IFERROR(INDEX(nrCKfinalExamElig,MATCH($D1491,rngCadetPIDs,0)),"")="No"),"FINAL EXAM AFTER FAILED FINAL PT (500.1.H)",IF(AND($K1491=2,ISNUMBER($L1491),COUNTIFS(nrES_PID,$D1491,nrES_Code,$F1491,nrES_Att,1)&gt;0,SUMIFS(nrES_Raw,nrES_PID,$D1491,nrES_Code,$F1491,nrES_Att,1)&gt;=$J1491),"RETEST AFTER A PASSING FIRST ATTEMPT","OK"))))))))))</f>
        <v/>
      </c>
      <c r="Y1491" s="16" t="n"/>
    </row>
    <row r="1492">
      <c r="B1492" s="17">
        <f>IF($C1492="","",$D1492&amp;"-"&amp;$F1492&amp;"-"&amp;$K1492)</f>
        <v/>
      </c>
      <c r="C1492" s="16" t="n"/>
      <c r="D1492" s="17">
        <f>IF($C1492="","",IFERROR(INDEX(rngCadetPIDs,MATCH($C1492,rngCadetNames,0)),"?"))</f>
        <v/>
      </c>
      <c r="E1492" s="17">
        <f>IF($D1492="","",IFERROR(INDEX(nrCadetAgency,MATCH($D1492,rngCadetPIDs,0)),""))</f>
        <v/>
      </c>
      <c r="F1492" s="16" t="n"/>
      <c r="G1492" s="17">
        <f>IF($F1492="","",IFERROR(INDEX(rngEPname,MATCH($F1492,rngEPcode,0)),"?"))</f>
        <v/>
      </c>
      <c r="H1492" s="17">
        <f>IF($F1492="","",IFERROR(INDEX(rngEPtype,MATCH($F1492,rngEPcode,0)),"?"))</f>
        <v/>
      </c>
      <c r="I1492" s="17">
        <f>IF($F1492="","",IFERROR(INDEX(rngEPseq,MATCH($F1492,rngEPcode,0)),""))</f>
        <v/>
      </c>
      <c r="J1492" s="17">
        <f>IF($F1492="","",IFERROR(INDEX(rngEPpass,MATCH($F1492,rngEPcode,0)),cfgPassingScore))</f>
        <v/>
      </c>
      <c r="K1492" s="16" t="n"/>
      <c r="L1492" s="16" t="n"/>
      <c r="M1492" s="17">
        <f>IF($C1492="","",IF($L1492="","",IF(NOT(ISNUMBER($L1492)),$L1492,IF(N($K1492)&gt;2,"",IF($K1492=1,IF(COUNTIFS(nrES_PID,$D1492,nrES_Code,$F1492,nrES_Att,2,nrES_Raw,"&gt;=0")&gt;0,"",$L1492),IF($L1492&gt;=$J1492,MAX($J1492,cfgRetakeRecordedCap),IF(COUNTIFS(nrES_PID,$D1492,nrES_Code,$F1492,nrES_Att,1)=0,$L1492,SUMIFS(nrES_Raw,nrES_PID,$D1492,nrES_Code,$F1492,nrES_Att,1))))))))</f>
        <v/>
      </c>
      <c r="N1492" s="17">
        <f>IF($C1492="","",IF($L1492="","",IF(NOT(ISNUMBER($L1492)),"(not a score)",IF($L1492&gt;=$J1492,"Yes","No"))))</f>
        <v/>
      </c>
      <c r="O1492" s="17">
        <f>IF($C1492="","",IF($M1492="","",IF(NOT(ISNUMBER($M1492)),"(not a score)",IF($M1492&gt;=$J1492,"Yes","No"))))</f>
        <v/>
      </c>
      <c r="P1492" s="17">
        <f>IF($C1492="","",IF($K1492="","",IF(N($K1492)&gt;2,"No",IF(COUNTIFS(nrES_PID,$D1492,nrES_Code,$F1492,nrES_Att,"&gt;"&amp;$K1492,nrES_Att,"&lt;=2",nrES_Raw,"&gt;=0")=0,"Yes","No"))))</f>
        <v/>
      </c>
      <c r="Q1492" s="17">
        <f>IF($C1492="","",IF($L1492="","",IF(AND($K1492=1,ISNUMBER($L1492),$L1492&lt;$J1492,COUNTIFS(nrES_PID,$D1492,nrES_Code,$F1492,nrES_Att,2,nrES_Raw,"&gt;=0")=0),"Yes","No")))</f>
        <v/>
      </c>
      <c r="R1492" s="17">
        <f>IF($C1492="","",IF($L1492="","",IF(AND(N($K1492)&gt;=2,ISNUMBER($L1492),$L1492&lt;$J1492),"Yes","No")))</f>
        <v/>
      </c>
      <c r="S1492" s="18" t="n"/>
      <c r="T1492" s="19">
        <f>IF(OR($C1492="",$L1492="",$K1492&lt;&gt;1,NOT(ISNUMBER($L1492)),$L1492&gt;=$J1492),"",IF($S1492="","(enter date)",_xlfn.LET(_xlpm.dn,_xlfn.XLOOKUP($S1492,nrCDdate,nrCDnum,"",1),IF(_xlpm.dn="","(after last class day)",_xlfn.LET(_xlpm.dd,_xlfn.XLOOKUP(_xlpm.dn+cfgRetestClassDays,nrCDnum,nrCDdate,""),_xlpm.ok,_xlfn.XLOOKUP(_xlpm.dn+cfgRetestClassDays,nrCDnum,nrCDinsession,"No"),IF(OR(_xlpm.dd="",_xlpm.ok&lt;&gt;"Yes"),"(after last class day)",_xlpm.dd))))))</f>
        <v/>
      </c>
      <c r="U1492" s="17">
        <f>IF($C1492="","",IF(AND($Y1492="Excused",$L1492="",N($K1492)&lt;=1),"EXCUSED - 1st attempt pending",IF(OR($L1492="",$K1492&lt;&gt;1,NOT(ISNUMBER($L1492)),$L1492&gt;=$J1492),"",IF(COUNTIFS(nrES_PID,$D1492,nrES_Code,$F1492,nrES_Att,2,nrES_Raw,"&gt;=0")&gt;0,IF(IFERROR(_xlfn.MINIFS(nrES_Date,nrES_PID,$D1492,nrES_Code,$F1492,nrES_Att,2,nrES_Raw,"&gt;=0",nrES_Date,"&gt;0"),0)=0,"RETEST UNDATED",IF(NOT(ISNUMBER($T1492)),"RETEST DATE UNCHECKED",IF(_xlfn.MINIFS(nrES_Date,nrES_PID,$D1492,nrES_Code,$F1492,nrES_Att,2,nrES_Raw,"&gt;=0",nrES_Date,"&gt;0")&gt;$T1492,"LATE RETEST "&amp;TEXT(_xlfn.MINIFS(nrES_Date,nrES_PID,$D1492,nrES_Code,$F1492,nrES_Att,2,nrES_Raw,"&gt;=0",nrES_Date,"&gt;0"),"mm/dd")&amp;" (due "&amp;TEXT($T1492,"mm/dd")&amp;")","Retested"))),IF(NOT(ISNUMBER($T1492)),"CHECK DATE",IF(TODAY()&gt;$T1492,"OVERDUE","Due "&amp;TEXT($T1492,"mm/dd")))))))</f>
        <v/>
      </c>
      <c r="V1492" s="16" t="n"/>
      <c r="W1492" s="16" t="n"/>
      <c r="X1492" s="17">
        <f>IF($C1492="","",IF(AND($L1492&lt;&gt;"",NOT(ISNUMBER($L1492))),"RAW SCORE NOT A NUMBER",IF(AND(ISNUMBER($L1492),OR($L1492&lt;0,$L1492&gt;100)),"RAW SCORE OUT OF RANGE",IF(AND($Y1492="Unexcused",OR($L1492="",NOT(ISNUMBER($L1492)),$L1492&lt;&gt;0)),"UNEXCUSED ABSENCE MUST RECORD 0",IF(COUNTIF(nrES_RecID,$B1492)&gt;1,"DUPLICATE RECORD",IF(N($K1492)&gt;2,"ATTEMPT 3+ NOT ALLOWED - policy 300.5 permits one retest per exam; this row records nothing",IF(AND($K1492=2,COUNTIFS(nrES_PID,$D1492,nrES_Code,$F1492,nrES_Att,1)=0),"ATTEMPT 2 WITHOUT ATTEMPT 1",IF(AND($K1492=2,$L1492=""),"RETEST ROW HAS NO SCORE",IF(AND($H1492="Final",$L1492&lt;&gt;"",IFERROR(INDEX(nrCKfinalExamElig,MATCH($D1492,rngCadetPIDs,0)),"")="No"),"FINAL EXAM AFTER FAILED FINAL PT (500.1.H)",IF(AND($K1492=2,ISNUMBER($L1492),COUNTIFS(nrES_PID,$D1492,nrES_Code,$F1492,nrES_Att,1)&gt;0,SUMIFS(nrES_Raw,nrES_PID,$D1492,nrES_Code,$F1492,nrES_Att,1)&gt;=$J1492),"RETEST AFTER A PASSING FIRST ATTEMPT","OK"))))))))))</f>
        <v/>
      </c>
      <c r="Y1492" s="16" t="n"/>
    </row>
    <row r="1493">
      <c r="B1493" s="17">
        <f>IF($C1493="","",$D1493&amp;"-"&amp;$F1493&amp;"-"&amp;$K1493)</f>
        <v/>
      </c>
      <c r="C1493" s="16" t="n"/>
      <c r="D1493" s="17">
        <f>IF($C1493="","",IFERROR(INDEX(rngCadetPIDs,MATCH($C1493,rngCadetNames,0)),"?"))</f>
        <v/>
      </c>
      <c r="E1493" s="17">
        <f>IF($D1493="","",IFERROR(INDEX(nrCadetAgency,MATCH($D1493,rngCadetPIDs,0)),""))</f>
        <v/>
      </c>
      <c r="F1493" s="16" t="n"/>
      <c r="G1493" s="17">
        <f>IF($F1493="","",IFERROR(INDEX(rngEPname,MATCH($F1493,rngEPcode,0)),"?"))</f>
        <v/>
      </c>
      <c r="H1493" s="17">
        <f>IF($F1493="","",IFERROR(INDEX(rngEPtype,MATCH($F1493,rngEPcode,0)),"?"))</f>
        <v/>
      </c>
      <c r="I1493" s="17">
        <f>IF($F1493="","",IFERROR(INDEX(rngEPseq,MATCH($F1493,rngEPcode,0)),""))</f>
        <v/>
      </c>
      <c r="J1493" s="17">
        <f>IF($F1493="","",IFERROR(INDEX(rngEPpass,MATCH($F1493,rngEPcode,0)),cfgPassingScore))</f>
        <v/>
      </c>
      <c r="K1493" s="16" t="n"/>
      <c r="L1493" s="16" t="n"/>
      <c r="M1493" s="17">
        <f>IF($C1493="","",IF($L1493="","",IF(NOT(ISNUMBER($L1493)),$L1493,IF(N($K1493)&gt;2,"",IF($K1493=1,IF(COUNTIFS(nrES_PID,$D1493,nrES_Code,$F1493,nrES_Att,2,nrES_Raw,"&gt;=0")&gt;0,"",$L1493),IF($L1493&gt;=$J1493,MAX($J1493,cfgRetakeRecordedCap),IF(COUNTIFS(nrES_PID,$D1493,nrES_Code,$F1493,nrES_Att,1)=0,$L1493,SUMIFS(nrES_Raw,nrES_PID,$D1493,nrES_Code,$F1493,nrES_Att,1))))))))</f>
        <v/>
      </c>
      <c r="N1493" s="17">
        <f>IF($C1493="","",IF($L1493="","",IF(NOT(ISNUMBER($L1493)),"(not a score)",IF($L1493&gt;=$J1493,"Yes","No"))))</f>
        <v/>
      </c>
      <c r="O1493" s="17">
        <f>IF($C1493="","",IF($M1493="","",IF(NOT(ISNUMBER($M1493)),"(not a score)",IF($M1493&gt;=$J1493,"Yes","No"))))</f>
        <v/>
      </c>
      <c r="P1493" s="17">
        <f>IF($C1493="","",IF($K1493="","",IF(N($K1493)&gt;2,"No",IF(COUNTIFS(nrES_PID,$D1493,nrES_Code,$F1493,nrES_Att,"&gt;"&amp;$K1493,nrES_Att,"&lt;=2",nrES_Raw,"&gt;=0")=0,"Yes","No"))))</f>
        <v/>
      </c>
      <c r="Q1493" s="17">
        <f>IF($C1493="","",IF($L1493="","",IF(AND($K1493=1,ISNUMBER($L1493),$L1493&lt;$J1493,COUNTIFS(nrES_PID,$D1493,nrES_Code,$F1493,nrES_Att,2,nrES_Raw,"&gt;=0")=0),"Yes","No")))</f>
        <v/>
      </c>
      <c r="R1493" s="17">
        <f>IF($C1493="","",IF($L1493="","",IF(AND(N($K1493)&gt;=2,ISNUMBER($L1493),$L1493&lt;$J1493),"Yes","No")))</f>
        <v/>
      </c>
      <c r="S1493" s="18" t="n"/>
      <c r="T1493" s="19">
        <f>IF(OR($C1493="",$L1493="",$K1493&lt;&gt;1,NOT(ISNUMBER($L1493)),$L1493&gt;=$J1493),"",IF($S1493="","(enter date)",_xlfn.LET(_xlpm.dn,_xlfn.XLOOKUP($S1493,nrCDdate,nrCDnum,"",1),IF(_xlpm.dn="","(after last class day)",_xlfn.LET(_xlpm.dd,_xlfn.XLOOKUP(_xlpm.dn+cfgRetestClassDays,nrCDnum,nrCDdate,""),_xlpm.ok,_xlfn.XLOOKUP(_xlpm.dn+cfgRetestClassDays,nrCDnum,nrCDinsession,"No"),IF(OR(_xlpm.dd="",_xlpm.ok&lt;&gt;"Yes"),"(after last class day)",_xlpm.dd))))))</f>
        <v/>
      </c>
      <c r="U1493" s="17">
        <f>IF($C1493="","",IF(AND($Y1493="Excused",$L1493="",N($K1493)&lt;=1),"EXCUSED - 1st attempt pending",IF(OR($L1493="",$K1493&lt;&gt;1,NOT(ISNUMBER($L1493)),$L1493&gt;=$J1493),"",IF(COUNTIFS(nrES_PID,$D1493,nrES_Code,$F1493,nrES_Att,2,nrES_Raw,"&gt;=0")&gt;0,IF(IFERROR(_xlfn.MINIFS(nrES_Date,nrES_PID,$D1493,nrES_Code,$F1493,nrES_Att,2,nrES_Raw,"&gt;=0",nrES_Date,"&gt;0"),0)=0,"RETEST UNDATED",IF(NOT(ISNUMBER($T1493)),"RETEST DATE UNCHECKED",IF(_xlfn.MINIFS(nrES_Date,nrES_PID,$D1493,nrES_Code,$F1493,nrES_Att,2,nrES_Raw,"&gt;=0",nrES_Date,"&gt;0")&gt;$T1493,"LATE RETEST "&amp;TEXT(_xlfn.MINIFS(nrES_Date,nrES_PID,$D1493,nrES_Code,$F1493,nrES_Att,2,nrES_Raw,"&gt;=0",nrES_Date,"&gt;0"),"mm/dd")&amp;" (due "&amp;TEXT($T1493,"mm/dd")&amp;")","Retested"))),IF(NOT(ISNUMBER($T1493)),"CHECK DATE",IF(TODAY()&gt;$T1493,"OVERDUE","Due "&amp;TEXT($T1493,"mm/dd")))))))</f>
        <v/>
      </c>
      <c r="V1493" s="16" t="n"/>
      <c r="W1493" s="16" t="n"/>
      <c r="X1493" s="17">
        <f>IF($C1493="","",IF(AND($L1493&lt;&gt;"",NOT(ISNUMBER($L1493))),"RAW SCORE NOT A NUMBER",IF(AND(ISNUMBER($L1493),OR($L1493&lt;0,$L1493&gt;100)),"RAW SCORE OUT OF RANGE",IF(AND($Y1493="Unexcused",OR($L1493="",NOT(ISNUMBER($L1493)),$L1493&lt;&gt;0)),"UNEXCUSED ABSENCE MUST RECORD 0",IF(COUNTIF(nrES_RecID,$B1493)&gt;1,"DUPLICATE RECORD",IF(N($K1493)&gt;2,"ATTEMPT 3+ NOT ALLOWED - policy 300.5 permits one retest per exam; this row records nothing",IF(AND($K1493=2,COUNTIFS(nrES_PID,$D1493,nrES_Code,$F1493,nrES_Att,1)=0),"ATTEMPT 2 WITHOUT ATTEMPT 1",IF(AND($K1493=2,$L1493=""),"RETEST ROW HAS NO SCORE",IF(AND($H1493="Final",$L1493&lt;&gt;"",IFERROR(INDEX(nrCKfinalExamElig,MATCH($D1493,rngCadetPIDs,0)),"")="No"),"FINAL EXAM AFTER FAILED FINAL PT (500.1.H)",IF(AND($K1493=2,ISNUMBER($L1493),COUNTIFS(nrES_PID,$D1493,nrES_Code,$F1493,nrES_Att,1)&gt;0,SUMIFS(nrES_Raw,nrES_PID,$D1493,nrES_Code,$F1493,nrES_Att,1)&gt;=$J1493),"RETEST AFTER A PASSING FIRST ATTEMPT","OK"))))))))))</f>
        <v/>
      </c>
      <c r="Y1493" s="16" t="n"/>
    </row>
    <row r="1494">
      <c r="B1494" s="17">
        <f>IF($C1494="","",$D1494&amp;"-"&amp;$F1494&amp;"-"&amp;$K1494)</f>
        <v/>
      </c>
      <c r="C1494" s="16" t="n"/>
      <c r="D1494" s="17">
        <f>IF($C1494="","",IFERROR(INDEX(rngCadetPIDs,MATCH($C1494,rngCadetNames,0)),"?"))</f>
        <v/>
      </c>
      <c r="E1494" s="17">
        <f>IF($D1494="","",IFERROR(INDEX(nrCadetAgency,MATCH($D1494,rngCadetPIDs,0)),""))</f>
        <v/>
      </c>
      <c r="F1494" s="16" t="n"/>
      <c r="G1494" s="17">
        <f>IF($F1494="","",IFERROR(INDEX(rngEPname,MATCH($F1494,rngEPcode,0)),"?"))</f>
        <v/>
      </c>
      <c r="H1494" s="17">
        <f>IF($F1494="","",IFERROR(INDEX(rngEPtype,MATCH($F1494,rngEPcode,0)),"?"))</f>
        <v/>
      </c>
      <c r="I1494" s="17">
        <f>IF($F1494="","",IFERROR(INDEX(rngEPseq,MATCH($F1494,rngEPcode,0)),""))</f>
        <v/>
      </c>
      <c r="J1494" s="17">
        <f>IF($F1494="","",IFERROR(INDEX(rngEPpass,MATCH($F1494,rngEPcode,0)),cfgPassingScore))</f>
        <v/>
      </c>
      <c r="K1494" s="16" t="n"/>
      <c r="L1494" s="16" t="n"/>
      <c r="M1494" s="17">
        <f>IF($C1494="","",IF($L1494="","",IF(NOT(ISNUMBER($L1494)),$L1494,IF(N($K1494)&gt;2,"",IF($K1494=1,IF(COUNTIFS(nrES_PID,$D1494,nrES_Code,$F1494,nrES_Att,2,nrES_Raw,"&gt;=0")&gt;0,"",$L1494),IF($L1494&gt;=$J1494,MAX($J1494,cfgRetakeRecordedCap),IF(COUNTIFS(nrES_PID,$D1494,nrES_Code,$F1494,nrES_Att,1)=0,$L1494,SUMIFS(nrES_Raw,nrES_PID,$D1494,nrES_Code,$F1494,nrES_Att,1))))))))</f>
        <v/>
      </c>
      <c r="N1494" s="17">
        <f>IF($C1494="","",IF($L1494="","",IF(NOT(ISNUMBER($L1494)),"(not a score)",IF($L1494&gt;=$J1494,"Yes","No"))))</f>
        <v/>
      </c>
      <c r="O1494" s="17">
        <f>IF($C1494="","",IF($M1494="","",IF(NOT(ISNUMBER($M1494)),"(not a score)",IF($M1494&gt;=$J1494,"Yes","No"))))</f>
        <v/>
      </c>
      <c r="P1494" s="17">
        <f>IF($C1494="","",IF($K1494="","",IF(N($K1494)&gt;2,"No",IF(COUNTIFS(nrES_PID,$D1494,nrES_Code,$F1494,nrES_Att,"&gt;"&amp;$K1494,nrES_Att,"&lt;=2",nrES_Raw,"&gt;=0")=0,"Yes","No"))))</f>
        <v/>
      </c>
      <c r="Q1494" s="17">
        <f>IF($C1494="","",IF($L1494="","",IF(AND($K1494=1,ISNUMBER($L1494),$L1494&lt;$J1494,COUNTIFS(nrES_PID,$D1494,nrES_Code,$F1494,nrES_Att,2,nrES_Raw,"&gt;=0")=0),"Yes","No")))</f>
        <v/>
      </c>
      <c r="R1494" s="17">
        <f>IF($C1494="","",IF($L1494="","",IF(AND(N($K1494)&gt;=2,ISNUMBER($L1494),$L1494&lt;$J1494),"Yes","No")))</f>
        <v/>
      </c>
      <c r="S1494" s="18" t="n"/>
      <c r="T1494" s="19">
        <f>IF(OR($C1494="",$L1494="",$K1494&lt;&gt;1,NOT(ISNUMBER($L1494)),$L1494&gt;=$J1494),"",IF($S1494="","(enter date)",_xlfn.LET(_xlpm.dn,_xlfn.XLOOKUP($S1494,nrCDdate,nrCDnum,"",1),IF(_xlpm.dn="","(after last class day)",_xlfn.LET(_xlpm.dd,_xlfn.XLOOKUP(_xlpm.dn+cfgRetestClassDays,nrCDnum,nrCDdate,""),_xlpm.ok,_xlfn.XLOOKUP(_xlpm.dn+cfgRetestClassDays,nrCDnum,nrCDinsession,"No"),IF(OR(_xlpm.dd="",_xlpm.ok&lt;&gt;"Yes"),"(after last class day)",_xlpm.dd))))))</f>
        <v/>
      </c>
      <c r="U1494" s="17">
        <f>IF($C1494="","",IF(AND($Y1494="Excused",$L1494="",N($K1494)&lt;=1),"EXCUSED - 1st attempt pending",IF(OR($L1494="",$K1494&lt;&gt;1,NOT(ISNUMBER($L1494)),$L1494&gt;=$J1494),"",IF(COUNTIFS(nrES_PID,$D1494,nrES_Code,$F1494,nrES_Att,2,nrES_Raw,"&gt;=0")&gt;0,IF(IFERROR(_xlfn.MINIFS(nrES_Date,nrES_PID,$D1494,nrES_Code,$F1494,nrES_Att,2,nrES_Raw,"&gt;=0",nrES_Date,"&gt;0"),0)=0,"RETEST UNDATED",IF(NOT(ISNUMBER($T1494)),"RETEST DATE UNCHECKED",IF(_xlfn.MINIFS(nrES_Date,nrES_PID,$D1494,nrES_Code,$F1494,nrES_Att,2,nrES_Raw,"&gt;=0",nrES_Date,"&gt;0")&gt;$T1494,"LATE RETEST "&amp;TEXT(_xlfn.MINIFS(nrES_Date,nrES_PID,$D1494,nrES_Code,$F1494,nrES_Att,2,nrES_Raw,"&gt;=0",nrES_Date,"&gt;0"),"mm/dd")&amp;" (due "&amp;TEXT($T1494,"mm/dd")&amp;")","Retested"))),IF(NOT(ISNUMBER($T1494)),"CHECK DATE",IF(TODAY()&gt;$T1494,"OVERDUE","Due "&amp;TEXT($T1494,"mm/dd")))))))</f>
        <v/>
      </c>
      <c r="V1494" s="16" t="n"/>
      <c r="W1494" s="16" t="n"/>
      <c r="X1494" s="17">
        <f>IF($C1494="","",IF(AND($L1494&lt;&gt;"",NOT(ISNUMBER($L1494))),"RAW SCORE NOT A NUMBER",IF(AND(ISNUMBER($L1494),OR($L1494&lt;0,$L1494&gt;100)),"RAW SCORE OUT OF RANGE",IF(AND($Y1494="Unexcused",OR($L1494="",NOT(ISNUMBER($L1494)),$L1494&lt;&gt;0)),"UNEXCUSED ABSENCE MUST RECORD 0",IF(COUNTIF(nrES_RecID,$B1494)&gt;1,"DUPLICATE RECORD",IF(N($K1494)&gt;2,"ATTEMPT 3+ NOT ALLOWED - policy 300.5 permits one retest per exam; this row records nothing",IF(AND($K1494=2,COUNTIFS(nrES_PID,$D1494,nrES_Code,$F1494,nrES_Att,1)=0),"ATTEMPT 2 WITHOUT ATTEMPT 1",IF(AND($K1494=2,$L1494=""),"RETEST ROW HAS NO SCORE",IF(AND($H1494="Final",$L1494&lt;&gt;"",IFERROR(INDEX(nrCKfinalExamElig,MATCH($D1494,rngCadetPIDs,0)),"")="No"),"FINAL EXAM AFTER FAILED FINAL PT (500.1.H)",IF(AND($K1494=2,ISNUMBER($L1494),COUNTIFS(nrES_PID,$D1494,nrES_Code,$F1494,nrES_Att,1)&gt;0,SUMIFS(nrES_Raw,nrES_PID,$D1494,nrES_Code,$F1494,nrES_Att,1)&gt;=$J1494),"RETEST AFTER A PASSING FIRST ATTEMPT","OK"))))))))))</f>
        <v/>
      </c>
      <c r="Y1494" s="16" t="n"/>
    </row>
    <row r="1495">
      <c r="B1495" s="17">
        <f>IF($C1495="","",$D1495&amp;"-"&amp;$F1495&amp;"-"&amp;$K1495)</f>
        <v/>
      </c>
      <c r="C1495" s="16" t="n"/>
      <c r="D1495" s="17">
        <f>IF($C1495="","",IFERROR(INDEX(rngCadetPIDs,MATCH($C1495,rngCadetNames,0)),"?"))</f>
        <v/>
      </c>
      <c r="E1495" s="17">
        <f>IF($D1495="","",IFERROR(INDEX(nrCadetAgency,MATCH($D1495,rngCadetPIDs,0)),""))</f>
        <v/>
      </c>
      <c r="F1495" s="16" t="n"/>
      <c r="G1495" s="17">
        <f>IF($F1495="","",IFERROR(INDEX(rngEPname,MATCH($F1495,rngEPcode,0)),"?"))</f>
        <v/>
      </c>
      <c r="H1495" s="17">
        <f>IF($F1495="","",IFERROR(INDEX(rngEPtype,MATCH($F1495,rngEPcode,0)),"?"))</f>
        <v/>
      </c>
      <c r="I1495" s="17">
        <f>IF($F1495="","",IFERROR(INDEX(rngEPseq,MATCH($F1495,rngEPcode,0)),""))</f>
        <v/>
      </c>
      <c r="J1495" s="17">
        <f>IF($F1495="","",IFERROR(INDEX(rngEPpass,MATCH($F1495,rngEPcode,0)),cfgPassingScore))</f>
        <v/>
      </c>
      <c r="K1495" s="16" t="n"/>
      <c r="L1495" s="16" t="n"/>
      <c r="M1495" s="17">
        <f>IF($C1495="","",IF($L1495="","",IF(NOT(ISNUMBER($L1495)),$L1495,IF(N($K1495)&gt;2,"",IF($K1495=1,IF(COUNTIFS(nrES_PID,$D1495,nrES_Code,$F1495,nrES_Att,2,nrES_Raw,"&gt;=0")&gt;0,"",$L1495),IF($L1495&gt;=$J1495,MAX($J1495,cfgRetakeRecordedCap),IF(COUNTIFS(nrES_PID,$D1495,nrES_Code,$F1495,nrES_Att,1)=0,$L1495,SUMIFS(nrES_Raw,nrES_PID,$D1495,nrES_Code,$F1495,nrES_Att,1))))))))</f>
        <v/>
      </c>
      <c r="N1495" s="17">
        <f>IF($C1495="","",IF($L1495="","",IF(NOT(ISNUMBER($L1495)),"(not a score)",IF($L1495&gt;=$J1495,"Yes","No"))))</f>
        <v/>
      </c>
      <c r="O1495" s="17">
        <f>IF($C1495="","",IF($M1495="","",IF(NOT(ISNUMBER($M1495)),"(not a score)",IF($M1495&gt;=$J1495,"Yes","No"))))</f>
        <v/>
      </c>
      <c r="P1495" s="17">
        <f>IF($C1495="","",IF($K1495="","",IF(N($K1495)&gt;2,"No",IF(COUNTIFS(nrES_PID,$D1495,nrES_Code,$F1495,nrES_Att,"&gt;"&amp;$K1495,nrES_Att,"&lt;=2",nrES_Raw,"&gt;=0")=0,"Yes","No"))))</f>
        <v/>
      </c>
      <c r="Q1495" s="17">
        <f>IF($C1495="","",IF($L1495="","",IF(AND($K1495=1,ISNUMBER($L1495),$L1495&lt;$J1495,COUNTIFS(nrES_PID,$D1495,nrES_Code,$F1495,nrES_Att,2,nrES_Raw,"&gt;=0")=0),"Yes","No")))</f>
        <v/>
      </c>
      <c r="R1495" s="17">
        <f>IF($C1495="","",IF($L1495="","",IF(AND(N($K1495)&gt;=2,ISNUMBER($L1495),$L1495&lt;$J1495),"Yes","No")))</f>
        <v/>
      </c>
      <c r="S1495" s="18" t="n"/>
      <c r="T1495" s="19">
        <f>IF(OR($C1495="",$L1495="",$K1495&lt;&gt;1,NOT(ISNUMBER($L1495)),$L1495&gt;=$J1495),"",IF($S1495="","(enter date)",_xlfn.LET(_xlpm.dn,_xlfn.XLOOKUP($S1495,nrCDdate,nrCDnum,"",1),IF(_xlpm.dn="","(after last class day)",_xlfn.LET(_xlpm.dd,_xlfn.XLOOKUP(_xlpm.dn+cfgRetestClassDays,nrCDnum,nrCDdate,""),_xlpm.ok,_xlfn.XLOOKUP(_xlpm.dn+cfgRetestClassDays,nrCDnum,nrCDinsession,"No"),IF(OR(_xlpm.dd="",_xlpm.ok&lt;&gt;"Yes"),"(after last class day)",_xlpm.dd))))))</f>
        <v/>
      </c>
      <c r="U1495" s="17">
        <f>IF($C1495="","",IF(AND($Y1495="Excused",$L1495="",N($K1495)&lt;=1),"EXCUSED - 1st attempt pending",IF(OR($L1495="",$K1495&lt;&gt;1,NOT(ISNUMBER($L1495)),$L1495&gt;=$J1495),"",IF(COUNTIFS(nrES_PID,$D1495,nrES_Code,$F1495,nrES_Att,2,nrES_Raw,"&gt;=0")&gt;0,IF(IFERROR(_xlfn.MINIFS(nrES_Date,nrES_PID,$D1495,nrES_Code,$F1495,nrES_Att,2,nrES_Raw,"&gt;=0",nrES_Date,"&gt;0"),0)=0,"RETEST UNDATED",IF(NOT(ISNUMBER($T1495)),"RETEST DATE UNCHECKED",IF(_xlfn.MINIFS(nrES_Date,nrES_PID,$D1495,nrES_Code,$F1495,nrES_Att,2,nrES_Raw,"&gt;=0",nrES_Date,"&gt;0")&gt;$T1495,"LATE RETEST "&amp;TEXT(_xlfn.MINIFS(nrES_Date,nrES_PID,$D1495,nrES_Code,$F1495,nrES_Att,2,nrES_Raw,"&gt;=0",nrES_Date,"&gt;0"),"mm/dd")&amp;" (due "&amp;TEXT($T1495,"mm/dd")&amp;")","Retested"))),IF(NOT(ISNUMBER($T1495)),"CHECK DATE",IF(TODAY()&gt;$T1495,"OVERDUE","Due "&amp;TEXT($T1495,"mm/dd")))))))</f>
        <v/>
      </c>
      <c r="V1495" s="16" t="n"/>
      <c r="W1495" s="16" t="n"/>
      <c r="X1495" s="17">
        <f>IF($C1495="","",IF(AND($L1495&lt;&gt;"",NOT(ISNUMBER($L1495))),"RAW SCORE NOT A NUMBER",IF(AND(ISNUMBER($L1495),OR($L1495&lt;0,$L1495&gt;100)),"RAW SCORE OUT OF RANGE",IF(AND($Y1495="Unexcused",OR($L1495="",NOT(ISNUMBER($L1495)),$L1495&lt;&gt;0)),"UNEXCUSED ABSENCE MUST RECORD 0",IF(COUNTIF(nrES_RecID,$B1495)&gt;1,"DUPLICATE RECORD",IF(N($K1495)&gt;2,"ATTEMPT 3+ NOT ALLOWED - policy 300.5 permits one retest per exam; this row records nothing",IF(AND($K1495=2,COUNTIFS(nrES_PID,$D1495,nrES_Code,$F1495,nrES_Att,1)=0),"ATTEMPT 2 WITHOUT ATTEMPT 1",IF(AND($K1495=2,$L1495=""),"RETEST ROW HAS NO SCORE",IF(AND($H1495="Final",$L1495&lt;&gt;"",IFERROR(INDEX(nrCKfinalExamElig,MATCH($D1495,rngCadetPIDs,0)),"")="No"),"FINAL EXAM AFTER FAILED FINAL PT (500.1.H)",IF(AND($K1495=2,ISNUMBER($L1495),COUNTIFS(nrES_PID,$D1495,nrES_Code,$F1495,nrES_Att,1)&gt;0,SUMIFS(nrES_Raw,nrES_PID,$D1495,nrES_Code,$F1495,nrES_Att,1)&gt;=$J1495),"RETEST AFTER A PASSING FIRST ATTEMPT","OK"))))))))))</f>
        <v/>
      </c>
      <c r="Y1495" s="16" t="n"/>
    </row>
    <row r="1496">
      <c r="B1496" s="17">
        <f>IF($C1496="","",$D1496&amp;"-"&amp;$F1496&amp;"-"&amp;$K1496)</f>
        <v/>
      </c>
      <c r="C1496" s="16" t="n"/>
      <c r="D1496" s="17">
        <f>IF($C1496="","",IFERROR(INDEX(rngCadetPIDs,MATCH($C1496,rngCadetNames,0)),"?"))</f>
        <v/>
      </c>
      <c r="E1496" s="17">
        <f>IF($D1496="","",IFERROR(INDEX(nrCadetAgency,MATCH($D1496,rngCadetPIDs,0)),""))</f>
        <v/>
      </c>
      <c r="F1496" s="16" t="n"/>
      <c r="G1496" s="17">
        <f>IF($F1496="","",IFERROR(INDEX(rngEPname,MATCH($F1496,rngEPcode,0)),"?"))</f>
        <v/>
      </c>
      <c r="H1496" s="17">
        <f>IF($F1496="","",IFERROR(INDEX(rngEPtype,MATCH($F1496,rngEPcode,0)),"?"))</f>
        <v/>
      </c>
      <c r="I1496" s="17">
        <f>IF($F1496="","",IFERROR(INDEX(rngEPseq,MATCH($F1496,rngEPcode,0)),""))</f>
        <v/>
      </c>
      <c r="J1496" s="17">
        <f>IF($F1496="","",IFERROR(INDEX(rngEPpass,MATCH($F1496,rngEPcode,0)),cfgPassingScore))</f>
        <v/>
      </c>
      <c r="K1496" s="16" t="n"/>
      <c r="L1496" s="16" t="n"/>
      <c r="M1496" s="17">
        <f>IF($C1496="","",IF($L1496="","",IF(NOT(ISNUMBER($L1496)),$L1496,IF(N($K1496)&gt;2,"",IF($K1496=1,IF(COUNTIFS(nrES_PID,$D1496,nrES_Code,$F1496,nrES_Att,2,nrES_Raw,"&gt;=0")&gt;0,"",$L1496),IF($L1496&gt;=$J1496,MAX($J1496,cfgRetakeRecordedCap),IF(COUNTIFS(nrES_PID,$D1496,nrES_Code,$F1496,nrES_Att,1)=0,$L1496,SUMIFS(nrES_Raw,nrES_PID,$D1496,nrES_Code,$F1496,nrES_Att,1))))))))</f>
        <v/>
      </c>
      <c r="N1496" s="17">
        <f>IF($C1496="","",IF($L1496="","",IF(NOT(ISNUMBER($L1496)),"(not a score)",IF($L1496&gt;=$J1496,"Yes","No"))))</f>
        <v/>
      </c>
      <c r="O1496" s="17">
        <f>IF($C1496="","",IF($M1496="","",IF(NOT(ISNUMBER($M1496)),"(not a score)",IF($M1496&gt;=$J1496,"Yes","No"))))</f>
        <v/>
      </c>
      <c r="P1496" s="17">
        <f>IF($C1496="","",IF($K1496="","",IF(N($K1496)&gt;2,"No",IF(COUNTIFS(nrES_PID,$D1496,nrES_Code,$F1496,nrES_Att,"&gt;"&amp;$K1496,nrES_Att,"&lt;=2",nrES_Raw,"&gt;=0")=0,"Yes","No"))))</f>
        <v/>
      </c>
      <c r="Q1496" s="17">
        <f>IF($C1496="","",IF($L1496="","",IF(AND($K1496=1,ISNUMBER($L1496),$L1496&lt;$J1496,COUNTIFS(nrES_PID,$D1496,nrES_Code,$F1496,nrES_Att,2,nrES_Raw,"&gt;=0")=0),"Yes","No")))</f>
        <v/>
      </c>
      <c r="R1496" s="17">
        <f>IF($C1496="","",IF($L1496="","",IF(AND(N($K1496)&gt;=2,ISNUMBER($L1496),$L1496&lt;$J1496),"Yes","No")))</f>
        <v/>
      </c>
      <c r="S1496" s="18" t="n"/>
      <c r="T1496" s="19">
        <f>IF(OR($C1496="",$L1496="",$K1496&lt;&gt;1,NOT(ISNUMBER($L1496)),$L1496&gt;=$J1496),"",IF($S1496="","(enter date)",_xlfn.LET(_xlpm.dn,_xlfn.XLOOKUP($S1496,nrCDdate,nrCDnum,"",1),IF(_xlpm.dn="","(after last class day)",_xlfn.LET(_xlpm.dd,_xlfn.XLOOKUP(_xlpm.dn+cfgRetestClassDays,nrCDnum,nrCDdate,""),_xlpm.ok,_xlfn.XLOOKUP(_xlpm.dn+cfgRetestClassDays,nrCDnum,nrCDinsession,"No"),IF(OR(_xlpm.dd="",_xlpm.ok&lt;&gt;"Yes"),"(after last class day)",_xlpm.dd))))))</f>
        <v/>
      </c>
      <c r="U1496" s="17">
        <f>IF($C1496="","",IF(AND($Y1496="Excused",$L1496="",N($K1496)&lt;=1),"EXCUSED - 1st attempt pending",IF(OR($L1496="",$K1496&lt;&gt;1,NOT(ISNUMBER($L1496)),$L1496&gt;=$J1496),"",IF(COUNTIFS(nrES_PID,$D1496,nrES_Code,$F1496,nrES_Att,2,nrES_Raw,"&gt;=0")&gt;0,IF(IFERROR(_xlfn.MINIFS(nrES_Date,nrES_PID,$D1496,nrES_Code,$F1496,nrES_Att,2,nrES_Raw,"&gt;=0",nrES_Date,"&gt;0"),0)=0,"RETEST UNDATED",IF(NOT(ISNUMBER($T1496)),"RETEST DATE UNCHECKED",IF(_xlfn.MINIFS(nrES_Date,nrES_PID,$D1496,nrES_Code,$F1496,nrES_Att,2,nrES_Raw,"&gt;=0",nrES_Date,"&gt;0")&gt;$T1496,"LATE RETEST "&amp;TEXT(_xlfn.MINIFS(nrES_Date,nrES_PID,$D1496,nrES_Code,$F1496,nrES_Att,2,nrES_Raw,"&gt;=0",nrES_Date,"&gt;0"),"mm/dd")&amp;" (due "&amp;TEXT($T1496,"mm/dd")&amp;")","Retested"))),IF(NOT(ISNUMBER($T1496)),"CHECK DATE",IF(TODAY()&gt;$T1496,"OVERDUE","Due "&amp;TEXT($T1496,"mm/dd")))))))</f>
        <v/>
      </c>
      <c r="V1496" s="16" t="n"/>
      <c r="W1496" s="16" t="n"/>
      <c r="X1496" s="17">
        <f>IF($C1496="","",IF(AND($L1496&lt;&gt;"",NOT(ISNUMBER($L1496))),"RAW SCORE NOT A NUMBER",IF(AND(ISNUMBER($L1496),OR($L1496&lt;0,$L1496&gt;100)),"RAW SCORE OUT OF RANGE",IF(AND($Y1496="Unexcused",OR($L1496="",NOT(ISNUMBER($L1496)),$L1496&lt;&gt;0)),"UNEXCUSED ABSENCE MUST RECORD 0",IF(COUNTIF(nrES_RecID,$B1496)&gt;1,"DUPLICATE RECORD",IF(N($K1496)&gt;2,"ATTEMPT 3+ NOT ALLOWED - policy 300.5 permits one retest per exam; this row records nothing",IF(AND($K1496=2,COUNTIFS(nrES_PID,$D1496,nrES_Code,$F1496,nrES_Att,1)=0),"ATTEMPT 2 WITHOUT ATTEMPT 1",IF(AND($K1496=2,$L1496=""),"RETEST ROW HAS NO SCORE",IF(AND($H1496="Final",$L1496&lt;&gt;"",IFERROR(INDEX(nrCKfinalExamElig,MATCH($D1496,rngCadetPIDs,0)),"")="No"),"FINAL EXAM AFTER FAILED FINAL PT (500.1.H)",IF(AND($K1496=2,ISNUMBER($L1496),COUNTIFS(nrES_PID,$D1496,nrES_Code,$F1496,nrES_Att,1)&gt;0,SUMIFS(nrES_Raw,nrES_PID,$D1496,nrES_Code,$F1496,nrES_Att,1)&gt;=$J1496),"RETEST AFTER A PASSING FIRST ATTEMPT","OK"))))))))))</f>
        <v/>
      </c>
      <c r="Y1496" s="16" t="n"/>
    </row>
    <row r="1497">
      <c r="B1497" s="17">
        <f>IF($C1497="","",$D1497&amp;"-"&amp;$F1497&amp;"-"&amp;$K1497)</f>
        <v/>
      </c>
      <c r="C1497" s="16" t="n"/>
      <c r="D1497" s="17">
        <f>IF($C1497="","",IFERROR(INDEX(rngCadetPIDs,MATCH($C1497,rngCadetNames,0)),"?"))</f>
        <v/>
      </c>
      <c r="E1497" s="17">
        <f>IF($D1497="","",IFERROR(INDEX(nrCadetAgency,MATCH($D1497,rngCadetPIDs,0)),""))</f>
        <v/>
      </c>
      <c r="F1497" s="16" t="n"/>
      <c r="G1497" s="17">
        <f>IF($F1497="","",IFERROR(INDEX(rngEPname,MATCH($F1497,rngEPcode,0)),"?"))</f>
        <v/>
      </c>
      <c r="H1497" s="17">
        <f>IF($F1497="","",IFERROR(INDEX(rngEPtype,MATCH($F1497,rngEPcode,0)),"?"))</f>
        <v/>
      </c>
      <c r="I1497" s="17">
        <f>IF($F1497="","",IFERROR(INDEX(rngEPseq,MATCH($F1497,rngEPcode,0)),""))</f>
        <v/>
      </c>
      <c r="J1497" s="17">
        <f>IF($F1497="","",IFERROR(INDEX(rngEPpass,MATCH($F1497,rngEPcode,0)),cfgPassingScore))</f>
        <v/>
      </c>
      <c r="K1497" s="16" t="n"/>
      <c r="L1497" s="16" t="n"/>
      <c r="M1497" s="17">
        <f>IF($C1497="","",IF($L1497="","",IF(NOT(ISNUMBER($L1497)),$L1497,IF(N($K1497)&gt;2,"",IF($K1497=1,IF(COUNTIFS(nrES_PID,$D1497,nrES_Code,$F1497,nrES_Att,2,nrES_Raw,"&gt;=0")&gt;0,"",$L1497),IF($L1497&gt;=$J1497,MAX($J1497,cfgRetakeRecordedCap),IF(COUNTIFS(nrES_PID,$D1497,nrES_Code,$F1497,nrES_Att,1)=0,$L1497,SUMIFS(nrES_Raw,nrES_PID,$D1497,nrES_Code,$F1497,nrES_Att,1))))))))</f>
        <v/>
      </c>
      <c r="N1497" s="17">
        <f>IF($C1497="","",IF($L1497="","",IF(NOT(ISNUMBER($L1497)),"(not a score)",IF($L1497&gt;=$J1497,"Yes","No"))))</f>
        <v/>
      </c>
      <c r="O1497" s="17">
        <f>IF($C1497="","",IF($M1497="","",IF(NOT(ISNUMBER($M1497)),"(not a score)",IF($M1497&gt;=$J1497,"Yes","No"))))</f>
        <v/>
      </c>
      <c r="P1497" s="17">
        <f>IF($C1497="","",IF($K1497="","",IF(N($K1497)&gt;2,"No",IF(COUNTIFS(nrES_PID,$D1497,nrES_Code,$F1497,nrES_Att,"&gt;"&amp;$K1497,nrES_Att,"&lt;=2",nrES_Raw,"&gt;=0")=0,"Yes","No"))))</f>
        <v/>
      </c>
      <c r="Q1497" s="17">
        <f>IF($C1497="","",IF($L1497="","",IF(AND($K1497=1,ISNUMBER($L1497),$L1497&lt;$J1497,COUNTIFS(nrES_PID,$D1497,nrES_Code,$F1497,nrES_Att,2,nrES_Raw,"&gt;=0")=0),"Yes","No")))</f>
        <v/>
      </c>
      <c r="R1497" s="17">
        <f>IF($C1497="","",IF($L1497="","",IF(AND(N($K1497)&gt;=2,ISNUMBER($L1497),$L1497&lt;$J1497),"Yes","No")))</f>
        <v/>
      </c>
      <c r="S1497" s="18" t="n"/>
      <c r="T1497" s="19">
        <f>IF(OR($C1497="",$L1497="",$K1497&lt;&gt;1,NOT(ISNUMBER($L1497)),$L1497&gt;=$J1497),"",IF($S1497="","(enter date)",_xlfn.LET(_xlpm.dn,_xlfn.XLOOKUP($S1497,nrCDdate,nrCDnum,"",1),IF(_xlpm.dn="","(after last class day)",_xlfn.LET(_xlpm.dd,_xlfn.XLOOKUP(_xlpm.dn+cfgRetestClassDays,nrCDnum,nrCDdate,""),_xlpm.ok,_xlfn.XLOOKUP(_xlpm.dn+cfgRetestClassDays,nrCDnum,nrCDinsession,"No"),IF(OR(_xlpm.dd="",_xlpm.ok&lt;&gt;"Yes"),"(after last class day)",_xlpm.dd))))))</f>
        <v/>
      </c>
      <c r="U1497" s="17">
        <f>IF($C1497="","",IF(AND($Y1497="Excused",$L1497="",N($K1497)&lt;=1),"EXCUSED - 1st attempt pending",IF(OR($L1497="",$K1497&lt;&gt;1,NOT(ISNUMBER($L1497)),$L1497&gt;=$J1497),"",IF(COUNTIFS(nrES_PID,$D1497,nrES_Code,$F1497,nrES_Att,2,nrES_Raw,"&gt;=0")&gt;0,IF(IFERROR(_xlfn.MINIFS(nrES_Date,nrES_PID,$D1497,nrES_Code,$F1497,nrES_Att,2,nrES_Raw,"&gt;=0",nrES_Date,"&gt;0"),0)=0,"RETEST UNDATED",IF(NOT(ISNUMBER($T1497)),"RETEST DATE UNCHECKED",IF(_xlfn.MINIFS(nrES_Date,nrES_PID,$D1497,nrES_Code,$F1497,nrES_Att,2,nrES_Raw,"&gt;=0",nrES_Date,"&gt;0")&gt;$T1497,"LATE RETEST "&amp;TEXT(_xlfn.MINIFS(nrES_Date,nrES_PID,$D1497,nrES_Code,$F1497,nrES_Att,2,nrES_Raw,"&gt;=0",nrES_Date,"&gt;0"),"mm/dd")&amp;" (due "&amp;TEXT($T1497,"mm/dd")&amp;")","Retested"))),IF(NOT(ISNUMBER($T1497)),"CHECK DATE",IF(TODAY()&gt;$T1497,"OVERDUE","Due "&amp;TEXT($T1497,"mm/dd")))))))</f>
        <v/>
      </c>
      <c r="V1497" s="16" t="n"/>
      <c r="W1497" s="16" t="n"/>
      <c r="X1497" s="17">
        <f>IF($C1497="","",IF(AND($L1497&lt;&gt;"",NOT(ISNUMBER($L1497))),"RAW SCORE NOT A NUMBER",IF(AND(ISNUMBER($L1497),OR($L1497&lt;0,$L1497&gt;100)),"RAW SCORE OUT OF RANGE",IF(AND($Y1497="Unexcused",OR($L1497="",NOT(ISNUMBER($L1497)),$L1497&lt;&gt;0)),"UNEXCUSED ABSENCE MUST RECORD 0",IF(COUNTIF(nrES_RecID,$B1497)&gt;1,"DUPLICATE RECORD",IF(N($K1497)&gt;2,"ATTEMPT 3+ NOT ALLOWED - policy 300.5 permits one retest per exam; this row records nothing",IF(AND($K1497=2,COUNTIFS(nrES_PID,$D1497,nrES_Code,$F1497,nrES_Att,1)=0),"ATTEMPT 2 WITHOUT ATTEMPT 1",IF(AND($K1497=2,$L1497=""),"RETEST ROW HAS NO SCORE",IF(AND($H1497="Final",$L1497&lt;&gt;"",IFERROR(INDEX(nrCKfinalExamElig,MATCH($D1497,rngCadetPIDs,0)),"")="No"),"FINAL EXAM AFTER FAILED FINAL PT (500.1.H)",IF(AND($K1497=2,ISNUMBER($L1497),COUNTIFS(nrES_PID,$D1497,nrES_Code,$F1497,nrES_Att,1)&gt;0,SUMIFS(nrES_Raw,nrES_PID,$D1497,nrES_Code,$F1497,nrES_Att,1)&gt;=$J1497),"RETEST AFTER A PASSING FIRST ATTEMPT","OK"))))))))))</f>
        <v/>
      </c>
      <c r="Y1497" s="16" t="n"/>
    </row>
    <row r="1498">
      <c r="B1498" s="17">
        <f>IF($C1498="","",$D1498&amp;"-"&amp;$F1498&amp;"-"&amp;$K1498)</f>
        <v/>
      </c>
      <c r="C1498" s="16" t="n"/>
      <c r="D1498" s="17">
        <f>IF($C1498="","",IFERROR(INDEX(rngCadetPIDs,MATCH($C1498,rngCadetNames,0)),"?"))</f>
        <v/>
      </c>
      <c r="E1498" s="17">
        <f>IF($D1498="","",IFERROR(INDEX(nrCadetAgency,MATCH($D1498,rngCadetPIDs,0)),""))</f>
        <v/>
      </c>
      <c r="F1498" s="16" t="n"/>
      <c r="G1498" s="17">
        <f>IF($F1498="","",IFERROR(INDEX(rngEPname,MATCH($F1498,rngEPcode,0)),"?"))</f>
        <v/>
      </c>
      <c r="H1498" s="17">
        <f>IF($F1498="","",IFERROR(INDEX(rngEPtype,MATCH($F1498,rngEPcode,0)),"?"))</f>
        <v/>
      </c>
      <c r="I1498" s="17">
        <f>IF($F1498="","",IFERROR(INDEX(rngEPseq,MATCH($F1498,rngEPcode,0)),""))</f>
        <v/>
      </c>
      <c r="J1498" s="17">
        <f>IF($F1498="","",IFERROR(INDEX(rngEPpass,MATCH($F1498,rngEPcode,0)),cfgPassingScore))</f>
        <v/>
      </c>
      <c r="K1498" s="16" t="n"/>
      <c r="L1498" s="16" t="n"/>
      <c r="M1498" s="17">
        <f>IF($C1498="","",IF($L1498="","",IF(NOT(ISNUMBER($L1498)),$L1498,IF(N($K1498)&gt;2,"",IF($K1498=1,IF(COUNTIFS(nrES_PID,$D1498,nrES_Code,$F1498,nrES_Att,2,nrES_Raw,"&gt;=0")&gt;0,"",$L1498),IF($L1498&gt;=$J1498,MAX($J1498,cfgRetakeRecordedCap),IF(COUNTIFS(nrES_PID,$D1498,nrES_Code,$F1498,nrES_Att,1)=0,$L1498,SUMIFS(nrES_Raw,nrES_PID,$D1498,nrES_Code,$F1498,nrES_Att,1))))))))</f>
        <v/>
      </c>
      <c r="N1498" s="17">
        <f>IF($C1498="","",IF($L1498="","",IF(NOT(ISNUMBER($L1498)),"(not a score)",IF($L1498&gt;=$J1498,"Yes","No"))))</f>
        <v/>
      </c>
      <c r="O1498" s="17">
        <f>IF($C1498="","",IF($M1498="","",IF(NOT(ISNUMBER($M1498)),"(not a score)",IF($M1498&gt;=$J1498,"Yes","No"))))</f>
        <v/>
      </c>
      <c r="P1498" s="17">
        <f>IF($C1498="","",IF($K1498="","",IF(N($K1498)&gt;2,"No",IF(COUNTIFS(nrES_PID,$D1498,nrES_Code,$F1498,nrES_Att,"&gt;"&amp;$K1498,nrES_Att,"&lt;=2",nrES_Raw,"&gt;=0")=0,"Yes","No"))))</f>
        <v/>
      </c>
      <c r="Q1498" s="17">
        <f>IF($C1498="","",IF($L1498="","",IF(AND($K1498=1,ISNUMBER($L1498),$L1498&lt;$J1498,COUNTIFS(nrES_PID,$D1498,nrES_Code,$F1498,nrES_Att,2,nrES_Raw,"&gt;=0")=0),"Yes","No")))</f>
        <v/>
      </c>
      <c r="R1498" s="17">
        <f>IF($C1498="","",IF($L1498="","",IF(AND(N($K1498)&gt;=2,ISNUMBER($L1498),$L1498&lt;$J1498),"Yes","No")))</f>
        <v/>
      </c>
      <c r="S1498" s="18" t="n"/>
      <c r="T1498" s="19">
        <f>IF(OR($C1498="",$L1498="",$K1498&lt;&gt;1,NOT(ISNUMBER($L1498)),$L1498&gt;=$J1498),"",IF($S1498="","(enter date)",_xlfn.LET(_xlpm.dn,_xlfn.XLOOKUP($S1498,nrCDdate,nrCDnum,"",1),IF(_xlpm.dn="","(after last class day)",_xlfn.LET(_xlpm.dd,_xlfn.XLOOKUP(_xlpm.dn+cfgRetestClassDays,nrCDnum,nrCDdate,""),_xlpm.ok,_xlfn.XLOOKUP(_xlpm.dn+cfgRetestClassDays,nrCDnum,nrCDinsession,"No"),IF(OR(_xlpm.dd="",_xlpm.ok&lt;&gt;"Yes"),"(after last class day)",_xlpm.dd))))))</f>
        <v/>
      </c>
      <c r="U1498" s="17">
        <f>IF($C1498="","",IF(AND($Y1498="Excused",$L1498="",N($K1498)&lt;=1),"EXCUSED - 1st attempt pending",IF(OR($L1498="",$K1498&lt;&gt;1,NOT(ISNUMBER($L1498)),$L1498&gt;=$J1498),"",IF(COUNTIFS(nrES_PID,$D1498,nrES_Code,$F1498,nrES_Att,2,nrES_Raw,"&gt;=0")&gt;0,IF(IFERROR(_xlfn.MINIFS(nrES_Date,nrES_PID,$D1498,nrES_Code,$F1498,nrES_Att,2,nrES_Raw,"&gt;=0",nrES_Date,"&gt;0"),0)=0,"RETEST UNDATED",IF(NOT(ISNUMBER($T1498)),"RETEST DATE UNCHECKED",IF(_xlfn.MINIFS(nrES_Date,nrES_PID,$D1498,nrES_Code,$F1498,nrES_Att,2,nrES_Raw,"&gt;=0",nrES_Date,"&gt;0")&gt;$T1498,"LATE RETEST "&amp;TEXT(_xlfn.MINIFS(nrES_Date,nrES_PID,$D1498,nrES_Code,$F1498,nrES_Att,2,nrES_Raw,"&gt;=0",nrES_Date,"&gt;0"),"mm/dd")&amp;" (due "&amp;TEXT($T1498,"mm/dd")&amp;")","Retested"))),IF(NOT(ISNUMBER($T1498)),"CHECK DATE",IF(TODAY()&gt;$T1498,"OVERDUE","Due "&amp;TEXT($T1498,"mm/dd")))))))</f>
        <v/>
      </c>
      <c r="V1498" s="16" t="n"/>
      <c r="W1498" s="16" t="n"/>
      <c r="X1498" s="17">
        <f>IF($C1498="","",IF(AND($L1498&lt;&gt;"",NOT(ISNUMBER($L1498))),"RAW SCORE NOT A NUMBER",IF(AND(ISNUMBER($L1498),OR($L1498&lt;0,$L1498&gt;100)),"RAW SCORE OUT OF RANGE",IF(AND($Y1498="Unexcused",OR($L1498="",NOT(ISNUMBER($L1498)),$L1498&lt;&gt;0)),"UNEXCUSED ABSENCE MUST RECORD 0",IF(COUNTIF(nrES_RecID,$B1498)&gt;1,"DUPLICATE RECORD",IF(N($K1498)&gt;2,"ATTEMPT 3+ NOT ALLOWED - policy 300.5 permits one retest per exam; this row records nothing",IF(AND($K1498=2,COUNTIFS(nrES_PID,$D1498,nrES_Code,$F1498,nrES_Att,1)=0),"ATTEMPT 2 WITHOUT ATTEMPT 1",IF(AND($K1498=2,$L1498=""),"RETEST ROW HAS NO SCORE",IF(AND($H1498="Final",$L1498&lt;&gt;"",IFERROR(INDEX(nrCKfinalExamElig,MATCH($D1498,rngCadetPIDs,0)),"")="No"),"FINAL EXAM AFTER FAILED FINAL PT (500.1.H)",IF(AND($K1498=2,ISNUMBER($L1498),COUNTIFS(nrES_PID,$D1498,nrES_Code,$F1498,nrES_Att,1)&gt;0,SUMIFS(nrES_Raw,nrES_PID,$D1498,nrES_Code,$F1498,nrES_Att,1)&gt;=$J1498),"RETEST AFTER A PASSING FIRST ATTEMPT","OK"))))))))))</f>
        <v/>
      </c>
      <c r="Y1498" s="16" t="n"/>
    </row>
    <row r="1499">
      <c r="B1499" s="17">
        <f>IF($C1499="","",$D1499&amp;"-"&amp;$F1499&amp;"-"&amp;$K1499)</f>
        <v/>
      </c>
      <c r="C1499" s="16" t="n"/>
      <c r="D1499" s="17">
        <f>IF($C1499="","",IFERROR(INDEX(rngCadetPIDs,MATCH($C1499,rngCadetNames,0)),"?"))</f>
        <v/>
      </c>
      <c r="E1499" s="17">
        <f>IF($D1499="","",IFERROR(INDEX(nrCadetAgency,MATCH($D1499,rngCadetPIDs,0)),""))</f>
        <v/>
      </c>
      <c r="F1499" s="16" t="n"/>
      <c r="G1499" s="17">
        <f>IF($F1499="","",IFERROR(INDEX(rngEPname,MATCH($F1499,rngEPcode,0)),"?"))</f>
        <v/>
      </c>
      <c r="H1499" s="17">
        <f>IF($F1499="","",IFERROR(INDEX(rngEPtype,MATCH($F1499,rngEPcode,0)),"?"))</f>
        <v/>
      </c>
      <c r="I1499" s="17">
        <f>IF($F1499="","",IFERROR(INDEX(rngEPseq,MATCH($F1499,rngEPcode,0)),""))</f>
        <v/>
      </c>
      <c r="J1499" s="17">
        <f>IF($F1499="","",IFERROR(INDEX(rngEPpass,MATCH($F1499,rngEPcode,0)),cfgPassingScore))</f>
        <v/>
      </c>
      <c r="K1499" s="16" t="n"/>
      <c r="L1499" s="16" t="n"/>
      <c r="M1499" s="17">
        <f>IF($C1499="","",IF($L1499="","",IF(NOT(ISNUMBER($L1499)),$L1499,IF(N($K1499)&gt;2,"",IF($K1499=1,IF(COUNTIFS(nrES_PID,$D1499,nrES_Code,$F1499,nrES_Att,2,nrES_Raw,"&gt;=0")&gt;0,"",$L1499),IF($L1499&gt;=$J1499,MAX($J1499,cfgRetakeRecordedCap),IF(COUNTIFS(nrES_PID,$D1499,nrES_Code,$F1499,nrES_Att,1)=0,$L1499,SUMIFS(nrES_Raw,nrES_PID,$D1499,nrES_Code,$F1499,nrES_Att,1))))))))</f>
        <v/>
      </c>
      <c r="N1499" s="17">
        <f>IF($C1499="","",IF($L1499="","",IF(NOT(ISNUMBER($L1499)),"(not a score)",IF($L1499&gt;=$J1499,"Yes","No"))))</f>
        <v/>
      </c>
      <c r="O1499" s="17">
        <f>IF($C1499="","",IF($M1499="","",IF(NOT(ISNUMBER($M1499)),"(not a score)",IF($M1499&gt;=$J1499,"Yes","No"))))</f>
        <v/>
      </c>
      <c r="P1499" s="17">
        <f>IF($C1499="","",IF($K1499="","",IF(N($K1499)&gt;2,"No",IF(COUNTIFS(nrES_PID,$D1499,nrES_Code,$F1499,nrES_Att,"&gt;"&amp;$K1499,nrES_Att,"&lt;=2",nrES_Raw,"&gt;=0")=0,"Yes","No"))))</f>
        <v/>
      </c>
      <c r="Q1499" s="17">
        <f>IF($C1499="","",IF($L1499="","",IF(AND($K1499=1,ISNUMBER($L1499),$L1499&lt;$J1499,COUNTIFS(nrES_PID,$D1499,nrES_Code,$F1499,nrES_Att,2,nrES_Raw,"&gt;=0")=0),"Yes","No")))</f>
        <v/>
      </c>
      <c r="R1499" s="17">
        <f>IF($C1499="","",IF($L1499="","",IF(AND(N($K1499)&gt;=2,ISNUMBER($L1499),$L1499&lt;$J1499),"Yes","No")))</f>
        <v/>
      </c>
      <c r="S1499" s="18" t="n"/>
      <c r="T1499" s="19">
        <f>IF(OR($C1499="",$L1499="",$K1499&lt;&gt;1,NOT(ISNUMBER($L1499)),$L1499&gt;=$J1499),"",IF($S1499="","(enter date)",_xlfn.LET(_xlpm.dn,_xlfn.XLOOKUP($S1499,nrCDdate,nrCDnum,"",1),IF(_xlpm.dn="","(after last class day)",_xlfn.LET(_xlpm.dd,_xlfn.XLOOKUP(_xlpm.dn+cfgRetestClassDays,nrCDnum,nrCDdate,""),_xlpm.ok,_xlfn.XLOOKUP(_xlpm.dn+cfgRetestClassDays,nrCDnum,nrCDinsession,"No"),IF(OR(_xlpm.dd="",_xlpm.ok&lt;&gt;"Yes"),"(after last class day)",_xlpm.dd))))))</f>
        <v/>
      </c>
      <c r="U1499" s="17">
        <f>IF($C1499="","",IF(AND($Y1499="Excused",$L1499="",N($K1499)&lt;=1),"EXCUSED - 1st attempt pending",IF(OR($L1499="",$K1499&lt;&gt;1,NOT(ISNUMBER($L1499)),$L1499&gt;=$J1499),"",IF(COUNTIFS(nrES_PID,$D1499,nrES_Code,$F1499,nrES_Att,2,nrES_Raw,"&gt;=0")&gt;0,IF(IFERROR(_xlfn.MINIFS(nrES_Date,nrES_PID,$D1499,nrES_Code,$F1499,nrES_Att,2,nrES_Raw,"&gt;=0",nrES_Date,"&gt;0"),0)=0,"RETEST UNDATED",IF(NOT(ISNUMBER($T1499)),"RETEST DATE UNCHECKED",IF(_xlfn.MINIFS(nrES_Date,nrES_PID,$D1499,nrES_Code,$F1499,nrES_Att,2,nrES_Raw,"&gt;=0",nrES_Date,"&gt;0")&gt;$T1499,"LATE RETEST "&amp;TEXT(_xlfn.MINIFS(nrES_Date,nrES_PID,$D1499,nrES_Code,$F1499,nrES_Att,2,nrES_Raw,"&gt;=0",nrES_Date,"&gt;0"),"mm/dd")&amp;" (due "&amp;TEXT($T1499,"mm/dd")&amp;")","Retested"))),IF(NOT(ISNUMBER($T1499)),"CHECK DATE",IF(TODAY()&gt;$T1499,"OVERDUE","Due "&amp;TEXT($T1499,"mm/dd")))))))</f>
        <v/>
      </c>
      <c r="V1499" s="16" t="n"/>
      <c r="W1499" s="16" t="n"/>
      <c r="X1499" s="17">
        <f>IF($C1499="","",IF(AND($L1499&lt;&gt;"",NOT(ISNUMBER($L1499))),"RAW SCORE NOT A NUMBER",IF(AND(ISNUMBER($L1499),OR($L1499&lt;0,$L1499&gt;100)),"RAW SCORE OUT OF RANGE",IF(AND($Y1499="Unexcused",OR($L1499="",NOT(ISNUMBER($L1499)),$L1499&lt;&gt;0)),"UNEXCUSED ABSENCE MUST RECORD 0",IF(COUNTIF(nrES_RecID,$B1499)&gt;1,"DUPLICATE RECORD",IF(N($K1499)&gt;2,"ATTEMPT 3+ NOT ALLOWED - policy 300.5 permits one retest per exam; this row records nothing",IF(AND($K1499=2,COUNTIFS(nrES_PID,$D1499,nrES_Code,$F1499,nrES_Att,1)=0),"ATTEMPT 2 WITHOUT ATTEMPT 1",IF(AND($K1499=2,$L1499=""),"RETEST ROW HAS NO SCORE",IF(AND($H1499="Final",$L1499&lt;&gt;"",IFERROR(INDEX(nrCKfinalExamElig,MATCH($D1499,rngCadetPIDs,0)),"")="No"),"FINAL EXAM AFTER FAILED FINAL PT (500.1.H)",IF(AND($K1499=2,ISNUMBER($L1499),COUNTIFS(nrES_PID,$D1499,nrES_Code,$F1499,nrES_Att,1)&gt;0,SUMIFS(nrES_Raw,nrES_PID,$D1499,nrES_Code,$F1499,nrES_Att,1)&gt;=$J1499),"RETEST AFTER A PASSING FIRST ATTEMPT","OK"))))))))))</f>
        <v/>
      </c>
      <c r="Y1499" s="16" t="n"/>
    </row>
    <row r="1500">
      <c r="B1500" s="17">
        <f>IF($C1500="","",$D1500&amp;"-"&amp;$F1500&amp;"-"&amp;$K1500)</f>
        <v/>
      </c>
      <c r="C1500" s="16" t="n"/>
      <c r="D1500" s="17">
        <f>IF($C1500="","",IFERROR(INDEX(rngCadetPIDs,MATCH($C1500,rngCadetNames,0)),"?"))</f>
        <v/>
      </c>
      <c r="E1500" s="17">
        <f>IF($D1500="","",IFERROR(INDEX(nrCadetAgency,MATCH($D1500,rngCadetPIDs,0)),""))</f>
        <v/>
      </c>
      <c r="F1500" s="16" t="n"/>
      <c r="G1500" s="17">
        <f>IF($F1500="","",IFERROR(INDEX(rngEPname,MATCH($F1500,rngEPcode,0)),"?"))</f>
        <v/>
      </c>
      <c r="H1500" s="17">
        <f>IF($F1500="","",IFERROR(INDEX(rngEPtype,MATCH($F1500,rngEPcode,0)),"?"))</f>
        <v/>
      </c>
      <c r="I1500" s="17">
        <f>IF($F1500="","",IFERROR(INDEX(rngEPseq,MATCH($F1500,rngEPcode,0)),""))</f>
        <v/>
      </c>
      <c r="J1500" s="17">
        <f>IF($F1500="","",IFERROR(INDEX(rngEPpass,MATCH($F1500,rngEPcode,0)),cfgPassingScore))</f>
        <v/>
      </c>
      <c r="K1500" s="16" t="n"/>
      <c r="L1500" s="16" t="n"/>
      <c r="M1500" s="17">
        <f>IF($C1500="","",IF($L1500="","",IF(NOT(ISNUMBER($L1500)),$L1500,IF(N($K1500)&gt;2,"",IF($K1500=1,IF(COUNTIFS(nrES_PID,$D1500,nrES_Code,$F1500,nrES_Att,2,nrES_Raw,"&gt;=0")&gt;0,"",$L1500),IF($L1500&gt;=$J1500,MAX($J1500,cfgRetakeRecordedCap),IF(COUNTIFS(nrES_PID,$D1500,nrES_Code,$F1500,nrES_Att,1)=0,$L1500,SUMIFS(nrES_Raw,nrES_PID,$D1500,nrES_Code,$F1500,nrES_Att,1))))))))</f>
        <v/>
      </c>
      <c r="N1500" s="17">
        <f>IF($C1500="","",IF($L1500="","",IF(NOT(ISNUMBER($L1500)),"(not a score)",IF($L1500&gt;=$J1500,"Yes","No"))))</f>
        <v/>
      </c>
      <c r="O1500" s="17">
        <f>IF($C1500="","",IF($M1500="","",IF(NOT(ISNUMBER($M1500)),"(not a score)",IF($M1500&gt;=$J1500,"Yes","No"))))</f>
        <v/>
      </c>
      <c r="P1500" s="17">
        <f>IF($C1500="","",IF($K1500="","",IF(N($K1500)&gt;2,"No",IF(COUNTIFS(nrES_PID,$D1500,nrES_Code,$F1500,nrES_Att,"&gt;"&amp;$K1500,nrES_Att,"&lt;=2",nrES_Raw,"&gt;=0")=0,"Yes","No"))))</f>
        <v/>
      </c>
      <c r="Q1500" s="17">
        <f>IF($C1500="","",IF($L1500="","",IF(AND($K1500=1,ISNUMBER($L1500),$L1500&lt;$J1500,COUNTIFS(nrES_PID,$D1500,nrES_Code,$F1500,nrES_Att,2,nrES_Raw,"&gt;=0")=0),"Yes","No")))</f>
        <v/>
      </c>
      <c r="R1500" s="17">
        <f>IF($C1500="","",IF($L1500="","",IF(AND(N($K1500)&gt;=2,ISNUMBER($L1500),$L1500&lt;$J1500),"Yes","No")))</f>
        <v/>
      </c>
      <c r="S1500" s="18" t="n"/>
      <c r="T1500" s="19">
        <f>IF(OR($C1500="",$L1500="",$K1500&lt;&gt;1,NOT(ISNUMBER($L1500)),$L1500&gt;=$J1500),"",IF($S1500="","(enter date)",_xlfn.LET(_xlpm.dn,_xlfn.XLOOKUP($S1500,nrCDdate,nrCDnum,"",1),IF(_xlpm.dn="","(after last class day)",_xlfn.LET(_xlpm.dd,_xlfn.XLOOKUP(_xlpm.dn+cfgRetestClassDays,nrCDnum,nrCDdate,""),_xlpm.ok,_xlfn.XLOOKUP(_xlpm.dn+cfgRetestClassDays,nrCDnum,nrCDinsession,"No"),IF(OR(_xlpm.dd="",_xlpm.ok&lt;&gt;"Yes"),"(after last class day)",_xlpm.dd))))))</f>
        <v/>
      </c>
      <c r="U1500" s="17">
        <f>IF($C1500="","",IF(AND($Y1500="Excused",$L1500="",N($K1500)&lt;=1),"EXCUSED - 1st attempt pending",IF(OR($L1500="",$K1500&lt;&gt;1,NOT(ISNUMBER($L1500)),$L1500&gt;=$J1500),"",IF(COUNTIFS(nrES_PID,$D1500,nrES_Code,$F1500,nrES_Att,2,nrES_Raw,"&gt;=0")&gt;0,IF(IFERROR(_xlfn.MINIFS(nrES_Date,nrES_PID,$D1500,nrES_Code,$F1500,nrES_Att,2,nrES_Raw,"&gt;=0",nrES_Date,"&gt;0"),0)=0,"RETEST UNDATED",IF(NOT(ISNUMBER($T1500)),"RETEST DATE UNCHECKED",IF(_xlfn.MINIFS(nrES_Date,nrES_PID,$D1500,nrES_Code,$F1500,nrES_Att,2,nrES_Raw,"&gt;=0",nrES_Date,"&gt;0")&gt;$T1500,"LATE RETEST "&amp;TEXT(_xlfn.MINIFS(nrES_Date,nrES_PID,$D1500,nrES_Code,$F1500,nrES_Att,2,nrES_Raw,"&gt;=0",nrES_Date,"&gt;0"),"mm/dd")&amp;" (due "&amp;TEXT($T1500,"mm/dd")&amp;")","Retested"))),IF(NOT(ISNUMBER($T1500)),"CHECK DATE",IF(TODAY()&gt;$T1500,"OVERDUE","Due "&amp;TEXT($T1500,"mm/dd")))))))</f>
        <v/>
      </c>
      <c r="V1500" s="16" t="n"/>
      <c r="W1500" s="16" t="n"/>
      <c r="X1500" s="17">
        <f>IF($C1500="","",IF(AND($L1500&lt;&gt;"",NOT(ISNUMBER($L1500))),"RAW SCORE NOT A NUMBER",IF(AND(ISNUMBER($L1500),OR($L1500&lt;0,$L1500&gt;100)),"RAW SCORE OUT OF RANGE",IF(AND($Y1500="Unexcused",OR($L1500="",NOT(ISNUMBER($L1500)),$L1500&lt;&gt;0)),"UNEXCUSED ABSENCE MUST RECORD 0",IF(COUNTIF(nrES_RecID,$B1500)&gt;1,"DUPLICATE RECORD",IF(N($K1500)&gt;2,"ATTEMPT 3+ NOT ALLOWED - policy 300.5 permits one retest per exam; this row records nothing",IF(AND($K1500=2,COUNTIFS(nrES_PID,$D1500,nrES_Code,$F1500,nrES_Att,1)=0),"ATTEMPT 2 WITHOUT ATTEMPT 1",IF(AND($K1500=2,$L1500=""),"RETEST ROW HAS NO SCORE",IF(AND($H1500="Final",$L1500&lt;&gt;"",IFERROR(INDEX(nrCKfinalExamElig,MATCH($D1500,rngCadetPIDs,0)),"")="No"),"FINAL EXAM AFTER FAILED FINAL PT (500.1.H)",IF(AND($K1500=2,ISNUMBER($L1500),COUNTIFS(nrES_PID,$D1500,nrES_Code,$F1500,nrES_Att,1)&gt;0,SUMIFS(nrES_Raw,nrES_PID,$D1500,nrES_Code,$F1500,nrES_Att,1)&gt;=$J1500),"RETEST AFTER A PASSING FIRST ATTEMPT","OK"))))))))))</f>
        <v/>
      </c>
      <c r="Y1500" s="16" t="n"/>
    </row>
    <row r="1501">
      <c r="B1501" s="17">
        <f>IF($C1501="","",$D1501&amp;"-"&amp;$F1501&amp;"-"&amp;$K1501)</f>
        <v/>
      </c>
      <c r="C1501" s="16" t="n"/>
      <c r="D1501" s="17">
        <f>IF($C1501="","",IFERROR(INDEX(rngCadetPIDs,MATCH($C1501,rngCadetNames,0)),"?"))</f>
        <v/>
      </c>
      <c r="E1501" s="17">
        <f>IF($D1501="","",IFERROR(INDEX(nrCadetAgency,MATCH($D1501,rngCadetPIDs,0)),""))</f>
        <v/>
      </c>
      <c r="F1501" s="16" t="n"/>
      <c r="G1501" s="17">
        <f>IF($F1501="","",IFERROR(INDEX(rngEPname,MATCH($F1501,rngEPcode,0)),"?"))</f>
        <v/>
      </c>
      <c r="H1501" s="17">
        <f>IF($F1501="","",IFERROR(INDEX(rngEPtype,MATCH($F1501,rngEPcode,0)),"?"))</f>
        <v/>
      </c>
      <c r="I1501" s="17">
        <f>IF($F1501="","",IFERROR(INDEX(rngEPseq,MATCH($F1501,rngEPcode,0)),""))</f>
        <v/>
      </c>
      <c r="J1501" s="17">
        <f>IF($F1501="","",IFERROR(INDEX(rngEPpass,MATCH($F1501,rngEPcode,0)),cfgPassingScore))</f>
        <v/>
      </c>
      <c r="K1501" s="16" t="n"/>
      <c r="L1501" s="16" t="n"/>
      <c r="M1501" s="17">
        <f>IF($C1501="","",IF($L1501="","",IF(NOT(ISNUMBER($L1501)),$L1501,IF(N($K1501)&gt;2,"",IF($K1501=1,IF(COUNTIFS(nrES_PID,$D1501,nrES_Code,$F1501,nrES_Att,2,nrES_Raw,"&gt;=0")&gt;0,"",$L1501),IF($L1501&gt;=$J1501,MAX($J1501,cfgRetakeRecordedCap),IF(COUNTIFS(nrES_PID,$D1501,nrES_Code,$F1501,nrES_Att,1)=0,$L1501,SUMIFS(nrES_Raw,nrES_PID,$D1501,nrES_Code,$F1501,nrES_Att,1))))))))</f>
        <v/>
      </c>
      <c r="N1501" s="17">
        <f>IF($C1501="","",IF($L1501="","",IF(NOT(ISNUMBER($L1501)),"(not a score)",IF($L1501&gt;=$J1501,"Yes","No"))))</f>
        <v/>
      </c>
      <c r="O1501" s="17">
        <f>IF($C1501="","",IF($M1501="","",IF(NOT(ISNUMBER($M1501)),"(not a score)",IF($M1501&gt;=$J1501,"Yes","No"))))</f>
        <v/>
      </c>
      <c r="P1501" s="17">
        <f>IF($C1501="","",IF($K1501="","",IF(N($K1501)&gt;2,"No",IF(COUNTIFS(nrES_PID,$D1501,nrES_Code,$F1501,nrES_Att,"&gt;"&amp;$K1501,nrES_Att,"&lt;=2",nrES_Raw,"&gt;=0")=0,"Yes","No"))))</f>
        <v/>
      </c>
      <c r="Q1501" s="17">
        <f>IF($C1501="","",IF($L1501="","",IF(AND($K1501=1,ISNUMBER($L1501),$L1501&lt;$J1501,COUNTIFS(nrES_PID,$D1501,nrES_Code,$F1501,nrES_Att,2,nrES_Raw,"&gt;=0")=0),"Yes","No")))</f>
        <v/>
      </c>
      <c r="R1501" s="17">
        <f>IF($C1501="","",IF($L1501="","",IF(AND(N($K1501)&gt;=2,ISNUMBER($L1501),$L1501&lt;$J1501),"Yes","No")))</f>
        <v/>
      </c>
      <c r="S1501" s="18" t="n"/>
      <c r="T1501" s="19">
        <f>IF(OR($C1501="",$L1501="",$K1501&lt;&gt;1,NOT(ISNUMBER($L1501)),$L1501&gt;=$J1501),"",IF($S1501="","(enter date)",_xlfn.LET(_xlpm.dn,_xlfn.XLOOKUP($S1501,nrCDdate,nrCDnum,"",1),IF(_xlpm.dn="","(after last class day)",_xlfn.LET(_xlpm.dd,_xlfn.XLOOKUP(_xlpm.dn+cfgRetestClassDays,nrCDnum,nrCDdate,""),_xlpm.ok,_xlfn.XLOOKUP(_xlpm.dn+cfgRetestClassDays,nrCDnum,nrCDinsession,"No"),IF(OR(_xlpm.dd="",_xlpm.ok&lt;&gt;"Yes"),"(after last class day)",_xlpm.dd))))))</f>
        <v/>
      </c>
      <c r="U1501" s="17">
        <f>IF($C1501="","",IF(AND($Y1501="Excused",$L1501="",N($K1501)&lt;=1),"EXCUSED - 1st attempt pending",IF(OR($L1501="",$K1501&lt;&gt;1,NOT(ISNUMBER($L1501)),$L1501&gt;=$J1501),"",IF(COUNTIFS(nrES_PID,$D1501,nrES_Code,$F1501,nrES_Att,2,nrES_Raw,"&gt;=0")&gt;0,IF(IFERROR(_xlfn.MINIFS(nrES_Date,nrES_PID,$D1501,nrES_Code,$F1501,nrES_Att,2,nrES_Raw,"&gt;=0",nrES_Date,"&gt;0"),0)=0,"RETEST UNDATED",IF(NOT(ISNUMBER($T1501)),"RETEST DATE UNCHECKED",IF(_xlfn.MINIFS(nrES_Date,nrES_PID,$D1501,nrES_Code,$F1501,nrES_Att,2,nrES_Raw,"&gt;=0",nrES_Date,"&gt;0")&gt;$T1501,"LATE RETEST "&amp;TEXT(_xlfn.MINIFS(nrES_Date,nrES_PID,$D1501,nrES_Code,$F1501,nrES_Att,2,nrES_Raw,"&gt;=0",nrES_Date,"&gt;0"),"mm/dd")&amp;" (due "&amp;TEXT($T1501,"mm/dd")&amp;")","Retested"))),IF(NOT(ISNUMBER($T1501)),"CHECK DATE",IF(TODAY()&gt;$T1501,"OVERDUE","Due "&amp;TEXT($T1501,"mm/dd")))))))</f>
        <v/>
      </c>
      <c r="V1501" s="16" t="n"/>
      <c r="W1501" s="16" t="n"/>
      <c r="X1501" s="17">
        <f>IF($C1501="","",IF(AND($L1501&lt;&gt;"",NOT(ISNUMBER($L1501))),"RAW SCORE NOT A NUMBER",IF(AND(ISNUMBER($L1501),OR($L1501&lt;0,$L1501&gt;100)),"RAW SCORE OUT OF RANGE",IF(AND($Y1501="Unexcused",OR($L1501="",NOT(ISNUMBER($L1501)),$L1501&lt;&gt;0)),"UNEXCUSED ABSENCE MUST RECORD 0",IF(COUNTIF(nrES_RecID,$B1501)&gt;1,"DUPLICATE RECORD",IF(N($K1501)&gt;2,"ATTEMPT 3+ NOT ALLOWED - policy 300.5 permits one retest per exam; this row records nothing",IF(AND($K1501=2,COUNTIFS(nrES_PID,$D1501,nrES_Code,$F1501,nrES_Att,1)=0),"ATTEMPT 2 WITHOUT ATTEMPT 1",IF(AND($K1501=2,$L1501=""),"RETEST ROW HAS NO SCORE",IF(AND($H1501="Final",$L1501&lt;&gt;"",IFERROR(INDEX(nrCKfinalExamElig,MATCH($D1501,rngCadetPIDs,0)),"")="No"),"FINAL EXAM AFTER FAILED FINAL PT (500.1.H)",IF(AND($K1501=2,ISNUMBER($L1501),COUNTIFS(nrES_PID,$D1501,nrES_Code,$F1501,nrES_Att,1)&gt;0,SUMIFS(nrES_Raw,nrES_PID,$D1501,nrES_Code,$F1501,nrES_Att,1)&gt;=$J1501),"RETEST AFTER A PASSING FIRST ATTEMPT","OK"))))))))))</f>
        <v/>
      </c>
      <c r="Y1501" s="16" t="n"/>
    </row>
    <row r="1502">
      <c r="B1502" s="17">
        <f>IF($C1502="","",$D1502&amp;"-"&amp;$F1502&amp;"-"&amp;$K1502)</f>
        <v/>
      </c>
      <c r="C1502" s="16" t="n"/>
      <c r="D1502" s="17">
        <f>IF($C1502="","",IFERROR(INDEX(rngCadetPIDs,MATCH($C1502,rngCadetNames,0)),"?"))</f>
        <v/>
      </c>
      <c r="E1502" s="17">
        <f>IF($D1502="","",IFERROR(INDEX(nrCadetAgency,MATCH($D1502,rngCadetPIDs,0)),""))</f>
        <v/>
      </c>
      <c r="F1502" s="16" t="n"/>
      <c r="G1502" s="17">
        <f>IF($F1502="","",IFERROR(INDEX(rngEPname,MATCH($F1502,rngEPcode,0)),"?"))</f>
        <v/>
      </c>
      <c r="H1502" s="17">
        <f>IF($F1502="","",IFERROR(INDEX(rngEPtype,MATCH($F1502,rngEPcode,0)),"?"))</f>
        <v/>
      </c>
      <c r="I1502" s="17">
        <f>IF($F1502="","",IFERROR(INDEX(rngEPseq,MATCH($F1502,rngEPcode,0)),""))</f>
        <v/>
      </c>
      <c r="J1502" s="17">
        <f>IF($F1502="","",IFERROR(INDEX(rngEPpass,MATCH($F1502,rngEPcode,0)),cfgPassingScore))</f>
        <v/>
      </c>
      <c r="K1502" s="16" t="n"/>
      <c r="L1502" s="16" t="n"/>
      <c r="M1502" s="17">
        <f>IF($C1502="","",IF($L1502="","",IF(NOT(ISNUMBER($L1502)),$L1502,IF(N($K1502)&gt;2,"",IF($K1502=1,IF(COUNTIFS(nrES_PID,$D1502,nrES_Code,$F1502,nrES_Att,2,nrES_Raw,"&gt;=0")&gt;0,"",$L1502),IF($L1502&gt;=$J1502,MAX($J1502,cfgRetakeRecordedCap),IF(COUNTIFS(nrES_PID,$D1502,nrES_Code,$F1502,nrES_Att,1)=0,$L1502,SUMIFS(nrES_Raw,nrES_PID,$D1502,nrES_Code,$F1502,nrES_Att,1))))))))</f>
        <v/>
      </c>
      <c r="N1502" s="17">
        <f>IF($C1502="","",IF($L1502="","",IF(NOT(ISNUMBER($L1502)),"(not a score)",IF($L1502&gt;=$J1502,"Yes","No"))))</f>
        <v/>
      </c>
      <c r="O1502" s="17">
        <f>IF($C1502="","",IF($M1502="","",IF(NOT(ISNUMBER($M1502)),"(not a score)",IF($M1502&gt;=$J1502,"Yes","No"))))</f>
        <v/>
      </c>
      <c r="P1502" s="17">
        <f>IF($C1502="","",IF($K1502="","",IF(N($K1502)&gt;2,"No",IF(COUNTIFS(nrES_PID,$D1502,nrES_Code,$F1502,nrES_Att,"&gt;"&amp;$K1502,nrES_Att,"&lt;=2",nrES_Raw,"&gt;=0")=0,"Yes","No"))))</f>
        <v/>
      </c>
      <c r="Q1502" s="17">
        <f>IF($C1502="","",IF($L1502="","",IF(AND($K1502=1,ISNUMBER($L1502),$L1502&lt;$J1502,COUNTIFS(nrES_PID,$D1502,nrES_Code,$F1502,nrES_Att,2,nrES_Raw,"&gt;=0")=0),"Yes","No")))</f>
        <v/>
      </c>
      <c r="R1502" s="17">
        <f>IF($C1502="","",IF($L1502="","",IF(AND(N($K1502)&gt;=2,ISNUMBER($L1502),$L1502&lt;$J1502),"Yes","No")))</f>
        <v/>
      </c>
      <c r="S1502" s="18" t="n"/>
      <c r="T1502" s="19">
        <f>IF(OR($C1502="",$L1502="",$K1502&lt;&gt;1,NOT(ISNUMBER($L1502)),$L1502&gt;=$J1502),"",IF($S1502="","(enter date)",_xlfn.LET(_xlpm.dn,_xlfn.XLOOKUP($S1502,nrCDdate,nrCDnum,"",1),IF(_xlpm.dn="","(after last class day)",_xlfn.LET(_xlpm.dd,_xlfn.XLOOKUP(_xlpm.dn+cfgRetestClassDays,nrCDnum,nrCDdate,""),_xlpm.ok,_xlfn.XLOOKUP(_xlpm.dn+cfgRetestClassDays,nrCDnum,nrCDinsession,"No"),IF(OR(_xlpm.dd="",_xlpm.ok&lt;&gt;"Yes"),"(after last class day)",_xlpm.dd))))))</f>
        <v/>
      </c>
      <c r="U1502" s="17">
        <f>IF($C1502="","",IF(AND($Y1502="Excused",$L1502="",N($K1502)&lt;=1),"EXCUSED - 1st attempt pending",IF(OR($L1502="",$K1502&lt;&gt;1,NOT(ISNUMBER($L1502)),$L1502&gt;=$J1502),"",IF(COUNTIFS(nrES_PID,$D1502,nrES_Code,$F1502,nrES_Att,2,nrES_Raw,"&gt;=0")&gt;0,IF(IFERROR(_xlfn.MINIFS(nrES_Date,nrES_PID,$D1502,nrES_Code,$F1502,nrES_Att,2,nrES_Raw,"&gt;=0",nrES_Date,"&gt;0"),0)=0,"RETEST UNDATED",IF(NOT(ISNUMBER($T1502)),"RETEST DATE UNCHECKED",IF(_xlfn.MINIFS(nrES_Date,nrES_PID,$D1502,nrES_Code,$F1502,nrES_Att,2,nrES_Raw,"&gt;=0",nrES_Date,"&gt;0")&gt;$T1502,"LATE RETEST "&amp;TEXT(_xlfn.MINIFS(nrES_Date,nrES_PID,$D1502,nrES_Code,$F1502,nrES_Att,2,nrES_Raw,"&gt;=0",nrES_Date,"&gt;0"),"mm/dd")&amp;" (due "&amp;TEXT($T1502,"mm/dd")&amp;")","Retested"))),IF(NOT(ISNUMBER($T1502)),"CHECK DATE",IF(TODAY()&gt;$T1502,"OVERDUE","Due "&amp;TEXT($T1502,"mm/dd")))))))</f>
        <v/>
      </c>
      <c r="V1502" s="16" t="n"/>
      <c r="W1502" s="16" t="n"/>
      <c r="X1502" s="17">
        <f>IF($C1502="","",IF(AND($L1502&lt;&gt;"",NOT(ISNUMBER($L1502))),"RAW SCORE NOT A NUMBER",IF(AND(ISNUMBER($L1502),OR($L1502&lt;0,$L1502&gt;100)),"RAW SCORE OUT OF RANGE",IF(AND($Y1502="Unexcused",OR($L1502="",NOT(ISNUMBER($L1502)),$L1502&lt;&gt;0)),"UNEXCUSED ABSENCE MUST RECORD 0",IF(COUNTIF(nrES_RecID,$B1502)&gt;1,"DUPLICATE RECORD",IF(N($K1502)&gt;2,"ATTEMPT 3+ NOT ALLOWED - policy 300.5 permits one retest per exam; this row records nothing",IF(AND($K1502=2,COUNTIFS(nrES_PID,$D1502,nrES_Code,$F1502,nrES_Att,1)=0),"ATTEMPT 2 WITHOUT ATTEMPT 1",IF(AND($K1502=2,$L1502=""),"RETEST ROW HAS NO SCORE",IF(AND($H1502="Final",$L1502&lt;&gt;"",IFERROR(INDEX(nrCKfinalExamElig,MATCH($D1502,rngCadetPIDs,0)),"")="No"),"FINAL EXAM AFTER FAILED FINAL PT (500.1.H)",IF(AND($K1502=2,ISNUMBER($L1502),COUNTIFS(nrES_PID,$D1502,nrES_Code,$F1502,nrES_Att,1)&gt;0,SUMIFS(nrES_Raw,nrES_PID,$D1502,nrES_Code,$F1502,nrES_Att,1)&gt;=$J1502),"RETEST AFTER A PASSING FIRST ATTEMPT","OK"))))))))))</f>
        <v/>
      </c>
      <c r="Y1502" s="16" t="n"/>
    </row>
    <row r="1503">
      <c r="B1503" s="17">
        <f>IF($C1503="","",$D1503&amp;"-"&amp;$F1503&amp;"-"&amp;$K1503)</f>
        <v/>
      </c>
      <c r="C1503" s="16" t="n"/>
      <c r="D1503" s="17">
        <f>IF($C1503="","",IFERROR(INDEX(rngCadetPIDs,MATCH($C1503,rngCadetNames,0)),"?"))</f>
        <v/>
      </c>
      <c r="E1503" s="17">
        <f>IF($D1503="","",IFERROR(INDEX(nrCadetAgency,MATCH($D1503,rngCadetPIDs,0)),""))</f>
        <v/>
      </c>
      <c r="F1503" s="16" t="n"/>
      <c r="G1503" s="17">
        <f>IF($F1503="","",IFERROR(INDEX(rngEPname,MATCH($F1503,rngEPcode,0)),"?"))</f>
        <v/>
      </c>
      <c r="H1503" s="17">
        <f>IF($F1503="","",IFERROR(INDEX(rngEPtype,MATCH($F1503,rngEPcode,0)),"?"))</f>
        <v/>
      </c>
      <c r="I1503" s="17">
        <f>IF($F1503="","",IFERROR(INDEX(rngEPseq,MATCH($F1503,rngEPcode,0)),""))</f>
        <v/>
      </c>
      <c r="J1503" s="17">
        <f>IF($F1503="","",IFERROR(INDEX(rngEPpass,MATCH($F1503,rngEPcode,0)),cfgPassingScore))</f>
        <v/>
      </c>
      <c r="K1503" s="16" t="n"/>
      <c r="L1503" s="16" t="n"/>
      <c r="M1503" s="17">
        <f>IF($C1503="","",IF($L1503="","",IF(NOT(ISNUMBER($L1503)),$L1503,IF(N($K1503)&gt;2,"",IF($K1503=1,IF(COUNTIFS(nrES_PID,$D1503,nrES_Code,$F1503,nrES_Att,2,nrES_Raw,"&gt;=0")&gt;0,"",$L1503),IF($L1503&gt;=$J1503,MAX($J1503,cfgRetakeRecordedCap),IF(COUNTIFS(nrES_PID,$D1503,nrES_Code,$F1503,nrES_Att,1)=0,$L1503,SUMIFS(nrES_Raw,nrES_PID,$D1503,nrES_Code,$F1503,nrES_Att,1))))))))</f>
        <v/>
      </c>
      <c r="N1503" s="17">
        <f>IF($C1503="","",IF($L1503="","",IF(NOT(ISNUMBER($L1503)),"(not a score)",IF($L1503&gt;=$J1503,"Yes","No"))))</f>
        <v/>
      </c>
      <c r="O1503" s="17">
        <f>IF($C1503="","",IF($M1503="","",IF(NOT(ISNUMBER($M1503)),"(not a score)",IF($M1503&gt;=$J1503,"Yes","No"))))</f>
        <v/>
      </c>
      <c r="P1503" s="17">
        <f>IF($C1503="","",IF($K1503="","",IF(N($K1503)&gt;2,"No",IF(COUNTIFS(nrES_PID,$D1503,nrES_Code,$F1503,nrES_Att,"&gt;"&amp;$K1503,nrES_Att,"&lt;=2",nrES_Raw,"&gt;=0")=0,"Yes","No"))))</f>
        <v/>
      </c>
      <c r="Q1503" s="17">
        <f>IF($C1503="","",IF($L1503="","",IF(AND($K1503=1,ISNUMBER($L1503),$L1503&lt;$J1503,COUNTIFS(nrES_PID,$D1503,nrES_Code,$F1503,nrES_Att,2,nrES_Raw,"&gt;=0")=0),"Yes","No")))</f>
        <v/>
      </c>
      <c r="R1503" s="17">
        <f>IF($C1503="","",IF($L1503="","",IF(AND(N($K1503)&gt;=2,ISNUMBER($L1503),$L1503&lt;$J1503),"Yes","No")))</f>
        <v/>
      </c>
      <c r="S1503" s="18" t="n"/>
      <c r="T1503" s="19">
        <f>IF(OR($C1503="",$L1503="",$K1503&lt;&gt;1,NOT(ISNUMBER($L1503)),$L1503&gt;=$J1503),"",IF($S1503="","(enter date)",_xlfn.LET(_xlpm.dn,_xlfn.XLOOKUP($S1503,nrCDdate,nrCDnum,"",1),IF(_xlpm.dn="","(after last class day)",_xlfn.LET(_xlpm.dd,_xlfn.XLOOKUP(_xlpm.dn+cfgRetestClassDays,nrCDnum,nrCDdate,""),_xlpm.ok,_xlfn.XLOOKUP(_xlpm.dn+cfgRetestClassDays,nrCDnum,nrCDinsession,"No"),IF(OR(_xlpm.dd="",_xlpm.ok&lt;&gt;"Yes"),"(after last class day)",_xlpm.dd))))))</f>
        <v/>
      </c>
      <c r="U1503" s="17">
        <f>IF($C1503="","",IF(AND($Y1503="Excused",$L1503="",N($K1503)&lt;=1),"EXCUSED - 1st attempt pending",IF(OR($L1503="",$K1503&lt;&gt;1,NOT(ISNUMBER($L1503)),$L1503&gt;=$J1503),"",IF(COUNTIFS(nrES_PID,$D1503,nrES_Code,$F1503,nrES_Att,2,nrES_Raw,"&gt;=0")&gt;0,IF(IFERROR(_xlfn.MINIFS(nrES_Date,nrES_PID,$D1503,nrES_Code,$F1503,nrES_Att,2,nrES_Raw,"&gt;=0",nrES_Date,"&gt;0"),0)=0,"RETEST UNDATED",IF(NOT(ISNUMBER($T1503)),"RETEST DATE UNCHECKED",IF(_xlfn.MINIFS(nrES_Date,nrES_PID,$D1503,nrES_Code,$F1503,nrES_Att,2,nrES_Raw,"&gt;=0",nrES_Date,"&gt;0")&gt;$T1503,"LATE RETEST "&amp;TEXT(_xlfn.MINIFS(nrES_Date,nrES_PID,$D1503,nrES_Code,$F1503,nrES_Att,2,nrES_Raw,"&gt;=0",nrES_Date,"&gt;0"),"mm/dd")&amp;" (due "&amp;TEXT($T1503,"mm/dd")&amp;")","Retested"))),IF(NOT(ISNUMBER($T1503)),"CHECK DATE",IF(TODAY()&gt;$T1503,"OVERDUE","Due "&amp;TEXT($T1503,"mm/dd")))))))</f>
        <v/>
      </c>
      <c r="V1503" s="16" t="n"/>
      <c r="W1503" s="16" t="n"/>
      <c r="X1503" s="17">
        <f>IF($C1503="","",IF(AND($L1503&lt;&gt;"",NOT(ISNUMBER($L1503))),"RAW SCORE NOT A NUMBER",IF(AND(ISNUMBER($L1503),OR($L1503&lt;0,$L1503&gt;100)),"RAW SCORE OUT OF RANGE",IF(AND($Y1503="Unexcused",OR($L1503="",NOT(ISNUMBER($L1503)),$L1503&lt;&gt;0)),"UNEXCUSED ABSENCE MUST RECORD 0",IF(COUNTIF(nrES_RecID,$B1503)&gt;1,"DUPLICATE RECORD",IF(N($K1503)&gt;2,"ATTEMPT 3+ NOT ALLOWED - policy 300.5 permits one retest per exam; this row records nothing",IF(AND($K1503=2,COUNTIFS(nrES_PID,$D1503,nrES_Code,$F1503,nrES_Att,1)=0),"ATTEMPT 2 WITHOUT ATTEMPT 1",IF(AND($K1503=2,$L1503=""),"RETEST ROW HAS NO SCORE",IF(AND($H1503="Final",$L1503&lt;&gt;"",IFERROR(INDEX(nrCKfinalExamElig,MATCH($D1503,rngCadetPIDs,0)),"")="No"),"FINAL EXAM AFTER FAILED FINAL PT (500.1.H)",IF(AND($K1503=2,ISNUMBER($L1503),COUNTIFS(nrES_PID,$D1503,nrES_Code,$F1503,nrES_Att,1)&gt;0,SUMIFS(nrES_Raw,nrES_PID,$D1503,nrES_Code,$F1503,nrES_Att,1)&gt;=$J1503),"RETEST AFTER A PASSING FIRST ATTEMPT","OK"))))))))))</f>
        <v/>
      </c>
      <c r="Y1503" s="16" t="n"/>
    </row>
    <row r="1504">
      <c r="B1504" s="17">
        <f>IF($C1504="","",$D1504&amp;"-"&amp;$F1504&amp;"-"&amp;$K1504)</f>
        <v/>
      </c>
      <c r="C1504" s="16" t="n"/>
      <c r="D1504" s="17">
        <f>IF($C1504="","",IFERROR(INDEX(rngCadetPIDs,MATCH($C1504,rngCadetNames,0)),"?"))</f>
        <v/>
      </c>
      <c r="E1504" s="17">
        <f>IF($D1504="","",IFERROR(INDEX(nrCadetAgency,MATCH($D1504,rngCadetPIDs,0)),""))</f>
        <v/>
      </c>
      <c r="F1504" s="16" t="n"/>
      <c r="G1504" s="17">
        <f>IF($F1504="","",IFERROR(INDEX(rngEPname,MATCH($F1504,rngEPcode,0)),"?"))</f>
        <v/>
      </c>
      <c r="H1504" s="17">
        <f>IF($F1504="","",IFERROR(INDEX(rngEPtype,MATCH($F1504,rngEPcode,0)),"?"))</f>
        <v/>
      </c>
      <c r="I1504" s="17">
        <f>IF($F1504="","",IFERROR(INDEX(rngEPseq,MATCH($F1504,rngEPcode,0)),""))</f>
        <v/>
      </c>
      <c r="J1504" s="17">
        <f>IF($F1504="","",IFERROR(INDEX(rngEPpass,MATCH($F1504,rngEPcode,0)),cfgPassingScore))</f>
        <v/>
      </c>
      <c r="K1504" s="16" t="n"/>
      <c r="L1504" s="16" t="n"/>
      <c r="M1504" s="17">
        <f>IF($C1504="","",IF($L1504="","",IF(NOT(ISNUMBER($L1504)),$L1504,IF(N($K1504)&gt;2,"",IF($K1504=1,IF(COUNTIFS(nrES_PID,$D1504,nrES_Code,$F1504,nrES_Att,2,nrES_Raw,"&gt;=0")&gt;0,"",$L1504),IF($L1504&gt;=$J1504,MAX($J1504,cfgRetakeRecordedCap),IF(COUNTIFS(nrES_PID,$D1504,nrES_Code,$F1504,nrES_Att,1)=0,$L1504,SUMIFS(nrES_Raw,nrES_PID,$D1504,nrES_Code,$F1504,nrES_Att,1))))))))</f>
        <v/>
      </c>
      <c r="N1504" s="17">
        <f>IF($C1504="","",IF($L1504="","",IF(NOT(ISNUMBER($L1504)),"(not a score)",IF($L1504&gt;=$J1504,"Yes","No"))))</f>
        <v/>
      </c>
      <c r="O1504" s="17">
        <f>IF($C1504="","",IF($M1504="","",IF(NOT(ISNUMBER($M1504)),"(not a score)",IF($M1504&gt;=$J1504,"Yes","No"))))</f>
        <v/>
      </c>
      <c r="P1504" s="17">
        <f>IF($C1504="","",IF($K1504="","",IF(N($K1504)&gt;2,"No",IF(COUNTIFS(nrES_PID,$D1504,nrES_Code,$F1504,nrES_Att,"&gt;"&amp;$K1504,nrES_Att,"&lt;=2",nrES_Raw,"&gt;=0")=0,"Yes","No"))))</f>
        <v/>
      </c>
      <c r="Q1504" s="17">
        <f>IF($C1504="","",IF($L1504="","",IF(AND($K1504=1,ISNUMBER($L1504),$L1504&lt;$J1504,COUNTIFS(nrES_PID,$D1504,nrES_Code,$F1504,nrES_Att,2,nrES_Raw,"&gt;=0")=0),"Yes","No")))</f>
        <v/>
      </c>
      <c r="R1504" s="17">
        <f>IF($C1504="","",IF($L1504="","",IF(AND(N($K1504)&gt;=2,ISNUMBER($L1504),$L1504&lt;$J1504),"Yes","No")))</f>
        <v/>
      </c>
      <c r="S1504" s="18" t="n"/>
      <c r="T1504" s="19">
        <f>IF(OR($C1504="",$L1504="",$K1504&lt;&gt;1,NOT(ISNUMBER($L1504)),$L1504&gt;=$J1504),"",IF($S1504="","(enter date)",_xlfn.LET(_xlpm.dn,_xlfn.XLOOKUP($S1504,nrCDdate,nrCDnum,"",1),IF(_xlpm.dn="","(after last class day)",_xlfn.LET(_xlpm.dd,_xlfn.XLOOKUP(_xlpm.dn+cfgRetestClassDays,nrCDnum,nrCDdate,""),_xlpm.ok,_xlfn.XLOOKUP(_xlpm.dn+cfgRetestClassDays,nrCDnum,nrCDinsession,"No"),IF(OR(_xlpm.dd="",_xlpm.ok&lt;&gt;"Yes"),"(after last class day)",_xlpm.dd))))))</f>
        <v/>
      </c>
      <c r="U1504" s="17">
        <f>IF($C1504="","",IF(AND($Y1504="Excused",$L1504="",N($K1504)&lt;=1),"EXCUSED - 1st attempt pending",IF(OR($L1504="",$K1504&lt;&gt;1,NOT(ISNUMBER($L1504)),$L1504&gt;=$J1504),"",IF(COUNTIFS(nrES_PID,$D1504,nrES_Code,$F1504,nrES_Att,2,nrES_Raw,"&gt;=0")&gt;0,IF(IFERROR(_xlfn.MINIFS(nrES_Date,nrES_PID,$D1504,nrES_Code,$F1504,nrES_Att,2,nrES_Raw,"&gt;=0",nrES_Date,"&gt;0"),0)=0,"RETEST UNDATED",IF(NOT(ISNUMBER($T1504)),"RETEST DATE UNCHECKED",IF(_xlfn.MINIFS(nrES_Date,nrES_PID,$D1504,nrES_Code,$F1504,nrES_Att,2,nrES_Raw,"&gt;=0",nrES_Date,"&gt;0")&gt;$T1504,"LATE RETEST "&amp;TEXT(_xlfn.MINIFS(nrES_Date,nrES_PID,$D1504,nrES_Code,$F1504,nrES_Att,2,nrES_Raw,"&gt;=0",nrES_Date,"&gt;0"),"mm/dd")&amp;" (due "&amp;TEXT($T1504,"mm/dd")&amp;")","Retested"))),IF(NOT(ISNUMBER($T1504)),"CHECK DATE",IF(TODAY()&gt;$T1504,"OVERDUE","Due "&amp;TEXT($T1504,"mm/dd")))))))</f>
        <v/>
      </c>
      <c r="V1504" s="16" t="n"/>
      <c r="W1504" s="16" t="n"/>
      <c r="X1504" s="17">
        <f>IF($C1504="","",IF(AND($L1504&lt;&gt;"",NOT(ISNUMBER($L1504))),"RAW SCORE NOT A NUMBER",IF(AND(ISNUMBER($L1504),OR($L1504&lt;0,$L1504&gt;100)),"RAW SCORE OUT OF RANGE",IF(AND($Y1504="Unexcused",OR($L1504="",NOT(ISNUMBER($L1504)),$L1504&lt;&gt;0)),"UNEXCUSED ABSENCE MUST RECORD 0",IF(COUNTIF(nrES_RecID,$B1504)&gt;1,"DUPLICATE RECORD",IF(N($K1504)&gt;2,"ATTEMPT 3+ NOT ALLOWED - policy 300.5 permits one retest per exam; this row records nothing",IF(AND($K1504=2,COUNTIFS(nrES_PID,$D1504,nrES_Code,$F1504,nrES_Att,1)=0),"ATTEMPT 2 WITHOUT ATTEMPT 1",IF(AND($K1504=2,$L1504=""),"RETEST ROW HAS NO SCORE",IF(AND($H1504="Final",$L1504&lt;&gt;"",IFERROR(INDEX(nrCKfinalExamElig,MATCH($D1504,rngCadetPIDs,0)),"")="No"),"FINAL EXAM AFTER FAILED FINAL PT (500.1.H)",IF(AND($K1504=2,ISNUMBER($L1504),COUNTIFS(nrES_PID,$D1504,nrES_Code,$F1504,nrES_Att,1)&gt;0,SUMIFS(nrES_Raw,nrES_PID,$D1504,nrES_Code,$F1504,nrES_Att,1)&gt;=$J1504),"RETEST AFTER A PASSING FIRST ATTEMPT","OK"))))))))))</f>
        <v/>
      </c>
      <c r="Y1504" s="16" t="n"/>
    </row>
    <row r="1505">
      <c r="B1505" s="17">
        <f>IF($C1505="","",$D1505&amp;"-"&amp;$F1505&amp;"-"&amp;$K1505)</f>
        <v/>
      </c>
      <c r="C1505" s="16" t="n"/>
      <c r="D1505" s="17">
        <f>IF($C1505="","",IFERROR(INDEX(rngCadetPIDs,MATCH($C1505,rngCadetNames,0)),"?"))</f>
        <v/>
      </c>
      <c r="E1505" s="17">
        <f>IF($D1505="","",IFERROR(INDEX(nrCadetAgency,MATCH($D1505,rngCadetPIDs,0)),""))</f>
        <v/>
      </c>
      <c r="F1505" s="16" t="n"/>
      <c r="G1505" s="17">
        <f>IF($F1505="","",IFERROR(INDEX(rngEPname,MATCH($F1505,rngEPcode,0)),"?"))</f>
        <v/>
      </c>
      <c r="H1505" s="17">
        <f>IF($F1505="","",IFERROR(INDEX(rngEPtype,MATCH($F1505,rngEPcode,0)),"?"))</f>
        <v/>
      </c>
      <c r="I1505" s="17">
        <f>IF($F1505="","",IFERROR(INDEX(rngEPseq,MATCH($F1505,rngEPcode,0)),""))</f>
        <v/>
      </c>
      <c r="J1505" s="17">
        <f>IF($F1505="","",IFERROR(INDEX(rngEPpass,MATCH($F1505,rngEPcode,0)),cfgPassingScore))</f>
        <v/>
      </c>
      <c r="K1505" s="16" t="n"/>
      <c r="L1505" s="16" t="n"/>
      <c r="M1505" s="17">
        <f>IF($C1505="","",IF($L1505="","",IF(NOT(ISNUMBER($L1505)),$L1505,IF(N($K1505)&gt;2,"",IF($K1505=1,IF(COUNTIFS(nrES_PID,$D1505,nrES_Code,$F1505,nrES_Att,2,nrES_Raw,"&gt;=0")&gt;0,"",$L1505),IF($L1505&gt;=$J1505,MAX($J1505,cfgRetakeRecordedCap),IF(COUNTIFS(nrES_PID,$D1505,nrES_Code,$F1505,nrES_Att,1)=0,$L1505,SUMIFS(nrES_Raw,nrES_PID,$D1505,nrES_Code,$F1505,nrES_Att,1))))))))</f>
        <v/>
      </c>
      <c r="N1505" s="17">
        <f>IF($C1505="","",IF($L1505="","",IF(NOT(ISNUMBER($L1505)),"(not a score)",IF($L1505&gt;=$J1505,"Yes","No"))))</f>
        <v/>
      </c>
      <c r="O1505" s="17">
        <f>IF($C1505="","",IF($M1505="","",IF(NOT(ISNUMBER($M1505)),"(not a score)",IF($M1505&gt;=$J1505,"Yes","No"))))</f>
        <v/>
      </c>
      <c r="P1505" s="17">
        <f>IF($C1505="","",IF($K1505="","",IF(N($K1505)&gt;2,"No",IF(COUNTIFS(nrES_PID,$D1505,nrES_Code,$F1505,nrES_Att,"&gt;"&amp;$K1505,nrES_Att,"&lt;=2",nrES_Raw,"&gt;=0")=0,"Yes","No"))))</f>
        <v/>
      </c>
      <c r="Q1505" s="17">
        <f>IF($C1505="","",IF($L1505="","",IF(AND($K1505=1,ISNUMBER($L1505),$L1505&lt;$J1505,COUNTIFS(nrES_PID,$D1505,nrES_Code,$F1505,nrES_Att,2,nrES_Raw,"&gt;=0")=0),"Yes","No")))</f>
        <v/>
      </c>
      <c r="R1505" s="17">
        <f>IF($C1505="","",IF($L1505="","",IF(AND(N($K1505)&gt;=2,ISNUMBER($L1505),$L1505&lt;$J1505),"Yes","No")))</f>
        <v/>
      </c>
      <c r="S1505" s="18" t="n"/>
      <c r="T1505" s="19">
        <f>IF(OR($C1505="",$L1505="",$K1505&lt;&gt;1,NOT(ISNUMBER($L1505)),$L1505&gt;=$J1505),"",IF($S1505="","(enter date)",_xlfn.LET(_xlpm.dn,_xlfn.XLOOKUP($S1505,nrCDdate,nrCDnum,"",1),IF(_xlpm.dn="","(after last class day)",_xlfn.LET(_xlpm.dd,_xlfn.XLOOKUP(_xlpm.dn+cfgRetestClassDays,nrCDnum,nrCDdate,""),_xlpm.ok,_xlfn.XLOOKUP(_xlpm.dn+cfgRetestClassDays,nrCDnum,nrCDinsession,"No"),IF(OR(_xlpm.dd="",_xlpm.ok&lt;&gt;"Yes"),"(after last class day)",_xlpm.dd))))))</f>
        <v/>
      </c>
      <c r="U1505" s="17">
        <f>IF($C1505="","",IF(AND($Y1505="Excused",$L1505="",N($K1505)&lt;=1),"EXCUSED - 1st attempt pending",IF(OR($L1505="",$K1505&lt;&gt;1,NOT(ISNUMBER($L1505)),$L1505&gt;=$J1505),"",IF(COUNTIFS(nrES_PID,$D1505,nrES_Code,$F1505,nrES_Att,2,nrES_Raw,"&gt;=0")&gt;0,IF(IFERROR(_xlfn.MINIFS(nrES_Date,nrES_PID,$D1505,nrES_Code,$F1505,nrES_Att,2,nrES_Raw,"&gt;=0",nrES_Date,"&gt;0"),0)=0,"RETEST UNDATED",IF(NOT(ISNUMBER($T1505)),"RETEST DATE UNCHECKED",IF(_xlfn.MINIFS(nrES_Date,nrES_PID,$D1505,nrES_Code,$F1505,nrES_Att,2,nrES_Raw,"&gt;=0",nrES_Date,"&gt;0")&gt;$T1505,"LATE RETEST "&amp;TEXT(_xlfn.MINIFS(nrES_Date,nrES_PID,$D1505,nrES_Code,$F1505,nrES_Att,2,nrES_Raw,"&gt;=0",nrES_Date,"&gt;0"),"mm/dd")&amp;" (due "&amp;TEXT($T1505,"mm/dd")&amp;")","Retested"))),IF(NOT(ISNUMBER($T1505)),"CHECK DATE",IF(TODAY()&gt;$T1505,"OVERDUE","Due "&amp;TEXT($T1505,"mm/dd")))))))</f>
        <v/>
      </c>
      <c r="V1505" s="16" t="n"/>
      <c r="W1505" s="16" t="n"/>
      <c r="X1505" s="17">
        <f>IF($C1505="","",IF(AND($L1505&lt;&gt;"",NOT(ISNUMBER($L1505))),"RAW SCORE NOT A NUMBER",IF(AND(ISNUMBER($L1505),OR($L1505&lt;0,$L1505&gt;100)),"RAW SCORE OUT OF RANGE",IF(AND($Y1505="Unexcused",OR($L1505="",NOT(ISNUMBER($L1505)),$L1505&lt;&gt;0)),"UNEXCUSED ABSENCE MUST RECORD 0",IF(COUNTIF(nrES_RecID,$B1505)&gt;1,"DUPLICATE RECORD",IF(N($K1505)&gt;2,"ATTEMPT 3+ NOT ALLOWED - policy 300.5 permits one retest per exam; this row records nothing",IF(AND($K1505=2,COUNTIFS(nrES_PID,$D1505,nrES_Code,$F1505,nrES_Att,1)=0),"ATTEMPT 2 WITHOUT ATTEMPT 1",IF(AND($K1505=2,$L1505=""),"RETEST ROW HAS NO SCORE",IF(AND($H1505="Final",$L1505&lt;&gt;"",IFERROR(INDEX(nrCKfinalExamElig,MATCH($D1505,rngCadetPIDs,0)),"")="No"),"FINAL EXAM AFTER FAILED FINAL PT (500.1.H)",IF(AND($K1505=2,ISNUMBER($L1505),COUNTIFS(nrES_PID,$D1505,nrES_Code,$F1505,nrES_Att,1)&gt;0,SUMIFS(nrES_Raw,nrES_PID,$D1505,nrES_Code,$F1505,nrES_Att,1)&gt;=$J1505),"RETEST AFTER A PASSING FIRST ATTEMPT","OK"))))))))))</f>
        <v/>
      </c>
      <c r="Y1505" s="16" t="n"/>
    </row>
  </sheetData>
  <sheetProtection selectLockedCells="0" selectUnlockedCells="0" sheet="1" objects="0" insertRows="1" insertHyperlinks="1" autoFilter="0" scenarios="0" formatColumns="1" deleteColumns="1" insertColumns="1" pivotTables="1" deleteRows="1" formatCells="1" formatRows="1" sort="1" password="B4BB"/>
  <autoFilter ref="B5:Y5"/>
  <conditionalFormatting sqref="Y6:Y1505">
    <cfRule type="expression" priority="1" dxfId="0">
      <formula>$Y6="Unexcused"</formula>
    </cfRule>
    <cfRule type="expression" priority="2" dxfId="2">
      <formula>$Y6="Excused"</formula>
    </cfRule>
  </conditionalFormatting>
  <conditionalFormatting sqref="U6:U1505">
    <cfRule type="expression" priority="3" dxfId="2">
      <formula>LEFT($U6,7)="EXCUSED"</formula>
    </cfRule>
    <cfRule type="expression" priority="4" dxfId="0">
      <formula>$U6="OVERDUE"</formula>
    </cfRule>
    <cfRule type="expression" priority="5" dxfId="0">
      <formula>$U6="CHECK DATE"</formula>
    </cfRule>
    <cfRule type="expression" priority="6" dxfId="0">
      <formula>LEFT($U6,11)="LATE RETEST"</formula>
    </cfRule>
    <cfRule type="expression" priority="7" dxfId="0">
      <formula>LEFT($U6,7)="RETEST "</formula>
    </cfRule>
  </conditionalFormatting>
  <conditionalFormatting sqref="X6:X1505">
    <cfRule type="expression" priority="8" dxfId="0">
      <formula>AND($X6&lt;&gt;"",$X6&lt;&gt;"OK")</formula>
    </cfRule>
  </conditionalFormatting>
  <conditionalFormatting sqref="O6:O1505">
    <cfRule type="cellIs" priority="9" operator="equal" dxfId="3">
      <formula>"Yes"</formula>
    </cfRule>
    <cfRule type="cellIs" priority="10" operator="equal" dxfId="0">
      <formula>"No"</formula>
    </cfRule>
  </conditionalFormatting>
  <dataValidations count="4">
    <dataValidation sqref="C6:C1505" showDropDown="0" showInputMessage="0" showErrorMessage="1" allowBlank="1" type="list">
      <formula1>=rngCadetNames</formula1>
    </dataValidation>
    <dataValidation sqref="F6:F1505" showDropDown="0" showInputMessage="0" showErrorMessage="1" allowBlank="1" type="list">
      <formula1>=rngEPcode</formula1>
    </dataValidation>
    <dataValidation sqref="K6:K1505" showDropDown="0" showInputMessage="0" showErrorMessage="1" allowBlank="1" type="list">
      <formula1>=lstExamAttemptNum</formula1>
    </dataValidation>
    <dataValidation sqref="Y6:Y1505" showDropDown="0" showInputMessage="0" showErrorMessage="1" allowBlank="1" type="list">
      <formula1>"Excused,Unexcused"</formula1>
    </dataValidation>
  </dataValidations>
  <pageMargins left="0.75" right="0.75" top="1" bottom="1" header="0.5" footer="0.5"/>
</worksheet>
</file>

<file path=xl/worksheets/sheet7.xml><?xml version="1.0" encoding="utf-8"?>
<worksheet xmlns="http://schemas.openxmlformats.org/spreadsheetml/2006/main">
  <sheetPr>
    <tabColor rgb="002E75B6"/>
    <outlinePr summaryBelow="1" summaryRight="1"/>
    <pageSetUpPr/>
  </sheetPr>
  <dimension ref="B1:T59"/>
  <sheetViews>
    <sheetView showGridLines="0" workbookViewId="0">
      <pane xSplit="3" ySplit="5" topLeftCell="D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4" customWidth="1" min="3" max="3"/>
    <col width="7" customWidth="1" min="4" max="4"/>
    <col width="7" customWidth="1" min="5" max="5"/>
    <col width="7" customWidth="1" min="6" max="6"/>
    <col width="7" customWidth="1" min="7" max="7"/>
    <col width="7" customWidth="1" min="8" max="8"/>
    <col width="7" customWidth="1" min="9" max="9"/>
    <col width="7" customWidth="1" min="10" max="10"/>
    <col width="7" customWidth="1" min="11" max="11"/>
    <col width="7" customWidth="1" min="12" max="12"/>
    <col width="7" customWidth="1" min="13" max="13"/>
    <col width="7" customWidth="1" min="14" max="14"/>
    <col width="7" customWidth="1" min="15" max="15"/>
    <col width="12" customWidth="1" min="16" max="16"/>
    <col width="9" customWidth="1" min="17" max="17"/>
    <col width="14" customWidth="1" min="18" max="18"/>
    <col width="22" customWidth="1" min="19" max="19"/>
    <col width="11" customWidth="1" min="20" max="20"/>
  </cols>
  <sheetData>
    <row r="1">
      <c r="B1" s="10">
        <f>HYPERLINK("#Dashboard!B5","◄ Dashboard")</f>
        <v/>
      </c>
    </row>
    <row r="4">
      <c r="B4" s="11" t="inlineStr">
        <is>
          <t>Scores 0-100 (25 words x 4 pts). Average below the Settings intervention threshold (default 75) flags INTERVENTION per policy 300.4.B — see Counseling log. Row Check catches a score that is text or outside 0-100: one extra digit hides the intervention flag and moves the class average.</t>
        </is>
      </c>
    </row>
    <row r="5" ht="26" customHeight="1">
      <c r="B5" s="12" t="inlineStr">
        <is>
          <t>PID</t>
        </is>
      </c>
      <c r="C5" s="12" t="inlineStr">
        <is>
          <t>Cadet Name</t>
        </is>
      </c>
      <c r="D5" s="12" t="inlineStr">
        <is>
          <t>S01</t>
        </is>
      </c>
      <c r="E5" s="12" t="inlineStr">
        <is>
          <t>S02</t>
        </is>
      </c>
      <c r="F5" s="12" t="inlineStr">
        <is>
          <t>S03</t>
        </is>
      </c>
      <c r="G5" s="12" t="inlineStr">
        <is>
          <t>S04</t>
        </is>
      </c>
      <c r="H5" s="12" t="inlineStr">
        <is>
          <t>S05</t>
        </is>
      </c>
      <c r="I5" s="12" t="inlineStr">
        <is>
          <t>S06</t>
        </is>
      </c>
      <c r="J5" s="12" t="inlineStr">
        <is>
          <t>S07</t>
        </is>
      </c>
      <c r="K5" s="12" t="inlineStr">
        <is>
          <t>S08</t>
        </is>
      </c>
      <c r="L5" s="12" t="inlineStr">
        <is>
          <t>S09</t>
        </is>
      </c>
      <c r="M5" s="12" t="inlineStr">
        <is>
          <t>S10</t>
        </is>
      </c>
      <c r="N5" s="12" t="inlineStr">
        <is>
          <t>S11</t>
        </is>
      </c>
      <c r="O5" s="12" t="inlineStr">
        <is>
          <t>S12</t>
        </is>
      </c>
      <c r="P5" s="12" t="inlineStr">
        <is>
          <t>Spelling Avg</t>
        </is>
      </c>
      <c r="Q5" s="12" t="inlineStr">
        <is>
          <t># Taken</t>
        </is>
      </c>
      <c r="R5" s="12" t="inlineStr">
        <is>
          <t>Intervention?</t>
        </is>
      </c>
      <c r="S5" s="12" t="inlineStr">
        <is>
          <t>Row Check</t>
        </is>
      </c>
      <c r="T5" s="20" t="inlineStr">
        <is>
          <t>Cadet Status</t>
        </is>
      </c>
    </row>
    <row r="6">
      <c r="B6" s="17">
        <f>IF(Cadets!$B6="","",Cadets!$B6)</f>
        <v/>
      </c>
      <c r="C6" s="17">
        <f>IF(Cadets!$B6="","",Cadets!$F6)</f>
        <v/>
      </c>
      <c r="D6" s="16" t="n"/>
      <c r="E6" s="16" t="n"/>
      <c r="F6" s="16" t="n"/>
      <c r="G6" s="16" t="n"/>
      <c r="H6" s="16" t="n"/>
      <c r="I6" s="16" t="n"/>
      <c r="J6" s="16" t="n"/>
      <c r="K6" s="16" t="n"/>
      <c r="L6" s="16" t="n"/>
      <c r="M6" s="16" t="n"/>
      <c r="N6" s="16" t="n"/>
      <c r="O6" s="16" t="n"/>
      <c r="P6" s="17">
        <f>IF($C6="","",IF($Q6=0,"",ROUND(SUMIFS($D6:$O6,$D6:$O6,"&gt;=0",$D6:$O6,"&lt;=100")/$Q6,1)))</f>
        <v/>
      </c>
      <c r="Q6" s="17">
        <f>IF($C6="","",COUNTIFS($D6:$O6,"&gt;=0",$D6:$O6,"&lt;=100"))</f>
        <v/>
      </c>
      <c r="R6" s="17">
        <f>IF($C6="","",IF($P6="","",IF($P6&lt;cfgSpellInterventionAvg,"INTERVENTION","OK")))</f>
        <v/>
      </c>
      <c r="S6" s="17">
        <f>IF($C6="","",IF(COUNT($D6:$O6)&lt;&gt;COUNTA($D6:$O6),"SCORE NOT A NUMBER",IF(SUMPRODUCT(($D6:$O6&lt;&gt;"")*((N($D6:$O6)&lt;0)+(N($D6:$O6)&gt;100)))&gt;0,"SCORE OUT OF RANGE","OK")))</f>
        <v/>
      </c>
      <c r="T6" s="17">
        <f>IF(Cadets!$B6="","",Cadets!$I6)</f>
        <v/>
      </c>
    </row>
    <row r="7">
      <c r="B7" s="17">
        <f>IF(Cadets!$B7="","",Cadets!$B7)</f>
        <v/>
      </c>
      <c r="C7" s="17">
        <f>IF(Cadets!$B7="","",Cadets!$F7)</f>
        <v/>
      </c>
      <c r="D7" s="16" t="n"/>
      <c r="E7" s="16" t="n"/>
      <c r="F7" s="16" t="n"/>
      <c r="G7" s="16" t="n"/>
      <c r="H7" s="16" t="n"/>
      <c r="I7" s="16" t="n"/>
      <c r="J7" s="16" t="n"/>
      <c r="K7" s="16" t="n"/>
      <c r="L7" s="16" t="n"/>
      <c r="M7" s="16" t="n"/>
      <c r="N7" s="16" t="n"/>
      <c r="O7" s="16" t="n"/>
      <c r="P7" s="17">
        <f>IF($C7="","",IF($Q7=0,"",ROUND(SUMIFS($D7:$O7,$D7:$O7,"&gt;=0",$D7:$O7,"&lt;=100")/$Q7,1)))</f>
        <v/>
      </c>
      <c r="Q7" s="17">
        <f>IF($C7="","",COUNTIFS($D7:$O7,"&gt;=0",$D7:$O7,"&lt;=100"))</f>
        <v/>
      </c>
      <c r="R7" s="17">
        <f>IF($C7="","",IF($P7="","",IF($P7&lt;cfgSpellInterventionAvg,"INTERVENTION","OK")))</f>
        <v/>
      </c>
      <c r="S7" s="17">
        <f>IF($C7="","",IF(COUNT($D7:$O7)&lt;&gt;COUNTA($D7:$O7),"SCORE NOT A NUMBER",IF(SUMPRODUCT(($D7:$O7&lt;&gt;"")*((N($D7:$O7)&lt;0)+(N($D7:$O7)&gt;100)))&gt;0,"SCORE OUT OF RANGE","OK")))</f>
        <v/>
      </c>
      <c r="T7" s="17">
        <f>IF(Cadets!$B7="","",Cadets!$I7)</f>
        <v/>
      </c>
    </row>
    <row r="8">
      <c r="B8" s="17">
        <f>IF(Cadets!$B8="","",Cadets!$B8)</f>
        <v/>
      </c>
      <c r="C8" s="17">
        <f>IF(Cadets!$B8="","",Cadets!$F8)</f>
        <v/>
      </c>
      <c r="D8" s="16" t="n"/>
      <c r="E8" s="16" t="n"/>
      <c r="F8" s="16" t="n"/>
      <c r="G8" s="16" t="n"/>
      <c r="H8" s="16" t="n"/>
      <c r="I8" s="16" t="n"/>
      <c r="J8" s="16" t="n"/>
      <c r="K8" s="16" t="n"/>
      <c r="L8" s="16" t="n"/>
      <c r="M8" s="16" t="n"/>
      <c r="N8" s="16" t="n"/>
      <c r="O8" s="16" t="n"/>
      <c r="P8" s="17">
        <f>IF($C8="","",IF($Q8=0,"",ROUND(SUMIFS($D8:$O8,$D8:$O8,"&gt;=0",$D8:$O8,"&lt;=100")/$Q8,1)))</f>
        <v/>
      </c>
      <c r="Q8" s="17">
        <f>IF($C8="","",COUNTIFS($D8:$O8,"&gt;=0",$D8:$O8,"&lt;=100"))</f>
        <v/>
      </c>
      <c r="R8" s="17">
        <f>IF($C8="","",IF($P8="","",IF($P8&lt;cfgSpellInterventionAvg,"INTERVENTION","OK")))</f>
        <v/>
      </c>
      <c r="S8" s="17">
        <f>IF($C8="","",IF(COUNT($D8:$O8)&lt;&gt;COUNTA($D8:$O8),"SCORE NOT A NUMBER",IF(SUMPRODUCT(($D8:$O8&lt;&gt;"")*((N($D8:$O8)&lt;0)+(N($D8:$O8)&gt;100)))&gt;0,"SCORE OUT OF RANGE","OK")))</f>
        <v/>
      </c>
      <c r="T8" s="17">
        <f>IF(Cadets!$B8="","",Cadets!$I8)</f>
        <v/>
      </c>
    </row>
    <row r="9">
      <c r="B9" s="17">
        <f>IF(Cadets!$B9="","",Cadets!$B9)</f>
        <v/>
      </c>
      <c r="C9" s="17">
        <f>IF(Cadets!$B9="","",Cadets!$F9)</f>
        <v/>
      </c>
      <c r="D9" s="16" t="n"/>
      <c r="E9" s="16" t="n"/>
      <c r="F9" s="16" t="n"/>
      <c r="G9" s="16" t="n"/>
      <c r="H9" s="16" t="n"/>
      <c r="I9" s="16" t="n"/>
      <c r="J9" s="16" t="n"/>
      <c r="K9" s="16" t="n"/>
      <c r="L9" s="16" t="n"/>
      <c r="M9" s="16" t="n"/>
      <c r="N9" s="16" t="n"/>
      <c r="O9" s="16" t="n"/>
      <c r="P9" s="17">
        <f>IF($C9="","",IF($Q9=0,"",ROUND(SUMIFS($D9:$O9,$D9:$O9,"&gt;=0",$D9:$O9,"&lt;=100")/$Q9,1)))</f>
        <v/>
      </c>
      <c r="Q9" s="17">
        <f>IF($C9="","",COUNTIFS($D9:$O9,"&gt;=0",$D9:$O9,"&lt;=100"))</f>
        <v/>
      </c>
      <c r="R9" s="17">
        <f>IF($C9="","",IF($P9="","",IF($P9&lt;cfgSpellInterventionAvg,"INTERVENTION","OK")))</f>
        <v/>
      </c>
      <c r="S9" s="17">
        <f>IF($C9="","",IF(COUNT($D9:$O9)&lt;&gt;COUNTA($D9:$O9),"SCORE NOT A NUMBER",IF(SUMPRODUCT(($D9:$O9&lt;&gt;"")*((N($D9:$O9)&lt;0)+(N($D9:$O9)&gt;100)))&gt;0,"SCORE OUT OF RANGE","OK")))</f>
        <v/>
      </c>
      <c r="T9" s="17">
        <f>IF(Cadets!$B9="","",Cadets!$I9)</f>
        <v/>
      </c>
    </row>
    <row r="10">
      <c r="B10" s="17">
        <f>IF(Cadets!$B10="","",Cadets!$B10)</f>
        <v/>
      </c>
      <c r="C10" s="17">
        <f>IF(Cadets!$B10="","",Cadets!$F10)</f>
        <v/>
      </c>
      <c r="D10" s="16" t="n"/>
      <c r="E10" s="16" t="n"/>
      <c r="F10" s="16" t="n"/>
      <c r="G10" s="16" t="n"/>
      <c r="H10" s="16" t="n"/>
      <c r="I10" s="16" t="n"/>
      <c r="J10" s="16" t="n"/>
      <c r="K10" s="16" t="n"/>
      <c r="L10" s="16" t="n"/>
      <c r="M10" s="16" t="n"/>
      <c r="N10" s="16" t="n"/>
      <c r="O10" s="16" t="n"/>
      <c r="P10" s="17">
        <f>IF($C10="","",IF($Q10=0,"",ROUND(SUMIFS($D10:$O10,$D10:$O10,"&gt;=0",$D10:$O10,"&lt;=100")/$Q10,1)))</f>
        <v/>
      </c>
      <c r="Q10" s="17">
        <f>IF($C10="","",COUNTIFS($D10:$O10,"&gt;=0",$D10:$O10,"&lt;=100"))</f>
        <v/>
      </c>
      <c r="R10" s="17">
        <f>IF($C10="","",IF($P10="","",IF($P10&lt;cfgSpellInterventionAvg,"INTERVENTION","OK")))</f>
        <v/>
      </c>
      <c r="S10" s="17">
        <f>IF($C10="","",IF(COUNT($D10:$O10)&lt;&gt;COUNTA($D10:$O10),"SCORE NOT A NUMBER",IF(SUMPRODUCT(($D10:$O10&lt;&gt;"")*((N($D10:$O10)&lt;0)+(N($D10:$O10)&gt;100)))&gt;0,"SCORE OUT OF RANGE","OK")))</f>
        <v/>
      </c>
      <c r="T10" s="17">
        <f>IF(Cadets!$B10="","",Cadets!$I10)</f>
        <v/>
      </c>
    </row>
    <row r="11">
      <c r="B11" s="17">
        <f>IF(Cadets!$B11="","",Cadets!$B11)</f>
        <v/>
      </c>
      <c r="C11" s="17">
        <f>IF(Cadets!$B11="","",Cadets!$F11)</f>
        <v/>
      </c>
      <c r="D11" s="16" t="n"/>
      <c r="E11" s="16" t="n"/>
      <c r="F11" s="16" t="n"/>
      <c r="G11" s="16" t="n"/>
      <c r="H11" s="16" t="n"/>
      <c r="I11" s="16" t="n"/>
      <c r="J11" s="16" t="n"/>
      <c r="K11" s="16" t="n"/>
      <c r="L11" s="16" t="n"/>
      <c r="M11" s="16" t="n"/>
      <c r="N11" s="16" t="n"/>
      <c r="O11" s="16" t="n"/>
      <c r="P11" s="17">
        <f>IF($C11="","",IF($Q11=0,"",ROUND(SUMIFS($D11:$O11,$D11:$O11,"&gt;=0",$D11:$O11,"&lt;=100")/$Q11,1)))</f>
        <v/>
      </c>
      <c r="Q11" s="17">
        <f>IF($C11="","",COUNTIFS($D11:$O11,"&gt;=0",$D11:$O11,"&lt;=100"))</f>
        <v/>
      </c>
      <c r="R11" s="17">
        <f>IF($C11="","",IF($P11="","",IF($P11&lt;cfgSpellInterventionAvg,"INTERVENTION","OK")))</f>
        <v/>
      </c>
      <c r="S11" s="17">
        <f>IF($C11="","",IF(COUNT($D11:$O11)&lt;&gt;COUNTA($D11:$O11),"SCORE NOT A NUMBER",IF(SUMPRODUCT(($D11:$O11&lt;&gt;"")*((N($D11:$O11)&lt;0)+(N($D11:$O11)&gt;100)))&gt;0,"SCORE OUT OF RANGE","OK")))</f>
        <v/>
      </c>
      <c r="T11" s="17">
        <f>IF(Cadets!$B11="","",Cadets!$I11)</f>
        <v/>
      </c>
    </row>
    <row r="12">
      <c r="B12" s="17">
        <f>IF(Cadets!$B12="","",Cadets!$B12)</f>
        <v/>
      </c>
      <c r="C12" s="17">
        <f>IF(Cadets!$B12="","",Cadets!$F12)</f>
        <v/>
      </c>
      <c r="D12" s="16" t="n"/>
      <c r="E12" s="16" t="n"/>
      <c r="F12" s="16" t="n"/>
      <c r="G12" s="16" t="n"/>
      <c r="H12" s="16" t="n"/>
      <c r="I12" s="16" t="n"/>
      <c r="J12" s="16" t="n"/>
      <c r="K12" s="16" t="n"/>
      <c r="L12" s="16" t="n"/>
      <c r="M12" s="16" t="n"/>
      <c r="N12" s="16" t="n"/>
      <c r="O12" s="16" t="n"/>
      <c r="P12" s="17">
        <f>IF($C12="","",IF($Q12=0,"",ROUND(SUMIFS($D12:$O12,$D12:$O12,"&gt;=0",$D12:$O12,"&lt;=100")/$Q12,1)))</f>
        <v/>
      </c>
      <c r="Q12" s="17">
        <f>IF($C12="","",COUNTIFS($D12:$O12,"&gt;=0",$D12:$O12,"&lt;=100"))</f>
        <v/>
      </c>
      <c r="R12" s="17">
        <f>IF($C12="","",IF($P12="","",IF($P12&lt;cfgSpellInterventionAvg,"INTERVENTION","OK")))</f>
        <v/>
      </c>
      <c r="S12" s="17">
        <f>IF($C12="","",IF(COUNT($D12:$O12)&lt;&gt;COUNTA($D12:$O12),"SCORE NOT A NUMBER",IF(SUMPRODUCT(($D12:$O12&lt;&gt;"")*((N($D12:$O12)&lt;0)+(N($D12:$O12)&gt;100)))&gt;0,"SCORE OUT OF RANGE","OK")))</f>
        <v/>
      </c>
      <c r="T12" s="17">
        <f>IF(Cadets!$B12="","",Cadets!$I12)</f>
        <v/>
      </c>
    </row>
    <row r="13">
      <c r="B13" s="17">
        <f>IF(Cadets!$B13="","",Cadets!$B13)</f>
        <v/>
      </c>
      <c r="C13" s="17">
        <f>IF(Cadets!$B13="","",Cadets!$F13)</f>
        <v/>
      </c>
      <c r="D13" s="16" t="n"/>
      <c r="E13" s="16" t="n"/>
      <c r="F13" s="16" t="n"/>
      <c r="G13" s="16" t="n"/>
      <c r="H13" s="16" t="n"/>
      <c r="I13" s="16" t="n"/>
      <c r="J13" s="16" t="n"/>
      <c r="K13" s="16" t="n"/>
      <c r="L13" s="16" t="n"/>
      <c r="M13" s="16" t="n"/>
      <c r="N13" s="16" t="n"/>
      <c r="O13" s="16" t="n"/>
      <c r="P13" s="17">
        <f>IF($C13="","",IF($Q13=0,"",ROUND(SUMIFS($D13:$O13,$D13:$O13,"&gt;=0",$D13:$O13,"&lt;=100")/$Q13,1)))</f>
        <v/>
      </c>
      <c r="Q13" s="17">
        <f>IF($C13="","",COUNTIFS($D13:$O13,"&gt;=0",$D13:$O13,"&lt;=100"))</f>
        <v/>
      </c>
      <c r="R13" s="17">
        <f>IF($C13="","",IF($P13="","",IF($P13&lt;cfgSpellInterventionAvg,"INTERVENTION","OK")))</f>
        <v/>
      </c>
      <c r="S13" s="17">
        <f>IF($C13="","",IF(COUNT($D13:$O13)&lt;&gt;COUNTA($D13:$O13),"SCORE NOT A NUMBER",IF(SUMPRODUCT(($D13:$O13&lt;&gt;"")*((N($D13:$O13)&lt;0)+(N($D13:$O13)&gt;100)))&gt;0,"SCORE OUT OF RANGE","OK")))</f>
        <v/>
      </c>
      <c r="T13" s="17">
        <f>IF(Cadets!$B13="","",Cadets!$I13)</f>
        <v/>
      </c>
    </row>
    <row r="14">
      <c r="B14" s="17">
        <f>IF(Cadets!$B14="","",Cadets!$B14)</f>
        <v/>
      </c>
      <c r="C14" s="17">
        <f>IF(Cadets!$B14="","",Cadets!$F14)</f>
        <v/>
      </c>
      <c r="D14" s="16" t="n"/>
      <c r="E14" s="16" t="n"/>
      <c r="F14" s="16" t="n"/>
      <c r="G14" s="16" t="n"/>
      <c r="H14" s="16" t="n"/>
      <c r="I14" s="16" t="n"/>
      <c r="J14" s="16" t="n"/>
      <c r="K14" s="16" t="n"/>
      <c r="L14" s="16" t="n"/>
      <c r="M14" s="16" t="n"/>
      <c r="N14" s="16" t="n"/>
      <c r="O14" s="16" t="n"/>
      <c r="P14" s="17">
        <f>IF($C14="","",IF($Q14=0,"",ROUND(SUMIFS($D14:$O14,$D14:$O14,"&gt;=0",$D14:$O14,"&lt;=100")/$Q14,1)))</f>
        <v/>
      </c>
      <c r="Q14" s="17">
        <f>IF($C14="","",COUNTIFS($D14:$O14,"&gt;=0",$D14:$O14,"&lt;=100"))</f>
        <v/>
      </c>
      <c r="R14" s="17">
        <f>IF($C14="","",IF($P14="","",IF($P14&lt;cfgSpellInterventionAvg,"INTERVENTION","OK")))</f>
        <v/>
      </c>
      <c r="S14" s="17">
        <f>IF($C14="","",IF(COUNT($D14:$O14)&lt;&gt;COUNTA($D14:$O14),"SCORE NOT A NUMBER",IF(SUMPRODUCT(($D14:$O14&lt;&gt;"")*((N($D14:$O14)&lt;0)+(N($D14:$O14)&gt;100)))&gt;0,"SCORE OUT OF RANGE","OK")))</f>
        <v/>
      </c>
      <c r="T14" s="17">
        <f>IF(Cadets!$B14="","",Cadets!$I14)</f>
        <v/>
      </c>
    </row>
    <row r="15">
      <c r="B15" s="17">
        <f>IF(Cadets!$B15="","",Cadets!$B15)</f>
        <v/>
      </c>
      <c r="C15" s="17">
        <f>IF(Cadets!$B15="","",Cadets!$F15)</f>
        <v/>
      </c>
      <c r="D15" s="16" t="n"/>
      <c r="E15" s="16" t="n"/>
      <c r="F15" s="16" t="n"/>
      <c r="G15" s="16" t="n"/>
      <c r="H15" s="16" t="n"/>
      <c r="I15" s="16" t="n"/>
      <c r="J15" s="16" t="n"/>
      <c r="K15" s="16" t="n"/>
      <c r="L15" s="16" t="n"/>
      <c r="M15" s="16" t="n"/>
      <c r="N15" s="16" t="n"/>
      <c r="O15" s="16" t="n"/>
      <c r="P15" s="17">
        <f>IF($C15="","",IF($Q15=0,"",ROUND(SUMIFS($D15:$O15,$D15:$O15,"&gt;=0",$D15:$O15,"&lt;=100")/$Q15,1)))</f>
        <v/>
      </c>
      <c r="Q15" s="17">
        <f>IF($C15="","",COUNTIFS($D15:$O15,"&gt;=0",$D15:$O15,"&lt;=100"))</f>
        <v/>
      </c>
      <c r="R15" s="17">
        <f>IF($C15="","",IF($P15="","",IF($P15&lt;cfgSpellInterventionAvg,"INTERVENTION","OK")))</f>
        <v/>
      </c>
      <c r="S15" s="17">
        <f>IF($C15="","",IF(COUNT($D15:$O15)&lt;&gt;COUNTA($D15:$O15),"SCORE NOT A NUMBER",IF(SUMPRODUCT(($D15:$O15&lt;&gt;"")*((N($D15:$O15)&lt;0)+(N($D15:$O15)&gt;100)))&gt;0,"SCORE OUT OF RANGE","OK")))</f>
        <v/>
      </c>
      <c r="T15" s="17">
        <f>IF(Cadets!$B15="","",Cadets!$I15)</f>
        <v/>
      </c>
    </row>
    <row r="16">
      <c r="B16" s="17">
        <f>IF(Cadets!$B16="","",Cadets!$B16)</f>
        <v/>
      </c>
      <c r="C16" s="17">
        <f>IF(Cadets!$B16="","",Cadets!$F16)</f>
        <v/>
      </c>
      <c r="D16" s="16" t="n"/>
      <c r="E16" s="16" t="n"/>
      <c r="F16" s="16" t="n"/>
      <c r="G16" s="16" t="n"/>
      <c r="H16" s="16" t="n"/>
      <c r="I16" s="16" t="n"/>
      <c r="J16" s="16" t="n"/>
      <c r="K16" s="16" t="n"/>
      <c r="L16" s="16" t="n"/>
      <c r="M16" s="16" t="n"/>
      <c r="N16" s="16" t="n"/>
      <c r="O16" s="16" t="n"/>
      <c r="P16" s="17">
        <f>IF($C16="","",IF($Q16=0,"",ROUND(SUMIFS($D16:$O16,$D16:$O16,"&gt;=0",$D16:$O16,"&lt;=100")/$Q16,1)))</f>
        <v/>
      </c>
      <c r="Q16" s="17">
        <f>IF($C16="","",COUNTIFS($D16:$O16,"&gt;=0",$D16:$O16,"&lt;=100"))</f>
        <v/>
      </c>
      <c r="R16" s="17">
        <f>IF($C16="","",IF($P16="","",IF($P16&lt;cfgSpellInterventionAvg,"INTERVENTION","OK")))</f>
        <v/>
      </c>
      <c r="S16" s="17">
        <f>IF($C16="","",IF(COUNT($D16:$O16)&lt;&gt;COUNTA($D16:$O16),"SCORE NOT A NUMBER",IF(SUMPRODUCT(($D16:$O16&lt;&gt;"")*((N($D16:$O16)&lt;0)+(N($D16:$O16)&gt;100)))&gt;0,"SCORE OUT OF RANGE","OK")))</f>
        <v/>
      </c>
      <c r="T16" s="17">
        <f>IF(Cadets!$B16="","",Cadets!$I16)</f>
        <v/>
      </c>
    </row>
    <row r="17">
      <c r="B17" s="17">
        <f>IF(Cadets!$B17="","",Cadets!$B17)</f>
        <v/>
      </c>
      <c r="C17" s="17">
        <f>IF(Cadets!$B17="","",Cadets!$F17)</f>
        <v/>
      </c>
      <c r="D17" s="16" t="n"/>
      <c r="E17" s="16" t="n"/>
      <c r="F17" s="16" t="n"/>
      <c r="G17" s="16" t="n"/>
      <c r="H17" s="16" t="n"/>
      <c r="I17" s="16" t="n"/>
      <c r="J17" s="16" t="n"/>
      <c r="K17" s="16" t="n"/>
      <c r="L17" s="16" t="n"/>
      <c r="M17" s="16" t="n"/>
      <c r="N17" s="16" t="n"/>
      <c r="O17" s="16" t="n"/>
      <c r="P17" s="17">
        <f>IF($C17="","",IF($Q17=0,"",ROUND(SUMIFS($D17:$O17,$D17:$O17,"&gt;=0",$D17:$O17,"&lt;=100")/$Q17,1)))</f>
        <v/>
      </c>
      <c r="Q17" s="17">
        <f>IF($C17="","",COUNTIFS($D17:$O17,"&gt;=0",$D17:$O17,"&lt;=100"))</f>
        <v/>
      </c>
      <c r="R17" s="17">
        <f>IF($C17="","",IF($P17="","",IF($P17&lt;cfgSpellInterventionAvg,"INTERVENTION","OK")))</f>
        <v/>
      </c>
      <c r="S17" s="17">
        <f>IF($C17="","",IF(COUNT($D17:$O17)&lt;&gt;COUNTA($D17:$O17),"SCORE NOT A NUMBER",IF(SUMPRODUCT(($D17:$O17&lt;&gt;"")*((N($D17:$O17)&lt;0)+(N($D17:$O17)&gt;100)))&gt;0,"SCORE OUT OF RANGE","OK")))</f>
        <v/>
      </c>
      <c r="T17" s="17">
        <f>IF(Cadets!$B17="","",Cadets!$I17)</f>
        <v/>
      </c>
    </row>
    <row r="18">
      <c r="B18" s="17">
        <f>IF(Cadets!$B18="","",Cadets!$B18)</f>
        <v/>
      </c>
      <c r="C18" s="17">
        <f>IF(Cadets!$B18="","",Cadets!$F18)</f>
        <v/>
      </c>
      <c r="D18" s="16" t="n"/>
      <c r="E18" s="16" t="n"/>
      <c r="F18" s="16" t="n"/>
      <c r="G18" s="16" t="n"/>
      <c r="H18" s="16" t="n"/>
      <c r="I18" s="16" t="n"/>
      <c r="J18" s="16" t="n"/>
      <c r="K18" s="16" t="n"/>
      <c r="L18" s="16" t="n"/>
      <c r="M18" s="16" t="n"/>
      <c r="N18" s="16" t="n"/>
      <c r="O18" s="16" t="n"/>
      <c r="P18" s="17">
        <f>IF($C18="","",IF($Q18=0,"",ROUND(SUMIFS($D18:$O18,$D18:$O18,"&gt;=0",$D18:$O18,"&lt;=100")/$Q18,1)))</f>
        <v/>
      </c>
      <c r="Q18" s="17">
        <f>IF($C18="","",COUNTIFS($D18:$O18,"&gt;=0",$D18:$O18,"&lt;=100"))</f>
        <v/>
      </c>
      <c r="R18" s="17">
        <f>IF($C18="","",IF($P18="","",IF($P18&lt;cfgSpellInterventionAvg,"INTERVENTION","OK")))</f>
        <v/>
      </c>
      <c r="S18" s="17">
        <f>IF($C18="","",IF(COUNT($D18:$O18)&lt;&gt;COUNTA($D18:$O18),"SCORE NOT A NUMBER",IF(SUMPRODUCT(($D18:$O18&lt;&gt;"")*((N($D18:$O18)&lt;0)+(N($D18:$O18)&gt;100)))&gt;0,"SCORE OUT OF RANGE","OK")))</f>
        <v/>
      </c>
      <c r="T18" s="17">
        <f>IF(Cadets!$B18="","",Cadets!$I18)</f>
        <v/>
      </c>
    </row>
    <row r="19">
      <c r="B19" s="17">
        <f>IF(Cadets!$B19="","",Cadets!$B19)</f>
        <v/>
      </c>
      <c r="C19" s="17">
        <f>IF(Cadets!$B19="","",Cadets!$F19)</f>
        <v/>
      </c>
      <c r="D19" s="16" t="n"/>
      <c r="E19" s="16" t="n"/>
      <c r="F19" s="16" t="n"/>
      <c r="G19" s="16" t="n"/>
      <c r="H19" s="16" t="n"/>
      <c r="I19" s="16" t="n"/>
      <c r="J19" s="16" t="n"/>
      <c r="K19" s="16" t="n"/>
      <c r="L19" s="16" t="n"/>
      <c r="M19" s="16" t="n"/>
      <c r="N19" s="16" t="n"/>
      <c r="O19" s="16" t="n"/>
      <c r="P19" s="17">
        <f>IF($C19="","",IF($Q19=0,"",ROUND(SUMIFS($D19:$O19,$D19:$O19,"&gt;=0",$D19:$O19,"&lt;=100")/$Q19,1)))</f>
        <v/>
      </c>
      <c r="Q19" s="17">
        <f>IF($C19="","",COUNTIFS($D19:$O19,"&gt;=0",$D19:$O19,"&lt;=100"))</f>
        <v/>
      </c>
      <c r="R19" s="17">
        <f>IF($C19="","",IF($P19="","",IF($P19&lt;cfgSpellInterventionAvg,"INTERVENTION","OK")))</f>
        <v/>
      </c>
      <c r="S19" s="17">
        <f>IF($C19="","",IF(COUNT($D19:$O19)&lt;&gt;COUNTA($D19:$O19),"SCORE NOT A NUMBER",IF(SUMPRODUCT(($D19:$O19&lt;&gt;"")*((N($D19:$O19)&lt;0)+(N($D19:$O19)&gt;100)))&gt;0,"SCORE OUT OF RANGE","OK")))</f>
        <v/>
      </c>
      <c r="T19" s="17">
        <f>IF(Cadets!$B19="","",Cadets!$I19)</f>
        <v/>
      </c>
    </row>
    <row r="20">
      <c r="B20" s="17">
        <f>IF(Cadets!$B20="","",Cadets!$B20)</f>
        <v/>
      </c>
      <c r="C20" s="17">
        <f>IF(Cadets!$B20="","",Cadets!$F20)</f>
        <v/>
      </c>
      <c r="D20" s="16" t="n"/>
      <c r="E20" s="16" t="n"/>
      <c r="F20" s="16" t="n"/>
      <c r="G20" s="16" t="n"/>
      <c r="H20" s="16" t="n"/>
      <c r="I20" s="16" t="n"/>
      <c r="J20" s="16" t="n"/>
      <c r="K20" s="16" t="n"/>
      <c r="L20" s="16" t="n"/>
      <c r="M20" s="16" t="n"/>
      <c r="N20" s="16" t="n"/>
      <c r="O20" s="16" t="n"/>
      <c r="P20" s="17">
        <f>IF($C20="","",IF($Q20=0,"",ROUND(SUMIFS($D20:$O20,$D20:$O20,"&gt;=0",$D20:$O20,"&lt;=100")/$Q20,1)))</f>
        <v/>
      </c>
      <c r="Q20" s="17">
        <f>IF($C20="","",COUNTIFS($D20:$O20,"&gt;=0",$D20:$O20,"&lt;=100"))</f>
        <v/>
      </c>
      <c r="R20" s="17">
        <f>IF($C20="","",IF($P20="","",IF($P20&lt;cfgSpellInterventionAvg,"INTERVENTION","OK")))</f>
        <v/>
      </c>
      <c r="S20" s="17">
        <f>IF($C20="","",IF(COUNT($D20:$O20)&lt;&gt;COUNTA($D20:$O20),"SCORE NOT A NUMBER",IF(SUMPRODUCT(($D20:$O20&lt;&gt;"")*((N($D20:$O20)&lt;0)+(N($D20:$O20)&gt;100)))&gt;0,"SCORE OUT OF RANGE","OK")))</f>
        <v/>
      </c>
      <c r="T20" s="17">
        <f>IF(Cadets!$B20="","",Cadets!$I20)</f>
        <v/>
      </c>
    </row>
    <row r="21">
      <c r="B21" s="17">
        <f>IF(Cadets!$B21="","",Cadets!$B21)</f>
        <v/>
      </c>
      <c r="C21" s="17">
        <f>IF(Cadets!$B21="","",Cadets!$F21)</f>
        <v/>
      </c>
      <c r="D21" s="16" t="n"/>
      <c r="E21" s="16" t="n"/>
      <c r="F21" s="16" t="n"/>
      <c r="G21" s="16" t="n"/>
      <c r="H21" s="16" t="n"/>
      <c r="I21" s="16" t="n"/>
      <c r="J21" s="16" t="n"/>
      <c r="K21" s="16" t="n"/>
      <c r="L21" s="16" t="n"/>
      <c r="M21" s="16" t="n"/>
      <c r="N21" s="16" t="n"/>
      <c r="O21" s="16" t="n"/>
      <c r="P21" s="17">
        <f>IF($C21="","",IF($Q21=0,"",ROUND(SUMIFS($D21:$O21,$D21:$O21,"&gt;=0",$D21:$O21,"&lt;=100")/$Q21,1)))</f>
        <v/>
      </c>
      <c r="Q21" s="17">
        <f>IF($C21="","",COUNTIFS($D21:$O21,"&gt;=0",$D21:$O21,"&lt;=100"))</f>
        <v/>
      </c>
      <c r="R21" s="17">
        <f>IF($C21="","",IF($P21="","",IF($P21&lt;cfgSpellInterventionAvg,"INTERVENTION","OK")))</f>
        <v/>
      </c>
      <c r="S21" s="17">
        <f>IF($C21="","",IF(COUNT($D21:$O21)&lt;&gt;COUNTA($D21:$O21),"SCORE NOT A NUMBER",IF(SUMPRODUCT(($D21:$O21&lt;&gt;"")*((N($D21:$O21)&lt;0)+(N($D21:$O21)&gt;100)))&gt;0,"SCORE OUT OF RANGE","OK")))</f>
        <v/>
      </c>
      <c r="T21" s="17">
        <f>IF(Cadets!$B21="","",Cadets!$I21)</f>
        <v/>
      </c>
    </row>
    <row r="22">
      <c r="B22" s="17">
        <f>IF(Cadets!$B22="","",Cadets!$B22)</f>
        <v/>
      </c>
      <c r="C22" s="17">
        <f>IF(Cadets!$B22="","",Cadets!$F22)</f>
        <v/>
      </c>
      <c r="D22" s="16" t="n"/>
      <c r="E22" s="16" t="n"/>
      <c r="F22" s="16" t="n"/>
      <c r="G22" s="16" t="n"/>
      <c r="H22" s="16" t="n"/>
      <c r="I22" s="16" t="n"/>
      <c r="J22" s="16" t="n"/>
      <c r="K22" s="16" t="n"/>
      <c r="L22" s="16" t="n"/>
      <c r="M22" s="16" t="n"/>
      <c r="N22" s="16" t="n"/>
      <c r="O22" s="16" t="n"/>
      <c r="P22" s="17">
        <f>IF($C22="","",IF($Q22=0,"",ROUND(SUMIFS($D22:$O22,$D22:$O22,"&gt;=0",$D22:$O22,"&lt;=100")/$Q22,1)))</f>
        <v/>
      </c>
      <c r="Q22" s="17">
        <f>IF($C22="","",COUNTIFS($D22:$O22,"&gt;=0",$D22:$O22,"&lt;=100"))</f>
        <v/>
      </c>
      <c r="R22" s="17">
        <f>IF($C22="","",IF($P22="","",IF($P22&lt;cfgSpellInterventionAvg,"INTERVENTION","OK")))</f>
        <v/>
      </c>
      <c r="S22" s="17">
        <f>IF($C22="","",IF(COUNT($D22:$O22)&lt;&gt;COUNTA($D22:$O22),"SCORE NOT A NUMBER",IF(SUMPRODUCT(($D22:$O22&lt;&gt;"")*((N($D22:$O22)&lt;0)+(N($D22:$O22)&gt;100)))&gt;0,"SCORE OUT OF RANGE","OK")))</f>
        <v/>
      </c>
      <c r="T22" s="17">
        <f>IF(Cadets!$B22="","",Cadets!$I22)</f>
        <v/>
      </c>
    </row>
    <row r="23">
      <c r="B23" s="17">
        <f>IF(Cadets!$B23="","",Cadets!$B23)</f>
        <v/>
      </c>
      <c r="C23" s="17">
        <f>IF(Cadets!$B23="","",Cadets!$F23)</f>
        <v/>
      </c>
      <c r="D23" s="16" t="n"/>
      <c r="E23" s="16" t="n"/>
      <c r="F23" s="16" t="n"/>
      <c r="G23" s="16" t="n"/>
      <c r="H23" s="16" t="n"/>
      <c r="I23" s="16" t="n"/>
      <c r="J23" s="16" t="n"/>
      <c r="K23" s="16" t="n"/>
      <c r="L23" s="16" t="n"/>
      <c r="M23" s="16" t="n"/>
      <c r="N23" s="16" t="n"/>
      <c r="O23" s="16" t="n"/>
      <c r="P23" s="17">
        <f>IF($C23="","",IF($Q23=0,"",ROUND(SUMIFS($D23:$O23,$D23:$O23,"&gt;=0",$D23:$O23,"&lt;=100")/$Q23,1)))</f>
        <v/>
      </c>
      <c r="Q23" s="17">
        <f>IF($C23="","",COUNTIFS($D23:$O23,"&gt;=0",$D23:$O23,"&lt;=100"))</f>
        <v/>
      </c>
      <c r="R23" s="17">
        <f>IF($C23="","",IF($P23="","",IF($P23&lt;cfgSpellInterventionAvg,"INTERVENTION","OK")))</f>
        <v/>
      </c>
      <c r="S23" s="17">
        <f>IF($C23="","",IF(COUNT($D23:$O23)&lt;&gt;COUNTA($D23:$O23),"SCORE NOT A NUMBER",IF(SUMPRODUCT(($D23:$O23&lt;&gt;"")*((N($D23:$O23)&lt;0)+(N($D23:$O23)&gt;100)))&gt;0,"SCORE OUT OF RANGE","OK")))</f>
        <v/>
      </c>
      <c r="T23" s="17">
        <f>IF(Cadets!$B23="","",Cadets!$I23)</f>
        <v/>
      </c>
    </row>
    <row r="24">
      <c r="B24" s="17">
        <f>IF(Cadets!$B24="","",Cadets!$B24)</f>
        <v/>
      </c>
      <c r="C24" s="17">
        <f>IF(Cadets!$B24="","",Cadets!$F24)</f>
        <v/>
      </c>
      <c r="D24" s="16" t="n"/>
      <c r="E24" s="16" t="n"/>
      <c r="F24" s="16" t="n"/>
      <c r="G24" s="16" t="n"/>
      <c r="H24" s="16" t="n"/>
      <c r="I24" s="16" t="n"/>
      <c r="J24" s="16" t="n"/>
      <c r="K24" s="16" t="n"/>
      <c r="L24" s="16" t="n"/>
      <c r="M24" s="16" t="n"/>
      <c r="N24" s="16" t="n"/>
      <c r="O24" s="16" t="n"/>
      <c r="P24" s="17">
        <f>IF($C24="","",IF($Q24=0,"",ROUND(SUMIFS($D24:$O24,$D24:$O24,"&gt;=0",$D24:$O24,"&lt;=100")/$Q24,1)))</f>
        <v/>
      </c>
      <c r="Q24" s="17">
        <f>IF($C24="","",COUNTIFS($D24:$O24,"&gt;=0",$D24:$O24,"&lt;=100"))</f>
        <v/>
      </c>
      <c r="R24" s="17">
        <f>IF($C24="","",IF($P24="","",IF($P24&lt;cfgSpellInterventionAvg,"INTERVENTION","OK")))</f>
        <v/>
      </c>
      <c r="S24" s="17">
        <f>IF($C24="","",IF(COUNT($D24:$O24)&lt;&gt;COUNTA($D24:$O24),"SCORE NOT A NUMBER",IF(SUMPRODUCT(($D24:$O24&lt;&gt;"")*((N($D24:$O24)&lt;0)+(N($D24:$O24)&gt;100)))&gt;0,"SCORE OUT OF RANGE","OK")))</f>
        <v/>
      </c>
      <c r="T24" s="17">
        <f>IF(Cadets!$B24="","",Cadets!$I24)</f>
        <v/>
      </c>
    </row>
    <row r="25">
      <c r="B25" s="17">
        <f>IF(Cadets!$B25="","",Cadets!$B25)</f>
        <v/>
      </c>
      <c r="C25" s="17">
        <f>IF(Cadets!$B25="","",Cadets!$F25)</f>
        <v/>
      </c>
      <c r="D25" s="16" t="n"/>
      <c r="E25" s="16" t="n"/>
      <c r="F25" s="16" t="n"/>
      <c r="G25" s="16" t="n"/>
      <c r="H25" s="16" t="n"/>
      <c r="I25" s="16" t="n"/>
      <c r="J25" s="16" t="n"/>
      <c r="K25" s="16" t="n"/>
      <c r="L25" s="16" t="n"/>
      <c r="M25" s="16" t="n"/>
      <c r="N25" s="16" t="n"/>
      <c r="O25" s="16" t="n"/>
      <c r="P25" s="17">
        <f>IF($C25="","",IF($Q25=0,"",ROUND(SUMIFS($D25:$O25,$D25:$O25,"&gt;=0",$D25:$O25,"&lt;=100")/$Q25,1)))</f>
        <v/>
      </c>
      <c r="Q25" s="17">
        <f>IF($C25="","",COUNTIFS($D25:$O25,"&gt;=0",$D25:$O25,"&lt;=100"))</f>
        <v/>
      </c>
      <c r="R25" s="17">
        <f>IF($C25="","",IF($P25="","",IF($P25&lt;cfgSpellInterventionAvg,"INTERVENTION","OK")))</f>
        <v/>
      </c>
      <c r="S25" s="17">
        <f>IF($C25="","",IF(COUNT($D25:$O25)&lt;&gt;COUNTA($D25:$O25),"SCORE NOT A NUMBER",IF(SUMPRODUCT(($D25:$O25&lt;&gt;"")*((N($D25:$O25)&lt;0)+(N($D25:$O25)&gt;100)))&gt;0,"SCORE OUT OF RANGE","OK")))</f>
        <v/>
      </c>
      <c r="T25" s="17">
        <f>IF(Cadets!$B25="","",Cadets!$I25)</f>
        <v/>
      </c>
    </row>
    <row r="26">
      <c r="B26" s="17">
        <f>IF(Cadets!$B26="","",Cadets!$B26)</f>
        <v/>
      </c>
      <c r="C26" s="17">
        <f>IF(Cadets!$B26="","",Cadets!$F26)</f>
        <v/>
      </c>
      <c r="D26" s="16" t="n"/>
      <c r="E26" s="16" t="n"/>
      <c r="F26" s="16" t="n"/>
      <c r="G26" s="16" t="n"/>
      <c r="H26" s="16" t="n"/>
      <c r="I26" s="16" t="n"/>
      <c r="J26" s="16" t="n"/>
      <c r="K26" s="16" t="n"/>
      <c r="L26" s="16" t="n"/>
      <c r="M26" s="16" t="n"/>
      <c r="N26" s="16" t="n"/>
      <c r="O26" s="16" t="n"/>
      <c r="P26" s="17">
        <f>IF($C26="","",IF($Q26=0,"",ROUND(SUMIFS($D26:$O26,$D26:$O26,"&gt;=0",$D26:$O26,"&lt;=100")/$Q26,1)))</f>
        <v/>
      </c>
      <c r="Q26" s="17">
        <f>IF($C26="","",COUNTIFS($D26:$O26,"&gt;=0",$D26:$O26,"&lt;=100"))</f>
        <v/>
      </c>
      <c r="R26" s="17">
        <f>IF($C26="","",IF($P26="","",IF($P26&lt;cfgSpellInterventionAvg,"INTERVENTION","OK")))</f>
        <v/>
      </c>
      <c r="S26" s="17">
        <f>IF($C26="","",IF(COUNT($D26:$O26)&lt;&gt;COUNTA($D26:$O26),"SCORE NOT A NUMBER",IF(SUMPRODUCT(($D26:$O26&lt;&gt;"")*((N($D26:$O26)&lt;0)+(N($D26:$O26)&gt;100)))&gt;0,"SCORE OUT OF RANGE","OK")))</f>
        <v/>
      </c>
      <c r="T26" s="17">
        <f>IF(Cadets!$B26="","",Cadets!$I26)</f>
        <v/>
      </c>
    </row>
    <row r="27">
      <c r="B27" s="17">
        <f>IF(Cadets!$B27="","",Cadets!$B27)</f>
        <v/>
      </c>
      <c r="C27" s="17">
        <f>IF(Cadets!$B27="","",Cadets!$F27)</f>
        <v/>
      </c>
      <c r="D27" s="16" t="n"/>
      <c r="E27" s="16" t="n"/>
      <c r="F27" s="16" t="n"/>
      <c r="G27" s="16" t="n"/>
      <c r="H27" s="16" t="n"/>
      <c r="I27" s="16" t="n"/>
      <c r="J27" s="16" t="n"/>
      <c r="K27" s="16" t="n"/>
      <c r="L27" s="16" t="n"/>
      <c r="M27" s="16" t="n"/>
      <c r="N27" s="16" t="n"/>
      <c r="O27" s="16" t="n"/>
      <c r="P27" s="17">
        <f>IF($C27="","",IF($Q27=0,"",ROUND(SUMIFS($D27:$O27,$D27:$O27,"&gt;=0",$D27:$O27,"&lt;=100")/$Q27,1)))</f>
        <v/>
      </c>
      <c r="Q27" s="17">
        <f>IF($C27="","",COUNTIFS($D27:$O27,"&gt;=0",$D27:$O27,"&lt;=100"))</f>
        <v/>
      </c>
      <c r="R27" s="17">
        <f>IF($C27="","",IF($P27="","",IF($P27&lt;cfgSpellInterventionAvg,"INTERVENTION","OK")))</f>
        <v/>
      </c>
      <c r="S27" s="17">
        <f>IF($C27="","",IF(COUNT($D27:$O27)&lt;&gt;COUNTA($D27:$O27),"SCORE NOT A NUMBER",IF(SUMPRODUCT(($D27:$O27&lt;&gt;"")*((N($D27:$O27)&lt;0)+(N($D27:$O27)&gt;100)))&gt;0,"SCORE OUT OF RANGE","OK")))</f>
        <v/>
      </c>
      <c r="T27" s="17">
        <f>IF(Cadets!$B27="","",Cadets!$I27)</f>
        <v/>
      </c>
    </row>
    <row r="28">
      <c r="B28" s="17">
        <f>IF(Cadets!$B28="","",Cadets!$B28)</f>
        <v/>
      </c>
      <c r="C28" s="17">
        <f>IF(Cadets!$B28="","",Cadets!$F28)</f>
        <v/>
      </c>
      <c r="D28" s="16" t="n"/>
      <c r="E28" s="16" t="n"/>
      <c r="F28" s="16" t="n"/>
      <c r="G28" s="16" t="n"/>
      <c r="H28" s="16" t="n"/>
      <c r="I28" s="16" t="n"/>
      <c r="J28" s="16" t="n"/>
      <c r="K28" s="16" t="n"/>
      <c r="L28" s="16" t="n"/>
      <c r="M28" s="16" t="n"/>
      <c r="N28" s="16" t="n"/>
      <c r="O28" s="16" t="n"/>
      <c r="P28" s="17">
        <f>IF($C28="","",IF($Q28=0,"",ROUND(SUMIFS($D28:$O28,$D28:$O28,"&gt;=0",$D28:$O28,"&lt;=100")/$Q28,1)))</f>
        <v/>
      </c>
      <c r="Q28" s="17">
        <f>IF($C28="","",COUNTIFS($D28:$O28,"&gt;=0",$D28:$O28,"&lt;=100"))</f>
        <v/>
      </c>
      <c r="R28" s="17">
        <f>IF($C28="","",IF($P28="","",IF($P28&lt;cfgSpellInterventionAvg,"INTERVENTION","OK")))</f>
        <v/>
      </c>
      <c r="S28" s="17">
        <f>IF($C28="","",IF(COUNT($D28:$O28)&lt;&gt;COUNTA($D28:$O28),"SCORE NOT A NUMBER",IF(SUMPRODUCT(($D28:$O28&lt;&gt;"")*((N($D28:$O28)&lt;0)+(N($D28:$O28)&gt;100)))&gt;0,"SCORE OUT OF RANGE","OK")))</f>
        <v/>
      </c>
      <c r="T28" s="17">
        <f>IF(Cadets!$B28="","",Cadets!$I28)</f>
        <v/>
      </c>
    </row>
    <row r="29">
      <c r="B29" s="17">
        <f>IF(Cadets!$B29="","",Cadets!$B29)</f>
        <v/>
      </c>
      <c r="C29" s="17">
        <f>IF(Cadets!$B29="","",Cadets!$F29)</f>
        <v/>
      </c>
      <c r="D29" s="16" t="n"/>
      <c r="E29" s="16" t="n"/>
      <c r="F29" s="16" t="n"/>
      <c r="G29" s="16" t="n"/>
      <c r="H29" s="16" t="n"/>
      <c r="I29" s="16" t="n"/>
      <c r="J29" s="16" t="n"/>
      <c r="K29" s="16" t="n"/>
      <c r="L29" s="16" t="n"/>
      <c r="M29" s="16" t="n"/>
      <c r="N29" s="16" t="n"/>
      <c r="O29" s="16" t="n"/>
      <c r="P29" s="17">
        <f>IF($C29="","",IF($Q29=0,"",ROUND(SUMIFS($D29:$O29,$D29:$O29,"&gt;=0",$D29:$O29,"&lt;=100")/$Q29,1)))</f>
        <v/>
      </c>
      <c r="Q29" s="17">
        <f>IF($C29="","",COUNTIFS($D29:$O29,"&gt;=0",$D29:$O29,"&lt;=100"))</f>
        <v/>
      </c>
      <c r="R29" s="17">
        <f>IF($C29="","",IF($P29="","",IF($P29&lt;cfgSpellInterventionAvg,"INTERVENTION","OK")))</f>
        <v/>
      </c>
      <c r="S29" s="17">
        <f>IF($C29="","",IF(COUNT($D29:$O29)&lt;&gt;COUNTA($D29:$O29),"SCORE NOT A NUMBER",IF(SUMPRODUCT(($D29:$O29&lt;&gt;"")*((N($D29:$O29)&lt;0)+(N($D29:$O29)&gt;100)))&gt;0,"SCORE OUT OF RANGE","OK")))</f>
        <v/>
      </c>
      <c r="T29" s="17">
        <f>IF(Cadets!$B29="","",Cadets!$I29)</f>
        <v/>
      </c>
    </row>
    <row r="30">
      <c r="B30" s="17">
        <f>IF(Cadets!$B30="","",Cadets!$B30)</f>
        <v/>
      </c>
      <c r="C30" s="17">
        <f>IF(Cadets!$B30="","",Cadets!$F30)</f>
        <v/>
      </c>
      <c r="D30" s="16" t="n"/>
      <c r="E30" s="16" t="n"/>
      <c r="F30" s="16" t="n"/>
      <c r="G30" s="16" t="n"/>
      <c r="H30" s="16" t="n"/>
      <c r="I30" s="16" t="n"/>
      <c r="J30" s="16" t="n"/>
      <c r="K30" s="16" t="n"/>
      <c r="L30" s="16" t="n"/>
      <c r="M30" s="16" t="n"/>
      <c r="N30" s="16" t="n"/>
      <c r="O30" s="16" t="n"/>
      <c r="P30" s="17">
        <f>IF($C30="","",IF($Q30=0,"",ROUND(SUMIFS($D30:$O30,$D30:$O30,"&gt;=0",$D30:$O30,"&lt;=100")/$Q30,1)))</f>
        <v/>
      </c>
      <c r="Q30" s="17">
        <f>IF($C30="","",COUNTIFS($D30:$O30,"&gt;=0",$D30:$O30,"&lt;=100"))</f>
        <v/>
      </c>
      <c r="R30" s="17">
        <f>IF($C30="","",IF($P30="","",IF($P30&lt;cfgSpellInterventionAvg,"INTERVENTION","OK")))</f>
        <v/>
      </c>
      <c r="S30" s="17">
        <f>IF($C30="","",IF(COUNT($D30:$O30)&lt;&gt;COUNTA($D30:$O30),"SCORE NOT A NUMBER",IF(SUMPRODUCT(($D30:$O30&lt;&gt;"")*((N($D30:$O30)&lt;0)+(N($D30:$O30)&gt;100)))&gt;0,"SCORE OUT OF RANGE","OK")))</f>
        <v/>
      </c>
      <c r="T30" s="17">
        <f>IF(Cadets!$B30="","",Cadets!$I30)</f>
        <v/>
      </c>
    </row>
    <row r="31">
      <c r="B31" s="17">
        <f>IF(Cadets!$B31="","",Cadets!$B31)</f>
        <v/>
      </c>
      <c r="C31" s="17">
        <f>IF(Cadets!$B31="","",Cadets!$F31)</f>
        <v/>
      </c>
      <c r="D31" s="16" t="n"/>
      <c r="E31" s="16" t="n"/>
      <c r="F31" s="16" t="n"/>
      <c r="G31" s="16" t="n"/>
      <c r="H31" s="16" t="n"/>
      <c r="I31" s="16" t="n"/>
      <c r="J31" s="16" t="n"/>
      <c r="K31" s="16" t="n"/>
      <c r="L31" s="16" t="n"/>
      <c r="M31" s="16" t="n"/>
      <c r="N31" s="16" t="n"/>
      <c r="O31" s="16" t="n"/>
      <c r="P31" s="17">
        <f>IF($C31="","",IF($Q31=0,"",ROUND(SUMIFS($D31:$O31,$D31:$O31,"&gt;=0",$D31:$O31,"&lt;=100")/$Q31,1)))</f>
        <v/>
      </c>
      <c r="Q31" s="17">
        <f>IF($C31="","",COUNTIFS($D31:$O31,"&gt;=0",$D31:$O31,"&lt;=100"))</f>
        <v/>
      </c>
      <c r="R31" s="17">
        <f>IF($C31="","",IF($P31="","",IF($P31&lt;cfgSpellInterventionAvg,"INTERVENTION","OK")))</f>
        <v/>
      </c>
      <c r="S31" s="17">
        <f>IF($C31="","",IF(COUNT($D31:$O31)&lt;&gt;COUNTA($D31:$O31),"SCORE NOT A NUMBER",IF(SUMPRODUCT(($D31:$O31&lt;&gt;"")*((N($D31:$O31)&lt;0)+(N($D31:$O31)&gt;100)))&gt;0,"SCORE OUT OF RANGE","OK")))</f>
        <v/>
      </c>
      <c r="T31" s="17">
        <f>IF(Cadets!$B31="","",Cadets!$I31)</f>
        <v/>
      </c>
    </row>
    <row r="32">
      <c r="B32" s="17">
        <f>IF(Cadets!$B32="","",Cadets!$B32)</f>
        <v/>
      </c>
      <c r="C32" s="17">
        <f>IF(Cadets!$B32="","",Cadets!$F32)</f>
        <v/>
      </c>
      <c r="D32" s="16" t="n"/>
      <c r="E32" s="16" t="n"/>
      <c r="F32" s="16" t="n"/>
      <c r="G32" s="16" t="n"/>
      <c r="H32" s="16" t="n"/>
      <c r="I32" s="16" t="n"/>
      <c r="J32" s="16" t="n"/>
      <c r="K32" s="16" t="n"/>
      <c r="L32" s="16" t="n"/>
      <c r="M32" s="16" t="n"/>
      <c r="N32" s="16" t="n"/>
      <c r="O32" s="16" t="n"/>
      <c r="P32" s="17">
        <f>IF($C32="","",IF($Q32=0,"",ROUND(SUMIFS($D32:$O32,$D32:$O32,"&gt;=0",$D32:$O32,"&lt;=100")/$Q32,1)))</f>
        <v/>
      </c>
      <c r="Q32" s="17">
        <f>IF($C32="","",COUNTIFS($D32:$O32,"&gt;=0",$D32:$O32,"&lt;=100"))</f>
        <v/>
      </c>
      <c r="R32" s="17">
        <f>IF($C32="","",IF($P32="","",IF($P32&lt;cfgSpellInterventionAvg,"INTERVENTION","OK")))</f>
        <v/>
      </c>
      <c r="S32" s="17">
        <f>IF($C32="","",IF(COUNT($D32:$O32)&lt;&gt;COUNTA($D32:$O32),"SCORE NOT A NUMBER",IF(SUMPRODUCT(($D32:$O32&lt;&gt;"")*((N($D32:$O32)&lt;0)+(N($D32:$O32)&gt;100)))&gt;0,"SCORE OUT OF RANGE","OK")))</f>
        <v/>
      </c>
      <c r="T32" s="17">
        <f>IF(Cadets!$B32="","",Cadets!$I32)</f>
        <v/>
      </c>
    </row>
    <row r="33">
      <c r="B33" s="17">
        <f>IF(Cadets!$B33="","",Cadets!$B33)</f>
        <v/>
      </c>
      <c r="C33" s="17">
        <f>IF(Cadets!$B33="","",Cadets!$F33)</f>
        <v/>
      </c>
      <c r="D33" s="16" t="n"/>
      <c r="E33" s="16" t="n"/>
      <c r="F33" s="16" t="n"/>
      <c r="G33" s="16" t="n"/>
      <c r="H33" s="16" t="n"/>
      <c r="I33" s="16" t="n"/>
      <c r="J33" s="16" t="n"/>
      <c r="K33" s="16" t="n"/>
      <c r="L33" s="16" t="n"/>
      <c r="M33" s="16" t="n"/>
      <c r="N33" s="16" t="n"/>
      <c r="O33" s="16" t="n"/>
      <c r="P33" s="17">
        <f>IF($C33="","",IF($Q33=0,"",ROUND(SUMIFS($D33:$O33,$D33:$O33,"&gt;=0",$D33:$O33,"&lt;=100")/$Q33,1)))</f>
        <v/>
      </c>
      <c r="Q33" s="17">
        <f>IF($C33="","",COUNTIFS($D33:$O33,"&gt;=0",$D33:$O33,"&lt;=100"))</f>
        <v/>
      </c>
      <c r="R33" s="17">
        <f>IF($C33="","",IF($P33="","",IF($P33&lt;cfgSpellInterventionAvg,"INTERVENTION","OK")))</f>
        <v/>
      </c>
      <c r="S33" s="17">
        <f>IF($C33="","",IF(COUNT($D33:$O33)&lt;&gt;COUNTA($D33:$O33),"SCORE NOT A NUMBER",IF(SUMPRODUCT(($D33:$O33&lt;&gt;"")*((N($D33:$O33)&lt;0)+(N($D33:$O33)&gt;100)))&gt;0,"SCORE OUT OF RANGE","OK")))</f>
        <v/>
      </c>
      <c r="T33" s="17">
        <f>IF(Cadets!$B33="","",Cadets!$I33)</f>
        <v/>
      </c>
    </row>
    <row r="34">
      <c r="B34" s="17">
        <f>IF(Cadets!$B34="","",Cadets!$B34)</f>
        <v/>
      </c>
      <c r="C34" s="17">
        <f>IF(Cadets!$B34="","",Cadets!$F34)</f>
        <v/>
      </c>
      <c r="D34" s="16" t="n"/>
      <c r="E34" s="16" t="n"/>
      <c r="F34" s="16" t="n"/>
      <c r="G34" s="16" t="n"/>
      <c r="H34" s="16" t="n"/>
      <c r="I34" s="16" t="n"/>
      <c r="J34" s="16" t="n"/>
      <c r="K34" s="16" t="n"/>
      <c r="L34" s="16" t="n"/>
      <c r="M34" s="16" t="n"/>
      <c r="N34" s="16" t="n"/>
      <c r="O34" s="16" t="n"/>
      <c r="P34" s="17">
        <f>IF($C34="","",IF($Q34=0,"",ROUND(SUMIFS($D34:$O34,$D34:$O34,"&gt;=0",$D34:$O34,"&lt;=100")/$Q34,1)))</f>
        <v/>
      </c>
      <c r="Q34" s="17">
        <f>IF($C34="","",COUNTIFS($D34:$O34,"&gt;=0",$D34:$O34,"&lt;=100"))</f>
        <v/>
      </c>
      <c r="R34" s="17">
        <f>IF($C34="","",IF($P34="","",IF($P34&lt;cfgSpellInterventionAvg,"INTERVENTION","OK")))</f>
        <v/>
      </c>
      <c r="S34" s="17">
        <f>IF($C34="","",IF(COUNT($D34:$O34)&lt;&gt;COUNTA($D34:$O34),"SCORE NOT A NUMBER",IF(SUMPRODUCT(($D34:$O34&lt;&gt;"")*((N($D34:$O34)&lt;0)+(N($D34:$O34)&gt;100)))&gt;0,"SCORE OUT OF RANGE","OK")))</f>
        <v/>
      </c>
      <c r="T34" s="17">
        <f>IF(Cadets!$B34="","",Cadets!$I34)</f>
        <v/>
      </c>
    </row>
    <row r="35">
      <c r="B35" s="17">
        <f>IF(Cadets!$B35="","",Cadets!$B35)</f>
        <v/>
      </c>
      <c r="C35" s="17">
        <f>IF(Cadets!$B35="","",Cadets!$F35)</f>
        <v/>
      </c>
      <c r="D35" s="16" t="n"/>
      <c r="E35" s="16" t="n"/>
      <c r="F35" s="16" t="n"/>
      <c r="G35" s="16" t="n"/>
      <c r="H35" s="16" t="n"/>
      <c r="I35" s="16" t="n"/>
      <c r="J35" s="16" t="n"/>
      <c r="K35" s="16" t="n"/>
      <c r="L35" s="16" t="n"/>
      <c r="M35" s="16" t="n"/>
      <c r="N35" s="16" t="n"/>
      <c r="O35" s="16" t="n"/>
      <c r="P35" s="17">
        <f>IF($C35="","",IF($Q35=0,"",ROUND(SUMIFS($D35:$O35,$D35:$O35,"&gt;=0",$D35:$O35,"&lt;=100")/$Q35,1)))</f>
        <v/>
      </c>
      <c r="Q35" s="17">
        <f>IF($C35="","",COUNTIFS($D35:$O35,"&gt;=0",$D35:$O35,"&lt;=100"))</f>
        <v/>
      </c>
      <c r="R35" s="17">
        <f>IF($C35="","",IF($P35="","",IF($P35&lt;cfgSpellInterventionAvg,"INTERVENTION","OK")))</f>
        <v/>
      </c>
      <c r="S35" s="17">
        <f>IF($C35="","",IF(COUNT($D35:$O35)&lt;&gt;COUNTA($D35:$O35),"SCORE NOT A NUMBER",IF(SUMPRODUCT(($D35:$O35&lt;&gt;"")*((N($D35:$O35)&lt;0)+(N($D35:$O35)&gt;100)))&gt;0,"SCORE OUT OF RANGE","OK")))</f>
        <v/>
      </c>
      <c r="T35" s="17">
        <f>IF(Cadets!$B35="","",Cadets!$I35)</f>
        <v/>
      </c>
    </row>
    <row r="36">
      <c r="B36" s="17">
        <f>IF(Cadets!$B36="","",Cadets!$B36)</f>
        <v/>
      </c>
      <c r="C36" s="17">
        <f>IF(Cadets!$B36="","",Cadets!$F36)</f>
        <v/>
      </c>
      <c r="D36" s="16" t="n"/>
      <c r="E36" s="16" t="n"/>
      <c r="F36" s="16" t="n"/>
      <c r="G36" s="16" t="n"/>
      <c r="H36" s="16" t="n"/>
      <c r="I36" s="16" t="n"/>
      <c r="J36" s="16" t="n"/>
      <c r="K36" s="16" t="n"/>
      <c r="L36" s="16" t="n"/>
      <c r="M36" s="16" t="n"/>
      <c r="N36" s="16" t="n"/>
      <c r="O36" s="16" t="n"/>
      <c r="P36" s="17">
        <f>IF($C36="","",IF($Q36=0,"",ROUND(SUMIFS($D36:$O36,$D36:$O36,"&gt;=0",$D36:$O36,"&lt;=100")/$Q36,1)))</f>
        <v/>
      </c>
      <c r="Q36" s="17">
        <f>IF($C36="","",COUNTIFS($D36:$O36,"&gt;=0",$D36:$O36,"&lt;=100"))</f>
        <v/>
      </c>
      <c r="R36" s="17">
        <f>IF($C36="","",IF($P36="","",IF($P36&lt;cfgSpellInterventionAvg,"INTERVENTION","OK")))</f>
        <v/>
      </c>
      <c r="S36" s="17">
        <f>IF($C36="","",IF(COUNT($D36:$O36)&lt;&gt;COUNTA($D36:$O36),"SCORE NOT A NUMBER",IF(SUMPRODUCT(($D36:$O36&lt;&gt;"")*((N($D36:$O36)&lt;0)+(N($D36:$O36)&gt;100)))&gt;0,"SCORE OUT OF RANGE","OK")))</f>
        <v/>
      </c>
      <c r="T36" s="17">
        <f>IF(Cadets!$B36="","",Cadets!$I36)</f>
        <v/>
      </c>
    </row>
    <row r="37">
      <c r="B37" s="17">
        <f>IF(Cadets!$B37="","",Cadets!$B37)</f>
        <v/>
      </c>
      <c r="C37" s="17">
        <f>IF(Cadets!$B37="","",Cadets!$F37)</f>
        <v/>
      </c>
      <c r="D37" s="16" t="n"/>
      <c r="E37" s="16" t="n"/>
      <c r="F37" s="16" t="n"/>
      <c r="G37" s="16" t="n"/>
      <c r="H37" s="16" t="n"/>
      <c r="I37" s="16" t="n"/>
      <c r="J37" s="16" t="n"/>
      <c r="K37" s="16" t="n"/>
      <c r="L37" s="16" t="n"/>
      <c r="M37" s="16" t="n"/>
      <c r="N37" s="16" t="n"/>
      <c r="O37" s="16" t="n"/>
      <c r="P37" s="17">
        <f>IF($C37="","",IF($Q37=0,"",ROUND(SUMIFS($D37:$O37,$D37:$O37,"&gt;=0",$D37:$O37,"&lt;=100")/$Q37,1)))</f>
        <v/>
      </c>
      <c r="Q37" s="17">
        <f>IF($C37="","",COUNTIFS($D37:$O37,"&gt;=0",$D37:$O37,"&lt;=100"))</f>
        <v/>
      </c>
      <c r="R37" s="17">
        <f>IF($C37="","",IF($P37="","",IF($P37&lt;cfgSpellInterventionAvg,"INTERVENTION","OK")))</f>
        <v/>
      </c>
      <c r="S37" s="17">
        <f>IF($C37="","",IF(COUNT($D37:$O37)&lt;&gt;COUNTA($D37:$O37),"SCORE NOT A NUMBER",IF(SUMPRODUCT(($D37:$O37&lt;&gt;"")*((N($D37:$O37)&lt;0)+(N($D37:$O37)&gt;100)))&gt;0,"SCORE OUT OF RANGE","OK")))</f>
        <v/>
      </c>
      <c r="T37" s="17">
        <f>IF(Cadets!$B37="","",Cadets!$I37)</f>
        <v/>
      </c>
    </row>
    <row r="38">
      <c r="B38" s="17">
        <f>IF(Cadets!$B38="","",Cadets!$B38)</f>
        <v/>
      </c>
      <c r="C38" s="17">
        <f>IF(Cadets!$B38="","",Cadets!$F38)</f>
        <v/>
      </c>
      <c r="D38" s="16" t="n"/>
      <c r="E38" s="16" t="n"/>
      <c r="F38" s="16" t="n"/>
      <c r="G38" s="16" t="n"/>
      <c r="H38" s="16" t="n"/>
      <c r="I38" s="16" t="n"/>
      <c r="J38" s="16" t="n"/>
      <c r="K38" s="16" t="n"/>
      <c r="L38" s="16" t="n"/>
      <c r="M38" s="16" t="n"/>
      <c r="N38" s="16" t="n"/>
      <c r="O38" s="16" t="n"/>
      <c r="P38" s="17">
        <f>IF($C38="","",IF($Q38=0,"",ROUND(SUMIFS($D38:$O38,$D38:$O38,"&gt;=0",$D38:$O38,"&lt;=100")/$Q38,1)))</f>
        <v/>
      </c>
      <c r="Q38" s="17">
        <f>IF($C38="","",COUNTIFS($D38:$O38,"&gt;=0",$D38:$O38,"&lt;=100"))</f>
        <v/>
      </c>
      <c r="R38" s="17">
        <f>IF($C38="","",IF($P38="","",IF($P38&lt;cfgSpellInterventionAvg,"INTERVENTION","OK")))</f>
        <v/>
      </c>
      <c r="S38" s="17">
        <f>IF($C38="","",IF(COUNT($D38:$O38)&lt;&gt;COUNTA($D38:$O38),"SCORE NOT A NUMBER",IF(SUMPRODUCT(($D38:$O38&lt;&gt;"")*((N($D38:$O38)&lt;0)+(N($D38:$O38)&gt;100)))&gt;0,"SCORE OUT OF RANGE","OK")))</f>
        <v/>
      </c>
      <c r="T38" s="17">
        <f>IF(Cadets!$B38="","",Cadets!$I38)</f>
        <v/>
      </c>
    </row>
    <row r="39">
      <c r="B39" s="17">
        <f>IF(Cadets!$B39="","",Cadets!$B39)</f>
        <v/>
      </c>
      <c r="C39" s="17">
        <f>IF(Cadets!$B39="","",Cadets!$F39)</f>
        <v/>
      </c>
      <c r="D39" s="16" t="n"/>
      <c r="E39" s="16" t="n"/>
      <c r="F39" s="16" t="n"/>
      <c r="G39" s="16" t="n"/>
      <c r="H39" s="16" t="n"/>
      <c r="I39" s="16" t="n"/>
      <c r="J39" s="16" t="n"/>
      <c r="K39" s="16" t="n"/>
      <c r="L39" s="16" t="n"/>
      <c r="M39" s="16" t="n"/>
      <c r="N39" s="16" t="n"/>
      <c r="O39" s="16" t="n"/>
      <c r="P39" s="17">
        <f>IF($C39="","",IF($Q39=0,"",ROUND(SUMIFS($D39:$O39,$D39:$O39,"&gt;=0",$D39:$O39,"&lt;=100")/$Q39,1)))</f>
        <v/>
      </c>
      <c r="Q39" s="17">
        <f>IF($C39="","",COUNTIFS($D39:$O39,"&gt;=0",$D39:$O39,"&lt;=100"))</f>
        <v/>
      </c>
      <c r="R39" s="17">
        <f>IF($C39="","",IF($P39="","",IF($P39&lt;cfgSpellInterventionAvg,"INTERVENTION","OK")))</f>
        <v/>
      </c>
      <c r="S39" s="17">
        <f>IF($C39="","",IF(COUNT($D39:$O39)&lt;&gt;COUNTA($D39:$O39),"SCORE NOT A NUMBER",IF(SUMPRODUCT(($D39:$O39&lt;&gt;"")*((N($D39:$O39)&lt;0)+(N($D39:$O39)&gt;100)))&gt;0,"SCORE OUT OF RANGE","OK")))</f>
        <v/>
      </c>
      <c r="T39" s="17">
        <f>IF(Cadets!$B39="","",Cadets!$I39)</f>
        <v/>
      </c>
    </row>
    <row r="40">
      <c r="B40" s="17">
        <f>IF(Cadets!$B40="","",Cadets!$B40)</f>
        <v/>
      </c>
      <c r="C40" s="17">
        <f>IF(Cadets!$B40="","",Cadets!$F40)</f>
        <v/>
      </c>
      <c r="D40" s="16" t="n"/>
      <c r="E40" s="16" t="n"/>
      <c r="F40" s="16" t="n"/>
      <c r="G40" s="16" t="n"/>
      <c r="H40" s="16" t="n"/>
      <c r="I40" s="16" t="n"/>
      <c r="J40" s="16" t="n"/>
      <c r="K40" s="16" t="n"/>
      <c r="L40" s="16" t="n"/>
      <c r="M40" s="16" t="n"/>
      <c r="N40" s="16" t="n"/>
      <c r="O40" s="16" t="n"/>
      <c r="P40" s="17">
        <f>IF($C40="","",IF($Q40=0,"",ROUND(SUMIFS($D40:$O40,$D40:$O40,"&gt;=0",$D40:$O40,"&lt;=100")/$Q40,1)))</f>
        <v/>
      </c>
      <c r="Q40" s="17">
        <f>IF($C40="","",COUNTIFS($D40:$O40,"&gt;=0",$D40:$O40,"&lt;=100"))</f>
        <v/>
      </c>
      <c r="R40" s="17">
        <f>IF($C40="","",IF($P40="","",IF($P40&lt;cfgSpellInterventionAvg,"INTERVENTION","OK")))</f>
        <v/>
      </c>
      <c r="S40" s="17">
        <f>IF($C40="","",IF(COUNT($D40:$O40)&lt;&gt;COUNTA($D40:$O40),"SCORE NOT A NUMBER",IF(SUMPRODUCT(($D40:$O40&lt;&gt;"")*((N($D40:$O40)&lt;0)+(N($D40:$O40)&gt;100)))&gt;0,"SCORE OUT OF RANGE","OK")))</f>
        <v/>
      </c>
      <c r="T40" s="17">
        <f>IF(Cadets!$B40="","",Cadets!$I40)</f>
        <v/>
      </c>
    </row>
    <row r="41">
      <c r="B41" s="17">
        <f>IF(Cadets!$B41="","",Cadets!$B41)</f>
        <v/>
      </c>
      <c r="C41" s="17">
        <f>IF(Cadets!$B41="","",Cadets!$F41)</f>
        <v/>
      </c>
      <c r="D41" s="16" t="n"/>
      <c r="E41" s="16" t="n"/>
      <c r="F41" s="16" t="n"/>
      <c r="G41" s="16" t="n"/>
      <c r="H41" s="16" t="n"/>
      <c r="I41" s="16" t="n"/>
      <c r="J41" s="16" t="n"/>
      <c r="K41" s="16" t="n"/>
      <c r="L41" s="16" t="n"/>
      <c r="M41" s="16" t="n"/>
      <c r="N41" s="16" t="n"/>
      <c r="O41" s="16" t="n"/>
      <c r="P41" s="17">
        <f>IF($C41="","",IF($Q41=0,"",ROUND(SUMIFS($D41:$O41,$D41:$O41,"&gt;=0",$D41:$O41,"&lt;=100")/$Q41,1)))</f>
        <v/>
      </c>
      <c r="Q41" s="17">
        <f>IF($C41="","",COUNTIFS($D41:$O41,"&gt;=0",$D41:$O41,"&lt;=100"))</f>
        <v/>
      </c>
      <c r="R41" s="17">
        <f>IF($C41="","",IF($P41="","",IF($P41&lt;cfgSpellInterventionAvg,"INTERVENTION","OK")))</f>
        <v/>
      </c>
      <c r="S41" s="17">
        <f>IF($C41="","",IF(COUNT($D41:$O41)&lt;&gt;COUNTA($D41:$O41),"SCORE NOT A NUMBER",IF(SUMPRODUCT(($D41:$O41&lt;&gt;"")*((N($D41:$O41)&lt;0)+(N($D41:$O41)&gt;100)))&gt;0,"SCORE OUT OF RANGE","OK")))</f>
        <v/>
      </c>
      <c r="T41" s="17">
        <f>IF(Cadets!$B41="","",Cadets!$I41)</f>
        <v/>
      </c>
    </row>
    <row r="42">
      <c r="B42" s="17">
        <f>IF(Cadets!$B42="","",Cadets!$B42)</f>
        <v/>
      </c>
      <c r="C42" s="17">
        <f>IF(Cadets!$B42="","",Cadets!$F42)</f>
        <v/>
      </c>
      <c r="D42" s="16" t="n"/>
      <c r="E42" s="16" t="n"/>
      <c r="F42" s="16" t="n"/>
      <c r="G42" s="16" t="n"/>
      <c r="H42" s="16" t="n"/>
      <c r="I42" s="16" t="n"/>
      <c r="J42" s="16" t="n"/>
      <c r="K42" s="16" t="n"/>
      <c r="L42" s="16" t="n"/>
      <c r="M42" s="16" t="n"/>
      <c r="N42" s="16" t="n"/>
      <c r="O42" s="16" t="n"/>
      <c r="P42" s="17">
        <f>IF($C42="","",IF($Q42=0,"",ROUND(SUMIFS($D42:$O42,$D42:$O42,"&gt;=0",$D42:$O42,"&lt;=100")/$Q42,1)))</f>
        <v/>
      </c>
      <c r="Q42" s="17">
        <f>IF($C42="","",COUNTIFS($D42:$O42,"&gt;=0",$D42:$O42,"&lt;=100"))</f>
        <v/>
      </c>
      <c r="R42" s="17">
        <f>IF($C42="","",IF($P42="","",IF($P42&lt;cfgSpellInterventionAvg,"INTERVENTION","OK")))</f>
        <v/>
      </c>
      <c r="S42" s="17">
        <f>IF($C42="","",IF(COUNT($D42:$O42)&lt;&gt;COUNTA($D42:$O42),"SCORE NOT A NUMBER",IF(SUMPRODUCT(($D42:$O42&lt;&gt;"")*((N($D42:$O42)&lt;0)+(N($D42:$O42)&gt;100)))&gt;0,"SCORE OUT OF RANGE","OK")))</f>
        <v/>
      </c>
      <c r="T42" s="17">
        <f>IF(Cadets!$B42="","",Cadets!$I42)</f>
        <v/>
      </c>
    </row>
    <row r="43">
      <c r="B43" s="17">
        <f>IF(Cadets!$B43="","",Cadets!$B43)</f>
        <v/>
      </c>
      <c r="C43" s="17">
        <f>IF(Cadets!$B43="","",Cadets!$F43)</f>
        <v/>
      </c>
      <c r="D43" s="16" t="n"/>
      <c r="E43" s="16" t="n"/>
      <c r="F43" s="16" t="n"/>
      <c r="G43" s="16" t="n"/>
      <c r="H43" s="16" t="n"/>
      <c r="I43" s="16" t="n"/>
      <c r="J43" s="16" t="n"/>
      <c r="K43" s="16" t="n"/>
      <c r="L43" s="16" t="n"/>
      <c r="M43" s="16" t="n"/>
      <c r="N43" s="16" t="n"/>
      <c r="O43" s="16" t="n"/>
      <c r="P43" s="17">
        <f>IF($C43="","",IF($Q43=0,"",ROUND(SUMIFS($D43:$O43,$D43:$O43,"&gt;=0",$D43:$O43,"&lt;=100")/$Q43,1)))</f>
        <v/>
      </c>
      <c r="Q43" s="17">
        <f>IF($C43="","",COUNTIFS($D43:$O43,"&gt;=0",$D43:$O43,"&lt;=100"))</f>
        <v/>
      </c>
      <c r="R43" s="17">
        <f>IF($C43="","",IF($P43="","",IF($P43&lt;cfgSpellInterventionAvg,"INTERVENTION","OK")))</f>
        <v/>
      </c>
      <c r="S43" s="17">
        <f>IF($C43="","",IF(COUNT($D43:$O43)&lt;&gt;COUNTA($D43:$O43),"SCORE NOT A NUMBER",IF(SUMPRODUCT(($D43:$O43&lt;&gt;"")*((N($D43:$O43)&lt;0)+(N($D43:$O43)&gt;100)))&gt;0,"SCORE OUT OF RANGE","OK")))</f>
        <v/>
      </c>
      <c r="T43" s="17">
        <f>IF(Cadets!$B43="","",Cadets!$I43)</f>
        <v/>
      </c>
    </row>
    <row r="44">
      <c r="B44" s="17">
        <f>IF(Cadets!$B44="","",Cadets!$B44)</f>
        <v/>
      </c>
      <c r="C44" s="17">
        <f>IF(Cadets!$B44="","",Cadets!$F44)</f>
        <v/>
      </c>
      <c r="D44" s="16" t="n"/>
      <c r="E44" s="16" t="n"/>
      <c r="F44" s="16" t="n"/>
      <c r="G44" s="16" t="n"/>
      <c r="H44" s="16" t="n"/>
      <c r="I44" s="16" t="n"/>
      <c r="J44" s="16" t="n"/>
      <c r="K44" s="16" t="n"/>
      <c r="L44" s="16" t="n"/>
      <c r="M44" s="16" t="n"/>
      <c r="N44" s="16" t="n"/>
      <c r="O44" s="16" t="n"/>
      <c r="P44" s="17">
        <f>IF($C44="","",IF($Q44=0,"",ROUND(SUMIFS($D44:$O44,$D44:$O44,"&gt;=0",$D44:$O44,"&lt;=100")/$Q44,1)))</f>
        <v/>
      </c>
      <c r="Q44" s="17">
        <f>IF($C44="","",COUNTIFS($D44:$O44,"&gt;=0",$D44:$O44,"&lt;=100"))</f>
        <v/>
      </c>
      <c r="R44" s="17">
        <f>IF($C44="","",IF($P44="","",IF($P44&lt;cfgSpellInterventionAvg,"INTERVENTION","OK")))</f>
        <v/>
      </c>
      <c r="S44" s="17">
        <f>IF($C44="","",IF(COUNT($D44:$O44)&lt;&gt;COUNTA($D44:$O44),"SCORE NOT A NUMBER",IF(SUMPRODUCT(($D44:$O44&lt;&gt;"")*((N($D44:$O44)&lt;0)+(N($D44:$O44)&gt;100)))&gt;0,"SCORE OUT OF RANGE","OK")))</f>
        <v/>
      </c>
      <c r="T44" s="17">
        <f>IF(Cadets!$B44="","",Cadets!$I44)</f>
        <v/>
      </c>
    </row>
    <row r="45">
      <c r="B45" s="17">
        <f>IF(Cadets!$B45="","",Cadets!$B45)</f>
        <v/>
      </c>
      <c r="C45" s="17">
        <f>IF(Cadets!$B45="","",Cadets!$F45)</f>
        <v/>
      </c>
      <c r="D45" s="16" t="n"/>
      <c r="E45" s="16" t="n"/>
      <c r="F45" s="16" t="n"/>
      <c r="G45" s="16" t="n"/>
      <c r="H45" s="16" t="n"/>
      <c r="I45" s="16" t="n"/>
      <c r="J45" s="16" t="n"/>
      <c r="K45" s="16" t="n"/>
      <c r="L45" s="16" t="n"/>
      <c r="M45" s="16" t="n"/>
      <c r="N45" s="16" t="n"/>
      <c r="O45" s="16" t="n"/>
      <c r="P45" s="17">
        <f>IF($C45="","",IF($Q45=0,"",ROUND(SUMIFS($D45:$O45,$D45:$O45,"&gt;=0",$D45:$O45,"&lt;=100")/$Q45,1)))</f>
        <v/>
      </c>
      <c r="Q45" s="17">
        <f>IF($C45="","",COUNTIFS($D45:$O45,"&gt;=0",$D45:$O45,"&lt;=100"))</f>
        <v/>
      </c>
      <c r="R45" s="17">
        <f>IF($C45="","",IF($P45="","",IF($P45&lt;cfgSpellInterventionAvg,"INTERVENTION","OK")))</f>
        <v/>
      </c>
      <c r="S45" s="17">
        <f>IF($C45="","",IF(COUNT($D45:$O45)&lt;&gt;COUNTA($D45:$O45),"SCORE NOT A NUMBER",IF(SUMPRODUCT(($D45:$O45&lt;&gt;"")*((N($D45:$O45)&lt;0)+(N($D45:$O45)&gt;100)))&gt;0,"SCORE OUT OF RANGE","OK")))</f>
        <v/>
      </c>
      <c r="T45" s="17">
        <f>IF(Cadets!$B45="","",Cadets!$I45)</f>
        <v/>
      </c>
    </row>
    <row r="46">
      <c r="B46" s="17">
        <f>IF(Cadets!$B46="","",Cadets!$B46)</f>
        <v/>
      </c>
      <c r="C46" s="17">
        <f>IF(Cadets!$B46="","",Cadets!$F46)</f>
        <v/>
      </c>
      <c r="D46" s="16" t="n"/>
      <c r="E46" s="16" t="n"/>
      <c r="F46" s="16" t="n"/>
      <c r="G46" s="16" t="n"/>
      <c r="H46" s="16" t="n"/>
      <c r="I46" s="16" t="n"/>
      <c r="J46" s="16" t="n"/>
      <c r="K46" s="16" t="n"/>
      <c r="L46" s="16" t="n"/>
      <c r="M46" s="16" t="n"/>
      <c r="N46" s="16" t="n"/>
      <c r="O46" s="16" t="n"/>
      <c r="P46" s="17">
        <f>IF($C46="","",IF($Q46=0,"",ROUND(SUMIFS($D46:$O46,$D46:$O46,"&gt;=0",$D46:$O46,"&lt;=100")/$Q46,1)))</f>
        <v/>
      </c>
      <c r="Q46" s="17">
        <f>IF($C46="","",COUNTIFS($D46:$O46,"&gt;=0",$D46:$O46,"&lt;=100"))</f>
        <v/>
      </c>
      <c r="R46" s="17">
        <f>IF($C46="","",IF($P46="","",IF($P46&lt;cfgSpellInterventionAvg,"INTERVENTION","OK")))</f>
        <v/>
      </c>
      <c r="S46" s="17">
        <f>IF($C46="","",IF(COUNT($D46:$O46)&lt;&gt;COUNTA($D46:$O46),"SCORE NOT A NUMBER",IF(SUMPRODUCT(($D46:$O46&lt;&gt;"")*((N($D46:$O46)&lt;0)+(N($D46:$O46)&gt;100)))&gt;0,"SCORE OUT OF RANGE","OK")))</f>
        <v/>
      </c>
      <c r="T46" s="17">
        <f>IF(Cadets!$B46="","",Cadets!$I46)</f>
        <v/>
      </c>
    </row>
    <row r="47">
      <c r="B47" s="17">
        <f>IF(Cadets!$B47="","",Cadets!$B47)</f>
        <v/>
      </c>
      <c r="C47" s="17">
        <f>IF(Cadets!$B47="","",Cadets!$F47)</f>
        <v/>
      </c>
      <c r="D47" s="16" t="n"/>
      <c r="E47" s="16" t="n"/>
      <c r="F47" s="16" t="n"/>
      <c r="G47" s="16" t="n"/>
      <c r="H47" s="16" t="n"/>
      <c r="I47" s="16" t="n"/>
      <c r="J47" s="16" t="n"/>
      <c r="K47" s="16" t="n"/>
      <c r="L47" s="16" t="n"/>
      <c r="M47" s="16" t="n"/>
      <c r="N47" s="16" t="n"/>
      <c r="O47" s="16" t="n"/>
      <c r="P47" s="17">
        <f>IF($C47="","",IF($Q47=0,"",ROUND(SUMIFS($D47:$O47,$D47:$O47,"&gt;=0",$D47:$O47,"&lt;=100")/$Q47,1)))</f>
        <v/>
      </c>
      <c r="Q47" s="17">
        <f>IF($C47="","",COUNTIFS($D47:$O47,"&gt;=0",$D47:$O47,"&lt;=100"))</f>
        <v/>
      </c>
      <c r="R47" s="17">
        <f>IF($C47="","",IF($P47="","",IF($P47&lt;cfgSpellInterventionAvg,"INTERVENTION","OK")))</f>
        <v/>
      </c>
      <c r="S47" s="17">
        <f>IF($C47="","",IF(COUNT($D47:$O47)&lt;&gt;COUNTA($D47:$O47),"SCORE NOT A NUMBER",IF(SUMPRODUCT(($D47:$O47&lt;&gt;"")*((N($D47:$O47)&lt;0)+(N($D47:$O47)&gt;100)))&gt;0,"SCORE OUT OF RANGE","OK")))</f>
        <v/>
      </c>
      <c r="T47" s="17">
        <f>IF(Cadets!$B47="","",Cadets!$I47)</f>
        <v/>
      </c>
    </row>
    <row r="48">
      <c r="B48" s="17">
        <f>IF(Cadets!$B48="","",Cadets!$B48)</f>
        <v/>
      </c>
      <c r="C48" s="17">
        <f>IF(Cadets!$B48="","",Cadets!$F48)</f>
        <v/>
      </c>
      <c r="D48" s="16" t="n"/>
      <c r="E48" s="16" t="n"/>
      <c r="F48" s="16" t="n"/>
      <c r="G48" s="16" t="n"/>
      <c r="H48" s="16" t="n"/>
      <c r="I48" s="16" t="n"/>
      <c r="J48" s="16" t="n"/>
      <c r="K48" s="16" t="n"/>
      <c r="L48" s="16" t="n"/>
      <c r="M48" s="16" t="n"/>
      <c r="N48" s="16" t="n"/>
      <c r="O48" s="16" t="n"/>
      <c r="P48" s="17">
        <f>IF($C48="","",IF($Q48=0,"",ROUND(SUMIFS($D48:$O48,$D48:$O48,"&gt;=0",$D48:$O48,"&lt;=100")/$Q48,1)))</f>
        <v/>
      </c>
      <c r="Q48" s="17">
        <f>IF($C48="","",COUNTIFS($D48:$O48,"&gt;=0",$D48:$O48,"&lt;=100"))</f>
        <v/>
      </c>
      <c r="R48" s="17">
        <f>IF($C48="","",IF($P48="","",IF($P48&lt;cfgSpellInterventionAvg,"INTERVENTION","OK")))</f>
        <v/>
      </c>
      <c r="S48" s="17">
        <f>IF($C48="","",IF(COUNT($D48:$O48)&lt;&gt;COUNTA($D48:$O48),"SCORE NOT A NUMBER",IF(SUMPRODUCT(($D48:$O48&lt;&gt;"")*((N($D48:$O48)&lt;0)+(N($D48:$O48)&gt;100)))&gt;0,"SCORE OUT OF RANGE","OK")))</f>
        <v/>
      </c>
      <c r="T48" s="17">
        <f>IF(Cadets!$B48="","",Cadets!$I48)</f>
        <v/>
      </c>
    </row>
    <row r="49">
      <c r="B49" s="17">
        <f>IF(Cadets!$B49="","",Cadets!$B49)</f>
        <v/>
      </c>
      <c r="C49" s="17">
        <f>IF(Cadets!$B49="","",Cadets!$F49)</f>
        <v/>
      </c>
      <c r="D49" s="16" t="n"/>
      <c r="E49" s="16" t="n"/>
      <c r="F49" s="16" t="n"/>
      <c r="G49" s="16" t="n"/>
      <c r="H49" s="16" t="n"/>
      <c r="I49" s="16" t="n"/>
      <c r="J49" s="16" t="n"/>
      <c r="K49" s="16" t="n"/>
      <c r="L49" s="16" t="n"/>
      <c r="M49" s="16" t="n"/>
      <c r="N49" s="16" t="n"/>
      <c r="O49" s="16" t="n"/>
      <c r="P49" s="17">
        <f>IF($C49="","",IF($Q49=0,"",ROUND(SUMIFS($D49:$O49,$D49:$O49,"&gt;=0",$D49:$O49,"&lt;=100")/$Q49,1)))</f>
        <v/>
      </c>
      <c r="Q49" s="17">
        <f>IF($C49="","",COUNTIFS($D49:$O49,"&gt;=0",$D49:$O49,"&lt;=100"))</f>
        <v/>
      </c>
      <c r="R49" s="17">
        <f>IF($C49="","",IF($P49="","",IF($P49&lt;cfgSpellInterventionAvg,"INTERVENTION","OK")))</f>
        <v/>
      </c>
      <c r="S49" s="17">
        <f>IF($C49="","",IF(COUNT($D49:$O49)&lt;&gt;COUNTA($D49:$O49),"SCORE NOT A NUMBER",IF(SUMPRODUCT(($D49:$O49&lt;&gt;"")*((N($D49:$O49)&lt;0)+(N($D49:$O49)&gt;100)))&gt;0,"SCORE OUT OF RANGE","OK")))</f>
        <v/>
      </c>
      <c r="T49" s="17">
        <f>IF(Cadets!$B49="","",Cadets!$I49)</f>
        <v/>
      </c>
    </row>
    <row r="50">
      <c r="B50" s="17">
        <f>IF(Cadets!$B50="","",Cadets!$B50)</f>
        <v/>
      </c>
      <c r="C50" s="17">
        <f>IF(Cadets!$B50="","",Cadets!$F50)</f>
        <v/>
      </c>
      <c r="D50" s="16" t="n"/>
      <c r="E50" s="16" t="n"/>
      <c r="F50" s="16" t="n"/>
      <c r="G50" s="16" t="n"/>
      <c r="H50" s="16" t="n"/>
      <c r="I50" s="16" t="n"/>
      <c r="J50" s="16" t="n"/>
      <c r="K50" s="16" t="n"/>
      <c r="L50" s="16" t="n"/>
      <c r="M50" s="16" t="n"/>
      <c r="N50" s="16" t="n"/>
      <c r="O50" s="16" t="n"/>
      <c r="P50" s="17">
        <f>IF($C50="","",IF($Q50=0,"",ROUND(SUMIFS($D50:$O50,$D50:$O50,"&gt;=0",$D50:$O50,"&lt;=100")/$Q50,1)))</f>
        <v/>
      </c>
      <c r="Q50" s="17">
        <f>IF($C50="","",COUNTIFS($D50:$O50,"&gt;=0",$D50:$O50,"&lt;=100"))</f>
        <v/>
      </c>
      <c r="R50" s="17">
        <f>IF($C50="","",IF($P50="","",IF($P50&lt;cfgSpellInterventionAvg,"INTERVENTION","OK")))</f>
        <v/>
      </c>
      <c r="S50" s="17">
        <f>IF($C50="","",IF(COUNT($D50:$O50)&lt;&gt;COUNTA($D50:$O50),"SCORE NOT A NUMBER",IF(SUMPRODUCT(($D50:$O50&lt;&gt;"")*((N($D50:$O50)&lt;0)+(N($D50:$O50)&gt;100)))&gt;0,"SCORE OUT OF RANGE","OK")))</f>
        <v/>
      </c>
      <c r="T50" s="17">
        <f>IF(Cadets!$B50="","",Cadets!$I50)</f>
        <v/>
      </c>
    </row>
    <row r="51">
      <c r="B51" s="17">
        <f>IF(Cadets!$B51="","",Cadets!$B51)</f>
        <v/>
      </c>
      <c r="C51" s="17">
        <f>IF(Cadets!$B51="","",Cadets!$F51)</f>
        <v/>
      </c>
      <c r="D51" s="16" t="n"/>
      <c r="E51" s="16" t="n"/>
      <c r="F51" s="16" t="n"/>
      <c r="G51" s="16" t="n"/>
      <c r="H51" s="16" t="n"/>
      <c r="I51" s="16" t="n"/>
      <c r="J51" s="16" t="n"/>
      <c r="K51" s="16" t="n"/>
      <c r="L51" s="16" t="n"/>
      <c r="M51" s="16" t="n"/>
      <c r="N51" s="16" t="n"/>
      <c r="O51" s="16" t="n"/>
      <c r="P51" s="17">
        <f>IF($C51="","",IF($Q51=0,"",ROUND(SUMIFS($D51:$O51,$D51:$O51,"&gt;=0",$D51:$O51,"&lt;=100")/$Q51,1)))</f>
        <v/>
      </c>
      <c r="Q51" s="17">
        <f>IF($C51="","",COUNTIFS($D51:$O51,"&gt;=0",$D51:$O51,"&lt;=100"))</f>
        <v/>
      </c>
      <c r="R51" s="17">
        <f>IF($C51="","",IF($P51="","",IF($P51&lt;cfgSpellInterventionAvg,"INTERVENTION","OK")))</f>
        <v/>
      </c>
      <c r="S51" s="17">
        <f>IF($C51="","",IF(COUNT($D51:$O51)&lt;&gt;COUNTA($D51:$O51),"SCORE NOT A NUMBER",IF(SUMPRODUCT(($D51:$O51&lt;&gt;"")*((N($D51:$O51)&lt;0)+(N($D51:$O51)&gt;100)))&gt;0,"SCORE OUT OF RANGE","OK")))</f>
        <v/>
      </c>
      <c r="T51" s="17">
        <f>IF(Cadets!$B51="","",Cadets!$I51)</f>
        <v/>
      </c>
    </row>
    <row r="52">
      <c r="B52" s="17">
        <f>IF(Cadets!$B52="","",Cadets!$B52)</f>
        <v/>
      </c>
      <c r="C52" s="17">
        <f>IF(Cadets!$B52="","",Cadets!$F52)</f>
        <v/>
      </c>
      <c r="D52" s="16" t="n"/>
      <c r="E52" s="16" t="n"/>
      <c r="F52" s="16" t="n"/>
      <c r="G52" s="16" t="n"/>
      <c r="H52" s="16" t="n"/>
      <c r="I52" s="16" t="n"/>
      <c r="J52" s="16" t="n"/>
      <c r="K52" s="16" t="n"/>
      <c r="L52" s="16" t="n"/>
      <c r="M52" s="16" t="n"/>
      <c r="N52" s="16" t="n"/>
      <c r="O52" s="16" t="n"/>
      <c r="P52" s="17">
        <f>IF($C52="","",IF($Q52=0,"",ROUND(SUMIFS($D52:$O52,$D52:$O52,"&gt;=0",$D52:$O52,"&lt;=100")/$Q52,1)))</f>
        <v/>
      </c>
      <c r="Q52" s="17">
        <f>IF($C52="","",COUNTIFS($D52:$O52,"&gt;=0",$D52:$O52,"&lt;=100"))</f>
        <v/>
      </c>
      <c r="R52" s="17">
        <f>IF($C52="","",IF($P52="","",IF($P52&lt;cfgSpellInterventionAvg,"INTERVENTION","OK")))</f>
        <v/>
      </c>
      <c r="S52" s="17">
        <f>IF($C52="","",IF(COUNT($D52:$O52)&lt;&gt;COUNTA($D52:$O52),"SCORE NOT A NUMBER",IF(SUMPRODUCT(($D52:$O52&lt;&gt;"")*((N($D52:$O52)&lt;0)+(N($D52:$O52)&gt;100)))&gt;0,"SCORE OUT OF RANGE","OK")))</f>
        <v/>
      </c>
      <c r="T52" s="17">
        <f>IF(Cadets!$B52="","",Cadets!$I52)</f>
        <v/>
      </c>
    </row>
    <row r="53">
      <c r="B53" s="17">
        <f>IF(Cadets!$B53="","",Cadets!$B53)</f>
        <v/>
      </c>
      <c r="C53" s="17">
        <f>IF(Cadets!$B53="","",Cadets!$F53)</f>
        <v/>
      </c>
      <c r="D53" s="16" t="n"/>
      <c r="E53" s="16" t="n"/>
      <c r="F53" s="16" t="n"/>
      <c r="G53" s="16" t="n"/>
      <c r="H53" s="16" t="n"/>
      <c r="I53" s="16" t="n"/>
      <c r="J53" s="16" t="n"/>
      <c r="K53" s="16" t="n"/>
      <c r="L53" s="16" t="n"/>
      <c r="M53" s="16" t="n"/>
      <c r="N53" s="16" t="n"/>
      <c r="O53" s="16" t="n"/>
      <c r="P53" s="17">
        <f>IF($C53="","",IF($Q53=0,"",ROUND(SUMIFS($D53:$O53,$D53:$O53,"&gt;=0",$D53:$O53,"&lt;=100")/$Q53,1)))</f>
        <v/>
      </c>
      <c r="Q53" s="17">
        <f>IF($C53="","",COUNTIFS($D53:$O53,"&gt;=0",$D53:$O53,"&lt;=100"))</f>
        <v/>
      </c>
      <c r="R53" s="17">
        <f>IF($C53="","",IF($P53="","",IF($P53&lt;cfgSpellInterventionAvg,"INTERVENTION","OK")))</f>
        <v/>
      </c>
      <c r="S53" s="17">
        <f>IF($C53="","",IF(COUNT($D53:$O53)&lt;&gt;COUNTA($D53:$O53),"SCORE NOT A NUMBER",IF(SUMPRODUCT(($D53:$O53&lt;&gt;"")*((N($D53:$O53)&lt;0)+(N($D53:$O53)&gt;100)))&gt;0,"SCORE OUT OF RANGE","OK")))</f>
        <v/>
      </c>
      <c r="T53" s="17">
        <f>IF(Cadets!$B53="","",Cadets!$I53)</f>
        <v/>
      </c>
    </row>
    <row r="54">
      <c r="B54" s="17">
        <f>IF(Cadets!$B54="","",Cadets!$B54)</f>
        <v/>
      </c>
      <c r="C54" s="17">
        <f>IF(Cadets!$B54="","",Cadets!$F54)</f>
        <v/>
      </c>
      <c r="D54" s="16" t="n"/>
      <c r="E54" s="16" t="n"/>
      <c r="F54" s="16" t="n"/>
      <c r="G54" s="16" t="n"/>
      <c r="H54" s="16" t="n"/>
      <c r="I54" s="16" t="n"/>
      <c r="J54" s="16" t="n"/>
      <c r="K54" s="16" t="n"/>
      <c r="L54" s="16" t="n"/>
      <c r="M54" s="16" t="n"/>
      <c r="N54" s="16" t="n"/>
      <c r="O54" s="16" t="n"/>
      <c r="P54" s="17">
        <f>IF($C54="","",IF($Q54=0,"",ROUND(SUMIFS($D54:$O54,$D54:$O54,"&gt;=0",$D54:$O54,"&lt;=100")/$Q54,1)))</f>
        <v/>
      </c>
      <c r="Q54" s="17">
        <f>IF($C54="","",COUNTIFS($D54:$O54,"&gt;=0",$D54:$O54,"&lt;=100"))</f>
        <v/>
      </c>
      <c r="R54" s="17">
        <f>IF($C54="","",IF($P54="","",IF($P54&lt;cfgSpellInterventionAvg,"INTERVENTION","OK")))</f>
        <v/>
      </c>
      <c r="S54" s="17">
        <f>IF($C54="","",IF(COUNT($D54:$O54)&lt;&gt;COUNTA($D54:$O54),"SCORE NOT A NUMBER",IF(SUMPRODUCT(($D54:$O54&lt;&gt;"")*((N($D54:$O54)&lt;0)+(N($D54:$O54)&gt;100)))&gt;0,"SCORE OUT OF RANGE","OK")))</f>
        <v/>
      </c>
      <c r="T54" s="17">
        <f>IF(Cadets!$B54="","",Cadets!$I54)</f>
        <v/>
      </c>
    </row>
    <row r="55">
      <c r="B55" s="17">
        <f>IF(Cadets!$B55="","",Cadets!$B55)</f>
        <v/>
      </c>
      <c r="C55" s="17">
        <f>IF(Cadets!$B55="","",Cadets!$F55)</f>
        <v/>
      </c>
      <c r="D55" s="16" t="n"/>
      <c r="E55" s="16" t="n"/>
      <c r="F55" s="16" t="n"/>
      <c r="G55" s="16" t="n"/>
      <c r="H55" s="16" t="n"/>
      <c r="I55" s="16" t="n"/>
      <c r="J55" s="16" t="n"/>
      <c r="K55" s="16" t="n"/>
      <c r="L55" s="16" t="n"/>
      <c r="M55" s="16" t="n"/>
      <c r="N55" s="16" t="n"/>
      <c r="O55" s="16" t="n"/>
      <c r="P55" s="17">
        <f>IF($C55="","",IF($Q55=0,"",ROUND(SUMIFS($D55:$O55,$D55:$O55,"&gt;=0",$D55:$O55,"&lt;=100")/$Q55,1)))</f>
        <v/>
      </c>
      <c r="Q55" s="17">
        <f>IF($C55="","",COUNTIFS($D55:$O55,"&gt;=0",$D55:$O55,"&lt;=100"))</f>
        <v/>
      </c>
      <c r="R55" s="17">
        <f>IF($C55="","",IF($P55="","",IF($P55&lt;cfgSpellInterventionAvg,"INTERVENTION","OK")))</f>
        <v/>
      </c>
      <c r="S55" s="17">
        <f>IF($C55="","",IF(COUNT($D55:$O55)&lt;&gt;COUNTA($D55:$O55),"SCORE NOT A NUMBER",IF(SUMPRODUCT(($D55:$O55&lt;&gt;"")*((N($D55:$O55)&lt;0)+(N($D55:$O55)&gt;100)))&gt;0,"SCORE OUT OF RANGE","OK")))</f>
        <v/>
      </c>
      <c r="T55" s="17">
        <f>IF(Cadets!$B55="","",Cadets!$I55)</f>
        <v/>
      </c>
    </row>
    <row r="57">
      <c r="C57" s="3" t="inlineStr">
        <is>
          <t>Scores entered:</t>
        </is>
      </c>
      <c r="D57" s="21">
        <f>COUNTIFS(D6:D55,"&gt;=0",D6:D55,"&lt;=100")</f>
        <v/>
      </c>
      <c r="E57" s="21">
        <f>COUNTIFS(E6:E55,"&gt;=0",E6:E55,"&lt;=100")</f>
        <v/>
      </c>
      <c r="F57" s="21">
        <f>COUNTIFS(F6:F55,"&gt;=0",F6:F55,"&lt;=100")</f>
        <v/>
      </c>
      <c r="G57" s="21">
        <f>COUNTIFS(G6:G55,"&gt;=0",G6:G55,"&lt;=100")</f>
        <v/>
      </c>
      <c r="H57" s="21">
        <f>COUNTIFS(H6:H55,"&gt;=0",H6:H55,"&lt;=100")</f>
        <v/>
      </c>
      <c r="I57" s="21">
        <f>COUNTIFS(I6:I55,"&gt;=0",I6:I55,"&lt;=100")</f>
        <v/>
      </c>
      <c r="J57" s="21">
        <f>COUNTIFS(J6:J55,"&gt;=0",J6:J55,"&lt;=100")</f>
        <v/>
      </c>
      <c r="K57" s="21">
        <f>COUNTIFS(K6:K55,"&gt;=0",K6:K55,"&lt;=100")</f>
        <v/>
      </c>
      <c r="L57" s="21">
        <f>COUNTIFS(L6:L55,"&gt;=0",L6:L55,"&lt;=100")</f>
        <v/>
      </c>
      <c r="M57" s="21">
        <f>COUNTIFS(M6:M55,"&gt;=0",M6:M55,"&lt;=100")</f>
        <v/>
      </c>
      <c r="N57" s="21">
        <f>COUNTIFS(N6:N55,"&gt;=0",N6:N55,"&lt;=100")</f>
        <v/>
      </c>
      <c r="O57" s="21">
        <f>COUNTIFS(O6:O55,"&gt;=0",O6:O55,"&lt;=100")</f>
        <v/>
      </c>
    </row>
    <row r="58">
      <c r="C58" s="3" t="inlineStr">
        <is>
          <t>Class average:</t>
        </is>
      </c>
      <c r="D58" s="21">
        <f>IF(D57=0,"",ROUND(AVERAGEIFS(D6:D55,D6:D55,"&gt;=0",D6:D55,"&lt;=100"),1))</f>
        <v/>
      </c>
      <c r="E58" s="21">
        <f>IF(E57=0,"",ROUND(AVERAGEIFS(E6:E55,E6:E55,"&gt;=0",E6:E55,"&lt;=100"),1))</f>
        <v/>
      </c>
      <c r="F58" s="21">
        <f>IF(F57=0,"",ROUND(AVERAGEIFS(F6:F55,F6:F55,"&gt;=0",F6:F55,"&lt;=100"),1))</f>
        <v/>
      </c>
      <c r="G58" s="21">
        <f>IF(G57=0,"",ROUND(AVERAGEIFS(G6:G55,G6:G55,"&gt;=0",G6:G55,"&lt;=100"),1))</f>
        <v/>
      </c>
      <c r="H58" s="21">
        <f>IF(H57=0,"",ROUND(AVERAGEIFS(H6:H55,H6:H55,"&gt;=0",H6:H55,"&lt;=100"),1))</f>
        <v/>
      </c>
      <c r="I58" s="21">
        <f>IF(I57=0,"",ROUND(AVERAGEIFS(I6:I55,I6:I55,"&gt;=0",I6:I55,"&lt;=100"),1))</f>
        <v/>
      </c>
      <c r="J58" s="21">
        <f>IF(J57=0,"",ROUND(AVERAGEIFS(J6:J55,J6:J55,"&gt;=0",J6:J55,"&lt;=100"),1))</f>
        <v/>
      </c>
      <c r="K58" s="21">
        <f>IF(K57=0,"",ROUND(AVERAGEIFS(K6:K55,K6:K55,"&gt;=0",K6:K55,"&lt;=100"),1))</f>
        <v/>
      </c>
      <c r="L58" s="21">
        <f>IF(L57=0,"",ROUND(AVERAGEIFS(L6:L55,L6:L55,"&gt;=0",L6:L55,"&lt;=100"),1))</f>
        <v/>
      </c>
      <c r="M58" s="21">
        <f>IF(M57=0,"",ROUND(AVERAGEIFS(M6:M55,M6:M55,"&gt;=0",M6:M55,"&lt;=100"),1))</f>
        <v/>
      </c>
      <c r="N58" s="21">
        <f>IF(N57=0,"",ROUND(AVERAGEIFS(N6:N55,N6:N55,"&gt;=0",N6:N55,"&lt;=100"),1))</f>
        <v/>
      </c>
      <c r="O58" s="21">
        <f>IF(O57=0,"",ROUND(AVERAGEIFS(O6:O55,O6:O55,"&gt;=0",O6:O55,"&lt;=100"),1))</f>
        <v/>
      </c>
    </row>
    <row r="59">
      <c r="C59" s="2" t="inlineStr">
        <is>
          <t>Test #:</t>
        </is>
      </c>
      <c r="D59" s="2" t="n">
        <v>1</v>
      </c>
      <c r="E59" s="2" t="n">
        <v>2</v>
      </c>
      <c r="F59" s="2" t="n">
        <v>3</v>
      </c>
      <c r="G59" s="2" t="n">
        <v>4</v>
      </c>
      <c r="H59" s="2" t="n">
        <v>5</v>
      </c>
      <c r="I59" s="2" t="n">
        <v>6</v>
      </c>
      <c r="J59" s="2" t="n">
        <v>7</v>
      </c>
      <c r="K59" s="2" t="n">
        <v>8</v>
      </c>
      <c r="L59" s="2" t="n">
        <v>9</v>
      </c>
      <c r="M59" s="2" t="n">
        <v>10</v>
      </c>
      <c r="N59" s="2" t="n">
        <v>11</v>
      </c>
      <c r="O59" s="2" t="n">
        <v>12</v>
      </c>
    </row>
  </sheetData>
  <sheetProtection selectLockedCells="0" selectUnlockedCells="0" sheet="1" objects="0" insertRows="1" insertHyperlinks="1" autoFilter="0" scenarios="0" formatColumns="1" deleteColumns="1" insertColumns="1" pivotTables="1" deleteRows="1" formatCells="1" formatRows="1" sort="1" password="B4BB"/>
  <autoFilter ref="B5:T5"/>
  <conditionalFormatting sqref="R6:R55">
    <cfRule type="expression" priority="1" dxfId="0">
      <formula>$R6="INTERVENTION"</formula>
    </cfRule>
  </conditionalFormatting>
  <conditionalFormatting sqref="S6:S55">
    <cfRule type="expression" priority="2" dxfId="0">
      <formula>AND($S6&lt;&gt;"",$S6&lt;&gt;"OK")</formula>
    </cfRule>
  </conditionalFormatting>
  <conditionalFormatting sqref="B6:T55">
    <cfRule type="expression" priority="3" dxfId="1">
      <formula>AND(Cadets!$B6&lt;&gt;"",Cadets!$I6&lt;&gt;"Active")</formula>
    </cfRule>
  </conditionalFormatting>
  <dataValidations count="1">
    <dataValidation sqref="D6:O55" showDropDown="0" showInputMessage="0" showErrorMessage="1" allowBlank="1" errorTitle="Out of range" error="Spelling scores are 0-100 (25 words x 4 points)." type="whole" operator="between">
      <formula1>0</formula1>
      <formula2>100</formula2>
    </dataValidation>
  </dataValidations>
  <pageMargins left="0.75" right="0.75" top="1" bottom="1" header="0.5" footer="0.5"/>
</worksheet>
</file>

<file path=xl/worksheets/sheet8.xml><?xml version="1.0" encoding="utf-8"?>
<worksheet xmlns="http://schemas.openxmlformats.org/spreadsheetml/2006/main">
  <sheetPr>
    <tabColor rgb="002E75B6"/>
    <outlinePr summaryBelow="1" summaryRight="1"/>
    <pageSetUpPr/>
  </sheetPr>
  <dimension ref="B1:T805"/>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9" customWidth="1" min="2" max="2"/>
    <col width="11" customWidth="1" min="3" max="3"/>
    <col width="22" customWidth="1" min="4" max="4"/>
    <col width="9" customWidth="1" min="5" max="5"/>
    <col width="18" customWidth="1" min="6" max="6"/>
    <col width="16" customWidth="1" min="7" max="7"/>
    <col width="12" customWidth="1" min="8" max="8"/>
    <col width="9" customWidth="1" min="9" max="9"/>
    <col width="9" customWidth="1" min="10" max="10"/>
    <col width="7" customWidth="1" min="11" max="11"/>
    <col width="12" customWidth="1" min="12" max="12"/>
    <col width="10" customWidth="1" min="13" max="13"/>
    <col width="9" customWidth="1" min="14" max="14"/>
    <col width="30" customWidth="1" min="15" max="15"/>
    <col width="46" customWidth="1" min="20" max="20"/>
  </cols>
  <sheetData>
    <row r="1">
      <c r="B1" s="10">
        <f>HYPERLINK("#Dashboard!B5","◄ Dashboard")</f>
        <v/>
      </c>
    </row>
    <row r="4">
      <c r="B4" s="11" t="inlineStr">
        <is>
          <t>Exception log: only missed/modified time gets a row. Minutes count toward the classroom cap; Sessions toward the PT cap. Excused or documented-modified-PT rows don't count (policy 400). Each counting event stays OPEN until Makeup rows linked to its EventID cover the balance — then it shows CLEARED with the makeup date. Watch Row Check (last column): a counted row with no minutes (or no sessions on a PT event) is dropped from BOTH caps, and a row carrying the unit that does not match its own 'Is PT?' flag has that value discarded everywhere — balance, makeup reconciliation and the caps.</t>
        </is>
      </c>
    </row>
    <row r="5" ht="26" customHeight="1">
      <c r="B5" s="12" t="inlineStr">
        <is>
          <t>EventID</t>
        </is>
      </c>
      <c r="C5" s="12" t="inlineStr">
        <is>
          <t>Date</t>
        </is>
      </c>
      <c r="D5" s="12" t="inlineStr">
        <is>
          <t>Cadet Name</t>
        </is>
      </c>
      <c r="E5" s="12" t="inlineStr">
        <is>
          <t>PID</t>
        </is>
      </c>
      <c r="F5" s="12" t="inlineStr">
        <is>
          <t>Agency</t>
        </is>
      </c>
      <c r="G5" s="12" t="inlineStr">
        <is>
          <t>Event Type</t>
        </is>
      </c>
      <c r="H5" s="12" t="inlineStr">
        <is>
          <t>Reason</t>
        </is>
      </c>
      <c r="I5" s="12" t="inlineStr">
        <is>
          <t>Minutes</t>
        </is>
      </c>
      <c r="J5" s="12" t="inlineStr">
        <is>
          <t>Sessions</t>
        </is>
      </c>
      <c r="K5" s="12" t="inlineStr">
        <is>
          <t>Is PT?</t>
        </is>
      </c>
      <c r="L5" s="12" t="inlineStr">
        <is>
          <t>Doc Status</t>
        </is>
      </c>
      <c r="M5" s="12" t="inlineStr">
        <is>
          <t>Excused?</t>
        </is>
      </c>
      <c r="N5" s="12" t="inlineStr">
        <is>
          <t>Counts?</t>
        </is>
      </c>
      <c r="O5" s="12" t="inlineStr">
        <is>
          <t>Notes</t>
        </is>
      </c>
      <c r="P5" s="12" t="inlineStr">
        <is>
          <t>Made-Up Min</t>
        </is>
      </c>
      <c r="Q5" s="12" t="inlineStr">
        <is>
          <t>Made-Up Sess</t>
        </is>
      </c>
      <c r="R5" s="12" t="inlineStr">
        <is>
          <t>Balance</t>
        </is>
      </c>
      <c r="S5" s="12" t="inlineStr">
        <is>
          <t>Cleared?</t>
        </is>
      </c>
      <c r="T5" s="12" t="inlineStr">
        <is>
          <t>Row Check</t>
        </is>
      </c>
    </row>
    <row r="6">
      <c r="B6" s="17">
        <f>IF($D6="","","A"&amp;TEXT(ROW()-5,"000"))</f>
        <v/>
      </c>
      <c r="C6" s="18" t="n"/>
      <c r="D6" s="16" t="n"/>
      <c r="E6" s="17">
        <f>IF($D6="","",IFERROR(INDEX(rngCadetPIDs,MATCH($D6,rngCadetNames,0)),"?"))</f>
        <v/>
      </c>
      <c r="F6" s="17">
        <f>IF($E6="","",IFERROR(INDEX(nrCadetAgency,MATCH($E6,rngCadetPIDs,0)),""))</f>
        <v/>
      </c>
      <c r="G6" s="16" t="n"/>
      <c r="H6" s="16" t="n"/>
      <c r="I6" s="16" t="n"/>
      <c r="J6" s="16" t="n"/>
      <c r="K6" s="17">
        <f>IF($G6="","",IF(OR($G6="PT Missed",$G6="PT Modified",$G6="PT Refused"),"Yes","No"))</f>
        <v/>
      </c>
      <c r="L6" s="16" t="n"/>
      <c r="M6" s="16" t="n"/>
      <c r="N6" s="17">
        <f>IF($D6="","",IF($M6="Excused","No",IF(AND($G6="PT Modified",$L6="Received"),"No","Yes")))</f>
        <v/>
      </c>
      <c r="O6" s="16" t="n"/>
      <c r="P6" s="17">
        <f>IF(OR($B6="",N($I6)=0),"",MIN(N($I6),SUMIFS(nrMK_Min,nrMK_Link,$B6,nrMK_Credit,"Yes",nrMK_PID,$E6,nrMK_Type,"Classroom")))</f>
        <v/>
      </c>
      <c r="Q6" s="17">
        <f>IF(OR($B6="",N($J6)=0),"",MIN(N($J6),SUMIFS(nrMK_Sess,nrMK_Link,$B6,nrMK_Credit,"Yes",nrMK_PID,$E6,nrMK_Type,"PT")))</f>
        <v/>
      </c>
      <c r="R6" s="17">
        <f>IF(OR($B6="",$N6&lt;&gt;"Yes"),"",IF($K6="Yes",IF(N($J6)&gt;0,N($J6)-N($Q6),""),IF(N($I6)&gt;0,N($I6)-N($P6),"")))</f>
        <v/>
      </c>
      <c r="S6" s="17">
        <f>IF(OR($B6="",$R6=""),"",IF($R6&lt;=0,IF(IFERROR(_xlfn.MAXIFS(nrMK_Date,nrMK_Link,$B6,nrMK_Credit,"Yes",nrMK_PID,$E6),0)=0,"CLEARED (makeup date missing)","CLEARED "&amp;TEXT(_xlfn.MAXIFS(nrMK_Date,nrMK_Link,$B6,nrMK_Credit,"Yes",nrMK_PID,$E6),"mm/dd")),"OPEN"))</f>
        <v/>
      </c>
      <c r="T6" s="17">
        <f>IF($D6="","",IF($C6="","NO DATE",IF($G6="","NO EVENT TYPE",IF(AND($I6&lt;&gt;"",NOT(ISNUMBER($I6))),"MINUTES NOT A NUMBER",IF(AND($J6&lt;&gt;"",NOT(ISNUMBER($J6))),"SESSIONS NOT A NUMBER",IF(OR(N($I6)&lt;0,N($J6)&lt;0),"NEGATIVE MINUTES/SESSIONS",IF(AND($K6="Yes",N($I6)&gt;0),"MINUTES ON A PT EVENT - not counted (PT counts sessions)",IF(AND($K6="No",N($J6)&gt;0),"SESSIONS ON A CLASSROOM EVENT - not counted (classroom counts minutes)",IF(AND($N6="Yes",$K6="Yes",N($J6)=0),"COUNTED PT EVENT WITH NO SESSIONS - dropped from the PT cap",IF(AND($N6="Yes",$K6="No",N($I6)=0),"COUNTED EVENT WITH NO MINUTES - dropped from the classroom cap","OK"))))))))))</f>
        <v/>
      </c>
    </row>
    <row r="7">
      <c r="B7" s="17">
        <f>IF($D7="","","A"&amp;TEXT(ROW()-5,"000"))</f>
        <v/>
      </c>
      <c r="C7" s="18" t="n"/>
      <c r="D7" s="16" t="n"/>
      <c r="E7" s="17">
        <f>IF($D7="","",IFERROR(INDEX(rngCadetPIDs,MATCH($D7,rngCadetNames,0)),"?"))</f>
        <v/>
      </c>
      <c r="F7" s="17">
        <f>IF($E7="","",IFERROR(INDEX(nrCadetAgency,MATCH($E7,rngCadetPIDs,0)),""))</f>
        <v/>
      </c>
      <c r="G7" s="16" t="n"/>
      <c r="H7" s="16" t="n"/>
      <c r="I7" s="16" t="n"/>
      <c r="J7" s="16" t="n"/>
      <c r="K7" s="17">
        <f>IF($G7="","",IF(OR($G7="PT Missed",$G7="PT Modified",$G7="PT Refused"),"Yes","No"))</f>
        <v/>
      </c>
      <c r="L7" s="16" t="n"/>
      <c r="M7" s="16" t="n"/>
      <c r="N7" s="17">
        <f>IF($D7="","",IF($M7="Excused","No",IF(AND($G7="PT Modified",$L7="Received"),"No","Yes")))</f>
        <v/>
      </c>
      <c r="O7" s="16" t="n"/>
      <c r="P7" s="17">
        <f>IF(OR($B7="",N($I7)=0),"",MIN(N($I7),SUMIFS(nrMK_Min,nrMK_Link,$B7,nrMK_Credit,"Yes",nrMK_PID,$E7,nrMK_Type,"Classroom")))</f>
        <v/>
      </c>
      <c r="Q7" s="17">
        <f>IF(OR($B7="",N($J7)=0),"",MIN(N($J7),SUMIFS(nrMK_Sess,nrMK_Link,$B7,nrMK_Credit,"Yes",nrMK_PID,$E7,nrMK_Type,"PT")))</f>
        <v/>
      </c>
      <c r="R7" s="17">
        <f>IF(OR($B7="",$N7&lt;&gt;"Yes"),"",IF($K7="Yes",IF(N($J7)&gt;0,N($J7)-N($Q7),""),IF(N($I7)&gt;0,N($I7)-N($P7),"")))</f>
        <v/>
      </c>
      <c r="S7" s="17">
        <f>IF(OR($B7="",$R7=""),"",IF($R7&lt;=0,IF(IFERROR(_xlfn.MAXIFS(nrMK_Date,nrMK_Link,$B7,nrMK_Credit,"Yes",nrMK_PID,$E7),0)=0,"CLEARED (makeup date missing)","CLEARED "&amp;TEXT(_xlfn.MAXIFS(nrMK_Date,nrMK_Link,$B7,nrMK_Credit,"Yes",nrMK_PID,$E7),"mm/dd")),"OPEN"))</f>
        <v/>
      </c>
      <c r="T7" s="17">
        <f>IF($D7="","",IF($C7="","NO DATE",IF($G7="","NO EVENT TYPE",IF(AND($I7&lt;&gt;"",NOT(ISNUMBER($I7))),"MINUTES NOT A NUMBER",IF(AND($J7&lt;&gt;"",NOT(ISNUMBER($J7))),"SESSIONS NOT A NUMBER",IF(OR(N($I7)&lt;0,N($J7)&lt;0),"NEGATIVE MINUTES/SESSIONS",IF(AND($K7="Yes",N($I7)&gt;0),"MINUTES ON A PT EVENT - not counted (PT counts sessions)",IF(AND($K7="No",N($J7)&gt;0),"SESSIONS ON A CLASSROOM EVENT - not counted (classroom counts minutes)",IF(AND($N7="Yes",$K7="Yes",N($J7)=0),"COUNTED PT EVENT WITH NO SESSIONS - dropped from the PT cap",IF(AND($N7="Yes",$K7="No",N($I7)=0),"COUNTED EVENT WITH NO MINUTES - dropped from the classroom cap","OK"))))))))))</f>
        <v/>
      </c>
    </row>
    <row r="8">
      <c r="B8" s="17">
        <f>IF($D8="","","A"&amp;TEXT(ROW()-5,"000"))</f>
        <v/>
      </c>
      <c r="C8" s="18" t="n"/>
      <c r="D8" s="16" t="n"/>
      <c r="E8" s="17">
        <f>IF($D8="","",IFERROR(INDEX(rngCadetPIDs,MATCH($D8,rngCadetNames,0)),"?"))</f>
        <v/>
      </c>
      <c r="F8" s="17">
        <f>IF($E8="","",IFERROR(INDEX(nrCadetAgency,MATCH($E8,rngCadetPIDs,0)),""))</f>
        <v/>
      </c>
      <c r="G8" s="16" t="n"/>
      <c r="H8" s="16" t="n"/>
      <c r="I8" s="16" t="n"/>
      <c r="J8" s="16" t="n"/>
      <c r="K8" s="17">
        <f>IF($G8="","",IF(OR($G8="PT Missed",$G8="PT Modified",$G8="PT Refused"),"Yes","No"))</f>
        <v/>
      </c>
      <c r="L8" s="16" t="n"/>
      <c r="M8" s="16" t="n"/>
      <c r="N8" s="17">
        <f>IF($D8="","",IF($M8="Excused","No",IF(AND($G8="PT Modified",$L8="Received"),"No","Yes")))</f>
        <v/>
      </c>
      <c r="O8" s="16" t="n"/>
      <c r="P8" s="17">
        <f>IF(OR($B8="",N($I8)=0),"",MIN(N($I8),SUMIFS(nrMK_Min,nrMK_Link,$B8,nrMK_Credit,"Yes",nrMK_PID,$E8,nrMK_Type,"Classroom")))</f>
        <v/>
      </c>
      <c r="Q8" s="17">
        <f>IF(OR($B8="",N($J8)=0),"",MIN(N($J8),SUMIFS(nrMK_Sess,nrMK_Link,$B8,nrMK_Credit,"Yes",nrMK_PID,$E8,nrMK_Type,"PT")))</f>
        <v/>
      </c>
      <c r="R8" s="17">
        <f>IF(OR($B8="",$N8&lt;&gt;"Yes"),"",IF($K8="Yes",IF(N($J8)&gt;0,N($J8)-N($Q8),""),IF(N($I8)&gt;0,N($I8)-N($P8),"")))</f>
        <v/>
      </c>
      <c r="S8" s="17">
        <f>IF(OR($B8="",$R8=""),"",IF($R8&lt;=0,IF(IFERROR(_xlfn.MAXIFS(nrMK_Date,nrMK_Link,$B8,nrMK_Credit,"Yes",nrMK_PID,$E8),0)=0,"CLEARED (makeup date missing)","CLEARED "&amp;TEXT(_xlfn.MAXIFS(nrMK_Date,nrMK_Link,$B8,nrMK_Credit,"Yes",nrMK_PID,$E8),"mm/dd")),"OPEN"))</f>
        <v/>
      </c>
      <c r="T8" s="17">
        <f>IF($D8="","",IF($C8="","NO DATE",IF($G8="","NO EVENT TYPE",IF(AND($I8&lt;&gt;"",NOT(ISNUMBER($I8))),"MINUTES NOT A NUMBER",IF(AND($J8&lt;&gt;"",NOT(ISNUMBER($J8))),"SESSIONS NOT A NUMBER",IF(OR(N($I8)&lt;0,N($J8)&lt;0),"NEGATIVE MINUTES/SESSIONS",IF(AND($K8="Yes",N($I8)&gt;0),"MINUTES ON A PT EVENT - not counted (PT counts sessions)",IF(AND($K8="No",N($J8)&gt;0),"SESSIONS ON A CLASSROOM EVENT - not counted (classroom counts minutes)",IF(AND($N8="Yes",$K8="Yes",N($J8)=0),"COUNTED PT EVENT WITH NO SESSIONS - dropped from the PT cap",IF(AND($N8="Yes",$K8="No",N($I8)=0),"COUNTED EVENT WITH NO MINUTES - dropped from the classroom cap","OK"))))))))))</f>
        <v/>
      </c>
    </row>
    <row r="9">
      <c r="B9" s="17">
        <f>IF($D9="","","A"&amp;TEXT(ROW()-5,"000"))</f>
        <v/>
      </c>
      <c r="C9" s="18" t="n"/>
      <c r="D9" s="16" t="n"/>
      <c r="E9" s="17">
        <f>IF($D9="","",IFERROR(INDEX(rngCadetPIDs,MATCH($D9,rngCadetNames,0)),"?"))</f>
        <v/>
      </c>
      <c r="F9" s="17">
        <f>IF($E9="","",IFERROR(INDEX(nrCadetAgency,MATCH($E9,rngCadetPIDs,0)),""))</f>
        <v/>
      </c>
      <c r="G9" s="16" t="n"/>
      <c r="H9" s="16" t="n"/>
      <c r="I9" s="16" t="n"/>
      <c r="J9" s="16" t="n"/>
      <c r="K9" s="17">
        <f>IF($G9="","",IF(OR($G9="PT Missed",$G9="PT Modified",$G9="PT Refused"),"Yes","No"))</f>
        <v/>
      </c>
      <c r="L9" s="16" t="n"/>
      <c r="M9" s="16" t="n"/>
      <c r="N9" s="17">
        <f>IF($D9="","",IF($M9="Excused","No",IF(AND($G9="PT Modified",$L9="Received"),"No","Yes")))</f>
        <v/>
      </c>
      <c r="O9" s="16" t="n"/>
      <c r="P9" s="17">
        <f>IF(OR($B9="",N($I9)=0),"",MIN(N($I9),SUMIFS(nrMK_Min,nrMK_Link,$B9,nrMK_Credit,"Yes",nrMK_PID,$E9,nrMK_Type,"Classroom")))</f>
        <v/>
      </c>
      <c r="Q9" s="17">
        <f>IF(OR($B9="",N($J9)=0),"",MIN(N($J9),SUMIFS(nrMK_Sess,nrMK_Link,$B9,nrMK_Credit,"Yes",nrMK_PID,$E9,nrMK_Type,"PT")))</f>
        <v/>
      </c>
      <c r="R9" s="17">
        <f>IF(OR($B9="",$N9&lt;&gt;"Yes"),"",IF($K9="Yes",IF(N($J9)&gt;0,N($J9)-N($Q9),""),IF(N($I9)&gt;0,N($I9)-N($P9),"")))</f>
        <v/>
      </c>
      <c r="S9" s="17">
        <f>IF(OR($B9="",$R9=""),"",IF($R9&lt;=0,IF(IFERROR(_xlfn.MAXIFS(nrMK_Date,nrMK_Link,$B9,nrMK_Credit,"Yes",nrMK_PID,$E9),0)=0,"CLEARED (makeup date missing)","CLEARED "&amp;TEXT(_xlfn.MAXIFS(nrMK_Date,nrMK_Link,$B9,nrMK_Credit,"Yes",nrMK_PID,$E9),"mm/dd")),"OPEN"))</f>
        <v/>
      </c>
      <c r="T9" s="17">
        <f>IF($D9="","",IF($C9="","NO DATE",IF($G9="","NO EVENT TYPE",IF(AND($I9&lt;&gt;"",NOT(ISNUMBER($I9))),"MINUTES NOT A NUMBER",IF(AND($J9&lt;&gt;"",NOT(ISNUMBER($J9))),"SESSIONS NOT A NUMBER",IF(OR(N($I9)&lt;0,N($J9)&lt;0),"NEGATIVE MINUTES/SESSIONS",IF(AND($K9="Yes",N($I9)&gt;0),"MINUTES ON A PT EVENT - not counted (PT counts sessions)",IF(AND($K9="No",N($J9)&gt;0),"SESSIONS ON A CLASSROOM EVENT - not counted (classroom counts minutes)",IF(AND($N9="Yes",$K9="Yes",N($J9)=0),"COUNTED PT EVENT WITH NO SESSIONS - dropped from the PT cap",IF(AND($N9="Yes",$K9="No",N($I9)=0),"COUNTED EVENT WITH NO MINUTES - dropped from the classroom cap","OK"))))))))))</f>
        <v/>
      </c>
    </row>
    <row r="10">
      <c r="B10" s="17">
        <f>IF($D10="","","A"&amp;TEXT(ROW()-5,"000"))</f>
        <v/>
      </c>
      <c r="C10" s="18" t="n"/>
      <c r="D10" s="16" t="n"/>
      <c r="E10" s="17">
        <f>IF($D10="","",IFERROR(INDEX(rngCadetPIDs,MATCH($D10,rngCadetNames,0)),"?"))</f>
        <v/>
      </c>
      <c r="F10" s="17">
        <f>IF($E10="","",IFERROR(INDEX(nrCadetAgency,MATCH($E10,rngCadetPIDs,0)),""))</f>
        <v/>
      </c>
      <c r="G10" s="16" t="n"/>
      <c r="H10" s="16" t="n"/>
      <c r="I10" s="16" t="n"/>
      <c r="J10" s="16" t="n"/>
      <c r="K10" s="17">
        <f>IF($G10="","",IF(OR($G10="PT Missed",$G10="PT Modified",$G10="PT Refused"),"Yes","No"))</f>
        <v/>
      </c>
      <c r="L10" s="16" t="n"/>
      <c r="M10" s="16" t="n"/>
      <c r="N10" s="17">
        <f>IF($D10="","",IF($M10="Excused","No",IF(AND($G10="PT Modified",$L10="Received"),"No","Yes")))</f>
        <v/>
      </c>
      <c r="O10" s="16" t="n"/>
      <c r="P10" s="17">
        <f>IF(OR($B10="",N($I10)=0),"",MIN(N($I10),SUMIFS(nrMK_Min,nrMK_Link,$B10,nrMK_Credit,"Yes",nrMK_PID,$E10,nrMK_Type,"Classroom")))</f>
        <v/>
      </c>
      <c r="Q10" s="17">
        <f>IF(OR($B10="",N($J10)=0),"",MIN(N($J10),SUMIFS(nrMK_Sess,nrMK_Link,$B10,nrMK_Credit,"Yes",nrMK_PID,$E10,nrMK_Type,"PT")))</f>
        <v/>
      </c>
      <c r="R10" s="17">
        <f>IF(OR($B10="",$N10&lt;&gt;"Yes"),"",IF($K10="Yes",IF(N($J10)&gt;0,N($J10)-N($Q10),""),IF(N($I10)&gt;0,N($I10)-N($P10),"")))</f>
        <v/>
      </c>
      <c r="S10" s="17">
        <f>IF(OR($B10="",$R10=""),"",IF($R10&lt;=0,IF(IFERROR(_xlfn.MAXIFS(nrMK_Date,nrMK_Link,$B10,nrMK_Credit,"Yes",nrMK_PID,$E10),0)=0,"CLEARED (makeup date missing)","CLEARED "&amp;TEXT(_xlfn.MAXIFS(nrMK_Date,nrMK_Link,$B10,nrMK_Credit,"Yes",nrMK_PID,$E10),"mm/dd")),"OPEN"))</f>
        <v/>
      </c>
      <c r="T10" s="17">
        <f>IF($D10="","",IF($C10="","NO DATE",IF($G10="","NO EVENT TYPE",IF(AND($I10&lt;&gt;"",NOT(ISNUMBER($I10))),"MINUTES NOT A NUMBER",IF(AND($J10&lt;&gt;"",NOT(ISNUMBER($J10))),"SESSIONS NOT A NUMBER",IF(OR(N($I10)&lt;0,N($J10)&lt;0),"NEGATIVE MINUTES/SESSIONS",IF(AND($K10="Yes",N($I10)&gt;0),"MINUTES ON A PT EVENT - not counted (PT counts sessions)",IF(AND($K10="No",N($J10)&gt;0),"SESSIONS ON A CLASSROOM EVENT - not counted (classroom counts minutes)",IF(AND($N10="Yes",$K10="Yes",N($J10)=0),"COUNTED PT EVENT WITH NO SESSIONS - dropped from the PT cap",IF(AND($N10="Yes",$K10="No",N($I10)=0),"COUNTED EVENT WITH NO MINUTES - dropped from the classroom cap","OK"))))))))))</f>
        <v/>
      </c>
    </row>
    <row r="11">
      <c r="B11" s="17">
        <f>IF($D11="","","A"&amp;TEXT(ROW()-5,"000"))</f>
        <v/>
      </c>
      <c r="C11" s="18" t="n"/>
      <c r="D11" s="16" t="n"/>
      <c r="E11" s="17">
        <f>IF($D11="","",IFERROR(INDEX(rngCadetPIDs,MATCH($D11,rngCadetNames,0)),"?"))</f>
        <v/>
      </c>
      <c r="F11" s="17">
        <f>IF($E11="","",IFERROR(INDEX(nrCadetAgency,MATCH($E11,rngCadetPIDs,0)),""))</f>
        <v/>
      </c>
      <c r="G11" s="16" t="n"/>
      <c r="H11" s="16" t="n"/>
      <c r="I11" s="16" t="n"/>
      <c r="J11" s="16" t="n"/>
      <c r="K11" s="17">
        <f>IF($G11="","",IF(OR($G11="PT Missed",$G11="PT Modified",$G11="PT Refused"),"Yes","No"))</f>
        <v/>
      </c>
      <c r="L11" s="16" t="n"/>
      <c r="M11" s="16" t="n"/>
      <c r="N11" s="17">
        <f>IF($D11="","",IF($M11="Excused","No",IF(AND($G11="PT Modified",$L11="Received"),"No","Yes")))</f>
        <v/>
      </c>
      <c r="O11" s="16" t="n"/>
      <c r="P11" s="17">
        <f>IF(OR($B11="",N($I11)=0),"",MIN(N($I11),SUMIFS(nrMK_Min,nrMK_Link,$B11,nrMK_Credit,"Yes",nrMK_PID,$E11,nrMK_Type,"Classroom")))</f>
        <v/>
      </c>
      <c r="Q11" s="17">
        <f>IF(OR($B11="",N($J11)=0),"",MIN(N($J11),SUMIFS(nrMK_Sess,nrMK_Link,$B11,nrMK_Credit,"Yes",nrMK_PID,$E11,nrMK_Type,"PT")))</f>
        <v/>
      </c>
      <c r="R11" s="17">
        <f>IF(OR($B11="",$N11&lt;&gt;"Yes"),"",IF($K11="Yes",IF(N($J11)&gt;0,N($J11)-N($Q11),""),IF(N($I11)&gt;0,N($I11)-N($P11),"")))</f>
        <v/>
      </c>
      <c r="S11" s="17">
        <f>IF(OR($B11="",$R11=""),"",IF($R11&lt;=0,IF(IFERROR(_xlfn.MAXIFS(nrMK_Date,nrMK_Link,$B11,nrMK_Credit,"Yes",nrMK_PID,$E11),0)=0,"CLEARED (makeup date missing)","CLEARED "&amp;TEXT(_xlfn.MAXIFS(nrMK_Date,nrMK_Link,$B11,nrMK_Credit,"Yes",nrMK_PID,$E11),"mm/dd")),"OPEN"))</f>
        <v/>
      </c>
      <c r="T11" s="17">
        <f>IF($D11="","",IF($C11="","NO DATE",IF($G11="","NO EVENT TYPE",IF(AND($I11&lt;&gt;"",NOT(ISNUMBER($I11))),"MINUTES NOT A NUMBER",IF(AND($J11&lt;&gt;"",NOT(ISNUMBER($J11))),"SESSIONS NOT A NUMBER",IF(OR(N($I11)&lt;0,N($J11)&lt;0),"NEGATIVE MINUTES/SESSIONS",IF(AND($K11="Yes",N($I11)&gt;0),"MINUTES ON A PT EVENT - not counted (PT counts sessions)",IF(AND($K11="No",N($J11)&gt;0),"SESSIONS ON A CLASSROOM EVENT - not counted (classroom counts minutes)",IF(AND($N11="Yes",$K11="Yes",N($J11)=0),"COUNTED PT EVENT WITH NO SESSIONS - dropped from the PT cap",IF(AND($N11="Yes",$K11="No",N($I11)=0),"COUNTED EVENT WITH NO MINUTES - dropped from the classroom cap","OK"))))))))))</f>
        <v/>
      </c>
    </row>
    <row r="12">
      <c r="B12" s="17">
        <f>IF($D12="","","A"&amp;TEXT(ROW()-5,"000"))</f>
        <v/>
      </c>
      <c r="C12" s="18" t="n"/>
      <c r="D12" s="16" t="n"/>
      <c r="E12" s="17">
        <f>IF($D12="","",IFERROR(INDEX(rngCadetPIDs,MATCH($D12,rngCadetNames,0)),"?"))</f>
        <v/>
      </c>
      <c r="F12" s="17">
        <f>IF($E12="","",IFERROR(INDEX(nrCadetAgency,MATCH($E12,rngCadetPIDs,0)),""))</f>
        <v/>
      </c>
      <c r="G12" s="16" t="n"/>
      <c r="H12" s="16" t="n"/>
      <c r="I12" s="16" t="n"/>
      <c r="J12" s="16" t="n"/>
      <c r="K12" s="17">
        <f>IF($G12="","",IF(OR($G12="PT Missed",$G12="PT Modified",$G12="PT Refused"),"Yes","No"))</f>
        <v/>
      </c>
      <c r="L12" s="16" t="n"/>
      <c r="M12" s="16" t="n"/>
      <c r="N12" s="17">
        <f>IF($D12="","",IF($M12="Excused","No",IF(AND($G12="PT Modified",$L12="Received"),"No","Yes")))</f>
        <v/>
      </c>
      <c r="O12" s="16" t="n"/>
      <c r="P12" s="17">
        <f>IF(OR($B12="",N($I12)=0),"",MIN(N($I12),SUMIFS(nrMK_Min,nrMK_Link,$B12,nrMK_Credit,"Yes",nrMK_PID,$E12,nrMK_Type,"Classroom")))</f>
        <v/>
      </c>
      <c r="Q12" s="17">
        <f>IF(OR($B12="",N($J12)=0),"",MIN(N($J12),SUMIFS(nrMK_Sess,nrMK_Link,$B12,nrMK_Credit,"Yes",nrMK_PID,$E12,nrMK_Type,"PT")))</f>
        <v/>
      </c>
      <c r="R12" s="17">
        <f>IF(OR($B12="",$N12&lt;&gt;"Yes"),"",IF($K12="Yes",IF(N($J12)&gt;0,N($J12)-N($Q12),""),IF(N($I12)&gt;0,N($I12)-N($P12),"")))</f>
        <v/>
      </c>
      <c r="S12" s="17">
        <f>IF(OR($B12="",$R12=""),"",IF($R12&lt;=0,IF(IFERROR(_xlfn.MAXIFS(nrMK_Date,nrMK_Link,$B12,nrMK_Credit,"Yes",nrMK_PID,$E12),0)=0,"CLEARED (makeup date missing)","CLEARED "&amp;TEXT(_xlfn.MAXIFS(nrMK_Date,nrMK_Link,$B12,nrMK_Credit,"Yes",nrMK_PID,$E12),"mm/dd")),"OPEN"))</f>
        <v/>
      </c>
      <c r="T12" s="17">
        <f>IF($D12="","",IF($C12="","NO DATE",IF($G12="","NO EVENT TYPE",IF(AND($I12&lt;&gt;"",NOT(ISNUMBER($I12))),"MINUTES NOT A NUMBER",IF(AND($J12&lt;&gt;"",NOT(ISNUMBER($J12))),"SESSIONS NOT A NUMBER",IF(OR(N($I12)&lt;0,N($J12)&lt;0),"NEGATIVE MINUTES/SESSIONS",IF(AND($K12="Yes",N($I12)&gt;0),"MINUTES ON A PT EVENT - not counted (PT counts sessions)",IF(AND($K12="No",N($J12)&gt;0),"SESSIONS ON A CLASSROOM EVENT - not counted (classroom counts minutes)",IF(AND($N12="Yes",$K12="Yes",N($J12)=0),"COUNTED PT EVENT WITH NO SESSIONS - dropped from the PT cap",IF(AND($N12="Yes",$K12="No",N($I12)=0),"COUNTED EVENT WITH NO MINUTES - dropped from the classroom cap","OK"))))))))))</f>
        <v/>
      </c>
    </row>
    <row r="13">
      <c r="B13" s="17">
        <f>IF($D13="","","A"&amp;TEXT(ROW()-5,"000"))</f>
        <v/>
      </c>
      <c r="C13" s="18" t="n"/>
      <c r="D13" s="16" t="n"/>
      <c r="E13" s="17">
        <f>IF($D13="","",IFERROR(INDEX(rngCadetPIDs,MATCH($D13,rngCadetNames,0)),"?"))</f>
        <v/>
      </c>
      <c r="F13" s="17">
        <f>IF($E13="","",IFERROR(INDEX(nrCadetAgency,MATCH($E13,rngCadetPIDs,0)),""))</f>
        <v/>
      </c>
      <c r="G13" s="16" t="n"/>
      <c r="H13" s="16" t="n"/>
      <c r="I13" s="16" t="n"/>
      <c r="J13" s="16" t="n"/>
      <c r="K13" s="17">
        <f>IF($G13="","",IF(OR($G13="PT Missed",$G13="PT Modified",$G13="PT Refused"),"Yes","No"))</f>
        <v/>
      </c>
      <c r="L13" s="16" t="n"/>
      <c r="M13" s="16" t="n"/>
      <c r="N13" s="17">
        <f>IF($D13="","",IF($M13="Excused","No",IF(AND($G13="PT Modified",$L13="Received"),"No","Yes")))</f>
        <v/>
      </c>
      <c r="O13" s="16" t="n"/>
      <c r="P13" s="17">
        <f>IF(OR($B13="",N($I13)=0),"",MIN(N($I13),SUMIFS(nrMK_Min,nrMK_Link,$B13,nrMK_Credit,"Yes",nrMK_PID,$E13,nrMK_Type,"Classroom")))</f>
        <v/>
      </c>
      <c r="Q13" s="17">
        <f>IF(OR($B13="",N($J13)=0),"",MIN(N($J13),SUMIFS(nrMK_Sess,nrMK_Link,$B13,nrMK_Credit,"Yes",nrMK_PID,$E13,nrMK_Type,"PT")))</f>
        <v/>
      </c>
      <c r="R13" s="17">
        <f>IF(OR($B13="",$N13&lt;&gt;"Yes"),"",IF($K13="Yes",IF(N($J13)&gt;0,N($J13)-N($Q13),""),IF(N($I13)&gt;0,N($I13)-N($P13),"")))</f>
        <v/>
      </c>
      <c r="S13" s="17">
        <f>IF(OR($B13="",$R13=""),"",IF($R13&lt;=0,IF(IFERROR(_xlfn.MAXIFS(nrMK_Date,nrMK_Link,$B13,nrMK_Credit,"Yes",nrMK_PID,$E13),0)=0,"CLEARED (makeup date missing)","CLEARED "&amp;TEXT(_xlfn.MAXIFS(nrMK_Date,nrMK_Link,$B13,nrMK_Credit,"Yes",nrMK_PID,$E13),"mm/dd")),"OPEN"))</f>
        <v/>
      </c>
      <c r="T13" s="17">
        <f>IF($D13="","",IF($C13="","NO DATE",IF($G13="","NO EVENT TYPE",IF(AND($I13&lt;&gt;"",NOT(ISNUMBER($I13))),"MINUTES NOT A NUMBER",IF(AND($J13&lt;&gt;"",NOT(ISNUMBER($J13))),"SESSIONS NOT A NUMBER",IF(OR(N($I13)&lt;0,N($J13)&lt;0),"NEGATIVE MINUTES/SESSIONS",IF(AND($K13="Yes",N($I13)&gt;0),"MINUTES ON A PT EVENT - not counted (PT counts sessions)",IF(AND($K13="No",N($J13)&gt;0),"SESSIONS ON A CLASSROOM EVENT - not counted (classroom counts minutes)",IF(AND($N13="Yes",$K13="Yes",N($J13)=0),"COUNTED PT EVENT WITH NO SESSIONS - dropped from the PT cap",IF(AND($N13="Yes",$K13="No",N($I13)=0),"COUNTED EVENT WITH NO MINUTES - dropped from the classroom cap","OK"))))))))))</f>
        <v/>
      </c>
    </row>
    <row r="14">
      <c r="B14" s="17">
        <f>IF($D14="","","A"&amp;TEXT(ROW()-5,"000"))</f>
        <v/>
      </c>
      <c r="C14" s="18" t="n"/>
      <c r="D14" s="16" t="n"/>
      <c r="E14" s="17">
        <f>IF($D14="","",IFERROR(INDEX(rngCadetPIDs,MATCH($D14,rngCadetNames,0)),"?"))</f>
        <v/>
      </c>
      <c r="F14" s="17">
        <f>IF($E14="","",IFERROR(INDEX(nrCadetAgency,MATCH($E14,rngCadetPIDs,0)),""))</f>
        <v/>
      </c>
      <c r="G14" s="16" t="n"/>
      <c r="H14" s="16" t="n"/>
      <c r="I14" s="16" t="n"/>
      <c r="J14" s="16" t="n"/>
      <c r="K14" s="17">
        <f>IF($G14="","",IF(OR($G14="PT Missed",$G14="PT Modified",$G14="PT Refused"),"Yes","No"))</f>
        <v/>
      </c>
      <c r="L14" s="16" t="n"/>
      <c r="M14" s="16" t="n"/>
      <c r="N14" s="17">
        <f>IF($D14="","",IF($M14="Excused","No",IF(AND($G14="PT Modified",$L14="Received"),"No","Yes")))</f>
        <v/>
      </c>
      <c r="O14" s="16" t="n"/>
      <c r="P14" s="17">
        <f>IF(OR($B14="",N($I14)=0),"",MIN(N($I14),SUMIFS(nrMK_Min,nrMK_Link,$B14,nrMK_Credit,"Yes",nrMK_PID,$E14,nrMK_Type,"Classroom")))</f>
        <v/>
      </c>
      <c r="Q14" s="17">
        <f>IF(OR($B14="",N($J14)=0),"",MIN(N($J14),SUMIFS(nrMK_Sess,nrMK_Link,$B14,nrMK_Credit,"Yes",nrMK_PID,$E14,nrMK_Type,"PT")))</f>
        <v/>
      </c>
      <c r="R14" s="17">
        <f>IF(OR($B14="",$N14&lt;&gt;"Yes"),"",IF($K14="Yes",IF(N($J14)&gt;0,N($J14)-N($Q14),""),IF(N($I14)&gt;0,N($I14)-N($P14),"")))</f>
        <v/>
      </c>
      <c r="S14" s="17">
        <f>IF(OR($B14="",$R14=""),"",IF($R14&lt;=0,IF(IFERROR(_xlfn.MAXIFS(nrMK_Date,nrMK_Link,$B14,nrMK_Credit,"Yes",nrMK_PID,$E14),0)=0,"CLEARED (makeup date missing)","CLEARED "&amp;TEXT(_xlfn.MAXIFS(nrMK_Date,nrMK_Link,$B14,nrMK_Credit,"Yes",nrMK_PID,$E14),"mm/dd")),"OPEN"))</f>
        <v/>
      </c>
      <c r="T14" s="17">
        <f>IF($D14="","",IF($C14="","NO DATE",IF($G14="","NO EVENT TYPE",IF(AND($I14&lt;&gt;"",NOT(ISNUMBER($I14))),"MINUTES NOT A NUMBER",IF(AND($J14&lt;&gt;"",NOT(ISNUMBER($J14))),"SESSIONS NOT A NUMBER",IF(OR(N($I14)&lt;0,N($J14)&lt;0),"NEGATIVE MINUTES/SESSIONS",IF(AND($K14="Yes",N($I14)&gt;0),"MINUTES ON A PT EVENT - not counted (PT counts sessions)",IF(AND($K14="No",N($J14)&gt;0),"SESSIONS ON A CLASSROOM EVENT - not counted (classroom counts minutes)",IF(AND($N14="Yes",$K14="Yes",N($J14)=0),"COUNTED PT EVENT WITH NO SESSIONS - dropped from the PT cap",IF(AND($N14="Yes",$K14="No",N($I14)=0),"COUNTED EVENT WITH NO MINUTES - dropped from the classroom cap","OK"))))))))))</f>
        <v/>
      </c>
    </row>
    <row r="15">
      <c r="B15" s="17">
        <f>IF($D15="","","A"&amp;TEXT(ROW()-5,"000"))</f>
        <v/>
      </c>
      <c r="C15" s="18" t="n"/>
      <c r="D15" s="16" t="n"/>
      <c r="E15" s="17">
        <f>IF($D15="","",IFERROR(INDEX(rngCadetPIDs,MATCH($D15,rngCadetNames,0)),"?"))</f>
        <v/>
      </c>
      <c r="F15" s="17">
        <f>IF($E15="","",IFERROR(INDEX(nrCadetAgency,MATCH($E15,rngCadetPIDs,0)),""))</f>
        <v/>
      </c>
      <c r="G15" s="16" t="n"/>
      <c r="H15" s="16" t="n"/>
      <c r="I15" s="16" t="n"/>
      <c r="J15" s="16" t="n"/>
      <c r="K15" s="17">
        <f>IF($G15="","",IF(OR($G15="PT Missed",$G15="PT Modified",$G15="PT Refused"),"Yes","No"))</f>
        <v/>
      </c>
      <c r="L15" s="16" t="n"/>
      <c r="M15" s="16" t="n"/>
      <c r="N15" s="17">
        <f>IF($D15="","",IF($M15="Excused","No",IF(AND($G15="PT Modified",$L15="Received"),"No","Yes")))</f>
        <v/>
      </c>
      <c r="O15" s="16" t="n"/>
      <c r="P15" s="17">
        <f>IF(OR($B15="",N($I15)=0),"",MIN(N($I15),SUMIFS(nrMK_Min,nrMK_Link,$B15,nrMK_Credit,"Yes",nrMK_PID,$E15,nrMK_Type,"Classroom")))</f>
        <v/>
      </c>
      <c r="Q15" s="17">
        <f>IF(OR($B15="",N($J15)=0),"",MIN(N($J15),SUMIFS(nrMK_Sess,nrMK_Link,$B15,nrMK_Credit,"Yes",nrMK_PID,$E15,nrMK_Type,"PT")))</f>
        <v/>
      </c>
      <c r="R15" s="17">
        <f>IF(OR($B15="",$N15&lt;&gt;"Yes"),"",IF($K15="Yes",IF(N($J15)&gt;0,N($J15)-N($Q15),""),IF(N($I15)&gt;0,N($I15)-N($P15),"")))</f>
        <v/>
      </c>
      <c r="S15" s="17">
        <f>IF(OR($B15="",$R15=""),"",IF($R15&lt;=0,IF(IFERROR(_xlfn.MAXIFS(nrMK_Date,nrMK_Link,$B15,nrMK_Credit,"Yes",nrMK_PID,$E15),0)=0,"CLEARED (makeup date missing)","CLEARED "&amp;TEXT(_xlfn.MAXIFS(nrMK_Date,nrMK_Link,$B15,nrMK_Credit,"Yes",nrMK_PID,$E15),"mm/dd")),"OPEN"))</f>
        <v/>
      </c>
      <c r="T15" s="17">
        <f>IF($D15="","",IF($C15="","NO DATE",IF($G15="","NO EVENT TYPE",IF(AND($I15&lt;&gt;"",NOT(ISNUMBER($I15))),"MINUTES NOT A NUMBER",IF(AND($J15&lt;&gt;"",NOT(ISNUMBER($J15))),"SESSIONS NOT A NUMBER",IF(OR(N($I15)&lt;0,N($J15)&lt;0),"NEGATIVE MINUTES/SESSIONS",IF(AND($K15="Yes",N($I15)&gt;0),"MINUTES ON A PT EVENT - not counted (PT counts sessions)",IF(AND($K15="No",N($J15)&gt;0),"SESSIONS ON A CLASSROOM EVENT - not counted (classroom counts minutes)",IF(AND($N15="Yes",$K15="Yes",N($J15)=0),"COUNTED PT EVENT WITH NO SESSIONS - dropped from the PT cap",IF(AND($N15="Yes",$K15="No",N($I15)=0),"COUNTED EVENT WITH NO MINUTES - dropped from the classroom cap","OK"))))))))))</f>
        <v/>
      </c>
    </row>
    <row r="16">
      <c r="B16" s="17">
        <f>IF($D16="","","A"&amp;TEXT(ROW()-5,"000"))</f>
        <v/>
      </c>
      <c r="C16" s="18" t="n"/>
      <c r="D16" s="16" t="n"/>
      <c r="E16" s="17">
        <f>IF($D16="","",IFERROR(INDEX(rngCadetPIDs,MATCH($D16,rngCadetNames,0)),"?"))</f>
        <v/>
      </c>
      <c r="F16" s="17">
        <f>IF($E16="","",IFERROR(INDEX(nrCadetAgency,MATCH($E16,rngCadetPIDs,0)),""))</f>
        <v/>
      </c>
      <c r="G16" s="16" t="n"/>
      <c r="H16" s="16" t="n"/>
      <c r="I16" s="16" t="n"/>
      <c r="J16" s="16" t="n"/>
      <c r="K16" s="17">
        <f>IF($G16="","",IF(OR($G16="PT Missed",$G16="PT Modified",$G16="PT Refused"),"Yes","No"))</f>
        <v/>
      </c>
      <c r="L16" s="16" t="n"/>
      <c r="M16" s="16" t="n"/>
      <c r="N16" s="17">
        <f>IF($D16="","",IF($M16="Excused","No",IF(AND($G16="PT Modified",$L16="Received"),"No","Yes")))</f>
        <v/>
      </c>
      <c r="O16" s="16" t="n"/>
      <c r="P16" s="17">
        <f>IF(OR($B16="",N($I16)=0),"",MIN(N($I16),SUMIFS(nrMK_Min,nrMK_Link,$B16,nrMK_Credit,"Yes",nrMK_PID,$E16,nrMK_Type,"Classroom")))</f>
        <v/>
      </c>
      <c r="Q16" s="17">
        <f>IF(OR($B16="",N($J16)=0),"",MIN(N($J16),SUMIFS(nrMK_Sess,nrMK_Link,$B16,nrMK_Credit,"Yes",nrMK_PID,$E16,nrMK_Type,"PT")))</f>
        <v/>
      </c>
      <c r="R16" s="17">
        <f>IF(OR($B16="",$N16&lt;&gt;"Yes"),"",IF($K16="Yes",IF(N($J16)&gt;0,N($J16)-N($Q16),""),IF(N($I16)&gt;0,N($I16)-N($P16),"")))</f>
        <v/>
      </c>
      <c r="S16" s="17">
        <f>IF(OR($B16="",$R16=""),"",IF($R16&lt;=0,IF(IFERROR(_xlfn.MAXIFS(nrMK_Date,nrMK_Link,$B16,nrMK_Credit,"Yes",nrMK_PID,$E16),0)=0,"CLEARED (makeup date missing)","CLEARED "&amp;TEXT(_xlfn.MAXIFS(nrMK_Date,nrMK_Link,$B16,nrMK_Credit,"Yes",nrMK_PID,$E16),"mm/dd")),"OPEN"))</f>
        <v/>
      </c>
      <c r="T16" s="17">
        <f>IF($D16="","",IF($C16="","NO DATE",IF($G16="","NO EVENT TYPE",IF(AND($I16&lt;&gt;"",NOT(ISNUMBER($I16))),"MINUTES NOT A NUMBER",IF(AND($J16&lt;&gt;"",NOT(ISNUMBER($J16))),"SESSIONS NOT A NUMBER",IF(OR(N($I16)&lt;0,N($J16)&lt;0),"NEGATIVE MINUTES/SESSIONS",IF(AND($K16="Yes",N($I16)&gt;0),"MINUTES ON A PT EVENT - not counted (PT counts sessions)",IF(AND($K16="No",N($J16)&gt;0),"SESSIONS ON A CLASSROOM EVENT - not counted (classroom counts minutes)",IF(AND($N16="Yes",$K16="Yes",N($J16)=0),"COUNTED PT EVENT WITH NO SESSIONS - dropped from the PT cap",IF(AND($N16="Yes",$K16="No",N($I16)=0),"COUNTED EVENT WITH NO MINUTES - dropped from the classroom cap","OK"))))))))))</f>
        <v/>
      </c>
    </row>
    <row r="17">
      <c r="B17" s="17">
        <f>IF($D17="","","A"&amp;TEXT(ROW()-5,"000"))</f>
        <v/>
      </c>
      <c r="C17" s="18" t="n"/>
      <c r="D17" s="16" t="n"/>
      <c r="E17" s="17">
        <f>IF($D17="","",IFERROR(INDEX(rngCadetPIDs,MATCH($D17,rngCadetNames,0)),"?"))</f>
        <v/>
      </c>
      <c r="F17" s="17">
        <f>IF($E17="","",IFERROR(INDEX(nrCadetAgency,MATCH($E17,rngCadetPIDs,0)),""))</f>
        <v/>
      </c>
      <c r="G17" s="16" t="n"/>
      <c r="H17" s="16" t="n"/>
      <c r="I17" s="16" t="n"/>
      <c r="J17" s="16" t="n"/>
      <c r="K17" s="17">
        <f>IF($G17="","",IF(OR($G17="PT Missed",$G17="PT Modified",$G17="PT Refused"),"Yes","No"))</f>
        <v/>
      </c>
      <c r="L17" s="16" t="n"/>
      <c r="M17" s="16" t="n"/>
      <c r="N17" s="17">
        <f>IF($D17="","",IF($M17="Excused","No",IF(AND($G17="PT Modified",$L17="Received"),"No","Yes")))</f>
        <v/>
      </c>
      <c r="O17" s="16" t="n"/>
      <c r="P17" s="17">
        <f>IF(OR($B17="",N($I17)=0),"",MIN(N($I17),SUMIFS(nrMK_Min,nrMK_Link,$B17,nrMK_Credit,"Yes",nrMK_PID,$E17,nrMK_Type,"Classroom")))</f>
        <v/>
      </c>
      <c r="Q17" s="17">
        <f>IF(OR($B17="",N($J17)=0),"",MIN(N($J17),SUMIFS(nrMK_Sess,nrMK_Link,$B17,nrMK_Credit,"Yes",nrMK_PID,$E17,nrMK_Type,"PT")))</f>
        <v/>
      </c>
      <c r="R17" s="17">
        <f>IF(OR($B17="",$N17&lt;&gt;"Yes"),"",IF($K17="Yes",IF(N($J17)&gt;0,N($J17)-N($Q17),""),IF(N($I17)&gt;0,N($I17)-N($P17),"")))</f>
        <v/>
      </c>
      <c r="S17" s="17">
        <f>IF(OR($B17="",$R17=""),"",IF($R17&lt;=0,IF(IFERROR(_xlfn.MAXIFS(nrMK_Date,nrMK_Link,$B17,nrMK_Credit,"Yes",nrMK_PID,$E17),0)=0,"CLEARED (makeup date missing)","CLEARED "&amp;TEXT(_xlfn.MAXIFS(nrMK_Date,nrMK_Link,$B17,nrMK_Credit,"Yes",nrMK_PID,$E17),"mm/dd")),"OPEN"))</f>
        <v/>
      </c>
      <c r="T17" s="17">
        <f>IF($D17="","",IF($C17="","NO DATE",IF($G17="","NO EVENT TYPE",IF(AND($I17&lt;&gt;"",NOT(ISNUMBER($I17))),"MINUTES NOT A NUMBER",IF(AND($J17&lt;&gt;"",NOT(ISNUMBER($J17))),"SESSIONS NOT A NUMBER",IF(OR(N($I17)&lt;0,N($J17)&lt;0),"NEGATIVE MINUTES/SESSIONS",IF(AND($K17="Yes",N($I17)&gt;0),"MINUTES ON A PT EVENT - not counted (PT counts sessions)",IF(AND($K17="No",N($J17)&gt;0),"SESSIONS ON A CLASSROOM EVENT - not counted (classroom counts minutes)",IF(AND($N17="Yes",$K17="Yes",N($J17)=0),"COUNTED PT EVENT WITH NO SESSIONS - dropped from the PT cap",IF(AND($N17="Yes",$K17="No",N($I17)=0),"COUNTED EVENT WITH NO MINUTES - dropped from the classroom cap","OK"))))))))))</f>
        <v/>
      </c>
    </row>
    <row r="18">
      <c r="B18" s="17">
        <f>IF($D18="","","A"&amp;TEXT(ROW()-5,"000"))</f>
        <v/>
      </c>
      <c r="C18" s="18" t="n"/>
      <c r="D18" s="16" t="n"/>
      <c r="E18" s="17">
        <f>IF($D18="","",IFERROR(INDEX(rngCadetPIDs,MATCH($D18,rngCadetNames,0)),"?"))</f>
        <v/>
      </c>
      <c r="F18" s="17">
        <f>IF($E18="","",IFERROR(INDEX(nrCadetAgency,MATCH($E18,rngCadetPIDs,0)),""))</f>
        <v/>
      </c>
      <c r="G18" s="16" t="n"/>
      <c r="H18" s="16" t="n"/>
      <c r="I18" s="16" t="n"/>
      <c r="J18" s="16" t="n"/>
      <c r="K18" s="17">
        <f>IF($G18="","",IF(OR($G18="PT Missed",$G18="PT Modified",$G18="PT Refused"),"Yes","No"))</f>
        <v/>
      </c>
      <c r="L18" s="16" t="n"/>
      <c r="M18" s="16" t="n"/>
      <c r="N18" s="17">
        <f>IF($D18="","",IF($M18="Excused","No",IF(AND($G18="PT Modified",$L18="Received"),"No","Yes")))</f>
        <v/>
      </c>
      <c r="O18" s="16" t="n"/>
      <c r="P18" s="17">
        <f>IF(OR($B18="",N($I18)=0),"",MIN(N($I18),SUMIFS(nrMK_Min,nrMK_Link,$B18,nrMK_Credit,"Yes",nrMK_PID,$E18,nrMK_Type,"Classroom")))</f>
        <v/>
      </c>
      <c r="Q18" s="17">
        <f>IF(OR($B18="",N($J18)=0),"",MIN(N($J18),SUMIFS(nrMK_Sess,nrMK_Link,$B18,nrMK_Credit,"Yes",nrMK_PID,$E18,nrMK_Type,"PT")))</f>
        <v/>
      </c>
      <c r="R18" s="17">
        <f>IF(OR($B18="",$N18&lt;&gt;"Yes"),"",IF($K18="Yes",IF(N($J18)&gt;0,N($J18)-N($Q18),""),IF(N($I18)&gt;0,N($I18)-N($P18),"")))</f>
        <v/>
      </c>
      <c r="S18" s="17">
        <f>IF(OR($B18="",$R18=""),"",IF($R18&lt;=0,IF(IFERROR(_xlfn.MAXIFS(nrMK_Date,nrMK_Link,$B18,nrMK_Credit,"Yes",nrMK_PID,$E18),0)=0,"CLEARED (makeup date missing)","CLEARED "&amp;TEXT(_xlfn.MAXIFS(nrMK_Date,nrMK_Link,$B18,nrMK_Credit,"Yes",nrMK_PID,$E18),"mm/dd")),"OPEN"))</f>
        <v/>
      </c>
      <c r="T18" s="17">
        <f>IF($D18="","",IF($C18="","NO DATE",IF($G18="","NO EVENT TYPE",IF(AND($I18&lt;&gt;"",NOT(ISNUMBER($I18))),"MINUTES NOT A NUMBER",IF(AND($J18&lt;&gt;"",NOT(ISNUMBER($J18))),"SESSIONS NOT A NUMBER",IF(OR(N($I18)&lt;0,N($J18)&lt;0),"NEGATIVE MINUTES/SESSIONS",IF(AND($K18="Yes",N($I18)&gt;0),"MINUTES ON A PT EVENT - not counted (PT counts sessions)",IF(AND($K18="No",N($J18)&gt;0),"SESSIONS ON A CLASSROOM EVENT - not counted (classroom counts minutes)",IF(AND($N18="Yes",$K18="Yes",N($J18)=0),"COUNTED PT EVENT WITH NO SESSIONS - dropped from the PT cap",IF(AND($N18="Yes",$K18="No",N($I18)=0),"COUNTED EVENT WITH NO MINUTES - dropped from the classroom cap","OK"))))))))))</f>
        <v/>
      </c>
    </row>
    <row r="19">
      <c r="B19" s="17">
        <f>IF($D19="","","A"&amp;TEXT(ROW()-5,"000"))</f>
        <v/>
      </c>
      <c r="C19" s="18" t="n"/>
      <c r="D19" s="16" t="n"/>
      <c r="E19" s="17">
        <f>IF($D19="","",IFERROR(INDEX(rngCadetPIDs,MATCH($D19,rngCadetNames,0)),"?"))</f>
        <v/>
      </c>
      <c r="F19" s="17">
        <f>IF($E19="","",IFERROR(INDEX(nrCadetAgency,MATCH($E19,rngCadetPIDs,0)),""))</f>
        <v/>
      </c>
      <c r="G19" s="16" t="n"/>
      <c r="H19" s="16" t="n"/>
      <c r="I19" s="16" t="n"/>
      <c r="J19" s="16" t="n"/>
      <c r="K19" s="17">
        <f>IF($G19="","",IF(OR($G19="PT Missed",$G19="PT Modified",$G19="PT Refused"),"Yes","No"))</f>
        <v/>
      </c>
      <c r="L19" s="16" t="n"/>
      <c r="M19" s="16" t="n"/>
      <c r="N19" s="17">
        <f>IF($D19="","",IF($M19="Excused","No",IF(AND($G19="PT Modified",$L19="Received"),"No","Yes")))</f>
        <v/>
      </c>
      <c r="O19" s="16" t="n"/>
      <c r="P19" s="17">
        <f>IF(OR($B19="",N($I19)=0),"",MIN(N($I19),SUMIFS(nrMK_Min,nrMK_Link,$B19,nrMK_Credit,"Yes",nrMK_PID,$E19,nrMK_Type,"Classroom")))</f>
        <v/>
      </c>
      <c r="Q19" s="17">
        <f>IF(OR($B19="",N($J19)=0),"",MIN(N($J19),SUMIFS(nrMK_Sess,nrMK_Link,$B19,nrMK_Credit,"Yes",nrMK_PID,$E19,nrMK_Type,"PT")))</f>
        <v/>
      </c>
      <c r="R19" s="17">
        <f>IF(OR($B19="",$N19&lt;&gt;"Yes"),"",IF($K19="Yes",IF(N($J19)&gt;0,N($J19)-N($Q19),""),IF(N($I19)&gt;0,N($I19)-N($P19),"")))</f>
        <v/>
      </c>
      <c r="S19" s="17">
        <f>IF(OR($B19="",$R19=""),"",IF($R19&lt;=0,IF(IFERROR(_xlfn.MAXIFS(nrMK_Date,nrMK_Link,$B19,nrMK_Credit,"Yes",nrMK_PID,$E19),0)=0,"CLEARED (makeup date missing)","CLEARED "&amp;TEXT(_xlfn.MAXIFS(nrMK_Date,nrMK_Link,$B19,nrMK_Credit,"Yes",nrMK_PID,$E19),"mm/dd")),"OPEN"))</f>
        <v/>
      </c>
      <c r="T19" s="17">
        <f>IF($D19="","",IF($C19="","NO DATE",IF($G19="","NO EVENT TYPE",IF(AND($I19&lt;&gt;"",NOT(ISNUMBER($I19))),"MINUTES NOT A NUMBER",IF(AND($J19&lt;&gt;"",NOT(ISNUMBER($J19))),"SESSIONS NOT A NUMBER",IF(OR(N($I19)&lt;0,N($J19)&lt;0),"NEGATIVE MINUTES/SESSIONS",IF(AND($K19="Yes",N($I19)&gt;0),"MINUTES ON A PT EVENT - not counted (PT counts sessions)",IF(AND($K19="No",N($J19)&gt;0),"SESSIONS ON A CLASSROOM EVENT - not counted (classroom counts minutes)",IF(AND($N19="Yes",$K19="Yes",N($J19)=0),"COUNTED PT EVENT WITH NO SESSIONS - dropped from the PT cap",IF(AND($N19="Yes",$K19="No",N($I19)=0),"COUNTED EVENT WITH NO MINUTES - dropped from the classroom cap","OK"))))))))))</f>
        <v/>
      </c>
    </row>
    <row r="20">
      <c r="B20" s="17">
        <f>IF($D20="","","A"&amp;TEXT(ROW()-5,"000"))</f>
        <v/>
      </c>
      <c r="C20" s="18" t="n"/>
      <c r="D20" s="16" t="n"/>
      <c r="E20" s="17">
        <f>IF($D20="","",IFERROR(INDEX(rngCadetPIDs,MATCH($D20,rngCadetNames,0)),"?"))</f>
        <v/>
      </c>
      <c r="F20" s="17">
        <f>IF($E20="","",IFERROR(INDEX(nrCadetAgency,MATCH($E20,rngCadetPIDs,0)),""))</f>
        <v/>
      </c>
      <c r="G20" s="16" t="n"/>
      <c r="H20" s="16" t="n"/>
      <c r="I20" s="16" t="n"/>
      <c r="J20" s="16" t="n"/>
      <c r="K20" s="17">
        <f>IF($G20="","",IF(OR($G20="PT Missed",$G20="PT Modified",$G20="PT Refused"),"Yes","No"))</f>
        <v/>
      </c>
      <c r="L20" s="16" t="n"/>
      <c r="M20" s="16" t="n"/>
      <c r="N20" s="17">
        <f>IF($D20="","",IF($M20="Excused","No",IF(AND($G20="PT Modified",$L20="Received"),"No","Yes")))</f>
        <v/>
      </c>
      <c r="O20" s="16" t="n"/>
      <c r="P20" s="17">
        <f>IF(OR($B20="",N($I20)=0),"",MIN(N($I20),SUMIFS(nrMK_Min,nrMK_Link,$B20,nrMK_Credit,"Yes",nrMK_PID,$E20,nrMK_Type,"Classroom")))</f>
        <v/>
      </c>
      <c r="Q20" s="17">
        <f>IF(OR($B20="",N($J20)=0),"",MIN(N($J20),SUMIFS(nrMK_Sess,nrMK_Link,$B20,nrMK_Credit,"Yes",nrMK_PID,$E20,nrMK_Type,"PT")))</f>
        <v/>
      </c>
      <c r="R20" s="17">
        <f>IF(OR($B20="",$N20&lt;&gt;"Yes"),"",IF($K20="Yes",IF(N($J20)&gt;0,N($J20)-N($Q20),""),IF(N($I20)&gt;0,N($I20)-N($P20),"")))</f>
        <v/>
      </c>
      <c r="S20" s="17">
        <f>IF(OR($B20="",$R20=""),"",IF($R20&lt;=0,IF(IFERROR(_xlfn.MAXIFS(nrMK_Date,nrMK_Link,$B20,nrMK_Credit,"Yes",nrMK_PID,$E20),0)=0,"CLEARED (makeup date missing)","CLEARED "&amp;TEXT(_xlfn.MAXIFS(nrMK_Date,nrMK_Link,$B20,nrMK_Credit,"Yes",nrMK_PID,$E20),"mm/dd")),"OPEN"))</f>
        <v/>
      </c>
      <c r="T20" s="17">
        <f>IF($D20="","",IF($C20="","NO DATE",IF($G20="","NO EVENT TYPE",IF(AND($I20&lt;&gt;"",NOT(ISNUMBER($I20))),"MINUTES NOT A NUMBER",IF(AND($J20&lt;&gt;"",NOT(ISNUMBER($J20))),"SESSIONS NOT A NUMBER",IF(OR(N($I20)&lt;0,N($J20)&lt;0),"NEGATIVE MINUTES/SESSIONS",IF(AND($K20="Yes",N($I20)&gt;0),"MINUTES ON A PT EVENT - not counted (PT counts sessions)",IF(AND($K20="No",N($J20)&gt;0),"SESSIONS ON A CLASSROOM EVENT - not counted (classroom counts minutes)",IF(AND($N20="Yes",$K20="Yes",N($J20)=0),"COUNTED PT EVENT WITH NO SESSIONS - dropped from the PT cap",IF(AND($N20="Yes",$K20="No",N($I20)=0),"COUNTED EVENT WITH NO MINUTES - dropped from the classroom cap","OK"))))))))))</f>
        <v/>
      </c>
    </row>
    <row r="21">
      <c r="B21" s="17">
        <f>IF($D21="","","A"&amp;TEXT(ROW()-5,"000"))</f>
        <v/>
      </c>
      <c r="C21" s="18" t="n"/>
      <c r="D21" s="16" t="n"/>
      <c r="E21" s="17">
        <f>IF($D21="","",IFERROR(INDEX(rngCadetPIDs,MATCH($D21,rngCadetNames,0)),"?"))</f>
        <v/>
      </c>
      <c r="F21" s="17">
        <f>IF($E21="","",IFERROR(INDEX(nrCadetAgency,MATCH($E21,rngCadetPIDs,0)),""))</f>
        <v/>
      </c>
      <c r="G21" s="16" t="n"/>
      <c r="H21" s="16" t="n"/>
      <c r="I21" s="16" t="n"/>
      <c r="J21" s="16" t="n"/>
      <c r="K21" s="17">
        <f>IF($G21="","",IF(OR($G21="PT Missed",$G21="PT Modified",$G21="PT Refused"),"Yes","No"))</f>
        <v/>
      </c>
      <c r="L21" s="16" t="n"/>
      <c r="M21" s="16" t="n"/>
      <c r="N21" s="17">
        <f>IF($D21="","",IF($M21="Excused","No",IF(AND($G21="PT Modified",$L21="Received"),"No","Yes")))</f>
        <v/>
      </c>
      <c r="O21" s="16" t="n"/>
      <c r="P21" s="17">
        <f>IF(OR($B21="",N($I21)=0),"",MIN(N($I21),SUMIFS(nrMK_Min,nrMK_Link,$B21,nrMK_Credit,"Yes",nrMK_PID,$E21,nrMK_Type,"Classroom")))</f>
        <v/>
      </c>
      <c r="Q21" s="17">
        <f>IF(OR($B21="",N($J21)=0),"",MIN(N($J21),SUMIFS(nrMK_Sess,nrMK_Link,$B21,nrMK_Credit,"Yes",nrMK_PID,$E21,nrMK_Type,"PT")))</f>
        <v/>
      </c>
      <c r="R21" s="17">
        <f>IF(OR($B21="",$N21&lt;&gt;"Yes"),"",IF($K21="Yes",IF(N($J21)&gt;0,N($J21)-N($Q21),""),IF(N($I21)&gt;0,N($I21)-N($P21),"")))</f>
        <v/>
      </c>
      <c r="S21" s="17">
        <f>IF(OR($B21="",$R21=""),"",IF($R21&lt;=0,IF(IFERROR(_xlfn.MAXIFS(nrMK_Date,nrMK_Link,$B21,nrMK_Credit,"Yes",nrMK_PID,$E21),0)=0,"CLEARED (makeup date missing)","CLEARED "&amp;TEXT(_xlfn.MAXIFS(nrMK_Date,nrMK_Link,$B21,nrMK_Credit,"Yes",nrMK_PID,$E21),"mm/dd")),"OPEN"))</f>
        <v/>
      </c>
      <c r="T21" s="17">
        <f>IF($D21="","",IF($C21="","NO DATE",IF($G21="","NO EVENT TYPE",IF(AND($I21&lt;&gt;"",NOT(ISNUMBER($I21))),"MINUTES NOT A NUMBER",IF(AND($J21&lt;&gt;"",NOT(ISNUMBER($J21))),"SESSIONS NOT A NUMBER",IF(OR(N($I21)&lt;0,N($J21)&lt;0),"NEGATIVE MINUTES/SESSIONS",IF(AND($K21="Yes",N($I21)&gt;0),"MINUTES ON A PT EVENT - not counted (PT counts sessions)",IF(AND($K21="No",N($J21)&gt;0),"SESSIONS ON A CLASSROOM EVENT - not counted (classroom counts minutes)",IF(AND($N21="Yes",$K21="Yes",N($J21)=0),"COUNTED PT EVENT WITH NO SESSIONS - dropped from the PT cap",IF(AND($N21="Yes",$K21="No",N($I21)=0),"COUNTED EVENT WITH NO MINUTES - dropped from the classroom cap","OK"))))))))))</f>
        <v/>
      </c>
    </row>
    <row r="22">
      <c r="B22" s="17">
        <f>IF($D22="","","A"&amp;TEXT(ROW()-5,"000"))</f>
        <v/>
      </c>
      <c r="C22" s="18" t="n"/>
      <c r="D22" s="16" t="n"/>
      <c r="E22" s="17">
        <f>IF($D22="","",IFERROR(INDEX(rngCadetPIDs,MATCH($D22,rngCadetNames,0)),"?"))</f>
        <v/>
      </c>
      <c r="F22" s="17">
        <f>IF($E22="","",IFERROR(INDEX(nrCadetAgency,MATCH($E22,rngCadetPIDs,0)),""))</f>
        <v/>
      </c>
      <c r="G22" s="16" t="n"/>
      <c r="H22" s="16" t="n"/>
      <c r="I22" s="16" t="n"/>
      <c r="J22" s="16" t="n"/>
      <c r="K22" s="17">
        <f>IF($G22="","",IF(OR($G22="PT Missed",$G22="PT Modified",$G22="PT Refused"),"Yes","No"))</f>
        <v/>
      </c>
      <c r="L22" s="16" t="n"/>
      <c r="M22" s="16" t="n"/>
      <c r="N22" s="17">
        <f>IF($D22="","",IF($M22="Excused","No",IF(AND($G22="PT Modified",$L22="Received"),"No","Yes")))</f>
        <v/>
      </c>
      <c r="O22" s="16" t="n"/>
      <c r="P22" s="17">
        <f>IF(OR($B22="",N($I22)=0),"",MIN(N($I22),SUMIFS(nrMK_Min,nrMK_Link,$B22,nrMK_Credit,"Yes",nrMK_PID,$E22,nrMK_Type,"Classroom")))</f>
        <v/>
      </c>
      <c r="Q22" s="17">
        <f>IF(OR($B22="",N($J22)=0),"",MIN(N($J22),SUMIFS(nrMK_Sess,nrMK_Link,$B22,nrMK_Credit,"Yes",nrMK_PID,$E22,nrMK_Type,"PT")))</f>
        <v/>
      </c>
      <c r="R22" s="17">
        <f>IF(OR($B22="",$N22&lt;&gt;"Yes"),"",IF($K22="Yes",IF(N($J22)&gt;0,N($J22)-N($Q22),""),IF(N($I22)&gt;0,N($I22)-N($P22),"")))</f>
        <v/>
      </c>
      <c r="S22" s="17">
        <f>IF(OR($B22="",$R22=""),"",IF($R22&lt;=0,IF(IFERROR(_xlfn.MAXIFS(nrMK_Date,nrMK_Link,$B22,nrMK_Credit,"Yes",nrMK_PID,$E22),0)=0,"CLEARED (makeup date missing)","CLEARED "&amp;TEXT(_xlfn.MAXIFS(nrMK_Date,nrMK_Link,$B22,nrMK_Credit,"Yes",nrMK_PID,$E22),"mm/dd")),"OPEN"))</f>
        <v/>
      </c>
      <c r="T22" s="17">
        <f>IF($D22="","",IF($C22="","NO DATE",IF($G22="","NO EVENT TYPE",IF(AND($I22&lt;&gt;"",NOT(ISNUMBER($I22))),"MINUTES NOT A NUMBER",IF(AND($J22&lt;&gt;"",NOT(ISNUMBER($J22))),"SESSIONS NOT A NUMBER",IF(OR(N($I22)&lt;0,N($J22)&lt;0),"NEGATIVE MINUTES/SESSIONS",IF(AND($K22="Yes",N($I22)&gt;0),"MINUTES ON A PT EVENT - not counted (PT counts sessions)",IF(AND($K22="No",N($J22)&gt;0),"SESSIONS ON A CLASSROOM EVENT - not counted (classroom counts minutes)",IF(AND($N22="Yes",$K22="Yes",N($J22)=0),"COUNTED PT EVENT WITH NO SESSIONS - dropped from the PT cap",IF(AND($N22="Yes",$K22="No",N($I22)=0),"COUNTED EVENT WITH NO MINUTES - dropped from the classroom cap","OK"))))))))))</f>
        <v/>
      </c>
    </row>
    <row r="23">
      <c r="B23" s="17">
        <f>IF($D23="","","A"&amp;TEXT(ROW()-5,"000"))</f>
        <v/>
      </c>
      <c r="C23" s="18" t="n"/>
      <c r="D23" s="16" t="n"/>
      <c r="E23" s="17">
        <f>IF($D23="","",IFERROR(INDEX(rngCadetPIDs,MATCH($D23,rngCadetNames,0)),"?"))</f>
        <v/>
      </c>
      <c r="F23" s="17">
        <f>IF($E23="","",IFERROR(INDEX(nrCadetAgency,MATCH($E23,rngCadetPIDs,0)),""))</f>
        <v/>
      </c>
      <c r="G23" s="16" t="n"/>
      <c r="H23" s="16" t="n"/>
      <c r="I23" s="16" t="n"/>
      <c r="J23" s="16" t="n"/>
      <c r="K23" s="17">
        <f>IF($G23="","",IF(OR($G23="PT Missed",$G23="PT Modified",$G23="PT Refused"),"Yes","No"))</f>
        <v/>
      </c>
      <c r="L23" s="16" t="n"/>
      <c r="M23" s="16" t="n"/>
      <c r="N23" s="17">
        <f>IF($D23="","",IF($M23="Excused","No",IF(AND($G23="PT Modified",$L23="Received"),"No","Yes")))</f>
        <v/>
      </c>
      <c r="O23" s="16" t="n"/>
      <c r="P23" s="17">
        <f>IF(OR($B23="",N($I23)=0),"",MIN(N($I23),SUMIFS(nrMK_Min,nrMK_Link,$B23,nrMK_Credit,"Yes",nrMK_PID,$E23,nrMK_Type,"Classroom")))</f>
        <v/>
      </c>
      <c r="Q23" s="17">
        <f>IF(OR($B23="",N($J23)=0),"",MIN(N($J23),SUMIFS(nrMK_Sess,nrMK_Link,$B23,nrMK_Credit,"Yes",nrMK_PID,$E23,nrMK_Type,"PT")))</f>
        <v/>
      </c>
      <c r="R23" s="17">
        <f>IF(OR($B23="",$N23&lt;&gt;"Yes"),"",IF($K23="Yes",IF(N($J23)&gt;0,N($J23)-N($Q23),""),IF(N($I23)&gt;0,N($I23)-N($P23),"")))</f>
        <v/>
      </c>
      <c r="S23" s="17">
        <f>IF(OR($B23="",$R23=""),"",IF($R23&lt;=0,IF(IFERROR(_xlfn.MAXIFS(nrMK_Date,nrMK_Link,$B23,nrMK_Credit,"Yes",nrMK_PID,$E23),0)=0,"CLEARED (makeup date missing)","CLEARED "&amp;TEXT(_xlfn.MAXIFS(nrMK_Date,nrMK_Link,$B23,nrMK_Credit,"Yes",nrMK_PID,$E23),"mm/dd")),"OPEN"))</f>
        <v/>
      </c>
      <c r="T23" s="17">
        <f>IF($D23="","",IF($C23="","NO DATE",IF($G23="","NO EVENT TYPE",IF(AND($I23&lt;&gt;"",NOT(ISNUMBER($I23))),"MINUTES NOT A NUMBER",IF(AND($J23&lt;&gt;"",NOT(ISNUMBER($J23))),"SESSIONS NOT A NUMBER",IF(OR(N($I23)&lt;0,N($J23)&lt;0),"NEGATIVE MINUTES/SESSIONS",IF(AND($K23="Yes",N($I23)&gt;0),"MINUTES ON A PT EVENT - not counted (PT counts sessions)",IF(AND($K23="No",N($J23)&gt;0),"SESSIONS ON A CLASSROOM EVENT - not counted (classroom counts minutes)",IF(AND($N23="Yes",$K23="Yes",N($J23)=0),"COUNTED PT EVENT WITH NO SESSIONS - dropped from the PT cap",IF(AND($N23="Yes",$K23="No",N($I23)=0),"COUNTED EVENT WITH NO MINUTES - dropped from the classroom cap","OK"))))))))))</f>
        <v/>
      </c>
    </row>
    <row r="24">
      <c r="B24" s="17">
        <f>IF($D24="","","A"&amp;TEXT(ROW()-5,"000"))</f>
        <v/>
      </c>
      <c r="C24" s="18" t="n"/>
      <c r="D24" s="16" t="n"/>
      <c r="E24" s="17">
        <f>IF($D24="","",IFERROR(INDEX(rngCadetPIDs,MATCH($D24,rngCadetNames,0)),"?"))</f>
        <v/>
      </c>
      <c r="F24" s="17">
        <f>IF($E24="","",IFERROR(INDEX(nrCadetAgency,MATCH($E24,rngCadetPIDs,0)),""))</f>
        <v/>
      </c>
      <c r="G24" s="16" t="n"/>
      <c r="H24" s="16" t="n"/>
      <c r="I24" s="16" t="n"/>
      <c r="J24" s="16" t="n"/>
      <c r="K24" s="17">
        <f>IF($G24="","",IF(OR($G24="PT Missed",$G24="PT Modified",$G24="PT Refused"),"Yes","No"))</f>
        <v/>
      </c>
      <c r="L24" s="16" t="n"/>
      <c r="M24" s="16" t="n"/>
      <c r="N24" s="17">
        <f>IF($D24="","",IF($M24="Excused","No",IF(AND($G24="PT Modified",$L24="Received"),"No","Yes")))</f>
        <v/>
      </c>
      <c r="O24" s="16" t="n"/>
      <c r="P24" s="17">
        <f>IF(OR($B24="",N($I24)=0),"",MIN(N($I24),SUMIFS(nrMK_Min,nrMK_Link,$B24,nrMK_Credit,"Yes",nrMK_PID,$E24,nrMK_Type,"Classroom")))</f>
        <v/>
      </c>
      <c r="Q24" s="17">
        <f>IF(OR($B24="",N($J24)=0),"",MIN(N($J24),SUMIFS(nrMK_Sess,nrMK_Link,$B24,nrMK_Credit,"Yes",nrMK_PID,$E24,nrMK_Type,"PT")))</f>
        <v/>
      </c>
      <c r="R24" s="17">
        <f>IF(OR($B24="",$N24&lt;&gt;"Yes"),"",IF($K24="Yes",IF(N($J24)&gt;0,N($J24)-N($Q24),""),IF(N($I24)&gt;0,N($I24)-N($P24),"")))</f>
        <v/>
      </c>
      <c r="S24" s="17">
        <f>IF(OR($B24="",$R24=""),"",IF($R24&lt;=0,IF(IFERROR(_xlfn.MAXIFS(nrMK_Date,nrMK_Link,$B24,nrMK_Credit,"Yes",nrMK_PID,$E24),0)=0,"CLEARED (makeup date missing)","CLEARED "&amp;TEXT(_xlfn.MAXIFS(nrMK_Date,nrMK_Link,$B24,nrMK_Credit,"Yes",nrMK_PID,$E24),"mm/dd")),"OPEN"))</f>
        <v/>
      </c>
      <c r="T24" s="17">
        <f>IF($D24="","",IF($C24="","NO DATE",IF($G24="","NO EVENT TYPE",IF(AND($I24&lt;&gt;"",NOT(ISNUMBER($I24))),"MINUTES NOT A NUMBER",IF(AND($J24&lt;&gt;"",NOT(ISNUMBER($J24))),"SESSIONS NOT A NUMBER",IF(OR(N($I24)&lt;0,N($J24)&lt;0),"NEGATIVE MINUTES/SESSIONS",IF(AND($K24="Yes",N($I24)&gt;0),"MINUTES ON A PT EVENT - not counted (PT counts sessions)",IF(AND($K24="No",N($J24)&gt;0),"SESSIONS ON A CLASSROOM EVENT - not counted (classroom counts minutes)",IF(AND($N24="Yes",$K24="Yes",N($J24)=0),"COUNTED PT EVENT WITH NO SESSIONS - dropped from the PT cap",IF(AND($N24="Yes",$K24="No",N($I24)=0),"COUNTED EVENT WITH NO MINUTES - dropped from the classroom cap","OK"))))))))))</f>
        <v/>
      </c>
    </row>
    <row r="25">
      <c r="B25" s="17">
        <f>IF($D25="","","A"&amp;TEXT(ROW()-5,"000"))</f>
        <v/>
      </c>
      <c r="C25" s="18" t="n"/>
      <c r="D25" s="16" t="n"/>
      <c r="E25" s="17">
        <f>IF($D25="","",IFERROR(INDEX(rngCadetPIDs,MATCH($D25,rngCadetNames,0)),"?"))</f>
        <v/>
      </c>
      <c r="F25" s="17">
        <f>IF($E25="","",IFERROR(INDEX(nrCadetAgency,MATCH($E25,rngCadetPIDs,0)),""))</f>
        <v/>
      </c>
      <c r="G25" s="16" t="n"/>
      <c r="H25" s="16" t="n"/>
      <c r="I25" s="16" t="n"/>
      <c r="J25" s="16" t="n"/>
      <c r="K25" s="17">
        <f>IF($G25="","",IF(OR($G25="PT Missed",$G25="PT Modified",$G25="PT Refused"),"Yes","No"))</f>
        <v/>
      </c>
      <c r="L25" s="16" t="n"/>
      <c r="M25" s="16" t="n"/>
      <c r="N25" s="17">
        <f>IF($D25="","",IF($M25="Excused","No",IF(AND($G25="PT Modified",$L25="Received"),"No","Yes")))</f>
        <v/>
      </c>
      <c r="O25" s="16" t="n"/>
      <c r="P25" s="17">
        <f>IF(OR($B25="",N($I25)=0),"",MIN(N($I25),SUMIFS(nrMK_Min,nrMK_Link,$B25,nrMK_Credit,"Yes",nrMK_PID,$E25,nrMK_Type,"Classroom")))</f>
        <v/>
      </c>
      <c r="Q25" s="17">
        <f>IF(OR($B25="",N($J25)=0),"",MIN(N($J25),SUMIFS(nrMK_Sess,nrMK_Link,$B25,nrMK_Credit,"Yes",nrMK_PID,$E25,nrMK_Type,"PT")))</f>
        <v/>
      </c>
      <c r="R25" s="17">
        <f>IF(OR($B25="",$N25&lt;&gt;"Yes"),"",IF($K25="Yes",IF(N($J25)&gt;0,N($J25)-N($Q25),""),IF(N($I25)&gt;0,N($I25)-N($P25),"")))</f>
        <v/>
      </c>
      <c r="S25" s="17">
        <f>IF(OR($B25="",$R25=""),"",IF($R25&lt;=0,IF(IFERROR(_xlfn.MAXIFS(nrMK_Date,nrMK_Link,$B25,nrMK_Credit,"Yes",nrMK_PID,$E25),0)=0,"CLEARED (makeup date missing)","CLEARED "&amp;TEXT(_xlfn.MAXIFS(nrMK_Date,nrMK_Link,$B25,nrMK_Credit,"Yes",nrMK_PID,$E25),"mm/dd")),"OPEN"))</f>
        <v/>
      </c>
      <c r="T25" s="17">
        <f>IF($D25="","",IF($C25="","NO DATE",IF($G25="","NO EVENT TYPE",IF(AND($I25&lt;&gt;"",NOT(ISNUMBER($I25))),"MINUTES NOT A NUMBER",IF(AND($J25&lt;&gt;"",NOT(ISNUMBER($J25))),"SESSIONS NOT A NUMBER",IF(OR(N($I25)&lt;0,N($J25)&lt;0),"NEGATIVE MINUTES/SESSIONS",IF(AND($K25="Yes",N($I25)&gt;0),"MINUTES ON A PT EVENT - not counted (PT counts sessions)",IF(AND($K25="No",N($J25)&gt;0),"SESSIONS ON A CLASSROOM EVENT - not counted (classroom counts minutes)",IF(AND($N25="Yes",$K25="Yes",N($J25)=0),"COUNTED PT EVENT WITH NO SESSIONS - dropped from the PT cap",IF(AND($N25="Yes",$K25="No",N($I25)=0),"COUNTED EVENT WITH NO MINUTES - dropped from the classroom cap","OK"))))))))))</f>
        <v/>
      </c>
    </row>
    <row r="26">
      <c r="B26" s="17">
        <f>IF($D26="","","A"&amp;TEXT(ROW()-5,"000"))</f>
        <v/>
      </c>
      <c r="C26" s="18" t="n"/>
      <c r="D26" s="16" t="n"/>
      <c r="E26" s="17">
        <f>IF($D26="","",IFERROR(INDEX(rngCadetPIDs,MATCH($D26,rngCadetNames,0)),"?"))</f>
        <v/>
      </c>
      <c r="F26" s="17">
        <f>IF($E26="","",IFERROR(INDEX(nrCadetAgency,MATCH($E26,rngCadetPIDs,0)),""))</f>
        <v/>
      </c>
      <c r="G26" s="16" t="n"/>
      <c r="H26" s="16" t="n"/>
      <c r="I26" s="16" t="n"/>
      <c r="J26" s="16" t="n"/>
      <c r="K26" s="17">
        <f>IF($G26="","",IF(OR($G26="PT Missed",$G26="PT Modified",$G26="PT Refused"),"Yes","No"))</f>
        <v/>
      </c>
      <c r="L26" s="16" t="n"/>
      <c r="M26" s="16" t="n"/>
      <c r="N26" s="17">
        <f>IF($D26="","",IF($M26="Excused","No",IF(AND($G26="PT Modified",$L26="Received"),"No","Yes")))</f>
        <v/>
      </c>
      <c r="O26" s="16" t="n"/>
      <c r="P26" s="17">
        <f>IF(OR($B26="",N($I26)=0),"",MIN(N($I26),SUMIFS(nrMK_Min,nrMK_Link,$B26,nrMK_Credit,"Yes",nrMK_PID,$E26,nrMK_Type,"Classroom")))</f>
        <v/>
      </c>
      <c r="Q26" s="17">
        <f>IF(OR($B26="",N($J26)=0),"",MIN(N($J26),SUMIFS(nrMK_Sess,nrMK_Link,$B26,nrMK_Credit,"Yes",nrMK_PID,$E26,nrMK_Type,"PT")))</f>
        <v/>
      </c>
      <c r="R26" s="17">
        <f>IF(OR($B26="",$N26&lt;&gt;"Yes"),"",IF($K26="Yes",IF(N($J26)&gt;0,N($J26)-N($Q26),""),IF(N($I26)&gt;0,N($I26)-N($P26),"")))</f>
        <v/>
      </c>
      <c r="S26" s="17">
        <f>IF(OR($B26="",$R26=""),"",IF($R26&lt;=0,IF(IFERROR(_xlfn.MAXIFS(nrMK_Date,nrMK_Link,$B26,nrMK_Credit,"Yes",nrMK_PID,$E26),0)=0,"CLEARED (makeup date missing)","CLEARED "&amp;TEXT(_xlfn.MAXIFS(nrMK_Date,nrMK_Link,$B26,nrMK_Credit,"Yes",nrMK_PID,$E26),"mm/dd")),"OPEN"))</f>
        <v/>
      </c>
      <c r="T26" s="17">
        <f>IF($D26="","",IF($C26="","NO DATE",IF($G26="","NO EVENT TYPE",IF(AND($I26&lt;&gt;"",NOT(ISNUMBER($I26))),"MINUTES NOT A NUMBER",IF(AND($J26&lt;&gt;"",NOT(ISNUMBER($J26))),"SESSIONS NOT A NUMBER",IF(OR(N($I26)&lt;0,N($J26)&lt;0),"NEGATIVE MINUTES/SESSIONS",IF(AND($K26="Yes",N($I26)&gt;0),"MINUTES ON A PT EVENT - not counted (PT counts sessions)",IF(AND($K26="No",N($J26)&gt;0),"SESSIONS ON A CLASSROOM EVENT - not counted (classroom counts minutes)",IF(AND($N26="Yes",$K26="Yes",N($J26)=0),"COUNTED PT EVENT WITH NO SESSIONS - dropped from the PT cap",IF(AND($N26="Yes",$K26="No",N($I26)=0),"COUNTED EVENT WITH NO MINUTES - dropped from the classroom cap","OK"))))))))))</f>
        <v/>
      </c>
    </row>
    <row r="27">
      <c r="B27" s="17">
        <f>IF($D27="","","A"&amp;TEXT(ROW()-5,"000"))</f>
        <v/>
      </c>
      <c r="C27" s="18" t="n"/>
      <c r="D27" s="16" t="n"/>
      <c r="E27" s="17">
        <f>IF($D27="","",IFERROR(INDEX(rngCadetPIDs,MATCH($D27,rngCadetNames,0)),"?"))</f>
        <v/>
      </c>
      <c r="F27" s="17">
        <f>IF($E27="","",IFERROR(INDEX(nrCadetAgency,MATCH($E27,rngCadetPIDs,0)),""))</f>
        <v/>
      </c>
      <c r="G27" s="16" t="n"/>
      <c r="H27" s="16" t="n"/>
      <c r="I27" s="16" t="n"/>
      <c r="J27" s="16" t="n"/>
      <c r="K27" s="17">
        <f>IF($G27="","",IF(OR($G27="PT Missed",$G27="PT Modified",$G27="PT Refused"),"Yes","No"))</f>
        <v/>
      </c>
      <c r="L27" s="16" t="n"/>
      <c r="M27" s="16" t="n"/>
      <c r="N27" s="17">
        <f>IF($D27="","",IF($M27="Excused","No",IF(AND($G27="PT Modified",$L27="Received"),"No","Yes")))</f>
        <v/>
      </c>
      <c r="O27" s="16" t="n"/>
      <c r="P27" s="17">
        <f>IF(OR($B27="",N($I27)=0),"",MIN(N($I27),SUMIFS(nrMK_Min,nrMK_Link,$B27,nrMK_Credit,"Yes",nrMK_PID,$E27,nrMK_Type,"Classroom")))</f>
        <v/>
      </c>
      <c r="Q27" s="17">
        <f>IF(OR($B27="",N($J27)=0),"",MIN(N($J27),SUMIFS(nrMK_Sess,nrMK_Link,$B27,nrMK_Credit,"Yes",nrMK_PID,$E27,nrMK_Type,"PT")))</f>
        <v/>
      </c>
      <c r="R27" s="17">
        <f>IF(OR($B27="",$N27&lt;&gt;"Yes"),"",IF($K27="Yes",IF(N($J27)&gt;0,N($J27)-N($Q27),""),IF(N($I27)&gt;0,N($I27)-N($P27),"")))</f>
        <v/>
      </c>
      <c r="S27" s="17">
        <f>IF(OR($B27="",$R27=""),"",IF($R27&lt;=0,IF(IFERROR(_xlfn.MAXIFS(nrMK_Date,nrMK_Link,$B27,nrMK_Credit,"Yes",nrMK_PID,$E27),0)=0,"CLEARED (makeup date missing)","CLEARED "&amp;TEXT(_xlfn.MAXIFS(nrMK_Date,nrMK_Link,$B27,nrMK_Credit,"Yes",nrMK_PID,$E27),"mm/dd")),"OPEN"))</f>
        <v/>
      </c>
      <c r="T27" s="17">
        <f>IF($D27="","",IF($C27="","NO DATE",IF($G27="","NO EVENT TYPE",IF(AND($I27&lt;&gt;"",NOT(ISNUMBER($I27))),"MINUTES NOT A NUMBER",IF(AND($J27&lt;&gt;"",NOT(ISNUMBER($J27))),"SESSIONS NOT A NUMBER",IF(OR(N($I27)&lt;0,N($J27)&lt;0),"NEGATIVE MINUTES/SESSIONS",IF(AND($K27="Yes",N($I27)&gt;0),"MINUTES ON A PT EVENT - not counted (PT counts sessions)",IF(AND($K27="No",N($J27)&gt;0),"SESSIONS ON A CLASSROOM EVENT - not counted (classroom counts minutes)",IF(AND($N27="Yes",$K27="Yes",N($J27)=0),"COUNTED PT EVENT WITH NO SESSIONS - dropped from the PT cap",IF(AND($N27="Yes",$K27="No",N($I27)=0),"COUNTED EVENT WITH NO MINUTES - dropped from the classroom cap","OK"))))))))))</f>
        <v/>
      </c>
    </row>
    <row r="28">
      <c r="B28" s="17">
        <f>IF($D28="","","A"&amp;TEXT(ROW()-5,"000"))</f>
        <v/>
      </c>
      <c r="C28" s="18" t="n"/>
      <c r="D28" s="16" t="n"/>
      <c r="E28" s="17">
        <f>IF($D28="","",IFERROR(INDEX(rngCadetPIDs,MATCH($D28,rngCadetNames,0)),"?"))</f>
        <v/>
      </c>
      <c r="F28" s="17">
        <f>IF($E28="","",IFERROR(INDEX(nrCadetAgency,MATCH($E28,rngCadetPIDs,0)),""))</f>
        <v/>
      </c>
      <c r="G28" s="16" t="n"/>
      <c r="H28" s="16" t="n"/>
      <c r="I28" s="16" t="n"/>
      <c r="J28" s="16" t="n"/>
      <c r="K28" s="17">
        <f>IF($G28="","",IF(OR($G28="PT Missed",$G28="PT Modified",$G28="PT Refused"),"Yes","No"))</f>
        <v/>
      </c>
      <c r="L28" s="16" t="n"/>
      <c r="M28" s="16" t="n"/>
      <c r="N28" s="17">
        <f>IF($D28="","",IF($M28="Excused","No",IF(AND($G28="PT Modified",$L28="Received"),"No","Yes")))</f>
        <v/>
      </c>
      <c r="O28" s="16" t="n"/>
      <c r="P28" s="17">
        <f>IF(OR($B28="",N($I28)=0),"",MIN(N($I28),SUMIFS(nrMK_Min,nrMK_Link,$B28,nrMK_Credit,"Yes",nrMK_PID,$E28,nrMK_Type,"Classroom")))</f>
        <v/>
      </c>
      <c r="Q28" s="17">
        <f>IF(OR($B28="",N($J28)=0),"",MIN(N($J28),SUMIFS(nrMK_Sess,nrMK_Link,$B28,nrMK_Credit,"Yes",nrMK_PID,$E28,nrMK_Type,"PT")))</f>
        <v/>
      </c>
      <c r="R28" s="17">
        <f>IF(OR($B28="",$N28&lt;&gt;"Yes"),"",IF($K28="Yes",IF(N($J28)&gt;0,N($J28)-N($Q28),""),IF(N($I28)&gt;0,N($I28)-N($P28),"")))</f>
        <v/>
      </c>
      <c r="S28" s="17">
        <f>IF(OR($B28="",$R28=""),"",IF($R28&lt;=0,IF(IFERROR(_xlfn.MAXIFS(nrMK_Date,nrMK_Link,$B28,nrMK_Credit,"Yes",nrMK_PID,$E28),0)=0,"CLEARED (makeup date missing)","CLEARED "&amp;TEXT(_xlfn.MAXIFS(nrMK_Date,nrMK_Link,$B28,nrMK_Credit,"Yes",nrMK_PID,$E28),"mm/dd")),"OPEN"))</f>
        <v/>
      </c>
      <c r="T28" s="17">
        <f>IF($D28="","",IF($C28="","NO DATE",IF($G28="","NO EVENT TYPE",IF(AND($I28&lt;&gt;"",NOT(ISNUMBER($I28))),"MINUTES NOT A NUMBER",IF(AND($J28&lt;&gt;"",NOT(ISNUMBER($J28))),"SESSIONS NOT A NUMBER",IF(OR(N($I28)&lt;0,N($J28)&lt;0),"NEGATIVE MINUTES/SESSIONS",IF(AND($K28="Yes",N($I28)&gt;0),"MINUTES ON A PT EVENT - not counted (PT counts sessions)",IF(AND($K28="No",N($J28)&gt;0),"SESSIONS ON A CLASSROOM EVENT - not counted (classroom counts minutes)",IF(AND($N28="Yes",$K28="Yes",N($J28)=0),"COUNTED PT EVENT WITH NO SESSIONS - dropped from the PT cap",IF(AND($N28="Yes",$K28="No",N($I28)=0),"COUNTED EVENT WITH NO MINUTES - dropped from the classroom cap","OK"))))))))))</f>
        <v/>
      </c>
    </row>
    <row r="29">
      <c r="B29" s="17">
        <f>IF($D29="","","A"&amp;TEXT(ROW()-5,"000"))</f>
        <v/>
      </c>
      <c r="C29" s="18" t="n"/>
      <c r="D29" s="16" t="n"/>
      <c r="E29" s="17">
        <f>IF($D29="","",IFERROR(INDEX(rngCadetPIDs,MATCH($D29,rngCadetNames,0)),"?"))</f>
        <v/>
      </c>
      <c r="F29" s="17">
        <f>IF($E29="","",IFERROR(INDEX(nrCadetAgency,MATCH($E29,rngCadetPIDs,0)),""))</f>
        <v/>
      </c>
      <c r="G29" s="16" t="n"/>
      <c r="H29" s="16" t="n"/>
      <c r="I29" s="16" t="n"/>
      <c r="J29" s="16" t="n"/>
      <c r="K29" s="17">
        <f>IF($G29="","",IF(OR($G29="PT Missed",$G29="PT Modified",$G29="PT Refused"),"Yes","No"))</f>
        <v/>
      </c>
      <c r="L29" s="16" t="n"/>
      <c r="M29" s="16" t="n"/>
      <c r="N29" s="17">
        <f>IF($D29="","",IF($M29="Excused","No",IF(AND($G29="PT Modified",$L29="Received"),"No","Yes")))</f>
        <v/>
      </c>
      <c r="O29" s="16" t="n"/>
      <c r="P29" s="17">
        <f>IF(OR($B29="",N($I29)=0),"",MIN(N($I29),SUMIFS(nrMK_Min,nrMK_Link,$B29,nrMK_Credit,"Yes",nrMK_PID,$E29,nrMK_Type,"Classroom")))</f>
        <v/>
      </c>
      <c r="Q29" s="17">
        <f>IF(OR($B29="",N($J29)=0),"",MIN(N($J29),SUMIFS(nrMK_Sess,nrMK_Link,$B29,nrMK_Credit,"Yes",nrMK_PID,$E29,nrMK_Type,"PT")))</f>
        <v/>
      </c>
      <c r="R29" s="17">
        <f>IF(OR($B29="",$N29&lt;&gt;"Yes"),"",IF($K29="Yes",IF(N($J29)&gt;0,N($J29)-N($Q29),""),IF(N($I29)&gt;0,N($I29)-N($P29),"")))</f>
        <v/>
      </c>
      <c r="S29" s="17">
        <f>IF(OR($B29="",$R29=""),"",IF($R29&lt;=0,IF(IFERROR(_xlfn.MAXIFS(nrMK_Date,nrMK_Link,$B29,nrMK_Credit,"Yes",nrMK_PID,$E29),0)=0,"CLEARED (makeup date missing)","CLEARED "&amp;TEXT(_xlfn.MAXIFS(nrMK_Date,nrMK_Link,$B29,nrMK_Credit,"Yes",nrMK_PID,$E29),"mm/dd")),"OPEN"))</f>
        <v/>
      </c>
      <c r="T29" s="17">
        <f>IF($D29="","",IF($C29="","NO DATE",IF($G29="","NO EVENT TYPE",IF(AND($I29&lt;&gt;"",NOT(ISNUMBER($I29))),"MINUTES NOT A NUMBER",IF(AND($J29&lt;&gt;"",NOT(ISNUMBER($J29))),"SESSIONS NOT A NUMBER",IF(OR(N($I29)&lt;0,N($J29)&lt;0),"NEGATIVE MINUTES/SESSIONS",IF(AND($K29="Yes",N($I29)&gt;0),"MINUTES ON A PT EVENT - not counted (PT counts sessions)",IF(AND($K29="No",N($J29)&gt;0),"SESSIONS ON A CLASSROOM EVENT - not counted (classroom counts minutes)",IF(AND($N29="Yes",$K29="Yes",N($J29)=0),"COUNTED PT EVENT WITH NO SESSIONS - dropped from the PT cap",IF(AND($N29="Yes",$K29="No",N($I29)=0),"COUNTED EVENT WITH NO MINUTES - dropped from the classroom cap","OK"))))))))))</f>
        <v/>
      </c>
    </row>
    <row r="30">
      <c r="B30" s="17">
        <f>IF($D30="","","A"&amp;TEXT(ROW()-5,"000"))</f>
        <v/>
      </c>
      <c r="C30" s="18" t="n"/>
      <c r="D30" s="16" t="n"/>
      <c r="E30" s="17">
        <f>IF($D30="","",IFERROR(INDEX(rngCadetPIDs,MATCH($D30,rngCadetNames,0)),"?"))</f>
        <v/>
      </c>
      <c r="F30" s="17">
        <f>IF($E30="","",IFERROR(INDEX(nrCadetAgency,MATCH($E30,rngCadetPIDs,0)),""))</f>
        <v/>
      </c>
      <c r="G30" s="16" t="n"/>
      <c r="H30" s="16" t="n"/>
      <c r="I30" s="16" t="n"/>
      <c r="J30" s="16" t="n"/>
      <c r="K30" s="17">
        <f>IF($G30="","",IF(OR($G30="PT Missed",$G30="PT Modified",$G30="PT Refused"),"Yes","No"))</f>
        <v/>
      </c>
      <c r="L30" s="16" t="n"/>
      <c r="M30" s="16" t="n"/>
      <c r="N30" s="17">
        <f>IF($D30="","",IF($M30="Excused","No",IF(AND($G30="PT Modified",$L30="Received"),"No","Yes")))</f>
        <v/>
      </c>
      <c r="O30" s="16" t="n"/>
      <c r="P30" s="17">
        <f>IF(OR($B30="",N($I30)=0),"",MIN(N($I30),SUMIFS(nrMK_Min,nrMK_Link,$B30,nrMK_Credit,"Yes",nrMK_PID,$E30,nrMK_Type,"Classroom")))</f>
        <v/>
      </c>
      <c r="Q30" s="17">
        <f>IF(OR($B30="",N($J30)=0),"",MIN(N($J30),SUMIFS(nrMK_Sess,nrMK_Link,$B30,nrMK_Credit,"Yes",nrMK_PID,$E30,nrMK_Type,"PT")))</f>
        <v/>
      </c>
      <c r="R30" s="17">
        <f>IF(OR($B30="",$N30&lt;&gt;"Yes"),"",IF($K30="Yes",IF(N($J30)&gt;0,N($J30)-N($Q30),""),IF(N($I30)&gt;0,N($I30)-N($P30),"")))</f>
        <v/>
      </c>
      <c r="S30" s="17">
        <f>IF(OR($B30="",$R30=""),"",IF($R30&lt;=0,IF(IFERROR(_xlfn.MAXIFS(nrMK_Date,nrMK_Link,$B30,nrMK_Credit,"Yes",nrMK_PID,$E30),0)=0,"CLEARED (makeup date missing)","CLEARED "&amp;TEXT(_xlfn.MAXIFS(nrMK_Date,nrMK_Link,$B30,nrMK_Credit,"Yes",nrMK_PID,$E30),"mm/dd")),"OPEN"))</f>
        <v/>
      </c>
      <c r="T30" s="17">
        <f>IF($D30="","",IF($C30="","NO DATE",IF($G30="","NO EVENT TYPE",IF(AND($I30&lt;&gt;"",NOT(ISNUMBER($I30))),"MINUTES NOT A NUMBER",IF(AND($J30&lt;&gt;"",NOT(ISNUMBER($J30))),"SESSIONS NOT A NUMBER",IF(OR(N($I30)&lt;0,N($J30)&lt;0),"NEGATIVE MINUTES/SESSIONS",IF(AND($K30="Yes",N($I30)&gt;0),"MINUTES ON A PT EVENT - not counted (PT counts sessions)",IF(AND($K30="No",N($J30)&gt;0),"SESSIONS ON A CLASSROOM EVENT - not counted (classroom counts minutes)",IF(AND($N30="Yes",$K30="Yes",N($J30)=0),"COUNTED PT EVENT WITH NO SESSIONS - dropped from the PT cap",IF(AND($N30="Yes",$K30="No",N($I30)=0),"COUNTED EVENT WITH NO MINUTES - dropped from the classroom cap","OK"))))))))))</f>
        <v/>
      </c>
    </row>
    <row r="31">
      <c r="B31" s="17">
        <f>IF($D31="","","A"&amp;TEXT(ROW()-5,"000"))</f>
        <v/>
      </c>
      <c r="C31" s="18" t="n"/>
      <c r="D31" s="16" t="n"/>
      <c r="E31" s="17">
        <f>IF($D31="","",IFERROR(INDEX(rngCadetPIDs,MATCH($D31,rngCadetNames,0)),"?"))</f>
        <v/>
      </c>
      <c r="F31" s="17">
        <f>IF($E31="","",IFERROR(INDEX(nrCadetAgency,MATCH($E31,rngCadetPIDs,0)),""))</f>
        <v/>
      </c>
      <c r="G31" s="16" t="n"/>
      <c r="H31" s="16" t="n"/>
      <c r="I31" s="16" t="n"/>
      <c r="J31" s="16" t="n"/>
      <c r="K31" s="17">
        <f>IF($G31="","",IF(OR($G31="PT Missed",$G31="PT Modified",$G31="PT Refused"),"Yes","No"))</f>
        <v/>
      </c>
      <c r="L31" s="16" t="n"/>
      <c r="M31" s="16" t="n"/>
      <c r="N31" s="17">
        <f>IF($D31="","",IF($M31="Excused","No",IF(AND($G31="PT Modified",$L31="Received"),"No","Yes")))</f>
        <v/>
      </c>
      <c r="O31" s="16" t="n"/>
      <c r="P31" s="17">
        <f>IF(OR($B31="",N($I31)=0),"",MIN(N($I31),SUMIFS(nrMK_Min,nrMK_Link,$B31,nrMK_Credit,"Yes",nrMK_PID,$E31,nrMK_Type,"Classroom")))</f>
        <v/>
      </c>
      <c r="Q31" s="17">
        <f>IF(OR($B31="",N($J31)=0),"",MIN(N($J31),SUMIFS(nrMK_Sess,nrMK_Link,$B31,nrMK_Credit,"Yes",nrMK_PID,$E31,nrMK_Type,"PT")))</f>
        <v/>
      </c>
      <c r="R31" s="17">
        <f>IF(OR($B31="",$N31&lt;&gt;"Yes"),"",IF($K31="Yes",IF(N($J31)&gt;0,N($J31)-N($Q31),""),IF(N($I31)&gt;0,N($I31)-N($P31),"")))</f>
        <v/>
      </c>
      <c r="S31" s="17">
        <f>IF(OR($B31="",$R31=""),"",IF($R31&lt;=0,IF(IFERROR(_xlfn.MAXIFS(nrMK_Date,nrMK_Link,$B31,nrMK_Credit,"Yes",nrMK_PID,$E31),0)=0,"CLEARED (makeup date missing)","CLEARED "&amp;TEXT(_xlfn.MAXIFS(nrMK_Date,nrMK_Link,$B31,nrMK_Credit,"Yes",nrMK_PID,$E31),"mm/dd")),"OPEN"))</f>
        <v/>
      </c>
      <c r="T31" s="17">
        <f>IF($D31="","",IF($C31="","NO DATE",IF($G31="","NO EVENT TYPE",IF(AND($I31&lt;&gt;"",NOT(ISNUMBER($I31))),"MINUTES NOT A NUMBER",IF(AND($J31&lt;&gt;"",NOT(ISNUMBER($J31))),"SESSIONS NOT A NUMBER",IF(OR(N($I31)&lt;0,N($J31)&lt;0),"NEGATIVE MINUTES/SESSIONS",IF(AND($K31="Yes",N($I31)&gt;0),"MINUTES ON A PT EVENT - not counted (PT counts sessions)",IF(AND($K31="No",N($J31)&gt;0),"SESSIONS ON A CLASSROOM EVENT - not counted (classroom counts minutes)",IF(AND($N31="Yes",$K31="Yes",N($J31)=0),"COUNTED PT EVENT WITH NO SESSIONS - dropped from the PT cap",IF(AND($N31="Yes",$K31="No",N($I31)=0),"COUNTED EVENT WITH NO MINUTES - dropped from the classroom cap","OK"))))))))))</f>
        <v/>
      </c>
    </row>
    <row r="32">
      <c r="B32" s="17">
        <f>IF($D32="","","A"&amp;TEXT(ROW()-5,"000"))</f>
        <v/>
      </c>
      <c r="C32" s="18" t="n"/>
      <c r="D32" s="16" t="n"/>
      <c r="E32" s="17">
        <f>IF($D32="","",IFERROR(INDEX(rngCadetPIDs,MATCH($D32,rngCadetNames,0)),"?"))</f>
        <v/>
      </c>
      <c r="F32" s="17">
        <f>IF($E32="","",IFERROR(INDEX(nrCadetAgency,MATCH($E32,rngCadetPIDs,0)),""))</f>
        <v/>
      </c>
      <c r="G32" s="16" t="n"/>
      <c r="H32" s="16" t="n"/>
      <c r="I32" s="16" t="n"/>
      <c r="J32" s="16" t="n"/>
      <c r="K32" s="17">
        <f>IF($G32="","",IF(OR($G32="PT Missed",$G32="PT Modified",$G32="PT Refused"),"Yes","No"))</f>
        <v/>
      </c>
      <c r="L32" s="16" t="n"/>
      <c r="M32" s="16" t="n"/>
      <c r="N32" s="17">
        <f>IF($D32="","",IF($M32="Excused","No",IF(AND($G32="PT Modified",$L32="Received"),"No","Yes")))</f>
        <v/>
      </c>
      <c r="O32" s="16" t="n"/>
      <c r="P32" s="17">
        <f>IF(OR($B32="",N($I32)=0),"",MIN(N($I32),SUMIFS(nrMK_Min,nrMK_Link,$B32,nrMK_Credit,"Yes",nrMK_PID,$E32,nrMK_Type,"Classroom")))</f>
        <v/>
      </c>
      <c r="Q32" s="17">
        <f>IF(OR($B32="",N($J32)=0),"",MIN(N($J32),SUMIFS(nrMK_Sess,nrMK_Link,$B32,nrMK_Credit,"Yes",nrMK_PID,$E32,nrMK_Type,"PT")))</f>
        <v/>
      </c>
      <c r="R32" s="17">
        <f>IF(OR($B32="",$N32&lt;&gt;"Yes"),"",IF($K32="Yes",IF(N($J32)&gt;0,N($J32)-N($Q32),""),IF(N($I32)&gt;0,N($I32)-N($P32),"")))</f>
        <v/>
      </c>
      <c r="S32" s="17">
        <f>IF(OR($B32="",$R32=""),"",IF($R32&lt;=0,IF(IFERROR(_xlfn.MAXIFS(nrMK_Date,nrMK_Link,$B32,nrMK_Credit,"Yes",nrMK_PID,$E32),0)=0,"CLEARED (makeup date missing)","CLEARED "&amp;TEXT(_xlfn.MAXIFS(nrMK_Date,nrMK_Link,$B32,nrMK_Credit,"Yes",nrMK_PID,$E32),"mm/dd")),"OPEN"))</f>
        <v/>
      </c>
      <c r="T32" s="17">
        <f>IF($D32="","",IF($C32="","NO DATE",IF($G32="","NO EVENT TYPE",IF(AND($I32&lt;&gt;"",NOT(ISNUMBER($I32))),"MINUTES NOT A NUMBER",IF(AND($J32&lt;&gt;"",NOT(ISNUMBER($J32))),"SESSIONS NOT A NUMBER",IF(OR(N($I32)&lt;0,N($J32)&lt;0),"NEGATIVE MINUTES/SESSIONS",IF(AND($K32="Yes",N($I32)&gt;0),"MINUTES ON A PT EVENT - not counted (PT counts sessions)",IF(AND($K32="No",N($J32)&gt;0),"SESSIONS ON A CLASSROOM EVENT - not counted (classroom counts minutes)",IF(AND($N32="Yes",$K32="Yes",N($J32)=0),"COUNTED PT EVENT WITH NO SESSIONS - dropped from the PT cap",IF(AND($N32="Yes",$K32="No",N($I32)=0),"COUNTED EVENT WITH NO MINUTES - dropped from the classroom cap","OK"))))))))))</f>
        <v/>
      </c>
    </row>
    <row r="33">
      <c r="B33" s="17">
        <f>IF($D33="","","A"&amp;TEXT(ROW()-5,"000"))</f>
        <v/>
      </c>
      <c r="C33" s="18" t="n"/>
      <c r="D33" s="16" t="n"/>
      <c r="E33" s="17">
        <f>IF($D33="","",IFERROR(INDEX(rngCadetPIDs,MATCH($D33,rngCadetNames,0)),"?"))</f>
        <v/>
      </c>
      <c r="F33" s="17">
        <f>IF($E33="","",IFERROR(INDEX(nrCadetAgency,MATCH($E33,rngCadetPIDs,0)),""))</f>
        <v/>
      </c>
      <c r="G33" s="16" t="n"/>
      <c r="H33" s="16" t="n"/>
      <c r="I33" s="16" t="n"/>
      <c r="J33" s="16" t="n"/>
      <c r="K33" s="17">
        <f>IF($G33="","",IF(OR($G33="PT Missed",$G33="PT Modified",$G33="PT Refused"),"Yes","No"))</f>
        <v/>
      </c>
      <c r="L33" s="16" t="n"/>
      <c r="M33" s="16" t="n"/>
      <c r="N33" s="17">
        <f>IF($D33="","",IF($M33="Excused","No",IF(AND($G33="PT Modified",$L33="Received"),"No","Yes")))</f>
        <v/>
      </c>
      <c r="O33" s="16" t="n"/>
      <c r="P33" s="17">
        <f>IF(OR($B33="",N($I33)=0),"",MIN(N($I33),SUMIFS(nrMK_Min,nrMK_Link,$B33,nrMK_Credit,"Yes",nrMK_PID,$E33,nrMK_Type,"Classroom")))</f>
        <v/>
      </c>
      <c r="Q33" s="17">
        <f>IF(OR($B33="",N($J33)=0),"",MIN(N($J33),SUMIFS(nrMK_Sess,nrMK_Link,$B33,nrMK_Credit,"Yes",nrMK_PID,$E33,nrMK_Type,"PT")))</f>
        <v/>
      </c>
      <c r="R33" s="17">
        <f>IF(OR($B33="",$N33&lt;&gt;"Yes"),"",IF($K33="Yes",IF(N($J33)&gt;0,N($J33)-N($Q33),""),IF(N($I33)&gt;0,N($I33)-N($P33),"")))</f>
        <v/>
      </c>
      <c r="S33" s="17">
        <f>IF(OR($B33="",$R33=""),"",IF($R33&lt;=0,IF(IFERROR(_xlfn.MAXIFS(nrMK_Date,nrMK_Link,$B33,nrMK_Credit,"Yes",nrMK_PID,$E33),0)=0,"CLEARED (makeup date missing)","CLEARED "&amp;TEXT(_xlfn.MAXIFS(nrMK_Date,nrMK_Link,$B33,nrMK_Credit,"Yes",nrMK_PID,$E33),"mm/dd")),"OPEN"))</f>
        <v/>
      </c>
      <c r="T33" s="17">
        <f>IF($D33="","",IF($C33="","NO DATE",IF($G33="","NO EVENT TYPE",IF(AND($I33&lt;&gt;"",NOT(ISNUMBER($I33))),"MINUTES NOT A NUMBER",IF(AND($J33&lt;&gt;"",NOT(ISNUMBER($J33))),"SESSIONS NOT A NUMBER",IF(OR(N($I33)&lt;0,N($J33)&lt;0),"NEGATIVE MINUTES/SESSIONS",IF(AND($K33="Yes",N($I33)&gt;0),"MINUTES ON A PT EVENT - not counted (PT counts sessions)",IF(AND($K33="No",N($J33)&gt;0),"SESSIONS ON A CLASSROOM EVENT - not counted (classroom counts minutes)",IF(AND($N33="Yes",$K33="Yes",N($J33)=0),"COUNTED PT EVENT WITH NO SESSIONS - dropped from the PT cap",IF(AND($N33="Yes",$K33="No",N($I33)=0),"COUNTED EVENT WITH NO MINUTES - dropped from the classroom cap","OK"))))))))))</f>
        <v/>
      </c>
    </row>
    <row r="34">
      <c r="B34" s="17">
        <f>IF($D34="","","A"&amp;TEXT(ROW()-5,"000"))</f>
        <v/>
      </c>
      <c r="C34" s="18" t="n"/>
      <c r="D34" s="16" t="n"/>
      <c r="E34" s="17">
        <f>IF($D34="","",IFERROR(INDEX(rngCadetPIDs,MATCH($D34,rngCadetNames,0)),"?"))</f>
        <v/>
      </c>
      <c r="F34" s="17">
        <f>IF($E34="","",IFERROR(INDEX(nrCadetAgency,MATCH($E34,rngCadetPIDs,0)),""))</f>
        <v/>
      </c>
      <c r="G34" s="16" t="n"/>
      <c r="H34" s="16" t="n"/>
      <c r="I34" s="16" t="n"/>
      <c r="J34" s="16" t="n"/>
      <c r="K34" s="17">
        <f>IF($G34="","",IF(OR($G34="PT Missed",$G34="PT Modified",$G34="PT Refused"),"Yes","No"))</f>
        <v/>
      </c>
      <c r="L34" s="16" t="n"/>
      <c r="M34" s="16" t="n"/>
      <c r="N34" s="17">
        <f>IF($D34="","",IF($M34="Excused","No",IF(AND($G34="PT Modified",$L34="Received"),"No","Yes")))</f>
        <v/>
      </c>
      <c r="O34" s="16" t="n"/>
      <c r="P34" s="17">
        <f>IF(OR($B34="",N($I34)=0),"",MIN(N($I34),SUMIFS(nrMK_Min,nrMK_Link,$B34,nrMK_Credit,"Yes",nrMK_PID,$E34,nrMK_Type,"Classroom")))</f>
        <v/>
      </c>
      <c r="Q34" s="17">
        <f>IF(OR($B34="",N($J34)=0),"",MIN(N($J34),SUMIFS(nrMK_Sess,nrMK_Link,$B34,nrMK_Credit,"Yes",nrMK_PID,$E34,nrMK_Type,"PT")))</f>
        <v/>
      </c>
      <c r="R34" s="17">
        <f>IF(OR($B34="",$N34&lt;&gt;"Yes"),"",IF($K34="Yes",IF(N($J34)&gt;0,N($J34)-N($Q34),""),IF(N($I34)&gt;0,N($I34)-N($P34),"")))</f>
        <v/>
      </c>
      <c r="S34" s="17">
        <f>IF(OR($B34="",$R34=""),"",IF($R34&lt;=0,IF(IFERROR(_xlfn.MAXIFS(nrMK_Date,nrMK_Link,$B34,nrMK_Credit,"Yes",nrMK_PID,$E34),0)=0,"CLEARED (makeup date missing)","CLEARED "&amp;TEXT(_xlfn.MAXIFS(nrMK_Date,nrMK_Link,$B34,nrMK_Credit,"Yes",nrMK_PID,$E34),"mm/dd")),"OPEN"))</f>
        <v/>
      </c>
      <c r="T34" s="17">
        <f>IF($D34="","",IF($C34="","NO DATE",IF($G34="","NO EVENT TYPE",IF(AND($I34&lt;&gt;"",NOT(ISNUMBER($I34))),"MINUTES NOT A NUMBER",IF(AND($J34&lt;&gt;"",NOT(ISNUMBER($J34))),"SESSIONS NOT A NUMBER",IF(OR(N($I34)&lt;0,N($J34)&lt;0),"NEGATIVE MINUTES/SESSIONS",IF(AND($K34="Yes",N($I34)&gt;0),"MINUTES ON A PT EVENT - not counted (PT counts sessions)",IF(AND($K34="No",N($J34)&gt;0),"SESSIONS ON A CLASSROOM EVENT - not counted (classroom counts minutes)",IF(AND($N34="Yes",$K34="Yes",N($J34)=0),"COUNTED PT EVENT WITH NO SESSIONS - dropped from the PT cap",IF(AND($N34="Yes",$K34="No",N($I34)=0),"COUNTED EVENT WITH NO MINUTES - dropped from the classroom cap","OK"))))))))))</f>
        <v/>
      </c>
    </row>
    <row r="35">
      <c r="B35" s="17">
        <f>IF($D35="","","A"&amp;TEXT(ROW()-5,"000"))</f>
        <v/>
      </c>
      <c r="C35" s="18" t="n"/>
      <c r="D35" s="16" t="n"/>
      <c r="E35" s="17">
        <f>IF($D35="","",IFERROR(INDEX(rngCadetPIDs,MATCH($D35,rngCadetNames,0)),"?"))</f>
        <v/>
      </c>
      <c r="F35" s="17">
        <f>IF($E35="","",IFERROR(INDEX(nrCadetAgency,MATCH($E35,rngCadetPIDs,0)),""))</f>
        <v/>
      </c>
      <c r="G35" s="16" t="n"/>
      <c r="H35" s="16" t="n"/>
      <c r="I35" s="16" t="n"/>
      <c r="J35" s="16" t="n"/>
      <c r="K35" s="17">
        <f>IF($G35="","",IF(OR($G35="PT Missed",$G35="PT Modified",$G35="PT Refused"),"Yes","No"))</f>
        <v/>
      </c>
      <c r="L35" s="16" t="n"/>
      <c r="M35" s="16" t="n"/>
      <c r="N35" s="17">
        <f>IF($D35="","",IF($M35="Excused","No",IF(AND($G35="PT Modified",$L35="Received"),"No","Yes")))</f>
        <v/>
      </c>
      <c r="O35" s="16" t="n"/>
      <c r="P35" s="17">
        <f>IF(OR($B35="",N($I35)=0),"",MIN(N($I35),SUMIFS(nrMK_Min,nrMK_Link,$B35,nrMK_Credit,"Yes",nrMK_PID,$E35,nrMK_Type,"Classroom")))</f>
        <v/>
      </c>
      <c r="Q35" s="17">
        <f>IF(OR($B35="",N($J35)=0),"",MIN(N($J35),SUMIFS(nrMK_Sess,nrMK_Link,$B35,nrMK_Credit,"Yes",nrMK_PID,$E35,nrMK_Type,"PT")))</f>
        <v/>
      </c>
      <c r="R35" s="17">
        <f>IF(OR($B35="",$N35&lt;&gt;"Yes"),"",IF($K35="Yes",IF(N($J35)&gt;0,N($J35)-N($Q35),""),IF(N($I35)&gt;0,N($I35)-N($P35),"")))</f>
        <v/>
      </c>
      <c r="S35" s="17">
        <f>IF(OR($B35="",$R35=""),"",IF($R35&lt;=0,IF(IFERROR(_xlfn.MAXIFS(nrMK_Date,nrMK_Link,$B35,nrMK_Credit,"Yes",nrMK_PID,$E35),0)=0,"CLEARED (makeup date missing)","CLEARED "&amp;TEXT(_xlfn.MAXIFS(nrMK_Date,nrMK_Link,$B35,nrMK_Credit,"Yes",nrMK_PID,$E35),"mm/dd")),"OPEN"))</f>
        <v/>
      </c>
      <c r="T35" s="17">
        <f>IF($D35="","",IF($C35="","NO DATE",IF($G35="","NO EVENT TYPE",IF(AND($I35&lt;&gt;"",NOT(ISNUMBER($I35))),"MINUTES NOT A NUMBER",IF(AND($J35&lt;&gt;"",NOT(ISNUMBER($J35))),"SESSIONS NOT A NUMBER",IF(OR(N($I35)&lt;0,N($J35)&lt;0),"NEGATIVE MINUTES/SESSIONS",IF(AND($K35="Yes",N($I35)&gt;0),"MINUTES ON A PT EVENT - not counted (PT counts sessions)",IF(AND($K35="No",N($J35)&gt;0),"SESSIONS ON A CLASSROOM EVENT - not counted (classroom counts minutes)",IF(AND($N35="Yes",$K35="Yes",N($J35)=0),"COUNTED PT EVENT WITH NO SESSIONS - dropped from the PT cap",IF(AND($N35="Yes",$K35="No",N($I35)=0),"COUNTED EVENT WITH NO MINUTES - dropped from the classroom cap","OK"))))))))))</f>
        <v/>
      </c>
    </row>
    <row r="36">
      <c r="B36" s="17">
        <f>IF($D36="","","A"&amp;TEXT(ROW()-5,"000"))</f>
        <v/>
      </c>
      <c r="C36" s="18" t="n"/>
      <c r="D36" s="16" t="n"/>
      <c r="E36" s="17">
        <f>IF($D36="","",IFERROR(INDEX(rngCadetPIDs,MATCH($D36,rngCadetNames,0)),"?"))</f>
        <v/>
      </c>
      <c r="F36" s="17">
        <f>IF($E36="","",IFERROR(INDEX(nrCadetAgency,MATCH($E36,rngCadetPIDs,0)),""))</f>
        <v/>
      </c>
      <c r="G36" s="16" t="n"/>
      <c r="H36" s="16" t="n"/>
      <c r="I36" s="16" t="n"/>
      <c r="J36" s="16" t="n"/>
      <c r="K36" s="17">
        <f>IF($G36="","",IF(OR($G36="PT Missed",$G36="PT Modified",$G36="PT Refused"),"Yes","No"))</f>
        <v/>
      </c>
      <c r="L36" s="16" t="n"/>
      <c r="M36" s="16" t="n"/>
      <c r="N36" s="17">
        <f>IF($D36="","",IF($M36="Excused","No",IF(AND($G36="PT Modified",$L36="Received"),"No","Yes")))</f>
        <v/>
      </c>
      <c r="O36" s="16" t="n"/>
      <c r="P36" s="17">
        <f>IF(OR($B36="",N($I36)=0),"",MIN(N($I36),SUMIFS(nrMK_Min,nrMK_Link,$B36,nrMK_Credit,"Yes",nrMK_PID,$E36,nrMK_Type,"Classroom")))</f>
        <v/>
      </c>
      <c r="Q36" s="17">
        <f>IF(OR($B36="",N($J36)=0),"",MIN(N($J36),SUMIFS(nrMK_Sess,nrMK_Link,$B36,nrMK_Credit,"Yes",nrMK_PID,$E36,nrMK_Type,"PT")))</f>
        <v/>
      </c>
      <c r="R36" s="17">
        <f>IF(OR($B36="",$N36&lt;&gt;"Yes"),"",IF($K36="Yes",IF(N($J36)&gt;0,N($J36)-N($Q36),""),IF(N($I36)&gt;0,N($I36)-N($P36),"")))</f>
        <v/>
      </c>
      <c r="S36" s="17">
        <f>IF(OR($B36="",$R36=""),"",IF($R36&lt;=0,IF(IFERROR(_xlfn.MAXIFS(nrMK_Date,nrMK_Link,$B36,nrMK_Credit,"Yes",nrMK_PID,$E36),0)=0,"CLEARED (makeup date missing)","CLEARED "&amp;TEXT(_xlfn.MAXIFS(nrMK_Date,nrMK_Link,$B36,nrMK_Credit,"Yes",nrMK_PID,$E36),"mm/dd")),"OPEN"))</f>
        <v/>
      </c>
      <c r="T36" s="17">
        <f>IF($D36="","",IF($C36="","NO DATE",IF($G36="","NO EVENT TYPE",IF(AND($I36&lt;&gt;"",NOT(ISNUMBER($I36))),"MINUTES NOT A NUMBER",IF(AND($J36&lt;&gt;"",NOT(ISNUMBER($J36))),"SESSIONS NOT A NUMBER",IF(OR(N($I36)&lt;0,N($J36)&lt;0),"NEGATIVE MINUTES/SESSIONS",IF(AND($K36="Yes",N($I36)&gt;0),"MINUTES ON A PT EVENT - not counted (PT counts sessions)",IF(AND($K36="No",N($J36)&gt;0),"SESSIONS ON A CLASSROOM EVENT - not counted (classroom counts minutes)",IF(AND($N36="Yes",$K36="Yes",N($J36)=0),"COUNTED PT EVENT WITH NO SESSIONS - dropped from the PT cap",IF(AND($N36="Yes",$K36="No",N($I36)=0),"COUNTED EVENT WITH NO MINUTES - dropped from the classroom cap","OK"))))))))))</f>
        <v/>
      </c>
    </row>
    <row r="37">
      <c r="B37" s="17">
        <f>IF($D37="","","A"&amp;TEXT(ROW()-5,"000"))</f>
        <v/>
      </c>
      <c r="C37" s="18" t="n"/>
      <c r="D37" s="16" t="n"/>
      <c r="E37" s="17">
        <f>IF($D37="","",IFERROR(INDEX(rngCadetPIDs,MATCH($D37,rngCadetNames,0)),"?"))</f>
        <v/>
      </c>
      <c r="F37" s="17">
        <f>IF($E37="","",IFERROR(INDEX(nrCadetAgency,MATCH($E37,rngCadetPIDs,0)),""))</f>
        <v/>
      </c>
      <c r="G37" s="16" t="n"/>
      <c r="H37" s="16" t="n"/>
      <c r="I37" s="16" t="n"/>
      <c r="J37" s="16" t="n"/>
      <c r="K37" s="17">
        <f>IF($G37="","",IF(OR($G37="PT Missed",$G37="PT Modified",$G37="PT Refused"),"Yes","No"))</f>
        <v/>
      </c>
      <c r="L37" s="16" t="n"/>
      <c r="M37" s="16" t="n"/>
      <c r="N37" s="17">
        <f>IF($D37="","",IF($M37="Excused","No",IF(AND($G37="PT Modified",$L37="Received"),"No","Yes")))</f>
        <v/>
      </c>
      <c r="O37" s="16" t="n"/>
      <c r="P37" s="17">
        <f>IF(OR($B37="",N($I37)=0),"",MIN(N($I37),SUMIFS(nrMK_Min,nrMK_Link,$B37,nrMK_Credit,"Yes",nrMK_PID,$E37,nrMK_Type,"Classroom")))</f>
        <v/>
      </c>
      <c r="Q37" s="17">
        <f>IF(OR($B37="",N($J37)=0),"",MIN(N($J37),SUMIFS(nrMK_Sess,nrMK_Link,$B37,nrMK_Credit,"Yes",nrMK_PID,$E37,nrMK_Type,"PT")))</f>
        <v/>
      </c>
      <c r="R37" s="17">
        <f>IF(OR($B37="",$N37&lt;&gt;"Yes"),"",IF($K37="Yes",IF(N($J37)&gt;0,N($J37)-N($Q37),""),IF(N($I37)&gt;0,N($I37)-N($P37),"")))</f>
        <v/>
      </c>
      <c r="S37" s="17">
        <f>IF(OR($B37="",$R37=""),"",IF($R37&lt;=0,IF(IFERROR(_xlfn.MAXIFS(nrMK_Date,nrMK_Link,$B37,nrMK_Credit,"Yes",nrMK_PID,$E37),0)=0,"CLEARED (makeup date missing)","CLEARED "&amp;TEXT(_xlfn.MAXIFS(nrMK_Date,nrMK_Link,$B37,nrMK_Credit,"Yes",nrMK_PID,$E37),"mm/dd")),"OPEN"))</f>
        <v/>
      </c>
      <c r="T37" s="17">
        <f>IF($D37="","",IF($C37="","NO DATE",IF($G37="","NO EVENT TYPE",IF(AND($I37&lt;&gt;"",NOT(ISNUMBER($I37))),"MINUTES NOT A NUMBER",IF(AND($J37&lt;&gt;"",NOT(ISNUMBER($J37))),"SESSIONS NOT A NUMBER",IF(OR(N($I37)&lt;0,N($J37)&lt;0),"NEGATIVE MINUTES/SESSIONS",IF(AND($K37="Yes",N($I37)&gt;0),"MINUTES ON A PT EVENT - not counted (PT counts sessions)",IF(AND($K37="No",N($J37)&gt;0),"SESSIONS ON A CLASSROOM EVENT - not counted (classroom counts minutes)",IF(AND($N37="Yes",$K37="Yes",N($J37)=0),"COUNTED PT EVENT WITH NO SESSIONS - dropped from the PT cap",IF(AND($N37="Yes",$K37="No",N($I37)=0),"COUNTED EVENT WITH NO MINUTES - dropped from the classroom cap","OK"))))))))))</f>
        <v/>
      </c>
    </row>
    <row r="38">
      <c r="B38" s="17">
        <f>IF($D38="","","A"&amp;TEXT(ROW()-5,"000"))</f>
        <v/>
      </c>
      <c r="C38" s="18" t="n"/>
      <c r="D38" s="16" t="n"/>
      <c r="E38" s="17">
        <f>IF($D38="","",IFERROR(INDEX(rngCadetPIDs,MATCH($D38,rngCadetNames,0)),"?"))</f>
        <v/>
      </c>
      <c r="F38" s="17">
        <f>IF($E38="","",IFERROR(INDEX(nrCadetAgency,MATCH($E38,rngCadetPIDs,0)),""))</f>
        <v/>
      </c>
      <c r="G38" s="16" t="n"/>
      <c r="H38" s="16" t="n"/>
      <c r="I38" s="16" t="n"/>
      <c r="J38" s="16" t="n"/>
      <c r="K38" s="17">
        <f>IF($G38="","",IF(OR($G38="PT Missed",$G38="PT Modified",$G38="PT Refused"),"Yes","No"))</f>
        <v/>
      </c>
      <c r="L38" s="16" t="n"/>
      <c r="M38" s="16" t="n"/>
      <c r="N38" s="17">
        <f>IF($D38="","",IF($M38="Excused","No",IF(AND($G38="PT Modified",$L38="Received"),"No","Yes")))</f>
        <v/>
      </c>
      <c r="O38" s="16" t="n"/>
      <c r="P38" s="17">
        <f>IF(OR($B38="",N($I38)=0),"",MIN(N($I38),SUMIFS(nrMK_Min,nrMK_Link,$B38,nrMK_Credit,"Yes",nrMK_PID,$E38,nrMK_Type,"Classroom")))</f>
        <v/>
      </c>
      <c r="Q38" s="17">
        <f>IF(OR($B38="",N($J38)=0),"",MIN(N($J38),SUMIFS(nrMK_Sess,nrMK_Link,$B38,nrMK_Credit,"Yes",nrMK_PID,$E38,nrMK_Type,"PT")))</f>
        <v/>
      </c>
      <c r="R38" s="17">
        <f>IF(OR($B38="",$N38&lt;&gt;"Yes"),"",IF($K38="Yes",IF(N($J38)&gt;0,N($J38)-N($Q38),""),IF(N($I38)&gt;0,N($I38)-N($P38),"")))</f>
        <v/>
      </c>
      <c r="S38" s="17">
        <f>IF(OR($B38="",$R38=""),"",IF($R38&lt;=0,IF(IFERROR(_xlfn.MAXIFS(nrMK_Date,nrMK_Link,$B38,nrMK_Credit,"Yes",nrMK_PID,$E38),0)=0,"CLEARED (makeup date missing)","CLEARED "&amp;TEXT(_xlfn.MAXIFS(nrMK_Date,nrMK_Link,$B38,nrMK_Credit,"Yes",nrMK_PID,$E38),"mm/dd")),"OPEN"))</f>
        <v/>
      </c>
      <c r="T38" s="17">
        <f>IF($D38="","",IF($C38="","NO DATE",IF($G38="","NO EVENT TYPE",IF(AND($I38&lt;&gt;"",NOT(ISNUMBER($I38))),"MINUTES NOT A NUMBER",IF(AND($J38&lt;&gt;"",NOT(ISNUMBER($J38))),"SESSIONS NOT A NUMBER",IF(OR(N($I38)&lt;0,N($J38)&lt;0),"NEGATIVE MINUTES/SESSIONS",IF(AND($K38="Yes",N($I38)&gt;0),"MINUTES ON A PT EVENT - not counted (PT counts sessions)",IF(AND($K38="No",N($J38)&gt;0),"SESSIONS ON A CLASSROOM EVENT - not counted (classroom counts minutes)",IF(AND($N38="Yes",$K38="Yes",N($J38)=0),"COUNTED PT EVENT WITH NO SESSIONS - dropped from the PT cap",IF(AND($N38="Yes",$K38="No",N($I38)=0),"COUNTED EVENT WITH NO MINUTES - dropped from the classroom cap","OK"))))))))))</f>
        <v/>
      </c>
    </row>
    <row r="39">
      <c r="B39" s="17">
        <f>IF($D39="","","A"&amp;TEXT(ROW()-5,"000"))</f>
        <v/>
      </c>
      <c r="C39" s="18" t="n"/>
      <c r="D39" s="16" t="n"/>
      <c r="E39" s="17">
        <f>IF($D39="","",IFERROR(INDEX(rngCadetPIDs,MATCH($D39,rngCadetNames,0)),"?"))</f>
        <v/>
      </c>
      <c r="F39" s="17">
        <f>IF($E39="","",IFERROR(INDEX(nrCadetAgency,MATCH($E39,rngCadetPIDs,0)),""))</f>
        <v/>
      </c>
      <c r="G39" s="16" t="n"/>
      <c r="H39" s="16" t="n"/>
      <c r="I39" s="16" t="n"/>
      <c r="J39" s="16" t="n"/>
      <c r="K39" s="17">
        <f>IF($G39="","",IF(OR($G39="PT Missed",$G39="PT Modified",$G39="PT Refused"),"Yes","No"))</f>
        <v/>
      </c>
      <c r="L39" s="16" t="n"/>
      <c r="M39" s="16" t="n"/>
      <c r="N39" s="17">
        <f>IF($D39="","",IF($M39="Excused","No",IF(AND($G39="PT Modified",$L39="Received"),"No","Yes")))</f>
        <v/>
      </c>
      <c r="O39" s="16" t="n"/>
      <c r="P39" s="17">
        <f>IF(OR($B39="",N($I39)=0),"",MIN(N($I39),SUMIFS(nrMK_Min,nrMK_Link,$B39,nrMK_Credit,"Yes",nrMK_PID,$E39,nrMK_Type,"Classroom")))</f>
        <v/>
      </c>
      <c r="Q39" s="17">
        <f>IF(OR($B39="",N($J39)=0),"",MIN(N($J39),SUMIFS(nrMK_Sess,nrMK_Link,$B39,nrMK_Credit,"Yes",nrMK_PID,$E39,nrMK_Type,"PT")))</f>
        <v/>
      </c>
      <c r="R39" s="17">
        <f>IF(OR($B39="",$N39&lt;&gt;"Yes"),"",IF($K39="Yes",IF(N($J39)&gt;0,N($J39)-N($Q39),""),IF(N($I39)&gt;0,N($I39)-N($P39),"")))</f>
        <v/>
      </c>
      <c r="S39" s="17">
        <f>IF(OR($B39="",$R39=""),"",IF($R39&lt;=0,IF(IFERROR(_xlfn.MAXIFS(nrMK_Date,nrMK_Link,$B39,nrMK_Credit,"Yes",nrMK_PID,$E39),0)=0,"CLEARED (makeup date missing)","CLEARED "&amp;TEXT(_xlfn.MAXIFS(nrMK_Date,nrMK_Link,$B39,nrMK_Credit,"Yes",nrMK_PID,$E39),"mm/dd")),"OPEN"))</f>
        <v/>
      </c>
      <c r="T39" s="17">
        <f>IF($D39="","",IF($C39="","NO DATE",IF($G39="","NO EVENT TYPE",IF(AND($I39&lt;&gt;"",NOT(ISNUMBER($I39))),"MINUTES NOT A NUMBER",IF(AND($J39&lt;&gt;"",NOT(ISNUMBER($J39))),"SESSIONS NOT A NUMBER",IF(OR(N($I39)&lt;0,N($J39)&lt;0),"NEGATIVE MINUTES/SESSIONS",IF(AND($K39="Yes",N($I39)&gt;0),"MINUTES ON A PT EVENT - not counted (PT counts sessions)",IF(AND($K39="No",N($J39)&gt;0),"SESSIONS ON A CLASSROOM EVENT - not counted (classroom counts minutes)",IF(AND($N39="Yes",$K39="Yes",N($J39)=0),"COUNTED PT EVENT WITH NO SESSIONS - dropped from the PT cap",IF(AND($N39="Yes",$K39="No",N($I39)=0),"COUNTED EVENT WITH NO MINUTES - dropped from the classroom cap","OK"))))))))))</f>
        <v/>
      </c>
    </row>
    <row r="40">
      <c r="B40" s="17">
        <f>IF($D40="","","A"&amp;TEXT(ROW()-5,"000"))</f>
        <v/>
      </c>
      <c r="C40" s="18" t="n"/>
      <c r="D40" s="16" t="n"/>
      <c r="E40" s="17">
        <f>IF($D40="","",IFERROR(INDEX(rngCadetPIDs,MATCH($D40,rngCadetNames,0)),"?"))</f>
        <v/>
      </c>
      <c r="F40" s="17">
        <f>IF($E40="","",IFERROR(INDEX(nrCadetAgency,MATCH($E40,rngCadetPIDs,0)),""))</f>
        <v/>
      </c>
      <c r="G40" s="16" t="n"/>
      <c r="H40" s="16" t="n"/>
      <c r="I40" s="16" t="n"/>
      <c r="J40" s="16" t="n"/>
      <c r="K40" s="17">
        <f>IF($G40="","",IF(OR($G40="PT Missed",$G40="PT Modified",$G40="PT Refused"),"Yes","No"))</f>
        <v/>
      </c>
      <c r="L40" s="16" t="n"/>
      <c r="M40" s="16" t="n"/>
      <c r="N40" s="17">
        <f>IF($D40="","",IF($M40="Excused","No",IF(AND($G40="PT Modified",$L40="Received"),"No","Yes")))</f>
        <v/>
      </c>
      <c r="O40" s="16" t="n"/>
      <c r="P40" s="17">
        <f>IF(OR($B40="",N($I40)=0),"",MIN(N($I40),SUMIFS(nrMK_Min,nrMK_Link,$B40,nrMK_Credit,"Yes",nrMK_PID,$E40,nrMK_Type,"Classroom")))</f>
        <v/>
      </c>
      <c r="Q40" s="17">
        <f>IF(OR($B40="",N($J40)=0),"",MIN(N($J40),SUMIFS(nrMK_Sess,nrMK_Link,$B40,nrMK_Credit,"Yes",nrMK_PID,$E40,nrMK_Type,"PT")))</f>
        <v/>
      </c>
      <c r="R40" s="17">
        <f>IF(OR($B40="",$N40&lt;&gt;"Yes"),"",IF($K40="Yes",IF(N($J40)&gt;0,N($J40)-N($Q40),""),IF(N($I40)&gt;0,N($I40)-N($P40),"")))</f>
        <v/>
      </c>
      <c r="S40" s="17">
        <f>IF(OR($B40="",$R40=""),"",IF($R40&lt;=0,IF(IFERROR(_xlfn.MAXIFS(nrMK_Date,nrMK_Link,$B40,nrMK_Credit,"Yes",nrMK_PID,$E40),0)=0,"CLEARED (makeup date missing)","CLEARED "&amp;TEXT(_xlfn.MAXIFS(nrMK_Date,nrMK_Link,$B40,nrMK_Credit,"Yes",nrMK_PID,$E40),"mm/dd")),"OPEN"))</f>
        <v/>
      </c>
      <c r="T40" s="17">
        <f>IF($D40="","",IF($C40="","NO DATE",IF($G40="","NO EVENT TYPE",IF(AND($I40&lt;&gt;"",NOT(ISNUMBER($I40))),"MINUTES NOT A NUMBER",IF(AND($J40&lt;&gt;"",NOT(ISNUMBER($J40))),"SESSIONS NOT A NUMBER",IF(OR(N($I40)&lt;0,N($J40)&lt;0),"NEGATIVE MINUTES/SESSIONS",IF(AND($K40="Yes",N($I40)&gt;0),"MINUTES ON A PT EVENT - not counted (PT counts sessions)",IF(AND($K40="No",N($J40)&gt;0),"SESSIONS ON A CLASSROOM EVENT - not counted (classroom counts minutes)",IF(AND($N40="Yes",$K40="Yes",N($J40)=0),"COUNTED PT EVENT WITH NO SESSIONS - dropped from the PT cap",IF(AND($N40="Yes",$K40="No",N($I40)=0),"COUNTED EVENT WITH NO MINUTES - dropped from the classroom cap","OK"))))))))))</f>
        <v/>
      </c>
    </row>
    <row r="41">
      <c r="B41" s="17">
        <f>IF($D41="","","A"&amp;TEXT(ROW()-5,"000"))</f>
        <v/>
      </c>
      <c r="C41" s="18" t="n"/>
      <c r="D41" s="16" t="n"/>
      <c r="E41" s="17">
        <f>IF($D41="","",IFERROR(INDEX(rngCadetPIDs,MATCH($D41,rngCadetNames,0)),"?"))</f>
        <v/>
      </c>
      <c r="F41" s="17">
        <f>IF($E41="","",IFERROR(INDEX(nrCadetAgency,MATCH($E41,rngCadetPIDs,0)),""))</f>
        <v/>
      </c>
      <c r="G41" s="16" t="n"/>
      <c r="H41" s="16" t="n"/>
      <c r="I41" s="16" t="n"/>
      <c r="J41" s="16" t="n"/>
      <c r="K41" s="17">
        <f>IF($G41="","",IF(OR($G41="PT Missed",$G41="PT Modified",$G41="PT Refused"),"Yes","No"))</f>
        <v/>
      </c>
      <c r="L41" s="16" t="n"/>
      <c r="M41" s="16" t="n"/>
      <c r="N41" s="17">
        <f>IF($D41="","",IF($M41="Excused","No",IF(AND($G41="PT Modified",$L41="Received"),"No","Yes")))</f>
        <v/>
      </c>
      <c r="O41" s="16" t="n"/>
      <c r="P41" s="17">
        <f>IF(OR($B41="",N($I41)=0),"",MIN(N($I41),SUMIFS(nrMK_Min,nrMK_Link,$B41,nrMK_Credit,"Yes",nrMK_PID,$E41,nrMK_Type,"Classroom")))</f>
        <v/>
      </c>
      <c r="Q41" s="17">
        <f>IF(OR($B41="",N($J41)=0),"",MIN(N($J41),SUMIFS(nrMK_Sess,nrMK_Link,$B41,nrMK_Credit,"Yes",nrMK_PID,$E41,nrMK_Type,"PT")))</f>
        <v/>
      </c>
      <c r="R41" s="17">
        <f>IF(OR($B41="",$N41&lt;&gt;"Yes"),"",IF($K41="Yes",IF(N($J41)&gt;0,N($J41)-N($Q41),""),IF(N($I41)&gt;0,N($I41)-N($P41),"")))</f>
        <v/>
      </c>
      <c r="S41" s="17">
        <f>IF(OR($B41="",$R41=""),"",IF($R41&lt;=0,IF(IFERROR(_xlfn.MAXIFS(nrMK_Date,nrMK_Link,$B41,nrMK_Credit,"Yes",nrMK_PID,$E41),0)=0,"CLEARED (makeup date missing)","CLEARED "&amp;TEXT(_xlfn.MAXIFS(nrMK_Date,nrMK_Link,$B41,nrMK_Credit,"Yes",nrMK_PID,$E41),"mm/dd")),"OPEN"))</f>
        <v/>
      </c>
      <c r="T41" s="17">
        <f>IF($D41="","",IF($C41="","NO DATE",IF($G41="","NO EVENT TYPE",IF(AND($I41&lt;&gt;"",NOT(ISNUMBER($I41))),"MINUTES NOT A NUMBER",IF(AND($J41&lt;&gt;"",NOT(ISNUMBER($J41))),"SESSIONS NOT A NUMBER",IF(OR(N($I41)&lt;0,N($J41)&lt;0),"NEGATIVE MINUTES/SESSIONS",IF(AND($K41="Yes",N($I41)&gt;0),"MINUTES ON A PT EVENT - not counted (PT counts sessions)",IF(AND($K41="No",N($J41)&gt;0),"SESSIONS ON A CLASSROOM EVENT - not counted (classroom counts minutes)",IF(AND($N41="Yes",$K41="Yes",N($J41)=0),"COUNTED PT EVENT WITH NO SESSIONS - dropped from the PT cap",IF(AND($N41="Yes",$K41="No",N($I41)=0),"COUNTED EVENT WITH NO MINUTES - dropped from the classroom cap","OK"))))))))))</f>
        <v/>
      </c>
    </row>
    <row r="42">
      <c r="B42" s="17">
        <f>IF($D42="","","A"&amp;TEXT(ROW()-5,"000"))</f>
        <v/>
      </c>
      <c r="C42" s="18" t="n"/>
      <c r="D42" s="16" t="n"/>
      <c r="E42" s="17">
        <f>IF($D42="","",IFERROR(INDEX(rngCadetPIDs,MATCH($D42,rngCadetNames,0)),"?"))</f>
        <v/>
      </c>
      <c r="F42" s="17">
        <f>IF($E42="","",IFERROR(INDEX(nrCadetAgency,MATCH($E42,rngCadetPIDs,0)),""))</f>
        <v/>
      </c>
      <c r="G42" s="16" t="n"/>
      <c r="H42" s="16" t="n"/>
      <c r="I42" s="16" t="n"/>
      <c r="J42" s="16" t="n"/>
      <c r="K42" s="17">
        <f>IF($G42="","",IF(OR($G42="PT Missed",$G42="PT Modified",$G42="PT Refused"),"Yes","No"))</f>
        <v/>
      </c>
      <c r="L42" s="16" t="n"/>
      <c r="M42" s="16" t="n"/>
      <c r="N42" s="17">
        <f>IF($D42="","",IF($M42="Excused","No",IF(AND($G42="PT Modified",$L42="Received"),"No","Yes")))</f>
        <v/>
      </c>
      <c r="O42" s="16" t="n"/>
      <c r="P42" s="17">
        <f>IF(OR($B42="",N($I42)=0),"",MIN(N($I42),SUMIFS(nrMK_Min,nrMK_Link,$B42,nrMK_Credit,"Yes",nrMK_PID,$E42,nrMK_Type,"Classroom")))</f>
        <v/>
      </c>
      <c r="Q42" s="17">
        <f>IF(OR($B42="",N($J42)=0),"",MIN(N($J42),SUMIFS(nrMK_Sess,nrMK_Link,$B42,nrMK_Credit,"Yes",nrMK_PID,$E42,nrMK_Type,"PT")))</f>
        <v/>
      </c>
      <c r="R42" s="17">
        <f>IF(OR($B42="",$N42&lt;&gt;"Yes"),"",IF($K42="Yes",IF(N($J42)&gt;0,N($J42)-N($Q42),""),IF(N($I42)&gt;0,N($I42)-N($P42),"")))</f>
        <v/>
      </c>
      <c r="S42" s="17">
        <f>IF(OR($B42="",$R42=""),"",IF($R42&lt;=0,IF(IFERROR(_xlfn.MAXIFS(nrMK_Date,nrMK_Link,$B42,nrMK_Credit,"Yes",nrMK_PID,$E42),0)=0,"CLEARED (makeup date missing)","CLEARED "&amp;TEXT(_xlfn.MAXIFS(nrMK_Date,nrMK_Link,$B42,nrMK_Credit,"Yes",nrMK_PID,$E42),"mm/dd")),"OPEN"))</f>
        <v/>
      </c>
      <c r="T42" s="17">
        <f>IF($D42="","",IF($C42="","NO DATE",IF($G42="","NO EVENT TYPE",IF(AND($I42&lt;&gt;"",NOT(ISNUMBER($I42))),"MINUTES NOT A NUMBER",IF(AND($J42&lt;&gt;"",NOT(ISNUMBER($J42))),"SESSIONS NOT A NUMBER",IF(OR(N($I42)&lt;0,N($J42)&lt;0),"NEGATIVE MINUTES/SESSIONS",IF(AND($K42="Yes",N($I42)&gt;0),"MINUTES ON A PT EVENT - not counted (PT counts sessions)",IF(AND($K42="No",N($J42)&gt;0),"SESSIONS ON A CLASSROOM EVENT - not counted (classroom counts minutes)",IF(AND($N42="Yes",$K42="Yes",N($J42)=0),"COUNTED PT EVENT WITH NO SESSIONS - dropped from the PT cap",IF(AND($N42="Yes",$K42="No",N($I42)=0),"COUNTED EVENT WITH NO MINUTES - dropped from the classroom cap","OK"))))))))))</f>
        <v/>
      </c>
    </row>
    <row r="43">
      <c r="B43" s="17">
        <f>IF($D43="","","A"&amp;TEXT(ROW()-5,"000"))</f>
        <v/>
      </c>
      <c r="C43" s="18" t="n"/>
      <c r="D43" s="16" t="n"/>
      <c r="E43" s="17">
        <f>IF($D43="","",IFERROR(INDEX(rngCadetPIDs,MATCH($D43,rngCadetNames,0)),"?"))</f>
        <v/>
      </c>
      <c r="F43" s="17">
        <f>IF($E43="","",IFERROR(INDEX(nrCadetAgency,MATCH($E43,rngCadetPIDs,0)),""))</f>
        <v/>
      </c>
      <c r="G43" s="16" t="n"/>
      <c r="H43" s="16" t="n"/>
      <c r="I43" s="16" t="n"/>
      <c r="J43" s="16" t="n"/>
      <c r="K43" s="17">
        <f>IF($G43="","",IF(OR($G43="PT Missed",$G43="PT Modified",$G43="PT Refused"),"Yes","No"))</f>
        <v/>
      </c>
      <c r="L43" s="16" t="n"/>
      <c r="M43" s="16" t="n"/>
      <c r="N43" s="17">
        <f>IF($D43="","",IF($M43="Excused","No",IF(AND($G43="PT Modified",$L43="Received"),"No","Yes")))</f>
        <v/>
      </c>
      <c r="O43" s="16" t="n"/>
      <c r="P43" s="17">
        <f>IF(OR($B43="",N($I43)=0),"",MIN(N($I43),SUMIFS(nrMK_Min,nrMK_Link,$B43,nrMK_Credit,"Yes",nrMK_PID,$E43,nrMK_Type,"Classroom")))</f>
        <v/>
      </c>
      <c r="Q43" s="17">
        <f>IF(OR($B43="",N($J43)=0),"",MIN(N($J43),SUMIFS(nrMK_Sess,nrMK_Link,$B43,nrMK_Credit,"Yes",nrMK_PID,$E43,nrMK_Type,"PT")))</f>
        <v/>
      </c>
      <c r="R43" s="17">
        <f>IF(OR($B43="",$N43&lt;&gt;"Yes"),"",IF($K43="Yes",IF(N($J43)&gt;0,N($J43)-N($Q43),""),IF(N($I43)&gt;0,N($I43)-N($P43),"")))</f>
        <v/>
      </c>
      <c r="S43" s="17">
        <f>IF(OR($B43="",$R43=""),"",IF($R43&lt;=0,IF(IFERROR(_xlfn.MAXIFS(nrMK_Date,nrMK_Link,$B43,nrMK_Credit,"Yes",nrMK_PID,$E43),0)=0,"CLEARED (makeup date missing)","CLEARED "&amp;TEXT(_xlfn.MAXIFS(nrMK_Date,nrMK_Link,$B43,nrMK_Credit,"Yes",nrMK_PID,$E43),"mm/dd")),"OPEN"))</f>
        <v/>
      </c>
      <c r="T43" s="17">
        <f>IF($D43="","",IF($C43="","NO DATE",IF($G43="","NO EVENT TYPE",IF(AND($I43&lt;&gt;"",NOT(ISNUMBER($I43))),"MINUTES NOT A NUMBER",IF(AND($J43&lt;&gt;"",NOT(ISNUMBER($J43))),"SESSIONS NOT A NUMBER",IF(OR(N($I43)&lt;0,N($J43)&lt;0),"NEGATIVE MINUTES/SESSIONS",IF(AND($K43="Yes",N($I43)&gt;0),"MINUTES ON A PT EVENT - not counted (PT counts sessions)",IF(AND($K43="No",N($J43)&gt;0),"SESSIONS ON A CLASSROOM EVENT - not counted (classroom counts minutes)",IF(AND($N43="Yes",$K43="Yes",N($J43)=0),"COUNTED PT EVENT WITH NO SESSIONS - dropped from the PT cap",IF(AND($N43="Yes",$K43="No",N($I43)=0),"COUNTED EVENT WITH NO MINUTES - dropped from the classroom cap","OK"))))))))))</f>
        <v/>
      </c>
    </row>
    <row r="44">
      <c r="B44" s="17">
        <f>IF($D44="","","A"&amp;TEXT(ROW()-5,"000"))</f>
        <v/>
      </c>
      <c r="C44" s="18" t="n"/>
      <c r="D44" s="16" t="n"/>
      <c r="E44" s="17">
        <f>IF($D44="","",IFERROR(INDEX(rngCadetPIDs,MATCH($D44,rngCadetNames,0)),"?"))</f>
        <v/>
      </c>
      <c r="F44" s="17">
        <f>IF($E44="","",IFERROR(INDEX(nrCadetAgency,MATCH($E44,rngCadetPIDs,0)),""))</f>
        <v/>
      </c>
      <c r="G44" s="16" t="n"/>
      <c r="H44" s="16" t="n"/>
      <c r="I44" s="16" t="n"/>
      <c r="J44" s="16" t="n"/>
      <c r="K44" s="17">
        <f>IF($G44="","",IF(OR($G44="PT Missed",$G44="PT Modified",$G44="PT Refused"),"Yes","No"))</f>
        <v/>
      </c>
      <c r="L44" s="16" t="n"/>
      <c r="M44" s="16" t="n"/>
      <c r="N44" s="17">
        <f>IF($D44="","",IF($M44="Excused","No",IF(AND($G44="PT Modified",$L44="Received"),"No","Yes")))</f>
        <v/>
      </c>
      <c r="O44" s="16" t="n"/>
      <c r="P44" s="17">
        <f>IF(OR($B44="",N($I44)=0),"",MIN(N($I44),SUMIFS(nrMK_Min,nrMK_Link,$B44,nrMK_Credit,"Yes",nrMK_PID,$E44,nrMK_Type,"Classroom")))</f>
        <v/>
      </c>
      <c r="Q44" s="17">
        <f>IF(OR($B44="",N($J44)=0),"",MIN(N($J44),SUMIFS(nrMK_Sess,nrMK_Link,$B44,nrMK_Credit,"Yes",nrMK_PID,$E44,nrMK_Type,"PT")))</f>
        <v/>
      </c>
      <c r="R44" s="17">
        <f>IF(OR($B44="",$N44&lt;&gt;"Yes"),"",IF($K44="Yes",IF(N($J44)&gt;0,N($J44)-N($Q44),""),IF(N($I44)&gt;0,N($I44)-N($P44),"")))</f>
        <v/>
      </c>
      <c r="S44" s="17">
        <f>IF(OR($B44="",$R44=""),"",IF($R44&lt;=0,IF(IFERROR(_xlfn.MAXIFS(nrMK_Date,nrMK_Link,$B44,nrMK_Credit,"Yes",nrMK_PID,$E44),0)=0,"CLEARED (makeup date missing)","CLEARED "&amp;TEXT(_xlfn.MAXIFS(nrMK_Date,nrMK_Link,$B44,nrMK_Credit,"Yes",nrMK_PID,$E44),"mm/dd")),"OPEN"))</f>
        <v/>
      </c>
      <c r="T44" s="17">
        <f>IF($D44="","",IF($C44="","NO DATE",IF($G44="","NO EVENT TYPE",IF(AND($I44&lt;&gt;"",NOT(ISNUMBER($I44))),"MINUTES NOT A NUMBER",IF(AND($J44&lt;&gt;"",NOT(ISNUMBER($J44))),"SESSIONS NOT A NUMBER",IF(OR(N($I44)&lt;0,N($J44)&lt;0),"NEGATIVE MINUTES/SESSIONS",IF(AND($K44="Yes",N($I44)&gt;0),"MINUTES ON A PT EVENT - not counted (PT counts sessions)",IF(AND($K44="No",N($J44)&gt;0),"SESSIONS ON A CLASSROOM EVENT - not counted (classroom counts minutes)",IF(AND($N44="Yes",$K44="Yes",N($J44)=0),"COUNTED PT EVENT WITH NO SESSIONS - dropped from the PT cap",IF(AND($N44="Yes",$K44="No",N($I44)=0),"COUNTED EVENT WITH NO MINUTES - dropped from the classroom cap","OK"))))))))))</f>
        <v/>
      </c>
    </row>
    <row r="45">
      <c r="B45" s="17">
        <f>IF($D45="","","A"&amp;TEXT(ROW()-5,"000"))</f>
        <v/>
      </c>
      <c r="C45" s="18" t="n"/>
      <c r="D45" s="16" t="n"/>
      <c r="E45" s="17">
        <f>IF($D45="","",IFERROR(INDEX(rngCadetPIDs,MATCH($D45,rngCadetNames,0)),"?"))</f>
        <v/>
      </c>
      <c r="F45" s="17">
        <f>IF($E45="","",IFERROR(INDEX(nrCadetAgency,MATCH($E45,rngCadetPIDs,0)),""))</f>
        <v/>
      </c>
      <c r="G45" s="16" t="n"/>
      <c r="H45" s="16" t="n"/>
      <c r="I45" s="16" t="n"/>
      <c r="J45" s="16" t="n"/>
      <c r="K45" s="17">
        <f>IF($G45="","",IF(OR($G45="PT Missed",$G45="PT Modified",$G45="PT Refused"),"Yes","No"))</f>
        <v/>
      </c>
      <c r="L45" s="16" t="n"/>
      <c r="M45" s="16" t="n"/>
      <c r="N45" s="17">
        <f>IF($D45="","",IF($M45="Excused","No",IF(AND($G45="PT Modified",$L45="Received"),"No","Yes")))</f>
        <v/>
      </c>
      <c r="O45" s="16" t="n"/>
      <c r="P45" s="17">
        <f>IF(OR($B45="",N($I45)=0),"",MIN(N($I45),SUMIFS(nrMK_Min,nrMK_Link,$B45,nrMK_Credit,"Yes",nrMK_PID,$E45,nrMK_Type,"Classroom")))</f>
        <v/>
      </c>
      <c r="Q45" s="17">
        <f>IF(OR($B45="",N($J45)=0),"",MIN(N($J45),SUMIFS(nrMK_Sess,nrMK_Link,$B45,nrMK_Credit,"Yes",nrMK_PID,$E45,nrMK_Type,"PT")))</f>
        <v/>
      </c>
      <c r="R45" s="17">
        <f>IF(OR($B45="",$N45&lt;&gt;"Yes"),"",IF($K45="Yes",IF(N($J45)&gt;0,N($J45)-N($Q45),""),IF(N($I45)&gt;0,N($I45)-N($P45),"")))</f>
        <v/>
      </c>
      <c r="S45" s="17">
        <f>IF(OR($B45="",$R45=""),"",IF($R45&lt;=0,IF(IFERROR(_xlfn.MAXIFS(nrMK_Date,nrMK_Link,$B45,nrMK_Credit,"Yes",nrMK_PID,$E45),0)=0,"CLEARED (makeup date missing)","CLEARED "&amp;TEXT(_xlfn.MAXIFS(nrMK_Date,nrMK_Link,$B45,nrMK_Credit,"Yes",nrMK_PID,$E45),"mm/dd")),"OPEN"))</f>
        <v/>
      </c>
      <c r="T45" s="17">
        <f>IF($D45="","",IF($C45="","NO DATE",IF($G45="","NO EVENT TYPE",IF(AND($I45&lt;&gt;"",NOT(ISNUMBER($I45))),"MINUTES NOT A NUMBER",IF(AND($J45&lt;&gt;"",NOT(ISNUMBER($J45))),"SESSIONS NOT A NUMBER",IF(OR(N($I45)&lt;0,N($J45)&lt;0),"NEGATIVE MINUTES/SESSIONS",IF(AND($K45="Yes",N($I45)&gt;0),"MINUTES ON A PT EVENT - not counted (PT counts sessions)",IF(AND($K45="No",N($J45)&gt;0),"SESSIONS ON A CLASSROOM EVENT - not counted (classroom counts minutes)",IF(AND($N45="Yes",$K45="Yes",N($J45)=0),"COUNTED PT EVENT WITH NO SESSIONS - dropped from the PT cap",IF(AND($N45="Yes",$K45="No",N($I45)=0),"COUNTED EVENT WITH NO MINUTES - dropped from the classroom cap","OK"))))))))))</f>
        <v/>
      </c>
    </row>
    <row r="46">
      <c r="B46" s="17">
        <f>IF($D46="","","A"&amp;TEXT(ROW()-5,"000"))</f>
        <v/>
      </c>
      <c r="C46" s="18" t="n"/>
      <c r="D46" s="16" t="n"/>
      <c r="E46" s="17">
        <f>IF($D46="","",IFERROR(INDEX(rngCadetPIDs,MATCH($D46,rngCadetNames,0)),"?"))</f>
        <v/>
      </c>
      <c r="F46" s="17">
        <f>IF($E46="","",IFERROR(INDEX(nrCadetAgency,MATCH($E46,rngCadetPIDs,0)),""))</f>
        <v/>
      </c>
      <c r="G46" s="16" t="n"/>
      <c r="H46" s="16" t="n"/>
      <c r="I46" s="16" t="n"/>
      <c r="J46" s="16" t="n"/>
      <c r="K46" s="17">
        <f>IF($G46="","",IF(OR($G46="PT Missed",$G46="PT Modified",$G46="PT Refused"),"Yes","No"))</f>
        <v/>
      </c>
      <c r="L46" s="16" t="n"/>
      <c r="M46" s="16" t="n"/>
      <c r="N46" s="17">
        <f>IF($D46="","",IF($M46="Excused","No",IF(AND($G46="PT Modified",$L46="Received"),"No","Yes")))</f>
        <v/>
      </c>
      <c r="O46" s="16" t="n"/>
      <c r="P46" s="17">
        <f>IF(OR($B46="",N($I46)=0),"",MIN(N($I46),SUMIFS(nrMK_Min,nrMK_Link,$B46,nrMK_Credit,"Yes",nrMK_PID,$E46,nrMK_Type,"Classroom")))</f>
        <v/>
      </c>
      <c r="Q46" s="17">
        <f>IF(OR($B46="",N($J46)=0),"",MIN(N($J46),SUMIFS(nrMK_Sess,nrMK_Link,$B46,nrMK_Credit,"Yes",nrMK_PID,$E46,nrMK_Type,"PT")))</f>
        <v/>
      </c>
      <c r="R46" s="17">
        <f>IF(OR($B46="",$N46&lt;&gt;"Yes"),"",IF($K46="Yes",IF(N($J46)&gt;0,N($J46)-N($Q46),""),IF(N($I46)&gt;0,N($I46)-N($P46),"")))</f>
        <v/>
      </c>
      <c r="S46" s="17">
        <f>IF(OR($B46="",$R46=""),"",IF($R46&lt;=0,IF(IFERROR(_xlfn.MAXIFS(nrMK_Date,nrMK_Link,$B46,nrMK_Credit,"Yes",nrMK_PID,$E46),0)=0,"CLEARED (makeup date missing)","CLEARED "&amp;TEXT(_xlfn.MAXIFS(nrMK_Date,nrMK_Link,$B46,nrMK_Credit,"Yes",nrMK_PID,$E46),"mm/dd")),"OPEN"))</f>
        <v/>
      </c>
      <c r="T46" s="17">
        <f>IF($D46="","",IF($C46="","NO DATE",IF($G46="","NO EVENT TYPE",IF(AND($I46&lt;&gt;"",NOT(ISNUMBER($I46))),"MINUTES NOT A NUMBER",IF(AND($J46&lt;&gt;"",NOT(ISNUMBER($J46))),"SESSIONS NOT A NUMBER",IF(OR(N($I46)&lt;0,N($J46)&lt;0),"NEGATIVE MINUTES/SESSIONS",IF(AND($K46="Yes",N($I46)&gt;0),"MINUTES ON A PT EVENT - not counted (PT counts sessions)",IF(AND($K46="No",N($J46)&gt;0),"SESSIONS ON A CLASSROOM EVENT - not counted (classroom counts minutes)",IF(AND($N46="Yes",$K46="Yes",N($J46)=0),"COUNTED PT EVENT WITH NO SESSIONS - dropped from the PT cap",IF(AND($N46="Yes",$K46="No",N($I46)=0),"COUNTED EVENT WITH NO MINUTES - dropped from the classroom cap","OK"))))))))))</f>
        <v/>
      </c>
    </row>
    <row r="47">
      <c r="B47" s="17">
        <f>IF($D47="","","A"&amp;TEXT(ROW()-5,"000"))</f>
        <v/>
      </c>
      <c r="C47" s="18" t="n"/>
      <c r="D47" s="16" t="n"/>
      <c r="E47" s="17">
        <f>IF($D47="","",IFERROR(INDEX(rngCadetPIDs,MATCH($D47,rngCadetNames,0)),"?"))</f>
        <v/>
      </c>
      <c r="F47" s="17">
        <f>IF($E47="","",IFERROR(INDEX(nrCadetAgency,MATCH($E47,rngCadetPIDs,0)),""))</f>
        <v/>
      </c>
      <c r="G47" s="16" t="n"/>
      <c r="H47" s="16" t="n"/>
      <c r="I47" s="16" t="n"/>
      <c r="J47" s="16" t="n"/>
      <c r="K47" s="17">
        <f>IF($G47="","",IF(OR($G47="PT Missed",$G47="PT Modified",$G47="PT Refused"),"Yes","No"))</f>
        <v/>
      </c>
      <c r="L47" s="16" t="n"/>
      <c r="M47" s="16" t="n"/>
      <c r="N47" s="17">
        <f>IF($D47="","",IF($M47="Excused","No",IF(AND($G47="PT Modified",$L47="Received"),"No","Yes")))</f>
        <v/>
      </c>
      <c r="O47" s="16" t="n"/>
      <c r="P47" s="17">
        <f>IF(OR($B47="",N($I47)=0),"",MIN(N($I47),SUMIFS(nrMK_Min,nrMK_Link,$B47,nrMK_Credit,"Yes",nrMK_PID,$E47,nrMK_Type,"Classroom")))</f>
        <v/>
      </c>
      <c r="Q47" s="17">
        <f>IF(OR($B47="",N($J47)=0),"",MIN(N($J47),SUMIFS(nrMK_Sess,nrMK_Link,$B47,nrMK_Credit,"Yes",nrMK_PID,$E47,nrMK_Type,"PT")))</f>
        <v/>
      </c>
      <c r="R47" s="17">
        <f>IF(OR($B47="",$N47&lt;&gt;"Yes"),"",IF($K47="Yes",IF(N($J47)&gt;0,N($J47)-N($Q47),""),IF(N($I47)&gt;0,N($I47)-N($P47),"")))</f>
        <v/>
      </c>
      <c r="S47" s="17">
        <f>IF(OR($B47="",$R47=""),"",IF($R47&lt;=0,IF(IFERROR(_xlfn.MAXIFS(nrMK_Date,nrMK_Link,$B47,nrMK_Credit,"Yes",nrMK_PID,$E47),0)=0,"CLEARED (makeup date missing)","CLEARED "&amp;TEXT(_xlfn.MAXIFS(nrMK_Date,nrMK_Link,$B47,nrMK_Credit,"Yes",nrMK_PID,$E47),"mm/dd")),"OPEN"))</f>
        <v/>
      </c>
      <c r="T47" s="17">
        <f>IF($D47="","",IF($C47="","NO DATE",IF($G47="","NO EVENT TYPE",IF(AND($I47&lt;&gt;"",NOT(ISNUMBER($I47))),"MINUTES NOT A NUMBER",IF(AND($J47&lt;&gt;"",NOT(ISNUMBER($J47))),"SESSIONS NOT A NUMBER",IF(OR(N($I47)&lt;0,N($J47)&lt;0),"NEGATIVE MINUTES/SESSIONS",IF(AND($K47="Yes",N($I47)&gt;0),"MINUTES ON A PT EVENT - not counted (PT counts sessions)",IF(AND($K47="No",N($J47)&gt;0),"SESSIONS ON A CLASSROOM EVENT - not counted (classroom counts minutes)",IF(AND($N47="Yes",$K47="Yes",N($J47)=0),"COUNTED PT EVENT WITH NO SESSIONS - dropped from the PT cap",IF(AND($N47="Yes",$K47="No",N($I47)=0),"COUNTED EVENT WITH NO MINUTES - dropped from the classroom cap","OK"))))))))))</f>
        <v/>
      </c>
    </row>
    <row r="48">
      <c r="B48" s="17">
        <f>IF($D48="","","A"&amp;TEXT(ROW()-5,"000"))</f>
        <v/>
      </c>
      <c r="C48" s="18" t="n"/>
      <c r="D48" s="16" t="n"/>
      <c r="E48" s="17">
        <f>IF($D48="","",IFERROR(INDEX(rngCadetPIDs,MATCH($D48,rngCadetNames,0)),"?"))</f>
        <v/>
      </c>
      <c r="F48" s="17">
        <f>IF($E48="","",IFERROR(INDEX(nrCadetAgency,MATCH($E48,rngCadetPIDs,0)),""))</f>
        <v/>
      </c>
      <c r="G48" s="16" t="n"/>
      <c r="H48" s="16" t="n"/>
      <c r="I48" s="16" t="n"/>
      <c r="J48" s="16" t="n"/>
      <c r="K48" s="17">
        <f>IF($G48="","",IF(OR($G48="PT Missed",$G48="PT Modified",$G48="PT Refused"),"Yes","No"))</f>
        <v/>
      </c>
      <c r="L48" s="16" t="n"/>
      <c r="M48" s="16" t="n"/>
      <c r="N48" s="17">
        <f>IF($D48="","",IF($M48="Excused","No",IF(AND($G48="PT Modified",$L48="Received"),"No","Yes")))</f>
        <v/>
      </c>
      <c r="O48" s="16" t="n"/>
      <c r="P48" s="17">
        <f>IF(OR($B48="",N($I48)=0),"",MIN(N($I48),SUMIFS(nrMK_Min,nrMK_Link,$B48,nrMK_Credit,"Yes",nrMK_PID,$E48,nrMK_Type,"Classroom")))</f>
        <v/>
      </c>
      <c r="Q48" s="17">
        <f>IF(OR($B48="",N($J48)=0),"",MIN(N($J48),SUMIFS(nrMK_Sess,nrMK_Link,$B48,nrMK_Credit,"Yes",nrMK_PID,$E48,nrMK_Type,"PT")))</f>
        <v/>
      </c>
      <c r="R48" s="17">
        <f>IF(OR($B48="",$N48&lt;&gt;"Yes"),"",IF($K48="Yes",IF(N($J48)&gt;0,N($J48)-N($Q48),""),IF(N($I48)&gt;0,N($I48)-N($P48),"")))</f>
        <v/>
      </c>
      <c r="S48" s="17">
        <f>IF(OR($B48="",$R48=""),"",IF($R48&lt;=0,IF(IFERROR(_xlfn.MAXIFS(nrMK_Date,nrMK_Link,$B48,nrMK_Credit,"Yes",nrMK_PID,$E48),0)=0,"CLEARED (makeup date missing)","CLEARED "&amp;TEXT(_xlfn.MAXIFS(nrMK_Date,nrMK_Link,$B48,nrMK_Credit,"Yes",nrMK_PID,$E48),"mm/dd")),"OPEN"))</f>
        <v/>
      </c>
      <c r="T48" s="17">
        <f>IF($D48="","",IF($C48="","NO DATE",IF($G48="","NO EVENT TYPE",IF(AND($I48&lt;&gt;"",NOT(ISNUMBER($I48))),"MINUTES NOT A NUMBER",IF(AND($J48&lt;&gt;"",NOT(ISNUMBER($J48))),"SESSIONS NOT A NUMBER",IF(OR(N($I48)&lt;0,N($J48)&lt;0),"NEGATIVE MINUTES/SESSIONS",IF(AND($K48="Yes",N($I48)&gt;0),"MINUTES ON A PT EVENT - not counted (PT counts sessions)",IF(AND($K48="No",N($J48)&gt;0),"SESSIONS ON A CLASSROOM EVENT - not counted (classroom counts minutes)",IF(AND($N48="Yes",$K48="Yes",N($J48)=0),"COUNTED PT EVENT WITH NO SESSIONS - dropped from the PT cap",IF(AND($N48="Yes",$K48="No",N($I48)=0),"COUNTED EVENT WITH NO MINUTES - dropped from the classroom cap","OK"))))))))))</f>
        <v/>
      </c>
    </row>
    <row r="49">
      <c r="B49" s="17">
        <f>IF($D49="","","A"&amp;TEXT(ROW()-5,"000"))</f>
        <v/>
      </c>
      <c r="C49" s="18" t="n"/>
      <c r="D49" s="16" t="n"/>
      <c r="E49" s="17">
        <f>IF($D49="","",IFERROR(INDEX(rngCadetPIDs,MATCH($D49,rngCadetNames,0)),"?"))</f>
        <v/>
      </c>
      <c r="F49" s="17">
        <f>IF($E49="","",IFERROR(INDEX(nrCadetAgency,MATCH($E49,rngCadetPIDs,0)),""))</f>
        <v/>
      </c>
      <c r="G49" s="16" t="n"/>
      <c r="H49" s="16" t="n"/>
      <c r="I49" s="16" t="n"/>
      <c r="J49" s="16" t="n"/>
      <c r="K49" s="17">
        <f>IF($G49="","",IF(OR($G49="PT Missed",$G49="PT Modified",$G49="PT Refused"),"Yes","No"))</f>
        <v/>
      </c>
      <c r="L49" s="16" t="n"/>
      <c r="M49" s="16" t="n"/>
      <c r="N49" s="17">
        <f>IF($D49="","",IF($M49="Excused","No",IF(AND($G49="PT Modified",$L49="Received"),"No","Yes")))</f>
        <v/>
      </c>
      <c r="O49" s="16" t="n"/>
      <c r="P49" s="17">
        <f>IF(OR($B49="",N($I49)=0),"",MIN(N($I49),SUMIFS(nrMK_Min,nrMK_Link,$B49,nrMK_Credit,"Yes",nrMK_PID,$E49,nrMK_Type,"Classroom")))</f>
        <v/>
      </c>
      <c r="Q49" s="17">
        <f>IF(OR($B49="",N($J49)=0),"",MIN(N($J49),SUMIFS(nrMK_Sess,nrMK_Link,$B49,nrMK_Credit,"Yes",nrMK_PID,$E49,nrMK_Type,"PT")))</f>
        <v/>
      </c>
      <c r="R49" s="17">
        <f>IF(OR($B49="",$N49&lt;&gt;"Yes"),"",IF($K49="Yes",IF(N($J49)&gt;0,N($J49)-N($Q49),""),IF(N($I49)&gt;0,N($I49)-N($P49),"")))</f>
        <v/>
      </c>
      <c r="S49" s="17">
        <f>IF(OR($B49="",$R49=""),"",IF($R49&lt;=0,IF(IFERROR(_xlfn.MAXIFS(nrMK_Date,nrMK_Link,$B49,nrMK_Credit,"Yes",nrMK_PID,$E49),0)=0,"CLEARED (makeup date missing)","CLEARED "&amp;TEXT(_xlfn.MAXIFS(nrMK_Date,nrMK_Link,$B49,nrMK_Credit,"Yes",nrMK_PID,$E49),"mm/dd")),"OPEN"))</f>
        <v/>
      </c>
      <c r="T49" s="17">
        <f>IF($D49="","",IF($C49="","NO DATE",IF($G49="","NO EVENT TYPE",IF(AND($I49&lt;&gt;"",NOT(ISNUMBER($I49))),"MINUTES NOT A NUMBER",IF(AND($J49&lt;&gt;"",NOT(ISNUMBER($J49))),"SESSIONS NOT A NUMBER",IF(OR(N($I49)&lt;0,N($J49)&lt;0),"NEGATIVE MINUTES/SESSIONS",IF(AND($K49="Yes",N($I49)&gt;0),"MINUTES ON A PT EVENT - not counted (PT counts sessions)",IF(AND($K49="No",N($J49)&gt;0),"SESSIONS ON A CLASSROOM EVENT - not counted (classroom counts minutes)",IF(AND($N49="Yes",$K49="Yes",N($J49)=0),"COUNTED PT EVENT WITH NO SESSIONS - dropped from the PT cap",IF(AND($N49="Yes",$K49="No",N($I49)=0),"COUNTED EVENT WITH NO MINUTES - dropped from the classroom cap","OK"))))))))))</f>
        <v/>
      </c>
    </row>
    <row r="50">
      <c r="B50" s="17">
        <f>IF($D50="","","A"&amp;TEXT(ROW()-5,"000"))</f>
        <v/>
      </c>
      <c r="C50" s="18" t="n"/>
      <c r="D50" s="16" t="n"/>
      <c r="E50" s="17">
        <f>IF($D50="","",IFERROR(INDEX(rngCadetPIDs,MATCH($D50,rngCadetNames,0)),"?"))</f>
        <v/>
      </c>
      <c r="F50" s="17">
        <f>IF($E50="","",IFERROR(INDEX(nrCadetAgency,MATCH($E50,rngCadetPIDs,0)),""))</f>
        <v/>
      </c>
      <c r="G50" s="16" t="n"/>
      <c r="H50" s="16" t="n"/>
      <c r="I50" s="16" t="n"/>
      <c r="J50" s="16" t="n"/>
      <c r="K50" s="17">
        <f>IF($G50="","",IF(OR($G50="PT Missed",$G50="PT Modified",$G50="PT Refused"),"Yes","No"))</f>
        <v/>
      </c>
      <c r="L50" s="16" t="n"/>
      <c r="M50" s="16" t="n"/>
      <c r="N50" s="17">
        <f>IF($D50="","",IF($M50="Excused","No",IF(AND($G50="PT Modified",$L50="Received"),"No","Yes")))</f>
        <v/>
      </c>
      <c r="O50" s="16" t="n"/>
      <c r="P50" s="17">
        <f>IF(OR($B50="",N($I50)=0),"",MIN(N($I50),SUMIFS(nrMK_Min,nrMK_Link,$B50,nrMK_Credit,"Yes",nrMK_PID,$E50,nrMK_Type,"Classroom")))</f>
        <v/>
      </c>
      <c r="Q50" s="17">
        <f>IF(OR($B50="",N($J50)=0),"",MIN(N($J50),SUMIFS(nrMK_Sess,nrMK_Link,$B50,nrMK_Credit,"Yes",nrMK_PID,$E50,nrMK_Type,"PT")))</f>
        <v/>
      </c>
      <c r="R50" s="17">
        <f>IF(OR($B50="",$N50&lt;&gt;"Yes"),"",IF($K50="Yes",IF(N($J50)&gt;0,N($J50)-N($Q50),""),IF(N($I50)&gt;0,N($I50)-N($P50),"")))</f>
        <v/>
      </c>
      <c r="S50" s="17">
        <f>IF(OR($B50="",$R50=""),"",IF($R50&lt;=0,IF(IFERROR(_xlfn.MAXIFS(nrMK_Date,nrMK_Link,$B50,nrMK_Credit,"Yes",nrMK_PID,$E50),0)=0,"CLEARED (makeup date missing)","CLEARED "&amp;TEXT(_xlfn.MAXIFS(nrMK_Date,nrMK_Link,$B50,nrMK_Credit,"Yes",nrMK_PID,$E50),"mm/dd")),"OPEN"))</f>
        <v/>
      </c>
      <c r="T50" s="17">
        <f>IF($D50="","",IF($C50="","NO DATE",IF($G50="","NO EVENT TYPE",IF(AND($I50&lt;&gt;"",NOT(ISNUMBER($I50))),"MINUTES NOT A NUMBER",IF(AND($J50&lt;&gt;"",NOT(ISNUMBER($J50))),"SESSIONS NOT A NUMBER",IF(OR(N($I50)&lt;0,N($J50)&lt;0),"NEGATIVE MINUTES/SESSIONS",IF(AND($K50="Yes",N($I50)&gt;0),"MINUTES ON A PT EVENT - not counted (PT counts sessions)",IF(AND($K50="No",N($J50)&gt;0),"SESSIONS ON A CLASSROOM EVENT - not counted (classroom counts minutes)",IF(AND($N50="Yes",$K50="Yes",N($J50)=0),"COUNTED PT EVENT WITH NO SESSIONS - dropped from the PT cap",IF(AND($N50="Yes",$K50="No",N($I50)=0),"COUNTED EVENT WITH NO MINUTES - dropped from the classroom cap","OK"))))))))))</f>
        <v/>
      </c>
    </row>
    <row r="51">
      <c r="B51" s="17">
        <f>IF($D51="","","A"&amp;TEXT(ROW()-5,"000"))</f>
        <v/>
      </c>
      <c r="C51" s="18" t="n"/>
      <c r="D51" s="16" t="n"/>
      <c r="E51" s="17">
        <f>IF($D51="","",IFERROR(INDEX(rngCadetPIDs,MATCH($D51,rngCadetNames,0)),"?"))</f>
        <v/>
      </c>
      <c r="F51" s="17">
        <f>IF($E51="","",IFERROR(INDEX(nrCadetAgency,MATCH($E51,rngCadetPIDs,0)),""))</f>
        <v/>
      </c>
      <c r="G51" s="16" t="n"/>
      <c r="H51" s="16" t="n"/>
      <c r="I51" s="16" t="n"/>
      <c r="J51" s="16" t="n"/>
      <c r="K51" s="17">
        <f>IF($G51="","",IF(OR($G51="PT Missed",$G51="PT Modified",$G51="PT Refused"),"Yes","No"))</f>
        <v/>
      </c>
      <c r="L51" s="16" t="n"/>
      <c r="M51" s="16" t="n"/>
      <c r="N51" s="17">
        <f>IF($D51="","",IF($M51="Excused","No",IF(AND($G51="PT Modified",$L51="Received"),"No","Yes")))</f>
        <v/>
      </c>
      <c r="O51" s="16" t="n"/>
      <c r="P51" s="17">
        <f>IF(OR($B51="",N($I51)=0),"",MIN(N($I51),SUMIFS(nrMK_Min,nrMK_Link,$B51,nrMK_Credit,"Yes",nrMK_PID,$E51,nrMK_Type,"Classroom")))</f>
        <v/>
      </c>
      <c r="Q51" s="17">
        <f>IF(OR($B51="",N($J51)=0),"",MIN(N($J51),SUMIFS(nrMK_Sess,nrMK_Link,$B51,nrMK_Credit,"Yes",nrMK_PID,$E51,nrMK_Type,"PT")))</f>
        <v/>
      </c>
      <c r="R51" s="17">
        <f>IF(OR($B51="",$N51&lt;&gt;"Yes"),"",IF($K51="Yes",IF(N($J51)&gt;0,N($J51)-N($Q51),""),IF(N($I51)&gt;0,N($I51)-N($P51),"")))</f>
        <v/>
      </c>
      <c r="S51" s="17">
        <f>IF(OR($B51="",$R51=""),"",IF($R51&lt;=0,IF(IFERROR(_xlfn.MAXIFS(nrMK_Date,nrMK_Link,$B51,nrMK_Credit,"Yes",nrMK_PID,$E51),0)=0,"CLEARED (makeup date missing)","CLEARED "&amp;TEXT(_xlfn.MAXIFS(nrMK_Date,nrMK_Link,$B51,nrMK_Credit,"Yes",nrMK_PID,$E51),"mm/dd")),"OPEN"))</f>
        <v/>
      </c>
      <c r="T51" s="17">
        <f>IF($D51="","",IF($C51="","NO DATE",IF($G51="","NO EVENT TYPE",IF(AND($I51&lt;&gt;"",NOT(ISNUMBER($I51))),"MINUTES NOT A NUMBER",IF(AND($J51&lt;&gt;"",NOT(ISNUMBER($J51))),"SESSIONS NOT A NUMBER",IF(OR(N($I51)&lt;0,N($J51)&lt;0),"NEGATIVE MINUTES/SESSIONS",IF(AND($K51="Yes",N($I51)&gt;0),"MINUTES ON A PT EVENT - not counted (PT counts sessions)",IF(AND($K51="No",N($J51)&gt;0),"SESSIONS ON A CLASSROOM EVENT - not counted (classroom counts minutes)",IF(AND($N51="Yes",$K51="Yes",N($J51)=0),"COUNTED PT EVENT WITH NO SESSIONS - dropped from the PT cap",IF(AND($N51="Yes",$K51="No",N($I51)=0),"COUNTED EVENT WITH NO MINUTES - dropped from the classroom cap","OK"))))))))))</f>
        <v/>
      </c>
    </row>
    <row r="52">
      <c r="B52" s="17">
        <f>IF($D52="","","A"&amp;TEXT(ROW()-5,"000"))</f>
        <v/>
      </c>
      <c r="C52" s="18" t="n"/>
      <c r="D52" s="16" t="n"/>
      <c r="E52" s="17">
        <f>IF($D52="","",IFERROR(INDEX(rngCadetPIDs,MATCH($D52,rngCadetNames,0)),"?"))</f>
        <v/>
      </c>
      <c r="F52" s="17">
        <f>IF($E52="","",IFERROR(INDEX(nrCadetAgency,MATCH($E52,rngCadetPIDs,0)),""))</f>
        <v/>
      </c>
      <c r="G52" s="16" t="n"/>
      <c r="H52" s="16" t="n"/>
      <c r="I52" s="16" t="n"/>
      <c r="J52" s="16" t="n"/>
      <c r="K52" s="17">
        <f>IF($G52="","",IF(OR($G52="PT Missed",$G52="PT Modified",$G52="PT Refused"),"Yes","No"))</f>
        <v/>
      </c>
      <c r="L52" s="16" t="n"/>
      <c r="M52" s="16" t="n"/>
      <c r="N52" s="17">
        <f>IF($D52="","",IF($M52="Excused","No",IF(AND($G52="PT Modified",$L52="Received"),"No","Yes")))</f>
        <v/>
      </c>
      <c r="O52" s="16" t="n"/>
      <c r="P52" s="17">
        <f>IF(OR($B52="",N($I52)=0),"",MIN(N($I52),SUMIFS(nrMK_Min,nrMK_Link,$B52,nrMK_Credit,"Yes",nrMK_PID,$E52,nrMK_Type,"Classroom")))</f>
        <v/>
      </c>
      <c r="Q52" s="17">
        <f>IF(OR($B52="",N($J52)=0),"",MIN(N($J52),SUMIFS(nrMK_Sess,nrMK_Link,$B52,nrMK_Credit,"Yes",nrMK_PID,$E52,nrMK_Type,"PT")))</f>
        <v/>
      </c>
      <c r="R52" s="17">
        <f>IF(OR($B52="",$N52&lt;&gt;"Yes"),"",IF($K52="Yes",IF(N($J52)&gt;0,N($J52)-N($Q52),""),IF(N($I52)&gt;0,N($I52)-N($P52),"")))</f>
        <v/>
      </c>
      <c r="S52" s="17">
        <f>IF(OR($B52="",$R52=""),"",IF($R52&lt;=0,IF(IFERROR(_xlfn.MAXIFS(nrMK_Date,nrMK_Link,$B52,nrMK_Credit,"Yes",nrMK_PID,$E52),0)=0,"CLEARED (makeup date missing)","CLEARED "&amp;TEXT(_xlfn.MAXIFS(nrMK_Date,nrMK_Link,$B52,nrMK_Credit,"Yes",nrMK_PID,$E52),"mm/dd")),"OPEN"))</f>
        <v/>
      </c>
      <c r="T52" s="17">
        <f>IF($D52="","",IF($C52="","NO DATE",IF($G52="","NO EVENT TYPE",IF(AND($I52&lt;&gt;"",NOT(ISNUMBER($I52))),"MINUTES NOT A NUMBER",IF(AND($J52&lt;&gt;"",NOT(ISNUMBER($J52))),"SESSIONS NOT A NUMBER",IF(OR(N($I52)&lt;0,N($J52)&lt;0),"NEGATIVE MINUTES/SESSIONS",IF(AND($K52="Yes",N($I52)&gt;0),"MINUTES ON A PT EVENT - not counted (PT counts sessions)",IF(AND($K52="No",N($J52)&gt;0),"SESSIONS ON A CLASSROOM EVENT - not counted (classroom counts minutes)",IF(AND($N52="Yes",$K52="Yes",N($J52)=0),"COUNTED PT EVENT WITH NO SESSIONS - dropped from the PT cap",IF(AND($N52="Yes",$K52="No",N($I52)=0),"COUNTED EVENT WITH NO MINUTES - dropped from the classroom cap","OK"))))))))))</f>
        <v/>
      </c>
    </row>
    <row r="53">
      <c r="B53" s="17">
        <f>IF($D53="","","A"&amp;TEXT(ROW()-5,"000"))</f>
        <v/>
      </c>
      <c r="C53" s="18" t="n"/>
      <c r="D53" s="16" t="n"/>
      <c r="E53" s="17">
        <f>IF($D53="","",IFERROR(INDEX(rngCadetPIDs,MATCH($D53,rngCadetNames,0)),"?"))</f>
        <v/>
      </c>
      <c r="F53" s="17">
        <f>IF($E53="","",IFERROR(INDEX(nrCadetAgency,MATCH($E53,rngCadetPIDs,0)),""))</f>
        <v/>
      </c>
      <c r="G53" s="16" t="n"/>
      <c r="H53" s="16" t="n"/>
      <c r="I53" s="16" t="n"/>
      <c r="J53" s="16" t="n"/>
      <c r="K53" s="17">
        <f>IF($G53="","",IF(OR($G53="PT Missed",$G53="PT Modified",$G53="PT Refused"),"Yes","No"))</f>
        <v/>
      </c>
      <c r="L53" s="16" t="n"/>
      <c r="M53" s="16" t="n"/>
      <c r="N53" s="17">
        <f>IF($D53="","",IF($M53="Excused","No",IF(AND($G53="PT Modified",$L53="Received"),"No","Yes")))</f>
        <v/>
      </c>
      <c r="O53" s="16" t="n"/>
      <c r="P53" s="17">
        <f>IF(OR($B53="",N($I53)=0),"",MIN(N($I53),SUMIFS(nrMK_Min,nrMK_Link,$B53,nrMK_Credit,"Yes",nrMK_PID,$E53,nrMK_Type,"Classroom")))</f>
        <v/>
      </c>
      <c r="Q53" s="17">
        <f>IF(OR($B53="",N($J53)=0),"",MIN(N($J53),SUMIFS(nrMK_Sess,nrMK_Link,$B53,nrMK_Credit,"Yes",nrMK_PID,$E53,nrMK_Type,"PT")))</f>
        <v/>
      </c>
      <c r="R53" s="17">
        <f>IF(OR($B53="",$N53&lt;&gt;"Yes"),"",IF($K53="Yes",IF(N($J53)&gt;0,N($J53)-N($Q53),""),IF(N($I53)&gt;0,N($I53)-N($P53),"")))</f>
        <v/>
      </c>
      <c r="S53" s="17">
        <f>IF(OR($B53="",$R53=""),"",IF($R53&lt;=0,IF(IFERROR(_xlfn.MAXIFS(nrMK_Date,nrMK_Link,$B53,nrMK_Credit,"Yes",nrMK_PID,$E53),0)=0,"CLEARED (makeup date missing)","CLEARED "&amp;TEXT(_xlfn.MAXIFS(nrMK_Date,nrMK_Link,$B53,nrMK_Credit,"Yes",nrMK_PID,$E53),"mm/dd")),"OPEN"))</f>
        <v/>
      </c>
      <c r="T53" s="17">
        <f>IF($D53="","",IF($C53="","NO DATE",IF($G53="","NO EVENT TYPE",IF(AND($I53&lt;&gt;"",NOT(ISNUMBER($I53))),"MINUTES NOT A NUMBER",IF(AND($J53&lt;&gt;"",NOT(ISNUMBER($J53))),"SESSIONS NOT A NUMBER",IF(OR(N($I53)&lt;0,N($J53)&lt;0),"NEGATIVE MINUTES/SESSIONS",IF(AND($K53="Yes",N($I53)&gt;0),"MINUTES ON A PT EVENT - not counted (PT counts sessions)",IF(AND($K53="No",N($J53)&gt;0),"SESSIONS ON A CLASSROOM EVENT - not counted (classroom counts minutes)",IF(AND($N53="Yes",$K53="Yes",N($J53)=0),"COUNTED PT EVENT WITH NO SESSIONS - dropped from the PT cap",IF(AND($N53="Yes",$K53="No",N($I53)=0),"COUNTED EVENT WITH NO MINUTES - dropped from the classroom cap","OK"))))))))))</f>
        <v/>
      </c>
    </row>
    <row r="54">
      <c r="B54" s="17">
        <f>IF($D54="","","A"&amp;TEXT(ROW()-5,"000"))</f>
        <v/>
      </c>
      <c r="C54" s="18" t="n"/>
      <c r="D54" s="16" t="n"/>
      <c r="E54" s="17">
        <f>IF($D54="","",IFERROR(INDEX(rngCadetPIDs,MATCH($D54,rngCadetNames,0)),"?"))</f>
        <v/>
      </c>
      <c r="F54" s="17">
        <f>IF($E54="","",IFERROR(INDEX(nrCadetAgency,MATCH($E54,rngCadetPIDs,0)),""))</f>
        <v/>
      </c>
      <c r="G54" s="16" t="n"/>
      <c r="H54" s="16" t="n"/>
      <c r="I54" s="16" t="n"/>
      <c r="J54" s="16" t="n"/>
      <c r="K54" s="17">
        <f>IF($G54="","",IF(OR($G54="PT Missed",$G54="PT Modified",$G54="PT Refused"),"Yes","No"))</f>
        <v/>
      </c>
      <c r="L54" s="16" t="n"/>
      <c r="M54" s="16" t="n"/>
      <c r="N54" s="17">
        <f>IF($D54="","",IF($M54="Excused","No",IF(AND($G54="PT Modified",$L54="Received"),"No","Yes")))</f>
        <v/>
      </c>
      <c r="O54" s="16" t="n"/>
      <c r="P54" s="17">
        <f>IF(OR($B54="",N($I54)=0),"",MIN(N($I54),SUMIFS(nrMK_Min,nrMK_Link,$B54,nrMK_Credit,"Yes",nrMK_PID,$E54,nrMK_Type,"Classroom")))</f>
        <v/>
      </c>
      <c r="Q54" s="17">
        <f>IF(OR($B54="",N($J54)=0),"",MIN(N($J54),SUMIFS(nrMK_Sess,nrMK_Link,$B54,nrMK_Credit,"Yes",nrMK_PID,$E54,nrMK_Type,"PT")))</f>
        <v/>
      </c>
      <c r="R54" s="17">
        <f>IF(OR($B54="",$N54&lt;&gt;"Yes"),"",IF($K54="Yes",IF(N($J54)&gt;0,N($J54)-N($Q54),""),IF(N($I54)&gt;0,N($I54)-N($P54),"")))</f>
        <v/>
      </c>
      <c r="S54" s="17">
        <f>IF(OR($B54="",$R54=""),"",IF($R54&lt;=0,IF(IFERROR(_xlfn.MAXIFS(nrMK_Date,nrMK_Link,$B54,nrMK_Credit,"Yes",nrMK_PID,$E54),0)=0,"CLEARED (makeup date missing)","CLEARED "&amp;TEXT(_xlfn.MAXIFS(nrMK_Date,nrMK_Link,$B54,nrMK_Credit,"Yes",nrMK_PID,$E54),"mm/dd")),"OPEN"))</f>
        <v/>
      </c>
      <c r="T54" s="17">
        <f>IF($D54="","",IF($C54="","NO DATE",IF($G54="","NO EVENT TYPE",IF(AND($I54&lt;&gt;"",NOT(ISNUMBER($I54))),"MINUTES NOT A NUMBER",IF(AND($J54&lt;&gt;"",NOT(ISNUMBER($J54))),"SESSIONS NOT A NUMBER",IF(OR(N($I54)&lt;0,N($J54)&lt;0),"NEGATIVE MINUTES/SESSIONS",IF(AND($K54="Yes",N($I54)&gt;0),"MINUTES ON A PT EVENT - not counted (PT counts sessions)",IF(AND($K54="No",N($J54)&gt;0),"SESSIONS ON A CLASSROOM EVENT - not counted (classroom counts minutes)",IF(AND($N54="Yes",$K54="Yes",N($J54)=0),"COUNTED PT EVENT WITH NO SESSIONS - dropped from the PT cap",IF(AND($N54="Yes",$K54="No",N($I54)=0),"COUNTED EVENT WITH NO MINUTES - dropped from the classroom cap","OK"))))))))))</f>
        <v/>
      </c>
    </row>
    <row r="55">
      <c r="B55" s="17">
        <f>IF($D55="","","A"&amp;TEXT(ROW()-5,"000"))</f>
        <v/>
      </c>
      <c r="C55" s="18" t="n"/>
      <c r="D55" s="16" t="n"/>
      <c r="E55" s="17">
        <f>IF($D55="","",IFERROR(INDEX(rngCadetPIDs,MATCH($D55,rngCadetNames,0)),"?"))</f>
        <v/>
      </c>
      <c r="F55" s="17">
        <f>IF($E55="","",IFERROR(INDEX(nrCadetAgency,MATCH($E55,rngCadetPIDs,0)),""))</f>
        <v/>
      </c>
      <c r="G55" s="16" t="n"/>
      <c r="H55" s="16" t="n"/>
      <c r="I55" s="16" t="n"/>
      <c r="J55" s="16" t="n"/>
      <c r="K55" s="17">
        <f>IF($G55="","",IF(OR($G55="PT Missed",$G55="PT Modified",$G55="PT Refused"),"Yes","No"))</f>
        <v/>
      </c>
      <c r="L55" s="16" t="n"/>
      <c r="M55" s="16" t="n"/>
      <c r="N55" s="17">
        <f>IF($D55="","",IF($M55="Excused","No",IF(AND($G55="PT Modified",$L55="Received"),"No","Yes")))</f>
        <v/>
      </c>
      <c r="O55" s="16" t="n"/>
      <c r="P55" s="17">
        <f>IF(OR($B55="",N($I55)=0),"",MIN(N($I55),SUMIFS(nrMK_Min,nrMK_Link,$B55,nrMK_Credit,"Yes",nrMK_PID,$E55,nrMK_Type,"Classroom")))</f>
        <v/>
      </c>
      <c r="Q55" s="17">
        <f>IF(OR($B55="",N($J55)=0),"",MIN(N($J55),SUMIFS(nrMK_Sess,nrMK_Link,$B55,nrMK_Credit,"Yes",nrMK_PID,$E55,nrMK_Type,"PT")))</f>
        <v/>
      </c>
      <c r="R55" s="17">
        <f>IF(OR($B55="",$N55&lt;&gt;"Yes"),"",IF($K55="Yes",IF(N($J55)&gt;0,N($J55)-N($Q55),""),IF(N($I55)&gt;0,N($I55)-N($P55),"")))</f>
        <v/>
      </c>
      <c r="S55" s="17">
        <f>IF(OR($B55="",$R55=""),"",IF($R55&lt;=0,IF(IFERROR(_xlfn.MAXIFS(nrMK_Date,nrMK_Link,$B55,nrMK_Credit,"Yes",nrMK_PID,$E55),0)=0,"CLEARED (makeup date missing)","CLEARED "&amp;TEXT(_xlfn.MAXIFS(nrMK_Date,nrMK_Link,$B55,nrMK_Credit,"Yes",nrMK_PID,$E55),"mm/dd")),"OPEN"))</f>
        <v/>
      </c>
      <c r="T55" s="17">
        <f>IF($D55="","",IF($C55="","NO DATE",IF($G55="","NO EVENT TYPE",IF(AND($I55&lt;&gt;"",NOT(ISNUMBER($I55))),"MINUTES NOT A NUMBER",IF(AND($J55&lt;&gt;"",NOT(ISNUMBER($J55))),"SESSIONS NOT A NUMBER",IF(OR(N($I55)&lt;0,N($J55)&lt;0),"NEGATIVE MINUTES/SESSIONS",IF(AND($K55="Yes",N($I55)&gt;0),"MINUTES ON A PT EVENT - not counted (PT counts sessions)",IF(AND($K55="No",N($J55)&gt;0),"SESSIONS ON A CLASSROOM EVENT - not counted (classroom counts minutes)",IF(AND($N55="Yes",$K55="Yes",N($J55)=0),"COUNTED PT EVENT WITH NO SESSIONS - dropped from the PT cap",IF(AND($N55="Yes",$K55="No",N($I55)=0),"COUNTED EVENT WITH NO MINUTES - dropped from the classroom cap","OK"))))))))))</f>
        <v/>
      </c>
    </row>
    <row r="56">
      <c r="B56" s="17">
        <f>IF($D56="","","A"&amp;TEXT(ROW()-5,"000"))</f>
        <v/>
      </c>
      <c r="C56" s="18" t="n"/>
      <c r="D56" s="16" t="n"/>
      <c r="E56" s="17">
        <f>IF($D56="","",IFERROR(INDEX(rngCadetPIDs,MATCH($D56,rngCadetNames,0)),"?"))</f>
        <v/>
      </c>
      <c r="F56" s="17">
        <f>IF($E56="","",IFERROR(INDEX(nrCadetAgency,MATCH($E56,rngCadetPIDs,0)),""))</f>
        <v/>
      </c>
      <c r="G56" s="16" t="n"/>
      <c r="H56" s="16" t="n"/>
      <c r="I56" s="16" t="n"/>
      <c r="J56" s="16" t="n"/>
      <c r="K56" s="17">
        <f>IF($G56="","",IF(OR($G56="PT Missed",$G56="PT Modified",$G56="PT Refused"),"Yes","No"))</f>
        <v/>
      </c>
      <c r="L56" s="16" t="n"/>
      <c r="M56" s="16" t="n"/>
      <c r="N56" s="17">
        <f>IF($D56="","",IF($M56="Excused","No",IF(AND($G56="PT Modified",$L56="Received"),"No","Yes")))</f>
        <v/>
      </c>
      <c r="O56" s="16" t="n"/>
      <c r="P56" s="17">
        <f>IF(OR($B56="",N($I56)=0),"",MIN(N($I56),SUMIFS(nrMK_Min,nrMK_Link,$B56,nrMK_Credit,"Yes",nrMK_PID,$E56,nrMK_Type,"Classroom")))</f>
        <v/>
      </c>
      <c r="Q56" s="17">
        <f>IF(OR($B56="",N($J56)=0),"",MIN(N($J56),SUMIFS(nrMK_Sess,nrMK_Link,$B56,nrMK_Credit,"Yes",nrMK_PID,$E56,nrMK_Type,"PT")))</f>
        <v/>
      </c>
      <c r="R56" s="17">
        <f>IF(OR($B56="",$N56&lt;&gt;"Yes"),"",IF($K56="Yes",IF(N($J56)&gt;0,N($J56)-N($Q56),""),IF(N($I56)&gt;0,N($I56)-N($P56),"")))</f>
        <v/>
      </c>
      <c r="S56" s="17">
        <f>IF(OR($B56="",$R56=""),"",IF($R56&lt;=0,IF(IFERROR(_xlfn.MAXIFS(nrMK_Date,nrMK_Link,$B56,nrMK_Credit,"Yes",nrMK_PID,$E56),0)=0,"CLEARED (makeup date missing)","CLEARED "&amp;TEXT(_xlfn.MAXIFS(nrMK_Date,nrMK_Link,$B56,nrMK_Credit,"Yes",nrMK_PID,$E56),"mm/dd")),"OPEN"))</f>
        <v/>
      </c>
      <c r="T56" s="17">
        <f>IF($D56="","",IF($C56="","NO DATE",IF($G56="","NO EVENT TYPE",IF(AND($I56&lt;&gt;"",NOT(ISNUMBER($I56))),"MINUTES NOT A NUMBER",IF(AND($J56&lt;&gt;"",NOT(ISNUMBER($J56))),"SESSIONS NOT A NUMBER",IF(OR(N($I56)&lt;0,N($J56)&lt;0),"NEGATIVE MINUTES/SESSIONS",IF(AND($K56="Yes",N($I56)&gt;0),"MINUTES ON A PT EVENT - not counted (PT counts sessions)",IF(AND($K56="No",N($J56)&gt;0),"SESSIONS ON A CLASSROOM EVENT - not counted (classroom counts minutes)",IF(AND($N56="Yes",$K56="Yes",N($J56)=0),"COUNTED PT EVENT WITH NO SESSIONS - dropped from the PT cap",IF(AND($N56="Yes",$K56="No",N($I56)=0),"COUNTED EVENT WITH NO MINUTES - dropped from the classroom cap","OK"))))))))))</f>
        <v/>
      </c>
    </row>
    <row r="57">
      <c r="B57" s="17">
        <f>IF($D57="","","A"&amp;TEXT(ROW()-5,"000"))</f>
        <v/>
      </c>
      <c r="C57" s="18" t="n"/>
      <c r="D57" s="16" t="n"/>
      <c r="E57" s="17">
        <f>IF($D57="","",IFERROR(INDEX(rngCadetPIDs,MATCH($D57,rngCadetNames,0)),"?"))</f>
        <v/>
      </c>
      <c r="F57" s="17">
        <f>IF($E57="","",IFERROR(INDEX(nrCadetAgency,MATCH($E57,rngCadetPIDs,0)),""))</f>
        <v/>
      </c>
      <c r="G57" s="16" t="n"/>
      <c r="H57" s="16" t="n"/>
      <c r="I57" s="16" t="n"/>
      <c r="J57" s="16" t="n"/>
      <c r="K57" s="17">
        <f>IF($G57="","",IF(OR($G57="PT Missed",$G57="PT Modified",$G57="PT Refused"),"Yes","No"))</f>
        <v/>
      </c>
      <c r="L57" s="16" t="n"/>
      <c r="M57" s="16" t="n"/>
      <c r="N57" s="17">
        <f>IF($D57="","",IF($M57="Excused","No",IF(AND($G57="PT Modified",$L57="Received"),"No","Yes")))</f>
        <v/>
      </c>
      <c r="O57" s="16" t="n"/>
      <c r="P57" s="17">
        <f>IF(OR($B57="",N($I57)=0),"",MIN(N($I57),SUMIFS(nrMK_Min,nrMK_Link,$B57,nrMK_Credit,"Yes",nrMK_PID,$E57,nrMK_Type,"Classroom")))</f>
        <v/>
      </c>
      <c r="Q57" s="17">
        <f>IF(OR($B57="",N($J57)=0),"",MIN(N($J57),SUMIFS(nrMK_Sess,nrMK_Link,$B57,nrMK_Credit,"Yes",nrMK_PID,$E57,nrMK_Type,"PT")))</f>
        <v/>
      </c>
      <c r="R57" s="17">
        <f>IF(OR($B57="",$N57&lt;&gt;"Yes"),"",IF($K57="Yes",IF(N($J57)&gt;0,N($J57)-N($Q57),""),IF(N($I57)&gt;0,N($I57)-N($P57),"")))</f>
        <v/>
      </c>
      <c r="S57" s="17">
        <f>IF(OR($B57="",$R57=""),"",IF($R57&lt;=0,IF(IFERROR(_xlfn.MAXIFS(nrMK_Date,nrMK_Link,$B57,nrMK_Credit,"Yes",nrMK_PID,$E57),0)=0,"CLEARED (makeup date missing)","CLEARED "&amp;TEXT(_xlfn.MAXIFS(nrMK_Date,nrMK_Link,$B57,nrMK_Credit,"Yes",nrMK_PID,$E57),"mm/dd")),"OPEN"))</f>
        <v/>
      </c>
      <c r="T57" s="17">
        <f>IF($D57="","",IF($C57="","NO DATE",IF($G57="","NO EVENT TYPE",IF(AND($I57&lt;&gt;"",NOT(ISNUMBER($I57))),"MINUTES NOT A NUMBER",IF(AND($J57&lt;&gt;"",NOT(ISNUMBER($J57))),"SESSIONS NOT A NUMBER",IF(OR(N($I57)&lt;0,N($J57)&lt;0),"NEGATIVE MINUTES/SESSIONS",IF(AND($K57="Yes",N($I57)&gt;0),"MINUTES ON A PT EVENT - not counted (PT counts sessions)",IF(AND($K57="No",N($J57)&gt;0),"SESSIONS ON A CLASSROOM EVENT - not counted (classroom counts minutes)",IF(AND($N57="Yes",$K57="Yes",N($J57)=0),"COUNTED PT EVENT WITH NO SESSIONS - dropped from the PT cap",IF(AND($N57="Yes",$K57="No",N($I57)=0),"COUNTED EVENT WITH NO MINUTES - dropped from the classroom cap","OK"))))))))))</f>
        <v/>
      </c>
    </row>
    <row r="58">
      <c r="B58" s="17">
        <f>IF($D58="","","A"&amp;TEXT(ROW()-5,"000"))</f>
        <v/>
      </c>
      <c r="C58" s="18" t="n"/>
      <c r="D58" s="16" t="n"/>
      <c r="E58" s="17">
        <f>IF($D58="","",IFERROR(INDEX(rngCadetPIDs,MATCH($D58,rngCadetNames,0)),"?"))</f>
        <v/>
      </c>
      <c r="F58" s="17">
        <f>IF($E58="","",IFERROR(INDEX(nrCadetAgency,MATCH($E58,rngCadetPIDs,0)),""))</f>
        <v/>
      </c>
      <c r="G58" s="16" t="n"/>
      <c r="H58" s="16" t="n"/>
      <c r="I58" s="16" t="n"/>
      <c r="J58" s="16" t="n"/>
      <c r="K58" s="17">
        <f>IF($G58="","",IF(OR($G58="PT Missed",$G58="PT Modified",$G58="PT Refused"),"Yes","No"))</f>
        <v/>
      </c>
      <c r="L58" s="16" t="n"/>
      <c r="M58" s="16" t="n"/>
      <c r="N58" s="17">
        <f>IF($D58="","",IF($M58="Excused","No",IF(AND($G58="PT Modified",$L58="Received"),"No","Yes")))</f>
        <v/>
      </c>
      <c r="O58" s="16" t="n"/>
      <c r="P58" s="17">
        <f>IF(OR($B58="",N($I58)=0),"",MIN(N($I58),SUMIFS(nrMK_Min,nrMK_Link,$B58,nrMK_Credit,"Yes",nrMK_PID,$E58,nrMK_Type,"Classroom")))</f>
        <v/>
      </c>
      <c r="Q58" s="17">
        <f>IF(OR($B58="",N($J58)=0),"",MIN(N($J58),SUMIFS(nrMK_Sess,nrMK_Link,$B58,nrMK_Credit,"Yes",nrMK_PID,$E58,nrMK_Type,"PT")))</f>
        <v/>
      </c>
      <c r="R58" s="17">
        <f>IF(OR($B58="",$N58&lt;&gt;"Yes"),"",IF($K58="Yes",IF(N($J58)&gt;0,N($J58)-N($Q58),""),IF(N($I58)&gt;0,N($I58)-N($P58),"")))</f>
        <v/>
      </c>
      <c r="S58" s="17">
        <f>IF(OR($B58="",$R58=""),"",IF($R58&lt;=0,IF(IFERROR(_xlfn.MAXIFS(nrMK_Date,nrMK_Link,$B58,nrMK_Credit,"Yes",nrMK_PID,$E58),0)=0,"CLEARED (makeup date missing)","CLEARED "&amp;TEXT(_xlfn.MAXIFS(nrMK_Date,nrMK_Link,$B58,nrMK_Credit,"Yes",nrMK_PID,$E58),"mm/dd")),"OPEN"))</f>
        <v/>
      </c>
      <c r="T58" s="17">
        <f>IF($D58="","",IF($C58="","NO DATE",IF($G58="","NO EVENT TYPE",IF(AND($I58&lt;&gt;"",NOT(ISNUMBER($I58))),"MINUTES NOT A NUMBER",IF(AND($J58&lt;&gt;"",NOT(ISNUMBER($J58))),"SESSIONS NOT A NUMBER",IF(OR(N($I58)&lt;0,N($J58)&lt;0),"NEGATIVE MINUTES/SESSIONS",IF(AND($K58="Yes",N($I58)&gt;0),"MINUTES ON A PT EVENT - not counted (PT counts sessions)",IF(AND($K58="No",N($J58)&gt;0),"SESSIONS ON A CLASSROOM EVENT - not counted (classroom counts minutes)",IF(AND($N58="Yes",$K58="Yes",N($J58)=0),"COUNTED PT EVENT WITH NO SESSIONS - dropped from the PT cap",IF(AND($N58="Yes",$K58="No",N($I58)=0),"COUNTED EVENT WITH NO MINUTES - dropped from the classroom cap","OK"))))))))))</f>
        <v/>
      </c>
    </row>
    <row r="59">
      <c r="B59" s="17">
        <f>IF($D59="","","A"&amp;TEXT(ROW()-5,"000"))</f>
        <v/>
      </c>
      <c r="C59" s="18" t="n"/>
      <c r="D59" s="16" t="n"/>
      <c r="E59" s="17">
        <f>IF($D59="","",IFERROR(INDEX(rngCadetPIDs,MATCH($D59,rngCadetNames,0)),"?"))</f>
        <v/>
      </c>
      <c r="F59" s="17">
        <f>IF($E59="","",IFERROR(INDEX(nrCadetAgency,MATCH($E59,rngCadetPIDs,0)),""))</f>
        <v/>
      </c>
      <c r="G59" s="16" t="n"/>
      <c r="H59" s="16" t="n"/>
      <c r="I59" s="16" t="n"/>
      <c r="J59" s="16" t="n"/>
      <c r="K59" s="17">
        <f>IF($G59="","",IF(OR($G59="PT Missed",$G59="PT Modified",$G59="PT Refused"),"Yes","No"))</f>
        <v/>
      </c>
      <c r="L59" s="16" t="n"/>
      <c r="M59" s="16" t="n"/>
      <c r="N59" s="17">
        <f>IF($D59="","",IF($M59="Excused","No",IF(AND($G59="PT Modified",$L59="Received"),"No","Yes")))</f>
        <v/>
      </c>
      <c r="O59" s="16" t="n"/>
      <c r="P59" s="17">
        <f>IF(OR($B59="",N($I59)=0),"",MIN(N($I59),SUMIFS(nrMK_Min,nrMK_Link,$B59,nrMK_Credit,"Yes",nrMK_PID,$E59,nrMK_Type,"Classroom")))</f>
        <v/>
      </c>
      <c r="Q59" s="17">
        <f>IF(OR($B59="",N($J59)=0),"",MIN(N($J59),SUMIFS(nrMK_Sess,nrMK_Link,$B59,nrMK_Credit,"Yes",nrMK_PID,$E59,nrMK_Type,"PT")))</f>
        <v/>
      </c>
      <c r="R59" s="17">
        <f>IF(OR($B59="",$N59&lt;&gt;"Yes"),"",IF($K59="Yes",IF(N($J59)&gt;0,N($J59)-N($Q59),""),IF(N($I59)&gt;0,N($I59)-N($P59),"")))</f>
        <v/>
      </c>
      <c r="S59" s="17">
        <f>IF(OR($B59="",$R59=""),"",IF($R59&lt;=0,IF(IFERROR(_xlfn.MAXIFS(nrMK_Date,nrMK_Link,$B59,nrMK_Credit,"Yes",nrMK_PID,$E59),0)=0,"CLEARED (makeup date missing)","CLEARED "&amp;TEXT(_xlfn.MAXIFS(nrMK_Date,nrMK_Link,$B59,nrMK_Credit,"Yes",nrMK_PID,$E59),"mm/dd")),"OPEN"))</f>
        <v/>
      </c>
      <c r="T59" s="17">
        <f>IF($D59="","",IF($C59="","NO DATE",IF($G59="","NO EVENT TYPE",IF(AND($I59&lt;&gt;"",NOT(ISNUMBER($I59))),"MINUTES NOT A NUMBER",IF(AND($J59&lt;&gt;"",NOT(ISNUMBER($J59))),"SESSIONS NOT A NUMBER",IF(OR(N($I59)&lt;0,N($J59)&lt;0),"NEGATIVE MINUTES/SESSIONS",IF(AND($K59="Yes",N($I59)&gt;0),"MINUTES ON A PT EVENT - not counted (PT counts sessions)",IF(AND($K59="No",N($J59)&gt;0),"SESSIONS ON A CLASSROOM EVENT - not counted (classroom counts minutes)",IF(AND($N59="Yes",$K59="Yes",N($J59)=0),"COUNTED PT EVENT WITH NO SESSIONS - dropped from the PT cap",IF(AND($N59="Yes",$K59="No",N($I59)=0),"COUNTED EVENT WITH NO MINUTES - dropped from the classroom cap","OK"))))))))))</f>
        <v/>
      </c>
    </row>
    <row r="60">
      <c r="B60" s="17">
        <f>IF($D60="","","A"&amp;TEXT(ROW()-5,"000"))</f>
        <v/>
      </c>
      <c r="C60" s="18" t="n"/>
      <c r="D60" s="16" t="n"/>
      <c r="E60" s="17">
        <f>IF($D60="","",IFERROR(INDEX(rngCadetPIDs,MATCH($D60,rngCadetNames,0)),"?"))</f>
        <v/>
      </c>
      <c r="F60" s="17">
        <f>IF($E60="","",IFERROR(INDEX(nrCadetAgency,MATCH($E60,rngCadetPIDs,0)),""))</f>
        <v/>
      </c>
      <c r="G60" s="16" t="n"/>
      <c r="H60" s="16" t="n"/>
      <c r="I60" s="16" t="n"/>
      <c r="J60" s="16" t="n"/>
      <c r="K60" s="17">
        <f>IF($G60="","",IF(OR($G60="PT Missed",$G60="PT Modified",$G60="PT Refused"),"Yes","No"))</f>
        <v/>
      </c>
      <c r="L60" s="16" t="n"/>
      <c r="M60" s="16" t="n"/>
      <c r="N60" s="17">
        <f>IF($D60="","",IF($M60="Excused","No",IF(AND($G60="PT Modified",$L60="Received"),"No","Yes")))</f>
        <v/>
      </c>
      <c r="O60" s="16" t="n"/>
      <c r="P60" s="17">
        <f>IF(OR($B60="",N($I60)=0),"",MIN(N($I60),SUMIFS(nrMK_Min,nrMK_Link,$B60,nrMK_Credit,"Yes",nrMK_PID,$E60,nrMK_Type,"Classroom")))</f>
        <v/>
      </c>
      <c r="Q60" s="17">
        <f>IF(OR($B60="",N($J60)=0),"",MIN(N($J60),SUMIFS(nrMK_Sess,nrMK_Link,$B60,nrMK_Credit,"Yes",nrMK_PID,$E60,nrMK_Type,"PT")))</f>
        <v/>
      </c>
      <c r="R60" s="17">
        <f>IF(OR($B60="",$N60&lt;&gt;"Yes"),"",IF($K60="Yes",IF(N($J60)&gt;0,N($J60)-N($Q60),""),IF(N($I60)&gt;0,N($I60)-N($P60),"")))</f>
        <v/>
      </c>
      <c r="S60" s="17">
        <f>IF(OR($B60="",$R60=""),"",IF($R60&lt;=0,IF(IFERROR(_xlfn.MAXIFS(nrMK_Date,nrMK_Link,$B60,nrMK_Credit,"Yes",nrMK_PID,$E60),0)=0,"CLEARED (makeup date missing)","CLEARED "&amp;TEXT(_xlfn.MAXIFS(nrMK_Date,nrMK_Link,$B60,nrMK_Credit,"Yes",nrMK_PID,$E60),"mm/dd")),"OPEN"))</f>
        <v/>
      </c>
      <c r="T60" s="17">
        <f>IF($D60="","",IF($C60="","NO DATE",IF($G60="","NO EVENT TYPE",IF(AND($I60&lt;&gt;"",NOT(ISNUMBER($I60))),"MINUTES NOT A NUMBER",IF(AND($J60&lt;&gt;"",NOT(ISNUMBER($J60))),"SESSIONS NOT A NUMBER",IF(OR(N($I60)&lt;0,N($J60)&lt;0),"NEGATIVE MINUTES/SESSIONS",IF(AND($K60="Yes",N($I60)&gt;0),"MINUTES ON A PT EVENT - not counted (PT counts sessions)",IF(AND($K60="No",N($J60)&gt;0),"SESSIONS ON A CLASSROOM EVENT - not counted (classroom counts minutes)",IF(AND($N60="Yes",$K60="Yes",N($J60)=0),"COUNTED PT EVENT WITH NO SESSIONS - dropped from the PT cap",IF(AND($N60="Yes",$K60="No",N($I60)=0),"COUNTED EVENT WITH NO MINUTES - dropped from the classroom cap","OK"))))))))))</f>
        <v/>
      </c>
    </row>
    <row r="61">
      <c r="B61" s="17">
        <f>IF($D61="","","A"&amp;TEXT(ROW()-5,"000"))</f>
        <v/>
      </c>
      <c r="C61" s="18" t="n"/>
      <c r="D61" s="16" t="n"/>
      <c r="E61" s="17">
        <f>IF($D61="","",IFERROR(INDEX(rngCadetPIDs,MATCH($D61,rngCadetNames,0)),"?"))</f>
        <v/>
      </c>
      <c r="F61" s="17">
        <f>IF($E61="","",IFERROR(INDEX(nrCadetAgency,MATCH($E61,rngCadetPIDs,0)),""))</f>
        <v/>
      </c>
      <c r="G61" s="16" t="n"/>
      <c r="H61" s="16" t="n"/>
      <c r="I61" s="16" t="n"/>
      <c r="J61" s="16" t="n"/>
      <c r="K61" s="17">
        <f>IF($G61="","",IF(OR($G61="PT Missed",$G61="PT Modified",$G61="PT Refused"),"Yes","No"))</f>
        <v/>
      </c>
      <c r="L61" s="16" t="n"/>
      <c r="M61" s="16" t="n"/>
      <c r="N61" s="17">
        <f>IF($D61="","",IF($M61="Excused","No",IF(AND($G61="PT Modified",$L61="Received"),"No","Yes")))</f>
        <v/>
      </c>
      <c r="O61" s="16" t="n"/>
      <c r="P61" s="17">
        <f>IF(OR($B61="",N($I61)=0),"",MIN(N($I61),SUMIFS(nrMK_Min,nrMK_Link,$B61,nrMK_Credit,"Yes",nrMK_PID,$E61,nrMK_Type,"Classroom")))</f>
        <v/>
      </c>
      <c r="Q61" s="17">
        <f>IF(OR($B61="",N($J61)=0),"",MIN(N($J61),SUMIFS(nrMK_Sess,nrMK_Link,$B61,nrMK_Credit,"Yes",nrMK_PID,$E61,nrMK_Type,"PT")))</f>
        <v/>
      </c>
      <c r="R61" s="17">
        <f>IF(OR($B61="",$N61&lt;&gt;"Yes"),"",IF($K61="Yes",IF(N($J61)&gt;0,N($J61)-N($Q61),""),IF(N($I61)&gt;0,N($I61)-N($P61),"")))</f>
        <v/>
      </c>
      <c r="S61" s="17">
        <f>IF(OR($B61="",$R61=""),"",IF($R61&lt;=0,IF(IFERROR(_xlfn.MAXIFS(nrMK_Date,nrMK_Link,$B61,nrMK_Credit,"Yes",nrMK_PID,$E61),0)=0,"CLEARED (makeup date missing)","CLEARED "&amp;TEXT(_xlfn.MAXIFS(nrMK_Date,nrMK_Link,$B61,nrMK_Credit,"Yes",nrMK_PID,$E61),"mm/dd")),"OPEN"))</f>
        <v/>
      </c>
      <c r="T61" s="17">
        <f>IF($D61="","",IF($C61="","NO DATE",IF($G61="","NO EVENT TYPE",IF(AND($I61&lt;&gt;"",NOT(ISNUMBER($I61))),"MINUTES NOT A NUMBER",IF(AND($J61&lt;&gt;"",NOT(ISNUMBER($J61))),"SESSIONS NOT A NUMBER",IF(OR(N($I61)&lt;0,N($J61)&lt;0),"NEGATIVE MINUTES/SESSIONS",IF(AND($K61="Yes",N($I61)&gt;0),"MINUTES ON A PT EVENT - not counted (PT counts sessions)",IF(AND($K61="No",N($J61)&gt;0),"SESSIONS ON A CLASSROOM EVENT - not counted (classroom counts minutes)",IF(AND($N61="Yes",$K61="Yes",N($J61)=0),"COUNTED PT EVENT WITH NO SESSIONS - dropped from the PT cap",IF(AND($N61="Yes",$K61="No",N($I61)=0),"COUNTED EVENT WITH NO MINUTES - dropped from the classroom cap","OK"))))))))))</f>
        <v/>
      </c>
    </row>
    <row r="62">
      <c r="B62" s="17">
        <f>IF($D62="","","A"&amp;TEXT(ROW()-5,"000"))</f>
        <v/>
      </c>
      <c r="C62" s="18" t="n"/>
      <c r="D62" s="16" t="n"/>
      <c r="E62" s="17">
        <f>IF($D62="","",IFERROR(INDEX(rngCadetPIDs,MATCH($D62,rngCadetNames,0)),"?"))</f>
        <v/>
      </c>
      <c r="F62" s="17">
        <f>IF($E62="","",IFERROR(INDEX(nrCadetAgency,MATCH($E62,rngCadetPIDs,0)),""))</f>
        <v/>
      </c>
      <c r="G62" s="16" t="n"/>
      <c r="H62" s="16" t="n"/>
      <c r="I62" s="16" t="n"/>
      <c r="J62" s="16" t="n"/>
      <c r="K62" s="17">
        <f>IF($G62="","",IF(OR($G62="PT Missed",$G62="PT Modified",$G62="PT Refused"),"Yes","No"))</f>
        <v/>
      </c>
      <c r="L62" s="16" t="n"/>
      <c r="M62" s="16" t="n"/>
      <c r="N62" s="17">
        <f>IF($D62="","",IF($M62="Excused","No",IF(AND($G62="PT Modified",$L62="Received"),"No","Yes")))</f>
        <v/>
      </c>
      <c r="O62" s="16" t="n"/>
      <c r="P62" s="17">
        <f>IF(OR($B62="",N($I62)=0),"",MIN(N($I62),SUMIFS(nrMK_Min,nrMK_Link,$B62,nrMK_Credit,"Yes",nrMK_PID,$E62,nrMK_Type,"Classroom")))</f>
        <v/>
      </c>
      <c r="Q62" s="17">
        <f>IF(OR($B62="",N($J62)=0),"",MIN(N($J62),SUMIFS(nrMK_Sess,nrMK_Link,$B62,nrMK_Credit,"Yes",nrMK_PID,$E62,nrMK_Type,"PT")))</f>
        <v/>
      </c>
      <c r="R62" s="17">
        <f>IF(OR($B62="",$N62&lt;&gt;"Yes"),"",IF($K62="Yes",IF(N($J62)&gt;0,N($J62)-N($Q62),""),IF(N($I62)&gt;0,N($I62)-N($P62),"")))</f>
        <v/>
      </c>
      <c r="S62" s="17">
        <f>IF(OR($B62="",$R62=""),"",IF($R62&lt;=0,IF(IFERROR(_xlfn.MAXIFS(nrMK_Date,nrMK_Link,$B62,nrMK_Credit,"Yes",nrMK_PID,$E62),0)=0,"CLEARED (makeup date missing)","CLEARED "&amp;TEXT(_xlfn.MAXIFS(nrMK_Date,nrMK_Link,$B62,nrMK_Credit,"Yes",nrMK_PID,$E62),"mm/dd")),"OPEN"))</f>
        <v/>
      </c>
      <c r="T62" s="17">
        <f>IF($D62="","",IF($C62="","NO DATE",IF($G62="","NO EVENT TYPE",IF(AND($I62&lt;&gt;"",NOT(ISNUMBER($I62))),"MINUTES NOT A NUMBER",IF(AND($J62&lt;&gt;"",NOT(ISNUMBER($J62))),"SESSIONS NOT A NUMBER",IF(OR(N($I62)&lt;0,N($J62)&lt;0),"NEGATIVE MINUTES/SESSIONS",IF(AND($K62="Yes",N($I62)&gt;0),"MINUTES ON A PT EVENT - not counted (PT counts sessions)",IF(AND($K62="No",N($J62)&gt;0),"SESSIONS ON A CLASSROOM EVENT - not counted (classroom counts minutes)",IF(AND($N62="Yes",$K62="Yes",N($J62)=0),"COUNTED PT EVENT WITH NO SESSIONS - dropped from the PT cap",IF(AND($N62="Yes",$K62="No",N($I62)=0),"COUNTED EVENT WITH NO MINUTES - dropped from the classroom cap","OK"))))))))))</f>
        <v/>
      </c>
    </row>
    <row r="63">
      <c r="B63" s="17">
        <f>IF($D63="","","A"&amp;TEXT(ROW()-5,"000"))</f>
        <v/>
      </c>
      <c r="C63" s="18" t="n"/>
      <c r="D63" s="16" t="n"/>
      <c r="E63" s="17">
        <f>IF($D63="","",IFERROR(INDEX(rngCadetPIDs,MATCH($D63,rngCadetNames,0)),"?"))</f>
        <v/>
      </c>
      <c r="F63" s="17">
        <f>IF($E63="","",IFERROR(INDEX(nrCadetAgency,MATCH($E63,rngCadetPIDs,0)),""))</f>
        <v/>
      </c>
      <c r="G63" s="16" t="n"/>
      <c r="H63" s="16" t="n"/>
      <c r="I63" s="16" t="n"/>
      <c r="J63" s="16" t="n"/>
      <c r="K63" s="17">
        <f>IF($G63="","",IF(OR($G63="PT Missed",$G63="PT Modified",$G63="PT Refused"),"Yes","No"))</f>
        <v/>
      </c>
      <c r="L63" s="16" t="n"/>
      <c r="M63" s="16" t="n"/>
      <c r="N63" s="17">
        <f>IF($D63="","",IF($M63="Excused","No",IF(AND($G63="PT Modified",$L63="Received"),"No","Yes")))</f>
        <v/>
      </c>
      <c r="O63" s="16" t="n"/>
      <c r="P63" s="17">
        <f>IF(OR($B63="",N($I63)=0),"",MIN(N($I63),SUMIFS(nrMK_Min,nrMK_Link,$B63,nrMK_Credit,"Yes",nrMK_PID,$E63,nrMK_Type,"Classroom")))</f>
        <v/>
      </c>
      <c r="Q63" s="17">
        <f>IF(OR($B63="",N($J63)=0),"",MIN(N($J63),SUMIFS(nrMK_Sess,nrMK_Link,$B63,nrMK_Credit,"Yes",nrMK_PID,$E63,nrMK_Type,"PT")))</f>
        <v/>
      </c>
      <c r="R63" s="17">
        <f>IF(OR($B63="",$N63&lt;&gt;"Yes"),"",IF($K63="Yes",IF(N($J63)&gt;0,N($J63)-N($Q63),""),IF(N($I63)&gt;0,N($I63)-N($P63),"")))</f>
        <v/>
      </c>
      <c r="S63" s="17">
        <f>IF(OR($B63="",$R63=""),"",IF($R63&lt;=0,IF(IFERROR(_xlfn.MAXIFS(nrMK_Date,nrMK_Link,$B63,nrMK_Credit,"Yes",nrMK_PID,$E63),0)=0,"CLEARED (makeup date missing)","CLEARED "&amp;TEXT(_xlfn.MAXIFS(nrMK_Date,nrMK_Link,$B63,nrMK_Credit,"Yes",nrMK_PID,$E63),"mm/dd")),"OPEN"))</f>
        <v/>
      </c>
      <c r="T63" s="17">
        <f>IF($D63="","",IF($C63="","NO DATE",IF($G63="","NO EVENT TYPE",IF(AND($I63&lt;&gt;"",NOT(ISNUMBER($I63))),"MINUTES NOT A NUMBER",IF(AND($J63&lt;&gt;"",NOT(ISNUMBER($J63))),"SESSIONS NOT A NUMBER",IF(OR(N($I63)&lt;0,N($J63)&lt;0),"NEGATIVE MINUTES/SESSIONS",IF(AND($K63="Yes",N($I63)&gt;0),"MINUTES ON A PT EVENT - not counted (PT counts sessions)",IF(AND($K63="No",N($J63)&gt;0),"SESSIONS ON A CLASSROOM EVENT - not counted (classroom counts minutes)",IF(AND($N63="Yes",$K63="Yes",N($J63)=0),"COUNTED PT EVENT WITH NO SESSIONS - dropped from the PT cap",IF(AND($N63="Yes",$K63="No",N($I63)=0),"COUNTED EVENT WITH NO MINUTES - dropped from the classroom cap","OK"))))))))))</f>
        <v/>
      </c>
    </row>
    <row r="64">
      <c r="B64" s="17">
        <f>IF($D64="","","A"&amp;TEXT(ROW()-5,"000"))</f>
        <v/>
      </c>
      <c r="C64" s="18" t="n"/>
      <c r="D64" s="16" t="n"/>
      <c r="E64" s="17">
        <f>IF($D64="","",IFERROR(INDEX(rngCadetPIDs,MATCH($D64,rngCadetNames,0)),"?"))</f>
        <v/>
      </c>
      <c r="F64" s="17">
        <f>IF($E64="","",IFERROR(INDEX(nrCadetAgency,MATCH($E64,rngCadetPIDs,0)),""))</f>
        <v/>
      </c>
      <c r="G64" s="16" t="n"/>
      <c r="H64" s="16" t="n"/>
      <c r="I64" s="16" t="n"/>
      <c r="J64" s="16" t="n"/>
      <c r="K64" s="17">
        <f>IF($G64="","",IF(OR($G64="PT Missed",$G64="PT Modified",$G64="PT Refused"),"Yes","No"))</f>
        <v/>
      </c>
      <c r="L64" s="16" t="n"/>
      <c r="M64" s="16" t="n"/>
      <c r="N64" s="17">
        <f>IF($D64="","",IF($M64="Excused","No",IF(AND($G64="PT Modified",$L64="Received"),"No","Yes")))</f>
        <v/>
      </c>
      <c r="O64" s="16" t="n"/>
      <c r="P64" s="17">
        <f>IF(OR($B64="",N($I64)=0),"",MIN(N($I64),SUMIFS(nrMK_Min,nrMK_Link,$B64,nrMK_Credit,"Yes",nrMK_PID,$E64,nrMK_Type,"Classroom")))</f>
        <v/>
      </c>
      <c r="Q64" s="17">
        <f>IF(OR($B64="",N($J64)=0),"",MIN(N($J64),SUMIFS(nrMK_Sess,nrMK_Link,$B64,nrMK_Credit,"Yes",nrMK_PID,$E64,nrMK_Type,"PT")))</f>
        <v/>
      </c>
      <c r="R64" s="17">
        <f>IF(OR($B64="",$N64&lt;&gt;"Yes"),"",IF($K64="Yes",IF(N($J64)&gt;0,N($J64)-N($Q64),""),IF(N($I64)&gt;0,N($I64)-N($P64),"")))</f>
        <v/>
      </c>
      <c r="S64" s="17">
        <f>IF(OR($B64="",$R64=""),"",IF($R64&lt;=0,IF(IFERROR(_xlfn.MAXIFS(nrMK_Date,nrMK_Link,$B64,nrMK_Credit,"Yes",nrMK_PID,$E64),0)=0,"CLEARED (makeup date missing)","CLEARED "&amp;TEXT(_xlfn.MAXIFS(nrMK_Date,nrMK_Link,$B64,nrMK_Credit,"Yes",nrMK_PID,$E64),"mm/dd")),"OPEN"))</f>
        <v/>
      </c>
      <c r="T64" s="17">
        <f>IF($D64="","",IF($C64="","NO DATE",IF($G64="","NO EVENT TYPE",IF(AND($I64&lt;&gt;"",NOT(ISNUMBER($I64))),"MINUTES NOT A NUMBER",IF(AND($J64&lt;&gt;"",NOT(ISNUMBER($J64))),"SESSIONS NOT A NUMBER",IF(OR(N($I64)&lt;0,N($J64)&lt;0),"NEGATIVE MINUTES/SESSIONS",IF(AND($K64="Yes",N($I64)&gt;0),"MINUTES ON A PT EVENT - not counted (PT counts sessions)",IF(AND($K64="No",N($J64)&gt;0),"SESSIONS ON A CLASSROOM EVENT - not counted (classroom counts minutes)",IF(AND($N64="Yes",$K64="Yes",N($J64)=0),"COUNTED PT EVENT WITH NO SESSIONS - dropped from the PT cap",IF(AND($N64="Yes",$K64="No",N($I64)=0),"COUNTED EVENT WITH NO MINUTES - dropped from the classroom cap","OK"))))))))))</f>
        <v/>
      </c>
    </row>
    <row r="65">
      <c r="B65" s="17">
        <f>IF($D65="","","A"&amp;TEXT(ROW()-5,"000"))</f>
        <v/>
      </c>
      <c r="C65" s="18" t="n"/>
      <c r="D65" s="16" t="n"/>
      <c r="E65" s="17">
        <f>IF($D65="","",IFERROR(INDEX(rngCadetPIDs,MATCH($D65,rngCadetNames,0)),"?"))</f>
        <v/>
      </c>
      <c r="F65" s="17">
        <f>IF($E65="","",IFERROR(INDEX(nrCadetAgency,MATCH($E65,rngCadetPIDs,0)),""))</f>
        <v/>
      </c>
      <c r="G65" s="16" t="n"/>
      <c r="H65" s="16" t="n"/>
      <c r="I65" s="16" t="n"/>
      <c r="J65" s="16" t="n"/>
      <c r="K65" s="17">
        <f>IF($G65="","",IF(OR($G65="PT Missed",$G65="PT Modified",$G65="PT Refused"),"Yes","No"))</f>
        <v/>
      </c>
      <c r="L65" s="16" t="n"/>
      <c r="M65" s="16" t="n"/>
      <c r="N65" s="17">
        <f>IF($D65="","",IF($M65="Excused","No",IF(AND($G65="PT Modified",$L65="Received"),"No","Yes")))</f>
        <v/>
      </c>
      <c r="O65" s="16" t="n"/>
      <c r="P65" s="17">
        <f>IF(OR($B65="",N($I65)=0),"",MIN(N($I65),SUMIFS(nrMK_Min,nrMK_Link,$B65,nrMK_Credit,"Yes",nrMK_PID,$E65,nrMK_Type,"Classroom")))</f>
        <v/>
      </c>
      <c r="Q65" s="17">
        <f>IF(OR($B65="",N($J65)=0),"",MIN(N($J65),SUMIFS(nrMK_Sess,nrMK_Link,$B65,nrMK_Credit,"Yes",nrMK_PID,$E65,nrMK_Type,"PT")))</f>
        <v/>
      </c>
      <c r="R65" s="17">
        <f>IF(OR($B65="",$N65&lt;&gt;"Yes"),"",IF($K65="Yes",IF(N($J65)&gt;0,N($J65)-N($Q65),""),IF(N($I65)&gt;0,N($I65)-N($P65),"")))</f>
        <v/>
      </c>
      <c r="S65" s="17">
        <f>IF(OR($B65="",$R65=""),"",IF($R65&lt;=0,IF(IFERROR(_xlfn.MAXIFS(nrMK_Date,nrMK_Link,$B65,nrMK_Credit,"Yes",nrMK_PID,$E65),0)=0,"CLEARED (makeup date missing)","CLEARED "&amp;TEXT(_xlfn.MAXIFS(nrMK_Date,nrMK_Link,$B65,nrMK_Credit,"Yes",nrMK_PID,$E65),"mm/dd")),"OPEN"))</f>
        <v/>
      </c>
      <c r="T65" s="17">
        <f>IF($D65="","",IF($C65="","NO DATE",IF($G65="","NO EVENT TYPE",IF(AND($I65&lt;&gt;"",NOT(ISNUMBER($I65))),"MINUTES NOT A NUMBER",IF(AND($J65&lt;&gt;"",NOT(ISNUMBER($J65))),"SESSIONS NOT A NUMBER",IF(OR(N($I65)&lt;0,N($J65)&lt;0),"NEGATIVE MINUTES/SESSIONS",IF(AND($K65="Yes",N($I65)&gt;0),"MINUTES ON A PT EVENT - not counted (PT counts sessions)",IF(AND($K65="No",N($J65)&gt;0),"SESSIONS ON A CLASSROOM EVENT - not counted (classroom counts minutes)",IF(AND($N65="Yes",$K65="Yes",N($J65)=0),"COUNTED PT EVENT WITH NO SESSIONS - dropped from the PT cap",IF(AND($N65="Yes",$K65="No",N($I65)=0),"COUNTED EVENT WITH NO MINUTES - dropped from the classroom cap","OK"))))))))))</f>
        <v/>
      </c>
    </row>
    <row r="66">
      <c r="B66" s="17">
        <f>IF($D66="","","A"&amp;TEXT(ROW()-5,"000"))</f>
        <v/>
      </c>
      <c r="C66" s="18" t="n"/>
      <c r="D66" s="16" t="n"/>
      <c r="E66" s="17">
        <f>IF($D66="","",IFERROR(INDEX(rngCadetPIDs,MATCH($D66,rngCadetNames,0)),"?"))</f>
        <v/>
      </c>
      <c r="F66" s="17">
        <f>IF($E66="","",IFERROR(INDEX(nrCadetAgency,MATCH($E66,rngCadetPIDs,0)),""))</f>
        <v/>
      </c>
      <c r="G66" s="16" t="n"/>
      <c r="H66" s="16" t="n"/>
      <c r="I66" s="16" t="n"/>
      <c r="J66" s="16" t="n"/>
      <c r="K66" s="17">
        <f>IF($G66="","",IF(OR($G66="PT Missed",$G66="PT Modified",$G66="PT Refused"),"Yes","No"))</f>
        <v/>
      </c>
      <c r="L66" s="16" t="n"/>
      <c r="M66" s="16" t="n"/>
      <c r="N66" s="17">
        <f>IF($D66="","",IF($M66="Excused","No",IF(AND($G66="PT Modified",$L66="Received"),"No","Yes")))</f>
        <v/>
      </c>
      <c r="O66" s="16" t="n"/>
      <c r="P66" s="17">
        <f>IF(OR($B66="",N($I66)=0),"",MIN(N($I66),SUMIFS(nrMK_Min,nrMK_Link,$B66,nrMK_Credit,"Yes",nrMK_PID,$E66,nrMK_Type,"Classroom")))</f>
        <v/>
      </c>
      <c r="Q66" s="17">
        <f>IF(OR($B66="",N($J66)=0),"",MIN(N($J66),SUMIFS(nrMK_Sess,nrMK_Link,$B66,nrMK_Credit,"Yes",nrMK_PID,$E66,nrMK_Type,"PT")))</f>
        <v/>
      </c>
      <c r="R66" s="17">
        <f>IF(OR($B66="",$N66&lt;&gt;"Yes"),"",IF($K66="Yes",IF(N($J66)&gt;0,N($J66)-N($Q66),""),IF(N($I66)&gt;0,N($I66)-N($P66),"")))</f>
        <v/>
      </c>
      <c r="S66" s="17">
        <f>IF(OR($B66="",$R66=""),"",IF($R66&lt;=0,IF(IFERROR(_xlfn.MAXIFS(nrMK_Date,nrMK_Link,$B66,nrMK_Credit,"Yes",nrMK_PID,$E66),0)=0,"CLEARED (makeup date missing)","CLEARED "&amp;TEXT(_xlfn.MAXIFS(nrMK_Date,nrMK_Link,$B66,nrMK_Credit,"Yes",nrMK_PID,$E66),"mm/dd")),"OPEN"))</f>
        <v/>
      </c>
      <c r="T66" s="17">
        <f>IF($D66="","",IF($C66="","NO DATE",IF($G66="","NO EVENT TYPE",IF(AND($I66&lt;&gt;"",NOT(ISNUMBER($I66))),"MINUTES NOT A NUMBER",IF(AND($J66&lt;&gt;"",NOT(ISNUMBER($J66))),"SESSIONS NOT A NUMBER",IF(OR(N($I66)&lt;0,N($J66)&lt;0),"NEGATIVE MINUTES/SESSIONS",IF(AND($K66="Yes",N($I66)&gt;0),"MINUTES ON A PT EVENT - not counted (PT counts sessions)",IF(AND($K66="No",N($J66)&gt;0),"SESSIONS ON A CLASSROOM EVENT - not counted (classroom counts minutes)",IF(AND($N66="Yes",$K66="Yes",N($J66)=0),"COUNTED PT EVENT WITH NO SESSIONS - dropped from the PT cap",IF(AND($N66="Yes",$K66="No",N($I66)=0),"COUNTED EVENT WITH NO MINUTES - dropped from the classroom cap","OK"))))))))))</f>
        <v/>
      </c>
    </row>
    <row r="67">
      <c r="B67" s="17">
        <f>IF($D67="","","A"&amp;TEXT(ROW()-5,"000"))</f>
        <v/>
      </c>
      <c r="C67" s="18" t="n"/>
      <c r="D67" s="16" t="n"/>
      <c r="E67" s="17">
        <f>IF($D67="","",IFERROR(INDEX(rngCadetPIDs,MATCH($D67,rngCadetNames,0)),"?"))</f>
        <v/>
      </c>
      <c r="F67" s="17">
        <f>IF($E67="","",IFERROR(INDEX(nrCadetAgency,MATCH($E67,rngCadetPIDs,0)),""))</f>
        <v/>
      </c>
      <c r="G67" s="16" t="n"/>
      <c r="H67" s="16" t="n"/>
      <c r="I67" s="16" t="n"/>
      <c r="J67" s="16" t="n"/>
      <c r="K67" s="17">
        <f>IF($G67="","",IF(OR($G67="PT Missed",$G67="PT Modified",$G67="PT Refused"),"Yes","No"))</f>
        <v/>
      </c>
      <c r="L67" s="16" t="n"/>
      <c r="M67" s="16" t="n"/>
      <c r="N67" s="17">
        <f>IF($D67="","",IF($M67="Excused","No",IF(AND($G67="PT Modified",$L67="Received"),"No","Yes")))</f>
        <v/>
      </c>
      <c r="O67" s="16" t="n"/>
      <c r="P67" s="17">
        <f>IF(OR($B67="",N($I67)=0),"",MIN(N($I67),SUMIFS(nrMK_Min,nrMK_Link,$B67,nrMK_Credit,"Yes",nrMK_PID,$E67,nrMK_Type,"Classroom")))</f>
        <v/>
      </c>
      <c r="Q67" s="17">
        <f>IF(OR($B67="",N($J67)=0),"",MIN(N($J67),SUMIFS(nrMK_Sess,nrMK_Link,$B67,nrMK_Credit,"Yes",nrMK_PID,$E67,nrMK_Type,"PT")))</f>
        <v/>
      </c>
      <c r="R67" s="17">
        <f>IF(OR($B67="",$N67&lt;&gt;"Yes"),"",IF($K67="Yes",IF(N($J67)&gt;0,N($J67)-N($Q67),""),IF(N($I67)&gt;0,N($I67)-N($P67),"")))</f>
        <v/>
      </c>
      <c r="S67" s="17">
        <f>IF(OR($B67="",$R67=""),"",IF($R67&lt;=0,IF(IFERROR(_xlfn.MAXIFS(nrMK_Date,nrMK_Link,$B67,nrMK_Credit,"Yes",nrMK_PID,$E67),0)=0,"CLEARED (makeup date missing)","CLEARED "&amp;TEXT(_xlfn.MAXIFS(nrMK_Date,nrMK_Link,$B67,nrMK_Credit,"Yes",nrMK_PID,$E67),"mm/dd")),"OPEN"))</f>
        <v/>
      </c>
      <c r="T67" s="17">
        <f>IF($D67="","",IF($C67="","NO DATE",IF($G67="","NO EVENT TYPE",IF(AND($I67&lt;&gt;"",NOT(ISNUMBER($I67))),"MINUTES NOT A NUMBER",IF(AND($J67&lt;&gt;"",NOT(ISNUMBER($J67))),"SESSIONS NOT A NUMBER",IF(OR(N($I67)&lt;0,N($J67)&lt;0),"NEGATIVE MINUTES/SESSIONS",IF(AND($K67="Yes",N($I67)&gt;0),"MINUTES ON A PT EVENT - not counted (PT counts sessions)",IF(AND($K67="No",N($J67)&gt;0),"SESSIONS ON A CLASSROOM EVENT - not counted (classroom counts minutes)",IF(AND($N67="Yes",$K67="Yes",N($J67)=0),"COUNTED PT EVENT WITH NO SESSIONS - dropped from the PT cap",IF(AND($N67="Yes",$K67="No",N($I67)=0),"COUNTED EVENT WITH NO MINUTES - dropped from the classroom cap","OK"))))))))))</f>
        <v/>
      </c>
    </row>
    <row r="68">
      <c r="B68" s="17">
        <f>IF($D68="","","A"&amp;TEXT(ROW()-5,"000"))</f>
        <v/>
      </c>
      <c r="C68" s="18" t="n"/>
      <c r="D68" s="16" t="n"/>
      <c r="E68" s="17">
        <f>IF($D68="","",IFERROR(INDEX(rngCadetPIDs,MATCH($D68,rngCadetNames,0)),"?"))</f>
        <v/>
      </c>
      <c r="F68" s="17">
        <f>IF($E68="","",IFERROR(INDEX(nrCadetAgency,MATCH($E68,rngCadetPIDs,0)),""))</f>
        <v/>
      </c>
      <c r="G68" s="16" t="n"/>
      <c r="H68" s="16" t="n"/>
      <c r="I68" s="16" t="n"/>
      <c r="J68" s="16" t="n"/>
      <c r="K68" s="17">
        <f>IF($G68="","",IF(OR($G68="PT Missed",$G68="PT Modified",$G68="PT Refused"),"Yes","No"))</f>
        <v/>
      </c>
      <c r="L68" s="16" t="n"/>
      <c r="M68" s="16" t="n"/>
      <c r="N68" s="17">
        <f>IF($D68="","",IF($M68="Excused","No",IF(AND($G68="PT Modified",$L68="Received"),"No","Yes")))</f>
        <v/>
      </c>
      <c r="O68" s="16" t="n"/>
      <c r="P68" s="17">
        <f>IF(OR($B68="",N($I68)=0),"",MIN(N($I68),SUMIFS(nrMK_Min,nrMK_Link,$B68,nrMK_Credit,"Yes",nrMK_PID,$E68,nrMK_Type,"Classroom")))</f>
        <v/>
      </c>
      <c r="Q68" s="17">
        <f>IF(OR($B68="",N($J68)=0),"",MIN(N($J68),SUMIFS(nrMK_Sess,nrMK_Link,$B68,nrMK_Credit,"Yes",nrMK_PID,$E68,nrMK_Type,"PT")))</f>
        <v/>
      </c>
      <c r="R68" s="17">
        <f>IF(OR($B68="",$N68&lt;&gt;"Yes"),"",IF($K68="Yes",IF(N($J68)&gt;0,N($J68)-N($Q68),""),IF(N($I68)&gt;0,N($I68)-N($P68),"")))</f>
        <v/>
      </c>
      <c r="S68" s="17">
        <f>IF(OR($B68="",$R68=""),"",IF($R68&lt;=0,IF(IFERROR(_xlfn.MAXIFS(nrMK_Date,nrMK_Link,$B68,nrMK_Credit,"Yes",nrMK_PID,$E68),0)=0,"CLEARED (makeup date missing)","CLEARED "&amp;TEXT(_xlfn.MAXIFS(nrMK_Date,nrMK_Link,$B68,nrMK_Credit,"Yes",nrMK_PID,$E68),"mm/dd")),"OPEN"))</f>
        <v/>
      </c>
      <c r="T68" s="17">
        <f>IF($D68="","",IF($C68="","NO DATE",IF($G68="","NO EVENT TYPE",IF(AND($I68&lt;&gt;"",NOT(ISNUMBER($I68))),"MINUTES NOT A NUMBER",IF(AND($J68&lt;&gt;"",NOT(ISNUMBER($J68))),"SESSIONS NOT A NUMBER",IF(OR(N($I68)&lt;0,N($J68)&lt;0),"NEGATIVE MINUTES/SESSIONS",IF(AND($K68="Yes",N($I68)&gt;0),"MINUTES ON A PT EVENT - not counted (PT counts sessions)",IF(AND($K68="No",N($J68)&gt;0),"SESSIONS ON A CLASSROOM EVENT - not counted (classroom counts minutes)",IF(AND($N68="Yes",$K68="Yes",N($J68)=0),"COUNTED PT EVENT WITH NO SESSIONS - dropped from the PT cap",IF(AND($N68="Yes",$K68="No",N($I68)=0),"COUNTED EVENT WITH NO MINUTES - dropped from the classroom cap","OK"))))))))))</f>
        <v/>
      </c>
    </row>
    <row r="69">
      <c r="B69" s="17">
        <f>IF($D69="","","A"&amp;TEXT(ROW()-5,"000"))</f>
        <v/>
      </c>
      <c r="C69" s="18" t="n"/>
      <c r="D69" s="16" t="n"/>
      <c r="E69" s="17">
        <f>IF($D69="","",IFERROR(INDEX(rngCadetPIDs,MATCH($D69,rngCadetNames,0)),"?"))</f>
        <v/>
      </c>
      <c r="F69" s="17">
        <f>IF($E69="","",IFERROR(INDEX(nrCadetAgency,MATCH($E69,rngCadetPIDs,0)),""))</f>
        <v/>
      </c>
      <c r="G69" s="16" t="n"/>
      <c r="H69" s="16" t="n"/>
      <c r="I69" s="16" t="n"/>
      <c r="J69" s="16" t="n"/>
      <c r="K69" s="17">
        <f>IF($G69="","",IF(OR($G69="PT Missed",$G69="PT Modified",$G69="PT Refused"),"Yes","No"))</f>
        <v/>
      </c>
      <c r="L69" s="16" t="n"/>
      <c r="M69" s="16" t="n"/>
      <c r="N69" s="17">
        <f>IF($D69="","",IF($M69="Excused","No",IF(AND($G69="PT Modified",$L69="Received"),"No","Yes")))</f>
        <v/>
      </c>
      <c r="O69" s="16" t="n"/>
      <c r="P69" s="17">
        <f>IF(OR($B69="",N($I69)=0),"",MIN(N($I69),SUMIFS(nrMK_Min,nrMK_Link,$B69,nrMK_Credit,"Yes",nrMK_PID,$E69,nrMK_Type,"Classroom")))</f>
        <v/>
      </c>
      <c r="Q69" s="17">
        <f>IF(OR($B69="",N($J69)=0),"",MIN(N($J69),SUMIFS(nrMK_Sess,nrMK_Link,$B69,nrMK_Credit,"Yes",nrMK_PID,$E69,nrMK_Type,"PT")))</f>
        <v/>
      </c>
      <c r="R69" s="17">
        <f>IF(OR($B69="",$N69&lt;&gt;"Yes"),"",IF($K69="Yes",IF(N($J69)&gt;0,N($J69)-N($Q69),""),IF(N($I69)&gt;0,N($I69)-N($P69),"")))</f>
        <v/>
      </c>
      <c r="S69" s="17">
        <f>IF(OR($B69="",$R69=""),"",IF($R69&lt;=0,IF(IFERROR(_xlfn.MAXIFS(nrMK_Date,nrMK_Link,$B69,nrMK_Credit,"Yes",nrMK_PID,$E69),0)=0,"CLEARED (makeup date missing)","CLEARED "&amp;TEXT(_xlfn.MAXIFS(nrMK_Date,nrMK_Link,$B69,nrMK_Credit,"Yes",nrMK_PID,$E69),"mm/dd")),"OPEN"))</f>
        <v/>
      </c>
      <c r="T69" s="17">
        <f>IF($D69="","",IF($C69="","NO DATE",IF($G69="","NO EVENT TYPE",IF(AND($I69&lt;&gt;"",NOT(ISNUMBER($I69))),"MINUTES NOT A NUMBER",IF(AND($J69&lt;&gt;"",NOT(ISNUMBER($J69))),"SESSIONS NOT A NUMBER",IF(OR(N($I69)&lt;0,N($J69)&lt;0),"NEGATIVE MINUTES/SESSIONS",IF(AND($K69="Yes",N($I69)&gt;0),"MINUTES ON A PT EVENT - not counted (PT counts sessions)",IF(AND($K69="No",N($J69)&gt;0),"SESSIONS ON A CLASSROOM EVENT - not counted (classroom counts minutes)",IF(AND($N69="Yes",$K69="Yes",N($J69)=0),"COUNTED PT EVENT WITH NO SESSIONS - dropped from the PT cap",IF(AND($N69="Yes",$K69="No",N($I69)=0),"COUNTED EVENT WITH NO MINUTES - dropped from the classroom cap","OK"))))))))))</f>
        <v/>
      </c>
    </row>
    <row r="70">
      <c r="B70" s="17">
        <f>IF($D70="","","A"&amp;TEXT(ROW()-5,"000"))</f>
        <v/>
      </c>
      <c r="C70" s="18" t="n"/>
      <c r="D70" s="16" t="n"/>
      <c r="E70" s="17">
        <f>IF($D70="","",IFERROR(INDEX(rngCadetPIDs,MATCH($D70,rngCadetNames,0)),"?"))</f>
        <v/>
      </c>
      <c r="F70" s="17">
        <f>IF($E70="","",IFERROR(INDEX(nrCadetAgency,MATCH($E70,rngCadetPIDs,0)),""))</f>
        <v/>
      </c>
      <c r="G70" s="16" t="n"/>
      <c r="H70" s="16" t="n"/>
      <c r="I70" s="16" t="n"/>
      <c r="J70" s="16" t="n"/>
      <c r="K70" s="17">
        <f>IF($G70="","",IF(OR($G70="PT Missed",$G70="PT Modified",$G70="PT Refused"),"Yes","No"))</f>
        <v/>
      </c>
      <c r="L70" s="16" t="n"/>
      <c r="M70" s="16" t="n"/>
      <c r="N70" s="17">
        <f>IF($D70="","",IF($M70="Excused","No",IF(AND($G70="PT Modified",$L70="Received"),"No","Yes")))</f>
        <v/>
      </c>
      <c r="O70" s="16" t="n"/>
      <c r="P70" s="17">
        <f>IF(OR($B70="",N($I70)=0),"",MIN(N($I70),SUMIFS(nrMK_Min,nrMK_Link,$B70,nrMK_Credit,"Yes",nrMK_PID,$E70,nrMK_Type,"Classroom")))</f>
        <v/>
      </c>
      <c r="Q70" s="17">
        <f>IF(OR($B70="",N($J70)=0),"",MIN(N($J70),SUMIFS(nrMK_Sess,nrMK_Link,$B70,nrMK_Credit,"Yes",nrMK_PID,$E70,nrMK_Type,"PT")))</f>
        <v/>
      </c>
      <c r="R70" s="17">
        <f>IF(OR($B70="",$N70&lt;&gt;"Yes"),"",IF($K70="Yes",IF(N($J70)&gt;0,N($J70)-N($Q70),""),IF(N($I70)&gt;0,N($I70)-N($P70),"")))</f>
        <v/>
      </c>
      <c r="S70" s="17">
        <f>IF(OR($B70="",$R70=""),"",IF($R70&lt;=0,IF(IFERROR(_xlfn.MAXIFS(nrMK_Date,nrMK_Link,$B70,nrMK_Credit,"Yes",nrMK_PID,$E70),0)=0,"CLEARED (makeup date missing)","CLEARED "&amp;TEXT(_xlfn.MAXIFS(nrMK_Date,nrMK_Link,$B70,nrMK_Credit,"Yes",nrMK_PID,$E70),"mm/dd")),"OPEN"))</f>
        <v/>
      </c>
      <c r="T70" s="17">
        <f>IF($D70="","",IF($C70="","NO DATE",IF($G70="","NO EVENT TYPE",IF(AND($I70&lt;&gt;"",NOT(ISNUMBER($I70))),"MINUTES NOT A NUMBER",IF(AND($J70&lt;&gt;"",NOT(ISNUMBER($J70))),"SESSIONS NOT A NUMBER",IF(OR(N($I70)&lt;0,N($J70)&lt;0),"NEGATIVE MINUTES/SESSIONS",IF(AND($K70="Yes",N($I70)&gt;0),"MINUTES ON A PT EVENT - not counted (PT counts sessions)",IF(AND($K70="No",N($J70)&gt;0),"SESSIONS ON A CLASSROOM EVENT - not counted (classroom counts minutes)",IF(AND($N70="Yes",$K70="Yes",N($J70)=0),"COUNTED PT EVENT WITH NO SESSIONS - dropped from the PT cap",IF(AND($N70="Yes",$K70="No",N($I70)=0),"COUNTED EVENT WITH NO MINUTES - dropped from the classroom cap","OK"))))))))))</f>
        <v/>
      </c>
    </row>
    <row r="71">
      <c r="B71" s="17">
        <f>IF($D71="","","A"&amp;TEXT(ROW()-5,"000"))</f>
        <v/>
      </c>
      <c r="C71" s="18" t="n"/>
      <c r="D71" s="16" t="n"/>
      <c r="E71" s="17">
        <f>IF($D71="","",IFERROR(INDEX(rngCadetPIDs,MATCH($D71,rngCadetNames,0)),"?"))</f>
        <v/>
      </c>
      <c r="F71" s="17">
        <f>IF($E71="","",IFERROR(INDEX(nrCadetAgency,MATCH($E71,rngCadetPIDs,0)),""))</f>
        <v/>
      </c>
      <c r="G71" s="16" t="n"/>
      <c r="H71" s="16" t="n"/>
      <c r="I71" s="16" t="n"/>
      <c r="J71" s="16" t="n"/>
      <c r="K71" s="17">
        <f>IF($G71="","",IF(OR($G71="PT Missed",$G71="PT Modified",$G71="PT Refused"),"Yes","No"))</f>
        <v/>
      </c>
      <c r="L71" s="16" t="n"/>
      <c r="M71" s="16" t="n"/>
      <c r="N71" s="17">
        <f>IF($D71="","",IF($M71="Excused","No",IF(AND($G71="PT Modified",$L71="Received"),"No","Yes")))</f>
        <v/>
      </c>
      <c r="O71" s="16" t="n"/>
      <c r="P71" s="17">
        <f>IF(OR($B71="",N($I71)=0),"",MIN(N($I71),SUMIFS(nrMK_Min,nrMK_Link,$B71,nrMK_Credit,"Yes",nrMK_PID,$E71,nrMK_Type,"Classroom")))</f>
        <v/>
      </c>
      <c r="Q71" s="17">
        <f>IF(OR($B71="",N($J71)=0),"",MIN(N($J71),SUMIFS(nrMK_Sess,nrMK_Link,$B71,nrMK_Credit,"Yes",nrMK_PID,$E71,nrMK_Type,"PT")))</f>
        <v/>
      </c>
      <c r="R71" s="17">
        <f>IF(OR($B71="",$N71&lt;&gt;"Yes"),"",IF($K71="Yes",IF(N($J71)&gt;0,N($J71)-N($Q71),""),IF(N($I71)&gt;0,N($I71)-N($P71),"")))</f>
        <v/>
      </c>
      <c r="S71" s="17">
        <f>IF(OR($B71="",$R71=""),"",IF($R71&lt;=0,IF(IFERROR(_xlfn.MAXIFS(nrMK_Date,nrMK_Link,$B71,nrMK_Credit,"Yes",nrMK_PID,$E71),0)=0,"CLEARED (makeup date missing)","CLEARED "&amp;TEXT(_xlfn.MAXIFS(nrMK_Date,nrMK_Link,$B71,nrMK_Credit,"Yes",nrMK_PID,$E71),"mm/dd")),"OPEN"))</f>
        <v/>
      </c>
      <c r="T71" s="17">
        <f>IF($D71="","",IF($C71="","NO DATE",IF($G71="","NO EVENT TYPE",IF(AND($I71&lt;&gt;"",NOT(ISNUMBER($I71))),"MINUTES NOT A NUMBER",IF(AND($J71&lt;&gt;"",NOT(ISNUMBER($J71))),"SESSIONS NOT A NUMBER",IF(OR(N($I71)&lt;0,N($J71)&lt;0),"NEGATIVE MINUTES/SESSIONS",IF(AND($K71="Yes",N($I71)&gt;0),"MINUTES ON A PT EVENT - not counted (PT counts sessions)",IF(AND($K71="No",N($J71)&gt;0),"SESSIONS ON A CLASSROOM EVENT - not counted (classroom counts minutes)",IF(AND($N71="Yes",$K71="Yes",N($J71)=0),"COUNTED PT EVENT WITH NO SESSIONS - dropped from the PT cap",IF(AND($N71="Yes",$K71="No",N($I71)=0),"COUNTED EVENT WITH NO MINUTES - dropped from the classroom cap","OK"))))))))))</f>
        <v/>
      </c>
    </row>
    <row r="72">
      <c r="B72" s="17">
        <f>IF($D72="","","A"&amp;TEXT(ROW()-5,"000"))</f>
        <v/>
      </c>
      <c r="C72" s="18" t="n"/>
      <c r="D72" s="16" t="n"/>
      <c r="E72" s="17">
        <f>IF($D72="","",IFERROR(INDEX(rngCadetPIDs,MATCH($D72,rngCadetNames,0)),"?"))</f>
        <v/>
      </c>
      <c r="F72" s="17">
        <f>IF($E72="","",IFERROR(INDEX(nrCadetAgency,MATCH($E72,rngCadetPIDs,0)),""))</f>
        <v/>
      </c>
      <c r="G72" s="16" t="n"/>
      <c r="H72" s="16" t="n"/>
      <c r="I72" s="16" t="n"/>
      <c r="J72" s="16" t="n"/>
      <c r="K72" s="17">
        <f>IF($G72="","",IF(OR($G72="PT Missed",$G72="PT Modified",$G72="PT Refused"),"Yes","No"))</f>
        <v/>
      </c>
      <c r="L72" s="16" t="n"/>
      <c r="M72" s="16" t="n"/>
      <c r="N72" s="17">
        <f>IF($D72="","",IF($M72="Excused","No",IF(AND($G72="PT Modified",$L72="Received"),"No","Yes")))</f>
        <v/>
      </c>
      <c r="O72" s="16" t="n"/>
      <c r="P72" s="17">
        <f>IF(OR($B72="",N($I72)=0),"",MIN(N($I72),SUMIFS(nrMK_Min,nrMK_Link,$B72,nrMK_Credit,"Yes",nrMK_PID,$E72,nrMK_Type,"Classroom")))</f>
        <v/>
      </c>
      <c r="Q72" s="17">
        <f>IF(OR($B72="",N($J72)=0),"",MIN(N($J72),SUMIFS(nrMK_Sess,nrMK_Link,$B72,nrMK_Credit,"Yes",nrMK_PID,$E72,nrMK_Type,"PT")))</f>
        <v/>
      </c>
      <c r="R72" s="17">
        <f>IF(OR($B72="",$N72&lt;&gt;"Yes"),"",IF($K72="Yes",IF(N($J72)&gt;0,N($J72)-N($Q72),""),IF(N($I72)&gt;0,N($I72)-N($P72),"")))</f>
        <v/>
      </c>
      <c r="S72" s="17">
        <f>IF(OR($B72="",$R72=""),"",IF($R72&lt;=0,IF(IFERROR(_xlfn.MAXIFS(nrMK_Date,nrMK_Link,$B72,nrMK_Credit,"Yes",nrMK_PID,$E72),0)=0,"CLEARED (makeup date missing)","CLEARED "&amp;TEXT(_xlfn.MAXIFS(nrMK_Date,nrMK_Link,$B72,nrMK_Credit,"Yes",nrMK_PID,$E72),"mm/dd")),"OPEN"))</f>
        <v/>
      </c>
      <c r="T72" s="17">
        <f>IF($D72="","",IF($C72="","NO DATE",IF($G72="","NO EVENT TYPE",IF(AND($I72&lt;&gt;"",NOT(ISNUMBER($I72))),"MINUTES NOT A NUMBER",IF(AND($J72&lt;&gt;"",NOT(ISNUMBER($J72))),"SESSIONS NOT A NUMBER",IF(OR(N($I72)&lt;0,N($J72)&lt;0),"NEGATIVE MINUTES/SESSIONS",IF(AND($K72="Yes",N($I72)&gt;0),"MINUTES ON A PT EVENT - not counted (PT counts sessions)",IF(AND($K72="No",N($J72)&gt;0),"SESSIONS ON A CLASSROOM EVENT - not counted (classroom counts minutes)",IF(AND($N72="Yes",$K72="Yes",N($J72)=0),"COUNTED PT EVENT WITH NO SESSIONS - dropped from the PT cap",IF(AND($N72="Yes",$K72="No",N($I72)=0),"COUNTED EVENT WITH NO MINUTES - dropped from the classroom cap","OK"))))))))))</f>
        <v/>
      </c>
    </row>
    <row r="73">
      <c r="B73" s="17">
        <f>IF($D73="","","A"&amp;TEXT(ROW()-5,"000"))</f>
        <v/>
      </c>
      <c r="C73" s="18" t="n"/>
      <c r="D73" s="16" t="n"/>
      <c r="E73" s="17">
        <f>IF($D73="","",IFERROR(INDEX(rngCadetPIDs,MATCH($D73,rngCadetNames,0)),"?"))</f>
        <v/>
      </c>
      <c r="F73" s="17">
        <f>IF($E73="","",IFERROR(INDEX(nrCadetAgency,MATCH($E73,rngCadetPIDs,0)),""))</f>
        <v/>
      </c>
      <c r="G73" s="16" t="n"/>
      <c r="H73" s="16" t="n"/>
      <c r="I73" s="16" t="n"/>
      <c r="J73" s="16" t="n"/>
      <c r="K73" s="17">
        <f>IF($G73="","",IF(OR($G73="PT Missed",$G73="PT Modified",$G73="PT Refused"),"Yes","No"))</f>
        <v/>
      </c>
      <c r="L73" s="16" t="n"/>
      <c r="M73" s="16" t="n"/>
      <c r="N73" s="17">
        <f>IF($D73="","",IF($M73="Excused","No",IF(AND($G73="PT Modified",$L73="Received"),"No","Yes")))</f>
        <v/>
      </c>
      <c r="O73" s="16" t="n"/>
      <c r="P73" s="17">
        <f>IF(OR($B73="",N($I73)=0),"",MIN(N($I73),SUMIFS(nrMK_Min,nrMK_Link,$B73,nrMK_Credit,"Yes",nrMK_PID,$E73,nrMK_Type,"Classroom")))</f>
        <v/>
      </c>
      <c r="Q73" s="17">
        <f>IF(OR($B73="",N($J73)=0),"",MIN(N($J73),SUMIFS(nrMK_Sess,nrMK_Link,$B73,nrMK_Credit,"Yes",nrMK_PID,$E73,nrMK_Type,"PT")))</f>
        <v/>
      </c>
      <c r="R73" s="17">
        <f>IF(OR($B73="",$N73&lt;&gt;"Yes"),"",IF($K73="Yes",IF(N($J73)&gt;0,N($J73)-N($Q73),""),IF(N($I73)&gt;0,N($I73)-N($P73),"")))</f>
        <v/>
      </c>
      <c r="S73" s="17">
        <f>IF(OR($B73="",$R73=""),"",IF($R73&lt;=0,IF(IFERROR(_xlfn.MAXIFS(nrMK_Date,nrMK_Link,$B73,nrMK_Credit,"Yes",nrMK_PID,$E73),0)=0,"CLEARED (makeup date missing)","CLEARED "&amp;TEXT(_xlfn.MAXIFS(nrMK_Date,nrMK_Link,$B73,nrMK_Credit,"Yes",nrMK_PID,$E73),"mm/dd")),"OPEN"))</f>
        <v/>
      </c>
      <c r="T73" s="17">
        <f>IF($D73="","",IF($C73="","NO DATE",IF($G73="","NO EVENT TYPE",IF(AND($I73&lt;&gt;"",NOT(ISNUMBER($I73))),"MINUTES NOT A NUMBER",IF(AND($J73&lt;&gt;"",NOT(ISNUMBER($J73))),"SESSIONS NOT A NUMBER",IF(OR(N($I73)&lt;0,N($J73)&lt;0),"NEGATIVE MINUTES/SESSIONS",IF(AND($K73="Yes",N($I73)&gt;0),"MINUTES ON A PT EVENT - not counted (PT counts sessions)",IF(AND($K73="No",N($J73)&gt;0),"SESSIONS ON A CLASSROOM EVENT - not counted (classroom counts minutes)",IF(AND($N73="Yes",$K73="Yes",N($J73)=0),"COUNTED PT EVENT WITH NO SESSIONS - dropped from the PT cap",IF(AND($N73="Yes",$K73="No",N($I73)=0),"COUNTED EVENT WITH NO MINUTES - dropped from the classroom cap","OK"))))))))))</f>
        <v/>
      </c>
    </row>
    <row r="74">
      <c r="B74" s="17">
        <f>IF($D74="","","A"&amp;TEXT(ROW()-5,"000"))</f>
        <v/>
      </c>
      <c r="C74" s="18" t="n"/>
      <c r="D74" s="16" t="n"/>
      <c r="E74" s="17">
        <f>IF($D74="","",IFERROR(INDEX(rngCadetPIDs,MATCH($D74,rngCadetNames,0)),"?"))</f>
        <v/>
      </c>
      <c r="F74" s="17">
        <f>IF($E74="","",IFERROR(INDEX(nrCadetAgency,MATCH($E74,rngCadetPIDs,0)),""))</f>
        <v/>
      </c>
      <c r="G74" s="16" t="n"/>
      <c r="H74" s="16" t="n"/>
      <c r="I74" s="16" t="n"/>
      <c r="J74" s="16" t="n"/>
      <c r="K74" s="17">
        <f>IF($G74="","",IF(OR($G74="PT Missed",$G74="PT Modified",$G74="PT Refused"),"Yes","No"))</f>
        <v/>
      </c>
      <c r="L74" s="16" t="n"/>
      <c r="M74" s="16" t="n"/>
      <c r="N74" s="17">
        <f>IF($D74="","",IF($M74="Excused","No",IF(AND($G74="PT Modified",$L74="Received"),"No","Yes")))</f>
        <v/>
      </c>
      <c r="O74" s="16" t="n"/>
      <c r="P74" s="17">
        <f>IF(OR($B74="",N($I74)=0),"",MIN(N($I74),SUMIFS(nrMK_Min,nrMK_Link,$B74,nrMK_Credit,"Yes",nrMK_PID,$E74,nrMK_Type,"Classroom")))</f>
        <v/>
      </c>
      <c r="Q74" s="17">
        <f>IF(OR($B74="",N($J74)=0),"",MIN(N($J74),SUMIFS(nrMK_Sess,nrMK_Link,$B74,nrMK_Credit,"Yes",nrMK_PID,$E74,nrMK_Type,"PT")))</f>
        <v/>
      </c>
      <c r="R74" s="17">
        <f>IF(OR($B74="",$N74&lt;&gt;"Yes"),"",IF($K74="Yes",IF(N($J74)&gt;0,N($J74)-N($Q74),""),IF(N($I74)&gt;0,N($I74)-N($P74),"")))</f>
        <v/>
      </c>
      <c r="S74" s="17">
        <f>IF(OR($B74="",$R74=""),"",IF($R74&lt;=0,IF(IFERROR(_xlfn.MAXIFS(nrMK_Date,nrMK_Link,$B74,nrMK_Credit,"Yes",nrMK_PID,$E74),0)=0,"CLEARED (makeup date missing)","CLEARED "&amp;TEXT(_xlfn.MAXIFS(nrMK_Date,nrMK_Link,$B74,nrMK_Credit,"Yes",nrMK_PID,$E74),"mm/dd")),"OPEN"))</f>
        <v/>
      </c>
      <c r="T74" s="17">
        <f>IF($D74="","",IF($C74="","NO DATE",IF($G74="","NO EVENT TYPE",IF(AND($I74&lt;&gt;"",NOT(ISNUMBER($I74))),"MINUTES NOT A NUMBER",IF(AND($J74&lt;&gt;"",NOT(ISNUMBER($J74))),"SESSIONS NOT A NUMBER",IF(OR(N($I74)&lt;0,N($J74)&lt;0),"NEGATIVE MINUTES/SESSIONS",IF(AND($K74="Yes",N($I74)&gt;0),"MINUTES ON A PT EVENT - not counted (PT counts sessions)",IF(AND($K74="No",N($J74)&gt;0),"SESSIONS ON A CLASSROOM EVENT - not counted (classroom counts minutes)",IF(AND($N74="Yes",$K74="Yes",N($J74)=0),"COUNTED PT EVENT WITH NO SESSIONS - dropped from the PT cap",IF(AND($N74="Yes",$K74="No",N($I74)=0),"COUNTED EVENT WITH NO MINUTES - dropped from the classroom cap","OK"))))))))))</f>
        <v/>
      </c>
    </row>
    <row r="75">
      <c r="B75" s="17">
        <f>IF($D75="","","A"&amp;TEXT(ROW()-5,"000"))</f>
        <v/>
      </c>
      <c r="C75" s="18" t="n"/>
      <c r="D75" s="16" t="n"/>
      <c r="E75" s="17">
        <f>IF($D75="","",IFERROR(INDEX(rngCadetPIDs,MATCH($D75,rngCadetNames,0)),"?"))</f>
        <v/>
      </c>
      <c r="F75" s="17">
        <f>IF($E75="","",IFERROR(INDEX(nrCadetAgency,MATCH($E75,rngCadetPIDs,0)),""))</f>
        <v/>
      </c>
      <c r="G75" s="16" t="n"/>
      <c r="H75" s="16" t="n"/>
      <c r="I75" s="16" t="n"/>
      <c r="J75" s="16" t="n"/>
      <c r="K75" s="17">
        <f>IF($G75="","",IF(OR($G75="PT Missed",$G75="PT Modified",$G75="PT Refused"),"Yes","No"))</f>
        <v/>
      </c>
      <c r="L75" s="16" t="n"/>
      <c r="M75" s="16" t="n"/>
      <c r="N75" s="17">
        <f>IF($D75="","",IF($M75="Excused","No",IF(AND($G75="PT Modified",$L75="Received"),"No","Yes")))</f>
        <v/>
      </c>
      <c r="O75" s="16" t="n"/>
      <c r="P75" s="17">
        <f>IF(OR($B75="",N($I75)=0),"",MIN(N($I75),SUMIFS(nrMK_Min,nrMK_Link,$B75,nrMK_Credit,"Yes",nrMK_PID,$E75,nrMK_Type,"Classroom")))</f>
        <v/>
      </c>
      <c r="Q75" s="17">
        <f>IF(OR($B75="",N($J75)=0),"",MIN(N($J75),SUMIFS(nrMK_Sess,nrMK_Link,$B75,nrMK_Credit,"Yes",nrMK_PID,$E75,nrMK_Type,"PT")))</f>
        <v/>
      </c>
      <c r="R75" s="17">
        <f>IF(OR($B75="",$N75&lt;&gt;"Yes"),"",IF($K75="Yes",IF(N($J75)&gt;0,N($J75)-N($Q75),""),IF(N($I75)&gt;0,N($I75)-N($P75),"")))</f>
        <v/>
      </c>
      <c r="S75" s="17">
        <f>IF(OR($B75="",$R75=""),"",IF($R75&lt;=0,IF(IFERROR(_xlfn.MAXIFS(nrMK_Date,nrMK_Link,$B75,nrMK_Credit,"Yes",nrMK_PID,$E75),0)=0,"CLEARED (makeup date missing)","CLEARED "&amp;TEXT(_xlfn.MAXIFS(nrMK_Date,nrMK_Link,$B75,nrMK_Credit,"Yes",nrMK_PID,$E75),"mm/dd")),"OPEN"))</f>
        <v/>
      </c>
      <c r="T75" s="17">
        <f>IF($D75="","",IF($C75="","NO DATE",IF($G75="","NO EVENT TYPE",IF(AND($I75&lt;&gt;"",NOT(ISNUMBER($I75))),"MINUTES NOT A NUMBER",IF(AND($J75&lt;&gt;"",NOT(ISNUMBER($J75))),"SESSIONS NOT A NUMBER",IF(OR(N($I75)&lt;0,N($J75)&lt;0),"NEGATIVE MINUTES/SESSIONS",IF(AND($K75="Yes",N($I75)&gt;0),"MINUTES ON A PT EVENT - not counted (PT counts sessions)",IF(AND($K75="No",N($J75)&gt;0),"SESSIONS ON A CLASSROOM EVENT - not counted (classroom counts minutes)",IF(AND($N75="Yes",$K75="Yes",N($J75)=0),"COUNTED PT EVENT WITH NO SESSIONS - dropped from the PT cap",IF(AND($N75="Yes",$K75="No",N($I75)=0),"COUNTED EVENT WITH NO MINUTES - dropped from the classroom cap","OK"))))))))))</f>
        <v/>
      </c>
    </row>
    <row r="76">
      <c r="B76" s="17">
        <f>IF($D76="","","A"&amp;TEXT(ROW()-5,"000"))</f>
        <v/>
      </c>
      <c r="C76" s="18" t="n"/>
      <c r="D76" s="16" t="n"/>
      <c r="E76" s="17">
        <f>IF($D76="","",IFERROR(INDEX(rngCadetPIDs,MATCH($D76,rngCadetNames,0)),"?"))</f>
        <v/>
      </c>
      <c r="F76" s="17">
        <f>IF($E76="","",IFERROR(INDEX(nrCadetAgency,MATCH($E76,rngCadetPIDs,0)),""))</f>
        <v/>
      </c>
      <c r="G76" s="16" t="n"/>
      <c r="H76" s="16" t="n"/>
      <c r="I76" s="16" t="n"/>
      <c r="J76" s="16" t="n"/>
      <c r="K76" s="17">
        <f>IF($G76="","",IF(OR($G76="PT Missed",$G76="PT Modified",$G76="PT Refused"),"Yes","No"))</f>
        <v/>
      </c>
      <c r="L76" s="16" t="n"/>
      <c r="M76" s="16" t="n"/>
      <c r="N76" s="17">
        <f>IF($D76="","",IF($M76="Excused","No",IF(AND($G76="PT Modified",$L76="Received"),"No","Yes")))</f>
        <v/>
      </c>
      <c r="O76" s="16" t="n"/>
      <c r="P76" s="17">
        <f>IF(OR($B76="",N($I76)=0),"",MIN(N($I76),SUMIFS(nrMK_Min,nrMK_Link,$B76,nrMK_Credit,"Yes",nrMK_PID,$E76,nrMK_Type,"Classroom")))</f>
        <v/>
      </c>
      <c r="Q76" s="17">
        <f>IF(OR($B76="",N($J76)=0),"",MIN(N($J76),SUMIFS(nrMK_Sess,nrMK_Link,$B76,nrMK_Credit,"Yes",nrMK_PID,$E76,nrMK_Type,"PT")))</f>
        <v/>
      </c>
      <c r="R76" s="17">
        <f>IF(OR($B76="",$N76&lt;&gt;"Yes"),"",IF($K76="Yes",IF(N($J76)&gt;0,N($J76)-N($Q76),""),IF(N($I76)&gt;0,N($I76)-N($P76),"")))</f>
        <v/>
      </c>
      <c r="S76" s="17">
        <f>IF(OR($B76="",$R76=""),"",IF($R76&lt;=0,IF(IFERROR(_xlfn.MAXIFS(nrMK_Date,nrMK_Link,$B76,nrMK_Credit,"Yes",nrMK_PID,$E76),0)=0,"CLEARED (makeup date missing)","CLEARED "&amp;TEXT(_xlfn.MAXIFS(nrMK_Date,nrMK_Link,$B76,nrMK_Credit,"Yes",nrMK_PID,$E76),"mm/dd")),"OPEN"))</f>
        <v/>
      </c>
      <c r="T76" s="17">
        <f>IF($D76="","",IF($C76="","NO DATE",IF($G76="","NO EVENT TYPE",IF(AND($I76&lt;&gt;"",NOT(ISNUMBER($I76))),"MINUTES NOT A NUMBER",IF(AND($J76&lt;&gt;"",NOT(ISNUMBER($J76))),"SESSIONS NOT A NUMBER",IF(OR(N($I76)&lt;0,N($J76)&lt;0),"NEGATIVE MINUTES/SESSIONS",IF(AND($K76="Yes",N($I76)&gt;0),"MINUTES ON A PT EVENT - not counted (PT counts sessions)",IF(AND($K76="No",N($J76)&gt;0),"SESSIONS ON A CLASSROOM EVENT - not counted (classroom counts minutes)",IF(AND($N76="Yes",$K76="Yes",N($J76)=0),"COUNTED PT EVENT WITH NO SESSIONS - dropped from the PT cap",IF(AND($N76="Yes",$K76="No",N($I76)=0),"COUNTED EVENT WITH NO MINUTES - dropped from the classroom cap","OK"))))))))))</f>
        <v/>
      </c>
    </row>
    <row r="77">
      <c r="B77" s="17">
        <f>IF($D77="","","A"&amp;TEXT(ROW()-5,"000"))</f>
        <v/>
      </c>
      <c r="C77" s="18" t="n"/>
      <c r="D77" s="16" t="n"/>
      <c r="E77" s="17">
        <f>IF($D77="","",IFERROR(INDEX(rngCadetPIDs,MATCH($D77,rngCadetNames,0)),"?"))</f>
        <v/>
      </c>
      <c r="F77" s="17">
        <f>IF($E77="","",IFERROR(INDEX(nrCadetAgency,MATCH($E77,rngCadetPIDs,0)),""))</f>
        <v/>
      </c>
      <c r="G77" s="16" t="n"/>
      <c r="H77" s="16" t="n"/>
      <c r="I77" s="16" t="n"/>
      <c r="J77" s="16" t="n"/>
      <c r="K77" s="17">
        <f>IF($G77="","",IF(OR($G77="PT Missed",$G77="PT Modified",$G77="PT Refused"),"Yes","No"))</f>
        <v/>
      </c>
      <c r="L77" s="16" t="n"/>
      <c r="M77" s="16" t="n"/>
      <c r="N77" s="17">
        <f>IF($D77="","",IF($M77="Excused","No",IF(AND($G77="PT Modified",$L77="Received"),"No","Yes")))</f>
        <v/>
      </c>
      <c r="O77" s="16" t="n"/>
      <c r="P77" s="17">
        <f>IF(OR($B77="",N($I77)=0),"",MIN(N($I77),SUMIFS(nrMK_Min,nrMK_Link,$B77,nrMK_Credit,"Yes",nrMK_PID,$E77,nrMK_Type,"Classroom")))</f>
        <v/>
      </c>
      <c r="Q77" s="17">
        <f>IF(OR($B77="",N($J77)=0),"",MIN(N($J77),SUMIFS(nrMK_Sess,nrMK_Link,$B77,nrMK_Credit,"Yes",nrMK_PID,$E77,nrMK_Type,"PT")))</f>
        <v/>
      </c>
      <c r="R77" s="17">
        <f>IF(OR($B77="",$N77&lt;&gt;"Yes"),"",IF($K77="Yes",IF(N($J77)&gt;0,N($J77)-N($Q77),""),IF(N($I77)&gt;0,N($I77)-N($P77),"")))</f>
        <v/>
      </c>
      <c r="S77" s="17">
        <f>IF(OR($B77="",$R77=""),"",IF($R77&lt;=0,IF(IFERROR(_xlfn.MAXIFS(nrMK_Date,nrMK_Link,$B77,nrMK_Credit,"Yes",nrMK_PID,$E77),0)=0,"CLEARED (makeup date missing)","CLEARED "&amp;TEXT(_xlfn.MAXIFS(nrMK_Date,nrMK_Link,$B77,nrMK_Credit,"Yes",nrMK_PID,$E77),"mm/dd")),"OPEN"))</f>
        <v/>
      </c>
      <c r="T77" s="17">
        <f>IF($D77="","",IF($C77="","NO DATE",IF($G77="","NO EVENT TYPE",IF(AND($I77&lt;&gt;"",NOT(ISNUMBER($I77))),"MINUTES NOT A NUMBER",IF(AND($J77&lt;&gt;"",NOT(ISNUMBER($J77))),"SESSIONS NOT A NUMBER",IF(OR(N($I77)&lt;0,N($J77)&lt;0),"NEGATIVE MINUTES/SESSIONS",IF(AND($K77="Yes",N($I77)&gt;0),"MINUTES ON A PT EVENT - not counted (PT counts sessions)",IF(AND($K77="No",N($J77)&gt;0),"SESSIONS ON A CLASSROOM EVENT - not counted (classroom counts minutes)",IF(AND($N77="Yes",$K77="Yes",N($J77)=0),"COUNTED PT EVENT WITH NO SESSIONS - dropped from the PT cap",IF(AND($N77="Yes",$K77="No",N($I77)=0),"COUNTED EVENT WITH NO MINUTES - dropped from the classroom cap","OK"))))))))))</f>
        <v/>
      </c>
    </row>
    <row r="78">
      <c r="B78" s="17">
        <f>IF($D78="","","A"&amp;TEXT(ROW()-5,"000"))</f>
        <v/>
      </c>
      <c r="C78" s="18" t="n"/>
      <c r="D78" s="16" t="n"/>
      <c r="E78" s="17">
        <f>IF($D78="","",IFERROR(INDEX(rngCadetPIDs,MATCH($D78,rngCadetNames,0)),"?"))</f>
        <v/>
      </c>
      <c r="F78" s="17">
        <f>IF($E78="","",IFERROR(INDEX(nrCadetAgency,MATCH($E78,rngCadetPIDs,0)),""))</f>
        <v/>
      </c>
      <c r="G78" s="16" t="n"/>
      <c r="H78" s="16" t="n"/>
      <c r="I78" s="16" t="n"/>
      <c r="J78" s="16" t="n"/>
      <c r="K78" s="17">
        <f>IF($G78="","",IF(OR($G78="PT Missed",$G78="PT Modified",$G78="PT Refused"),"Yes","No"))</f>
        <v/>
      </c>
      <c r="L78" s="16" t="n"/>
      <c r="M78" s="16" t="n"/>
      <c r="N78" s="17">
        <f>IF($D78="","",IF($M78="Excused","No",IF(AND($G78="PT Modified",$L78="Received"),"No","Yes")))</f>
        <v/>
      </c>
      <c r="O78" s="16" t="n"/>
      <c r="P78" s="17">
        <f>IF(OR($B78="",N($I78)=0),"",MIN(N($I78),SUMIFS(nrMK_Min,nrMK_Link,$B78,nrMK_Credit,"Yes",nrMK_PID,$E78,nrMK_Type,"Classroom")))</f>
        <v/>
      </c>
      <c r="Q78" s="17">
        <f>IF(OR($B78="",N($J78)=0),"",MIN(N($J78),SUMIFS(nrMK_Sess,nrMK_Link,$B78,nrMK_Credit,"Yes",nrMK_PID,$E78,nrMK_Type,"PT")))</f>
        <v/>
      </c>
      <c r="R78" s="17">
        <f>IF(OR($B78="",$N78&lt;&gt;"Yes"),"",IF($K78="Yes",IF(N($J78)&gt;0,N($J78)-N($Q78),""),IF(N($I78)&gt;0,N($I78)-N($P78),"")))</f>
        <v/>
      </c>
      <c r="S78" s="17">
        <f>IF(OR($B78="",$R78=""),"",IF($R78&lt;=0,IF(IFERROR(_xlfn.MAXIFS(nrMK_Date,nrMK_Link,$B78,nrMK_Credit,"Yes",nrMK_PID,$E78),0)=0,"CLEARED (makeup date missing)","CLEARED "&amp;TEXT(_xlfn.MAXIFS(nrMK_Date,nrMK_Link,$B78,nrMK_Credit,"Yes",nrMK_PID,$E78),"mm/dd")),"OPEN"))</f>
        <v/>
      </c>
      <c r="T78" s="17">
        <f>IF($D78="","",IF($C78="","NO DATE",IF($G78="","NO EVENT TYPE",IF(AND($I78&lt;&gt;"",NOT(ISNUMBER($I78))),"MINUTES NOT A NUMBER",IF(AND($J78&lt;&gt;"",NOT(ISNUMBER($J78))),"SESSIONS NOT A NUMBER",IF(OR(N($I78)&lt;0,N($J78)&lt;0),"NEGATIVE MINUTES/SESSIONS",IF(AND($K78="Yes",N($I78)&gt;0),"MINUTES ON A PT EVENT - not counted (PT counts sessions)",IF(AND($K78="No",N($J78)&gt;0),"SESSIONS ON A CLASSROOM EVENT - not counted (classroom counts minutes)",IF(AND($N78="Yes",$K78="Yes",N($J78)=0),"COUNTED PT EVENT WITH NO SESSIONS - dropped from the PT cap",IF(AND($N78="Yes",$K78="No",N($I78)=0),"COUNTED EVENT WITH NO MINUTES - dropped from the classroom cap","OK"))))))))))</f>
        <v/>
      </c>
    </row>
    <row r="79">
      <c r="B79" s="17">
        <f>IF($D79="","","A"&amp;TEXT(ROW()-5,"000"))</f>
        <v/>
      </c>
      <c r="C79" s="18" t="n"/>
      <c r="D79" s="16" t="n"/>
      <c r="E79" s="17">
        <f>IF($D79="","",IFERROR(INDEX(rngCadetPIDs,MATCH($D79,rngCadetNames,0)),"?"))</f>
        <v/>
      </c>
      <c r="F79" s="17">
        <f>IF($E79="","",IFERROR(INDEX(nrCadetAgency,MATCH($E79,rngCadetPIDs,0)),""))</f>
        <v/>
      </c>
      <c r="G79" s="16" t="n"/>
      <c r="H79" s="16" t="n"/>
      <c r="I79" s="16" t="n"/>
      <c r="J79" s="16" t="n"/>
      <c r="K79" s="17">
        <f>IF($G79="","",IF(OR($G79="PT Missed",$G79="PT Modified",$G79="PT Refused"),"Yes","No"))</f>
        <v/>
      </c>
      <c r="L79" s="16" t="n"/>
      <c r="M79" s="16" t="n"/>
      <c r="N79" s="17">
        <f>IF($D79="","",IF($M79="Excused","No",IF(AND($G79="PT Modified",$L79="Received"),"No","Yes")))</f>
        <v/>
      </c>
      <c r="O79" s="16" t="n"/>
      <c r="P79" s="17">
        <f>IF(OR($B79="",N($I79)=0),"",MIN(N($I79),SUMIFS(nrMK_Min,nrMK_Link,$B79,nrMK_Credit,"Yes",nrMK_PID,$E79,nrMK_Type,"Classroom")))</f>
        <v/>
      </c>
      <c r="Q79" s="17">
        <f>IF(OR($B79="",N($J79)=0),"",MIN(N($J79),SUMIFS(nrMK_Sess,nrMK_Link,$B79,nrMK_Credit,"Yes",nrMK_PID,$E79,nrMK_Type,"PT")))</f>
        <v/>
      </c>
      <c r="R79" s="17">
        <f>IF(OR($B79="",$N79&lt;&gt;"Yes"),"",IF($K79="Yes",IF(N($J79)&gt;0,N($J79)-N($Q79),""),IF(N($I79)&gt;0,N($I79)-N($P79),"")))</f>
        <v/>
      </c>
      <c r="S79" s="17">
        <f>IF(OR($B79="",$R79=""),"",IF($R79&lt;=0,IF(IFERROR(_xlfn.MAXIFS(nrMK_Date,nrMK_Link,$B79,nrMK_Credit,"Yes",nrMK_PID,$E79),0)=0,"CLEARED (makeup date missing)","CLEARED "&amp;TEXT(_xlfn.MAXIFS(nrMK_Date,nrMK_Link,$B79,nrMK_Credit,"Yes",nrMK_PID,$E79),"mm/dd")),"OPEN"))</f>
        <v/>
      </c>
      <c r="T79" s="17">
        <f>IF($D79="","",IF($C79="","NO DATE",IF($G79="","NO EVENT TYPE",IF(AND($I79&lt;&gt;"",NOT(ISNUMBER($I79))),"MINUTES NOT A NUMBER",IF(AND($J79&lt;&gt;"",NOT(ISNUMBER($J79))),"SESSIONS NOT A NUMBER",IF(OR(N($I79)&lt;0,N($J79)&lt;0),"NEGATIVE MINUTES/SESSIONS",IF(AND($K79="Yes",N($I79)&gt;0),"MINUTES ON A PT EVENT - not counted (PT counts sessions)",IF(AND($K79="No",N($J79)&gt;0),"SESSIONS ON A CLASSROOM EVENT - not counted (classroom counts minutes)",IF(AND($N79="Yes",$K79="Yes",N($J79)=0),"COUNTED PT EVENT WITH NO SESSIONS - dropped from the PT cap",IF(AND($N79="Yes",$K79="No",N($I79)=0),"COUNTED EVENT WITH NO MINUTES - dropped from the classroom cap","OK"))))))))))</f>
        <v/>
      </c>
    </row>
    <row r="80">
      <c r="B80" s="17">
        <f>IF($D80="","","A"&amp;TEXT(ROW()-5,"000"))</f>
        <v/>
      </c>
      <c r="C80" s="18" t="n"/>
      <c r="D80" s="16" t="n"/>
      <c r="E80" s="17">
        <f>IF($D80="","",IFERROR(INDEX(rngCadetPIDs,MATCH($D80,rngCadetNames,0)),"?"))</f>
        <v/>
      </c>
      <c r="F80" s="17">
        <f>IF($E80="","",IFERROR(INDEX(nrCadetAgency,MATCH($E80,rngCadetPIDs,0)),""))</f>
        <v/>
      </c>
      <c r="G80" s="16" t="n"/>
      <c r="H80" s="16" t="n"/>
      <c r="I80" s="16" t="n"/>
      <c r="J80" s="16" t="n"/>
      <c r="K80" s="17">
        <f>IF($G80="","",IF(OR($G80="PT Missed",$G80="PT Modified",$G80="PT Refused"),"Yes","No"))</f>
        <v/>
      </c>
      <c r="L80" s="16" t="n"/>
      <c r="M80" s="16" t="n"/>
      <c r="N80" s="17">
        <f>IF($D80="","",IF($M80="Excused","No",IF(AND($G80="PT Modified",$L80="Received"),"No","Yes")))</f>
        <v/>
      </c>
      <c r="O80" s="16" t="n"/>
      <c r="P80" s="17">
        <f>IF(OR($B80="",N($I80)=0),"",MIN(N($I80),SUMIFS(nrMK_Min,nrMK_Link,$B80,nrMK_Credit,"Yes",nrMK_PID,$E80,nrMK_Type,"Classroom")))</f>
        <v/>
      </c>
      <c r="Q80" s="17">
        <f>IF(OR($B80="",N($J80)=0),"",MIN(N($J80),SUMIFS(nrMK_Sess,nrMK_Link,$B80,nrMK_Credit,"Yes",nrMK_PID,$E80,nrMK_Type,"PT")))</f>
        <v/>
      </c>
      <c r="R80" s="17">
        <f>IF(OR($B80="",$N80&lt;&gt;"Yes"),"",IF($K80="Yes",IF(N($J80)&gt;0,N($J80)-N($Q80),""),IF(N($I80)&gt;0,N($I80)-N($P80),"")))</f>
        <v/>
      </c>
      <c r="S80" s="17">
        <f>IF(OR($B80="",$R80=""),"",IF($R80&lt;=0,IF(IFERROR(_xlfn.MAXIFS(nrMK_Date,nrMK_Link,$B80,nrMK_Credit,"Yes",nrMK_PID,$E80),0)=0,"CLEARED (makeup date missing)","CLEARED "&amp;TEXT(_xlfn.MAXIFS(nrMK_Date,nrMK_Link,$B80,nrMK_Credit,"Yes",nrMK_PID,$E80),"mm/dd")),"OPEN"))</f>
        <v/>
      </c>
      <c r="T80" s="17">
        <f>IF($D80="","",IF($C80="","NO DATE",IF($G80="","NO EVENT TYPE",IF(AND($I80&lt;&gt;"",NOT(ISNUMBER($I80))),"MINUTES NOT A NUMBER",IF(AND($J80&lt;&gt;"",NOT(ISNUMBER($J80))),"SESSIONS NOT A NUMBER",IF(OR(N($I80)&lt;0,N($J80)&lt;0),"NEGATIVE MINUTES/SESSIONS",IF(AND($K80="Yes",N($I80)&gt;0),"MINUTES ON A PT EVENT - not counted (PT counts sessions)",IF(AND($K80="No",N($J80)&gt;0),"SESSIONS ON A CLASSROOM EVENT - not counted (classroom counts minutes)",IF(AND($N80="Yes",$K80="Yes",N($J80)=0),"COUNTED PT EVENT WITH NO SESSIONS - dropped from the PT cap",IF(AND($N80="Yes",$K80="No",N($I80)=0),"COUNTED EVENT WITH NO MINUTES - dropped from the classroom cap","OK"))))))))))</f>
        <v/>
      </c>
    </row>
    <row r="81">
      <c r="B81" s="17">
        <f>IF($D81="","","A"&amp;TEXT(ROW()-5,"000"))</f>
        <v/>
      </c>
      <c r="C81" s="18" t="n"/>
      <c r="D81" s="16" t="n"/>
      <c r="E81" s="17">
        <f>IF($D81="","",IFERROR(INDEX(rngCadetPIDs,MATCH($D81,rngCadetNames,0)),"?"))</f>
        <v/>
      </c>
      <c r="F81" s="17">
        <f>IF($E81="","",IFERROR(INDEX(nrCadetAgency,MATCH($E81,rngCadetPIDs,0)),""))</f>
        <v/>
      </c>
      <c r="G81" s="16" t="n"/>
      <c r="H81" s="16" t="n"/>
      <c r="I81" s="16" t="n"/>
      <c r="J81" s="16" t="n"/>
      <c r="K81" s="17">
        <f>IF($G81="","",IF(OR($G81="PT Missed",$G81="PT Modified",$G81="PT Refused"),"Yes","No"))</f>
        <v/>
      </c>
      <c r="L81" s="16" t="n"/>
      <c r="M81" s="16" t="n"/>
      <c r="N81" s="17">
        <f>IF($D81="","",IF($M81="Excused","No",IF(AND($G81="PT Modified",$L81="Received"),"No","Yes")))</f>
        <v/>
      </c>
      <c r="O81" s="16" t="n"/>
      <c r="P81" s="17">
        <f>IF(OR($B81="",N($I81)=0),"",MIN(N($I81),SUMIFS(nrMK_Min,nrMK_Link,$B81,nrMK_Credit,"Yes",nrMK_PID,$E81,nrMK_Type,"Classroom")))</f>
        <v/>
      </c>
      <c r="Q81" s="17">
        <f>IF(OR($B81="",N($J81)=0),"",MIN(N($J81),SUMIFS(nrMK_Sess,nrMK_Link,$B81,nrMK_Credit,"Yes",nrMK_PID,$E81,nrMK_Type,"PT")))</f>
        <v/>
      </c>
      <c r="R81" s="17">
        <f>IF(OR($B81="",$N81&lt;&gt;"Yes"),"",IF($K81="Yes",IF(N($J81)&gt;0,N($J81)-N($Q81),""),IF(N($I81)&gt;0,N($I81)-N($P81),"")))</f>
        <v/>
      </c>
      <c r="S81" s="17">
        <f>IF(OR($B81="",$R81=""),"",IF($R81&lt;=0,IF(IFERROR(_xlfn.MAXIFS(nrMK_Date,nrMK_Link,$B81,nrMK_Credit,"Yes",nrMK_PID,$E81),0)=0,"CLEARED (makeup date missing)","CLEARED "&amp;TEXT(_xlfn.MAXIFS(nrMK_Date,nrMK_Link,$B81,nrMK_Credit,"Yes",nrMK_PID,$E81),"mm/dd")),"OPEN"))</f>
        <v/>
      </c>
      <c r="T81" s="17">
        <f>IF($D81="","",IF($C81="","NO DATE",IF($G81="","NO EVENT TYPE",IF(AND($I81&lt;&gt;"",NOT(ISNUMBER($I81))),"MINUTES NOT A NUMBER",IF(AND($J81&lt;&gt;"",NOT(ISNUMBER($J81))),"SESSIONS NOT A NUMBER",IF(OR(N($I81)&lt;0,N($J81)&lt;0),"NEGATIVE MINUTES/SESSIONS",IF(AND($K81="Yes",N($I81)&gt;0),"MINUTES ON A PT EVENT - not counted (PT counts sessions)",IF(AND($K81="No",N($J81)&gt;0),"SESSIONS ON A CLASSROOM EVENT - not counted (classroom counts minutes)",IF(AND($N81="Yes",$K81="Yes",N($J81)=0),"COUNTED PT EVENT WITH NO SESSIONS - dropped from the PT cap",IF(AND($N81="Yes",$K81="No",N($I81)=0),"COUNTED EVENT WITH NO MINUTES - dropped from the classroom cap","OK"))))))))))</f>
        <v/>
      </c>
    </row>
    <row r="82">
      <c r="B82" s="17">
        <f>IF($D82="","","A"&amp;TEXT(ROW()-5,"000"))</f>
        <v/>
      </c>
      <c r="C82" s="18" t="n"/>
      <c r="D82" s="16" t="n"/>
      <c r="E82" s="17">
        <f>IF($D82="","",IFERROR(INDEX(rngCadetPIDs,MATCH($D82,rngCadetNames,0)),"?"))</f>
        <v/>
      </c>
      <c r="F82" s="17">
        <f>IF($E82="","",IFERROR(INDEX(nrCadetAgency,MATCH($E82,rngCadetPIDs,0)),""))</f>
        <v/>
      </c>
      <c r="G82" s="16" t="n"/>
      <c r="H82" s="16" t="n"/>
      <c r="I82" s="16" t="n"/>
      <c r="J82" s="16" t="n"/>
      <c r="K82" s="17">
        <f>IF($G82="","",IF(OR($G82="PT Missed",$G82="PT Modified",$G82="PT Refused"),"Yes","No"))</f>
        <v/>
      </c>
      <c r="L82" s="16" t="n"/>
      <c r="M82" s="16" t="n"/>
      <c r="N82" s="17">
        <f>IF($D82="","",IF($M82="Excused","No",IF(AND($G82="PT Modified",$L82="Received"),"No","Yes")))</f>
        <v/>
      </c>
      <c r="O82" s="16" t="n"/>
      <c r="P82" s="17">
        <f>IF(OR($B82="",N($I82)=0),"",MIN(N($I82),SUMIFS(nrMK_Min,nrMK_Link,$B82,nrMK_Credit,"Yes",nrMK_PID,$E82,nrMK_Type,"Classroom")))</f>
        <v/>
      </c>
      <c r="Q82" s="17">
        <f>IF(OR($B82="",N($J82)=0),"",MIN(N($J82),SUMIFS(nrMK_Sess,nrMK_Link,$B82,nrMK_Credit,"Yes",nrMK_PID,$E82,nrMK_Type,"PT")))</f>
        <v/>
      </c>
      <c r="R82" s="17">
        <f>IF(OR($B82="",$N82&lt;&gt;"Yes"),"",IF($K82="Yes",IF(N($J82)&gt;0,N($J82)-N($Q82),""),IF(N($I82)&gt;0,N($I82)-N($P82),"")))</f>
        <v/>
      </c>
      <c r="S82" s="17">
        <f>IF(OR($B82="",$R82=""),"",IF($R82&lt;=0,IF(IFERROR(_xlfn.MAXIFS(nrMK_Date,nrMK_Link,$B82,nrMK_Credit,"Yes",nrMK_PID,$E82),0)=0,"CLEARED (makeup date missing)","CLEARED "&amp;TEXT(_xlfn.MAXIFS(nrMK_Date,nrMK_Link,$B82,nrMK_Credit,"Yes",nrMK_PID,$E82),"mm/dd")),"OPEN"))</f>
        <v/>
      </c>
      <c r="T82" s="17">
        <f>IF($D82="","",IF($C82="","NO DATE",IF($G82="","NO EVENT TYPE",IF(AND($I82&lt;&gt;"",NOT(ISNUMBER($I82))),"MINUTES NOT A NUMBER",IF(AND($J82&lt;&gt;"",NOT(ISNUMBER($J82))),"SESSIONS NOT A NUMBER",IF(OR(N($I82)&lt;0,N($J82)&lt;0),"NEGATIVE MINUTES/SESSIONS",IF(AND($K82="Yes",N($I82)&gt;0),"MINUTES ON A PT EVENT - not counted (PT counts sessions)",IF(AND($K82="No",N($J82)&gt;0),"SESSIONS ON A CLASSROOM EVENT - not counted (classroom counts minutes)",IF(AND($N82="Yes",$K82="Yes",N($J82)=0),"COUNTED PT EVENT WITH NO SESSIONS - dropped from the PT cap",IF(AND($N82="Yes",$K82="No",N($I82)=0),"COUNTED EVENT WITH NO MINUTES - dropped from the classroom cap","OK"))))))))))</f>
        <v/>
      </c>
    </row>
    <row r="83">
      <c r="B83" s="17">
        <f>IF($D83="","","A"&amp;TEXT(ROW()-5,"000"))</f>
        <v/>
      </c>
      <c r="C83" s="18" t="n"/>
      <c r="D83" s="16" t="n"/>
      <c r="E83" s="17">
        <f>IF($D83="","",IFERROR(INDEX(rngCadetPIDs,MATCH($D83,rngCadetNames,0)),"?"))</f>
        <v/>
      </c>
      <c r="F83" s="17">
        <f>IF($E83="","",IFERROR(INDEX(nrCadetAgency,MATCH($E83,rngCadetPIDs,0)),""))</f>
        <v/>
      </c>
      <c r="G83" s="16" t="n"/>
      <c r="H83" s="16" t="n"/>
      <c r="I83" s="16" t="n"/>
      <c r="J83" s="16" t="n"/>
      <c r="K83" s="17">
        <f>IF($G83="","",IF(OR($G83="PT Missed",$G83="PT Modified",$G83="PT Refused"),"Yes","No"))</f>
        <v/>
      </c>
      <c r="L83" s="16" t="n"/>
      <c r="M83" s="16" t="n"/>
      <c r="N83" s="17">
        <f>IF($D83="","",IF($M83="Excused","No",IF(AND($G83="PT Modified",$L83="Received"),"No","Yes")))</f>
        <v/>
      </c>
      <c r="O83" s="16" t="n"/>
      <c r="P83" s="17">
        <f>IF(OR($B83="",N($I83)=0),"",MIN(N($I83),SUMIFS(nrMK_Min,nrMK_Link,$B83,nrMK_Credit,"Yes",nrMK_PID,$E83,nrMK_Type,"Classroom")))</f>
        <v/>
      </c>
      <c r="Q83" s="17">
        <f>IF(OR($B83="",N($J83)=0),"",MIN(N($J83),SUMIFS(nrMK_Sess,nrMK_Link,$B83,nrMK_Credit,"Yes",nrMK_PID,$E83,nrMK_Type,"PT")))</f>
        <v/>
      </c>
      <c r="R83" s="17">
        <f>IF(OR($B83="",$N83&lt;&gt;"Yes"),"",IF($K83="Yes",IF(N($J83)&gt;0,N($J83)-N($Q83),""),IF(N($I83)&gt;0,N($I83)-N($P83),"")))</f>
        <v/>
      </c>
      <c r="S83" s="17">
        <f>IF(OR($B83="",$R83=""),"",IF($R83&lt;=0,IF(IFERROR(_xlfn.MAXIFS(nrMK_Date,nrMK_Link,$B83,nrMK_Credit,"Yes",nrMK_PID,$E83),0)=0,"CLEARED (makeup date missing)","CLEARED "&amp;TEXT(_xlfn.MAXIFS(nrMK_Date,nrMK_Link,$B83,nrMK_Credit,"Yes",nrMK_PID,$E83),"mm/dd")),"OPEN"))</f>
        <v/>
      </c>
      <c r="T83" s="17">
        <f>IF($D83="","",IF($C83="","NO DATE",IF($G83="","NO EVENT TYPE",IF(AND($I83&lt;&gt;"",NOT(ISNUMBER($I83))),"MINUTES NOT A NUMBER",IF(AND($J83&lt;&gt;"",NOT(ISNUMBER($J83))),"SESSIONS NOT A NUMBER",IF(OR(N($I83)&lt;0,N($J83)&lt;0),"NEGATIVE MINUTES/SESSIONS",IF(AND($K83="Yes",N($I83)&gt;0),"MINUTES ON A PT EVENT - not counted (PT counts sessions)",IF(AND($K83="No",N($J83)&gt;0),"SESSIONS ON A CLASSROOM EVENT - not counted (classroom counts minutes)",IF(AND($N83="Yes",$K83="Yes",N($J83)=0),"COUNTED PT EVENT WITH NO SESSIONS - dropped from the PT cap",IF(AND($N83="Yes",$K83="No",N($I83)=0),"COUNTED EVENT WITH NO MINUTES - dropped from the classroom cap","OK"))))))))))</f>
        <v/>
      </c>
    </row>
    <row r="84">
      <c r="B84" s="17">
        <f>IF($D84="","","A"&amp;TEXT(ROW()-5,"000"))</f>
        <v/>
      </c>
      <c r="C84" s="18" t="n"/>
      <c r="D84" s="16" t="n"/>
      <c r="E84" s="17">
        <f>IF($D84="","",IFERROR(INDEX(rngCadetPIDs,MATCH($D84,rngCadetNames,0)),"?"))</f>
        <v/>
      </c>
      <c r="F84" s="17">
        <f>IF($E84="","",IFERROR(INDEX(nrCadetAgency,MATCH($E84,rngCadetPIDs,0)),""))</f>
        <v/>
      </c>
      <c r="G84" s="16" t="n"/>
      <c r="H84" s="16" t="n"/>
      <c r="I84" s="16" t="n"/>
      <c r="J84" s="16" t="n"/>
      <c r="K84" s="17">
        <f>IF($G84="","",IF(OR($G84="PT Missed",$G84="PT Modified",$G84="PT Refused"),"Yes","No"))</f>
        <v/>
      </c>
      <c r="L84" s="16" t="n"/>
      <c r="M84" s="16" t="n"/>
      <c r="N84" s="17">
        <f>IF($D84="","",IF($M84="Excused","No",IF(AND($G84="PT Modified",$L84="Received"),"No","Yes")))</f>
        <v/>
      </c>
      <c r="O84" s="16" t="n"/>
      <c r="P84" s="17">
        <f>IF(OR($B84="",N($I84)=0),"",MIN(N($I84),SUMIFS(nrMK_Min,nrMK_Link,$B84,nrMK_Credit,"Yes",nrMK_PID,$E84,nrMK_Type,"Classroom")))</f>
        <v/>
      </c>
      <c r="Q84" s="17">
        <f>IF(OR($B84="",N($J84)=0),"",MIN(N($J84),SUMIFS(nrMK_Sess,nrMK_Link,$B84,nrMK_Credit,"Yes",nrMK_PID,$E84,nrMK_Type,"PT")))</f>
        <v/>
      </c>
      <c r="R84" s="17">
        <f>IF(OR($B84="",$N84&lt;&gt;"Yes"),"",IF($K84="Yes",IF(N($J84)&gt;0,N($J84)-N($Q84),""),IF(N($I84)&gt;0,N($I84)-N($P84),"")))</f>
        <v/>
      </c>
      <c r="S84" s="17">
        <f>IF(OR($B84="",$R84=""),"",IF($R84&lt;=0,IF(IFERROR(_xlfn.MAXIFS(nrMK_Date,nrMK_Link,$B84,nrMK_Credit,"Yes",nrMK_PID,$E84),0)=0,"CLEARED (makeup date missing)","CLEARED "&amp;TEXT(_xlfn.MAXIFS(nrMK_Date,nrMK_Link,$B84,nrMK_Credit,"Yes",nrMK_PID,$E84),"mm/dd")),"OPEN"))</f>
        <v/>
      </c>
      <c r="T84" s="17">
        <f>IF($D84="","",IF($C84="","NO DATE",IF($G84="","NO EVENT TYPE",IF(AND($I84&lt;&gt;"",NOT(ISNUMBER($I84))),"MINUTES NOT A NUMBER",IF(AND($J84&lt;&gt;"",NOT(ISNUMBER($J84))),"SESSIONS NOT A NUMBER",IF(OR(N($I84)&lt;0,N($J84)&lt;0),"NEGATIVE MINUTES/SESSIONS",IF(AND($K84="Yes",N($I84)&gt;0),"MINUTES ON A PT EVENT - not counted (PT counts sessions)",IF(AND($K84="No",N($J84)&gt;0),"SESSIONS ON A CLASSROOM EVENT - not counted (classroom counts minutes)",IF(AND($N84="Yes",$K84="Yes",N($J84)=0),"COUNTED PT EVENT WITH NO SESSIONS - dropped from the PT cap",IF(AND($N84="Yes",$K84="No",N($I84)=0),"COUNTED EVENT WITH NO MINUTES - dropped from the classroom cap","OK"))))))))))</f>
        <v/>
      </c>
    </row>
    <row r="85">
      <c r="B85" s="17">
        <f>IF($D85="","","A"&amp;TEXT(ROW()-5,"000"))</f>
        <v/>
      </c>
      <c r="C85" s="18" t="n"/>
      <c r="D85" s="16" t="n"/>
      <c r="E85" s="17">
        <f>IF($D85="","",IFERROR(INDEX(rngCadetPIDs,MATCH($D85,rngCadetNames,0)),"?"))</f>
        <v/>
      </c>
      <c r="F85" s="17">
        <f>IF($E85="","",IFERROR(INDEX(nrCadetAgency,MATCH($E85,rngCadetPIDs,0)),""))</f>
        <v/>
      </c>
      <c r="G85" s="16" t="n"/>
      <c r="H85" s="16" t="n"/>
      <c r="I85" s="16" t="n"/>
      <c r="J85" s="16" t="n"/>
      <c r="K85" s="17">
        <f>IF($G85="","",IF(OR($G85="PT Missed",$G85="PT Modified",$G85="PT Refused"),"Yes","No"))</f>
        <v/>
      </c>
      <c r="L85" s="16" t="n"/>
      <c r="M85" s="16" t="n"/>
      <c r="N85" s="17">
        <f>IF($D85="","",IF($M85="Excused","No",IF(AND($G85="PT Modified",$L85="Received"),"No","Yes")))</f>
        <v/>
      </c>
      <c r="O85" s="16" t="n"/>
      <c r="P85" s="17">
        <f>IF(OR($B85="",N($I85)=0),"",MIN(N($I85),SUMIFS(nrMK_Min,nrMK_Link,$B85,nrMK_Credit,"Yes",nrMK_PID,$E85,nrMK_Type,"Classroom")))</f>
        <v/>
      </c>
      <c r="Q85" s="17">
        <f>IF(OR($B85="",N($J85)=0),"",MIN(N($J85),SUMIFS(nrMK_Sess,nrMK_Link,$B85,nrMK_Credit,"Yes",nrMK_PID,$E85,nrMK_Type,"PT")))</f>
        <v/>
      </c>
      <c r="R85" s="17">
        <f>IF(OR($B85="",$N85&lt;&gt;"Yes"),"",IF($K85="Yes",IF(N($J85)&gt;0,N($J85)-N($Q85),""),IF(N($I85)&gt;0,N($I85)-N($P85),"")))</f>
        <v/>
      </c>
      <c r="S85" s="17">
        <f>IF(OR($B85="",$R85=""),"",IF($R85&lt;=0,IF(IFERROR(_xlfn.MAXIFS(nrMK_Date,nrMK_Link,$B85,nrMK_Credit,"Yes",nrMK_PID,$E85),0)=0,"CLEARED (makeup date missing)","CLEARED "&amp;TEXT(_xlfn.MAXIFS(nrMK_Date,nrMK_Link,$B85,nrMK_Credit,"Yes",nrMK_PID,$E85),"mm/dd")),"OPEN"))</f>
        <v/>
      </c>
      <c r="T85" s="17">
        <f>IF($D85="","",IF($C85="","NO DATE",IF($G85="","NO EVENT TYPE",IF(AND($I85&lt;&gt;"",NOT(ISNUMBER($I85))),"MINUTES NOT A NUMBER",IF(AND($J85&lt;&gt;"",NOT(ISNUMBER($J85))),"SESSIONS NOT A NUMBER",IF(OR(N($I85)&lt;0,N($J85)&lt;0),"NEGATIVE MINUTES/SESSIONS",IF(AND($K85="Yes",N($I85)&gt;0),"MINUTES ON A PT EVENT - not counted (PT counts sessions)",IF(AND($K85="No",N($J85)&gt;0),"SESSIONS ON A CLASSROOM EVENT - not counted (classroom counts minutes)",IF(AND($N85="Yes",$K85="Yes",N($J85)=0),"COUNTED PT EVENT WITH NO SESSIONS - dropped from the PT cap",IF(AND($N85="Yes",$K85="No",N($I85)=0),"COUNTED EVENT WITH NO MINUTES - dropped from the classroom cap","OK"))))))))))</f>
        <v/>
      </c>
    </row>
    <row r="86">
      <c r="B86" s="17">
        <f>IF($D86="","","A"&amp;TEXT(ROW()-5,"000"))</f>
        <v/>
      </c>
      <c r="C86" s="18" t="n"/>
      <c r="D86" s="16" t="n"/>
      <c r="E86" s="17">
        <f>IF($D86="","",IFERROR(INDEX(rngCadetPIDs,MATCH($D86,rngCadetNames,0)),"?"))</f>
        <v/>
      </c>
      <c r="F86" s="17">
        <f>IF($E86="","",IFERROR(INDEX(nrCadetAgency,MATCH($E86,rngCadetPIDs,0)),""))</f>
        <v/>
      </c>
      <c r="G86" s="16" t="n"/>
      <c r="H86" s="16" t="n"/>
      <c r="I86" s="16" t="n"/>
      <c r="J86" s="16" t="n"/>
      <c r="K86" s="17">
        <f>IF($G86="","",IF(OR($G86="PT Missed",$G86="PT Modified",$G86="PT Refused"),"Yes","No"))</f>
        <v/>
      </c>
      <c r="L86" s="16" t="n"/>
      <c r="M86" s="16" t="n"/>
      <c r="N86" s="17">
        <f>IF($D86="","",IF($M86="Excused","No",IF(AND($G86="PT Modified",$L86="Received"),"No","Yes")))</f>
        <v/>
      </c>
      <c r="O86" s="16" t="n"/>
      <c r="P86" s="17">
        <f>IF(OR($B86="",N($I86)=0),"",MIN(N($I86),SUMIFS(nrMK_Min,nrMK_Link,$B86,nrMK_Credit,"Yes",nrMK_PID,$E86,nrMK_Type,"Classroom")))</f>
        <v/>
      </c>
      <c r="Q86" s="17">
        <f>IF(OR($B86="",N($J86)=0),"",MIN(N($J86),SUMIFS(nrMK_Sess,nrMK_Link,$B86,nrMK_Credit,"Yes",nrMK_PID,$E86,nrMK_Type,"PT")))</f>
        <v/>
      </c>
      <c r="R86" s="17">
        <f>IF(OR($B86="",$N86&lt;&gt;"Yes"),"",IF($K86="Yes",IF(N($J86)&gt;0,N($J86)-N($Q86),""),IF(N($I86)&gt;0,N($I86)-N($P86),"")))</f>
        <v/>
      </c>
      <c r="S86" s="17">
        <f>IF(OR($B86="",$R86=""),"",IF($R86&lt;=0,IF(IFERROR(_xlfn.MAXIFS(nrMK_Date,nrMK_Link,$B86,nrMK_Credit,"Yes",nrMK_PID,$E86),0)=0,"CLEARED (makeup date missing)","CLEARED "&amp;TEXT(_xlfn.MAXIFS(nrMK_Date,nrMK_Link,$B86,nrMK_Credit,"Yes",nrMK_PID,$E86),"mm/dd")),"OPEN"))</f>
        <v/>
      </c>
      <c r="T86" s="17">
        <f>IF($D86="","",IF($C86="","NO DATE",IF($G86="","NO EVENT TYPE",IF(AND($I86&lt;&gt;"",NOT(ISNUMBER($I86))),"MINUTES NOT A NUMBER",IF(AND($J86&lt;&gt;"",NOT(ISNUMBER($J86))),"SESSIONS NOT A NUMBER",IF(OR(N($I86)&lt;0,N($J86)&lt;0),"NEGATIVE MINUTES/SESSIONS",IF(AND($K86="Yes",N($I86)&gt;0),"MINUTES ON A PT EVENT - not counted (PT counts sessions)",IF(AND($K86="No",N($J86)&gt;0),"SESSIONS ON A CLASSROOM EVENT - not counted (classroom counts minutes)",IF(AND($N86="Yes",$K86="Yes",N($J86)=0),"COUNTED PT EVENT WITH NO SESSIONS - dropped from the PT cap",IF(AND($N86="Yes",$K86="No",N($I86)=0),"COUNTED EVENT WITH NO MINUTES - dropped from the classroom cap","OK"))))))))))</f>
        <v/>
      </c>
    </row>
    <row r="87">
      <c r="B87" s="17">
        <f>IF($D87="","","A"&amp;TEXT(ROW()-5,"000"))</f>
        <v/>
      </c>
      <c r="C87" s="18" t="n"/>
      <c r="D87" s="16" t="n"/>
      <c r="E87" s="17">
        <f>IF($D87="","",IFERROR(INDEX(rngCadetPIDs,MATCH($D87,rngCadetNames,0)),"?"))</f>
        <v/>
      </c>
      <c r="F87" s="17">
        <f>IF($E87="","",IFERROR(INDEX(nrCadetAgency,MATCH($E87,rngCadetPIDs,0)),""))</f>
        <v/>
      </c>
      <c r="G87" s="16" t="n"/>
      <c r="H87" s="16" t="n"/>
      <c r="I87" s="16" t="n"/>
      <c r="J87" s="16" t="n"/>
      <c r="K87" s="17">
        <f>IF($G87="","",IF(OR($G87="PT Missed",$G87="PT Modified",$G87="PT Refused"),"Yes","No"))</f>
        <v/>
      </c>
      <c r="L87" s="16" t="n"/>
      <c r="M87" s="16" t="n"/>
      <c r="N87" s="17">
        <f>IF($D87="","",IF($M87="Excused","No",IF(AND($G87="PT Modified",$L87="Received"),"No","Yes")))</f>
        <v/>
      </c>
      <c r="O87" s="16" t="n"/>
      <c r="P87" s="17">
        <f>IF(OR($B87="",N($I87)=0),"",MIN(N($I87),SUMIFS(nrMK_Min,nrMK_Link,$B87,nrMK_Credit,"Yes",nrMK_PID,$E87,nrMK_Type,"Classroom")))</f>
        <v/>
      </c>
      <c r="Q87" s="17">
        <f>IF(OR($B87="",N($J87)=0),"",MIN(N($J87),SUMIFS(nrMK_Sess,nrMK_Link,$B87,nrMK_Credit,"Yes",nrMK_PID,$E87,nrMK_Type,"PT")))</f>
        <v/>
      </c>
      <c r="R87" s="17">
        <f>IF(OR($B87="",$N87&lt;&gt;"Yes"),"",IF($K87="Yes",IF(N($J87)&gt;0,N($J87)-N($Q87),""),IF(N($I87)&gt;0,N($I87)-N($P87),"")))</f>
        <v/>
      </c>
      <c r="S87" s="17">
        <f>IF(OR($B87="",$R87=""),"",IF($R87&lt;=0,IF(IFERROR(_xlfn.MAXIFS(nrMK_Date,nrMK_Link,$B87,nrMK_Credit,"Yes",nrMK_PID,$E87),0)=0,"CLEARED (makeup date missing)","CLEARED "&amp;TEXT(_xlfn.MAXIFS(nrMK_Date,nrMK_Link,$B87,nrMK_Credit,"Yes",nrMK_PID,$E87),"mm/dd")),"OPEN"))</f>
        <v/>
      </c>
      <c r="T87" s="17">
        <f>IF($D87="","",IF($C87="","NO DATE",IF($G87="","NO EVENT TYPE",IF(AND($I87&lt;&gt;"",NOT(ISNUMBER($I87))),"MINUTES NOT A NUMBER",IF(AND($J87&lt;&gt;"",NOT(ISNUMBER($J87))),"SESSIONS NOT A NUMBER",IF(OR(N($I87)&lt;0,N($J87)&lt;0),"NEGATIVE MINUTES/SESSIONS",IF(AND($K87="Yes",N($I87)&gt;0),"MINUTES ON A PT EVENT - not counted (PT counts sessions)",IF(AND($K87="No",N($J87)&gt;0),"SESSIONS ON A CLASSROOM EVENT - not counted (classroom counts minutes)",IF(AND($N87="Yes",$K87="Yes",N($J87)=0),"COUNTED PT EVENT WITH NO SESSIONS - dropped from the PT cap",IF(AND($N87="Yes",$K87="No",N($I87)=0),"COUNTED EVENT WITH NO MINUTES - dropped from the classroom cap","OK"))))))))))</f>
        <v/>
      </c>
    </row>
    <row r="88">
      <c r="B88" s="17">
        <f>IF($D88="","","A"&amp;TEXT(ROW()-5,"000"))</f>
        <v/>
      </c>
      <c r="C88" s="18" t="n"/>
      <c r="D88" s="16" t="n"/>
      <c r="E88" s="17">
        <f>IF($D88="","",IFERROR(INDEX(rngCadetPIDs,MATCH($D88,rngCadetNames,0)),"?"))</f>
        <v/>
      </c>
      <c r="F88" s="17">
        <f>IF($E88="","",IFERROR(INDEX(nrCadetAgency,MATCH($E88,rngCadetPIDs,0)),""))</f>
        <v/>
      </c>
      <c r="G88" s="16" t="n"/>
      <c r="H88" s="16" t="n"/>
      <c r="I88" s="16" t="n"/>
      <c r="J88" s="16" t="n"/>
      <c r="K88" s="17">
        <f>IF($G88="","",IF(OR($G88="PT Missed",$G88="PT Modified",$G88="PT Refused"),"Yes","No"))</f>
        <v/>
      </c>
      <c r="L88" s="16" t="n"/>
      <c r="M88" s="16" t="n"/>
      <c r="N88" s="17">
        <f>IF($D88="","",IF($M88="Excused","No",IF(AND($G88="PT Modified",$L88="Received"),"No","Yes")))</f>
        <v/>
      </c>
      <c r="O88" s="16" t="n"/>
      <c r="P88" s="17">
        <f>IF(OR($B88="",N($I88)=0),"",MIN(N($I88),SUMIFS(nrMK_Min,nrMK_Link,$B88,nrMK_Credit,"Yes",nrMK_PID,$E88,nrMK_Type,"Classroom")))</f>
        <v/>
      </c>
      <c r="Q88" s="17">
        <f>IF(OR($B88="",N($J88)=0),"",MIN(N($J88),SUMIFS(nrMK_Sess,nrMK_Link,$B88,nrMK_Credit,"Yes",nrMK_PID,$E88,nrMK_Type,"PT")))</f>
        <v/>
      </c>
      <c r="R88" s="17">
        <f>IF(OR($B88="",$N88&lt;&gt;"Yes"),"",IF($K88="Yes",IF(N($J88)&gt;0,N($J88)-N($Q88),""),IF(N($I88)&gt;0,N($I88)-N($P88),"")))</f>
        <v/>
      </c>
      <c r="S88" s="17">
        <f>IF(OR($B88="",$R88=""),"",IF($R88&lt;=0,IF(IFERROR(_xlfn.MAXIFS(nrMK_Date,nrMK_Link,$B88,nrMK_Credit,"Yes",nrMK_PID,$E88),0)=0,"CLEARED (makeup date missing)","CLEARED "&amp;TEXT(_xlfn.MAXIFS(nrMK_Date,nrMK_Link,$B88,nrMK_Credit,"Yes",nrMK_PID,$E88),"mm/dd")),"OPEN"))</f>
        <v/>
      </c>
      <c r="T88" s="17">
        <f>IF($D88="","",IF($C88="","NO DATE",IF($G88="","NO EVENT TYPE",IF(AND($I88&lt;&gt;"",NOT(ISNUMBER($I88))),"MINUTES NOT A NUMBER",IF(AND($J88&lt;&gt;"",NOT(ISNUMBER($J88))),"SESSIONS NOT A NUMBER",IF(OR(N($I88)&lt;0,N($J88)&lt;0),"NEGATIVE MINUTES/SESSIONS",IF(AND($K88="Yes",N($I88)&gt;0),"MINUTES ON A PT EVENT - not counted (PT counts sessions)",IF(AND($K88="No",N($J88)&gt;0),"SESSIONS ON A CLASSROOM EVENT - not counted (classroom counts minutes)",IF(AND($N88="Yes",$K88="Yes",N($J88)=0),"COUNTED PT EVENT WITH NO SESSIONS - dropped from the PT cap",IF(AND($N88="Yes",$K88="No",N($I88)=0),"COUNTED EVENT WITH NO MINUTES - dropped from the classroom cap","OK"))))))))))</f>
        <v/>
      </c>
    </row>
    <row r="89">
      <c r="B89" s="17">
        <f>IF($D89="","","A"&amp;TEXT(ROW()-5,"000"))</f>
        <v/>
      </c>
      <c r="C89" s="18" t="n"/>
      <c r="D89" s="16" t="n"/>
      <c r="E89" s="17">
        <f>IF($D89="","",IFERROR(INDEX(rngCadetPIDs,MATCH($D89,rngCadetNames,0)),"?"))</f>
        <v/>
      </c>
      <c r="F89" s="17">
        <f>IF($E89="","",IFERROR(INDEX(nrCadetAgency,MATCH($E89,rngCadetPIDs,0)),""))</f>
        <v/>
      </c>
      <c r="G89" s="16" t="n"/>
      <c r="H89" s="16" t="n"/>
      <c r="I89" s="16" t="n"/>
      <c r="J89" s="16" t="n"/>
      <c r="K89" s="17">
        <f>IF($G89="","",IF(OR($G89="PT Missed",$G89="PT Modified",$G89="PT Refused"),"Yes","No"))</f>
        <v/>
      </c>
      <c r="L89" s="16" t="n"/>
      <c r="M89" s="16" t="n"/>
      <c r="N89" s="17">
        <f>IF($D89="","",IF($M89="Excused","No",IF(AND($G89="PT Modified",$L89="Received"),"No","Yes")))</f>
        <v/>
      </c>
      <c r="O89" s="16" t="n"/>
      <c r="P89" s="17">
        <f>IF(OR($B89="",N($I89)=0),"",MIN(N($I89),SUMIFS(nrMK_Min,nrMK_Link,$B89,nrMK_Credit,"Yes",nrMK_PID,$E89,nrMK_Type,"Classroom")))</f>
        <v/>
      </c>
      <c r="Q89" s="17">
        <f>IF(OR($B89="",N($J89)=0),"",MIN(N($J89),SUMIFS(nrMK_Sess,nrMK_Link,$B89,nrMK_Credit,"Yes",nrMK_PID,$E89,nrMK_Type,"PT")))</f>
        <v/>
      </c>
      <c r="R89" s="17">
        <f>IF(OR($B89="",$N89&lt;&gt;"Yes"),"",IF($K89="Yes",IF(N($J89)&gt;0,N($J89)-N($Q89),""),IF(N($I89)&gt;0,N($I89)-N($P89),"")))</f>
        <v/>
      </c>
      <c r="S89" s="17">
        <f>IF(OR($B89="",$R89=""),"",IF($R89&lt;=0,IF(IFERROR(_xlfn.MAXIFS(nrMK_Date,nrMK_Link,$B89,nrMK_Credit,"Yes",nrMK_PID,$E89),0)=0,"CLEARED (makeup date missing)","CLEARED "&amp;TEXT(_xlfn.MAXIFS(nrMK_Date,nrMK_Link,$B89,nrMK_Credit,"Yes",nrMK_PID,$E89),"mm/dd")),"OPEN"))</f>
        <v/>
      </c>
      <c r="T89" s="17">
        <f>IF($D89="","",IF($C89="","NO DATE",IF($G89="","NO EVENT TYPE",IF(AND($I89&lt;&gt;"",NOT(ISNUMBER($I89))),"MINUTES NOT A NUMBER",IF(AND($J89&lt;&gt;"",NOT(ISNUMBER($J89))),"SESSIONS NOT A NUMBER",IF(OR(N($I89)&lt;0,N($J89)&lt;0),"NEGATIVE MINUTES/SESSIONS",IF(AND($K89="Yes",N($I89)&gt;0),"MINUTES ON A PT EVENT - not counted (PT counts sessions)",IF(AND($K89="No",N($J89)&gt;0),"SESSIONS ON A CLASSROOM EVENT - not counted (classroom counts minutes)",IF(AND($N89="Yes",$K89="Yes",N($J89)=0),"COUNTED PT EVENT WITH NO SESSIONS - dropped from the PT cap",IF(AND($N89="Yes",$K89="No",N($I89)=0),"COUNTED EVENT WITH NO MINUTES - dropped from the classroom cap","OK"))))))))))</f>
        <v/>
      </c>
    </row>
    <row r="90">
      <c r="B90" s="17">
        <f>IF($D90="","","A"&amp;TEXT(ROW()-5,"000"))</f>
        <v/>
      </c>
      <c r="C90" s="18" t="n"/>
      <c r="D90" s="16" t="n"/>
      <c r="E90" s="17">
        <f>IF($D90="","",IFERROR(INDEX(rngCadetPIDs,MATCH($D90,rngCadetNames,0)),"?"))</f>
        <v/>
      </c>
      <c r="F90" s="17">
        <f>IF($E90="","",IFERROR(INDEX(nrCadetAgency,MATCH($E90,rngCadetPIDs,0)),""))</f>
        <v/>
      </c>
      <c r="G90" s="16" t="n"/>
      <c r="H90" s="16" t="n"/>
      <c r="I90" s="16" t="n"/>
      <c r="J90" s="16" t="n"/>
      <c r="K90" s="17">
        <f>IF($G90="","",IF(OR($G90="PT Missed",$G90="PT Modified",$G90="PT Refused"),"Yes","No"))</f>
        <v/>
      </c>
      <c r="L90" s="16" t="n"/>
      <c r="M90" s="16" t="n"/>
      <c r="N90" s="17">
        <f>IF($D90="","",IF($M90="Excused","No",IF(AND($G90="PT Modified",$L90="Received"),"No","Yes")))</f>
        <v/>
      </c>
      <c r="O90" s="16" t="n"/>
      <c r="P90" s="17">
        <f>IF(OR($B90="",N($I90)=0),"",MIN(N($I90),SUMIFS(nrMK_Min,nrMK_Link,$B90,nrMK_Credit,"Yes",nrMK_PID,$E90,nrMK_Type,"Classroom")))</f>
        <v/>
      </c>
      <c r="Q90" s="17">
        <f>IF(OR($B90="",N($J90)=0),"",MIN(N($J90),SUMIFS(nrMK_Sess,nrMK_Link,$B90,nrMK_Credit,"Yes",nrMK_PID,$E90,nrMK_Type,"PT")))</f>
        <v/>
      </c>
      <c r="R90" s="17">
        <f>IF(OR($B90="",$N90&lt;&gt;"Yes"),"",IF($K90="Yes",IF(N($J90)&gt;0,N($J90)-N($Q90),""),IF(N($I90)&gt;0,N($I90)-N($P90),"")))</f>
        <v/>
      </c>
      <c r="S90" s="17">
        <f>IF(OR($B90="",$R90=""),"",IF($R90&lt;=0,IF(IFERROR(_xlfn.MAXIFS(nrMK_Date,nrMK_Link,$B90,nrMK_Credit,"Yes",nrMK_PID,$E90),0)=0,"CLEARED (makeup date missing)","CLEARED "&amp;TEXT(_xlfn.MAXIFS(nrMK_Date,nrMK_Link,$B90,nrMK_Credit,"Yes",nrMK_PID,$E90),"mm/dd")),"OPEN"))</f>
        <v/>
      </c>
      <c r="T90" s="17">
        <f>IF($D90="","",IF($C90="","NO DATE",IF($G90="","NO EVENT TYPE",IF(AND($I90&lt;&gt;"",NOT(ISNUMBER($I90))),"MINUTES NOT A NUMBER",IF(AND($J90&lt;&gt;"",NOT(ISNUMBER($J90))),"SESSIONS NOT A NUMBER",IF(OR(N($I90)&lt;0,N($J90)&lt;0),"NEGATIVE MINUTES/SESSIONS",IF(AND($K90="Yes",N($I90)&gt;0),"MINUTES ON A PT EVENT - not counted (PT counts sessions)",IF(AND($K90="No",N($J90)&gt;0),"SESSIONS ON A CLASSROOM EVENT - not counted (classroom counts minutes)",IF(AND($N90="Yes",$K90="Yes",N($J90)=0),"COUNTED PT EVENT WITH NO SESSIONS - dropped from the PT cap",IF(AND($N90="Yes",$K90="No",N($I90)=0),"COUNTED EVENT WITH NO MINUTES - dropped from the classroom cap","OK"))))))))))</f>
        <v/>
      </c>
    </row>
    <row r="91">
      <c r="B91" s="17">
        <f>IF($D91="","","A"&amp;TEXT(ROW()-5,"000"))</f>
        <v/>
      </c>
      <c r="C91" s="18" t="n"/>
      <c r="D91" s="16" t="n"/>
      <c r="E91" s="17">
        <f>IF($D91="","",IFERROR(INDEX(rngCadetPIDs,MATCH($D91,rngCadetNames,0)),"?"))</f>
        <v/>
      </c>
      <c r="F91" s="17">
        <f>IF($E91="","",IFERROR(INDEX(nrCadetAgency,MATCH($E91,rngCadetPIDs,0)),""))</f>
        <v/>
      </c>
      <c r="G91" s="16" t="n"/>
      <c r="H91" s="16" t="n"/>
      <c r="I91" s="16" t="n"/>
      <c r="J91" s="16" t="n"/>
      <c r="K91" s="17">
        <f>IF($G91="","",IF(OR($G91="PT Missed",$G91="PT Modified",$G91="PT Refused"),"Yes","No"))</f>
        <v/>
      </c>
      <c r="L91" s="16" t="n"/>
      <c r="M91" s="16" t="n"/>
      <c r="N91" s="17">
        <f>IF($D91="","",IF($M91="Excused","No",IF(AND($G91="PT Modified",$L91="Received"),"No","Yes")))</f>
        <v/>
      </c>
      <c r="O91" s="16" t="n"/>
      <c r="P91" s="17">
        <f>IF(OR($B91="",N($I91)=0),"",MIN(N($I91),SUMIFS(nrMK_Min,nrMK_Link,$B91,nrMK_Credit,"Yes",nrMK_PID,$E91,nrMK_Type,"Classroom")))</f>
        <v/>
      </c>
      <c r="Q91" s="17">
        <f>IF(OR($B91="",N($J91)=0),"",MIN(N($J91),SUMIFS(nrMK_Sess,nrMK_Link,$B91,nrMK_Credit,"Yes",nrMK_PID,$E91,nrMK_Type,"PT")))</f>
        <v/>
      </c>
      <c r="R91" s="17">
        <f>IF(OR($B91="",$N91&lt;&gt;"Yes"),"",IF($K91="Yes",IF(N($J91)&gt;0,N($J91)-N($Q91),""),IF(N($I91)&gt;0,N($I91)-N($P91),"")))</f>
        <v/>
      </c>
      <c r="S91" s="17">
        <f>IF(OR($B91="",$R91=""),"",IF($R91&lt;=0,IF(IFERROR(_xlfn.MAXIFS(nrMK_Date,nrMK_Link,$B91,nrMK_Credit,"Yes",nrMK_PID,$E91),0)=0,"CLEARED (makeup date missing)","CLEARED "&amp;TEXT(_xlfn.MAXIFS(nrMK_Date,nrMK_Link,$B91,nrMK_Credit,"Yes",nrMK_PID,$E91),"mm/dd")),"OPEN"))</f>
        <v/>
      </c>
      <c r="T91" s="17">
        <f>IF($D91="","",IF($C91="","NO DATE",IF($G91="","NO EVENT TYPE",IF(AND($I91&lt;&gt;"",NOT(ISNUMBER($I91))),"MINUTES NOT A NUMBER",IF(AND($J91&lt;&gt;"",NOT(ISNUMBER($J91))),"SESSIONS NOT A NUMBER",IF(OR(N($I91)&lt;0,N($J91)&lt;0),"NEGATIVE MINUTES/SESSIONS",IF(AND($K91="Yes",N($I91)&gt;0),"MINUTES ON A PT EVENT - not counted (PT counts sessions)",IF(AND($K91="No",N($J91)&gt;0),"SESSIONS ON A CLASSROOM EVENT - not counted (classroom counts minutes)",IF(AND($N91="Yes",$K91="Yes",N($J91)=0),"COUNTED PT EVENT WITH NO SESSIONS - dropped from the PT cap",IF(AND($N91="Yes",$K91="No",N($I91)=0),"COUNTED EVENT WITH NO MINUTES - dropped from the classroom cap","OK"))))))))))</f>
        <v/>
      </c>
    </row>
    <row r="92">
      <c r="B92" s="17">
        <f>IF($D92="","","A"&amp;TEXT(ROW()-5,"000"))</f>
        <v/>
      </c>
      <c r="C92" s="18" t="n"/>
      <c r="D92" s="16" t="n"/>
      <c r="E92" s="17">
        <f>IF($D92="","",IFERROR(INDEX(rngCadetPIDs,MATCH($D92,rngCadetNames,0)),"?"))</f>
        <v/>
      </c>
      <c r="F92" s="17">
        <f>IF($E92="","",IFERROR(INDEX(nrCadetAgency,MATCH($E92,rngCadetPIDs,0)),""))</f>
        <v/>
      </c>
      <c r="G92" s="16" t="n"/>
      <c r="H92" s="16" t="n"/>
      <c r="I92" s="16" t="n"/>
      <c r="J92" s="16" t="n"/>
      <c r="K92" s="17">
        <f>IF($G92="","",IF(OR($G92="PT Missed",$G92="PT Modified",$G92="PT Refused"),"Yes","No"))</f>
        <v/>
      </c>
      <c r="L92" s="16" t="n"/>
      <c r="M92" s="16" t="n"/>
      <c r="N92" s="17">
        <f>IF($D92="","",IF($M92="Excused","No",IF(AND($G92="PT Modified",$L92="Received"),"No","Yes")))</f>
        <v/>
      </c>
      <c r="O92" s="16" t="n"/>
      <c r="P92" s="17">
        <f>IF(OR($B92="",N($I92)=0),"",MIN(N($I92),SUMIFS(nrMK_Min,nrMK_Link,$B92,nrMK_Credit,"Yes",nrMK_PID,$E92,nrMK_Type,"Classroom")))</f>
        <v/>
      </c>
      <c r="Q92" s="17">
        <f>IF(OR($B92="",N($J92)=0),"",MIN(N($J92),SUMIFS(nrMK_Sess,nrMK_Link,$B92,nrMK_Credit,"Yes",nrMK_PID,$E92,nrMK_Type,"PT")))</f>
        <v/>
      </c>
      <c r="R92" s="17">
        <f>IF(OR($B92="",$N92&lt;&gt;"Yes"),"",IF($K92="Yes",IF(N($J92)&gt;0,N($J92)-N($Q92),""),IF(N($I92)&gt;0,N($I92)-N($P92),"")))</f>
        <v/>
      </c>
      <c r="S92" s="17">
        <f>IF(OR($B92="",$R92=""),"",IF($R92&lt;=0,IF(IFERROR(_xlfn.MAXIFS(nrMK_Date,nrMK_Link,$B92,nrMK_Credit,"Yes",nrMK_PID,$E92),0)=0,"CLEARED (makeup date missing)","CLEARED "&amp;TEXT(_xlfn.MAXIFS(nrMK_Date,nrMK_Link,$B92,nrMK_Credit,"Yes",nrMK_PID,$E92),"mm/dd")),"OPEN"))</f>
        <v/>
      </c>
      <c r="T92" s="17">
        <f>IF($D92="","",IF($C92="","NO DATE",IF($G92="","NO EVENT TYPE",IF(AND($I92&lt;&gt;"",NOT(ISNUMBER($I92))),"MINUTES NOT A NUMBER",IF(AND($J92&lt;&gt;"",NOT(ISNUMBER($J92))),"SESSIONS NOT A NUMBER",IF(OR(N($I92)&lt;0,N($J92)&lt;0),"NEGATIVE MINUTES/SESSIONS",IF(AND($K92="Yes",N($I92)&gt;0),"MINUTES ON A PT EVENT - not counted (PT counts sessions)",IF(AND($K92="No",N($J92)&gt;0),"SESSIONS ON A CLASSROOM EVENT - not counted (classroom counts minutes)",IF(AND($N92="Yes",$K92="Yes",N($J92)=0),"COUNTED PT EVENT WITH NO SESSIONS - dropped from the PT cap",IF(AND($N92="Yes",$K92="No",N($I92)=0),"COUNTED EVENT WITH NO MINUTES - dropped from the classroom cap","OK"))))))))))</f>
        <v/>
      </c>
    </row>
    <row r="93">
      <c r="B93" s="17">
        <f>IF($D93="","","A"&amp;TEXT(ROW()-5,"000"))</f>
        <v/>
      </c>
      <c r="C93" s="18" t="n"/>
      <c r="D93" s="16" t="n"/>
      <c r="E93" s="17">
        <f>IF($D93="","",IFERROR(INDEX(rngCadetPIDs,MATCH($D93,rngCadetNames,0)),"?"))</f>
        <v/>
      </c>
      <c r="F93" s="17">
        <f>IF($E93="","",IFERROR(INDEX(nrCadetAgency,MATCH($E93,rngCadetPIDs,0)),""))</f>
        <v/>
      </c>
      <c r="G93" s="16" t="n"/>
      <c r="H93" s="16" t="n"/>
      <c r="I93" s="16" t="n"/>
      <c r="J93" s="16" t="n"/>
      <c r="K93" s="17">
        <f>IF($G93="","",IF(OR($G93="PT Missed",$G93="PT Modified",$G93="PT Refused"),"Yes","No"))</f>
        <v/>
      </c>
      <c r="L93" s="16" t="n"/>
      <c r="M93" s="16" t="n"/>
      <c r="N93" s="17">
        <f>IF($D93="","",IF($M93="Excused","No",IF(AND($G93="PT Modified",$L93="Received"),"No","Yes")))</f>
        <v/>
      </c>
      <c r="O93" s="16" t="n"/>
      <c r="P93" s="17">
        <f>IF(OR($B93="",N($I93)=0),"",MIN(N($I93),SUMIFS(nrMK_Min,nrMK_Link,$B93,nrMK_Credit,"Yes",nrMK_PID,$E93,nrMK_Type,"Classroom")))</f>
        <v/>
      </c>
      <c r="Q93" s="17">
        <f>IF(OR($B93="",N($J93)=0),"",MIN(N($J93),SUMIFS(nrMK_Sess,nrMK_Link,$B93,nrMK_Credit,"Yes",nrMK_PID,$E93,nrMK_Type,"PT")))</f>
        <v/>
      </c>
      <c r="R93" s="17">
        <f>IF(OR($B93="",$N93&lt;&gt;"Yes"),"",IF($K93="Yes",IF(N($J93)&gt;0,N($J93)-N($Q93),""),IF(N($I93)&gt;0,N($I93)-N($P93),"")))</f>
        <v/>
      </c>
      <c r="S93" s="17">
        <f>IF(OR($B93="",$R93=""),"",IF($R93&lt;=0,IF(IFERROR(_xlfn.MAXIFS(nrMK_Date,nrMK_Link,$B93,nrMK_Credit,"Yes",nrMK_PID,$E93),0)=0,"CLEARED (makeup date missing)","CLEARED "&amp;TEXT(_xlfn.MAXIFS(nrMK_Date,nrMK_Link,$B93,nrMK_Credit,"Yes",nrMK_PID,$E93),"mm/dd")),"OPEN"))</f>
        <v/>
      </c>
      <c r="T93" s="17">
        <f>IF($D93="","",IF($C93="","NO DATE",IF($G93="","NO EVENT TYPE",IF(AND($I93&lt;&gt;"",NOT(ISNUMBER($I93))),"MINUTES NOT A NUMBER",IF(AND($J93&lt;&gt;"",NOT(ISNUMBER($J93))),"SESSIONS NOT A NUMBER",IF(OR(N($I93)&lt;0,N($J93)&lt;0),"NEGATIVE MINUTES/SESSIONS",IF(AND($K93="Yes",N($I93)&gt;0),"MINUTES ON A PT EVENT - not counted (PT counts sessions)",IF(AND($K93="No",N($J93)&gt;0),"SESSIONS ON A CLASSROOM EVENT - not counted (classroom counts minutes)",IF(AND($N93="Yes",$K93="Yes",N($J93)=0),"COUNTED PT EVENT WITH NO SESSIONS - dropped from the PT cap",IF(AND($N93="Yes",$K93="No",N($I93)=0),"COUNTED EVENT WITH NO MINUTES - dropped from the classroom cap","OK"))))))))))</f>
        <v/>
      </c>
    </row>
    <row r="94">
      <c r="B94" s="17">
        <f>IF($D94="","","A"&amp;TEXT(ROW()-5,"000"))</f>
        <v/>
      </c>
      <c r="C94" s="18" t="n"/>
      <c r="D94" s="16" t="n"/>
      <c r="E94" s="17">
        <f>IF($D94="","",IFERROR(INDEX(rngCadetPIDs,MATCH($D94,rngCadetNames,0)),"?"))</f>
        <v/>
      </c>
      <c r="F94" s="17">
        <f>IF($E94="","",IFERROR(INDEX(nrCadetAgency,MATCH($E94,rngCadetPIDs,0)),""))</f>
        <v/>
      </c>
      <c r="G94" s="16" t="n"/>
      <c r="H94" s="16" t="n"/>
      <c r="I94" s="16" t="n"/>
      <c r="J94" s="16" t="n"/>
      <c r="K94" s="17">
        <f>IF($G94="","",IF(OR($G94="PT Missed",$G94="PT Modified",$G94="PT Refused"),"Yes","No"))</f>
        <v/>
      </c>
      <c r="L94" s="16" t="n"/>
      <c r="M94" s="16" t="n"/>
      <c r="N94" s="17">
        <f>IF($D94="","",IF($M94="Excused","No",IF(AND($G94="PT Modified",$L94="Received"),"No","Yes")))</f>
        <v/>
      </c>
      <c r="O94" s="16" t="n"/>
      <c r="P94" s="17">
        <f>IF(OR($B94="",N($I94)=0),"",MIN(N($I94),SUMIFS(nrMK_Min,nrMK_Link,$B94,nrMK_Credit,"Yes",nrMK_PID,$E94,nrMK_Type,"Classroom")))</f>
        <v/>
      </c>
      <c r="Q94" s="17">
        <f>IF(OR($B94="",N($J94)=0),"",MIN(N($J94),SUMIFS(nrMK_Sess,nrMK_Link,$B94,nrMK_Credit,"Yes",nrMK_PID,$E94,nrMK_Type,"PT")))</f>
        <v/>
      </c>
      <c r="R94" s="17">
        <f>IF(OR($B94="",$N94&lt;&gt;"Yes"),"",IF($K94="Yes",IF(N($J94)&gt;0,N($J94)-N($Q94),""),IF(N($I94)&gt;0,N($I94)-N($P94),"")))</f>
        <v/>
      </c>
      <c r="S94" s="17">
        <f>IF(OR($B94="",$R94=""),"",IF($R94&lt;=0,IF(IFERROR(_xlfn.MAXIFS(nrMK_Date,nrMK_Link,$B94,nrMK_Credit,"Yes",nrMK_PID,$E94),0)=0,"CLEARED (makeup date missing)","CLEARED "&amp;TEXT(_xlfn.MAXIFS(nrMK_Date,nrMK_Link,$B94,nrMK_Credit,"Yes",nrMK_PID,$E94),"mm/dd")),"OPEN"))</f>
        <v/>
      </c>
      <c r="T94" s="17">
        <f>IF($D94="","",IF($C94="","NO DATE",IF($G94="","NO EVENT TYPE",IF(AND($I94&lt;&gt;"",NOT(ISNUMBER($I94))),"MINUTES NOT A NUMBER",IF(AND($J94&lt;&gt;"",NOT(ISNUMBER($J94))),"SESSIONS NOT A NUMBER",IF(OR(N($I94)&lt;0,N($J94)&lt;0),"NEGATIVE MINUTES/SESSIONS",IF(AND($K94="Yes",N($I94)&gt;0),"MINUTES ON A PT EVENT - not counted (PT counts sessions)",IF(AND($K94="No",N($J94)&gt;0),"SESSIONS ON A CLASSROOM EVENT - not counted (classroom counts minutes)",IF(AND($N94="Yes",$K94="Yes",N($J94)=0),"COUNTED PT EVENT WITH NO SESSIONS - dropped from the PT cap",IF(AND($N94="Yes",$K94="No",N($I94)=0),"COUNTED EVENT WITH NO MINUTES - dropped from the classroom cap","OK"))))))))))</f>
        <v/>
      </c>
    </row>
    <row r="95">
      <c r="B95" s="17">
        <f>IF($D95="","","A"&amp;TEXT(ROW()-5,"000"))</f>
        <v/>
      </c>
      <c r="C95" s="18" t="n"/>
      <c r="D95" s="16" t="n"/>
      <c r="E95" s="17">
        <f>IF($D95="","",IFERROR(INDEX(rngCadetPIDs,MATCH($D95,rngCadetNames,0)),"?"))</f>
        <v/>
      </c>
      <c r="F95" s="17">
        <f>IF($E95="","",IFERROR(INDEX(nrCadetAgency,MATCH($E95,rngCadetPIDs,0)),""))</f>
        <v/>
      </c>
      <c r="G95" s="16" t="n"/>
      <c r="H95" s="16" t="n"/>
      <c r="I95" s="16" t="n"/>
      <c r="J95" s="16" t="n"/>
      <c r="K95" s="17">
        <f>IF($G95="","",IF(OR($G95="PT Missed",$G95="PT Modified",$G95="PT Refused"),"Yes","No"))</f>
        <v/>
      </c>
      <c r="L95" s="16" t="n"/>
      <c r="M95" s="16" t="n"/>
      <c r="N95" s="17">
        <f>IF($D95="","",IF($M95="Excused","No",IF(AND($G95="PT Modified",$L95="Received"),"No","Yes")))</f>
        <v/>
      </c>
      <c r="O95" s="16" t="n"/>
      <c r="P95" s="17">
        <f>IF(OR($B95="",N($I95)=0),"",MIN(N($I95),SUMIFS(nrMK_Min,nrMK_Link,$B95,nrMK_Credit,"Yes",nrMK_PID,$E95,nrMK_Type,"Classroom")))</f>
        <v/>
      </c>
      <c r="Q95" s="17">
        <f>IF(OR($B95="",N($J95)=0),"",MIN(N($J95),SUMIFS(nrMK_Sess,nrMK_Link,$B95,nrMK_Credit,"Yes",nrMK_PID,$E95,nrMK_Type,"PT")))</f>
        <v/>
      </c>
      <c r="R95" s="17">
        <f>IF(OR($B95="",$N95&lt;&gt;"Yes"),"",IF($K95="Yes",IF(N($J95)&gt;0,N($J95)-N($Q95),""),IF(N($I95)&gt;0,N($I95)-N($P95),"")))</f>
        <v/>
      </c>
      <c r="S95" s="17">
        <f>IF(OR($B95="",$R95=""),"",IF($R95&lt;=0,IF(IFERROR(_xlfn.MAXIFS(nrMK_Date,nrMK_Link,$B95,nrMK_Credit,"Yes",nrMK_PID,$E95),0)=0,"CLEARED (makeup date missing)","CLEARED "&amp;TEXT(_xlfn.MAXIFS(nrMK_Date,nrMK_Link,$B95,nrMK_Credit,"Yes",nrMK_PID,$E95),"mm/dd")),"OPEN"))</f>
        <v/>
      </c>
      <c r="T95" s="17">
        <f>IF($D95="","",IF($C95="","NO DATE",IF($G95="","NO EVENT TYPE",IF(AND($I95&lt;&gt;"",NOT(ISNUMBER($I95))),"MINUTES NOT A NUMBER",IF(AND($J95&lt;&gt;"",NOT(ISNUMBER($J95))),"SESSIONS NOT A NUMBER",IF(OR(N($I95)&lt;0,N($J95)&lt;0),"NEGATIVE MINUTES/SESSIONS",IF(AND($K95="Yes",N($I95)&gt;0),"MINUTES ON A PT EVENT - not counted (PT counts sessions)",IF(AND($K95="No",N($J95)&gt;0),"SESSIONS ON A CLASSROOM EVENT - not counted (classroom counts minutes)",IF(AND($N95="Yes",$K95="Yes",N($J95)=0),"COUNTED PT EVENT WITH NO SESSIONS - dropped from the PT cap",IF(AND($N95="Yes",$K95="No",N($I95)=0),"COUNTED EVENT WITH NO MINUTES - dropped from the classroom cap","OK"))))))))))</f>
        <v/>
      </c>
    </row>
    <row r="96">
      <c r="B96" s="17">
        <f>IF($D96="","","A"&amp;TEXT(ROW()-5,"000"))</f>
        <v/>
      </c>
      <c r="C96" s="18" t="n"/>
      <c r="D96" s="16" t="n"/>
      <c r="E96" s="17">
        <f>IF($D96="","",IFERROR(INDEX(rngCadetPIDs,MATCH($D96,rngCadetNames,0)),"?"))</f>
        <v/>
      </c>
      <c r="F96" s="17">
        <f>IF($E96="","",IFERROR(INDEX(nrCadetAgency,MATCH($E96,rngCadetPIDs,0)),""))</f>
        <v/>
      </c>
      <c r="G96" s="16" t="n"/>
      <c r="H96" s="16" t="n"/>
      <c r="I96" s="16" t="n"/>
      <c r="J96" s="16" t="n"/>
      <c r="K96" s="17">
        <f>IF($G96="","",IF(OR($G96="PT Missed",$G96="PT Modified",$G96="PT Refused"),"Yes","No"))</f>
        <v/>
      </c>
      <c r="L96" s="16" t="n"/>
      <c r="M96" s="16" t="n"/>
      <c r="N96" s="17">
        <f>IF($D96="","",IF($M96="Excused","No",IF(AND($G96="PT Modified",$L96="Received"),"No","Yes")))</f>
        <v/>
      </c>
      <c r="O96" s="16" t="n"/>
      <c r="P96" s="17">
        <f>IF(OR($B96="",N($I96)=0),"",MIN(N($I96),SUMIFS(nrMK_Min,nrMK_Link,$B96,nrMK_Credit,"Yes",nrMK_PID,$E96,nrMK_Type,"Classroom")))</f>
        <v/>
      </c>
      <c r="Q96" s="17">
        <f>IF(OR($B96="",N($J96)=0),"",MIN(N($J96),SUMIFS(nrMK_Sess,nrMK_Link,$B96,nrMK_Credit,"Yes",nrMK_PID,$E96,nrMK_Type,"PT")))</f>
        <v/>
      </c>
      <c r="R96" s="17">
        <f>IF(OR($B96="",$N96&lt;&gt;"Yes"),"",IF($K96="Yes",IF(N($J96)&gt;0,N($J96)-N($Q96),""),IF(N($I96)&gt;0,N($I96)-N($P96),"")))</f>
        <v/>
      </c>
      <c r="S96" s="17">
        <f>IF(OR($B96="",$R96=""),"",IF($R96&lt;=0,IF(IFERROR(_xlfn.MAXIFS(nrMK_Date,nrMK_Link,$B96,nrMK_Credit,"Yes",nrMK_PID,$E96),0)=0,"CLEARED (makeup date missing)","CLEARED "&amp;TEXT(_xlfn.MAXIFS(nrMK_Date,nrMK_Link,$B96,nrMK_Credit,"Yes",nrMK_PID,$E96),"mm/dd")),"OPEN"))</f>
        <v/>
      </c>
      <c r="T96" s="17">
        <f>IF($D96="","",IF($C96="","NO DATE",IF($G96="","NO EVENT TYPE",IF(AND($I96&lt;&gt;"",NOT(ISNUMBER($I96))),"MINUTES NOT A NUMBER",IF(AND($J96&lt;&gt;"",NOT(ISNUMBER($J96))),"SESSIONS NOT A NUMBER",IF(OR(N($I96)&lt;0,N($J96)&lt;0),"NEGATIVE MINUTES/SESSIONS",IF(AND($K96="Yes",N($I96)&gt;0),"MINUTES ON A PT EVENT - not counted (PT counts sessions)",IF(AND($K96="No",N($J96)&gt;0),"SESSIONS ON A CLASSROOM EVENT - not counted (classroom counts minutes)",IF(AND($N96="Yes",$K96="Yes",N($J96)=0),"COUNTED PT EVENT WITH NO SESSIONS - dropped from the PT cap",IF(AND($N96="Yes",$K96="No",N($I96)=0),"COUNTED EVENT WITH NO MINUTES - dropped from the classroom cap","OK"))))))))))</f>
        <v/>
      </c>
    </row>
    <row r="97">
      <c r="B97" s="17">
        <f>IF($D97="","","A"&amp;TEXT(ROW()-5,"000"))</f>
        <v/>
      </c>
      <c r="C97" s="18" t="n"/>
      <c r="D97" s="16" t="n"/>
      <c r="E97" s="17">
        <f>IF($D97="","",IFERROR(INDEX(rngCadetPIDs,MATCH($D97,rngCadetNames,0)),"?"))</f>
        <v/>
      </c>
      <c r="F97" s="17">
        <f>IF($E97="","",IFERROR(INDEX(nrCadetAgency,MATCH($E97,rngCadetPIDs,0)),""))</f>
        <v/>
      </c>
      <c r="G97" s="16" t="n"/>
      <c r="H97" s="16" t="n"/>
      <c r="I97" s="16" t="n"/>
      <c r="J97" s="16" t="n"/>
      <c r="K97" s="17">
        <f>IF($G97="","",IF(OR($G97="PT Missed",$G97="PT Modified",$G97="PT Refused"),"Yes","No"))</f>
        <v/>
      </c>
      <c r="L97" s="16" t="n"/>
      <c r="M97" s="16" t="n"/>
      <c r="N97" s="17">
        <f>IF($D97="","",IF($M97="Excused","No",IF(AND($G97="PT Modified",$L97="Received"),"No","Yes")))</f>
        <v/>
      </c>
      <c r="O97" s="16" t="n"/>
      <c r="P97" s="17">
        <f>IF(OR($B97="",N($I97)=0),"",MIN(N($I97),SUMIFS(nrMK_Min,nrMK_Link,$B97,nrMK_Credit,"Yes",nrMK_PID,$E97,nrMK_Type,"Classroom")))</f>
        <v/>
      </c>
      <c r="Q97" s="17">
        <f>IF(OR($B97="",N($J97)=0),"",MIN(N($J97),SUMIFS(nrMK_Sess,nrMK_Link,$B97,nrMK_Credit,"Yes",nrMK_PID,$E97,nrMK_Type,"PT")))</f>
        <v/>
      </c>
      <c r="R97" s="17">
        <f>IF(OR($B97="",$N97&lt;&gt;"Yes"),"",IF($K97="Yes",IF(N($J97)&gt;0,N($J97)-N($Q97),""),IF(N($I97)&gt;0,N($I97)-N($P97),"")))</f>
        <v/>
      </c>
      <c r="S97" s="17">
        <f>IF(OR($B97="",$R97=""),"",IF($R97&lt;=0,IF(IFERROR(_xlfn.MAXIFS(nrMK_Date,nrMK_Link,$B97,nrMK_Credit,"Yes",nrMK_PID,$E97),0)=0,"CLEARED (makeup date missing)","CLEARED "&amp;TEXT(_xlfn.MAXIFS(nrMK_Date,nrMK_Link,$B97,nrMK_Credit,"Yes",nrMK_PID,$E97),"mm/dd")),"OPEN"))</f>
        <v/>
      </c>
      <c r="T97" s="17">
        <f>IF($D97="","",IF($C97="","NO DATE",IF($G97="","NO EVENT TYPE",IF(AND($I97&lt;&gt;"",NOT(ISNUMBER($I97))),"MINUTES NOT A NUMBER",IF(AND($J97&lt;&gt;"",NOT(ISNUMBER($J97))),"SESSIONS NOT A NUMBER",IF(OR(N($I97)&lt;0,N($J97)&lt;0),"NEGATIVE MINUTES/SESSIONS",IF(AND($K97="Yes",N($I97)&gt;0),"MINUTES ON A PT EVENT - not counted (PT counts sessions)",IF(AND($K97="No",N($J97)&gt;0),"SESSIONS ON A CLASSROOM EVENT - not counted (classroom counts minutes)",IF(AND($N97="Yes",$K97="Yes",N($J97)=0),"COUNTED PT EVENT WITH NO SESSIONS - dropped from the PT cap",IF(AND($N97="Yes",$K97="No",N($I97)=0),"COUNTED EVENT WITH NO MINUTES - dropped from the classroom cap","OK"))))))))))</f>
        <v/>
      </c>
    </row>
    <row r="98">
      <c r="B98" s="17">
        <f>IF($D98="","","A"&amp;TEXT(ROW()-5,"000"))</f>
        <v/>
      </c>
      <c r="C98" s="18" t="n"/>
      <c r="D98" s="16" t="n"/>
      <c r="E98" s="17">
        <f>IF($D98="","",IFERROR(INDEX(rngCadetPIDs,MATCH($D98,rngCadetNames,0)),"?"))</f>
        <v/>
      </c>
      <c r="F98" s="17">
        <f>IF($E98="","",IFERROR(INDEX(nrCadetAgency,MATCH($E98,rngCadetPIDs,0)),""))</f>
        <v/>
      </c>
      <c r="G98" s="16" t="n"/>
      <c r="H98" s="16" t="n"/>
      <c r="I98" s="16" t="n"/>
      <c r="J98" s="16" t="n"/>
      <c r="K98" s="17">
        <f>IF($G98="","",IF(OR($G98="PT Missed",$G98="PT Modified",$G98="PT Refused"),"Yes","No"))</f>
        <v/>
      </c>
      <c r="L98" s="16" t="n"/>
      <c r="M98" s="16" t="n"/>
      <c r="N98" s="17">
        <f>IF($D98="","",IF($M98="Excused","No",IF(AND($G98="PT Modified",$L98="Received"),"No","Yes")))</f>
        <v/>
      </c>
      <c r="O98" s="16" t="n"/>
      <c r="P98" s="17">
        <f>IF(OR($B98="",N($I98)=0),"",MIN(N($I98),SUMIFS(nrMK_Min,nrMK_Link,$B98,nrMK_Credit,"Yes",nrMK_PID,$E98,nrMK_Type,"Classroom")))</f>
        <v/>
      </c>
      <c r="Q98" s="17">
        <f>IF(OR($B98="",N($J98)=0),"",MIN(N($J98),SUMIFS(nrMK_Sess,nrMK_Link,$B98,nrMK_Credit,"Yes",nrMK_PID,$E98,nrMK_Type,"PT")))</f>
        <v/>
      </c>
      <c r="R98" s="17">
        <f>IF(OR($B98="",$N98&lt;&gt;"Yes"),"",IF($K98="Yes",IF(N($J98)&gt;0,N($J98)-N($Q98),""),IF(N($I98)&gt;0,N($I98)-N($P98),"")))</f>
        <v/>
      </c>
      <c r="S98" s="17">
        <f>IF(OR($B98="",$R98=""),"",IF($R98&lt;=0,IF(IFERROR(_xlfn.MAXIFS(nrMK_Date,nrMK_Link,$B98,nrMK_Credit,"Yes",nrMK_PID,$E98),0)=0,"CLEARED (makeup date missing)","CLEARED "&amp;TEXT(_xlfn.MAXIFS(nrMK_Date,nrMK_Link,$B98,nrMK_Credit,"Yes",nrMK_PID,$E98),"mm/dd")),"OPEN"))</f>
        <v/>
      </c>
      <c r="T98" s="17">
        <f>IF($D98="","",IF($C98="","NO DATE",IF($G98="","NO EVENT TYPE",IF(AND($I98&lt;&gt;"",NOT(ISNUMBER($I98))),"MINUTES NOT A NUMBER",IF(AND($J98&lt;&gt;"",NOT(ISNUMBER($J98))),"SESSIONS NOT A NUMBER",IF(OR(N($I98)&lt;0,N($J98)&lt;0),"NEGATIVE MINUTES/SESSIONS",IF(AND($K98="Yes",N($I98)&gt;0),"MINUTES ON A PT EVENT - not counted (PT counts sessions)",IF(AND($K98="No",N($J98)&gt;0),"SESSIONS ON A CLASSROOM EVENT - not counted (classroom counts minutes)",IF(AND($N98="Yes",$K98="Yes",N($J98)=0),"COUNTED PT EVENT WITH NO SESSIONS - dropped from the PT cap",IF(AND($N98="Yes",$K98="No",N($I98)=0),"COUNTED EVENT WITH NO MINUTES - dropped from the classroom cap","OK"))))))))))</f>
        <v/>
      </c>
    </row>
    <row r="99">
      <c r="B99" s="17">
        <f>IF($D99="","","A"&amp;TEXT(ROW()-5,"000"))</f>
        <v/>
      </c>
      <c r="C99" s="18" t="n"/>
      <c r="D99" s="16" t="n"/>
      <c r="E99" s="17">
        <f>IF($D99="","",IFERROR(INDEX(rngCadetPIDs,MATCH($D99,rngCadetNames,0)),"?"))</f>
        <v/>
      </c>
      <c r="F99" s="17">
        <f>IF($E99="","",IFERROR(INDEX(nrCadetAgency,MATCH($E99,rngCadetPIDs,0)),""))</f>
        <v/>
      </c>
      <c r="G99" s="16" t="n"/>
      <c r="H99" s="16" t="n"/>
      <c r="I99" s="16" t="n"/>
      <c r="J99" s="16" t="n"/>
      <c r="K99" s="17">
        <f>IF($G99="","",IF(OR($G99="PT Missed",$G99="PT Modified",$G99="PT Refused"),"Yes","No"))</f>
        <v/>
      </c>
      <c r="L99" s="16" t="n"/>
      <c r="M99" s="16" t="n"/>
      <c r="N99" s="17">
        <f>IF($D99="","",IF($M99="Excused","No",IF(AND($G99="PT Modified",$L99="Received"),"No","Yes")))</f>
        <v/>
      </c>
      <c r="O99" s="16" t="n"/>
      <c r="P99" s="17">
        <f>IF(OR($B99="",N($I99)=0),"",MIN(N($I99),SUMIFS(nrMK_Min,nrMK_Link,$B99,nrMK_Credit,"Yes",nrMK_PID,$E99,nrMK_Type,"Classroom")))</f>
        <v/>
      </c>
      <c r="Q99" s="17">
        <f>IF(OR($B99="",N($J99)=0),"",MIN(N($J99),SUMIFS(nrMK_Sess,nrMK_Link,$B99,nrMK_Credit,"Yes",nrMK_PID,$E99,nrMK_Type,"PT")))</f>
        <v/>
      </c>
      <c r="R99" s="17">
        <f>IF(OR($B99="",$N99&lt;&gt;"Yes"),"",IF($K99="Yes",IF(N($J99)&gt;0,N($J99)-N($Q99),""),IF(N($I99)&gt;0,N($I99)-N($P99),"")))</f>
        <v/>
      </c>
      <c r="S99" s="17">
        <f>IF(OR($B99="",$R99=""),"",IF($R99&lt;=0,IF(IFERROR(_xlfn.MAXIFS(nrMK_Date,nrMK_Link,$B99,nrMK_Credit,"Yes",nrMK_PID,$E99),0)=0,"CLEARED (makeup date missing)","CLEARED "&amp;TEXT(_xlfn.MAXIFS(nrMK_Date,nrMK_Link,$B99,nrMK_Credit,"Yes",nrMK_PID,$E99),"mm/dd")),"OPEN"))</f>
        <v/>
      </c>
      <c r="T99" s="17">
        <f>IF($D99="","",IF($C99="","NO DATE",IF($G99="","NO EVENT TYPE",IF(AND($I99&lt;&gt;"",NOT(ISNUMBER($I99))),"MINUTES NOT A NUMBER",IF(AND($J99&lt;&gt;"",NOT(ISNUMBER($J99))),"SESSIONS NOT A NUMBER",IF(OR(N($I99)&lt;0,N($J99)&lt;0),"NEGATIVE MINUTES/SESSIONS",IF(AND($K99="Yes",N($I99)&gt;0),"MINUTES ON A PT EVENT - not counted (PT counts sessions)",IF(AND($K99="No",N($J99)&gt;0),"SESSIONS ON A CLASSROOM EVENT - not counted (classroom counts minutes)",IF(AND($N99="Yes",$K99="Yes",N($J99)=0),"COUNTED PT EVENT WITH NO SESSIONS - dropped from the PT cap",IF(AND($N99="Yes",$K99="No",N($I99)=0),"COUNTED EVENT WITH NO MINUTES - dropped from the classroom cap","OK"))))))))))</f>
        <v/>
      </c>
    </row>
    <row r="100">
      <c r="B100" s="17">
        <f>IF($D100="","","A"&amp;TEXT(ROW()-5,"000"))</f>
        <v/>
      </c>
      <c r="C100" s="18" t="n"/>
      <c r="D100" s="16" t="n"/>
      <c r="E100" s="17">
        <f>IF($D100="","",IFERROR(INDEX(rngCadetPIDs,MATCH($D100,rngCadetNames,0)),"?"))</f>
        <v/>
      </c>
      <c r="F100" s="17">
        <f>IF($E100="","",IFERROR(INDEX(nrCadetAgency,MATCH($E100,rngCadetPIDs,0)),""))</f>
        <v/>
      </c>
      <c r="G100" s="16" t="n"/>
      <c r="H100" s="16" t="n"/>
      <c r="I100" s="16" t="n"/>
      <c r="J100" s="16" t="n"/>
      <c r="K100" s="17">
        <f>IF($G100="","",IF(OR($G100="PT Missed",$G100="PT Modified",$G100="PT Refused"),"Yes","No"))</f>
        <v/>
      </c>
      <c r="L100" s="16" t="n"/>
      <c r="M100" s="16" t="n"/>
      <c r="N100" s="17">
        <f>IF($D100="","",IF($M100="Excused","No",IF(AND($G100="PT Modified",$L100="Received"),"No","Yes")))</f>
        <v/>
      </c>
      <c r="O100" s="16" t="n"/>
      <c r="P100" s="17">
        <f>IF(OR($B100="",N($I100)=0),"",MIN(N($I100),SUMIFS(nrMK_Min,nrMK_Link,$B100,nrMK_Credit,"Yes",nrMK_PID,$E100,nrMK_Type,"Classroom")))</f>
        <v/>
      </c>
      <c r="Q100" s="17">
        <f>IF(OR($B100="",N($J100)=0),"",MIN(N($J100),SUMIFS(nrMK_Sess,nrMK_Link,$B100,nrMK_Credit,"Yes",nrMK_PID,$E100,nrMK_Type,"PT")))</f>
        <v/>
      </c>
      <c r="R100" s="17">
        <f>IF(OR($B100="",$N100&lt;&gt;"Yes"),"",IF($K100="Yes",IF(N($J100)&gt;0,N($J100)-N($Q100),""),IF(N($I100)&gt;0,N($I100)-N($P100),"")))</f>
        <v/>
      </c>
      <c r="S100" s="17">
        <f>IF(OR($B100="",$R100=""),"",IF($R100&lt;=0,IF(IFERROR(_xlfn.MAXIFS(nrMK_Date,nrMK_Link,$B100,nrMK_Credit,"Yes",nrMK_PID,$E100),0)=0,"CLEARED (makeup date missing)","CLEARED "&amp;TEXT(_xlfn.MAXIFS(nrMK_Date,nrMK_Link,$B100,nrMK_Credit,"Yes",nrMK_PID,$E100),"mm/dd")),"OPEN"))</f>
        <v/>
      </c>
      <c r="T100" s="17">
        <f>IF($D100="","",IF($C100="","NO DATE",IF($G100="","NO EVENT TYPE",IF(AND($I100&lt;&gt;"",NOT(ISNUMBER($I100))),"MINUTES NOT A NUMBER",IF(AND($J100&lt;&gt;"",NOT(ISNUMBER($J100))),"SESSIONS NOT A NUMBER",IF(OR(N($I100)&lt;0,N($J100)&lt;0),"NEGATIVE MINUTES/SESSIONS",IF(AND($K100="Yes",N($I100)&gt;0),"MINUTES ON A PT EVENT - not counted (PT counts sessions)",IF(AND($K100="No",N($J100)&gt;0),"SESSIONS ON A CLASSROOM EVENT - not counted (classroom counts minutes)",IF(AND($N100="Yes",$K100="Yes",N($J100)=0),"COUNTED PT EVENT WITH NO SESSIONS - dropped from the PT cap",IF(AND($N100="Yes",$K100="No",N($I100)=0),"COUNTED EVENT WITH NO MINUTES - dropped from the classroom cap","OK"))))))))))</f>
        <v/>
      </c>
    </row>
    <row r="101">
      <c r="B101" s="17">
        <f>IF($D101="","","A"&amp;TEXT(ROW()-5,"000"))</f>
        <v/>
      </c>
      <c r="C101" s="18" t="n"/>
      <c r="D101" s="16" t="n"/>
      <c r="E101" s="17">
        <f>IF($D101="","",IFERROR(INDEX(rngCadetPIDs,MATCH($D101,rngCadetNames,0)),"?"))</f>
        <v/>
      </c>
      <c r="F101" s="17">
        <f>IF($E101="","",IFERROR(INDEX(nrCadetAgency,MATCH($E101,rngCadetPIDs,0)),""))</f>
        <v/>
      </c>
      <c r="G101" s="16" t="n"/>
      <c r="H101" s="16" t="n"/>
      <c r="I101" s="16" t="n"/>
      <c r="J101" s="16" t="n"/>
      <c r="K101" s="17">
        <f>IF($G101="","",IF(OR($G101="PT Missed",$G101="PT Modified",$G101="PT Refused"),"Yes","No"))</f>
        <v/>
      </c>
      <c r="L101" s="16" t="n"/>
      <c r="M101" s="16" t="n"/>
      <c r="N101" s="17">
        <f>IF($D101="","",IF($M101="Excused","No",IF(AND($G101="PT Modified",$L101="Received"),"No","Yes")))</f>
        <v/>
      </c>
      <c r="O101" s="16" t="n"/>
      <c r="P101" s="17">
        <f>IF(OR($B101="",N($I101)=0),"",MIN(N($I101),SUMIFS(nrMK_Min,nrMK_Link,$B101,nrMK_Credit,"Yes",nrMK_PID,$E101,nrMK_Type,"Classroom")))</f>
        <v/>
      </c>
      <c r="Q101" s="17">
        <f>IF(OR($B101="",N($J101)=0),"",MIN(N($J101),SUMIFS(nrMK_Sess,nrMK_Link,$B101,nrMK_Credit,"Yes",nrMK_PID,$E101,nrMK_Type,"PT")))</f>
        <v/>
      </c>
      <c r="R101" s="17">
        <f>IF(OR($B101="",$N101&lt;&gt;"Yes"),"",IF($K101="Yes",IF(N($J101)&gt;0,N($J101)-N($Q101),""),IF(N($I101)&gt;0,N($I101)-N($P101),"")))</f>
        <v/>
      </c>
      <c r="S101" s="17">
        <f>IF(OR($B101="",$R101=""),"",IF($R101&lt;=0,IF(IFERROR(_xlfn.MAXIFS(nrMK_Date,nrMK_Link,$B101,nrMK_Credit,"Yes",nrMK_PID,$E101),0)=0,"CLEARED (makeup date missing)","CLEARED "&amp;TEXT(_xlfn.MAXIFS(nrMK_Date,nrMK_Link,$B101,nrMK_Credit,"Yes",nrMK_PID,$E101),"mm/dd")),"OPEN"))</f>
        <v/>
      </c>
      <c r="T101" s="17">
        <f>IF($D101="","",IF($C101="","NO DATE",IF($G101="","NO EVENT TYPE",IF(AND($I101&lt;&gt;"",NOT(ISNUMBER($I101))),"MINUTES NOT A NUMBER",IF(AND($J101&lt;&gt;"",NOT(ISNUMBER($J101))),"SESSIONS NOT A NUMBER",IF(OR(N($I101)&lt;0,N($J101)&lt;0),"NEGATIVE MINUTES/SESSIONS",IF(AND($K101="Yes",N($I101)&gt;0),"MINUTES ON A PT EVENT - not counted (PT counts sessions)",IF(AND($K101="No",N($J101)&gt;0),"SESSIONS ON A CLASSROOM EVENT - not counted (classroom counts minutes)",IF(AND($N101="Yes",$K101="Yes",N($J101)=0),"COUNTED PT EVENT WITH NO SESSIONS - dropped from the PT cap",IF(AND($N101="Yes",$K101="No",N($I101)=0),"COUNTED EVENT WITH NO MINUTES - dropped from the classroom cap","OK"))))))))))</f>
        <v/>
      </c>
    </row>
    <row r="102">
      <c r="B102" s="17">
        <f>IF($D102="","","A"&amp;TEXT(ROW()-5,"000"))</f>
        <v/>
      </c>
      <c r="C102" s="18" t="n"/>
      <c r="D102" s="16" t="n"/>
      <c r="E102" s="17">
        <f>IF($D102="","",IFERROR(INDEX(rngCadetPIDs,MATCH($D102,rngCadetNames,0)),"?"))</f>
        <v/>
      </c>
      <c r="F102" s="17">
        <f>IF($E102="","",IFERROR(INDEX(nrCadetAgency,MATCH($E102,rngCadetPIDs,0)),""))</f>
        <v/>
      </c>
      <c r="G102" s="16" t="n"/>
      <c r="H102" s="16" t="n"/>
      <c r="I102" s="16" t="n"/>
      <c r="J102" s="16" t="n"/>
      <c r="K102" s="17">
        <f>IF($G102="","",IF(OR($G102="PT Missed",$G102="PT Modified",$G102="PT Refused"),"Yes","No"))</f>
        <v/>
      </c>
      <c r="L102" s="16" t="n"/>
      <c r="M102" s="16" t="n"/>
      <c r="N102" s="17">
        <f>IF($D102="","",IF($M102="Excused","No",IF(AND($G102="PT Modified",$L102="Received"),"No","Yes")))</f>
        <v/>
      </c>
      <c r="O102" s="16" t="n"/>
      <c r="P102" s="17">
        <f>IF(OR($B102="",N($I102)=0),"",MIN(N($I102),SUMIFS(nrMK_Min,nrMK_Link,$B102,nrMK_Credit,"Yes",nrMK_PID,$E102,nrMK_Type,"Classroom")))</f>
        <v/>
      </c>
      <c r="Q102" s="17">
        <f>IF(OR($B102="",N($J102)=0),"",MIN(N($J102),SUMIFS(nrMK_Sess,nrMK_Link,$B102,nrMK_Credit,"Yes",nrMK_PID,$E102,nrMK_Type,"PT")))</f>
        <v/>
      </c>
      <c r="R102" s="17">
        <f>IF(OR($B102="",$N102&lt;&gt;"Yes"),"",IF($K102="Yes",IF(N($J102)&gt;0,N($J102)-N($Q102),""),IF(N($I102)&gt;0,N($I102)-N($P102),"")))</f>
        <v/>
      </c>
      <c r="S102" s="17">
        <f>IF(OR($B102="",$R102=""),"",IF($R102&lt;=0,IF(IFERROR(_xlfn.MAXIFS(nrMK_Date,nrMK_Link,$B102,nrMK_Credit,"Yes",nrMK_PID,$E102),0)=0,"CLEARED (makeup date missing)","CLEARED "&amp;TEXT(_xlfn.MAXIFS(nrMK_Date,nrMK_Link,$B102,nrMK_Credit,"Yes",nrMK_PID,$E102),"mm/dd")),"OPEN"))</f>
        <v/>
      </c>
      <c r="T102" s="17">
        <f>IF($D102="","",IF($C102="","NO DATE",IF($G102="","NO EVENT TYPE",IF(AND($I102&lt;&gt;"",NOT(ISNUMBER($I102))),"MINUTES NOT A NUMBER",IF(AND($J102&lt;&gt;"",NOT(ISNUMBER($J102))),"SESSIONS NOT A NUMBER",IF(OR(N($I102)&lt;0,N($J102)&lt;0),"NEGATIVE MINUTES/SESSIONS",IF(AND($K102="Yes",N($I102)&gt;0),"MINUTES ON A PT EVENT - not counted (PT counts sessions)",IF(AND($K102="No",N($J102)&gt;0),"SESSIONS ON A CLASSROOM EVENT - not counted (classroom counts minutes)",IF(AND($N102="Yes",$K102="Yes",N($J102)=0),"COUNTED PT EVENT WITH NO SESSIONS - dropped from the PT cap",IF(AND($N102="Yes",$K102="No",N($I102)=0),"COUNTED EVENT WITH NO MINUTES - dropped from the classroom cap","OK"))))))))))</f>
        <v/>
      </c>
    </row>
    <row r="103">
      <c r="B103" s="17">
        <f>IF($D103="","","A"&amp;TEXT(ROW()-5,"000"))</f>
        <v/>
      </c>
      <c r="C103" s="18" t="n"/>
      <c r="D103" s="16" t="n"/>
      <c r="E103" s="17">
        <f>IF($D103="","",IFERROR(INDEX(rngCadetPIDs,MATCH($D103,rngCadetNames,0)),"?"))</f>
        <v/>
      </c>
      <c r="F103" s="17">
        <f>IF($E103="","",IFERROR(INDEX(nrCadetAgency,MATCH($E103,rngCadetPIDs,0)),""))</f>
        <v/>
      </c>
      <c r="G103" s="16" t="n"/>
      <c r="H103" s="16" t="n"/>
      <c r="I103" s="16" t="n"/>
      <c r="J103" s="16" t="n"/>
      <c r="K103" s="17">
        <f>IF($G103="","",IF(OR($G103="PT Missed",$G103="PT Modified",$G103="PT Refused"),"Yes","No"))</f>
        <v/>
      </c>
      <c r="L103" s="16" t="n"/>
      <c r="M103" s="16" t="n"/>
      <c r="N103" s="17">
        <f>IF($D103="","",IF($M103="Excused","No",IF(AND($G103="PT Modified",$L103="Received"),"No","Yes")))</f>
        <v/>
      </c>
      <c r="O103" s="16" t="n"/>
      <c r="P103" s="17">
        <f>IF(OR($B103="",N($I103)=0),"",MIN(N($I103),SUMIFS(nrMK_Min,nrMK_Link,$B103,nrMK_Credit,"Yes",nrMK_PID,$E103,nrMK_Type,"Classroom")))</f>
        <v/>
      </c>
      <c r="Q103" s="17">
        <f>IF(OR($B103="",N($J103)=0),"",MIN(N($J103),SUMIFS(nrMK_Sess,nrMK_Link,$B103,nrMK_Credit,"Yes",nrMK_PID,$E103,nrMK_Type,"PT")))</f>
        <v/>
      </c>
      <c r="R103" s="17">
        <f>IF(OR($B103="",$N103&lt;&gt;"Yes"),"",IF($K103="Yes",IF(N($J103)&gt;0,N($J103)-N($Q103),""),IF(N($I103)&gt;0,N($I103)-N($P103),"")))</f>
        <v/>
      </c>
      <c r="S103" s="17">
        <f>IF(OR($B103="",$R103=""),"",IF($R103&lt;=0,IF(IFERROR(_xlfn.MAXIFS(nrMK_Date,nrMK_Link,$B103,nrMK_Credit,"Yes",nrMK_PID,$E103),0)=0,"CLEARED (makeup date missing)","CLEARED "&amp;TEXT(_xlfn.MAXIFS(nrMK_Date,nrMK_Link,$B103,nrMK_Credit,"Yes",nrMK_PID,$E103),"mm/dd")),"OPEN"))</f>
        <v/>
      </c>
      <c r="T103" s="17">
        <f>IF($D103="","",IF($C103="","NO DATE",IF($G103="","NO EVENT TYPE",IF(AND($I103&lt;&gt;"",NOT(ISNUMBER($I103))),"MINUTES NOT A NUMBER",IF(AND($J103&lt;&gt;"",NOT(ISNUMBER($J103))),"SESSIONS NOT A NUMBER",IF(OR(N($I103)&lt;0,N($J103)&lt;0),"NEGATIVE MINUTES/SESSIONS",IF(AND($K103="Yes",N($I103)&gt;0),"MINUTES ON A PT EVENT - not counted (PT counts sessions)",IF(AND($K103="No",N($J103)&gt;0),"SESSIONS ON A CLASSROOM EVENT - not counted (classroom counts minutes)",IF(AND($N103="Yes",$K103="Yes",N($J103)=0),"COUNTED PT EVENT WITH NO SESSIONS - dropped from the PT cap",IF(AND($N103="Yes",$K103="No",N($I103)=0),"COUNTED EVENT WITH NO MINUTES - dropped from the classroom cap","OK"))))))))))</f>
        <v/>
      </c>
    </row>
    <row r="104">
      <c r="B104" s="17">
        <f>IF($D104="","","A"&amp;TEXT(ROW()-5,"000"))</f>
        <v/>
      </c>
      <c r="C104" s="18" t="n"/>
      <c r="D104" s="16" t="n"/>
      <c r="E104" s="17">
        <f>IF($D104="","",IFERROR(INDEX(rngCadetPIDs,MATCH($D104,rngCadetNames,0)),"?"))</f>
        <v/>
      </c>
      <c r="F104" s="17">
        <f>IF($E104="","",IFERROR(INDEX(nrCadetAgency,MATCH($E104,rngCadetPIDs,0)),""))</f>
        <v/>
      </c>
      <c r="G104" s="16" t="n"/>
      <c r="H104" s="16" t="n"/>
      <c r="I104" s="16" t="n"/>
      <c r="J104" s="16" t="n"/>
      <c r="K104" s="17">
        <f>IF($G104="","",IF(OR($G104="PT Missed",$G104="PT Modified",$G104="PT Refused"),"Yes","No"))</f>
        <v/>
      </c>
      <c r="L104" s="16" t="n"/>
      <c r="M104" s="16" t="n"/>
      <c r="N104" s="17">
        <f>IF($D104="","",IF($M104="Excused","No",IF(AND($G104="PT Modified",$L104="Received"),"No","Yes")))</f>
        <v/>
      </c>
      <c r="O104" s="16" t="n"/>
      <c r="P104" s="17">
        <f>IF(OR($B104="",N($I104)=0),"",MIN(N($I104),SUMIFS(nrMK_Min,nrMK_Link,$B104,nrMK_Credit,"Yes",nrMK_PID,$E104,nrMK_Type,"Classroom")))</f>
        <v/>
      </c>
      <c r="Q104" s="17">
        <f>IF(OR($B104="",N($J104)=0),"",MIN(N($J104),SUMIFS(nrMK_Sess,nrMK_Link,$B104,nrMK_Credit,"Yes",nrMK_PID,$E104,nrMK_Type,"PT")))</f>
        <v/>
      </c>
      <c r="R104" s="17">
        <f>IF(OR($B104="",$N104&lt;&gt;"Yes"),"",IF($K104="Yes",IF(N($J104)&gt;0,N($J104)-N($Q104),""),IF(N($I104)&gt;0,N($I104)-N($P104),"")))</f>
        <v/>
      </c>
      <c r="S104" s="17">
        <f>IF(OR($B104="",$R104=""),"",IF($R104&lt;=0,IF(IFERROR(_xlfn.MAXIFS(nrMK_Date,nrMK_Link,$B104,nrMK_Credit,"Yes",nrMK_PID,$E104),0)=0,"CLEARED (makeup date missing)","CLEARED "&amp;TEXT(_xlfn.MAXIFS(nrMK_Date,nrMK_Link,$B104,nrMK_Credit,"Yes",nrMK_PID,$E104),"mm/dd")),"OPEN"))</f>
        <v/>
      </c>
      <c r="T104" s="17">
        <f>IF($D104="","",IF($C104="","NO DATE",IF($G104="","NO EVENT TYPE",IF(AND($I104&lt;&gt;"",NOT(ISNUMBER($I104))),"MINUTES NOT A NUMBER",IF(AND($J104&lt;&gt;"",NOT(ISNUMBER($J104))),"SESSIONS NOT A NUMBER",IF(OR(N($I104)&lt;0,N($J104)&lt;0),"NEGATIVE MINUTES/SESSIONS",IF(AND($K104="Yes",N($I104)&gt;0),"MINUTES ON A PT EVENT - not counted (PT counts sessions)",IF(AND($K104="No",N($J104)&gt;0),"SESSIONS ON A CLASSROOM EVENT - not counted (classroom counts minutes)",IF(AND($N104="Yes",$K104="Yes",N($J104)=0),"COUNTED PT EVENT WITH NO SESSIONS - dropped from the PT cap",IF(AND($N104="Yes",$K104="No",N($I104)=0),"COUNTED EVENT WITH NO MINUTES - dropped from the classroom cap","OK"))))))))))</f>
        <v/>
      </c>
    </row>
    <row r="105">
      <c r="B105" s="17">
        <f>IF($D105="","","A"&amp;TEXT(ROW()-5,"000"))</f>
        <v/>
      </c>
      <c r="C105" s="18" t="n"/>
      <c r="D105" s="16" t="n"/>
      <c r="E105" s="17">
        <f>IF($D105="","",IFERROR(INDEX(rngCadetPIDs,MATCH($D105,rngCadetNames,0)),"?"))</f>
        <v/>
      </c>
      <c r="F105" s="17">
        <f>IF($E105="","",IFERROR(INDEX(nrCadetAgency,MATCH($E105,rngCadetPIDs,0)),""))</f>
        <v/>
      </c>
      <c r="G105" s="16" t="n"/>
      <c r="H105" s="16" t="n"/>
      <c r="I105" s="16" t="n"/>
      <c r="J105" s="16" t="n"/>
      <c r="K105" s="17">
        <f>IF($G105="","",IF(OR($G105="PT Missed",$G105="PT Modified",$G105="PT Refused"),"Yes","No"))</f>
        <v/>
      </c>
      <c r="L105" s="16" t="n"/>
      <c r="M105" s="16" t="n"/>
      <c r="N105" s="17">
        <f>IF($D105="","",IF($M105="Excused","No",IF(AND($G105="PT Modified",$L105="Received"),"No","Yes")))</f>
        <v/>
      </c>
      <c r="O105" s="16" t="n"/>
      <c r="P105" s="17">
        <f>IF(OR($B105="",N($I105)=0),"",MIN(N($I105),SUMIFS(nrMK_Min,nrMK_Link,$B105,nrMK_Credit,"Yes",nrMK_PID,$E105,nrMK_Type,"Classroom")))</f>
        <v/>
      </c>
      <c r="Q105" s="17">
        <f>IF(OR($B105="",N($J105)=0),"",MIN(N($J105),SUMIFS(nrMK_Sess,nrMK_Link,$B105,nrMK_Credit,"Yes",nrMK_PID,$E105,nrMK_Type,"PT")))</f>
        <v/>
      </c>
      <c r="R105" s="17">
        <f>IF(OR($B105="",$N105&lt;&gt;"Yes"),"",IF($K105="Yes",IF(N($J105)&gt;0,N($J105)-N($Q105),""),IF(N($I105)&gt;0,N($I105)-N($P105),"")))</f>
        <v/>
      </c>
      <c r="S105" s="17">
        <f>IF(OR($B105="",$R105=""),"",IF($R105&lt;=0,IF(IFERROR(_xlfn.MAXIFS(nrMK_Date,nrMK_Link,$B105,nrMK_Credit,"Yes",nrMK_PID,$E105),0)=0,"CLEARED (makeup date missing)","CLEARED "&amp;TEXT(_xlfn.MAXIFS(nrMK_Date,nrMK_Link,$B105,nrMK_Credit,"Yes",nrMK_PID,$E105),"mm/dd")),"OPEN"))</f>
        <v/>
      </c>
      <c r="T105" s="17">
        <f>IF($D105="","",IF($C105="","NO DATE",IF($G105="","NO EVENT TYPE",IF(AND($I105&lt;&gt;"",NOT(ISNUMBER($I105))),"MINUTES NOT A NUMBER",IF(AND($J105&lt;&gt;"",NOT(ISNUMBER($J105))),"SESSIONS NOT A NUMBER",IF(OR(N($I105)&lt;0,N($J105)&lt;0),"NEGATIVE MINUTES/SESSIONS",IF(AND($K105="Yes",N($I105)&gt;0),"MINUTES ON A PT EVENT - not counted (PT counts sessions)",IF(AND($K105="No",N($J105)&gt;0),"SESSIONS ON A CLASSROOM EVENT - not counted (classroom counts minutes)",IF(AND($N105="Yes",$K105="Yes",N($J105)=0),"COUNTED PT EVENT WITH NO SESSIONS - dropped from the PT cap",IF(AND($N105="Yes",$K105="No",N($I105)=0),"COUNTED EVENT WITH NO MINUTES - dropped from the classroom cap","OK"))))))))))</f>
        <v/>
      </c>
    </row>
    <row r="106">
      <c r="B106" s="17">
        <f>IF($D106="","","A"&amp;TEXT(ROW()-5,"000"))</f>
        <v/>
      </c>
      <c r="C106" s="18" t="n"/>
      <c r="D106" s="16" t="n"/>
      <c r="E106" s="17">
        <f>IF($D106="","",IFERROR(INDEX(rngCadetPIDs,MATCH($D106,rngCadetNames,0)),"?"))</f>
        <v/>
      </c>
      <c r="F106" s="17">
        <f>IF($E106="","",IFERROR(INDEX(nrCadetAgency,MATCH($E106,rngCadetPIDs,0)),""))</f>
        <v/>
      </c>
      <c r="G106" s="16" t="n"/>
      <c r="H106" s="16" t="n"/>
      <c r="I106" s="16" t="n"/>
      <c r="J106" s="16" t="n"/>
      <c r="K106" s="17">
        <f>IF($G106="","",IF(OR($G106="PT Missed",$G106="PT Modified",$G106="PT Refused"),"Yes","No"))</f>
        <v/>
      </c>
      <c r="L106" s="16" t="n"/>
      <c r="M106" s="16" t="n"/>
      <c r="N106" s="17">
        <f>IF($D106="","",IF($M106="Excused","No",IF(AND($G106="PT Modified",$L106="Received"),"No","Yes")))</f>
        <v/>
      </c>
      <c r="O106" s="16" t="n"/>
      <c r="P106" s="17">
        <f>IF(OR($B106="",N($I106)=0),"",MIN(N($I106),SUMIFS(nrMK_Min,nrMK_Link,$B106,nrMK_Credit,"Yes",nrMK_PID,$E106,nrMK_Type,"Classroom")))</f>
        <v/>
      </c>
      <c r="Q106" s="17">
        <f>IF(OR($B106="",N($J106)=0),"",MIN(N($J106),SUMIFS(nrMK_Sess,nrMK_Link,$B106,nrMK_Credit,"Yes",nrMK_PID,$E106,nrMK_Type,"PT")))</f>
        <v/>
      </c>
      <c r="R106" s="17">
        <f>IF(OR($B106="",$N106&lt;&gt;"Yes"),"",IF($K106="Yes",IF(N($J106)&gt;0,N($J106)-N($Q106),""),IF(N($I106)&gt;0,N($I106)-N($P106),"")))</f>
        <v/>
      </c>
      <c r="S106" s="17">
        <f>IF(OR($B106="",$R106=""),"",IF($R106&lt;=0,IF(IFERROR(_xlfn.MAXIFS(nrMK_Date,nrMK_Link,$B106,nrMK_Credit,"Yes",nrMK_PID,$E106),0)=0,"CLEARED (makeup date missing)","CLEARED "&amp;TEXT(_xlfn.MAXIFS(nrMK_Date,nrMK_Link,$B106,nrMK_Credit,"Yes",nrMK_PID,$E106),"mm/dd")),"OPEN"))</f>
        <v/>
      </c>
      <c r="T106" s="17">
        <f>IF($D106="","",IF($C106="","NO DATE",IF($G106="","NO EVENT TYPE",IF(AND($I106&lt;&gt;"",NOT(ISNUMBER($I106))),"MINUTES NOT A NUMBER",IF(AND($J106&lt;&gt;"",NOT(ISNUMBER($J106))),"SESSIONS NOT A NUMBER",IF(OR(N($I106)&lt;0,N($J106)&lt;0),"NEGATIVE MINUTES/SESSIONS",IF(AND($K106="Yes",N($I106)&gt;0),"MINUTES ON A PT EVENT - not counted (PT counts sessions)",IF(AND($K106="No",N($J106)&gt;0),"SESSIONS ON A CLASSROOM EVENT - not counted (classroom counts minutes)",IF(AND($N106="Yes",$K106="Yes",N($J106)=0),"COUNTED PT EVENT WITH NO SESSIONS - dropped from the PT cap",IF(AND($N106="Yes",$K106="No",N($I106)=0),"COUNTED EVENT WITH NO MINUTES - dropped from the classroom cap","OK"))))))))))</f>
        <v/>
      </c>
    </row>
    <row r="107">
      <c r="B107" s="17">
        <f>IF($D107="","","A"&amp;TEXT(ROW()-5,"000"))</f>
        <v/>
      </c>
      <c r="C107" s="18" t="n"/>
      <c r="D107" s="16" t="n"/>
      <c r="E107" s="17">
        <f>IF($D107="","",IFERROR(INDEX(rngCadetPIDs,MATCH($D107,rngCadetNames,0)),"?"))</f>
        <v/>
      </c>
      <c r="F107" s="17">
        <f>IF($E107="","",IFERROR(INDEX(nrCadetAgency,MATCH($E107,rngCadetPIDs,0)),""))</f>
        <v/>
      </c>
      <c r="G107" s="16" t="n"/>
      <c r="H107" s="16" t="n"/>
      <c r="I107" s="16" t="n"/>
      <c r="J107" s="16" t="n"/>
      <c r="K107" s="17">
        <f>IF($G107="","",IF(OR($G107="PT Missed",$G107="PT Modified",$G107="PT Refused"),"Yes","No"))</f>
        <v/>
      </c>
      <c r="L107" s="16" t="n"/>
      <c r="M107" s="16" t="n"/>
      <c r="N107" s="17">
        <f>IF($D107="","",IF($M107="Excused","No",IF(AND($G107="PT Modified",$L107="Received"),"No","Yes")))</f>
        <v/>
      </c>
      <c r="O107" s="16" t="n"/>
      <c r="P107" s="17">
        <f>IF(OR($B107="",N($I107)=0),"",MIN(N($I107),SUMIFS(nrMK_Min,nrMK_Link,$B107,nrMK_Credit,"Yes",nrMK_PID,$E107,nrMK_Type,"Classroom")))</f>
        <v/>
      </c>
      <c r="Q107" s="17">
        <f>IF(OR($B107="",N($J107)=0),"",MIN(N($J107),SUMIFS(nrMK_Sess,nrMK_Link,$B107,nrMK_Credit,"Yes",nrMK_PID,$E107,nrMK_Type,"PT")))</f>
        <v/>
      </c>
      <c r="R107" s="17">
        <f>IF(OR($B107="",$N107&lt;&gt;"Yes"),"",IF($K107="Yes",IF(N($J107)&gt;0,N($J107)-N($Q107),""),IF(N($I107)&gt;0,N($I107)-N($P107),"")))</f>
        <v/>
      </c>
      <c r="S107" s="17">
        <f>IF(OR($B107="",$R107=""),"",IF($R107&lt;=0,IF(IFERROR(_xlfn.MAXIFS(nrMK_Date,nrMK_Link,$B107,nrMK_Credit,"Yes",nrMK_PID,$E107),0)=0,"CLEARED (makeup date missing)","CLEARED "&amp;TEXT(_xlfn.MAXIFS(nrMK_Date,nrMK_Link,$B107,nrMK_Credit,"Yes",nrMK_PID,$E107),"mm/dd")),"OPEN"))</f>
        <v/>
      </c>
      <c r="T107" s="17">
        <f>IF($D107="","",IF($C107="","NO DATE",IF($G107="","NO EVENT TYPE",IF(AND($I107&lt;&gt;"",NOT(ISNUMBER($I107))),"MINUTES NOT A NUMBER",IF(AND($J107&lt;&gt;"",NOT(ISNUMBER($J107))),"SESSIONS NOT A NUMBER",IF(OR(N($I107)&lt;0,N($J107)&lt;0),"NEGATIVE MINUTES/SESSIONS",IF(AND($K107="Yes",N($I107)&gt;0),"MINUTES ON A PT EVENT - not counted (PT counts sessions)",IF(AND($K107="No",N($J107)&gt;0),"SESSIONS ON A CLASSROOM EVENT - not counted (classroom counts minutes)",IF(AND($N107="Yes",$K107="Yes",N($J107)=0),"COUNTED PT EVENT WITH NO SESSIONS - dropped from the PT cap",IF(AND($N107="Yes",$K107="No",N($I107)=0),"COUNTED EVENT WITH NO MINUTES - dropped from the classroom cap","OK"))))))))))</f>
        <v/>
      </c>
    </row>
    <row r="108">
      <c r="B108" s="17">
        <f>IF($D108="","","A"&amp;TEXT(ROW()-5,"000"))</f>
        <v/>
      </c>
      <c r="C108" s="18" t="n"/>
      <c r="D108" s="16" t="n"/>
      <c r="E108" s="17">
        <f>IF($D108="","",IFERROR(INDEX(rngCadetPIDs,MATCH($D108,rngCadetNames,0)),"?"))</f>
        <v/>
      </c>
      <c r="F108" s="17">
        <f>IF($E108="","",IFERROR(INDEX(nrCadetAgency,MATCH($E108,rngCadetPIDs,0)),""))</f>
        <v/>
      </c>
      <c r="G108" s="16" t="n"/>
      <c r="H108" s="16" t="n"/>
      <c r="I108" s="16" t="n"/>
      <c r="J108" s="16" t="n"/>
      <c r="K108" s="17">
        <f>IF($G108="","",IF(OR($G108="PT Missed",$G108="PT Modified",$G108="PT Refused"),"Yes","No"))</f>
        <v/>
      </c>
      <c r="L108" s="16" t="n"/>
      <c r="M108" s="16" t="n"/>
      <c r="N108" s="17">
        <f>IF($D108="","",IF($M108="Excused","No",IF(AND($G108="PT Modified",$L108="Received"),"No","Yes")))</f>
        <v/>
      </c>
      <c r="O108" s="16" t="n"/>
      <c r="P108" s="17">
        <f>IF(OR($B108="",N($I108)=0),"",MIN(N($I108),SUMIFS(nrMK_Min,nrMK_Link,$B108,nrMK_Credit,"Yes",nrMK_PID,$E108,nrMK_Type,"Classroom")))</f>
        <v/>
      </c>
      <c r="Q108" s="17">
        <f>IF(OR($B108="",N($J108)=0),"",MIN(N($J108),SUMIFS(nrMK_Sess,nrMK_Link,$B108,nrMK_Credit,"Yes",nrMK_PID,$E108,nrMK_Type,"PT")))</f>
        <v/>
      </c>
      <c r="R108" s="17">
        <f>IF(OR($B108="",$N108&lt;&gt;"Yes"),"",IF($K108="Yes",IF(N($J108)&gt;0,N($J108)-N($Q108),""),IF(N($I108)&gt;0,N($I108)-N($P108),"")))</f>
        <v/>
      </c>
      <c r="S108" s="17">
        <f>IF(OR($B108="",$R108=""),"",IF($R108&lt;=0,IF(IFERROR(_xlfn.MAXIFS(nrMK_Date,nrMK_Link,$B108,nrMK_Credit,"Yes",nrMK_PID,$E108),0)=0,"CLEARED (makeup date missing)","CLEARED "&amp;TEXT(_xlfn.MAXIFS(nrMK_Date,nrMK_Link,$B108,nrMK_Credit,"Yes",nrMK_PID,$E108),"mm/dd")),"OPEN"))</f>
        <v/>
      </c>
      <c r="T108" s="17">
        <f>IF($D108="","",IF($C108="","NO DATE",IF($G108="","NO EVENT TYPE",IF(AND($I108&lt;&gt;"",NOT(ISNUMBER($I108))),"MINUTES NOT A NUMBER",IF(AND($J108&lt;&gt;"",NOT(ISNUMBER($J108))),"SESSIONS NOT A NUMBER",IF(OR(N($I108)&lt;0,N($J108)&lt;0),"NEGATIVE MINUTES/SESSIONS",IF(AND($K108="Yes",N($I108)&gt;0),"MINUTES ON A PT EVENT - not counted (PT counts sessions)",IF(AND($K108="No",N($J108)&gt;0),"SESSIONS ON A CLASSROOM EVENT - not counted (classroom counts minutes)",IF(AND($N108="Yes",$K108="Yes",N($J108)=0),"COUNTED PT EVENT WITH NO SESSIONS - dropped from the PT cap",IF(AND($N108="Yes",$K108="No",N($I108)=0),"COUNTED EVENT WITH NO MINUTES - dropped from the classroom cap","OK"))))))))))</f>
        <v/>
      </c>
    </row>
    <row r="109">
      <c r="B109" s="17">
        <f>IF($D109="","","A"&amp;TEXT(ROW()-5,"000"))</f>
        <v/>
      </c>
      <c r="C109" s="18" t="n"/>
      <c r="D109" s="16" t="n"/>
      <c r="E109" s="17">
        <f>IF($D109="","",IFERROR(INDEX(rngCadetPIDs,MATCH($D109,rngCadetNames,0)),"?"))</f>
        <v/>
      </c>
      <c r="F109" s="17">
        <f>IF($E109="","",IFERROR(INDEX(nrCadetAgency,MATCH($E109,rngCadetPIDs,0)),""))</f>
        <v/>
      </c>
      <c r="G109" s="16" t="n"/>
      <c r="H109" s="16" t="n"/>
      <c r="I109" s="16" t="n"/>
      <c r="J109" s="16" t="n"/>
      <c r="K109" s="17">
        <f>IF($G109="","",IF(OR($G109="PT Missed",$G109="PT Modified",$G109="PT Refused"),"Yes","No"))</f>
        <v/>
      </c>
      <c r="L109" s="16" t="n"/>
      <c r="M109" s="16" t="n"/>
      <c r="N109" s="17">
        <f>IF($D109="","",IF($M109="Excused","No",IF(AND($G109="PT Modified",$L109="Received"),"No","Yes")))</f>
        <v/>
      </c>
      <c r="O109" s="16" t="n"/>
      <c r="P109" s="17">
        <f>IF(OR($B109="",N($I109)=0),"",MIN(N($I109),SUMIFS(nrMK_Min,nrMK_Link,$B109,nrMK_Credit,"Yes",nrMK_PID,$E109,nrMK_Type,"Classroom")))</f>
        <v/>
      </c>
      <c r="Q109" s="17">
        <f>IF(OR($B109="",N($J109)=0),"",MIN(N($J109),SUMIFS(nrMK_Sess,nrMK_Link,$B109,nrMK_Credit,"Yes",nrMK_PID,$E109,nrMK_Type,"PT")))</f>
        <v/>
      </c>
      <c r="R109" s="17">
        <f>IF(OR($B109="",$N109&lt;&gt;"Yes"),"",IF($K109="Yes",IF(N($J109)&gt;0,N($J109)-N($Q109),""),IF(N($I109)&gt;0,N($I109)-N($P109),"")))</f>
        <v/>
      </c>
      <c r="S109" s="17">
        <f>IF(OR($B109="",$R109=""),"",IF($R109&lt;=0,IF(IFERROR(_xlfn.MAXIFS(nrMK_Date,nrMK_Link,$B109,nrMK_Credit,"Yes",nrMK_PID,$E109),0)=0,"CLEARED (makeup date missing)","CLEARED "&amp;TEXT(_xlfn.MAXIFS(nrMK_Date,nrMK_Link,$B109,nrMK_Credit,"Yes",nrMK_PID,$E109),"mm/dd")),"OPEN"))</f>
        <v/>
      </c>
      <c r="T109" s="17">
        <f>IF($D109="","",IF($C109="","NO DATE",IF($G109="","NO EVENT TYPE",IF(AND($I109&lt;&gt;"",NOT(ISNUMBER($I109))),"MINUTES NOT A NUMBER",IF(AND($J109&lt;&gt;"",NOT(ISNUMBER($J109))),"SESSIONS NOT A NUMBER",IF(OR(N($I109)&lt;0,N($J109)&lt;0),"NEGATIVE MINUTES/SESSIONS",IF(AND($K109="Yes",N($I109)&gt;0),"MINUTES ON A PT EVENT - not counted (PT counts sessions)",IF(AND($K109="No",N($J109)&gt;0),"SESSIONS ON A CLASSROOM EVENT - not counted (classroom counts minutes)",IF(AND($N109="Yes",$K109="Yes",N($J109)=0),"COUNTED PT EVENT WITH NO SESSIONS - dropped from the PT cap",IF(AND($N109="Yes",$K109="No",N($I109)=0),"COUNTED EVENT WITH NO MINUTES - dropped from the classroom cap","OK"))))))))))</f>
        <v/>
      </c>
    </row>
    <row r="110">
      <c r="B110" s="17">
        <f>IF($D110="","","A"&amp;TEXT(ROW()-5,"000"))</f>
        <v/>
      </c>
      <c r="C110" s="18" t="n"/>
      <c r="D110" s="16" t="n"/>
      <c r="E110" s="17">
        <f>IF($D110="","",IFERROR(INDEX(rngCadetPIDs,MATCH($D110,rngCadetNames,0)),"?"))</f>
        <v/>
      </c>
      <c r="F110" s="17">
        <f>IF($E110="","",IFERROR(INDEX(nrCadetAgency,MATCH($E110,rngCadetPIDs,0)),""))</f>
        <v/>
      </c>
      <c r="G110" s="16" t="n"/>
      <c r="H110" s="16" t="n"/>
      <c r="I110" s="16" t="n"/>
      <c r="J110" s="16" t="n"/>
      <c r="K110" s="17">
        <f>IF($G110="","",IF(OR($G110="PT Missed",$G110="PT Modified",$G110="PT Refused"),"Yes","No"))</f>
        <v/>
      </c>
      <c r="L110" s="16" t="n"/>
      <c r="M110" s="16" t="n"/>
      <c r="N110" s="17">
        <f>IF($D110="","",IF($M110="Excused","No",IF(AND($G110="PT Modified",$L110="Received"),"No","Yes")))</f>
        <v/>
      </c>
      <c r="O110" s="16" t="n"/>
      <c r="P110" s="17">
        <f>IF(OR($B110="",N($I110)=0),"",MIN(N($I110),SUMIFS(nrMK_Min,nrMK_Link,$B110,nrMK_Credit,"Yes",nrMK_PID,$E110,nrMK_Type,"Classroom")))</f>
        <v/>
      </c>
      <c r="Q110" s="17">
        <f>IF(OR($B110="",N($J110)=0),"",MIN(N($J110),SUMIFS(nrMK_Sess,nrMK_Link,$B110,nrMK_Credit,"Yes",nrMK_PID,$E110,nrMK_Type,"PT")))</f>
        <v/>
      </c>
      <c r="R110" s="17">
        <f>IF(OR($B110="",$N110&lt;&gt;"Yes"),"",IF($K110="Yes",IF(N($J110)&gt;0,N($J110)-N($Q110),""),IF(N($I110)&gt;0,N($I110)-N($P110),"")))</f>
        <v/>
      </c>
      <c r="S110" s="17">
        <f>IF(OR($B110="",$R110=""),"",IF($R110&lt;=0,IF(IFERROR(_xlfn.MAXIFS(nrMK_Date,nrMK_Link,$B110,nrMK_Credit,"Yes",nrMK_PID,$E110),0)=0,"CLEARED (makeup date missing)","CLEARED "&amp;TEXT(_xlfn.MAXIFS(nrMK_Date,nrMK_Link,$B110,nrMK_Credit,"Yes",nrMK_PID,$E110),"mm/dd")),"OPEN"))</f>
        <v/>
      </c>
      <c r="T110" s="17">
        <f>IF($D110="","",IF($C110="","NO DATE",IF($G110="","NO EVENT TYPE",IF(AND($I110&lt;&gt;"",NOT(ISNUMBER($I110))),"MINUTES NOT A NUMBER",IF(AND($J110&lt;&gt;"",NOT(ISNUMBER($J110))),"SESSIONS NOT A NUMBER",IF(OR(N($I110)&lt;0,N($J110)&lt;0),"NEGATIVE MINUTES/SESSIONS",IF(AND($K110="Yes",N($I110)&gt;0),"MINUTES ON A PT EVENT - not counted (PT counts sessions)",IF(AND($K110="No",N($J110)&gt;0),"SESSIONS ON A CLASSROOM EVENT - not counted (classroom counts minutes)",IF(AND($N110="Yes",$K110="Yes",N($J110)=0),"COUNTED PT EVENT WITH NO SESSIONS - dropped from the PT cap",IF(AND($N110="Yes",$K110="No",N($I110)=0),"COUNTED EVENT WITH NO MINUTES - dropped from the classroom cap","OK"))))))))))</f>
        <v/>
      </c>
    </row>
    <row r="111">
      <c r="B111" s="17">
        <f>IF($D111="","","A"&amp;TEXT(ROW()-5,"000"))</f>
        <v/>
      </c>
      <c r="C111" s="18" t="n"/>
      <c r="D111" s="16" t="n"/>
      <c r="E111" s="17">
        <f>IF($D111="","",IFERROR(INDEX(rngCadetPIDs,MATCH($D111,rngCadetNames,0)),"?"))</f>
        <v/>
      </c>
      <c r="F111" s="17">
        <f>IF($E111="","",IFERROR(INDEX(nrCadetAgency,MATCH($E111,rngCadetPIDs,0)),""))</f>
        <v/>
      </c>
      <c r="G111" s="16" t="n"/>
      <c r="H111" s="16" t="n"/>
      <c r="I111" s="16" t="n"/>
      <c r="J111" s="16" t="n"/>
      <c r="K111" s="17">
        <f>IF($G111="","",IF(OR($G111="PT Missed",$G111="PT Modified",$G111="PT Refused"),"Yes","No"))</f>
        <v/>
      </c>
      <c r="L111" s="16" t="n"/>
      <c r="M111" s="16" t="n"/>
      <c r="N111" s="17">
        <f>IF($D111="","",IF($M111="Excused","No",IF(AND($G111="PT Modified",$L111="Received"),"No","Yes")))</f>
        <v/>
      </c>
      <c r="O111" s="16" t="n"/>
      <c r="P111" s="17">
        <f>IF(OR($B111="",N($I111)=0),"",MIN(N($I111),SUMIFS(nrMK_Min,nrMK_Link,$B111,nrMK_Credit,"Yes",nrMK_PID,$E111,nrMK_Type,"Classroom")))</f>
        <v/>
      </c>
      <c r="Q111" s="17">
        <f>IF(OR($B111="",N($J111)=0),"",MIN(N($J111),SUMIFS(nrMK_Sess,nrMK_Link,$B111,nrMK_Credit,"Yes",nrMK_PID,$E111,nrMK_Type,"PT")))</f>
        <v/>
      </c>
      <c r="R111" s="17">
        <f>IF(OR($B111="",$N111&lt;&gt;"Yes"),"",IF($K111="Yes",IF(N($J111)&gt;0,N($J111)-N($Q111),""),IF(N($I111)&gt;0,N($I111)-N($P111),"")))</f>
        <v/>
      </c>
      <c r="S111" s="17">
        <f>IF(OR($B111="",$R111=""),"",IF($R111&lt;=0,IF(IFERROR(_xlfn.MAXIFS(nrMK_Date,nrMK_Link,$B111,nrMK_Credit,"Yes",nrMK_PID,$E111),0)=0,"CLEARED (makeup date missing)","CLEARED "&amp;TEXT(_xlfn.MAXIFS(nrMK_Date,nrMK_Link,$B111,nrMK_Credit,"Yes",nrMK_PID,$E111),"mm/dd")),"OPEN"))</f>
        <v/>
      </c>
      <c r="T111" s="17">
        <f>IF($D111="","",IF($C111="","NO DATE",IF($G111="","NO EVENT TYPE",IF(AND($I111&lt;&gt;"",NOT(ISNUMBER($I111))),"MINUTES NOT A NUMBER",IF(AND($J111&lt;&gt;"",NOT(ISNUMBER($J111))),"SESSIONS NOT A NUMBER",IF(OR(N($I111)&lt;0,N($J111)&lt;0),"NEGATIVE MINUTES/SESSIONS",IF(AND($K111="Yes",N($I111)&gt;0),"MINUTES ON A PT EVENT - not counted (PT counts sessions)",IF(AND($K111="No",N($J111)&gt;0),"SESSIONS ON A CLASSROOM EVENT - not counted (classroom counts minutes)",IF(AND($N111="Yes",$K111="Yes",N($J111)=0),"COUNTED PT EVENT WITH NO SESSIONS - dropped from the PT cap",IF(AND($N111="Yes",$K111="No",N($I111)=0),"COUNTED EVENT WITH NO MINUTES - dropped from the classroom cap","OK"))))))))))</f>
        <v/>
      </c>
    </row>
    <row r="112">
      <c r="B112" s="17">
        <f>IF($D112="","","A"&amp;TEXT(ROW()-5,"000"))</f>
        <v/>
      </c>
      <c r="C112" s="18" t="n"/>
      <c r="D112" s="16" t="n"/>
      <c r="E112" s="17">
        <f>IF($D112="","",IFERROR(INDEX(rngCadetPIDs,MATCH($D112,rngCadetNames,0)),"?"))</f>
        <v/>
      </c>
      <c r="F112" s="17">
        <f>IF($E112="","",IFERROR(INDEX(nrCadetAgency,MATCH($E112,rngCadetPIDs,0)),""))</f>
        <v/>
      </c>
      <c r="G112" s="16" t="n"/>
      <c r="H112" s="16" t="n"/>
      <c r="I112" s="16" t="n"/>
      <c r="J112" s="16" t="n"/>
      <c r="K112" s="17">
        <f>IF($G112="","",IF(OR($G112="PT Missed",$G112="PT Modified",$G112="PT Refused"),"Yes","No"))</f>
        <v/>
      </c>
      <c r="L112" s="16" t="n"/>
      <c r="M112" s="16" t="n"/>
      <c r="N112" s="17">
        <f>IF($D112="","",IF($M112="Excused","No",IF(AND($G112="PT Modified",$L112="Received"),"No","Yes")))</f>
        <v/>
      </c>
      <c r="O112" s="16" t="n"/>
      <c r="P112" s="17">
        <f>IF(OR($B112="",N($I112)=0),"",MIN(N($I112),SUMIFS(nrMK_Min,nrMK_Link,$B112,nrMK_Credit,"Yes",nrMK_PID,$E112,nrMK_Type,"Classroom")))</f>
        <v/>
      </c>
      <c r="Q112" s="17">
        <f>IF(OR($B112="",N($J112)=0),"",MIN(N($J112),SUMIFS(nrMK_Sess,nrMK_Link,$B112,nrMK_Credit,"Yes",nrMK_PID,$E112,nrMK_Type,"PT")))</f>
        <v/>
      </c>
      <c r="R112" s="17">
        <f>IF(OR($B112="",$N112&lt;&gt;"Yes"),"",IF($K112="Yes",IF(N($J112)&gt;0,N($J112)-N($Q112),""),IF(N($I112)&gt;0,N($I112)-N($P112),"")))</f>
        <v/>
      </c>
      <c r="S112" s="17">
        <f>IF(OR($B112="",$R112=""),"",IF($R112&lt;=0,IF(IFERROR(_xlfn.MAXIFS(nrMK_Date,nrMK_Link,$B112,nrMK_Credit,"Yes",nrMK_PID,$E112),0)=0,"CLEARED (makeup date missing)","CLEARED "&amp;TEXT(_xlfn.MAXIFS(nrMK_Date,nrMK_Link,$B112,nrMK_Credit,"Yes",nrMK_PID,$E112),"mm/dd")),"OPEN"))</f>
        <v/>
      </c>
      <c r="T112" s="17">
        <f>IF($D112="","",IF($C112="","NO DATE",IF($G112="","NO EVENT TYPE",IF(AND($I112&lt;&gt;"",NOT(ISNUMBER($I112))),"MINUTES NOT A NUMBER",IF(AND($J112&lt;&gt;"",NOT(ISNUMBER($J112))),"SESSIONS NOT A NUMBER",IF(OR(N($I112)&lt;0,N($J112)&lt;0),"NEGATIVE MINUTES/SESSIONS",IF(AND($K112="Yes",N($I112)&gt;0),"MINUTES ON A PT EVENT - not counted (PT counts sessions)",IF(AND($K112="No",N($J112)&gt;0),"SESSIONS ON A CLASSROOM EVENT - not counted (classroom counts minutes)",IF(AND($N112="Yes",$K112="Yes",N($J112)=0),"COUNTED PT EVENT WITH NO SESSIONS - dropped from the PT cap",IF(AND($N112="Yes",$K112="No",N($I112)=0),"COUNTED EVENT WITH NO MINUTES - dropped from the classroom cap","OK"))))))))))</f>
        <v/>
      </c>
    </row>
    <row r="113">
      <c r="B113" s="17">
        <f>IF($D113="","","A"&amp;TEXT(ROW()-5,"000"))</f>
        <v/>
      </c>
      <c r="C113" s="18" t="n"/>
      <c r="D113" s="16" t="n"/>
      <c r="E113" s="17">
        <f>IF($D113="","",IFERROR(INDEX(rngCadetPIDs,MATCH($D113,rngCadetNames,0)),"?"))</f>
        <v/>
      </c>
      <c r="F113" s="17">
        <f>IF($E113="","",IFERROR(INDEX(nrCadetAgency,MATCH($E113,rngCadetPIDs,0)),""))</f>
        <v/>
      </c>
      <c r="G113" s="16" t="n"/>
      <c r="H113" s="16" t="n"/>
      <c r="I113" s="16" t="n"/>
      <c r="J113" s="16" t="n"/>
      <c r="K113" s="17">
        <f>IF($G113="","",IF(OR($G113="PT Missed",$G113="PT Modified",$G113="PT Refused"),"Yes","No"))</f>
        <v/>
      </c>
      <c r="L113" s="16" t="n"/>
      <c r="M113" s="16" t="n"/>
      <c r="N113" s="17">
        <f>IF($D113="","",IF($M113="Excused","No",IF(AND($G113="PT Modified",$L113="Received"),"No","Yes")))</f>
        <v/>
      </c>
      <c r="O113" s="16" t="n"/>
      <c r="P113" s="17">
        <f>IF(OR($B113="",N($I113)=0),"",MIN(N($I113),SUMIFS(nrMK_Min,nrMK_Link,$B113,nrMK_Credit,"Yes",nrMK_PID,$E113,nrMK_Type,"Classroom")))</f>
        <v/>
      </c>
      <c r="Q113" s="17">
        <f>IF(OR($B113="",N($J113)=0),"",MIN(N($J113),SUMIFS(nrMK_Sess,nrMK_Link,$B113,nrMK_Credit,"Yes",nrMK_PID,$E113,nrMK_Type,"PT")))</f>
        <v/>
      </c>
      <c r="R113" s="17">
        <f>IF(OR($B113="",$N113&lt;&gt;"Yes"),"",IF($K113="Yes",IF(N($J113)&gt;0,N($J113)-N($Q113),""),IF(N($I113)&gt;0,N($I113)-N($P113),"")))</f>
        <v/>
      </c>
      <c r="S113" s="17">
        <f>IF(OR($B113="",$R113=""),"",IF($R113&lt;=0,IF(IFERROR(_xlfn.MAXIFS(nrMK_Date,nrMK_Link,$B113,nrMK_Credit,"Yes",nrMK_PID,$E113),0)=0,"CLEARED (makeup date missing)","CLEARED "&amp;TEXT(_xlfn.MAXIFS(nrMK_Date,nrMK_Link,$B113,nrMK_Credit,"Yes",nrMK_PID,$E113),"mm/dd")),"OPEN"))</f>
        <v/>
      </c>
      <c r="T113" s="17">
        <f>IF($D113="","",IF($C113="","NO DATE",IF($G113="","NO EVENT TYPE",IF(AND($I113&lt;&gt;"",NOT(ISNUMBER($I113))),"MINUTES NOT A NUMBER",IF(AND($J113&lt;&gt;"",NOT(ISNUMBER($J113))),"SESSIONS NOT A NUMBER",IF(OR(N($I113)&lt;0,N($J113)&lt;0),"NEGATIVE MINUTES/SESSIONS",IF(AND($K113="Yes",N($I113)&gt;0),"MINUTES ON A PT EVENT - not counted (PT counts sessions)",IF(AND($K113="No",N($J113)&gt;0),"SESSIONS ON A CLASSROOM EVENT - not counted (classroom counts minutes)",IF(AND($N113="Yes",$K113="Yes",N($J113)=0),"COUNTED PT EVENT WITH NO SESSIONS - dropped from the PT cap",IF(AND($N113="Yes",$K113="No",N($I113)=0),"COUNTED EVENT WITH NO MINUTES - dropped from the classroom cap","OK"))))))))))</f>
        <v/>
      </c>
    </row>
    <row r="114">
      <c r="B114" s="17">
        <f>IF($D114="","","A"&amp;TEXT(ROW()-5,"000"))</f>
        <v/>
      </c>
      <c r="C114" s="18" t="n"/>
      <c r="D114" s="16" t="n"/>
      <c r="E114" s="17">
        <f>IF($D114="","",IFERROR(INDEX(rngCadetPIDs,MATCH($D114,rngCadetNames,0)),"?"))</f>
        <v/>
      </c>
      <c r="F114" s="17">
        <f>IF($E114="","",IFERROR(INDEX(nrCadetAgency,MATCH($E114,rngCadetPIDs,0)),""))</f>
        <v/>
      </c>
      <c r="G114" s="16" t="n"/>
      <c r="H114" s="16" t="n"/>
      <c r="I114" s="16" t="n"/>
      <c r="J114" s="16" t="n"/>
      <c r="K114" s="17">
        <f>IF($G114="","",IF(OR($G114="PT Missed",$G114="PT Modified",$G114="PT Refused"),"Yes","No"))</f>
        <v/>
      </c>
      <c r="L114" s="16" t="n"/>
      <c r="M114" s="16" t="n"/>
      <c r="N114" s="17">
        <f>IF($D114="","",IF($M114="Excused","No",IF(AND($G114="PT Modified",$L114="Received"),"No","Yes")))</f>
        <v/>
      </c>
      <c r="O114" s="16" t="n"/>
      <c r="P114" s="17">
        <f>IF(OR($B114="",N($I114)=0),"",MIN(N($I114),SUMIFS(nrMK_Min,nrMK_Link,$B114,nrMK_Credit,"Yes",nrMK_PID,$E114,nrMK_Type,"Classroom")))</f>
        <v/>
      </c>
      <c r="Q114" s="17">
        <f>IF(OR($B114="",N($J114)=0),"",MIN(N($J114),SUMIFS(nrMK_Sess,nrMK_Link,$B114,nrMK_Credit,"Yes",nrMK_PID,$E114,nrMK_Type,"PT")))</f>
        <v/>
      </c>
      <c r="R114" s="17">
        <f>IF(OR($B114="",$N114&lt;&gt;"Yes"),"",IF($K114="Yes",IF(N($J114)&gt;0,N($J114)-N($Q114),""),IF(N($I114)&gt;0,N($I114)-N($P114),"")))</f>
        <v/>
      </c>
      <c r="S114" s="17">
        <f>IF(OR($B114="",$R114=""),"",IF($R114&lt;=0,IF(IFERROR(_xlfn.MAXIFS(nrMK_Date,nrMK_Link,$B114,nrMK_Credit,"Yes",nrMK_PID,$E114),0)=0,"CLEARED (makeup date missing)","CLEARED "&amp;TEXT(_xlfn.MAXIFS(nrMK_Date,nrMK_Link,$B114,nrMK_Credit,"Yes",nrMK_PID,$E114),"mm/dd")),"OPEN"))</f>
        <v/>
      </c>
      <c r="T114" s="17">
        <f>IF($D114="","",IF($C114="","NO DATE",IF($G114="","NO EVENT TYPE",IF(AND($I114&lt;&gt;"",NOT(ISNUMBER($I114))),"MINUTES NOT A NUMBER",IF(AND($J114&lt;&gt;"",NOT(ISNUMBER($J114))),"SESSIONS NOT A NUMBER",IF(OR(N($I114)&lt;0,N($J114)&lt;0),"NEGATIVE MINUTES/SESSIONS",IF(AND($K114="Yes",N($I114)&gt;0),"MINUTES ON A PT EVENT - not counted (PT counts sessions)",IF(AND($K114="No",N($J114)&gt;0),"SESSIONS ON A CLASSROOM EVENT - not counted (classroom counts minutes)",IF(AND($N114="Yes",$K114="Yes",N($J114)=0),"COUNTED PT EVENT WITH NO SESSIONS - dropped from the PT cap",IF(AND($N114="Yes",$K114="No",N($I114)=0),"COUNTED EVENT WITH NO MINUTES - dropped from the classroom cap","OK"))))))))))</f>
        <v/>
      </c>
    </row>
    <row r="115">
      <c r="B115" s="17">
        <f>IF($D115="","","A"&amp;TEXT(ROW()-5,"000"))</f>
        <v/>
      </c>
      <c r="C115" s="18" t="n"/>
      <c r="D115" s="16" t="n"/>
      <c r="E115" s="17">
        <f>IF($D115="","",IFERROR(INDEX(rngCadetPIDs,MATCH($D115,rngCadetNames,0)),"?"))</f>
        <v/>
      </c>
      <c r="F115" s="17">
        <f>IF($E115="","",IFERROR(INDEX(nrCadetAgency,MATCH($E115,rngCadetPIDs,0)),""))</f>
        <v/>
      </c>
      <c r="G115" s="16" t="n"/>
      <c r="H115" s="16" t="n"/>
      <c r="I115" s="16" t="n"/>
      <c r="J115" s="16" t="n"/>
      <c r="K115" s="17">
        <f>IF($G115="","",IF(OR($G115="PT Missed",$G115="PT Modified",$G115="PT Refused"),"Yes","No"))</f>
        <v/>
      </c>
      <c r="L115" s="16" t="n"/>
      <c r="M115" s="16" t="n"/>
      <c r="N115" s="17">
        <f>IF($D115="","",IF($M115="Excused","No",IF(AND($G115="PT Modified",$L115="Received"),"No","Yes")))</f>
        <v/>
      </c>
      <c r="O115" s="16" t="n"/>
      <c r="P115" s="17">
        <f>IF(OR($B115="",N($I115)=0),"",MIN(N($I115),SUMIFS(nrMK_Min,nrMK_Link,$B115,nrMK_Credit,"Yes",nrMK_PID,$E115,nrMK_Type,"Classroom")))</f>
        <v/>
      </c>
      <c r="Q115" s="17">
        <f>IF(OR($B115="",N($J115)=0),"",MIN(N($J115),SUMIFS(nrMK_Sess,nrMK_Link,$B115,nrMK_Credit,"Yes",nrMK_PID,$E115,nrMK_Type,"PT")))</f>
        <v/>
      </c>
      <c r="R115" s="17">
        <f>IF(OR($B115="",$N115&lt;&gt;"Yes"),"",IF($K115="Yes",IF(N($J115)&gt;0,N($J115)-N($Q115),""),IF(N($I115)&gt;0,N($I115)-N($P115),"")))</f>
        <v/>
      </c>
      <c r="S115" s="17">
        <f>IF(OR($B115="",$R115=""),"",IF($R115&lt;=0,IF(IFERROR(_xlfn.MAXIFS(nrMK_Date,nrMK_Link,$B115,nrMK_Credit,"Yes",nrMK_PID,$E115),0)=0,"CLEARED (makeup date missing)","CLEARED "&amp;TEXT(_xlfn.MAXIFS(nrMK_Date,nrMK_Link,$B115,nrMK_Credit,"Yes",nrMK_PID,$E115),"mm/dd")),"OPEN"))</f>
        <v/>
      </c>
      <c r="T115" s="17">
        <f>IF($D115="","",IF($C115="","NO DATE",IF($G115="","NO EVENT TYPE",IF(AND($I115&lt;&gt;"",NOT(ISNUMBER($I115))),"MINUTES NOT A NUMBER",IF(AND($J115&lt;&gt;"",NOT(ISNUMBER($J115))),"SESSIONS NOT A NUMBER",IF(OR(N($I115)&lt;0,N($J115)&lt;0),"NEGATIVE MINUTES/SESSIONS",IF(AND($K115="Yes",N($I115)&gt;0),"MINUTES ON A PT EVENT - not counted (PT counts sessions)",IF(AND($K115="No",N($J115)&gt;0),"SESSIONS ON A CLASSROOM EVENT - not counted (classroom counts minutes)",IF(AND($N115="Yes",$K115="Yes",N($J115)=0),"COUNTED PT EVENT WITH NO SESSIONS - dropped from the PT cap",IF(AND($N115="Yes",$K115="No",N($I115)=0),"COUNTED EVENT WITH NO MINUTES - dropped from the classroom cap","OK"))))))))))</f>
        <v/>
      </c>
    </row>
    <row r="116">
      <c r="B116" s="17">
        <f>IF($D116="","","A"&amp;TEXT(ROW()-5,"000"))</f>
        <v/>
      </c>
      <c r="C116" s="18" t="n"/>
      <c r="D116" s="16" t="n"/>
      <c r="E116" s="17">
        <f>IF($D116="","",IFERROR(INDEX(rngCadetPIDs,MATCH($D116,rngCadetNames,0)),"?"))</f>
        <v/>
      </c>
      <c r="F116" s="17">
        <f>IF($E116="","",IFERROR(INDEX(nrCadetAgency,MATCH($E116,rngCadetPIDs,0)),""))</f>
        <v/>
      </c>
      <c r="G116" s="16" t="n"/>
      <c r="H116" s="16" t="n"/>
      <c r="I116" s="16" t="n"/>
      <c r="J116" s="16" t="n"/>
      <c r="K116" s="17">
        <f>IF($G116="","",IF(OR($G116="PT Missed",$G116="PT Modified",$G116="PT Refused"),"Yes","No"))</f>
        <v/>
      </c>
      <c r="L116" s="16" t="n"/>
      <c r="M116" s="16" t="n"/>
      <c r="N116" s="17">
        <f>IF($D116="","",IF($M116="Excused","No",IF(AND($G116="PT Modified",$L116="Received"),"No","Yes")))</f>
        <v/>
      </c>
      <c r="O116" s="16" t="n"/>
      <c r="P116" s="17">
        <f>IF(OR($B116="",N($I116)=0),"",MIN(N($I116),SUMIFS(nrMK_Min,nrMK_Link,$B116,nrMK_Credit,"Yes",nrMK_PID,$E116,nrMK_Type,"Classroom")))</f>
        <v/>
      </c>
      <c r="Q116" s="17">
        <f>IF(OR($B116="",N($J116)=0),"",MIN(N($J116),SUMIFS(nrMK_Sess,nrMK_Link,$B116,nrMK_Credit,"Yes",nrMK_PID,$E116,nrMK_Type,"PT")))</f>
        <v/>
      </c>
      <c r="R116" s="17">
        <f>IF(OR($B116="",$N116&lt;&gt;"Yes"),"",IF($K116="Yes",IF(N($J116)&gt;0,N($J116)-N($Q116),""),IF(N($I116)&gt;0,N($I116)-N($P116),"")))</f>
        <v/>
      </c>
      <c r="S116" s="17">
        <f>IF(OR($B116="",$R116=""),"",IF($R116&lt;=0,IF(IFERROR(_xlfn.MAXIFS(nrMK_Date,nrMK_Link,$B116,nrMK_Credit,"Yes",nrMK_PID,$E116),0)=0,"CLEARED (makeup date missing)","CLEARED "&amp;TEXT(_xlfn.MAXIFS(nrMK_Date,nrMK_Link,$B116,nrMK_Credit,"Yes",nrMK_PID,$E116),"mm/dd")),"OPEN"))</f>
        <v/>
      </c>
      <c r="T116" s="17">
        <f>IF($D116="","",IF($C116="","NO DATE",IF($G116="","NO EVENT TYPE",IF(AND($I116&lt;&gt;"",NOT(ISNUMBER($I116))),"MINUTES NOT A NUMBER",IF(AND($J116&lt;&gt;"",NOT(ISNUMBER($J116))),"SESSIONS NOT A NUMBER",IF(OR(N($I116)&lt;0,N($J116)&lt;0),"NEGATIVE MINUTES/SESSIONS",IF(AND($K116="Yes",N($I116)&gt;0),"MINUTES ON A PT EVENT - not counted (PT counts sessions)",IF(AND($K116="No",N($J116)&gt;0),"SESSIONS ON A CLASSROOM EVENT - not counted (classroom counts minutes)",IF(AND($N116="Yes",$K116="Yes",N($J116)=0),"COUNTED PT EVENT WITH NO SESSIONS - dropped from the PT cap",IF(AND($N116="Yes",$K116="No",N($I116)=0),"COUNTED EVENT WITH NO MINUTES - dropped from the classroom cap","OK"))))))))))</f>
        <v/>
      </c>
    </row>
    <row r="117">
      <c r="B117" s="17">
        <f>IF($D117="","","A"&amp;TEXT(ROW()-5,"000"))</f>
        <v/>
      </c>
      <c r="C117" s="18" t="n"/>
      <c r="D117" s="16" t="n"/>
      <c r="E117" s="17">
        <f>IF($D117="","",IFERROR(INDEX(rngCadetPIDs,MATCH($D117,rngCadetNames,0)),"?"))</f>
        <v/>
      </c>
      <c r="F117" s="17">
        <f>IF($E117="","",IFERROR(INDEX(nrCadetAgency,MATCH($E117,rngCadetPIDs,0)),""))</f>
        <v/>
      </c>
      <c r="G117" s="16" t="n"/>
      <c r="H117" s="16" t="n"/>
      <c r="I117" s="16" t="n"/>
      <c r="J117" s="16" t="n"/>
      <c r="K117" s="17">
        <f>IF($G117="","",IF(OR($G117="PT Missed",$G117="PT Modified",$G117="PT Refused"),"Yes","No"))</f>
        <v/>
      </c>
      <c r="L117" s="16" t="n"/>
      <c r="M117" s="16" t="n"/>
      <c r="N117" s="17">
        <f>IF($D117="","",IF($M117="Excused","No",IF(AND($G117="PT Modified",$L117="Received"),"No","Yes")))</f>
        <v/>
      </c>
      <c r="O117" s="16" t="n"/>
      <c r="P117" s="17">
        <f>IF(OR($B117="",N($I117)=0),"",MIN(N($I117),SUMIFS(nrMK_Min,nrMK_Link,$B117,nrMK_Credit,"Yes",nrMK_PID,$E117,nrMK_Type,"Classroom")))</f>
        <v/>
      </c>
      <c r="Q117" s="17">
        <f>IF(OR($B117="",N($J117)=0),"",MIN(N($J117),SUMIFS(nrMK_Sess,nrMK_Link,$B117,nrMK_Credit,"Yes",nrMK_PID,$E117,nrMK_Type,"PT")))</f>
        <v/>
      </c>
      <c r="R117" s="17">
        <f>IF(OR($B117="",$N117&lt;&gt;"Yes"),"",IF($K117="Yes",IF(N($J117)&gt;0,N($J117)-N($Q117),""),IF(N($I117)&gt;0,N($I117)-N($P117),"")))</f>
        <v/>
      </c>
      <c r="S117" s="17">
        <f>IF(OR($B117="",$R117=""),"",IF($R117&lt;=0,IF(IFERROR(_xlfn.MAXIFS(nrMK_Date,nrMK_Link,$B117,nrMK_Credit,"Yes",nrMK_PID,$E117),0)=0,"CLEARED (makeup date missing)","CLEARED "&amp;TEXT(_xlfn.MAXIFS(nrMK_Date,nrMK_Link,$B117,nrMK_Credit,"Yes",nrMK_PID,$E117),"mm/dd")),"OPEN"))</f>
        <v/>
      </c>
      <c r="T117" s="17">
        <f>IF($D117="","",IF($C117="","NO DATE",IF($G117="","NO EVENT TYPE",IF(AND($I117&lt;&gt;"",NOT(ISNUMBER($I117))),"MINUTES NOT A NUMBER",IF(AND($J117&lt;&gt;"",NOT(ISNUMBER($J117))),"SESSIONS NOT A NUMBER",IF(OR(N($I117)&lt;0,N($J117)&lt;0),"NEGATIVE MINUTES/SESSIONS",IF(AND($K117="Yes",N($I117)&gt;0),"MINUTES ON A PT EVENT - not counted (PT counts sessions)",IF(AND($K117="No",N($J117)&gt;0),"SESSIONS ON A CLASSROOM EVENT - not counted (classroom counts minutes)",IF(AND($N117="Yes",$K117="Yes",N($J117)=0),"COUNTED PT EVENT WITH NO SESSIONS - dropped from the PT cap",IF(AND($N117="Yes",$K117="No",N($I117)=0),"COUNTED EVENT WITH NO MINUTES - dropped from the classroom cap","OK"))))))))))</f>
        <v/>
      </c>
    </row>
    <row r="118">
      <c r="B118" s="17">
        <f>IF($D118="","","A"&amp;TEXT(ROW()-5,"000"))</f>
        <v/>
      </c>
      <c r="C118" s="18" t="n"/>
      <c r="D118" s="16" t="n"/>
      <c r="E118" s="17">
        <f>IF($D118="","",IFERROR(INDEX(rngCadetPIDs,MATCH($D118,rngCadetNames,0)),"?"))</f>
        <v/>
      </c>
      <c r="F118" s="17">
        <f>IF($E118="","",IFERROR(INDEX(nrCadetAgency,MATCH($E118,rngCadetPIDs,0)),""))</f>
        <v/>
      </c>
      <c r="G118" s="16" t="n"/>
      <c r="H118" s="16" t="n"/>
      <c r="I118" s="16" t="n"/>
      <c r="J118" s="16" t="n"/>
      <c r="K118" s="17">
        <f>IF($G118="","",IF(OR($G118="PT Missed",$G118="PT Modified",$G118="PT Refused"),"Yes","No"))</f>
        <v/>
      </c>
      <c r="L118" s="16" t="n"/>
      <c r="M118" s="16" t="n"/>
      <c r="N118" s="17">
        <f>IF($D118="","",IF($M118="Excused","No",IF(AND($G118="PT Modified",$L118="Received"),"No","Yes")))</f>
        <v/>
      </c>
      <c r="O118" s="16" t="n"/>
      <c r="P118" s="17">
        <f>IF(OR($B118="",N($I118)=0),"",MIN(N($I118),SUMIFS(nrMK_Min,nrMK_Link,$B118,nrMK_Credit,"Yes",nrMK_PID,$E118,nrMK_Type,"Classroom")))</f>
        <v/>
      </c>
      <c r="Q118" s="17">
        <f>IF(OR($B118="",N($J118)=0),"",MIN(N($J118),SUMIFS(nrMK_Sess,nrMK_Link,$B118,nrMK_Credit,"Yes",nrMK_PID,$E118,nrMK_Type,"PT")))</f>
        <v/>
      </c>
      <c r="R118" s="17">
        <f>IF(OR($B118="",$N118&lt;&gt;"Yes"),"",IF($K118="Yes",IF(N($J118)&gt;0,N($J118)-N($Q118),""),IF(N($I118)&gt;0,N($I118)-N($P118),"")))</f>
        <v/>
      </c>
      <c r="S118" s="17">
        <f>IF(OR($B118="",$R118=""),"",IF($R118&lt;=0,IF(IFERROR(_xlfn.MAXIFS(nrMK_Date,nrMK_Link,$B118,nrMK_Credit,"Yes",nrMK_PID,$E118),0)=0,"CLEARED (makeup date missing)","CLEARED "&amp;TEXT(_xlfn.MAXIFS(nrMK_Date,nrMK_Link,$B118,nrMK_Credit,"Yes",nrMK_PID,$E118),"mm/dd")),"OPEN"))</f>
        <v/>
      </c>
      <c r="T118" s="17">
        <f>IF($D118="","",IF($C118="","NO DATE",IF($G118="","NO EVENT TYPE",IF(AND($I118&lt;&gt;"",NOT(ISNUMBER($I118))),"MINUTES NOT A NUMBER",IF(AND($J118&lt;&gt;"",NOT(ISNUMBER($J118))),"SESSIONS NOT A NUMBER",IF(OR(N($I118)&lt;0,N($J118)&lt;0),"NEGATIVE MINUTES/SESSIONS",IF(AND($K118="Yes",N($I118)&gt;0),"MINUTES ON A PT EVENT - not counted (PT counts sessions)",IF(AND($K118="No",N($J118)&gt;0),"SESSIONS ON A CLASSROOM EVENT - not counted (classroom counts minutes)",IF(AND($N118="Yes",$K118="Yes",N($J118)=0),"COUNTED PT EVENT WITH NO SESSIONS - dropped from the PT cap",IF(AND($N118="Yes",$K118="No",N($I118)=0),"COUNTED EVENT WITH NO MINUTES - dropped from the classroom cap","OK"))))))))))</f>
        <v/>
      </c>
    </row>
    <row r="119">
      <c r="B119" s="17">
        <f>IF($D119="","","A"&amp;TEXT(ROW()-5,"000"))</f>
        <v/>
      </c>
      <c r="C119" s="18" t="n"/>
      <c r="D119" s="16" t="n"/>
      <c r="E119" s="17">
        <f>IF($D119="","",IFERROR(INDEX(rngCadetPIDs,MATCH($D119,rngCadetNames,0)),"?"))</f>
        <v/>
      </c>
      <c r="F119" s="17">
        <f>IF($E119="","",IFERROR(INDEX(nrCadetAgency,MATCH($E119,rngCadetPIDs,0)),""))</f>
        <v/>
      </c>
      <c r="G119" s="16" t="n"/>
      <c r="H119" s="16" t="n"/>
      <c r="I119" s="16" t="n"/>
      <c r="J119" s="16" t="n"/>
      <c r="K119" s="17">
        <f>IF($G119="","",IF(OR($G119="PT Missed",$G119="PT Modified",$G119="PT Refused"),"Yes","No"))</f>
        <v/>
      </c>
      <c r="L119" s="16" t="n"/>
      <c r="M119" s="16" t="n"/>
      <c r="N119" s="17">
        <f>IF($D119="","",IF($M119="Excused","No",IF(AND($G119="PT Modified",$L119="Received"),"No","Yes")))</f>
        <v/>
      </c>
      <c r="O119" s="16" t="n"/>
      <c r="P119" s="17">
        <f>IF(OR($B119="",N($I119)=0),"",MIN(N($I119),SUMIFS(nrMK_Min,nrMK_Link,$B119,nrMK_Credit,"Yes",nrMK_PID,$E119,nrMK_Type,"Classroom")))</f>
        <v/>
      </c>
      <c r="Q119" s="17">
        <f>IF(OR($B119="",N($J119)=0),"",MIN(N($J119),SUMIFS(nrMK_Sess,nrMK_Link,$B119,nrMK_Credit,"Yes",nrMK_PID,$E119,nrMK_Type,"PT")))</f>
        <v/>
      </c>
      <c r="R119" s="17">
        <f>IF(OR($B119="",$N119&lt;&gt;"Yes"),"",IF($K119="Yes",IF(N($J119)&gt;0,N($J119)-N($Q119),""),IF(N($I119)&gt;0,N($I119)-N($P119),"")))</f>
        <v/>
      </c>
      <c r="S119" s="17">
        <f>IF(OR($B119="",$R119=""),"",IF($R119&lt;=0,IF(IFERROR(_xlfn.MAXIFS(nrMK_Date,nrMK_Link,$B119,nrMK_Credit,"Yes",nrMK_PID,$E119),0)=0,"CLEARED (makeup date missing)","CLEARED "&amp;TEXT(_xlfn.MAXIFS(nrMK_Date,nrMK_Link,$B119,nrMK_Credit,"Yes",nrMK_PID,$E119),"mm/dd")),"OPEN"))</f>
        <v/>
      </c>
      <c r="T119" s="17">
        <f>IF($D119="","",IF($C119="","NO DATE",IF($G119="","NO EVENT TYPE",IF(AND($I119&lt;&gt;"",NOT(ISNUMBER($I119))),"MINUTES NOT A NUMBER",IF(AND($J119&lt;&gt;"",NOT(ISNUMBER($J119))),"SESSIONS NOT A NUMBER",IF(OR(N($I119)&lt;0,N($J119)&lt;0),"NEGATIVE MINUTES/SESSIONS",IF(AND($K119="Yes",N($I119)&gt;0),"MINUTES ON A PT EVENT - not counted (PT counts sessions)",IF(AND($K119="No",N($J119)&gt;0),"SESSIONS ON A CLASSROOM EVENT - not counted (classroom counts minutes)",IF(AND($N119="Yes",$K119="Yes",N($J119)=0),"COUNTED PT EVENT WITH NO SESSIONS - dropped from the PT cap",IF(AND($N119="Yes",$K119="No",N($I119)=0),"COUNTED EVENT WITH NO MINUTES - dropped from the classroom cap","OK"))))))))))</f>
        <v/>
      </c>
    </row>
    <row r="120">
      <c r="B120" s="17">
        <f>IF($D120="","","A"&amp;TEXT(ROW()-5,"000"))</f>
        <v/>
      </c>
      <c r="C120" s="18" t="n"/>
      <c r="D120" s="16" t="n"/>
      <c r="E120" s="17">
        <f>IF($D120="","",IFERROR(INDEX(rngCadetPIDs,MATCH($D120,rngCadetNames,0)),"?"))</f>
        <v/>
      </c>
      <c r="F120" s="17">
        <f>IF($E120="","",IFERROR(INDEX(nrCadetAgency,MATCH($E120,rngCadetPIDs,0)),""))</f>
        <v/>
      </c>
      <c r="G120" s="16" t="n"/>
      <c r="H120" s="16" t="n"/>
      <c r="I120" s="16" t="n"/>
      <c r="J120" s="16" t="n"/>
      <c r="K120" s="17">
        <f>IF($G120="","",IF(OR($G120="PT Missed",$G120="PT Modified",$G120="PT Refused"),"Yes","No"))</f>
        <v/>
      </c>
      <c r="L120" s="16" t="n"/>
      <c r="M120" s="16" t="n"/>
      <c r="N120" s="17">
        <f>IF($D120="","",IF($M120="Excused","No",IF(AND($G120="PT Modified",$L120="Received"),"No","Yes")))</f>
        <v/>
      </c>
      <c r="O120" s="16" t="n"/>
      <c r="P120" s="17">
        <f>IF(OR($B120="",N($I120)=0),"",MIN(N($I120),SUMIFS(nrMK_Min,nrMK_Link,$B120,nrMK_Credit,"Yes",nrMK_PID,$E120,nrMK_Type,"Classroom")))</f>
        <v/>
      </c>
      <c r="Q120" s="17">
        <f>IF(OR($B120="",N($J120)=0),"",MIN(N($J120),SUMIFS(nrMK_Sess,nrMK_Link,$B120,nrMK_Credit,"Yes",nrMK_PID,$E120,nrMK_Type,"PT")))</f>
        <v/>
      </c>
      <c r="R120" s="17">
        <f>IF(OR($B120="",$N120&lt;&gt;"Yes"),"",IF($K120="Yes",IF(N($J120)&gt;0,N($J120)-N($Q120),""),IF(N($I120)&gt;0,N($I120)-N($P120),"")))</f>
        <v/>
      </c>
      <c r="S120" s="17">
        <f>IF(OR($B120="",$R120=""),"",IF($R120&lt;=0,IF(IFERROR(_xlfn.MAXIFS(nrMK_Date,nrMK_Link,$B120,nrMK_Credit,"Yes",nrMK_PID,$E120),0)=0,"CLEARED (makeup date missing)","CLEARED "&amp;TEXT(_xlfn.MAXIFS(nrMK_Date,nrMK_Link,$B120,nrMK_Credit,"Yes",nrMK_PID,$E120),"mm/dd")),"OPEN"))</f>
        <v/>
      </c>
      <c r="T120" s="17">
        <f>IF($D120="","",IF($C120="","NO DATE",IF($G120="","NO EVENT TYPE",IF(AND($I120&lt;&gt;"",NOT(ISNUMBER($I120))),"MINUTES NOT A NUMBER",IF(AND($J120&lt;&gt;"",NOT(ISNUMBER($J120))),"SESSIONS NOT A NUMBER",IF(OR(N($I120)&lt;0,N($J120)&lt;0),"NEGATIVE MINUTES/SESSIONS",IF(AND($K120="Yes",N($I120)&gt;0),"MINUTES ON A PT EVENT - not counted (PT counts sessions)",IF(AND($K120="No",N($J120)&gt;0),"SESSIONS ON A CLASSROOM EVENT - not counted (classroom counts minutes)",IF(AND($N120="Yes",$K120="Yes",N($J120)=0),"COUNTED PT EVENT WITH NO SESSIONS - dropped from the PT cap",IF(AND($N120="Yes",$K120="No",N($I120)=0),"COUNTED EVENT WITH NO MINUTES - dropped from the classroom cap","OK"))))))))))</f>
        <v/>
      </c>
    </row>
    <row r="121">
      <c r="B121" s="17">
        <f>IF($D121="","","A"&amp;TEXT(ROW()-5,"000"))</f>
        <v/>
      </c>
      <c r="C121" s="18" t="n"/>
      <c r="D121" s="16" t="n"/>
      <c r="E121" s="17">
        <f>IF($D121="","",IFERROR(INDEX(rngCadetPIDs,MATCH($D121,rngCadetNames,0)),"?"))</f>
        <v/>
      </c>
      <c r="F121" s="17">
        <f>IF($E121="","",IFERROR(INDEX(nrCadetAgency,MATCH($E121,rngCadetPIDs,0)),""))</f>
        <v/>
      </c>
      <c r="G121" s="16" t="n"/>
      <c r="H121" s="16" t="n"/>
      <c r="I121" s="16" t="n"/>
      <c r="J121" s="16" t="n"/>
      <c r="K121" s="17">
        <f>IF($G121="","",IF(OR($G121="PT Missed",$G121="PT Modified",$G121="PT Refused"),"Yes","No"))</f>
        <v/>
      </c>
      <c r="L121" s="16" t="n"/>
      <c r="M121" s="16" t="n"/>
      <c r="N121" s="17">
        <f>IF($D121="","",IF($M121="Excused","No",IF(AND($G121="PT Modified",$L121="Received"),"No","Yes")))</f>
        <v/>
      </c>
      <c r="O121" s="16" t="n"/>
      <c r="P121" s="17">
        <f>IF(OR($B121="",N($I121)=0),"",MIN(N($I121),SUMIFS(nrMK_Min,nrMK_Link,$B121,nrMK_Credit,"Yes",nrMK_PID,$E121,nrMK_Type,"Classroom")))</f>
        <v/>
      </c>
      <c r="Q121" s="17">
        <f>IF(OR($B121="",N($J121)=0),"",MIN(N($J121),SUMIFS(nrMK_Sess,nrMK_Link,$B121,nrMK_Credit,"Yes",nrMK_PID,$E121,nrMK_Type,"PT")))</f>
        <v/>
      </c>
      <c r="R121" s="17">
        <f>IF(OR($B121="",$N121&lt;&gt;"Yes"),"",IF($K121="Yes",IF(N($J121)&gt;0,N($J121)-N($Q121),""),IF(N($I121)&gt;0,N($I121)-N($P121),"")))</f>
        <v/>
      </c>
      <c r="S121" s="17">
        <f>IF(OR($B121="",$R121=""),"",IF($R121&lt;=0,IF(IFERROR(_xlfn.MAXIFS(nrMK_Date,nrMK_Link,$B121,nrMK_Credit,"Yes",nrMK_PID,$E121),0)=0,"CLEARED (makeup date missing)","CLEARED "&amp;TEXT(_xlfn.MAXIFS(nrMK_Date,nrMK_Link,$B121,nrMK_Credit,"Yes",nrMK_PID,$E121),"mm/dd")),"OPEN"))</f>
        <v/>
      </c>
      <c r="T121" s="17">
        <f>IF($D121="","",IF($C121="","NO DATE",IF($G121="","NO EVENT TYPE",IF(AND($I121&lt;&gt;"",NOT(ISNUMBER($I121))),"MINUTES NOT A NUMBER",IF(AND($J121&lt;&gt;"",NOT(ISNUMBER($J121))),"SESSIONS NOT A NUMBER",IF(OR(N($I121)&lt;0,N($J121)&lt;0),"NEGATIVE MINUTES/SESSIONS",IF(AND($K121="Yes",N($I121)&gt;0),"MINUTES ON A PT EVENT - not counted (PT counts sessions)",IF(AND($K121="No",N($J121)&gt;0),"SESSIONS ON A CLASSROOM EVENT - not counted (classroom counts minutes)",IF(AND($N121="Yes",$K121="Yes",N($J121)=0),"COUNTED PT EVENT WITH NO SESSIONS - dropped from the PT cap",IF(AND($N121="Yes",$K121="No",N($I121)=0),"COUNTED EVENT WITH NO MINUTES - dropped from the classroom cap","OK"))))))))))</f>
        <v/>
      </c>
    </row>
    <row r="122">
      <c r="B122" s="17">
        <f>IF($D122="","","A"&amp;TEXT(ROW()-5,"000"))</f>
        <v/>
      </c>
      <c r="C122" s="18" t="n"/>
      <c r="D122" s="16" t="n"/>
      <c r="E122" s="17">
        <f>IF($D122="","",IFERROR(INDEX(rngCadetPIDs,MATCH($D122,rngCadetNames,0)),"?"))</f>
        <v/>
      </c>
      <c r="F122" s="17">
        <f>IF($E122="","",IFERROR(INDEX(nrCadetAgency,MATCH($E122,rngCadetPIDs,0)),""))</f>
        <v/>
      </c>
      <c r="G122" s="16" t="n"/>
      <c r="H122" s="16" t="n"/>
      <c r="I122" s="16" t="n"/>
      <c r="J122" s="16" t="n"/>
      <c r="K122" s="17">
        <f>IF($G122="","",IF(OR($G122="PT Missed",$G122="PT Modified",$G122="PT Refused"),"Yes","No"))</f>
        <v/>
      </c>
      <c r="L122" s="16" t="n"/>
      <c r="M122" s="16" t="n"/>
      <c r="N122" s="17">
        <f>IF($D122="","",IF($M122="Excused","No",IF(AND($G122="PT Modified",$L122="Received"),"No","Yes")))</f>
        <v/>
      </c>
      <c r="O122" s="16" t="n"/>
      <c r="P122" s="17">
        <f>IF(OR($B122="",N($I122)=0),"",MIN(N($I122),SUMIFS(nrMK_Min,nrMK_Link,$B122,nrMK_Credit,"Yes",nrMK_PID,$E122,nrMK_Type,"Classroom")))</f>
        <v/>
      </c>
      <c r="Q122" s="17">
        <f>IF(OR($B122="",N($J122)=0),"",MIN(N($J122),SUMIFS(nrMK_Sess,nrMK_Link,$B122,nrMK_Credit,"Yes",nrMK_PID,$E122,nrMK_Type,"PT")))</f>
        <v/>
      </c>
      <c r="R122" s="17">
        <f>IF(OR($B122="",$N122&lt;&gt;"Yes"),"",IF($K122="Yes",IF(N($J122)&gt;0,N($J122)-N($Q122),""),IF(N($I122)&gt;0,N($I122)-N($P122),"")))</f>
        <v/>
      </c>
      <c r="S122" s="17">
        <f>IF(OR($B122="",$R122=""),"",IF($R122&lt;=0,IF(IFERROR(_xlfn.MAXIFS(nrMK_Date,nrMK_Link,$B122,nrMK_Credit,"Yes",nrMK_PID,$E122),0)=0,"CLEARED (makeup date missing)","CLEARED "&amp;TEXT(_xlfn.MAXIFS(nrMK_Date,nrMK_Link,$B122,nrMK_Credit,"Yes",nrMK_PID,$E122),"mm/dd")),"OPEN"))</f>
        <v/>
      </c>
      <c r="T122" s="17">
        <f>IF($D122="","",IF($C122="","NO DATE",IF($G122="","NO EVENT TYPE",IF(AND($I122&lt;&gt;"",NOT(ISNUMBER($I122))),"MINUTES NOT A NUMBER",IF(AND($J122&lt;&gt;"",NOT(ISNUMBER($J122))),"SESSIONS NOT A NUMBER",IF(OR(N($I122)&lt;0,N($J122)&lt;0),"NEGATIVE MINUTES/SESSIONS",IF(AND($K122="Yes",N($I122)&gt;0),"MINUTES ON A PT EVENT - not counted (PT counts sessions)",IF(AND($K122="No",N($J122)&gt;0),"SESSIONS ON A CLASSROOM EVENT - not counted (classroom counts minutes)",IF(AND($N122="Yes",$K122="Yes",N($J122)=0),"COUNTED PT EVENT WITH NO SESSIONS - dropped from the PT cap",IF(AND($N122="Yes",$K122="No",N($I122)=0),"COUNTED EVENT WITH NO MINUTES - dropped from the classroom cap","OK"))))))))))</f>
        <v/>
      </c>
    </row>
    <row r="123">
      <c r="B123" s="17">
        <f>IF($D123="","","A"&amp;TEXT(ROW()-5,"000"))</f>
        <v/>
      </c>
      <c r="C123" s="18" t="n"/>
      <c r="D123" s="16" t="n"/>
      <c r="E123" s="17">
        <f>IF($D123="","",IFERROR(INDEX(rngCadetPIDs,MATCH($D123,rngCadetNames,0)),"?"))</f>
        <v/>
      </c>
      <c r="F123" s="17">
        <f>IF($E123="","",IFERROR(INDEX(nrCadetAgency,MATCH($E123,rngCadetPIDs,0)),""))</f>
        <v/>
      </c>
      <c r="G123" s="16" t="n"/>
      <c r="H123" s="16" t="n"/>
      <c r="I123" s="16" t="n"/>
      <c r="J123" s="16" t="n"/>
      <c r="K123" s="17">
        <f>IF($G123="","",IF(OR($G123="PT Missed",$G123="PT Modified",$G123="PT Refused"),"Yes","No"))</f>
        <v/>
      </c>
      <c r="L123" s="16" t="n"/>
      <c r="M123" s="16" t="n"/>
      <c r="N123" s="17">
        <f>IF($D123="","",IF($M123="Excused","No",IF(AND($G123="PT Modified",$L123="Received"),"No","Yes")))</f>
        <v/>
      </c>
      <c r="O123" s="16" t="n"/>
      <c r="P123" s="17">
        <f>IF(OR($B123="",N($I123)=0),"",MIN(N($I123),SUMIFS(nrMK_Min,nrMK_Link,$B123,nrMK_Credit,"Yes",nrMK_PID,$E123,nrMK_Type,"Classroom")))</f>
        <v/>
      </c>
      <c r="Q123" s="17">
        <f>IF(OR($B123="",N($J123)=0),"",MIN(N($J123),SUMIFS(nrMK_Sess,nrMK_Link,$B123,nrMK_Credit,"Yes",nrMK_PID,$E123,nrMK_Type,"PT")))</f>
        <v/>
      </c>
      <c r="R123" s="17">
        <f>IF(OR($B123="",$N123&lt;&gt;"Yes"),"",IF($K123="Yes",IF(N($J123)&gt;0,N($J123)-N($Q123),""),IF(N($I123)&gt;0,N($I123)-N($P123),"")))</f>
        <v/>
      </c>
      <c r="S123" s="17">
        <f>IF(OR($B123="",$R123=""),"",IF($R123&lt;=0,IF(IFERROR(_xlfn.MAXIFS(nrMK_Date,nrMK_Link,$B123,nrMK_Credit,"Yes",nrMK_PID,$E123),0)=0,"CLEARED (makeup date missing)","CLEARED "&amp;TEXT(_xlfn.MAXIFS(nrMK_Date,nrMK_Link,$B123,nrMK_Credit,"Yes",nrMK_PID,$E123),"mm/dd")),"OPEN"))</f>
        <v/>
      </c>
      <c r="T123" s="17">
        <f>IF($D123="","",IF($C123="","NO DATE",IF($G123="","NO EVENT TYPE",IF(AND($I123&lt;&gt;"",NOT(ISNUMBER($I123))),"MINUTES NOT A NUMBER",IF(AND($J123&lt;&gt;"",NOT(ISNUMBER($J123))),"SESSIONS NOT A NUMBER",IF(OR(N($I123)&lt;0,N($J123)&lt;0),"NEGATIVE MINUTES/SESSIONS",IF(AND($K123="Yes",N($I123)&gt;0),"MINUTES ON A PT EVENT - not counted (PT counts sessions)",IF(AND($K123="No",N($J123)&gt;0),"SESSIONS ON A CLASSROOM EVENT - not counted (classroom counts minutes)",IF(AND($N123="Yes",$K123="Yes",N($J123)=0),"COUNTED PT EVENT WITH NO SESSIONS - dropped from the PT cap",IF(AND($N123="Yes",$K123="No",N($I123)=0),"COUNTED EVENT WITH NO MINUTES - dropped from the classroom cap","OK"))))))))))</f>
        <v/>
      </c>
    </row>
    <row r="124">
      <c r="B124" s="17">
        <f>IF($D124="","","A"&amp;TEXT(ROW()-5,"000"))</f>
        <v/>
      </c>
      <c r="C124" s="18" t="n"/>
      <c r="D124" s="16" t="n"/>
      <c r="E124" s="17">
        <f>IF($D124="","",IFERROR(INDEX(rngCadetPIDs,MATCH($D124,rngCadetNames,0)),"?"))</f>
        <v/>
      </c>
      <c r="F124" s="17">
        <f>IF($E124="","",IFERROR(INDEX(nrCadetAgency,MATCH($E124,rngCadetPIDs,0)),""))</f>
        <v/>
      </c>
      <c r="G124" s="16" t="n"/>
      <c r="H124" s="16" t="n"/>
      <c r="I124" s="16" t="n"/>
      <c r="J124" s="16" t="n"/>
      <c r="K124" s="17">
        <f>IF($G124="","",IF(OR($G124="PT Missed",$G124="PT Modified",$G124="PT Refused"),"Yes","No"))</f>
        <v/>
      </c>
      <c r="L124" s="16" t="n"/>
      <c r="M124" s="16" t="n"/>
      <c r="N124" s="17">
        <f>IF($D124="","",IF($M124="Excused","No",IF(AND($G124="PT Modified",$L124="Received"),"No","Yes")))</f>
        <v/>
      </c>
      <c r="O124" s="16" t="n"/>
      <c r="P124" s="17">
        <f>IF(OR($B124="",N($I124)=0),"",MIN(N($I124),SUMIFS(nrMK_Min,nrMK_Link,$B124,nrMK_Credit,"Yes",nrMK_PID,$E124,nrMK_Type,"Classroom")))</f>
        <v/>
      </c>
      <c r="Q124" s="17">
        <f>IF(OR($B124="",N($J124)=0),"",MIN(N($J124),SUMIFS(nrMK_Sess,nrMK_Link,$B124,nrMK_Credit,"Yes",nrMK_PID,$E124,nrMK_Type,"PT")))</f>
        <v/>
      </c>
      <c r="R124" s="17">
        <f>IF(OR($B124="",$N124&lt;&gt;"Yes"),"",IF($K124="Yes",IF(N($J124)&gt;0,N($J124)-N($Q124),""),IF(N($I124)&gt;0,N($I124)-N($P124),"")))</f>
        <v/>
      </c>
      <c r="S124" s="17">
        <f>IF(OR($B124="",$R124=""),"",IF($R124&lt;=0,IF(IFERROR(_xlfn.MAXIFS(nrMK_Date,nrMK_Link,$B124,nrMK_Credit,"Yes",nrMK_PID,$E124),0)=0,"CLEARED (makeup date missing)","CLEARED "&amp;TEXT(_xlfn.MAXIFS(nrMK_Date,nrMK_Link,$B124,nrMK_Credit,"Yes",nrMK_PID,$E124),"mm/dd")),"OPEN"))</f>
        <v/>
      </c>
      <c r="T124" s="17">
        <f>IF($D124="","",IF($C124="","NO DATE",IF($G124="","NO EVENT TYPE",IF(AND($I124&lt;&gt;"",NOT(ISNUMBER($I124))),"MINUTES NOT A NUMBER",IF(AND($J124&lt;&gt;"",NOT(ISNUMBER($J124))),"SESSIONS NOT A NUMBER",IF(OR(N($I124)&lt;0,N($J124)&lt;0),"NEGATIVE MINUTES/SESSIONS",IF(AND($K124="Yes",N($I124)&gt;0),"MINUTES ON A PT EVENT - not counted (PT counts sessions)",IF(AND($K124="No",N($J124)&gt;0),"SESSIONS ON A CLASSROOM EVENT - not counted (classroom counts minutes)",IF(AND($N124="Yes",$K124="Yes",N($J124)=0),"COUNTED PT EVENT WITH NO SESSIONS - dropped from the PT cap",IF(AND($N124="Yes",$K124="No",N($I124)=0),"COUNTED EVENT WITH NO MINUTES - dropped from the classroom cap","OK"))))))))))</f>
        <v/>
      </c>
    </row>
    <row r="125">
      <c r="B125" s="17">
        <f>IF($D125="","","A"&amp;TEXT(ROW()-5,"000"))</f>
        <v/>
      </c>
      <c r="C125" s="18" t="n"/>
      <c r="D125" s="16" t="n"/>
      <c r="E125" s="17">
        <f>IF($D125="","",IFERROR(INDEX(rngCadetPIDs,MATCH($D125,rngCadetNames,0)),"?"))</f>
        <v/>
      </c>
      <c r="F125" s="17">
        <f>IF($E125="","",IFERROR(INDEX(nrCadetAgency,MATCH($E125,rngCadetPIDs,0)),""))</f>
        <v/>
      </c>
      <c r="G125" s="16" t="n"/>
      <c r="H125" s="16" t="n"/>
      <c r="I125" s="16" t="n"/>
      <c r="J125" s="16" t="n"/>
      <c r="K125" s="17">
        <f>IF($G125="","",IF(OR($G125="PT Missed",$G125="PT Modified",$G125="PT Refused"),"Yes","No"))</f>
        <v/>
      </c>
      <c r="L125" s="16" t="n"/>
      <c r="M125" s="16" t="n"/>
      <c r="N125" s="17">
        <f>IF($D125="","",IF($M125="Excused","No",IF(AND($G125="PT Modified",$L125="Received"),"No","Yes")))</f>
        <v/>
      </c>
      <c r="O125" s="16" t="n"/>
      <c r="P125" s="17">
        <f>IF(OR($B125="",N($I125)=0),"",MIN(N($I125),SUMIFS(nrMK_Min,nrMK_Link,$B125,nrMK_Credit,"Yes",nrMK_PID,$E125,nrMK_Type,"Classroom")))</f>
        <v/>
      </c>
      <c r="Q125" s="17">
        <f>IF(OR($B125="",N($J125)=0),"",MIN(N($J125),SUMIFS(nrMK_Sess,nrMK_Link,$B125,nrMK_Credit,"Yes",nrMK_PID,$E125,nrMK_Type,"PT")))</f>
        <v/>
      </c>
      <c r="R125" s="17">
        <f>IF(OR($B125="",$N125&lt;&gt;"Yes"),"",IF($K125="Yes",IF(N($J125)&gt;0,N($J125)-N($Q125),""),IF(N($I125)&gt;0,N($I125)-N($P125),"")))</f>
        <v/>
      </c>
      <c r="S125" s="17">
        <f>IF(OR($B125="",$R125=""),"",IF($R125&lt;=0,IF(IFERROR(_xlfn.MAXIFS(nrMK_Date,nrMK_Link,$B125,nrMK_Credit,"Yes",nrMK_PID,$E125),0)=0,"CLEARED (makeup date missing)","CLEARED "&amp;TEXT(_xlfn.MAXIFS(nrMK_Date,nrMK_Link,$B125,nrMK_Credit,"Yes",nrMK_PID,$E125),"mm/dd")),"OPEN"))</f>
        <v/>
      </c>
      <c r="T125" s="17">
        <f>IF($D125="","",IF($C125="","NO DATE",IF($G125="","NO EVENT TYPE",IF(AND($I125&lt;&gt;"",NOT(ISNUMBER($I125))),"MINUTES NOT A NUMBER",IF(AND($J125&lt;&gt;"",NOT(ISNUMBER($J125))),"SESSIONS NOT A NUMBER",IF(OR(N($I125)&lt;0,N($J125)&lt;0),"NEGATIVE MINUTES/SESSIONS",IF(AND($K125="Yes",N($I125)&gt;0),"MINUTES ON A PT EVENT - not counted (PT counts sessions)",IF(AND($K125="No",N($J125)&gt;0),"SESSIONS ON A CLASSROOM EVENT - not counted (classroom counts minutes)",IF(AND($N125="Yes",$K125="Yes",N($J125)=0),"COUNTED PT EVENT WITH NO SESSIONS - dropped from the PT cap",IF(AND($N125="Yes",$K125="No",N($I125)=0),"COUNTED EVENT WITH NO MINUTES - dropped from the classroom cap","OK"))))))))))</f>
        <v/>
      </c>
    </row>
    <row r="126">
      <c r="B126" s="17">
        <f>IF($D126="","","A"&amp;TEXT(ROW()-5,"000"))</f>
        <v/>
      </c>
      <c r="C126" s="18" t="n"/>
      <c r="D126" s="16" t="n"/>
      <c r="E126" s="17">
        <f>IF($D126="","",IFERROR(INDEX(rngCadetPIDs,MATCH($D126,rngCadetNames,0)),"?"))</f>
        <v/>
      </c>
      <c r="F126" s="17">
        <f>IF($E126="","",IFERROR(INDEX(nrCadetAgency,MATCH($E126,rngCadetPIDs,0)),""))</f>
        <v/>
      </c>
      <c r="G126" s="16" t="n"/>
      <c r="H126" s="16" t="n"/>
      <c r="I126" s="16" t="n"/>
      <c r="J126" s="16" t="n"/>
      <c r="K126" s="17">
        <f>IF($G126="","",IF(OR($G126="PT Missed",$G126="PT Modified",$G126="PT Refused"),"Yes","No"))</f>
        <v/>
      </c>
      <c r="L126" s="16" t="n"/>
      <c r="M126" s="16" t="n"/>
      <c r="N126" s="17">
        <f>IF($D126="","",IF($M126="Excused","No",IF(AND($G126="PT Modified",$L126="Received"),"No","Yes")))</f>
        <v/>
      </c>
      <c r="O126" s="16" t="n"/>
      <c r="P126" s="17">
        <f>IF(OR($B126="",N($I126)=0),"",MIN(N($I126),SUMIFS(nrMK_Min,nrMK_Link,$B126,nrMK_Credit,"Yes",nrMK_PID,$E126,nrMK_Type,"Classroom")))</f>
        <v/>
      </c>
      <c r="Q126" s="17">
        <f>IF(OR($B126="",N($J126)=0),"",MIN(N($J126),SUMIFS(nrMK_Sess,nrMK_Link,$B126,nrMK_Credit,"Yes",nrMK_PID,$E126,nrMK_Type,"PT")))</f>
        <v/>
      </c>
      <c r="R126" s="17">
        <f>IF(OR($B126="",$N126&lt;&gt;"Yes"),"",IF($K126="Yes",IF(N($J126)&gt;0,N($J126)-N($Q126),""),IF(N($I126)&gt;0,N($I126)-N($P126),"")))</f>
        <v/>
      </c>
      <c r="S126" s="17">
        <f>IF(OR($B126="",$R126=""),"",IF($R126&lt;=0,IF(IFERROR(_xlfn.MAXIFS(nrMK_Date,nrMK_Link,$B126,nrMK_Credit,"Yes",nrMK_PID,$E126),0)=0,"CLEARED (makeup date missing)","CLEARED "&amp;TEXT(_xlfn.MAXIFS(nrMK_Date,nrMK_Link,$B126,nrMK_Credit,"Yes",nrMK_PID,$E126),"mm/dd")),"OPEN"))</f>
        <v/>
      </c>
      <c r="T126" s="17">
        <f>IF($D126="","",IF($C126="","NO DATE",IF($G126="","NO EVENT TYPE",IF(AND($I126&lt;&gt;"",NOT(ISNUMBER($I126))),"MINUTES NOT A NUMBER",IF(AND($J126&lt;&gt;"",NOT(ISNUMBER($J126))),"SESSIONS NOT A NUMBER",IF(OR(N($I126)&lt;0,N($J126)&lt;0),"NEGATIVE MINUTES/SESSIONS",IF(AND($K126="Yes",N($I126)&gt;0),"MINUTES ON A PT EVENT - not counted (PT counts sessions)",IF(AND($K126="No",N($J126)&gt;0),"SESSIONS ON A CLASSROOM EVENT - not counted (classroom counts minutes)",IF(AND($N126="Yes",$K126="Yes",N($J126)=0),"COUNTED PT EVENT WITH NO SESSIONS - dropped from the PT cap",IF(AND($N126="Yes",$K126="No",N($I126)=0),"COUNTED EVENT WITH NO MINUTES - dropped from the classroom cap","OK"))))))))))</f>
        <v/>
      </c>
    </row>
    <row r="127">
      <c r="B127" s="17">
        <f>IF($D127="","","A"&amp;TEXT(ROW()-5,"000"))</f>
        <v/>
      </c>
      <c r="C127" s="18" t="n"/>
      <c r="D127" s="16" t="n"/>
      <c r="E127" s="17">
        <f>IF($D127="","",IFERROR(INDEX(rngCadetPIDs,MATCH($D127,rngCadetNames,0)),"?"))</f>
        <v/>
      </c>
      <c r="F127" s="17">
        <f>IF($E127="","",IFERROR(INDEX(nrCadetAgency,MATCH($E127,rngCadetPIDs,0)),""))</f>
        <v/>
      </c>
      <c r="G127" s="16" t="n"/>
      <c r="H127" s="16" t="n"/>
      <c r="I127" s="16" t="n"/>
      <c r="J127" s="16" t="n"/>
      <c r="K127" s="17">
        <f>IF($G127="","",IF(OR($G127="PT Missed",$G127="PT Modified",$G127="PT Refused"),"Yes","No"))</f>
        <v/>
      </c>
      <c r="L127" s="16" t="n"/>
      <c r="M127" s="16" t="n"/>
      <c r="N127" s="17">
        <f>IF($D127="","",IF($M127="Excused","No",IF(AND($G127="PT Modified",$L127="Received"),"No","Yes")))</f>
        <v/>
      </c>
      <c r="O127" s="16" t="n"/>
      <c r="P127" s="17">
        <f>IF(OR($B127="",N($I127)=0),"",MIN(N($I127),SUMIFS(nrMK_Min,nrMK_Link,$B127,nrMK_Credit,"Yes",nrMK_PID,$E127,nrMK_Type,"Classroom")))</f>
        <v/>
      </c>
      <c r="Q127" s="17">
        <f>IF(OR($B127="",N($J127)=0),"",MIN(N($J127),SUMIFS(nrMK_Sess,nrMK_Link,$B127,nrMK_Credit,"Yes",nrMK_PID,$E127,nrMK_Type,"PT")))</f>
        <v/>
      </c>
      <c r="R127" s="17">
        <f>IF(OR($B127="",$N127&lt;&gt;"Yes"),"",IF($K127="Yes",IF(N($J127)&gt;0,N($J127)-N($Q127),""),IF(N($I127)&gt;0,N($I127)-N($P127),"")))</f>
        <v/>
      </c>
      <c r="S127" s="17">
        <f>IF(OR($B127="",$R127=""),"",IF($R127&lt;=0,IF(IFERROR(_xlfn.MAXIFS(nrMK_Date,nrMK_Link,$B127,nrMK_Credit,"Yes",nrMK_PID,$E127),0)=0,"CLEARED (makeup date missing)","CLEARED "&amp;TEXT(_xlfn.MAXIFS(nrMK_Date,nrMK_Link,$B127,nrMK_Credit,"Yes",nrMK_PID,$E127),"mm/dd")),"OPEN"))</f>
        <v/>
      </c>
      <c r="T127" s="17">
        <f>IF($D127="","",IF($C127="","NO DATE",IF($G127="","NO EVENT TYPE",IF(AND($I127&lt;&gt;"",NOT(ISNUMBER($I127))),"MINUTES NOT A NUMBER",IF(AND($J127&lt;&gt;"",NOT(ISNUMBER($J127))),"SESSIONS NOT A NUMBER",IF(OR(N($I127)&lt;0,N($J127)&lt;0),"NEGATIVE MINUTES/SESSIONS",IF(AND($K127="Yes",N($I127)&gt;0),"MINUTES ON A PT EVENT - not counted (PT counts sessions)",IF(AND($K127="No",N($J127)&gt;0),"SESSIONS ON A CLASSROOM EVENT - not counted (classroom counts minutes)",IF(AND($N127="Yes",$K127="Yes",N($J127)=0),"COUNTED PT EVENT WITH NO SESSIONS - dropped from the PT cap",IF(AND($N127="Yes",$K127="No",N($I127)=0),"COUNTED EVENT WITH NO MINUTES - dropped from the classroom cap","OK"))))))))))</f>
        <v/>
      </c>
    </row>
    <row r="128">
      <c r="B128" s="17">
        <f>IF($D128="","","A"&amp;TEXT(ROW()-5,"000"))</f>
        <v/>
      </c>
      <c r="C128" s="18" t="n"/>
      <c r="D128" s="16" t="n"/>
      <c r="E128" s="17">
        <f>IF($D128="","",IFERROR(INDEX(rngCadetPIDs,MATCH($D128,rngCadetNames,0)),"?"))</f>
        <v/>
      </c>
      <c r="F128" s="17">
        <f>IF($E128="","",IFERROR(INDEX(nrCadetAgency,MATCH($E128,rngCadetPIDs,0)),""))</f>
        <v/>
      </c>
      <c r="G128" s="16" t="n"/>
      <c r="H128" s="16" t="n"/>
      <c r="I128" s="16" t="n"/>
      <c r="J128" s="16" t="n"/>
      <c r="K128" s="17">
        <f>IF($G128="","",IF(OR($G128="PT Missed",$G128="PT Modified",$G128="PT Refused"),"Yes","No"))</f>
        <v/>
      </c>
      <c r="L128" s="16" t="n"/>
      <c r="M128" s="16" t="n"/>
      <c r="N128" s="17">
        <f>IF($D128="","",IF($M128="Excused","No",IF(AND($G128="PT Modified",$L128="Received"),"No","Yes")))</f>
        <v/>
      </c>
      <c r="O128" s="16" t="n"/>
      <c r="P128" s="17">
        <f>IF(OR($B128="",N($I128)=0),"",MIN(N($I128),SUMIFS(nrMK_Min,nrMK_Link,$B128,nrMK_Credit,"Yes",nrMK_PID,$E128,nrMK_Type,"Classroom")))</f>
        <v/>
      </c>
      <c r="Q128" s="17">
        <f>IF(OR($B128="",N($J128)=0),"",MIN(N($J128),SUMIFS(nrMK_Sess,nrMK_Link,$B128,nrMK_Credit,"Yes",nrMK_PID,$E128,nrMK_Type,"PT")))</f>
        <v/>
      </c>
      <c r="R128" s="17">
        <f>IF(OR($B128="",$N128&lt;&gt;"Yes"),"",IF($K128="Yes",IF(N($J128)&gt;0,N($J128)-N($Q128),""),IF(N($I128)&gt;0,N($I128)-N($P128),"")))</f>
        <v/>
      </c>
      <c r="S128" s="17">
        <f>IF(OR($B128="",$R128=""),"",IF($R128&lt;=0,IF(IFERROR(_xlfn.MAXIFS(nrMK_Date,nrMK_Link,$B128,nrMK_Credit,"Yes",nrMK_PID,$E128),0)=0,"CLEARED (makeup date missing)","CLEARED "&amp;TEXT(_xlfn.MAXIFS(nrMK_Date,nrMK_Link,$B128,nrMK_Credit,"Yes",nrMK_PID,$E128),"mm/dd")),"OPEN"))</f>
        <v/>
      </c>
      <c r="T128" s="17">
        <f>IF($D128="","",IF($C128="","NO DATE",IF($G128="","NO EVENT TYPE",IF(AND($I128&lt;&gt;"",NOT(ISNUMBER($I128))),"MINUTES NOT A NUMBER",IF(AND($J128&lt;&gt;"",NOT(ISNUMBER($J128))),"SESSIONS NOT A NUMBER",IF(OR(N($I128)&lt;0,N($J128)&lt;0),"NEGATIVE MINUTES/SESSIONS",IF(AND($K128="Yes",N($I128)&gt;0),"MINUTES ON A PT EVENT - not counted (PT counts sessions)",IF(AND($K128="No",N($J128)&gt;0),"SESSIONS ON A CLASSROOM EVENT - not counted (classroom counts minutes)",IF(AND($N128="Yes",$K128="Yes",N($J128)=0),"COUNTED PT EVENT WITH NO SESSIONS - dropped from the PT cap",IF(AND($N128="Yes",$K128="No",N($I128)=0),"COUNTED EVENT WITH NO MINUTES - dropped from the classroom cap","OK"))))))))))</f>
        <v/>
      </c>
    </row>
    <row r="129">
      <c r="B129" s="17">
        <f>IF($D129="","","A"&amp;TEXT(ROW()-5,"000"))</f>
        <v/>
      </c>
      <c r="C129" s="18" t="n"/>
      <c r="D129" s="16" t="n"/>
      <c r="E129" s="17">
        <f>IF($D129="","",IFERROR(INDEX(rngCadetPIDs,MATCH($D129,rngCadetNames,0)),"?"))</f>
        <v/>
      </c>
      <c r="F129" s="17">
        <f>IF($E129="","",IFERROR(INDEX(nrCadetAgency,MATCH($E129,rngCadetPIDs,0)),""))</f>
        <v/>
      </c>
      <c r="G129" s="16" t="n"/>
      <c r="H129" s="16" t="n"/>
      <c r="I129" s="16" t="n"/>
      <c r="J129" s="16" t="n"/>
      <c r="K129" s="17">
        <f>IF($G129="","",IF(OR($G129="PT Missed",$G129="PT Modified",$G129="PT Refused"),"Yes","No"))</f>
        <v/>
      </c>
      <c r="L129" s="16" t="n"/>
      <c r="M129" s="16" t="n"/>
      <c r="N129" s="17">
        <f>IF($D129="","",IF($M129="Excused","No",IF(AND($G129="PT Modified",$L129="Received"),"No","Yes")))</f>
        <v/>
      </c>
      <c r="O129" s="16" t="n"/>
      <c r="P129" s="17">
        <f>IF(OR($B129="",N($I129)=0),"",MIN(N($I129),SUMIFS(nrMK_Min,nrMK_Link,$B129,nrMK_Credit,"Yes",nrMK_PID,$E129,nrMK_Type,"Classroom")))</f>
        <v/>
      </c>
      <c r="Q129" s="17">
        <f>IF(OR($B129="",N($J129)=0),"",MIN(N($J129),SUMIFS(nrMK_Sess,nrMK_Link,$B129,nrMK_Credit,"Yes",nrMK_PID,$E129,nrMK_Type,"PT")))</f>
        <v/>
      </c>
      <c r="R129" s="17">
        <f>IF(OR($B129="",$N129&lt;&gt;"Yes"),"",IF($K129="Yes",IF(N($J129)&gt;0,N($J129)-N($Q129),""),IF(N($I129)&gt;0,N($I129)-N($P129),"")))</f>
        <v/>
      </c>
      <c r="S129" s="17">
        <f>IF(OR($B129="",$R129=""),"",IF($R129&lt;=0,IF(IFERROR(_xlfn.MAXIFS(nrMK_Date,nrMK_Link,$B129,nrMK_Credit,"Yes",nrMK_PID,$E129),0)=0,"CLEARED (makeup date missing)","CLEARED "&amp;TEXT(_xlfn.MAXIFS(nrMK_Date,nrMK_Link,$B129,nrMK_Credit,"Yes",nrMK_PID,$E129),"mm/dd")),"OPEN"))</f>
        <v/>
      </c>
      <c r="T129" s="17">
        <f>IF($D129="","",IF($C129="","NO DATE",IF($G129="","NO EVENT TYPE",IF(AND($I129&lt;&gt;"",NOT(ISNUMBER($I129))),"MINUTES NOT A NUMBER",IF(AND($J129&lt;&gt;"",NOT(ISNUMBER($J129))),"SESSIONS NOT A NUMBER",IF(OR(N($I129)&lt;0,N($J129)&lt;0),"NEGATIVE MINUTES/SESSIONS",IF(AND($K129="Yes",N($I129)&gt;0),"MINUTES ON A PT EVENT - not counted (PT counts sessions)",IF(AND($K129="No",N($J129)&gt;0),"SESSIONS ON A CLASSROOM EVENT - not counted (classroom counts minutes)",IF(AND($N129="Yes",$K129="Yes",N($J129)=0),"COUNTED PT EVENT WITH NO SESSIONS - dropped from the PT cap",IF(AND($N129="Yes",$K129="No",N($I129)=0),"COUNTED EVENT WITH NO MINUTES - dropped from the classroom cap","OK"))))))))))</f>
        <v/>
      </c>
    </row>
    <row r="130">
      <c r="B130" s="17">
        <f>IF($D130="","","A"&amp;TEXT(ROW()-5,"000"))</f>
        <v/>
      </c>
      <c r="C130" s="18" t="n"/>
      <c r="D130" s="16" t="n"/>
      <c r="E130" s="17">
        <f>IF($D130="","",IFERROR(INDEX(rngCadetPIDs,MATCH($D130,rngCadetNames,0)),"?"))</f>
        <v/>
      </c>
      <c r="F130" s="17">
        <f>IF($E130="","",IFERROR(INDEX(nrCadetAgency,MATCH($E130,rngCadetPIDs,0)),""))</f>
        <v/>
      </c>
      <c r="G130" s="16" t="n"/>
      <c r="H130" s="16" t="n"/>
      <c r="I130" s="16" t="n"/>
      <c r="J130" s="16" t="n"/>
      <c r="K130" s="17">
        <f>IF($G130="","",IF(OR($G130="PT Missed",$G130="PT Modified",$G130="PT Refused"),"Yes","No"))</f>
        <v/>
      </c>
      <c r="L130" s="16" t="n"/>
      <c r="M130" s="16" t="n"/>
      <c r="N130" s="17">
        <f>IF($D130="","",IF($M130="Excused","No",IF(AND($G130="PT Modified",$L130="Received"),"No","Yes")))</f>
        <v/>
      </c>
      <c r="O130" s="16" t="n"/>
      <c r="P130" s="17">
        <f>IF(OR($B130="",N($I130)=0),"",MIN(N($I130),SUMIFS(nrMK_Min,nrMK_Link,$B130,nrMK_Credit,"Yes",nrMK_PID,$E130,nrMK_Type,"Classroom")))</f>
        <v/>
      </c>
      <c r="Q130" s="17">
        <f>IF(OR($B130="",N($J130)=0),"",MIN(N($J130),SUMIFS(nrMK_Sess,nrMK_Link,$B130,nrMK_Credit,"Yes",nrMK_PID,$E130,nrMK_Type,"PT")))</f>
        <v/>
      </c>
      <c r="R130" s="17">
        <f>IF(OR($B130="",$N130&lt;&gt;"Yes"),"",IF($K130="Yes",IF(N($J130)&gt;0,N($J130)-N($Q130),""),IF(N($I130)&gt;0,N($I130)-N($P130),"")))</f>
        <v/>
      </c>
      <c r="S130" s="17">
        <f>IF(OR($B130="",$R130=""),"",IF($R130&lt;=0,IF(IFERROR(_xlfn.MAXIFS(nrMK_Date,nrMK_Link,$B130,nrMK_Credit,"Yes",nrMK_PID,$E130),0)=0,"CLEARED (makeup date missing)","CLEARED "&amp;TEXT(_xlfn.MAXIFS(nrMK_Date,nrMK_Link,$B130,nrMK_Credit,"Yes",nrMK_PID,$E130),"mm/dd")),"OPEN"))</f>
        <v/>
      </c>
      <c r="T130" s="17">
        <f>IF($D130="","",IF($C130="","NO DATE",IF($G130="","NO EVENT TYPE",IF(AND($I130&lt;&gt;"",NOT(ISNUMBER($I130))),"MINUTES NOT A NUMBER",IF(AND($J130&lt;&gt;"",NOT(ISNUMBER($J130))),"SESSIONS NOT A NUMBER",IF(OR(N($I130)&lt;0,N($J130)&lt;0),"NEGATIVE MINUTES/SESSIONS",IF(AND($K130="Yes",N($I130)&gt;0),"MINUTES ON A PT EVENT - not counted (PT counts sessions)",IF(AND($K130="No",N($J130)&gt;0),"SESSIONS ON A CLASSROOM EVENT - not counted (classroom counts minutes)",IF(AND($N130="Yes",$K130="Yes",N($J130)=0),"COUNTED PT EVENT WITH NO SESSIONS - dropped from the PT cap",IF(AND($N130="Yes",$K130="No",N($I130)=0),"COUNTED EVENT WITH NO MINUTES - dropped from the classroom cap","OK"))))))))))</f>
        <v/>
      </c>
    </row>
    <row r="131">
      <c r="B131" s="17">
        <f>IF($D131="","","A"&amp;TEXT(ROW()-5,"000"))</f>
        <v/>
      </c>
      <c r="C131" s="18" t="n"/>
      <c r="D131" s="16" t="n"/>
      <c r="E131" s="17">
        <f>IF($D131="","",IFERROR(INDEX(rngCadetPIDs,MATCH($D131,rngCadetNames,0)),"?"))</f>
        <v/>
      </c>
      <c r="F131" s="17">
        <f>IF($E131="","",IFERROR(INDEX(nrCadetAgency,MATCH($E131,rngCadetPIDs,0)),""))</f>
        <v/>
      </c>
      <c r="G131" s="16" t="n"/>
      <c r="H131" s="16" t="n"/>
      <c r="I131" s="16" t="n"/>
      <c r="J131" s="16" t="n"/>
      <c r="K131" s="17">
        <f>IF($G131="","",IF(OR($G131="PT Missed",$G131="PT Modified",$G131="PT Refused"),"Yes","No"))</f>
        <v/>
      </c>
      <c r="L131" s="16" t="n"/>
      <c r="M131" s="16" t="n"/>
      <c r="N131" s="17">
        <f>IF($D131="","",IF($M131="Excused","No",IF(AND($G131="PT Modified",$L131="Received"),"No","Yes")))</f>
        <v/>
      </c>
      <c r="O131" s="16" t="n"/>
      <c r="P131" s="17">
        <f>IF(OR($B131="",N($I131)=0),"",MIN(N($I131),SUMIFS(nrMK_Min,nrMK_Link,$B131,nrMK_Credit,"Yes",nrMK_PID,$E131,nrMK_Type,"Classroom")))</f>
        <v/>
      </c>
      <c r="Q131" s="17">
        <f>IF(OR($B131="",N($J131)=0),"",MIN(N($J131),SUMIFS(nrMK_Sess,nrMK_Link,$B131,nrMK_Credit,"Yes",nrMK_PID,$E131,nrMK_Type,"PT")))</f>
        <v/>
      </c>
      <c r="R131" s="17">
        <f>IF(OR($B131="",$N131&lt;&gt;"Yes"),"",IF($K131="Yes",IF(N($J131)&gt;0,N($J131)-N($Q131),""),IF(N($I131)&gt;0,N($I131)-N($P131),"")))</f>
        <v/>
      </c>
      <c r="S131" s="17">
        <f>IF(OR($B131="",$R131=""),"",IF($R131&lt;=0,IF(IFERROR(_xlfn.MAXIFS(nrMK_Date,nrMK_Link,$B131,nrMK_Credit,"Yes",nrMK_PID,$E131),0)=0,"CLEARED (makeup date missing)","CLEARED "&amp;TEXT(_xlfn.MAXIFS(nrMK_Date,nrMK_Link,$B131,nrMK_Credit,"Yes",nrMK_PID,$E131),"mm/dd")),"OPEN"))</f>
        <v/>
      </c>
      <c r="T131" s="17">
        <f>IF($D131="","",IF($C131="","NO DATE",IF($G131="","NO EVENT TYPE",IF(AND($I131&lt;&gt;"",NOT(ISNUMBER($I131))),"MINUTES NOT A NUMBER",IF(AND($J131&lt;&gt;"",NOT(ISNUMBER($J131))),"SESSIONS NOT A NUMBER",IF(OR(N($I131)&lt;0,N($J131)&lt;0),"NEGATIVE MINUTES/SESSIONS",IF(AND($K131="Yes",N($I131)&gt;0),"MINUTES ON A PT EVENT - not counted (PT counts sessions)",IF(AND($K131="No",N($J131)&gt;0),"SESSIONS ON A CLASSROOM EVENT - not counted (classroom counts minutes)",IF(AND($N131="Yes",$K131="Yes",N($J131)=0),"COUNTED PT EVENT WITH NO SESSIONS - dropped from the PT cap",IF(AND($N131="Yes",$K131="No",N($I131)=0),"COUNTED EVENT WITH NO MINUTES - dropped from the classroom cap","OK"))))))))))</f>
        <v/>
      </c>
    </row>
    <row r="132">
      <c r="B132" s="17">
        <f>IF($D132="","","A"&amp;TEXT(ROW()-5,"000"))</f>
        <v/>
      </c>
      <c r="C132" s="18" t="n"/>
      <c r="D132" s="16" t="n"/>
      <c r="E132" s="17">
        <f>IF($D132="","",IFERROR(INDEX(rngCadetPIDs,MATCH($D132,rngCadetNames,0)),"?"))</f>
        <v/>
      </c>
      <c r="F132" s="17">
        <f>IF($E132="","",IFERROR(INDEX(nrCadetAgency,MATCH($E132,rngCadetPIDs,0)),""))</f>
        <v/>
      </c>
      <c r="G132" s="16" t="n"/>
      <c r="H132" s="16" t="n"/>
      <c r="I132" s="16" t="n"/>
      <c r="J132" s="16" t="n"/>
      <c r="K132" s="17">
        <f>IF($G132="","",IF(OR($G132="PT Missed",$G132="PT Modified",$G132="PT Refused"),"Yes","No"))</f>
        <v/>
      </c>
      <c r="L132" s="16" t="n"/>
      <c r="M132" s="16" t="n"/>
      <c r="N132" s="17">
        <f>IF($D132="","",IF($M132="Excused","No",IF(AND($G132="PT Modified",$L132="Received"),"No","Yes")))</f>
        <v/>
      </c>
      <c r="O132" s="16" t="n"/>
      <c r="P132" s="17">
        <f>IF(OR($B132="",N($I132)=0),"",MIN(N($I132),SUMIFS(nrMK_Min,nrMK_Link,$B132,nrMK_Credit,"Yes",nrMK_PID,$E132,nrMK_Type,"Classroom")))</f>
        <v/>
      </c>
      <c r="Q132" s="17">
        <f>IF(OR($B132="",N($J132)=0),"",MIN(N($J132),SUMIFS(nrMK_Sess,nrMK_Link,$B132,nrMK_Credit,"Yes",nrMK_PID,$E132,nrMK_Type,"PT")))</f>
        <v/>
      </c>
      <c r="R132" s="17">
        <f>IF(OR($B132="",$N132&lt;&gt;"Yes"),"",IF($K132="Yes",IF(N($J132)&gt;0,N($J132)-N($Q132),""),IF(N($I132)&gt;0,N($I132)-N($P132),"")))</f>
        <v/>
      </c>
      <c r="S132" s="17">
        <f>IF(OR($B132="",$R132=""),"",IF($R132&lt;=0,IF(IFERROR(_xlfn.MAXIFS(nrMK_Date,nrMK_Link,$B132,nrMK_Credit,"Yes",nrMK_PID,$E132),0)=0,"CLEARED (makeup date missing)","CLEARED "&amp;TEXT(_xlfn.MAXIFS(nrMK_Date,nrMK_Link,$B132,nrMK_Credit,"Yes",nrMK_PID,$E132),"mm/dd")),"OPEN"))</f>
        <v/>
      </c>
      <c r="T132" s="17">
        <f>IF($D132="","",IF($C132="","NO DATE",IF($G132="","NO EVENT TYPE",IF(AND($I132&lt;&gt;"",NOT(ISNUMBER($I132))),"MINUTES NOT A NUMBER",IF(AND($J132&lt;&gt;"",NOT(ISNUMBER($J132))),"SESSIONS NOT A NUMBER",IF(OR(N($I132)&lt;0,N($J132)&lt;0),"NEGATIVE MINUTES/SESSIONS",IF(AND($K132="Yes",N($I132)&gt;0),"MINUTES ON A PT EVENT - not counted (PT counts sessions)",IF(AND($K132="No",N($J132)&gt;0),"SESSIONS ON A CLASSROOM EVENT - not counted (classroom counts minutes)",IF(AND($N132="Yes",$K132="Yes",N($J132)=0),"COUNTED PT EVENT WITH NO SESSIONS - dropped from the PT cap",IF(AND($N132="Yes",$K132="No",N($I132)=0),"COUNTED EVENT WITH NO MINUTES - dropped from the classroom cap","OK"))))))))))</f>
        <v/>
      </c>
    </row>
    <row r="133">
      <c r="B133" s="17">
        <f>IF($D133="","","A"&amp;TEXT(ROW()-5,"000"))</f>
        <v/>
      </c>
      <c r="C133" s="18" t="n"/>
      <c r="D133" s="16" t="n"/>
      <c r="E133" s="17">
        <f>IF($D133="","",IFERROR(INDEX(rngCadetPIDs,MATCH($D133,rngCadetNames,0)),"?"))</f>
        <v/>
      </c>
      <c r="F133" s="17">
        <f>IF($E133="","",IFERROR(INDEX(nrCadetAgency,MATCH($E133,rngCadetPIDs,0)),""))</f>
        <v/>
      </c>
      <c r="G133" s="16" t="n"/>
      <c r="H133" s="16" t="n"/>
      <c r="I133" s="16" t="n"/>
      <c r="J133" s="16" t="n"/>
      <c r="K133" s="17">
        <f>IF($G133="","",IF(OR($G133="PT Missed",$G133="PT Modified",$G133="PT Refused"),"Yes","No"))</f>
        <v/>
      </c>
      <c r="L133" s="16" t="n"/>
      <c r="M133" s="16" t="n"/>
      <c r="N133" s="17">
        <f>IF($D133="","",IF($M133="Excused","No",IF(AND($G133="PT Modified",$L133="Received"),"No","Yes")))</f>
        <v/>
      </c>
      <c r="O133" s="16" t="n"/>
      <c r="P133" s="17">
        <f>IF(OR($B133="",N($I133)=0),"",MIN(N($I133),SUMIFS(nrMK_Min,nrMK_Link,$B133,nrMK_Credit,"Yes",nrMK_PID,$E133,nrMK_Type,"Classroom")))</f>
        <v/>
      </c>
      <c r="Q133" s="17">
        <f>IF(OR($B133="",N($J133)=0),"",MIN(N($J133),SUMIFS(nrMK_Sess,nrMK_Link,$B133,nrMK_Credit,"Yes",nrMK_PID,$E133,nrMK_Type,"PT")))</f>
        <v/>
      </c>
      <c r="R133" s="17">
        <f>IF(OR($B133="",$N133&lt;&gt;"Yes"),"",IF($K133="Yes",IF(N($J133)&gt;0,N($J133)-N($Q133),""),IF(N($I133)&gt;0,N($I133)-N($P133),"")))</f>
        <v/>
      </c>
      <c r="S133" s="17">
        <f>IF(OR($B133="",$R133=""),"",IF($R133&lt;=0,IF(IFERROR(_xlfn.MAXIFS(nrMK_Date,nrMK_Link,$B133,nrMK_Credit,"Yes",nrMK_PID,$E133),0)=0,"CLEARED (makeup date missing)","CLEARED "&amp;TEXT(_xlfn.MAXIFS(nrMK_Date,nrMK_Link,$B133,nrMK_Credit,"Yes",nrMK_PID,$E133),"mm/dd")),"OPEN"))</f>
        <v/>
      </c>
      <c r="T133" s="17">
        <f>IF($D133="","",IF($C133="","NO DATE",IF($G133="","NO EVENT TYPE",IF(AND($I133&lt;&gt;"",NOT(ISNUMBER($I133))),"MINUTES NOT A NUMBER",IF(AND($J133&lt;&gt;"",NOT(ISNUMBER($J133))),"SESSIONS NOT A NUMBER",IF(OR(N($I133)&lt;0,N($J133)&lt;0),"NEGATIVE MINUTES/SESSIONS",IF(AND($K133="Yes",N($I133)&gt;0),"MINUTES ON A PT EVENT - not counted (PT counts sessions)",IF(AND($K133="No",N($J133)&gt;0),"SESSIONS ON A CLASSROOM EVENT - not counted (classroom counts minutes)",IF(AND($N133="Yes",$K133="Yes",N($J133)=0),"COUNTED PT EVENT WITH NO SESSIONS - dropped from the PT cap",IF(AND($N133="Yes",$K133="No",N($I133)=0),"COUNTED EVENT WITH NO MINUTES - dropped from the classroom cap","OK"))))))))))</f>
        <v/>
      </c>
    </row>
    <row r="134">
      <c r="B134" s="17">
        <f>IF($D134="","","A"&amp;TEXT(ROW()-5,"000"))</f>
        <v/>
      </c>
      <c r="C134" s="18" t="n"/>
      <c r="D134" s="16" t="n"/>
      <c r="E134" s="17">
        <f>IF($D134="","",IFERROR(INDEX(rngCadetPIDs,MATCH($D134,rngCadetNames,0)),"?"))</f>
        <v/>
      </c>
      <c r="F134" s="17">
        <f>IF($E134="","",IFERROR(INDEX(nrCadetAgency,MATCH($E134,rngCadetPIDs,0)),""))</f>
        <v/>
      </c>
      <c r="G134" s="16" t="n"/>
      <c r="H134" s="16" t="n"/>
      <c r="I134" s="16" t="n"/>
      <c r="J134" s="16" t="n"/>
      <c r="K134" s="17">
        <f>IF($G134="","",IF(OR($G134="PT Missed",$G134="PT Modified",$G134="PT Refused"),"Yes","No"))</f>
        <v/>
      </c>
      <c r="L134" s="16" t="n"/>
      <c r="M134" s="16" t="n"/>
      <c r="N134" s="17">
        <f>IF($D134="","",IF($M134="Excused","No",IF(AND($G134="PT Modified",$L134="Received"),"No","Yes")))</f>
        <v/>
      </c>
      <c r="O134" s="16" t="n"/>
      <c r="P134" s="17">
        <f>IF(OR($B134="",N($I134)=0),"",MIN(N($I134),SUMIFS(nrMK_Min,nrMK_Link,$B134,nrMK_Credit,"Yes",nrMK_PID,$E134,nrMK_Type,"Classroom")))</f>
        <v/>
      </c>
      <c r="Q134" s="17">
        <f>IF(OR($B134="",N($J134)=0),"",MIN(N($J134),SUMIFS(nrMK_Sess,nrMK_Link,$B134,nrMK_Credit,"Yes",nrMK_PID,$E134,nrMK_Type,"PT")))</f>
        <v/>
      </c>
      <c r="R134" s="17">
        <f>IF(OR($B134="",$N134&lt;&gt;"Yes"),"",IF($K134="Yes",IF(N($J134)&gt;0,N($J134)-N($Q134),""),IF(N($I134)&gt;0,N($I134)-N($P134),"")))</f>
        <v/>
      </c>
      <c r="S134" s="17">
        <f>IF(OR($B134="",$R134=""),"",IF($R134&lt;=0,IF(IFERROR(_xlfn.MAXIFS(nrMK_Date,nrMK_Link,$B134,nrMK_Credit,"Yes",nrMK_PID,$E134),0)=0,"CLEARED (makeup date missing)","CLEARED "&amp;TEXT(_xlfn.MAXIFS(nrMK_Date,nrMK_Link,$B134,nrMK_Credit,"Yes",nrMK_PID,$E134),"mm/dd")),"OPEN"))</f>
        <v/>
      </c>
      <c r="T134" s="17">
        <f>IF($D134="","",IF($C134="","NO DATE",IF($G134="","NO EVENT TYPE",IF(AND($I134&lt;&gt;"",NOT(ISNUMBER($I134))),"MINUTES NOT A NUMBER",IF(AND($J134&lt;&gt;"",NOT(ISNUMBER($J134))),"SESSIONS NOT A NUMBER",IF(OR(N($I134)&lt;0,N($J134)&lt;0),"NEGATIVE MINUTES/SESSIONS",IF(AND($K134="Yes",N($I134)&gt;0),"MINUTES ON A PT EVENT - not counted (PT counts sessions)",IF(AND($K134="No",N($J134)&gt;0),"SESSIONS ON A CLASSROOM EVENT - not counted (classroom counts minutes)",IF(AND($N134="Yes",$K134="Yes",N($J134)=0),"COUNTED PT EVENT WITH NO SESSIONS - dropped from the PT cap",IF(AND($N134="Yes",$K134="No",N($I134)=0),"COUNTED EVENT WITH NO MINUTES - dropped from the classroom cap","OK"))))))))))</f>
        <v/>
      </c>
    </row>
    <row r="135">
      <c r="B135" s="17">
        <f>IF($D135="","","A"&amp;TEXT(ROW()-5,"000"))</f>
        <v/>
      </c>
      <c r="C135" s="18" t="n"/>
      <c r="D135" s="16" t="n"/>
      <c r="E135" s="17">
        <f>IF($D135="","",IFERROR(INDEX(rngCadetPIDs,MATCH($D135,rngCadetNames,0)),"?"))</f>
        <v/>
      </c>
      <c r="F135" s="17">
        <f>IF($E135="","",IFERROR(INDEX(nrCadetAgency,MATCH($E135,rngCadetPIDs,0)),""))</f>
        <v/>
      </c>
      <c r="G135" s="16" t="n"/>
      <c r="H135" s="16" t="n"/>
      <c r="I135" s="16" t="n"/>
      <c r="J135" s="16" t="n"/>
      <c r="K135" s="17">
        <f>IF($G135="","",IF(OR($G135="PT Missed",$G135="PT Modified",$G135="PT Refused"),"Yes","No"))</f>
        <v/>
      </c>
      <c r="L135" s="16" t="n"/>
      <c r="M135" s="16" t="n"/>
      <c r="N135" s="17">
        <f>IF($D135="","",IF($M135="Excused","No",IF(AND($G135="PT Modified",$L135="Received"),"No","Yes")))</f>
        <v/>
      </c>
      <c r="O135" s="16" t="n"/>
      <c r="P135" s="17">
        <f>IF(OR($B135="",N($I135)=0),"",MIN(N($I135),SUMIFS(nrMK_Min,nrMK_Link,$B135,nrMK_Credit,"Yes",nrMK_PID,$E135,nrMK_Type,"Classroom")))</f>
        <v/>
      </c>
      <c r="Q135" s="17">
        <f>IF(OR($B135="",N($J135)=0),"",MIN(N($J135),SUMIFS(nrMK_Sess,nrMK_Link,$B135,nrMK_Credit,"Yes",nrMK_PID,$E135,nrMK_Type,"PT")))</f>
        <v/>
      </c>
      <c r="R135" s="17">
        <f>IF(OR($B135="",$N135&lt;&gt;"Yes"),"",IF($K135="Yes",IF(N($J135)&gt;0,N($J135)-N($Q135),""),IF(N($I135)&gt;0,N($I135)-N($P135),"")))</f>
        <v/>
      </c>
      <c r="S135" s="17">
        <f>IF(OR($B135="",$R135=""),"",IF($R135&lt;=0,IF(IFERROR(_xlfn.MAXIFS(nrMK_Date,nrMK_Link,$B135,nrMK_Credit,"Yes",nrMK_PID,$E135),0)=0,"CLEARED (makeup date missing)","CLEARED "&amp;TEXT(_xlfn.MAXIFS(nrMK_Date,nrMK_Link,$B135,nrMK_Credit,"Yes",nrMK_PID,$E135),"mm/dd")),"OPEN"))</f>
        <v/>
      </c>
      <c r="T135" s="17">
        <f>IF($D135="","",IF($C135="","NO DATE",IF($G135="","NO EVENT TYPE",IF(AND($I135&lt;&gt;"",NOT(ISNUMBER($I135))),"MINUTES NOT A NUMBER",IF(AND($J135&lt;&gt;"",NOT(ISNUMBER($J135))),"SESSIONS NOT A NUMBER",IF(OR(N($I135)&lt;0,N($J135)&lt;0),"NEGATIVE MINUTES/SESSIONS",IF(AND($K135="Yes",N($I135)&gt;0),"MINUTES ON A PT EVENT - not counted (PT counts sessions)",IF(AND($K135="No",N($J135)&gt;0),"SESSIONS ON A CLASSROOM EVENT - not counted (classroom counts minutes)",IF(AND($N135="Yes",$K135="Yes",N($J135)=0),"COUNTED PT EVENT WITH NO SESSIONS - dropped from the PT cap",IF(AND($N135="Yes",$K135="No",N($I135)=0),"COUNTED EVENT WITH NO MINUTES - dropped from the classroom cap","OK"))))))))))</f>
        <v/>
      </c>
    </row>
    <row r="136">
      <c r="B136" s="17">
        <f>IF($D136="","","A"&amp;TEXT(ROW()-5,"000"))</f>
        <v/>
      </c>
      <c r="C136" s="18" t="n"/>
      <c r="D136" s="16" t="n"/>
      <c r="E136" s="17">
        <f>IF($D136="","",IFERROR(INDEX(rngCadetPIDs,MATCH($D136,rngCadetNames,0)),"?"))</f>
        <v/>
      </c>
      <c r="F136" s="17">
        <f>IF($E136="","",IFERROR(INDEX(nrCadetAgency,MATCH($E136,rngCadetPIDs,0)),""))</f>
        <v/>
      </c>
      <c r="G136" s="16" t="n"/>
      <c r="H136" s="16" t="n"/>
      <c r="I136" s="16" t="n"/>
      <c r="J136" s="16" t="n"/>
      <c r="K136" s="17">
        <f>IF($G136="","",IF(OR($G136="PT Missed",$G136="PT Modified",$G136="PT Refused"),"Yes","No"))</f>
        <v/>
      </c>
      <c r="L136" s="16" t="n"/>
      <c r="M136" s="16" t="n"/>
      <c r="N136" s="17">
        <f>IF($D136="","",IF($M136="Excused","No",IF(AND($G136="PT Modified",$L136="Received"),"No","Yes")))</f>
        <v/>
      </c>
      <c r="O136" s="16" t="n"/>
      <c r="P136" s="17">
        <f>IF(OR($B136="",N($I136)=0),"",MIN(N($I136),SUMIFS(nrMK_Min,nrMK_Link,$B136,nrMK_Credit,"Yes",nrMK_PID,$E136,nrMK_Type,"Classroom")))</f>
        <v/>
      </c>
      <c r="Q136" s="17">
        <f>IF(OR($B136="",N($J136)=0),"",MIN(N($J136),SUMIFS(nrMK_Sess,nrMK_Link,$B136,nrMK_Credit,"Yes",nrMK_PID,$E136,nrMK_Type,"PT")))</f>
        <v/>
      </c>
      <c r="R136" s="17">
        <f>IF(OR($B136="",$N136&lt;&gt;"Yes"),"",IF($K136="Yes",IF(N($J136)&gt;0,N($J136)-N($Q136),""),IF(N($I136)&gt;0,N($I136)-N($P136),"")))</f>
        <v/>
      </c>
      <c r="S136" s="17">
        <f>IF(OR($B136="",$R136=""),"",IF($R136&lt;=0,IF(IFERROR(_xlfn.MAXIFS(nrMK_Date,nrMK_Link,$B136,nrMK_Credit,"Yes",nrMK_PID,$E136),0)=0,"CLEARED (makeup date missing)","CLEARED "&amp;TEXT(_xlfn.MAXIFS(nrMK_Date,nrMK_Link,$B136,nrMK_Credit,"Yes",nrMK_PID,$E136),"mm/dd")),"OPEN"))</f>
        <v/>
      </c>
      <c r="T136" s="17">
        <f>IF($D136="","",IF($C136="","NO DATE",IF($G136="","NO EVENT TYPE",IF(AND($I136&lt;&gt;"",NOT(ISNUMBER($I136))),"MINUTES NOT A NUMBER",IF(AND($J136&lt;&gt;"",NOT(ISNUMBER($J136))),"SESSIONS NOT A NUMBER",IF(OR(N($I136)&lt;0,N($J136)&lt;0),"NEGATIVE MINUTES/SESSIONS",IF(AND($K136="Yes",N($I136)&gt;0),"MINUTES ON A PT EVENT - not counted (PT counts sessions)",IF(AND($K136="No",N($J136)&gt;0),"SESSIONS ON A CLASSROOM EVENT - not counted (classroom counts minutes)",IF(AND($N136="Yes",$K136="Yes",N($J136)=0),"COUNTED PT EVENT WITH NO SESSIONS - dropped from the PT cap",IF(AND($N136="Yes",$K136="No",N($I136)=0),"COUNTED EVENT WITH NO MINUTES - dropped from the classroom cap","OK"))))))))))</f>
        <v/>
      </c>
    </row>
    <row r="137">
      <c r="B137" s="17">
        <f>IF($D137="","","A"&amp;TEXT(ROW()-5,"000"))</f>
        <v/>
      </c>
      <c r="C137" s="18" t="n"/>
      <c r="D137" s="16" t="n"/>
      <c r="E137" s="17">
        <f>IF($D137="","",IFERROR(INDEX(rngCadetPIDs,MATCH($D137,rngCadetNames,0)),"?"))</f>
        <v/>
      </c>
      <c r="F137" s="17">
        <f>IF($E137="","",IFERROR(INDEX(nrCadetAgency,MATCH($E137,rngCadetPIDs,0)),""))</f>
        <v/>
      </c>
      <c r="G137" s="16" t="n"/>
      <c r="H137" s="16" t="n"/>
      <c r="I137" s="16" t="n"/>
      <c r="J137" s="16" t="n"/>
      <c r="K137" s="17">
        <f>IF($G137="","",IF(OR($G137="PT Missed",$G137="PT Modified",$G137="PT Refused"),"Yes","No"))</f>
        <v/>
      </c>
      <c r="L137" s="16" t="n"/>
      <c r="M137" s="16" t="n"/>
      <c r="N137" s="17">
        <f>IF($D137="","",IF($M137="Excused","No",IF(AND($G137="PT Modified",$L137="Received"),"No","Yes")))</f>
        <v/>
      </c>
      <c r="O137" s="16" t="n"/>
      <c r="P137" s="17">
        <f>IF(OR($B137="",N($I137)=0),"",MIN(N($I137),SUMIFS(nrMK_Min,nrMK_Link,$B137,nrMK_Credit,"Yes",nrMK_PID,$E137,nrMK_Type,"Classroom")))</f>
        <v/>
      </c>
      <c r="Q137" s="17">
        <f>IF(OR($B137="",N($J137)=0),"",MIN(N($J137),SUMIFS(nrMK_Sess,nrMK_Link,$B137,nrMK_Credit,"Yes",nrMK_PID,$E137,nrMK_Type,"PT")))</f>
        <v/>
      </c>
      <c r="R137" s="17">
        <f>IF(OR($B137="",$N137&lt;&gt;"Yes"),"",IF($K137="Yes",IF(N($J137)&gt;0,N($J137)-N($Q137),""),IF(N($I137)&gt;0,N($I137)-N($P137),"")))</f>
        <v/>
      </c>
      <c r="S137" s="17">
        <f>IF(OR($B137="",$R137=""),"",IF($R137&lt;=0,IF(IFERROR(_xlfn.MAXIFS(nrMK_Date,nrMK_Link,$B137,nrMK_Credit,"Yes",nrMK_PID,$E137),0)=0,"CLEARED (makeup date missing)","CLEARED "&amp;TEXT(_xlfn.MAXIFS(nrMK_Date,nrMK_Link,$B137,nrMK_Credit,"Yes",nrMK_PID,$E137),"mm/dd")),"OPEN"))</f>
        <v/>
      </c>
      <c r="T137" s="17">
        <f>IF($D137="","",IF($C137="","NO DATE",IF($G137="","NO EVENT TYPE",IF(AND($I137&lt;&gt;"",NOT(ISNUMBER($I137))),"MINUTES NOT A NUMBER",IF(AND($J137&lt;&gt;"",NOT(ISNUMBER($J137))),"SESSIONS NOT A NUMBER",IF(OR(N($I137)&lt;0,N($J137)&lt;0),"NEGATIVE MINUTES/SESSIONS",IF(AND($K137="Yes",N($I137)&gt;0),"MINUTES ON A PT EVENT - not counted (PT counts sessions)",IF(AND($K137="No",N($J137)&gt;0),"SESSIONS ON A CLASSROOM EVENT - not counted (classroom counts minutes)",IF(AND($N137="Yes",$K137="Yes",N($J137)=0),"COUNTED PT EVENT WITH NO SESSIONS - dropped from the PT cap",IF(AND($N137="Yes",$K137="No",N($I137)=0),"COUNTED EVENT WITH NO MINUTES - dropped from the classroom cap","OK"))))))))))</f>
        <v/>
      </c>
    </row>
    <row r="138">
      <c r="B138" s="17">
        <f>IF($D138="","","A"&amp;TEXT(ROW()-5,"000"))</f>
        <v/>
      </c>
      <c r="C138" s="18" t="n"/>
      <c r="D138" s="16" t="n"/>
      <c r="E138" s="17">
        <f>IF($D138="","",IFERROR(INDEX(rngCadetPIDs,MATCH($D138,rngCadetNames,0)),"?"))</f>
        <v/>
      </c>
      <c r="F138" s="17">
        <f>IF($E138="","",IFERROR(INDEX(nrCadetAgency,MATCH($E138,rngCadetPIDs,0)),""))</f>
        <v/>
      </c>
      <c r="G138" s="16" t="n"/>
      <c r="H138" s="16" t="n"/>
      <c r="I138" s="16" t="n"/>
      <c r="J138" s="16" t="n"/>
      <c r="K138" s="17">
        <f>IF($G138="","",IF(OR($G138="PT Missed",$G138="PT Modified",$G138="PT Refused"),"Yes","No"))</f>
        <v/>
      </c>
      <c r="L138" s="16" t="n"/>
      <c r="M138" s="16" t="n"/>
      <c r="N138" s="17">
        <f>IF($D138="","",IF($M138="Excused","No",IF(AND($G138="PT Modified",$L138="Received"),"No","Yes")))</f>
        <v/>
      </c>
      <c r="O138" s="16" t="n"/>
      <c r="P138" s="17">
        <f>IF(OR($B138="",N($I138)=0),"",MIN(N($I138),SUMIFS(nrMK_Min,nrMK_Link,$B138,nrMK_Credit,"Yes",nrMK_PID,$E138,nrMK_Type,"Classroom")))</f>
        <v/>
      </c>
      <c r="Q138" s="17">
        <f>IF(OR($B138="",N($J138)=0),"",MIN(N($J138),SUMIFS(nrMK_Sess,nrMK_Link,$B138,nrMK_Credit,"Yes",nrMK_PID,$E138,nrMK_Type,"PT")))</f>
        <v/>
      </c>
      <c r="R138" s="17">
        <f>IF(OR($B138="",$N138&lt;&gt;"Yes"),"",IF($K138="Yes",IF(N($J138)&gt;0,N($J138)-N($Q138),""),IF(N($I138)&gt;0,N($I138)-N($P138),"")))</f>
        <v/>
      </c>
      <c r="S138" s="17">
        <f>IF(OR($B138="",$R138=""),"",IF($R138&lt;=0,IF(IFERROR(_xlfn.MAXIFS(nrMK_Date,nrMK_Link,$B138,nrMK_Credit,"Yes",nrMK_PID,$E138),0)=0,"CLEARED (makeup date missing)","CLEARED "&amp;TEXT(_xlfn.MAXIFS(nrMK_Date,nrMK_Link,$B138,nrMK_Credit,"Yes",nrMK_PID,$E138),"mm/dd")),"OPEN"))</f>
        <v/>
      </c>
      <c r="T138" s="17">
        <f>IF($D138="","",IF($C138="","NO DATE",IF($G138="","NO EVENT TYPE",IF(AND($I138&lt;&gt;"",NOT(ISNUMBER($I138))),"MINUTES NOT A NUMBER",IF(AND($J138&lt;&gt;"",NOT(ISNUMBER($J138))),"SESSIONS NOT A NUMBER",IF(OR(N($I138)&lt;0,N($J138)&lt;0),"NEGATIVE MINUTES/SESSIONS",IF(AND($K138="Yes",N($I138)&gt;0),"MINUTES ON A PT EVENT - not counted (PT counts sessions)",IF(AND($K138="No",N($J138)&gt;0),"SESSIONS ON A CLASSROOM EVENT - not counted (classroom counts minutes)",IF(AND($N138="Yes",$K138="Yes",N($J138)=0),"COUNTED PT EVENT WITH NO SESSIONS - dropped from the PT cap",IF(AND($N138="Yes",$K138="No",N($I138)=0),"COUNTED EVENT WITH NO MINUTES - dropped from the classroom cap","OK"))))))))))</f>
        <v/>
      </c>
    </row>
    <row r="139">
      <c r="B139" s="17">
        <f>IF($D139="","","A"&amp;TEXT(ROW()-5,"000"))</f>
        <v/>
      </c>
      <c r="C139" s="18" t="n"/>
      <c r="D139" s="16" t="n"/>
      <c r="E139" s="17">
        <f>IF($D139="","",IFERROR(INDEX(rngCadetPIDs,MATCH($D139,rngCadetNames,0)),"?"))</f>
        <v/>
      </c>
      <c r="F139" s="17">
        <f>IF($E139="","",IFERROR(INDEX(nrCadetAgency,MATCH($E139,rngCadetPIDs,0)),""))</f>
        <v/>
      </c>
      <c r="G139" s="16" t="n"/>
      <c r="H139" s="16" t="n"/>
      <c r="I139" s="16" t="n"/>
      <c r="J139" s="16" t="n"/>
      <c r="K139" s="17">
        <f>IF($G139="","",IF(OR($G139="PT Missed",$G139="PT Modified",$G139="PT Refused"),"Yes","No"))</f>
        <v/>
      </c>
      <c r="L139" s="16" t="n"/>
      <c r="M139" s="16" t="n"/>
      <c r="N139" s="17">
        <f>IF($D139="","",IF($M139="Excused","No",IF(AND($G139="PT Modified",$L139="Received"),"No","Yes")))</f>
        <v/>
      </c>
      <c r="O139" s="16" t="n"/>
      <c r="P139" s="17">
        <f>IF(OR($B139="",N($I139)=0),"",MIN(N($I139),SUMIFS(nrMK_Min,nrMK_Link,$B139,nrMK_Credit,"Yes",nrMK_PID,$E139,nrMK_Type,"Classroom")))</f>
        <v/>
      </c>
      <c r="Q139" s="17">
        <f>IF(OR($B139="",N($J139)=0),"",MIN(N($J139),SUMIFS(nrMK_Sess,nrMK_Link,$B139,nrMK_Credit,"Yes",nrMK_PID,$E139,nrMK_Type,"PT")))</f>
        <v/>
      </c>
      <c r="R139" s="17">
        <f>IF(OR($B139="",$N139&lt;&gt;"Yes"),"",IF($K139="Yes",IF(N($J139)&gt;0,N($J139)-N($Q139),""),IF(N($I139)&gt;0,N($I139)-N($P139),"")))</f>
        <v/>
      </c>
      <c r="S139" s="17">
        <f>IF(OR($B139="",$R139=""),"",IF($R139&lt;=0,IF(IFERROR(_xlfn.MAXIFS(nrMK_Date,nrMK_Link,$B139,nrMK_Credit,"Yes",nrMK_PID,$E139),0)=0,"CLEARED (makeup date missing)","CLEARED "&amp;TEXT(_xlfn.MAXIFS(nrMK_Date,nrMK_Link,$B139,nrMK_Credit,"Yes",nrMK_PID,$E139),"mm/dd")),"OPEN"))</f>
        <v/>
      </c>
      <c r="T139" s="17">
        <f>IF($D139="","",IF($C139="","NO DATE",IF($G139="","NO EVENT TYPE",IF(AND($I139&lt;&gt;"",NOT(ISNUMBER($I139))),"MINUTES NOT A NUMBER",IF(AND($J139&lt;&gt;"",NOT(ISNUMBER($J139))),"SESSIONS NOT A NUMBER",IF(OR(N($I139)&lt;0,N($J139)&lt;0),"NEGATIVE MINUTES/SESSIONS",IF(AND($K139="Yes",N($I139)&gt;0),"MINUTES ON A PT EVENT - not counted (PT counts sessions)",IF(AND($K139="No",N($J139)&gt;0),"SESSIONS ON A CLASSROOM EVENT - not counted (classroom counts minutes)",IF(AND($N139="Yes",$K139="Yes",N($J139)=0),"COUNTED PT EVENT WITH NO SESSIONS - dropped from the PT cap",IF(AND($N139="Yes",$K139="No",N($I139)=0),"COUNTED EVENT WITH NO MINUTES - dropped from the classroom cap","OK"))))))))))</f>
        <v/>
      </c>
    </row>
    <row r="140">
      <c r="B140" s="17">
        <f>IF($D140="","","A"&amp;TEXT(ROW()-5,"000"))</f>
        <v/>
      </c>
      <c r="C140" s="18" t="n"/>
      <c r="D140" s="16" t="n"/>
      <c r="E140" s="17">
        <f>IF($D140="","",IFERROR(INDEX(rngCadetPIDs,MATCH($D140,rngCadetNames,0)),"?"))</f>
        <v/>
      </c>
      <c r="F140" s="17">
        <f>IF($E140="","",IFERROR(INDEX(nrCadetAgency,MATCH($E140,rngCadetPIDs,0)),""))</f>
        <v/>
      </c>
      <c r="G140" s="16" t="n"/>
      <c r="H140" s="16" t="n"/>
      <c r="I140" s="16" t="n"/>
      <c r="J140" s="16" t="n"/>
      <c r="K140" s="17">
        <f>IF($G140="","",IF(OR($G140="PT Missed",$G140="PT Modified",$G140="PT Refused"),"Yes","No"))</f>
        <v/>
      </c>
      <c r="L140" s="16" t="n"/>
      <c r="M140" s="16" t="n"/>
      <c r="N140" s="17">
        <f>IF($D140="","",IF($M140="Excused","No",IF(AND($G140="PT Modified",$L140="Received"),"No","Yes")))</f>
        <v/>
      </c>
      <c r="O140" s="16" t="n"/>
      <c r="P140" s="17">
        <f>IF(OR($B140="",N($I140)=0),"",MIN(N($I140),SUMIFS(nrMK_Min,nrMK_Link,$B140,nrMK_Credit,"Yes",nrMK_PID,$E140,nrMK_Type,"Classroom")))</f>
        <v/>
      </c>
      <c r="Q140" s="17">
        <f>IF(OR($B140="",N($J140)=0),"",MIN(N($J140),SUMIFS(nrMK_Sess,nrMK_Link,$B140,nrMK_Credit,"Yes",nrMK_PID,$E140,nrMK_Type,"PT")))</f>
        <v/>
      </c>
      <c r="R140" s="17">
        <f>IF(OR($B140="",$N140&lt;&gt;"Yes"),"",IF($K140="Yes",IF(N($J140)&gt;0,N($J140)-N($Q140),""),IF(N($I140)&gt;0,N($I140)-N($P140),"")))</f>
        <v/>
      </c>
      <c r="S140" s="17">
        <f>IF(OR($B140="",$R140=""),"",IF($R140&lt;=0,IF(IFERROR(_xlfn.MAXIFS(nrMK_Date,nrMK_Link,$B140,nrMK_Credit,"Yes",nrMK_PID,$E140),0)=0,"CLEARED (makeup date missing)","CLEARED "&amp;TEXT(_xlfn.MAXIFS(nrMK_Date,nrMK_Link,$B140,nrMK_Credit,"Yes",nrMK_PID,$E140),"mm/dd")),"OPEN"))</f>
        <v/>
      </c>
      <c r="T140" s="17">
        <f>IF($D140="","",IF($C140="","NO DATE",IF($G140="","NO EVENT TYPE",IF(AND($I140&lt;&gt;"",NOT(ISNUMBER($I140))),"MINUTES NOT A NUMBER",IF(AND($J140&lt;&gt;"",NOT(ISNUMBER($J140))),"SESSIONS NOT A NUMBER",IF(OR(N($I140)&lt;0,N($J140)&lt;0),"NEGATIVE MINUTES/SESSIONS",IF(AND($K140="Yes",N($I140)&gt;0),"MINUTES ON A PT EVENT - not counted (PT counts sessions)",IF(AND($K140="No",N($J140)&gt;0),"SESSIONS ON A CLASSROOM EVENT - not counted (classroom counts minutes)",IF(AND($N140="Yes",$K140="Yes",N($J140)=0),"COUNTED PT EVENT WITH NO SESSIONS - dropped from the PT cap",IF(AND($N140="Yes",$K140="No",N($I140)=0),"COUNTED EVENT WITH NO MINUTES - dropped from the classroom cap","OK"))))))))))</f>
        <v/>
      </c>
    </row>
    <row r="141">
      <c r="B141" s="17">
        <f>IF($D141="","","A"&amp;TEXT(ROW()-5,"000"))</f>
        <v/>
      </c>
      <c r="C141" s="18" t="n"/>
      <c r="D141" s="16" t="n"/>
      <c r="E141" s="17">
        <f>IF($D141="","",IFERROR(INDEX(rngCadetPIDs,MATCH($D141,rngCadetNames,0)),"?"))</f>
        <v/>
      </c>
      <c r="F141" s="17">
        <f>IF($E141="","",IFERROR(INDEX(nrCadetAgency,MATCH($E141,rngCadetPIDs,0)),""))</f>
        <v/>
      </c>
      <c r="G141" s="16" t="n"/>
      <c r="H141" s="16" t="n"/>
      <c r="I141" s="16" t="n"/>
      <c r="J141" s="16" t="n"/>
      <c r="K141" s="17">
        <f>IF($G141="","",IF(OR($G141="PT Missed",$G141="PT Modified",$G141="PT Refused"),"Yes","No"))</f>
        <v/>
      </c>
      <c r="L141" s="16" t="n"/>
      <c r="M141" s="16" t="n"/>
      <c r="N141" s="17">
        <f>IF($D141="","",IF($M141="Excused","No",IF(AND($G141="PT Modified",$L141="Received"),"No","Yes")))</f>
        <v/>
      </c>
      <c r="O141" s="16" t="n"/>
      <c r="P141" s="17">
        <f>IF(OR($B141="",N($I141)=0),"",MIN(N($I141),SUMIFS(nrMK_Min,nrMK_Link,$B141,nrMK_Credit,"Yes",nrMK_PID,$E141,nrMK_Type,"Classroom")))</f>
        <v/>
      </c>
      <c r="Q141" s="17">
        <f>IF(OR($B141="",N($J141)=0),"",MIN(N($J141),SUMIFS(nrMK_Sess,nrMK_Link,$B141,nrMK_Credit,"Yes",nrMK_PID,$E141,nrMK_Type,"PT")))</f>
        <v/>
      </c>
      <c r="R141" s="17">
        <f>IF(OR($B141="",$N141&lt;&gt;"Yes"),"",IF($K141="Yes",IF(N($J141)&gt;0,N($J141)-N($Q141),""),IF(N($I141)&gt;0,N($I141)-N($P141),"")))</f>
        <v/>
      </c>
      <c r="S141" s="17">
        <f>IF(OR($B141="",$R141=""),"",IF($R141&lt;=0,IF(IFERROR(_xlfn.MAXIFS(nrMK_Date,nrMK_Link,$B141,nrMK_Credit,"Yes",nrMK_PID,$E141),0)=0,"CLEARED (makeup date missing)","CLEARED "&amp;TEXT(_xlfn.MAXIFS(nrMK_Date,nrMK_Link,$B141,nrMK_Credit,"Yes",nrMK_PID,$E141),"mm/dd")),"OPEN"))</f>
        <v/>
      </c>
      <c r="T141" s="17">
        <f>IF($D141="","",IF($C141="","NO DATE",IF($G141="","NO EVENT TYPE",IF(AND($I141&lt;&gt;"",NOT(ISNUMBER($I141))),"MINUTES NOT A NUMBER",IF(AND($J141&lt;&gt;"",NOT(ISNUMBER($J141))),"SESSIONS NOT A NUMBER",IF(OR(N($I141)&lt;0,N($J141)&lt;0),"NEGATIVE MINUTES/SESSIONS",IF(AND($K141="Yes",N($I141)&gt;0),"MINUTES ON A PT EVENT - not counted (PT counts sessions)",IF(AND($K141="No",N($J141)&gt;0),"SESSIONS ON A CLASSROOM EVENT - not counted (classroom counts minutes)",IF(AND($N141="Yes",$K141="Yes",N($J141)=0),"COUNTED PT EVENT WITH NO SESSIONS - dropped from the PT cap",IF(AND($N141="Yes",$K141="No",N($I141)=0),"COUNTED EVENT WITH NO MINUTES - dropped from the classroom cap","OK"))))))))))</f>
        <v/>
      </c>
    </row>
    <row r="142">
      <c r="B142" s="17">
        <f>IF($D142="","","A"&amp;TEXT(ROW()-5,"000"))</f>
        <v/>
      </c>
      <c r="C142" s="18" t="n"/>
      <c r="D142" s="16" t="n"/>
      <c r="E142" s="17">
        <f>IF($D142="","",IFERROR(INDEX(rngCadetPIDs,MATCH($D142,rngCadetNames,0)),"?"))</f>
        <v/>
      </c>
      <c r="F142" s="17">
        <f>IF($E142="","",IFERROR(INDEX(nrCadetAgency,MATCH($E142,rngCadetPIDs,0)),""))</f>
        <v/>
      </c>
      <c r="G142" s="16" t="n"/>
      <c r="H142" s="16" t="n"/>
      <c r="I142" s="16" t="n"/>
      <c r="J142" s="16" t="n"/>
      <c r="K142" s="17">
        <f>IF($G142="","",IF(OR($G142="PT Missed",$G142="PT Modified",$G142="PT Refused"),"Yes","No"))</f>
        <v/>
      </c>
      <c r="L142" s="16" t="n"/>
      <c r="M142" s="16" t="n"/>
      <c r="N142" s="17">
        <f>IF($D142="","",IF($M142="Excused","No",IF(AND($G142="PT Modified",$L142="Received"),"No","Yes")))</f>
        <v/>
      </c>
      <c r="O142" s="16" t="n"/>
      <c r="P142" s="17">
        <f>IF(OR($B142="",N($I142)=0),"",MIN(N($I142),SUMIFS(nrMK_Min,nrMK_Link,$B142,nrMK_Credit,"Yes",nrMK_PID,$E142,nrMK_Type,"Classroom")))</f>
        <v/>
      </c>
      <c r="Q142" s="17">
        <f>IF(OR($B142="",N($J142)=0),"",MIN(N($J142),SUMIFS(nrMK_Sess,nrMK_Link,$B142,nrMK_Credit,"Yes",nrMK_PID,$E142,nrMK_Type,"PT")))</f>
        <v/>
      </c>
      <c r="R142" s="17">
        <f>IF(OR($B142="",$N142&lt;&gt;"Yes"),"",IF($K142="Yes",IF(N($J142)&gt;0,N($J142)-N($Q142),""),IF(N($I142)&gt;0,N($I142)-N($P142),"")))</f>
        <v/>
      </c>
      <c r="S142" s="17">
        <f>IF(OR($B142="",$R142=""),"",IF($R142&lt;=0,IF(IFERROR(_xlfn.MAXIFS(nrMK_Date,nrMK_Link,$B142,nrMK_Credit,"Yes",nrMK_PID,$E142),0)=0,"CLEARED (makeup date missing)","CLEARED "&amp;TEXT(_xlfn.MAXIFS(nrMK_Date,nrMK_Link,$B142,nrMK_Credit,"Yes",nrMK_PID,$E142),"mm/dd")),"OPEN"))</f>
        <v/>
      </c>
      <c r="T142" s="17">
        <f>IF($D142="","",IF($C142="","NO DATE",IF($G142="","NO EVENT TYPE",IF(AND($I142&lt;&gt;"",NOT(ISNUMBER($I142))),"MINUTES NOT A NUMBER",IF(AND($J142&lt;&gt;"",NOT(ISNUMBER($J142))),"SESSIONS NOT A NUMBER",IF(OR(N($I142)&lt;0,N($J142)&lt;0),"NEGATIVE MINUTES/SESSIONS",IF(AND($K142="Yes",N($I142)&gt;0),"MINUTES ON A PT EVENT - not counted (PT counts sessions)",IF(AND($K142="No",N($J142)&gt;0),"SESSIONS ON A CLASSROOM EVENT - not counted (classroom counts minutes)",IF(AND($N142="Yes",$K142="Yes",N($J142)=0),"COUNTED PT EVENT WITH NO SESSIONS - dropped from the PT cap",IF(AND($N142="Yes",$K142="No",N($I142)=0),"COUNTED EVENT WITH NO MINUTES - dropped from the classroom cap","OK"))))))))))</f>
        <v/>
      </c>
    </row>
    <row r="143">
      <c r="B143" s="17">
        <f>IF($D143="","","A"&amp;TEXT(ROW()-5,"000"))</f>
        <v/>
      </c>
      <c r="C143" s="18" t="n"/>
      <c r="D143" s="16" t="n"/>
      <c r="E143" s="17">
        <f>IF($D143="","",IFERROR(INDEX(rngCadetPIDs,MATCH($D143,rngCadetNames,0)),"?"))</f>
        <v/>
      </c>
      <c r="F143" s="17">
        <f>IF($E143="","",IFERROR(INDEX(nrCadetAgency,MATCH($E143,rngCadetPIDs,0)),""))</f>
        <v/>
      </c>
      <c r="G143" s="16" t="n"/>
      <c r="H143" s="16" t="n"/>
      <c r="I143" s="16" t="n"/>
      <c r="J143" s="16" t="n"/>
      <c r="K143" s="17">
        <f>IF($G143="","",IF(OR($G143="PT Missed",$G143="PT Modified",$G143="PT Refused"),"Yes","No"))</f>
        <v/>
      </c>
      <c r="L143" s="16" t="n"/>
      <c r="M143" s="16" t="n"/>
      <c r="N143" s="17">
        <f>IF($D143="","",IF($M143="Excused","No",IF(AND($G143="PT Modified",$L143="Received"),"No","Yes")))</f>
        <v/>
      </c>
      <c r="O143" s="16" t="n"/>
      <c r="P143" s="17">
        <f>IF(OR($B143="",N($I143)=0),"",MIN(N($I143),SUMIFS(nrMK_Min,nrMK_Link,$B143,nrMK_Credit,"Yes",nrMK_PID,$E143,nrMK_Type,"Classroom")))</f>
        <v/>
      </c>
      <c r="Q143" s="17">
        <f>IF(OR($B143="",N($J143)=0),"",MIN(N($J143),SUMIFS(nrMK_Sess,nrMK_Link,$B143,nrMK_Credit,"Yes",nrMK_PID,$E143,nrMK_Type,"PT")))</f>
        <v/>
      </c>
      <c r="R143" s="17">
        <f>IF(OR($B143="",$N143&lt;&gt;"Yes"),"",IF($K143="Yes",IF(N($J143)&gt;0,N($J143)-N($Q143),""),IF(N($I143)&gt;0,N($I143)-N($P143),"")))</f>
        <v/>
      </c>
      <c r="S143" s="17">
        <f>IF(OR($B143="",$R143=""),"",IF($R143&lt;=0,IF(IFERROR(_xlfn.MAXIFS(nrMK_Date,nrMK_Link,$B143,nrMK_Credit,"Yes",nrMK_PID,$E143),0)=0,"CLEARED (makeup date missing)","CLEARED "&amp;TEXT(_xlfn.MAXIFS(nrMK_Date,nrMK_Link,$B143,nrMK_Credit,"Yes",nrMK_PID,$E143),"mm/dd")),"OPEN"))</f>
        <v/>
      </c>
      <c r="T143" s="17">
        <f>IF($D143="","",IF($C143="","NO DATE",IF($G143="","NO EVENT TYPE",IF(AND($I143&lt;&gt;"",NOT(ISNUMBER($I143))),"MINUTES NOT A NUMBER",IF(AND($J143&lt;&gt;"",NOT(ISNUMBER($J143))),"SESSIONS NOT A NUMBER",IF(OR(N($I143)&lt;0,N($J143)&lt;0),"NEGATIVE MINUTES/SESSIONS",IF(AND($K143="Yes",N($I143)&gt;0),"MINUTES ON A PT EVENT - not counted (PT counts sessions)",IF(AND($K143="No",N($J143)&gt;0),"SESSIONS ON A CLASSROOM EVENT - not counted (classroom counts minutes)",IF(AND($N143="Yes",$K143="Yes",N($J143)=0),"COUNTED PT EVENT WITH NO SESSIONS - dropped from the PT cap",IF(AND($N143="Yes",$K143="No",N($I143)=0),"COUNTED EVENT WITH NO MINUTES - dropped from the classroom cap","OK"))))))))))</f>
        <v/>
      </c>
    </row>
    <row r="144">
      <c r="B144" s="17">
        <f>IF($D144="","","A"&amp;TEXT(ROW()-5,"000"))</f>
        <v/>
      </c>
      <c r="C144" s="18" t="n"/>
      <c r="D144" s="16" t="n"/>
      <c r="E144" s="17">
        <f>IF($D144="","",IFERROR(INDEX(rngCadetPIDs,MATCH($D144,rngCadetNames,0)),"?"))</f>
        <v/>
      </c>
      <c r="F144" s="17">
        <f>IF($E144="","",IFERROR(INDEX(nrCadetAgency,MATCH($E144,rngCadetPIDs,0)),""))</f>
        <v/>
      </c>
      <c r="G144" s="16" t="n"/>
      <c r="H144" s="16" t="n"/>
      <c r="I144" s="16" t="n"/>
      <c r="J144" s="16" t="n"/>
      <c r="K144" s="17">
        <f>IF($G144="","",IF(OR($G144="PT Missed",$G144="PT Modified",$G144="PT Refused"),"Yes","No"))</f>
        <v/>
      </c>
      <c r="L144" s="16" t="n"/>
      <c r="M144" s="16" t="n"/>
      <c r="N144" s="17">
        <f>IF($D144="","",IF($M144="Excused","No",IF(AND($G144="PT Modified",$L144="Received"),"No","Yes")))</f>
        <v/>
      </c>
      <c r="O144" s="16" t="n"/>
      <c r="P144" s="17">
        <f>IF(OR($B144="",N($I144)=0),"",MIN(N($I144),SUMIFS(nrMK_Min,nrMK_Link,$B144,nrMK_Credit,"Yes",nrMK_PID,$E144,nrMK_Type,"Classroom")))</f>
        <v/>
      </c>
      <c r="Q144" s="17">
        <f>IF(OR($B144="",N($J144)=0),"",MIN(N($J144),SUMIFS(nrMK_Sess,nrMK_Link,$B144,nrMK_Credit,"Yes",nrMK_PID,$E144,nrMK_Type,"PT")))</f>
        <v/>
      </c>
      <c r="R144" s="17">
        <f>IF(OR($B144="",$N144&lt;&gt;"Yes"),"",IF($K144="Yes",IF(N($J144)&gt;0,N($J144)-N($Q144),""),IF(N($I144)&gt;0,N($I144)-N($P144),"")))</f>
        <v/>
      </c>
      <c r="S144" s="17">
        <f>IF(OR($B144="",$R144=""),"",IF($R144&lt;=0,IF(IFERROR(_xlfn.MAXIFS(nrMK_Date,nrMK_Link,$B144,nrMK_Credit,"Yes",nrMK_PID,$E144),0)=0,"CLEARED (makeup date missing)","CLEARED "&amp;TEXT(_xlfn.MAXIFS(nrMK_Date,nrMK_Link,$B144,nrMK_Credit,"Yes",nrMK_PID,$E144),"mm/dd")),"OPEN"))</f>
        <v/>
      </c>
      <c r="T144" s="17">
        <f>IF($D144="","",IF($C144="","NO DATE",IF($G144="","NO EVENT TYPE",IF(AND($I144&lt;&gt;"",NOT(ISNUMBER($I144))),"MINUTES NOT A NUMBER",IF(AND($J144&lt;&gt;"",NOT(ISNUMBER($J144))),"SESSIONS NOT A NUMBER",IF(OR(N($I144)&lt;0,N($J144)&lt;0),"NEGATIVE MINUTES/SESSIONS",IF(AND($K144="Yes",N($I144)&gt;0),"MINUTES ON A PT EVENT - not counted (PT counts sessions)",IF(AND($K144="No",N($J144)&gt;0),"SESSIONS ON A CLASSROOM EVENT - not counted (classroom counts minutes)",IF(AND($N144="Yes",$K144="Yes",N($J144)=0),"COUNTED PT EVENT WITH NO SESSIONS - dropped from the PT cap",IF(AND($N144="Yes",$K144="No",N($I144)=0),"COUNTED EVENT WITH NO MINUTES - dropped from the classroom cap","OK"))))))))))</f>
        <v/>
      </c>
    </row>
    <row r="145">
      <c r="B145" s="17">
        <f>IF($D145="","","A"&amp;TEXT(ROW()-5,"000"))</f>
        <v/>
      </c>
      <c r="C145" s="18" t="n"/>
      <c r="D145" s="16" t="n"/>
      <c r="E145" s="17">
        <f>IF($D145="","",IFERROR(INDEX(rngCadetPIDs,MATCH($D145,rngCadetNames,0)),"?"))</f>
        <v/>
      </c>
      <c r="F145" s="17">
        <f>IF($E145="","",IFERROR(INDEX(nrCadetAgency,MATCH($E145,rngCadetPIDs,0)),""))</f>
        <v/>
      </c>
      <c r="G145" s="16" t="n"/>
      <c r="H145" s="16" t="n"/>
      <c r="I145" s="16" t="n"/>
      <c r="J145" s="16" t="n"/>
      <c r="K145" s="17">
        <f>IF($G145="","",IF(OR($G145="PT Missed",$G145="PT Modified",$G145="PT Refused"),"Yes","No"))</f>
        <v/>
      </c>
      <c r="L145" s="16" t="n"/>
      <c r="M145" s="16" t="n"/>
      <c r="N145" s="17">
        <f>IF($D145="","",IF($M145="Excused","No",IF(AND($G145="PT Modified",$L145="Received"),"No","Yes")))</f>
        <v/>
      </c>
      <c r="O145" s="16" t="n"/>
      <c r="P145" s="17">
        <f>IF(OR($B145="",N($I145)=0),"",MIN(N($I145),SUMIFS(nrMK_Min,nrMK_Link,$B145,nrMK_Credit,"Yes",nrMK_PID,$E145,nrMK_Type,"Classroom")))</f>
        <v/>
      </c>
      <c r="Q145" s="17">
        <f>IF(OR($B145="",N($J145)=0),"",MIN(N($J145),SUMIFS(nrMK_Sess,nrMK_Link,$B145,nrMK_Credit,"Yes",nrMK_PID,$E145,nrMK_Type,"PT")))</f>
        <v/>
      </c>
      <c r="R145" s="17">
        <f>IF(OR($B145="",$N145&lt;&gt;"Yes"),"",IF($K145="Yes",IF(N($J145)&gt;0,N($J145)-N($Q145),""),IF(N($I145)&gt;0,N($I145)-N($P145),"")))</f>
        <v/>
      </c>
      <c r="S145" s="17">
        <f>IF(OR($B145="",$R145=""),"",IF($R145&lt;=0,IF(IFERROR(_xlfn.MAXIFS(nrMK_Date,nrMK_Link,$B145,nrMK_Credit,"Yes",nrMK_PID,$E145),0)=0,"CLEARED (makeup date missing)","CLEARED "&amp;TEXT(_xlfn.MAXIFS(nrMK_Date,nrMK_Link,$B145,nrMK_Credit,"Yes",nrMK_PID,$E145),"mm/dd")),"OPEN"))</f>
        <v/>
      </c>
      <c r="T145" s="17">
        <f>IF($D145="","",IF($C145="","NO DATE",IF($G145="","NO EVENT TYPE",IF(AND($I145&lt;&gt;"",NOT(ISNUMBER($I145))),"MINUTES NOT A NUMBER",IF(AND($J145&lt;&gt;"",NOT(ISNUMBER($J145))),"SESSIONS NOT A NUMBER",IF(OR(N($I145)&lt;0,N($J145)&lt;0),"NEGATIVE MINUTES/SESSIONS",IF(AND($K145="Yes",N($I145)&gt;0),"MINUTES ON A PT EVENT - not counted (PT counts sessions)",IF(AND($K145="No",N($J145)&gt;0),"SESSIONS ON A CLASSROOM EVENT - not counted (classroom counts minutes)",IF(AND($N145="Yes",$K145="Yes",N($J145)=0),"COUNTED PT EVENT WITH NO SESSIONS - dropped from the PT cap",IF(AND($N145="Yes",$K145="No",N($I145)=0),"COUNTED EVENT WITH NO MINUTES - dropped from the classroom cap","OK"))))))))))</f>
        <v/>
      </c>
    </row>
    <row r="146">
      <c r="B146" s="17">
        <f>IF($D146="","","A"&amp;TEXT(ROW()-5,"000"))</f>
        <v/>
      </c>
      <c r="C146" s="18" t="n"/>
      <c r="D146" s="16" t="n"/>
      <c r="E146" s="17">
        <f>IF($D146="","",IFERROR(INDEX(rngCadetPIDs,MATCH($D146,rngCadetNames,0)),"?"))</f>
        <v/>
      </c>
      <c r="F146" s="17">
        <f>IF($E146="","",IFERROR(INDEX(nrCadetAgency,MATCH($E146,rngCadetPIDs,0)),""))</f>
        <v/>
      </c>
      <c r="G146" s="16" t="n"/>
      <c r="H146" s="16" t="n"/>
      <c r="I146" s="16" t="n"/>
      <c r="J146" s="16" t="n"/>
      <c r="K146" s="17">
        <f>IF($G146="","",IF(OR($G146="PT Missed",$G146="PT Modified",$G146="PT Refused"),"Yes","No"))</f>
        <v/>
      </c>
      <c r="L146" s="16" t="n"/>
      <c r="M146" s="16" t="n"/>
      <c r="N146" s="17">
        <f>IF($D146="","",IF($M146="Excused","No",IF(AND($G146="PT Modified",$L146="Received"),"No","Yes")))</f>
        <v/>
      </c>
      <c r="O146" s="16" t="n"/>
      <c r="P146" s="17">
        <f>IF(OR($B146="",N($I146)=0),"",MIN(N($I146),SUMIFS(nrMK_Min,nrMK_Link,$B146,nrMK_Credit,"Yes",nrMK_PID,$E146,nrMK_Type,"Classroom")))</f>
        <v/>
      </c>
      <c r="Q146" s="17">
        <f>IF(OR($B146="",N($J146)=0),"",MIN(N($J146),SUMIFS(nrMK_Sess,nrMK_Link,$B146,nrMK_Credit,"Yes",nrMK_PID,$E146,nrMK_Type,"PT")))</f>
        <v/>
      </c>
      <c r="R146" s="17">
        <f>IF(OR($B146="",$N146&lt;&gt;"Yes"),"",IF($K146="Yes",IF(N($J146)&gt;0,N($J146)-N($Q146),""),IF(N($I146)&gt;0,N($I146)-N($P146),"")))</f>
        <v/>
      </c>
      <c r="S146" s="17">
        <f>IF(OR($B146="",$R146=""),"",IF($R146&lt;=0,IF(IFERROR(_xlfn.MAXIFS(nrMK_Date,nrMK_Link,$B146,nrMK_Credit,"Yes",nrMK_PID,$E146),0)=0,"CLEARED (makeup date missing)","CLEARED "&amp;TEXT(_xlfn.MAXIFS(nrMK_Date,nrMK_Link,$B146,nrMK_Credit,"Yes",nrMK_PID,$E146),"mm/dd")),"OPEN"))</f>
        <v/>
      </c>
      <c r="T146" s="17">
        <f>IF($D146="","",IF($C146="","NO DATE",IF($G146="","NO EVENT TYPE",IF(AND($I146&lt;&gt;"",NOT(ISNUMBER($I146))),"MINUTES NOT A NUMBER",IF(AND($J146&lt;&gt;"",NOT(ISNUMBER($J146))),"SESSIONS NOT A NUMBER",IF(OR(N($I146)&lt;0,N($J146)&lt;0),"NEGATIVE MINUTES/SESSIONS",IF(AND($K146="Yes",N($I146)&gt;0),"MINUTES ON A PT EVENT - not counted (PT counts sessions)",IF(AND($K146="No",N($J146)&gt;0),"SESSIONS ON A CLASSROOM EVENT - not counted (classroom counts minutes)",IF(AND($N146="Yes",$K146="Yes",N($J146)=0),"COUNTED PT EVENT WITH NO SESSIONS - dropped from the PT cap",IF(AND($N146="Yes",$K146="No",N($I146)=0),"COUNTED EVENT WITH NO MINUTES - dropped from the classroom cap","OK"))))))))))</f>
        <v/>
      </c>
    </row>
    <row r="147">
      <c r="B147" s="17">
        <f>IF($D147="","","A"&amp;TEXT(ROW()-5,"000"))</f>
        <v/>
      </c>
      <c r="C147" s="18" t="n"/>
      <c r="D147" s="16" t="n"/>
      <c r="E147" s="17">
        <f>IF($D147="","",IFERROR(INDEX(rngCadetPIDs,MATCH($D147,rngCadetNames,0)),"?"))</f>
        <v/>
      </c>
      <c r="F147" s="17">
        <f>IF($E147="","",IFERROR(INDEX(nrCadetAgency,MATCH($E147,rngCadetPIDs,0)),""))</f>
        <v/>
      </c>
      <c r="G147" s="16" t="n"/>
      <c r="H147" s="16" t="n"/>
      <c r="I147" s="16" t="n"/>
      <c r="J147" s="16" t="n"/>
      <c r="K147" s="17">
        <f>IF($G147="","",IF(OR($G147="PT Missed",$G147="PT Modified",$G147="PT Refused"),"Yes","No"))</f>
        <v/>
      </c>
      <c r="L147" s="16" t="n"/>
      <c r="M147" s="16" t="n"/>
      <c r="N147" s="17">
        <f>IF($D147="","",IF($M147="Excused","No",IF(AND($G147="PT Modified",$L147="Received"),"No","Yes")))</f>
        <v/>
      </c>
      <c r="O147" s="16" t="n"/>
      <c r="P147" s="17">
        <f>IF(OR($B147="",N($I147)=0),"",MIN(N($I147),SUMIFS(nrMK_Min,nrMK_Link,$B147,nrMK_Credit,"Yes",nrMK_PID,$E147,nrMK_Type,"Classroom")))</f>
        <v/>
      </c>
      <c r="Q147" s="17">
        <f>IF(OR($B147="",N($J147)=0),"",MIN(N($J147),SUMIFS(nrMK_Sess,nrMK_Link,$B147,nrMK_Credit,"Yes",nrMK_PID,$E147,nrMK_Type,"PT")))</f>
        <v/>
      </c>
      <c r="R147" s="17">
        <f>IF(OR($B147="",$N147&lt;&gt;"Yes"),"",IF($K147="Yes",IF(N($J147)&gt;0,N($J147)-N($Q147),""),IF(N($I147)&gt;0,N($I147)-N($P147),"")))</f>
        <v/>
      </c>
      <c r="S147" s="17">
        <f>IF(OR($B147="",$R147=""),"",IF($R147&lt;=0,IF(IFERROR(_xlfn.MAXIFS(nrMK_Date,nrMK_Link,$B147,nrMK_Credit,"Yes",nrMK_PID,$E147),0)=0,"CLEARED (makeup date missing)","CLEARED "&amp;TEXT(_xlfn.MAXIFS(nrMK_Date,nrMK_Link,$B147,nrMK_Credit,"Yes",nrMK_PID,$E147),"mm/dd")),"OPEN"))</f>
        <v/>
      </c>
      <c r="T147" s="17">
        <f>IF($D147="","",IF($C147="","NO DATE",IF($G147="","NO EVENT TYPE",IF(AND($I147&lt;&gt;"",NOT(ISNUMBER($I147))),"MINUTES NOT A NUMBER",IF(AND($J147&lt;&gt;"",NOT(ISNUMBER($J147))),"SESSIONS NOT A NUMBER",IF(OR(N($I147)&lt;0,N($J147)&lt;0),"NEGATIVE MINUTES/SESSIONS",IF(AND($K147="Yes",N($I147)&gt;0),"MINUTES ON A PT EVENT - not counted (PT counts sessions)",IF(AND($K147="No",N($J147)&gt;0),"SESSIONS ON A CLASSROOM EVENT - not counted (classroom counts minutes)",IF(AND($N147="Yes",$K147="Yes",N($J147)=0),"COUNTED PT EVENT WITH NO SESSIONS - dropped from the PT cap",IF(AND($N147="Yes",$K147="No",N($I147)=0),"COUNTED EVENT WITH NO MINUTES - dropped from the classroom cap","OK"))))))))))</f>
        <v/>
      </c>
    </row>
    <row r="148">
      <c r="B148" s="17">
        <f>IF($D148="","","A"&amp;TEXT(ROW()-5,"000"))</f>
        <v/>
      </c>
      <c r="C148" s="18" t="n"/>
      <c r="D148" s="16" t="n"/>
      <c r="E148" s="17">
        <f>IF($D148="","",IFERROR(INDEX(rngCadetPIDs,MATCH($D148,rngCadetNames,0)),"?"))</f>
        <v/>
      </c>
      <c r="F148" s="17">
        <f>IF($E148="","",IFERROR(INDEX(nrCadetAgency,MATCH($E148,rngCadetPIDs,0)),""))</f>
        <v/>
      </c>
      <c r="G148" s="16" t="n"/>
      <c r="H148" s="16" t="n"/>
      <c r="I148" s="16" t="n"/>
      <c r="J148" s="16" t="n"/>
      <c r="K148" s="17">
        <f>IF($G148="","",IF(OR($G148="PT Missed",$G148="PT Modified",$G148="PT Refused"),"Yes","No"))</f>
        <v/>
      </c>
      <c r="L148" s="16" t="n"/>
      <c r="M148" s="16" t="n"/>
      <c r="N148" s="17">
        <f>IF($D148="","",IF($M148="Excused","No",IF(AND($G148="PT Modified",$L148="Received"),"No","Yes")))</f>
        <v/>
      </c>
      <c r="O148" s="16" t="n"/>
      <c r="P148" s="17">
        <f>IF(OR($B148="",N($I148)=0),"",MIN(N($I148),SUMIFS(nrMK_Min,nrMK_Link,$B148,nrMK_Credit,"Yes",nrMK_PID,$E148,nrMK_Type,"Classroom")))</f>
        <v/>
      </c>
      <c r="Q148" s="17">
        <f>IF(OR($B148="",N($J148)=0),"",MIN(N($J148),SUMIFS(nrMK_Sess,nrMK_Link,$B148,nrMK_Credit,"Yes",nrMK_PID,$E148,nrMK_Type,"PT")))</f>
        <v/>
      </c>
      <c r="R148" s="17">
        <f>IF(OR($B148="",$N148&lt;&gt;"Yes"),"",IF($K148="Yes",IF(N($J148)&gt;0,N($J148)-N($Q148),""),IF(N($I148)&gt;0,N($I148)-N($P148),"")))</f>
        <v/>
      </c>
      <c r="S148" s="17">
        <f>IF(OR($B148="",$R148=""),"",IF($R148&lt;=0,IF(IFERROR(_xlfn.MAXIFS(nrMK_Date,nrMK_Link,$B148,nrMK_Credit,"Yes",nrMK_PID,$E148),0)=0,"CLEARED (makeup date missing)","CLEARED "&amp;TEXT(_xlfn.MAXIFS(nrMK_Date,nrMK_Link,$B148,nrMK_Credit,"Yes",nrMK_PID,$E148),"mm/dd")),"OPEN"))</f>
        <v/>
      </c>
      <c r="T148" s="17">
        <f>IF($D148="","",IF($C148="","NO DATE",IF($G148="","NO EVENT TYPE",IF(AND($I148&lt;&gt;"",NOT(ISNUMBER($I148))),"MINUTES NOT A NUMBER",IF(AND($J148&lt;&gt;"",NOT(ISNUMBER($J148))),"SESSIONS NOT A NUMBER",IF(OR(N($I148)&lt;0,N($J148)&lt;0),"NEGATIVE MINUTES/SESSIONS",IF(AND($K148="Yes",N($I148)&gt;0),"MINUTES ON A PT EVENT - not counted (PT counts sessions)",IF(AND($K148="No",N($J148)&gt;0),"SESSIONS ON A CLASSROOM EVENT - not counted (classroom counts minutes)",IF(AND($N148="Yes",$K148="Yes",N($J148)=0),"COUNTED PT EVENT WITH NO SESSIONS - dropped from the PT cap",IF(AND($N148="Yes",$K148="No",N($I148)=0),"COUNTED EVENT WITH NO MINUTES - dropped from the classroom cap","OK"))))))))))</f>
        <v/>
      </c>
    </row>
    <row r="149">
      <c r="B149" s="17">
        <f>IF($D149="","","A"&amp;TEXT(ROW()-5,"000"))</f>
        <v/>
      </c>
      <c r="C149" s="18" t="n"/>
      <c r="D149" s="16" t="n"/>
      <c r="E149" s="17">
        <f>IF($D149="","",IFERROR(INDEX(rngCadetPIDs,MATCH($D149,rngCadetNames,0)),"?"))</f>
        <v/>
      </c>
      <c r="F149" s="17">
        <f>IF($E149="","",IFERROR(INDEX(nrCadetAgency,MATCH($E149,rngCadetPIDs,0)),""))</f>
        <v/>
      </c>
      <c r="G149" s="16" t="n"/>
      <c r="H149" s="16" t="n"/>
      <c r="I149" s="16" t="n"/>
      <c r="J149" s="16" t="n"/>
      <c r="K149" s="17">
        <f>IF($G149="","",IF(OR($G149="PT Missed",$G149="PT Modified",$G149="PT Refused"),"Yes","No"))</f>
        <v/>
      </c>
      <c r="L149" s="16" t="n"/>
      <c r="M149" s="16" t="n"/>
      <c r="N149" s="17">
        <f>IF($D149="","",IF($M149="Excused","No",IF(AND($G149="PT Modified",$L149="Received"),"No","Yes")))</f>
        <v/>
      </c>
      <c r="O149" s="16" t="n"/>
      <c r="P149" s="17">
        <f>IF(OR($B149="",N($I149)=0),"",MIN(N($I149),SUMIFS(nrMK_Min,nrMK_Link,$B149,nrMK_Credit,"Yes",nrMK_PID,$E149,nrMK_Type,"Classroom")))</f>
        <v/>
      </c>
      <c r="Q149" s="17">
        <f>IF(OR($B149="",N($J149)=0),"",MIN(N($J149),SUMIFS(nrMK_Sess,nrMK_Link,$B149,nrMK_Credit,"Yes",nrMK_PID,$E149,nrMK_Type,"PT")))</f>
        <v/>
      </c>
      <c r="R149" s="17">
        <f>IF(OR($B149="",$N149&lt;&gt;"Yes"),"",IF($K149="Yes",IF(N($J149)&gt;0,N($J149)-N($Q149),""),IF(N($I149)&gt;0,N($I149)-N($P149),"")))</f>
        <v/>
      </c>
      <c r="S149" s="17">
        <f>IF(OR($B149="",$R149=""),"",IF($R149&lt;=0,IF(IFERROR(_xlfn.MAXIFS(nrMK_Date,nrMK_Link,$B149,nrMK_Credit,"Yes",nrMK_PID,$E149),0)=0,"CLEARED (makeup date missing)","CLEARED "&amp;TEXT(_xlfn.MAXIFS(nrMK_Date,nrMK_Link,$B149,nrMK_Credit,"Yes",nrMK_PID,$E149),"mm/dd")),"OPEN"))</f>
        <v/>
      </c>
      <c r="T149" s="17">
        <f>IF($D149="","",IF($C149="","NO DATE",IF($G149="","NO EVENT TYPE",IF(AND($I149&lt;&gt;"",NOT(ISNUMBER($I149))),"MINUTES NOT A NUMBER",IF(AND($J149&lt;&gt;"",NOT(ISNUMBER($J149))),"SESSIONS NOT A NUMBER",IF(OR(N($I149)&lt;0,N($J149)&lt;0),"NEGATIVE MINUTES/SESSIONS",IF(AND($K149="Yes",N($I149)&gt;0),"MINUTES ON A PT EVENT - not counted (PT counts sessions)",IF(AND($K149="No",N($J149)&gt;0),"SESSIONS ON A CLASSROOM EVENT - not counted (classroom counts minutes)",IF(AND($N149="Yes",$K149="Yes",N($J149)=0),"COUNTED PT EVENT WITH NO SESSIONS - dropped from the PT cap",IF(AND($N149="Yes",$K149="No",N($I149)=0),"COUNTED EVENT WITH NO MINUTES - dropped from the classroom cap","OK"))))))))))</f>
        <v/>
      </c>
    </row>
    <row r="150">
      <c r="B150" s="17">
        <f>IF($D150="","","A"&amp;TEXT(ROW()-5,"000"))</f>
        <v/>
      </c>
      <c r="C150" s="18" t="n"/>
      <c r="D150" s="16" t="n"/>
      <c r="E150" s="17">
        <f>IF($D150="","",IFERROR(INDEX(rngCadetPIDs,MATCH($D150,rngCadetNames,0)),"?"))</f>
        <v/>
      </c>
      <c r="F150" s="17">
        <f>IF($E150="","",IFERROR(INDEX(nrCadetAgency,MATCH($E150,rngCadetPIDs,0)),""))</f>
        <v/>
      </c>
      <c r="G150" s="16" t="n"/>
      <c r="H150" s="16" t="n"/>
      <c r="I150" s="16" t="n"/>
      <c r="J150" s="16" t="n"/>
      <c r="K150" s="17">
        <f>IF($G150="","",IF(OR($G150="PT Missed",$G150="PT Modified",$G150="PT Refused"),"Yes","No"))</f>
        <v/>
      </c>
      <c r="L150" s="16" t="n"/>
      <c r="M150" s="16" t="n"/>
      <c r="N150" s="17">
        <f>IF($D150="","",IF($M150="Excused","No",IF(AND($G150="PT Modified",$L150="Received"),"No","Yes")))</f>
        <v/>
      </c>
      <c r="O150" s="16" t="n"/>
      <c r="P150" s="17">
        <f>IF(OR($B150="",N($I150)=0),"",MIN(N($I150),SUMIFS(nrMK_Min,nrMK_Link,$B150,nrMK_Credit,"Yes",nrMK_PID,$E150,nrMK_Type,"Classroom")))</f>
        <v/>
      </c>
      <c r="Q150" s="17">
        <f>IF(OR($B150="",N($J150)=0),"",MIN(N($J150),SUMIFS(nrMK_Sess,nrMK_Link,$B150,nrMK_Credit,"Yes",nrMK_PID,$E150,nrMK_Type,"PT")))</f>
        <v/>
      </c>
      <c r="R150" s="17">
        <f>IF(OR($B150="",$N150&lt;&gt;"Yes"),"",IF($K150="Yes",IF(N($J150)&gt;0,N($J150)-N($Q150),""),IF(N($I150)&gt;0,N($I150)-N($P150),"")))</f>
        <v/>
      </c>
      <c r="S150" s="17">
        <f>IF(OR($B150="",$R150=""),"",IF($R150&lt;=0,IF(IFERROR(_xlfn.MAXIFS(nrMK_Date,nrMK_Link,$B150,nrMK_Credit,"Yes",nrMK_PID,$E150),0)=0,"CLEARED (makeup date missing)","CLEARED "&amp;TEXT(_xlfn.MAXIFS(nrMK_Date,nrMK_Link,$B150,nrMK_Credit,"Yes",nrMK_PID,$E150),"mm/dd")),"OPEN"))</f>
        <v/>
      </c>
      <c r="T150" s="17">
        <f>IF($D150="","",IF($C150="","NO DATE",IF($G150="","NO EVENT TYPE",IF(AND($I150&lt;&gt;"",NOT(ISNUMBER($I150))),"MINUTES NOT A NUMBER",IF(AND($J150&lt;&gt;"",NOT(ISNUMBER($J150))),"SESSIONS NOT A NUMBER",IF(OR(N($I150)&lt;0,N($J150)&lt;0),"NEGATIVE MINUTES/SESSIONS",IF(AND($K150="Yes",N($I150)&gt;0),"MINUTES ON A PT EVENT - not counted (PT counts sessions)",IF(AND($K150="No",N($J150)&gt;0),"SESSIONS ON A CLASSROOM EVENT - not counted (classroom counts minutes)",IF(AND($N150="Yes",$K150="Yes",N($J150)=0),"COUNTED PT EVENT WITH NO SESSIONS - dropped from the PT cap",IF(AND($N150="Yes",$K150="No",N($I150)=0),"COUNTED EVENT WITH NO MINUTES - dropped from the classroom cap","OK"))))))))))</f>
        <v/>
      </c>
    </row>
    <row r="151">
      <c r="B151" s="17">
        <f>IF($D151="","","A"&amp;TEXT(ROW()-5,"000"))</f>
        <v/>
      </c>
      <c r="C151" s="18" t="n"/>
      <c r="D151" s="16" t="n"/>
      <c r="E151" s="17">
        <f>IF($D151="","",IFERROR(INDEX(rngCadetPIDs,MATCH($D151,rngCadetNames,0)),"?"))</f>
        <v/>
      </c>
      <c r="F151" s="17">
        <f>IF($E151="","",IFERROR(INDEX(nrCadetAgency,MATCH($E151,rngCadetPIDs,0)),""))</f>
        <v/>
      </c>
      <c r="G151" s="16" t="n"/>
      <c r="H151" s="16" t="n"/>
      <c r="I151" s="16" t="n"/>
      <c r="J151" s="16" t="n"/>
      <c r="K151" s="17">
        <f>IF($G151="","",IF(OR($G151="PT Missed",$G151="PT Modified",$G151="PT Refused"),"Yes","No"))</f>
        <v/>
      </c>
      <c r="L151" s="16" t="n"/>
      <c r="M151" s="16" t="n"/>
      <c r="N151" s="17">
        <f>IF($D151="","",IF($M151="Excused","No",IF(AND($G151="PT Modified",$L151="Received"),"No","Yes")))</f>
        <v/>
      </c>
      <c r="O151" s="16" t="n"/>
      <c r="P151" s="17">
        <f>IF(OR($B151="",N($I151)=0),"",MIN(N($I151),SUMIFS(nrMK_Min,nrMK_Link,$B151,nrMK_Credit,"Yes",nrMK_PID,$E151,nrMK_Type,"Classroom")))</f>
        <v/>
      </c>
      <c r="Q151" s="17">
        <f>IF(OR($B151="",N($J151)=0),"",MIN(N($J151),SUMIFS(nrMK_Sess,nrMK_Link,$B151,nrMK_Credit,"Yes",nrMK_PID,$E151,nrMK_Type,"PT")))</f>
        <v/>
      </c>
      <c r="R151" s="17">
        <f>IF(OR($B151="",$N151&lt;&gt;"Yes"),"",IF($K151="Yes",IF(N($J151)&gt;0,N($J151)-N($Q151),""),IF(N($I151)&gt;0,N($I151)-N($P151),"")))</f>
        <v/>
      </c>
      <c r="S151" s="17">
        <f>IF(OR($B151="",$R151=""),"",IF($R151&lt;=0,IF(IFERROR(_xlfn.MAXIFS(nrMK_Date,nrMK_Link,$B151,nrMK_Credit,"Yes",nrMK_PID,$E151),0)=0,"CLEARED (makeup date missing)","CLEARED "&amp;TEXT(_xlfn.MAXIFS(nrMK_Date,nrMK_Link,$B151,nrMK_Credit,"Yes",nrMK_PID,$E151),"mm/dd")),"OPEN"))</f>
        <v/>
      </c>
      <c r="T151" s="17">
        <f>IF($D151="","",IF($C151="","NO DATE",IF($G151="","NO EVENT TYPE",IF(AND($I151&lt;&gt;"",NOT(ISNUMBER($I151))),"MINUTES NOT A NUMBER",IF(AND($J151&lt;&gt;"",NOT(ISNUMBER($J151))),"SESSIONS NOT A NUMBER",IF(OR(N($I151)&lt;0,N($J151)&lt;0),"NEGATIVE MINUTES/SESSIONS",IF(AND($K151="Yes",N($I151)&gt;0),"MINUTES ON A PT EVENT - not counted (PT counts sessions)",IF(AND($K151="No",N($J151)&gt;0),"SESSIONS ON A CLASSROOM EVENT - not counted (classroom counts minutes)",IF(AND($N151="Yes",$K151="Yes",N($J151)=0),"COUNTED PT EVENT WITH NO SESSIONS - dropped from the PT cap",IF(AND($N151="Yes",$K151="No",N($I151)=0),"COUNTED EVENT WITH NO MINUTES - dropped from the classroom cap","OK"))))))))))</f>
        <v/>
      </c>
    </row>
    <row r="152">
      <c r="B152" s="17">
        <f>IF($D152="","","A"&amp;TEXT(ROW()-5,"000"))</f>
        <v/>
      </c>
      <c r="C152" s="18" t="n"/>
      <c r="D152" s="16" t="n"/>
      <c r="E152" s="17">
        <f>IF($D152="","",IFERROR(INDEX(rngCadetPIDs,MATCH($D152,rngCadetNames,0)),"?"))</f>
        <v/>
      </c>
      <c r="F152" s="17">
        <f>IF($E152="","",IFERROR(INDEX(nrCadetAgency,MATCH($E152,rngCadetPIDs,0)),""))</f>
        <v/>
      </c>
      <c r="G152" s="16" t="n"/>
      <c r="H152" s="16" t="n"/>
      <c r="I152" s="16" t="n"/>
      <c r="J152" s="16" t="n"/>
      <c r="K152" s="17">
        <f>IF($G152="","",IF(OR($G152="PT Missed",$G152="PT Modified",$G152="PT Refused"),"Yes","No"))</f>
        <v/>
      </c>
      <c r="L152" s="16" t="n"/>
      <c r="M152" s="16" t="n"/>
      <c r="N152" s="17">
        <f>IF($D152="","",IF($M152="Excused","No",IF(AND($G152="PT Modified",$L152="Received"),"No","Yes")))</f>
        <v/>
      </c>
      <c r="O152" s="16" t="n"/>
      <c r="P152" s="17">
        <f>IF(OR($B152="",N($I152)=0),"",MIN(N($I152),SUMIFS(nrMK_Min,nrMK_Link,$B152,nrMK_Credit,"Yes",nrMK_PID,$E152,nrMK_Type,"Classroom")))</f>
        <v/>
      </c>
      <c r="Q152" s="17">
        <f>IF(OR($B152="",N($J152)=0),"",MIN(N($J152),SUMIFS(nrMK_Sess,nrMK_Link,$B152,nrMK_Credit,"Yes",nrMK_PID,$E152,nrMK_Type,"PT")))</f>
        <v/>
      </c>
      <c r="R152" s="17">
        <f>IF(OR($B152="",$N152&lt;&gt;"Yes"),"",IF($K152="Yes",IF(N($J152)&gt;0,N($J152)-N($Q152),""),IF(N($I152)&gt;0,N($I152)-N($P152),"")))</f>
        <v/>
      </c>
      <c r="S152" s="17">
        <f>IF(OR($B152="",$R152=""),"",IF($R152&lt;=0,IF(IFERROR(_xlfn.MAXIFS(nrMK_Date,nrMK_Link,$B152,nrMK_Credit,"Yes",nrMK_PID,$E152),0)=0,"CLEARED (makeup date missing)","CLEARED "&amp;TEXT(_xlfn.MAXIFS(nrMK_Date,nrMK_Link,$B152,nrMK_Credit,"Yes",nrMK_PID,$E152),"mm/dd")),"OPEN"))</f>
        <v/>
      </c>
      <c r="T152" s="17">
        <f>IF($D152="","",IF($C152="","NO DATE",IF($G152="","NO EVENT TYPE",IF(AND($I152&lt;&gt;"",NOT(ISNUMBER($I152))),"MINUTES NOT A NUMBER",IF(AND($J152&lt;&gt;"",NOT(ISNUMBER($J152))),"SESSIONS NOT A NUMBER",IF(OR(N($I152)&lt;0,N($J152)&lt;0),"NEGATIVE MINUTES/SESSIONS",IF(AND($K152="Yes",N($I152)&gt;0),"MINUTES ON A PT EVENT - not counted (PT counts sessions)",IF(AND($K152="No",N($J152)&gt;0),"SESSIONS ON A CLASSROOM EVENT - not counted (classroom counts minutes)",IF(AND($N152="Yes",$K152="Yes",N($J152)=0),"COUNTED PT EVENT WITH NO SESSIONS - dropped from the PT cap",IF(AND($N152="Yes",$K152="No",N($I152)=0),"COUNTED EVENT WITH NO MINUTES - dropped from the classroom cap","OK"))))))))))</f>
        <v/>
      </c>
    </row>
    <row r="153">
      <c r="B153" s="17">
        <f>IF($D153="","","A"&amp;TEXT(ROW()-5,"000"))</f>
        <v/>
      </c>
      <c r="C153" s="18" t="n"/>
      <c r="D153" s="16" t="n"/>
      <c r="E153" s="17">
        <f>IF($D153="","",IFERROR(INDEX(rngCadetPIDs,MATCH($D153,rngCadetNames,0)),"?"))</f>
        <v/>
      </c>
      <c r="F153" s="17">
        <f>IF($E153="","",IFERROR(INDEX(nrCadetAgency,MATCH($E153,rngCadetPIDs,0)),""))</f>
        <v/>
      </c>
      <c r="G153" s="16" t="n"/>
      <c r="H153" s="16" t="n"/>
      <c r="I153" s="16" t="n"/>
      <c r="J153" s="16" t="n"/>
      <c r="K153" s="17">
        <f>IF($G153="","",IF(OR($G153="PT Missed",$G153="PT Modified",$G153="PT Refused"),"Yes","No"))</f>
        <v/>
      </c>
      <c r="L153" s="16" t="n"/>
      <c r="M153" s="16" t="n"/>
      <c r="N153" s="17">
        <f>IF($D153="","",IF($M153="Excused","No",IF(AND($G153="PT Modified",$L153="Received"),"No","Yes")))</f>
        <v/>
      </c>
      <c r="O153" s="16" t="n"/>
      <c r="P153" s="17">
        <f>IF(OR($B153="",N($I153)=0),"",MIN(N($I153),SUMIFS(nrMK_Min,nrMK_Link,$B153,nrMK_Credit,"Yes",nrMK_PID,$E153,nrMK_Type,"Classroom")))</f>
        <v/>
      </c>
      <c r="Q153" s="17">
        <f>IF(OR($B153="",N($J153)=0),"",MIN(N($J153),SUMIFS(nrMK_Sess,nrMK_Link,$B153,nrMK_Credit,"Yes",nrMK_PID,$E153,nrMK_Type,"PT")))</f>
        <v/>
      </c>
      <c r="R153" s="17">
        <f>IF(OR($B153="",$N153&lt;&gt;"Yes"),"",IF($K153="Yes",IF(N($J153)&gt;0,N($J153)-N($Q153),""),IF(N($I153)&gt;0,N($I153)-N($P153),"")))</f>
        <v/>
      </c>
      <c r="S153" s="17">
        <f>IF(OR($B153="",$R153=""),"",IF($R153&lt;=0,IF(IFERROR(_xlfn.MAXIFS(nrMK_Date,nrMK_Link,$B153,nrMK_Credit,"Yes",nrMK_PID,$E153),0)=0,"CLEARED (makeup date missing)","CLEARED "&amp;TEXT(_xlfn.MAXIFS(nrMK_Date,nrMK_Link,$B153,nrMK_Credit,"Yes",nrMK_PID,$E153),"mm/dd")),"OPEN"))</f>
        <v/>
      </c>
      <c r="T153" s="17">
        <f>IF($D153="","",IF($C153="","NO DATE",IF($G153="","NO EVENT TYPE",IF(AND($I153&lt;&gt;"",NOT(ISNUMBER($I153))),"MINUTES NOT A NUMBER",IF(AND($J153&lt;&gt;"",NOT(ISNUMBER($J153))),"SESSIONS NOT A NUMBER",IF(OR(N($I153)&lt;0,N($J153)&lt;0),"NEGATIVE MINUTES/SESSIONS",IF(AND($K153="Yes",N($I153)&gt;0),"MINUTES ON A PT EVENT - not counted (PT counts sessions)",IF(AND($K153="No",N($J153)&gt;0),"SESSIONS ON A CLASSROOM EVENT - not counted (classroom counts minutes)",IF(AND($N153="Yes",$K153="Yes",N($J153)=0),"COUNTED PT EVENT WITH NO SESSIONS - dropped from the PT cap",IF(AND($N153="Yes",$K153="No",N($I153)=0),"COUNTED EVENT WITH NO MINUTES - dropped from the classroom cap","OK"))))))))))</f>
        <v/>
      </c>
    </row>
    <row r="154">
      <c r="B154" s="17">
        <f>IF($D154="","","A"&amp;TEXT(ROW()-5,"000"))</f>
        <v/>
      </c>
      <c r="C154" s="18" t="n"/>
      <c r="D154" s="16" t="n"/>
      <c r="E154" s="17">
        <f>IF($D154="","",IFERROR(INDEX(rngCadetPIDs,MATCH($D154,rngCadetNames,0)),"?"))</f>
        <v/>
      </c>
      <c r="F154" s="17">
        <f>IF($E154="","",IFERROR(INDEX(nrCadetAgency,MATCH($E154,rngCadetPIDs,0)),""))</f>
        <v/>
      </c>
      <c r="G154" s="16" t="n"/>
      <c r="H154" s="16" t="n"/>
      <c r="I154" s="16" t="n"/>
      <c r="J154" s="16" t="n"/>
      <c r="K154" s="17">
        <f>IF($G154="","",IF(OR($G154="PT Missed",$G154="PT Modified",$G154="PT Refused"),"Yes","No"))</f>
        <v/>
      </c>
      <c r="L154" s="16" t="n"/>
      <c r="M154" s="16" t="n"/>
      <c r="N154" s="17">
        <f>IF($D154="","",IF($M154="Excused","No",IF(AND($G154="PT Modified",$L154="Received"),"No","Yes")))</f>
        <v/>
      </c>
      <c r="O154" s="16" t="n"/>
      <c r="P154" s="17">
        <f>IF(OR($B154="",N($I154)=0),"",MIN(N($I154),SUMIFS(nrMK_Min,nrMK_Link,$B154,nrMK_Credit,"Yes",nrMK_PID,$E154,nrMK_Type,"Classroom")))</f>
        <v/>
      </c>
      <c r="Q154" s="17">
        <f>IF(OR($B154="",N($J154)=0),"",MIN(N($J154),SUMIFS(nrMK_Sess,nrMK_Link,$B154,nrMK_Credit,"Yes",nrMK_PID,$E154,nrMK_Type,"PT")))</f>
        <v/>
      </c>
      <c r="R154" s="17">
        <f>IF(OR($B154="",$N154&lt;&gt;"Yes"),"",IF($K154="Yes",IF(N($J154)&gt;0,N($J154)-N($Q154),""),IF(N($I154)&gt;0,N($I154)-N($P154),"")))</f>
        <v/>
      </c>
      <c r="S154" s="17">
        <f>IF(OR($B154="",$R154=""),"",IF($R154&lt;=0,IF(IFERROR(_xlfn.MAXIFS(nrMK_Date,nrMK_Link,$B154,nrMK_Credit,"Yes",nrMK_PID,$E154),0)=0,"CLEARED (makeup date missing)","CLEARED "&amp;TEXT(_xlfn.MAXIFS(nrMK_Date,nrMK_Link,$B154,nrMK_Credit,"Yes",nrMK_PID,$E154),"mm/dd")),"OPEN"))</f>
        <v/>
      </c>
      <c r="T154" s="17">
        <f>IF($D154="","",IF($C154="","NO DATE",IF($G154="","NO EVENT TYPE",IF(AND($I154&lt;&gt;"",NOT(ISNUMBER($I154))),"MINUTES NOT A NUMBER",IF(AND($J154&lt;&gt;"",NOT(ISNUMBER($J154))),"SESSIONS NOT A NUMBER",IF(OR(N($I154)&lt;0,N($J154)&lt;0),"NEGATIVE MINUTES/SESSIONS",IF(AND($K154="Yes",N($I154)&gt;0),"MINUTES ON A PT EVENT - not counted (PT counts sessions)",IF(AND($K154="No",N($J154)&gt;0),"SESSIONS ON A CLASSROOM EVENT - not counted (classroom counts minutes)",IF(AND($N154="Yes",$K154="Yes",N($J154)=0),"COUNTED PT EVENT WITH NO SESSIONS - dropped from the PT cap",IF(AND($N154="Yes",$K154="No",N($I154)=0),"COUNTED EVENT WITH NO MINUTES - dropped from the classroom cap","OK"))))))))))</f>
        <v/>
      </c>
    </row>
    <row r="155">
      <c r="B155" s="17">
        <f>IF($D155="","","A"&amp;TEXT(ROW()-5,"000"))</f>
        <v/>
      </c>
      <c r="C155" s="18" t="n"/>
      <c r="D155" s="16" t="n"/>
      <c r="E155" s="17">
        <f>IF($D155="","",IFERROR(INDEX(rngCadetPIDs,MATCH($D155,rngCadetNames,0)),"?"))</f>
        <v/>
      </c>
      <c r="F155" s="17">
        <f>IF($E155="","",IFERROR(INDEX(nrCadetAgency,MATCH($E155,rngCadetPIDs,0)),""))</f>
        <v/>
      </c>
      <c r="G155" s="16" t="n"/>
      <c r="H155" s="16" t="n"/>
      <c r="I155" s="16" t="n"/>
      <c r="J155" s="16" t="n"/>
      <c r="K155" s="17">
        <f>IF($G155="","",IF(OR($G155="PT Missed",$G155="PT Modified",$G155="PT Refused"),"Yes","No"))</f>
        <v/>
      </c>
      <c r="L155" s="16" t="n"/>
      <c r="M155" s="16" t="n"/>
      <c r="N155" s="17">
        <f>IF($D155="","",IF($M155="Excused","No",IF(AND($G155="PT Modified",$L155="Received"),"No","Yes")))</f>
        <v/>
      </c>
      <c r="O155" s="16" t="n"/>
      <c r="P155" s="17">
        <f>IF(OR($B155="",N($I155)=0),"",MIN(N($I155),SUMIFS(nrMK_Min,nrMK_Link,$B155,nrMK_Credit,"Yes",nrMK_PID,$E155,nrMK_Type,"Classroom")))</f>
        <v/>
      </c>
      <c r="Q155" s="17">
        <f>IF(OR($B155="",N($J155)=0),"",MIN(N($J155),SUMIFS(nrMK_Sess,nrMK_Link,$B155,nrMK_Credit,"Yes",nrMK_PID,$E155,nrMK_Type,"PT")))</f>
        <v/>
      </c>
      <c r="R155" s="17">
        <f>IF(OR($B155="",$N155&lt;&gt;"Yes"),"",IF($K155="Yes",IF(N($J155)&gt;0,N($J155)-N($Q155),""),IF(N($I155)&gt;0,N($I155)-N($P155),"")))</f>
        <v/>
      </c>
      <c r="S155" s="17">
        <f>IF(OR($B155="",$R155=""),"",IF($R155&lt;=0,IF(IFERROR(_xlfn.MAXIFS(nrMK_Date,nrMK_Link,$B155,nrMK_Credit,"Yes",nrMK_PID,$E155),0)=0,"CLEARED (makeup date missing)","CLEARED "&amp;TEXT(_xlfn.MAXIFS(nrMK_Date,nrMK_Link,$B155,nrMK_Credit,"Yes",nrMK_PID,$E155),"mm/dd")),"OPEN"))</f>
        <v/>
      </c>
      <c r="T155" s="17">
        <f>IF($D155="","",IF($C155="","NO DATE",IF($G155="","NO EVENT TYPE",IF(AND($I155&lt;&gt;"",NOT(ISNUMBER($I155))),"MINUTES NOT A NUMBER",IF(AND($J155&lt;&gt;"",NOT(ISNUMBER($J155))),"SESSIONS NOT A NUMBER",IF(OR(N($I155)&lt;0,N($J155)&lt;0),"NEGATIVE MINUTES/SESSIONS",IF(AND($K155="Yes",N($I155)&gt;0),"MINUTES ON A PT EVENT - not counted (PT counts sessions)",IF(AND($K155="No",N($J155)&gt;0),"SESSIONS ON A CLASSROOM EVENT - not counted (classroom counts minutes)",IF(AND($N155="Yes",$K155="Yes",N($J155)=0),"COUNTED PT EVENT WITH NO SESSIONS - dropped from the PT cap",IF(AND($N155="Yes",$K155="No",N($I155)=0),"COUNTED EVENT WITH NO MINUTES - dropped from the classroom cap","OK"))))))))))</f>
        <v/>
      </c>
    </row>
    <row r="156">
      <c r="B156" s="17">
        <f>IF($D156="","","A"&amp;TEXT(ROW()-5,"000"))</f>
        <v/>
      </c>
      <c r="C156" s="18" t="n"/>
      <c r="D156" s="16" t="n"/>
      <c r="E156" s="17">
        <f>IF($D156="","",IFERROR(INDEX(rngCadetPIDs,MATCH($D156,rngCadetNames,0)),"?"))</f>
        <v/>
      </c>
      <c r="F156" s="17">
        <f>IF($E156="","",IFERROR(INDEX(nrCadetAgency,MATCH($E156,rngCadetPIDs,0)),""))</f>
        <v/>
      </c>
      <c r="G156" s="16" t="n"/>
      <c r="H156" s="16" t="n"/>
      <c r="I156" s="16" t="n"/>
      <c r="J156" s="16" t="n"/>
      <c r="K156" s="17">
        <f>IF($G156="","",IF(OR($G156="PT Missed",$G156="PT Modified",$G156="PT Refused"),"Yes","No"))</f>
        <v/>
      </c>
      <c r="L156" s="16" t="n"/>
      <c r="M156" s="16" t="n"/>
      <c r="N156" s="17">
        <f>IF($D156="","",IF($M156="Excused","No",IF(AND($G156="PT Modified",$L156="Received"),"No","Yes")))</f>
        <v/>
      </c>
      <c r="O156" s="16" t="n"/>
      <c r="P156" s="17">
        <f>IF(OR($B156="",N($I156)=0),"",MIN(N($I156),SUMIFS(nrMK_Min,nrMK_Link,$B156,nrMK_Credit,"Yes",nrMK_PID,$E156,nrMK_Type,"Classroom")))</f>
        <v/>
      </c>
      <c r="Q156" s="17">
        <f>IF(OR($B156="",N($J156)=0),"",MIN(N($J156),SUMIFS(nrMK_Sess,nrMK_Link,$B156,nrMK_Credit,"Yes",nrMK_PID,$E156,nrMK_Type,"PT")))</f>
        <v/>
      </c>
      <c r="R156" s="17">
        <f>IF(OR($B156="",$N156&lt;&gt;"Yes"),"",IF($K156="Yes",IF(N($J156)&gt;0,N($J156)-N($Q156),""),IF(N($I156)&gt;0,N($I156)-N($P156),"")))</f>
        <v/>
      </c>
      <c r="S156" s="17">
        <f>IF(OR($B156="",$R156=""),"",IF($R156&lt;=0,IF(IFERROR(_xlfn.MAXIFS(nrMK_Date,nrMK_Link,$B156,nrMK_Credit,"Yes",nrMK_PID,$E156),0)=0,"CLEARED (makeup date missing)","CLEARED "&amp;TEXT(_xlfn.MAXIFS(nrMK_Date,nrMK_Link,$B156,nrMK_Credit,"Yes",nrMK_PID,$E156),"mm/dd")),"OPEN"))</f>
        <v/>
      </c>
      <c r="T156" s="17">
        <f>IF($D156="","",IF($C156="","NO DATE",IF($G156="","NO EVENT TYPE",IF(AND($I156&lt;&gt;"",NOT(ISNUMBER($I156))),"MINUTES NOT A NUMBER",IF(AND($J156&lt;&gt;"",NOT(ISNUMBER($J156))),"SESSIONS NOT A NUMBER",IF(OR(N($I156)&lt;0,N($J156)&lt;0),"NEGATIVE MINUTES/SESSIONS",IF(AND($K156="Yes",N($I156)&gt;0),"MINUTES ON A PT EVENT - not counted (PT counts sessions)",IF(AND($K156="No",N($J156)&gt;0),"SESSIONS ON A CLASSROOM EVENT - not counted (classroom counts minutes)",IF(AND($N156="Yes",$K156="Yes",N($J156)=0),"COUNTED PT EVENT WITH NO SESSIONS - dropped from the PT cap",IF(AND($N156="Yes",$K156="No",N($I156)=0),"COUNTED EVENT WITH NO MINUTES - dropped from the classroom cap","OK"))))))))))</f>
        <v/>
      </c>
    </row>
    <row r="157">
      <c r="B157" s="17">
        <f>IF($D157="","","A"&amp;TEXT(ROW()-5,"000"))</f>
        <v/>
      </c>
      <c r="C157" s="18" t="n"/>
      <c r="D157" s="16" t="n"/>
      <c r="E157" s="17">
        <f>IF($D157="","",IFERROR(INDEX(rngCadetPIDs,MATCH($D157,rngCadetNames,0)),"?"))</f>
        <v/>
      </c>
      <c r="F157" s="17">
        <f>IF($E157="","",IFERROR(INDEX(nrCadetAgency,MATCH($E157,rngCadetPIDs,0)),""))</f>
        <v/>
      </c>
      <c r="G157" s="16" t="n"/>
      <c r="H157" s="16" t="n"/>
      <c r="I157" s="16" t="n"/>
      <c r="J157" s="16" t="n"/>
      <c r="K157" s="17">
        <f>IF($G157="","",IF(OR($G157="PT Missed",$G157="PT Modified",$G157="PT Refused"),"Yes","No"))</f>
        <v/>
      </c>
      <c r="L157" s="16" t="n"/>
      <c r="M157" s="16" t="n"/>
      <c r="N157" s="17">
        <f>IF($D157="","",IF($M157="Excused","No",IF(AND($G157="PT Modified",$L157="Received"),"No","Yes")))</f>
        <v/>
      </c>
      <c r="O157" s="16" t="n"/>
      <c r="P157" s="17">
        <f>IF(OR($B157="",N($I157)=0),"",MIN(N($I157),SUMIFS(nrMK_Min,nrMK_Link,$B157,nrMK_Credit,"Yes",nrMK_PID,$E157,nrMK_Type,"Classroom")))</f>
        <v/>
      </c>
      <c r="Q157" s="17">
        <f>IF(OR($B157="",N($J157)=0),"",MIN(N($J157),SUMIFS(nrMK_Sess,nrMK_Link,$B157,nrMK_Credit,"Yes",nrMK_PID,$E157,nrMK_Type,"PT")))</f>
        <v/>
      </c>
      <c r="R157" s="17">
        <f>IF(OR($B157="",$N157&lt;&gt;"Yes"),"",IF($K157="Yes",IF(N($J157)&gt;0,N($J157)-N($Q157),""),IF(N($I157)&gt;0,N($I157)-N($P157),"")))</f>
        <v/>
      </c>
      <c r="S157" s="17">
        <f>IF(OR($B157="",$R157=""),"",IF($R157&lt;=0,IF(IFERROR(_xlfn.MAXIFS(nrMK_Date,nrMK_Link,$B157,nrMK_Credit,"Yes",nrMK_PID,$E157),0)=0,"CLEARED (makeup date missing)","CLEARED "&amp;TEXT(_xlfn.MAXIFS(nrMK_Date,nrMK_Link,$B157,nrMK_Credit,"Yes",nrMK_PID,$E157),"mm/dd")),"OPEN"))</f>
        <v/>
      </c>
      <c r="T157" s="17">
        <f>IF($D157="","",IF($C157="","NO DATE",IF($G157="","NO EVENT TYPE",IF(AND($I157&lt;&gt;"",NOT(ISNUMBER($I157))),"MINUTES NOT A NUMBER",IF(AND($J157&lt;&gt;"",NOT(ISNUMBER($J157))),"SESSIONS NOT A NUMBER",IF(OR(N($I157)&lt;0,N($J157)&lt;0),"NEGATIVE MINUTES/SESSIONS",IF(AND($K157="Yes",N($I157)&gt;0),"MINUTES ON A PT EVENT - not counted (PT counts sessions)",IF(AND($K157="No",N($J157)&gt;0),"SESSIONS ON A CLASSROOM EVENT - not counted (classroom counts minutes)",IF(AND($N157="Yes",$K157="Yes",N($J157)=0),"COUNTED PT EVENT WITH NO SESSIONS - dropped from the PT cap",IF(AND($N157="Yes",$K157="No",N($I157)=0),"COUNTED EVENT WITH NO MINUTES - dropped from the classroom cap","OK"))))))))))</f>
        <v/>
      </c>
    </row>
    <row r="158">
      <c r="B158" s="17">
        <f>IF($D158="","","A"&amp;TEXT(ROW()-5,"000"))</f>
        <v/>
      </c>
      <c r="C158" s="18" t="n"/>
      <c r="D158" s="16" t="n"/>
      <c r="E158" s="17">
        <f>IF($D158="","",IFERROR(INDEX(rngCadetPIDs,MATCH($D158,rngCadetNames,0)),"?"))</f>
        <v/>
      </c>
      <c r="F158" s="17">
        <f>IF($E158="","",IFERROR(INDEX(nrCadetAgency,MATCH($E158,rngCadetPIDs,0)),""))</f>
        <v/>
      </c>
      <c r="G158" s="16" t="n"/>
      <c r="H158" s="16" t="n"/>
      <c r="I158" s="16" t="n"/>
      <c r="J158" s="16" t="n"/>
      <c r="K158" s="17">
        <f>IF($G158="","",IF(OR($G158="PT Missed",$G158="PT Modified",$G158="PT Refused"),"Yes","No"))</f>
        <v/>
      </c>
      <c r="L158" s="16" t="n"/>
      <c r="M158" s="16" t="n"/>
      <c r="N158" s="17">
        <f>IF($D158="","",IF($M158="Excused","No",IF(AND($G158="PT Modified",$L158="Received"),"No","Yes")))</f>
        <v/>
      </c>
      <c r="O158" s="16" t="n"/>
      <c r="P158" s="17">
        <f>IF(OR($B158="",N($I158)=0),"",MIN(N($I158),SUMIFS(nrMK_Min,nrMK_Link,$B158,nrMK_Credit,"Yes",nrMK_PID,$E158,nrMK_Type,"Classroom")))</f>
        <v/>
      </c>
      <c r="Q158" s="17">
        <f>IF(OR($B158="",N($J158)=0),"",MIN(N($J158),SUMIFS(nrMK_Sess,nrMK_Link,$B158,nrMK_Credit,"Yes",nrMK_PID,$E158,nrMK_Type,"PT")))</f>
        <v/>
      </c>
      <c r="R158" s="17">
        <f>IF(OR($B158="",$N158&lt;&gt;"Yes"),"",IF($K158="Yes",IF(N($J158)&gt;0,N($J158)-N($Q158),""),IF(N($I158)&gt;0,N($I158)-N($P158),"")))</f>
        <v/>
      </c>
      <c r="S158" s="17">
        <f>IF(OR($B158="",$R158=""),"",IF($R158&lt;=0,IF(IFERROR(_xlfn.MAXIFS(nrMK_Date,nrMK_Link,$B158,nrMK_Credit,"Yes",nrMK_PID,$E158),0)=0,"CLEARED (makeup date missing)","CLEARED "&amp;TEXT(_xlfn.MAXIFS(nrMK_Date,nrMK_Link,$B158,nrMK_Credit,"Yes",nrMK_PID,$E158),"mm/dd")),"OPEN"))</f>
        <v/>
      </c>
      <c r="T158" s="17">
        <f>IF($D158="","",IF($C158="","NO DATE",IF($G158="","NO EVENT TYPE",IF(AND($I158&lt;&gt;"",NOT(ISNUMBER($I158))),"MINUTES NOT A NUMBER",IF(AND($J158&lt;&gt;"",NOT(ISNUMBER($J158))),"SESSIONS NOT A NUMBER",IF(OR(N($I158)&lt;0,N($J158)&lt;0),"NEGATIVE MINUTES/SESSIONS",IF(AND($K158="Yes",N($I158)&gt;0),"MINUTES ON A PT EVENT - not counted (PT counts sessions)",IF(AND($K158="No",N($J158)&gt;0),"SESSIONS ON A CLASSROOM EVENT - not counted (classroom counts minutes)",IF(AND($N158="Yes",$K158="Yes",N($J158)=0),"COUNTED PT EVENT WITH NO SESSIONS - dropped from the PT cap",IF(AND($N158="Yes",$K158="No",N($I158)=0),"COUNTED EVENT WITH NO MINUTES - dropped from the classroom cap","OK"))))))))))</f>
        <v/>
      </c>
    </row>
    <row r="159">
      <c r="B159" s="17">
        <f>IF($D159="","","A"&amp;TEXT(ROW()-5,"000"))</f>
        <v/>
      </c>
      <c r="C159" s="18" t="n"/>
      <c r="D159" s="16" t="n"/>
      <c r="E159" s="17">
        <f>IF($D159="","",IFERROR(INDEX(rngCadetPIDs,MATCH($D159,rngCadetNames,0)),"?"))</f>
        <v/>
      </c>
      <c r="F159" s="17">
        <f>IF($E159="","",IFERROR(INDEX(nrCadetAgency,MATCH($E159,rngCadetPIDs,0)),""))</f>
        <v/>
      </c>
      <c r="G159" s="16" t="n"/>
      <c r="H159" s="16" t="n"/>
      <c r="I159" s="16" t="n"/>
      <c r="J159" s="16" t="n"/>
      <c r="K159" s="17">
        <f>IF($G159="","",IF(OR($G159="PT Missed",$G159="PT Modified",$G159="PT Refused"),"Yes","No"))</f>
        <v/>
      </c>
      <c r="L159" s="16" t="n"/>
      <c r="M159" s="16" t="n"/>
      <c r="N159" s="17">
        <f>IF($D159="","",IF($M159="Excused","No",IF(AND($G159="PT Modified",$L159="Received"),"No","Yes")))</f>
        <v/>
      </c>
      <c r="O159" s="16" t="n"/>
      <c r="P159" s="17">
        <f>IF(OR($B159="",N($I159)=0),"",MIN(N($I159),SUMIFS(nrMK_Min,nrMK_Link,$B159,nrMK_Credit,"Yes",nrMK_PID,$E159,nrMK_Type,"Classroom")))</f>
        <v/>
      </c>
      <c r="Q159" s="17">
        <f>IF(OR($B159="",N($J159)=0),"",MIN(N($J159),SUMIFS(nrMK_Sess,nrMK_Link,$B159,nrMK_Credit,"Yes",nrMK_PID,$E159,nrMK_Type,"PT")))</f>
        <v/>
      </c>
      <c r="R159" s="17">
        <f>IF(OR($B159="",$N159&lt;&gt;"Yes"),"",IF($K159="Yes",IF(N($J159)&gt;0,N($J159)-N($Q159),""),IF(N($I159)&gt;0,N($I159)-N($P159),"")))</f>
        <v/>
      </c>
      <c r="S159" s="17">
        <f>IF(OR($B159="",$R159=""),"",IF($R159&lt;=0,IF(IFERROR(_xlfn.MAXIFS(nrMK_Date,nrMK_Link,$B159,nrMK_Credit,"Yes",nrMK_PID,$E159),0)=0,"CLEARED (makeup date missing)","CLEARED "&amp;TEXT(_xlfn.MAXIFS(nrMK_Date,nrMK_Link,$B159,nrMK_Credit,"Yes",nrMK_PID,$E159),"mm/dd")),"OPEN"))</f>
        <v/>
      </c>
      <c r="T159" s="17">
        <f>IF($D159="","",IF($C159="","NO DATE",IF($G159="","NO EVENT TYPE",IF(AND($I159&lt;&gt;"",NOT(ISNUMBER($I159))),"MINUTES NOT A NUMBER",IF(AND($J159&lt;&gt;"",NOT(ISNUMBER($J159))),"SESSIONS NOT A NUMBER",IF(OR(N($I159)&lt;0,N($J159)&lt;0),"NEGATIVE MINUTES/SESSIONS",IF(AND($K159="Yes",N($I159)&gt;0),"MINUTES ON A PT EVENT - not counted (PT counts sessions)",IF(AND($K159="No",N($J159)&gt;0),"SESSIONS ON A CLASSROOM EVENT - not counted (classroom counts minutes)",IF(AND($N159="Yes",$K159="Yes",N($J159)=0),"COUNTED PT EVENT WITH NO SESSIONS - dropped from the PT cap",IF(AND($N159="Yes",$K159="No",N($I159)=0),"COUNTED EVENT WITH NO MINUTES - dropped from the classroom cap","OK"))))))))))</f>
        <v/>
      </c>
    </row>
    <row r="160">
      <c r="B160" s="17">
        <f>IF($D160="","","A"&amp;TEXT(ROW()-5,"000"))</f>
        <v/>
      </c>
      <c r="C160" s="18" t="n"/>
      <c r="D160" s="16" t="n"/>
      <c r="E160" s="17">
        <f>IF($D160="","",IFERROR(INDEX(rngCadetPIDs,MATCH($D160,rngCadetNames,0)),"?"))</f>
        <v/>
      </c>
      <c r="F160" s="17">
        <f>IF($E160="","",IFERROR(INDEX(nrCadetAgency,MATCH($E160,rngCadetPIDs,0)),""))</f>
        <v/>
      </c>
      <c r="G160" s="16" t="n"/>
      <c r="H160" s="16" t="n"/>
      <c r="I160" s="16" t="n"/>
      <c r="J160" s="16" t="n"/>
      <c r="K160" s="17">
        <f>IF($G160="","",IF(OR($G160="PT Missed",$G160="PT Modified",$G160="PT Refused"),"Yes","No"))</f>
        <v/>
      </c>
      <c r="L160" s="16" t="n"/>
      <c r="M160" s="16" t="n"/>
      <c r="N160" s="17">
        <f>IF($D160="","",IF($M160="Excused","No",IF(AND($G160="PT Modified",$L160="Received"),"No","Yes")))</f>
        <v/>
      </c>
      <c r="O160" s="16" t="n"/>
      <c r="P160" s="17">
        <f>IF(OR($B160="",N($I160)=0),"",MIN(N($I160),SUMIFS(nrMK_Min,nrMK_Link,$B160,nrMK_Credit,"Yes",nrMK_PID,$E160,nrMK_Type,"Classroom")))</f>
        <v/>
      </c>
      <c r="Q160" s="17">
        <f>IF(OR($B160="",N($J160)=0),"",MIN(N($J160),SUMIFS(nrMK_Sess,nrMK_Link,$B160,nrMK_Credit,"Yes",nrMK_PID,$E160,nrMK_Type,"PT")))</f>
        <v/>
      </c>
      <c r="R160" s="17">
        <f>IF(OR($B160="",$N160&lt;&gt;"Yes"),"",IF($K160="Yes",IF(N($J160)&gt;0,N($J160)-N($Q160),""),IF(N($I160)&gt;0,N($I160)-N($P160),"")))</f>
        <v/>
      </c>
      <c r="S160" s="17">
        <f>IF(OR($B160="",$R160=""),"",IF($R160&lt;=0,IF(IFERROR(_xlfn.MAXIFS(nrMK_Date,nrMK_Link,$B160,nrMK_Credit,"Yes",nrMK_PID,$E160),0)=0,"CLEARED (makeup date missing)","CLEARED "&amp;TEXT(_xlfn.MAXIFS(nrMK_Date,nrMK_Link,$B160,nrMK_Credit,"Yes",nrMK_PID,$E160),"mm/dd")),"OPEN"))</f>
        <v/>
      </c>
      <c r="T160" s="17">
        <f>IF($D160="","",IF($C160="","NO DATE",IF($G160="","NO EVENT TYPE",IF(AND($I160&lt;&gt;"",NOT(ISNUMBER($I160))),"MINUTES NOT A NUMBER",IF(AND($J160&lt;&gt;"",NOT(ISNUMBER($J160))),"SESSIONS NOT A NUMBER",IF(OR(N($I160)&lt;0,N($J160)&lt;0),"NEGATIVE MINUTES/SESSIONS",IF(AND($K160="Yes",N($I160)&gt;0),"MINUTES ON A PT EVENT - not counted (PT counts sessions)",IF(AND($K160="No",N($J160)&gt;0),"SESSIONS ON A CLASSROOM EVENT - not counted (classroom counts minutes)",IF(AND($N160="Yes",$K160="Yes",N($J160)=0),"COUNTED PT EVENT WITH NO SESSIONS - dropped from the PT cap",IF(AND($N160="Yes",$K160="No",N($I160)=0),"COUNTED EVENT WITH NO MINUTES - dropped from the classroom cap","OK"))))))))))</f>
        <v/>
      </c>
    </row>
    <row r="161">
      <c r="B161" s="17">
        <f>IF($D161="","","A"&amp;TEXT(ROW()-5,"000"))</f>
        <v/>
      </c>
      <c r="C161" s="18" t="n"/>
      <c r="D161" s="16" t="n"/>
      <c r="E161" s="17">
        <f>IF($D161="","",IFERROR(INDEX(rngCadetPIDs,MATCH($D161,rngCadetNames,0)),"?"))</f>
        <v/>
      </c>
      <c r="F161" s="17">
        <f>IF($E161="","",IFERROR(INDEX(nrCadetAgency,MATCH($E161,rngCadetPIDs,0)),""))</f>
        <v/>
      </c>
      <c r="G161" s="16" t="n"/>
      <c r="H161" s="16" t="n"/>
      <c r="I161" s="16" t="n"/>
      <c r="J161" s="16" t="n"/>
      <c r="K161" s="17">
        <f>IF($G161="","",IF(OR($G161="PT Missed",$G161="PT Modified",$G161="PT Refused"),"Yes","No"))</f>
        <v/>
      </c>
      <c r="L161" s="16" t="n"/>
      <c r="M161" s="16" t="n"/>
      <c r="N161" s="17">
        <f>IF($D161="","",IF($M161="Excused","No",IF(AND($G161="PT Modified",$L161="Received"),"No","Yes")))</f>
        <v/>
      </c>
      <c r="O161" s="16" t="n"/>
      <c r="P161" s="17">
        <f>IF(OR($B161="",N($I161)=0),"",MIN(N($I161),SUMIFS(nrMK_Min,nrMK_Link,$B161,nrMK_Credit,"Yes",nrMK_PID,$E161,nrMK_Type,"Classroom")))</f>
        <v/>
      </c>
      <c r="Q161" s="17">
        <f>IF(OR($B161="",N($J161)=0),"",MIN(N($J161),SUMIFS(nrMK_Sess,nrMK_Link,$B161,nrMK_Credit,"Yes",nrMK_PID,$E161,nrMK_Type,"PT")))</f>
        <v/>
      </c>
      <c r="R161" s="17">
        <f>IF(OR($B161="",$N161&lt;&gt;"Yes"),"",IF($K161="Yes",IF(N($J161)&gt;0,N($J161)-N($Q161),""),IF(N($I161)&gt;0,N($I161)-N($P161),"")))</f>
        <v/>
      </c>
      <c r="S161" s="17">
        <f>IF(OR($B161="",$R161=""),"",IF($R161&lt;=0,IF(IFERROR(_xlfn.MAXIFS(nrMK_Date,nrMK_Link,$B161,nrMK_Credit,"Yes",nrMK_PID,$E161),0)=0,"CLEARED (makeup date missing)","CLEARED "&amp;TEXT(_xlfn.MAXIFS(nrMK_Date,nrMK_Link,$B161,nrMK_Credit,"Yes",nrMK_PID,$E161),"mm/dd")),"OPEN"))</f>
        <v/>
      </c>
      <c r="T161" s="17">
        <f>IF($D161="","",IF($C161="","NO DATE",IF($G161="","NO EVENT TYPE",IF(AND($I161&lt;&gt;"",NOT(ISNUMBER($I161))),"MINUTES NOT A NUMBER",IF(AND($J161&lt;&gt;"",NOT(ISNUMBER($J161))),"SESSIONS NOT A NUMBER",IF(OR(N($I161)&lt;0,N($J161)&lt;0),"NEGATIVE MINUTES/SESSIONS",IF(AND($K161="Yes",N($I161)&gt;0),"MINUTES ON A PT EVENT - not counted (PT counts sessions)",IF(AND($K161="No",N($J161)&gt;0),"SESSIONS ON A CLASSROOM EVENT - not counted (classroom counts minutes)",IF(AND($N161="Yes",$K161="Yes",N($J161)=0),"COUNTED PT EVENT WITH NO SESSIONS - dropped from the PT cap",IF(AND($N161="Yes",$K161="No",N($I161)=0),"COUNTED EVENT WITH NO MINUTES - dropped from the classroom cap","OK"))))))))))</f>
        <v/>
      </c>
    </row>
    <row r="162">
      <c r="B162" s="17">
        <f>IF($D162="","","A"&amp;TEXT(ROW()-5,"000"))</f>
        <v/>
      </c>
      <c r="C162" s="18" t="n"/>
      <c r="D162" s="16" t="n"/>
      <c r="E162" s="17">
        <f>IF($D162="","",IFERROR(INDEX(rngCadetPIDs,MATCH($D162,rngCadetNames,0)),"?"))</f>
        <v/>
      </c>
      <c r="F162" s="17">
        <f>IF($E162="","",IFERROR(INDEX(nrCadetAgency,MATCH($E162,rngCadetPIDs,0)),""))</f>
        <v/>
      </c>
      <c r="G162" s="16" t="n"/>
      <c r="H162" s="16" t="n"/>
      <c r="I162" s="16" t="n"/>
      <c r="J162" s="16" t="n"/>
      <c r="K162" s="17">
        <f>IF($G162="","",IF(OR($G162="PT Missed",$G162="PT Modified",$G162="PT Refused"),"Yes","No"))</f>
        <v/>
      </c>
      <c r="L162" s="16" t="n"/>
      <c r="M162" s="16" t="n"/>
      <c r="N162" s="17">
        <f>IF($D162="","",IF($M162="Excused","No",IF(AND($G162="PT Modified",$L162="Received"),"No","Yes")))</f>
        <v/>
      </c>
      <c r="O162" s="16" t="n"/>
      <c r="P162" s="17">
        <f>IF(OR($B162="",N($I162)=0),"",MIN(N($I162),SUMIFS(nrMK_Min,nrMK_Link,$B162,nrMK_Credit,"Yes",nrMK_PID,$E162,nrMK_Type,"Classroom")))</f>
        <v/>
      </c>
      <c r="Q162" s="17">
        <f>IF(OR($B162="",N($J162)=0),"",MIN(N($J162),SUMIFS(nrMK_Sess,nrMK_Link,$B162,nrMK_Credit,"Yes",nrMK_PID,$E162,nrMK_Type,"PT")))</f>
        <v/>
      </c>
      <c r="R162" s="17">
        <f>IF(OR($B162="",$N162&lt;&gt;"Yes"),"",IF($K162="Yes",IF(N($J162)&gt;0,N($J162)-N($Q162),""),IF(N($I162)&gt;0,N($I162)-N($P162),"")))</f>
        <v/>
      </c>
      <c r="S162" s="17">
        <f>IF(OR($B162="",$R162=""),"",IF($R162&lt;=0,IF(IFERROR(_xlfn.MAXIFS(nrMK_Date,nrMK_Link,$B162,nrMK_Credit,"Yes",nrMK_PID,$E162),0)=0,"CLEARED (makeup date missing)","CLEARED "&amp;TEXT(_xlfn.MAXIFS(nrMK_Date,nrMK_Link,$B162,nrMK_Credit,"Yes",nrMK_PID,$E162),"mm/dd")),"OPEN"))</f>
        <v/>
      </c>
      <c r="T162" s="17">
        <f>IF($D162="","",IF($C162="","NO DATE",IF($G162="","NO EVENT TYPE",IF(AND($I162&lt;&gt;"",NOT(ISNUMBER($I162))),"MINUTES NOT A NUMBER",IF(AND($J162&lt;&gt;"",NOT(ISNUMBER($J162))),"SESSIONS NOT A NUMBER",IF(OR(N($I162)&lt;0,N($J162)&lt;0),"NEGATIVE MINUTES/SESSIONS",IF(AND($K162="Yes",N($I162)&gt;0),"MINUTES ON A PT EVENT - not counted (PT counts sessions)",IF(AND($K162="No",N($J162)&gt;0),"SESSIONS ON A CLASSROOM EVENT - not counted (classroom counts minutes)",IF(AND($N162="Yes",$K162="Yes",N($J162)=0),"COUNTED PT EVENT WITH NO SESSIONS - dropped from the PT cap",IF(AND($N162="Yes",$K162="No",N($I162)=0),"COUNTED EVENT WITH NO MINUTES - dropped from the classroom cap","OK"))))))))))</f>
        <v/>
      </c>
    </row>
    <row r="163">
      <c r="B163" s="17">
        <f>IF($D163="","","A"&amp;TEXT(ROW()-5,"000"))</f>
        <v/>
      </c>
      <c r="C163" s="18" t="n"/>
      <c r="D163" s="16" t="n"/>
      <c r="E163" s="17">
        <f>IF($D163="","",IFERROR(INDEX(rngCadetPIDs,MATCH($D163,rngCadetNames,0)),"?"))</f>
        <v/>
      </c>
      <c r="F163" s="17">
        <f>IF($E163="","",IFERROR(INDEX(nrCadetAgency,MATCH($E163,rngCadetPIDs,0)),""))</f>
        <v/>
      </c>
      <c r="G163" s="16" t="n"/>
      <c r="H163" s="16" t="n"/>
      <c r="I163" s="16" t="n"/>
      <c r="J163" s="16" t="n"/>
      <c r="K163" s="17">
        <f>IF($G163="","",IF(OR($G163="PT Missed",$G163="PT Modified",$G163="PT Refused"),"Yes","No"))</f>
        <v/>
      </c>
      <c r="L163" s="16" t="n"/>
      <c r="M163" s="16" t="n"/>
      <c r="N163" s="17">
        <f>IF($D163="","",IF($M163="Excused","No",IF(AND($G163="PT Modified",$L163="Received"),"No","Yes")))</f>
        <v/>
      </c>
      <c r="O163" s="16" t="n"/>
      <c r="P163" s="17">
        <f>IF(OR($B163="",N($I163)=0),"",MIN(N($I163),SUMIFS(nrMK_Min,nrMK_Link,$B163,nrMK_Credit,"Yes",nrMK_PID,$E163,nrMK_Type,"Classroom")))</f>
        <v/>
      </c>
      <c r="Q163" s="17">
        <f>IF(OR($B163="",N($J163)=0),"",MIN(N($J163),SUMIFS(nrMK_Sess,nrMK_Link,$B163,nrMK_Credit,"Yes",nrMK_PID,$E163,nrMK_Type,"PT")))</f>
        <v/>
      </c>
      <c r="R163" s="17">
        <f>IF(OR($B163="",$N163&lt;&gt;"Yes"),"",IF($K163="Yes",IF(N($J163)&gt;0,N($J163)-N($Q163),""),IF(N($I163)&gt;0,N($I163)-N($P163),"")))</f>
        <v/>
      </c>
      <c r="S163" s="17">
        <f>IF(OR($B163="",$R163=""),"",IF($R163&lt;=0,IF(IFERROR(_xlfn.MAXIFS(nrMK_Date,nrMK_Link,$B163,nrMK_Credit,"Yes",nrMK_PID,$E163),0)=0,"CLEARED (makeup date missing)","CLEARED "&amp;TEXT(_xlfn.MAXIFS(nrMK_Date,nrMK_Link,$B163,nrMK_Credit,"Yes",nrMK_PID,$E163),"mm/dd")),"OPEN"))</f>
        <v/>
      </c>
      <c r="T163" s="17">
        <f>IF($D163="","",IF($C163="","NO DATE",IF($G163="","NO EVENT TYPE",IF(AND($I163&lt;&gt;"",NOT(ISNUMBER($I163))),"MINUTES NOT A NUMBER",IF(AND($J163&lt;&gt;"",NOT(ISNUMBER($J163))),"SESSIONS NOT A NUMBER",IF(OR(N($I163)&lt;0,N($J163)&lt;0),"NEGATIVE MINUTES/SESSIONS",IF(AND($K163="Yes",N($I163)&gt;0),"MINUTES ON A PT EVENT - not counted (PT counts sessions)",IF(AND($K163="No",N($J163)&gt;0),"SESSIONS ON A CLASSROOM EVENT - not counted (classroom counts minutes)",IF(AND($N163="Yes",$K163="Yes",N($J163)=0),"COUNTED PT EVENT WITH NO SESSIONS - dropped from the PT cap",IF(AND($N163="Yes",$K163="No",N($I163)=0),"COUNTED EVENT WITH NO MINUTES - dropped from the classroom cap","OK"))))))))))</f>
        <v/>
      </c>
    </row>
    <row r="164">
      <c r="B164" s="17">
        <f>IF($D164="","","A"&amp;TEXT(ROW()-5,"000"))</f>
        <v/>
      </c>
      <c r="C164" s="18" t="n"/>
      <c r="D164" s="16" t="n"/>
      <c r="E164" s="17">
        <f>IF($D164="","",IFERROR(INDEX(rngCadetPIDs,MATCH($D164,rngCadetNames,0)),"?"))</f>
        <v/>
      </c>
      <c r="F164" s="17">
        <f>IF($E164="","",IFERROR(INDEX(nrCadetAgency,MATCH($E164,rngCadetPIDs,0)),""))</f>
        <v/>
      </c>
      <c r="G164" s="16" t="n"/>
      <c r="H164" s="16" t="n"/>
      <c r="I164" s="16" t="n"/>
      <c r="J164" s="16" t="n"/>
      <c r="K164" s="17">
        <f>IF($G164="","",IF(OR($G164="PT Missed",$G164="PT Modified",$G164="PT Refused"),"Yes","No"))</f>
        <v/>
      </c>
      <c r="L164" s="16" t="n"/>
      <c r="M164" s="16" t="n"/>
      <c r="N164" s="17">
        <f>IF($D164="","",IF($M164="Excused","No",IF(AND($G164="PT Modified",$L164="Received"),"No","Yes")))</f>
        <v/>
      </c>
      <c r="O164" s="16" t="n"/>
      <c r="P164" s="17">
        <f>IF(OR($B164="",N($I164)=0),"",MIN(N($I164),SUMIFS(nrMK_Min,nrMK_Link,$B164,nrMK_Credit,"Yes",nrMK_PID,$E164,nrMK_Type,"Classroom")))</f>
        <v/>
      </c>
      <c r="Q164" s="17">
        <f>IF(OR($B164="",N($J164)=0),"",MIN(N($J164),SUMIFS(nrMK_Sess,nrMK_Link,$B164,nrMK_Credit,"Yes",nrMK_PID,$E164,nrMK_Type,"PT")))</f>
        <v/>
      </c>
      <c r="R164" s="17">
        <f>IF(OR($B164="",$N164&lt;&gt;"Yes"),"",IF($K164="Yes",IF(N($J164)&gt;0,N($J164)-N($Q164),""),IF(N($I164)&gt;0,N($I164)-N($P164),"")))</f>
        <v/>
      </c>
      <c r="S164" s="17">
        <f>IF(OR($B164="",$R164=""),"",IF($R164&lt;=0,IF(IFERROR(_xlfn.MAXIFS(nrMK_Date,nrMK_Link,$B164,nrMK_Credit,"Yes",nrMK_PID,$E164),0)=0,"CLEARED (makeup date missing)","CLEARED "&amp;TEXT(_xlfn.MAXIFS(nrMK_Date,nrMK_Link,$B164,nrMK_Credit,"Yes",nrMK_PID,$E164),"mm/dd")),"OPEN"))</f>
        <v/>
      </c>
      <c r="T164" s="17">
        <f>IF($D164="","",IF($C164="","NO DATE",IF($G164="","NO EVENT TYPE",IF(AND($I164&lt;&gt;"",NOT(ISNUMBER($I164))),"MINUTES NOT A NUMBER",IF(AND($J164&lt;&gt;"",NOT(ISNUMBER($J164))),"SESSIONS NOT A NUMBER",IF(OR(N($I164)&lt;0,N($J164)&lt;0),"NEGATIVE MINUTES/SESSIONS",IF(AND($K164="Yes",N($I164)&gt;0),"MINUTES ON A PT EVENT - not counted (PT counts sessions)",IF(AND($K164="No",N($J164)&gt;0),"SESSIONS ON A CLASSROOM EVENT - not counted (classroom counts minutes)",IF(AND($N164="Yes",$K164="Yes",N($J164)=0),"COUNTED PT EVENT WITH NO SESSIONS - dropped from the PT cap",IF(AND($N164="Yes",$K164="No",N($I164)=0),"COUNTED EVENT WITH NO MINUTES - dropped from the classroom cap","OK"))))))))))</f>
        <v/>
      </c>
    </row>
    <row r="165">
      <c r="B165" s="17">
        <f>IF($D165="","","A"&amp;TEXT(ROW()-5,"000"))</f>
        <v/>
      </c>
      <c r="C165" s="18" t="n"/>
      <c r="D165" s="16" t="n"/>
      <c r="E165" s="17">
        <f>IF($D165="","",IFERROR(INDEX(rngCadetPIDs,MATCH($D165,rngCadetNames,0)),"?"))</f>
        <v/>
      </c>
      <c r="F165" s="17">
        <f>IF($E165="","",IFERROR(INDEX(nrCadetAgency,MATCH($E165,rngCadetPIDs,0)),""))</f>
        <v/>
      </c>
      <c r="G165" s="16" t="n"/>
      <c r="H165" s="16" t="n"/>
      <c r="I165" s="16" t="n"/>
      <c r="J165" s="16" t="n"/>
      <c r="K165" s="17">
        <f>IF($G165="","",IF(OR($G165="PT Missed",$G165="PT Modified",$G165="PT Refused"),"Yes","No"))</f>
        <v/>
      </c>
      <c r="L165" s="16" t="n"/>
      <c r="M165" s="16" t="n"/>
      <c r="N165" s="17">
        <f>IF($D165="","",IF($M165="Excused","No",IF(AND($G165="PT Modified",$L165="Received"),"No","Yes")))</f>
        <v/>
      </c>
      <c r="O165" s="16" t="n"/>
      <c r="P165" s="17">
        <f>IF(OR($B165="",N($I165)=0),"",MIN(N($I165),SUMIFS(nrMK_Min,nrMK_Link,$B165,nrMK_Credit,"Yes",nrMK_PID,$E165,nrMK_Type,"Classroom")))</f>
        <v/>
      </c>
      <c r="Q165" s="17">
        <f>IF(OR($B165="",N($J165)=0),"",MIN(N($J165),SUMIFS(nrMK_Sess,nrMK_Link,$B165,nrMK_Credit,"Yes",nrMK_PID,$E165,nrMK_Type,"PT")))</f>
        <v/>
      </c>
      <c r="R165" s="17">
        <f>IF(OR($B165="",$N165&lt;&gt;"Yes"),"",IF($K165="Yes",IF(N($J165)&gt;0,N($J165)-N($Q165),""),IF(N($I165)&gt;0,N($I165)-N($P165),"")))</f>
        <v/>
      </c>
      <c r="S165" s="17">
        <f>IF(OR($B165="",$R165=""),"",IF($R165&lt;=0,IF(IFERROR(_xlfn.MAXIFS(nrMK_Date,nrMK_Link,$B165,nrMK_Credit,"Yes",nrMK_PID,$E165),0)=0,"CLEARED (makeup date missing)","CLEARED "&amp;TEXT(_xlfn.MAXIFS(nrMK_Date,nrMK_Link,$B165,nrMK_Credit,"Yes",nrMK_PID,$E165),"mm/dd")),"OPEN"))</f>
        <v/>
      </c>
      <c r="T165" s="17">
        <f>IF($D165="","",IF($C165="","NO DATE",IF($G165="","NO EVENT TYPE",IF(AND($I165&lt;&gt;"",NOT(ISNUMBER($I165))),"MINUTES NOT A NUMBER",IF(AND($J165&lt;&gt;"",NOT(ISNUMBER($J165))),"SESSIONS NOT A NUMBER",IF(OR(N($I165)&lt;0,N($J165)&lt;0),"NEGATIVE MINUTES/SESSIONS",IF(AND($K165="Yes",N($I165)&gt;0),"MINUTES ON A PT EVENT - not counted (PT counts sessions)",IF(AND($K165="No",N($J165)&gt;0),"SESSIONS ON A CLASSROOM EVENT - not counted (classroom counts minutes)",IF(AND($N165="Yes",$K165="Yes",N($J165)=0),"COUNTED PT EVENT WITH NO SESSIONS - dropped from the PT cap",IF(AND($N165="Yes",$K165="No",N($I165)=0),"COUNTED EVENT WITH NO MINUTES - dropped from the classroom cap","OK"))))))))))</f>
        <v/>
      </c>
    </row>
    <row r="166">
      <c r="B166" s="17">
        <f>IF($D166="","","A"&amp;TEXT(ROW()-5,"000"))</f>
        <v/>
      </c>
      <c r="C166" s="18" t="n"/>
      <c r="D166" s="16" t="n"/>
      <c r="E166" s="17">
        <f>IF($D166="","",IFERROR(INDEX(rngCadetPIDs,MATCH($D166,rngCadetNames,0)),"?"))</f>
        <v/>
      </c>
      <c r="F166" s="17">
        <f>IF($E166="","",IFERROR(INDEX(nrCadetAgency,MATCH($E166,rngCadetPIDs,0)),""))</f>
        <v/>
      </c>
      <c r="G166" s="16" t="n"/>
      <c r="H166" s="16" t="n"/>
      <c r="I166" s="16" t="n"/>
      <c r="J166" s="16" t="n"/>
      <c r="K166" s="17">
        <f>IF($G166="","",IF(OR($G166="PT Missed",$G166="PT Modified",$G166="PT Refused"),"Yes","No"))</f>
        <v/>
      </c>
      <c r="L166" s="16" t="n"/>
      <c r="M166" s="16" t="n"/>
      <c r="N166" s="17">
        <f>IF($D166="","",IF($M166="Excused","No",IF(AND($G166="PT Modified",$L166="Received"),"No","Yes")))</f>
        <v/>
      </c>
      <c r="O166" s="16" t="n"/>
      <c r="P166" s="17">
        <f>IF(OR($B166="",N($I166)=0),"",MIN(N($I166),SUMIFS(nrMK_Min,nrMK_Link,$B166,nrMK_Credit,"Yes",nrMK_PID,$E166,nrMK_Type,"Classroom")))</f>
        <v/>
      </c>
      <c r="Q166" s="17">
        <f>IF(OR($B166="",N($J166)=0),"",MIN(N($J166),SUMIFS(nrMK_Sess,nrMK_Link,$B166,nrMK_Credit,"Yes",nrMK_PID,$E166,nrMK_Type,"PT")))</f>
        <v/>
      </c>
      <c r="R166" s="17">
        <f>IF(OR($B166="",$N166&lt;&gt;"Yes"),"",IF($K166="Yes",IF(N($J166)&gt;0,N($J166)-N($Q166),""),IF(N($I166)&gt;0,N($I166)-N($P166),"")))</f>
        <v/>
      </c>
      <c r="S166" s="17">
        <f>IF(OR($B166="",$R166=""),"",IF($R166&lt;=0,IF(IFERROR(_xlfn.MAXIFS(nrMK_Date,nrMK_Link,$B166,nrMK_Credit,"Yes",nrMK_PID,$E166),0)=0,"CLEARED (makeup date missing)","CLEARED "&amp;TEXT(_xlfn.MAXIFS(nrMK_Date,nrMK_Link,$B166,nrMK_Credit,"Yes",nrMK_PID,$E166),"mm/dd")),"OPEN"))</f>
        <v/>
      </c>
      <c r="T166" s="17">
        <f>IF($D166="","",IF($C166="","NO DATE",IF($G166="","NO EVENT TYPE",IF(AND($I166&lt;&gt;"",NOT(ISNUMBER($I166))),"MINUTES NOT A NUMBER",IF(AND($J166&lt;&gt;"",NOT(ISNUMBER($J166))),"SESSIONS NOT A NUMBER",IF(OR(N($I166)&lt;0,N($J166)&lt;0),"NEGATIVE MINUTES/SESSIONS",IF(AND($K166="Yes",N($I166)&gt;0),"MINUTES ON A PT EVENT - not counted (PT counts sessions)",IF(AND($K166="No",N($J166)&gt;0),"SESSIONS ON A CLASSROOM EVENT - not counted (classroom counts minutes)",IF(AND($N166="Yes",$K166="Yes",N($J166)=0),"COUNTED PT EVENT WITH NO SESSIONS - dropped from the PT cap",IF(AND($N166="Yes",$K166="No",N($I166)=0),"COUNTED EVENT WITH NO MINUTES - dropped from the classroom cap","OK"))))))))))</f>
        <v/>
      </c>
    </row>
    <row r="167">
      <c r="B167" s="17">
        <f>IF($D167="","","A"&amp;TEXT(ROW()-5,"000"))</f>
        <v/>
      </c>
      <c r="C167" s="18" t="n"/>
      <c r="D167" s="16" t="n"/>
      <c r="E167" s="17">
        <f>IF($D167="","",IFERROR(INDEX(rngCadetPIDs,MATCH($D167,rngCadetNames,0)),"?"))</f>
        <v/>
      </c>
      <c r="F167" s="17">
        <f>IF($E167="","",IFERROR(INDEX(nrCadetAgency,MATCH($E167,rngCadetPIDs,0)),""))</f>
        <v/>
      </c>
      <c r="G167" s="16" t="n"/>
      <c r="H167" s="16" t="n"/>
      <c r="I167" s="16" t="n"/>
      <c r="J167" s="16" t="n"/>
      <c r="K167" s="17">
        <f>IF($G167="","",IF(OR($G167="PT Missed",$G167="PT Modified",$G167="PT Refused"),"Yes","No"))</f>
        <v/>
      </c>
      <c r="L167" s="16" t="n"/>
      <c r="M167" s="16" t="n"/>
      <c r="N167" s="17">
        <f>IF($D167="","",IF($M167="Excused","No",IF(AND($G167="PT Modified",$L167="Received"),"No","Yes")))</f>
        <v/>
      </c>
      <c r="O167" s="16" t="n"/>
      <c r="P167" s="17">
        <f>IF(OR($B167="",N($I167)=0),"",MIN(N($I167),SUMIFS(nrMK_Min,nrMK_Link,$B167,nrMK_Credit,"Yes",nrMK_PID,$E167,nrMK_Type,"Classroom")))</f>
        <v/>
      </c>
      <c r="Q167" s="17">
        <f>IF(OR($B167="",N($J167)=0),"",MIN(N($J167),SUMIFS(nrMK_Sess,nrMK_Link,$B167,nrMK_Credit,"Yes",nrMK_PID,$E167,nrMK_Type,"PT")))</f>
        <v/>
      </c>
      <c r="R167" s="17">
        <f>IF(OR($B167="",$N167&lt;&gt;"Yes"),"",IF($K167="Yes",IF(N($J167)&gt;0,N($J167)-N($Q167),""),IF(N($I167)&gt;0,N($I167)-N($P167),"")))</f>
        <v/>
      </c>
      <c r="S167" s="17">
        <f>IF(OR($B167="",$R167=""),"",IF($R167&lt;=0,IF(IFERROR(_xlfn.MAXIFS(nrMK_Date,nrMK_Link,$B167,nrMK_Credit,"Yes",nrMK_PID,$E167),0)=0,"CLEARED (makeup date missing)","CLEARED "&amp;TEXT(_xlfn.MAXIFS(nrMK_Date,nrMK_Link,$B167,nrMK_Credit,"Yes",nrMK_PID,$E167),"mm/dd")),"OPEN"))</f>
        <v/>
      </c>
      <c r="T167" s="17">
        <f>IF($D167="","",IF($C167="","NO DATE",IF($G167="","NO EVENT TYPE",IF(AND($I167&lt;&gt;"",NOT(ISNUMBER($I167))),"MINUTES NOT A NUMBER",IF(AND($J167&lt;&gt;"",NOT(ISNUMBER($J167))),"SESSIONS NOT A NUMBER",IF(OR(N($I167)&lt;0,N($J167)&lt;0),"NEGATIVE MINUTES/SESSIONS",IF(AND($K167="Yes",N($I167)&gt;0),"MINUTES ON A PT EVENT - not counted (PT counts sessions)",IF(AND($K167="No",N($J167)&gt;0),"SESSIONS ON A CLASSROOM EVENT - not counted (classroom counts minutes)",IF(AND($N167="Yes",$K167="Yes",N($J167)=0),"COUNTED PT EVENT WITH NO SESSIONS - dropped from the PT cap",IF(AND($N167="Yes",$K167="No",N($I167)=0),"COUNTED EVENT WITH NO MINUTES - dropped from the classroom cap","OK"))))))))))</f>
        <v/>
      </c>
    </row>
    <row r="168">
      <c r="B168" s="17">
        <f>IF($D168="","","A"&amp;TEXT(ROW()-5,"000"))</f>
        <v/>
      </c>
      <c r="C168" s="18" t="n"/>
      <c r="D168" s="16" t="n"/>
      <c r="E168" s="17">
        <f>IF($D168="","",IFERROR(INDEX(rngCadetPIDs,MATCH($D168,rngCadetNames,0)),"?"))</f>
        <v/>
      </c>
      <c r="F168" s="17">
        <f>IF($E168="","",IFERROR(INDEX(nrCadetAgency,MATCH($E168,rngCadetPIDs,0)),""))</f>
        <v/>
      </c>
      <c r="G168" s="16" t="n"/>
      <c r="H168" s="16" t="n"/>
      <c r="I168" s="16" t="n"/>
      <c r="J168" s="16" t="n"/>
      <c r="K168" s="17">
        <f>IF($G168="","",IF(OR($G168="PT Missed",$G168="PT Modified",$G168="PT Refused"),"Yes","No"))</f>
        <v/>
      </c>
      <c r="L168" s="16" t="n"/>
      <c r="M168" s="16" t="n"/>
      <c r="N168" s="17">
        <f>IF($D168="","",IF($M168="Excused","No",IF(AND($G168="PT Modified",$L168="Received"),"No","Yes")))</f>
        <v/>
      </c>
      <c r="O168" s="16" t="n"/>
      <c r="P168" s="17">
        <f>IF(OR($B168="",N($I168)=0),"",MIN(N($I168),SUMIFS(nrMK_Min,nrMK_Link,$B168,nrMK_Credit,"Yes",nrMK_PID,$E168,nrMK_Type,"Classroom")))</f>
        <v/>
      </c>
      <c r="Q168" s="17">
        <f>IF(OR($B168="",N($J168)=0),"",MIN(N($J168),SUMIFS(nrMK_Sess,nrMK_Link,$B168,nrMK_Credit,"Yes",nrMK_PID,$E168,nrMK_Type,"PT")))</f>
        <v/>
      </c>
      <c r="R168" s="17">
        <f>IF(OR($B168="",$N168&lt;&gt;"Yes"),"",IF($K168="Yes",IF(N($J168)&gt;0,N($J168)-N($Q168),""),IF(N($I168)&gt;0,N($I168)-N($P168),"")))</f>
        <v/>
      </c>
      <c r="S168" s="17">
        <f>IF(OR($B168="",$R168=""),"",IF($R168&lt;=0,IF(IFERROR(_xlfn.MAXIFS(nrMK_Date,nrMK_Link,$B168,nrMK_Credit,"Yes",nrMK_PID,$E168),0)=0,"CLEARED (makeup date missing)","CLEARED "&amp;TEXT(_xlfn.MAXIFS(nrMK_Date,nrMK_Link,$B168,nrMK_Credit,"Yes",nrMK_PID,$E168),"mm/dd")),"OPEN"))</f>
        <v/>
      </c>
      <c r="T168" s="17">
        <f>IF($D168="","",IF($C168="","NO DATE",IF($G168="","NO EVENT TYPE",IF(AND($I168&lt;&gt;"",NOT(ISNUMBER($I168))),"MINUTES NOT A NUMBER",IF(AND($J168&lt;&gt;"",NOT(ISNUMBER($J168))),"SESSIONS NOT A NUMBER",IF(OR(N($I168)&lt;0,N($J168)&lt;0),"NEGATIVE MINUTES/SESSIONS",IF(AND($K168="Yes",N($I168)&gt;0),"MINUTES ON A PT EVENT - not counted (PT counts sessions)",IF(AND($K168="No",N($J168)&gt;0),"SESSIONS ON A CLASSROOM EVENT - not counted (classroom counts minutes)",IF(AND($N168="Yes",$K168="Yes",N($J168)=0),"COUNTED PT EVENT WITH NO SESSIONS - dropped from the PT cap",IF(AND($N168="Yes",$K168="No",N($I168)=0),"COUNTED EVENT WITH NO MINUTES - dropped from the classroom cap","OK"))))))))))</f>
        <v/>
      </c>
    </row>
    <row r="169">
      <c r="B169" s="17">
        <f>IF($D169="","","A"&amp;TEXT(ROW()-5,"000"))</f>
        <v/>
      </c>
      <c r="C169" s="18" t="n"/>
      <c r="D169" s="16" t="n"/>
      <c r="E169" s="17">
        <f>IF($D169="","",IFERROR(INDEX(rngCadetPIDs,MATCH($D169,rngCadetNames,0)),"?"))</f>
        <v/>
      </c>
      <c r="F169" s="17">
        <f>IF($E169="","",IFERROR(INDEX(nrCadetAgency,MATCH($E169,rngCadetPIDs,0)),""))</f>
        <v/>
      </c>
      <c r="G169" s="16" t="n"/>
      <c r="H169" s="16" t="n"/>
      <c r="I169" s="16" t="n"/>
      <c r="J169" s="16" t="n"/>
      <c r="K169" s="17">
        <f>IF($G169="","",IF(OR($G169="PT Missed",$G169="PT Modified",$G169="PT Refused"),"Yes","No"))</f>
        <v/>
      </c>
      <c r="L169" s="16" t="n"/>
      <c r="M169" s="16" t="n"/>
      <c r="N169" s="17">
        <f>IF($D169="","",IF($M169="Excused","No",IF(AND($G169="PT Modified",$L169="Received"),"No","Yes")))</f>
        <v/>
      </c>
      <c r="O169" s="16" t="n"/>
      <c r="P169" s="17">
        <f>IF(OR($B169="",N($I169)=0),"",MIN(N($I169),SUMIFS(nrMK_Min,nrMK_Link,$B169,nrMK_Credit,"Yes",nrMK_PID,$E169,nrMK_Type,"Classroom")))</f>
        <v/>
      </c>
      <c r="Q169" s="17">
        <f>IF(OR($B169="",N($J169)=0),"",MIN(N($J169),SUMIFS(nrMK_Sess,nrMK_Link,$B169,nrMK_Credit,"Yes",nrMK_PID,$E169,nrMK_Type,"PT")))</f>
        <v/>
      </c>
      <c r="R169" s="17">
        <f>IF(OR($B169="",$N169&lt;&gt;"Yes"),"",IF($K169="Yes",IF(N($J169)&gt;0,N($J169)-N($Q169),""),IF(N($I169)&gt;0,N($I169)-N($P169),"")))</f>
        <v/>
      </c>
      <c r="S169" s="17">
        <f>IF(OR($B169="",$R169=""),"",IF($R169&lt;=0,IF(IFERROR(_xlfn.MAXIFS(nrMK_Date,nrMK_Link,$B169,nrMK_Credit,"Yes",nrMK_PID,$E169),0)=0,"CLEARED (makeup date missing)","CLEARED "&amp;TEXT(_xlfn.MAXIFS(nrMK_Date,nrMK_Link,$B169,nrMK_Credit,"Yes",nrMK_PID,$E169),"mm/dd")),"OPEN"))</f>
        <v/>
      </c>
      <c r="T169" s="17">
        <f>IF($D169="","",IF($C169="","NO DATE",IF($G169="","NO EVENT TYPE",IF(AND($I169&lt;&gt;"",NOT(ISNUMBER($I169))),"MINUTES NOT A NUMBER",IF(AND($J169&lt;&gt;"",NOT(ISNUMBER($J169))),"SESSIONS NOT A NUMBER",IF(OR(N($I169)&lt;0,N($J169)&lt;0),"NEGATIVE MINUTES/SESSIONS",IF(AND($K169="Yes",N($I169)&gt;0),"MINUTES ON A PT EVENT - not counted (PT counts sessions)",IF(AND($K169="No",N($J169)&gt;0),"SESSIONS ON A CLASSROOM EVENT - not counted (classroom counts minutes)",IF(AND($N169="Yes",$K169="Yes",N($J169)=0),"COUNTED PT EVENT WITH NO SESSIONS - dropped from the PT cap",IF(AND($N169="Yes",$K169="No",N($I169)=0),"COUNTED EVENT WITH NO MINUTES - dropped from the classroom cap","OK"))))))))))</f>
        <v/>
      </c>
    </row>
    <row r="170">
      <c r="B170" s="17">
        <f>IF($D170="","","A"&amp;TEXT(ROW()-5,"000"))</f>
        <v/>
      </c>
      <c r="C170" s="18" t="n"/>
      <c r="D170" s="16" t="n"/>
      <c r="E170" s="17">
        <f>IF($D170="","",IFERROR(INDEX(rngCadetPIDs,MATCH($D170,rngCadetNames,0)),"?"))</f>
        <v/>
      </c>
      <c r="F170" s="17">
        <f>IF($E170="","",IFERROR(INDEX(nrCadetAgency,MATCH($E170,rngCadetPIDs,0)),""))</f>
        <v/>
      </c>
      <c r="G170" s="16" t="n"/>
      <c r="H170" s="16" t="n"/>
      <c r="I170" s="16" t="n"/>
      <c r="J170" s="16" t="n"/>
      <c r="K170" s="17">
        <f>IF($G170="","",IF(OR($G170="PT Missed",$G170="PT Modified",$G170="PT Refused"),"Yes","No"))</f>
        <v/>
      </c>
      <c r="L170" s="16" t="n"/>
      <c r="M170" s="16" t="n"/>
      <c r="N170" s="17">
        <f>IF($D170="","",IF($M170="Excused","No",IF(AND($G170="PT Modified",$L170="Received"),"No","Yes")))</f>
        <v/>
      </c>
      <c r="O170" s="16" t="n"/>
      <c r="P170" s="17">
        <f>IF(OR($B170="",N($I170)=0),"",MIN(N($I170),SUMIFS(nrMK_Min,nrMK_Link,$B170,nrMK_Credit,"Yes",nrMK_PID,$E170,nrMK_Type,"Classroom")))</f>
        <v/>
      </c>
      <c r="Q170" s="17">
        <f>IF(OR($B170="",N($J170)=0),"",MIN(N($J170),SUMIFS(nrMK_Sess,nrMK_Link,$B170,nrMK_Credit,"Yes",nrMK_PID,$E170,nrMK_Type,"PT")))</f>
        <v/>
      </c>
      <c r="R170" s="17">
        <f>IF(OR($B170="",$N170&lt;&gt;"Yes"),"",IF($K170="Yes",IF(N($J170)&gt;0,N($J170)-N($Q170),""),IF(N($I170)&gt;0,N($I170)-N($P170),"")))</f>
        <v/>
      </c>
      <c r="S170" s="17">
        <f>IF(OR($B170="",$R170=""),"",IF($R170&lt;=0,IF(IFERROR(_xlfn.MAXIFS(nrMK_Date,nrMK_Link,$B170,nrMK_Credit,"Yes",nrMK_PID,$E170),0)=0,"CLEARED (makeup date missing)","CLEARED "&amp;TEXT(_xlfn.MAXIFS(nrMK_Date,nrMK_Link,$B170,nrMK_Credit,"Yes",nrMK_PID,$E170),"mm/dd")),"OPEN"))</f>
        <v/>
      </c>
      <c r="T170" s="17">
        <f>IF($D170="","",IF($C170="","NO DATE",IF($G170="","NO EVENT TYPE",IF(AND($I170&lt;&gt;"",NOT(ISNUMBER($I170))),"MINUTES NOT A NUMBER",IF(AND($J170&lt;&gt;"",NOT(ISNUMBER($J170))),"SESSIONS NOT A NUMBER",IF(OR(N($I170)&lt;0,N($J170)&lt;0),"NEGATIVE MINUTES/SESSIONS",IF(AND($K170="Yes",N($I170)&gt;0),"MINUTES ON A PT EVENT - not counted (PT counts sessions)",IF(AND($K170="No",N($J170)&gt;0),"SESSIONS ON A CLASSROOM EVENT - not counted (classroom counts minutes)",IF(AND($N170="Yes",$K170="Yes",N($J170)=0),"COUNTED PT EVENT WITH NO SESSIONS - dropped from the PT cap",IF(AND($N170="Yes",$K170="No",N($I170)=0),"COUNTED EVENT WITH NO MINUTES - dropped from the classroom cap","OK"))))))))))</f>
        <v/>
      </c>
    </row>
    <row r="171">
      <c r="B171" s="17">
        <f>IF($D171="","","A"&amp;TEXT(ROW()-5,"000"))</f>
        <v/>
      </c>
      <c r="C171" s="18" t="n"/>
      <c r="D171" s="16" t="n"/>
      <c r="E171" s="17">
        <f>IF($D171="","",IFERROR(INDEX(rngCadetPIDs,MATCH($D171,rngCadetNames,0)),"?"))</f>
        <v/>
      </c>
      <c r="F171" s="17">
        <f>IF($E171="","",IFERROR(INDEX(nrCadetAgency,MATCH($E171,rngCadetPIDs,0)),""))</f>
        <v/>
      </c>
      <c r="G171" s="16" t="n"/>
      <c r="H171" s="16" t="n"/>
      <c r="I171" s="16" t="n"/>
      <c r="J171" s="16" t="n"/>
      <c r="K171" s="17">
        <f>IF($G171="","",IF(OR($G171="PT Missed",$G171="PT Modified",$G171="PT Refused"),"Yes","No"))</f>
        <v/>
      </c>
      <c r="L171" s="16" t="n"/>
      <c r="M171" s="16" t="n"/>
      <c r="N171" s="17">
        <f>IF($D171="","",IF($M171="Excused","No",IF(AND($G171="PT Modified",$L171="Received"),"No","Yes")))</f>
        <v/>
      </c>
      <c r="O171" s="16" t="n"/>
      <c r="P171" s="17">
        <f>IF(OR($B171="",N($I171)=0),"",MIN(N($I171),SUMIFS(nrMK_Min,nrMK_Link,$B171,nrMK_Credit,"Yes",nrMK_PID,$E171,nrMK_Type,"Classroom")))</f>
        <v/>
      </c>
      <c r="Q171" s="17">
        <f>IF(OR($B171="",N($J171)=0),"",MIN(N($J171),SUMIFS(nrMK_Sess,nrMK_Link,$B171,nrMK_Credit,"Yes",nrMK_PID,$E171,nrMK_Type,"PT")))</f>
        <v/>
      </c>
      <c r="R171" s="17">
        <f>IF(OR($B171="",$N171&lt;&gt;"Yes"),"",IF($K171="Yes",IF(N($J171)&gt;0,N($J171)-N($Q171),""),IF(N($I171)&gt;0,N($I171)-N($P171),"")))</f>
        <v/>
      </c>
      <c r="S171" s="17">
        <f>IF(OR($B171="",$R171=""),"",IF($R171&lt;=0,IF(IFERROR(_xlfn.MAXIFS(nrMK_Date,nrMK_Link,$B171,nrMK_Credit,"Yes",nrMK_PID,$E171),0)=0,"CLEARED (makeup date missing)","CLEARED "&amp;TEXT(_xlfn.MAXIFS(nrMK_Date,nrMK_Link,$B171,nrMK_Credit,"Yes",nrMK_PID,$E171),"mm/dd")),"OPEN"))</f>
        <v/>
      </c>
      <c r="T171" s="17">
        <f>IF($D171="","",IF($C171="","NO DATE",IF($G171="","NO EVENT TYPE",IF(AND($I171&lt;&gt;"",NOT(ISNUMBER($I171))),"MINUTES NOT A NUMBER",IF(AND($J171&lt;&gt;"",NOT(ISNUMBER($J171))),"SESSIONS NOT A NUMBER",IF(OR(N($I171)&lt;0,N($J171)&lt;0),"NEGATIVE MINUTES/SESSIONS",IF(AND($K171="Yes",N($I171)&gt;0),"MINUTES ON A PT EVENT - not counted (PT counts sessions)",IF(AND($K171="No",N($J171)&gt;0),"SESSIONS ON A CLASSROOM EVENT - not counted (classroom counts minutes)",IF(AND($N171="Yes",$K171="Yes",N($J171)=0),"COUNTED PT EVENT WITH NO SESSIONS - dropped from the PT cap",IF(AND($N171="Yes",$K171="No",N($I171)=0),"COUNTED EVENT WITH NO MINUTES - dropped from the classroom cap","OK"))))))))))</f>
        <v/>
      </c>
    </row>
    <row r="172">
      <c r="B172" s="17">
        <f>IF($D172="","","A"&amp;TEXT(ROW()-5,"000"))</f>
        <v/>
      </c>
      <c r="C172" s="18" t="n"/>
      <c r="D172" s="16" t="n"/>
      <c r="E172" s="17">
        <f>IF($D172="","",IFERROR(INDEX(rngCadetPIDs,MATCH($D172,rngCadetNames,0)),"?"))</f>
        <v/>
      </c>
      <c r="F172" s="17">
        <f>IF($E172="","",IFERROR(INDEX(nrCadetAgency,MATCH($E172,rngCadetPIDs,0)),""))</f>
        <v/>
      </c>
      <c r="G172" s="16" t="n"/>
      <c r="H172" s="16" t="n"/>
      <c r="I172" s="16" t="n"/>
      <c r="J172" s="16" t="n"/>
      <c r="K172" s="17">
        <f>IF($G172="","",IF(OR($G172="PT Missed",$G172="PT Modified",$G172="PT Refused"),"Yes","No"))</f>
        <v/>
      </c>
      <c r="L172" s="16" t="n"/>
      <c r="M172" s="16" t="n"/>
      <c r="N172" s="17">
        <f>IF($D172="","",IF($M172="Excused","No",IF(AND($G172="PT Modified",$L172="Received"),"No","Yes")))</f>
        <v/>
      </c>
      <c r="O172" s="16" t="n"/>
      <c r="P172" s="17">
        <f>IF(OR($B172="",N($I172)=0),"",MIN(N($I172),SUMIFS(nrMK_Min,nrMK_Link,$B172,nrMK_Credit,"Yes",nrMK_PID,$E172,nrMK_Type,"Classroom")))</f>
        <v/>
      </c>
      <c r="Q172" s="17">
        <f>IF(OR($B172="",N($J172)=0),"",MIN(N($J172),SUMIFS(nrMK_Sess,nrMK_Link,$B172,nrMK_Credit,"Yes",nrMK_PID,$E172,nrMK_Type,"PT")))</f>
        <v/>
      </c>
      <c r="R172" s="17">
        <f>IF(OR($B172="",$N172&lt;&gt;"Yes"),"",IF($K172="Yes",IF(N($J172)&gt;0,N($J172)-N($Q172),""),IF(N($I172)&gt;0,N($I172)-N($P172),"")))</f>
        <v/>
      </c>
      <c r="S172" s="17">
        <f>IF(OR($B172="",$R172=""),"",IF($R172&lt;=0,IF(IFERROR(_xlfn.MAXIFS(nrMK_Date,nrMK_Link,$B172,nrMK_Credit,"Yes",nrMK_PID,$E172),0)=0,"CLEARED (makeup date missing)","CLEARED "&amp;TEXT(_xlfn.MAXIFS(nrMK_Date,nrMK_Link,$B172,nrMK_Credit,"Yes",nrMK_PID,$E172),"mm/dd")),"OPEN"))</f>
        <v/>
      </c>
      <c r="T172" s="17">
        <f>IF($D172="","",IF($C172="","NO DATE",IF($G172="","NO EVENT TYPE",IF(AND($I172&lt;&gt;"",NOT(ISNUMBER($I172))),"MINUTES NOT A NUMBER",IF(AND($J172&lt;&gt;"",NOT(ISNUMBER($J172))),"SESSIONS NOT A NUMBER",IF(OR(N($I172)&lt;0,N($J172)&lt;0),"NEGATIVE MINUTES/SESSIONS",IF(AND($K172="Yes",N($I172)&gt;0),"MINUTES ON A PT EVENT - not counted (PT counts sessions)",IF(AND($K172="No",N($J172)&gt;0),"SESSIONS ON A CLASSROOM EVENT - not counted (classroom counts minutes)",IF(AND($N172="Yes",$K172="Yes",N($J172)=0),"COUNTED PT EVENT WITH NO SESSIONS - dropped from the PT cap",IF(AND($N172="Yes",$K172="No",N($I172)=0),"COUNTED EVENT WITH NO MINUTES - dropped from the classroom cap","OK"))))))))))</f>
        <v/>
      </c>
    </row>
    <row r="173">
      <c r="B173" s="17">
        <f>IF($D173="","","A"&amp;TEXT(ROW()-5,"000"))</f>
        <v/>
      </c>
      <c r="C173" s="18" t="n"/>
      <c r="D173" s="16" t="n"/>
      <c r="E173" s="17">
        <f>IF($D173="","",IFERROR(INDEX(rngCadetPIDs,MATCH($D173,rngCadetNames,0)),"?"))</f>
        <v/>
      </c>
      <c r="F173" s="17">
        <f>IF($E173="","",IFERROR(INDEX(nrCadetAgency,MATCH($E173,rngCadetPIDs,0)),""))</f>
        <v/>
      </c>
      <c r="G173" s="16" t="n"/>
      <c r="H173" s="16" t="n"/>
      <c r="I173" s="16" t="n"/>
      <c r="J173" s="16" t="n"/>
      <c r="K173" s="17">
        <f>IF($G173="","",IF(OR($G173="PT Missed",$G173="PT Modified",$G173="PT Refused"),"Yes","No"))</f>
        <v/>
      </c>
      <c r="L173" s="16" t="n"/>
      <c r="M173" s="16" t="n"/>
      <c r="N173" s="17">
        <f>IF($D173="","",IF($M173="Excused","No",IF(AND($G173="PT Modified",$L173="Received"),"No","Yes")))</f>
        <v/>
      </c>
      <c r="O173" s="16" t="n"/>
      <c r="P173" s="17">
        <f>IF(OR($B173="",N($I173)=0),"",MIN(N($I173),SUMIFS(nrMK_Min,nrMK_Link,$B173,nrMK_Credit,"Yes",nrMK_PID,$E173,nrMK_Type,"Classroom")))</f>
        <v/>
      </c>
      <c r="Q173" s="17">
        <f>IF(OR($B173="",N($J173)=0),"",MIN(N($J173),SUMIFS(nrMK_Sess,nrMK_Link,$B173,nrMK_Credit,"Yes",nrMK_PID,$E173,nrMK_Type,"PT")))</f>
        <v/>
      </c>
      <c r="R173" s="17">
        <f>IF(OR($B173="",$N173&lt;&gt;"Yes"),"",IF($K173="Yes",IF(N($J173)&gt;0,N($J173)-N($Q173),""),IF(N($I173)&gt;0,N($I173)-N($P173),"")))</f>
        <v/>
      </c>
      <c r="S173" s="17">
        <f>IF(OR($B173="",$R173=""),"",IF($R173&lt;=0,IF(IFERROR(_xlfn.MAXIFS(nrMK_Date,nrMK_Link,$B173,nrMK_Credit,"Yes",nrMK_PID,$E173),0)=0,"CLEARED (makeup date missing)","CLEARED "&amp;TEXT(_xlfn.MAXIFS(nrMK_Date,nrMK_Link,$B173,nrMK_Credit,"Yes",nrMK_PID,$E173),"mm/dd")),"OPEN"))</f>
        <v/>
      </c>
      <c r="T173" s="17">
        <f>IF($D173="","",IF($C173="","NO DATE",IF($G173="","NO EVENT TYPE",IF(AND($I173&lt;&gt;"",NOT(ISNUMBER($I173))),"MINUTES NOT A NUMBER",IF(AND($J173&lt;&gt;"",NOT(ISNUMBER($J173))),"SESSIONS NOT A NUMBER",IF(OR(N($I173)&lt;0,N($J173)&lt;0),"NEGATIVE MINUTES/SESSIONS",IF(AND($K173="Yes",N($I173)&gt;0),"MINUTES ON A PT EVENT - not counted (PT counts sessions)",IF(AND($K173="No",N($J173)&gt;0),"SESSIONS ON A CLASSROOM EVENT - not counted (classroom counts minutes)",IF(AND($N173="Yes",$K173="Yes",N($J173)=0),"COUNTED PT EVENT WITH NO SESSIONS - dropped from the PT cap",IF(AND($N173="Yes",$K173="No",N($I173)=0),"COUNTED EVENT WITH NO MINUTES - dropped from the classroom cap","OK"))))))))))</f>
        <v/>
      </c>
    </row>
    <row r="174">
      <c r="B174" s="17">
        <f>IF($D174="","","A"&amp;TEXT(ROW()-5,"000"))</f>
        <v/>
      </c>
      <c r="C174" s="18" t="n"/>
      <c r="D174" s="16" t="n"/>
      <c r="E174" s="17">
        <f>IF($D174="","",IFERROR(INDEX(rngCadetPIDs,MATCH($D174,rngCadetNames,0)),"?"))</f>
        <v/>
      </c>
      <c r="F174" s="17">
        <f>IF($E174="","",IFERROR(INDEX(nrCadetAgency,MATCH($E174,rngCadetPIDs,0)),""))</f>
        <v/>
      </c>
      <c r="G174" s="16" t="n"/>
      <c r="H174" s="16" t="n"/>
      <c r="I174" s="16" t="n"/>
      <c r="J174" s="16" t="n"/>
      <c r="K174" s="17">
        <f>IF($G174="","",IF(OR($G174="PT Missed",$G174="PT Modified",$G174="PT Refused"),"Yes","No"))</f>
        <v/>
      </c>
      <c r="L174" s="16" t="n"/>
      <c r="M174" s="16" t="n"/>
      <c r="N174" s="17">
        <f>IF($D174="","",IF($M174="Excused","No",IF(AND($G174="PT Modified",$L174="Received"),"No","Yes")))</f>
        <v/>
      </c>
      <c r="O174" s="16" t="n"/>
      <c r="P174" s="17">
        <f>IF(OR($B174="",N($I174)=0),"",MIN(N($I174),SUMIFS(nrMK_Min,nrMK_Link,$B174,nrMK_Credit,"Yes",nrMK_PID,$E174,nrMK_Type,"Classroom")))</f>
        <v/>
      </c>
      <c r="Q174" s="17">
        <f>IF(OR($B174="",N($J174)=0),"",MIN(N($J174),SUMIFS(nrMK_Sess,nrMK_Link,$B174,nrMK_Credit,"Yes",nrMK_PID,$E174,nrMK_Type,"PT")))</f>
        <v/>
      </c>
      <c r="R174" s="17">
        <f>IF(OR($B174="",$N174&lt;&gt;"Yes"),"",IF($K174="Yes",IF(N($J174)&gt;0,N($J174)-N($Q174),""),IF(N($I174)&gt;0,N($I174)-N($P174),"")))</f>
        <v/>
      </c>
      <c r="S174" s="17">
        <f>IF(OR($B174="",$R174=""),"",IF($R174&lt;=0,IF(IFERROR(_xlfn.MAXIFS(nrMK_Date,nrMK_Link,$B174,nrMK_Credit,"Yes",nrMK_PID,$E174),0)=0,"CLEARED (makeup date missing)","CLEARED "&amp;TEXT(_xlfn.MAXIFS(nrMK_Date,nrMK_Link,$B174,nrMK_Credit,"Yes",nrMK_PID,$E174),"mm/dd")),"OPEN"))</f>
        <v/>
      </c>
      <c r="T174" s="17">
        <f>IF($D174="","",IF($C174="","NO DATE",IF($G174="","NO EVENT TYPE",IF(AND($I174&lt;&gt;"",NOT(ISNUMBER($I174))),"MINUTES NOT A NUMBER",IF(AND($J174&lt;&gt;"",NOT(ISNUMBER($J174))),"SESSIONS NOT A NUMBER",IF(OR(N($I174)&lt;0,N($J174)&lt;0),"NEGATIVE MINUTES/SESSIONS",IF(AND($K174="Yes",N($I174)&gt;0),"MINUTES ON A PT EVENT - not counted (PT counts sessions)",IF(AND($K174="No",N($J174)&gt;0),"SESSIONS ON A CLASSROOM EVENT - not counted (classroom counts minutes)",IF(AND($N174="Yes",$K174="Yes",N($J174)=0),"COUNTED PT EVENT WITH NO SESSIONS - dropped from the PT cap",IF(AND($N174="Yes",$K174="No",N($I174)=0),"COUNTED EVENT WITH NO MINUTES - dropped from the classroom cap","OK"))))))))))</f>
        <v/>
      </c>
    </row>
    <row r="175">
      <c r="B175" s="17">
        <f>IF($D175="","","A"&amp;TEXT(ROW()-5,"000"))</f>
        <v/>
      </c>
      <c r="C175" s="18" t="n"/>
      <c r="D175" s="16" t="n"/>
      <c r="E175" s="17">
        <f>IF($D175="","",IFERROR(INDEX(rngCadetPIDs,MATCH($D175,rngCadetNames,0)),"?"))</f>
        <v/>
      </c>
      <c r="F175" s="17">
        <f>IF($E175="","",IFERROR(INDEX(nrCadetAgency,MATCH($E175,rngCadetPIDs,0)),""))</f>
        <v/>
      </c>
      <c r="G175" s="16" t="n"/>
      <c r="H175" s="16" t="n"/>
      <c r="I175" s="16" t="n"/>
      <c r="J175" s="16" t="n"/>
      <c r="K175" s="17">
        <f>IF($G175="","",IF(OR($G175="PT Missed",$G175="PT Modified",$G175="PT Refused"),"Yes","No"))</f>
        <v/>
      </c>
      <c r="L175" s="16" t="n"/>
      <c r="M175" s="16" t="n"/>
      <c r="N175" s="17">
        <f>IF($D175="","",IF($M175="Excused","No",IF(AND($G175="PT Modified",$L175="Received"),"No","Yes")))</f>
        <v/>
      </c>
      <c r="O175" s="16" t="n"/>
      <c r="P175" s="17">
        <f>IF(OR($B175="",N($I175)=0),"",MIN(N($I175),SUMIFS(nrMK_Min,nrMK_Link,$B175,nrMK_Credit,"Yes",nrMK_PID,$E175,nrMK_Type,"Classroom")))</f>
        <v/>
      </c>
      <c r="Q175" s="17">
        <f>IF(OR($B175="",N($J175)=0),"",MIN(N($J175),SUMIFS(nrMK_Sess,nrMK_Link,$B175,nrMK_Credit,"Yes",nrMK_PID,$E175,nrMK_Type,"PT")))</f>
        <v/>
      </c>
      <c r="R175" s="17">
        <f>IF(OR($B175="",$N175&lt;&gt;"Yes"),"",IF($K175="Yes",IF(N($J175)&gt;0,N($J175)-N($Q175),""),IF(N($I175)&gt;0,N($I175)-N($P175),"")))</f>
        <v/>
      </c>
      <c r="S175" s="17">
        <f>IF(OR($B175="",$R175=""),"",IF($R175&lt;=0,IF(IFERROR(_xlfn.MAXIFS(nrMK_Date,nrMK_Link,$B175,nrMK_Credit,"Yes",nrMK_PID,$E175),0)=0,"CLEARED (makeup date missing)","CLEARED "&amp;TEXT(_xlfn.MAXIFS(nrMK_Date,nrMK_Link,$B175,nrMK_Credit,"Yes",nrMK_PID,$E175),"mm/dd")),"OPEN"))</f>
        <v/>
      </c>
      <c r="T175" s="17">
        <f>IF($D175="","",IF($C175="","NO DATE",IF($G175="","NO EVENT TYPE",IF(AND($I175&lt;&gt;"",NOT(ISNUMBER($I175))),"MINUTES NOT A NUMBER",IF(AND($J175&lt;&gt;"",NOT(ISNUMBER($J175))),"SESSIONS NOT A NUMBER",IF(OR(N($I175)&lt;0,N($J175)&lt;0),"NEGATIVE MINUTES/SESSIONS",IF(AND($K175="Yes",N($I175)&gt;0),"MINUTES ON A PT EVENT - not counted (PT counts sessions)",IF(AND($K175="No",N($J175)&gt;0),"SESSIONS ON A CLASSROOM EVENT - not counted (classroom counts minutes)",IF(AND($N175="Yes",$K175="Yes",N($J175)=0),"COUNTED PT EVENT WITH NO SESSIONS - dropped from the PT cap",IF(AND($N175="Yes",$K175="No",N($I175)=0),"COUNTED EVENT WITH NO MINUTES - dropped from the classroom cap","OK"))))))))))</f>
        <v/>
      </c>
    </row>
    <row r="176">
      <c r="B176" s="17">
        <f>IF($D176="","","A"&amp;TEXT(ROW()-5,"000"))</f>
        <v/>
      </c>
      <c r="C176" s="18" t="n"/>
      <c r="D176" s="16" t="n"/>
      <c r="E176" s="17">
        <f>IF($D176="","",IFERROR(INDEX(rngCadetPIDs,MATCH($D176,rngCadetNames,0)),"?"))</f>
        <v/>
      </c>
      <c r="F176" s="17">
        <f>IF($E176="","",IFERROR(INDEX(nrCadetAgency,MATCH($E176,rngCadetPIDs,0)),""))</f>
        <v/>
      </c>
      <c r="G176" s="16" t="n"/>
      <c r="H176" s="16" t="n"/>
      <c r="I176" s="16" t="n"/>
      <c r="J176" s="16" t="n"/>
      <c r="K176" s="17">
        <f>IF($G176="","",IF(OR($G176="PT Missed",$G176="PT Modified",$G176="PT Refused"),"Yes","No"))</f>
        <v/>
      </c>
      <c r="L176" s="16" t="n"/>
      <c r="M176" s="16" t="n"/>
      <c r="N176" s="17">
        <f>IF($D176="","",IF($M176="Excused","No",IF(AND($G176="PT Modified",$L176="Received"),"No","Yes")))</f>
        <v/>
      </c>
      <c r="O176" s="16" t="n"/>
      <c r="P176" s="17">
        <f>IF(OR($B176="",N($I176)=0),"",MIN(N($I176),SUMIFS(nrMK_Min,nrMK_Link,$B176,nrMK_Credit,"Yes",nrMK_PID,$E176,nrMK_Type,"Classroom")))</f>
        <v/>
      </c>
      <c r="Q176" s="17">
        <f>IF(OR($B176="",N($J176)=0),"",MIN(N($J176),SUMIFS(nrMK_Sess,nrMK_Link,$B176,nrMK_Credit,"Yes",nrMK_PID,$E176,nrMK_Type,"PT")))</f>
        <v/>
      </c>
      <c r="R176" s="17">
        <f>IF(OR($B176="",$N176&lt;&gt;"Yes"),"",IF($K176="Yes",IF(N($J176)&gt;0,N($J176)-N($Q176),""),IF(N($I176)&gt;0,N($I176)-N($P176),"")))</f>
        <v/>
      </c>
      <c r="S176" s="17">
        <f>IF(OR($B176="",$R176=""),"",IF($R176&lt;=0,IF(IFERROR(_xlfn.MAXIFS(nrMK_Date,nrMK_Link,$B176,nrMK_Credit,"Yes",nrMK_PID,$E176),0)=0,"CLEARED (makeup date missing)","CLEARED "&amp;TEXT(_xlfn.MAXIFS(nrMK_Date,nrMK_Link,$B176,nrMK_Credit,"Yes",nrMK_PID,$E176),"mm/dd")),"OPEN"))</f>
        <v/>
      </c>
      <c r="T176" s="17">
        <f>IF($D176="","",IF($C176="","NO DATE",IF($G176="","NO EVENT TYPE",IF(AND($I176&lt;&gt;"",NOT(ISNUMBER($I176))),"MINUTES NOT A NUMBER",IF(AND($J176&lt;&gt;"",NOT(ISNUMBER($J176))),"SESSIONS NOT A NUMBER",IF(OR(N($I176)&lt;0,N($J176)&lt;0),"NEGATIVE MINUTES/SESSIONS",IF(AND($K176="Yes",N($I176)&gt;0),"MINUTES ON A PT EVENT - not counted (PT counts sessions)",IF(AND($K176="No",N($J176)&gt;0),"SESSIONS ON A CLASSROOM EVENT - not counted (classroom counts minutes)",IF(AND($N176="Yes",$K176="Yes",N($J176)=0),"COUNTED PT EVENT WITH NO SESSIONS - dropped from the PT cap",IF(AND($N176="Yes",$K176="No",N($I176)=0),"COUNTED EVENT WITH NO MINUTES - dropped from the classroom cap","OK"))))))))))</f>
        <v/>
      </c>
    </row>
    <row r="177">
      <c r="B177" s="17">
        <f>IF($D177="","","A"&amp;TEXT(ROW()-5,"000"))</f>
        <v/>
      </c>
      <c r="C177" s="18" t="n"/>
      <c r="D177" s="16" t="n"/>
      <c r="E177" s="17">
        <f>IF($D177="","",IFERROR(INDEX(rngCadetPIDs,MATCH($D177,rngCadetNames,0)),"?"))</f>
        <v/>
      </c>
      <c r="F177" s="17">
        <f>IF($E177="","",IFERROR(INDEX(nrCadetAgency,MATCH($E177,rngCadetPIDs,0)),""))</f>
        <v/>
      </c>
      <c r="G177" s="16" t="n"/>
      <c r="H177" s="16" t="n"/>
      <c r="I177" s="16" t="n"/>
      <c r="J177" s="16" t="n"/>
      <c r="K177" s="17">
        <f>IF($G177="","",IF(OR($G177="PT Missed",$G177="PT Modified",$G177="PT Refused"),"Yes","No"))</f>
        <v/>
      </c>
      <c r="L177" s="16" t="n"/>
      <c r="M177" s="16" t="n"/>
      <c r="N177" s="17">
        <f>IF($D177="","",IF($M177="Excused","No",IF(AND($G177="PT Modified",$L177="Received"),"No","Yes")))</f>
        <v/>
      </c>
      <c r="O177" s="16" t="n"/>
      <c r="P177" s="17">
        <f>IF(OR($B177="",N($I177)=0),"",MIN(N($I177),SUMIFS(nrMK_Min,nrMK_Link,$B177,nrMK_Credit,"Yes",nrMK_PID,$E177,nrMK_Type,"Classroom")))</f>
        <v/>
      </c>
      <c r="Q177" s="17">
        <f>IF(OR($B177="",N($J177)=0),"",MIN(N($J177),SUMIFS(nrMK_Sess,nrMK_Link,$B177,nrMK_Credit,"Yes",nrMK_PID,$E177,nrMK_Type,"PT")))</f>
        <v/>
      </c>
      <c r="R177" s="17">
        <f>IF(OR($B177="",$N177&lt;&gt;"Yes"),"",IF($K177="Yes",IF(N($J177)&gt;0,N($J177)-N($Q177),""),IF(N($I177)&gt;0,N($I177)-N($P177),"")))</f>
        <v/>
      </c>
      <c r="S177" s="17">
        <f>IF(OR($B177="",$R177=""),"",IF($R177&lt;=0,IF(IFERROR(_xlfn.MAXIFS(nrMK_Date,nrMK_Link,$B177,nrMK_Credit,"Yes",nrMK_PID,$E177),0)=0,"CLEARED (makeup date missing)","CLEARED "&amp;TEXT(_xlfn.MAXIFS(nrMK_Date,nrMK_Link,$B177,nrMK_Credit,"Yes",nrMK_PID,$E177),"mm/dd")),"OPEN"))</f>
        <v/>
      </c>
      <c r="T177" s="17">
        <f>IF($D177="","",IF($C177="","NO DATE",IF($G177="","NO EVENT TYPE",IF(AND($I177&lt;&gt;"",NOT(ISNUMBER($I177))),"MINUTES NOT A NUMBER",IF(AND($J177&lt;&gt;"",NOT(ISNUMBER($J177))),"SESSIONS NOT A NUMBER",IF(OR(N($I177)&lt;0,N($J177)&lt;0),"NEGATIVE MINUTES/SESSIONS",IF(AND($K177="Yes",N($I177)&gt;0),"MINUTES ON A PT EVENT - not counted (PT counts sessions)",IF(AND($K177="No",N($J177)&gt;0),"SESSIONS ON A CLASSROOM EVENT - not counted (classroom counts minutes)",IF(AND($N177="Yes",$K177="Yes",N($J177)=0),"COUNTED PT EVENT WITH NO SESSIONS - dropped from the PT cap",IF(AND($N177="Yes",$K177="No",N($I177)=0),"COUNTED EVENT WITH NO MINUTES - dropped from the classroom cap","OK"))))))))))</f>
        <v/>
      </c>
    </row>
    <row r="178">
      <c r="B178" s="17">
        <f>IF($D178="","","A"&amp;TEXT(ROW()-5,"000"))</f>
        <v/>
      </c>
      <c r="C178" s="18" t="n"/>
      <c r="D178" s="16" t="n"/>
      <c r="E178" s="17">
        <f>IF($D178="","",IFERROR(INDEX(rngCadetPIDs,MATCH($D178,rngCadetNames,0)),"?"))</f>
        <v/>
      </c>
      <c r="F178" s="17">
        <f>IF($E178="","",IFERROR(INDEX(nrCadetAgency,MATCH($E178,rngCadetPIDs,0)),""))</f>
        <v/>
      </c>
      <c r="G178" s="16" t="n"/>
      <c r="H178" s="16" t="n"/>
      <c r="I178" s="16" t="n"/>
      <c r="J178" s="16" t="n"/>
      <c r="K178" s="17">
        <f>IF($G178="","",IF(OR($G178="PT Missed",$G178="PT Modified",$G178="PT Refused"),"Yes","No"))</f>
        <v/>
      </c>
      <c r="L178" s="16" t="n"/>
      <c r="M178" s="16" t="n"/>
      <c r="N178" s="17">
        <f>IF($D178="","",IF($M178="Excused","No",IF(AND($G178="PT Modified",$L178="Received"),"No","Yes")))</f>
        <v/>
      </c>
      <c r="O178" s="16" t="n"/>
      <c r="P178" s="17">
        <f>IF(OR($B178="",N($I178)=0),"",MIN(N($I178),SUMIFS(nrMK_Min,nrMK_Link,$B178,nrMK_Credit,"Yes",nrMK_PID,$E178,nrMK_Type,"Classroom")))</f>
        <v/>
      </c>
      <c r="Q178" s="17">
        <f>IF(OR($B178="",N($J178)=0),"",MIN(N($J178),SUMIFS(nrMK_Sess,nrMK_Link,$B178,nrMK_Credit,"Yes",nrMK_PID,$E178,nrMK_Type,"PT")))</f>
        <v/>
      </c>
      <c r="R178" s="17">
        <f>IF(OR($B178="",$N178&lt;&gt;"Yes"),"",IF($K178="Yes",IF(N($J178)&gt;0,N($J178)-N($Q178),""),IF(N($I178)&gt;0,N($I178)-N($P178),"")))</f>
        <v/>
      </c>
      <c r="S178" s="17">
        <f>IF(OR($B178="",$R178=""),"",IF($R178&lt;=0,IF(IFERROR(_xlfn.MAXIFS(nrMK_Date,nrMK_Link,$B178,nrMK_Credit,"Yes",nrMK_PID,$E178),0)=0,"CLEARED (makeup date missing)","CLEARED "&amp;TEXT(_xlfn.MAXIFS(nrMK_Date,nrMK_Link,$B178,nrMK_Credit,"Yes",nrMK_PID,$E178),"mm/dd")),"OPEN"))</f>
        <v/>
      </c>
      <c r="T178" s="17">
        <f>IF($D178="","",IF($C178="","NO DATE",IF($G178="","NO EVENT TYPE",IF(AND($I178&lt;&gt;"",NOT(ISNUMBER($I178))),"MINUTES NOT A NUMBER",IF(AND($J178&lt;&gt;"",NOT(ISNUMBER($J178))),"SESSIONS NOT A NUMBER",IF(OR(N($I178)&lt;0,N($J178)&lt;0),"NEGATIVE MINUTES/SESSIONS",IF(AND($K178="Yes",N($I178)&gt;0),"MINUTES ON A PT EVENT - not counted (PT counts sessions)",IF(AND($K178="No",N($J178)&gt;0),"SESSIONS ON A CLASSROOM EVENT - not counted (classroom counts minutes)",IF(AND($N178="Yes",$K178="Yes",N($J178)=0),"COUNTED PT EVENT WITH NO SESSIONS - dropped from the PT cap",IF(AND($N178="Yes",$K178="No",N($I178)=0),"COUNTED EVENT WITH NO MINUTES - dropped from the classroom cap","OK"))))))))))</f>
        <v/>
      </c>
    </row>
    <row r="179">
      <c r="B179" s="17">
        <f>IF($D179="","","A"&amp;TEXT(ROW()-5,"000"))</f>
        <v/>
      </c>
      <c r="C179" s="18" t="n"/>
      <c r="D179" s="16" t="n"/>
      <c r="E179" s="17">
        <f>IF($D179="","",IFERROR(INDEX(rngCadetPIDs,MATCH($D179,rngCadetNames,0)),"?"))</f>
        <v/>
      </c>
      <c r="F179" s="17">
        <f>IF($E179="","",IFERROR(INDEX(nrCadetAgency,MATCH($E179,rngCadetPIDs,0)),""))</f>
        <v/>
      </c>
      <c r="G179" s="16" t="n"/>
      <c r="H179" s="16" t="n"/>
      <c r="I179" s="16" t="n"/>
      <c r="J179" s="16" t="n"/>
      <c r="K179" s="17">
        <f>IF($G179="","",IF(OR($G179="PT Missed",$G179="PT Modified",$G179="PT Refused"),"Yes","No"))</f>
        <v/>
      </c>
      <c r="L179" s="16" t="n"/>
      <c r="M179" s="16" t="n"/>
      <c r="N179" s="17">
        <f>IF($D179="","",IF($M179="Excused","No",IF(AND($G179="PT Modified",$L179="Received"),"No","Yes")))</f>
        <v/>
      </c>
      <c r="O179" s="16" t="n"/>
      <c r="P179" s="17">
        <f>IF(OR($B179="",N($I179)=0),"",MIN(N($I179),SUMIFS(nrMK_Min,nrMK_Link,$B179,nrMK_Credit,"Yes",nrMK_PID,$E179,nrMK_Type,"Classroom")))</f>
        <v/>
      </c>
      <c r="Q179" s="17">
        <f>IF(OR($B179="",N($J179)=0),"",MIN(N($J179),SUMIFS(nrMK_Sess,nrMK_Link,$B179,nrMK_Credit,"Yes",nrMK_PID,$E179,nrMK_Type,"PT")))</f>
        <v/>
      </c>
      <c r="R179" s="17">
        <f>IF(OR($B179="",$N179&lt;&gt;"Yes"),"",IF($K179="Yes",IF(N($J179)&gt;0,N($J179)-N($Q179),""),IF(N($I179)&gt;0,N($I179)-N($P179),"")))</f>
        <v/>
      </c>
      <c r="S179" s="17">
        <f>IF(OR($B179="",$R179=""),"",IF($R179&lt;=0,IF(IFERROR(_xlfn.MAXIFS(nrMK_Date,nrMK_Link,$B179,nrMK_Credit,"Yes",nrMK_PID,$E179),0)=0,"CLEARED (makeup date missing)","CLEARED "&amp;TEXT(_xlfn.MAXIFS(nrMK_Date,nrMK_Link,$B179,nrMK_Credit,"Yes",nrMK_PID,$E179),"mm/dd")),"OPEN"))</f>
        <v/>
      </c>
      <c r="T179" s="17">
        <f>IF($D179="","",IF($C179="","NO DATE",IF($G179="","NO EVENT TYPE",IF(AND($I179&lt;&gt;"",NOT(ISNUMBER($I179))),"MINUTES NOT A NUMBER",IF(AND($J179&lt;&gt;"",NOT(ISNUMBER($J179))),"SESSIONS NOT A NUMBER",IF(OR(N($I179)&lt;0,N($J179)&lt;0),"NEGATIVE MINUTES/SESSIONS",IF(AND($K179="Yes",N($I179)&gt;0),"MINUTES ON A PT EVENT - not counted (PT counts sessions)",IF(AND($K179="No",N($J179)&gt;0),"SESSIONS ON A CLASSROOM EVENT - not counted (classroom counts minutes)",IF(AND($N179="Yes",$K179="Yes",N($J179)=0),"COUNTED PT EVENT WITH NO SESSIONS - dropped from the PT cap",IF(AND($N179="Yes",$K179="No",N($I179)=0),"COUNTED EVENT WITH NO MINUTES - dropped from the classroom cap","OK"))))))))))</f>
        <v/>
      </c>
    </row>
    <row r="180">
      <c r="B180" s="17">
        <f>IF($D180="","","A"&amp;TEXT(ROW()-5,"000"))</f>
        <v/>
      </c>
      <c r="C180" s="18" t="n"/>
      <c r="D180" s="16" t="n"/>
      <c r="E180" s="17">
        <f>IF($D180="","",IFERROR(INDEX(rngCadetPIDs,MATCH($D180,rngCadetNames,0)),"?"))</f>
        <v/>
      </c>
      <c r="F180" s="17">
        <f>IF($E180="","",IFERROR(INDEX(nrCadetAgency,MATCH($E180,rngCadetPIDs,0)),""))</f>
        <v/>
      </c>
      <c r="G180" s="16" t="n"/>
      <c r="H180" s="16" t="n"/>
      <c r="I180" s="16" t="n"/>
      <c r="J180" s="16" t="n"/>
      <c r="K180" s="17">
        <f>IF($G180="","",IF(OR($G180="PT Missed",$G180="PT Modified",$G180="PT Refused"),"Yes","No"))</f>
        <v/>
      </c>
      <c r="L180" s="16" t="n"/>
      <c r="M180" s="16" t="n"/>
      <c r="N180" s="17">
        <f>IF($D180="","",IF($M180="Excused","No",IF(AND($G180="PT Modified",$L180="Received"),"No","Yes")))</f>
        <v/>
      </c>
      <c r="O180" s="16" t="n"/>
      <c r="P180" s="17">
        <f>IF(OR($B180="",N($I180)=0),"",MIN(N($I180),SUMIFS(nrMK_Min,nrMK_Link,$B180,nrMK_Credit,"Yes",nrMK_PID,$E180,nrMK_Type,"Classroom")))</f>
        <v/>
      </c>
      <c r="Q180" s="17">
        <f>IF(OR($B180="",N($J180)=0),"",MIN(N($J180),SUMIFS(nrMK_Sess,nrMK_Link,$B180,nrMK_Credit,"Yes",nrMK_PID,$E180,nrMK_Type,"PT")))</f>
        <v/>
      </c>
      <c r="R180" s="17">
        <f>IF(OR($B180="",$N180&lt;&gt;"Yes"),"",IF($K180="Yes",IF(N($J180)&gt;0,N($J180)-N($Q180),""),IF(N($I180)&gt;0,N($I180)-N($P180),"")))</f>
        <v/>
      </c>
      <c r="S180" s="17">
        <f>IF(OR($B180="",$R180=""),"",IF($R180&lt;=0,IF(IFERROR(_xlfn.MAXIFS(nrMK_Date,nrMK_Link,$B180,nrMK_Credit,"Yes",nrMK_PID,$E180),0)=0,"CLEARED (makeup date missing)","CLEARED "&amp;TEXT(_xlfn.MAXIFS(nrMK_Date,nrMK_Link,$B180,nrMK_Credit,"Yes",nrMK_PID,$E180),"mm/dd")),"OPEN"))</f>
        <v/>
      </c>
      <c r="T180" s="17">
        <f>IF($D180="","",IF($C180="","NO DATE",IF($G180="","NO EVENT TYPE",IF(AND($I180&lt;&gt;"",NOT(ISNUMBER($I180))),"MINUTES NOT A NUMBER",IF(AND($J180&lt;&gt;"",NOT(ISNUMBER($J180))),"SESSIONS NOT A NUMBER",IF(OR(N($I180)&lt;0,N($J180)&lt;0),"NEGATIVE MINUTES/SESSIONS",IF(AND($K180="Yes",N($I180)&gt;0),"MINUTES ON A PT EVENT - not counted (PT counts sessions)",IF(AND($K180="No",N($J180)&gt;0),"SESSIONS ON A CLASSROOM EVENT - not counted (classroom counts minutes)",IF(AND($N180="Yes",$K180="Yes",N($J180)=0),"COUNTED PT EVENT WITH NO SESSIONS - dropped from the PT cap",IF(AND($N180="Yes",$K180="No",N($I180)=0),"COUNTED EVENT WITH NO MINUTES - dropped from the classroom cap","OK"))))))))))</f>
        <v/>
      </c>
    </row>
    <row r="181">
      <c r="B181" s="17">
        <f>IF($D181="","","A"&amp;TEXT(ROW()-5,"000"))</f>
        <v/>
      </c>
      <c r="C181" s="18" t="n"/>
      <c r="D181" s="16" t="n"/>
      <c r="E181" s="17">
        <f>IF($D181="","",IFERROR(INDEX(rngCadetPIDs,MATCH($D181,rngCadetNames,0)),"?"))</f>
        <v/>
      </c>
      <c r="F181" s="17">
        <f>IF($E181="","",IFERROR(INDEX(nrCadetAgency,MATCH($E181,rngCadetPIDs,0)),""))</f>
        <v/>
      </c>
      <c r="G181" s="16" t="n"/>
      <c r="H181" s="16" t="n"/>
      <c r="I181" s="16" t="n"/>
      <c r="J181" s="16" t="n"/>
      <c r="K181" s="17">
        <f>IF($G181="","",IF(OR($G181="PT Missed",$G181="PT Modified",$G181="PT Refused"),"Yes","No"))</f>
        <v/>
      </c>
      <c r="L181" s="16" t="n"/>
      <c r="M181" s="16" t="n"/>
      <c r="N181" s="17">
        <f>IF($D181="","",IF($M181="Excused","No",IF(AND($G181="PT Modified",$L181="Received"),"No","Yes")))</f>
        <v/>
      </c>
      <c r="O181" s="16" t="n"/>
      <c r="P181" s="17">
        <f>IF(OR($B181="",N($I181)=0),"",MIN(N($I181),SUMIFS(nrMK_Min,nrMK_Link,$B181,nrMK_Credit,"Yes",nrMK_PID,$E181,nrMK_Type,"Classroom")))</f>
        <v/>
      </c>
      <c r="Q181" s="17">
        <f>IF(OR($B181="",N($J181)=0),"",MIN(N($J181),SUMIFS(nrMK_Sess,nrMK_Link,$B181,nrMK_Credit,"Yes",nrMK_PID,$E181,nrMK_Type,"PT")))</f>
        <v/>
      </c>
      <c r="R181" s="17">
        <f>IF(OR($B181="",$N181&lt;&gt;"Yes"),"",IF($K181="Yes",IF(N($J181)&gt;0,N($J181)-N($Q181),""),IF(N($I181)&gt;0,N($I181)-N($P181),"")))</f>
        <v/>
      </c>
      <c r="S181" s="17">
        <f>IF(OR($B181="",$R181=""),"",IF($R181&lt;=0,IF(IFERROR(_xlfn.MAXIFS(nrMK_Date,nrMK_Link,$B181,nrMK_Credit,"Yes",nrMK_PID,$E181),0)=0,"CLEARED (makeup date missing)","CLEARED "&amp;TEXT(_xlfn.MAXIFS(nrMK_Date,nrMK_Link,$B181,nrMK_Credit,"Yes",nrMK_PID,$E181),"mm/dd")),"OPEN"))</f>
        <v/>
      </c>
      <c r="T181" s="17">
        <f>IF($D181="","",IF($C181="","NO DATE",IF($G181="","NO EVENT TYPE",IF(AND($I181&lt;&gt;"",NOT(ISNUMBER($I181))),"MINUTES NOT A NUMBER",IF(AND($J181&lt;&gt;"",NOT(ISNUMBER($J181))),"SESSIONS NOT A NUMBER",IF(OR(N($I181)&lt;0,N($J181)&lt;0),"NEGATIVE MINUTES/SESSIONS",IF(AND($K181="Yes",N($I181)&gt;0),"MINUTES ON A PT EVENT - not counted (PT counts sessions)",IF(AND($K181="No",N($J181)&gt;0),"SESSIONS ON A CLASSROOM EVENT - not counted (classroom counts minutes)",IF(AND($N181="Yes",$K181="Yes",N($J181)=0),"COUNTED PT EVENT WITH NO SESSIONS - dropped from the PT cap",IF(AND($N181="Yes",$K181="No",N($I181)=0),"COUNTED EVENT WITH NO MINUTES - dropped from the classroom cap","OK"))))))))))</f>
        <v/>
      </c>
    </row>
    <row r="182">
      <c r="B182" s="17">
        <f>IF($D182="","","A"&amp;TEXT(ROW()-5,"000"))</f>
        <v/>
      </c>
      <c r="C182" s="18" t="n"/>
      <c r="D182" s="16" t="n"/>
      <c r="E182" s="17">
        <f>IF($D182="","",IFERROR(INDEX(rngCadetPIDs,MATCH($D182,rngCadetNames,0)),"?"))</f>
        <v/>
      </c>
      <c r="F182" s="17">
        <f>IF($E182="","",IFERROR(INDEX(nrCadetAgency,MATCH($E182,rngCadetPIDs,0)),""))</f>
        <v/>
      </c>
      <c r="G182" s="16" t="n"/>
      <c r="H182" s="16" t="n"/>
      <c r="I182" s="16" t="n"/>
      <c r="J182" s="16" t="n"/>
      <c r="K182" s="17">
        <f>IF($G182="","",IF(OR($G182="PT Missed",$G182="PT Modified",$G182="PT Refused"),"Yes","No"))</f>
        <v/>
      </c>
      <c r="L182" s="16" t="n"/>
      <c r="M182" s="16" t="n"/>
      <c r="N182" s="17">
        <f>IF($D182="","",IF($M182="Excused","No",IF(AND($G182="PT Modified",$L182="Received"),"No","Yes")))</f>
        <v/>
      </c>
      <c r="O182" s="16" t="n"/>
      <c r="P182" s="17">
        <f>IF(OR($B182="",N($I182)=0),"",MIN(N($I182),SUMIFS(nrMK_Min,nrMK_Link,$B182,nrMK_Credit,"Yes",nrMK_PID,$E182,nrMK_Type,"Classroom")))</f>
        <v/>
      </c>
      <c r="Q182" s="17">
        <f>IF(OR($B182="",N($J182)=0),"",MIN(N($J182),SUMIFS(nrMK_Sess,nrMK_Link,$B182,nrMK_Credit,"Yes",nrMK_PID,$E182,nrMK_Type,"PT")))</f>
        <v/>
      </c>
      <c r="R182" s="17">
        <f>IF(OR($B182="",$N182&lt;&gt;"Yes"),"",IF($K182="Yes",IF(N($J182)&gt;0,N($J182)-N($Q182),""),IF(N($I182)&gt;0,N($I182)-N($P182),"")))</f>
        <v/>
      </c>
      <c r="S182" s="17">
        <f>IF(OR($B182="",$R182=""),"",IF($R182&lt;=0,IF(IFERROR(_xlfn.MAXIFS(nrMK_Date,nrMK_Link,$B182,nrMK_Credit,"Yes",nrMK_PID,$E182),0)=0,"CLEARED (makeup date missing)","CLEARED "&amp;TEXT(_xlfn.MAXIFS(nrMK_Date,nrMK_Link,$B182,nrMK_Credit,"Yes",nrMK_PID,$E182),"mm/dd")),"OPEN"))</f>
        <v/>
      </c>
      <c r="T182" s="17">
        <f>IF($D182="","",IF($C182="","NO DATE",IF($G182="","NO EVENT TYPE",IF(AND($I182&lt;&gt;"",NOT(ISNUMBER($I182))),"MINUTES NOT A NUMBER",IF(AND($J182&lt;&gt;"",NOT(ISNUMBER($J182))),"SESSIONS NOT A NUMBER",IF(OR(N($I182)&lt;0,N($J182)&lt;0),"NEGATIVE MINUTES/SESSIONS",IF(AND($K182="Yes",N($I182)&gt;0),"MINUTES ON A PT EVENT - not counted (PT counts sessions)",IF(AND($K182="No",N($J182)&gt;0),"SESSIONS ON A CLASSROOM EVENT - not counted (classroom counts minutes)",IF(AND($N182="Yes",$K182="Yes",N($J182)=0),"COUNTED PT EVENT WITH NO SESSIONS - dropped from the PT cap",IF(AND($N182="Yes",$K182="No",N($I182)=0),"COUNTED EVENT WITH NO MINUTES - dropped from the classroom cap","OK"))))))))))</f>
        <v/>
      </c>
    </row>
    <row r="183">
      <c r="B183" s="17">
        <f>IF($D183="","","A"&amp;TEXT(ROW()-5,"000"))</f>
        <v/>
      </c>
      <c r="C183" s="18" t="n"/>
      <c r="D183" s="16" t="n"/>
      <c r="E183" s="17">
        <f>IF($D183="","",IFERROR(INDEX(rngCadetPIDs,MATCH($D183,rngCadetNames,0)),"?"))</f>
        <v/>
      </c>
      <c r="F183" s="17">
        <f>IF($E183="","",IFERROR(INDEX(nrCadetAgency,MATCH($E183,rngCadetPIDs,0)),""))</f>
        <v/>
      </c>
      <c r="G183" s="16" t="n"/>
      <c r="H183" s="16" t="n"/>
      <c r="I183" s="16" t="n"/>
      <c r="J183" s="16" t="n"/>
      <c r="K183" s="17">
        <f>IF($G183="","",IF(OR($G183="PT Missed",$G183="PT Modified",$G183="PT Refused"),"Yes","No"))</f>
        <v/>
      </c>
      <c r="L183" s="16" t="n"/>
      <c r="M183" s="16" t="n"/>
      <c r="N183" s="17">
        <f>IF($D183="","",IF($M183="Excused","No",IF(AND($G183="PT Modified",$L183="Received"),"No","Yes")))</f>
        <v/>
      </c>
      <c r="O183" s="16" t="n"/>
      <c r="P183" s="17">
        <f>IF(OR($B183="",N($I183)=0),"",MIN(N($I183),SUMIFS(nrMK_Min,nrMK_Link,$B183,nrMK_Credit,"Yes",nrMK_PID,$E183,nrMK_Type,"Classroom")))</f>
        <v/>
      </c>
      <c r="Q183" s="17">
        <f>IF(OR($B183="",N($J183)=0),"",MIN(N($J183),SUMIFS(nrMK_Sess,nrMK_Link,$B183,nrMK_Credit,"Yes",nrMK_PID,$E183,nrMK_Type,"PT")))</f>
        <v/>
      </c>
      <c r="R183" s="17">
        <f>IF(OR($B183="",$N183&lt;&gt;"Yes"),"",IF($K183="Yes",IF(N($J183)&gt;0,N($J183)-N($Q183),""),IF(N($I183)&gt;0,N($I183)-N($P183),"")))</f>
        <v/>
      </c>
      <c r="S183" s="17">
        <f>IF(OR($B183="",$R183=""),"",IF($R183&lt;=0,IF(IFERROR(_xlfn.MAXIFS(nrMK_Date,nrMK_Link,$B183,nrMK_Credit,"Yes",nrMK_PID,$E183),0)=0,"CLEARED (makeup date missing)","CLEARED "&amp;TEXT(_xlfn.MAXIFS(nrMK_Date,nrMK_Link,$B183,nrMK_Credit,"Yes",nrMK_PID,$E183),"mm/dd")),"OPEN"))</f>
        <v/>
      </c>
      <c r="T183" s="17">
        <f>IF($D183="","",IF($C183="","NO DATE",IF($G183="","NO EVENT TYPE",IF(AND($I183&lt;&gt;"",NOT(ISNUMBER($I183))),"MINUTES NOT A NUMBER",IF(AND($J183&lt;&gt;"",NOT(ISNUMBER($J183))),"SESSIONS NOT A NUMBER",IF(OR(N($I183)&lt;0,N($J183)&lt;0),"NEGATIVE MINUTES/SESSIONS",IF(AND($K183="Yes",N($I183)&gt;0),"MINUTES ON A PT EVENT - not counted (PT counts sessions)",IF(AND($K183="No",N($J183)&gt;0),"SESSIONS ON A CLASSROOM EVENT - not counted (classroom counts minutes)",IF(AND($N183="Yes",$K183="Yes",N($J183)=0),"COUNTED PT EVENT WITH NO SESSIONS - dropped from the PT cap",IF(AND($N183="Yes",$K183="No",N($I183)=0),"COUNTED EVENT WITH NO MINUTES - dropped from the classroom cap","OK"))))))))))</f>
        <v/>
      </c>
    </row>
    <row r="184">
      <c r="B184" s="17">
        <f>IF($D184="","","A"&amp;TEXT(ROW()-5,"000"))</f>
        <v/>
      </c>
      <c r="C184" s="18" t="n"/>
      <c r="D184" s="16" t="n"/>
      <c r="E184" s="17">
        <f>IF($D184="","",IFERROR(INDEX(rngCadetPIDs,MATCH($D184,rngCadetNames,0)),"?"))</f>
        <v/>
      </c>
      <c r="F184" s="17">
        <f>IF($E184="","",IFERROR(INDEX(nrCadetAgency,MATCH($E184,rngCadetPIDs,0)),""))</f>
        <v/>
      </c>
      <c r="G184" s="16" t="n"/>
      <c r="H184" s="16" t="n"/>
      <c r="I184" s="16" t="n"/>
      <c r="J184" s="16" t="n"/>
      <c r="K184" s="17">
        <f>IF($G184="","",IF(OR($G184="PT Missed",$G184="PT Modified",$G184="PT Refused"),"Yes","No"))</f>
        <v/>
      </c>
      <c r="L184" s="16" t="n"/>
      <c r="M184" s="16" t="n"/>
      <c r="N184" s="17">
        <f>IF($D184="","",IF($M184="Excused","No",IF(AND($G184="PT Modified",$L184="Received"),"No","Yes")))</f>
        <v/>
      </c>
      <c r="O184" s="16" t="n"/>
      <c r="P184" s="17">
        <f>IF(OR($B184="",N($I184)=0),"",MIN(N($I184),SUMIFS(nrMK_Min,nrMK_Link,$B184,nrMK_Credit,"Yes",nrMK_PID,$E184,nrMK_Type,"Classroom")))</f>
        <v/>
      </c>
      <c r="Q184" s="17">
        <f>IF(OR($B184="",N($J184)=0),"",MIN(N($J184),SUMIFS(nrMK_Sess,nrMK_Link,$B184,nrMK_Credit,"Yes",nrMK_PID,$E184,nrMK_Type,"PT")))</f>
        <v/>
      </c>
      <c r="R184" s="17">
        <f>IF(OR($B184="",$N184&lt;&gt;"Yes"),"",IF($K184="Yes",IF(N($J184)&gt;0,N($J184)-N($Q184),""),IF(N($I184)&gt;0,N($I184)-N($P184),"")))</f>
        <v/>
      </c>
      <c r="S184" s="17">
        <f>IF(OR($B184="",$R184=""),"",IF($R184&lt;=0,IF(IFERROR(_xlfn.MAXIFS(nrMK_Date,nrMK_Link,$B184,nrMK_Credit,"Yes",nrMK_PID,$E184),0)=0,"CLEARED (makeup date missing)","CLEARED "&amp;TEXT(_xlfn.MAXIFS(nrMK_Date,nrMK_Link,$B184,nrMK_Credit,"Yes",nrMK_PID,$E184),"mm/dd")),"OPEN"))</f>
        <v/>
      </c>
      <c r="T184" s="17">
        <f>IF($D184="","",IF($C184="","NO DATE",IF($G184="","NO EVENT TYPE",IF(AND($I184&lt;&gt;"",NOT(ISNUMBER($I184))),"MINUTES NOT A NUMBER",IF(AND($J184&lt;&gt;"",NOT(ISNUMBER($J184))),"SESSIONS NOT A NUMBER",IF(OR(N($I184)&lt;0,N($J184)&lt;0),"NEGATIVE MINUTES/SESSIONS",IF(AND($K184="Yes",N($I184)&gt;0),"MINUTES ON A PT EVENT - not counted (PT counts sessions)",IF(AND($K184="No",N($J184)&gt;0),"SESSIONS ON A CLASSROOM EVENT - not counted (classroom counts minutes)",IF(AND($N184="Yes",$K184="Yes",N($J184)=0),"COUNTED PT EVENT WITH NO SESSIONS - dropped from the PT cap",IF(AND($N184="Yes",$K184="No",N($I184)=0),"COUNTED EVENT WITH NO MINUTES - dropped from the classroom cap","OK"))))))))))</f>
        <v/>
      </c>
    </row>
    <row r="185">
      <c r="B185" s="17">
        <f>IF($D185="","","A"&amp;TEXT(ROW()-5,"000"))</f>
        <v/>
      </c>
      <c r="C185" s="18" t="n"/>
      <c r="D185" s="16" t="n"/>
      <c r="E185" s="17">
        <f>IF($D185="","",IFERROR(INDEX(rngCadetPIDs,MATCH($D185,rngCadetNames,0)),"?"))</f>
        <v/>
      </c>
      <c r="F185" s="17">
        <f>IF($E185="","",IFERROR(INDEX(nrCadetAgency,MATCH($E185,rngCadetPIDs,0)),""))</f>
        <v/>
      </c>
      <c r="G185" s="16" t="n"/>
      <c r="H185" s="16" t="n"/>
      <c r="I185" s="16" t="n"/>
      <c r="J185" s="16" t="n"/>
      <c r="K185" s="17">
        <f>IF($G185="","",IF(OR($G185="PT Missed",$G185="PT Modified",$G185="PT Refused"),"Yes","No"))</f>
        <v/>
      </c>
      <c r="L185" s="16" t="n"/>
      <c r="M185" s="16" t="n"/>
      <c r="N185" s="17">
        <f>IF($D185="","",IF($M185="Excused","No",IF(AND($G185="PT Modified",$L185="Received"),"No","Yes")))</f>
        <v/>
      </c>
      <c r="O185" s="16" t="n"/>
      <c r="P185" s="17">
        <f>IF(OR($B185="",N($I185)=0),"",MIN(N($I185),SUMIFS(nrMK_Min,nrMK_Link,$B185,nrMK_Credit,"Yes",nrMK_PID,$E185,nrMK_Type,"Classroom")))</f>
        <v/>
      </c>
      <c r="Q185" s="17">
        <f>IF(OR($B185="",N($J185)=0),"",MIN(N($J185),SUMIFS(nrMK_Sess,nrMK_Link,$B185,nrMK_Credit,"Yes",nrMK_PID,$E185,nrMK_Type,"PT")))</f>
        <v/>
      </c>
      <c r="R185" s="17">
        <f>IF(OR($B185="",$N185&lt;&gt;"Yes"),"",IF($K185="Yes",IF(N($J185)&gt;0,N($J185)-N($Q185),""),IF(N($I185)&gt;0,N($I185)-N($P185),"")))</f>
        <v/>
      </c>
      <c r="S185" s="17">
        <f>IF(OR($B185="",$R185=""),"",IF($R185&lt;=0,IF(IFERROR(_xlfn.MAXIFS(nrMK_Date,nrMK_Link,$B185,nrMK_Credit,"Yes",nrMK_PID,$E185),0)=0,"CLEARED (makeup date missing)","CLEARED "&amp;TEXT(_xlfn.MAXIFS(nrMK_Date,nrMK_Link,$B185,nrMK_Credit,"Yes",nrMK_PID,$E185),"mm/dd")),"OPEN"))</f>
        <v/>
      </c>
      <c r="T185" s="17">
        <f>IF($D185="","",IF($C185="","NO DATE",IF($G185="","NO EVENT TYPE",IF(AND($I185&lt;&gt;"",NOT(ISNUMBER($I185))),"MINUTES NOT A NUMBER",IF(AND($J185&lt;&gt;"",NOT(ISNUMBER($J185))),"SESSIONS NOT A NUMBER",IF(OR(N($I185)&lt;0,N($J185)&lt;0),"NEGATIVE MINUTES/SESSIONS",IF(AND($K185="Yes",N($I185)&gt;0),"MINUTES ON A PT EVENT - not counted (PT counts sessions)",IF(AND($K185="No",N($J185)&gt;0),"SESSIONS ON A CLASSROOM EVENT - not counted (classroom counts minutes)",IF(AND($N185="Yes",$K185="Yes",N($J185)=0),"COUNTED PT EVENT WITH NO SESSIONS - dropped from the PT cap",IF(AND($N185="Yes",$K185="No",N($I185)=0),"COUNTED EVENT WITH NO MINUTES - dropped from the classroom cap","OK"))))))))))</f>
        <v/>
      </c>
    </row>
    <row r="186">
      <c r="B186" s="17">
        <f>IF($D186="","","A"&amp;TEXT(ROW()-5,"000"))</f>
        <v/>
      </c>
      <c r="C186" s="18" t="n"/>
      <c r="D186" s="16" t="n"/>
      <c r="E186" s="17">
        <f>IF($D186="","",IFERROR(INDEX(rngCadetPIDs,MATCH($D186,rngCadetNames,0)),"?"))</f>
        <v/>
      </c>
      <c r="F186" s="17">
        <f>IF($E186="","",IFERROR(INDEX(nrCadetAgency,MATCH($E186,rngCadetPIDs,0)),""))</f>
        <v/>
      </c>
      <c r="G186" s="16" t="n"/>
      <c r="H186" s="16" t="n"/>
      <c r="I186" s="16" t="n"/>
      <c r="J186" s="16" t="n"/>
      <c r="K186" s="17">
        <f>IF($G186="","",IF(OR($G186="PT Missed",$G186="PT Modified",$G186="PT Refused"),"Yes","No"))</f>
        <v/>
      </c>
      <c r="L186" s="16" t="n"/>
      <c r="M186" s="16" t="n"/>
      <c r="N186" s="17">
        <f>IF($D186="","",IF($M186="Excused","No",IF(AND($G186="PT Modified",$L186="Received"),"No","Yes")))</f>
        <v/>
      </c>
      <c r="O186" s="16" t="n"/>
      <c r="P186" s="17">
        <f>IF(OR($B186="",N($I186)=0),"",MIN(N($I186),SUMIFS(nrMK_Min,nrMK_Link,$B186,nrMK_Credit,"Yes",nrMK_PID,$E186,nrMK_Type,"Classroom")))</f>
        <v/>
      </c>
      <c r="Q186" s="17">
        <f>IF(OR($B186="",N($J186)=0),"",MIN(N($J186),SUMIFS(nrMK_Sess,nrMK_Link,$B186,nrMK_Credit,"Yes",nrMK_PID,$E186,nrMK_Type,"PT")))</f>
        <v/>
      </c>
      <c r="R186" s="17">
        <f>IF(OR($B186="",$N186&lt;&gt;"Yes"),"",IF($K186="Yes",IF(N($J186)&gt;0,N($J186)-N($Q186),""),IF(N($I186)&gt;0,N($I186)-N($P186),"")))</f>
        <v/>
      </c>
      <c r="S186" s="17">
        <f>IF(OR($B186="",$R186=""),"",IF($R186&lt;=0,IF(IFERROR(_xlfn.MAXIFS(nrMK_Date,nrMK_Link,$B186,nrMK_Credit,"Yes",nrMK_PID,$E186),0)=0,"CLEARED (makeup date missing)","CLEARED "&amp;TEXT(_xlfn.MAXIFS(nrMK_Date,nrMK_Link,$B186,nrMK_Credit,"Yes",nrMK_PID,$E186),"mm/dd")),"OPEN"))</f>
        <v/>
      </c>
      <c r="T186" s="17">
        <f>IF($D186="","",IF($C186="","NO DATE",IF($G186="","NO EVENT TYPE",IF(AND($I186&lt;&gt;"",NOT(ISNUMBER($I186))),"MINUTES NOT A NUMBER",IF(AND($J186&lt;&gt;"",NOT(ISNUMBER($J186))),"SESSIONS NOT A NUMBER",IF(OR(N($I186)&lt;0,N($J186)&lt;0),"NEGATIVE MINUTES/SESSIONS",IF(AND($K186="Yes",N($I186)&gt;0),"MINUTES ON A PT EVENT - not counted (PT counts sessions)",IF(AND($K186="No",N($J186)&gt;0),"SESSIONS ON A CLASSROOM EVENT - not counted (classroom counts minutes)",IF(AND($N186="Yes",$K186="Yes",N($J186)=0),"COUNTED PT EVENT WITH NO SESSIONS - dropped from the PT cap",IF(AND($N186="Yes",$K186="No",N($I186)=0),"COUNTED EVENT WITH NO MINUTES - dropped from the classroom cap","OK"))))))))))</f>
        <v/>
      </c>
    </row>
    <row r="187">
      <c r="B187" s="17">
        <f>IF($D187="","","A"&amp;TEXT(ROW()-5,"000"))</f>
        <v/>
      </c>
      <c r="C187" s="18" t="n"/>
      <c r="D187" s="16" t="n"/>
      <c r="E187" s="17">
        <f>IF($D187="","",IFERROR(INDEX(rngCadetPIDs,MATCH($D187,rngCadetNames,0)),"?"))</f>
        <v/>
      </c>
      <c r="F187" s="17">
        <f>IF($E187="","",IFERROR(INDEX(nrCadetAgency,MATCH($E187,rngCadetPIDs,0)),""))</f>
        <v/>
      </c>
      <c r="G187" s="16" t="n"/>
      <c r="H187" s="16" t="n"/>
      <c r="I187" s="16" t="n"/>
      <c r="J187" s="16" t="n"/>
      <c r="K187" s="17">
        <f>IF($G187="","",IF(OR($G187="PT Missed",$G187="PT Modified",$G187="PT Refused"),"Yes","No"))</f>
        <v/>
      </c>
      <c r="L187" s="16" t="n"/>
      <c r="M187" s="16" t="n"/>
      <c r="N187" s="17">
        <f>IF($D187="","",IF($M187="Excused","No",IF(AND($G187="PT Modified",$L187="Received"),"No","Yes")))</f>
        <v/>
      </c>
      <c r="O187" s="16" t="n"/>
      <c r="P187" s="17">
        <f>IF(OR($B187="",N($I187)=0),"",MIN(N($I187),SUMIFS(nrMK_Min,nrMK_Link,$B187,nrMK_Credit,"Yes",nrMK_PID,$E187,nrMK_Type,"Classroom")))</f>
        <v/>
      </c>
      <c r="Q187" s="17">
        <f>IF(OR($B187="",N($J187)=0),"",MIN(N($J187),SUMIFS(nrMK_Sess,nrMK_Link,$B187,nrMK_Credit,"Yes",nrMK_PID,$E187,nrMK_Type,"PT")))</f>
        <v/>
      </c>
      <c r="R187" s="17">
        <f>IF(OR($B187="",$N187&lt;&gt;"Yes"),"",IF($K187="Yes",IF(N($J187)&gt;0,N($J187)-N($Q187),""),IF(N($I187)&gt;0,N($I187)-N($P187),"")))</f>
        <v/>
      </c>
      <c r="S187" s="17">
        <f>IF(OR($B187="",$R187=""),"",IF($R187&lt;=0,IF(IFERROR(_xlfn.MAXIFS(nrMK_Date,nrMK_Link,$B187,nrMK_Credit,"Yes",nrMK_PID,$E187),0)=0,"CLEARED (makeup date missing)","CLEARED "&amp;TEXT(_xlfn.MAXIFS(nrMK_Date,nrMK_Link,$B187,nrMK_Credit,"Yes",nrMK_PID,$E187),"mm/dd")),"OPEN"))</f>
        <v/>
      </c>
      <c r="T187" s="17">
        <f>IF($D187="","",IF($C187="","NO DATE",IF($G187="","NO EVENT TYPE",IF(AND($I187&lt;&gt;"",NOT(ISNUMBER($I187))),"MINUTES NOT A NUMBER",IF(AND($J187&lt;&gt;"",NOT(ISNUMBER($J187))),"SESSIONS NOT A NUMBER",IF(OR(N($I187)&lt;0,N($J187)&lt;0),"NEGATIVE MINUTES/SESSIONS",IF(AND($K187="Yes",N($I187)&gt;0),"MINUTES ON A PT EVENT - not counted (PT counts sessions)",IF(AND($K187="No",N($J187)&gt;0),"SESSIONS ON A CLASSROOM EVENT - not counted (classroom counts minutes)",IF(AND($N187="Yes",$K187="Yes",N($J187)=0),"COUNTED PT EVENT WITH NO SESSIONS - dropped from the PT cap",IF(AND($N187="Yes",$K187="No",N($I187)=0),"COUNTED EVENT WITH NO MINUTES - dropped from the classroom cap","OK"))))))))))</f>
        <v/>
      </c>
    </row>
    <row r="188">
      <c r="B188" s="17">
        <f>IF($D188="","","A"&amp;TEXT(ROW()-5,"000"))</f>
        <v/>
      </c>
      <c r="C188" s="18" t="n"/>
      <c r="D188" s="16" t="n"/>
      <c r="E188" s="17">
        <f>IF($D188="","",IFERROR(INDEX(rngCadetPIDs,MATCH($D188,rngCadetNames,0)),"?"))</f>
        <v/>
      </c>
      <c r="F188" s="17">
        <f>IF($E188="","",IFERROR(INDEX(nrCadetAgency,MATCH($E188,rngCadetPIDs,0)),""))</f>
        <v/>
      </c>
      <c r="G188" s="16" t="n"/>
      <c r="H188" s="16" t="n"/>
      <c r="I188" s="16" t="n"/>
      <c r="J188" s="16" t="n"/>
      <c r="K188" s="17">
        <f>IF($G188="","",IF(OR($G188="PT Missed",$G188="PT Modified",$G188="PT Refused"),"Yes","No"))</f>
        <v/>
      </c>
      <c r="L188" s="16" t="n"/>
      <c r="M188" s="16" t="n"/>
      <c r="N188" s="17">
        <f>IF($D188="","",IF($M188="Excused","No",IF(AND($G188="PT Modified",$L188="Received"),"No","Yes")))</f>
        <v/>
      </c>
      <c r="O188" s="16" t="n"/>
      <c r="P188" s="17">
        <f>IF(OR($B188="",N($I188)=0),"",MIN(N($I188),SUMIFS(nrMK_Min,nrMK_Link,$B188,nrMK_Credit,"Yes",nrMK_PID,$E188,nrMK_Type,"Classroom")))</f>
        <v/>
      </c>
      <c r="Q188" s="17">
        <f>IF(OR($B188="",N($J188)=0),"",MIN(N($J188),SUMIFS(nrMK_Sess,nrMK_Link,$B188,nrMK_Credit,"Yes",nrMK_PID,$E188,nrMK_Type,"PT")))</f>
        <v/>
      </c>
      <c r="R188" s="17">
        <f>IF(OR($B188="",$N188&lt;&gt;"Yes"),"",IF($K188="Yes",IF(N($J188)&gt;0,N($J188)-N($Q188),""),IF(N($I188)&gt;0,N($I188)-N($P188),"")))</f>
        <v/>
      </c>
      <c r="S188" s="17">
        <f>IF(OR($B188="",$R188=""),"",IF($R188&lt;=0,IF(IFERROR(_xlfn.MAXIFS(nrMK_Date,nrMK_Link,$B188,nrMK_Credit,"Yes",nrMK_PID,$E188),0)=0,"CLEARED (makeup date missing)","CLEARED "&amp;TEXT(_xlfn.MAXIFS(nrMK_Date,nrMK_Link,$B188,nrMK_Credit,"Yes",nrMK_PID,$E188),"mm/dd")),"OPEN"))</f>
        <v/>
      </c>
      <c r="T188" s="17">
        <f>IF($D188="","",IF($C188="","NO DATE",IF($G188="","NO EVENT TYPE",IF(AND($I188&lt;&gt;"",NOT(ISNUMBER($I188))),"MINUTES NOT A NUMBER",IF(AND($J188&lt;&gt;"",NOT(ISNUMBER($J188))),"SESSIONS NOT A NUMBER",IF(OR(N($I188)&lt;0,N($J188)&lt;0),"NEGATIVE MINUTES/SESSIONS",IF(AND($K188="Yes",N($I188)&gt;0),"MINUTES ON A PT EVENT - not counted (PT counts sessions)",IF(AND($K188="No",N($J188)&gt;0),"SESSIONS ON A CLASSROOM EVENT - not counted (classroom counts minutes)",IF(AND($N188="Yes",$K188="Yes",N($J188)=0),"COUNTED PT EVENT WITH NO SESSIONS - dropped from the PT cap",IF(AND($N188="Yes",$K188="No",N($I188)=0),"COUNTED EVENT WITH NO MINUTES - dropped from the classroom cap","OK"))))))))))</f>
        <v/>
      </c>
    </row>
    <row r="189">
      <c r="B189" s="17">
        <f>IF($D189="","","A"&amp;TEXT(ROW()-5,"000"))</f>
        <v/>
      </c>
      <c r="C189" s="18" t="n"/>
      <c r="D189" s="16" t="n"/>
      <c r="E189" s="17">
        <f>IF($D189="","",IFERROR(INDEX(rngCadetPIDs,MATCH($D189,rngCadetNames,0)),"?"))</f>
        <v/>
      </c>
      <c r="F189" s="17">
        <f>IF($E189="","",IFERROR(INDEX(nrCadetAgency,MATCH($E189,rngCadetPIDs,0)),""))</f>
        <v/>
      </c>
      <c r="G189" s="16" t="n"/>
      <c r="H189" s="16" t="n"/>
      <c r="I189" s="16" t="n"/>
      <c r="J189" s="16" t="n"/>
      <c r="K189" s="17">
        <f>IF($G189="","",IF(OR($G189="PT Missed",$G189="PT Modified",$G189="PT Refused"),"Yes","No"))</f>
        <v/>
      </c>
      <c r="L189" s="16" t="n"/>
      <c r="M189" s="16" t="n"/>
      <c r="N189" s="17">
        <f>IF($D189="","",IF($M189="Excused","No",IF(AND($G189="PT Modified",$L189="Received"),"No","Yes")))</f>
        <v/>
      </c>
      <c r="O189" s="16" t="n"/>
      <c r="P189" s="17">
        <f>IF(OR($B189="",N($I189)=0),"",MIN(N($I189),SUMIFS(nrMK_Min,nrMK_Link,$B189,nrMK_Credit,"Yes",nrMK_PID,$E189,nrMK_Type,"Classroom")))</f>
        <v/>
      </c>
      <c r="Q189" s="17">
        <f>IF(OR($B189="",N($J189)=0),"",MIN(N($J189),SUMIFS(nrMK_Sess,nrMK_Link,$B189,nrMK_Credit,"Yes",nrMK_PID,$E189,nrMK_Type,"PT")))</f>
        <v/>
      </c>
      <c r="R189" s="17">
        <f>IF(OR($B189="",$N189&lt;&gt;"Yes"),"",IF($K189="Yes",IF(N($J189)&gt;0,N($J189)-N($Q189),""),IF(N($I189)&gt;0,N($I189)-N($P189),"")))</f>
        <v/>
      </c>
      <c r="S189" s="17">
        <f>IF(OR($B189="",$R189=""),"",IF($R189&lt;=0,IF(IFERROR(_xlfn.MAXIFS(nrMK_Date,nrMK_Link,$B189,nrMK_Credit,"Yes",nrMK_PID,$E189),0)=0,"CLEARED (makeup date missing)","CLEARED "&amp;TEXT(_xlfn.MAXIFS(nrMK_Date,nrMK_Link,$B189,nrMK_Credit,"Yes",nrMK_PID,$E189),"mm/dd")),"OPEN"))</f>
        <v/>
      </c>
      <c r="T189" s="17">
        <f>IF($D189="","",IF($C189="","NO DATE",IF($G189="","NO EVENT TYPE",IF(AND($I189&lt;&gt;"",NOT(ISNUMBER($I189))),"MINUTES NOT A NUMBER",IF(AND($J189&lt;&gt;"",NOT(ISNUMBER($J189))),"SESSIONS NOT A NUMBER",IF(OR(N($I189)&lt;0,N($J189)&lt;0),"NEGATIVE MINUTES/SESSIONS",IF(AND($K189="Yes",N($I189)&gt;0),"MINUTES ON A PT EVENT - not counted (PT counts sessions)",IF(AND($K189="No",N($J189)&gt;0),"SESSIONS ON A CLASSROOM EVENT - not counted (classroom counts minutes)",IF(AND($N189="Yes",$K189="Yes",N($J189)=0),"COUNTED PT EVENT WITH NO SESSIONS - dropped from the PT cap",IF(AND($N189="Yes",$K189="No",N($I189)=0),"COUNTED EVENT WITH NO MINUTES - dropped from the classroom cap","OK"))))))))))</f>
        <v/>
      </c>
    </row>
    <row r="190">
      <c r="B190" s="17">
        <f>IF($D190="","","A"&amp;TEXT(ROW()-5,"000"))</f>
        <v/>
      </c>
      <c r="C190" s="18" t="n"/>
      <c r="D190" s="16" t="n"/>
      <c r="E190" s="17">
        <f>IF($D190="","",IFERROR(INDEX(rngCadetPIDs,MATCH($D190,rngCadetNames,0)),"?"))</f>
        <v/>
      </c>
      <c r="F190" s="17">
        <f>IF($E190="","",IFERROR(INDEX(nrCadetAgency,MATCH($E190,rngCadetPIDs,0)),""))</f>
        <v/>
      </c>
      <c r="G190" s="16" t="n"/>
      <c r="H190" s="16" t="n"/>
      <c r="I190" s="16" t="n"/>
      <c r="J190" s="16" t="n"/>
      <c r="K190" s="17">
        <f>IF($G190="","",IF(OR($G190="PT Missed",$G190="PT Modified",$G190="PT Refused"),"Yes","No"))</f>
        <v/>
      </c>
      <c r="L190" s="16" t="n"/>
      <c r="M190" s="16" t="n"/>
      <c r="N190" s="17">
        <f>IF($D190="","",IF($M190="Excused","No",IF(AND($G190="PT Modified",$L190="Received"),"No","Yes")))</f>
        <v/>
      </c>
      <c r="O190" s="16" t="n"/>
      <c r="P190" s="17">
        <f>IF(OR($B190="",N($I190)=0),"",MIN(N($I190),SUMIFS(nrMK_Min,nrMK_Link,$B190,nrMK_Credit,"Yes",nrMK_PID,$E190,nrMK_Type,"Classroom")))</f>
        <v/>
      </c>
      <c r="Q190" s="17">
        <f>IF(OR($B190="",N($J190)=0),"",MIN(N($J190),SUMIFS(nrMK_Sess,nrMK_Link,$B190,nrMK_Credit,"Yes",nrMK_PID,$E190,nrMK_Type,"PT")))</f>
        <v/>
      </c>
      <c r="R190" s="17">
        <f>IF(OR($B190="",$N190&lt;&gt;"Yes"),"",IF($K190="Yes",IF(N($J190)&gt;0,N($J190)-N($Q190),""),IF(N($I190)&gt;0,N($I190)-N($P190),"")))</f>
        <v/>
      </c>
      <c r="S190" s="17">
        <f>IF(OR($B190="",$R190=""),"",IF($R190&lt;=0,IF(IFERROR(_xlfn.MAXIFS(nrMK_Date,nrMK_Link,$B190,nrMK_Credit,"Yes",nrMK_PID,$E190),0)=0,"CLEARED (makeup date missing)","CLEARED "&amp;TEXT(_xlfn.MAXIFS(nrMK_Date,nrMK_Link,$B190,nrMK_Credit,"Yes",nrMK_PID,$E190),"mm/dd")),"OPEN"))</f>
        <v/>
      </c>
      <c r="T190" s="17">
        <f>IF($D190="","",IF($C190="","NO DATE",IF($G190="","NO EVENT TYPE",IF(AND($I190&lt;&gt;"",NOT(ISNUMBER($I190))),"MINUTES NOT A NUMBER",IF(AND($J190&lt;&gt;"",NOT(ISNUMBER($J190))),"SESSIONS NOT A NUMBER",IF(OR(N($I190)&lt;0,N($J190)&lt;0),"NEGATIVE MINUTES/SESSIONS",IF(AND($K190="Yes",N($I190)&gt;0),"MINUTES ON A PT EVENT - not counted (PT counts sessions)",IF(AND($K190="No",N($J190)&gt;0),"SESSIONS ON A CLASSROOM EVENT - not counted (classroom counts minutes)",IF(AND($N190="Yes",$K190="Yes",N($J190)=0),"COUNTED PT EVENT WITH NO SESSIONS - dropped from the PT cap",IF(AND($N190="Yes",$K190="No",N($I190)=0),"COUNTED EVENT WITH NO MINUTES - dropped from the classroom cap","OK"))))))))))</f>
        <v/>
      </c>
    </row>
    <row r="191">
      <c r="B191" s="17">
        <f>IF($D191="","","A"&amp;TEXT(ROW()-5,"000"))</f>
        <v/>
      </c>
      <c r="C191" s="18" t="n"/>
      <c r="D191" s="16" t="n"/>
      <c r="E191" s="17">
        <f>IF($D191="","",IFERROR(INDEX(rngCadetPIDs,MATCH($D191,rngCadetNames,0)),"?"))</f>
        <v/>
      </c>
      <c r="F191" s="17">
        <f>IF($E191="","",IFERROR(INDEX(nrCadetAgency,MATCH($E191,rngCadetPIDs,0)),""))</f>
        <v/>
      </c>
      <c r="G191" s="16" t="n"/>
      <c r="H191" s="16" t="n"/>
      <c r="I191" s="16" t="n"/>
      <c r="J191" s="16" t="n"/>
      <c r="K191" s="17">
        <f>IF($G191="","",IF(OR($G191="PT Missed",$G191="PT Modified",$G191="PT Refused"),"Yes","No"))</f>
        <v/>
      </c>
      <c r="L191" s="16" t="n"/>
      <c r="M191" s="16" t="n"/>
      <c r="N191" s="17">
        <f>IF($D191="","",IF($M191="Excused","No",IF(AND($G191="PT Modified",$L191="Received"),"No","Yes")))</f>
        <v/>
      </c>
      <c r="O191" s="16" t="n"/>
      <c r="P191" s="17">
        <f>IF(OR($B191="",N($I191)=0),"",MIN(N($I191),SUMIFS(nrMK_Min,nrMK_Link,$B191,nrMK_Credit,"Yes",nrMK_PID,$E191,nrMK_Type,"Classroom")))</f>
        <v/>
      </c>
      <c r="Q191" s="17">
        <f>IF(OR($B191="",N($J191)=0),"",MIN(N($J191),SUMIFS(nrMK_Sess,nrMK_Link,$B191,nrMK_Credit,"Yes",nrMK_PID,$E191,nrMK_Type,"PT")))</f>
        <v/>
      </c>
      <c r="R191" s="17">
        <f>IF(OR($B191="",$N191&lt;&gt;"Yes"),"",IF($K191="Yes",IF(N($J191)&gt;0,N($J191)-N($Q191),""),IF(N($I191)&gt;0,N($I191)-N($P191),"")))</f>
        <v/>
      </c>
      <c r="S191" s="17">
        <f>IF(OR($B191="",$R191=""),"",IF($R191&lt;=0,IF(IFERROR(_xlfn.MAXIFS(nrMK_Date,nrMK_Link,$B191,nrMK_Credit,"Yes",nrMK_PID,$E191),0)=0,"CLEARED (makeup date missing)","CLEARED "&amp;TEXT(_xlfn.MAXIFS(nrMK_Date,nrMK_Link,$B191,nrMK_Credit,"Yes",nrMK_PID,$E191),"mm/dd")),"OPEN"))</f>
        <v/>
      </c>
      <c r="T191" s="17">
        <f>IF($D191="","",IF($C191="","NO DATE",IF($G191="","NO EVENT TYPE",IF(AND($I191&lt;&gt;"",NOT(ISNUMBER($I191))),"MINUTES NOT A NUMBER",IF(AND($J191&lt;&gt;"",NOT(ISNUMBER($J191))),"SESSIONS NOT A NUMBER",IF(OR(N($I191)&lt;0,N($J191)&lt;0),"NEGATIVE MINUTES/SESSIONS",IF(AND($K191="Yes",N($I191)&gt;0),"MINUTES ON A PT EVENT - not counted (PT counts sessions)",IF(AND($K191="No",N($J191)&gt;0),"SESSIONS ON A CLASSROOM EVENT - not counted (classroom counts minutes)",IF(AND($N191="Yes",$K191="Yes",N($J191)=0),"COUNTED PT EVENT WITH NO SESSIONS - dropped from the PT cap",IF(AND($N191="Yes",$K191="No",N($I191)=0),"COUNTED EVENT WITH NO MINUTES - dropped from the classroom cap","OK"))))))))))</f>
        <v/>
      </c>
    </row>
    <row r="192">
      <c r="B192" s="17">
        <f>IF($D192="","","A"&amp;TEXT(ROW()-5,"000"))</f>
        <v/>
      </c>
      <c r="C192" s="18" t="n"/>
      <c r="D192" s="16" t="n"/>
      <c r="E192" s="17">
        <f>IF($D192="","",IFERROR(INDEX(rngCadetPIDs,MATCH($D192,rngCadetNames,0)),"?"))</f>
        <v/>
      </c>
      <c r="F192" s="17">
        <f>IF($E192="","",IFERROR(INDEX(nrCadetAgency,MATCH($E192,rngCadetPIDs,0)),""))</f>
        <v/>
      </c>
      <c r="G192" s="16" t="n"/>
      <c r="H192" s="16" t="n"/>
      <c r="I192" s="16" t="n"/>
      <c r="J192" s="16" t="n"/>
      <c r="K192" s="17">
        <f>IF($G192="","",IF(OR($G192="PT Missed",$G192="PT Modified",$G192="PT Refused"),"Yes","No"))</f>
        <v/>
      </c>
      <c r="L192" s="16" t="n"/>
      <c r="M192" s="16" t="n"/>
      <c r="N192" s="17">
        <f>IF($D192="","",IF($M192="Excused","No",IF(AND($G192="PT Modified",$L192="Received"),"No","Yes")))</f>
        <v/>
      </c>
      <c r="O192" s="16" t="n"/>
      <c r="P192" s="17">
        <f>IF(OR($B192="",N($I192)=0),"",MIN(N($I192),SUMIFS(nrMK_Min,nrMK_Link,$B192,nrMK_Credit,"Yes",nrMK_PID,$E192,nrMK_Type,"Classroom")))</f>
        <v/>
      </c>
      <c r="Q192" s="17">
        <f>IF(OR($B192="",N($J192)=0),"",MIN(N($J192),SUMIFS(nrMK_Sess,nrMK_Link,$B192,nrMK_Credit,"Yes",nrMK_PID,$E192,nrMK_Type,"PT")))</f>
        <v/>
      </c>
      <c r="R192" s="17">
        <f>IF(OR($B192="",$N192&lt;&gt;"Yes"),"",IF($K192="Yes",IF(N($J192)&gt;0,N($J192)-N($Q192),""),IF(N($I192)&gt;0,N($I192)-N($P192),"")))</f>
        <v/>
      </c>
      <c r="S192" s="17">
        <f>IF(OR($B192="",$R192=""),"",IF($R192&lt;=0,IF(IFERROR(_xlfn.MAXIFS(nrMK_Date,nrMK_Link,$B192,nrMK_Credit,"Yes",nrMK_PID,$E192),0)=0,"CLEARED (makeup date missing)","CLEARED "&amp;TEXT(_xlfn.MAXIFS(nrMK_Date,nrMK_Link,$B192,nrMK_Credit,"Yes",nrMK_PID,$E192),"mm/dd")),"OPEN"))</f>
        <v/>
      </c>
      <c r="T192" s="17">
        <f>IF($D192="","",IF($C192="","NO DATE",IF($G192="","NO EVENT TYPE",IF(AND($I192&lt;&gt;"",NOT(ISNUMBER($I192))),"MINUTES NOT A NUMBER",IF(AND($J192&lt;&gt;"",NOT(ISNUMBER($J192))),"SESSIONS NOT A NUMBER",IF(OR(N($I192)&lt;0,N($J192)&lt;0),"NEGATIVE MINUTES/SESSIONS",IF(AND($K192="Yes",N($I192)&gt;0),"MINUTES ON A PT EVENT - not counted (PT counts sessions)",IF(AND($K192="No",N($J192)&gt;0),"SESSIONS ON A CLASSROOM EVENT - not counted (classroom counts minutes)",IF(AND($N192="Yes",$K192="Yes",N($J192)=0),"COUNTED PT EVENT WITH NO SESSIONS - dropped from the PT cap",IF(AND($N192="Yes",$K192="No",N($I192)=0),"COUNTED EVENT WITH NO MINUTES - dropped from the classroom cap","OK"))))))))))</f>
        <v/>
      </c>
    </row>
    <row r="193">
      <c r="B193" s="17">
        <f>IF($D193="","","A"&amp;TEXT(ROW()-5,"000"))</f>
        <v/>
      </c>
      <c r="C193" s="18" t="n"/>
      <c r="D193" s="16" t="n"/>
      <c r="E193" s="17">
        <f>IF($D193="","",IFERROR(INDEX(rngCadetPIDs,MATCH($D193,rngCadetNames,0)),"?"))</f>
        <v/>
      </c>
      <c r="F193" s="17">
        <f>IF($E193="","",IFERROR(INDEX(nrCadetAgency,MATCH($E193,rngCadetPIDs,0)),""))</f>
        <v/>
      </c>
      <c r="G193" s="16" t="n"/>
      <c r="H193" s="16" t="n"/>
      <c r="I193" s="16" t="n"/>
      <c r="J193" s="16" t="n"/>
      <c r="K193" s="17">
        <f>IF($G193="","",IF(OR($G193="PT Missed",$G193="PT Modified",$G193="PT Refused"),"Yes","No"))</f>
        <v/>
      </c>
      <c r="L193" s="16" t="n"/>
      <c r="M193" s="16" t="n"/>
      <c r="N193" s="17">
        <f>IF($D193="","",IF($M193="Excused","No",IF(AND($G193="PT Modified",$L193="Received"),"No","Yes")))</f>
        <v/>
      </c>
      <c r="O193" s="16" t="n"/>
      <c r="P193" s="17">
        <f>IF(OR($B193="",N($I193)=0),"",MIN(N($I193),SUMIFS(nrMK_Min,nrMK_Link,$B193,nrMK_Credit,"Yes",nrMK_PID,$E193,nrMK_Type,"Classroom")))</f>
        <v/>
      </c>
      <c r="Q193" s="17">
        <f>IF(OR($B193="",N($J193)=0),"",MIN(N($J193),SUMIFS(nrMK_Sess,nrMK_Link,$B193,nrMK_Credit,"Yes",nrMK_PID,$E193,nrMK_Type,"PT")))</f>
        <v/>
      </c>
      <c r="R193" s="17">
        <f>IF(OR($B193="",$N193&lt;&gt;"Yes"),"",IF($K193="Yes",IF(N($J193)&gt;0,N($J193)-N($Q193),""),IF(N($I193)&gt;0,N($I193)-N($P193),"")))</f>
        <v/>
      </c>
      <c r="S193" s="17">
        <f>IF(OR($B193="",$R193=""),"",IF($R193&lt;=0,IF(IFERROR(_xlfn.MAXIFS(nrMK_Date,nrMK_Link,$B193,nrMK_Credit,"Yes",nrMK_PID,$E193),0)=0,"CLEARED (makeup date missing)","CLEARED "&amp;TEXT(_xlfn.MAXIFS(nrMK_Date,nrMK_Link,$B193,nrMK_Credit,"Yes",nrMK_PID,$E193),"mm/dd")),"OPEN"))</f>
        <v/>
      </c>
      <c r="T193" s="17">
        <f>IF($D193="","",IF($C193="","NO DATE",IF($G193="","NO EVENT TYPE",IF(AND($I193&lt;&gt;"",NOT(ISNUMBER($I193))),"MINUTES NOT A NUMBER",IF(AND($J193&lt;&gt;"",NOT(ISNUMBER($J193))),"SESSIONS NOT A NUMBER",IF(OR(N($I193)&lt;0,N($J193)&lt;0),"NEGATIVE MINUTES/SESSIONS",IF(AND($K193="Yes",N($I193)&gt;0),"MINUTES ON A PT EVENT - not counted (PT counts sessions)",IF(AND($K193="No",N($J193)&gt;0),"SESSIONS ON A CLASSROOM EVENT - not counted (classroom counts minutes)",IF(AND($N193="Yes",$K193="Yes",N($J193)=0),"COUNTED PT EVENT WITH NO SESSIONS - dropped from the PT cap",IF(AND($N193="Yes",$K193="No",N($I193)=0),"COUNTED EVENT WITH NO MINUTES - dropped from the classroom cap","OK"))))))))))</f>
        <v/>
      </c>
    </row>
    <row r="194">
      <c r="B194" s="17">
        <f>IF($D194="","","A"&amp;TEXT(ROW()-5,"000"))</f>
        <v/>
      </c>
      <c r="C194" s="18" t="n"/>
      <c r="D194" s="16" t="n"/>
      <c r="E194" s="17">
        <f>IF($D194="","",IFERROR(INDEX(rngCadetPIDs,MATCH($D194,rngCadetNames,0)),"?"))</f>
        <v/>
      </c>
      <c r="F194" s="17">
        <f>IF($E194="","",IFERROR(INDEX(nrCadetAgency,MATCH($E194,rngCadetPIDs,0)),""))</f>
        <v/>
      </c>
      <c r="G194" s="16" t="n"/>
      <c r="H194" s="16" t="n"/>
      <c r="I194" s="16" t="n"/>
      <c r="J194" s="16" t="n"/>
      <c r="K194" s="17">
        <f>IF($G194="","",IF(OR($G194="PT Missed",$G194="PT Modified",$G194="PT Refused"),"Yes","No"))</f>
        <v/>
      </c>
      <c r="L194" s="16" t="n"/>
      <c r="M194" s="16" t="n"/>
      <c r="N194" s="17">
        <f>IF($D194="","",IF($M194="Excused","No",IF(AND($G194="PT Modified",$L194="Received"),"No","Yes")))</f>
        <v/>
      </c>
      <c r="O194" s="16" t="n"/>
      <c r="P194" s="17">
        <f>IF(OR($B194="",N($I194)=0),"",MIN(N($I194),SUMIFS(nrMK_Min,nrMK_Link,$B194,nrMK_Credit,"Yes",nrMK_PID,$E194,nrMK_Type,"Classroom")))</f>
        <v/>
      </c>
      <c r="Q194" s="17">
        <f>IF(OR($B194="",N($J194)=0),"",MIN(N($J194),SUMIFS(nrMK_Sess,nrMK_Link,$B194,nrMK_Credit,"Yes",nrMK_PID,$E194,nrMK_Type,"PT")))</f>
        <v/>
      </c>
      <c r="R194" s="17">
        <f>IF(OR($B194="",$N194&lt;&gt;"Yes"),"",IF($K194="Yes",IF(N($J194)&gt;0,N($J194)-N($Q194),""),IF(N($I194)&gt;0,N($I194)-N($P194),"")))</f>
        <v/>
      </c>
      <c r="S194" s="17">
        <f>IF(OR($B194="",$R194=""),"",IF($R194&lt;=0,IF(IFERROR(_xlfn.MAXIFS(nrMK_Date,nrMK_Link,$B194,nrMK_Credit,"Yes",nrMK_PID,$E194),0)=0,"CLEARED (makeup date missing)","CLEARED "&amp;TEXT(_xlfn.MAXIFS(nrMK_Date,nrMK_Link,$B194,nrMK_Credit,"Yes",nrMK_PID,$E194),"mm/dd")),"OPEN"))</f>
        <v/>
      </c>
      <c r="T194" s="17">
        <f>IF($D194="","",IF($C194="","NO DATE",IF($G194="","NO EVENT TYPE",IF(AND($I194&lt;&gt;"",NOT(ISNUMBER($I194))),"MINUTES NOT A NUMBER",IF(AND($J194&lt;&gt;"",NOT(ISNUMBER($J194))),"SESSIONS NOT A NUMBER",IF(OR(N($I194)&lt;0,N($J194)&lt;0),"NEGATIVE MINUTES/SESSIONS",IF(AND($K194="Yes",N($I194)&gt;0),"MINUTES ON A PT EVENT - not counted (PT counts sessions)",IF(AND($K194="No",N($J194)&gt;0),"SESSIONS ON A CLASSROOM EVENT - not counted (classroom counts minutes)",IF(AND($N194="Yes",$K194="Yes",N($J194)=0),"COUNTED PT EVENT WITH NO SESSIONS - dropped from the PT cap",IF(AND($N194="Yes",$K194="No",N($I194)=0),"COUNTED EVENT WITH NO MINUTES - dropped from the classroom cap","OK"))))))))))</f>
        <v/>
      </c>
    </row>
    <row r="195">
      <c r="B195" s="17">
        <f>IF($D195="","","A"&amp;TEXT(ROW()-5,"000"))</f>
        <v/>
      </c>
      <c r="C195" s="18" t="n"/>
      <c r="D195" s="16" t="n"/>
      <c r="E195" s="17">
        <f>IF($D195="","",IFERROR(INDEX(rngCadetPIDs,MATCH($D195,rngCadetNames,0)),"?"))</f>
        <v/>
      </c>
      <c r="F195" s="17">
        <f>IF($E195="","",IFERROR(INDEX(nrCadetAgency,MATCH($E195,rngCadetPIDs,0)),""))</f>
        <v/>
      </c>
      <c r="G195" s="16" t="n"/>
      <c r="H195" s="16" t="n"/>
      <c r="I195" s="16" t="n"/>
      <c r="J195" s="16" t="n"/>
      <c r="K195" s="17">
        <f>IF($G195="","",IF(OR($G195="PT Missed",$G195="PT Modified",$G195="PT Refused"),"Yes","No"))</f>
        <v/>
      </c>
      <c r="L195" s="16" t="n"/>
      <c r="M195" s="16" t="n"/>
      <c r="N195" s="17">
        <f>IF($D195="","",IF($M195="Excused","No",IF(AND($G195="PT Modified",$L195="Received"),"No","Yes")))</f>
        <v/>
      </c>
      <c r="O195" s="16" t="n"/>
      <c r="P195" s="17">
        <f>IF(OR($B195="",N($I195)=0),"",MIN(N($I195),SUMIFS(nrMK_Min,nrMK_Link,$B195,nrMK_Credit,"Yes",nrMK_PID,$E195,nrMK_Type,"Classroom")))</f>
        <v/>
      </c>
      <c r="Q195" s="17">
        <f>IF(OR($B195="",N($J195)=0),"",MIN(N($J195),SUMIFS(nrMK_Sess,nrMK_Link,$B195,nrMK_Credit,"Yes",nrMK_PID,$E195,nrMK_Type,"PT")))</f>
        <v/>
      </c>
      <c r="R195" s="17">
        <f>IF(OR($B195="",$N195&lt;&gt;"Yes"),"",IF($K195="Yes",IF(N($J195)&gt;0,N($J195)-N($Q195),""),IF(N($I195)&gt;0,N($I195)-N($P195),"")))</f>
        <v/>
      </c>
      <c r="S195" s="17">
        <f>IF(OR($B195="",$R195=""),"",IF($R195&lt;=0,IF(IFERROR(_xlfn.MAXIFS(nrMK_Date,nrMK_Link,$B195,nrMK_Credit,"Yes",nrMK_PID,$E195),0)=0,"CLEARED (makeup date missing)","CLEARED "&amp;TEXT(_xlfn.MAXIFS(nrMK_Date,nrMK_Link,$B195,nrMK_Credit,"Yes",nrMK_PID,$E195),"mm/dd")),"OPEN"))</f>
        <v/>
      </c>
      <c r="T195" s="17">
        <f>IF($D195="","",IF($C195="","NO DATE",IF($G195="","NO EVENT TYPE",IF(AND($I195&lt;&gt;"",NOT(ISNUMBER($I195))),"MINUTES NOT A NUMBER",IF(AND($J195&lt;&gt;"",NOT(ISNUMBER($J195))),"SESSIONS NOT A NUMBER",IF(OR(N($I195)&lt;0,N($J195)&lt;0),"NEGATIVE MINUTES/SESSIONS",IF(AND($K195="Yes",N($I195)&gt;0),"MINUTES ON A PT EVENT - not counted (PT counts sessions)",IF(AND($K195="No",N($J195)&gt;0),"SESSIONS ON A CLASSROOM EVENT - not counted (classroom counts minutes)",IF(AND($N195="Yes",$K195="Yes",N($J195)=0),"COUNTED PT EVENT WITH NO SESSIONS - dropped from the PT cap",IF(AND($N195="Yes",$K195="No",N($I195)=0),"COUNTED EVENT WITH NO MINUTES - dropped from the classroom cap","OK"))))))))))</f>
        <v/>
      </c>
    </row>
    <row r="196">
      <c r="B196" s="17">
        <f>IF($D196="","","A"&amp;TEXT(ROW()-5,"000"))</f>
        <v/>
      </c>
      <c r="C196" s="18" t="n"/>
      <c r="D196" s="16" t="n"/>
      <c r="E196" s="17">
        <f>IF($D196="","",IFERROR(INDEX(rngCadetPIDs,MATCH($D196,rngCadetNames,0)),"?"))</f>
        <v/>
      </c>
      <c r="F196" s="17">
        <f>IF($E196="","",IFERROR(INDEX(nrCadetAgency,MATCH($E196,rngCadetPIDs,0)),""))</f>
        <v/>
      </c>
      <c r="G196" s="16" t="n"/>
      <c r="H196" s="16" t="n"/>
      <c r="I196" s="16" t="n"/>
      <c r="J196" s="16" t="n"/>
      <c r="K196" s="17">
        <f>IF($G196="","",IF(OR($G196="PT Missed",$G196="PT Modified",$G196="PT Refused"),"Yes","No"))</f>
        <v/>
      </c>
      <c r="L196" s="16" t="n"/>
      <c r="M196" s="16" t="n"/>
      <c r="N196" s="17">
        <f>IF($D196="","",IF($M196="Excused","No",IF(AND($G196="PT Modified",$L196="Received"),"No","Yes")))</f>
        <v/>
      </c>
      <c r="O196" s="16" t="n"/>
      <c r="P196" s="17">
        <f>IF(OR($B196="",N($I196)=0),"",MIN(N($I196),SUMIFS(nrMK_Min,nrMK_Link,$B196,nrMK_Credit,"Yes",nrMK_PID,$E196,nrMK_Type,"Classroom")))</f>
        <v/>
      </c>
      <c r="Q196" s="17">
        <f>IF(OR($B196="",N($J196)=0),"",MIN(N($J196),SUMIFS(nrMK_Sess,nrMK_Link,$B196,nrMK_Credit,"Yes",nrMK_PID,$E196,nrMK_Type,"PT")))</f>
        <v/>
      </c>
      <c r="R196" s="17">
        <f>IF(OR($B196="",$N196&lt;&gt;"Yes"),"",IF($K196="Yes",IF(N($J196)&gt;0,N($J196)-N($Q196),""),IF(N($I196)&gt;0,N($I196)-N($P196),"")))</f>
        <v/>
      </c>
      <c r="S196" s="17">
        <f>IF(OR($B196="",$R196=""),"",IF($R196&lt;=0,IF(IFERROR(_xlfn.MAXIFS(nrMK_Date,nrMK_Link,$B196,nrMK_Credit,"Yes",nrMK_PID,$E196),0)=0,"CLEARED (makeup date missing)","CLEARED "&amp;TEXT(_xlfn.MAXIFS(nrMK_Date,nrMK_Link,$B196,nrMK_Credit,"Yes",nrMK_PID,$E196),"mm/dd")),"OPEN"))</f>
        <v/>
      </c>
      <c r="T196" s="17">
        <f>IF($D196="","",IF($C196="","NO DATE",IF($G196="","NO EVENT TYPE",IF(AND($I196&lt;&gt;"",NOT(ISNUMBER($I196))),"MINUTES NOT A NUMBER",IF(AND($J196&lt;&gt;"",NOT(ISNUMBER($J196))),"SESSIONS NOT A NUMBER",IF(OR(N($I196)&lt;0,N($J196)&lt;0),"NEGATIVE MINUTES/SESSIONS",IF(AND($K196="Yes",N($I196)&gt;0),"MINUTES ON A PT EVENT - not counted (PT counts sessions)",IF(AND($K196="No",N($J196)&gt;0),"SESSIONS ON A CLASSROOM EVENT - not counted (classroom counts minutes)",IF(AND($N196="Yes",$K196="Yes",N($J196)=0),"COUNTED PT EVENT WITH NO SESSIONS - dropped from the PT cap",IF(AND($N196="Yes",$K196="No",N($I196)=0),"COUNTED EVENT WITH NO MINUTES - dropped from the classroom cap","OK"))))))))))</f>
        <v/>
      </c>
    </row>
    <row r="197">
      <c r="B197" s="17">
        <f>IF($D197="","","A"&amp;TEXT(ROW()-5,"000"))</f>
        <v/>
      </c>
      <c r="C197" s="18" t="n"/>
      <c r="D197" s="16" t="n"/>
      <c r="E197" s="17">
        <f>IF($D197="","",IFERROR(INDEX(rngCadetPIDs,MATCH($D197,rngCadetNames,0)),"?"))</f>
        <v/>
      </c>
      <c r="F197" s="17">
        <f>IF($E197="","",IFERROR(INDEX(nrCadetAgency,MATCH($E197,rngCadetPIDs,0)),""))</f>
        <v/>
      </c>
      <c r="G197" s="16" t="n"/>
      <c r="H197" s="16" t="n"/>
      <c r="I197" s="16" t="n"/>
      <c r="J197" s="16" t="n"/>
      <c r="K197" s="17">
        <f>IF($G197="","",IF(OR($G197="PT Missed",$G197="PT Modified",$G197="PT Refused"),"Yes","No"))</f>
        <v/>
      </c>
      <c r="L197" s="16" t="n"/>
      <c r="M197" s="16" t="n"/>
      <c r="N197" s="17">
        <f>IF($D197="","",IF($M197="Excused","No",IF(AND($G197="PT Modified",$L197="Received"),"No","Yes")))</f>
        <v/>
      </c>
      <c r="O197" s="16" t="n"/>
      <c r="P197" s="17">
        <f>IF(OR($B197="",N($I197)=0),"",MIN(N($I197),SUMIFS(nrMK_Min,nrMK_Link,$B197,nrMK_Credit,"Yes",nrMK_PID,$E197,nrMK_Type,"Classroom")))</f>
        <v/>
      </c>
      <c r="Q197" s="17">
        <f>IF(OR($B197="",N($J197)=0),"",MIN(N($J197),SUMIFS(nrMK_Sess,nrMK_Link,$B197,nrMK_Credit,"Yes",nrMK_PID,$E197,nrMK_Type,"PT")))</f>
        <v/>
      </c>
      <c r="R197" s="17">
        <f>IF(OR($B197="",$N197&lt;&gt;"Yes"),"",IF($K197="Yes",IF(N($J197)&gt;0,N($J197)-N($Q197),""),IF(N($I197)&gt;0,N($I197)-N($P197),"")))</f>
        <v/>
      </c>
      <c r="S197" s="17">
        <f>IF(OR($B197="",$R197=""),"",IF($R197&lt;=0,IF(IFERROR(_xlfn.MAXIFS(nrMK_Date,nrMK_Link,$B197,nrMK_Credit,"Yes",nrMK_PID,$E197),0)=0,"CLEARED (makeup date missing)","CLEARED "&amp;TEXT(_xlfn.MAXIFS(nrMK_Date,nrMK_Link,$B197,nrMK_Credit,"Yes",nrMK_PID,$E197),"mm/dd")),"OPEN"))</f>
        <v/>
      </c>
      <c r="T197" s="17">
        <f>IF($D197="","",IF($C197="","NO DATE",IF($G197="","NO EVENT TYPE",IF(AND($I197&lt;&gt;"",NOT(ISNUMBER($I197))),"MINUTES NOT A NUMBER",IF(AND($J197&lt;&gt;"",NOT(ISNUMBER($J197))),"SESSIONS NOT A NUMBER",IF(OR(N($I197)&lt;0,N($J197)&lt;0),"NEGATIVE MINUTES/SESSIONS",IF(AND($K197="Yes",N($I197)&gt;0),"MINUTES ON A PT EVENT - not counted (PT counts sessions)",IF(AND($K197="No",N($J197)&gt;0),"SESSIONS ON A CLASSROOM EVENT - not counted (classroom counts minutes)",IF(AND($N197="Yes",$K197="Yes",N($J197)=0),"COUNTED PT EVENT WITH NO SESSIONS - dropped from the PT cap",IF(AND($N197="Yes",$K197="No",N($I197)=0),"COUNTED EVENT WITH NO MINUTES - dropped from the classroom cap","OK"))))))))))</f>
        <v/>
      </c>
    </row>
    <row r="198">
      <c r="B198" s="17">
        <f>IF($D198="","","A"&amp;TEXT(ROW()-5,"000"))</f>
        <v/>
      </c>
      <c r="C198" s="18" t="n"/>
      <c r="D198" s="16" t="n"/>
      <c r="E198" s="17">
        <f>IF($D198="","",IFERROR(INDEX(rngCadetPIDs,MATCH($D198,rngCadetNames,0)),"?"))</f>
        <v/>
      </c>
      <c r="F198" s="17">
        <f>IF($E198="","",IFERROR(INDEX(nrCadetAgency,MATCH($E198,rngCadetPIDs,0)),""))</f>
        <v/>
      </c>
      <c r="G198" s="16" t="n"/>
      <c r="H198" s="16" t="n"/>
      <c r="I198" s="16" t="n"/>
      <c r="J198" s="16" t="n"/>
      <c r="K198" s="17">
        <f>IF($G198="","",IF(OR($G198="PT Missed",$G198="PT Modified",$G198="PT Refused"),"Yes","No"))</f>
        <v/>
      </c>
      <c r="L198" s="16" t="n"/>
      <c r="M198" s="16" t="n"/>
      <c r="N198" s="17">
        <f>IF($D198="","",IF($M198="Excused","No",IF(AND($G198="PT Modified",$L198="Received"),"No","Yes")))</f>
        <v/>
      </c>
      <c r="O198" s="16" t="n"/>
      <c r="P198" s="17">
        <f>IF(OR($B198="",N($I198)=0),"",MIN(N($I198),SUMIFS(nrMK_Min,nrMK_Link,$B198,nrMK_Credit,"Yes",nrMK_PID,$E198,nrMK_Type,"Classroom")))</f>
        <v/>
      </c>
      <c r="Q198" s="17">
        <f>IF(OR($B198="",N($J198)=0),"",MIN(N($J198),SUMIFS(nrMK_Sess,nrMK_Link,$B198,nrMK_Credit,"Yes",nrMK_PID,$E198,nrMK_Type,"PT")))</f>
        <v/>
      </c>
      <c r="R198" s="17">
        <f>IF(OR($B198="",$N198&lt;&gt;"Yes"),"",IF($K198="Yes",IF(N($J198)&gt;0,N($J198)-N($Q198),""),IF(N($I198)&gt;0,N($I198)-N($P198),"")))</f>
        <v/>
      </c>
      <c r="S198" s="17">
        <f>IF(OR($B198="",$R198=""),"",IF($R198&lt;=0,IF(IFERROR(_xlfn.MAXIFS(nrMK_Date,nrMK_Link,$B198,nrMK_Credit,"Yes",nrMK_PID,$E198),0)=0,"CLEARED (makeup date missing)","CLEARED "&amp;TEXT(_xlfn.MAXIFS(nrMK_Date,nrMK_Link,$B198,nrMK_Credit,"Yes",nrMK_PID,$E198),"mm/dd")),"OPEN"))</f>
        <v/>
      </c>
      <c r="T198" s="17">
        <f>IF($D198="","",IF($C198="","NO DATE",IF($G198="","NO EVENT TYPE",IF(AND($I198&lt;&gt;"",NOT(ISNUMBER($I198))),"MINUTES NOT A NUMBER",IF(AND($J198&lt;&gt;"",NOT(ISNUMBER($J198))),"SESSIONS NOT A NUMBER",IF(OR(N($I198)&lt;0,N($J198)&lt;0),"NEGATIVE MINUTES/SESSIONS",IF(AND($K198="Yes",N($I198)&gt;0),"MINUTES ON A PT EVENT - not counted (PT counts sessions)",IF(AND($K198="No",N($J198)&gt;0),"SESSIONS ON A CLASSROOM EVENT - not counted (classroom counts minutes)",IF(AND($N198="Yes",$K198="Yes",N($J198)=0),"COUNTED PT EVENT WITH NO SESSIONS - dropped from the PT cap",IF(AND($N198="Yes",$K198="No",N($I198)=0),"COUNTED EVENT WITH NO MINUTES - dropped from the classroom cap","OK"))))))))))</f>
        <v/>
      </c>
    </row>
    <row r="199">
      <c r="B199" s="17">
        <f>IF($D199="","","A"&amp;TEXT(ROW()-5,"000"))</f>
        <v/>
      </c>
      <c r="C199" s="18" t="n"/>
      <c r="D199" s="16" t="n"/>
      <c r="E199" s="17">
        <f>IF($D199="","",IFERROR(INDEX(rngCadetPIDs,MATCH($D199,rngCadetNames,0)),"?"))</f>
        <v/>
      </c>
      <c r="F199" s="17">
        <f>IF($E199="","",IFERROR(INDEX(nrCadetAgency,MATCH($E199,rngCadetPIDs,0)),""))</f>
        <v/>
      </c>
      <c r="G199" s="16" t="n"/>
      <c r="H199" s="16" t="n"/>
      <c r="I199" s="16" t="n"/>
      <c r="J199" s="16" t="n"/>
      <c r="K199" s="17">
        <f>IF($G199="","",IF(OR($G199="PT Missed",$G199="PT Modified",$G199="PT Refused"),"Yes","No"))</f>
        <v/>
      </c>
      <c r="L199" s="16" t="n"/>
      <c r="M199" s="16" t="n"/>
      <c r="N199" s="17">
        <f>IF($D199="","",IF($M199="Excused","No",IF(AND($G199="PT Modified",$L199="Received"),"No","Yes")))</f>
        <v/>
      </c>
      <c r="O199" s="16" t="n"/>
      <c r="P199" s="17">
        <f>IF(OR($B199="",N($I199)=0),"",MIN(N($I199),SUMIFS(nrMK_Min,nrMK_Link,$B199,nrMK_Credit,"Yes",nrMK_PID,$E199,nrMK_Type,"Classroom")))</f>
        <v/>
      </c>
      <c r="Q199" s="17">
        <f>IF(OR($B199="",N($J199)=0),"",MIN(N($J199),SUMIFS(nrMK_Sess,nrMK_Link,$B199,nrMK_Credit,"Yes",nrMK_PID,$E199,nrMK_Type,"PT")))</f>
        <v/>
      </c>
      <c r="R199" s="17">
        <f>IF(OR($B199="",$N199&lt;&gt;"Yes"),"",IF($K199="Yes",IF(N($J199)&gt;0,N($J199)-N($Q199),""),IF(N($I199)&gt;0,N($I199)-N($P199),"")))</f>
        <v/>
      </c>
      <c r="S199" s="17">
        <f>IF(OR($B199="",$R199=""),"",IF($R199&lt;=0,IF(IFERROR(_xlfn.MAXIFS(nrMK_Date,nrMK_Link,$B199,nrMK_Credit,"Yes",nrMK_PID,$E199),0)=0,"CLEARED (makeup date missing)","CLEARED "&amp;TEXT(_xlfn.MAXIFS(nrMK_Date,nrMK_Link,$B199,nrMK_Credit,"Yes",nrMK_PID,$E199),"mm/dd")),"OPEN"))</f>
        <v/>
      </c>
      <c r="T199" s="17">
        <f>IF($D199="","",IF($C199="","NO DATE",IF($G199="","NO EVENT TYPE",IF(AND($I199&lt;&gt;"",NOT(ISNUMBER($I199))),"MINUTES NOT A NUMBER",IF(AND($J199&lt;&gt;"",NOT(ISNUMBER($J199))),"SESSIONS NOT A NUMBER",IF(OR(N($I199)&lt;0,N($J199)&lt;0),"NEGATIVE MINUTES/SESSIONS",IF(AND($K199="Yes",N($I199)&gt;0),"MINUTES ON A PT EVENT - not counted (PT counts sessions)",IF(AND($K199="No",N($J199)&gt;0),"SESSIONS ON A CLASSROOM EVENT - not counted (classroom counts minutes)",IF(AND($N199="Yes",$K199="Yes",N($J199)=0),"COUNTED PT EVENT WITH NO SESSIONS - dropped from the PT cap",IF(AND($N199="Yes",$K199="No",N($I199)=0),"COUNTED EVENT WITH NO MINUTES - dropped from the classroom cap","OK"))))))))))</f>
        <v/>
      </c>
    </row>
    <row r="200">
      <c r="B200" s="17">
        <f>IF($D200="","","A"&amp;TEXT(ROW()-5,"000"))</f>
        <v/>
      </c>
      <c r="C200" s="18" t="n"/>
      <c r="D200" s="16" t="n"/>
      <c r="E200" s="17">
        <f>IF($D200="","",IFERROR(INDEX(rngCadetPIDs,MATCH($D200,rngCadetNames,0)),"?"))</f>
        <v/>
      </c>
      <c r="F200" s="17">
        <f>IF($E200="","",IFERROR(INDEX(nrCadetAgency,MATCH($E200,rngCadetPIDs,0)),""))</f>
        <v/>
      </c>
      <c r="G200" s="16" t="n"/>
      <c r="H200" s="16" t="n"/>
      <c r="I200" s="16" t="n"/>
      <c r="J200" s="16" t="n"/>
      <c r="K200" s="17">
        <f>IF($G200="","",IF(OR($G200="PT Missed",$G200="PT Modified",$G200="PT Refused"),"Yes","No"))</f>
        <v/>
      </c>
      <c r="L200" s="16" t="n"/>
      <c r="M200" s="16" t="n"/>
      <c r="N200" s="17">
        <f>IF($D200="","",IF($M200="Excused","No",IF(AND($G200="PT Modified",$L200="Received"),"No","Yes")))</f>
        <v/>
      </c>
      <c r="O200" s="16" t="n"/>
      <c r="P200" s="17">
        <f>IF(OR($B200="",N($I200)=0),"",MIN(N($I200),SUMIFS(nrMK_Min,nrMK_Link,$B200,nrMK_Credit,"Yes",nrMK_PID,$E200,nrMK_Type,"Classroom")))</f>
        <v/>
      </c>
      <c r="Q200" s="17">
        <f>IF(OR($B200="",N($J200)=0),"",MIN(N($J200),SUMIFS(nrMK_Sess,nrMK_Link,$B200,nrMK_Credit,"Yes",nrMK_PID,$E200,nrMK_Type,"PT")))</f>
        <v/>
      </c>
      <c r="R200" s="17">
        <f>IF(OR($B200="",$N200&lt;&gt;"Yes"),"",IF($K200="Yes",IF(N($J200)&gt;0,N($J200)-N($Q200),""),IF(N($I200)&gt;0,N($I200)-N($P200),"")))</f>
        <v/>
      </c>
      <c r="S200" s="17">
        <f>IF(OR($B200="",$R200=""),"",IF($R200&lt;=0,IF(IFERROR(_xlfn.MAXIFS(nrMK_Date,nrMK_Link,$B200,nrMK_Credit,"Yes",nrMK_PID,$E200),0)=0,"CLEARED (makeup date missing)","CLEARED "&amp;TEXT(_xlfn.MAXIFS(nrMK_Date,nrMK_Link,$B200,nrMK_Credit,"Yes",nrMK_PID,$E200),"mm/dd")),"OPEN"))</f>
        <v/>
      </c>
      <c r="T200" s="17">
        <f>IF($D200="","",IF($C200="","NO DATE",IF($G200="","NO EVENT TYPE",IF(AND($I200&lt;&gt;"",NOT(ISNUMBER($I200))),"MINUTES NOT A NUMBER",IF(AND($J200&lt;&gt;"",NOT(ISNUMBER($J200))),"SESSIONS NOT A NUMBER",IF(OR(N($I200)&lt;0,N($J200)&lt;0),"NEGATIVE MINUTES/SESSIONS",IF(AND($K200="Yes",N($I200)&gt;0),"MINUTES ON A PT EVENT - not counted (PT counts sessions)",IF(AND($K200="No",N($J200)&gt;0),"SESSIONS ON A CLASSROOM EVENT - not counted (classroom counts minutes)",IF(AND($N200="Yes",$K200="Yes",N($J200)=0),"COUNTED PT EVENT WITH NO SESSIONS - dropped from the PT cap",IF(AND($N200="Yes",$K200="No",N($I200)=0),"COUNTED EVENT WITH NO MINUTES - dropped from the classroom cap","OK"))))))))))</f>
        <v/>
      </c>
    </row>
    <row r="201">
      <c r="B201" s="17">
        <f>IF($D201="","","A"&amp;TEXT(ROW()-5,"000"))</f>
        <v/>
      </c>
      <c r="C201" s="18" t="n"/>
      <c r="D201" s="16" t="n"/>
      <c r="E201" s="17">
        <f>IF($D201="","",IFERROR(INDEX(rngCadetPIDs,MATCH($D201,rngCadetNames,0)),"?"))</f>
        <v/>
      </c>
      <c r="F201" s="17">
        <f>IF($E201="","",IFERROR(INDEX(nrCadetAgency,MATCH($E201,rngCadetPIDs,0)),""))</f>
        <v/>
      </c>
      <c r="G201" s="16" t="n"/>
      <c r="H201" s="16" t="n"/>
      <c r="I201" s="16" t="n"/>
      <c r="J201" s="16" t="n"/>
      <c r="K201" s="17">
        <f>IF($G201="","",IF(OR($G201="PT Missed",$G201="PT Modified",$G201="PT Refused"),"Yes","No"))</f>
        <v/>
      </c>
      <c r="L201" s="16" t="n"/>
      <c r="M201" s="16" t="n"/>
      <c r="N201" s="17">
        <f>IF($D201="","",IF($M201="Excused","No",IF(AND($G201="PT Modified",$L201="Received"),"No","Yes")))</f>
        <v/>
      </c>
      <c r="O201" s="16" t="n"/>
      <c r="P201" s="17">
        <f>IF(OR($B201="",N($I201)=0),"",MIN(N($I201),SUMIFS(nrMK_Min,nrMK_Link,$B201,nrMK_Credit,"Yes",nrMK_PID,$E201,nrMK_Type,"Classroom")))</f>
        <v/>
      </c>
      <c r="Q201" s="17">
        <f>IF(OR($B201="",N($J201)=0),"",MIN(N($J201),SUMIFS(nrMK_Sess,nrMK_Link,$B201,nrMK_Credit,"Yes",nrMK_PID,$E201,nrMK_Type,"PT")))</f>
        <v/>
      </c>
      <c r="R201" s="17">
        <f>IF(OR($B201="",$N201&lt;&gt;"Yes"),"",IF($K201="Yes",IF(N($J201)&gt;0,N($J201)-N($Q201),""),IF(N($I201)&gt;0,N($I201)-N($P201),"")))</f>
        <v/>
      </c>
      <c r="S201" s="17">
        <f>IF(OR($B201="",$R201=""),"",IF($R201&lt;=0,IF(IFERROR(_xlfn.MAXIFS(nrMK_Date,nrMK_Link,$B201,nrMK_Credit,"Yes",nrMK_PID,$E201),0)=0,"CLEARED (makeup date missing)","CLEARED "&amp;TEXT(_xlfn.MAXIFS(nrMK_Date,nrMK_Link,$B201,nrMK_Credit,"Yes",nrMK_PID,$E201),"mm/dd")),"OPEN"))</f>
        <v/>
      </c>
      <c r="T201" s="17">
        <f>IF($D201="","",IF($C201="","NO DATE",IF($G201="","NO EVENT TYPE",IF(AND($I201&lt;&gt;"",NOT(ISNUMBER($I201))),"MINUTES NOT A NUMBER",IF(AND($J201&lt;&gt;"",NOT(ISNUMBER($J201))),"SESSIONS NOT A NUMBER",IF(OR(N($I201)&lt;0,N($J201)&lt;0),"NEGATIVE MINUTES/SESSIONS",IF(AND($K201="Yes",N($I201)&gt;0),"MINUTES ON A PT EVENT - not counted (PT counts sessions)",IF(AND($K201="No",N($J201)&gt;0),"SESSIONS ON A CLASSROOM EVENT - not counted (classroom counts minutes)",IF(AND($N201="Yes",$K201="Yes",N($J201)=0),"COUNTED PT EVENT WITH NO SESSIONS - dropped from the PT cap",IF(AND($N201="Yes",$K201="No",N($I201)=0),"COUNTED EVENT WITH NO MINUTES - dropped from the classroom cap","OK"))))))))))</f>
        <v/>
      </c>
    </row>
    <row r="202">
      <c r="B202" s="17">
        <f>IF($D202="","","A"&amp;TEXT(ROW()-5,"000"))</f>
        <v/>
      </c>
      <c r="C202" s="18" t="n"/>
      <c r="D202" s="16" t="n"/>
      <c r="E202" s="17">
        <f>IF($D202="","",IFERROR(INDEX(rngCadetPIDs,MATCH($D202,rngCadetNames,0)),"?"))</f>
        <v/>
      </c>
      <c r="F202" s="17">
        <f>IF($E202="","",IFERROR(INDEX(nrCadetAgency,MATCH($E202,rngCadetPIDs,0)),""))</f>
        <v/>
      </c>
      <c r="G202" s="16" t="n"/>
      <c r="H202" s="16" t="n"/>
      <c r="I202" s="16" t="n"/>
      <c r="J202" s="16" t="n"/>
      <c r="K202" s="17">
        <f>IF($G202="","",IF(OR($G202="PT Missed",$G202="PT Modified",$G202="PT Refused"),"Yes","No"))</f>
        <v/>
      </c>
      <c r="L202" s="16" t="n"/>
      <c r="M202" s="16" t="n"/>
      <c r="N202" s="17">
        <f>IF($D202="","",IF($M202="Excused","No",IF(AND($G202="PT Modified",$L202="Received"),"No","Yes")))</f>
        <v/>
      </c>
      <c r="O202" s="16" t="n"/>
      <c r="P202" s="17">
        <f>IF(OR($B202="",N($I202)=0),"",MIN(N($I202),SUMIFS(nrMK_Min,nrMK_Link,$B202,nrMK_Credit,"Yes",nrMK_PID,$E202,nrMK_Type,"Classroom")))</f>
        <v/>
      </c>
      <c r="Q202" s="17">
        <f>IF(OR($B202="",N($J202)=0),"",MIN(N($J202),SUMIFS(nrMK_Sess,nrMK_Link,$B202,nrMK_Credit,"Yes",nrMK_PID,$E202,nrMK_Type,"PT")))</f>
        <v/>
      </c>
      <c r="R202" s="17">
        <f>IF(OR($B202="",$N202&lt;&gt;"Yes"),"",IF($K202="Yes",IF(N($J202)&gt;0,N($J202)-N($Q202),""),IF(N($I202)&gt;0,N($I202)-N($P202),"")))</f>
        <v/>
      </c>
      <c r="S202" s="17">
        <f>IF(OR($B202="",$R202=""),"",IF($R202&lt;=0,IF(IFERROR(_xlfn.MAXIFS(nrMK_Date,nrMK_Link,$B202,nrMK_Credit,"Yes",nrMK_PID,$E202),0)=0,"CLEARED (makeup date missing)","CLEARED "&amp;TEXT(_xlfn.MAXIFS(nrMK_Date,nrMK_Link,$B202,nrMK_Credit,"Yes",nrMK_PID,$E202),"mm/dd")),"OPEN"))</f>
        <v/>
      </c>
      <c r="T202" s="17">
        <f>IF($D202="","",IF($C202="","NO DATE",IF($G202="","NO EVENT TYPE",IF(AND($I202&lt;&gt;"",NOT(ISNUMBER($I202))),"MINUTES NOT A NUMBER",IF(AND($J202&lt;&gt;"",NOT(ISNUMBER($J202))),"SESSIONS NOT A NUMBER",IF(OR(N($I202)&lt;0,N($J202)&lt;0),"NEGATIVE MINUTES/SESSIONS",IF(AND($K202="Yes",N($I202)&gt;0),"MINUTES ON A PT EVENT - not counted (PT counts sessions)",IF(AND($K202="No",N($J202)&gt;0),"SESSIONS ON A CLASSROOM EVENT - not counted (classroom counts minutes)",IF(AND($N202="Yes",$K202="Yes",N($J202)=0),"COUNTED PT EVENT WITH NO SESSIONS - dropped from the PT cap",IF(AND($N202="Yes",$K202="No",N($I202)=0),"COUNTED EVENT WITH NO MINUTES - dropped from the classroom cap","OK"))))))))))</f>
        <v/>
      </c>
    </row>
    <row r="203">
      <c r="B203" s="17">
        <f>IF($D203="","","A"&amp;TEXT(ROW()-5,"000"))</f>
        <v/>
      </c>
      <c r="C203" s="18" t="n"/>
      <c r="D203" s="16" t="n"/>
      <c r="E203" s="17">
        <f>IF($D203="","",IFERROR(INDEX(rngCadetPIDs,MATCH($D203,rngCadetNames,0)),"?"))</f>
        <v/>
      </c>
      <c r="F203" s="17">
        <f>IF($E203="","",IFERROR(INDEX(nrCadetAgency,MATCH($E203,rngCadetPIDs,0)),""))</f>
        <v/>
      </c>
      <c r="G203" s="16" t="n"/>
      <c r="H203" s="16" t="n"/>
      <c r="I203" s="16" t="n"/>
      <c r="J203" s="16" t="n"/>
      <c r="K203" s="17">
        <f>IF($G203="","",IF(OR($G203="PT Missed",$G203="PT Modified",$G203="PT Refused"),"Yes","No"))</f>
        <v/>
      </c>
      <c r="L203" s="16" t="n"/>
      <c r="M203" s="16" t="n"/>
      <c r="N203" s="17">
        <f>IF($D203="","",IF($M203="Excused","No",IF(AND($G203="PT Modified",$L203="Received"),"No","Yes")))</f>
        <v/>
      </c>
      <c r="O203" s="16" t="n"/>
      <c r="P203" s="17">
        <f>IF(OR($B203="",N($I203)=0),"",MIN(N($I203),SUMIFS(nrMK_Min,nrMK_Link,$B203,nrMK_Credit,"Yes",nrMK_PID,$E203,nrMK_Type,"Classroom")))</f>
        <v/>
      </c>
      <c r="Q203" s="17">
        <f>IF(OR($B203="",N($J203)=0),"",MIN(N($J203),SUMIFS(nrMK_Sess,nrMK_Link,$B203,nrMK_Credit,"Yes",nrMK_PID,$E203,nrMK_Type,"PT")))</f>
        <v/>
      </c>
      <c r="R203" s="17">
        <f>IF(OR($B203="",$N203&lt;&gt;"Yes"),"",IF($K203="Yes",IF(N($J203)&gt;0,N($J203)-N($Q203),""),IF(N($I203)&gt;0,N($I203)-N($P203),"")))</f>
        <v/>
      </c>
      <c r="S203" s="17">
        <f>IF(OR($B203="",$R203=""),"",IF($R203&lt;=0,IF(IFERROR(_xlfn.MAXIFS(nrMK_Date,nrMK_Link,$B203,nrMK_Credit,"Yes",nrMK_PID,$E203),0)=0,"CLEARED (makeup date missing)","CLEARED "&amp;TEXT(_xlfn.MAXIFS(nrMK_Date,nrMK_Link,$B203,nrMK_Credit,"Yes",nrMK_PID,$E203),"mm/dd")),"OPEN"))</f>
        <v/>
      </c>
      <c r="T203" s="17">
        <f>IF($D203="","",IF($C203="","NO DATE",IF($G203="","NO EVENT TYPE",IF(AND($I203&lt;&gt;"",NOT(ISNUMBER($I203))),"MINUTES NOT A NUMBER",IF(AND($J203&lt;&gt;"",NOT(ISNUMBER($J203))),"SESSIONS NOT A NUMBER",IF(OR(N($I203)&lt;0,N($J203)&lt;0),"NEGATIVE MINUTES/SESSIONS",IF(AND($K203="Yes",N($I203)&gt;0),"MINUTES ON A PT EVENT - not counted (PT counts sessions)",IF(AND($K203="No",N($J203)&gt;0),"SESSIONS ON A CLASSROOM EVENT - not counted (classroom counts minutes)",IF(AND($N203="Yes",$K203="Yes",N($J203)=0),"COUNTED PT EVENT WITH NO SESSIONS - dropped from the PT cap",IF(AND($N203="Yes",$K203="No",N($I203)=0),"COUNTED EVENT WITH NO MINUTES - dropped from the classroom cap","OK"))))))))))</f>
        <v/>
      </c>
    </row>
    <row r="204">
      <c r="B204" s="17">
        <f>IF($D204="","","A"&amp;TEXT(ROW()-5,"000"))</f>
        <v/>
      </c>
      <c r="C204" s="18" t="n"/>
      <c r="D204" s="16" t="n"/>
      <c r="E204" s="17">
        <f>IF($D204="","",IFERROR(INDEX(rngCadetPIDs,MATCH($D204,rngCadetNames,0)),"?"))</f>
        <v/>
      </c>
      <c r="F204" s="17">
        <f>IF($E204="","",IFERROR(INDEX(nrCadetAgency,MATCH($E204,rngCadetPIDs,0)),""))</f>
        <v/>
      </c>
      <c r="G204" s="16" t="n"/>
      <c r="H204" s="16" t="n"/>
      <c r="I204" s="16" t="n"/>
      <c r="J204" s="16" t="n"/>
      <c r="K204" s="17">
        <f>IF($G204="","",IF(OR($G204="PT Missed",$G204="PT Modified",$G204="PT Refused"),"Yes","No"))</f>
        <v/>
      </c>
      <c r="L204" s="16" t="n"/>
      <c r="M204" s="16" t="n"/>
      <c r="N204" s="17">
        <f>IF($D204="","",IF($M204="Excused","No",IF(AND($G204="PT Modified",$L204="Received"),"No","Yes")))</f>
        <v/>
      </c>
      <c r="O204" s="16" t="n"/>
      <c r="P204" s="17">
        <f>IF(OR($B204="",N($I204)=0),"",MIN(N($I204),SUMIFS(nrMK_Min,nrMK_Link,$B204,nrMK_Credit,"Yes",nrMK_PID,$E204,nrMK_Type,"Classroom")))</f>
        <v/>
      </c>
      <c r="Q204" s="17">
        <f>IF(OR($B204="",N($J204)=0),"",MIN(N($J204),SUMIFS(nrMK_Sess,nrMK_Link,$B204,nrMK_Credit,"Yes",nrMK_PID,$E204,nrMK_Type,"PT")))</f>
        <v/>
      </c>
      <c r="R204" s="17">
        <f>IF(OR($B204="",$N204&lt;&gt;"Yes"),"",IF($K204="Yes",IF(N($J204)&gt;0,N($J204)-N($Q204),""),IF(N($I204)&gt;0,N($I204)-N($P204),"")))</f>
        <v/>
      </c>
      <c r="S204" s="17">
        <f>IF(OR($B204="",$R204=""),"",IF($R204&lt;=0,IF(IFERROR(_xlfn.MAXIFS(nrMK_Date,nrMK_Link,$B204,nrMK_Credit,"Yes",nrMK_PID,$E204),0)=0,"CLEARED (makeup date missing)","CLEARED "&amp;TEXT(_xlfn.MAXIFS(nrMK_Date,nrMK_Link,$B204,nrMK_Credit,"Yes",nrMK_PID,$E204),"mm/dd")),"OPEN"))</f>
        <v/>
      </c>
      <c r="T204" s="17">
        <f>IF($D204="","",IF($C204="","NO DATE",IF($G204="","NO EVENT TYPE",IF(AND($I204&lt;&gt;"",NOT(ISNUMBER($I204))),"MINUTES NOT A NUMBER",IF(AND($J204&lt;&gt;"",NOT(ISNUMBER($J204))),"SESSIONS NOT A NUMBER",IF(OR(N($I204)&lt;0,N($J204)&lt;0),"NEGATIVE MINUTES/SESSIONS",IF(AND($K204="Yes",N($I204)&gt;0),"MINUTES ON A PT EVENT - not counted (PT counts sessions)",IF(AND($K204="No",N($J204)&gt;0),"SESSIONS ON A CLASSROOM EVENT - not counted (classroom counts minutes)",IF(AND($N204="Yes",$K204="Yes",N($J204)=0),"COUNTED PT EVENT WITH NO SESSIONS - dropped from the PT cap",IF(AND($N204="Yes",$K204="No",N($I204)=0),"COUNTED EVENT WITH NO MINUTES - dropped from the classroom cap","OK"))))))))))</f>
        <v/>
      </c>
    </row>
    <row r="205">
      <c r="B205" s="17">
        <f>IF($D205="","","A"&amp;TEXT(ROW()-5,"000"))</f>
        <v/>
      </c>
      <c r="C205" s="18" t="n"/>
      <c r="D205" s="16" t="n"/>
      <c r="E205" s="17">
        <f>IF($D205="","",IFERROR(INDEX(rngCadetPIDs,MATCH($D205,rngCadetNames,0)),"?"))</f>
        <v/>
      </c>
      <c r="F205" s="17">
        <f>IF($E205="","",IFERROR(INDEX(nrCadetAgency,MATCH($E205,rngCadetPIDs,0)),""))</f>
        <v/>
      </c>
      <c r="G205" s="16" t="n"/>
      <c r="H205" s="16" t="n"/>
      <c r="I205" s="16" t="n"/>
      <c r="J205" s="16" t="n"/>
      <c r="K205" s="17">
        <f>IF($G205="","",IF(OR($G205="PT Missed",$G205="PT Modified",$G205="PT Refused"),"Yes","No"))</f>
        <v/>
      </c>
      <c r="L205" s="16" t="n"/>
      <c r="M205" s="16" t="n"/>
      <c r="N205" s="17">
        <f>IF($D205="","",IF($M205="Excused","No",IF(AND($G205="PT Modified",$L205="Received"),"No","Yes")))</f>
        <v/>
      </c>
      <c r="O205" s="16" t="n"/>
      <c r="P205" s="17">
        <f>IF(OR($B205="",N($I205)=0),"",MIN(N($I205),SUMIFS(nrMK_Min,nrMK_Link,$B205,nrMK_Credit,"Yes",nrMK_PID,$E205,nrMK_Type,"Classroom")))</f>
        <v/>
      </c>
      <c r="Q205" s="17">
        <f>IF(OR($B205="",N($J205)=0),"",MIN(N($J205),SUMIFS(nrMK_Sess,nrMK_Link,$B205,nrMK_Credit,"Yes",nrMK_PID,$E205,nrMK_Type,"PT")))</f>
        <v/>
      </c>
      <c r="R205" s="17">
        <f>IF(OR($B205="",$N205&lt;&gt;"Yes"),"",IF($K205="Yes",IF(N($J205)&gt;0,N($J205)-N($Q205),""),IF(N($I205)&gt;0,N($I205)-N($P205),"")))</f>
        <v/>
      </c>
      <c r="S205" s="17">
        <f>IF(OR($B205="",$R205=""),"",IF($R205&lt;=0,IF(IFERROR(_xlfn.MAXIFS(nrMK_Date,nrMK_Link,$B205,nrMK_Credit,"Yes",nrMK_PID,$E205),0)=0,"CLEARED (makeup date missing)","CLEARED "&amp;TEXT(_xlfn.MAXIFS(nrMK_Date,nrMK_Link,$B205,nrMK_Credit,"Yes",nrMK_PID,$E205),"mm/dd")),"OPEN"))</f>
        <v/>
      </c>
      <c r="T205" s="17">
        <f>IF($D205="","",IF($C205="","NO DATE",IF($G205="","NO EVENT TYPE",IF(AND($I205&lt;&gt;"",NOT(ISNUMBER($I205))),"MINUTES NOT A NUMBER",IF(AND($J205&lt;&gt;"",NOT(ISNUMBER($J205))),"SESSIONS NOT A NUMBER",IF(OR(N($I205)&lt;0,N($J205)&lt;0),"NEGATIVE MINUTES/SESSIONS",IF(AND($K205="Yes",N($I205)&gt;0),"MINUTES ON A PT EVENT - not counted (PT counts sessions)",IF(AND($K205="No",N($J205)&gt;0),"SESSIONS ON A CLASSROOM EVENT - not counted (classroom counts minutes)",IF(AND($N205="Yes",$K205="Yes",N($J205)=0),"COUNTED PT EVENT WITH NO SESSIONS - dropped from the PT cap",IF(AND($N205="Yes",$K205="No",N($I205)=0),"COUNTED EVENT WITH NO MINUTES - dropped from the classroom cap","OK"))))))))))</f>
        <v/>
      </c>
    </row>
    <row r="206">
      <c r="B206" s="17">
        <f>IF($D206="","","A"&amp;TEXT(ROW()-5,"000"))</f>
        <v/>
      </c>
      <c r="C206" s="18" t="n"/>
      <c r="D206" s="16" t="n"/>
      <c r="E206" s="17">
        <f>IF($D206="","",IFERROR(INDEX(rngCadetPIDs,MATCH($D206,rngCadetNames,0)),"?"))</f>
        <v/>
      </c>
      <c r="F206" s="17">
        <f>IF($E206="","",IFERROR(INDEX(nrCadetAgency,MATCH($E206,rngCadetPIDs,0)),""))</f>
        <v/>
      </c>
      <c r="G206" s="16" t="n"/>
      <c r="H206" s="16" t="n"/>
      <c r="I206" s="16" t="n"/>
      <c r="J206" s="16" t="n"/>
      <c r="K206" s="17">
        <f>IF($G206="","",IF(OR($G206="PT Missed",$G206="PT Modified",$G206="PT Refused"),"Yes","No"))</f>
        <v/>
      </c>
      <c r="L206" s="16" t="n"/>
      <c r="M206" s="16" t="n"/>
      <c r="N206" s="17">
        <f>IF($D206="","",IF($M206="Excused","No",IF(AND($G206="PT Modified",$L206="Received"),"No","Yes")))</f>
        <v/>
      </c>
      <c r="O206" s="16" t="n"/>
      <c r="P206" s="17">
        <f>IF(OR($B206="",N($I206)=0),"",MIN(N($I206),SUMIFS(nrMK_Min,nrMK_Link,$B206,nrMK_Credit,"Yes",nrMK_PID,$E206,nrMK_Type,"Classroom")))</f>
        <v/>
      </c>
      <c r="Q206" s="17">
        <f>IF(OR($B206="",N($J206)=0),"",MIN(N($J206),SUMIFS(nrMK_Sess,nrMK_Link,$B206,nrMK_Credit,"Yes",nrMK_PID,$E206,nrMK_Type,"PT")))</f>
        <v/>
      </c>
      <c r="R206" s="17">
        <f>IF(OR($B206="",$N206&lt;&gt;"Yes"),"",IF($K206="Yes",IF(N($J206)&gt;0,N($J206)-N($Q206),""),IF(N($I206)&gt;0,N($I206)-N($P206),"")))</f>
        <v/>
      </c>
      <c r="S206" s="17">
        <f>IF(OR($B206="",$R206=""),"",IF($R206&lt;=0,IF(IFERROR(_xlfn.MAXIFS(nrMK_Date,nrMK_Link,$B206,nrMK_Credit,"Yes",nrMK_PID,$E206),0)=0,"CLEARED (makeup date missing)","CLEARED "&amp;TEXT(_xlfn.MAXIFS(nrMK_Date,nrMK_Link,$B206,nrMK_Credit,"Yes",nrMK_PID,$E206),"mm/dd")),"OPEN"))</f>
        <v/>
      </c>
      <c r="T206" s="17">
        <f>IF($D206="","",IF($C206="","NO DATE",IF($G206="","NO EVENT TYPE",IF(AND($I206&lt;&gt;"",NOT(ISNUMBER($I206))),"MINUTES NOT A NUMBER",IF(AND($J206&lt;&gt;"",NOT(ISNUMBER($J206))),"SESSIONS NOT A NUMBER",IF(OR(N($I206)&lt;0,N($J206)&lt;0),"NEGATIVE MINUTES/SESSIONS",IF(AND($K206="Yes",N($I206)&gt;0),"MINUTES ON A PT EVENT - not counted (PT counts sessions)",IF(AND($K206="No",N($J206)&gt;0),"SESSIONS ON A CLASSROOM EVENT - not counted (classroom counts minutes)",IF(AND($N206="Yes",$K206="Yes",N($J206)=0),"COUNTED PT EVENT WITH NO SESSIONS - dropped from the PT cap",IF(AND($N206="Yes",$K206="No",N($I206)=0),"COUNTED EVENT WITH NO MINUTES - dropped from the classroom cap","OK"))))))))))</f>
        <v/>
      </c>
    </row>
    <row r="207">
      <c r="B207" s="17">
        <f>IF($D207="","","A"&amp;TEXT(ROW()-5,"000"))</f>
        <v/>
      </c>
      <c r="C207" s="18" t="n"/>
      <c r="D207" s="16" t="n"/>
      <c r="E207" s="17">
        <f>IF($D207="","",IFERROR(INDEX(rngCadetPIDs,MATCH($D207,rngCadetNames,0)),"?"))</f>
        <v/>
      </c>
      <c r="F207" s="17">
        <f>IF($E207="","",IFERROR(INDEX(nrCadetAgency,MATCH($E207,rngCadetPIDs,0)),""))</f>
        <v/>
      </c>
      <c r="G207" s="16" t="n"/>
      <c r="H207" s="16" t="n"/>
      <c r="I207" s="16" t="n"/>
      <c r="J207" s="16" t="n"/>
      <c r="K207" s="17">
        <f>IF($G207="","",IF(OR($G207="PT Missed",$G207="PT Modified",$G207="PT Refused"),"Yes","No"))</f>
        <v/>
      </c>
      <c r="L207" s="16" t="n"/>
      <c r="M207" s="16" t="n"/>
      <c r="N207" s="17">
        <f>IF($D207="","",IF($M207="Excused","No",IF(AND($G207="PT Modified",$L207="Received"),"No","Yes")))</f>
        <v/>
      </c>
      <c r="O207" s="16" t="n"/>
      <c r="P207" s="17">
        <f>IF(OR($B207="",N($I207)=0),"",MIN(N($I207),SUMIFS(nrMK_Min,nrMK_Link,$B207,nrMK_Credit,"Yes",nrMK_PID,$E207,nrMK_Type,"Classroom")))</f>
        <v/>
      </c>
      <c r="Q207" s="17">
        <f>IF(OR($B207="",N($J207)=0),"",MIN(N($J207),SUMIFS(nrMK_Sess,nrMK_Link,$B207,nrMK_Credit,"Yes",nrMK_PID,$E207,nrMK_Type,"PT")))</f>
        <v/>
      </c>
      <c r="R207" s="17">
        <f>IF(OR($B207="",$N207&lt;&gt;"Yes"),"",IF($K207="Yes",IF(N($J207)&gt;0,N($J207)-N($Q207),""),IF(N($I207)&gt;0,N($I207)-N($P207),"")))</f>
        <v/>
      </c>
      <c r="S207" s="17">
        <f>IF(OR($B207="",$R207=""),"",IF($R207&lt;=0,IF(IFERROR(_xlfn.MAXIFS(nrMK_Date,nrMK_Link,$B207,nrMK_Credit,"Yes",nrMK_PID,$E207),0)=0,"CLEARED (makeup date missing)","CLEARED "&amp;TEXT(_xlfn.MAXIFS(nrMK_Date,nrMK_Link,$B207,nrMK_Credit,"Yes",nrMK_PID,$E207),"mm/dd")),"OPEN"))</f>
        <v/>
      </c>
      <c r="T207" s="17">
        <f>IF($D207="","",IF($C207="","NO DATE",IF($G207="","NO EVENT TYPE",IF(AND($I207&lt;&gt;"",NOT(ISNUMBER($I207))),"MINUTES NOT A NUMBER",IF(AND($J207&lt;&gt;"",NOT(ISNUMBER($J207))),"SESSIONS NOT A NUMBER",IF(OR(N($I207)&lt;0,N($J207)&lt;0),"NEGATIVE MINUTES/SESSIONS",IF(AND($K207="Yes",N($I207)&gt;0),"MINUTES ON A PT EVENT - not counted (PT counts sessions)",IF(AND($K207="No",N($J207)&gt;0),"SESSIONS ON A CLASSROOM EVENT - not counted (classroom counts minutes)",IF(AND($N207="Yes",$K207="Yes",N($J207)=0),"COUNTED PT EVENT WITH NO SESSIONS - dropped from the PT cap",IF(AND($N207="Yes",$K207="No",N($I207)=0),"COUNTED EVENT WITH NO MINUTES - dropped from the classroom cap","OK"))))))))))</f>
        <v/>
      </c>
    </row>
    <row r="208">
      <c r="B208" s="17">
        <f>IF($D208="","","A"&amp;TEXT(ROW()-5,"000"))</f>
        <v/>
      </c>
      <c r="C208" s="18" t="n"/>
      <c r="D208" s="16" t="n"/>
      <c r="E208" s="17">
        <f>IF($D208="","",IFERROR(INDEX(rngCadetPIDs,MATCH($D208,rngCadetNames,0)),"?"))</f>
        <v/>
      </c>
      <c r="F208" s="17">
        <f>IF($E208="","",IFERROR(INDEX(nrCadetAgency,MATCH($E208,rngCadetPIDs,0)),""))</f>
        <v/>
      </c>
      <c r="G208" s="16" t="n"/>
      <c r="H208" s="16" t="n"/>
      <c r="I208" s="16" t="n"/>
      <c r="J208" s="16" t="n"/>
      <c r="K208" s="17">
        <f>IF($G208="","",IF(OR($G208="PT Missed",$G208="PT Modified",$G208="PT Refused"),"Yes","No"))</f>
        <v/>
      </c>
      <c r="L208" s="16" t="n"/>
      <c r="M208" s="16" t="n"/>
      <c r="N208" s="17">
        <f>IF($D208="","",IF($M208="Excused","No",IF(AND($G208="PT Modified",$L208="Received"),"No","Yes")))</f>
        <v/>
      </c>
      <c r="O208" s="16" t="n"/>
      <c r="P208" s="17">
        <f>IF(OR($B208="",N($I208)=0),"",MIN(N($I208),SUMIFS(nrMK_Min,nrMK_Link,$B208,nrMK_Credit,"Yes",nrMK_PID,$E208,nrMK_Type,"Classroom")))</f>
        <v/>
      </c>
      <c r="Q208" s="17">
        <f>IF(OR($B208="",N($J208)=0),"",MIN(N($J208),SUMIFS(nrMK_Sess,nrMK_Link,$B208,nrMK_Credit,"Yes",nrMK_PID,$E208,nrMK_Type,"PT")))</f>
        <v/>
      </c>
      <c r="R208" s="17">
        <f>IF(OR($B208="",$N208&lt;&gt;"Yes"),"",IF($K208="Yes",IF(N($J208)&gt;0,N($J208)-N($Q208),""),IF(N($I208)&gt;0,N($I208)-N($P208),"")))</f>
        <v/>
      </c>
      <c r="S208" s="17">
        <f>IF(OR($B208="",$R208=""),"",IF($R208&lt;=0,IF(IFERROR(_xlfn.MAXIFS(nrMK_Date,nrMK_Link,$B208,nrMK_Credit,"Yes",nrMK_PID,$E208),0)=0,"CLEARED (makeup date missing)","CLEARED "&amp;TEXT(_xlfn.MAXIFS(nrMK_Date,nrMK_Link,$B208,nrMK_Credit,"Yes",nrMK_PID,$E208),"mm/dd")),"OPEN"))</f>
        <v/>
      </c>
      <c r="T208" s="17">
        <f>IF($D208="","",IF($C208="","NO DATE",IF($G208="","NO EVENT TYPE",IF(AND($I208&lt;&gt;"",NOT(ISNUMBER($I208))),"MINUTES NOT A NUMBER",IF(AND($J208&lt;&gt;"",NOT(ISNUMBER($J208))),"SESSIONS NOT A NUMBER",IF(OR(N($I208)&lt;0,N($J208)&lt;0),"NEGATIVE MINUTES/SESSIONS",IF(AND($K208="Yes",N($I208)&gt;0),"MINUTES ON A PT EVENT - not counted (PT counts sessions)",IF(AND($K208="No",N($J208)&gt;0),"SESSIONS ON A CLASSROOM EVENT - not counted (classroom counts minutes)",IF(AND($N208="Yes",$K208="Yes",N($J208)=0),"COUNTED PT EVENT WITH NO SESSIONS - dropped from the PT cap",IF(AND($N208="Yes",$K208="No",N($I208)=0),"COUNTED EVENT WITH NO MINUTES - dropped from the classroom cap","OK"))))))))))</f>
        <v/>
      </c>
    </row>
    <row r="209">
      <c r="B209" s="17">
        <f>IF($D209="","","A"&amp;TEXT(ROW()-5,"000"))</f>
        <v/>
      </c>
      <c r="C209" s="18" t="n"/>
      <c r="D209" s="16" t="n"/>
      <c r="E209" s="17">
        <f>IF($D209="","",IFERROR(INDEX(rngCadetPIDs,MATCH($D209,rngCadetNames,0)),"?"))</f>
        <v/>
      </c>
      <c r="F209" s="17">
        <f>IF($E209="","",IFERROR(INDEX(nrCadetAgency,MATCH($E209,rngCadetPIDs,0)),""))</f>
        <v/>
      </c>
      <c r="G209" s="16" t="n"/>
      <c r="H209" s="16" t="n"/>
      <c r="I209" s="16" t="n"/>
      <c r="J209" s="16" t="n"/>
      <c r="K209" s="17">
        <f>IF($G209="","",IF(OR($G209="PT Missed",$G209="PT Modified",$G209="PT Refused"),"Yes","No"))</f>
        <v/>
      </c>
      <c r="L209" s="16" t="n"/>
      <c r="M209" s="16" t="n"/>
      <c r="N209" s="17">
        <f>IF($D209="","",IF($M209="Excused","No",IF(AND($G209="PT Modified",$L209="Received"),"No","Yes")))</f>
        <v/>
      </c>
      <c r="O209" s="16" t="n"/>
      <c r="P209" s="17">
        <f>IF(OR($B209="",N($I209)=0),"",MIN(N($I209),SUMIFS(nrMK_Min,nrMK_Link,$B209,nrMK_Credit,"Yes",nrMK_PID,$E209,nrMK_Type,"Classroom")))</f>
        <v/>
      </c>
      <c r="Q209" s="17">
        <f>IF(OR($B209="",N($J209)=0),"",MIN(N($J209),SUMIFS(nrMK_Sess,nrMK_Link,$B209,nrMK_Credit,"Yes",nrMK_PID,$E209,nrMK_Type,"PT")))</f>
        <v/>
      </c>
      <c r="R209" s="17">
        <f>IF(OR($B209="",$N209&lt;&gt;"Yes"),"",IF($K209="Yes",IF(N($J209)&gt;0,N($J209)-N($Q209),""),IF(N($I209)&gt;0,N($I209)-N($P209),"")))</f>
        <v/>
      </c>
      <c r="S209" s="17">
        <f>IF(OR($B209="",$R209=""),"",IF($R209&lt;=0,IF(IFERROR(_xlfn.MAXIFS(nrMK_Date,nrMK_Link,$B209,nrMK_Credit,"Yes",nrMK_PID,$E209),0)=0,"CLEARED (makeup date missing)","CLEARED "&amp;TEXT(_xlfn.MAXIFS(nrMK_Date,nrMK_Link,$B209,nrMK_Credit,"Yes",nrMK_PID,$E209),"mm/dd")),"OPEN"))</f>
        <v/>
      </c>
      <c r="T209" s="17">
        <f>IF($D209="","",IF($C209="","NO DATE",IF($G209="","NO EVENT TYPE",IF(AND($I209&lt;&gt;"",NOT(ISNUMBER($I209))),"MINUTES NOT A NUMBER",IF(AND($J209&lt;&gt;"",NOT(ISNUMBER($J209))),"SESSIONS NOT A NUMBER",IF(OR(N($I209)&lt;0,N($J209)&lt;0),"NEGATIVE MINUTES/SESSIONS",IF(AND($K209="Yes",N($I209)&gt;0),"MINUTES ON A PT EVENT - not counted (PT counts sessions)",IF(AND($K209="No",N($J209)&gt;0),"SESSIONS ON A CLASSROOM EVENT - not counted (classroom counts minutes)",IF(AND($N209="Yes",$K209="Yes",N($J209)=0),"COUNTED PT EVENT WITH NO SESSIONS - dropped from the PT cap",IF(AND($N209="Yes",$K209="No",N($I209)=0),"COUNTED EVENT WITH NO MINUTES - dropped from the classroom cap","OK"))))))))))</f>
        <v/>
      </c>
    </row>
    <row r="210">
      <c r="B210" s="17">
        <f>IF($D210="","","A"&amp;TEXT(ROW()-5,"000"))</f>
        <v/>
      </c>
      <c r="C210" s="18" t="n"/>
      <c r="D210" s="16" t="n"/>
      <c r="E210" s="17">
        <f>IF($D210="","",IFERROR(INDEX(rngCadetPIDs,MATCH($D210,rngCadetNames,0)),"?"))</f>
        <v/>
      </c>
      <c r="F210" s="17">
        <f>IF($E210="","",IFERROR(INDEX(nrCadetAgency,MATCH($E210,rngCadetPIDs,0)),""))</f>
        <v/>
      </c>
      <c r="G210" s="16" t="n"/>
      <c r="H210" s="16" t="n"/>
      <c r="I210" s="16" t="n"/>
      <c r="J210" s="16" t="n"/>
      <c r="K210" s="17">
        <f>IF($G210="","",IF(OR($G210="PT Missed",$G210="PT Modified",$G210="PT Refused"),"Yes","No"))</f>
        <v/>
      </c>
      <c r="L210" s="16" t="n"/>
      <c r="M210" s="16" t="n"/>
      <c r="N210" s="17">
        <f>IF($D210="","",IF($M210="Excused","No",IF(AND($G210="PT Modified",$L210="Received"),"No","Yes")))</f>
        <v/>
      </c>
      <c r="O210" s="16" t="n"/>
      <c r="P210" s="17">
        <f>IF(OR($B210="",N($I210)=0),"",MIN(N($I210),SUMIFS(nrMK_Min,nrMK_Link,$B210,nrMK_Credit,"Yes",nrMK_PID,$E210,nrMK_Type,"Classroom")))</f>
        <v/>
      </c>
      <c r="Q210" s="17">
        <f>IF(OR($B210="",N($J210)=0),"",MIN(N($J210),SUMIFS(nrMK_Sess,nrMK_Link,$B210,nrMK_Credit,"Yes",nrMK_PID,$E210,nrMK_Type,"PT")))</f>
        <v/>
      </c>
      <c r="R210" s="17">
        <f>IF(OR($B210="",$N210&lt;&gt;"Yes"),"",IF($K210="Yes",IF(N($J210)&gt;0,N($J210)-N($Q210),""),IF(N($I210)&gt;0,N($I210)-N($P210),"")))</f>
        <v/>
      </c>
      <c r="S210" s="17">
        <f>IF(OR($B210="",$R210=""),"",IF($R210&lt;=0,IF(IFERROR(_xlfn.MAXIFS(nrMK_Date,nrMK_Link,$B210,nrMK_Credit,"Yes",nrMK_PID,$E210),0)=0,"CLEARED (makeup date missing)","CLEARED "&amp;TEXT(_xlfn.MAXIFS(nrMK_Date,nrMK_Link,$B210,nrMK_Credit,"Yes",nrMK_PID,$E210),"mm/dd")),"OPEN"))</f>
        <v/>
      </c>
      <c r="T210" s="17">
        <f>IF($D210="","",IF($C210="","NO DATE",IF($G210="","NO EVENT TYPE",IF(AND($I210&lt;&gt;"",NOT(ISNUMBER($I210))),"MINUTES NOT A NUMBER",IF(AND($J210&lt;&gt;"",NOT(ISNUMBER($J210))),"SESSIONS NOT A NUMBER",IF(OR(N($I210)&lt;0,N($J210)&lt;0),"NEGATIVE MINUTES/SESSIONS",IF(AND($K210="Yes",N($I210)&gt;0),"MINUTES ON A PT EVENT - not counted (PT counts sessions)",IF(AND($K210="No",N($J210)&gt;0),"SESSIONS ON A CLASSROOM EVENT - not counted (classroom counts minutes)",IF(AND($N210="Yes",$K210="Yes",N($J210)=0),"COUNTED PT EVENT WITH NO SESSIONS - dropped from the PT cap",IF(AND($N210="Yes",$K210="No",N($I210)=0),"COUNTED EVENT WITH NO MINUTES - dropped from the classroom cap","OK"))))))))))</f>
        <v/>
      </c>
    </row>
    <row r="211">
      <c r="B211" s="17">
        <f>IF($D211="","","A"&amp;TEXT(ROW()-5,"000"))</f>
        <v/>
      </c>
      <c r="C211" s="18" t="n"/>
      <c r="D211" s="16" t="n"/>
      <c r="E211" s="17">
        <f>IF($D211="","",IFERROR(INDEX(rngCadetPIDs,MATCH($D211,rngCadetNames,0)),"?"))</f>
        <v/>
      </c>
      <c r="F211" s="17">
        <f>IF($E211="","",IFERROR(INDEX(nrCadetAgency,MATCH($E211,rngCadetPIDs,0)),""))</f>
        <v/>
      </c>
      <c r="G211" s="16" t="n"/>
      <c r="H211" s="16" t="n"/>
      <c r="I211" s="16" t="n"/>
      <c r="J211" s="16" t="n"/>
      <c r="K211" s="17">
        <f>IF($G211="","",IF(OR($G211="PT Missed",$G211="PT Modified",$G211="PT Refused"),"Yes","No"))</f>
        <v/>
      </c>
      <c r="L211" s="16" t="n"/>
      <c r="M211" s="16" t="n"/>
      <c r="N211" s="17">
        <f>IF($D211="","",IF($M211="Excused","No",IF(AND($G211="PT Modified",$L211="Received"),"No","Yes")))</f>
        <v/>
      </c>
      <c r="O211" s="16" t="n"/>
      <c r="P211" s="17">
        <f>IF(OR($B211="",N($I211)=0),"",MIN(N($I211),SUMIFS(nrMK_Min,nrMK_Link,$B211,nrMK_Credit,"Yes",nrMK_PID,$E211,nrMK_Type,"Classroom")))</f>
        <v/>
      </c>
      <c r="Q211" s="17">
        <f>IF(OR($B211="",N($J211)=0),"",MIN(N($J211),SUMIFS(nrMK_Sess,nrMK_Link,$B211,nrMK_Credit,"Yes",nrMK_PID,$E211,nrMK_Type,"PT")))</f>
        <v/>
      </c>
      <c r="R211" s="17">
        <f>IF(OR($B211="",$N211&lt;&gt;"Yes"),"",IF($K211="Yes",IF(N($J211)&gt;0,N($J211)-N($Q211),""),IF(N($I211)&gt;0,N($I211)-N($P211),"")))</f>
        <v/>
      </c>
      <c r="S211" s="17">
        <f>IF(OR($B211="",$R211=""),"",IF($R211&lt;=0,IF(IFERROR(_xlfn.MAXIFS(nrMK_Date,nrMK_Link,$B211,nrMK_Credit,"Yes",nrMK_PID,$E211),0)=0,"CLEARED (makeup date missing)","CLEARED "&amp;TEXT(_xlfn.MAXIFS(nrMK_Date,nrMK_Link,$B211,nrMK_Credit,"Yes",nrMK_PID,$E211),"mm/dd")),"OPEN"))</f>
        <v/>
      </c>
      <c r="T211" s="17">
        <f>IF($D211="","",IF($C211="","NO DATE",IF($G211="","NO EVENT TYPE",IF(AND($I211&lt;&gt;"",NOT(ISNUMBER($I211))),"MINUTES NOT A NUMBER",IF(AND($J211&lt;&gt;"",NOT(ISNUMBER($J211))),"SESSIONS NOT A NUMBER",IF(OR(N($I211)&lt;0,N($J211)&lt;0),"NEGATIVE MINUTES/SESSIONS",IF(AND($K211="Yes",N($I211)&gt;0),"MINUTES ON A PT EVENT - not counted (PT counts sessions)",IF(AND($K211="No",N($J211)&gt;0),"SESSIONS ON A CLASSROOM EVENT - not counted (classroom counts minutes)",IF(AND($N211="Yes",$K211="Yes",N($J211)=0),"COUNTED PT EVENT WITH NO SESSIONS - dropped from the PT cap",IF(AND($N211="Yes",$K211="No",N($I211)=0),"COUNTED EVENT WITH NO MINUTES - dropped from the classroom cap","OK"))))))))))</f>
        <v/>
      </c>
    </row>
    <row r="212">
      <c r="B212" s="17">
        <f>IF($D212="","","A"&amp;TEXT(ROW()-5,"000"))</f>
        <v/>
      </c>
      <c r="C212" s="18" t="n"/>
      <c r="D212" s="16" t="n"/>
      <c r="E212" s="17">
        <f>IF($D212="","",IFERROR(INDEX(rngCadetPIDs,MATCH($D212,rngCadetNames,0)),"?"))</f>
        <v/>
      </c>
      <c r="F212" s="17">
        <f>IF($E212="","",IFERROR(INDEX(nrCadetAgency,MATCH($E212,rngCadetPIDs,0)),""))</f>
        <v/>
      </c>
      <c r="G212" s="16" t="n"/>
      <c r="H212" s="16" t="n"/>
      <c r="I212" s="16" t="n"/>
      <c r="J212" s="16" t="n"/>
      <c r="K212" s="17">
        <f>IF($G212="","",IF(OR($G212="PT Missed",$G212="PT Modified",$G212="PT Refused"),"Yes","No"))</f>
        <v/>
      </c>
      <c r="L212" s="16" t="n"/>
      <c r="M212" s="16" t="n"/>
      <c r="N212" s="17">
        <f>IF($D212="","",IF($M212="Excused","No",IF(AND($G212="PT Modified",$L212="Received"),"No","Yes")))</f>
        <v/>
      </c>
      <c r="O212" s="16" t="n"/>
      <c r="P212" s="17">
        <f>IF(OR($B212="",N($I212)=0),"",MIN(N($I212),SUMIFS(nrMK_Min,nrMK_Link,$B212,nrMK_Credit,"Yes",nrMK_PID,$E212,nrMK_Type,"Classroom")))</f>
        <v/>
      </c>
      <c r="Q212" s="17">
        <f>IF(OR($B212="",N($J212)=0),"",MIN(N($J212),SUMIFS(nrMK_Sess,nrMK_Link,$B212,nrMK_Credit,"Yes",nrMK_PID,$E212,nrMK_Type,"PT")))</f>
        <v/>
      </c>
      <c r="R212" s="17">
        <f>IF(OR($B212="",$N212&lt;&gt;"Yes"),"",IF($K212="Yes",IF(N($J212)&gt;0,N($J212)-N($Q212),""),IF(N($I212)&gt;0,N($I212)-N($P212),"")))</f>
        <v/>
      </c>
      <c r="S212" s="17">
        <f>IF(OR($B212="",$R212=""),"",IF($R212&lt;=0,IF(IFERROR(_xlfn.MAXIFS(nrMK_Date,nrMK_Link,$B212,nrMK_Credit,"Yes",nrMK_PID,$E212),0)=0,"CLEARED (makeup date missing)","CLEARED "&amp;TEXT(_xlfn.MAXIFS(nrMK_Date,nrMK_Link,$B212,nrMK_Credit,"Yes",nrMK_PID,$E212),"mm/dd")),"OPEN"))</f>
        <v/>
      </c>
      <c r="T212" s="17">
        <f>IF($D212="","",IF($C212="","NO DATE",IF($G212="","NO EVENT TYPE",IF(AND($I212&lt;&gt;"",NOT(ISNUMBER($I212))),"MINUTES NOT A NUMBER",IF(AND($J212&lt;&gt;"",NOT(ISNUMBER($J212))),"SESSIONS NOT A NUMBER",IF(OR(N($I212)&lt;0,N($J212)&lt;0),"NEGATIVE MINUTES/SESSIONS",IF(AND($K212="Yes",N($I212)&gt;0),"MINUTES ON A PT EVENT - not counted (PT counts sessions)",IF(AND($K212="No",N($J212)&gt;0),"SESSIONS ON A CLASSROOM EVENT - not counted (classroom counts minutes)",IF(AND($N212="Yes",$K212="Yes",N($J212)=0),"COUNTED PT EVENT WITH NO SESSIONS - dropped from the PT cap",IF(AND($N212="Yes",$K212="No",N($I212)=0),"COUNTED EVENT WITH NO MINUTES - dropped from the classroom cap","OK"))))))))))</f>
        <v/>
      </c>
    </row>
    <row r="213">
      <c r="B213" s="17">
        <f>IF($D213="","","A"&amp;TEXT(ROW()-5,"000"))</f>
        <v/>
      </c>
      <c r="C213" s="18" t="n"/>
      <c r="D213" s="16" t="n"/>
      <c r="E213" s="17">
        <f>IF($D213="","",IFERROR(INDEX(rngCadetPIDs,MATCH($D213,rngCadetNames,0)),"?"))</f>
        <v/>
      </c>
      <c r="F213" s="17">
        <f>IF($E213="","",IFERROR(INDEX(nrCadetAgency,MATCH($E213,rngCadetPIDs,0)),""))</f>
        <v/>
      </c>
      <c r="G213" s="16" t="n"/>
      <c r="H213" s="16" t="n"/>
      <c r="I213" s="16" t="n"/>
      <c r="J213" s="16" t="n"/>
      <c r="K213" s="17">
        <f>IF($G213="","",IF(OR($G213="PT Missed",$G213="PT Modified",$G213="PT Refused"),"Yes","No"))</f>
        <v/>
      </c>
      <c r="L213" s="16" t="n"/>
      <c r="M213" s="16" t="n"/>
      <c r="N213" s="17">
        <f>IF($D213="","",IF($M213="Excused","No",IF(AND($G213="PT Modified",$L213="Received"),"No","Yes")))</f>
        <v/>
      </c>
      <c r="O213" s="16" t="n"/>
      <c r="P213" s="17">
        <f>IF(OR($B213="",N($I213)=0),"",MIN(N($I213),SUMIFS(nrMK_Min,nrMK_Link,$B213,nrMK_Credit,"Yes",nrMK_PID,$E213,nrMK_Type,"Classroom")))</f>
        <v/>
      </c>
      <c r="Q213" s="17">
        <f>IF(OR($B213="",N($J213)=0),"",MIN(N($J213),SUMIFS(nrMK_Sess,nrMK_Link,$B213,nrMK_Credit,"Yes",nrMK_PID,$E213,nrMK_Type,"PT")))</f>
        <v/>
      </c>
      <c r="R213" s="17">
        <f>IF(OR($B213="",$N213&lt;&gt;"Yes"),"",IF($K213="Yes",IF(N($J213)&gt;0,N($J213)-N($Q213),""),IF(N($I213)&gt;0,N($I213)-N($P213),"")))</f>
        <v/>
      </c>
      <c r="S213" s="17">
        <f>IF(OR($B213="",$R213=""),"",IF($R213&lt;=0,IF(IFERROR(_xlfn.MAXIFS(nrMK_Date,nrMK_Link,$B213,nrMK_Credit,"Yes",nrMK_PID,$E213),0)=0,"CLEARED (makeup date missing)","CLEARED "&amp;TEXT(_xlfn.MAXIFS(nrMK_Date,nrMK_Link,$B213,nrMK_Credit,"Yes",nrMK_PID,$E213),"mm/dd")),"OPEN"))</f>
        <v/>
      </c>
      <c r="T213" s="17">
        <f>IF($D213="","",IF($C213="","NO DATE",IF($G213="","NO EVENT TYPE",IF(AND($I213&lt;&gt;"",NOT(ISNUMBER($I213))),"MINUTES NOT A NUMBER",IF(AND($J213&lt;&gt;"",NOT(ISNUMBER($J213))),"SESSIONS NOT A NUMBER",IF(OR(N($I213)&lt;0,N($J213)&lt;0),"NEGATIVE MINUTES/SESSIONS",IF(AND($K213="Yes",N($I213)&gt;0),"MINUTES ON A PT EVENT - not counted (PT counts sessions)",IF(AND($K213="No",N($J213)&gt;0),"SESSIONS ON A CLASSROOM EVENT - not counted (classroom counts minutes)",IF(AND($N213="Yes",$K213="Yes",N($J213)=0),"COUNTED PT EVENT WITH NO SESSIONS - dropped from the PT cap",IF(AND($N213="Yes",$K213="No",N($I213)=0),"COUNTED EVENT WITH NO MINUTES - dropped from the classroom cap","OK"))))))))))</f>
        <v/>
      </c>
    </row>
    <row r="214">
      <c r="B214" s="17">
        <f>IF($D214="","","A"&amp;TEXT(ROW()-5,"000"))</f>
        <v/>
      </c>
      <c r="C214" s="18" t="n"/>
      <c r="D214" s="16" t="n"/>
      <c r="E214" s="17">
        <f>IF($D214="","",IFERROR(INDEX(rngCadetPIDs,MATCH($D214,rngCadetNames,0)),"?"))</f>
        <v/>
      </c>
      <c r="F214" s="17">
        <f>IF($E214="","",IFERROR(INDEX(nrCadetAgency,MATCH($E214,rngCadetPIDs,0)),""))</f>
        <v/>
      </c>
      <c r="G214" s="16" t="n"/>
      <c r="H214" s="16" t="n"/>
      <c r="I214" s="16" t="n"/>
      <c r="J214" s="16" t="n"/>
      <c r="K214" s="17">
        <f>IF($G214="","",IF(OR($G214="PT Missed",$G214="PT Modified",$G214="PT Refused"),"Yes","No"))</f>
        <v/>
      </c>
      <c r="L214" s="16" t="n"/>
      <c r="M214" s="16" t="n"/>
      <c r="N214" s="17">
        <f>IF($D214="","",IF($M214="Excused","No",IF(AND($G214="PT Modified",$L214="Received"),"No","Yes")))</f>
        <v/>
      </c>
      <c r="O214" s="16" t="n"/>
      <c r="P214" s="17">
        <f>IF(OR($B214="",N($I214)=0),"",MIN(N($I214),SUMIFS(nrMK_Min,nrMK_Link,$B214,nrMK_Credit,"Yes",nrMK_PID,$E214,nrMK_Type,"Classroom")))</f>
        <v/>
      </c>
      <c r="Q214" s="17">
        <f>IF(OR($B214="",N($J214)=0),"",MIN(N($J214),SUMIFS(nrMK_Sess,nrMK_Link,$B214,nrMK_Credit,"Yes",nrMK_PID,$E214,nrMK_Type,"PT")))</f>
        <v/>
      </c>
      <c r="R214" s="17">
        <f>IF(OR($B214="",$N214&lt;&gt;"Yes"),"",IF($K214="Yes",IF(N($J214)&gt;0,N($J214)-N($Q214),""),IF(N($I214)&gt;0,N($I214)-N($P214),"")))</f>
        <v/>
      </c>
      <c r="S214" s="17">
        <f>IF(OR($B214="",$R214=""),"",IF($R214&lt;=0,IF(IFERROR(_xlfn.MAXIFS(nrMK_Date,nrMK_Link,$B214,nrMK_Credit,"Yes",nrMK_PID,$E214),0)=0,"CLEARED (makeup date missing)","CLEARED "&amp;TEXT(_xlfn.MAXIFS(nrMK_Date,nrMK_Link,$B214,nrMK_Credit,"Yes",nrMK_PID,$E214),"mm/dd")),"OPEN"))</f>
        <v/>
      </c>
      <c r="T214" s="17">
        <f>IF($D214="","",IF($C214="","NO DATE",IF($G214="","NO EVENT TYPE",IF(AND($I214&lt;&gt;"",NOT(ISNUMBER($I214))),"MINUTES NOT A NUMBER",IF(AND($J214&lt;&gt;"",NOT(ISNUMBER($J214))),"SESSIONS NOT A NUMBER",IF(OR(N($I214)&lt;0,N($J214)&lt;0),"NEGATIVE MINUTES/SESSIONS",IF(AND($K214="Yes",N($I214)&gt;0),"MINUTES ON A PT EVENT - not counted (PT counts sessions)",IF(AND($K214="No",N($J214)&gt;0),"SESSIONS ON A CLASSROOM EVENT - not counted (classroom counts minutes)",IF(AND($N214="Yes",$K214="Yes",N($J214)=0),"COUNTED PT EVENT WITH NO SESSIONS - dropped from the PT cap",IF(AND($N214="Yes",$K214="No",N($I214)=0),"COUNTED EVENT WITH NO MINUTES - dropped from the classroom cap","OK"))))))))))</f>
        <v/>
      </c>
    </row>
    <row r="215">
      <c r="B215" s="17">
        <f>IF($D215="","","A"&amp;TEXT(ROW()-5,"000"))</f>
        <v/>
      </c>
      <c r="C215" s="18" t="n"/>
      <c r="D215" s="16" t="n"/>
      <c r="E215" s="17">
        <f>IF($D215="","",IFERROR(INDEX(rngCadetPIDs,MATCH($D215,rngCadetNames,0)),"?"))</f>
        <v/>
      </c>
      <c r="F215" s="17">
        <f>IF($E215="","",IFERROR(INDEX(nrCadetAgency,MATCH($E215,rngCadetPIDs,0)),""))</f>
        <v/>
      </c>
      <c r="G215" s="16" t="n"/>
      <c r="H215" s="16" t="n"/>
      <c r="I215" s="16" t="n"/>
      <c r="J215" s="16" t="n"/>
      <c r="K215" s="17">
        <f>IF($G215="","",IF(OR($G215="PT Missed",$G215="PT Modified",$G215="PT Refused"),"Yes","No"))</f>
        <v/>
      </c>
      <c r="L215" s="16" t="n"/>
      <c r="M215" s="16" t="n"/>
      <c r="N215" s="17">
        <f>IF($D215="","",IF($M215="Excused","No",IF(AND($G215="PT Modified",$L215="Received"),"No","Yes")))</f>
        <v/>
      </c>
      <c r="O215" s="16" t="n"/>
      <c r="P215" s="17">
        <f>IF(OR($B215="",N($I215)=0),"",MIN(N($I215),SUMIFS(nrMK_Min,nrMK_Link,$B215,nrMK_Credit,"Yes",nrMK_PID,$E215,nrMK_Type,"Classroom")))</f>
        <v/>
      </c>
      <c r="Q215" s="17">
        <f>IF(OR($B215="",N($J215)=0),"",MIN(N($J215),SUMIFS(nrMK_Sess,nrMK_Link,$B215,nrMK_Credit,"Yes",nrMK_PID,$E215,nrMK_Type,"PT")))</f>
        <v/>
      </c>
      <c r="R215" s="17">
        <f>IF(OR($B215="",$N215&lt;&gt;"Yes"),"",IF($K215="Yes",IF(N($J215)&gt;0,N($J215)-N($Q215),""),IF(N($I215)&gt;0,N($I215)-N($P215),"")))</f>
        <v/>
      </c>
      <c r="S215" s="17">
        <f>IF(OR($B215="",$R215=""),"",IF($R215&lt;=0,IF(IFERROR(_xlfn.MAXIFS(nrMK_Date,nrMK_Link,$B215,nrMK_Credit,"Yes",nrMK_PID,$E215),0)=0,"CLEARED (makeup date missing)","CLEARED "&amp;TEXT(_xlfn.MAXIFS(nrMK_Date,nrMK_Link,$B215,nrMK_Credit,"Yes",nrMK_PID,$E215),"mm/dd")),"OPEN"))</f>
        <v/>
      </c>
      <c r="T215" s="17">
        <f>IF($D215="","",IF($C215="","NO DATE",IF($G215="","NO EVENT TYPE",IF(AND($I215&lt;&gt;"",NOT(ISNUMBER($I215))),"MINUTES NOT A NUMBER",IF(AND($J215&lt;&gt;"",NOT(ISNUMBER($J215))),"SESSIONS NOT A NUMBER",IF(OR(N($I215)&lt;0,N($J215)&lt;0),"NEGATIVE MINUTES/SESSIONS",IF(AND($K215="Yes",N($I215)&gt;0),"MINUTES ON A PT EVENT - not counted (PT counts sessions)",IF(AND($K215="No",N($J215)&gt;0),"SESSIONS ON A CLASSROOM EVENT - not counted (classroom counts minutes)",IF(AND($N215="Yes",$K215="Yes",N($J215)=0),"COUNTED PT EVENT WITH NO SESSIONS - dropped from the PT cap",IF(AND($N215="Yes",$K215="No",N($I215)=0),"COUNTED EVENT WITH NO MINUTES - dropped from the classroom cap","OK"))))))))))</f>
        <v/>
      </c>
    </row>
    <row r="216">
      <c r="B216" s="17">
        <f>IF($D216="","","A"&amp;TEXT(ROW()-5,"000"))</f>
        <v/>
      </c>
      <c r="C216" s="18" t="n"/>
      <c r="D216" s="16" t="n"/>
      <c r="E216" s="17">
        <f>IF($D216="","",IFERROR(INDEX(rngCadetPIDs,MATCH($D216,rngCadetNames,0)),"?"))</f>
        <v/>
      </c>
      <c r="F216" s="17">
        <f>IF($E216="","",IFERROR(INDEX(nrCadetAgency,MATCH($E216,rngCadetPIDs,0)),""))</f>
        <v/>
      </c>
      <c r="G216" s="16" t="n"/>
      <c r="H216" s="16" t="n"/>
      <c r="I216" s="16" t="n"/>
      <c r="J216" s="16" t="n"/>
      <c r="K216" s="17">
        <f>IF($G216="","",IF(OR($G216="PT Missed",$G216="PT Modified",$G216="PT Refused"),"Yes","No"))</f>
        <v/>
      </c>
      <c r="L216" s="16" t="n"/>
      <c r="M216" s="16" t="n"/>
      <c r="N216" s="17">
        <f>IF($D216="","",IF($M216="Excused","No",IF(AND($G216="PT Modified",$L216="Received"),"No","Yes")))</f>
        <v/>
      </c>
      <c r="O216" s="16" t="n"/>
      <c r="P216" s="17">
        <f>IF(OR($B216="",N($I216)=0),"",MIN(N($I216),SUMIFS(nrMK_Min,nrMK_Link,$B216,nrMK_Credit,"Yes",nrMK_PID,$E216,nrMK_Type,"Classroom")))</f>
        <v/>
      </c>
      <c r="Q216" s="17">
        <f>IF(OR($B216="",N($J216)=0),"",MIN(N($J216),SUMIFS(nrMK_Sess,nrMK_Link,$B216,nrMK_Credit,"Yes",nrMK_PID,$E216,nrMK_Type,"PT")))</f>
        <v/>
      </c>
      <c r="R216" s="17">
        <f>IF(OR($B216="",$N216&lt;&gt;"Yes"),"",IF($K216="Yes",IF(N($J216)&gt;0,N($J216)-N($Q216),""),IF(N($I216)&gt;0,N($I216)-N($P216),"")))</f>
        <v/>
      </c>
      <c r="S216" s="17">
        <f>IF(OR($B216="",$R216=""),"",IF($R216&lt;=0,IF(IFERROR(_xlfn.MAXIFS(nrMK_Date,nrMK_Link,$B216,nrMK_Credit,"Yes",nrMK_PID,$E216),0)=0,"CLEARED (makeup date missing)","CLEARED "&amp;TEXT(_xlfn.MAXIFS(nrMK_Date,nrMK_Link,$B216,nrMK_Credit,"Yes",nrMK_PID,$E216),"mm/dd")),"OPEN"))</f>
        <v/>
      </c>
      <c r="T216" s="17">
        <f>IF($D216="","",IF($C216="","NO DATE",IF($G216="","NO EVENT TYPE",IF(AND($I216&lt;&gt;"",NOT(ISNUMBER($I216))),"MINUTES NOT A NUMBER",IF(AND($J216&lt;&gt;"",NOT(ISNUMBER($J216))),"SESSIONS NOT A NUMBER",IF(OR(N($I216)&lt;0,N($J216)&lt;0),"NEGATIVE MINUTES/SESSIONS",IF(AND($K216="Yes",N($I216)&gt;0),"MINUTES ON A PT EVENT - not counted (PT counts sessions)",IF(AND($K216="No",N($J216)&gt;0),"SESSIONS ON A CLASSROOM EVENT - not counted (classroom counts minutes)",IF(AND($N216="Yes",$K216="Yes",N($J216)=0),"COUNTED PT EVENT WITH NO SESSIONS - dropped from the PT cap",IF(AND($N216="Yes",$K216="No",N($I216)=0),"COUNTED EVENT WITH NO MINUTES - dropped from the classroom cap","OK"))))))))))</f>
        <v/>
      </c>
    </row>
    <row r="217">
      <c r="B217" s="17">
        <f>IF($D217="","","A"&amp;TEXT(ROW()-5,"000"))</f>
        <v/>
      </c>
      <c r="C217" s="18" t="n"/>
      <c r="D217" s="16" t="n"/>
      <c r="E217" s="17">
        <f>IF($D217="","",IFERROR(INDEX(rngCadetPIDs,MATCH($D217,rngCadetNames,0)),"?"))</f>
        <v/>
      </c>
      <c r="F217" s="17">
        <f>IF($E217="","",IFERROR(INDEX(nrCadetAgency,MATCH($E217,rngCadetPIDs,0)),""))</f>
        <v/>
      </c>
      <c r="G217" s="16" t="n"/>
      <c r="H217" s="16" t="n"/>
      <c r="I217" s="16" t="n"/>
      <c r="J217" s="16" t="n"/>
      <c r="K217" s="17">
        <f>IF($G217="","",IF(OR($G217="PT Missed",$G217="PT Modified",$G217="PT Refused"),"Yes","No"))</f>
        <v/>
      </c>
      <c r="L217" s="16" t="n"/>
      <c r="M217" s="16" t="n"/>
      <c r="N217" s="17">
        <f>IF($D217="","",IF($M217="Excused","No",IF(AND($G217="PT Modified",$L217="Received"),"No","Yes")))</f>
        <v/>
      </c>
      <c r="O217" s="16" t="n"/>
      <c r="P217" s="17">
        <f>IF(OR($B217="",N($I217)=0),"",MIN(N($I217),SUMIFS(nrMK_Min,nrMK_Link,$B217,nrMK_Credit,"Yes",nrMK_PID,$E217,nrMK_Type,"Classroom")))</f>
        <v/>
      </c>
      <c r="Q217" s="17">
        <f>IF(OR($B217="",N($J217)=0),"",MIN(N($J217),SUMIFS(nrMK_Sess,nrMK_Link,$B217,nrMK_Credit,"Yes",nrMK_PID,$E217,nrMK_Type,"PT")))</f>
        <v/>
      </c>
      <c r="R217" s="17">
        <f>IF(OR($B217="",$N217&lt;&gt;"Yes"),"",IF($K217="Yes",IF(N($J217)&gt;0,N($J217)-N($Q217),""),IF(N($I217)&gt;0,N($I217)-N($P217),"")))</f>
        <v/>
      </c>
      <c r="S217" s="17">
        <f>IF(OR($B217="",$R217=""),"",IF($R217&lt;=0,IF(IFERROR(_xlfn.MAXIFS(nrMK_Date,nrMK_Link,$B217,nrMK_Credit,"Yes",nrMK_PID,$E217),0)=0,"CLEARED (makeup date missing)","CLEARED "&amp;TEXT(_xlfn.MAXIFS(nrMK_Date,nrMK_Link,$B217,nrMK_Credit,"Yes",nrMK_PID,$E217),"mm/dd")),"OPEN"))</f>
        <v/>
      </c>
      <c r="T217" s="17">
        <f>IF($D217="","",IF($C217="","NO DATE",IF($G217="","NO EVENT TYPE",IF(AND($I217&lt;&gt;"",NOT(ISNUMBER($I217))),"MINUTES NOT A NUMBER",IF(AND($J217&lt;&gt;"",NOT(ISNUMBER($J217))),"SESSIONS NOT A NUMBER",IF(OR(N($I217)&lt;0,N($J217)&lt;0),"NEGATIVE MINUTES/SESSIONS",IF(AND($K217="Yes",N($I217)&gt;0),"MINUTES ON A PT EVENT - not counted (PT counts sessions)",IF(AND($K217="No",N($J217)&gt;0),"SESSIONS ON A CLASSROOM EVENT - not counted (classroom counts minutes)",IF(AND($N217="Yes",$K217="Yes",N($J217)=0),"COUNTED PT EVENT WITH NO SESSIONS - dropped from the PT cap",IF(AND($N217="Yes",$K217="No",N($I217)=0),"COUNTED EVENT WITH NO MINUTES - dropped from the classroom cap","OK"))))))))))</f>
        <v/>
      </c>
    </row>
    <row r="218">
      <c r="B218" s="17">
        <f>IF($D218="","","A"&amp;TEXT(ROW()-5,"000"))</f>
        <v/>
      </c>
      <c r="C218" s="18" t="n"/>
      <c r="D218" s="16" t="n"/>
      <c r="E218" s="17">
        <f>IF($D218="","",IFERROR(INDEX(rngCadetPIDs,MATCH($D218,rngCadetNames,0)),"?"))</f>
        <v/>
      </c>
      <c r="F218" s="17">
        <f>IF($E218="","",IFERROR(INDEX(nrCadetAgency,MATCH($E218,rngCadetPIDs,0)),""))</f>
        <v/>
      </c>
      <c r="G218" s="16" t="n"/>
      <c r="H218" s="16" t="n"/>
      <c r="I218" s="16" t="n"/>
      <c r="J218" s="16" t="n"/>
      <c r="K218" s="17">
        <f>IF($G218="","",IF(OR($G218="PT Missed",$G218="PT Modified",$G218="PT Refused"),"Yes","No"))</f>
        <v/>
      </c>
      <c r="L218" s="16" t="n"/>
      <c r="M218" s="16" t="n"/>
      <c r="N218" s="17">
        <f>IF($D218="","",IF($M218="Excused","No",IF(AND($G218="PT Modified",$L218="Received"),"No","Yes")))</f>
        <v/>
      </c>
      <c r="O218" s="16" t="n"/>
      <c r="P218" s="17">
        <f>IF(OR($B218="",N($I218)=0),"",MIN(N($I218),SUMIFS(nrMK_Min,nrMK_Link,$B218,nrMK_Credit,"Yes",nrMK_PID,$E218,nrMK_Type,"Classroom")))</f>
        <v/>
      </c>
      <c r="Q218" s="17">
        <f>IF(OR($B218="",N($J218)=0),"",MIN(N($J218),SUMIFS(nrMK_Sess,nrMK_Link,$B218,nrMK_Credit,"Yes",nrMK_PID,$E218,nrMK_Type,"PT")))</f>
        <v/>
      </c>
      <c r="R218" s="17">
        <f>IF(OR($B218="",$N218&lt;&gt;"Yes"),"",IF($K218="Yes",IF(N($J218)&gt;0,N($J218)-N($Q218),""),IF(N($I218)&gt;0,N($I218)-N($P218),"")))</f>
        <v/>
      </c>
      <c r="S218" s="17">
        <f>IF(OR($B218="",$R218=""),"",IF($R218&lt;=0,IF(IFERROR(_xlfn.MAXIFS(nrMK_Date,nrMK_Link,$B218,nrMK_Credit,"Yes",nrMK_PID,$E218),0)=0,"CLEARED (makeup date missing)","CLEARED "&amp;TEXT(_xlfn.MAXIFS(nrMK_Date,nrMK_Link,$B218,nrMK_Credit,"Yes",nrMK_PID,$E218),"mm/dd")),"OPEN"))</f>
        <v/>
      </c>
      <c r="T218" s="17">
        <f>IF($D218="","",IF($C218="","NO DATE",IF($G218="","NO EVENT TYPE",IF(AND($I218&lt;&gt;"",NOT(ISNUMBER($I218))),"MINUTES NOT A NUMBER",IF(AND($J218&lt;&gt;"",NOT(ISNUMBER($J218))),"SESSIONS NOT A NUMBER",IF(OR(N($I218)&lt;0,N($J218)&lt;0),"NEGATIVE MINUTES/SESSIONS",IF(AND($K218="Yes",N($I218)&gt;0),"MINUTES ON A PT EVENT - not counted (PT counts sessions)",IF(AND($K218="No",N($J218)&gt;0),"SESSIONS ON A CLASSROOM EVENT - not counted (classroom counts minutes)",IF(AND($N218="Yes",$K218="Yes",N($J218)=0),"COUNTED PT EVENT WITH NO SESSIONS - dropped from the PT cap",IF(AND($N218="Yes",$K218="No",N($I218)=0),"COUNTED EVENT WITH NO MINUTES - dropped from the classroom cap","OK"))))))))))</f>
        <v/>
      </c>
    </row>
    <row r="219">
      <c r="B219" s="17">
        <f>IF($D219="","","A"&amp;TEXT(ROW()-5,"000"))</f>
        <v/>
      </c>
      <c r="C219" s="18" t="n"/>
      <c r="D219" s="16" t="n"/>
      <c r="E219" s="17">
        <f>IF($D219="","",IFERROR(INDEX(rngCadetPIDs,MATCH($D219,rngCadetNames,0)),"?"))</f>
        <v/>
      </c>
      <c r="F219" s="17">
        <f>IF($E219="","",IFERROR(INDEX(nrCadetAgency,MATCH($E219,rngCadetPIDs,0)),""))</f>
        <v/>
      </c>
      <c r="G219" s="16" t="n"/>
      <c r="H219" s="16" t="n"/>
      <c r="I219" s="16" t="n"/>
      <c r="J219" s="16" t="n"/>
      <c r="K219" s="17">
        <f>IF($G219="","",IF(OR($G219="PT Missed",$G219="PT Modified",$G219="PT Refused"),"Yes","No"))</f>
        <v/>
      </c>
      <c r="L219" s="16" t="n"/>
      <c r="M219" s="16" t="n"/>
      <c r="N219" s="17">
        <f>IF($D219="","",IF($M219="Excused","No",IF(AND($G219="PT Modified",$L219="Received"),"No","Yes")))</f>
        <v/>
      </c>
      <c r="O219" s="16" t="n"/>
      <c r="P219" s="17">
        <f>IF(OR($B219="",N($I219)=0),"",MIN(N($I219),SUMIFS(nrMK_Min,nrMK_Link,$B219,nrMK_Credit,"Yes",nrMK_PID,$E219,nrMK_Type,"Classroom")))</f>
        <v/>
      </c>
      <c r="Q219" s="17">
        <f>IF(OR($B219="",N($J219)=0),"",MIN(N($J219),SUMIFS(nrMK_Sess,nrMK_Link,$B219,nrMK_Credit,"Yes",nrMK_PID,$E219,nrMK_Type,"PT")))</f>
        <v/>
      </c>
      <c r="R219" s="17">
        <f>IF(OR($B219="",$N219&lt;&gt;"Yes"),"",IF($K219="Yes",IF(N($J219)&gt;0,N($J219)-N($Q219),""),IF(N($I219)&gt;0,N($I219)-N($P219),"")))</f>
        <v/>
      </c>
      <c r="S219" s="17">
        <f>IF(OR($B219="",$R219=""),"",IF($R219&lt;=0,IF(IFERROR(_xlfn.MAXIFS(nrMK_Date,nrMK_Link,$B219,nrMK_Credit,"Yes",nrMK_PID,$E219),0)=0,"CLEARED (makeup date missing)","CLEARED "&amp;TEXT(_xlfn.MAXIFS(nrMK_Date,nrMK_Link,$B219,nrMK_Credit,"Yes",nrMK_PID,$E219),"mm/dd")),"OPEN"))</f>
        <v/>
      </c>
      <c r="T219" s="17">
        <f>IF($D219="","",IF($C219="","NO DATE",IF($G219="","NO EVENT TYPE",IF(AND($I219&lt;&gt;"",NOT(ISNUMBER($I219))),"MINUTES NOT A NUMBER",IF(AND($J219&lt;&gt;"",NOT(ISNUMBER($J219))),"SESSIONS NOT A NUMBER",IF(OR(N($I219)&lt;0,N($J219)&lt;0),"NEGATIVE MINUTES/SESSIONS",IF(AND($K219="Yes",N($I219)&gt;0),"MINUTES ON A PT EVENT - not counted (PT counts sessions)",IF(AND($K219="No",N($J219)&gt;0),"SESSIONS ON A CLASSROOM EVENT - not counted (classroom counts minutes)",IF(AND($N219="Yes",$K219="Yes",N($J219)=0),"COUNTED PT EVENT WITH NO SESSIONS - dropped from the PT cap",IF(AND($N219="Yes",$K219="No",N($I219)=0),"COUNTED EVENT WITH NO MINUTES - dropped from the classroom cap","OK"))))))))))</f>
        <v/>
      </c>
    </row>
    <row r="220">
      <c r="B220" s="17">
        <f>IF($D220="","","A"&amp;TEXT(ROW()-5,"000"))</f>
        <v/>
      </c>
      <c r="C220" s="18" t="n"/>
      <c r="D220" s="16" t="n"/>
      <c r="E220" s="17">
        <f>IF($D220="","",IFERROR(INDEX(rngCadetPIDs,MATCH($D220,rngCadetNames,0)),"?"))</f>
        <v/>
      </c>
      <c r="F220" s="17">
        <f>IF($E220="","",IFERROR(INDEX(nrCadetAgency,MATCH($E220,rngCadetPIDs,0)),""))</f>
        <v/>
      </c>
      <c r="G220" s="16" t="n"/>
      <c r="H220" s="16" t="n"/>
      <c r="I220" s="16" t="n"/>
      <c r="J220" s="16" t="n"/>
      <c r="K220" s="17">
        <f>IF($G220="","",IF(OR($G220="PT Missed",$G220="PT Modified",$G220="PT Refused"),"Yes","No"))</f>
        <v/>
      </c>
      <c r="L220" s="16" t="n"/>
      <c r="M220" s="16" t="n"/>
      <c r="N220" s="17">
        <f>IF($D220="","",IF($M220="Excused","No",IF(AND($G220="PT Modified",$L220="Received"),"No","Yes")))</f>
        <v/>
      </c>
      <c r="O220" s="16" t="n"/>
      <c r="P220" s="17">
        <f>IF(OR($B220="",N($I220)=0),"",MIN(N($I220),SUMIFS(nrMK_Min,nrMK_Link,$B220,nrMK_Credit,"Yes",nrMK_PID,$E220,nrMK_Type,"Classroom")))</f>
        <v/>
      </c>
      <c r="Q220" s="17">
        <f>IF(OR($B220="",N($J220)=0),"",MIN(N($J220),SUMIFS(nrMK_Sess,nrMK_Link,$B220,nrMK_Credit,"Yes",nrMK_PID,$E220,nrMK_Type,"PT")))</f>
        <v/>
      </c>
      <c r="R220" s="17">
        <f>IF(OR($B220="",$N220&lt;&gt;"Yes"),"",IF($K220="Yes",IF(N($J220)&gt;0,N($J220)-N($Q220),""),IF(N($I220)&gt;0,N($I220)-N($P220),"")))</f>
        <v/>
      </c>
      <c r="S220" s="17">
        <f>IF(OR($B220="",$R220=""),"",IF($R220&lt;=0,IF(IFERROR(_xlfn.MAXIFS(nrMK_Date,nrMK_Link,$B220,nrMK_Credit,"Yes",nrMK_PID,$E220),0)=0,"CLEARED (makeup date missing)","CLEARED "&amp;TEXT(_xlfn.MAXIFS(nrMK_Date,nrMK_Link,$B220,nrMK_Credit,"Yes",nrMK_PID,$E220),"mm/dd")),"OPEN"))</f>
        <v/>
      </c>
      <c r="T220" s="17">
        <f>IF($D220="","",IF($C220="","NO DATE",IF($G220="","NO EVENT TYPE",IF(AND($I220&lt;&gt;"",NOT(ISNUMBER($I220))),"MINUTES NOT A NUMBER",IF(AND($J220&lt;&gt;"",NOT(ISNUMBER($J220))),"SESSIONS NOT A NUMBER",IF(OR(N($I220)&lt;0,N($J220)&lt;0),"NEGATIVE MINUTES/SESSIONS",IF(AND($K220="Yes",N($I220)&gt;0),"MINUTES ON A PT EVENT - not counted (PT counts sessions)",IF(AND($K220="No",N($J220)&gt;0),"SESSIONS ON A CLASSROOM EVENT - not counted (classroom counts minutes)",IF(AND($N220="Yes",$K220="Yes",N($J220)=0),"COUNTED PT EVENT WITH NO SESSIONS - dropped from the PT cap",IF(AND($N220="Yes",$K220="No",N($I220)=0),"COUNTED EVENT WITH NO MINUTES - dropped from the classroom cap","OK"))))))))))</f>
        <v/>
      </c>
    </row>
    <row r="221">
      <c r="B221" s="17">
        <f>IF($D221="","","A"&amp;TEXT(ROW()-5,"000"))</f>
        <v/>
      </c>
      <c r="C221" s="18" t="n"/>
      <c r="D221" s="16" t="n"/>
      <c r="E221" s="17">
        <f>IF($D221="","",IFERROR(INDEX(rngCadetPIDs,MATCH($D221,rngCadetNames,0)),"?"))</f>
        <v/>
      </c>
      <c r="F221" s="17">
        <f>IF($E221="","",IFERROR(INDEX(nrCadetAgency,MATCH($E221,rngCadetPIDs,0)),""))</f>
        <v/>
      </c>
      <c r="G221" s="16" t="n"/>
      <c r="H221" s="16" t="n"/>
      <c r="I221" s="16" t="n"/>
      <c r="J221" s="16" t="n"/>
      <c r="K221" s="17">
        <f>IF($G221="","",IF(OR($G221="PT Missed",$G221="PT Modified",$G221="PT Refused"),"Yes","No"))</f>
        <v/>
      </c>
      <c r="L221" s="16" t="n"/>
      <c r="M221" s="16" t="n"/>
      <c r="N221" s="17">
        <f>IF($D221="","",IF($M221="Excused","No",IF(AND($G221="PT Modified",$L221="Received"),"No","Yes")))</f>
        <v/>
      </c>
      <c r="O221" s="16" t="n"/>
      <c r="P221" s="17">
        <f>IF(OR($B221="",N($I221)=0),"",MIN(N($I221),SUMIFS(nrMK_Min,nrMK_Link,$B221,nrMK_Credit,"Yes",nrMK_PID,$E221,nrMK_Type,"Classroom")))</f>
        <v/>
      </c>
      <c r="Q221" s="17">
        <f>IF(OR($B221="",N($J221)=0),"",MIN(N($J221),SUMIFS(nrMK_Sess,nrMK_Link,$B221,nrMK_Credit,"Yes",nrMK_PID,$E221,nrMK_Type,"PT")))</f>
        <v/>
      </c>
      <c r="R221" s="17">
        <f>IF(OR($B221="",$N221&lt;&gt;"Yes"),"",IF($K221="Yes",IF(N($J221)&gt;0,N($J221)-N($Q221),""),IF(N($I221)&gt;0,N($I221)-N($P221),"")))</f>
        <v/>
      </c>
      <c r="S221" s="17">
        <f>IF(OR($B221="",$R221=""),"",IF($R221&lt;=0,IF(IFERROR(_xlfn.MAXIFS(nrMK_Date,nrMK_Link,$B221,nrMK_Credit,"Yes",nrMK_PID,$E221),0)=0,"CLEARED (makeup date missing)","CLEARED "&amp;TEXT(_xlfn.MAXIFS(nrMK_Date,nrMK_Link,$B221,nrMK_Credit,"Yes",nrMK_PID,$E221),"mm/dd")),"OPEN"))</f>
        <v/>
      </c>
      <c r="T221" s="17">
        <f>IF($D221="","",IF($C221="","NO DATE",IF($G221="","NO EVENT TYPE",IF(AND($I221&lt;&gt;"",NOT(ISNUMBER($I221))),"MINUTES NOT A NUMBER",IF(AND($J221&lt;&gt;"",NOT(ISNUMBER($J221))),"SESSIONS NOT A NUMBER",IF(OR(N($I221)&lt;0,N($J221)&lt;0),"NEGATIVE MINUTES/SESSIONS",IF(AND($K221="Yes",N($I221)&gt;0),"MINUTES ON A PT EVENT - not counted (PT counts sessions)",IF(AND($K221="No",N($J221)&gt;0),"SESSIONS ON A CLASSROOM EVENT - not counted (classroom counts minutes)",IF(AND($N221="Yes",$K221="Yes",N($J221)=0),"COUNTED PT EVENT WITH NO SESSIONS - dropped from the PT cap",IF(AND($N221="Yes",$K221="No",N($I221)=0),"COUNTED EVENT WITH NO MINUTES - dropped from the classroom cap","OK"))))))))))</f>
        <v/>
      </c>
    </row>
    <row r="222">
      <c r="B222" s="17">
        <f>IF($D222="","","A"&amp;TEXT(ROW()-5,"000"))</f>
        <v/>
      </c>
      <c r="C222" s="18" t="n"/>
      <c r="D222" s="16" t="n"/>
      <c r="E222" s="17">
        <f>IF($D222="","",IFERROR(INDEX(rngCadetPIDs,MATCH($D222,rngCadetNames,0)),"?"))</f>
        <v/>
      </c>
      <c r="F222" s="17">
        <f>IF($E222="","",IFERROR(INDEX(nrCadetAgency,MATCH($E222,rngCadetPIDs,0)),""))</f>
        <v/>
      </c>
      <c r="G222" s="16" t="n"/>
      <c r="H222" s="16" t="n"/>
      <c r="I222" s="16" t="n"/>
      <c r="J222" s="16" t="n"/>
      <c r="K222" s="17">
        <f>IF($G222="","",IF(OR($G222="PT Missed",$G222="PT Modified",$G222="PT Refused"),"Yes","No"))</f>
        <v/>
      </c>
      <c r="L222" s="16" t="n"/>
      <c r="M222" s="16" t="n"/>
      <c r="N222" s="17">
        <f>IF($D222="","",IF($M222="Excused","No",IF(AND($G222="PT Modified",$L222="Received"),"No","Yes")))</f>
        <v/>
      </c>
      <c r="O222" s="16" t="n"/>
      <c r="P222" s="17">
        <f>IF(OR($B222="",N($I222)=0),"",MIN(N($I222),SUMIFS(nrMK_Min,nrMK_Link,$B222,nrMK_Credit,"Yes",nrMK_PID,$E222,nrMK_Type,"Classroom")))</f>
        <v/>
      </c>
      <c r="Q222" s="17">
        <f>IF(OR($B222="",N($J222)=0),"",MIN(N($J222),SUMIFS(nrMK_Sess,nrMK_Link,$B222,nrMK_Credit,"Yes",nrMK_PID,$E222,nrMK_Type,"PT")))</f>
        <v/>
      </c>
      <c r="R222" s="17">
        <f>IF(OR($B222="",$N222&lt;&gt;"Yes"),"",IF($K222="Yes",IF(N($J222)&gt;0,N($J222)-N($Q222),""),IF(N($I222)&gt;0,N($I222)-N($P222),"")))</f>
        <v/>
      </c>
      <c r="S222" s="17">
        <f>IF(OR($B222="",$R222=""),"",IF($R222&lt;=0,IF(IFERROR(_xlfn.MAXIFS(nrMK_Date,nrMK_Link,$B222,nrMK_Credit,"Yes",nrMK_PID,$E222),0)=0,"CLEARED (makeup date missing)","CLEARED "&amp;TEXT(_xlfn.MAXIFS(nrMK_Date,nrMK_Link,$B222,nrMK_Credit,"Yes",nrMK_PID,$E222),"mm/dd")),"OPEN"))</f>
        <v/>
      </c>
      <c r="T222" s="17">
        <f>IF($D222="","",IF($C222="","NO DATE",IF($G222="","NO EVENT TYPE",IF(AND($I222&lt;&gt;"",NOT(ISNUMBER($I222))),"MINUTES NOT A NUMBER",IF(AND($J222&lt;&gt;"",NOT(ISNUMBER($J222))),"SESSIONS NOT A NUMBER",IF(OR(N($I222)&lt;0,N($J222)&lt;0),"NEGATIVE MINUTES/SESSIONS",IF(AND($K222="Yes",N($I222)&gt;0),"MINUTES ON A PT EVENT - not counted (PT counts sessions)",IF(AND($K222="No",N($J222)&gt;0),"SESSIONS ON A CLASSROOM EVENT - not counted (classroom counts minutes)",IF(AND($N222="Yes",$K222="Yes",N($J222)=0),"COUNTED PT EVENT WITH NO SESSIONS - dropped from the PT cap",IF(AND($N222="Yes",$K222="No",N($I222)=0),"COUNTED EVENT WITH NO MINUTES - dropped from the classroom cap","OK"))))))))))</f>
        <v/>
      </c>
    </row>
    <row r="223">
      <c r="B223" s="17">
        <f>IF($D223="","","A"&amp;TEXT(ROW()-5,"000"))</f>
        <v/>
      </c>
      <c r="C223" s="18" t="n"/>
      <c r="D223" s="16" t="n"/>
      <c r="E223" s="17">
        <f>IF($D223="","",IFERROR(INDEX(rngCadetPIDs,MATCH($D223,rngCadetNames,0)),"?"))</f>
        <v/>
      </c>
      <c r="F223" s="17">
        <f>IF($E223="","",IFERROR(INDEX(nrCadetAgency,MATCH($E223,rngCadetPIDs,0)),""))</f>
        <v/>
      </c>
      <c r="G223" s="16" t="n"/>
      <c r="H223" s="16" t="n"/>
      <c r="I223" s="16" t="n"/>
      <c r="J223" s="16" t="n"/>
      <c r="K223" s="17">
        <f>IF($G223="","",IF(OR($G223="PT Missed",$G223="PT Modified",$G223="PT Refused"),"Yes","No"))</f>
        <v/>
      </c>
      <c r="L223" s="16" t="n"/>
      <c r="M223" s="16" t="n"/>
      <c r="N223" s="17">
        <f>IF($D223="","",IF($M223="Excused","No",IF(AND($G223="PT Modified",$L223="Received"),"No","Yes")))</f>
        <v/>
      </c>
      <c r="O223" s="16" t="n"/>
      <c r="P223" s="17">
        <f>IF(OR($B223="",N($I223)=0),"",MIN(N($I223),SUMIFS(nrMK_Min,nrMK_Link,$B223,nrMK_Credit,"Yes",nrMK_PID,$E223,nrMK_Type,"Classroom")))</f>
        <v/>
      </c>
      <c r="Q223" s="17">
        <f>IF(OR($B223="",N($J223)=0),"",MIN(N($J223),SUMIFS(nrMK_Sess,nrMK_Link,$B223,nrMK_Credit,"Yes",nrMK_PID,$E223,nrMK_Type,"PT")))</f>
        <v/>
      </c>
      <c r="R223" s="17">
        <f>IF(OR($B223="",$N223&lt;&gt;"Yes"),"",IF($K223="Yes",IF(N($J223)&gt;0,N($J223)-N($Q223),""),IF(N($I223)&gt;0,N($I223)-N($P223),"")))</f>
        <v/>
      </c>
      <c r="S223" s="17">
        <f>IF(OR($B223="",$R223=""),"",IF($R223&lt;=0,IF(IFERROR(_xlfn.MAXIFS(nrMK_Date,nrMK_Link,$B223,nrMK_Credit,"Yes",nrMK_PID,$E223),0)=0,"CLEARED (makeup date missing)","CLEARED "&amp;TEXT(_xlfn.MAXIFS(nrMK_Date,nrMK_Link,$B223,nrMK_Credit,"Yes",nrMK_PID,$E223),"mm/dd")),"OPEN"))</f>
        <v/>
      </c>
      <c r="T223" s="17">
        <f>IF($D223="","",IF($C223="","NO DATE",IF($G223="","NO EVENT TYPE",IF(AND($I223&lt;&gt;"",NOT(ISNUMBER($I223))),"MINUTES NOT A NUMBER",IF(AND($J223&lt;&gt;"",NOT(ISNUMBER($J223))),"SESSIONS NOT A NUMBER",IF(OR(N($I223)&lt;0,N($J223)&lt;0),"NEGATIVE MINUTES/SESSIONS",IF(AND($K223="Yes",N($I223)&gt;0),"MINUTES ON A PT EVENT - not counted (PT counts sessions)",IF(AND($K223="No",N($J223)&gt;0),"SESSIONS ON A CLASSROOM EVENT - not counted (classroom counts minutes)",IF(AND($N223="Yes",$K223="Yes",N($J223)=0),"COUNTED PT EVENT WITH NO SESSIONS - dropped from the PT cap",IF(AND($N223="Yes",$K223="No",N($I223)=0),"COUNTED EVENT WITH NO MINUTES - dropped from the classroom cap","OK"))))))))))</f>
        <v/>
      </c>
    </row>
    <row r="224">
      <c r="B224" s="17">
        <f>IF($D224="","","A"&amp;TEXT(ROW()-5,"000"))</f>
        <v/>
      </c>
      <c r="C224" s="18" t="n"/>
      <c r="D224" s="16" t="n"/>
      <c r="E224" s="17">
        <f>IF($D224="","",IFERROR(INDEX(rngCadetPIDs,MATCH($D224,rngCadetNames,0)),"?"))</f>
        <v/>
      </c>
      <c r="F224" s="17">
        <f>IF($E224="","",IFERROR(INDEX(nrCadetAgency,MATCH($E224,rngCadetPIDs,0)),""))</f>
        <v/>
      </c>
      <c r="G224" s="16" t="n"/>
      <c r="H224" s="16" t="n"/>
      <c r="I224" s="16" t="n"/>
      <c r="J224" s="16" t="n"/>
      <c r="K224" s="17">
        <f>IF($G224="","",IF(OR($G224="PT Missed",$G224="PT Modified",$G224="PT Refused"),"Yes","No"))</f>
        <v/>
      </c>
      <c r="L224" s="16" t="n"/>
      <c r="M224" s="16" t="n"/>
      <c r="N224" s="17">
        <f>IF($D224="","",IF($M224="Excused","No",IF(AND($G224="PT Modified",$L224="Received"),"No","Yes")))</f>
        <v/>
      </c>
      <c r="O224" s="16" t="n"/>
      <c r="P224" s="17">
        <f>IF(OR($B224="",N($I224)=0),"",MIN(N($I224),SUMIFS(nrMK_Min,nrMK_Link,$B224,nrMK_Credit,"Yes",nrMK_PID,$E224,nrMK_Type,"Classroom")))</f>
        <v/>
      </c>
      <c r="Q224" s="17">
        <f>IF(OR($B224="",N($J224)=0),"",MIN(N($J224),SUMIFS(nrMK_Sess,nrMK_Link,$B224,nrMK_Credit,"Yes",nrMK_PID,$E224,nrMK_Type,"PT")))</f>
        <v/>
      </c>
      <c r="R224" s="17">
        <f>IF(OR($B224="",$N224&lt;&gt;"Yes"),"",IF($K224="Yes",IF(N($J224)&gt;0,N($J224)-N($Q224),""),IF(N($I224)&gt;0,N($I224)-N($P224),"")))</f>
        <v/>
      </c>
      <c r="S224" s="17">
        <f>IF(OR($B224="",$R224=""),"",IF($R224&lt;=0,IF(IFERROR(_xlfn.MAXIFS(nrMK_Date,nrMK_Link,$B224,nrMK_Credit,"Yes",nrMK_PID,$E224),0)=0,"CLEARED (makeup date missing)","CLEARED "&amp;TEXT(_xlfn.MAXIFS(nrMK_Date,nrMK_Link,$B224,nrMK_Credit,"Yes",nrMK_PID,$E224),"mm/dd")),"OPEN"))</f>
        <v/>
      </c>
      <c r="T224" s="17">
        <f>IF($D224="","",IF($C224="","NO DATE",IF($G224="","NO EVENT TYPE",IF(AND($I224&lt;&gt;"",NOT(ISNUMBER($I224))),"MINUTES NOT A NUMBER",IF(AND($J224&lt;&gt;"",NOT(ISNUMBER($J224))),"SESSIONS NOT A NUMBER",IF(OR(N($I224)&lt;0,N($J224)&lt;0),"NEGATIVE MINUTES/SESSIONS",IF(AND($K224="Yes",N($I224)&gt;0),"MINUTES ON A PT EVENT - not counted (PT counts sessions)",IF(AND($K224="No",N($J224)&gt;0),"SESSIONS ON A CLASSROOM EVENT - not counted (classroom counts minutes)",IF(AND($N224="Yes",$K224="Yes",N($J224)=0),"COUNTED PT EVENT WITH NO SESSIONS - dropped from the PT cap",IF(AND($N224="Yes",$K224="No",N($I224)=0),"COUNTED EVENT WITH NO MINUTES - dropped from the classroom cap","OK"))))))))))</f>
        <v/>
      </c>
    </row>
    <row r="225">
      <c r="B225" s="17">
        <f>IF($D225="","","A"&amp;TEXT(ROW()-5,"000"))</f>
        <v/>
      </c>
      <c r="C225" s="18" t="n"/>
      <c r="D225" s="16" t="n"/>
      <c r="E225" s="17">
        <f>IF($D225="","",IFERROR(INDEX(rngCadetPIDs,MATCH($D225,rngCadetNames,0)),"?"))</f>
        <v/>
      </c>
      <c r="F225" s="17">
        <f>IF($E225="","",IFERROR(INDEX(nrCadetAgency,MATCH($E225,rngCadetPIDs,0)),""))</f>
        <v/>
      </c>
      <c r="G225" s="16" t="n"/>
      <c r="H225" s="16" t="n"/>
      <c r="I225" s="16" t="n"/>
      <c r="J225" s="16" t="n"/>
      <c r="K225" s="17">
        <f>IF($G225="","",IF(OR($G225="PT Missed",$G225="PT Modified",$G225="PT Refused"),"Yes","No"))</f>
        <v/>
      </c>
      <c r="L225" s="16" t="n"/>
      <c r="M225" s="16" t="n"/>
      <c r="N225" s="17">
        <f>IF($D225="","",IF($M225="Excused","No",IF(AND($G225="PT Modified",$L225="Received"),"No","Yes")))</f>
        <v/>
      </c>
      <c r="O225" s="16" t="n"/>
      <c r="P225" s="17">
        <f>IF(OR($B225="",N($I225)=0),"",MIN(N($I225),SUMIFS(nrMK_Min,nrMK_Link,$B225,nrMK_Credit,"Yes",nrMK_PID,$E225,nrMK_Type,"Classroom")))</f>
        <v/>
      </c>
      <c r="Q225" s="17">
        <f>IF(OR($B225="",N($J225)=0),"",MIN(N($J225),SUMIFS(nrMK_Sess,nrMK_Link,$B225,nrMK_Credit,"Yes",nrMK_PID,$E225,nrMK_Type,"PT")))</f>
        <v/>
      </c>
      <c r="R225" s="17">
        <f>IF(OR($B225="",$N225&lt;&gt;"Yes"),"",IF($K225="Yes",IF(N($J225)&gt;0,N($J225)-N($Q225),""),IF(N($I225)&gt;0,N($I225)-N($P225),"")))</f>
        <v/>
      </c>
      <c r="S225" s="17">
        <f>IF(OR($B225="",$R225=""),"",IF($R225&lt;=0,IF(IFERROR(_xlfn.MAXIFS(nrMK_Date,nrMK_Link,$B225,nrMK_Credit,"Yes",nrMK_PID,$E225),0)=0,"CLEARED (makeup date missing)","CLEARED "&amp;TEXT(_xlfn.MAXIFS(nrMK_Date,nrMK_Link,$B225,nrMK_Credit,"Yes",nrMK_PID,$E225),"mm/dd")),"OPEN"))</f>
        <v/>
      </c>
      <c r="T225" s="17">
        <f>IF($D225="","",IF($C225="","NO DATE",IF($G225="","NO EVENT TYPE",IF(AND($I225&lt;&gt;"",NOT(ISNUMBER($I225))),"MINUTES NOT A NUMBER",IF(AND($J225&lt;&gt;"",NOT(ISNUMBER($J225))),"SESSIONS NOT A NUMBER",IF(OR(N($I225)&lt;0,N($J225)&lt;0),"NEGATIVE MINUTES/SESSIONS",IF(AND($K225="Yes",N($I225)&gt;0),"MINUTES ON A PT EVENT - not counted (PT counts sessions)",IF(AND($K225="No",N($J225)&gt;0),"SESSIONS ON A CLASSROOM EVENT - not counted (classroom counts minutes)",IF(AND($N225="Yes",$K225="Yes",N($J225)=0),"COUNTED PT EVENT WITH NO SESSIONS - dropped from the PT cap",IF(AND($N225="Yes",$K225="No",N($I225)=0),"COUNTED EVENT WITH NO MINUTES - dropped from the classroom cap","OK"))))))))))</f>
        <v/>
      </c>
    </row>
    <row r="226">
      <c r="B226" s="17">
        <f>IF($D226="","","A"&amp;TEXT(ROW()-5,"000"))</f>
        <v/>
      </c>
      <c r="C226" s="18" t="n"/>
      <c r="D226" s="16" t="n"/>
      <c r="E226" s="17">
        <f>IF($D226="","",IFERROR(INDEX(rngCadetPIDs,MATCH($D226,rngCadetNames,0)),"?"))</f>
        <v/>
      </c>
      <c r="F226" s="17">
        <f>IF($E226="","",IFERROR(INDEX(nrCadetAgency,MATCH($E226,rngCadetPIDs,0)),""))</f>
        <v/>
      </c>
      <c r="G226" s="16" t="n"/>
      <c r="H226" s="16" t="n"/>
      <c r="I226" s="16" t="n"/>
      <c r="J226" s="16" t="n"/>
      <c r="K226" s="17">
        <f>IF($G226="","",IF(OR($G226="PT Missed",$G226="PT Modified",$G226="PT Refused"),"Yes","No"))</f>
        <v/>
      </c>
      <c r="L226" s="16" t="n"/>
      <c r="M226" s="16" t="n"/>
      <c r="N226" s="17">
        <f>IF($D226="","",IF($M226="Excused","No",IF(AND($G226="PT Modified",$L226="Received"),"No","Yes")))</f>
        <v/>
      </c>
      <c r="O226" s="16" t="n"/>
      <c r="P226" s="17">
        <f>IF(OR($B226="",N($I226)=0),"",MIN(N($I226),SUMIFS(nrMK_Min,nrMK_Link,$B226,nrMK_Credit,"Yes",nrMK_PID,$E226,nrMK_Type,"Classroom")))</f>
        <v/>
      </c>
      <c r="Q226" s="17">
        <f>IF(OR($B226="",N($J226)=0),"",MIN(N($J226),SUMIFS(nrMK_Sess,nrMK_Link,$B226,nrMK_Credit,"Yes",nrMK_PID,$E226,nrMK_Type,"PT")))</f>
        <v/>
      </c>
      <c r="R226" s="17">
        <f>IF(OR($B226="",$N226&lt;&gt;"Yes"),"",IF($K226="Yes",IF(N($J226)&gt;0,N($J226)-N($Q226),""),IF(N($I226)&gt;0,N($I226)-N($P226),"")))</f>
        <v/>
      </c>
      <c r="S226" s="17">
        <f>IF(OR($B226="",$R226=""),"",IF($R226&lt;=0,IF(IFERROR(_xlfn.MAXIFS(nrMK_Date,nrMK_Link,$B226,nrMK_Credit,"Yes",nrMK_PID,$E226),0)=0,"CLEARED (makeup date missing)","CLEARED "&amp;TEXT(_xlfn.MAXIFS(nrMK_Date,nrMK_Link,$B226,nrMK_Credit,"Yes",nrMK_PID,$E226),"mm/dd")),"OPEN"))</f>
        <v/>
      </c>
      <c r="T226" s="17">
        <f>IF($D226="","",IF($C226="","NO DATE",IF($G226="","NO EVENT TYPE",IF(AND($I226&lt;&gt;"",NOT(ISNUMBER($I226))),"MINUTES NOT A NUMBER",IF(AND($J226&lt;&gt;"",NOT(ISNUMBER($J226))),"SESSIONS NOT A NUMBER",IF(OR(N($I226)&lt;0,N($J226)&lt;0),"NEGATIVE MINUTES/SESSIONS",IF(AND($K226="Yes",N($I226)&gt;0),"MINUTES ON A PT EVENT - not counted (PT counts sessions)",IF(AND($K226="No",N($J226)&gt;0),"SESSIONS ON A CLASSROOM EVENT - not counted (classroom counts minutes)",IF(AND($N226="Yes",$K226="Yes",N($J226)=0),"COUNTED PT EVENT WITH NO SESSIONS - dropped from the PT cap",IF(AND($N226="Yes",$K226="No",N($I226)=0),"COUNTED EVENT WITH NO MINUTES - dropped from the classroom cap","OK"))))))))))</f>
        <v/>
      </c>
    </row>
    <row r="227">
      <c r="B227" s="17">
        <f>IF($D227="","","A"&amp;TEXT(ROW()-5,"000"))</f>
        <v/>
      </c>
      <c r="C227" s="18" t="n"/>
      <c r="D227" s="16" t="n"/>
      <c r="E227" s="17">
        <f>IF($D227="","",IFERROR(INDEX(rngCadetPIDs,MATCH($D227,rngCadetNames,0)),"?"))</f>
        <v/>
      </c>
      <c r="F227" s="17">
        <f>IF($E227="","",IFERROR(INDEX(nrCadetAgency,MATCH($E227,rngCadetPIDs,0)),""))</f>
        <v/>
      </c>
      <c r="G227" s="16" t="n"/>
      <c r="H227" s="16" t="n"/>
      <c r="I227" s="16" t="n"/>
      <c r="J227" s="16" t="n"/>
      <c r="K227" s="17">
        <f>IF($G227="","",IF(OR($G227="PT Missed",$G227="PT Modified",$G227="PT Refused"),"Yes","No"))</f>
        <v/>
      </c>
      <c r="L227" s="16" t="n"/>
      <c r="M227" s="16" t="n"/>
      <c r="N227" s="17">
        <f>IF($D227="","",IF($M227="Excused","No",IF(AND($G227="PT Modified",$L227="Received"),"No","Yes")))</f>
        <v/>
      </c>
      <c r="O227" s="16" t="n"/>
      <c r="P227" s="17">
        <f>IF(OR($B227="",N($I227)=0),"",MIN(N($I227),SUMIFS(nrMK_Min,nrMK_Link,$B227,nrMK_Credit,"Yes",nrMK_PID,$E227,nrMK_Type,"Classroom")))</f>
        <v/>
      </c>
      <c r="Q227" s="17">
        <f>IF(OR($B227="",N($J227)=0),"",MIN(N($J227),SUMIFS(nrMK_Sess,nrMK_Link,$B227,nrMK_Credit,"Yes",nrMK_PID,$E227,nrMK_Type,"PT")))</f>
        <v/>
      </c>
      <c r="R227" s="17">
        <f>IF(OR($B227="",$N227&lt;&gt;"Yes"),"",IF($K227="Yes",IF(N($J227)&gt;0,N($J227)-N($Q227),""),IF(N($I227)&gt;0,N($I227)-N($P227),"")))</f>
        <v/>
      </c>
      <c r="S227" s="17">
        <f>IF(OR($B227="",$R227=""),"",IF($R227&lt;=0,IF(IFERROR(_xlfn.MAXIFS(nrMK_Date,nrMK_Link,$B227,nrMK_Credit,"Yes",nrMK_PID,$E227),0)=0,"CLEARED (makeup date missing)","CLEARED "&amp;TEXT(_xlfn.MAXIFS(nrMK_Date,nrMK_Link,$B227,nrMK_Credit,"Yes",nrMK_PID,$E227),"mm/dd")),"OPEN"))</f>
        <v/>
      </c>
      <c r="T227" s="17">
        <f>IF($D227="","",IF($C227="","NO DATE",IF($G227="","NO EVENT TYPE",IF(AND($I227&lt;&gt;"",NOT(ISNUMBER($I227))),"MINUTES NOT A NUMBER",IF(AND($J227&lt;&gt;"",NOT(ISNUMBER($J227))),"SESSIONS NOT A NUMBER",IF(OR(N($I227)&lt;0,N($J227)&lt;0),"NEGATIVE MINUTES/SESSIONS",IF(AND($K227="Yes",N($I227)&gt;0),"MINUTES ON A PT EVENT - not counted (PT counts sessions)",IF(AND($K227="No",N($J227)&gt;0),"SESSIONS ON A CLASSROOM EVENT - not counted (classroom counts minutes)",IF(AND($N227="Yes",$K227="Yes",N($J227)=0),"COUNTED PT EVENT WITH NO SESSIONS - dropped from the PT cap",IF(AND($N227="Yes",$K227="No",N($I227)=0),"COUNTED EVENT WITH NO MINUTES - dropped from the classroom cap","OK"))))))))))</f>
        <v/>
      </c>
    </row>
    <row r="228">
      <c r="B228" s="17">
        <f>IF($D228="","","A"&amp;TEXT(ROW()-5,"000"))</f>
        <v/>
      </c>
      <c r="C228" s="18" t="n"/>
      <c r="D228" s="16" t="n"/>
      <c r="E228" s="17">
        <f>IF($D228="","",IFERROR(INDEX(rngCadetPIDs,MATCH($D228,rngCadetNames,0)),"?"))</f>
        <v/>
      </c>
      <c r="F228" s="17">
        <f>IF($E228="","",IFERROR(INDEX(nrCadetAgency,MATCH($E228,rngCadetPIDs,0)),""))</f>
        <v/>
      </c>
      <c r="G228" s="16" t="n"/>
      <c r="H228" s="16" t="n"/>
      <c r="I228" s="16" t="n"/>
      <c r="J228" s="16" t="n"/>
      <c r="K228" s="17">
        <f>IF($G228="","",IF(OR($G228="PT Missed",$G228="PT Modified",$G228="PT Refused"),"Yes","No"))</f>
        <v/>
      </c>
      <c r="L228" s="16" t="n"/>
      <c r="M228" s="16" t="n"/>
      <c r="N228" s="17">
        <f>IF($D228="","",IF($M228="Excused","No",IF(AND($G228="PT Modified",$L228="Received"),"No","Yes")))</f>
        <v/>
      </c>
      <c r="O228" s="16" t="n"/>
      <c r="P228" s="17">
        <f>IF(OR($B228="",N($I228)=0),"",MIN(N($I228),SUMIFS(nrMK_Min,nrMK_Link,$B228,nrMK_Credit,"Yes",nrMK_PID,$E228,nrMK_Type,"Classroom")))</f>
        <v/>
      </c>
      <c r="Q228" s="17">
        <f>IF(OR($B228="",N($J228)=0),"",MIN(N($J228),SUMIFS(nrMK_Sess,nrMK_Link,$B228,nrMK_Credit,"Yes",nrMK_PID,$E228,nrMK_Type,"PT")))</f>
        <v/>
      </c>
      <c r="R228" s="17">
        <f>IF(OR($B228="",$N228&lt;&gt;"Yes"),"",IF($K228="Yes",IF(N($J228)&gt;0,N($J228)-N($Q228),""),IF(N($I228)&gt;0,N($I228)-N($P228),"")))</f>
        <v/>
      </c>
      <c r="S228" s="17">
        <f>IF(OR($B228="",$R228=""),"",IF($R228&lt;=0,IF(IFERROR(_xlfn.MAXIFS(nrMK_Date,nrMK_Link,$B228,nrMK_Credit,"Yes",nrMK_PID,$E228),0)=0,"CLEARED (makeup date missing)","CLEARED "&amp;TEXT(_xlfn.MAXIFS(nrMK_Date,nrMK_Link,$B228,nrMK_Credit,"Yes",nrMK_PID,$E228),"mm/dd")),"OPEN"))</f>
        <v/>
      </c>
      <c r="T228" s="17">
        <f>IF($D228="","",IF($C228="","NO DATE",IF($G228="","NO EVENT TYPE",IF(AND($I228&lt;&gt;"",NOT(ISNUMBER($I228))),"MINUTES NOT A NUMBER",IF(AND($J228&lt;&gt;"",NOT(ISNUMBER($J228))),"SESSIONS NOT A NUMBER",IF(OR(N($I228)&lt;0,N($J228)&lt;0),"NEGATIVE MINUTES/SESSIONS",IF(AND($K228="Yes",N($I228)&gt;0),"MINUTES ON A PT EVENT - not counted (PT counts sessions)",IF(AND($K228="No",N($J228)&gt;0),"SESSIONS ON A CLASSROOM EVENT - not counted (classroom counts minutes)",IF(AND($N228="Yes",$K228="Yes",N($J228)=0),"COUNTED PT EVENT WITH NO SESSIONS - dropped from the PT cap",IF(AND($N228="Yes",$K228="No",N($I228)=0),"COUNTED EVENT WITH NO MINUTES - dropped from the classroom cap","OK"))))))))))</f>
        <v/>
      </c>
    </row>
    <row r="229">
      <c r="B229" s="17">
        <f>IF($D229="","","A"&amp;TEXT(ROW()-5,"000"))</f>
        <v/>
      </c>
      <c r="C229" s="18" t="n"/>
      <c r="D229" s="16" t="n"/>
      <c r="E229" s="17">
        <f>IF($D229="","",IFERROR(INDEX(rngCadetPIDs,MATCH($D229,rngCadetNames,0)),"?"))</f>
        <v/>
      </c>
      <c r="F229" s="17">
        <f>IF($E229="","",IFERROR(INDEX(nrCadetAgency,MATCH($E229,rngCadetPIDs,0)),""))</f>
        <v/>
      </c>
      <c r="G229" s="16" t="n"/>
      <c r="H229" s="16" t="n"/>
      <c r="I229" s="16" t="n"/>
      <c r="J229" s="16" t="n"/>
      <c r="K229" s="17">
        <f>IF($G229="","",IF(OR($G229="PT Missed",$G229="PT Modified",$G229="PT Refused"),"Yes","No"))</f>
        <v/>
      </c>
      <c r="L229" s="16" t="n"/>
      <c r="M229" s="16" t="n"/>
      <c r="N229" s="17">
        <f>IF($D229="","",IF($M229="Excused","No",IF(AND($G229="PT Modified",$L229="Received"),"No","Yes")))</f>
        <v/>
      </c>
      <c r="O229" s="16" t="n"/>
      <c r="P229" s="17">
        <f>IF(OR($B229="",N($I229)=0),"",MIN(N($I229),SUMIFS(nrMK_Min,nrMK_Link,$B229,nrMK_Credit,"Yes",nrMK_PID,$E229,nrMK_Type,"Classroom")))</f>
        <v/>
      </c>
      <c r="Q229" s="17">
        <f>IF(OR($B229="",N($J229)=0),"",MIN(N($J229),SUMIFS(nrMK_Sess,nrMK_Link,$B229,nrMK_Credit,"Yes",nrMK_PID,$E229,nrMK_Type,"PT")))</f>
        <v/>
      </c>
      <c r="R229" s="17">
        <f>IF(OR($B229="",$N229&lt;&gt;"Yes"),"",IF($K229="Yes",IF(N($J229)&gt;0,N($J229)-N($Q229),""),IF(N($I229)&gt;0,N($I229)-N($P229),"")))</f>
        <v/>
      </c>
      <c r="S229" s="17">
        <f>IF(OR($B229="",$R229=""),"",IF($R229&lt;=0,IF(IFERROR(_xlfn.MAXIFS(nrMK_Date,nrMK_Link,$B229,nrMK_Credit,"Yes",nrMK_PID,$E229),0)=0,"CLEARED (makeup date missing)","CLEARED "&amp;TEXT(_xlfn.MAXIFS(nrMK_Date,nrMK_Link,$B229,nrMK_Credit,"Yes",nrMK_PID,$E229),"mm/dd")),"OPEN"))</f>
        <v/>
      </c>
      <c r="T229" s="17">
        <f>IF($D229="","",IF($C229="","NO DATE",IF($G229="","NO EVENT TYPE",IF(AND($I229&lt;&gt;"",NOT(ISNUMBER($I229))),"MINUTES NOT A NUMBER",IF(AND($J229&lt;&gt;"",NOT(ISNUMBER($J229))),"SESSIONS NOT A NUMBER",IF(OR(N($I229)&lt;0,N($J229)&lt;0),"NEGATIVE MINUTES/SESSIONS",IF(AND($K229="Yes",N($I229)&gt;0),"MINUTES ON A PT EVENT - not counted (PT counts sessions)",IF(AND($K229="No",N($J229)&gt;0),"SESSIONS ON A CLASSROOM EVENT - not counted (classroom counts minutes)",IF(AND($N229="Yes",$K229="Yes",N($J229)=0),"COUNTED PT EVENT WITH NO SESSIONS - dropped from the PT cap",IF(AND($N229="Yes",$K229="No",N($I229)=0),"COUNTED EVENT WITH NO MINUTES - dropped from the classroom cap","OK"))))))))))</f>
        <v/>
      </c>
    </row>
    <row r="230">
      <c r="B230" s="17">
        <f>IF($D230="","","A"&amp;TEXT(ROW()-5,"000"))</f>
        <v/>
      </c>
      <c r="C230" s="18" t="n"/>
      <c r="D230" s="16" t="n"/>
      <c r="E230" s="17">
        <f>IF($D230="","",IFERROR(INDEX(rngCadetPIDs,MATCH($D230,rngCadetNames,0)),"?"))</f>
        <v/>
      </c>
      <c r="F230" s="17">
        <f>IF($E230="","",IFERROR(INDEX(nrCadetAgency,MATCH($E230,rngCadetPIDs,0)),""))</f>
        <v/>
      </c>
      <c r="G230" s="16" t="n"/>
      <c r="H230" s="16" t="n"/>
      <c r="I230" s="16" t="n"/>
      <c r="J230" s="16" t="n"/>
      <c r="K230" s="17">
        <f>IF($G230="","",IF(OR($G230="PT Missed",$G230="PT Modified",$G230="PT Refused"),"Yes","No"))</f>
        <v/>
      </c>
      <c r="L230" s="16" t="n"/>
      <c r="M230" s="16" t="n"/>
      <c r="N230" s="17">
        <f>IF($D230="","",IF($M230="Excused","No",IF(AND($G230="PT Modified",$L230="Received"),"No","Yes")))</f>
        <v/>
      </c>
      <c r="O230" s="16" t="n"/>
      <c r="P230" s="17">
        <f>IF(OR($B230="",N($I230)=0),"",MIN(N($I230),SUMIFS(nrMK_Min,nrMK_Link,$B230,nrMK_Credit,"Yes",nrMK_PID,$E230,nrMK_Type,"Classroom")))</f>
        <v/>
      </c>
      <c r="Q230" s="17">
        <f>IF(OR($B230="",N($J230)=0),"",MIN(N($J230),SUMIFS(nrMK_Sess,nrMK_Link,$B230,nrMK_Credit,"Yes",nrMK_PID,$E230,nrMK_Type,"PT")))</f>
        <v/>
      </c>
      <c r="R230" s="17">
        <f>IF(OR($B230="",$N230&lt;&gt;"Yes"),"",IF($K230="Yes",IF(N($J230)&gt;0,N($J230)-N($Q230),""),IF(N($I230)&gt;0,N($I230)-N($P230),"")))</f>
        <v/>
      </c>
      <c r="S230" s="17">
        <f>IF(OR($B230="",$R230=""),"",IF($R230&lt;=0,IF(IFERROR(_xlfn.MAXIFS(nrMK_Date,nrMK_Link,$B230,nrMK_Credit,"Yes",nrMK_PID,$E230),0)=0,"CLEARED (makeup date missing)","CLEARED "&amp;TEXT(_xlfn.MAXIFS(nrMK_Date,nrMK_Link,$B230,nrMK_Credit,"Yes",nrMK_PID,$E230),"mm/dd")),"OPEN"))</f>
        <v/>
      </c>
      <c r="T230" s="17">
        <f>IF($D230="","",IF($C230="","NO DATE",IF($G230="","NO EVENT TYPE",IF(AND($I230&lt;&gt;"",NOT(ISNUMBER($I230))),"MINUTES NOT A NUMBER",IF(AND($J230&lt;&gt;"",NOT(ISNUMBER($J230))),"SESSIONS NOT A NUMBER",IF(OR(N($I230)&lt;0,N($J230)&lt;0),"NEGATIVE MINUTES/SESSIONS",IF(AND($K230="Yes",N($I230)&gt;0),"MINUTES ON A PT EVENT - not counted (PT counts sessions)",IF(AND($K230="No",N($J230)&gt;0),"SESSIONS ON A CLASSROOM EVENT - not counted (classroom counts minutes)",IF(AND($N230="Yes",$K230="Yes",N($J230)=0),"COUNTED PT EVENT WITH NO SESSIONS - dropped from the PT cap",IF(AND($N230="Yes",$K230="No",N($I230)=0),"COUNTED EVENT WITH NO MINUTES - dropped from the classroom cap","OK"))))))))))</f>
        <v/>
      </c>
    </row>
    <row r="231">
      <c r="B231" s="17">
        <f>IF($D231="","","A"&amp;TEXT(ROW()-5,"000"))</f>
        <v/>
      </c>
      <c r="C231" s="18" t="n"/>
      <c r="D231" s="16" t="n"/>
      <c r="E231" s="17">
        <f>IF($D231="","",IFERROR(INDEX(rngCadetPIDs,MATCH($D231,rngCadetNames,0)),"?"))</f>
        <v/>
      </c>
      <c r="F231" s="17">
        <f>IF($E231="","",IFERROR(INDEX(nrCadetAgency,MATCH($E231,rngCadetPIDs,0)),""))</f>
        <v/>
      </c>
      <c r="G231" s="16" t="n"/>
      <c r="H231" s="16" t="n"/>
      <c r="I231" s="16" t="n"/>
      <c r="J231" s="16" t="n"/>
      <c r="K231" s="17">
        <f>IF($G231="","",IF(OR($G231="PT Missed",$G231="PT Modified",$G231="PT Refused"),"Yes","No"))</f>
        <v/>
      </c>
      <c r="L231" s="16" t="n"/>
      <c r="M231" s="16" t="n"/>
      <c r="N231" s="17">
        <f>IF($D231="","",IF($M231="Excused","No",IF(AND($G231="PT Modified",$L231="Received"),"No","Yes")))</f>
        <v/>
      </c>
      <c r="O231" s="16" t="n"/>
      <c r="P231" s="17">
        <f>IF(OR($B231="",N($I231)=0),"",MIN(N($I231),SUMIFS(nrMK_Min,nrMK_Link,$B231,nrMK_Credit,"Yes",nrMK_PID,$E231,nrMK_Type,"Classroom")))</f>
        <v/>
      </c>
      <c r="Q231" s="17">
        <f>IF(OR($B231="",N($J231)=0),"",MIN(N($J231),SUMIFS(nrMK_Sess,nrMK_Link,$B231,nrMK_Credit,"Yes",nrMK_PID,$E231,nrMK_Type,"PT")))</f>
        <v/>
      </c>
      <c r="R231" s="17">
        <f>IF(OR($B231="",$N231&lt;&gt;"Yes"),"",IF($K231="Yes",IF(N($J231)&gt;0,N($J231)-N($Q231),""),IF(N($I231)&gt;0,N($I231)-N($P231),"")))</f>
        <v/>
      </c>
      <c r="S231" s="17">
        <f>IF(OR($B231="",$R231=""),"",IF($R231&lt;=0,IF(IFERROR(_xlfn.MAXIFS(nrMK_Date,nrMK_Link,$B231,nrMK_Credit,"Yes",nrMK_PID,$E231),0)=0,"CLEARED (makeup date missing)","CLEARED "&amp;TEXT(_xlfn.MAXIFS(nrMK_Date,nrMK_Link,$B231,nrMK_Credit,"Yes",nrMK_PID,$E231),"mm/dd")),"OPEN"))</f>
        <v/>
      </c>
      <c r="T231" s="17">
        <f>IF($D231="","",IF($C231="","NO DATE",IF($G231="","NO EVENT TYPE",IF(AND($I231&lt;&gt;"",NOT(ISNUMBER($I231))),"MINUTES NOT A NUMBER",IF(AND($J231&lt;&gt;"",NOT(ISNUMBER($J231))),"SESSIONS NOT A NUMBER",IF(OR(N($I231)&lt;0,N($J231)&lt;0),"NEGATIVE MINUTES/SESSIONS",IF(AND($K231="Yes",N($I231)&gt;0),"MINUTES ON A PT EVENT - not counted (PT counts sessions)",IF(AND($K231="No",N($J231)&gt;0),"SESSIONS ON A CLASSROOM EVENT - not counted (classroom counts minutes)",IF(AND($N231="Yes",$K231="Yes",N($J231)=0),"COUNTED PT EVENT WITH NO SESSIONS - dropped from the PT cap",IF(AND($N231="Yes",$K231="No",N($I231)=0),"COUNTED EVENT WITH NO MINUTES - dropped from the classroom cap","OK"))))))))))</f>
        <v/>
      </c>
    </row>
    <row r="232">
      <c r="B232" s="17">
        <f>IF($D232="","","A"&amp;TEXT(ROW()-5,"000"))</f>
        <v/>
      </c>
      <c r="C232" s="18" t="n"/>
      <c r="D232" s="16" t="n"/>
      <c r="E232" s="17">
        <f>IF($D232="","",IFERROR(INDEX(rngCadetPIDs,MATCH($D232,rngCadetNames,0)),"?"))</f>
        <v/>
      </c>
      <c r="F232" s="17">
        <f>IF($E232="","",IFERROR(INDEX(nrCadetAgency,MATCH($E232,rngCadetPIDs,0)),""))</f>
        <v/>
      </c>
      <c r="G232" s="16" t="n"/>
      <c r="H232" s="16" t="n"/>
      <c r="I232" s="16" t="n"/>
      <c r="J232" s="16" t="n"/>
      <c r="K232" s="17">
        <f>IF($G232="","",IF(OR($G232="PT Missed",$G232="PT Modified",$G232="PT Refused"),"Yes","No"))</f>
        <v/>
      </c>
      <c r="L232" s="16" t="n"/>
      <c r="M232" s="16" t="n"/>
      <c r="N232" s="17">
        <f>IF($D232="","",IF($M232="Excused","No",IF(AND($G232="PT Modified",$L232="Received"),"No","Yes")))</f>
        <v/>
      </c>
      <c r="O232" s="16" t="n"/>
      <c r="P232" s="17">
        <f>IF(OR($B232="",N($I232)=0),"",MIN(N($I232),SUMIFS(nrMK_Min,nrMK_Link,$B232,nrMK_Credit,"Yes",nrMK_PID,$E232,nrMK_Type,"Classroom")))</f>
        <v/>
      </c>
      <c r="Q232" s="17">
        <f>IF(OR($B232="",N($J232)=0),"",MIN(N($J232),SUMIFS(nrMK_Sess,nrMK_Link,$B232,nrMK_Credit,"Yes",nrMK_PID,$E232,nrMK_Type,"PT")))</f>
        <v/>
      </c>
      <c r="R232" s="17">
        <f>IF(OR($B232="",$N232&lt;&gt;"Yes"),"",IF($K232="Yes",IF(N($J232)&gt;0,N($J232)-N($Q232),""),IF(N($I232)&gt;0,N($I232)-N($P232),"")))</f>
        <v/>
      </c>
      <c r="S232" s="17">
        <f>IF(OR($B232="",$R232=""),"",IF($R232&lt;=0,IF(IFERROR(_xlfn.MAXIFS(nrMK_Date,nrMK_Link,$B232,nrMK_Credit,"Yes",nrMK_PID,$E232),0)=0,"CLEARED (makeup date missing)","CLEARED "&amp;TEXT(_xlfn.MAXIFS(nrMK_Date,nrMK_Link,$B232,nrMK_Credit,"Yes",nrMK_PID,$E232),"mm/dd")),"OPEN"))</f>
        <v/>
      </c>
      <c r="T232" s="17">
        <f>IF($D232="","",IF($C232="","NO DATE",IF($G232="","NO EVENT TYPE",IF(AND($I232&lt;&gt;"",NOT(ISNUMBER($I232))),"MINUTES NOT A NUMBER",IF(AND($J232&lt;&gt;"",NOT(ISNUMBER($J232))),"SESSIONS NOT A NUMBER",IF(OR(N($I232)&lt;0,N($J232)&lt;0),"NEGATIVE MINUTES/SESSIONS",IF(AND($K232="Yes",N($I232)&gt;0),"MINUTES ON A PT EVENT - not counted (PT counts sessions)",IF(AND($K232="No",N($J232)&gt;0),"SESSIONS ON A CLASSROOM EVENT - not counted (classroom counts minutes)",IF(AND($N232="Yes",$K232="Yes",N($J232)=0),"COUNTED PT EVENT WITH NO SESSIONS - dropped from the PT cap",IF(AND($N232="Yes",$K232="No",N($I232)=0),"COUNTED EVENT WITH NO MINUTES - dropped from the classroom cap","OK"))))))))))</f>
        <v/>
      </c>
    </row>
    <row r="233">
      <c r="B233" s="17">
        <f>IF($D233="","","A"&amp;TEXT(ROW()-5,"000"))</f>
        <v/>
      </c>
      <c r="C233" s="18" t="n"/>
      <c r="D233" s="16" t="n"/>
      <c r="E233" s="17">
        <f>IF($D233="","",IFERROR(INDEX(rngCadetPIDs,MATCH($D233,rngCadetNames,0)),"?"))</f>
        <v/>
      </c>
      <c r="F233" s="17">
        <f>IF($E233="","",IFERROR(INDEX(nrCadetAgency,MATCH($E233,rngCadetPIDs,0)),""))</f>
        <v/>
      </c>
      <c r="G233" s="16" t="n"/>
      <c r="H233" s="16" t="n"/>
      <c r="I233" s="16" t="n"/>
      <c r="J233" s="16" t="n"/>
      <c r="K233" s="17">
        <f>IF($G233="","",IF(OR($G233="PT Missed",$G233="PT Modified",$G233="PT Refused"),"Yes","No"))</f>
        <v/>
      </c>
      <c r="L233" s="16" t="n"/>
      <c r="M233" s="16" t="n"/>
      <c r="N233" s="17">
        <f>IF($D233="","",IF($M233="Excused","No",IF(AND($G233="PT Modified",$L233="Received"),"No","Yes")))</f>
        <v/>
      </c>
      <c r="O233" s="16" t="n"/>
      <c r="P233" s="17">
        <f>IF(OR($B233="",N($I233)=0),"",MIN(N($I233),SUMIFS(nrMK_Min,nrMK_Link,$B233,nrMK_Credit,"Yes",nrMK_PID,$E233,nrMK_Type,"Classroom")))</f>
        <v/>
      </c>
      <c r="Q233" s="17">
        <f>IF(OR($B233="",N($J233)=0),"",MIN(N($J233),SUMIFS(nrMK_Sess,nrMK_Link,$B233,nrMK_Credit,"Yes",nrMK_PID,$E233,nrMK_Type,"PT")))</f>
        <v/>
      </c>
      <c r="R233" s="17">
        <f>IF(OR($B233="",$N233&lt;&gt;"Yes"),"",IF($K233="Yes",IF(N($J233)&gt;0,N($J233)-N($Q233),""),IF(N($I233)&gt;0,N($I233)-N($P233),"")))</f>
        <v/>
      </c>
      <c r="S233" s="17">
        <f>IF(OR($B233="",$R233=""),"",IF($R233&lt;=0,IF(IFERROR(_xlfn.MAXIFS(nrMK_Date,nrMK_Link,$B233,nrMK_Credit,"Yes",nrMK_PID,$E233),0)=0,"CLEARED (makeup date missing)","CLEARED "&amp;TEXT(_xlfn.MAXIFS(nrMK_Date,nrMK_Link,$B233,nrMK_Credit,"Yes",nrMK_PID,$E233),"mm/dd")),"OPEN"))</f>
        <v/>
      </c>
      <c r="T233" s="17">
        <f>IF($D233="","",IF($C233="","NO DATE",IF($G233="","NO EVENT TYPE",IF(AND($I233&lt;&gt;"",NOT(ISNUMBER($I233))),"MINUTES NOT A NUMBER",IF(AND($J233&lt;&gt;"",NOT(ISNUMBER($J233))),"SESSIONS NOT A NUMBER",IF(OR(N($I233)&lt;0,N($J233)&lt;0),"NEGATIVE MINUTES/SESSIONS",IF(AND($K233="Yes",N($I233)&gt;0),"MINUTES ON A PT EVENT - not counted (PT counts sessions)",IF(AND($K233="No",N($J233)&gt;0),"SESSIONS ON A CLASSROOM EVENT - not counted (classroom counts minutes)",IF(AND($N233="Yes",$K233="Yes",N($J233)=0),"COUNTED PT EVENT WITH NO SESSIONS - dropped from the PT cap",IF(AND($N233="Yes",$K233="No",N($I233)=0),"COUNTED EVENT WITH NO MINUTES - dropped from the classroom cap","OK"))))))))))</f>
        <v/>
      </c>
    </row>
    <row r="234">
      <c r="B234" s="17">
        <f>IF($D234="","","A"&amp;TEXT(ROW()-5,"000"))</f>
        <v/>
      </c>
      <c r="C234" s="18" t="n"/>
      <c r="D234" s="16" t="n"/>
      <c r="E234" s="17">
        <f>IF($D234="","",IFERROR(INDEX(rngCadetPIDs,MATCH($D234,rngCadetNames,0)),"?"))</f>
        <v/>
      </c>
      <c r="F234" s="17">
        <f>IF($E234="","",IFERROR(INDEX(nrCadetAgency,MATCH($E234,rngCadetPIDs,0)),""))</f>
        <v/>
      </c>
      <c r="G234" s="16" t="n"/>
      <c r="H234" s="16" t="n"/>
      <c r="I234" s="16" t="n"/>
      <c r="J234" s="16" t="n"/>
      <c r="K234" s="17">
        <f>IF($G234="","",IF(OR($G234="PT Missed",$G234="PT Modified",$G234="PT Refused"),"Yes","No"))</f>
        <v/>
      </c>
      <c r="L234" s="16" t="n"/>
      <c r="M234" s="16" t="n"/>
      <c r="N234" s="17">
        <f>IF($D234="","",IF($M234="Excused","No",IF(AND($G234="PT Modified",$L234="Received"),"No","Yes")))</f>
        <v/>
      </c>
      <c r="O234" s="16" t="n"/>
      <c r="P234" s="17">
        <f>IF(OR($B234="",N($I234)=0),"",MIN(N($I234),SUMIFS(nrMK_Min,nrMK_Link,$B234,nrMK_Credit,"Yes",nrMK_PID,$E234,nrMK_Type,"Classroom")))</f>
        <v/>
      </c>
      <c r="Q234" s="17">
        <f>IF(OR($B234="",N($J234)=0),"",MIN(N($J234),SUMIFS(nrMK_Sess,nrMK_Link,$B234,nrMK_Credit,"Yes",nrMK_PID,$E234,nrMK_Type,"PT")))</f>
        <v/>
      </c>
      <c r="R234" s="17">
        <f>IF(OR($B234="",$N234&lt;&gt;"Yes"),"",IF($K234="Yes",IF(N($J234)&gt;0,N($J234)-N($Q234),""),IF(N($I234)&gt;0,N($I234)-N($P234),"")))</f>
        <v/>
      </c>
      <c r="S234" s="17">
        <f>IF(OR($B234="",$R234=""),"",IF($R234&lt;=0,IF(IFERROR(_xlfn.MAXIFS(nrMK_Date,nrMK_Link,$B234,nrMK_Credit,"Yes",nrMK_PID,$E234),0)=0,"CLEARED (makeup date missing)","CLEARED "&amp;TEXT(_xlfn.MAXIFS(nrMK_Date,nrMK_Link,$B234,nrMK_Credit,"Yes",nrMK_PID,$E234),"mm/dd")),"OPEN"))</f>
        <v/>
      </c>
      <c r="T234" s="17">
        <f>IF($D234="","",IF($C234="","NO DATE",IF($G234="","NO EVENT TYPE",IF(AND($I234&lt;&gt;"",NOT(ISNUMBER($I234))),"MINUTES NOT A NUMBER",IF(AND($J234&lt;&gt;"",NOT(ISNUMBER($J234))),"SESSIONS NOT A NUMBER",IF(OR(N($I234)&lt;0,N($J234)&lt;0),"NEGATIVE MINUTES/SESSIONS",IF(AND($K234="Yes",N($I234)&gt;0),"MINUTES ON A PT EVENT - not counted (PT counts sessions)",IF(AND($K234="No",N($J234)&gt;0),"SESSIONS ON A CLASSROOM EVENT - not counted (classroom counts minutes)",IF(AND($N234="Yes",$K234="Yes",N($J234)=0),"COUNTED PT EVENT WITH NO SESSIONS - dropped from the PT cap",IF(AND($N234="Yes",$K234="No",N($I234)=0),"COUNTED EVENT WITH NO MINUTES - dropped from the classroom cap","OK"))))))))))</f>
        <v/>
      </c>
    </row>
    <row r="235">
      <c r="B235" s="17">
        <f>IF($D235="","","A"&amp;TEXT(ROW()-5,"000"))</f>
        <v/>
      </c>
      <c r="C235" s="18" t="n"/>
      <c r="D235" s="16" t="n"/>
      <c r="E235" s="17">
        <f>IF($D235="","",IFERROR(INDEX(rngCadetPIDs,MATCH($D235,rngCadetNames,0)),"?"))</f>
        <v/>
      </c>
      <c r="F235" s="17">
        <f>IF($E235="","",IFERROR(INDEX(nrCadetAgency,MATCH($E235,rngCadetPIDs,0)),""))</f>
        <v/>
      </c>
      <c r="G235" s="16" t="n"/>
      <c r="H235" s="16" t="n"/>
      <c r="I235" s="16" t="n"/>
      <c r="J235" s="16" t="n"/>
      <c r="K235" s="17">
        <f>IF($G235="","",IF(OR($G235="PT Missed",$G235="PT Modified",$G235="PT Refused"),"Yes","No"))</f>
        <v/>
      </c>
      <c r="L235" s="16" t="n"/>
      <c r="M235" s="16" t="n"/>
      <c r="N235" s="17">
        <f>IF($D235="","",IF($M235="Excused","No",IF(AND($G235="PT Modified",$L235="Received"),"No","Yes")))</f>
        <v/>
      </c>
      <c r="O235" s="16" t="n"/>
      <c r="P235" s="17">
        <f>IF(OR($B235="",N($I235)=0),"",MIN(N($I235),SUMIFS(nrMK_Min,nrMK_Link,$B235,nrMK_Credit,"Yes",nrMK_PID,$E235,nrMK_Type,"Classroom")))</f>
        <v/>
      </c>
      <c r="Q235" s="17">
        <f>IF(OR($B235="",N($J235)=0),"",MIN(N($J235),SUMIFS(nrMK_Sess,nrMK_Link,$B235,nrMK_Credit,"Yes",nrMK_PID,$E235,nrMK_Type,"PT")))</f>
        <v/>
      </c>
      <c r="R235" s="17">
        <f>IF(OR($B235="",$N235&lt;&gt;"Yes"),"",IF($K235="Yes",IF(N($J235)&gt;0,N($J235)-N($Q235),""),IF(N($I235)&gt;0,N($I235)-N($P235),"")))</f>
        <v/>
      </c>
      <c r="S235" s="17">
        <f>IF(OR($B235="",$R235=""),"",IF($R235&lt;=0,IF(IFERROR(_xlfn.MAXIFS(nrMK_Date,nrMK_Link,$B235,nrMK_Credit,"Yes",nrMK_PID,$E235),0)=0,"CLEARED (makeup date missing)","CLEARED "&amp;TEXT(_xlfn.MAXIFS(nrMK_Date,nrMK_Link,$B235,nrMK_Credit,"Yes",nrMK_PID,$E235),"mm/dd")),"OPEN"))</f>
        <v/>
      </c>
      <c r="T235" s="17">
        <f>IF($D235="","",IF($C235="","NO DATE",IF($G235="","NO EVENT TYPE",IF(AND($I235&lt;&gt;"",NOT(ISNUMBER($I235))),"MINUTES NOT A NUMBER",IF(AND($J235&lt;&gt;"",NOT(ISNUMBER($J235))),"SESSIONS NOT A NUMBER",IF(OR(N($I235)&lt;0,N($J235)&lt;0),"NEGATIVE MINUTES/SESSIONS",IF(AND($K235="Yes",N($I235)&gt;0),"MINUTES ON A PT EVENT - not counted (PT counts sessions)",IF(AND($K235="No",N($J235)&gt;0),"SESSIONS ON A CLASSROOM EVENT - not counted (classroom counts minutes)",IF(AND($N235="Yes",$K235="Yes",N($J235)=0),"COUNTED PT EVENT WITH NO SESSIONS - dropped from the PT cap",IF(AND($N235="Yes",$K235="No",N($I235)=0),"COUNTED EVENT WITH NO MINUTES - dropped from the classroom cap","OK"))))))))))</f>
        <v/>
      </c>
    </row>
    <row r="236">
      <c r="B236" s="17">
        <f>IF($D236="","","A"&amp;TEXT(ROW()-5,"000"))</f>
        <v/>
      </c>
      <c r="C236" s="18" t="n"/>
      <c r="D236" s="16" t="n"/>
      <c r="E236" s="17">
        <f>IF($D236="","",IFERROR(INDEX(rngCadetPIDs,MATCH($D236,rngCadetNames,0)),"?"))</f>
        <v/>
      </c>
      <c r="F236" s="17">
        <f>IF($E236="","",IFERROR(INDEX(nrCadetAgency,MATCH($E236,rngCadetPIDs,0)),""))</f>
        <v/>
      </c>
      <c r="G236" s="16" t="n"/>
      <c r="H236" s="16" t="n"/>
      <c r="I236" s="16" t="n"/>
      <c r="J236" s="16" t="n"/>
      <c r="K236" s="17">
        <f>IF($G236="","",IF(OR($G236="PT Missed",$G236="PT Modified",$G236="PT Refused"),"Yes","No"))</f>
        <v/>
      </c>
      <c r="L236" s="16" t="n"/>
      <c r="M236" s="16" t="n"/>
      <c r="N236" s="17">
        <f>IF($D236="","",IF($M236="Excused","No",IF(AND($G236="PT Modified",$L236="Received"),"No","Yes")))</f>
        <v/>
      </c>
      <c r="O236" s="16" t="n"/>
      <c r="P236" s="17">
        <f>IF(OR($B236="",N($I236)=0),"",MIN(N($I236),SUMIFS(nrMK_Min,nrMK_Link,$B236,nrMK_Credit,"Yes",nrMK_PID,$E236,nrMK_Type,"Classroom")))</f>
        <v/>
      </c>
      <c r="Q236" s="17">
        <f>IF(OR($B236="",N($J236)=0),"",MIN(N($J236),SUMIFS(nrMK_Sess,nrMK_Link,$B236,nrMK_Credit,"Yes",nrMK_PID,$E236,nrMK_Type,"PT")))</f>
        <v/>
      </c>
      <c r="R236" s="17">
        <f>IF(OR($B236="",$N236&lt;&gt;"Yes"),"",IF($K236="Yes",IF(N($J236)&gt;0,N($J236)-N($Q236),""),IF(N($I236)&gt;0,N($I236)-N($P236),"")))</f>
        <v/>
      </c>
      <c r="S236" s="17">
        <f>IF(OR($B236="",$R236=""),"",IF($R236&lt;=0,IF(IFERROR(_xlfn.MAXIFS(nrMK_Date,nrMK_Link,$B236,nrMK_Credit,"Yes",nrMK_PID,$E236),0)=0,"CLEARED (makeup date missing)","CLEARED "&amp;TEXT(_xlfn.MAXIFS(nrMK_Date,nrMK_Link,$B236,nrMK_Credit,"Yes",nrMK_PID,$E236),"mm/dd")),"OPEN"))</f>
        <v/>
      </c>
      <c r="T236" s="17">
        <f>IF($D236="","",IF($C236="","NO DATE",IF($G236="","NO EVENT TYPE",IF(AND($I236&lt;&gt;"",NOT(ISNUMBER($I236))),"MINUTES NOT A NUMBER",IF(AND($J236&lt;&gt;"",NOT(ISNUMBER($J236))),"SESSIONS NOT A NUMBER",IF(OR(N($I236)&lt;0,N($J236)&lt;0),"NEGATIVE MINUTES/SESSIONS",IF(AND($K236="Yes",N($I236)&gt;0),"MINUTES ON A PT EVENT - not counted (PT counts sessions)",IF(AND($K236="No",N($J236)&gt;0),"SESSIONS ON A CLASSROOM EVENT - not counted (classroom counts minutes)",IF(AND($N236="Yes",$K236="Yes",N($J236)=0),"COUNTED PT EVENT WITH NO SESSIONS - dropped from the PT cap",IF(AND($N236="Yes",$K236="No",N($I236)=0),"COUNTED EVENT WITH NO MINUTES - dropped from the classroom cap","OK"))))))))))</f>
        <v/>
      </c>
    </row>
    <row r="237">
      <c r="B237" s="17">
        <f>IF($D237="","","A"&amp;TEXT(ROW()-5,"000"))</f>
        <v/>
      </c>
      <c r="C237" s="18" t="n"/>
      <c r="D237" s="16" t="n"/>
      <c r="E237" s="17">
        <f>IF($D237="","",IFERROR(INDEX(rngCadetPIDs,MATCH($D237,rngCadetNames,0)),"?"))</f>
        <v/>
      </c>
      <c r="F237" s="17">
        <f>IF($E237="","",IFERROR(INDEX(nrCadetAgency,MATCH($E237,rngCadetPIDs,0)),""))</f>
        <v/>
      </c>
      <c r="G237" s="16" t="n"/>
      <c r="H237" s="16" t="n"/>
      <c r="I237" s="16" t="n"/>
      <c r="J237" s="16" t="n"/>
      <c r="K237" s="17">
        <f>IF($G237="","",IF(OR($G237="PT Missed",$G237="PT Modified",$G237="PT Refused"),"Yes","No"))</f>
        <v/>
      </c>
      <c r="L237" s="16" t="n"/>
      <c r="M237" s="16" t="n"/>
      <c r="N237" s="17">
        <f>IF($D237="","",IF($M237="Excused","No",IF(AND($G237="PT Modified",$L237="Received"),"No","Yes")))</f>
        <v/>
      </c>
      <c r="O237" s="16" t="n"/>
      <c r="P237" s="17">
        <f>IF(OR($B237="",N($I237)=0),"",MIN(N($I237),SUMIFS(nrMK_Min,nrMK_Link,$B237,nrMK_Credit,"Yes",nrMK_PID,$E237,nrMK_Type,"Classroom")))</f>
        <v/>
      </c>
      <c r="Q237" s="17">
        <f>IF(OR($B237="",N($J237)=0),"",MIN(N($J237),SUMIFS(nrMK_Sess,nrMK_Link,$B237,nrMK_Credit,"Yes",nrMK_PID,$E237,nrMK_Type,"PT")))</f>
        <v/>
      </c>
      <c r="R237" s="17">
        <f>IF(OR($B237="",$N237&lt;&gt;"Yes"),"",IF($K237="Yes",IF(N($J237)&gt;0,N($J237)-N($Q237),""),IF(N($I237)&gt;0,N($I237)-N($P237),"")))</f>
        <v/>
      </c>
      <c r="S237" s="17">
        <f>IF(OR($B237="",$R237=""),"",IF($R237&lt;=0,IF(IFERROR(_xlfn.MAXIFS(nrMK_Date,nrMK_Link,$B237,nrMK_Credit,"Yes",nrMK_PID,$E237),0)=0,"CLEARED (makeup date missing)","CLEARED "&amp;TEXT(_xlfn.MAXIFS(nrMK_Date,nrMK_Link,$B237,nrMK_Credit,"Yes",nrMK_PID,$E237),"mm/dd")),"OPEN"))</f>
        <v/>
      </c>
      <c r="T237" s="17">
        <f>IF($D237="","",IF($C237="","NO DATE",IF($G237="","NO EVENT TYPE",IF(AND($I237&lt;&gt;"",NOT(ISNUMBER($I237))),"MINUTES NOT A NUMBER",IF(AND($J237&lt;&gt;"",NOT(ISNUMBER($J237))),"SESSIONS NOT A NUMBER",IF(OR(N($I237)&lt;0,N($J237)&lt;0),"NEGATIVE MINUTES/SESSIONS",IF(AND($K237="Yes",N($I237)&gt;0),"MINUTES ON A PT EVENT - not counted (PT counts sessions)",IF(AND($K237="No",N($J237)&gt;0),"SESSIONS ON A CLASSROOM EVENT - not counted (classroom counts minutes)",IF(AND($N237="Yes",$K237="Yes",N($J237)=0),"COUNTED PT EVENT WITH NO SESSIONS - dropped from the PT cap",IF(AND($N237="Yes",$K237="No",N($I237)=0),"COUNTED EVENT WITH NO MINUTES - dropped from the classroom cap","OK"))))))))))</f>
        <v/>
      </c>
    </row>
    <row r="238">
      <c r="B238" s="17">
        <f>IF($D238="","","A"&amp;TEXT(ROW()-5,"000"))</f>
        <v/>
      </c>
      <c r="C238" s="18" t="n"/>
      <c r="D238" s="16" t="n"/>
      <c r="E238" s="17">
        <f>IF($D238="","",IFERROR(INDEX(rngCadetPIDs,MATCH($D238,rngCadetNames,0)),"?"))</f>
        <v/>
      </c>
      <c r="F238" s="17">
        <f>IF($E238="","",IFERROR(INDEX(nrCadetAgency,MATCH($E238,rngCadetPIDs,0)),""))</f>
        <v/>
      </c>
      <c r="G238" s="16" t="n"/>
      <c r="H238" s="16" t="n"/>
      <c r="I238" s="16" t="n"/>
      <c r="J238" s="16" t="n"/>
      <c r="K238" s="17">
        <f>IF($G238="","",IF(OR($G238="PT Missed",$G238="PT Modified",$G238="PT Refused"),"Yes","No"))</f>
        <v/>
      </c>
      <c r="L238" s="16" t="n"/>
      <c r="M238" s="16" t="n"/>
      <c r="N238" s="17">
        <f>IF($D238="","",IF($M238="Excused","No",IF(AND($G238="PT Modified",$L238="Received"),"No","Yes")))</f>
        <v/>
      </c>
      <c r="O238" s="16" t="n"/>
      <c r="P238" s="17">
        <f>IF(OR($B238="",N($I238)=0),"",MIN(N($I238),SUMIFS(nrMK_Min,nrMK_Link,$B238,nrMK_Credit,"Yes",nrMK_PID,$E238,nrMK_Type,"Classroom")))</f>
        <v/>
      </c>
      <c r="Q238" s="17">
        <f>IF(OR($B238="",N($J238)=0),"",MIN(N($J238),SUMIFS(nrMK_Sess,nrMK_Link,$B238,nrMK_Credit,"Yes",nrMK_PID,$E238,nrMK_Type,"PT")))</f>
        <v/>
      </c>
      <c r="R238" s="17">
        <f>IF(OR($B238="",$N238&lt;&gt;"Yes"),"",IF($K238="Yes",IF(N($J238)&gt;0,N($J238)-N($Q238),""),IF(N($I238)&gt;0,N($I238)-N($P238),"")))</f>
        <v/>
      </c>
      <c r="S238" s="17">
        <f>IF(OR($B238="",$R238=""),"",IF($R238&lt;=0,IF(IFERROR(_xlfn.MAXIFS(nrMK_Date,nrMK_Link,$B238,nrMK_Credit,"Yes",nrMK_PID,$E238),0)=0,"CLEARED (makeup date missing)","CLEARED "&amp;TEXT(_xlfn.MAXIFS(nrMK_Date,nrMK_Link,$B238,nrMK_Credit,"Yes",nrMK_PID,$E238),"mm/dd")),"OPEN"))</f>
        <v/>
      </c>
      <c r="T238" s="17">
        <f>IF($D238="","",IF($C238="","NO DATE",IF($G238="","NO EVENT TYPE",IF(AND($I238&lt;&gt;"",NOT(ISNUMBER($I238))),"MINUTES NOT A NUMBER",IF(AND($J238&lt;&gt;"",NOT(ISNUMBER($J238))),"SESSIONS NOT A NUMBER",IF(OR(N($I238)&lt;0,N($J238)&lt;0),"NEGATIVE MINUTES/SESSIONS",IF(AND($K238="Yes",N($I238)&gt;0),"MINUTES ON A PT EVENT - not counted (PT counts sessions)",IF(AND($K238="No",N($J238)&gt;0),"SESSIONS ON A CLASSROOM EVENT - not counted (classroom counts minutes)",IF(AND($N238="Yes",$K238="Yes",N($J238)=0),"COUNTED PT EVENT WITH NO SESSIONS - dropped from the PT cap",IF(AND($N238="Yes",$K238="No",N($I238)=0),"COUNTED EVENT WITH NO MINUTES - dropped from the classroom cap","OK"))))))))))</f>
        <v/>
      </c>
    </row>
    <row r="239">
      <c r="B239" s="17">
        <f>IF($D239="","","A"&amp;TEXT(ROW()-5,"000"))</f>
        <v/>
      </c>
      <c r="C239" s="18" t="n"/>
      <c r="D239" s="16" t="n"/>
      <c r="E239" s="17">
        <f>IF($D239="","",IFERROR(INDEX(rngCadetPIDs,MATCH($D239,rngCadetNames,0)),"?"))</f>
        <v/>
      </c>
      <c r="F239" s="17">
        <f>IF($E239="","",IFERROR(INDEX(nrCadetAgency,MATCH($E239,rngCadetPIDs,0)),""))</f>
        <v/>
      </c>
      <c r="G239" s="16" t="n"/>
      <c r="H239" s="16" t="n"/>
      <c r="I239" s="16" t="n"/>
      <c r="J239" s="16" t="n"/>
      <c r="K239" s="17">
        <f>IF($G239="","",IF(OR($G239="PT Missed",$G239="PT Modified",$G239="PT Refused"),"Yes","No"))</f>
        <v/>
      </c>
      <c r="L239" s="16" t="n"/>
      <c r="M239" s="16" t="n"/>
      <c r="N239" s="17">
        <f>IF($D239="","",IF($M239="Excused","No",IF(AND($G239="PT Modified",$L239="Received"),"No","Yes")))</f>
        <v/>
      </c>
      <c r="O239" s="16" t="n"/>
      <c r="P239" s="17">
        <f>IF(OR($B239="",N($I239)=0),"",MIN(N($I239),SUMIFS(nrMK_Min,nrMK_Link,$B239,nrMK_Credit,"Yes",nrMK_PID,$E239,nrMK_Type,"Classroom")))</f>
        <v/>
      </c>
      <c r="Q239" s="17">
        <f>IF(OR($B239="",N($J239)=0),"",MIN(N($J239),SUMIFS(nrMK_Sess,nrMK_Link,$B239,nrMK_Credit,"Yes",nrMK_PID,$E239,nrMK_Type,"PT")))</f>
        <v/>
      </c>
      <c r="R239" s="17">
        <f>IF(OR($B239="",$N239&lt;&gt;"Yes"),"",IF($K239="Yes",IF(N($J239)&gt;0,N($J239)-N($Q239),""),IF(N($I239)&gt;0,N($I239)-N($P239),"")))</f>
        <v/>
      </c>
      <c r="S239" s="17">
        <f>IF(OR($B239="",$R239=""),"",IF($R239&lt;=0,IF(IFERROR(_xlfn.MAXIFS(nrMK_Date,nrMK_Link,$B239,nrMK_Credit,"Yes",nrMK_PID,$E239),0)=0,"CLEARED (makeup date missing)","CLEARED "&amp;TEXT(_xlfn.MAXIFS(nrMK_Date,nrMK_Link,$B239,nrMK_Credit,"Yes",nrMK_PID,$E239),"mm/dd")),"OPEN"))</f>
        <v/>
      </c>
      <c r="T239" s="17">
        <f>IF($D239="","",IF($C239="","NO DATE",IF($G239="","NO EVENT TYPE",IF(AND($I239&lt;&gt;"",NOT(ISNUMBER($I239))),"MINUTES NOT A NUMBER",IF(AND($J239&lt;&gt;"",NOT(ISNUMBER($J239))),"SESSIONS NOT A NUMBER",IF(OR(N($I239)&lt;0,N($J239)&lt;0),"NEGATIVE MINUTES/SESSIONS",IF(AND($K239="Yes",N($I239)&gt;0),"MINUTES ON A PT EVENT - not counted (PT counts sessions)",IF(AND($K239="No",N($J239)&gt;0),"SESSIONS ON A CLASSROOM EVENT - not counted (classroom counts minutes)",IF(AND($N239="Yes",$K239="Yes",N($J239)=0),"COUNTED PT EVENT WITH NO SESSIONS - dropped from the PT cap",IF(AND($N239="Yes",$K239="No",N($I239)=0),"COUNTED EVENT WITH NO MINUTES - dropped from the classroom cap","OK"))))))))))</f>
        <v/>
      </c>
    </row>
    <row r="240">
      <c r="B240" s="17">
        <f>IF($D240="","","A"&amp;TEXT(ROW()-5,"000"))</f>
        <v/>
      </c>
      <c r="C240" s="18" t="n"/>
      <c r="D240" s="16" t="n"/>
      <c r="E240" s="17">
        <f>IF($D240="","",IFERROR(INDEX(rngCadetPIDs,MATCH($D240,rngCadetNames,0)),"?"))</f>
        <v/>
      </c>
      <c r="F240" s="17">
        <f>IF($E240="","",IFERROR(INDEX(nrCadetAgency,MATCH($E240,rngCadetPIDs,0)),""))</f>
        <v/>
      </c>
      <c r="G240" s="16" t="n"/>
      <c r="H240" s="16" t="n"/>
      <c r="I240" s="16" t="n"/>
      <c r="J240" s="16" t="n"/>
      <c r="K240" s="17">
        <f>IF($G240="","",IF(OR($G240="PT Missed",$G240="PT Modified",$G240="PT Refused"),"Yes","No"))</f>
        <v/>
      </c>
      <c r="L240" s="16" t="n"/>
      <c r="M240" s="16" t="n"/>
      <c r="N240" s="17">
        <f>IF($D240="","",IF($M240="Excused","No",IF(AND($G240="PT Modified",$L240="Received"),"No","Yes")))</f>
        <v/>
      </c>
      <c r="O240" s="16" t="n"/>
      <c r="P240" s="17">
        <f>IF(OR($B240="",N($I240)=0),"",MIN(N($I240),SUMIFS(nrMK_Min,nrMK_Link,$B240,nrMK_Credit,"Yes",nrMK_PID,$E240,nrMK_Type,"Classroom")))</f>
        <v/>
      </c>
      <c r="Q240" s="17">
        <f>IF(OR($B240="",N($J240)=0),"",MIN(N($J240),SUMIFS(nrMK_Sess,nrMK_Link,$B240,nrMK_Credit,"Yes",nrMK_PID,$E240,nrMK_Type,"PT")))</f>
        <v/>
      </c>
      <c r="R240" s="17">
        <f>IF(OR($B240="",$N240&lt;&gt;"Yes"),"",IF($K240="Yes",IF(N($J240)&gt;0,N($J240)-N($Q240),""),IF(N($I240)&gt;0,N($I240)-N($P240),"")))</f>
        <v/>
      </c>
      <c r="S240" s="17">
        <f>IF(OR($B240="",$R240=""),"",IF($R240&lt;=0,IF(IFERROR(_xlfn.MAXIFS(nrMK_Date,nrMK_Link,$B240,nrMK_Credit,"Yes",nrMK_PID,$E240),0)=0,"CLEARED (makeup date missing)","CLEARED "&amp;TEXT(_xlfn.MAXIFS(nrMK_Date,nrMK_Link,$B240,nrMK_Credit,"Yes",nrMK_PID,$E240),"mm/dd")),"OPEN"))</f>
        <v/>
      </c>
      <c r="T240" s="17">
        <f>IF($D240="","",IF($C240="","NO DATE",IF($G240="","NO EVENT TYPE",IF(AND($I240&lt;&gt;"",NOT(ISNUMBER($I240))),"MINUTES NOT A NUMBER",IF(AND($J240&lt;&gt;"",NOT(ISNUMBER($J240))),"SESSIONS NOT A NUMBER",IF(OR(N($I240)&lt;0,N($J240)&lt;0),"NEGATIVE MINUTES/SESSIONS",IF(AND($K240="Yes",N($I240)&gt;0),"MINUTES ON A PT EVENT - not counted (PT counts sessions)",IF(AND($K240="No",N($J240)&gt;0),"SESSIONS ON A CLASSROOM EVENT - not counted (classroom counts minutes)",IF(AND($N240="Yes",$K240="Yes",N($J240)=0),"COUNTED PT EVENT WITH NO SESSIONS - dropped from the PT cap",IF(AND($N240="Yes",$K240="No",N($I240)=0),"COUNTED EVENT WITH NO MINUTES - dropped from the classroom cap","OK"))))))))))</f>
        <v/>
      </c>
    </row>
    <row r="241">
      <c r="B241" s="17">
        <f>IF($D241="","","A"&amp;TEXT(ROW()-5,"000"))</f>
        <v/>
      </c>
      <c r="C241" s="18" t="n"/>
      <c r="D241" s="16" t="n"/>
      <c r="E241" s="17">
        <f>IF($D241="","",IFERROR(INDEX(rngCadetPIDs,MATCH($D241,rngCadetNames,0)),"?"))</f>
        <v/>
      </c>
      <c r="F241" s="17">
        <f>IF($E241="","",IFERROR(INDEX(nrCadetAgency,MATCH($E241,rngCadetPIDs,0)),""))</f>
        <v/>
      </c>
      <c r="G241" s="16" t="n"/>
      <c r="H241" s="16" t="n"/>
      <c r="I241" s="16" t="n"/>
      <c r="J241" s="16" t="n"/>
      <c r="K241" s="17">
        <f>IF($G241="","",IF(OR($G241="PT Missed",$G241="PT Modified",$G241="PT Refused"),"Yes","No"))</f>
        <v/>
      </c>
      <c r="L241" s="16" t="n"/>
      <c r="M241" s="16" t="n"/>
      <c r="N241" s="17">
        <f>IF($D241="","",IF($M241="Excused","No",IF(AND($G241="PT Modified",$L241="Received"),"No","Yes")))</f>
        <v/>
      </c>
      <c r="O241" s="16" t="n"/>
      <c r="P241" s="17">
        <f>IF(OR($B241="",N($I241)=0),"",MIN(N($I241),SUMIFS(nrMK_Min,nrMK_Link,$B241,nrMK_Credit,"Yes",nrMK_PID,$E241,nrMK_Type,"Classroom")))</f>
        <v/>
      </c>
      <c r="Q241" s="17">
        <f>IF(OR($B241="",N($J241)=0),"",MIN(N($J241),SUMIFS(nrMK_Sess,nrMK_Link,$B241,nrMK_Credit,"Yes",nrMK_PID,$E241,nrMK_Type,"PT")))</f>
        <v/>
      </c>
      <c r="R241" s="17">
        <f>IF(OR($B241="",$N241&lt;&gt;"Yes"),"",IF($K241="Yes",IF(N($J241)&gt;0,N($J241)-N($Q241),""),IF(N($I241)&gt;0,N($I241)-N($P241),"")))</f>
        <v/>
      </c>
      <c r="S241" s="17">
        <f>IF(OR($B241="",$R241=""),"",IF($R241&lt;=0,IF(IFERROR(_xlfn.MAXIFS(nrMK_Date,nrMK_Link,$B241,nrMK_Credit,"Yes",nrMK_PID,$E241),0)=0,"CLEARED (makeup date missing)","CLEARED "&amp;TEXT(_xlfn.MAXIFS(nrMK_Date,nrMK_Link,$B241,nrMK_Credit,"Yes",nrMK_PID,$E241),"mm/dd")),"OPEN"))</f>
        <v/>
      </c>
      <c r="T241" s="17">
        <f>IF($D241="","",IF($C241="","NO DATE",IF($G241="","NO EVENT TYPE",IF(AND($I241&lt;&gt;"",NOT(ISNUMBER($I241))),"MINUTES NOT A NUMBER",IF(AND($J241&lt;&gt;"",NOT(ISNUMBER($J241))),"SESSIONS NOT A NUMBER",IF(OR(N($I241)&lt;0,N($J241)&lt;0),"NEGATIVE MINUTES/SESSIONS",IF(AND($K241="Yes",N($I241)&gt;0),"MINUTES ON A PT EVENT - not counted (PT counts sessions)",IF(AND($K241="No",N($J241)&gt;0),"SESSIONS ON A CLASSROOM EVENT - not counted (classroom counts minutes)",IF(AND($N241="Yes",$K241="Yes",N($J241)=0),"COUNTED PT EVENT WITH NO SESSIONS - dropped from the PT cap",IF(AND($N241="Yes",$K241="No",N($I241)=0),"COUNTED EVENT WITH NO MINUTES - dropped from the classroom cap","OK"))))))))))</f>
        <v/>
      </c>
    </row>
    <row r="242">
      <c r="B242" s="17">
        <f>IF($D242="","","A"&amp;TEXT(ROW()-5,"000"))</f>
        <v/>
      </c>
      <c r="C242" s="18" t="n"/>
      <c r="D242" s="16" t="n"/>
      <c r="E242" s="17">
        <f>IF($D242="","",IFERROR(INDEX(rngCadetPIDs,MATCH($D242,rngCadetNames,0)),"?"))</f>
        <v/>
      </c>
      <c r="F242" s="17">
        <f>IF($E242="","",IFERROR(INDEX(nrCadetAgency,MATCH($E242,rngCadetPIDs,0)),""))</f>
        <v/>
      </c>
      <c r="G242" s="16" t="n"/>
      <c r="H242" s="16" t="n"/>
      <c r="I242" s="16" t="n"/>
      <c r="J242" s="16" t="n"/>
      <c r="K242" s="17">
        <f>IF($G242="","",IF(OR($G242="PT Missed",$G242="PT Modified",$G242="PT Refused"),"Yes","No"))</f>
        <v/>
      </c>
      <c r="L242" s="16" t="n"/>
      <c r="M242" s="16" t="n"/>
      <c r="N242" s="17">
        <f>IF($D242="","",IF($M242="Excused","No",IF(AND($G242="PT Modified",$L242="Received"),"No","Yes")))</f>
        <v/>
      </c>
      <c r="O242" s="16" t="n"/>
      <c r="P242" s="17">
        <f>IF(OR($B242="",N($I242)=0),"",MIN(N($I242),SUMIFS(nrMK_Min,nrMK_Link,$B242,nrMK_Credit,"Yes",nrMK_PID,$E242,nrMK_Type,"Classroom")))</f>
        <v/>
      </c>
      <c r="Q242" s="17">
        <f>IF(OR($B242="",N($J242)=0),"",MIN(N($J242),SUMIFS(nrMK_Sess,nrMK_Link,$B242,nrMK_Credit,"Yes",nrMK_PID,$E242,nrMK_Type,"PT")))</f>
        <v/>
      </c>
      <c r="R242" s="17">
        <f>IF(OR($B242="",$N242&lt;&gt;"Yes"),"",IF($K242="Yes",IF(N($J242)&gt;0,N($J242)-N($Q242),""),IF(N($I242)&gt;0,N($I242)-N($P242),"")))</f>
        <v/>
      </c>
      <c r="S242" s="17">
        <f>IF(OR($B242="",$R242=""),"",IF($R242&lt;=0,IF(IFERROR(_xlfn.MAXIFS(nrMK_Date,nrMK_Link,$B242,nrMK_Credit,"Yes",nrMK_PID,$E242),0)=0,"CLEARED (makeup date missing)","CLEARED "&amp;TEXT(_xlfn.MAXIFS(nrMK_Date,nrMK_Link,$B242,nrMK_Credit,"Yes",nrMK_PID,$E242),"mm/dd")),"OPEN"))</f>
        <v/>
      </c>
      <c r="T242" s="17">
        <f>IF($D242="","",IF($C242="","NO DATE",IF($G242="","NO EVENT TYPE",IF(AND($I242&lt;&gt;"",NOT(ISNUMBER($I242))),"MINUTES NOT A NUMBER",IF(AND($J242&lt;&gt;"",NOT(ISNUMBER($J242))),"SESSIONS NOT A NUMBER",IF(OR(N($I242)&lt;0,N($J242)&lt;0),"NEGATIVE MINUTES/SESSIONS",IF(AND($K242="Yes",N($I242)&gt;0),"MINUTES ON A PT EVENT - not counted (PT counts sessions)",IF(AND($K242="No",N($J242)&gt;0),"SESSIONS ON A CLASSROOM EVENT - not counted (classroom counts minutes)",IF(AND($N242="Yes",$K242="Yes",N($J242)=0),"COUNTED PT EVENT WITH NO SESSIONS - dropped from the PT cap",IF(AND($N242="Yes",$K242="No",N($I242)=0),"COUNTED EVENT WITH NO MINUTES - dropped from the classroom cap","OK"))))))))))</f>
        <v/>
      </c>
    </row>
    <row r="243">
      <c r="B243" s="17">
        <f>IF($D243="","","A"&amp;TEXT(ROW()-5,"000"))</f>
        <v/>
      </c>
      <c r="C243" s="18" t="n"/>
      <c r="D243" s="16" t="n"/>
      <c r="E243" s="17">
        <f>IF($D243="","",IFERROR(INDEX(rngCadetPIDs,MATCH($D243,rngCadetNames,0)),"?"))</f>
        <v/>
      </c>
      <c r="F243" s="17">
        <f>IF($E243="","",IFERROR(INDEX(nrCadetAgency,MATCH($E243,rngCadetPIDs,0)),""))</f>
        <v/>
      </c>
      <c r="G243" s="16" t="n"/>
      <c r="H243" s="16" t="n"/>
      <c r="I243" s="16" t="n"/>
      <c r="J243" s="16" t="n"/>
      <c r="K243" s="17">
        <f>IF($G243="","",IF(OR($G243="PT Missed",$G243="PT Modified",$G243="PT Refused"),"Yes","No"))</f>
        <v/>
      </c>
      <c r="L243" s="16" t="n"/>
      <c r="M243" s="16" t="n"/>
      <c r="N243" s="17">
        <f>IF($D243="","",IF($M243="Excused","No",IF(AND($G243="PT Modified",$L243="Received"),"No","Yes")))</f>
        <v/>
      </c>
      <c r="O243" s="16" t="n"/>
      <c r="P243" s="17">
        <f>IF(OR($B243="",N($I243)=0),"",MIN(N($I243),SUMIFS(nrMK_Min,nrMK_Link,$B243,nrMK_Credit,"Yes",nrMK_PID,$E243,nrMK_Type,"Classroom")))</f>
        <v/>
      </c>
      <c r="Q243" s="17">
        <f>IF(OR($B243="",N($J243)=0),"",MIN(N($J243),SUMIFS(nrMK_Sess,nrMK_Link,$B243,nrMK_Credit,"Yes",nrMK_PID,$E243,nrMK_Type,"PT")))</f>
        <v/>
      </c>
      <c r="R243" s="17">
        <f>IF(OR($B243="",$N243&lt;&gt;"Yes"),"",IF($K243="Yes",IF(N($J243)&gt;0,N($J243)-N($Q243),""),IF(N($I243)&gt;0,N($I243)-N($P243),"")))</f>
        <v/>
      </c>
      <c r="S243" s="17">
        <f>IF(OR($B243="",$R243=""),"",IF($R243&lt;=0,IF(IFERROR(_xlfn.MAXIFS(nrMK_Date,nrMK_Link,$B243,nrMK_Credit,"Yes",nrMK_PID,$E243),0)=0,"CLEARED (makeup date missing)","CLEARED "&amp;TEXT(_xlfn.MAXIFS(nrMK_Date,nrMK_Link,$B243,nrMK_Credit,"Yes",nrMK_PID,$E243),"mm/dd")),"OPEN"))</f>
        <v/>
      </c>
      <c r="T243" s="17">
        <f>IF($D243="","",IF($C243="","NO DATE",IF($G243="","NO EVENT TYPE",IF(AND($I243&lt;&gt;"",NOT(ISNUMBER($I243))),"MINUTES NOT A NUMBER",IF(AND($J243&lt;&gt;"",NOT(ISNUMBER($J243))),"SESSIONS NOT A NUMBER",IF(OR(N($I243)&lt;0,N($J243)&lt;0),"NEGATIVE MINUTES/SESSIONS",IF(AND($K243="Yes",N($I243)&gt;0),"MINUTES ON A PT EVENT - not counted (PT counts sessions)",IF(AND($K243="No",N($J243)&gt;0),"SESSIONS ON A CLASSROOM EVENT - not counted (classroom counts minutes)",IF(AND($N243="Yes",$K243="Yes",N($J243)=0),"COUNTED PT EVENT WITH NO SESSIONS - dropped from the PT cap",IF(AND($N243="Yes",$K243="No",N($I243)=0),"COUNTED EVENT WITH NO MINUTES - dropped from the classroom cap","OK"))))))))))</f>
        <v/>
      </c>
    </row>
    <row r="244">
      <c r="B244" s="17">
        <f>IF($D244="","","A"&amp;TEXT(ROW()-5,"000"))</f>
        <v/>
      </c>
      <c r="C244" s="18" t="n"/>
      <c r="D244" s="16" t="n"/>
      <c r="E244" s="17">
        <f>IF($D244="","",IFERROR(INDEX(rngCadetPIDs,MATCH($D244,rngCadetNames,0)),"?"))</f>
        <v/>
      </c>
      <c r="F244" s="17">
        <f>IF($E244="","",IFERROR(INDEX(nrCadetAgency,MATCH($E244,rngCadetPIDs,0)),""))</f>
        <v/>
      </c>
      <c r="G244" s="16" t="n"/>
      <c r="H244" s="16" t="n"/>
      <c r="I244" s="16" t="n"/>
      <c r="J244" s="16" t="n"/>
      <c r="K244" s="17">
        <f>IF($G244="","",IF(OR($G244="PT Missed",$G244="PT Modified",$G244="PT Refused"),"Yes","No"))</f>
        <v/>
      </c>
      <c r="L244" s="16" t="n"/>
      <c r="M244" s="16" t="n"/>
      <c r="N244" s="17">
        <f>IF($D244="","",IF($M244="Excused","No",IF(AND($G244="PT Modified",$L244="Received"),"No","Yes")))</f>
        <v/>
      </c>
      <c r="O244" s="16" t="n"/>
      <c r="P244" s="17">
        <f>IF(OR($B244="",N($I244)=0),"",MIN(N($I244),SUMIFS(nrMK_Min,nrMK_Link,$B244,nrMK_Credit,"Yes",nrMK_PID,$E244,nrMK_Type,"Classroom")))</f>
        <v/>
      </c>
      <c r="Q244" s="17">
        <f>IF(OR($B244="",N($J244)=0),"",MIN(N($J244),SUMIFS(nrMK_Sess,nrMK_Link,$B244,nrMK_Credit,"Yes",nrMK_PID,$E244,nrMK_Type,"PT")))</f>
        <v/>
      </c>
      <c r="R244" s="17">
        <f>IF(OR($B244="",$N244&lt;&gt;"Yes"),"",IF($K244="Yes",IF(N($J244)&gt;0,N($J244)-N($Q244),""),IF(N($I244)&gt;0,N($I244)-N($P244),"")))</f>
        <v/>
      </c>
      <c r="S244" s="17">
        <f>IF(OR($B244="",$R244=""),"",IF($R244&lt;=0,IF(IFERROR(_xlfn.MAXIFS(nrMK_Date,nrMK_Link,$B244,nrMK_Credit,"Yes",nrMK_PID,$E244),0)=0,"CLEARED (makeup date missing)","CLEARED "&amp;TEXT(_xlfn.MAXIFS(nrMK_Date,nrMK_Link,$B244,nrMK_Credit,"Yes",nrMK_PID,$E244),"mm/dd")),"OPEN"))</f>
        <v/>
      </c>
      <c r="T244" s="17">
        <f>IF($D244="","",IF($C244="","NO DATE",IF($G244="","NO EVENT TYPE",IF(AND($I244&lt;&gt;"",NOT(ISNUMBER($I244))),"MINUTES NOT A NUMBER",IF(AND($J244&lt;&gt;"",NOT(ISNUMBER($J244))),"SESSIONS NOT A NUMBER",IF(OR(N($I244)&lt;0,N($J244)&lt;0),"NEGATIVE MINUTES/SESSIONS",IF(AND($K244="Yes",N($I244)&gt;0),"MINUTES ON A PT EVENT - not counted (PT counts sessions)",IF(AND($K244="No",N($J244)&gt;0),"SESSIONS ON A CLASSROOM EVENT - not counted (classroom counts minutes)",IF(AND($N244="Yes",$K244="Yes",N($J244)=0),"COUNTED PT EVENT WITH NO SESSIONS - dropped from the PT cap",IF(AND($N244="Yes",$K244="No",N($I244)=0),"COUNTED EVENT WITH NO MINUTES - dropped from the classroom cap","OK"))))))))))</f>
        <v/>
      </c>
    </row>
    <row r="245">
      <c r="B245" s="17">
        <f>IF($D245="","","A"&amp;TEXT(ROW()-5,"000"))</f>
        <v/>
      </c>
      <c r="C245" s="18" t="n"/>
      <c r="D245" s="16" t="n"/>
      <c r="E245" s="17">
        <f>IF($D245="","",IFERROR(INDEX(rngCadetPIDs,MATCH($D245,rngCadetNames,0)),"?"))</f>
        <v/>
      </c>
      <c r="F245" s="17">
        <f>IF($E245="","",IFERROR(INDEX(nrCadetAgency,MATCH($E245,rngCadetPIDs,0)),""))</f>
        <v/>
      </c>
      <c r="G245" s="16" t="n"/>
      <c r="H245" s="16" t="n"/>
      <c r="I245" s="16" t="n"/>
      <c r="J245" s="16" t="n"/>
      <c r="K245" s="17">
        <f>IF($G245="","",IF(OR($G245="PT Missed",$G245="PT Modified",$G245="PT Refused"),"Yes","No"))</f>
        <v/>
      </c>
      <c r="L245" s="16" t="n"/>
      <c r="M245" s="16" t="n"/>
      <c r="N245" s="17">
        <f>IF($D245="","",IF($M245="Excused","No",IF(AND($G245="PT Modified",$L245="Received"),"No","Yes")))</f>
        <v/>
      </c>
      <c r="O245" s="16" t="n"/>
      <c r="P245" s="17">
        <f>IF(OR($B245="",N($I245)=0),"",MIN(N($I245),SUMIFS(nrMK_Min,nrMK_Link,$B245,nrMK_Credit,"Yes",nrMK_PID,$E245,nrMK_Type,"Classroom")))</f>
        <v/>
      </c>
      <c r="Q245" s="17">
        <f>IF(OR($B245="",N($J245)=0),"",MIN(N($J245),SUMIFS(nrMK_Sess,nrMK_Link,$B245,nrMK_Credit,"Yes",nrMK_PID,$E245,nrMK_Type,"PT")))</f>
        <v/>
      </c>
      <c r="R245" s="17">
        <f>IF(OR($B245="",$N245&lt;&gt;"Yes"),"",IF($K245="Yes",IF(N($J245)&gt;0,N($J245)-N($Q245),""),IF(N($I245)&gt;0,N($I245)-N($P245),"")))</f>
        <v/>
      </c>
      <c r="S245" s="17">
        <f>IF(OR($B245="",$R245=""),"",IF($R245&lt;=0,IF(IFERROR(_xlfn.MAXIFS(nrMK_Date,nrMK_Link,$B245,nrMK_Credit,"Yes",nrMK_PID,$E245),0)=0,"CLEARED (makeup date missing)","CLEARED "&amp;TEXT(_xlfn.MAXIFS(nrMK_Date,nrMK_Link,$B245,nrMK_Credit,"Yes",nrMK_PID,$E245),"mm/dd")),"OPEN"))</f>
        <v/>
      </c>
      <c r="T245" s="17">
        <f>IF($D245="","",IF($C245="","NO DATE",IF($G245="","NO EVENT TYPE",IF(AND($I245&lt;&gt;"",NOT(ISNUMBER($I245))),"MINUTES NOT A NUMBER",IF(AND($J245&lt;&gt;"",NOT(ISNUMBER($J245))),"SESSIONS NOT A NUMBER",IF(OR(N($I245)&lt;0,N($J245)&lt;0),"NEGATIVE MINUTES/SESSIONS",IF(AND($K245="Yes",N($I245)&gt;0),"MINUTES ON A PT EVENT - not counted (PT counts sessions)",IF(AND($K245="No",N($J245)&gt;0),"SESSIONS ON A CLASSROOM EVENT - not counted (classroom counts minutes)",IF(AND($N245="Yes",$K245="Yes",N($J245)=0),"COUNTED PT EVENT WITH NO SESSIONS - dropped from the PT cap",IF(AND($N245="Yes",$K245="No",N($I245)=0),"COUNTED EVENT WITH NO MINUTES - dropped from the classroom cap","OK"))))))))))</f>
        <v/>
      </c>
    </row>
    <row r="246">
      <c r="B246" s="17">
        <f>IF($D246="","","A"&amp;TEXT(ROW()-5,"000"))</f>
        <v/>
      </c>
      <c r="C246" s="18" t="n"/>
      <c r="D246" s="16" t="n"/>
      <c r="E246" s="17">
        <f>IF($D246="","",IFERROR(INDEX(rngCadetPIDs,MATCH($D246,rngCadetNames,0)),"?"))</f>
        <v/>
      </c>
      <c r="F246" s="17">
        <f>IF($E246="","",IFERROR(INDEX(nrCadetAgency,MATCH($E246,rngCadetPIDs,0)),""))</f>
        <v/>
      </c>
      <c r="G246" s="16" t="n"/>
      <c r="H246" s="16" t="n"/>
      <c r="I246" s="16" t="n"/>
      <c r="J246" s="16" t="n"/>
      <c r="K246" s="17">
        <f>IF($G246="","",IF(OR($G246="PT Missed",$G246="PT Modified",$G246="PT Refused"),"Yes","No"))</f>
        <v/>
      </c>
      <c r="L246" s="16" t="n"/>
      <c r="M246" s="16" t="n"/>
      <c r="N246" s="17">
        <f>IF($D246="","",IF($M246="Excused","No",IF(AND($G246="PT Modified",$L246="Received"),"No","Yes")))</f>
        <v/>
      </c>
      <c r="O246" s="16" t="n"/>
      <c r="P246" s="17">
        <f>IF(OR($B246="",N($I246)=0),"",MIN(N($I246),SUMIFS(nrMK_Min,nrMK_Link,$B246,nrMK_Credit,"Yes",nrMK_PID,$E246,nrMK_Type,"Classroom")))</f>
        <v/>
      </c>
      <c r="Q246" s="17">
        <f>IF(OR($B246="",N($J246)=0),"",MIN(N($J246),SUMIFS(nrMK_Sess,nrMK_Link,$B246,nrMK_Credit,"Yes",nrMK_PID,$E246,nrMK_Type,"PT")))</f>
        <v/>
      </c>
      <c r="R246" s="17">
        <f>IF(OR($B246="",$N246&lt;&gt;"Yes"),"",IF($K246="Yes",IF(N($J246)&gt;0,N($J246)-N($Q246),""),IF(N($I246)&gt;0,N($I246)-N($P246),"")))</f>
        <v/>
      </c>
      <c r="S246" s="17">
        <f>IF(OR($B246="",$R246=""),"",IF($R246&lt;=0,IF(IFERROR(_xlfn.MAXIFS(nrMK_Date,nrMK_Link,$B246,nrMK_Credit,"Yes",nrMK_PID,$E246),0)=0,"CLEARED (makeup date missing)","CLEARED "&amp;TEXT(_xlfn.MAXIFS(nrMK_Date,nrMK_Link,$B246,nrMK_Credit,"Yes",nrMK_PID,$E246),"mm/dd")),"OPEN"))</f>
        <v/>
      </c>
      <c r="T246" s="17">
        <f>IF($D246="","",IF($C246="","NO DATE",IF($G246="","NO EVENT TYPE",IF(AND($I246&lt;&gt;"",NOT(ISNUMBER($I246))),"MINUTES NOT A NUMBER",IF(AND($J246&lt;&gt;"",NOT(ISNUMBER($J246))),"SESSIONS NOT A NUMBER",IF(OR(N($I246)&lt;0,N($J246)&lt;0),"NEGATIVE MINUTES/SESSIONS",IF(AND($K246="Yes",N($I246)&gt;0),"MINUTES ON A PT EVENT - not counted (PT counts sessions)",IF(AND($K246="No",N($J246)&gt;0),"SESSIONS ON A CLASSROOM EVENT - not counted (classroom counts minutes)",IF(AND($N246="Yes",$K246="Yes",N($J246)=0),"COUNTED PT EVENT WITH NO SESSIONS - dropped from the PT cap",IF(AND($N246="Yes",$K246="No",N($I246)=0),"COUNTED EVENT WITH NO MINUTES - dropped from the classroom cap","OK"))))))))))</f>
        <v/>
      </c>
    </row>
    <row r="247">
      <c r="B247" s="17">
        <f>IF($D247="","","A"&amp;TEXT(ROW()-5,"000"))</f>
        <v/>
      </c>
      <c r="C247" s="18" t="n"/>
      <c r="D247" s="16" t="n"/>
      <c r="E247" s="17">
        <f>IF($D247="","",IFERROR(INDEX(rngCadetPIDs,MATCH($D247,rngCadetNames,0)),"?"))</f>
        <v/>
      </c>
      <c r="F247" s="17">
        <f>IF($E247="","",IFERROR(INDEX(nrCadetAgency,MATCH($E247,rngCadetPIDs,0)),""))</f>
        <v/>
      </c>
      <c r="G247" s="16" t="n"/>
      <c r="H247" s="16" t="n"/>
      <c r="I247" s="16" t="n"/>
      <c r="J247" s="16" t="n"/>
      <c r="K247" s="17">
        <f>IF($G247="","",IF(OR($G247="PT Missed",$G247="PT Modified",$G247="PT Refused"),"Yes","No"))</f>
        <v/>
      </c>
      <c r="L247" s="16" t="n"/>
      <c r="M247" s="16" t="n"/>
      <c r="N247" s="17">
        <f>IF($D247="","",IF($M247="Excused","No",IF(AND($G247="PT Modified",$L247="Received"),"No","Yes")))</f>
        <v/>
      </c>
      <c r="O247" s="16" t="n"/>
      <c r="P247" s="17">
        <f>IF(OR($B247="",N($I247)=0),"",MIN(N($I247),SUMIFS(nrMK_Min,nrMK_Link,$B247,nrMK_Credit,"Yes",nrMK_PID,$E247,nrMK_Type,"Classroom")))</f>
        <v/>
      </c>
      <c r="Q247" s="17">
        <f>IF(OR($B247="",N($J247)=0),"",MIN(N($J247),SUMIFS(nrMK_Sess,nrMK_Link,$B247,nrMK_Credit,"Yes",nrMK_PID,$E247,nrMK_Type,"PT")))</f>
        <v/>
      </c>
      <c r="R247" s="17">
        <f>IF(OR($B247="",$N247&lt;&gt;"Yes"),"",IF($K247="Yes",IF(N($J247)&gt;0,N($J247)-N($Q247),""),IF(N($I247)&gt;0,N($I247)-N($P247),"")))</f>
        <v/>
      </c>
      <c r="S247" s="17">
        <f>IF(OR($B247="",$R247=""),"",IF($R247&lt;=0,IF(IFERROR(_xlfn.MAXIFS(nrMK_Date,nrMK_Link,$B247,nrMK_Credit,"Yes",nrMK_PID,$E247),0)=0,"CLEARED (makeup date missing)","CLEARED "&amp;TEXT(_xlfn.MAXIFS(nrMK_Date,nrMK_Link,$B247,nrMK_Credit,"Yes",nrMK_PID,$E247),"mm/dd")),"OPEN"))</f>
        <v/>
      </c>
      <c r="T247" s="17">
        <f>IF($D247="","",IF($C247="","NO DATE",IF($G247="","NO EVENT TYPE",IF(AND($I247&lt;&gt;"",NOT(ISNUMBER($I247))),"MINUTES NOT A NUMBER",IF(AND($J247&lt;&gt;"",NOT(ISNUMBER($J247))),"SESSIONS NOT A NUMBER",IF(OR(N($I247)&lt;0,N($J247)&lt;0),"NEGATIVE MINUTES/SESSIONS",IF(AND($K247="Yes",N($I247)&gt;0),"MINUTES ON A PT EVENT - not counted (PT counts sessions)",IF(AND($K247="No",N($J247)&gt;0),"SESSIONS ON A CLASSROOM EVENT - not counted (classroom counts minutes)",IF(AND($N247="Yes",$K247="Yes",N($J247)=0),"COUNTED PT EVENT WITH NO SESSIONS - dropped from the PT cap",IF(AND($N247="Yes",$K247="No",N($I247)=0),"COUNTED EVENT WITH NO MINUTES - dropped from the classroom cap","OK"))))))))))</f>
        <v/>
      </c>
    </row>
    <row r="248">
      <c r="B248" s="17">
        <f>IF($D248="","","A"&amp;TEXT(ROW()-5,"000"))</f>
        <v/>
      </c>
      <c r="C248" s="18" t="n"/>
      <c r="D248" s="16" t="n"/>
      <c r="E248" s="17">
        <f>IF($D248="","",IFERROR(INDEX(rngCadetPIDs,MATCH($D248,rngCadetNames,0)),"?"))</f>
        <v/>
      </c>
      <c r="F248" s="17">
        <f>IF($E248="","",IFERROR(INDEX(nrCadetAgency,MATCH($E248,rngCadetPIDs,0)),""))</f>
        <v/>
      </c>
      <c r="G248" s="16" t="n"/>
      <c r="H248" s="16" t="n"/>
      <c r="I248" s="16" t="n"/>
      <c r="J248" s="16" t="n"/>
      <c r="K248" s="17">
        <f>IF($G248="","",IF(OR($G248="PT Missed",$G248="PT Modified",$G248="PT Refused"),"Yes","No"))</f>
        <v/>
      </c>
      <c r="L248" s="16" t="n"/>
      <c r="M248" s="16" t="n"/>
      <c r="N248" s="17">
        <f>IF($D248="","",IF($M248="Excused","No",IF(AND($G248="PT Modified",$L248="Received"),"No","Yes")))</f>
        <v/>
      </c>
      <c r="O248" s="16" t="n"/>
      <c r="P248" s="17">
        <f>IF(OR($B248="",N($I248)=0),"",MIN(N($I248),SUMIFS(nrMK_Min,nrMK_Link,$B248,nrMK_Credit,"Yes",nrMK_PID,$E248,nrMK_Type,"Classroom")))</f>
        <v/>
      </c>
      <c r="Q248" s="17">
        <f>IF(OR($B248="",N($J248)=0),"",MIN(N($J248),SUMIFS(nrMK_Sess,nrMK_Link,$B248,nrMK_Credit,"Yes",nrMK_PID,$E248,nrMK_Type,"PT")))</f>
        <v/>
      </c>
      <c r="R248" s="17">
        <f>IF(OR($B248="",$N248&lt;&gt;"Yes"),"",IF($K248="Yes",IF(N($J248)&gt;0,N($J248)-N($Q248),""),IF(N($I248)&gt;0,N($I248)-N($P248),"")))</f>
        <v/>
      </c>
      <c r="S248" s="17">
        <f>IF(OR($B248="",$R248=""),"",IF($R248&lt;=0,IF(IFERROR(_xlfn.MAXIFS(nrMK_Date,nrMK_Link,$B248,nrMK_Credit,"Yes",nrMK_PID,$E248),0)=0,"CLEARED (makeup date missing)","CLEARED "&amp;TEXT(_xlfn.MAXIFS(nrMK_Date,nrMK_Link,$B248,nrMK_Credit,"Yes",nrMK_PID,$E248),"mm/dd")),"OPEN"))</f>
        <v/>
      </c>
      <c r="T248" s="17">
        <f>IF($D248="","",IF($C248="","NO DATE",IF($G248="","NO EVENT TYPE",IF(AND($I248&lt;&gt;"",NOT(ISNUMBER($I248))),"MINUTES NOT A NUMBER",IF(AND($J248&lt;&gt;"",NOT(ISNUMBER($J248))),"SESSIONS NOT A NUMBER",IF(OR(N($I248)&lt;0,N($J248)&lt;0),"NEGATIVE MINUTES/SESSIONS",IF(AND($K248="Yes",N($I248)&gt;0),"MINUTES ON A PT EVENT - not counted (PT counts sessions)",IF(AND($K248="No",N($J248)&gt;0),"SESSIONS ON A CLASSROOM EVENT - not counted (classroom counts minutes)",IF(AND($N248="Yes",$K248="Yes",N($J248)=0),"COUNTED PT EVENT WITH NO SESSIONS - dropped from the PT cap",IF(AND($N248="Yes",$K248="No",N($I248)=0),"COUNTED EVENT WITH NO MINUTES - dropped from the classroom cap","OK"))))))))))</f>
        <v/>
      </c>
    </row>
    <row r="249">
      <c r="B249" s="17">
        <f>IF($D249="","","A"&amp;TEXT(ROW()-5,"000"))</f>
        <v/>
      </c>
      <c r="C249" s="18" t="n"/>
      <c r="D249" s="16" t="n"/>
      <c r="E249" s="17">
        <f>IF($D249="","",IFERROR(INDEX(rngCadetPIDs,MATCH($D249,rngCadetNames,0)),"?"))</f>
        <v/>
      </c>
      <c r="F249" s="17">
        <f>IF($E249="","",IFERROR(INDEX(nrCadetAgency,MATCH($E249,rngCadetPIDs,0)),""))</f>
        <v/>
      </c>
      <c r="G249" s="16" t="n"/>
      <c r="H249" s="16" t="n"/>
      <c r="I249" s="16" t="n"/>
      <c r="J249" s="16" t="n"/>
      <c r="K249" s="17">
        <f>IF($G249="","",IF(OR($G249="PT Missed",$G249="PT Modified",$G249="PT Refused"),"Yes","No"))</f>
        <v/>
      </c>
      <c r="L249" s="16" t="n"/>
      <c r="M249" s="16" t="n"/>
      <c r="N249" s="17">
        <f>IF($D249="","",IF($M249="Excused","No",IF(AND($G249="PT Modified",$L249="Received"),"No","Yes")))</f>
        <v/>
      </c>
      <c r="O249" s="16" t="n"/>
      <c r="P249" s="17">
        <f>IF(OR($B249="",N($I249)=0),"",MIN(N($I249),SUMIFS(nrMK_Min,nrMK_Link,$B249,nrMK_Credit,"Yes",nrMK_PID,$E249,nrMK_Type,"Classroom")))</f>
        <v/>
      </c>
      <c r="Q249" s="17">
        <f>IF(OR($B249="",N($J249)=0),"",MIN(N($J249),SUMIFS(nrMK_Sess,nrMK_Link,$B249,nrMK_Credit,"Yes",nrMK_PID,$E249,nrMK_Type,"PT")))</f>
        <v/>
      </c>
      <c r="R249" s="17">
        <f>IF(OR($B249="",$N249&lt;&gt;"Yes"),"",IF($K249="Yes",IF(N($J249)&gt;0,N($J249)-N($Q249),""),IF(N($I249)&gt;0,N($I249)-N($P249),"")))</f>
        <v/>
      </c>
      <c r="S249" s="17">
        <f>IF(OR($B249="",$R249=""),"",IF($R249&lt;=0,IF(IFERROR(_xlfn.MAXIFS(nrMK_Date,nrMK_Link,$B249,nrMK_Credit,"Yes",nrMK_PID,$E249),0)=0,"CLEARED (makeup date missing)","CLEARED "&amp;TEXT(_xlfn.MAXIFS(nrMK_Date,nrMK_Link,$B249,nrMK_Credit,"Yes",nrMK_PID,$E249),"mm/dd")),"OPEN"))</f>
        <v/>
      </c>
      <c r="T249" s="17">
        <f>IF($D249="","",IF($C249="","NO DATE",IF($G249="","NO EVENT TYPE",IF(AND($I249&lt;&gt;"",NOT(ISNUMBER($I249))),"MINUTES NOT A NUMBER",IF(AND($J249&lt;&gt;"",NOT(ISNUMBER($J249))),"SESSIONS NOT A NUMBER",IF(OR(N($I249)&lt;0,N($J249)&lt;0),"NEGATIVE MINUTES/SESSIONS",IF(AND($K249="Yes",N($I249)&gt;0),"MINUTES ON A PT EVENT - not counted (PT counts sessions)",IF(AND($K249="No",N($J249)&gt;0),"SESSIONS ON A CLASSROOM EVENT - not counted (classroom counts minutes)",IF(AND($N249="Yes",$K249="Yes",N($J249)=0),"COUNTED PT EVENT WITH NO SESSIONS - dropped from the PT cap",IF(AND($N249="Yes",$K249="No",N($I249)=0),"COUNTED EVENT WITH NO MINUTES - dropped from the classroom cap","OK"))))))))))</f>
        <v/>
      </c>
    </row>
    <row r="250">
      <c r="B250" s="17">
        <f>IF($D250="","","A"&amp;TEXT(ROW()-5,"000"))</f>
        <v/>
      </c>
      <c r="C250" s="18" t="n"/>
      <c r="D250" s="16" t="n"/>
      <c r="E250" s="17">
        <f>IF($D250="","",IFERROR(INDEX(rngCadetPIDs,MATCH($D250,rngCadetNames,0)),"?"))</f>
        <v/>
      </c>
      <c r="F250" s="17">
        <f>IF($E250="","",IFERROR(INDEX(nrCadetAgency,MATCH($E250,rngCadetPIDs,0)),""))</f>
        <v/>
      </c>
      <c r="G250" s="16" t="n"/>
      <c r="H250" s="16" t="n"/>
      <c r="I250" s="16" t="n"/>
      <c r="J250" s="16" t="n"/>
      <c r="K250" s="17">
        <f>IF($G250="","",IF(OR($G250="PT Missed",$G250="PT Modified",$G250="PT Refused"),"Yes","No"))</f>
        <v/>
      </c>
      <c r="L250" s="16" t="n"/>
      <c r="M250" s="16" t="n"/>
      <c r="N250" s="17">
        <f>IF($D250="","",IF($M250="Excused","No",IF(AND($G250="PT Modified",$L250="Received"),"No","Yes")))</f>
        <v/>
      </c>
      <c r="O250" s="16" t="n"/>
      <c r="P250" s="17">
        <f>IF(OR($B250="",N($I250)=0),"",MIN(N($I250),SUMIFS(nrMK_Min,nrMK_Link,$B250,nrMK_Credit,"Yes",nrMK_PID,$E250,nrMK_Type,"Classroom")))</f>
        <v/>
      </c>
      <c r="Q250" s="17">
        <f>IF(OR($B250="",N($J250)=0),"",MIN(N($J250),SUMIFS(nrMK_Sess,nrMK_Link,$B250,nrMK_Credit,"Yes",nrMK_PID,$E250,nrMK_Type,"PT")))</f>
        <v/>
      </c>
      <c r="R250" s="17">
        <f>IF(OR($B250="",$N250&lt;&gt;"Yes"),"",IF($K250="Yes",IF(N($J250)&gt;0,N($J250)-N($Q250),""),IF(N($I250)&gt;0,N($I250)-N($P250),"")))</f>
        <v/>
      </c>
      <c r="S250" s="17">
        <f>IF(OR($B250="",$R250=""),"",IF($R250&lt;=0,IF(IFERROR(_xlfn.MAXIFS(nrMK_Date,nrMK_Link,$B250,nrMK_Credit,"Yes",nrMK_PID,$E250),0)=0,"CLEARED (makeup date missing)","CLEARED "&amp;TEXT(_xlfn.MAXIFS(nrMK_Date,nrMK_Link,$B250,nrMK_Credit,"Yes",nrMK_PID,$E250),"mm/dd")),"OPEN"))</f>
        <v/>
      </c>
      <c r="T250" s="17">
        <f>IF($D250="","",IF($C250="","NO DATE",IF($G250="","NO EVENT TYPE",IF(AND($I250&lt;&gt;"",NOT(ISNUMBER($I250))),"MINUTES NOT A NUMBER",IF(AND($J250&lt;&gt;"",NOT(ISNUMBER($J250))),"SESSIONS NOT A NUMBER",IF(OR(N($I250)&lt;0,N($J250)&lt;0),"NEGATIVE MINUTES/SESSIONS",IF(AND($K250="Yes",N($I250)&gt;0),"MINUTES ON A PT EVENT - not counted (PT counts sessions)",IF(AND($K250="No",N($J250)&gt;0),"SESSIONS ON A CLASSROOM EVENT - not counted (classroom counts minutes)",IF(AND($N250="Yes",$K250="Yes",N($J250)=0),"COUNTED PT EVENT WITH NO SESSIONS - dropped from the PT cap",IF(AND($N250="Yes",$K250="No",N($I250)=0),"COUNTED EVENT WITH NO MINUTES - dropped from the classroom cap","OK"))))))))))</f>
        <v/>
      </c>
    </row>
    <row r="251">
      <c r="B251" s="17">
        <f>IF($D251="","","A"&amp;TEXT(ROW()-5,"000"))</f>
        <v/>
      </c>
      <c r="C251" s="18" t="n"/>
      <c r="D251" s="16" t="n"/>
      <c r="E251" s="17">
        <f>IF($D251="","",IFERROR(INDEX(rngCadetPIDs,MATCH($D251,rngCadetNames,0)),"?"))</f>
        <v/>
      </c>
      <c r="F251" s="17">
        <f>IF($E251="","",IFERROR(INDEX(nrCadetAgency,MATCH($E251,rngCadetPIDs,0)),""))</f>
        <v/>
      </c>
      <c r="G251" s="16" t="n"/>
      <c r="H251" s="16" t="n"/>
      <c r="I251" s="16" t="n"/>
      <c r="J251" s="16" t="n"/>
      <c r="K251" s="17">
        <f>IF($G251="","",IF(OR($G251="PT Missed",$G251="PT Modified",$G251="PT Refused"),"Yes","No"))</f>
        <v/>
      </c>
      <c r="L251" s="16" t="n"/>
      <c r="M251" s="16" t="n"/>
      <c r="N251" s="17">
        <f>IF($D251="","",IF($M251="Excused","No",IF(AND($G251="PT Modified",$L251="Received"),"No","Yes")))</f>
        <v/>
      </c>
      <c r="O251" s="16" t="n"/>
      <c r="P251" s="17">
        <f>IF(OR($B251="",N($I251)=0),"",MIN(N($I251),SUMIFS(nrMK_Min,nrMK_Link,$B251,nrMK_Credit,"Yes",nrMK_PID,$E251,nrMK_Type,"Classroom")))</f>
        <v/>
      </c>
      <c r="Q251" s="17">
        <f>IF(OR($B251="",N($J251)=0),"",MIN(N($J251),SUMIFS(nrMK_Sess,nrMK_Link,$B251,nrMK_Credit,"Yes",nrMK_PID,$E251,nrMK_Type,"PT")))</f>
        <v/>
      </c>
      <c r="R251" s="17">
        <f>IF(OR($B251="",$N251&lt;&gt;"Yes"),"",IF($K251="Yes",IF(N($J251)&gt;0,N($J251)-N($Q251),""),IF(N($I251)&gt;0,N($I251)-N($P251),"")))</f>
        <v/>
      </c>
      <c r="S251" s="17">
        <f>IF(OR($B251="",$R251=""),"",IF($R251&lt;=0,IF(IFERROR(_xlfn.MAXIFS(nrMK_Date,nrMK_Link,$B251,nrMK_Credit,"Yes",nrMK_PID,$E251),0)=0,"CLEARED (makeup date missing)","CLEARED "&amp;TEXT(_xlfn.MAXIFS(nrMK_Date,nrMK_Link,$B251,nrMK_Credit,"Yes",nrMK_PID,$E251),"mm/dd")),"OPEN"))</f>
        <v/>
      </c>
      <c r="T251" s="17">
        <f>IF($D251="","",IF($C251="","NO DATE",IF($G251="","NO EVENT TYPE",IF(AND($I251&lt;&gt;"",NOT(ISNUMBER($I251))),"MINUTES NOT A NUMBER",IF(AND($J251&lt;&gt;"",NOT(ISNUMBER($J251))),"SESSIONS NOT A NUMBER",IF(OR(N($I251)&lt;0,N($J251)&lt;0),"NEGATIVE MINUTES/SESSIONS",IF(AND($K251="Yes",N($I251)&gt;0),"MINUTES ON A PT EVENT - not counted (PT counts sessions)",IF(AND($K251="No",N($J251)&gt;0),"SESSIONS ON A CLASSROOM EVENT - not counted (classroom counts minutes)",IF(AND($N251="Yes",$K251="Yes",N($J251)=0),"COUNTED PT EVENT WITH NO SESSIONS - dropped from the PT cap",IF(AND($N251="Yes",$K251="No",N($I251)=0),"COUNTED EVENT WITH NO MINUTES - dropped from the classroom cap","OK"))))))))))</f>
        <v/>
      </c>
    </row>
    <row r="252">
      <c r="B252" s="17">
        <f>IF($D252="","","A"&amp;TEXT(ROW()-5,"000"))</f>
        <v/>
      </c>
      <c r="C252" s="18" t="n"/>
      <c r="D252" s="16" t="n"/>
      <c r="E252" s="17">
        <f>IF($D252="","",IFERROR(INDEX(rngCadetPIDs,MATCH($D252,rngCadetNames,0)),"?"))</f>
        <v/>
      </c>
      <c r="F252" s="17">
        <f>IF($E252="","",IFERROR(INDEX(nrCadetAgency,MATCH($E252,rngCadetPIDs,0)),""))</f>
        <v/>
      </c>
      <c r="G252" s="16" t="n"/>
      <c r="H252" s="16" t="n"/>
      <c r="I252" s="16" t="n"/>
      <c r="J252" s="16" t="n"/>
      <c r="K252" s="17">
        <f>IF($G252="","",IF(OR($G252="PT Missed",$G252="PT Modified",$G252="PT Refused"),"Yes","No"))</f>
        <v/>
      </c>
      <c r="L252" s="16" t="n"/>
      <c r="M252" s="16" t="n"/>
      <c r="N252" s="17">
        <f>IF($D252="","",IF($M252="Excused","No",IF(AND($G252="PT Modified",$L252="Received"),"No","Yes")))</f>
        <v/>
      </c>
      <c r="O252" s="16" t="n"/>
      <c r="P252" s="17">
        <f>IF(OR($B252="",N($I252)=0),"",MIN(N($I252),SUMIFS(nrMK_Min,nrMK_Link,$B252,nrMK_Credit,"Yes",nrMK_PID,$E252,nrMK_Type,"Classroom")))</f>
        <v/>
      </c>
      <c r="Q252" s="17">
        <f>IF(OR($B252="",N($J252)=0),"",MIN(N($J252),SUMIFS(nrMK_Sess,nrMK_Link,$B252,nrMK_Credit,"Yes",nrMK_PID,$E252,nrMK_Type,"PT")))</f>
        <v/>
      </c>
      <c r="R252" s="17">
        <f>IF(OR($B252="",$N252&lt;&gt;"Yes"),"",IF($K252="Yes",IF(N($J252)&gt;0,N($J252)-N($Q252),""),IF(N($I252)&gt;0,N($I252)-N($P252),"")))</f>
        <v/>
      </c>
      <c r="S252" s="17">
        <f>IF(OR($B252="",$R252=""),"",IF($R252&lt;=0,IF(IFERROR(_xlfn.MAXIFS(nrMK_Date,nrMK_Link,$B252,nrMK_Credit,"Yes",nrMK_PID,$E252),0)=0,"CLEARED (makeup date missing)","CLEARED "&amp;TEXT(_xlfn.MAXIFS(nrMK_Date,nrMK_Link,$B252,nrMK_Credit,"Yes",nrMK_PID,$E252),"mm/dd")),"OPEN"))</f>
        <v/>
      </c>
      <c r="T252" s="17">
        <f>IF($D252="","",IF($C252="","NO DATE",IF($G252="","NO EVENT TYPE",IF(AND($I252&lt;&gt;"",NOT(ISNUMBER($I252))),"MINUTES NOT A NUMBER",IF(AND($J252&lt;&gt;"",NOT(ISNUMBER($J252))),"SESSIONS NOT A NUMBER",IF(OR(N($I252)&lt;0,N($J252)&lt;0),"NEGATIVE MINUTES/SESSIONS",IF(AND($K252="Yes",N($I252)&gt;0),"MINUTES ON A PT EVENT - not counted (PT counts sessions)",IF(AND($K252="No",N($J252)&gt;0),"SESSIONS ON A CLASSROOM EVENT - not counted (classroom counts minutes)",IF(AND($N252="Yes",$K252="Yes",N($J252)=0),"COUNTED PT EVENT WITH NO SESSIONS - dropped from the PT cap",IF(AND($N252="Yes",$K252="No",N($I252)=0),"COUNTED EVENT WITH NO MINUTES - dropped from the classroom cap","OK"))))))))))</f>
        <v/>
      </c>
    </row>
    <row r="253">
      <c r="B253" s="17">
        <f>IF($D253="","","A"&amp;TEXT(ROW()-5,"000"))</f>
        <v/>
      </c>
      <c r="C253" s="18" t="n"/>
      <c r="D253" s="16" t="n"/>
      <c r="E253" s="17">
        <f>IF($D253="","",IFERROR(INDEX(rngCadetPIDs,MATCH($D253,rngCadetNames,0)),"?"))</f>
        <v/>
      </c>
      <c r="F253" s="17">
        <f>IF($E253="","",IFERROR(INDEX(nrCadetAgency,MATCH($E253,rngCadetPIDs,0)),""))</f>
        <v/>
      </c>
      <c r="G253" s="16" t="n"/>
      <c r="H253" s="16" t="n"/>
      <c r="I253" s="16" t="n"/>
      <c r="J253" s="16" t="n"/>
      <c r="K253" s="17">
        <f>IF($G253="","",IF(OR($G253="PT Missed",$G253="PT Modified",$G253="PT Refused"),"Yes","No"))</f>
        <v/>
      </c>
      <c r="L253" s="16" t="n"/>
      <c r="M253" s="16" t="n"/>
      <c r="N253" s="17">
        <f>IF($D253="","",IF($M253="Excused","No",IF(AND($G253="PT Modified",$L253="Received"),"No","Yes")))</f>
        <v/>
      </c>
      <c r="O253" s="16" t="n"/>
      <c r="P253" s="17">
        <f>IF(OR($B253="",N($I253)=0),"",MIN(N($I253),SUMIFS(nrMK_Min,nrMK_Link,$B253,nrMK_Credit,"Yes",nrMK_PID,$E253,nrMK_Type,"Classroom")))</f>
        <v/>
      </c>
      <c r="Q253" s="17">
        <f>IF(OR($B253="",N($J253)=0),"",MIN(N($J253),SUMIFS(nrMK_Sess,nrMK_Link,$B253,nrMK_Credit,"Yes",nrMK_PID,$E253,nrMK_Type,"PT")))</f>
        <v/>
      </c>
      <c r="R253" s="17">
        <f>IF(OR($B253="",$N253&lt;&gt;"Yes"),"",IF($K253="Yes",IF(N($J253)&gt;0,N($J253)-N($Q253),""),IF(N($I253)&gt;0,N($I253)-N($P253),"")))</f>
        <v/>
      </c>
      <c r="S253" s="17">
        <f>IF(OR($B253="",$R253=""),"",IF($R253&lt;=0,IF(IFERROR(_xlfn.MAXIFS(nrMK_Date,nrMK_Link,$B253,nrMK_Credit,"Yes",nrMK_PID,$E253),0)=0,"CLEARED (makeup date missing)","CLEARED "&amp;TEXT(_xlfn.MAXIFS(nrMK_Date,nrMK_Link,$B253,nrMK_Credit,"Yes",nrMK_PID,$E253),"mm/dd")),"OPEN"))</f>
        <v/>
      </c>
      <c r="T253" s="17">
        <f>IF($D253="","",IF($C253="","NO DATE",IF($G253="","NO EVENT TYPE",IF(AND($I253&lt;&gt;"",NOT(ISNUMBER($I253))),"MINUTES NOT A NUMBER",IF(AND($J253&lt;&gt;"",NOT(ISNUMBER($J253))),"SESSIONS NOT A NUMBER",IF(OR(N($I253)&lt;0,N($J253)&lt;0),"NEGATIVE MINUTES/SESSIONS",IF(AND($K253="Yes",N($I253)&gt;0),"MINUTES ON A PT EVENT - not counted (PT counts sessions)",IF(AND($K253="No",N($J253)&gt;0),"SESSIONS ON A CLASSROOM EVENT - not counted (classroom counts minutes)",IF(AND($N253="Yes",$K253="Yes",N($J253)=0),"COUNTED PT EVENT WITH NO SESSIONS - dropped from the PT cap",IF(AND($N253="Yes",$K253="No",N($I253)=0),"COUNTED EVENT WITH NO MINUTES - dropped from the classroom cap","OK"))))))))))</f>
        <v/>
      </c>
    </row>
    <row r="254">
      <c r="B254" s="17">
        <f>IF($D254="","","A"&amp;TEXT(ROW()-5,"000"))</f>
        <v/>
      </c>
      <c r="C254" s="18" t="n"/>
      <c r="D254" s="16" t="n"/>
      <c r="E254" s="17">
        <f>IF($D254="","",IFERROR(INDEX(rngCadetPIDs,MATCH($D254,rngCadetNames,0)),"?"))</f>
        <v/>
      </c>
      <c r="F254" s="17">
        <f>IF($E254="","",IFERROR(INDEX(nrCadetAgency,MATCH($E254,rngCadetPIDs,0)),""))</f>
        <v/>
      </c>
      <c r="G254" s="16" t="n"/>
      <c r="H254" s="16" t="n"/>
      <c r="I254" s="16" t="n"/>
      <c r="J254" s="16" t="n"/>
      <c r="K254" s="17">
        <f>IF($G254="","",IF(OR($G254="PT Missed",$G254="PT Modified",$G254="PT Refused"),"Yes","No"))</f>
        <v/>
      </c>
      <c r="L254" s="16" t="n"/>
      <c r="M254" s="16" t="n"/>
      <c r="N254" s="17">
        <f>IF($D254="","",IF($M254="Excused","No",IF(AND($G254="PT Modified",$L254="Received"),"No","Yes")))</f>
        <v/>
      </c>
      <c r="O254" s="16" t="n"/>
      <c r="P254" s="17">
        <f>IF(OR($B254="",N($I254)=0),"",MIN(N($I254),SUMIFS(nrMK_Min,nrMK_Link,$B254,nrMK_Credit,"Yes",nrMK_PID,$E254,nrMK_Type,"Classroom")))</f>
        <v/>
      </c>
      <c r="Q254" s="17">
        <f>IF(OR($B254="",N($J254)=0),"",MIN(N($J254),SUMIFS(nrMK_Sess,nrMK_Link,$B254,nrMK_Credit,"Yes",nrMK_PID,$E254,nrMK_Type,"PT")))</f>
        <v/>
      </c>
      <c r="R254" s="17">
        <f>IF(OR($B254="",$N254&lt;&gt;"Yes"),"",IF($K254="Yes",IF(N($J254)&gt;0,N($J254)-N($Q254),""),IF(N($I254)&gt;0,N($I254)-N($P254),"")))</f>
        <v/>
      </c>
      <c r="S254" s="17">
        <f>IF(OR($B254="",$R254=""),"",IF($R254&lt;=0,IF(IFERROR(_xlfn.MAXIFS(nrMK_Date,nrMK_Link,$B254,nrMK_Credit,"Yes",nrMK_PID,$E254),0)=0,"CLEARED (makeup date missing)","CLEARED "&amp;TEXT(_xlfn.MAXIFS(nrMK_Date,nrMK_Link,$B254,nrMK_Credit,"Yes",nrMK_PID,$E254),"mm/dd")),"OPEN"))</f>
        <v/>
      </c>
      <c r="T254" s="17">
        <f>IF($D254="","",IF($C254="","NO DATE",IF($G254="","NO EVENT TYPE",IF(AND($I254&lt;&gt;"",NOT(ISNUMBER($I254))),"MINUTES NOT A NUMBER",IF(AND($J254&lt;&gt;"",NOT(ISNUMBER($J254))),"SESSIONS NOT A NUMBER",IF(OR(N($I254)&lt;0,N($J254)&lt;0),"NEGATIVE MINUTES/SESSIONS",IF(AND($K254="Yes",N($I254)&gt;0),"MINUTES ON A PT EVENT - not counted (PT counts sessions)",IF(AND($K254="No",N($J254)&gt;0),"SESSIONS ON A CLASSROOM EVENT - not counted (classroom counts minutes)",IF(AND($N254="Yes",$K254="Yes",N($J254)=0),"COUNTED PT EVENT WITH NO SESSIONS - dropped from the PT cap",IF(AND($N254="Yes",$K254="No",N($I254)=0),"COUNTED EVENT WITH NO MINUTES - dropped from the classroom cap","OK"))))))))))</f>
        <v/>
      </c>
    </row>
    <row r="255">
      <c r="B255" s="17">
        <f>IF($D255="","","A"&amp;TEXT(ROW()-5,"000"))</f>
        <v/>
      </c>
      <c r="C255" s="18" t="n"/>
      <c r="D255" s="16" t="n"/>
      <c r="E255" s="17">
        <f>IF($D255="","",IFERROR(INDEX(rngCadetPIDs,MATCH($D255,rngCadetNames,0)),"?"))</f>
        <v/>
      </c>
      <c r="F255" s="17">
        <f>IF($E255="","",IFERROR(INDEX(nrCadetAgency,MATCH($E255,rngCadetPIDs,0)),""))</f>
        <v/>
      </c>
      <c r="G255" s="16" t="n"/>
      <c r="H255" s="16" t="n"/>
      <c r="I255" s="16" t="n"/>
      <c r="J255" s="16" t="n"/>
      <c r="K255" s="17">
        <f>IF($G255="","",IF(OR($G255="PT Missed",$G255="PT Modified",$G255="PT Refused"),"Yes","No"))</f>
        <v/>
      </c>
      <c r="L255" s="16" t="n"/>
      <c r="M255" s="16" t="n"/>
      <c r="N255" s="17">
        <f>IF($D255="","",IF($M255="Excused","No",IF(AND($G255="PT Modified",$L255="Received"),"No","Yes")))</f>
        <v/>
      </c>
      <c r="O255" s="16" t="n"/>
      <c r="P255" s="17">
        <f>IF(OR($B255="",N($I255)=0),"",MIN(N($I255),SUMIFS(nrMK_Min,nrMK_Link,$B255,nrMK_Credit,"Yes",nrMK_PID,$E255,nrMK_Type,"Classroom")))</f>
        <v/>
      </c>
      <c r="Q255" s="17">
        <f>IF(OR($B255="",N($J255)=0),"",MIN(N($J255),SUMIFS(nrMK_Sess,nrMK_Link,$B255,nrMK_Credit,"Yes",nrMK_PID,$E255,nrMK_Type,"PT")))</f>
        <v/>
      </c>
      <c r="R255" s="17">
        <f>IF(OR($B255="",$N255&lt;&gt;"Yes"),"",IF($K255="Yes",IF(N($J255)&gt;0,N($J255)-N($Q255),""),IF(N($I255)&gt;0,N($I255)-N($P255),"")))</f>
        <v/>
      </c>
      <c r="S255" s="17">
        <f>IF(OR($B255="",$R255=""),"",IF($R255&lt;=0,IF(IFERROR(_xlfn.MAXIFS(nrMK_Date,nrMK_Link,$B255,nrMK_Credit,"Yes",nrMK_PID,$E255),0)=0,"CLEARED (makeup date missing)","CLEARED "&amp;TEXT(_xlfn.MAXIFS(nrMK_Date,nrMK_Link,$B255,nrMK_Credit,"Yes",nrMK_PID,$E255),"mm/dd")),"OPEN"))</f>
        <v/>
      </c>
      <c r="T255" s="17">
        <f>IF($D255="","",IF($C255="","NO DATE",IF($G255="","NO EVENT TYPE",IF(AND($I255&lt;&gt;"",NOT(ISNUMBER($I255))),"MINUTES NOT A NUMBER",IF(AND($J255&lt;&gt;"",NOT(ISNUMBER($J255))),"SESSIONS NOT A NUMBER",IF(OR(N($I255)&lt;0,N($J255)&lt;0),"NEGATIVE MINUTES/SESSIONS",IF(AND($K255="Yes",N($I255)&gt;0),"MINUTES ON A PT EVENT - not counted (PT counts sessions)",IF(AND($K255="No",N($J255)&gt;0),"SESSIONS ON A CLASSROOM EVENT - not counted (classroom counts minutes)",IF(AND($N255="Yes",$K255="Yes",N($J255)=0),"COUNTED PT EVENT WITH NO SESSIONS - dropped from the PT cap",IF(AND($N255="Yes",$K255="No",N($I255)=0),"COUNTED EVENT WITH NO MINUTES - dropped from the classroom cap","OK"))))))))))</f>
        <v/>
      </c>
    </row>
    <row r="256">
      <c r="B256" s="17">
        <f>IF($D256="","","A"&amp;TEXT(ROW()-5,"000"))</f>
        <v/>
      </c>
      <c r="C256" s="18" t="n"/>
      <c r="D256" s="16" t="n"/>
      <c r="E256" s="17">
        <f>IF($D256="","",IFERROR(INDEX(rngCadetPIDs,MATCH($D256,rngCadetNames,0)),"?"))</f>
        <v/>
      </c>
      <c r="F256" s="17">
        <f>IF($E256="","",IFERROR(INDEX(nrCadetAgency,MATCH($E256,rngCadetPIDs,0)),""))</f>
        <v/>
      </c>
      <c r="G256" s="16" t="n"/>
      <c r="H256" s="16" t="n"/>
      <c r="I256" s="16" t="n"/>
      <c r="J256" s="16" t="n"/>
      <c r="K256" s="17">
        <f>IF($G256="","",IF(OR($G256="PT Missed",$G256="PT Modified",$G256="PT Refused"),"Yes","No"))</f>
        <v/>
      </c>
      <c r="L256" s="16" t="n"/>
      <c r="M256" s="16" t="n"/>
      <c r="N256" s="17">
        <f>IF($D256="","",IF($M256="Excused","No",IF(AND($G256="PT Modified",$L256="Received"),"No","Yes")))</f>
        <v/>
      </c>
      <c r="O256" s="16" t="n"/>
      <c r="P256" s="17">
        <f>IF(OR($B256="",N($I256)=0),"",MIN(N($I256),SUMIFS(nrMK_Min,nrMK_Link,$B256,nrMK_Credit,"Yes",nrMK_PID,$E256,nrMK_Type,"Classroom")))</f>
        <v/>
      </c>
      <c r="Q256" s="17">
        <f>IF(OR($B256="",N($J256)=0),"",MIN(N($J256),SUMIFS(nrMK_Sess,nrMK_Link,$B256,nrMK_Credit,"Yes",nrMK_PID,$E256,nrMK_Type,"PT")))</f>
        <v/>
      </c>
      <c r="R256" s="17">
        <f>IF(OR($B256="",$N256&lt;&gt;"Yes"),"",IF($K256="Yes",IF(N($J256)&gt;0,N($J256)-N($Q256),""),IF(N($I256)&gt;0,N($I256)-N($P256),"")))</f>
        <v/>
      </c>
      <c r="S256" s="17">
        <f>IF(OR($B256="",$R256=""),"",IF($R256&lt;=0,IF(IFERROR(_xlfn.MAXIFS(nrMK_Date,nrMK_Link,$B256,nrMK_Credit,"Yes",nrMK_PID,$E256),0)=0,"CLEARED (makeup date missing)","CLEARED "&amp;TEXT(_xlfn.MAXIFS(nrMK_Date,nrMK_Link,$B256,nrMK_Credit,"Yes",nrMK_PID,$E256),"mm/dd")),"OPEN"))</f>
        <v/>
      </c>
      <c r="T256" s="17">
        <f>IF($D256="","",IF($C256="","NO DATE",IF($G256="","NO EVENT TYPE",IF(AND($I256&lt;&gt;"",NOT(ISNUMBER($I256))),"MINUTES NOT A NUMBER",IF(AND($J256&lt;&gt;"",NOT(ISNUMBER($J256))),"SESSIONS NOT A NUMBER",IF(OR(N($I256)&lt;0,N($J256)&lt;0),"NEGATIVE MINUTES/SESSIONS",IF(AND($K256="Yes",N($I256)&gt;0),"MINUTES ON A PT EVENT - not counted (PT counts sessions)",IF(AND($K256="No",N($J256)&gt;0),"SESSIONS ON A CLASSROOM EVENT - not counted (classroom counts minutes)",IF(AND($N256="Yes",$K256="Yes",N($J256)=0),"COUNTED PT EVENT WITH NO SESSIONS - dropped from the PT cap",IF(AND($N256="Yes",$K256="No",N($I256)=0),"COUNTED EVENT WITH NO MINUTES - dropped from the classroom cap","OK"))))))))))</f>
        <v/>
      </c>
    </row>
    <row r="257">
      <c r="B257" s="17">
        <f>IF($D257="","","A"&amp;TEXT(ROW()-5,"000"))</f>
        <v/>
      </c>
      <c r="C257" s="18" t="n"/>
      <c r="D257" s="16" t="n"/>
      <c r="E257" s="17">
        <f>IF($D257="","",IFERROR(INDEX(rngCadetPIDs,MATCH($D257,rngCadetNames,0)),"?"))</f>
        <v/>
      </c>
      <c r="F257" s="17">
        <f>IF($E257="","",IFERROR(INDEX(nrCadetAgency,MATCH($E257,rngCadetPIDs,0)),""))</f>
        <v/>
      </c>
      <c r="G257" s="16" t="n"/>
      <c r="H257" s="16" t="n"/>
      <c r="I257" s="16" t="n"/>
      <c r="J257" s="16" t="n"/>
      <c r="K257" s="17">
        <f>IF($G257="","",IF(OR($G257="PT Missed",$G257="PT Modified",$G257="PT Refused"),"Yes","No"))</f>
        <v/>
      </c>
      <c r="L257" s="16" t="n"/>
      <c r="M257" s="16" t="n"/>
      <c r="N257" s="17">
        <f>IF($D257="","",IF($M257="Excused","No",IF(AND($G257="PT Modified",$L257="Received"),"No","Yes")))</f>
        <v/>
      </c>
      <c r="O257" s="16" t="n"/>
      <c r="P257" s="17">
        <f>IF(OR($B257="",N($I257)=0),"",MIN(N($I257),SUMIFS(nrMK_Min,nrMK_Link,$B257,nrMK_Credit,"Yes",nrMK_PID,$E257,nrMK_Type,"Classroom")))</f>
        <v/>
      </c>
      <c r="Q257" s="17">
        <f>IF(OR($B257="",N($J257)=0),"",MIN(N($J257),SUMIFS(nrMK_Sess,nrMK_Link,$B257,nrMK_Credit,"Yes",nrMK_PID,$E257,nrMK_Type,"PT")))</f>
        <v/>
      </c>
      <c r="R257" s="17">
        <f>IF(OR($B257="",$N257&lt;&gt;"Yes"),"",IF($K257="Yes",IF(N($J257)&gt;0,N($J257)-N($Q257),""),IF(N($I257)&gt;0,N($I257)-N($P257),"")))</f>
        <v/>
      </c>
      <c r="S257" s="17">
        <f>IF(OR($B257="",$R257=""),"",IF($R257&lt;=0,IF(IFERROR(_xlfn.MAXIFS(nrMK_Date,nrMK_Link,$B257,nrMK_Credit,"Yes",nrMK_PID,$E257),0)=0,"CLEARED (makeup date missing)","CLEARED "&amp;TEXT(_xlfn.MAXIFS(nrMK_Date,nrMK_Link,$B257,nrMK_Credit,"Yes",nrMK_PID,$E257),"mm/dd")),"OPEN"))</f>
        <v/>
      </c>
      <c r="T257" s="17">
        <f>IF($D257="","",IF($C257="","NO DATE",IF($G257="","NO EVENT TYPE",IF(AND($I257&lt;&gt;"",NOT(ISNUMBER($I257))),"MINUTES NOT A NUMBER",IF(AND($J257&lt;&gt;"",NOT(ISNUMBER($J257))),"SESSIONS NOT A NUMBER",IF(OR(N($I257)&lt;0,N($J257)&lt;0),"NEGATIVE MINUTES/SESSIONS",IF(AND($K257="Yes",N($I257)&gt;0),"MINUTES ON A PT EVENT - not counted (PT counts sessions)",IF(AND($K257="No",N($J257)&gt;0),"SESSIONS ON A CLASSROOM EVENT - not counted (classroom counts minutes)",IF(AND($N257="Yes",$K257="Yes",N($J257)=0),"COUNTED PT EVENT WITH NO SESSIONS - dropped from the PT cap",IF(AND($N257="Yes",$K257="No",N($I257)=0),"COUNTED EVENT WITH NO MINUTES - dropped from the classroom cap","OK"))))))))))</f>
        <v/>
      </c>
    </row>
    <row r="258">
      <c r="B258" s="17">
        <f>IF($D258="","","A"&amp;TEXT(ROW()-5,"000"))</f>
        <v/>
      </c>
      <c r="C258" s="18" t="n"/>
      <c r="D258" s="16" t="n"/>
      <c r="E258" s="17">
        <f>IF($D258="","",IFERROR(INDEX(rngCadetPIDs,MATCH($D258,rngCadetNames,0)),"?"))</f>
        <v/>
      </c>
      <c r="F258" s="17">
        <f>IF($E258="","",IFERROR(INDEX(nrCadetAgency,MATCH($E258,rngCadetPIDs,0)),""))</f>
        <v/>
      </c>
      <c r="G258" s="16" t="n"/>
      <c r="H258" s="16" t="n"/>
      <c r="I258" s="16" t="n"/>
      <c r="J258" s="16" t="n"/>
      <c r="K258" s="17">
        <f>IF($G258="","",IF(OR($G258="PT Missed",$G258="PT Modified",$G258="PT Refused"),"Yes","No"))</f>
        <v/>
      </c>
      <c r="L258" s="16" t="n"/>
      <c r="M258" s="16" t="n"/>
      <c r="N258" s="17">
        <f>IF($D258="","",IF($M258="Excused","No",IF(AND($G258="PT Modified",$L258="Received"),"No","Yes")))</f>
        <v/>
      </c>
      <c r="O258" s="16" t="n"/>
      <c r="P258" s="17">
        <f>IF(OR($B258="",N($I258)=0),"",MIN(N($I258),SUMIFS(nrMK_Min,nrMK_Link,$B258,nrMK_Credit,"Yes",nrMK_PID,$E258,nrMK_Type,"Classroom")))</f>
        <v/>
      </c>
      <c r="Q258" s="17">
        <f>IF(OR($B258="",N($J258)=0),"",MIN(N($J258),SUMIFS(nrMK_Sess,nrMK_Link,$B258,nrMK_Credit,"Yes",nrMK_PID,$E258,nrMK_Type,"PT")))</f>
        <v/>
      </c>
      <c r="R258" s="17">
        <f>IF(OR($B258="",$N258&lt;&gt;"Yes"),"",IF($K258="Yes",IF(N($J258)&gt;0,N($J258)-N($Q258),""),IF(N($I258)&gt;0,N($I258)-N($P258),"")))</f>
        <v/>
      </c>
      <c r="S258" s="17">
        <f>IF(OR($B258="",$R258=""),"",IF($R258&lt;=0,IF(IFERROR(_xlfn.MAXIFS(nrMK_Date,nrMK_Link,$B258,nrMK_Credit,"Yes",nrMK_PID,$E258),0)=0,"CLEARED (makeup date missing)","CLEARED "&amp;TEXT(_xlfn.MAXIFS(nrMK_Date,nrMK_Link,$B258,nrMK_Credit,"Yes",nrMK_PID,$E258),"mm/dd")),"OPEN"))</f>
        <v/>
      </c>
      <c r="T258" s="17">
        <f>IF($D258="","",IF($C258="","NO DATE",IF($G258="","NO EVENT TYPE",IF(AND($I258&lt;&gt;"",NOT(ISNUMBER($I258))),"MINUTES NOT A NUMBER",IF(AND($J258&lt;&gt;"",NOT(ISNUMBER($J258))),"SESSIONS NOT A NUMBER",IF(OR(N($I258)&lt;0,N($J258)&lt;0),"NEGATIVE MINUTES/SESSIONS",IF(AND($K258="Yes",N($I258)&gt;0),"MINUTES ON A PT EVENT - not counted (PT counts sessions)",IF(AND($K258="No",N($J258)&gt;0),"SESSIONS ON A CLASSROOM EVENT - not counted (classroom counts minutes)",IF(AND($N258="Yes",$K258="Yes",N($J258)=0),"COUNTED PT EVENT WITH NO SESSIONS - dropped from the PT cap",IF(AND($N258="Yes",$K258="No",N($I258)=0),"COUNTED EVENT WITH NO MINUTES - dropped from the classroom cap","OK"))))))))))</f>
        <v/>
      </c>
    </row>
    <row r="259">
      <c r="B259" s="17">
        <f>IF($D259="","","A"&amp;TEXT(ROW()-5,"000"))</f>
        <v/>
      </c>
      <c r="C259" s="18" t="n"/>
      <c r="D259" s="16" t="n"/>
      <c r="E259" s="17">
        <f>IF($D259="","",IFERROR(INDEX(rngCadetPIDs,MATCH($D259,rngCadetNames,0)),"?"))</f>
        <v/>
      </c>
      <c r="F259" s="17">
        <f>IF($E259="","",IFERROR(INDEX(nrCadetAgency,MATCH($E259,rngCadetPIDs,0)),""))</f>
        <v/>
      </c>
      <c r="G259" s="16" t="n"/>
      <c r="H259" s="16" t="n"/>
      <c r="I259" s="16" t="n"/>
      <c r="J259" s="16" t="n"/>
      <c r="K259" s="17">
        <f>IF($G259="","",IF(OR($G259="PT Missed",$G259="PT Modified",$G259="PT Refused"),"Yes","No"))</f>
        <v/>
      </c>
      <c r="L259" s="16" t="n"/>
      <c r="M259" s="16" t="n"/>
      <c r="N259" s="17">
        <f>IF($D259="","",IF($M259="Excused","No",IF(AND($G259="PT Modified",$L259="Received"),"No","Yes")))</f>
        <v/>
      </c>
      <c r="O259" s="16" t="n"/>
      <c r="P259" s="17">
        <f>IF(OR($B259="",N($I259)=0),"",MIN(N($I259),SUMIFS(nrMK_Min,nrMK_Link,$B259,nrMK_Credit,"Yes",nrMK_PID,$E259,nrMK_Type,"Classroom")))</f>
        <v/>
      </c>
      <c r="Q259" s="17">
        <f>IF(OR($B259="",N($J259)=0),"",MIN(N($J259),SUMIFS(nrMK_Sess,nrMK_Link,$B259,nrMK_Credit,"Yes",nrMK_PID,$E259,nrMK_Type,"PT")))</f>
        <v/>
      </c>
      <c r="R259" s="17">
        <f>IF(OR($B259="",$N259&lt;&gt;"Yes"),"",IF($K259="Yes",IF(N($J259)&gt;0,N($J259)-N($Q259),""),IF(N($I259)&gt;0,N($I259)-N($P259),"")))</f>
        <v/>
      </c>
      <c r="S259" s="17">
        <f>IF(OR($B259="",$R259=""),"",IF($R259&lt;=0,IF(IFERROR(_xlfn.MAXIFS(nrMK_Date,nrMK_Link,$B259,nrMK_Credit,"Yes",nrMK_PID,$E259),0)=0,"CLEARED (makeup date missing)","CLEARED "&amp;TEXT(_xlfn.MAXIFS(nrMK_Date,nrMK_Link,$B259,nrMK_Credit,"Yes",nrMK_PID,$E259),"mm/dd")),"OPEN"))</f>
        <v/>
      </c>
      <c r="T259" s="17">
        <f>IF($D259="","",IF($C259="","NO DATE",IF($G259="","NO EVENT TYPE",IF(AND($I259&lt;&gt;"",NOT(ISNUMBER($I259))),"MINUTES NOT A NUMBER",IF(AND($J259&lt;&gt;"",NOT(ISNUMBER($J259))),"SESSIONS NOT A NUMBER",IF(OR(N($I259)&lt;0,N($J259)&lt;0),"NEGATIVE MINUTES/SESSIONS",IF(AND($K259="Yes",N($I259)&gt;0),"MINUTES ON A PT EVENT - not counted (PT counts sessions)",IF(AND($K259="No",N($J259)&gt;0),"SESSIONS ON A CLASSROOM EVENT - not counted (classroom counts minutes)",IF(AND($N259="Yes",$K259="Yes",N($J259)=0),"COUNTED PT EVENT WITH NO SESSIONS - dropped from the PT cap",IF(AND($N259="Yes",$K259="No",N($I259)=0),"COUNTED EVENT WITH NO MINUTES - dropped from the classroom cap","OK"))))))))))</f>
        <v/>
      </c>
    </row>
    <row r="260">
      <c r="B260" s="17">
        <f>IF($D260="","","A"&amp;TEXT(ROW()-5,"000"))</f>
        <v/>
      </c>
      <c r="C260" s="18" t="n"/>
      <c r="D260" s="16" t="n"/>
      <c r="E260" s="17">
        <f>IF($D260="","",IFERROR(INDEX(rngCadetPIDs,MATCH($D260,rngCadetNames,0)),"?"))</f>
        <v/>
      </c>
      <c r="F260" s="17">
        <f>IF($E260="","",IFERROR(INDEX(nrCadetAgency,MATCH($E260,rngCadetPIDs,0)),""))</f>
        <v/>
      </c>
      <c r="G260" s="16" t="n"/>
      <c r="H260" s="16" t="n"/>
      <c r="I260" s="16" t="n"/>
      <c r="J260" s="16" t="n"/>
      <c r="K260" s="17">
        <f>IF($G260="","",IF(OR($G260="PT Missed",$G260="PT Modified",$G260="PT Refused"),"Yes","No"))</f>
        <v/>
      </c>
      <c r="L260" s="16" t="n"/>
      <c r="M260" s="16" t="n"/>
      <c r="N260" s="17">
        <f>IF($D260="","",IF($M260="Excused","No",IF(AND($G260="PT Modified",$L260="Received"),"No","Yes")))</f>
        <v/>
      </c>
      <c r="O260" s="16" t="n"/>
      <c r="P260" s="17">
        <f>IF(OR($B260="",N($I260)=0),"",MIN(N($I260),SUMIFS(nrMK_Min,nrMK_Link,$B260,nrMK_Credit,"Yes",nrMK_PID,$E260,nrMK_Type,"Classroom")))</f>
        <v/>
      </c>
      <c r="Q260" s="17">
        <f>IF(OR($B260="",N($J260)=0),"",MIN(N($J260),SUMIFS(nrMK_Sess,nrMK_Link,$B260,nrMK_Credit,"Yes",nrMK_PID,$E260,nrMK_Type,"PT")))</f>
        <v/>
      </c>
      <c r="R260" s="17">
        <f>IF(OR($B260="",$N260&lt;&gt;"Yes"),"",IF($K260="Yes",IF(N($J260)&gt;0,N($J260)-N($Q260),""),IF(N($I260)&gt;0,N($I260)-N($P260),"")))</f>
        <v/>
      </c>
      <c r="S260" s="17">
        <f>IF(OR($B260="",$R260=""),"",IF($R260&lt;=0,IF(IFERROR(_xlfn.MAXIFS(nrMK_Date,nrMK_Link,$B260,nrMK_Credit,"Yes",nrMK_PID,$E260),0)=0,"CLEARED (makeup date missing)","CLEARED "&amp;TEXT(_xlfn.MAXIFS(nrMK_Date,nrMK_Link,$B260,nrMK_Credit,"Yes",nrMK_PID,$E260),"mm/dd")),"OPEN"))</f>
        <v/>
      </c>
      <c r="T260" s="17">
        <f>IF($D260="","",IF($C260="","NO DATE",IF($G260="","NO EVENT TYPE",IF(AND($I260&lt;&gt;"",NOT(ISNUMBER($I260))),"MINUTES NOT A NUMBER",IF(AND($J260&lt;&gt;"",NOT(ISNUMBER($J260))),"SESSIONS NOT A NUMBER",IF(OR(N($I260)&lt;0,N($J260)&lt;0),"NEGATIVE MINUTES/SESSIONS",IF(AND($K260="Yes",N($I260)&gt;0),"MINUTES ON A PT EVENT - not counted (PT counts sessions)",IF(AND($K260="No",N($J260)&gt;0),"SESSIONS ON A CLASSROOM EVENT - not counted (classroom counts minutes)",IF(AND($N260="Yes",$K260="Yes",N($J260)=0),"COUNTED PT EVENT WITH NO SESSIONS - dropped from the PT cap",IF(AND($N260="Yes",$K260="No",N($I260)=0),"COUNTED EVENT WITH NO MINUTES - dropped from the classroom cap","OK"))))))))))</f>
        <v/>
      </c>
    </row>
    <row r="261">
      <c r="B261" s="17">
        <f>IF($D261="","","A"&amp;TEXT(ROW()-5,"000"))</f>
        <v/>
      </c>
      <c r="C261" s="18" t="n"/>
      <c r="D261" s="16" t="n"/>
      <c r="E261" s="17">
        <f>IF($D261="","",IFERROR(INDEX(rngCadetPIDs,MATCH($D261,rngCadetNames,0)),"?"))</f>
        <v/>
      </c>
      <c r="F261" s="17">
        <f>IF($E261="","",IFERROR(INDEX(nrCadetAgency,MATCH($E261,rngCadetPIDs,0)),""))</f>
        <v/>
      </c>
      <c r="G261" s="16" t="n"/>
      <c r="H261" s="16" t="n"/>
      <c r="I261" s="16" t="n"/>
      <c r="J261" s="16" t="n"/>
      <c r="K261" s="17">
        <f>IF($G261="","",IF(OR($G261="PT Missed",$G261="PT Modified",$G261="PT Refused"),"Yes","No"))</f>
        <v/>
      </c>
      <c r="L261" s="16" t="n"/>
      <c r="M261" s="16" t="n"/>
      <c r="N261" s="17">
        <f>IF($D261="","",IF($M261="Excused","No",IF(AND($G261="PT Modified",$L261="Received"),"No","Yes")))</f>
        <v/>
      </c>
      <c r="O261" s="16" t="n"/>
      <c r="P261" s="17">
        <f>IF(OR($B261="",N($I261)=0),"",MIN(N($I261),SUMIFS(nrMK_Min,nrMK_Link,$B261,nrMK_Credit,"Yes",nrMK_PID,$E261,nrMK_Type,"Classroom")))</f>
        <v/>
      </c>
      <c r="Q261" s="17">
        <f>IF(OR($B261="",N($J261)=0),"",MIN(N($J261),SUMIFS(nrMK_Sess,nrMK_Link,$B261,nrMK_Credit,"Yes",nrMK_PID,$E261,nrMK_Type,"PT")))</f>
        <v/>
      </c>
      <c r="R261" s="17">
        <f>IF(OR($B261="",$N261&lt;&gt;"Yes"),"",IF($K261="Yes",IF(N($J261)&gt;0,N($J261)-N($Q261),""),IF(N($I261)&gt;0,N($I261)-N($P261),"")))</f>
        <v/>
      </c>
      <c r="S261" s="17">
        <f>IF(OR($B261="",$R261=""),"",IF($R261&lt;=0,IF(IFERROR(_xlfn.MAXIFS(nrMK_Date,nrMK_Link,$B261,nrMK_Credit,"Yes",nrMK_PID,$E261),0)=0,"CLEARED (makeup date missing)","CLEARED "&amp;TEXT(_xlfn.MAXIFS(nrMK_Date,nrMK_Link,$B261,nrMK_Credit,"Yes",nrMK_PID,$E261),"mm/dd")),"OPEN"))</f>
        <v/>
      </c>
      <c r="T261" s="17">
        <f>IF($D261="","",IF($C261="","NO DATE",IF($G261="","NO EVENT TYPE",IF(AND($I261&lt;&gt;"",NOT(ISNUMBER($I261))),"MINUTES NOT A NUMBER",IF(AND($J261&lt;&gt;"",NOT(ISNUMBER($J261))),"SESSIONS NOT A NUMBER",IF(OR(N($I261)&lt;0,N($J261)&lt;0),"NEGATIVE MINUTES/SESSIONS",IF(AND($K261="Yes",N($I261)&gt;0),"MINUTES ON A PT EVENT - not counted (PT counts sessions)",IF(AND($K261="No",N($J261)&gt;0),"SESSIONS ON A CLASSROOM EVENT - not counted (classroom counts minutes)",IF(AND($N261="Yes",$K261="Yes",N($J261)=0),"COUNTED PT EVENT WITH NO SESSIONS - dropped from the PT cap",IF(AND($N261="Yes",$K261="No",N($I261)=0),"COUNTED EVENT WITH NO MINUTES - dropped from the classroom cap","OK"))))))))))</f>
        <v/>
      </c>
    </row>
    <row r="262">
      <c r="B262" s="17">
        <f>IF($D262="","","A"&amp;TEXT(ROW()-5,"000"))</f>
        <v/>
      </c>
      <c r="C262" s="18" t="n"/>
      <c r="D262" s="16" t="n"/>
      <c r="E262" s="17">
        <f>IF($D262="","",IFERROR(INDEX(rngCadetPIDs,MATCH($D262,rngCadetNames,0)),"?"))</f>
        <v/>
      </c>
      <c r="F262" s="17">
        <f>IF($E262="","",IFERROR(INDEX(nrCadetAgency,MATCH($E262,rngCadetPIDs,0)),""))</f>
        <v/>
      </c>
      <c r="G262" s="16" t="n"/>
      <c r="H262" s="16" t="n"/>
      <c r="I262" s="16" t="n"/>
      <c r="J262" s="16" t="n"/>
      <c r="K262" s="17">
        <f>IF($G262="","",IF(OR($G262="PT Missed",$G262="PT Modified",$G262="PT Refused"),"Yes","No"))</f>
        <v/>
      </c>
      <c r="L262" s="16" t="n"/>
      <c r="M262" s="16" t="n"/>
      <c r="N262" s="17">
        <f>IF($D262="","",IF($M262="Excused","No",IF(AND($G262="PT Modified",$L262="Received"),"No","Yes")))</f>
        <v/>
      </c>
      <c r="O262" s="16" t="n"/>
      <c r="P262" s="17">
        <f>IF(OR($B262="",N($I262)=0),"",MIN(N($I262),SUMIFS(nrMK_Min,nrMK_Link,$B262,nrMK_Credit,"Yes",nrMK_PID,$E262,nrMK_Type,"Classroom")))</f>
        <v/>
      </c>
      <c r="Q262" s="17">
        <f>IF(OR($B262="",N($J262)=0),"",MIN(N($J262),SUMIFS(nrMK_Sess,nrMK_Link,$B262,nrMK_Credit,"Yes",nrMK_PID,$E262,nrMK_Type,"PT")))</f>
        <v/>
      </c>
      <c r="R262" s="17">
        <f>IF(OR($B262="",$N262&lt;&gt;"Yes"),"",IF($K262="Yes",IF(N($J262)&gt;0,N($J262)-N($Q262),""),IF(N($I262)&gt;0,N($I262)-N($P262),"")))</f>
        <v/>
      </c>
      <c r="S262" s="17">
        <f>IF(OR($B262="",$R262=""),"",IF($R262&lt;=0,IF(IFERROR(_xlfn.MAXIFS(nrMK_Date,nrMK_Link,$B262,nrMK_Credit,"Yes",nrMK_PID,$E262),0)=0,"CLEARED (makeup date missing)","CLEARED "&amp;TEXT(_xlfn.MAXIFS(nrMK_Date,nrMK_Link,$B262,nrMK_Credit,"Yes",nrMK_PID,$E262),"mm/dd")),"OPEN"))</f>
        <v/>
      </c>
      <c r="T262" s="17">
        <f>IF($D262="","",IF($C262="","NO DATE",IF($G262="","NO EVENT TYPE",IF(AND($I262&lt;&gt;"",NOT(ISNUMBER($I262))),"MINUTES NOT A NUMBER",IF(AND($J262&lt;&gt;"",NOT(ISNUMBER($J262))),"SESSIONS NOT A NUMBER",IF(OR(N($I262)&lt;0,N($J262)&lt;0),"NEGATIVE MINUTES/SESSIONS",IF(AND($K262="Yes",N($I262)&gt;0),"MINUTES ON A PT EVENT - not counted (PT counts sessions)",IF(AND($K262="No",N($J262)&gt;0),"SESSIONS ON A CLASSROOM EVENT - not counted (classroom counts minutes)",IF(AND($N262="Yes",$K262="Yes",N($J262)=0),"COUNTED PT EVENT WITH NO SESSIONS - dropped from the PT cap",IF(AND($N262="Yes",$K262="No",N($I262)=0),"COUNTED EVENT WITH NO MINUTES - dropped from the classroom cap","OK"))))))))))</f>
        <v/>
      </c>
    </row>
    <row r="263">
      <c r="B263" s="17">
        <f>IF($D263="","","A"&amp;TEXT(ROW()-5,"000"))</f>
        <v/>
      </c>
      <c r="C263" s="18" t="n"/>
      <c r="D263" s="16" t="n"/>
      <c r="E263" s="17">
        <f>IF($D263="","",IFERROR(INDEX(rngCadetPIDs,MATCH($D263,rngCadetNames,0)),"?"))</f>
        <v/>
      </c>
      <c r="F263" s="17">
        <f>IF($E263="","",IFERROR(INDEX(nrCadetAgency,MATCH($E263,rngCadetPIDs,0)),""))</f>
        <v/>
      </c>
      <c r="G263" s="16" t="n"/>
      <c r="H263" s="16" t="n"/>
      <c r="I263" s="16" t="n"/>
      <c r="J263" s="16" t="n"/>
      <c r="K263" s="17">
        <f>IF($G263="","",IF(OR($G263="PT Missed",$G263="PT Modified",$G263="PT Refused"),"Yes","No"))</f>
        <v/>
      </c>
      <c r="L263" s="16" t="n"/>
      <c r="M263" s="16" t="n"/>
      <c r="N263" s="17">
        <f>IF($D263="","",IF($M263="Excused","No",IF(AND($G263="PT Modified",$L263="Received"),"No","Yes")))</f>
        <v/>
      </c>
      <c r="O263" s="16" t="n"/>
      <c r="P263" s="17">
        <f>IF(OR($B263="",N($I263)=0),"",MIN(N($I263),SUMIFS(nrMK_Min,nrMK_Link,$B263,nrMK_Credit,"Yes",nrMK_PID,$E263,nrMK_Type,"Classroom")))</f>
        <v/>
      </c>
      <c r="Q263" s="17">
        <f>IF(OR($B263="",N($J263)=0),"",MIN(N($J263),SUMIFS(nrMK_Sess,nrMK_Link,$B263,nrMK_Credit,"Yes",nrMK_PID,$E263,nrMK_Type,"PT")))</f>
        <v/>
      </c>
      <c r="R263" s="17">
        <f>IF(OR($B263="",$N263&lt;&gt;"Yes"),"",IF($K263="Yes",IF(N($J263)&gt;0,N($J263)-N($Q263),""),IF(N($I263)&gt;0,N($I263)-N($P263),"")))</f>
        <v/>
      </c>
      <c r="S263" s="17">
        <f>IF(OR($B263="",$R263=""),"",IF($R263&lt;=0,IF(IFERROR(_xlfn.MAXIFS(nrMK_Date,nrMK_Link,$B263,nrMK_Credit,"Yes",nrMK_PID,$E263),0)=0,"CLEARED (makeup date missing)","CLEARED "&amp;TEXT(_xlfn.MAXIFS(nrMK_Date,nrMK_Link,$B263,nrMK_Credit,"Yes",nrMK_PID,$E263),"mm/dd")),"OPEN"))</f>
        <v/>
      </c>
      <c r="T263" s="17">
        <f>IF($D263="","",IF($C263="","NO DATE",IF($G263="","NO EVENT TYPE",IF(AND($I263&lt;&gt;"",NOT(ISNUMBER($I263))),"MINUTES NOT A NUMBER",IF(AND($J263&lt;&gt;"",NOT(ISNUMBER($J263))),"SESSIONS NOT A NUMBER",IF(OR(N($I263)&lt;0,N($J263)&lt;0),"NEGATIVE MINUTES/SESSIONS",IF(AND($K263="Yes",N($I263)&gt;0),"MINUTES ON A PT EVENT - not counted (PT counts sessions)",IF(AND($K263="No",N($J263)&gt;0),"SESSIONS ON A CLASSROOM EVENT - not counted (classroom counts minutes)",IF(AND($N263="Yes",$K263="Yes",N($J263)=0),"COUNTED PT EVENT WITH NO SESSIONS - dropped from the PT cap",IF(AND($N263="Yes",$K263="No",N($I263)=0),"COUNTED EVENT WITH NO MINUTES - dropped from the classroom cap","OK"))))))))))</f>
        <v/>
      </c>
    </row>
    <row r="264">
      <c r="B264" s="17">
        <f>IF($D264="","","A"&amp;TEXT(ROW()-5,"000"))</f>
        <v/>
      </c>
      <c r="C264" s="18" t="n"/>
      <c r="D264" s="16" t="n"/>
      <c r="E264" s="17">
        <f>IF($D264="","",IFERROR(INDEX(rngCadetPIDs,MATCH($D264,rngCadetNames,0)),"?"))</f>
        <v/>
      </c>
      <c r="F264" s="17">
        <f>IF($E264="","",IFERROR(INDEX(nrCadetAgency,MATCH($E264,rngCadetPIDs,0)),""))</f>
        <v/>
      </c>
      <c r="G264" s="16" t="n"/>
      <c r="H264" s="16" t="n"/>
      <c r="I264" s="16" t="n"/>
      <c r="J264" s="16" t="n"/>
      <c r="K264" s="17">
        <f>IF($G264="","",IF(OR($G264="PT Missed",$G264="PT Modified",$G264="PT Refused"),"Yes","No"))</f>
        <v/>
      </c>
      <c r="L264" s="16" t="n"/>
      <c r="M264" s="16" t="n"/>
      <c r="N264" s="17">
        <f>IF($D264="","",IF($M264="Excused","No",IF(AND($G264="PT Modified",$L264="Received"),"No","Yes")))</f>
        <v/>
      </c>
      <c r="O264" s="16" t="n"/>
      <c r="P264" s="17">
        <f>IF(OR($B264="",N($I264)=0),"",MIN(N($I264),SUMIFS(nrMK_Min,nrMK_Link,$B264,nrMK_Credit,"Yes",nrMK_PID,$E264,nrMK_Type,"Classroom")))</f>
        <v/>
      </c>
      <c r="Q264" s="17">
        <f>IF(OR($B264="",N($J264)=0),"",MIN(N($J264),SUMIFS(nrMK_Sess,nrMK_Link,$B264,nrMK_Credit,"Yes",nrMK_PID,$E264,nrMK_Type,"PT")))</f>
        <v/>
      </c>
      <c r="R264" s="17">
        <f>IF(OR($B264="",$N264&lt;&gt;"Yes"),"",IF($K264="Yes",IF(N($J264)&gt;0,N($J264)-N($Q264),""),IF(N($I264)&gt;0,N($I264)-N($P264),"")))</f>
        <v/>
      </c>
      <c r="S264" s="17">
        <f>IF(OR($B264="",$R264=""),"",IF($R264&lt;=0,IF(IFERROR(_xlfn.MAXIFS(nrMK_Date,nrMK_Link,$B264,nrMK_Credit,"Yes",nrMK_PID,$E264),0)=0,"CLEARED (makeup date missing)","CLEARED "&amp;TEXT(_xlfn.MAXIFS(nrMK_Date,nrMK_Link,$B264,nrMK_Credit,"Yes",nrMK_PID,$E264),"mm/dd")),"OPEN"))</f>
        <v/>
      </c>
      <c r="T264" s="17">
        <f>IF($D264="","",IF($C264="","NO DATE",IF($G264="","NO EVENT TYPE",IF(AND($I264&lt;&gt;"",NOT(ISNUMBER($I264))),"MINUTES NOT A NUMBER",IF(AND($J264&lt;&gt;"",NOT(ISNUMBER($J264))),"SESSIONS NOT A NUMBER",IF(OR(N($I264)&lt;0,N($J264)&lt;0),"NEGATIVE MINUTES/SESSIONS",IF(AND($K264="Yes",N($I264)&gt;0),"MINUTES ON A PT EVENT - not counted (PT counts sessions)",IF(AND($K264="No",N($J264)&gt;0),"SESSIONS ON A CLASSROOM EVENT - not counted (classroom counts minutes)",IF(AND($N264="Yes",$K264="Yes",N($J264)=0),"COUNTED PT EVENT WITH NO SESSIONS - dropped from the PT cap",IF(AND($N264="Yes",$K264="No",N($I264)=0),"COUNTED EVENT WITH NO MINUTES - dropped from the classroom cap","OK"))))))))))</f>
        <v/>
      </c>
    </row>
    <row r="265">
      <c r="B265" s="17">
        <f>IF($D265="","","A"&amp;TEXT(ROW()-5,"000"))</f>
        <v/>
      </c>
      <c r="C265" s="18" t="n"/>
      <c r="D265" s="16" t="n"/>
      <c r="E265" s="17">
        <f>IF($D265="","",IFERROR(INDEX(rngCadetPIDs,MATCH($D265,rngCadetNames,0)),"?"))</f>
        <v/>
      </c>
      <c r="F265" s="17">
        <f>IF($E265="","",IFERROR(INDEX(nrCadetAgency,MATCH($E265,rngCadetPIDs,0)),""))</f>
        <v/>
      </c>
      <c r="G265" s="16" t="n"/>
      <c r="H265" s="16" t="n"/>
      <c r="I265" s="16" t="n"/>
      <c r="J265" s="16" t="n"/>
      <c r="K265" s="17">
        <f>IF($G265="","",IF(OR($G265="PT Missed",$G265="PT Modified",$G265="PT Refused"),"Yes","No"))</f>
        <v/>
      </c>
      <c r="L265" s="16" t="n"/>
      <c r="M265" s="16" t="n"/>
      <c r="N265" s="17">
        <f>IF($D265="","",IF($M265="Excused","No",IF(AND($G265="PT Modified",$L265="Received"),"No","Yes")))</f>
        <v/>
      </c>
      <c r="O265" s="16" t="n"/>
      <c r="P265" s="17">
        <f>IF(OR($B265="",N($I265)=0),"",MIN(N($I265),SUMIFS(nrMK_Min,nrMK_Link,$B265,nrMK_Credit,"Yes",nrMK_PID,$E265,nrMK_Type,"Classroom")))</f>
        <v/>
      </c>
      <c r="Q265" s="17">
        <f>IF(OR($B265="",N($J265)=0),"",MIN(N($J265),SUMIFS(nrMK_Sess,nrMK_Link,$B265,nrMK_Credit,"Yes",nrMK_PID,$E265,nrMK_Type,"PT")))</f>
        <v/>
      </c>
      <c r="R265" s="17">
        <f>IF(OR($B265="",$N265&lt;&gt;"Yes"),"",IF($K265="Yes",IF(N($J265)&gt;0,N($J265)-N($Q265),""),IF(N($I265)&gt;0,N($I265)-N($P265),"")))</f>
        <v/>
      </c>
      <c r="S265" s="17">
        <f>IF(OR($B265="",$R265=""),"",IF($R265&lt;=0,IF(IFERROR(_xlfn.MAXIFS(nrMK_Date,nrMK_Link,$B265,nrMK_Credit,"Yes",nrMK_PID,$E265),0)=0,"CLEARED (makeup date missing)","CLEARED "&amp;TEXT(_xlfn.MAXIFS(nrMK_Date,nrMK_Link,$B265,nrMK_Credit,"Yes",nrMK_PID,$E265),"mm/dd")),"OPEN"))</f>
        <v/>
      </c>
      <c r="T265" s="17">
        <f>IF($D265="","",IF($C265="","NO DATE",IF($G265="","NO EVENT TYPE",IF(AND($I265&lt;&gt;"",NOT(ISNUMBER($I265))),"MINUTES NOT A NUMBER",IF(AND($J265&lt;&gt;"",NOT(ISNUMBER($J265))),"SESSIONS NOT A NUMBER",IF(OR(N($I265)&lt;0,N($J265)&lt;0),"NEGATIVE MINUTES/SESSIONS",IF(AND($K265="Yes",N($I265)&gt;0),"MINUTES ON A PT EVENT - not counted (PT counts sessions)",IF(AND($K265="No",N($J265)&gt;0),"SESSIONS ON A CLASSROOM EVENT - not counted (classroom counts minutes)",IF(AND($N265="Yes",$K265="Yes",N($J265)=0),"COUNTED PT EVENT WITH NO SESSIONS - dropped from the PT cap",IF(AND($N265="Yes",$K265="No",N($I265)=0),"COUNTED EVENT WITH NO MINUTES - dropped from the classroom cap","OK"))))))))))</f>
        <v/>
      </c>
    </row>
    <row r="266">
      <c r="B266" s="17">
        <f>IF($D266="","","A"&amp;TEXT(ROW()-5,"000"))</f>
        <v/>
      </c>
      <c r="C266" s="18" t="n"/>
      <c r="D266" s="16" t="n"/>
      <c r="E266" s="17">
        <f>IF($D266="","",IFERROR(INDEX(rngCadetPIDs,MATCH($D266,rngCadetNames,0)),"?"))</f>
        <v/>
      </c>
      <c r="F266" s="17">
        <f>IF($E266="","",IFERROR(INDEX(nrCadetAgency,MATCH($E266,rngCadetPIDs,0)),""))</f>
        <v/>
      </c>
      <c r="G266" s="16" t="n"/>
      <c r="H266" s="16" t="n"/>
      <c r="I266" s="16" t="n"/>
      <c r="J266" s="16" t="n"/>
      <c r="K266" s="17">
        <f>IF($G266="","",IF(OR($G266="PT Missed",$G266="PT Modified",$G266="PT Refused"),"Yes","No"))</f>
        <v/>
      </c>
      <c r="L266" s="16" t="n"/>
      <c r="M266" s="16" t="n"/>
      <c r="N266" s="17">
        <f>IF($D266="","",IF($M266="Excused","No",IF(AND($G266="PT Modified",$L266="Received"),"No","Yes")))</f>
        <v/>
      </c>
      <c r="O266" s="16" t="n"/>
      <c r="P266" s="17">
        <f>IF(OR($B266="",N($I266)=0),"",MIN(N($I266),SUMIFS(nrMK_Min,nrMK_Link,$B266,nrMK_Credit,"Yes",nrMK_PID,$E266,nrMK_Type,"Classroom")))</f>
        <v/>
      </c>
      <c r="Q266" s="17">
        <f>IF(OR($B266="",N($J266)=0),"",MIN(N($J266),SUMIFS(nrMK_Sess,nrMK_Link,$B266,nrMK_Credit,"Yes",nrMK_PID,$E266,nrMK_Type,"PT")))</f>
        <v/>
      </c>
      <c r="R266" s="17">
        <f>IF(OR($B266="",$N266&lt;&gt;"Yes"),"",IF($K266="Yes",IF(N($J266)&gt;0,N($J266)-N($Q266),""),IF(N($I266)&gt;0,N($I266)-N($P266),"")))</f>
        <v/>
      </c>
      <c r="S266" s="17">
        <f>IF(OR($B266="",$R266=""),"",IF($R266&lt;=0,IF(IFERROR(_xlfn.MAXIFS(nrMK_Date,nrMK_Link,$B266,nrMK_Credit,"Yes",nrMK_PID,$E266),0)=0,"CLEARED (makeup date missing)","CLEARED "&amp;TEXT(_xlfn.MAXIFS(nrMK_Date,nrMK_Link,$B266,nrMK_Credit,"Yes",nrMK_PID,$E266),"mm/dd")),"OPEN"))</f>
        <v/>
      </c>
      <c r="T266" s="17">
        <f>IF($D266="","",IF($C266="","NO DATE",IF($G266="","NO EVENT TYPE",IF(AND($I266&lt;&gt;"",NOT(ISNUMBER($I266))),"MINUTES NOT A NUMBER",IF(AND($J266&lt;&gt;"",NOT(ISNUMBER($J266))),"SESSIONS NOT A NUMBER",IF(OR(N($I266)&lt;0,N($J266)&lt;0),"NEGATIVE MINUTES/SESSIONS",IF(AND($K266="Yes",N($I266)&gt;0),"MINUTES ON A PT EVENT - not counted (PT counts sessions)",IF(AND($K266="No",N($J266)&gt;0),"SESSIONS ON A CLASSROOM EVENT - not counted (classroom counts minutes)",IF(AND($N266="Yes",$K266="Yes",N($J266)=0),"COUNTED PT EVENT WITH NO SESSIONS - dropped from the PT cap",IF(AND($N266="Yes",$K266="No",N($I266)=0),"COUNTED EVENT WITH NO MINUTES - dropped from the classroom cap","OK"))))))))))</f>
        <v/>
      </c>
    </row>
    <row r="267">
      <c r="B267" s="17">
        <f>IF($D267="","","A"&amp;TEXT(ROW()-5,"000"))</f>
        <v/>
      </c>
      <c r="C267" s="18" t="n"/>
      <c r="D267" s="16" t="n"/>
      <c r="E267" s="17">
        <f>IF($D267="","",IFERROR(INDEX(rngCadetPIDs,MATCH($D267,rngCadetNames,0)),"?"))</f>
        <v/>
      </c>
      <c r="F267" s="17">
        <f>IF($E267="","",IFERROR(INDEX(nrCadetAgency,MATCH($E267,rngCadetPIDs,0)),""))</f>
        <v/>
      </c>
      <c r="G267" s="16" t="n"/>
      <c r="H267" s="16" t="n"/>
      <c r="I267" s="16" t="n"/>
      <c r="J267" s="16" t="n"/>
      <c r="K267" s="17">
        <f>IF($G267="","",IF(OR($G267="PT Missed",$G267="PT Modified",$G267="PT Refused"),"Yes","No"))</f>
        <v/>
      </c>
      <c r="L267" s="16" t="n"/>
      <c r="M267" s="16" t="n"/>
      <c r="N267" s="17">
        <f>IF($D267="","",IF($M267="Excused","No",IF(AND($G267="PT Modified",$L267="Received"),"No","Yes")))</f>
        <v/>
      </c>
      <c r="O267" s="16" t="n"/>
      <c r="P267" s="17">
        <f>IF(OR($B267="",N($I267)=0),"",MIN(N($I267),SUMIFS(nrMK_Min,nrMK_Link,$B267,nrMK_Credit,"Yes",nrMK_PID,$E267,nrMK_Type,"Classroom")))</f>
        <v/>
      </c>
      <c r="Q267" s="17">
        <f>IF(OR($B267="",N($J267)=0),"",MIN(N($J267),SUMIFS(nrMK_Sess,nrMK_Link,$B267,nrMK_Credit,"Yes",nrMK_PID,$E267,nrMK_Type,"PT")))</f>
        <v/>
      </c>
      <c r="R267" s="17">
        <f>IF(OR($B267="",$N267&lt;&gt;"Yes"),"",IF($K267="Yes",IF(N($J267)&gt;0,N($J267)-N($Q267),""),IF(N($I267)&gt;0,N($I267)-N($P267),"")))</f>
        <v/>
      </c>
      <c r="S267" s="17">
        <f>IF(OR($B267="",$R267=""),"",IF($R267&lt;=0,IF(IFERROR(_xlfn.MAXIFS(nrMK_Date,nrMK_Link,$B267,nrMK_Credit,"Yes",nrMK_PID,$E267),0)=0,"CLEARED (makeup date missing)","CLEARED "&amp;TEXT(_xlfn.MAXIFS(nrMK_Date,nrMK_Link,$B267,nrMK_Credit,"Yes",nrMK_PID,$E267),"mm/dd")),"OPEN"))</f>
        <v/>
      </c>
      <c r="T267" s="17">
        <f>IF($D267="","",IF($C267="","NO DATE",IF($G267="","NO EVENT TYPE",IF(AND($I267&lt;&gt;"",NOT(ISNUMBER($I267))),"MINUTES NOT A NUMBER",IF(AND($J267&lt;&gt;"",NOT(ISNUMBER($J267))),"SESSIONS NOT A NUMBER",IF(OR(N($I267)&lt;0,N($J267)&lt;0),"NEGATIVE MINUTES/SESSIONS",IF(AND($K267="Yes",N($I267)&gt;0),"MINUTES ON A PT EVENT - not counted (PT counts sessions)",IF(AND($K267="No",N($J267)&gt;0),"SESSIONS ON A CLASSROOM EVENT - not counted (classroom counts minutes)",IF(AND($N267="Yes",$K267="Yes",N($J267)=0),"COUNTED PT EVENT WITH NO SESSIONS - dropped from the PT cap",IF(AND($N267="Yes",$K267="No",N($I267)=0),"COUNTED EVENT WITH NO MINUTES - dropped from the classroom cap","OK"))))))))))</f>
        <v/>
      </c>
    </row>
    <row r="268">
      <c r="B268" s="17">
        <f>IF($D268="","","A"&amp;TEXT(ROW()-5,"000"))</f>
        <v/>
      </c>
      <c r="C268" s="18" t="n"/>
      <c r="D268" s="16" t="n"/>
      <c r="E268" s="17">
        <f>IF($D268="","",IFERROR(INDEX(rngCadetPIDs,MATCH($D268,rngCadetNames,0)),"?"))</f>
        <v/>
      </c>
      <c r="F268" s="17">
        <f>IF($E268="","",IFERROR(INDEX(nrCadetAgency,MATCH($E268,rngCadetPIDs,0)),""))</f>
        <v/>
      </c>
      <c r="G268" s="16" t="n"/>
      <c r="H268" s="16" t="n"/>
      <c r="I268" s="16" t="n"/>
      <c r="J268" s="16" t="n"/>
      <c r="K268" s="17">
        <f>IF($G268="","",IF(OR($G268="PT Missed",$G268="PT Modified",$G268="PT Refused"),"Yes","No"))</f>
        <v/>
      </c>
      <c r="L268" s="16" t="n"/>
      <c r="M268" s="16" t="n"/>
      <c r="N268" s="17">
        <f>IF($D268="","",IF($M268="Excused","No",IF(AND($G268="PT Modified",$L268="Received"),"No","Yes")))</f>
        <v/>
      </c>
      <c r="O268" s="16" t="n"/>
      <c r="P268" s="17">
        <f>IF(OR($B268="",N($I268)=0),"",MIN(N($I268),SUMIFS(nrMK_Min,nrMK_Link,$B268,nrMK_Credit,"Yes",nrMK_PID,$E268,nrMK_Type,"Classroom")))</f>
        <v/>
      </c>
      <c r="Q268" s="17">
        <f>IF(OR($B268="",N($J268)=0),"",MIN(N($J268),SUMIFS(nrMK_Sess,nrMK_Link,$B268,nrMK_Credit,"Yes",nrMK_PID,$E268,nrMK_Type,"PT")))</f>
        <v/>
      </c>
      <c r="R268" s="17">
        <f>IF(OR($B268="",$N268&lt;&gt;"Yes"),"",IF($K268="Yes",IF(N($J268)&gt;0,N($J268)-N($Q268),""),IF(N($I268)&gt;0,N($I268)-N($P268),"")))</f>
        <v/>
      </c>
      <c r="S268" s="17">
        <f>IF(OR($B268="",$R268=""),"",IF($R268&lt;=0,IF(IFERROR(_xlfn.MAXIFS(nrMK_Date,nrMK_Link,$B268,nrMK_Credit,"Yes",nrMK_PID,$E268),0)=0,"CLEARED (makeup date missing)","CLEARED "&amp;TEXT(_xlfn.MAXIFS(nrMK_Date,nrMK_Link,$B268,nrMK_Credit,"Yes",nrMK_PID,$E268),"mm/dd")),"OPEN"))</f>
        <v/>
      </c>
      <c r="T268" s="17">
        <f>IF($D268="","",IF($C268="","NO DATE",IF($G268="","NO EVENT TYPE",IF(AND($I268&lt;&gt;"",NOT(ISNUMBER($I268))),"MINUTES NOT A NUMBER",IF(AND($J268&lt;&gt;"",NOT(ISNUMBER($J268))),"SESSIONS NOT A NUMBER",IF(OR(N($I268)&lt;0,N($J268)&lt;0),"NEGATIVE MINUTES/SESSIONS",IF(AND($K268="Yes",N($I268)&gt;0),"MINUTES ON A PT EVENT - not counted (PT counts sessions)",IF(AND($K268="No",N($J268)&gt;0),"SESSIONS ON A CLASSROOM EVENT - not counted (classroom counts minutes)",IF(AND($N268="Yes",$K268="Yes",N($J268)=0),"COUNTED PT EVENT WITH NO SESSIONS - dropped from the PT cap",IF(AND($N268="Yes",$K268="No",N($I268)=0),"COUNTED EVENT WITH NO MINUTES - dropped from the classroom cap","OK"))))))))))</f>
        <v/>
      </c>
    </row>
    <row r="269">
      <c r="B269" s="17">
        <f>IF($D269="","","A"&amp;TEXT(ROW()-5,"000"))</f>
        <v/>
      </c>
      <c r="C269" s="18" t="n"/>
      <c r="D269" s="16" t="n"/>
      <c r="E269" s="17">
        <f>IF($D269="","",IFERROR(INDEX(rngCadetPIDs,MATCH($D269,rngCadetNames,0)),"?"))</f>
        <v/>
      </c>
      <c r="F269" s="17">
        <f>IF($E269="","",IFERROR(INDEX(nrCadetAgency,MATCH($E269,rngCadetPIDs,0)),""))</f>
        <v/>
      </c>
      <c r="G269" s="16" t="n"/>
      <c r="H269" s="16" t="n"/>
      <c r="I269" s="16" t="n"/>
      <c r="J269" s="16" t="n"/>
      <c r="K269" s="17">
        <f>IF($G269="","",IF(OR($G269="PT Missed",$G269="PT Modified",$G269="PT Refused"),"Yes","No"))</f>
        <v/>
      </c>
      <c r="L269" s="16" t="n"/>
      <c r="M269" s="16" t="n"/>
      <c r="N269" s="17">
        <f>IF($D269="","",IF($M269="Excused","No",IF(AND($G269="PT Modified",$L269="Received"),"No","Yes")))</f>
        <v/>
      </c>
      <c r="O269" s="16" t="n"/>
      <c r="P269" s="17">
        <f>IF(OR($B269="",N($I269)=0),"",MIN(N($I269),SUMIFS(nrMK_Min,nrMK_Link,$B269,nrMK_Credit,"Yes",nrMK_PID,$E269,nrMK_Type,"Classroom")))</f>
        <v/>
      </c>
      <c r="Q269" s="17">
        <f>IF(OR($B269="",N($J269)=0),"",MIN(N($J269),SUMIFS(nrMK_Sess,nrMK_Link,$B269,nrMK_Credit,"Yes",nrMK_PID,$E269,nrMK_Type,"PT")))</f>
        <v/>
      </c>
      <c r="R269" s="17">
        <f>IF(OR($B269="",$N269&lt;&gt;"Yes"),"",IF($K269="Yes",IF(N($J269)&gt;0,N($J269)-N($Q269),""),IF(N($I269)&gt;0,N($I269)-N($P269),"")))</f>
        <v/>
      </c>
      <c r="S269" s="17">
        <f>IF(OR($B269="",$R269=""),"",IF($R269&lt;=0,IF(IFERROR(_xlfn.MAXIFS(nrMK_Date,nrMK_Link,$B269,nrMK_Credit,"Yes",nrMK_PID,$E269),0)=0,"CLEARED (makeup date missing)","CLEARED "&amp;TEXT(_xlfn.MAXIFS(nrMK_Date,nrMK_Link,$B269,nrMK_Credit,"Yes",nrMK_PID,$E269),"mm/dd")),"OPEN"))</f>
        <v/>
      </c>
      <c r="T269" s="17">
        <f>IF($D269="","",IF($C269="","NO DATE",IF($G269="","NO EVENT TYPE",IF(AND($I269&lt;&gt;"",NOT(ISNUMBER($I269))),"MINUTES NOT A NUMBER",IF(AND($J269&lt;&gt;"",NOT(ISNUMBER($J269))),"SESSIONS NOT A NUMBER",IF(OR(N($I269)&lt;0,N($J269)&lt;0),"NEGATIVE MINUTES/SESSIONS",IF(AND($K269="Yes",N($I269)&gt;0),"MINUTES ON A PT EVENT - not counted (PT counts sessions)",IF(AND($K269="No",N($J269)&gt;0),"SESSIONS ON A CLASSROOM EVENT - not counted (classroom counts minutes)",IF(AND($N269="Yes",$K269="Yes",N($J269)=0),"COUNTED PT EVENT WITH NO SESSIONS - dropped from the PT cap",IF(AND($N269="Yes",$K269="No",N($I269)=0),"COUNTED EVENT WITH NO MINUTES - dropped from the classroom cap","OK"))))))))))</f>
        <v/>
      </c>
    </row>
    <row r="270">
      <c r="B270" s="17">
        <f>IF($D270="","","A"&amp;TEXT(ROW()-5,"000"))</f>
        <v/>
      </c>
      <c r="C270" s="18" t="n"/>
      <c r="D270" s="16" t="n"/>
      <c r="E270" s="17">
        <f>IF($D270="","",IFERROR(INDEX(rngCadetPIDs,MATCH($D270,rngCadetNames,0)),"?"))</f>
        <v/>
      </c>
      <c r="F270" s="17">
        <f>IF($E270="","",IFERROR(INDEX(nrCadetAgency,MATCH($E270,rngCadetPIDs,0)),""))</f>
        <v/>
      </c>
      <c r="G270" s="16" t="n"/>
      <c r="H270" s="16" t="n"/>
      <c r="I270" s="16" t="n"/>
      <c r="J270" s="16" t="n"/>
      <c r="K270" s="17">
        <f>IF($G270="","",IF(OR($G270="PT Missed",$G270="PT Modified",$G270="PT Refused"),"Yes","No"))</f>
        <v/>
      </c>
      <c r="L270" s="16" t="n"/>
      <c r="M270" s="16" t="n"/>
      <c r="N270" s="17">
        <f>IF($D270="","",IF($M270="Excused","No",IF(AND($G270="PT Modified",$L270="Received"),"No","Yes")))</f>
        <v/>
      </c>
      <c r="O270" s="16" t="n"/>
      <c r="P270" s="17">
        <f>IF(OR($B270="",N($I270)=0),"",MIN(N($I270),SUMIFS(nrMK_Min,nrMK_Link,$B270,nrMK_Credit,"Yes",nrMK_PID,$E270,nrMK_Type,"Classroom")))</f>
        <v/>
      </c>
      <c r="Q270" s="17">
        <f>IF(OR($B270="",N($J270)=0),"",MIN(N($J270),SUMIFS(nrMK_Sess,nrMK_Link,$B270,nrMK_Credit,"Yes",nrMK_PID,$E270,nrMK_Type,"PT")))</f>
        <v/>
      </c>
      <c r="R270" s="17">
        <f>IF(OR($B270="",$N270&lt;&gt;"Yes"),"",IF($K270="Yes",IF(N($J270)&gt;0,N($J270)-N($Q270),""),IF(N($I270)&gt;0,N($I270)-N($P270),"")))</f>
        <v/>
      </c>
      <c r="S270" s="17">
        <f>IF(OR($B270="",$R270=""),"",IF($R270&lt;=0,IF(IFERROR(_xlfn.MAXIFS(nrMK_Date,nrMK_Link,$B270,nrMK_Credit,"Yes",nrMK_PID,$E270),0)=0,"CLEARED (makeup date missing)","CLEARED "&amp;TEXT(_xlfn.MAXIFS(nrMK_Date,nrMK_Link,$B270,nrMK_Credit,"Yes",nrMK_PID,$E270),"mm/dd")),"OPEN"))</f>
        <v/>
      </c>
      <c r="T270" s="17">
        <f>IF($D270="","",IF($C270="","NO DATE",IF($G270="","NO EVENT TYPE",IF(AND($I270&lt;&gt;"",NOT(ISNUMBER($I270))),"MINUTES NOT A NUMBER",IF(AND($J270&lt;&gt;"",NOT(ISNUMBER($J270))),"SESSIONS NOT A NUMBER",IF(OR(N($I270)&lt;0,N($J270)&lt;0),"NEGATIVE MINUTES/SESSIONS",IF(AND($K270="Yes",N($I270)&gt;0),"MINUTES ON A PT EVENT - not counted (PT counts sessions)",IF(AND($K270="No",N($J270)&gt;0),"SESSIONS ON A CLASSROOM EVENT - not counted (classroom counts minutes)",IF(AND($N270="Yes",$K270="Yes",N($J270)=0),"COUNTED PT EVENT WITH NO SESSIONS - dropped from the PT cap",IF(AND($N270="Yes",$K270="No",N($I270)=0),"COUNTED EVENT WITH NO MINUTES - dropped from the classroom cap","OK"))))))))))</f>
        <v/>
      </c>
    </row>
    <row r="271">
      <c r="B271" s="17">
        <f>IF($D271="","","A"&amp;TEXT(ROW()-5,"000"))</f>
        <v/>
      </c>
      <c r="C271" s="18" t="n"/>
      <c r="D271" s="16" t="n"/>
      <c r="E271" s="17">
        <f>IF($D271="","",IFERROR(INDEX(rngCadetPIDs,MATCH($D271,rngCadetNames,0)),"?"))</f>
        <v/>
      </c>
      <c r="F271" s="17">
        <f>IF($E271="","",IFERROR(INDEX(nrCadetAgency,MATCH($E271,rngCadetPIDs,0)),""))</f>
        <v/>
      </c>
      <c r="G271" s="16" t="n"/>
      <c r="H271" s="16" t="n"/>
      <c r="I271" s="16" t="n"/>
      <c r="J271" s="16" t="n"/>
      <c r="K271" s="17">
        <f>IF($G271="","",IF(OR($G271="PT Missed",$G271="PT Modified",$G271="PT Refused"),"Yes","No"))</f>
        <v/>
      </c>
      <c r="L271" s="16" t="n"/>
      <c r="M271" s="16" t="n"/>
      <c r="N271" s="17">
        <f>IF($D271="","",IF($M271="Excused","No",IF(AND($G271="PT Modified",$L271="Received"),"No","Yes")))</f>
        <v/>
      </c>
      <c r="O271" s="16" t="n"/>
      <c r="P271" s="17">
        <f>IF(OR($B271="",N($I271)=0),"",MIN(N($I271),SUMIFS(nrMK_Min,nrMK_Link,$B271,nrMK_Credit,"Yes",nrMK_PID,$E271,nrMK_Type,"Classroom")))</f>
        <v/>
      </c>
      <c r="Q271" s="17">
        <f>IF(OR($B271="",N($J271)=0),"",MIN(N($J271),SUMIFS(nrMK_Sess,nrMK_Link,$B271,nrMK_Credit,"Yes",nrMK_PID,$E271,nrMK_Type,"PT")))</f>
        <v/>
      </c>
      <c r="R271" s="17">
        <f>IF(OR($B271="",$N271&lt;&gt;"Yes"),"",IF($K271="Yes",IF(N($J271)&gt;0,N($J271)-N($Q271),""),IF(N($I271)&gt;0,N($I271)-N($P271),"")))</f>
        <v/>
      </c>
      <c r="S271" s="17">
        <f>IF(OR($B271="",$R271=""),"",IF($R271&lt;=0,IF(IFERROR(_xlfn.MAXIFS(nrMK_Date,nrMK_Link,$B271,nrMK_Credit,"Yes",nrMK_PID,$E271),0)=0,"CLEARED (makeup date missing)","CLEARED "&amp;TEXT(_xlfn.MAXIFS(nrMK_Date,nrMK_Link,$B271,nrMK_Credit,"Yes",nrMK_PID,$E271),"mm/dd")),"OPEN"))</f>
        <v/>
      </c>
      <c r="T271" s="17">
        <f>IF($D271="","",IF($C271="","NO DATE",IF($G271="","NO EVENT TYPE",IF(AND($I271&lt;&gt;"",NOT(ISNUMBER($I271))),"MINUTES NOT A NUMBER",IF(AND($J271&lt;&gt;"",NOT(ISNUMBER($J271))),"SESSIONS NOT A NUMBER",IF(OR(N($I271)&lt;0,N($J271)&lt;0),"NEGATIVE MINUTES/SESSIONS",IF(AND($K271="Yes",N($I271)&gt;0),"MINUTES ON A PT EVENT - not counted (PT counts sessions)",IF(AND($K271="No",N($J271)&gt;0),"SESSIONS ON A CLASSROOM EVENT - not counted (classroom counts minutes)",IF(AND($N271="Yes",$K271="Yes",N($J271)=0),"COUNTED PT EVENT WITH NO SESSIONS - dropped from the PT cap",IF(AND($N271="Yes",$K271="No",N($I271)=0),"COUNTED EVENT WITH NO MINUTES - dropped from the classroom cap","OK"))))))))))</f>
        <v/>
      </c>
    </row>
    <row r="272">
      <c r="B272" s="17">
        <f>IF($D272="","","A"&amp;TEXT(ROW()-5,"000"))</f>
        <v/>
      </c>
      <c r="C272" s="18" t="n"/>
      <c r="D272" s="16" t="n"/>
      <c r="E272" s="17">
        <f>IF($D272="","",IFERROR(INDEX(rngCadetPIDs,MATCH($D272,rngCadetNames,0)),"?"))</f>
        <v/>
      </c>
      <c r="F272" s="17">
        <f>IF($E272="","",IFERROR(INDEX(nrCadetAgency,MATCH($E272,rngCadetPIDs,0)),""))</f>
        <v/>
      </c>
      <c r="G272" s="16" t="n"/>
      <c r="H272" s="16" t="n"/>
      <c r="I272" s="16" t="n"/>
      <c r="J272" s="16" t="n"/>
      <c r="K272" s="17">
        <f>IF($G272="","",IF(OR($G272="PT Missed",$G272="PT Modified",$G272="PT Refused"),"Yes","No"))</f>
        <v/>
      </c>
      <c r="L272" s="16" t="n"/>
      <c r="M272" s="16" t="n"/>
      <c r="N272" s="17">
        <f>IF($D272="","",IF($M272="Excused","No",IF(AND($G272="PT Modified",$L272="Received"),"No","Yes")))</f>
        <v/>
      </c>
      <c r="O272" s="16" t="n"/>
      <c r="P272" s="17">
        <f>IF(OR($B272="",N($I272)=0),"",MIN(N($I272),SUMIFS(nrMK_Min,nrMK_Link,$B272,nrMK_Credit,"Yes",nrMK_PID,$E272,nrMK_Type,"Classroom")))</f>
        <v/>
      </c>
      <c r="Q272" s="17">
        <f>IF(OR($B272="",N($J272)=0),"",MIN(N($J272),SUMIFS(nrMK_Sess,nrMK_Link,$B272,nrMK_Credit,"Yes",nrMK_PID,$E272,nrMK_Type,"PT")))</f>
        <v/>
      </c>
      <c r="R272" s="17">
        <f>IF(OR($B272="",$N272&lt;&gt;"Yes"),"",IF($K272="Yes",IF(N($J272)&gt;0,N($J272)-N($Q272),""),IF(N($I272)&gt;0,N($I272)-N($P272),"")))</f>
        <v/>
      </c>
      <c r="S272" s="17">
        <f>IF(OR($B272="",$R272=""),"",IF($R272&lt;=0,IF(IFERROR(_xlfn.MAXIFS(nrMK_Date,nrMK_Link,$B272,nrMK_Credit,"Yes",nrMK_PID,$E272),0)=0,"CLEARED (makeup date missing)","CLEARED "&amp;TEXT(_xlfn.MAXIFS(nrMK_Date,nrMK_Link,$B272,nrMK_Credit,"Yes",nrMK_PID,$E272),"mm/dd")),"OPEN"))</f>
        <v/>
      </c>
      <c r="T272" s="17">
        <f>IF($D272="","",IF($C272="","NO DATE",IF($G272="","NO EVENT TYPE",IF(AND($I272&lt;&gt;"",NOT(ISNUMBER($I272))),"MINUTES NOT A NUMBER",IF(AND($J272&lt;&gt;"",NOT(ISNUMBER($J272))),"SESSIONS NOT A NUMBER",IF(OR(N($I272)&lt;0,N($J272)&lt;0),"NEGATIVE MINUTES/SESSIONS",IF(AND($K272="Yes",N($I272)&gt;0),"MINUTES ON A PT EVENT - not counted (PT counts sessions)",IF(AND($K272="No",N($J272)&gt;0),"SESSIONS ON A CLASSROOM EVENT - not counted (classroom counts minutes)",IF(AND($N272="Yes",$K272="Yes",N($J272)=0),"COUNTED PT EVENT WITH NO SESSIONS - dropped from the PT cap",IF(AND($N272="Yes",$K272="No",N($I272)=0),"COUNTED EVENT WITH NO MINUTES - dropped from the classroom cap","OK"))))))))))</f>
        <v/>
      </c>
    </row>
    <row r="273">
      <c r="B273" s="17">
        <f>IF($D273="","","A"&amp;TEXT(ROW()-5,"000"))</f>
        <v/>
      </c>
      <c r="C273" s="18" t="n"/>
      <c r="D273" s="16" t="n"/>
      <c r="E273" s="17">
        <f>IF($D273="","",IFERROR(INDEX(rngCadetPIDs,MATCH($D273,rngCadetNames,0)),"?"))</f>
        <v/>
      </c>
      <c r="F273" s="17">
        <f>IF($E273="","",IFERROR(INDEX(nrCadetAgency,MATCH($E273,rngCadetPIDs,0)),""))</f>
        <v/>
      </c>
      <c r="G273" s="16" t="n"/>
      <c r="H273" s="16" t="n"/>
      <c r="I273" s="16" t="n"/>
      <c r="J273" s="16" t="n"/>
      <c r="K273" s="17">
        <f>IF($G273="","",IF(OR($G273="PT Missed",$G273="PT Modified",$G273="PT Refused"),"Yes","No"))</f>
        <v/>
      </c>
      <c r="L273" s="16" t="n"/>
      <c r="M273" s="16" t="n"/>
      <c r="N273" s="17">
        <f>IF($D273="","",IF($M273="Excused","No",IF(AND($G273="PT Modified",$L273="Received"),"No","Yes")))</f>
        <v/>
      </c>
      <c r="O273" s="16" t="n"/>
      <c r="P273" s="17">
        <f>IF(OR($B273="",N($I273)=0),"",MIN(N($I273),SUMIFS(nrMK_Min,nrMK_Link,$B273,nrMK_Credit,"Yes",nrMK_PID,$E273,nrMK_Type,"Classroom")))</f>
        <v/>
      </c>
      <c r="Q273" s="17">
        <f>IF(OR($B273="",N($J273)=0),"",MIN(N($J273),SUMIFS(nrMK_Sess,nrMK_Link,$B273,nrMK_Credit,"Yes",nrMK_PID,$E273,nrMK_Type,"PT")))</f>
        <v/>
      </c>
      <c r="R273" s="17">
        <f>IF(OR($B273="",$N273&lt;&gt;"Yes"),"",IF($K273="Yes",IF(N($J273)&gt;0,N($J273)-N($Q273),""),IF(N($I273)&gt;0,N($I273)-N($P273),"")))</f>
        <v/>
      </c>
      <c r="S273" s="17">
        <f>IF(OR($B273="",$R273=""),"",IF($R273&lt;=0,IF(IFERROR(_xlfn.MAXIFS(nrMK_Date,nrMK_Link,$B273,nrMK_Credit,"Yes",nrMK_PID,$E273),0)=0,"CLEARED (makeup date missing)","CLEARED "&amp;TEXT(_xlfn.MAXIFS(nrMK_Date,nrMK_Link,$B273,nrMK_Credit,"Yes",nrMK_PID,$E273),"mm/dd")),"OPEN"))</f>
        <v/>
      </c>
      <c r="T273" s="17">
        <f>IF($D273="","",IF($C273="","NO DATE",IF($G273="","NO EVENT TYPE",IF(AND($I273&lt;&gt;"",NOT(ISNUMBER($I273))),"MINUTES NOT A NUMBER",IF(AND($J273&lt;&gt;"",NOT(ISNUMBER($J273))),"SESSIONS NOT A NUMBER",IF(OR(N($I273)&lt;0,N($J273)&lt;0),"NEGATIVE MINUTES/SESSIONS",IF(AND($K273="Yes",N($I273)&gt;0),"MINUTES ON A PT EVENT - not counted (PT counts sessions)",IF(AND($K273="No",N($J273)&gt;0),"SESSIONS ON A CLASSROOM EVENT - not counted (classroom counts minutes)",IF(AND($N273="Yes",$K273="Yes",N($J273)=0),"COUNTED PT EVENT WITH NO SESSIONS - dropped from the PT cap",IF(AND($N273="Yes",$K273="No",N($I273)=0),"COUNTED EVENT WITH NO MINUTES - dropped from the classroom cap","OK"))))))))))</f>
        <v/>
      </c>
    </row>
    <row r="274">
      <c r="B274" s="17">
        <f>IF($D274="","","A"&amp;TEXT(ROW()-5,"000"))</f>
        <v/>
      </c>
      <c r="C274" s="18" t="n"/>
      <c r="D274" s="16" t="n"/>
      <c r="E274" s="17">
        <f>IF($D274="","",IFERROR(INDEX(rngCadetPIDs,MATCH($D274,rngCadetNames,0)),"?"))</f>
        <v/>
      </c>
      <c r="F274" s="17">
        <f>IF($E274="","",IFERROR(INDEX(nrCadetAgency,MATCH($E274,rngCadetPIDs,0)),""))</f>
        <v/>
      </c>
      <c r="G274" s="16" t="n"/>
      <c r="H274" s="16" t="n"/>
      <c r="I274" s="16" t="n"/>
      <c r="J274" s="16" t="n"/>
      <c r="K274" s="17">
        <f>IF($G274="","",IF(OR($G274="PT Missed",$G274="PT Modified",$G274="PT Refused"),"Yes","No"))</f>
        <v/>
      </c>
      <c r="L274" s="16" t="n"/>
      <c r="M274" s="16" t="n"/>
      <c r="N274" s="17">
        <f>IF($D274="","",IF($M274="Excused","No",IF(AND($G274="PT Modified",$L274="Received"),"No","Yes")))</f>
        <v/>
      </c>
      <c r="O274" s="16" t="n"/>
      <c r="P274" s="17">
        <f>IF(OR($B274="",N($I274)=0),"",MIN(N($I274),SUMIFS(nrMK_Min,nrMK_Link,$B274,nrMK_Credit,"Yes",nrMK_PID,$E274,nrMK_Type,"Classroom")))</f>
        <v/>
      </c>
      <c r="Q274" s="17">
        <f>IF(OR($B274="",N($J274)=0),"",MIN(N($J274),SUMIFS(nrMK_Sess,nrMK_Link,$B274,nrMK_Credit,"Yes",nrMK_PID,$E274,nrMK_Type,"PT")))</f>
        <v/>
      </c>
      <c r="R274" s="17">
        <f>IF(OR($B274="",$N274&lt;&gt;"Yes"),"",IF($K274="Yes",IF(N($J274)&gt;0,N($J274)-N($Q274),""),IF(N($I274)&gt;0,N($I274)-N($P274),"")))</f>
        <v/>
      </c>
      <c r="S274" s="17">
        <f>IF(OR($B274="",$R274=""),"",IF($R274&lt;=0,IF(IFERROR(_xlfn.MAXIFS(nrMK_Date,nrMK_Link,$B274,nrMK_Credit,"Yes",nrMK_PID,$E274),0)=0,"CLEARED (makeup date missing)","CLEARED "&amp;TEXT(_xlfn.MAXIFS(nrMK_Date,nrMK_Link,$B274,nrMK_Credit,"Yes",nrMK_PID,$E274),"mm/dd")),"OPEN"))</f>
        <v/>
      </c>
      <c r="T274" s="17">
        <f>IF($D274="","",IF($C274="","NO DATE",IF($G274="","NO EVENT TYPE",IF(AND($I274&lt;&gt;"",NOT(ISNUMBER($I274))),"MINUTES NOT A NUMBER",IF(AND($J274&lt;&gt;"",NOT(ISNUMBER($J274))),"SESSIONS NOT A NUMBER",IF(OR(N($I274)&lt;0,N($J274)&lt;0),"NEGATIVE MINUTES/SESSIONS",IF(AND($K274="Yes",N($I274)&gt;0),"MINUTES ON A PT EVENT - not counted (PT counts sessions)",IF(AND($K274="No",N($J274)&gt;0),"SESSIONS ON A CLASSROOM EVENT - not counted (classroom counts minutes)",IF(AND($N274="Yes",$K274="Yes",N($J274)=0),"COUNTED PT EVENT WITH NO SESSIONS - dropped from the PT cap",IF(AND($N274="Yes",$K274="No",N($I274)=0),"COUNTED EVENT WITH NO MINUTES - dropped from the classroom cap","OK"))))))))))</f>
        <v/>
      </c>
    </row>
    <row r="275">
      <c r="B275" s="17">
        <f>IF($D275="","","A"&amp;TEXT(ROW()-5,"000"))</f>
        <v/>
      </c>
      <c r="C275" s="18" t="n"/>
      <c r="D275" s="16" t="n"/>
      <c r="E275" s="17">
        <f>IF($D275="","",IFERROR(INDEX(rngCadetPIDs,MATCH($D275,rngCadetNames,0)),"?"))</f>
        <v/>
      </c>
      <c r="F275" s="17">
        <f>IF($E275="","",IFERROR(INDEX(nrCadetAgency,MATCH($E275,rngCadetPIDs,0)),""))</f>
        <v/>
      </c>
      <c r="G275" s="16" t="n"/>
      <c r="H275" s="16" t="n"/>
      <c r="I275" s="16" t="n"/>
      <c r="J275" s="16" t="n"/>
      <c r="K275" s="17">
        <f>IF($G275="","",IF(OR($G275="PT Missed",$G275="PT Modified",$G275="PT Refused"),"Yes","No"))</f>
        <v/>
      </c>
      <c r="L275" s="16" t="n"/>
      <c r="M275" s="16" t="n"/>
      <c r="N275" s="17">
        <f>IF($D275="","",IF($M275="Excused","No",IF(AND($G275="PT Modified",$L275="Received"),"No","Yes")))</f>
        <v/>
      </c>
      <c r="O275" s="16" t="n"/>
      <c r="P275" s="17">
        <f>IF(OR($B275="",N($I275)=0),"",MIN(N($I275),SUMIFS(nrMK_Min,nrMK_Link,$B275,nrMK_Credit,"Yes",nrMK_PID,$E275,nrMK_Type,"Classroom")))</f>
        <v/>
      </c>
      <c r="Q275" s="17">
        <f>IF(OR($B275="",N($J275)=0),"",MIN(N($J275),SUMIFS(nrMK_Sess,nrMK_Link,$B275,nrMK_Credit,"Yes",nrMK_PID,$E275,nrMK_Type,"PT")))</f>
        <v/>
      </c>
      <c r="R275" s="17">
        <f>IF(OR($B275="",$N275&lt;&gt;"Yes"),"",IF($K275="Yes",IF(N($J275)&gt;0,N($J275)-N($Q275),""),IF(N($I275)&gt;0,N($I275)-N($P275),"")))</f>
        <v/>
      </c>
      <c r="S275" s="17">
        <f>IF(OR($B275="",$R275=""),"",IF($R275&lt;=0,IF(IFERROR(_xlfn.MAXIFS(nrMK_Date,nrMK_Link,$B275,nrMK_Credit,"Yes",nrMK_PID,$E275),0)=0,"CLEARED (makeup date missing)","CLEARED "&amp;TEXT(_xlfn.MAXIFS(nrMK_Date,nrMK_Link,$B275,nrMK_Credit,"Yes",nrMK_PID,$E275),"mm/dd")),"OPEN"))</f>
        <v/>
      </c>
      <c r="T275" s="17">
        <f>IF($D275="","",IF($C275="","NO DATE",IF($G275="","NO EVENT TYPE",IF(AND($I275&lt;&gt;"",NOT(ISNUMBER($I275))),"MINUTES NOT A NUMBER",IF(AND($J275&lt;&gt;"",NOT(ISNUMBER($J275))),"SESSIONS NOT A NUMBER",IF(OR(N($I275)&lt;0,N($J275)&lt;0),"NEGATIVE MINUTES/SESSIONS",IF(AND($K275="Yes",N($I275)&gt;0),"MINUTES ON A PT EVENT - not counted (PT counts sessions)",IF(AND($K275="No",N($J275)&gt;0),"SESSIONS ON A CLASSROOM EVENT - not counted (classroom counts minutes)",IF(AND($N275="Yes",$K275="Yes",N($J275)=0),"COUNTED PT EVENT WITH NO SESSIONS - dropped from the PT cap",IF(AND($N275="Yes",$K275="No",N($I275)=0),"COUNTED EVENT WITH NO MINUTES - dropped from the classroom cap","OK"))))))))))</f>
        <v/>
      </c>
    </row>
    <row r="276">
      <c r="B276" s="17">
        <f>IF($D276="","","A"&amp;TEXT(ROW()-5,"000"))</f>
        <v/>
      </c>
      <c r="C276" s="18" t="n"/>
      <c r="D276" s="16" t="n"/>
      <c r="E276" s="17">
        <f>IF($D276="","",IFERROR(INDEX(rngCadetPIDs,MATCH($D276,rngCadetNames,0)),"?"))</f>
        <v/>
      </c>
      <c r="F276" s="17">
        <f>IF($E276="","",IFERROR(INDEX(nrCadetAgency,MATCH($E276,rngCadetPIDs,0)),""))</f>
        <v/>
      </c>
      <c r="G276" s="16" t="n"/>
      <c r="H276" s="16" t="n"/>
      <c r="I276" s="16" t="n"/>
      <c r="J276" s="16" t="n"/>
      <c r="K276" s="17">
        <f>IF($G276="","",IF(OR($G276="PT Missed",$G276="PT Modified",$G276="PT Refused"),"Yes","No"))</f>
        <v/>
      </c>
      <c r="L276" s="16" t="n"/>
      <c r="M276" s="16" t="n"/>
      <c r="N276" s="17">
        <f>IF($D276="","",IF($M276="Excused","No",IF(AND($G276="PT Modified",$L276="Received"),"No","Yes")))</f>
        <v/>
      </c>
      <c r="O276" s="16" t="n"/>
      <c r="P276" s="17">
        <f>IF(OR($B276="",N($I276)=0),"",MIN(N($I276),SUMIFS(nrMK_Min,nrMK_Link,$B276,nrMK_Credit,"Yes",nrMK_PID,$E276,nrMK_Type,"Classroom")))</f>
        <v/>
      </c>
      <c r="Q276" s="17">
        <f>IF(OR($B276="",N($J276)=0),"",MIN(N($J276),SUMIFS(nrMK_Sess,nrMK_Link,$B276,nrMK_Credit,"Yes",nrMK_PID,$E276,nrMK_Type,"PT")))</f>
        <v/>
      </c>
      <c r="R276" s="17">
        <f>IF(OR($B276="",$N276&lt;&gt;"Yes"),"",IF($K276="Yes",IF(N($J276)&gt;0,N($J276)-N($Q276),""),IF(N($I276)&gt;0,N($I276)-N($P276),"")))</f>
        <v/>
      </c>
      <c r="S276" s="17">
        <f>IF(OR($B276="",$R276=""),"",IF($R276&lt;=0,IF(IFERROR(_xlfn.MAXIFS(nrMK_Date,nrMK_Link,$B276,nrMK_Credit,"Yes",nrMK_PID,$E276),0)=0,"CLEARED (makeup date missing)","CLEARED "&amp;TEXT(_xlfn.MAXIFS(nrMK_Date,nrMK_Link,$B276,nrMK_Credit,"Yes",nrMK_PID,$E276),"mm/dd")),"OPEN"))</f>
        <v/>
      </c>
      <c r="T276" s="17">
        <f>IF($D276="","",IF($C276="","NO DATE",IF($G276="","NO EVENT TYPE",IF(AND($I276&lt;&gt;"",NOT(ISNUMBER($I276))),"MINUTES NOT A NUMBER",IF(AND($J276&lt;&gt;"",NOT(ISNUMBER($J276))),"SESSIONS NOT A NUMBER",IF(OR(N($I276)&lt;0,N($J276)&lt;0),"NEGATIVE MINUTES/SESSIONS",IF(AND($K276="Yes",N($I276)&gt;0),"MINUTES ON A PT EVENT - not counted (PT counts sessions)",IF(AND($K276="No",N($J276)&gt;0),"SESSIONS ON A CLASSROOM EVENT - not counted (classroom counts minutes)",IF(AND($N276="Yes",$K276="Yes",N($J276)=0),"COUNTED PT EVENT WITH NO SESSIONS - dropped from the PT cap",IF(AND($N276="Yes",$K276="No",N($I276)=0),"COUNTED EVENT WITH NO MINUTES - dropped from the classroom cap","OK"))))))))))</f>
        <v/>
      </c>
    </row>
    <row r="277">
      <c r="B277" s="17">
        <f>IF($D277="","","A"&amp;TEXT(ROW()-5,"000"))</f>
        <v/>
      </c>
      <c r="C277" s="18" t="n"/>
      <c r="D277" s="16" t="n"/>
      <c r="E277" s="17">
        <f>IF($D277="","",IFERROR(INDEX(rngCadetPIDs,MATCH($D277,rngCadetNames,0)),"?"))</f>
        <v/>
      </c>
      <c r="F277" s="17">
        <f>IF($E277="","",IFERROR(INDEX(nrCadetAgency,MATCH($E277,rngCadetPIDs,0)),""))</f>
        <v/>
      </c>
      <c r="G277" s="16" t="n"/>
      <c r="H277" s="16" t="n"/>
      <c r="I277" s="16" t="n"/>
      <c r="J277" s="16" t="n"/>
      <c r="K277" s="17">
        <f>IF($G277="","",IF(OR($G277="PT Missed",$G277="PT Modified",$G277="PT Refused"),"Yes","No"))</f>
        <v/>
      </c>
      <c r="L277" s="16" t="n"/>
      <c r="M277" s="16" t="n"/>
      <c r="N277" s="17">
        <f>IF($D277="","",IF($M277="Excused","No",IF(AND($G277="PT Modified",$L277="Received"),"No","Yes")))</f>
        <v/>
      </c>
      <c r="O277" s="16" t="n"/>
      <c r="P277" s="17">
        <f>IF(OR($B277="",N($I277)=0),"",MIN(N($I277),SUMIFS(nrMK_Min,nrMK_Link,$B277,nrMK_Credit,"Yes",nrMK_PID,$E277,nrMK_Type,"Classroom")))</f>
        <v/>
      </c>
      <c r="Q277" s="17">
        <f>IF(OR($B277="",N($J277)=0),"",MIN(N($J277),SUMIFS(nrMK_Sess,nrMK_Link,$B277,nrMK_Credit,"Yes",nrMK_PID,$E277,nrMK_Type,"PT")))</f>
        <v/>
      </c>
      <c r="R277" s="17">
        <f>IF(OR($B277="",$N277&lt;&gt;"Yes"),"",IF($K277="Yes",IF(N($J277)&gt;0,N($J277)-N($Q277),""),IF(N($I277)&gt;0,N($I277)-N($P277),"")))</f>
        <v/>
      </c>
      <c r="S277" s="17">
        <f>IF(OR($B277="",$R277=""),"",IF($R277&lt;=0,IF(IFERROR(_xlfn.MAXIFS(nrMK_Date,nrMK_Link,$B277,nrMK_Credit,"Yes",nrMK_PID,$E277),0)=0,"CLEARED (makeup date missing)","CLEARED "&amp;TEXT(_xlfn.MAXIFS(nrMK_Date,nrMK_Link,$B277,nrMK_Credit,"Yes",nrMK_PID,$E277),"mm/dd")),"OPEN"))</f>
        <v/>
      </c>
      <c r="T277" s="17">
        <f>IF($D277="","",IF($C277="","NO DATE",IF($G277="","NO EVENT TYPE",IF(AND($I277&lt;&gt;"",NOT(ISNUMBER($I277))),"MINUTES NOT A NUMBER",IF(AND($J277&lt;&gt;"",NOT(ISNUMBER($J277))),"SESSIONS NOT A NUMBER",IF(OR(N($I277)&lt;0,N($J277)&lt;0),"NEGATIVE MINUTES/SESSIONS",IF(AND($K277="Yes",N($I277)&gt;0),"MINUTES ON A PT EVENT - not counted (PT counts sessions)",IF(AND($K277="No",N($J277)&gt;0),"SESSIONS ON A CLASSROOM EVENT - not counted (classroom counts minutes)",IF(AND($N277="Yes",$K277="Yes",N($J277)=0),"COUNTED PT EVENT WITH NO SESSIONS - dropped from the PT cap",IF(AND($N277="Yes",$K277="No",N($I277)=0),"COUNTED EVENT WITH NO MINUTES - dropped from the classroom cap","OK"))))))))))</f>
        <v/>
      </c>
    </row>
    <row r="278">
      <c r="B278" s="17">
        <f>IF($D278="","","A"&amp;TEXT(ROW()-5,"000"))</f>
        <v/>
      </c>
      <c r="C278" s="18" t="n"/>
      <c r="D278" s="16" t="n"/>
      <c r="E278" s="17">
        <f>IF($D278="","",IFERROR(INDEX(rngCadetPIDs,MATCH($D278,rngCadetNames,0)),"?"))</f>
        <v/>
      </c>
      <c r="F278" s="17">
        <f>IF($E278="","",IFERROR(INDEX(nrCadetAgency,MATCH($E278,rngCadetPIDs,0)),""))</f>
        <v/>
      </c>
      <c r="G278" s="16" t="n"/>
      <c r="H278" s="16" t="n"/>
      <c r="I278" s="16" t="n"/>
      <c r="J278" s="16" t="n"/>
      <c r="K278" s="17">
        <f>IF($G278="","",IF(OR($G278="PT Missed",$G278="PT Modified",$G278="PT Refused"),"Yes","No"))</f>
        <v/>
      </c>
      <c r="L278" s="16" t="n"/>
      <c r="M278" s="16" t="n"/>
      <c r="N278" s="17">
        <f>IF($D278="","",IF($M278="Excused","No",IF(AND($G278="PT Modified",$L278="Received"),"No","Yes")))</f>
        <v/>
      </c>
      <c r="O278" s="16" t="n"/>
      <c r="P278" s="17">
        <f>IF(OR($B278="",N($I278)=0),"",MIN(N($I278),SUMIFS(nrMK_Min,nrMK_Link,$B278,nrMK_Credit,"Yes",nrMK_PID,$E278,nrMK_Type,"Classroom")))</f>
        <v/>
      </c>
      <c r="Q278" s="17">
        <f>IF(OR($B278="",N($J278)=0),"",MIN(N($J278),SUMIFS(nrMK_Sess,nrMK_Link,$B278,nrMK_Credit,"Yes",nrMK_PID,$E278,nrMK_Type,"PT")))</f>
        <v/>
      </c>
      <c r="R278" s="17">
        <f>IF(OR($B278="",$N278&lt;&gt;"Yes"),"",IF($K278="Yes",IF(N($J278)&gt;0,N($J278)-N($Q278),""),IF(N($I278)&gt;0,N($I278)-N($P278),"")))</f>
        <v/>
      </c>
      <c r="S278" s="17">
        <f>IF(OR($B278="",$R278=""),"",IF($R278&lt;=0,IF(IFERROR(_xlfn.MAXIFS(nrMK_Date,nrMK_Link,$B278,nrMK_Credit,"Yes",nrMK_PID,$E278),0)=0,"CLEARED (makeup date missing)","CLEARED "&amp;TEXT(_xlfn.MAXIFS(nrMK_Date,nrMK_Link,$B278,nrMK_Credit,"Yes",nrMK_PID,$E278),"mm/dd")),"OPEN"))</f>
        <v/>
      </c>
      <c r="T278" s="17">
        <f>IF($D278="","",IF($C278="","NO DATE",IF($G278="","NO EVENT TYPE",IF(AND($I278&lt;&gt;"",NOT(ISNUMBER($I278))),"MINUTES NOT A NUMBER",IF(AND($J278&lt;&gt;"",NOT(ISNUMBER($J278))),"SESSIONS NOT A NUMBER",IF(OR(N($I278)&lt;0,N($J278)&lt;0),"NEGATIVE MINUTES/SESSIONS",IF(AND($K278="Yes",N($I278)&gt;0),"MINUTES ON A PT EVENT - not counted (PT counts sessions)",IF(AND($K278="No",N($J278)&gt;0),"SESSIONS ON A CLASSROOM EVENT - not counted (classroom counts minutes)",IF(AND($N278="Yes",$K278="Yes",N($J278)=0),"COUNTED PT EVENT WITH NO SESSIONS - dropped from the PT cap",IF(AND($N278="Yes",$K278="No",N($I278)=0),"COUNTED EVENT WITH NO MINUTES - dropped from the classroom cap","OK"))))))))))</f>
        <v/>
      </c>
    </row>
    <row r="279">
      <c r="B279" s="17">
        <f>IF($D279="","","A"&amp;TEXT(ROW()-5,"000"))</f>
        <v/>
      </c>
      <c r="C279" s="18" t="n"/>
      <c r="D279" s="16" t="n"/>
      <c r="E279" s="17">
        <f>IF($D279="","",IFERROR(INDEX(rngCadetPIDs,MATCH($D279,rngCadetNames,0)),"?"))</f>
        <v/>
      </c>
      <c r="F279" s="17">
        <f>IF($E279="","",IFERROR(INDEX(nrCadetAgency,MATCH($E279,rngCadetPIDs,0)),""))</f>
        <v/>
      </c>
      <c r="G279" s="16" t="n"/>
      <c r="H279" s="16" t="n"/>
      <c r="I279" s="16" t="n"/>
      <c r="J279" s="16" t="n"/>
      <c r="K279" s="17">
        <f>IF($G279="","",IF(OR($G279="PT Missed",$G279="PT Modified",$G279="PT Refused"),"Yes","No"))</f>
        <v/>
      </c>
      <c r="L279" s="16" t="n"/>
      <c r="M279" s="16" t="n"/>
      <c r="N279" s="17">
        <f>IF($D279="","",IF($M279="Excused","No",IF(AND($G279="PT Modified",$L279="Received"),"No","Yes")))</f>
        <v/>
      </c>
      <c r="O279" s="16" t="n"/>
      <c r="P279" s="17">
        <f>IF(OR($B279="",N($I279)=0),"",MIN(N($I279),SUMIFS(nrMK_Min,nrMK_Link,$B279,nrMK_Credit,"Yes",nrMK_PID,$E279,nrMK_Type,"Classroom")))</f>
        <v/>
      </c>
      <c r="Q279" s="17">
        <f>IF(OR($B279="",N($J279)=0),"",MIN(N($J279),SUMIFS(nrMK_Sess,nrMK_Link,$B279,nrMK_Credit,"Yes",nrMK_PID,$E279,nrMK_Type,"PT")))</f>
        <v/>
      </c>
      <c r="R279" s="17">
        <f>IF(OR($B279="",$N279&lt;&gt;"Yes"),"",IF($K279="Yes",IF(N($J279)&gt;0,N($J279)-N($Q279),""),IF(N($I279)&gt;0,N($I279)-N($P279),"")))</f>
        <v/>
      </c>
      <c r="S279" s="17">
        <f>IF(OR($B279="",$R279=""),"",IF($R279&lt;=0,IF(IFERROR(_xlfn.MAXIFS(nrMK_Date,nrMK_Link,$B279,nrMK_Credit,"Yes",nrMK_PID,$E279),0)=0,"CLEARED (makeup date missing)","CLEARED "&amp;TEXT(_xlfn.MAXIFS(nrMK_Date,nrMK_Link,$B279,nrMK_Credit,"Yes",nrMK_PID,$E279),"mm/dd")),"OPEN"))</f>
        <v/>
      </c>
      <c r="T279" s="17">
        <f>IF($D279="","",IF($C279="","NO DATE",IF($G279="","NO EVENT TYPE",IF(AND($I279&lt;&gt;"",NOT(ISNUMBER($I279))),"MINUTES NOT A NUMBER",IF(AND($J279&lt;&gt;"",NOT(ISNUMBER($J279))),"SESSIONS NOT A NUMBER",IF(OR(N($I279)&lt;0,N($J279)&lt;0),"NEGATIVE MINUTES/SESSIONS",IF(AND($K279="Yes",N($I279)&gt;0),"MINUTES ON A PT EVENT - not counted (PT counts sessions)",IF(AND($K279="No",N($J279)&gt;0),"SESSIONS ON A CLASSROOM EVENT - not counted (classroom counts minutes)",IF(AND($N279="Yes",$K279="Yes",N($J279)=0),"COUNTED PT EVENT WITH NO SESSIONS - dropped from the PT cap",IF(AND($N279="Yes",$K279="No",N($I279)=0),"COUNTED EVENT WITH NO MINUTES - dropped from the classroom cap","OK"))))))))))</f>
        <v/>
      </c>
    </row>
    <row r="280">
      <c r="B280" s="17">
        <f>IF($D280="","","A"&amp;TEXT(ROW()-5,"000"))</f>
        <v/>
      </c>
      <c r="C280" s="18" t="n"/>
      <c r="D280" s="16" t="n"/>
      <c r="E280" s="17">
        <f>IF($D280="","",IFERROR(INDEX(rngCadetPIDs,MATCH($D280,rngCadetNames,0)),"?"))</f>
        <v/>
      </c>
      <c r="F280" s="17">
        <f>IF($E280="","",IFERROR(INDEX(nrCadetAgency,MATCH($E280,rngCadetPIDs,0)),""))</f>
        <v/>
      </c>
      <c r="G280" s="16" t="n"/>
      <c r="H280" s="16" t="n"/>
      <c r="I280" s="16" t="n"/>
      <c r="J280" s="16" t="n"/>
      <c r="K280" s="17">
        <f>IF($G280="","",IF(OR($G280="PT Missed",$G280="PT Modified",$G280="PT Refused"),"Yes","No"))</f>
        <v/>
      </c>
      <c r="L280" s="16" t="n"/>
      <c r="M280" s="16" t="n"/>
      <c r="N280" s="17">
        <f>IF($D280="","",IF($M280="Excused","No",IF(AND($G280="PT Modified",$L280="Received"),"No","Yes")))</f>
        <v/>
      </c>
      <c r="O280" s="16" t="n"/>
      <c r="P280" s="17">
        <f>IF(OR($B280="",N($I280)=0),"",MIN(N($I280),SUMIFS(nrMK_Min,nrMK_Link,$B280,nrMK_Credit,"Yes",nrMK_PID,$E280,nrMK_Type,"Classroom")))</f>
        <v/>
      </c>
      <c r="Q280" s="17">
        <f>IF(OR($B280="",N($J280)=0),"",MIN(N($J280),SUMIFS(nrMK_Sess,nrMK_Link,$B280,nrMK_Credit,"Yes",nrMK_PID,$E280,nrMK_Type,"PT")))</f>
        <v/>
      </c>
      <c r="R280" s="17">
        <f>IF(OR($B280="",$N280&lt;&gt;"Yes"),"",IF($K280="Yes",IF(N($J280)&gt;0,N($J280)-N($Q280),""),IF(N($I280)&gt;0,N($I280)-N($P280),"")))</f>
        <v/>
      </c>
      <c r="S280" s="17">
        <f>IF(OR($B280="",$R280=""),"",IF($R280&lt;=0,IF(IFERROR(_xlfn.MAXIFS(nrMK_Date,nrMK_Link,$B280,nrMK_Credit,"Yes",nrMK_PID,$E280),0)=0,"CLEARED (makeup date missing)","CLEARED "&amp;TEXT(_xlfn.MAXIFS(nrMK_Date,nrMK_Link,$B280,nrMK_Credit,"Yes",nrMK_PID,$E280),"mm/dd")),"OPEN"))</f>
        <v/>
      </c>
      <c r="T280" s="17">
        <f>IF($D280="","",IF($C280="","NO DATE",IF($G280="","NO EVENT TYPE",IF(AND($I280&lt;&gt;"",NOT(ISNUMBER($I280))),"MINUTES NOT A NUMBER",IF(AND($J280&lt;&gt;"",NOT(ISNUMBER($J280))),"SESSIONS NOT A NUMBER",IF(OR(N($I280)&lt;0,N($J280)&lt;0),"NEGATIVE MINUTES/SESSIONS",IF(AND($K280="Yes",N($I280)&gt;0),"MINUTES ON A PT EVENT - not counted (PT counts sessions)",IF(AND($K280="No",N($J280)&gt;0),"SESSIONS ON A CLASSROOM EVENT - not counted (classroom counts minutes)",IF(AND($N280="Yes",$K280="Yes",N($J280)=0),"COUNTED PT EVENT WITH NO SESSIONS - dropped from the PT cap",IF(AND($N280="Yes",$K280="No",N($I280)=0),"COUNTED EVENT WITH NO MINUTES - dropped from the classroom cap","OK"))))))))))</f>
        <v/>
      </c>
    </row>
    <row r="281">
      <c r="B281" s="17">
        <f>IF($D281="","","A"&amp;TEXT(ROW()-5,"000"))</f>
        <v/>
      </c>
      <c r="C281" s="18" t="n"/>
      <c r="D281" s="16" t="n"/>
      <c r="E281" s="17">
        <f>IF($D281="","",IFERROR(INDEX(rngCadetPIDs,MATCH($D281,rngCadetNames,0)),"?"))</f>
        <v/>
      </c>
      <c r="F281" s="17">
        <f>IF($E281="","",IFERROR(INDEX(nrCadetAgency,MATCH($E281,rngCadetPIDs,0)),""))</f>
        <v/>
      </c>
      <c r="G281" s="16" t="n"/>
      <c r="H281" s="16" t="n"/>
      <c r="I281" s="16" t="n"/>
      <c r="J281" s="16" t="n"/>
      <c r="K281" s="17">
        <f>IF($G281="","",IF(OR($G281="PT Missed",$G281="PT Modified",$G281="PT Refused"),"Yes","No"))</f>
        <v/>
      </c>
      <c r="L281" s="16" t="n"/>
      <c r="M281" s="16" t="n"/>
      <c r="N281" s="17">
        <f>IF($D281="","",IF($M281="Excused","No",IF(AND($G281="PT Modified",$L281="Received"),"No","Yes")))</f>
        <v/>
      </c>
      <c r="O281" s="16" t="n"/>
      <c r="P281" s="17">
        <f>IF(OR($B281="",N($I281)=0),"",MIN(N($I281),SUMIFS(nrMK_Min,nrMK_Link,$B281,nrMK_Credit,"Yes",nrMK_PID,$E281,nrMK_Type,"Classroom")))</f>
        <v/>
      </c>
      <c r="Q281" s="17">
        <f>IF(OR($B281="",N($J281)=0),"",MIN(N($J281),SUMIFS(nrMK_Sess,nrMK_Link,$B281,nrMK_Credit,"Yes",nrMK_PID,$E281,nrMK_Type,"PT")))</f>
        <v/>
      </c>
      <c r="R281" s="17">
        <f>IF(OR($B281="",$N281&lt;&gt;"Yes"),"",IF($K281="Yes",IF(N($J281)&gt;0,N($J281)-N($Q281),""),IF(N($I281)&gt;0,N($I281)-N($P281),"")))</f>
        <v/>
      </c>
      <c r="S281" s="17">
        <f>IF(OR($B281="",$R281=""),"",IF($R281&lt;=0,IF(IFERROR(_xlfn.MAXIFS(nrMK_Date,nrMK_Link,$B281,nrMK_Credit,"Yes",nrMK_PID,$E281),0)=0,"CLEARED (makeup date missing)","CLEARED "&amp;TEXT(_xlfn.MAXIFS(nrMK_Date,nrMK_Link,$B281,nrMK_Credit,"Yes",nrMK_PID,$E281),"mm/dd")),"OPEN"))</f>
        <v/>
      </c>
      <c r="T281" s="17">
        <f>IF($D281="","",IF($C281="","NO DATE",IF($G281="","NO EVENT TYPE",IF(AND($I281&lt;&gt;"",NOT(ISNUMBER($I281))),"MINUTES NOT A NUMBER",IF(AND($J281&lt;&gt;"",NOT(ISNUMBER($J281))),"SESSIONS NOT A NUMBER",IF(OR(N($I281)&lt;0,N($J281)&lt;0),"NEGATIVE MINUTES/SESSIONS",IF(AND($K281="Yes",N($I281)&gt;0),"MINUTES ON A PT EVENT - not counted (PT counts sessions)",IF(AND($K281="No",N($J281)&gt;0),"SESSIONS ON A CLASSROOM EVENT - not counted (classroom counts minutes)",IF(AND($N281="Yes",$K281="Yes",N($J281)=0),"COUNTED PT EVENT WITH NO SESSIONS - dropped from the PT cap",IF(AND($N281="Yes",$K281="No",N($I281)=0),"COUNTED EVENT WITH NO MINUTES - dropped from the classroom cap","OK"))))))))))</f>
        <v/>
      </c>
    </row>
    <row r="282">
      <c r="B282" s="17">
        <f>IF($D282="","","A"&amp;TEXT(ROW()-5,"000"))</f>
        <v/>
      </c>
      <c r="C282" s="18" t="n"/>
      <c r="D282" s="16" t="n"/>
      <c r="E282" s="17">
        <f>IF($D282="","",IFERROR(INDEX(rngCadetPIDs,MATCH($D282,rngCadetNames,0)),"?"))</f>
        <v/>
      </c>
      <c r="F282" s="17">
        <f>IF($E282="","",IFERROR(INDEX(nrCadetAgency,MATCH($E282,rngCadetPIDs,0)),""))</f>
        <v/>
      </c>
      <c r="G282" s="16" t="n"/>
      <c r="H282" s="16" t="n"/>
      <c r="I282" s="16" t="n"/>
      <c r="J282" s="16" t="n"/>
      <c r="K282" s="17">
        <f>IF($G282="","",IF(OR($G282="PT Missed",$G282="PT Modified",$G282="PT Refused"),"Yes","No"))</f>
        <v/>
      </c>
      <c r="L282" s="16" t="n"/>
      <c r="M282" s="16" t="n"/>
      <c r="N282" s="17">
        <f>IF($D282="","",IF($M282="Excused","No",IF(AND($G282="PT Modified",$L282="Received"),"No","Yes")))</f>
        <v/>
      </c>
      <c r="O282" s="16" t="n"/>
      <c r="P282" s="17">
        <f>IF(OR($B282="",N($I282)=0),"",MIN(N($I282),SUMIFS(nrMK_Min,nrMK_Link,$B282,nrMK_Credit,"Yes",nrMK_PID,$E282,nrMK_Type,"Classroom")))</f>
        <v/>
      </c>
      <c r="Q282" s="17">
        <f>IF(OR($B282="",N($J282)=0),"",MIN(N($J282),SUMIFS(nrMK_Sess,nrMK_Link,$B282,nrMK_Credit,"Yes",nrMK_PID,$E282,nrMK_Type,"PT")))</f>
        <v/>
      </c>
      <c r="R282" s="17">
        <f>IF(OR($B282="",$N282&lt;&gt;"Yes"),"",IF($K282="Yes",IF(N($J282)&gt;0,N($J282)-N($Q282),""),IF(N($I282)&gt;0,N($I282)-N($P282),"")))</f>
        <v/>
      </c>
      <c r="S282" s="17">
        <f>IF(OR($B282="",$R282=""),"",IF($R282&lt;=0,IF(IFERROR(_xlfn.MAXIFS(nrMK_Date,nrMK_Link,$B282,nrMK_Credit,"Yes",nrMK_PID,$E282),0)=0,"CLEARED (makeup date missing)","CLEARED "&amp;TEXT(_xlfn.MAXIFS(nrMK_Date,nrMK_Link,$B282,nrMK_Credit,"Yes",nrMK_PID,$E282),"mm/dd")),"OPEN"))</f>
        <v/>
      </c>
      <c r="T282" s="17">
        <f>IF($D282="","",IF($C282="","NO DATE",IF($G282="","NO EVENT TYPE",IF(AND($I282&lt;&gt;"",NOT(ISNUMBER($I282))),"MINUTES NOT A NUMBER",IF(AND($J282&lt;&gt;"",NOT(ISNUMBER($J282))),"SESSIONS NOT A NUMBER",IF(OR(N($I282)&lt;0,N($J282)&lt;0),"NEGATIVE MINUTES/SESSIONS",IF(AND($K282="Yes",N($I282)&gt;0),"MINUTES ON A PT EVENT - not counted (PT counts sessions)",IF(AND($K282="No",N($J282)&gt;0),"SESSIONS ON A CLASSROOM EVENT - not counted (classroom counts minutes)",IF(AND($N282="Yes",$K282="Yes",N($J282)=0),"COUNTED PT EVENT WITH NO SESSIONS - dropped from the PT cap",IF(AND($N282="Yes",$K282="No",N($I282)=0),"COUNTED EVENT WITH NO MINUTES - dropped from the classroom cap","OK"))))))))))</f>
        <v/>
      </c>
    </row>
    <row r="283">
      <c r="B283" s="17">
        <f>IF($D283="","","A"&amp;TEXT(ROW()-5,"000"))</f>
        <v/>
      </c>
      <c r="C283" s="18" t="n"/>
      <c r="D283" s="16" t="n"/>
      <c r="E283" s="17">
        <f>IF($D283="","",IFERROR(INDEX(rngCadetPIDs,MATCH($D283,rngCadetNames,0)),"?"))</f>
        <v/>
      </c>
      <c r="F283" s="17">
        <f>IF($E283="","",IFERROR(INDEX(nrCadetAgency,MATCH($E283,rngCadetPIDs,0)),""))</f>
        <v/>
      </c>
      <c r="G283" s="16" t="n"/>
      <c r="H283" s="16" t="n"/>
      <c r="I283" s="16" t="n"/>
      <c r="J283" s="16" t="n"/>
      <c r="K283" s="17">
        <f>IF($G283="","",IF(OR($G283="PT Missed",$G283="PT Modified",$G283="PT Refused"),"Yes","No"))</f>
        <v/>
      </c>
      <c r="L283" s="16" t="n"/>
      <c r="M283" s="16" t="n"/>
      <c r="N283" s="17">
        <f>IF($D283="","",IF($M283="Excused","No",IF(AND($G283="PT Modified",$L283="Received"),"No","Yes")))</f>
        <v/>
      </c>
      <c r="O283" s="16" t="n"/>
      <c r="P283" s="17">
        <f>IF(OR($B283="",N($I283)=0),"",MIN(N($I283),SUMIFS(nrMK_Min,nrMK_Link,$B283,nrMK_Credit,"Yes",nrMK_PID,$E283,nrMK_Type,"Classroom")))</f>
        <v/>
      </c>
      <c r="Q283" s="17">
        <f>IF(OR($B283="",N($J283)=0),"",MIN(N($J283),SUMIFS(nrMK_Sess,nrMK_Link,$B283,nrMK_Credit,"Yes",nrMK_PID,$E283,nrMK_Type,"PT")))</f>
        <v/>
      </c>
      <c r="R283" s="17">
        <f>IF(OR($B283="",$N283&lt;&gt;"Yes"),"",IF($K283="Yes",IF(N($J283)&gt;0,N($J283)-N($Q283),""),IF(N($I283)&gt;0,N($I283)-N($P283),"")))</f>
        <v/>
      </c>
      <c r="S283" s="17">
        <f>IF(OR($B283="",$R283=""),"",IF($R283&lt;=0,IF(IFERROR(_xlfn.MAXIFS(nrMK_Date,nrMK_Link,$B283,nrMK_Credit,"Yes",nrMK_PID,$E283),0)=0,"CLEARED (makeup date missing)","CLEARED "&amp;TEXT(_xlfn.MAXIFS(nrMK_Date,nrMK_Link,$B283,nrMK_Credit,"Yes",nrMK_PID,$E283),"mm/dd")),"OPEN"))</f>
        <v/>
      </c>
      <c r="T283" s="17">
        <f>IF($D283="","",IF($C283="","NO DATE",IF($G283="","NO EVENT TYPE",IF(AND($I283&lt;&gt;"",NOT(ISNUMBER($I283))),"MINUTES NOT A NUMBER",IF(AND($J283&lt;&gt;"",NOT(ISNUMBER($J283))),"SESSIONS NOT A NUMBER",IF(OR(N($I283)&lt;0,N($J283)&lt;0),"NEGATIVE MINUTES/SESSIONS",IF(AND($K283="Yes",N($I283)&gt;0),"MINUTES ON A PT EVENT - not counted (PT counts sessions)",IF(AND($K283="No",N($J283)&gt;0),"SESSIONS ON A CLASSROOM EVENT - not counted (classroom counts minutes)",IF(AND($N283="Yes",$K283="Yes",N($J283)=0),"COUNTED PT EVENT WITH NO SESSIONS - dropped from the PT cap",IF(AND($N283="Yes",$K283="No",N($I283)=0),"COUNTED EVENT WITH NO MINUTES - dropped from the classroom cap","OK"))))))))))</f>
        <v/>
      </c>
    </row>
    <row r="284">
      <c r="B284" s="17">
        <f>IF($D284="","","A"&amp;TEXT(ROW()-5,"000"))</f>
        <v/>
      </c>
      <c r="C284" s="18" t="n"/>
      <c r="D284" s="16" t="n"/>
      <c r="E284" s="17">
        <f>IF($D284="","",IFERROR(INDEX(rngCadetPIDs,MATCH($D284,rngCadetNames,0)),"?"))</f>
        <v/>
      </c>
      <c r="F284" s="17">
        <f>IF($E284="","",IFERROR(INDEX(nrCadetAgency,MATCH($E284,rngCadetPIDs,0)),""))</f>
        <v/>
      </c>
      <c r="G284" s="16" t="n"/>
      <c r="H284" s="16" t="n"/>
      <c r="I284" s="16" t="n"/>
      <c r="J284" s="16" t="n"/>
      <c r="K284" s="17">
        <f>IF($G284="","",IF(OR($G284="PT Missed",$G284="PT Modified",$G284="PT Refused"),"Yes","No"))</f>
        <v/>
      </c>
      <c r="L284" s="16" t="n"/>
      <c r="M284" s="16" t="n"/>
      <c r="N284" s="17">
        <f>IF($D284="","",IF($M284="Excused","No",IF(AND($G284="PT Modified",$L284="Received"),"No","Yes")))</f>
        <v/>
      </c>
      <c r="O284" s="16" t="n"/>
      <c r="P284" s="17">
        <f>IF(OR($B284="",N($I284)=0),"",MIN(N($I284),SUMIFS(nrMK_Min,nrMK_Link,$B284,nrMK_Credit,"Yes",nrMK_PID,$E284,nrMK_Type,"Classroom")))</f>
        <v/>
      </c>
      <c r="Q284" s="17">
        <f>IF(OR($B284="",N($J284)=0),"",MIN(N($J284),SUMIFS(nrMK_Sess,nrMK_Link,$B284,nrMK_Credit,"Yes",nrMK_PID,$E284,nrMK_Type,"PT")))</f>
        <v/>
      </c>
      <c r="R284" s="17">
        <f>IF(OR($B284="",$N284&lt;&gt;"Yes"),"",IF($K284="Yes",IF(N($J284)&gt;0,N($J284)-N($Q284),""),IF(N($I284)&gt;0,N($I284)-N($P284),"")))</f>
        <v/>
      </c>
      <c r="S284" s="17">
        <f>IF(OR($B284="",$R284=""),"",IF($R284&lt;=0,IF(IFERROR(_xlfn.MAXIFS(nrMK_Date,nrMK_Link,$B284,nrMK_Credit,"Yes",nrMK_PID,$E284),0)=0,"CLEARED (makeup date missing)","CLEARED "&amp;TEXT(_xlfn.MAXIFS(nrMK_Date,nrMK_Link,$B284,nrMK_Credit,"Yes",nrMK_PID,$E284),"mm/dd")),"OPEN"))</f>
        <v/>
      </c>
      <c r="T284" s="17">
        <f>IF($D284="","",IF($C284="","NO DATE",IF($G284="","NO EVENT TYPE",IF(AND($I284&lt;&gt;"",NOT(ISNUMBER($I284))),"MINUTES NOT A NUMBER",IF(AND($J284&lt;&gt;"",NOT(ISNUMBER($J284))),"SESSIONS NOT A NUMBER",IF(OR(N($I284)&lt;0,N($J284)&lt;0),"NEGATIVE MINUTES/SESSIONS",IF(AND($K284="Yes",N($I284)&gt;0),"MINUTES ON A PT EVENT - not counted (PT counts sessions)",IF(AND($K284="No",N($J284)&gt;0),"SESSIONS ON A CLASSROOM EVENT - not counted (classroom counts minutes)",IF(AND($N284="Yes",$K284="Yes",N($J284)=0),"COUNTED PT EVENT WITH NO SESSIONS - dropped from the PT cap",IF(AND($N284="Yes",$K284="No",N($I284)=0),"COUNTED EVENT WITH NO MINUTES - dropped from the classroom cap","OK"))))))))))</f>
        <v/>
      </c>
    </row>
    <row r="285">
      <c r="B285" s="17">
        <f>IF($D285="","","A"&amp;TEXT(ROW()-5,"000"))</f>
        <v/>
      </c>
      <c r="C285" s="18" t="n"/>
      <c r="D285" s="16" t="n"/>
      <c r="E285" s="17">
        <f>IF($D285="","",IFERROR(INDEX(rngCadetPIDs,MATCH($D285,rngCadetNames,0)),"?"))</f>
        <v/>
      </c>
      <c r="F285" s="17">
        <f>IF($E285="","",IFERROR(INDEX(nrCadetAgency,MATCH($E285,rngCadetPIDs,0)),""))</f>
        <v/>
      </c>
      <c r="G285" s="16" t="n"/>
      <c r="H285" s="16" t="n"/>
      <c r="I285" s="16" t="n"/>
      <c r="J285" s="16" t="n"/>
      <c r="K285" s="17">
        <f>IF($G285="","",IF(OR($G285="PT Missed",$G285="PT Modified",$G285="PT Refused"),"Yes","No"))</f>
        <v/>
      </c>
      <c r="L285" s="16" t="n"/>
      <c r="M285" s="16" t="n"/>
      <c r="N285" s="17">
        <f>IF($D285="","",IF($M285="Excused","No",IF(AND($G285="PT Modified",$L285="Received"),"No","Yes")))</f>
        <v/>
      </c>
      <c r="O285" s="16" t="n"/>
      <c r="P285" s="17">
        <f>IF(OR($B285="",N($I285)=0),"",MIN(N($I285),SUMIFS(nrMK_Min,nrMK_Link,$B285,nrMK_Credit,"Yes",nrMK_PID,$E285,nrMK_Type,"Classroom")))</f>
        <v/>
      </c>
      <c r="Q285" s="17">
        <f>IF(OR($B285="",N($J285)=0),"",MIN(N($J285),SUMIFS(nrMK_Sess,nrMK_Link,$B285,nrMK_Credit,"Yes",nrMK_PID,$E285,nrMK_Type,"PT")))</f>
        <v/>
      </c>
      <c r="R285" s="17">
        <f>IF(OR($B285="",$N285&lt;&gt;"Yes"),"",IF($K285="Yes",IF(N($J285)&gt;0,N($J285)-N($Q285),""),IF(N($I285)&gt;0,N($I285)-N($P285),"")))</f>
        <v/>
      </c>
      <c r="S285" s="17">
        <f>IF(OR($B285="",$R285=""),"",IF($R285&lt;=0,IF(IFERROR(_xlfn.MAXIFS(nrMK_Date,nrMK_Link,$B285,nrMK_Credit,"Yes",nrMK_PID,$E285),0)=0,"CLEARED (makeup date missing)","CLEARED "&amp;TEXT(_xlfn.MAXIFS(nrMK_Date,nrMK_Link,$B285,nrMK_Credit,"Yes",nrMK_PID,$E285),"mm/dd")),"OPEN"))</f>
        <v/>
      </c>
      <c r="T285" s="17">
        <f>IF($D285="","",IF($C285="","NO DATE",IF($G285="","NO EVENT TYPE",IF(AND($I285&lt;&gt;"",NOT(ISNUMBER($I285))),"MINUTES NOT A NUMBER",IF(AND($J285&lt;&gt;"",NOT(ISNUMBER($J285))),"SESSIONS NOT A NUMBER",IF(OR(N($I285)&lt;0,N($J285)&lt;0),"NEGATIVE MINUTES/SESSIONS",IF(AND($K285="Yes",N($I285)&gt;0),"MINUTES ON A PT EVENT - not counted (PT counts sessions)",IF(AND($K285="No",N($J285)&gt;0),"SESSIONS ON A CLASSROOM EVENT - not counted (classroom counts minutes)",IF(AND($N285="Yes",$K285="Yes",N($J285)=0),"COUNTED PT EVENT WITH NO SESSIONS - dropped from the PT cap",IF(AND($N285="Yes",$K285="No",N($I285)=0),"COUNTED EVENT WITH NO MINUTES - dropped from the classroom cap","OK"))))))))))</f>
        <v/>
      </c>
    </row>
    <row r="286">
      <c r="B286" s="17">
        <f>IF($D286="","","A"&amp;TEXT(ROW()-5,"000"))</f>
        <v/>
      </c>
      <c r="C286" s="18" t="n"/>
      <c r="D286" s="16" t="n"/>
      <c r="E286" s="17">
        <f>IF($D286="","",IFERROR(INDEX(rngCadetPIDs,MATCH($D286,rngCadetNames,0)),"?"))</f>
        <v/>
      </c>
      <c r="F286" s="17">
        <f>IF($E286="","",IFERROR(INDEX(nrCadetAgency,MATCH($E286,rngCadetPIDs,0)),""))</f>
        <v/>
      </c>
      <c r="G286" s="16" t="n"/>
      <c r="H286" s="16" t="n"/>
      <c r="I286" s="16" t="n"/>
      <c r="J286" s="16" t="n"/>
      <c r="K286" s="17">
        <f>IF($G286="","",IF(OR($G286="PT Missed",$G286="PT Modified",$G286="PT Refused"),"Yes","No"))</f>
        <v/>
      </c>
      <c r="L286" s="16" t="n"/>
      <c r="M286" s="16" t="n"/>
      <c r="N286" s="17">
        <f>IF($D286="","",IF($M286="Excused","No",IF(AND($G286="PT Modified",$L286="Received"),"No","Yes")))</f>
        <v/>
      </c>
      <c r="O286" s="16" t="n"/>
      <c r="P286" s="17">
        <f>IF(OR($B286="",N($I286)=0),"",MIN(N($I286),SUMIFS(nrMK_Min,nrMK_Link,$B286,nrMK_Credit,"Yes",nrMK_PID,$E286,nrMK_Type,"Classroom")))</f>
        <v/>
      </c>
      <c r="Q286" s="17">
        <f>IF(OR($B286="",N($J286)=0),"",MIN(N($J286),SUMIFS(nrMK_Sess,nrMK_Link,$B286,nrMK_Credit,"Yes",nrMK_PID,$E286,nrMK_Type,"PT")))</f>
        <v/>
      </c>
      <c r="R286" s="17">
        <f>IF(OR($B286="",$N286&lt;&gt;"Yes"),"",IF($K286="Yes",IF(N($J286)&gt;0,N($J286)-N($Q286),""),IF(N($I286)&gt;0,N($I286)-N($P286),"")))</f>
        <v/>
      </c>
      <c r="S286" s="17">
        <f>IF(OR($B286="",$R286=""),"",IF($R286&lt;=0,IF(IFERROR(_xlfn.MAXIFS(nrMK_Date,nrMK_Link,$B286,nrMK_Credit,"Yes",nrMK_PID,$E286),0)=0,"CLEARED (makeup date missing)","CLEARED "&amp;TEXT(_xlfn.MAXIFS(nrMK_Date,nrMK_Link,$B286,nrMK_Credit,"Yes",nrMK_PID,$E286),"mm/dd")),"OPEN"))</f>
        <v/>
      </c>
      <c r="T286" s="17">
        <f>IF($D286="","",IF($C286="","NO DATE",IF($G286="","NO EVENT TYPE",IF(AND($I286&lt;&gt;"",NOT(ISNUMBER($I286))),"MINUTES NOT A NUMBER",IF(AND($J286&lt;&gt;"",NOT(ISNUMBER($J286))),"SESSIONS NOT A NUMBER",IF(OR(N($I286)&lt;0,N($J286)&lt;0),"NEGATIVE MINUTES/SESSIONS",IF(AND($K286="Yes",N($I286)&gt;0),"MINUTES ON A PT EVENT - not counted (PT counts sessions)",IF(AND($K286="No",N($J286)&gt;0),"SESSIONS ON A CLASSROOM EVENT - not counted (classroom counts minutes)",IF(AND($N286="Yes",$K286="Yes",N($J286)=0),"COUNTED PT EVENT WITH NO SESSIONS - dropped from the PT cap",IF(AND($N286="Yes",$K286="No",N($I286)=0),"COUNTED EVENT WITH NO MINUTES - dropped from the classroom cap","OK"))))))))))</f>
        <v/>
      </c>
    </row>
    <row r="287">
      <c r="B287" s="17">
        <f>IF($D287="","","A"&amp;TEXT(ROW()-5,"000"))</f>
        <v/>
      </c>
      <c r="C287" s="18" t="n"/>
      <c r="D287" s="16" t="n"/>
      <c r="E287" s="17">
        <f>IF($D287="","",IFERROR(INDEX(rngCadetPIDs,MATCH($D287,rngCadetNames,0)),"?"))</f>
        <v/>
      </c>
      <c r="F287" s="17">
        <f>IF($E287="","",IFERROR(INDEX(nrCadetAgency,MATCH($E287,rngCadetPIDs,0)),""))</f>
        <v/>
      </c>
      <c r="G287" s="16" t="n"/>
      <c r="H287" s="16" t="n"/>
      <c r="I287" s="16" t="n"/>
      <c r="J287" s="16" t="n"/>
      <c r="K287" s="17">
        <f>IF($G287="","",IF(OR($G287="PT Missed",$G287="PT Modified",$G287="PT Refused"),"Yes","No"))</f>
        <v/>
      </c>
      <c r="L287" s="16" t="n"/>
      <c r="M287" s="16" t="n"/>
      <c r="N287" s="17">
        <f>IF($D287="","",IF($M287="Excused","No",IF(AND($G287="PT Modified",$L287="Received"),"No","Yes")))</f>
        <v/>
      </c>
      <c r="O287" s="16" t="n"/>
      <c r="P287" s="17">
        <f>IF(OR($B287="",N($I287)=0),"",MIN(N($I287),SUMIFS(nrMK_Min,nrMK_Link,$B287,nrMK_Credit,"Yes",nrMK_PID,$E287,nrMK_Type,"Classroom")))</f>
        <v/>
      </c>
      <c r="Q287" s="17">
        <f>IF(OR($B287="",N($J287)=0),"",MIN(N($J287),SUMIFS(nrMK_Sess,nrMK_Link,$B287,nrMK_Credit,"Yes",nrMK_PID,$E287,nrMK_Type,"PT")))</f>
        <v/>
      </c>
      <c r="R287" s="17">
        <f>IF(OR($B287="",$N287&lt;&gt;"Yes"),"",IF($K287="Yes",IF(N($J287)&gt;0,N($J287)-N($Q287),""),IF(N($I287)&gt;0,N($I287)-N($P287),"")))</f>
        <v/>
      </c>
      <c r="S287" s="17">
        <f>IF(OR($B287="",$R287=""),"",IF($R287&lt;=0,IF(IFERROR(_xlfn.MAXIFS(nrMK_Date,nrMK_Link,$B287,nrMK_Credit,"Yes",nrMK_PID,$E287),0)=0,"CLEARED (makeup date missing)","CLEARED "&amp;TEXT(_xlfn.MAXIFS(nrMK_Date,nrMK_Link,$B287,nrMK_Credit,"Yes",nrMK_PID,$E287),"mm/dd")),"OPEN"))</f>
        <v/>
      </c>
      <c r="T287" s="17">
        <f>IF($D287="","",IF($C287="","NO DATE",IF($G287="","NO EVENT TYPE",IF(AND($I287&lt;&gt;"",NOT(ISNUMBER($I287))),"MINUTES NOT A NUMBER",IF(AND($J287&lt;&gt;"",NOT(ISNUMBER($J287))),"SESSIONS NOT A NUMBER",IF(OR(N($I287)&lt;0,N($J287)&lt;0),"NEGATIVE MINUTES/SESSIONS",IF(AND($K287="Yes",N($I287)&gt;0),"MINUTES ON A PT EVENT - not counted (PT counts sessions)",IF(AND($K287="No",N($J287)&gt;0),"SESSIONS ON A CLASSROOM EVENT - not counted (classroom counts minutes)",IF(AND($N287="Yes",$K287="Yes",N($J287)=0),"COUNTED PT EVENT WITH NO SESSIONS - dropped from the PT cap",IF(AND($N287="Yes",$K287="No",N($I287)=0),"COUNTED EVENT WITH NO MINUTES - dropped from the classroom cap","OK"))))))))))</f>
        <v/>
      </c>
    </row>
    <row r="288">
      <c r="B288" s="17">
        <f>IF($D288="","","A"&amp;TEXT(ROW()-5,"000"))</f>
        <v/>
      </c>
      <c r="C288" s="18" t="n"/>
      <c r="D288" s="16" t="n"/>
      <c r="E288" s="17">
        <f>IF($D288="","",IFERROR(INDEX(rngCadetPIDs,MATCH($D288,rngCadetNames,0)),"?"))</f>
        <v/>
      </c>
      <c r="F288" s="17">
        <f>IF($E288="","",IFERROR(INDEX(nrCadetAgency,MATCH($E288,rngCadetPIDs,0)),""))</f>
        <v/>
      </c>
      <c r="G288" s="16" t="n"/>
      <c r="H288" s="16" t="n"/>
      <c r="I288" s="16" t="n"/>
      <c r="J288" s="16" t="n"/>
      <c r="K288" s="17">
        <f>IF($G288="","",IF(OR($G288="PT Missed",$G288="PT Modified",$G288="PT Refused"),"Yes","No"))</f>
        <v/>
      </c>
      <c r="L288" s="16" t="n"/>
      <c r="M288" s="16" t="n"/>
      <c r="N288" s="17">
        <f>IF($D288="","",IF($M288="Excused","No",IF(AND($G288="PT Modified",$L288="Received"),"No","Yes")))</f>
        <v/>
      </c>
      <c r="O288" s="16" t="n"/>
      <c r="P288" s="17">
        <f>IF(OR($B288="",N($I288)=0),"",MIN(N($I288),SUMIFS(nrMK_Min,nrMK_Link,$B288,nrMK_Credit,"Yes",nrMK_PID,$E288,nrMK_Type,"Classroom")))</f>
        <v/>
      </c>
      <c r="Q288" s="17">
        <f>IF(OR($B288="",N($J288)=0),"",MIN(N($J288),SUMIFS(nrMK_Sess,nrMK_Link,$B288,nrMK_Credit,"Yes",nrMK_PID,$E288,nrMK_Type,"PT")))</f>
        <v/>
      </c>
      <c r="R288" s="17">
        <f>IF(OR($B288="",$N288&lt;&gt;"Yes"),"",IF($K288="Yes",IF(N($J288)&gt;0,N($J288)-N($Q288),""),IF(N($I288)&gt;0,N($I288)-N($P288),"")))</f>
        <v/>
      </c>
      <c r="S288" s="17">
        <f>IF(OR($B288="",$R288=""),"",IF($R288&lt;=0,IF(IFERROR(_xlfn.MAXIFS(nrMK_Date,nrMK_Link,$B288,nrMK_Credit,"Yes",nrMK_PID,$E288),0)=0,"CLEARED (makeup date missing)","CLEARED "&amp;TEXT(_xlfn.MAXIFS(nrMK_Date,nrMK_Link,$B288,nrMK_Credit,"Yes",nrMK_PID,$E288),"mm/dd")),"OPEN"))</f>
        <v/>
      </c>
      <c r="T288" s="17">
        <f>IF($D288="","",IF($C288="","NO DATE",IF($G288="","NO EVENT TYPE",IF(AND($I288&lt;&gt;"",NOT(ISNUMBER($I288))),"MINUTES NOT A NUMBER",IF(AND($J288&lt;&gt;"",NOT(ISNUMBER($J288))),"SESSIONS NOT A NUMBER",IF(OR(N($I288)&lt;0,N($J288)&lt;0),"NEGATIVE MINUTES/SESSIONS",IF(AND($K288="Yes",N($I288)&gt;0),"MINUTES ON A PT EVENT - not counted (PT counts sessions)",IF(AND($K288="No",N($J288)&gt;0),"SESSIONS ON A CLASSROOM EVENT - not counted (classroom counts minutes)",IF(AND($N288="Yes",$K288="Yes",N($J288)=0),"COUNTED PT EVENT WITH NO SESSIONS - dropped from the PT cap",IF(AND($N288="Yes",$K288="No",N($I288)=0),"COUNTED EVENT WITH NO MINUTES - dropped from the classroom cap","OK"))))))))))</f>
        <v/>
      </c>
    </row>
    <row r="289">
      <c r="B289" s="17">
        <f>IF($D289="","","A"&amp;TEXT(ROW()-5,"000"))</f>
        <v/>
      </c>
      <c r="C289" s="18" t="n"/>
      <c r="D289" s="16" t="n"/>
      <c r="E289" s="17">
        <f>IF($D289="","",IFERROR(INDEX(rngCadetPIDs,MATCH($D289,rngCadetNames,0)),"?"))</f>
        <v/>
      </c>
      <c r="F289" s="17">
        <f>IF($E289="","",IFERROR(INDEX(nrCadetAgency,MATCH($E289,rngCadetPIDs,0)),""))</f>
        <v/>
      </c>
      <c r="G289" s="16" t="n"/>
      <c r="H289" s="16" t="n"/>
      <c r="I289" s="16" t="n"/>
      <c r="J289" s="16" t="n"/>
      <c r="K289" s="17">
        <f>IF($G289="","",IF(OR($G289="PT Missed",$G289="PT Modified",$G289="PT Refused"),"Yes","No"))</f>
        <v/>
      </c>
      <c r="L289" s="16" t="n"/>
      <c r="M289" s="16" t="n"/>
      <c r="N289" s="17">
        <f>IF($D289="","",IF($M289="Excused","No",IF(AND($G289="PT Modified",$L289="Received"),"No","Yes")))</f>
        <v/>
      </c>
      <c r="O289" s="16" t="n"/>
      <c r="P289" s="17">
        <f>IF(OR($B289="",N($I289)=0),"",MIN(N($I289),SUMIFS(nrMK_Min,nrMK_Link,$B289,nrMK_Credit,"Yes",nrMK_PID,$E289,nrMK_Type,"Classroom")))</f>
        <v/>
      </c>
      <c r="Q289" s="17">
        <f>IF(OR($B289="",N($J289)=0),"",MIN(N($J289),SUMIFS(nrMK_Sess,nrMK_Link,$B289,nrMK_Credit,"Yes",nrMK_PID,$E289,nrMK_Type,"PT")))</f>
        <v/>
      </c>
      <c r="R289" s="17">
        <f>IF(OR($B289="",$N289&lt;&gt;"Yes"),"",IF($K289="Yes",IF(N($J289)&gt;0,N($J289)-N($Q289),""),IF(N($I289)&gt;0,N($I289)-N($P289),"")))</f>
        <v/>
      </c>
      <c r="S289" s="17">
        <f>IF(OR($B289="",$R289=""),"",IF($R289&lt;=0,IF(IFERROR(_xlfn.MAXIFS(nrMK_Date,nrMK_Link,$B289,nrMK_Credit,"Yes",nrMK_PID,$E289),0)=0,"CLEARED (makeup date missing)","CLEARED "&amp;TEXT(_xlfn.MAXIFS(nrMK_Date,nrMK_Link,$B289,nrMK_Credit,"Yes",nrMK_PID,$E289),"mm/dd")),"OPEN"))</f>
        <v/>
      </c>
      <c r="T289" s="17">
        <f>IF($D289="","",IF($C289="","NO DATE",IF($G289="","NO EVENT TYPE",IF(AND($I289&lt;&gt;"",NOT(ISNUMBER($I289))),"MINUTES NOT A NUMBER",IF(AND($J289&lt;&gt;"",NOT(ISNUMBER($J289))),"SESSIONS NOT A NUMBER",IF(OR(N($I289)&lt;0,N($J289)&lt;0),"NEGATIVE MINUTES/SESSIONS",IF(AND($K289="Yes",N($I289)&gt;0),"MINUTES ON A PT EVENT - not counted (PT counts sessions)",IF(AND($K289="No",N($J289)&gt;0),"SESSIONS ON A CLASSROOM EVENT - not counted (classroom counts minutes)",IF(AND($N289="Yes",$K289="Yes",N($J289)=0),"COUNTED PT EVENT WITH NO SESSIONS - dropped from the PT cap",IF(AND($N289="Yes",$K289="No",N($I289)=0),"COUNTED EVENT WITH NO MINUTES - dropped from the classroom cap","OK"))))))))))</f>
        <v/>
      </c>
    </row>
    <row r="290">
      <c r="B290" s="17">
        <f>IF($D290="","","A"&amp;TEXT(ROW()-5,"000"))</f>
        <v/>
      </c>
      <c r="C290" s="18" t="n"/>
      <c r="D290" s="16" t="n"/>
      <c r="E290" s="17">
        <f>IF($D290="","",IFERROR(INDEX(rngCadetPIDs,MATCH($D290,rngCadetNames,0)),"?"))</f>
        <v/>
      </c>
      <c r="F290" s="17">
        <f>IF($E290="","",IFERROR(INDEX(nrCadetAgency,MATCH($E290,rngCadetPIDs,0)),""))</f>
        <v/>
      </c>
      <c r="G290" s="16" t="n"/>
      <c r="H290" s="16" t="n"/>
      <c r="I290" s="16" t="n"/>
      <c r="J290" s="16" t="n"/>
      <c r="K290" s="17">
        <f>IF($G290="","",IF(OR($G290="PT Missed",$G290="PT Modified",$G290="PT Refused"),"Yes","No"))</f>
        <v/>
      </c>
      <c r="L290" s="16" t="n"/>
      <c r="M290" s="16" t="n"/>
      <c r="N290" s="17">
        <f>IF($D290="","",IF($M290="Excused","No",IF(AND($G290="PT Modified",$L290="Received"),"No","Yes")))</f>
        <v/>
      </c>
      <c r="O290" s="16" t="n"/>
      <c r="P290" s="17">
        <f>IF(OR($B290="",N($I290)=0),"",MIN(N($I290),SUMIFS(nrMK_Min,nrMK_Link,$B290,nrMK_Credit,"Yes",nrMK_PID,$E290,nrMK_Type,"Classroom")))</f>
        <v/>
      </c>
      <c r="Q290" s="17">
        <f>IF(OR($B290="",N($J290)=0),"",MIN(N($J290),SUMIFS(nrMK_Sess,nrMK_Link,$B290,nrMK_Credit,"Yes",nrMK_PID,$E290,nrMK_Type,"PT")))</f>
        <v/>
      </c>
      <c r="R290" s="17">
        <f>IF(OR($B290="",$N290&lt;&gt;"Yes"),"",IF($K290="Yes",IF(N($J290)&gt;0,N($J290)-N($Q290),""),IF(N($I290)&gt;0,N($I290)-N($P290),"")))</f>
        <v/>
      </c>
      <c r="S290" s="17">
        <f>IF(OR($B290="",$R290=""),"",IF($R290&lt;=0,IF(IFERROR(_xlfn.MAXIFS(nrMK_Date,nrMK_Link,$B290,nrMK_Credit,"Yes",nrMK_PID,$E290),0)=0,"CLEARED (makeup date missing)","CLEARED "&amp;TEXT(_xlfn.MAXIFS(nrMK_Date,nrMK_Link,$B290,nrMK_Credit,"Yes",nrMK_PID,$E290),"mm/dd")),"OPEN"))</f>
        <v/>
      </c>
      <c r="T290" s="17">
        <f>IF($D290="","",IF($C290="","NO DATE",IF($G290="","NO EVENT TYPE",IF(AND($I290&lt;&gt;"",NOT(ISNUMBER($I290))),"MINUTES NOT A NUMBER",IF(AND($J290&lt;&gt;"",NOT(ISNUMBER($J290))),"SESSIONS NOT A NUMBER",IF(OR(N($I290)&lt;0,N($J290)&lt;0),"NEGATIVE MINUTES/SESSIONS",IF(AND($K290="Yes",N($I290)&gt;0),"MINUTES ON A PT EVENT - not counted (PT counts sessions)",IF(AND($K290="No",N($J290)&gt;0),"SESSIONS ON A CLASSROOM EVENT - not counted (classroom counts minutes)",IF(AND($N290="Yes",$K290="Yes",N($J290)=0),"COUNTED PT EVENT WITH NO SESSIONS - dropped from the PT cap",IF(AND($N290="Yes",$K290="No",N($I290)=0),"COUNTED EVENT WITH NO MINUTES - dropped from the classroom cap","OK"))))))))))</f>
        <v/>
      </c>
    </row>
    <row r="291">
      <c r="B291" s="17">
        <f>IF($D291="","","A"&amp;TEXT(ROW()-5,"000"))</f>
        <v/>
      </c>
      <c r="C291" s="18" t="n"/>
      <c r="D291" s="16" t="n"/>
      <c r="E291" s="17">
        <f>IF($D291="","",IFERROR(INDEX(rngCadetPIDs,MATCH($D291,rngCadetNames,0)),"?"))</f>
        <v/>
      </c>
      <c r="F291" s="17">
        <f>IF($E291="","",IFERROR(INDEX(nrCadetAgency,MATCH($E291,rngCadetPIDs,0)),""))</f>
        <v/>
      </c>
      <c r="G291" s="16" t="n"/>
      <c r="H291" s="16" t="n"/>
      <c r="I291" s="16" t="n"/>
      <c r="J291" s="16" t="n"/>
      <c r="K291" s="17">
        <f>IF($G291="","",IF(OR($G291="PT Missed",$G291="PT Modified",$G291="PT Refused"),"Yes","No"))</f>
        <v/>
      </c>
      <c r="L291" s="16" t="n"/>
      <c r="M291" s="16" t="n"/>
      <c r="N291" s="17">
        <f>IF($D291="","",IF($M291="Excused","No",IF(AND($G291="PT Modified",$L291="Received"),"No","Yes")))</f>
        <v/>
      </c>
      <c r="O291" s="16" t="n"/>
      <c r="P291" s="17">
        <f>IF(OR($B291="",N($I291)=0),"",MIN(N($I291),SUMIFS(nrMK_Min,nrMK_Link,$B291,nrMK_Credit,"Yes",nrMK_PID,$E291,nrMK_Type,"Classroom")))</f>
        <v/>
      </c>
      <c r="Q291" s="17">
        <f>IF(OR($B291="",N($J291)=0),"",MIN(N($J291),SUMIFS(nrMK_Sess,nrMK_Link,$B291,nrMK_Credit,"Yes",nrMK_PID,$E291,nrMK_Type,"PT")))</f>
        <v/>
      </c>
      <c r="R291" s="17">
        <f>IF(OR($B291="",$N291&lt;&gt;"Yes"),"",IF($K291="Yes",IF(N($J291)&gt;0,N($J291)-N($Q291),""),IF(N($I291)&gt;0,N($I291)-N($P291),"")))</f>
        <v/>
      </c>
      <c r="S291" s="17">
        <f>IF(OR($B291="",$R291=""),"",IF($R291&lt;=0,IF(IFERROR(_xlfn.MAXIFS(nrMK_Date,nrMK_Link,$B291,nrMK_Credit,"Yes",nrMK_PID,$E291),0)=0,"CLEARED (makeup date missing)","CLEARED "&amp;TEXT(_xlfn.MAXIFS(nrMK_Date,nrMK_Link,$B291,nrMK_Credit,"Yes",nrMK_PID,$E291),"mm/dd")),"OPEN"))</f>
        <v/>
      </c>
      <c r="T291" s="17">
        <f>IF($D291="","",IF($C291="","NO DATE",IF($G291="","NO EVENT TYPE",IF(AND($I291&lt;&gt;"",NOT(ISNUMBER($I291))),"MINUTES NOT A NUMBER",IF(AND($J291&lt;&gt;"",NOT(ISNUMBER($J291))),"SESSIONS NOT A NUMBER",IF(OR(N($I291)&lt;0,N($J291)&lt;0),"NEGATIVE MINUTES/SESSIONS",IF(AND($K291="Yes",N($I291)&gt;0),"MINUTES ON A PT EVENT - not counted (PT counts sessions)",IF(AND($K291="No",N($J291)&gt;0),"SESSIONS ON A CLASSROOM EVENT - not counted (classroom counts minutes)",IF(AND($N291="Yes",$K291="Yes",N($J291)=0),"COUNTED PT EVENT WITH NO SESSIONS - dropped from the PT cap",IF(AND($N291="Yes",$K291="No",N($I291)=0),"COUNTED EVENT WITH NO MINUTES - dropped from the classroom cap","OK"))))))))))</f>
        <v/>
      </c>
    </row>
    <row r="292">
      <c r="B292" s="17">
        <f>IF($D292="","","A"&amp;TEXT(ROW()-5,"000"))</f>
        <v/>
      </c>
      <c r="C292" s="18" t="n"/>
      <c r="D292" s="16" t="n"/>
      <c r="E292" s="17">
        <f>IF($D292="","",IFERROR(INDEX(rngCadetPIDs,MATCH($D292,rngCadetNames,0)),"?"))</f>
        <v/>
      </c>
      <c r="F292" s="17">
        <f>IF($E292="","",IFERROR(INDEX(nrCadetAgency,MATCH($E292,rngCadetPIDs,0)),""))</f>
        <v/>
      </c>
      <c r="G292" s="16" t="n"/>
      <c r="H292" s="16" t="n"/>
      <c r="I292" s="16" t="n"/>
      <c r="J292" s="16" t="n"/>
      <c r="K292" s="17">
        <f>IF($G292="","",IF(OR($G292="PT Missed",$G292="PT Modified",$G292="PT Refused"),"Yes","No"))</f>
        <v/>
      </c>
      <c r="L292" s="16" t="n"/>
      <c r="M292" s="16" t="n"/>
      <c r="N292" s="17">
        <f>IF($D292="","",IF($M292="Excused","No",IF(AND($G292="PT Modified",$L292="Received"),"No","Yes")))</f>
        <v/>
      </c>
      <c r="O292" s="16" t="n"/>
      <c r="P292" s="17">
        <f>IF(OR($B292="",N($I292)=0),"",MIN(N($I292),SUMIFS(nrMK_Min,nrMK_Link,$B292,nrMK_Credit,"Yes",nrMK_PID,$E292,nrMK_Type,"Classroom")))</f>
        <v/>
      </c>
      <c r="Q292" s="17">
        <f>IF(OR($B292="",N($J292)=0),"",MIN(N($J292),SUMIFS(nrMK_Sess,nrMK_Link,$B292,nrMK_Credit,"Yes",nrMK_PID,$E292,nrMK_Type,"PT")))</f>
        <v/>
      </c>
      <c r="R292" s="17">
        <f>IF(OR($B292="",$N292&lt;&gt;"Yes"),"",IF($K292="Yes",IF(N($J292)&gt;0,N($J292)-N($Q292),""),IF(N($I292)&gt;0,N($I292)-N($P292),"")))</f>
        <v/>
      </c>
      <c r="S292" s="17">
        <f>IF(OR($B292="",$R292=""),"",IF($R292&lt;=0,IF(IFERROR(_xlfn.MAXIFS(nrMK_Date,nrMK_Link,$B292,nrMK_Credit,"Yes",nrMK_PID,$E292),0)=0,"CLEARED (makeup date missing)","CLEARED "&amp;TEXT(_xlfn.MAXIFS(nrMK_Date,nrMK_Link,$B292,nrMK_Credit,"Yes",nrMK_PID,$E292),"mm/dd")),"OPEN"))</f>
        <v/>
      </c>
      <c r="T292" s="17">
        <f>IF($D292="","",IF($C292="","NO DATE",IF($G292="","NO EVENT TYPE",IF(AND($I292&lt;&gt;"",NOT(ISNUMBER($I292))),"MINUTES NOT A NUMBER",IF(AND($J292&lt;&gt;"",NOT(ISNUMBER($J292))),"SESSIONS NOT A NUMBER",IF(OR(N($I292)&lt;0,N($J292)&lt;0),"NEGATIVE MINUTES/SESSIONS",IF(AND($K292="Yes",N($I292)&gt;0),"MINUTES ON A PT EVENT - not counted (PT counts sessions)",IF(AND($K292="No",N($J292)&gt;0),"SESSIONS ON A CLASSROOM EVENT - not counted (classroom counts minutes)",IF(AND($N292="Yes",$K292="Yes",N($J292)=0),"COUNTED PT EVENT WITH NO SESSIONS - dropped from the PT cap",IF(AND($N292="Yes",$K292="No",N($I292)=0),"COUNTED EVENT WITH NO MINUTES - dropped from the classroom cap","OK"))))))))))</f>
        <v/>
      </c>
    </row>
    <row r="293">
      <c r="B293" s="17">
        <f>IF($D293="","","A"&amp;TEXT(ROW()-5,"000"))</f>
        <v/>
      </c>
      <c r="C293" s="18" t="n"/>
      <c r="D293" s="16" t="n"/>
      <c r="E293" s="17">
        <f>IF($D293="","",IFERROR(INDEX(rngCadetPIDs,MATCH($D293,rngCadetNames,0)),"?"))</f>
        <v/>
      </c>
      <c r="F293" s="17">
        <f>IF($E293="","",IFERROR(INDEX(nrCadetAgency,MATCH($E293,rngCadetPIDs,0)),""))</f>
        <v/>
      </c>
      <c r="G293" s="16" t="n"/>
      <c r="H293" s="16" t="n"/>
      <c r="I293" s="16" t="n"/>
      <c r="J293" s="16" t="n"/>
      <c r="K293" s="17">
        <f>IF($G293="","",IF(OR($G293="PT Missed",$G293="PT Modified",$G293="PT Refused"),"Yes","No"))</f>
        <v/>
      </c>
      <c r="L293" s="16" t="n"/>
      <c r="M293" s="16" t="n"/>
      <c r="N293" s="17">
        <f>IF($D293="","",IF($M293="Excused","No",IF(AND($G293="PT Modified",$L293="Received"),"No","Yes")))</f>
        <v/>
      </c>
      <c r="O293" s="16" t="n"/>
      <c r="P293" s="17">
        <f>IF(OR($B293="",N($I293)=0),"",MIN(N($I293),SUMIFS(nrMK_Min,nrMK_Link,$B293,nrMK_Credit,"Yes",nrMK_PID,$E293,nrMK_Type,"Classroom")))</f>
        <v/>
      </c>
      <c r="Q293" s="17">
        <f>IF(OR($B293="",N($J293)=0),"",MIN(N($J293),SUMIFS(nrMK_Sess,nrMK_Link,$B293,nrMK_Credit,"Yes",nrMK_PID,$E293,nrMK_Type,"PT")))</f>
        <v/>
      </c>
      <c r="R293" s="17">
        <f>IF(OR($B293="",$N293&lt;&gt;"Yes"),"",IF($K293="Yes",IF(N($J293)&gt;0,N($J293)-N($Q293),""),IF(N($I293)&gt;0,N($I293)-N($P293),"")))</f>
        <v/>
      </c>
      <c r="S293" s="17">
        <f>IF(OR($B293="",$R293=""),"",IF($R293&lt;=0,IF(IFERROR(_xlfn.MAXIFS(nrMK_Date,nrMK_Link,$B293,nrMK_Credit,"Yes",nrMK_PID,$E293),0)=0,"CLEARED (makeup date missing)","CLEARED "&amp;TEXT(_xlfn.MAXIFS(nrMK_Date,nrMK_Link,$B293,nrMK_Credit,"Yes",nrMK_PID,$E293),"mm/dd")),"OPEN"))</f>
        <v/>
      </c>
      <c r="T293" s="17">
        <f>IF($D293="","",IF($C293="","NO DATE",IF($G293="","NO EVENT TYPE",IF(AND($I293&lt;&gt;"",NOT(ISNUMBER($I293))),"MINUTES NOT A NUMBER",IF(AND($J293&lt;&gt;"",NOT(ISNUMBER($J293))),"SESSIONS NOT A NUMBER",IF(OR(N($I293)&lt;0,N($J293)&lt;0),"NEGATIVE MINUTES/SESSIONS",IF(AND($K293="Yes",N($I293)&gt;0),"MINUTES ON A PT EVENT - not counted (PT counts sessions)",IF(AND($K293="No",N($J293)&gt;0),"SESSIONS ON A CLASSROOM EVENT - not counted (classroom counts minutes)",IF(AND($N293="Yes",$K293="Yes",N($J293)=0),"COUNTED PT EVENT WITH NO SESSIONS - dropped from the PT cap",IF(AND($N293="Yes",$K293="No",N($I293)=0),"COUNTED EVENT WITH NO MINUTES - dropped from the classroom cap","OK"))))))))))</f>
        <v/>
      </c>
    </row>
    <row r="294">
      <c r="B294" s="17">
        <f>IF($D294="","","A"&amp;TEXT(ROW()-5,"000"))</f>
        <v/>
      </c>
      <c r="C294" s="18" t="n"/>
      <c r="D294" s="16" t="n"/>
      <c r="E294" s="17">
        <f>IF($D294="","",IFERROR(INDEX(rngCadetPIDs,MATCH($D294,rngCadetNames,0)),"?"))</f>
        <v/>
      </c>
      <c r="F294" s="17">
        <f>IF($E294="","",IFERROR(INDEX(nrCadetAgency,MATCH($E294,rngCadetPIDs,0)),""))</f>
        <v/>
      </c>
      <c r="G294" s="16" t="n"/>
      <c r="H294" s="16" t="n"/>
      <c r="I294" s="16" t="n"/>
      <c r="J294" s="16" t="n"/>
      <c r="K294" s="17">
        <f>IF($G294="","",IF(OR($G294="PT Missed",$G294="PT Modified",$G294="PT Refused"),"Yes","No"))</f>
        <v/>
      </c>
      <c r="L294" s="16" t="n"/>
      <c r="M294" s="16" t="n"/>
      <c r="N294" s="17">
        <f>IF($D294="","",IF($M294="Excused","No",IF(AND($G294="PT Modified",$L294="Received"),"No","Yes")))</f>
        <v/>
      </c>
      <c r="O294" s="16" t="n"/>
      <c r="P294" s="17">
        <f>IF(OR($B294="",N($I294)=0),"",MIN(N($I294),SUMIFS(nrMK_Min,nrMK_Link,$B294,nrMK_Credit,"Yes",nrMK_PID,$E294,nrMK_Type,"Classroom")))</f>
        <v/>
      </c>
      <c r="Q294" s="17">
        <f>IF(OR($B294="",N($J294)=0),"",MIN(N($J294),SUMIFS(nrMK_Sess,nrMK_Link,$B294,nrMK_Credit,"Yes",nrMK_PID,$E294,nrMK_Type,"PT")))</f>
        <v/>
      </c>
      <c r="R294" s="17">
        <f>IF(OR($B294="",$N294&lt;&gt;"Yes"),"",IF($K294="Yes",IF(N($J294)&gt;0,N($J294)-N($Q294),""),IF(N($I294)&gt;0,N($I294)-N($P294),"")))</f>
        <v/>
      </c>
      <c r="S294" s="17">
        <f>IF(OR($B294="",$R294=""),"",IF($R294&lt;=0,IF(IFERROR(_xlfn.MAXIFS(nrMK_Date,nrMK_Link,$B294,nrMK_Credit,"Yes",nrMK_PID,$E294),0)=0,"CLEARED (makeup date missing)","CLEARED "&amp;TEXT(_xlfn.MAXIFS(nrMK_Date,nrMK_Link,$B294,nrMK_Credit,"Yes",nrMK_PID,$E294),"mm/dd")),"OPEN"))</f>
        <v/>
      </c>
      <c r="T294" s="17">
        <f>IF($D294="","",IF($C294="","NO DATE",IF($G294="","NO EVENT TYPE",IF(AND($I294&lt;&gt;"",NOT(ISNUMBER($I294))),"MINUTES NOT A NUMBER",IF(AND($J294&lt;&gt;"",NOT(ISNUMBER($J294))),"SESSIONS NOT A NUMBER",IF(OR(N($I294)&lt;0,N($J294)&lt;0),"NEGATIVE MINUTES/SESSIONS",IF(AND($K294="Yes",N($I294)&gt;0),"MINUTES ON A PT EVENT - not counted (PT counts sessions)",IF(AND($K294="No",N($J294)&gt;0),"SESSIONS ON A CLASSROOM EVENT - not counted (classroom counts minutes)",IF(AND($N294="Yes",$K294="Yes",N($J294)=0),"COUNTED PT EVENT WITH NO SESSIONS - dropped from the PT cap",IF(AND($N294="Yes",$K294="No",N($I294)=0),"COUNTED EVENT WITH NO MINUTES - dropped from the classroom cap","OK"))))))))))</f>
        <v/>
      </c>
    </row>
    <row r="295">
      <c r="B295" s="17">
        <f>IF($D295="","","A"&amp;TEXT(ROW()-5,"000"))</f>
        <v/>
      </c>
      <c r="C295" s="18" t="n"/>
      <c r="D295" s="16" t="n"/>
      <c r="E295" s="17">
        <f>IF($D295="","",IFERROR(INDEX(rngCadetPIDs,MATCH($D295,rngCadetNames,0)),"?"))</f>
        <v/>
      </c>
      <c r="F295" s="17">
        <f>IF($E295="","",IFERROR(INDEX(nrCadetAgency,MATCH($E295,rngCadetPIDs,0)),""))</f>
        <v/>
      </c>
      <c r="G295" s="16" t="n"/>
      <c r="H295" s="16" t="n"/>
      <c r="I295" s="16" t="n"/>
      <c r="J295" s="16" t="n"/>
      <c r="K295" s="17">
        <f>IF($G295="","",IF(OR($G295="PT Missed",$G295="PT Modified",$G295="PT Refused"),"Yes","No"))</f>
        <v/>
      </c>
      <c r="L295" s="16" t="n"/>
      <c r="M295" s="16" t="n"/>
      <c r="N295" s="17">
        <f>IF($D295="","",IF($M295="Excused","No",IF(AND($G295="PT Modified",$L295="Received"),"No","Yes")))</f>
        <v/>
      </c>
      <c r="O295" s="16" t="n"/>
      <c r="P295" s="17">
        <f>IF(OR($B295="",N($I295)=0),"",MIN(N($I295),SUMIFS(nrMK_Min,nrMK_Link,$B295,nrMK_Credit,"Yes",nrMK_PID,$E295,nrMK_Type,"Classroom")))</f>
        <v/>
      </c>
      <c r="Q295" s="17">
        <f>IF(OR($B295="",N($J295)=0),"",MIN(N($J295),SUMIFS(nrMK_Sess,nrMK_Link,$B295,nrMK_Credit,"Yes",nrMK_PID,$E295,nrMK_Type,"PT")))</f>
        <v/>
      </c>
      <c r="R295" s="17">
        <f>IF(OR($B295="",$N295&lt;&gt;"Yes"),"",IF($K295="Yes",IF(N($J295)&gt;0,N($J295)-N($Q295),""),IF(N($I295)&gt;0,N($I295)-N($P295),"")))</f>
        <v/>
      </c>
      <c r="S295" s="17">
        <f>IF(OR($B295="",$R295=""),"",IF($R295&lt;=0,IF(IFERROR(_xlfn.MAXIFS(nrMK_Date,nrMK_Link,$B295,nrMK_Credit,"Yes",nrMK_PID,$E295),0)=0,"CLEARED (makeup date missing)","CLEARED "&amp;TEXT(_xlfn.MAXIFS(nrMK_Date,nrMK_Link,$B295,nrMK_Credit,"Yes",nrMK_PID,$E295),"mm/dd")),"OPEN"))</f>
        <v/>
      </c>
      <c r="T295" s="17">
        <f>IF($D295="","",IF($C295="","NO DATE",IF($G295="","NO EVENT TYPE",IF(AND($I295&lt;&gt;"",NOT(ISNUMBER($I295))),"MINUTES NOT A NUMBER",IF(AND($J295&lt;&gt;"",NOT(ISNUMBER($J295))),"SESSIONS NOT A NUMBER",IF(OR(N($I295)&lt;0,N($J295)&lt;0),"NEGATIVE MINUTES/SESSIONS",IF(AND($K295="Yes",N($I295)&gt;0),"MINUTES ON A PT EVENT - not counted (PT counts sessions)",IF(AND($K295="No",N($J295)&gt;0),"SESSIONS ON A CLASSROOM EVENT - not counted (classroom counts minutes)",IF(AND($N295="Yes",$K295="Yes",N($J295)=0),"COUNTED PT EVENT WITH NO SESSIONS - dropped from the PT cap",IF(AND($N295="Yes",$K295="No",N($I295)=0),"COUNTED EVENT WITH NO MINUTES - dropped from the classroom cap","OK"))))))))))</f>
        <v/>
      </c>
    </row>
    <row r="296">
      <c r="B296" s="17">
        <f>IF($D296="","","A"&amp;TEXT(ROW()-5,"000"))</f>
        <v/>
      </c>
      <c r="C296" s="18" t="n"/>
      <c r="D296" s="16" t="n"/>
      <c r="E296" s="17">
        <f>IF($D296="","",IFERROR(INDEX(rngCadetPIDs,MATCH($D296,rngCadetNames,0)),"?"))</f>
        <v/>
      </c>
      <c r="F296" s="17">
        <f>IF($E296="","",IFERROR(INDEX(nrCadetAgency,MATCH($E296,rngCadetPIDs,0)),""))</f>
        <v/>
      </c>
      <c r="G296" s="16" t="n"/>
      <c r="H296" s="16" t="n"/>
      <c r="I296" s="16" t="n"/>
      <c r="J296" s="16" t="n"/>
      <c r="K296" s="17">
        <f>IF($G296="","",IF(OR($G296="PT Missed",$G296="PT Modified",$G296="PT Refused"),"Yes","No"))</f>
        <v/>
      </c>
      <c r="L296" s="16" t="n"/>
      <c r="M296" s="16" t="n"/>
      <c r="N296" s="17">
        <f>IF($D296="","",IF($M296="Excused","No",IF(AND($G296="PT Modified",$L296="Received"),"No","Yes")))</f>
        <v/>
      </c>
      <c r="O296" s="16" t="n"/>
      <c r="P296" s="17">
        <f>IF(OR($B296="",N($I296)=0),"",MIN(N($I296),SUMIFS(nrMK_Min,nrMK_Link,$B296,nrMK_Credit,"Yes",nrMK_PID,$E296,nrMK_Type,"Classroom")))</f>
        <v/>
      </c>
      <c r="Q296" s="17">
        <f>IF(OR($B296="",N($J296)=0),"",MIN(N($J296),SUMIFS(nrMK_Sess,nrMK_Link,$B296,nrMK_Credit,"Yes",nrMK_PID,$E296,nrMK_Type,"PT")))</f>
        <v/>
      </c>
      <c r="R296" s="17">
        <f>IF(OR($B296="",$N296&lt;&gt;"Yes"),"",IF($K296="Yes",IF(N($J296)&gt;0,N($J296)-N($Q296),""),IF(N($I296)&gt;0,N($I296)-N($P296),"")))</f>
        <v/>
      </c>
      <c r="S296" s="17">
        <f>IF(OR($B296="",$R296=""),"",IF($R296&lt;=0,IF(IFERROR(_xlfn.MAXIFS(nrMK_Date,nrMK_Link,$B296,nrMK_Credit,"Yes",nrMK_PID,$E296),0)=0,"CLEARED (makeup date missing)","CLEARED "&amp;TEXT(_xlfn.MAXIFS(nrMK_Date,nrMK_Link,$B296,nrMK_Credit,"Yes",nrMK_PID,$E296),"mm/dd")),"OPEN"))</f>
        <v/>
      </c>
      <c r="T296" s="17">
        <f>IF($D296="","",IF($C296="","NO DATE",IF($G296="","NO EVENT TYPE",IF(AND($I296&lt;&gt;"",NOT(ISNUMBER($I296))),"MINUTES NOT A NUMBER",IF(AND($J296&lt;&gt;"",NOT(ISNUMBER($J296))),"SESSIONS NOT A NUMBER",IF(OR(N($I296)&lt;0,N($J296)&lt;0),"NEGATIVE MINUTES/SESSIONS",IF(AND($K296="Yes",N($I296)&gt;0),"MINUTES ON A PT EVENT - not counted (PT counts sessions)",IF(AND($K296="No",N($J296)&gt;0),"SESSIONS ON A CLASSROOM EVENT - not counted (classroom counts minutes)",IF(AND($N296="Yes",$K296="Yes",N($J296)=0),"COUNTED PT EVENT WITH NO SESSIONS - dropped from the PT cap",IF(AND($N296="Yes",$K296="No",N($I296)=0),"COUNTED EVENT WITH NO MINUTES - dropped from the classroom cap","OK"))))))))))</f>
        <v/>
      </c>
    </row>
    <row r="297">
      <c r="B297" s="17">
        <f>IF($D297="","","A"&amp;TEXT(ROW()-5,"000"))</f>
        <v/>
      </c>
      <c r="C297" s="18" t="n"/>
      <c r="D297" s="16" t="n"/>
      <c r="E297" s="17">
        <f>IF($D297="","",IFERROR(INDEX(rngCadetPIDs,MATCH($D297,rngCadetNames,0)),"?"))</f>
        <v/>
      </c>
      <c r="F297" s="17">
        <f>IF($E297="","",IFERROR(INDEX(nrCadetAgency,MATCH($E297,rngCadetPIDs,0)),""))</f>
        <v/>
      </c>
      <c r="G297" s="16" t="n"/>
      <c r="H297" s="16" t="n"/>
      <c r="I297" s="16" t="n"/>
      <c r="J297" s="16" t="n"/>
      <c r="K297" s="17">
        <f>IF($G297="","",IF(OR($G297="PT Missed",$G297="PT Modified",$G297="PT Refused"),"Yes","No"))</f>
        <v/>
      </c>
      <c r="L297" s="16" t="n"/>
      <c r="M297" s="16" t="n"/>
      <c r="N297" s="17">
        <f>IF($D297="","",IF($M297="Excused","No",IF(AND($G297="PT Modified",$L297="Received"),"No","Yes")))</f>
        <v/>
      </c>
      <c r="O297" s="16" t="n"/>
      <c r="P297" s="17">
        <f>IF(OR($B297="",N($I297)=0),"",MIN(N($I297),SUMIFS(nrMK_Min,nrMK_Link,$B297,nrMK_Credit,"Yes",nrMK_PID,$E297,nrMK_Type,"Classroom")))</f>
        <v/>
      </c>
      <c r="Q297" s="17">
        <f>IF(OR($B297="",N($J297)=0),"",MIN(N($J297),SUMIFS(nrMK_Sess,nrMK_Link,$B297,nrMK_Credit,"Yes",nrMK_PID,$E297,nrMK_Type,"PT")))</f>
        <v/>
      </c>
      <c r="R297" s="17">
        <f>IF(OR($B297="",$N297&lt;&gt;"Yes"),"",IF($K297="Yes",IF(N($J297)&gt;0,N($J297)-N($Q297),""),IF(N($I297)&gt;0,N($I297)-N($P297),"")))</f>
        <v/>
      </c>
      <c r="S297" s="17">
        <f>IF(OR($B297="",$R297=""),"",IF($R297&lt;=0,IF(IFERROR(_xlfn.MAXIFS(nrMK_Date,nrMK_Link,$B297,nrMK_Credit,"Yes",nrMK_PID,$E297),0)=0,"CLEARED (makeup date missing)","CLEARED "&amp;TEXT(_xlfn.MAXIFS(nrMK_Date,nrMK_Link,$B297,nrMK_Credit,"Yes",nrMK_PID,$E297),"mm/dd")),"OPEN"))</f>
        <v/>
      </c>
      <c r="T297" s="17">
        <f>IF($D297="","",IF($C297="","NO DATE",IF($G297="","NO EVENT TYPE",IF(AND($I297&lt;&gt;"",NOT(ISNUMBER($I297))),"MINUTES NOT A NUMBER",IF(AND($J297&lt;&gt;"",NOT(ISNUMBER($J297))),"SESSIONS NOT A NUMBER",IF(OR(N($I297)&lt;0,N($J297)&lt;0),"NEGATIVE MINUTES/SESSIONS",IF(AND($K297="Yes",N($I297)&gt;0),"MINUTES ON A PT EVENT - not counted (PT counts sessions)",IF(AND($K297="No",N($J297)&gt;0),"SESSIONS ON A CLASSROOM EVENT - not counted (classroom counts minutes)",IF(AND($N297="Yes",$K297="Yes",N($J297)=0),"COUNTED PT EVENT WITH NO SESSIONS - dropped from the PT cap",IF(AND($N297="Yes",$K297="No",N($I297)=0),"COUNTED EVENT WITH NO MINUTES - dropped from the classroom cap","OK"))))))))))</f>
        <v/>
      </c>
    </row>
    <row r="298">
      <c r="B298" s="17">
        <f>IF($D298="","","A"&amp;TEXT(ROW()-5,"000"))</f>
        <v/>
      </c>
      <c r="C298" s="18" t="n"/>
      <c r="D298" s="16" t="n"/>
      <c r="E298" s="17">
        <f>IF($D298="","",IFERROR(INDEX(rngCadetPIDs,MATCH($D298,rngCadetNames,0)),"?"))</f>
        <v/>
      </c>
      <c r="F298" s="17">
        <f>IF($E298="","",IFERROR(INDEX(nrCadetAgency,MATCH($E298,rngCadetPIDs,0)),""))</f>
        <v/>
      </c>
      <c r="G298" s="16" t="n"/>
      <c r="H298" s="16" t="n"/>
      <c r="I298" s="16" t="n"/>
      <c r="J298" s="16" t="n"/>
      <c r="K298" s="17">
        <f>IF($G298="","",IF(OR($G298="PT Missed",$G298="PT Modified",$G298="PT Refused"),"Yes","No"))</f>
        <v/>
      </c>
      <c r="L298" s="16" t="n"/>
      <c r="M298" s="16" t="n"/>
      <c r="N298" s="17">
        <f>IF($D298="","",IF($M298="Excused","No",IF(AND($G298="PT Modified",$L298="Received"),"No","Yes")))</f>
        <v/>
      </c>
      <c r="O298" s="16" t="n"/>
      <c r="P298" s="17">
        <f>IF(OR($B298="",N($I298)=0),"",MIN(N($I298),SUMIFS(nrMK_Min,nrMK_Link,$B298,nrMK_Credit,"Yes",nrMK_PID,$E298,nrMK_Type,"Classroom")))</f>
        <v/>
      </c>
      <c r="Q298" s="17">
        <f>IF(OR($B298="",N($J298)=0),"",MIN(N($J298),SUMIFS(nrMK_Sess,nrMK_Link,$B298,nrMK_Credit,"Yes",nrMK_PID,$E298,nrMK_Type,"PT")))</f>
        <v/>
      </c>
      <c r="R298" s="17">
        <f>IF(OR($B298="",$N298&lt;&gt;"Yes"),"",IF($K298="Yes",IF(N($J298)&gt;0,N($J298)-N($Q298),""),IF(N($I298)&gt;0,N($I298)-N($P298),"")))</f>
        <v/>
      </c>
      <c r="S298" s="17">
        <f>IF(OR($B298="",$R298=""),"",IF($R298&lt;=0,IF(IFERROR(_xlfn.MAXIFS(nrMK_Date,nrMK_Link,$B298,nrMK_Credit,"Yes",nrMK_PID,$E298),0)=0,"CLEARED (makeup date missing)","CLEARED "&amp;TEXT(_xlfn.MAXIFS(nrMK_Date,nrMK_Link,$B298,nrMK_Credit,"Yes",nrMK_PID,$E298),"mm/dd")),"OPEN"))</f>
        <v/>
      </c>
      <c r="T298" s="17">
        <f>IF($D298="","",IF($C298="","NO DATE",IF($G298="","NO EVENT TYPE",IF(AND($I298&lt;&gt;"",NOT(ISNUMBER($I298))),"MINUTES NOT A NUMBER",IF(AND($J298&lt;&gt;"",NOT(ISNUMBER($J298))),"SESSIONS NOT A NUMBER",IF(OR(N($I298)&lt;0,N($J298)&lt;0),"NEGATIVE MINUTES/SESSIONS",IF(AND($K298="Yes",N($I298)&gt;0),"MINUTES ON A PT EVENT - not counted (PT counts sessions)",IF(AND($K298="No",N($J298)&gt;0),"SESSIONS ON A CLASSROOM EVENT - not counted (classroom counts minutes)",IF(AND($N298="Yes",$K298="Yes",N($J298)=0),"COUNTED PT EVENT WITH NO SESSIONS - dropped from the PT cap",IF(AND($N298="Yes",$K298="No",N($I298)=0),"COUNTED EVENT WITH NO MINUTES - dropped from the classroom cap","OK"))))))))))</f>
        <v/>
      </c>
    </row>
    <row r="299">
      <c r="B299" s="17">
        <f>IF($D299="","","A"&amp;TEXT(ROW()-5,"000"))</f>
        <v/>
      </c>
      <c r="C299" s="18" t="n"/>
      <c r="D299" s="16" t="n"/>
      <c r="E299" s="17">
        <f>IF($D299="","",IFERROR(INDEX(rngCadetPIDs,MATCH($D299,rngCadetNames,0)),"?"))</f>
        <v/>
      </c>
      <c r="F299" s="17">
        <f>IF($E299="","",IFERROR(INDEX(nrCadetAgency,MATCH($E299,rngCadetPIDs,0)),""))</f>
        <v/>
      </c>
      <c r="G299" s="16" t="n"/>
      <c r="H299" s="16" t="n"/>
      <c r="I299" s="16" t="n"/>
      <c r="J299" s="16" t="n"/>
      <c r="K299" s="17">
        <f>IF($G299="","",IF(OR($G299="PT Missed",$G299="PT Modified",$G299="PT Refused"),"Yes","No"))</f>
        <v/>
      </c>
      <c r="L299" s="16" t="n"/>
      <c r="M299" s="16" t="n"/>
      <c r="N299" s="17">
        <f>IF($D299="","",IF($M299="Excused","No",IF(AND($G299="PT Modified",$L299="Received"),"No","Yes")))</f>
        <v/>
      </c>
      <c r="O299" s="16" t="n"/>
      <c r="P299" s="17">
        <f>IF(OR($B299="",N($I299)=0),"",MIN(N($I299),SUMIFS(nrMK_Min,nrMK_Link,$B299,nrMK_Credit,"Yes",nrMK_PID,$E299,nrMK_Type,"Classroom")))</f>
        <v/>
      </c>
      <c r="Q299" s="17">
        <f>IF(OR($B299="",N($J299)=0),"",MIN(N($J299),SUMIFS(nrMK_Sess,nrMK_Link,$B299,nrMK_Credit,"Yes",nrMK_PID,$E299,nrMK_Type,"PT")))</f>
        <v/>
      </c>
      <c r="R299" s="17">
        <f>IF(OR($B299="",$N299&lt;&gt;"Yes"),"",IF($K299="Yes",IF(N($J299)&gt;0,N($J299)-N($Q299),""),IF(N($I299)&gt;0,N($I299)-N($P299),"")))</f>
        <v/>
      </c>
      <c r="S299" s="17">
        <f>IF(OR($B299="",$R299=""),"",IF($R299&lt;=0,IF(IFERROR(_xlfn.MAXIFS(nrMK_Date,nrMK_Link,$B299,nrMK_Credit,"Yes",nrMK_PID,$E299),0)=0,"CLEARED (makeup date missing)","CLEARED "&amp;TEXT(_xlfn.MAXIFS(nrMK_Date,nrMK_Link,$B299,nrMK_Credit,"Yes",nrMK_PID,$E299),"mm/dd")),"OPEN"))</f>
        <v/>
      </c>
      <c r="T299" s="17">
        <f>IF($D299="","",IF($C299="","NO DATE",IF($G299="","NO EVENT TYPE",IF(AND($I299&lt;&gt;"",NOT(ISNUMBER($I299))),"MINUTES NOT A NUMBER",IF(AND($J299&lt;&gt;"",NOT(ISNUMBER($J299))),"SESSIONS NOT A NUMBER",IF(OR(N($I299)&lt;0,N($J299)&lt;0),"NEGATIVE MINUTES/SESSIONS",IF(AND($K299="Yes",N($I299)&gt;0),"MINUTES ON A PT EVENT - not counted (PT counts sessions)",IF(AND($K299="No",N($J299)&gt;0),"SESSIONS ON A CLASSROOM EVENT - not counted (classroom counts minutes)",IF(AND($N299="Yes",$K299="Yes",N($J299)=0),"COUNTED PT EVENT WITH NO SESSIONS - dropped from the PT cap",IF(AND($N299="Yes",$K299="No",N($I299)=0),"COUNTED EVENT WITH NO MINUTES - dropped from the classroom cap","OK"))))))))))</f>
        <v/>
      </c>
    </row>
    <row r="300">
      <c r="B300" s="17">
        <f>IF($D300="","","A"&amp;TEXT(ROW()-5,"000"))</f>
        <v/>
      </c>
      <c r="C300" s="18" t="n"/>
      <c r="D300" s="16" t="n"/>
      <c r="E300" s="17">
        <f>IF($D300="","",IFERROR(INDEX(rngCadetPIDs,MATCH($D300,rngCadetNames,0)),"?"))</f>
        <v/>
      </c>
      <c r="F300" s="17">
        <f>IF($E300="","",IFERROR(INDEX(nrCadetAgency,MATCH($E300,rngCadetPIDs,0)),""))</f>
        <v/>
      </c>
      <c r="G300" s="16" t="n"/>
      <c r="H300" s="16" t="n"/>
      <c r="I300" s="16" t="n"/>
      <c r="J300" s="16" t="n"/>
      <c r="K300" s="17">
        <f>IF($G300="","",IF(OR($G300="PT Missed",$G300="PT Modified",$G300="PT Refused"),"Yes","No"))</f>
        <v/>
      </c>
      <c r="L300" s="16" t="n"/>
      <c r="M300" s="16" t="n"/>
      <c r="N300" s="17">
        <f>IF($D300="","",IF($M300="Excused","No",IF(AND($G300="PT Modified",$L300="Received"),"No","Yes")))</f>
        <v/>
      </c>
      <c r="O300" s="16" t="n"/>
      <c r="P300" s="17">
        <f>IF(OR($B300="",N($I300)=0),"",MIN(N($I300),SUMIFS(nrMK_Min,nrMK_Link,$B300,nrMK_Credit,"Yes",nrMK_PID,$E300,nrMK_Type,"Classroom")))</f>
        <v/>
      </c>
      <c r="Q300" s="17">
        <f>IF(OR($B300="",N($J300)=0),"",MIN(N($J300),SUMIFS(nrMK_Sess,nrMK_Link,$B300,nrMK_Credit,"Yes",nrMK_PID,$E300,nrMK_Type,"PT")))</f>
        <v/>
      </c>
      <c r="R300" s="17">
        <f>IF(OR($B300="",$N300&lt;&gt;"Yes"),"",IF($K300="Yes",IF(N($J300)&gt;0,N($J300)-N($Q300),""),IF(N($I300)&gt;0,N($I300)-N($P300),"")))</f>
        <v/>
      </c>
      <c r="S300" s="17">
        <f>IF(OR($B300="",$R300=""),"",IF($R300&lt;=0,IF(IFERROR(_xlfn.MAXIFS(nrMK_Date,nrMK_Link,$B300,nrMK_Credit,"Yes",nrMK_PID,$E300),0)=0,"CLEARED (makeup date missing)","CLEARED "&amp;TEXT(_xlfn.MAXIFS(nrMK_Date,nrMK_Link,$B300,nrMK_Credit,"Yes",nrMK_PID,$E300),"mm/dd")),"OPEN"))</f>
        <v/>
      </c>
      <c r="T300" s="17">
        <f>IF($D300="","",IF($C300="","NO DATE",IF($G300="","NO EVENT TYPE",IF(AND($I300&lt;&gt;"",NOT(ISNUMBER($I300))),"MINUTES NOT A NUMBER",IF(AND($J300&lt;&gt;"",NOT(ISNUMBER($J300))),"SESSIONS NOT A NUMBER",IF(OR(N($I300)&lt;0,N($J300)&lt;0),"NEGATIVE MINUTES/SESSIONS",IF(AND($K300="Yes",N($I300)&gt;0),"MINUTES ON A PT EVENT - not counted (PT counts sessions)",IF(AND($K300="No",N($J300)&gt;0),"SESSIONS ON A CLASSROOM EVENT - not counted (classroom counts minutes)",IF(AND($N300="Yes",$K300="Yes",N($J300)=0),"COUNTED PT EVENT WITH NO SESSIONS - dropped from the PT cap",IF(AND($N300="Yes",$K300="No",N($I300)=0),"COUNTED EVENT WITH NO MINUTES - dropped from the classroom cap","OK"))))))))))</f>
        <v/>
      </c>
    </row>
    <row r="301">
      <c r="B301" s="17">
        <f>IF($D301="","","A"&amp;TEXT(ROW()-5,"000"))</f>
        <v/>
      </c>
      <c r="C301" s="18" t="n"/>
      <c r="D301" s="16" t="n"/>
      <c r="E301" s="17">
        <f>IF($D301="","",IFERROR(INDEX(rngCadetPIDs,MATCH($D301,rngCadetNames,0)),"?"))</f>
        <v/>
      </c>
      <c r="F301" s="17">
        <f>IF($E301="","",IFERROR(INDEX(nrCadetAgency,MATCH($E301,rngCadetPIDs,0)),""))</f>
        <v/>
      </c>
      <c r="G301" s="16" t="n"/>
      <c r="H301" s="16" t="n"/>
      <c r="I301" s="16" t="n"/>
      <c r="J301" s="16" t="n"/>
      <c r="K301" s="17">
        <f>IF($G301="","",IF(OR($G301="PT Missed",$G301="PT Modified",$G301="PT Refused"),"Yes","No"))</f>
        <v/>
      </c>
      <c r="L301" s="16" t="n"/>
      <c r="M301" s="16" t="n"/>
      <c r="N301" s="17">
        <f>IF($D301="","",IF($M301="Excused","No",IF(AND($G301="PT Modified",$L301="Received"),"No","Yes")))</f>
        <v/>
      </c>
      <c r="O301" s="16" t="n"/>
      <c r="P301" s="17">
        <f>IF(OR($B301="",N($I301)=0),"",MIN(N($I301),SUMIFS(nrMK_Min,nrMK_Link,$B301,nrMK_Credit,"Yes",nrMK_PID,$E301,nrMK_Type,"Classroom")))</f>
        <v/>
      </c>
      <c r="Q301" s="17">
        <f>IF(OR($B301="",N($J301)=0),"",MIN(N($J301),SUMIFS(nrMK_Sess,nrMK_Link,$B301,nrMK_Credit,"Yes",nrMK_PID,$E301,nrMK_Type,"PT")))</f>
        <v/>
      </c>
      <c r="R301" s="17">
        <f>IF(OR($B301="",$N301&lt;&gt;"Yes"),"",IF($K301="Yes",IF(N($J301)&gt;0,N($J301)-N($Q301),""),IF(N($I301)&gt;0,N($I301)-N($P301),"")))</f>
        <v/>
      </c>
      <c r="S301" s="17">
        <f>IF(OR($B301="",$R301=""),"",IF($R301&lt;=0,IF(IFERROR(_xlfn.MAXIFS(nrMK_Date,nrMK_Link,$B301,nrMK_Credit,"Yes",nrMK_PID,$E301),0)=0,"CLEARED (makeup date missing)","CLEARED "&amp;TEXT(_xlfn.MAXIFS(nrMK_Date,nrMK_Link,$B301,nrMK_Credit,"Yes",nrMK_PID,$E301),"mm/dd")),"OPEN"))</f>
        <v/>
      </c>
      <c r="T301" s="17">
        <f>IF($D301="","",IF($C301="","NO DATE",IF($G301="","NO EVENT TYPE",IF(AND($I301&lt;&gt;"",NOT(ISNUMBER($I301))),"MINUTES NOT A NUMBER",IF(AND($J301&lt;&gt;"",NOT(ISNUMBER($J301))),"SESSIONS NOT A NUMBER",IF(OR(N($I301)&lt;0,N($J301)&lt;0),"NEGATIVE MINUTES/SESSIONS",IF(AND($K301="Yes",N($I301)&gt;0),"MINUTES ON A PT EVENT - not counted (PT counts sessions)",IF(AND($K301="No",N($J301)&gt;0),"SESSIONS ON A CLASSROOM EVENT - not counted (classroom counts minutes)",IF(AND($N301="Yes",$K301="Yes",N($J301)=0),"COUNTED PT EVENT WITH NO SESSIONS - dropped from the PT cap",IF(AND($N301="Yes",$K301="No",N($I301)=0),"COUNTED EVENT WITH NO MINUTES - dropped from the classroom cap","OK"))))))))))</f>
        <v/>
      </c>
    </row>
    <row r="302">
      <c r="B302" s="17">
        <f>IF($D302="","","A"&amp;TEXT(ROW()-5,"000"))</f>
        <v/>
      </c>
      <c r="C302" s="18" t="n"/>
      <c r="D302" s="16" t="n"/>
      <c r="E302" s="17">
        <f>IF($D302="","",IFERROR(INDEX(rngCadetPIDs,MATCH($D302,rngCadetNames,0)),"?"))</f>
        <v/>
      </c>
      <c r="F302" s="17">
        <f>IF($E302="","",IFERROR(INDEX(nrCadetAgency,MATCH($E302,rngCadetPIDs,0)),""))</f>
        <v/>
      </c>
      <c r="G302" s="16" t="n"/>
      <c r="H302" s="16" t="n"/>
      <c r="I302" s="16" t="n"/>
      <c r="J302" s="16" t="n"/>
      <c r="K302" s="17">
        <f>IF($G302="","",IF(OR($G302="PT Missed",$G302="PT Modified",$G302="PT Refused"),"Yes","No"))</f>
        <v/>
      </c>
      <c r="L302" s="16" t="n"/>
      <c r="M302" s="16" t="n"/>
      <c r="N302" s="17">
        <f>IF($D302="","",IF($M302="Excused","No",IF(AND($G302="PT Modified",$L302="Received"),"No","Yes")))</f>
        <v/>
      </c>
      <c r="O302" s="16" t="n"/>
      <c r="P302" s="17">
        <f>IF(OR($B302="",N($I302)=0),"",MIN(N($I302),SUMIFS(nrMK_Min,nrMK_Link,$B302,nrMK_Credit,"Yes",nrMK_PID,$E302,nrMK_Type,"Classroom")))</f>
        <v/>
      </c>
      <c r="Q302" s="17">
        <f>IF(OR($B302="",N($J302)=0),"",MIN(N($J302),SUMIFS(nrMK_Sess,nrMK_Link,$B302,nrMK_Credit,"Yes",nrMK_PID,$E302,nrMK_Type,"PT")))</f>
        <v/>
      </c>
      <c r="R302" s="17">
        <f>IF(OR($B302="",$N302&lt;&gt;"Yes"),"",IF($K302="Yes",IF(N($J302)&gt;0,N($J302)-N($Q302),""),IF(N($I302)&gt;0,N($I302)-N($P302),"")))</f>
        <v/>
      </c>
      <c r="S302" s="17">
        <f>IF(OR($B302="",$R302=""),"",IF($R302&lt;=0,IF(IFERROR(_xlfn.MAXIFS(nrMK_Date,nrMK_Link,$B302,nrMK_Credit,"Yes",nrMK_PID,$E302),0)=0,"CLEARED (makeup date missing)","CLEARED "&amp;TEXT(_xlfn.MAXIFS(nrMK_Date,nrMK_Link,$B302,nrMK_Credit,"Yes",nrMK_PID,$E302),"mm/dd")),"OPEN"))</f>
        <v/>
      </c>
      <c r="T302" s="17">
        <f>IF($D302="","",IF($C302="","NO DATE",IF($G302="","NO EVENT TYPE",IF(AND($I302&lt;&gt;"",NOT(ISNUMBER($I302))),"MINUTES NOT A NUMBER",IF(AND($J302&lt;&gt;"",NOT(ISNUMBER($J302))),"SESSIONS NOT A NUMBER",IF(OR(N($I302)&lt;0,N($J302)&lt;0),"NEGATIVE MINUTES/SESSIONS",IF(AND($K302="Yes",N($I302)&gt;0),"MINUTES ON A PT EVENT - not counted (PT counts sessions)",IF(AND($K302="No",N($J302)&gt;0),"SESSIONS ON A CLASSROOM EVENT - not counted (classroom counts minutes)",IF(AND($N302="Yes",$K302="Yes",N($J302)=0),"COUNTED PT EVENT WITH NO SESSIONS - dropped from the PT cap",IF(AND($N302="Yes",$K302="No",N($I302)=0),"COUNTED EVENT WITH NO MINUTES - dropped from the classroom cap","OK"))))))))))</f>
        <v/>
      </c>
    </row>
    <row r="303">
      <c r="B303" s="17">
        <f>IF($D303="","","A"&amp;TEXT(ROW()-5,"000"))</f>
        <v/>
      </c>
      <c r="C303" s="18" t="n"/>
      <c r="D303" s="16" t="n"/>
      <c r="E303" s="17">
        <f>IF($D303="","",IFERROR(INDEX(rngCadetPIDs,MATCH($D303,rngCadetNames,0)),"?"))</f>
        <v/>
      </c>
      <c r="F303" s="17">
        <f>IF($E303="","",IFERROR(INDEX(nrCadetAgency,MATCH($E303,rngCadetPIDs,0)),""))</f>
        <v/>
      </c>
      <c r="G303" s="16" t="n"/>
      <c r="H303" s="16" t="n"/>
      <c r="I303" s="16" t="n"/>
      <c r="J303" s="16" t="n"/>
      <c r="K303" s="17">
        <f>IF($G303="","",IF(OR($G303="PT Missed",$G303="PT Modified",$G303="PT Refused"),"Yes","No"))</f>
        <v/>
      </c>
      <c r="L303" s="16" t="n"/>
      <c r="M303" s="16" t="n"/>
      <c r="N303" s="17">
        <f>IF($D303="","",IF($M303="Excused","No",IF(AND($G303="PT Modified",$L303="Received"),"No","Yes")))</f>
        <v/>
      </c>
      <c r="O303" s="16" t="n"/>
      <c r="P303" s="17">
        <f>IF(OR($B303="",N($I303)=0),"",MIN(N($I303),SUMIFS(nrMK_Min,nrMK_Link,$B303,nrMK_Credit,"Yes",nrMK_PID,$E303,nrMK_Type,"Classroom")))</f>
        <v/>
      </c>
      <c r="Q303" s="17">
        <f>IF(OR($B303="",N($J303)=0),"",MIN(N($J303),SUMIFS(nrMK_Sess,nrMK_Link,$B303,nrMK_Credit,"Yes",nrMK_PID,$E303,nrMK_Type,"PT")))</f>
        <v/>
      </c>
      <c r="R303" s="17">
        <f>IF(OR($B303="",$N303&lt;&gt;"Yes"),"",IF($K303="Yes",IF(N($J303)&gt;0,N($J303)-N($Q303),""),IF(N($I303)&gt;0,N($I303)-N($P303),"")))</f>
        <v/>
      </c>
      <c r="S303" s="17">
        <f>IF(OR($B303="",$R303=""),"",IF($R303&lt;=0,IF(IFERROR(_xlfn.MAXIFS(nrMK_Date,nrMK_Link,$B303,nrMK_Credit,"Yes",nrMK_PID,$E303),0)=0,"CLEARED (makeup date missing)","CLEARED "&amp;TEXT(_xlfn.MAXIFS(nrMK_Date,nrMK_Link,$B303,nrMK_Credit,"Yes",nrMK_PID,$E303),"mm/dd")),"OPEN"))</f>
        <v/>
      </c>
      <c r="T303" s="17">
        <f>IF($D303="","",IF($C303="","NO DATE",IF($G303="","NO EVENT TYPE",IF(AND($I303&lt;&gt;"",NOT(ISNUMBER($I303))),"MINUTES NOT A NUMBER",IF(AND($J303&lt;&gt;"",NOT(ISNUMBER($J303))),"SESSIONS NOT A NUMBER",IF(OR(N($I303)&lt;0,N($J303)&lt;0),"NEGATIVE MINUTES/SESSIONS",IF(AND($K303="Yes",N($I303)&gt;0),"MINUTES ON A PT EVENT - not counted (PT counts sessions)",IF(AND($K303="No",N($J303)&gt;0),"SESSIONS ON A CLASSROOM EVENT - not counted (classroom counts minutes)",IF(AND($N303="Yes",$K303="Yes",N($J303)=0),"COUNTED PT EVENT WITH NO SESSIONS - dropped from the PT cap",IF(AND($N303="Yes",$K303="No",N($I303)=0),"COUNTED EVENT WITH NO MINUTES - dropped from the classroom cap","OK"))))))))))</f>
        <v/>
      </c>
    </row>
    <row r="304">
      <c r="B304" s="17">
        <f>IF($D304="","","A"&amp;TEXT(ROW()-5,"000"))</f>
        <v/>
      </c>
      <c r="C304" s="18" t="n"/>
      <c r="D304" s="16" t="n"/>
      <c r="E304" s="17">
        <f>IF($D304="","",IFERROR(INDEX(rngCadetPIDs,MATCH($D304,rngCadetNames,0)),"?"))</f>
        <v/>
      </c>
      <c r="F304" s="17">
        <f>IF($E304="","",IFERROR(INDEX(nrCadetAgency,MATCH($E304,rngCadetPIDs,0)),""))</f>
        <v/>
      </c>
      <c r="G304" s="16" t="n"/>
      <c r="H304" s="16" t="n"/>
      <c r="I304" s="16" t="n"/>
      <c r="J304" s="16" t="n"/>
      <c r="K304" s="17">
        <f>IF($G304="","",IF(OR($G304="PT Missed",$G304="PT Modified",$G304="PT Refused"),"Yes","No"))</f>
        <v/>
      </c>
      <c r="L304" s="16" t="n"/>
      <c r="M304" s="16" t="n"/>
      <c r="N304" s="17">
        <f>IF($D304="","",IF($M304="Excused","No",IF(AND($G304="PT Modified",$L304="Received"),"No","Yes")))</f>
        <v/>
      </c>
      <c r="O304" s="16" t="n"/>
      <c r="P304" s="17">
        <f>IF(OR($B304="",N($I304)=0),"",MIN(N($I304),SUMIFS(nrMK_Min,nrMK_Link,$B304,nrMK_Credit,"Yes",nrMK_PID,$E304,nrMK_Type,"Classroom")))</f>
        <v/>
      </c>
      <c r="Q304" s="17">
        <f>IF(OR($B304="",N($J304)=0),"",MIN(N($J304),SUMIFS(nrMK_Sess,nrMK_Link,$B304,nrMK_Credit,"Yes",nrMK_PID,$E304,nrMK_Type,"PT")))</f>
        <v/>
      </c>
      <c r="R304" s="17">
        <f>IF(OR($B304="",$N304&lt;&gt;"Yes"),"",IF($K304="Yes",IF(N($J304)&gt;0,N($J304)-N($Q304),""),IF(N($I304)&gt;0,N($I304)-N($P304),"")))</f>
        <v/>
      </c>
      <c r="S304" s="17">
        <f>IF(OR($B304="",$R304=""),"",IF($R304&lt;=0,IF(IFERROR(_xlfn.MAXIFS(nrMK_Date,nrMK_Link,$B304,nrMK_Credit,"Yes",nrMK_PID,$E304),0)=0,"CLEARED (makeup date missing)","CLEARED "&amp;TEXT(_xlfn.MAXIFS(nrMK_Date,nrMK_Link,$B304,nrMK_Credit,"Yes",nrMK_PID,$E304),"mm/dd")),"OPEN"))</f>
        <v/>
      </c>
      <c r="T304" s="17">
        <f>IF($D304="","",IF($C304="","NO DATE",IF($G304="","NO EVENT TYPE",IF(AND($I304&lt;&gt;"",NOT(ISNUMBER($I304))),"MINUTES NOT A NUMBER",IF(AND($J304&lt;&gt;"",NOT(ISNUMBER($J304))),"SESSIONS NOT A NUMBER",IF(OR(N($I304)&lt;0,N($J304)&lt;0),"NEGATIVE MINUTES/SESSIONS",IF(AND($K304="Yes",N($I304)&gt;0),"MINUTES ON A PT EVENT - not counted (PT counts sessions)",IF(AND($K304="No",N($J304)&gt;0),"SESSIONS ON A CLASSROOM EVENT - not counted (classroom counts minutes)",IF(AND($N304="Yes",$K304="Yes",N($J304)=0),"COUNTED PT EVENT WITH NO SESSIONS - dropped from the PT cap",IF(AND($N304="Yes",$K304="No",N($I304)=0),"COUNTED EVENT WITH NO MINUTES - dropped from the classroom cap","OK"))))))))))</f>
        <v/>
      </c>
    </row>
    <row r="305">
      <c r="B305" s="17">
        <f>IF($D305="","","A"&amp;TEXT(ROW()-5,"000"))</f>
        <v/>
      </c>
      <c r="C305" s="18" t="n"/>
      <c r="D305" s="16" t="n"/>
      <c r="E305" s="17">
        <f>IF($D305="","",IFERROR(INDEX(rngCadetPIDs,MATCH($D305,rngCadetNames,0)),"?"))</f>
        <v/>
      </c>
      <c r="F305" s="17">
        <f>IF($E305="","",IFERROR(INDEX(nrCadetAgency,MATCH($E305,rngCadetPIDs,0)),""))</f>
        <v/>
      </c>
      <c r="G305" s="16" t="n"/>
      <c r="H305" s="16" t="n"/>
      <c r="I305" s="16" t="n"/>
      <c r="J305" s="16" t="n"/>
      <c r="K305" s="17">
        <f>IF($G305="","",IF(OR($G305="PT Missed",$G305="PT Modified",$G305="PT Refused"),"Yes","No"))</f>
        <v/>
      </c>
      <c r="L305" s="16" t="n"/>
      <c r="M305" s="16" t="n"/>
      <c r="N305" s="17">
        <f>IF($D305="","",IF($M305="Excused","No",IF(AND($G305="PT Modified",$L305="Received"),"No","Yes")))</f>
        <v/>
      </c>
      <c r="O305" s="16" t="n"/>
      <c r="P305" s="17">
        <f>IF(OR($B305="",N($I305)=0),"",MIN(N($I305),SUMIFS(nrMK_Min,nrMK_Link,$B305,nrMK_Credit,"Yes",nrMK_PID,$E305,nrMK_Type,"Classroom")))</f>
        <v/>
      </c>
      <c r="Q305" s="17">
        <f>IF(OR($B305="",N($J305)=0),"",MIN(N($J305),SUMIFS(nrMK_Sess,nrMK_Link,$B305,nrMK_Credit,"Yes",nrMK_PID,$E305,nrMK_Type,"PT")))</f>
        <v/>
      </c>
      <c r="R305" s="17">
        <f>IF(OR($B305="",$N305&lt;&gt;"Yes"),"",IF($K305="Yes",IF(N($J305)&gt;0,N($J305)-N($Q305),""),IF(N($I305)&gt;0,N($I305)-N($P305),"")))</f>
        <v/>
      </c>
      <c r="S305" s="17">
        <f>IF(OR($B305="",$R305=""),"",IF($R305&lt;=0,IF(IFERROR(_xlfn.MAXIFS(nrMK_Date,nrMK_Link,$B305,nrMK_Credit,"Yes",nrMK_PID,$E305),0)=0,"CLEARED (makeup date missing)","CLEARED "&amp;TEXT(_xlfn.MAXIFS(nrMK_Date,nrMK_Link,$B305,nrMK_Credit,"Yes",nrMK_PID,$E305),"mm/dd")),"OPEN"))</f>
        <v/>
      </c>
      <c r="T305" s="17">
        <f>IF($D305="","",IF($C305="","NO DATE",IF($G305="","NO EVENT TYPE",IF(AND($I305&lt;&gt;"",NOT(ISNUMBER($I305))),"MINUTES NOT A NUMBER",IF(AND($J305&lt;&gt;"",NOT(ISNUMBER($J305))),"SESSIONS NOT A NUMBER",IF(OR(N($I305)&lt;0,N($J305)&lt;0),"NEGATIVE MINUTES/SESSIONS",IF(AND($K305="Yes",N($I305)&gt;0),"MINUTES ON A PT EVENT - not counted (PT counts sessions)",IF(AND($K305="No",N($J305)&gt;0),"SESSIONS ON A CLASSROOM EVENT - not counted (classroom counts minutes)",IF(AND($N305="Yes",$K305="Yes",N($J305)=0),"COUNTED PT EVENT WITH NO SESSIONS - dropped from the PT cap",IF(AND($N305="Yes",$K305="No",N($I305)=0),"COUNTED EVENT WITH NO MINUTES - dropped from the classroom cap","OK"))))))))))</f>
        <v/>
      </c>
    </row>
    <row r="306">
      <c r="B306" s="17">
        <f>IF($D306="","","A"&amp;TEXT(ROW()-5,"000"))</f>
        <v/>
      </c>
      <c r="C306" s="18" t="n"/>
      <c r="D306" s="16" t="n"/>
      <c r="E306" s="17">
        <f>IF($D306="","",IFERROR(INDEX(rngCadetPIDs,MATCH($D306,rngCadetNames,0)),"?"))</f>
        <v/>
      </c>
      <c r="F306" s="17">
        <f>IF($E306="","",IFERROR(INDEX(nrCadetAgency,MATCH($E306,rngCadetPIDs,0)),""))</f>
        <v/>
      </c>
      <c r="G306" s="16" t="n"/>
      <c r="H306" s="16" t="n"/>
      <c r="I306" s="16" t="n"/>
      <c r="J306" s="16" t="n"/>
      <c r="K306" s="17">
        <f>IF($G306="","",IF(OR($G306="PT Missed",$G306="PT Modified",$G306="PT Refused"),"Yes","No"))</f>
        <v/>
      </c>
      <c r="L306" s="16" t="n"/>
      <c r="M306" s="16" t="n"/>
      <c r="N306" s="17">
        <f>IF($D306="","",IF($M306="Excused","No",IF(AND($G306="PT Modified",$L306="Received"),"No","Yes")))</f>
        <v/>
      </c>
      <c r="O306" s="16" t="n"/>
      <c r="P306" s="17">
        <f>IF(OR($B306="",N($I306)=0),"",MIN(N($I306),SUMIFS(nrMK_Min,nrMK_Link,$B306,nrMK_Credit,"Yes",nrMK_PID,$E306,nrMK_Type,"Classroom")))</f>
        <v/>
      </c>
      <c r="Q306" s="17">
        <f>IF(OR($B306="",N($J306)=0),"",MIN(N($J306),SUMIFS(nrMK_Sess,nrMK_Link,$B306,nrMK_Credit,"Yes",nrMK_PID,$E306,nrMK_Type,"PT")))</f>
        <v/>
      </c>
      <c r="R306" s="17">
        <f>IF(OR($B306="",$N306&lt;&gt;"Yes"),"",IF($K306="Yes",IF(N($J306)&gt;0,N($J306)-N($Q306),""),IF(N($I306)&gt;0,N($I306)-N($P306),"")))</f>
        <v/>
      </c>
      <c r="S306" s="17">
        <f>IF(OR($B306="",$R306=""),"",IF($R306&lt;=0,IF(IFERROR(_xlfn.MAXIFS(nrMK_Date,nrMK_Link,$B306,nrMK_Credit,"Yes",nrMK_PID,$E306),0)=0,"CLEARED (makeup date missing)","CLEARED "&amp;TEXT(_xlfn.MAXIFS(nrMK_Date,nrMK_Link,$B306,nrMK_Credit,"Yes",nrMK_PID,$E306),"mm/dd")),"OPEN"))</f>
        <v/>
      </c>
      <c r="T306" s="17">
        <f>IF($D306="","",IF($C306="","NO DATE",IF($G306="","NO EVENT TYPE",IF(AND($I306&lt;&gt;"",NOT(ISNUMBER($I306))),"MINUTES NOT A NUMBER",IF(AND($J306&lt;&gt;"",NOT(ISNUMBER($J306))),"SESSIONS NOT A NUMBER",IF(OR(N($I306)&lt;0,N($J306)&lt;0),"NEGATIVE MINUTES/SESSIONS",IF(AND($K306="Yes",N($I306)&gt;0),"MINUTES ON A PT EVENT - not counted (PT counts sessions)",IF(AND($K306="No",N($J306)&gt;0),"SESSIONS ON A CLASSROOM EVENT - not counted (classroom counts minutes)",IF(AND($N306="Yes",$K306="Yes",N($J306)=0),"COUNTED PT EVENT WITH NO SESSIONS - dropped from the PT cap",IF(AND($N306="Yes",$K306="No",N($I306)=0),"COUNTED EVENT WITH NO MINUTES - dropped from the classroom cap","OK"))))))))))</f>
        <v/>
      </c>
    </row>
    <row r="307">
      <c r="B307" s="17">
        <f>IF($D307="","","A"&amp;TEXT(ROW()-5,"000"))</f>
        <v/>
      </c>
      <c r="C307" s="18" t="n"/>
      <c r="D307" s="16" t="n"/>
      <c r="E307" s="17">
        <f>IF($D307="","",IFERROR(INDEX(rngCadetPIDs,MATCH($D307,rngCadetNames,0)),"?"))</f>
        <v/>
      </c>
      <c r="F307" s="17">
        <f>IF($E307="","",IFERROR(INDEX(nrCadetAgency,MATCH($E307,rngCadetPIDs,0)),""))</f>
        <v/>
      </c>
      <c r="G307" s="16" t="n"/>
      <c r="H307" s="16" t="n"/>
      <c r="I307" s="16" t="n"/>
      <c r="J307" s="16" t="n"/>
      <c r="K307" s="17">
        <f>IF($G307="","",IF(OR($G307="PT Missed",$G307="PT Modified",$G307="PT Refused"),"Yes","No"))</f>
        <v/>
      </c>
      <c r="L307" s="16" t="n"/>
      <c r="M307" s="16" t="n"/>
      <c r="N307" s="17">
        <f>IF($D307="","",IF($M307="Excused","No",IF(AND($G307="PT Modified",$L307="Received"),"No","Yes")))</f>
        <v/>
      </c>
      <c r="O307" s="16" t="n"/>
      <c r="P307" s="17">
        <f>IF(OR($B307="",N($I307)=0),"",MIN(N($I307),SUMIFS(nrMK_Min,nrMK_Link,$B307,nrMK_Credit,"Yes",nrMK_PID,$E307,nrMK_Type,"Classroom")))</f>
        <v/>
      </c>
      <c r="Q307" s="17">
        <f>IF(OR($B307="",N($J307)=0),"",MIN(N($J307),SUMIFS(nrMK_Sess,nrMK_Link,$B307,nrMK_Credit,"Yes",nrMK_PID,$E307,nrMK_Type,"PT")))</f>
        <v/>
      </c>
      <c r="R307" s="17">
        <f>IF(OR($B307="",$N307&lt;&gt;"Yes"),"",IF($K307="Yes",IF(N($J307)&gt;0,N($J307)-N($Q307),""),IF(N($I307)&gt;0,N($I307)-N($P307),"")))</f>
        <v/>
      </c>
      <c r="S307" s="17">
        <f>IF(OR($B307="",$R307=""),"",IF($R307&lt;=0,IF(IFERROR(_xlfn.MAXIFS(nrMK_Date,nrMK_Link,$B307,nrMK_Credit,"Yes",nrMK_PID,$E307),0)=0,"CLEARED (makeup date missing)","CLEARED "&amp;TEXT(_xlfn.MAXIFS(nrMK_Date,nrMK_Link,$B307,nrMK_Credit,"Yes",nrMK_PID,$E307),"mm/dd")),"OPEN"))</f>
        <v/>
      </c>
      <c r="T307" s="17">
        <f>IF($D307="","",IF($C307="","NO DATE",IF($G307="","NO EVENT TYPE",IF(AND($I307&lt;&gt;"",NOT(ISNUMBER($I307))),"MINUTES NOT A NUMBER",IF(AND($J307&lt;&gt;"",NOT(ISNUMBER($J307))),"SESSIONS NOT A NUMBER",IF(OR(N($I307)&lt;0,N($J307)&lt;0),"NEGATIVE MINUTES/SESSIONS",IF(AND($K307="Yes",N($I307)&gt;0),"MINUTES ON A PT EVENT - not counted (PT counts sessions)",IF(AND($K307="No",N($J307)&gt;0),"SESSIONS ON A CLASSROOM EVENT - not counted (classroom counts minutes)",IF(AND($N307="Yes",$K307="Yes",N($J307)=0),"COUNTED PT EVENT WITH NO SESSIONS - dropped from the PT cap",IF(AND($N307="Yes",$K307="No",N($I307)=0),"COUNTED EVENT WITH NO MINUTES - dropped from the classroom cap","OK"))))))))))</f>
        <v/>
      </c>
    </row>
    <row r="308">
      <c r="B308" s="17">
        <f>IF($D308="","","A"&amp;TEXT(ROW()-5,"000"))</f>
        <v/>
      </c>
      <c r="C308" s="18" t="n"/>
      <c r="D308" s="16" t="n"/>
      <c r="E308" s="17">
        <f>IF($D308="","",IFERROR(INDEX(rngCadetPIDs,MATCH($D308,rngCadetNames,0)),"?"))</f>
        <v/>
      </c>
      <c r="F308" s="17">
        <f>IF($E308="","",IFERROR(INDEX(nrCadetAgency,MATCH($E308,rngCadetPIDs,0)),""))</f>
        <v/>
      </c>
      <c r="G308" s="16" t="n"/>
      <c r="H308" s="16" t="n"/>
      <c r="I308" s="16" t="n"/>
      <c r="J308" s="16" t="n"/>
      <c r="K308" s="17">
        <f>IF($G308="","",IF(OR($G308="PT Missed",$G308="PT Modified",$G308="PT Refused"),"Yes","No"))</f>
        <v/>
      </c>
      <c r="L308" s="16" t="n"/>
      <c r="M308" s="16" t="n"/>
      <c r="N308" s="17">
        <f>IF($D308="","",IF($M308="Excused","No",IF(AND($G308="PT Modified",$L308="Received"),"No","Yes")))</f>
        <v/>
      </c>
      <c r="O308" s="16" t="n"/>
      <c r="P308" s="17">
        <f>IF(OR($B308="",N($I308)=0),"",MIN(N($I308),SUMIFS(nrMK_Min,nrMK_Link,$B308,nrMK_Credit,"Yes",nrMK_PID,$E308,nrMK_Type,"Classroom")))</f>
        <v/>
      </c>
      <c r="Q308" s="17">
        <f>IF(OR($B308="",N($J308)=0),"",MIN(N($J308),SUMIFS(nrMK_Sess,nrMK_Link,$B308,nrMK_Credit,"Yes",nrMK_PID,$E308,nrMK_Type,"PT")))</f>
        <v/>
      </c>
      <c r="R308" s="17">
        <f>IF(OR($B308="",$N308&lt;&gt;"Yes"),"",IF($K308="Yes",IF(N($J308)&gt;0,N($J308)-N($Q308),""),IF(N($I308)&gt;0,N($I308)-N($P308),"")))</f>
        <v/>
      </c>
      <c r="S308" s="17">
        <f>IF(OR($B308="",$R308=""),"",IF($R308&lt;=0,IF(IFERROR(_xlfn.MAXIFS(nrMK_Date,nrMK_Link,$B308,nrMK_Credit,"Yes",nrMK_PID,$E308),0)=0,"CLEARED (makeup date missing)","CLEARED "&amp;TEXT(_xlfn.MAXIFS(nrMK_Date,nrMK_Link,$B308,nrMK_Credit,"Yes",nrMK_PID,$E308),"mm/dd")),"OPEN"))</f>
        <v/>
      </c>
      <c r="T308" s="17">
        <f>IF($D308="","",IF($C308="","NO DATE",IF($G308="","NO EVENT TYPE",IF(AND($I308&lt;&gt;"",NOT(ISNUMBER($I308))),"MINUTES NOT A NUMBER",IF(AND($J308&lt;&gt;"",NOT(ISNUMBER($J308))),"SESSIONS NOT A NUMBER",IF(OR(N($I308)&lt;0,N($J308)&lt;0),"NEGATIVE MINUTES/SESSIONS",IF(AND($K308="Yes",N($I308)&gt;0),"MINUTES ON A PT EVENT - not counted (PT counts sessions)",IF(AND($K308="No",N($J308)&gt;0),"SESSIONS ON A CLASSROOM EVENT - not counted (classroom counts minutes)",IF(AND($N308="Yes",$K308="Yes",N($J308)=0),"COUNTED PT EVENT WITH NO SESSIONS - dropped from the PT cap",IF(AND($N308="Yes",$K308="No",N($I308)=0),"COUNTED EVENT WITH NO MINUTES - dropped from the classroom cap","OK"))))))))))</f>
        <v/>
      </c>
    </row>
    <row r="309">
      <c r="B309" s="17">
        <f>IF($D309="","","A"&amp;TEXT(ROW()-5,"000"))</f>
        <v/>
      </c>
      <c r="C309" s="18" t="n"/>
      <c r="D309" s="16" t="n"/>
      <c r="E309" s="17">
        <f>IF($D309="","",IFERROR(INDEX(rngCadetPIDs,MATCH($D309,rngCadetNames,0)),"?"))</f>
        <v/>
      </c>
      <c r="F309" s="17">
        <f>IF($E309="","",IFERROR(INDEX(nrCadetAgency,MATCH($E309,rngCadetPIDs,0)),""))</f>
        <v/>
      </c>
      <c r="G309" s="16" t="n"/>
      <c r="H309" s="16" t="n"/>
      <c r="I309" s="16" t="n"/>
      <c r="J309" s="16" t="n"/>
      <c r="K309" s="17">
        <f>IF($G309="","",IF(OR($G309="PT Missed",$G309="PT Modified",$G309="PT Refused"),"Yes","No"))</f>
        <v/>
      </c>
      <c r="L309" s="16" t="n"/>
      <c r="M309" s="16" t="n"/>
      <c r="N309" s="17">
        <f>IF($D309="","",IF($M309="Excused","No",IF(AND($G309="PT Modified",$L309="Received"),"No","Yes")))</f>
        <v/>
      </c>
      <c r="O309" s="16" t="n"/>
      <c r="P309" s="17">
        <f>IF(OR($B309="",N($I309)=0),"",MIN(N($I309),SUMIFS(nrMK_Min,nrMK_Link,$B309,nrMK_Credit,"Yes",nrMK_PID,$E309,nrMK_Type,"Classroom")))</f>
        <v/>
      </c>
      <c r="Q309" s="17">
        <f>IF(OR($B309="",N($J309)=0),"",MIN(N($J309),SUMIFS(nrMK_Sess,nrMK_Link,$B309,nrMK_Credit,"Yes",nrMK_PID,$E309,nrMK_Type,"PT")))</f>
        <v/>
      </c>
      <c r="R309" s="17">
        <f>IF(OR($B309="",$N309&lt;&gt;"Yes"),"",IF($K309="Yes",IF(N($J309)&gt;0,N($J309)-N($Q309),""),IF(N($I309)&gt;0,N($I309)-N($P309),"")))</f>
        <v/>
      </c>
      <c r="S309" s="17">
        <f>IF(OR($B309="",$R309=""),"",IF($R309&lt;=0,IF(IFERROR(_xlfn.MAXIFS(nrMK_Date,nrMK_Link,$B309,nrMK_Credit,"Yes",nrMK_PID,$E309),0)=0,"CLEARED (makeup date missing)","CLEARED "&amp;TEXT(_xlfn.MAXIFS(nrMK_Date,nrMK_Link,$B309,nrMK_Credit,"Yes",nrMK_PID,$E309),"mm/dd")),"OPEN"))</f>
        <v/>
      </c>
      <c r="T309" s="17">
        <f>IF($D309="","",IF($C309="","NO DATE",IF($G309="","NO EVENT TYPE",IF(AND($I309&lt;&gt;"",NOT(ISNUMBER($I309))),"MINUTES NOT A NUMBER",IF(AND($J309&lt;&gt;"",NOT(ISNUMBER($J309))),"SESSIONS NOT A NUMBER",IF(OR(N($I309)&lt;0,N($J309)&lt;0),"NEGATIVE MINUTES/SESSIONS",IF(AND($K309="Yes",N($I309)&gt;0),"MINUTES ON A PT EVENT - not counted (PT counts sessions)",IF(AND($K309="No",N($J309)&gt;0),"SESSIONS ON A CLASSROOM EVENT - not counted (classroom counts minutes)",IF(AND($N309="Yes",$K309="Yes",N($J309)=0),"COUNTED PT EVENT WITH NO SESSIONS - dropped from the PT cap",IF(AND($N309="Yes",$K309="No",N($I309)=0),"COUNTED EVENT WITH NO MINUTES - dropped from the classroom cap","OK"))))))))))</f>
        <v/>
      </c>
    </row>
    <row r="310">
      <c r="B310" s="17">
        <f>IF($D310="","","A"&amp;TEXT(ROW()-5,"000"))</f>
        <v/>
      </c>
      <c r="C310" s="18" t="n"/>
      <c r="D310" s="16" t="n"/>
      <c r="E310" s="17">
        <f>IF($D310="","",IFERROR(INDEX(rngCadetPIDs,MATCH($D310,rngCadetNames,0)),"?"))</f>
        <v/>
      </c>
      <c r="F310" s="17">
        <f>IF($E310="","",IFERROR(INDEX(nrCadetAgency,MATCH($E310,rngCadetPIDs,0)),""))</f>
        <v/>
      </c>
      <c r="G310" s="16" t="n"/>
      <c r="H310" s="16" t="n"/>
      <c r="I310" s="16" t="n"/>
      <c r="J310" s="16" t="n"/>
      <c r="K310" s="17">
        <f>IF($G310="","",IF(OR($G310="PT Missed",$G310="PT Modified",$G310="PT Refused"),"Yes","No"))</f>
        <v/>
      </c>
      <c r="L310" s="16" t="n"/>
      <c r="M310" s="16" t="n"/>
      <c r="N310" s="17">
        <f>IF($D310="","",IF($M310="Excused","No",IF(AND($G310="PT Modified",$L310="Received"),"No","Yes")))</f>
        <v/>
      </c>
      <c r="O310" s="16" t="n"/>
      <c r="P310" s="17">
        <f>IF(OR($B310="",N($I310)=0),"",MIN(N($I310),SUMIFS(nrMK_Min,nrMK_Link,$B310,nrMK_Credit,"Yes",nrMK_PID,$E310,nrMK_Type,"Classroom")))</f>
        <v/>
      </c>
      <c r="Q310" s="17">
        <f>IF(OR($B310="",N($J310)=0),"",MIN(N($J310),SUMIFS(nrMK_Sess,nrMK_Link,$B310,nrMK_Credit,"Yes",nrMK_PID,$E310,nrMK_Type,"PT")))</f>
        <v/>
      </c>
      <c r="R310" s="17">
        <f>IF(OR($B310="",$N310&lt;&gt;"Yes"),"",IF($K310="Yes",IF(N($J310)&gt;0,N($J310)-N($Q310),""),IF(N($I310)&gt;0,N($I310)-N($P310),"")))</f>
        <v/>
      </c>
      <c r="S310" s="17">
        <f>IF(OR($B310="",$R310=""),"",IF($R310&lt;=0,IF(IFERROR(_xlfn.MAXIFS(nrMK_Date,nrMK_Link,$B310,nrMK_Credit,"Yes",nrMK_PID,$E310),0)=0,"CLEARED (makeup date missing)","CLEARED "&amp;TEXT(_xlfn.MAXIFS(nrMK_Date,nrMK_Link,$B310,nrMK_Credit,"Yes",nrMK_PID,$E310),"mm/dd")),"OPEN"))</f>
        <v/>
      </c>
      <c r="T310" s="17">
        <f>IF($D310="","",IF($C310="","NO DATE",IF($G310="","NO EVENT TYPE",IF(AND($I310&lt;&gt;"",NOT(ISNUMBER($I310))),"MINUTES NOT A NUMBER",IF(AND($J310&lt;&gt;"",NOT(ISNUMBER($J310))),"SESSIONS NOT A NUMBER",IF(OR(N($I310)&lt;0,N($J310)&lt;0),"NEGATIVE MINUTES/SESSIONS",IF(AND($K310="Yes",N($I310)&gt;0),"MINUTES ON A PT EVENT - not counted (PT counts sessions)",IF(AND($K310="No",N($J310)&gt;0),"SESSIONS ON A CLASSROOM EVENT - not counted (classroom counts minutes)",IF(AND($N310="Yes",$K310="Yes",N($J310)=0),"COUNTED PT EVENT WITH NO SESSIONS - dropped from the PT cap",IF(AND($N310="Yes",$K310="No",N($I310)=0),"COUNTED EVENT WITH NO MINUTES - dropped from the classroom cap","OK"))))))))))</f>
        <v/>
      </c>
    </row>
    <row r="311">
      <c r="B311" s="17">
        <f>IF($D311="","","A"&amp;TEXT(ROW()-5,"000"))</f>
        <v/>
      </c>
      <c r="C311" s="18" t="n"/>
      <c r="D311" s="16" t="n"/>
      <c r="E311" s="17">
        <f>IF($D311="","",IFERROR(INDEX(rngCadetPIDs,MATCH($D311,rngCadetNames,0)),"?"))</f>
        <v/>
      </c>
      <c r="F311" s="17">
        <f>IF($E311="","",IFERROR(INDEX(nrCadetAgency,MATCH($E311,rngCadetPIDs,0)),""))</f>
        <v/>
      </c>
      <c r="G311" s="16" t="n"/>
      <c r="H311" s="16" t="n"/>
      <c r="I311" s="16" t="n"/>
      <c r="J311" s="16" t="n"/>
      <c r="K311" s="17">
        <f>IF($G311="","",IF(OR($G311="PT Missed",$G311="PT Modified",$G311="PT Refused"),"Yes","No"))</f>
        <v/>
      </c>
      <c r="L311" s="16" t="n"/>
      <c r="M311" s="16" t="n"/>
      <c r="N311" s="17">
        <f>IF($D311="","",IF($M311="Excused","No",IF(AND($G311="PT Modified",$L311="Received"),"No","Yes")))</f>
        <v/>
      </c>
      <c r="O311" s="16" t="n"/>
      <c r="P311" s="17">
        <f>IF(OR($B311="",N($I311)=0),"",MIN(N($I311),SUMIFS(nrMK_Min,nrMK_Link,$B311,nrMK_Credit,"Yes",nrMK_PID,$E311,nrMK_Type,"Classroom")))</f>
        <v/>
      </c>
      <c r="Q311" s="17">
        <f>IF(OR($B311="",N($J311)=0),"",MIN(N($J311),SUMIFS(nrMK_Sess,nrMK_Link,$B311,nrMK_Credit,"Yes",nrMK_PID,$E311,nrMK_Type,"PT")))</f>
        <v/>
      </c>
      <c r="R311" s="17">
        <f>IF(OR($B311="",$N311&lt;&gt;"Yes"),"",IF($K311="Yes",IF(N($J311)&gt;0,N($J311)-N($Q311),""),IF(N($I311)&gt;0,N($I311)-N($P311),"")))</f>
        <v/>
      </c>
      <c r="S311" s="17">
        <f>IF(OR($B311="",$R311=""),"",IF($R311&lt;=0,IF(IFERROR(_xlfn.MAXIFS(nrMK_Date,nrMK_Link,$B311,nrMK_Credit,"Yes",nrMK_PID,$E311),0)=0,"CLEARED (makeup date missing)","CLEARED "&amp;TEXT(_xlfn.MAXIFS(nrMK_Date,nrMK_Link,$B311,nrMK_Credit,"Yes",nrMK_PID,$E311),"mm/dd")),"OPEN"))</f>
        <v/>
      </c>
      <c r="T311" s="17">
        <f>IF($D311="","",IF($C311="","NO DATE",IF($G311="","NO EVENT TYPE",IF(AND($I311&lt;&gt;"",NOT(ISNUMBER($I311))),"MINUTES NOT A NUMBER",IF(AND($J311&lt;&gt;"",NOT(ISNUMBER($J311))),"SESSIONS NOT A NUMBER",IF(OR(N($I311)&lt;0,N($J311)&lt;0),"NEGATIVE MINUTES/SESSIONS",IF(AND($K311="Yes",N($I311)&gt;0),"MINUTES ON A PT EVENT - not counted (PT counts sessions)",IF(AND($K311="No",N($J311)&gt;0),"SESSIONS ON A CLASSROOM EVENT - not counted (classroom counts minutes)",IF(AND($N311="Yes",$K311="Yes",N($J311)=0),"COUNTED PT EVENT WITH NO SESSIONS - dropped from the PT cap",IF(AND($N311="Yes",$K311="No",N($I311)=0),"COUNTED EVENT WITH NO MINUTES - dropped from the classroom cap","OK"))))))))))</f>
        <v/>
      </c>
    </row>
    <row r="312">
      <c r="B312" s="17">
        <f>IF($D312="","","A"&amp;TEXT(ROW()-5,"000"))</f>
        <v/>
      </c>
      <c r="C312" s="18" t="n"/>
      <c r="D312" s="16" t="n"/>
      <c r="E312" s="17">
        <f>IF($D312="","",IFERROR(INDEX(rngCadetPIDs,MATCH($D312,rngCadetNames,0)),"?"))</f>
        <v/>
      </c>
      <c r="F312" s="17">
        <f>IF($E312="","",IFERROR(INDEX(nrCadetAgency,MATCH($E312,rngCadetPIDs,0)),""))</f>
        <v/>
      </c>
      <c r="G312" s="16" t="n"/>
      <c r="H312" s="16" t="n"/>
      <c r="I312" s="16" t="n"/>
      <c r="J312" s="16" t="n"/>
      <c r="K312" s="17">
        <f>IF($G312="","",IF(OR($G312="PT Missed",$G312="PT Modified",$G312="PT Refused"),"Yes","No"))</f>
        <v/>
      </c>
      <c r="L312" s="16" t="n"/>
      <c r="M312" s="16" t="n"/>
      <c r="N312" s="17">
        <f>IF($D312="","",IF($M312="Excused","No",IF(AND($G312="PT Modified",$L312="Received"),"No","Yes")))</f>
        <v/>
      </c>
      <c r="O312" s="16" t="n"/>
      <c r="P312" s="17">
        <f>IF(OR($B312="",N($I312)=0),"",MIN(N($I312),SUMIFS(nrMK_Min,nrMK_Link,$B312,nrMK_Credit,"Yes",nrMK_PID,$E312,nrMK_Type,"Classroom")))</f>
        <v/>
      </c>
      <c r="Q312" s="17">
        <f>IF(OR($B312="",N($J312)=0),"",MIN(N($J312),SUMIFS(nrMK_Sess,nrMK_Link,$B312,nrMK_Credit,"Yes",nrMK_PID,$E312,nrMK_Type,"PT")))</f>
        <v/>
      </c>
      <c r="R312" s="17">
        <f>IF(OR($B312="",$N312&lt;&gt;"Yes"),"",IF($K312="Yes",IF(N($J312)&gt;0,N($J312)-N($Q312),""),IF(N($I312)&gt;0,N($I312)-N($P312),"")))</f>
        <v/>
      </c>
      <c r="S312" s="17">
        <f>IF(OR($B312="",$R312=""),"",IF($R312&lt;=0,IF(IFERROR(_xlfn.MAXIFS(nrMK_Date,nrMK_Link,$B312,nrMK_Credit,"Yes",nrMK_PID,$E312),0)=0,"CLEARED (makeup date missing)","CLEARED "&amp;TEXT(_xlfn.MAXIFS(nrMK_Date,nrMK_Link,$B312,nrMK_Credit,"Yes",nrMK_PID,$E312),"mm/dd")),"OPEN"))</f>
        <v/>
      </c>
      <c r="T312" s="17">
        <f>IF($D312="","",IF($C312="","NO DATE",IF($G312="","NO EVENT TYPE",IF(AND($I312&lt;&gt;"",NOT(ISNUMBER($I312))),"MINUTES NOT A NUMBER",IF(AND($J312&lt;&gt;"",NOT(ISNUMBER($J312))),"SESSIONS NOT A NUMBER",IF(OR(N($I312)&lt;0,N($J312)&lt;0),"NEGATIVE MINUTES/SESSIONS",IF(AND($K312="Yes",N($I312)&gt;0),"MINUTES ON A PT EVENT - not counted (PT counts sessions)",IF(AND($K312="No",N($J312)&gt;0),"SESSIONS ON A CLASSROOM EVENT - not counted (classroom counts minutes)",IF(AND($N312="Yes",$K312="Yes",N($J312)=0),"COUNTED PT EVENT WITH NO SESSIONS - dropped from the PT cap",IF(AND($N312="Yes",$K312="No",N($I312)=0),"COUNTED EVENT WITH NO MINUTES - dropped from the classroom cap","OK"))))))))))</f>
        <v/>
      </c>
    </row>
    <row r="313">
      <c r="B313" s="17">
        <f>IF($D313="","","A"&amp;TEXT(ROW()-5,"000"))</f>
        <v/>
      </c>
      <c r="C313" s="18" t="n"/>
      <c r="D313" s="16" t="n"/>
      <c r="E313" s="17">
        <f>IF($D313="","",IFERROR(INDEX(rngCadetPIDs,MATCH($D313,rngCadetNames,0)),"?"))</f>
        <v/>
      </c>
      <c r="F313" s="17">
        <f>IF($E313="","",IFERROR(INDEX(nrCadetAgency,MATCH($E313,rngCadetPIDs,0)),""))</f>
        <v/>
      </c>
      <c r="G313" s="16" t="n"/>
      <c r="H313" s="16" t="n"/>
      <c r="I313" s="16" t="n"/>
      <c r="J313" s="16" t="n"/>
      <c r="K313" s="17">
        <f>IF($G313="","",IF(OR($G313="PT Missed",$G313="PT Modified",$G313="PT Refused"),"Yes","No"))</f>
        <v/>
      </c>
      <c r="L313" s="16" t="n"/>
      <c r="M313" s="16" t="n"/>
      <c r="N313" s="17">
        <f>IF($D313="","",IF($M313="Excused","No",IF(AND($G313="PT Modified",$L313="Received"),"No","Yes")))</f>
        <v/>
      </c>
      <c r="O313" s="16" t="n"/>
      <c r="P313" s="17">
        <f>IF(OR($B313="",N($I313)=0),"",MIN(N($I313),SUMIFS(nrMK_Min,nrMK_Link,$B313,nrMK_Credit,"Yes",nrMK_PID,$E313,nrMK_Type,"Classroom")))</f>
        <v/>
      </c>
      <c r="Q313" s="17">
        <f>IF(OR($B313="",N($J313)=0),"",MIN(N($J313),SUMIFS(nrMK_Sess,nrMK_Link,$B313,nrMK_Credit,"Yes",nrMK_PID,$E313,nrMK_Type,"PT")))</f>
        <v/>
      </c>
      <c r="R313" s="17">
        <f>IF(OR($B313="",$N313&lt;&gt;"Yes"),"",IF($K313="Yes",IF(N($J313)&gt;0,N($J313)-N($Q313),""),IF(N($I313)&gt;0,N($I313)-N($P313),"")))</f>
        <v/>
      </c>
      <c r="S313" s="17">
        <f>IF(OR($B313="",$R313=""),"",IF($R313&lt;=0,IF(IFERROR(_xlfn.MAXIFS(nrMK_Date,nrMK_Link,$B313,nrMK_Credit,"Yes",nrMK_PID,$E313),0)=0,"CLEARED (makeup date missing)","CLEARED "&amp;TEXT(_xlfn.MAXIFS(nrMK_Date,nrMK_Link,$B313,nrMK_Credit,"Yes",nrMK_PID,$E313),"mm/dd")),"OPEN"))</f>
        <v/>
      </c>
      <c r="T313" s="17">
        <f>IF($D313="","",IF($C313="","NO DATE",IF($G313="","NO EVENT TYPE",IF(AND($I313&lt;&gt;"",NOT(ISNUMBER($I313))),"MINUTES NOT A NUMBER",IF(AND($J313&lt;&gt;"",NOT(ISNUMBER($J313))),"SESSIONS NOT A NUMBER",IF(OR(N($I313)&lt;0,N($J313)&lt;0),"NEGATIVE MINUTES/SESSIONS",IF(AND($K313="Yes",N($I313)&gt;0),"MINUTES ON A PT EVENT - not counted (PT counts sessions)",IF(AND($K313="No",N($J313)&gt;0),"SESSIONS ON A CLASSROOM EVENT - not counted (classroom counts minutes)",IF(AND($N313="Yes",$K313="Yes",N($J313)=0),"COUNTED PT EVENT WITH NO SESSIONS - dropped from the PT cap",IF(AND($N313="Yes",$K313="No",N($I313)=0),"COUNTED EVENT WITH NO MINUTES - dropped from the classroom cap","OK"))))))))))</f>
        <v/>
      </c>
    </row>
    <row r="314">
      <c r="B314" s="17">
        <f>IF($D314="","","A"&amp;TEXT(ROW()-5,"000"))</f>
        <v/>
      </c>
      <c r="C314" s="18" t="n"/>
      <c r="D314" s="16" t="n"/>
      <c r="E314" s="17">
        <f>IF($D314="","",IFERROR(INDEX(rngCadetPIDs,MATCH($D314,rngCadetNames,0)),"?"))</f>
        <v/>
      </c>
      <c r="F314" s="17">
        <f>IF($E314="","",IFERROR(INDEX(nrCadetAgency,MATCH($E314,rngCadetPIDs,0)),""))</f>
        <v/>
      </c>
      <c r="G314" s="16" t="n"/>
      <c r="H314" s="16" t="n"/>
      <c r="I314" s="16" t="n"/>
      <c r="J314" s="16" t="n"/>
      <c r="K314" s="17">
        <f>IF($G314="","",IF(OR($G314="PT Missed",$G314="PT Modified",$G314="PT Refused"),"Yes","No"))</f>
        <v/>
      </c>
      <c r="L314" s="16" t="n"/>
      <c r="M314" s="16" t="n"/>
      <c r="N314" s="17">
        <f>IF($D314="","",IF($M314="Excused","No",IF(AND($G314="PT Modified",$L314="Received"),"No","Yes")))</f>
        <v/>
      </c>
      <c r="O314" s="16" t="n"/>
      <c r="P314" s="17">
        <f>IF(OR($B314="",N($I314)=0),"",MIN(N($I314),SUMIFS(nrMK_Min,nrMK_Link,$B314,nrMK_Credit,"Yes",nrMK_PID,$E314,nrMK_Type,"Classroom")))</f>
        <v/>
      </c>
      <c r="Q314" s="17">
        <f>IF(OR($B314="",N($J314)=0),"",MIN(N($J314),SUMIFS(nrMK_Sess,nrMK_Link,$B314,nrMK_Credit,"Yes",nrMK_PID,$E314,nrMK_Type,"PT")))</f>
        <v/>
      </c>
      <c r="R314" s="17">
        <f>IF(OR($B314="",$N314&lt;&gt;"Yes"),"",IF($K314="Yes",IF(N($J314)&gt;0,N($J314)-N($Q314),""),IF(N($I314)&gt;0,N($I314)-N($P314),"")))</f>
        <v/>
      </c>
      <c r="S314" s="17">
        <f>IF(OR($B314="",$R314=""),"",IF($R314&lt;=0,IF(IFERROR(_xlfn.MAXIFS(nrMK_Date,nrMK_Link,$B314,nrMK_Credit,"Yes",nrMK_PID,$E314),0)=0,"CLEARED (makeup date missing)","CLEARED "&amp;TEXT(_xlfn.MAXIFS(nrMK_Date,nrMK_Link,$B314,nrMK_Credit,"Yes",nrMK_PID,$E314),"mm/dd")),"OPEN"))</f>
        <v/>
      </c>
      <c r="T314" s="17">
        <f>IF($D314="","",IF($C314="","NO DATE",IF($G314="","NO EVENT TYPE",IF(AND($I314&lt;&gt;"",NOT(ISNUMBER($I314))),"MINUTES NOT A NUMBER",IF(AND($J314&lt;&gt;"",NOT(ISNUMBER($J314))),"SESSIONS NOT A NUMBER",IF(OR(N($I314)&lt;0,N($J314)&lt;0),"NEGATIVE MINUTES/SESSIONS",IF(AND($K314="Yes",N($I314)&gt;0),"MINUTES ON A PT EVENT - not counted (PT counts sessions)",IF(AND($K314="No",N($J314)&gt;0),"SESSIONS ON A CLASSROOM EVENT - not counted (classroom counts minutes)",IF(AND($N314="Yes",$K314="Yes",N($J314)=0),"COUNTED PT EVENT WITH NO SESSIONS - dropped from the PT cap",IF(AND($N314="Yes",$K314="No",N($I314)=0),"COUNTED EVENT WITH NO MINUTES - dropped from the classroom cap","OK"))))))))))</f>
        <v/>
      </c>
    </row>
    <row r="315">
      <c r="B315" s="17">
        <f>IF($D315="","","A"&amp;TEXT(ROW()-5,"000"))</f>
        <v/>
      </c>
      <c r="C315" s="18" t="n"/>
      <c r="D315" s="16" t="n"/>
      <c r="E315" s="17">
        <f>IF($D315="","",IFERROR(INDEX(rngCadetPIDs,MATCH($D315,rngCadetNames,0)),"?"))</f>
        <v/>
      </c>
      <c r="F315" s="17">
        <f>IF($E315="","",IFERROR(INDEX(nrCadetAgency,MATCH($E315,rngCadetPIDs,0)),""))</f>
        <v/>
      </c>
      <c r="G315" s="16" t="n"/>
      <c r="H315" s="16" t="n"/>
      <c r="I315" s="16" t="n"/>
      <c r="J315" s="16" t="n"/>
      <c r="K315" s="17">
        <f>IF($G315="","",IF(OR($G315="PT Missed",$G315="PT Modified",$G315="PT Refused"),"Yes","No"))</f>
        <v/>
      </c>
      <c r="L315" s="16" t="n"/>
      <c r="M315" s="16" t="n"/>
      <c r="N315" s="17">
        <f>IF($D315="","",IF($M315="Excused","No",IF(AND($G315="PT Modified",$L315="Received"),"No","Yes")))</f>
        <v/>
      </c>
      <c r="O315" s="16" t="n"/>
      <c r="P315" s="17">
        <f>IF(OR($B315="",N($I315)=0),"",MIN(N($I315),SUMIFS(nrMK_Min,nrMK_Link,$B315,nrMK_Credit,"Yes",nrMK_PID,$E315,nrMK_Type,"Classroom")))</f>
        <v/>
      </c>
      <c r="Q315" s="17">
        <f>IF(OR($B315="",N($J315)=0),"",MIN(N($J315),SUMIFS(nrMK_Sess,nrMK_Link,$B315,nrMK_Credit,"Yes",nrMK_PID,$E315,nrMK_Type,"PT")))</f>
        <v/>
      </c>
      <c r="R315" s="17">
        <f>IF(OR($B315="",$N315&lt;&gt;"Yes"),"",IF($K315="Yes",IF(N($J315)&gt;0,N($J315)-N($Q315),""),IF(N($I315)&gt;0,N($I315)-N($P315),"")))</f>
        <v/>
      </c>
      <c r="S315" s="17">
        <f>IF(OR($B315="",$R315=""),"",IF($R315&lt;=0,IF(IFERROR(_xlfn.MAXIFS(nrMK_Date,nrMK_Link,$B315,nrMK_Credit,"Yes",nrMK_PID,$E315),0)=0,"CLEARED (makeup date missing)","CLEARED "&amp;TEXT(_xlfn.MAXIFS(nrMK_Date,nrMK_Link,$B315,nrMK_Credit,"Yes",nrMK_PID,$E315),"mm/dd")),"OPEN"))</f>
        <v/>
      </c>
      <c r="T315" s="17">
        <f>IF($D315="","",IF($C315="","NO DATE",IF($G315="","NO EVENT TYPE",IF(AND($I315&lt;&gt;"",NOT(ISNUMBER($I315))),"MINUTES NOT A NUMBER",IF(AND($J315&lt;&gt;"",NOT(ISNUMBER($J315))),"SESSIONS NOT A NUMBER",IF(OR(N($I315)&lt;0,N($J315)&lt;0),"NEGATIVE MINUTES/SESSIONS",IF(AND($K315="Yes",N($I315)&gt;0),"MINUTES ON A PT EVENT - not counted (PT counts sessions)",IF(AND($K315="No",N($J315)&gt;0),"SESSIONS ON A CLASSROOM EVENT - not counted (classroom counts minutes)",IF(AND($N315="Yes",$K315="Yes",N($J315)=0),"COUNTED PT EVENT WITH NO SESSIONS - dropped from the PT cap",IF(AND($N315="Yes",$K315="No",N($I315)=0),"COUNTED EVENT WITH NO MINUTES - dropped from the classroom cap","OK"))))))))))</f>
        <v/>
      </c>
    </row>
    <row r="316">
      <c r="B316" s="17">
        <f>IF($D316="","","A"&amp;TEXT(ROW()-5,"000"))</f>
        <v/>
      </c>
      <c r="C316" s="18" t="n"/>
      <c r="D316" s="16" t="n"/>
      <c r="E316" s="17">
        <f>IF($D316="","",IFERROR(INDEX(rngCadetPIDs,MATCH($D316,rngCadetNames,0)),"?"))</f>
        <v/>
      </c>
      <c r="F316" s="17">
        <f>IF($E316="","",IFERROR(INDEX(nrCadetAgency,MATCH($E316,rngCadetPIDs,0)),""))</f>
        <v/>
      </c>
      <c r="G316" s="16" t="n"/>
      <c r="H316" s="16" t="n"/>
      <c r="I316" s="16" t="n"/>
      <c r="J316" s="16" t="n"/>
      <c r="K316" s="17">
        <f>IF($G316="","",IF(OR($G316="PT Missed",$G316="PT Modified",$G316="PT Refused"),"Yes","No"))</f>
        <v/>
      </c>
      <c r="L316" s="16" t="n"/>
      <c r="M316" s="16" t="n"/>
      <c r="N316" s="17">
        <f>IF($D316="","",IF($M316="Excused","No",IF(AND($G316="PT Modified",$L316="Received"),"No","Yes")))</f>
        <v/>
      </c>
      <c r="O316" s="16" t="n"/>
      <c r="P316" s="17">
        <f>IF(OR($B316="",N($I316)=0),"",MIN(N($I316),SUMIFS(nrMK_Min,nrMK_Link,$B316,nrMK_Credit,"Yes",nrMK_PID,$E316,nrMK_Type,"Classroom")))</f>
        <v/>
      </c>
      <c r="Q316" s="17">
        <f>IF(OR($B316="",N($J316)=0),"",MIN(N($J316),SUMIFS(nrMK_Sess,nrMK_Link,$B316,nrMK_Credit,"Yes",nrMK_PID,$E316,nrMK_Type,"PT")))</f>
        <v/>
      </c>
      <c r="R316" s="17">
        <f>IF(OR($B316="",$N316&lt;&gt;"Yes"),"",IF($K316="Yes",IF(N($J316)&gt;0,N($J316)-N($Q316),""),IF(N($I316)&gt;0,N($I316)-N($P316),"")))</f>
        <v/>
      </c>
      <c r="S316" s="17">
        <f>IF(OR($B316="",$R316=""),"",IF($R316&lt;=0,IF(IFERROR(_xlfn.MAXIFS(nrMK_Date,nrMK_Link,$B316,nrMK_Credit,"Yes",nrMK_PID,$E316),0)=0,"CLEARED (makeup date missing)","CLEARED "&amp;TEXT(_xlfn.MAXIFS(nrMK_Date,nrMK_Link,$B316,nrMK_Credit,"Yes",nrMK_PID,$E316),"mm/dd")),"OPEN"))</f>
        <v/>
      </c>
      <c r="T316" s="17">
        <f>IF($D316="","",IF($C316="","NO DATE",IF($G316="","NO EVENT TYPE",IF(AND($I316&lt;&gt;"",NOT(ISNUMBER($I316))),"MINUTES NOT A NUMBER",IF(AND($J316&lt;&gt;"",NOT(ISNUMBER($J316))),"SESSIONS NOT A NUMBER",IF(OR(N($I316)&lt;0,N($J316)&lt;0),"NEGATIVE MINUTES/SESSIONS",IF(AND($K316="Yes",N($I316)&gt;0),"MINUTES ON A PT EVENT - not counted (PT counts sessions)",IF(AND($K316="No",N($J316)&gt;0),"SESSIONS ON A CLASSROOM EVENT - not counted (classroom counts minutes)",IF(AND($N316="Yes",$K316="Yes",N($J316)=0),"COUNTED PT EVENT WITH NO SESSIONS - dropped from the PT cap",IF(AND($N316="Yes",$K316="No",N($I316)=0),"COUNTED EVENT WITH NO MINUTES - dropped from the classroom cap","OK"))))))))))</f>
        <v/>
      </c>
    </row>
    <row r="317">
      <c r="B317" s="17">
        <f>IF($D317="","","A"&amp;TEXT(ROW()-5,"000"))</f>
        <v/>
      </c>
      <c r="C317" s="18" t="n"/>
      <c r="D317" s="16" t="n"/>
      <c r="E317" s="17">
        <f>IF($D317="","",IFERROR(INDEX(rngCadetPIDs,MATCH($D317,rngCadetNames,0)),"?"))</f>
        <v/>
      </c>
      <c r="F317" s="17">
        <f>IF($E317="","",IFERROR(INDEX(nrCadetAgency,MATCH($E317,rngCadetPIDs,0)),""))</f>
        <v/>
      </c>
      <c r="G317" s="16" t="n"/>
      <c r="H317" s="16" t="n"/>
      <c r="I317" s="16" t="n"/>
      <c r="J317" s="16" t="n"/>
      <c r="K317" s="17">
        <f>IF($G317="","",IF(OR($G317="PT Missed",$G317="PT Modified",$G317="PT Refused"),"Yes","No"))</f>
        <v/>
      </c>
      <c r="L317" s="16" t="n"/>
      <c r="M317" s="16" t="n"/>
      <c r="N317" s="17">
        <f>IF($D317="","",IF($M317="Excused","No",IF(AND($G317="PT Modified",$L317="Received"),"No","Yes")))</f>
        <v/>
      </c>
      <c r="O317" s="16" t="n"/>
      <c r="P317" s="17">
        <f>IF(OR($B317="",N($I317)=0),"",MIN(N($I317),SUMIFS(nrMK_Min,nrMK_Link,$B317,nrMK_Credit,"Yes",nrMK_PID,$E317,nrMK_Type,"Classroom")))</f>
        <v/>
      </c>
      <c r="Q317" s="17">
        <f>IF(OR($B317="",N($J317)=0),"",MIN(N($J317),SUMIFS(nrMK_Sess,nrMK_Link,$B317,nrMK_Credit,"Yes",nrMK_PID,$E317,nrMK_Type,"PT")))</f>
        <v/>
      </c>
      <c r="R317" s="17">
        <f>IF(OR($B317="",$N317&lt;&gt;"Yes"),"",IF($K317="Yes",IF(N($J317)&gt;0,N($J317)-N($Q317),""),IF(N($I317)&gt;0,N($I317)-N($P317),"")))</f>
        <v/>
      </c>
      <c r="S317" s="17">
        <f>IF(OR($B317="",$R317=""),"",IF($R317&lt;=0,IF(IFERROR(_xlfn.MAXIFS(nrMK_Date,nrMK_Link,$B317,nrMK_Credit,"Yes",nrMK_PID,$E317),0)=0,"CLEARED (makeup date missing)","CLEARED "&amp;TEXT(_xlfn.MAXIFS(nrMK_Date,nrMK_Link,$B317,nrMK_Credit,"Yes",nrMK_PID,$E317),"mm/dd")),"OPEN"))</f>
        <v/>
      </c>
      <c r="T317" s="17">
        <f>IF($D317="","",IF($C317="","NO DATE",IF($G317="","NO EVENT TYPE",IF(AND($I317&lt;&gt;"",NOT(ISNUMBER($I317))),"MINUTES NOT A NUMBER",IF(AND($J317&lt;&gt;"",NOT(ISNUMBER($J317))),"SESSIONS NOT A NUMBER",IF(OR(N($I317)&lt;0,N($J317)&lt;0),"NEGATIVE MINUTES/SESSIONS",IF(AND($K317="Yes",N($I317)&gt;0),"MINUTES ON A PT EVENT - not counted (PT counts sessions)",IF(AND($K317="No",N($J317)&gt;0),"SESSIONS ON A CLASSROOM EVENT - not counted (classroom counts minutes)",IF(AND($N317="Yes",$K317="Yes",N($J317)=0),"COUNTED PT EVENT WITH NO SESSIONS - dropped from the PT cap",IF(AND($N317="Yes",$K317="No",N($I317)=0),"COUNTED EVENT WITH NO MINUTES - dropped from the classroom cap","OK"))))))))))</f>
        <v/>
      </c>
    </row>
    <row r="318">
      <c r="B318" s="17">
        <f>IF($D318="","","A"&amp;TEXT(ROW()-5,"000"))</f>
        <v/>
      </c>
      <c r="C318" s="18" t="n"/>
      <c r="D318" s="16" t="n"/>
      <c r="E318" s="17">
        <f>IF($D318="","",IFERROR(INDEX(rngCadetPIDs,MATCH($D318,rngCadetNames,0)),"?"))</f>
        <v/>
      </c>
      <c r="F318" s="17">
        <f>IF($E318="","",IFERROR(INDEX(nrCadetAgency,MATCH($E318,rngCadetPIDs,0)),""))</f>
        <v/>
      </c>
      <c r="G318" s="16" t="n"/>
      <c r="H318" s="16" t="n"/>
      <c r="I318" s="16" t="n"/>
      <c r="J318" s="16" t="n"/>
      <c r="K318" s="17">
        <f>IF($G318="","",IF(OR($G318="PT Missed",$G318="PT Modified",$G318="PT Refused"),"Yes","No"))</f>
        <v/>
      </c>
      <c r="L318" s="16" t="n"/>
      <c r="M318" s="16" t="n"/>
      <c r="N318" s="17">
        <f>IF($D318="","",IF($M318="Excused","No",IF(AND($G318="PT Modified",$L318="Received"),"No","Yes")))</f>
        <v/>
      </c>
      <c r="O318" s="16" t="n"/>
      <c r="P318" s="17">
        <f>IF(OR($B318="",N($I318)=0),"",MIN(N($I318),SUMIFS(nrMK_Min,nrMK_Link,$B318,nrMK_Credit,"Yes",nrMK_PID,$E318,nrMK_Type,"Classroom")))</f>
        <v/>
      </c>
      <c r="Q318" s="17">
        <f>IF(OR($B318="",N($J318)=0),"",MIN(N($J318),SUMIFS(nrMK_Sess,nrMK_Link,$B318,nrMK_Credit,"Yes",nrMK_PID,$E318,nrMK_Type,"PT")))</f>
        <v/>
      </c>
      <c r="R318" s="17">
        <f>IF(OR($B318="",$N318&lt;&gt;"Yes"),"",IF($K318="Yes",IF(N($J318)&gt;0,N($J318)-N($Q318),""),IF(N($I318)&gt;0,N($I318)-N($P318),"")))</f>
        <v/>
      </c>
      <c r="S318" s="17">
        <f>IF(OR($B318="",$R318=""),"",IF($R318&lt;=0,IF(IFERROR(_xlfn.MAXIFS(nrMK_Date,nrMK_Link,$B318,nrMK_Credit,"Yes",nrMK_PID,$E318),0)=0,"CLEARED (makeup date missing)","CLEARED "&amp;TEXT(_xlfn.MAXIFS(nrMK_Date,nrMK_Link,$B318,nrMK_Credit,"Yes",nrMK_PID,$E318),"mm/dd")),"OPEN"))</f>
        <v/>
      </c>
      <c r="T318" s="17">
        <f>IF($D318="","",IF($C318="","NO DATE",IF($G318="","NO EVENT TYPE",IF(AND($I318&lt;&gt;"",NOT(ISNUMBER($I318))),"MINUTES NOT A NUMBER",IF(AND($J318&lt;&gt;"",NOT(ISNUMBER($J318))),"SESSIONS NOT A NUMBER",IF(OR(N($I318)&lt;0,N($J318)&lt;0),"NEGATIVE MINUTES/SESSIONS",IF(AND($K318="Yes",N($I318)&gt;0),"MINUTES ON A PT EVENT - not counted (PT counts sessions)",IF(AND($K318="No",N($J318)&gt;0),"SESSIONS ON A CLASSROOM EVENT - not counted (classroom counts minutes)",IF(AND($N318="Yes",$K318="Yes",N($J318)=0),"COUNTED PT EVENT WITH NO SESSIONS - dropped from the PT cap",IF(AND($N318="Yes",$K318="No",N($I318)=0),"COUNTED EVENT WITH NO MINUTES - dropped from the classroom cap","OK"))))))))))</f>
        <v/>
      </c>
    </row>
    <row r="319">
      <c r="B319" s="17">
        <f>IF($D319="","","A"&amp;TEXT(ROW()-5,"000"))</f>
        <v/>
      </c>
      <c r="C319" s="18" t="n"/>
      <c r="D319" s="16" t="n"/>
      <c r="E319" s="17">
        <f>IF($D319="","",IFERROR(INDEX(rngCadetPIDs,MATCH($D319,rngCadetNames,0)),"?"))</f>
        <v/>
      </c>
      <c r="F319" s="17">
        <f>IF($E319="","",IFERROR(INDEX(nrCadetAgency,MATCH($E319,rngCadetPIDs,0)),""))</f>
        <v/>
      </c>
      <c r="G319" s="16" t="n"/>
      <c r="H319" s="16" t="n"/>
      <c r="I319" s="16" t="n"/>
      <c r="J319" s="16" t="n"/>
      <c r="K319" s="17">
        <f>IF($G319="","",IF(OR($G319="PT Missed",$G319="PT Modified",$G319="PT Refused"),"Yes","No"))</f>
        <v/>
      </c>
      <c r="L319" s="16" t="n"/>
      <c r="M319" s="16" t="n"/>
      <c r="N319" s="17">
        <f>IF($D319="","",IF($M319="Excused","No",IF(AND($G319="PT Modified",$L319="Received"),"No","Yes")))</f>
        <v/>
      </c>
      <c r="O319" s="16" t="n"/>
      <c r="P319" s="17">
        <f>IF(OR($B319="",N($I319)=0),"",MIN(N($I319),SUMIFS(nrMK_Min,nrMK_Link,$B319,nrMK_Credit,"Yes",nrMK_PID,$E319,nrMK_Type,"Classroom")))</f>
        <v/>
      </c>
      <c r="Q319" s="17">
        <f>IF(OR($B319="",N($J319)=0),"",MIN(N($J319),SUMIFS(nrMK_Sess,nrMK_Link,$B319,nrMK_Credit,"Yes",nrMK_PID,$E319,nrMK_Type,"PT")))</f>
        <v/>
      </c>
      <c r="R319" s="17">
        <f>IF(OR($B319="",$N319&lt;&gt;"Yes"),"",IF($K319="Yes",IF(N($J319)&gt;0,N($J319)-N($Q319),""),IF(N($I319)&gt;0,N($I319)-N($P319),"")))</f>
        <v/>
      </c>
      <c r="S319" s="17">
        <f>IF(OR($B319="",$R319=""),"",IF($R319&lt;=0,IF(IFERROR(_xlfn.MAXIFS(nrMK_Date,nrMK_Link,$B319,nrMK_Credit,"Yes",nrMK_PID,$E319),0)=0,"CLEARED (makeup date missing)","CLEARED "&amp;TEXT(_xlfn.MAXIFS(nrMK_Date,nrMK_Link,$B319,nrMK_Credit,"Yes",nrMK_PID,$E319),"mm/dd")),"OPEN"))</f>
        <v/>
      </c>
      <c r="T319" s="17">
        <f>IF($D319="","",IF($C319="","NO DATE",IF($G319="","NO EVENT TYPE",IF(AND($I319&lt;&gt;"",NOT(ISNUMBER($I319))),"MINUTES NOT A NUMBER",IF(AND($J319&lt;&gt;"",NOT(ISNUMBER($J319))),"SESSIONS NOT A NUMBER",IF(OR(N($I319)&lt;0,N($J319)&lt;0),"NEGATIVE MINUTES/SESSIONS",IF(AND($K319="Yes",N($I319)&gt;0),"MINUTES ON A PT EVENT - not counted (PT counts sessions)",IF(AND($K319="No",N($J319)&gt;0),"SESSIONS ON A CLASSROOM EVENT - not counted (classroom counts minutes)",IF(AND($N319="Yes",$K319="Yes",N($J319)=0),"COUNTED PT EVENT WITH NO SESSIONS - dropped from the PT cap",IF(AND($N319="Yes",$K319="No",N($I319)=0),"COUNTED EVENT WITH NO MINUTES - dropped from the classroom cap","OK"))))))))))</f>
        <v/>
      </c>
    </row>
    <row r="320">
      <c r="B320" s="17">
        <f>IF($D320="","","A"&amp;TEXT(ROW()-5,"000"))</f>
        <v/>
      </c>
      <c r="C320" s="18" t="n"/>
      <c r="D320" s="16" t="n"/>
      <c r="E320" s="17">
        <f>IF($D320="","",IFERROR(INDEX(rngCadetPIDs,MATCH($D320,rngCadetNames,0)),"?"))</f>
        <v/>
      </c>
      <c r="F320" s="17">
        <f>IF($E320="","",IFERROR(INDEX(nrCadetAgency,MATCH($E320,rngCadetPIDs,0)),""))</f>
        <v/>
      </c>
      <c r="G320" s="16" t="n"/>
      <c r="H320" s="16" t="n"/>
      <c r="I320" s="16" t="n"/>
      <c r="J320" s="16" t="n"/>
      <c r="K320" s="17">
        <f>IF($G320="","",IF(OR($G320="PT Missed",$G320="PT Modified",$G320="PT Refused"),"Yes","No"))</f>
        <v/>
      </c>
      <c r="L320" s="16" t="n"/>
      <c r="M320" s="16" t="n"/>
      <c r="N320" s="17">
        <f>IF($D320="","",IF($M320="Excused","No",IF(AND($G320="PT Modified",$L320="Received"),"No","Yes")))</f>
        <v/>
      </c>
      <c r="O320" s="16" t="n"/>
      <c r="P320" s="17">
        <f>IF(OR($B320="",N($I320)=0),"",MIN(N($I320),SUMIFS(nrMK_Min,nrMK_Link,$B320,nrMK_Credit,"Yes",nrMK_PID,$E320,nrMK_Type,"Classroom")))</f>
        <v/>
      </c>
      <c r="Q320" s="17">
        <f>IF(OR($B320="",N($J320)=0),"",MIN(N($J320),SUMIFS(nrMK_Sess,nrMK_Link,$B320,nrMK_Credit,"Yes",nrMK_PID,$E320,nrMK_Type,"PT")))</f>
        <v/>
      </c>
      <c r="R320" s="17">
        <f>IF(OR($B320="",$N320&lt;&gt;"Yes"),"",IF($K320="Yes",IF(N($J320)&gt;0,N($J320)-N($Q320),""),IF(N($I320)&gt;0,N($I320)-N($P320),"")))</f>
        <v/>
      </c>
      <c r="S320" s="17">
        <f>IF(OR($B320="",$R320=""),"",IF($R320&lt;=0,IF(IFERROR(_xlfn.MAXIFS(nrMK_Date,nrMK_Link,$B320,nrMK_Credit,"Yes",nrMK_PID,$E320),0)=0,"CLEARED (makeup date missing)","CLEARED "&amp;TEXT(_xlfn.MAXIFS(nrMK_Date,nrMK_Link,$B320,nrMK_Credit,"Yes",nrMK_PID,$E320),"mm/dd")),"OPEN"))</f>
        <v/>
      </c>
      <c r="T320" s="17">
        <f>IF($D320="","",IF($C320="","NO DATE",IF($G320="","NO EVENT TYPE",IF(AND($I320&lt;&gt;"",NOT(ISNUMBER($I320))),"MINUTES NOT A NUMBER",IF(AND($J320&lt;&gt;"",NOT(ISNUMBER($J320))),"SESSIONS NOT A NUMBER",IF(OR(N($I320)&lt;0,N($J320)&lt;0),"NEGATIVE MINUTES/SESSIONS",IF(AND($K320="Yes",N($I320)&gt;0),"MINUTES ON A PT EVENT - not counted (PT counts sessions)",IF(AND($K320="No",N($J320)&gt;0),"SESSIONS ON A CLASSROOM EVENT - not counted (classroom counts minutes)",IF(AND($N320="Yes",$K320="Yes",N($J320)=0),"COUNTED PT EVENT WITH NO SESSIONS - dropped from the PT cap",IF(AND($N320="Yes",$K320="No",N($I320)=0),"COUNTED EVENT WITH NO MINUTES - dropped from the classroom cap","OK"))))))))))</f>
        <v/>
      </c>
    </row>
    <row r="321">
      <c r="B321" s="17">
        <f>IF($D321="","","A"&amp;TEXT(ROW()-5,"000"))</f>
        <v/>
      </c>
      <c r="C321" s="18" t="n"/>
      <c r="D321" s="16" t="n"/>
      <c r="E321" s="17">
        <f>IF($D321="","",IFERROR(INDEX(rngCadetPIDs,MATCH($D321,rngCadetNames,0)),"?"))</f>
        <v/>
      </c>
      <c r="F321" s="17">
        <f>IF($E321="","",IFERROR(INDEX(nrCadetAgency,MATCH($E321,rngCadetPIDs,0)),""))</f>
        <v/>
      </c>
      <c r="G321" s="16" t="n"/>
      <c r="H321" s="16" t="n"/>
      <c r="I321" s="16" t="n"/>
      <c r="J321" s="16" t="n"/>
      <c r="K321" s="17">
        <f>IF($G321="","",IF(OR($G321="PT Missed",$G321="PT Modified",$G321="PT Refused"),"Yes","No"))</f>
        <v/>
      </c>
      <c r="L321" s="16" t="n"/>
      <c r="M321" s="16" t="n"/>
      <c r="N321" s="17">
        <f>IF($D321="","",IF($M321="Excused","No",IF(AND($G321="PT Modified",$L321="Received"),"No","Yes")))</f>
        <v/>
      </c>
      <c r="O321" s="16" t="n"/>
      <c r="P321" s="17">
        <f>IF(OR($B321="",N($I321)=0),"",MIN(N($I321),SUMIFS(nrMK_Min,nrMK_Link,$B321,nrMK_Credit,"Yes",nrMK_PID,$E321,nrMK_Type,"Classroom")))</f>
        <v/>
      </c>
      <c r="Q321" s="17">
        <f>IF(OR($B321="",N($J321)=0),"",MIN(N($J321),SUMIFS(nrMK_Sess,nrMK_Link,$B321,nrMK_Credit,"Yes",nrMK_PID,$E321,nrMK_Type,"PT")))</f>
        <v/>
      </c>
      <c r="R321" s="17">
        <f>IF(OR($B321="",$N321&lt;&gt;"Yes"),"",IF($K321="Yes",IF(N($J321)&gt;0,N($J321)-N($Q321),""),IF(N($I321)&gt;0,N($I321)-N($P321),"")))</f>
        <v/>
      </c>
      <c r="S321" s="17">
        <f>IF(OR($B321="",$R321=""),"",IF($R321&lt;=0,IF(IFERROR(_xlfn.MAXIFS(nrMK_Date,nrMK_Link,$B321,nrMK_Credit,"Yes",nrMK_PID,$E321),0)=0,"CLEARED (makeup date missing)","CLEARED "&amp;TEXT(_xlfn.MAXIFS(nrMK_Date,nrMK_Link,$B321,nrMK_Credit,"Yes",nrMK_PID,$E321),"mm/dd")),"OPEN"))</f>
        <v/>
      </c>
      <c r="T321" s="17">
        <f>IF($D321="","",IF($C321="","NO DATE",IF($G321="","NO EVENT TYPE",IF(AND($I321&lt;&gt;"",NOT(ISNUMBER($I321))),"MINUTES NOT A NUMBER",IF(AND($J321&lt;&gt;"",NOT(ISNUMBER($J321))),"SESSIONS NOT A NUMBER",IF(OR(N($I321)&lt;0,N($J321)&lt;0),"NEGATIVE MINUTES/SESSIONS",IF(AND($K321="Yes",N($I321)&gt;0),"MINUTES ON A PT EVENT - not counted (PT counts sessions)",IF(AND($K321="No",N($J321)&gt;0),"SESSIONS ON A CLASSROOM EVENT - not counted (classroom counts minutes)",IF(AND($N321="Yes",$K321="Yes",N($J321)=0),"COUNTED PT EVENT WITH NO SESSIONS - dropped from the PT cap",IF(AND($N321="Yes",$K321="No",N($I321)=0),"COUNTED EVENT WITH NO MINUTES - dropped from the classroom cap","OK"))))))))))</f>
        <v/>
      </c>
    </row>
    <row r="322">
      <c r="B322" s="17">
        <f>IF($D322="","","A"&amp;TEXT(ROW()-5,"000"))</f>
        <v/>
      </c>
      <c r="C322" s="18" t="n"/>
      <c r="D322" s="16" t="n"/>
      <c r="E322" s="17">
        <f>IF($D322="","",IFERROR(INDEX(rngCadetPIDs,MATCH($D322,rngCadetNames,0)),"?"))</f>
        <v/>
      </c>
      <c r="F322" s="17">
        <f>IF($E322="","",IFERROR(INDEX(nrCadetAgency,MATCH($E322,rngCadetPIDs,0)),""))</f>
        <v/>
      </c>
      <c r="G322" s="16" t="n"/>
      <c r="H322" s="16" t="n"/>
      <c r="I322" s="16" t="n"/>
      <c r="J322" s="16" t="n"/>
      <c r="K322" s="17">
        <f>IF($G322="","",IF(OR($G322="PT Missed",$G322="PT Modified",$G322="PT Refused"),"Yes","No"))</f>
        <v/>
      </c>
      <c r="L322" s="16" t="n"/>
      <c r="M322" s="16" t="n"/>
      <c r="N322" s="17">
        <f>IF($D322="","",IF($M322="Excused","No",IF(AND($G322="PT Modified",$L322="Received"),"No","Yes")))</f>
        <v/>
      </c>
      <c r="O322" s="16" t="n"/>
      <c r="P322" s="17">
        <f>IF(OR($B322="",N($I322)=0),"",MIN(N($I322),SUMIFS(nrMK_Min,nrMK_Link,$B322,nrMK_Credit,"Yes",nrMK_PID,$E322,nrMK_Type,"Classroom")))</f>
        <v/>
      </c>
      <c r="Q322" s="17">
        <f>IF(OR($B322="",N($J322)=0),"",MIN(N($J322),SUMIFS(nrMK_Sess,nrMK_Link,$B322,nrMK_Credit,"Yes",nrMK_PID,$E322,nrMK_Type,"PT")))</f>
        <v/>
      </c>
      <c r="R322" s="17">
        <f>IF(OR($B322="",$N322&lt;&gt;"Yes"),"",IF($K322="Yes",IF(N($J322)&gt;0,N($J322)-N($Q322),""),IF(N($I322)&gt;0,N($I322)-N($P322),"")))</f>
        <v/>
      </c>
      <c r="S322" s="17">
        <f>IF(OR($B322="",$R322=""),"",IF($R322&lt;=0,IF(IFERROR(_xlfn.MAXIFS(nrMK_Date,nrMK_Link,$B322,nrMK_Credit,"Yes",nrMK_PID,$E322),0)=0,"CLEARED (makeup date missing)","CLEARED "&amp;TEXT(_xlfn.MAXIFS(nrMK_Date,nrMK_Link,$B322,nrMK_Credit,"Yes",nrMK_PID,$E322),"mm/dd")),"OPEN"))</f>
        <v/>
      </c>
      <c r="T322" s="17">
        <f>IF($D322="","",IF($C322="","NO DATE",IF($G322="","NO EVENT TYPE",IF(AND($I322&lt;&gt;"",NOT(ISNUMBER($I322))),"MINUTES NOT A NUMBER",IF(AND($J322&lt;&gt;"",NOT(ISNUMBER($J322))),"SESSIONS NOT A NUMBER",IF(OR(N($I322)&lt;0,N($J322)&lt;0),"NEGATIVE MINUTES/SESSIONS",IF(AND($K322="Yes",N($I322)&gt;0),"MINUTES ON A PT EVENT - not counted (PT counts sessions)",IF(AND($K322="No",N($J322)&gt;0),"SESSIONS ON A CLASSROOM EVENT - not counted (classroom counts minutes)",IF(AND($N322="Yes",$K322="Yes",N($J322)=0),"COUNTED PT EVENT WITH NO SESSIONS - dropped from the PT cap",IF(AND($N322="Yes",$K322="No",N($I322)=0),"COUNTED EVENT WITH NO MINUTES - dropped from the classroom cap","OK"))))))))))</f>
        <v/>
      </c>
    </row>
    <row r="323">
      <c r="B323" s="17">
        <f>IF($D323="","","A"&amp;TEXT(ROW()-5,"000"))</f>
        <v/>
      </c>
      <c r="C323" s="18" t="n"/>
      <c r="D323" s="16" t="n"/>
      <c r="E323" s="17">
        <f>IF($D323="","",IFERROR(INDEX(rngCadetPIDs,MATCH($D323,rngCadetNames,0)),"?"))</f>
        <v/>
      </c>
      <c r="F323" s="17">
        <f>IF($E323="","",IFERROR(INDEX(nrCadetAgency,MATCH($E323,rngCadetPIDs,0)),""))</f>
        <v/>
      </c>
      <c r="G323" s="16" t="n"/>
      <c r="H323" s="16" t="n"/>
      <c r="I323" s="16" t="n"/>
      <c r="J323" s="16" t="n"/>
      <c r="K323" s="17">
        <f>IF($G323="","",IF(OR($G323="PT Missed",$G323="PT Modified",$G323="PT Refused"),"Yes","No"))</f>
        <v/>
      </c>
      <c r="L323" s="16" t="n"/>
      <c r="M323" s="16" t="n"/>
      <c r="N323" s="17">
        <f>IF($D323="","",IF($M323="Excused","No",IF(AND($G323="PT Modified",$L323="Received"),"No","Yes")))</f>
        <v/>
      </c>
      <c r="O323" s="16" t="n"/>
      <c r="P323" s="17">
        <f>IF(OR($B323="",N($I323)=0),"",MIN(N($I323),SUMIFS(nrMK_Min,nrMK_Link,$B323,nrMK_Credit,"Yes",nrMK_PID,$E323,nrMK_Type,"Classroom")))</f>
        <v/>
      </c>
      <c r="Q323" s="17">
        <f>IF(OR($B323="",N($J323)=0),"",MIN(N($J323),SUMIFS(nrMK_Sess,nrMK_Link,$B323,nrMK_Credit,"Yes",nrMK_PID,$E323,nrMK_Type,"PT")))</f>
        <v/>
      </c>
      <c r="R323" s="17">
        <f>IF(OR($B323="",$N323&lt;&gt;"Yes"),"",IF($K323="Yes",IF(N($J323)&gt;0,N($J323)-N($Q323),""),IF(N($I323)&gt;0,N($I323)-N($P323),"")))</f>
        <v/>
      </c>
      <c r="S323" s="17">
        <f>IF(OR($B323="",$R323=""),"",IF($R323&lt;=0,IF(IFERROR(_xlfn.MAXIFS(nrMK_Date,nrMK_Link,$B323,nrMK_Credit,"Yes",nrMK_PID,$E323),0)=0,"CLEARED (makeup date missing)","CLEARED "&amp;TEXT(_xlfn.MAXIFS(nrMK_Date,nrMK_Link,$B323,nrMK_Credit,"Yes",nrMK_PID,$E323),"mm/dd")),"OPEN"))</f>
        <v/>
      </c>
      <c r="T323" s="17">
        <f>IF($D323="","",IF($C323="","NO DATE",IF($G323="","NO EVENT TYPE",IF(AND($I323&lt;&gt;"",NOT(ISNUMBER($I323))),"MINUTES NOT A NUMBER",IF(AND($J323&lt;&gt;"",NOT(ISNUMBER($J323))),"SESSIONS NOT A NUMBER",IF(OR(N($I323)&lt;0,N($J323)&lt;0),"NEGATIVE MINUTES/SESSIONS",IF(AND($K323="Yes",N($I323)&gt;0),"MINUTES ON A PT EVENT - not counted (PT counts sessions)",IF(AND($K323="No",N($J323)&gt;0),"SESSIONS ON A CLASSROOM EVENT - not counted (classroom counts minutes)",IF(AND($N323="Yes",$K323="Yes",N($J323)=0),"COUNTED PT EVENT WITH NO SESSIONS - dropped from the PT cap",IF(AND($N323="Yes",$K323="No",N($I323)=0),"COUNTED EVENT WITH NO MINUTES - dropped from the classroom cap","OK"))))))))))</f>
        <v/>
      </c>
    </row>
    <row r="324">
      <c r="B324" s="17">
        <f>IF($D324="","","A"&amp;TEXT(ROW()-5,"000"))</f>
        <v/>
      </c>
      <c r="C324" s="18" t="n"/>
      <c r="D324" s="16" t="n"/>
      <c r="E324" s="17">
        <f>IF($D324="","",IFERROR(INDEX(rngCadetPIDs,MATCH($D324,rngCadetNames,0)),"?"))</f>
        <v/>
      </c>
      <c r="F324" s="17">
        <f>IF($E324="","",IFERROR(INDEX(nrCadetAgency,MATCH($E324,rngCadetPIDs,0)),""))</f>
        <v/>
      </c>
      <c r="G324" s="16" t="n"/>
      <c r="H324" s="16" t="n"/>
      <c r="I324" s="16" t="n"/>
      <c r="J324" s="16" t="n"/>
      <c r="K324" s="17">
        <f>IF($G324="","",IF(OR($G324="PT Missed",$G324="PT Modified",$G324="PT Refused"),"Yes","No"))</f>
        <v/>
      </c>
      <c r="L324" s="16" t="n"/>
      <c r="M324" s="16" t="n"/>
      <c r="N324" s="17">
        <f>IF($D324="","",IF($M324="Excused","No",IF(AND($G324="PT Modified",$L324="Received"),"No","Yes")))</f>
        <v/>
      </c>
      <c r="O324" s="16" t="n"/>
      <c r="P324" s="17">
        <f>IF(OR($B324="",N($I324)=0),"",MIN(N($I324),SUMIFS(nrMK_Min,nrMK_Link,$B324,nrMK_Credit,"Yes",nrMK_PID,$E324,nrMK_Type,"Classroom")))</f>
        <v/>
      </c>
      <c r="Q324" s="17">
        <f>IF(OR($B324="",N($J324)=0),"",MIN(N($J324),SUMIFS(nrMK_Sess,nrMK_Link,$B324,nrMK_Credit,"Yes",nrMK_PID,$E324,nrMK_Type,"PT")))</f>
        <v/>
      </c>
      <c r="R324" s="17">
        <f>IF(OR($B324="",$N324&lt;&gt;"Yes"),"",IF($K324="Yes",IF(N($J324)&gt;0,N($J324)-N($Q324),""),IF(N($I324)&gt;0,N($I324)-N($P324),"")))</f>
        <v/>
      </c>
      <c r="S324" s="17">
        <f>IF(OR($B324="",$R324=""),"",IF($R324&lt;=0,IF(IFERROR(_xlfn.MAXIFS(nrMK_Date,nrMK_Link,$B324,nrMK_Credit,"Yes",nrMK_PID,$E324),0)=0,"CLEARED (makeup date missing)","CLEARED "&amp;TEXT(_xlfn.MAXIFS(nrMK_Date,nrMK_Link,$B324,nrMK_Credit,"Yes",nrMK_PID,$E324),"mm/dd")),"OPEN"))</f>
        <v/>
      </c>
      <c r="T324" s="17">
        <f>IF($D324="","",IF($C324="","NO DATE",IF($G324="","NO EVENT TYPE",IF(AND($I324&lt;&gt;"",NOT(ISNUMBER($I324))),"MINUTES NOT A NUMBER",IF(AND($J324&lt;&gt;"",NOT(ISNUMBER($J324))),"SESSIONS NOT A NUMBER",IF(OR(N($I324)&lt;0,N($J324)&lt;0),"NEGATIVE MINUTES/SESSIONS",IF(AND($K324="Yes",N($I324)&gt;0),"MINUTES ON A PT EVENT - not counted (PT counts sessions)",IF(AND($K324="No",N($J324)&gt;0),"SESSIONS ON A CLASSROOM EVENT - not counted (classroom counts minutes)",IF(AND($N324="Yes",$K324="Yes",N($J324)=0),"COUNTED PT EVENT WITH NO SESSIONS - dropped from the PT cap",IF(AND($N324="Yes",$K324="No",N($I324)=0),"COUNTED EVENT WITH NO MINUTES - dropped from the classroom cap","OK"))))))))))</f>
        <v/>
      </c>
    </row>
    <row r="325">
      <c r="B325" s="17">
        <f>IF($D325="","","A"&amp;TEXT(ROW()-5,"000"))</f>
        <v/>
      </c>
      <c r="C325" s="18" t="n"/>
      <c r="D325" s="16" t="n"/>
      <c r="E325" s="17">
        <f>IF($D325="","",IFERROR(INDEX(rngCadetPIDs,MATCH($D325,rngCadetNames,0)),"?"))</f>
        <v/>
      </c>
      <c r="F325" s="17">
        <f>IF($E325="","",IFERROR(INDEX(nrCadetAgency,MATCH($E325,rngCadetPIDs,0)),""))</f>
        <v/>
      </c>
      <c r="G325" s="16" t="n"/>
      <c r="H325" s="16" t="n"/>
      <c r="I325" s="16" t="n"/>
      <c r="J325" s="16" t="n"/>
      <c r="K325" s="17">
        <f>IF($G325="","",IF(OR($G325="PT Missed",$G325="PT Modified",$G325="PT Refused"),"Yes","No"))</f>
        <v/>
      </c>
      <c r="L325" s="16" t="n"/>
      <c r="M325" s="16" t="n"/>
      <c r="N325" s="17">
        <f>IF($D325="","",IF($M325="Excused","No",IF(AND($G325="PT Modified",$L325="Received"),"No","Yes")))</f>
        <v/>
      </c>
      <c r="O325" s="16" t="n"/>
      <c r="P325" s="17">
        <f>IF(OR($B325="",N($I325)=0),"",MIN(N($I325),SUMIFS(nrMK_Min,nrMK_Link,$B325,nrMK_Credit,"Yes",nrMK_PID,$E325,nrMK_Type,"Classroom")))</f>
        <v/>
      </c>
      <c r="Q325" s="17">
        <f>IF(OR($B325="",N($J325)=0),"",MIN(N($J325),SUMIFS(nrMK_Sess,nrMK_Link,$B325,nrMK_Credit,"Yes",nrMK_PID,$E325,nrMK_Type,"PT")))</f>
        <v/>
      </c>
      <c r="R325" s="17">
        <f>IF(OR($B325="",$N325&lt;&gt;"Yes"),"",IF($K325="Yes",IF(N($J325)&gt;0,N($J325)-N($Q325),""),IF(N($I325)&gt;0,N($I325)-N($P325),"")))</f>
        <v/>
      </c>
      <c r="S325" s="17">
        <f>IF(OR($B325="",$R325=""),"",IF($R325&lt;=0,IF(IFERROR(_xlfn.MAXIFS(nrMK_Date,nrMK_Link,$B325,nrMK_Credit,"Yes",nrMK_PID,$E325),0)=0,"CLEARED (makeup date missing)","CLEARED "&amp;TEXT(_xlfn.MAXIFS(nrMK_Date,nrMK_Link,$B325,nrMK_Credit,"Yes",nrMK_PID,$E325),"mm/dd")),"OPEN"))</f>
        <v/>
      </c>
      <c r="T325" s="17">
        <f>IF($D325="","",IF($C325="","NO DATE",IF($G325="","NO EVENT TYPE",IF(AND($I325&lt;&gt;"",NOT(ISNUMBER($I325))),"MINUTES NOT A NUMBER",IF(AND($J325&lt;&gt;"",NOT(ISNUMBER($J325))),"SESSIONS NOT A NUMBER",IF(OR(N($I325)&lt;0,N($J325)&lt;0),"NEGATIVE MINUTES/SESSIONS",IF(AND($K325="Yes",N($I325)&gt;0),"MINUTES ON A PT EVENT - not counted (PT counts sessions)",IF(AND($K325="No",N($J325)&gt;0),"SESSIONS ON A CLASSROOM EVENT - not counted (classroom counts minutes)",IF(AND($N325="Yes",$K325="Yes",N($J325)=0),"COUNTED PT EVENT WITH NO SESSIONS - dropped from the PT cap",IF(AND($N325="Yes",$K325="No",N($I325)=0),"COUNTED EVENT WITH NO MINUTES - dropped from the classroom cap","OK"))))))))))</f>
        <v/>
      </c>
    </row>
    <row r="326">
      <c r="B326" s="17">
        <f>IF($D326="","","A"&amp;TEXT(ROW()-5,"000"))</f>
        <v/>
      </c>
      <c r="C326" s="18" t="n"/>
      <c r="D326" s="16" t="n"/>
      <c r="E326" s="17">
        <f>IF($D326="","",IFERROR(INDEX(rngCadetPIDs,MATCH($D326,rngCadetNames,0)),"?"))</f>
        <v/>
      </c>
      <c r="F326" s="17">
        <f>IF($E326="","",IFERROR(INDEX(nrCadetAgency,MATCH($E326,rngCadetPIDs,0)),""))</f>
        <v/>
      </c>
      <c r="G326" s="16" t="n"/>
      <c r="H326" s="16" t="n"/>
      <c r="I326" s="16" t="n"/>
      <c r="J326" s="16" t="n"/>
      <c r="K326" s="17">
        <f>IF($G326="","",IF(OR($G326="PT Missed",$G326="PT Modified",$G326="PT Refused"),"Yes","No"))</f>
        <v/>
      </c>
      <c r="L326" s="16" t="n"/>
      <c r="M326" s="16" t="n"/>
      <c r="N326" s="17">
        <f>IF($D326="","",IF($M326="Excused","No",IF(AND($G326="PT Modified",$L326="Received"),"No","Yes")))</f>
        <v/>
      </c>
      <c r="O326" s="16" t="n"/>
      <c r="P326" s="17">
        <f>IF(OR($B326="",N($I326)=0),"",MIN(N($I326),SUMIFS(nrMK_Min,nrMK_Link,$B326,nrMK_Credit,"Yes",nrMK_PID,$E326,nrMK_Type,"Classroom")))</f>
        <v/>
      </c>
      <c r="Q326" s="17">
        <f>IF(OR($B326="",N($J326)=0),"",MIN(N($J326),SUMIFS(nrMK_Sess,nrMK_Link,$B326,nrMK_Credit,"Yes",nrMK_PID,$E326,nrMK_Type,"PT")))</f>
        <v/>
      </c>
      <c r="R326" s="17">
        <f>IF(OR($B326="",$N326&lt;&gt;"Yes"),"",IF($K326="Yes",IF(N($J326)&gt;0,N($J326)-N($Q326),""),IF(N($I326)&gt;0,N($I326)-N($P326),"")))</f>
        <v/>
      </c>
      <c r="S326" s="17">
        <f>IF(OR($B326="",$R326=""),"",IF($R326&lt;=0,IF(IFERROR(_xlfn.MAXIFS(nrMK_Date,nrMK_Link,$B326,nrMK_Credit,"Yes",nrMK_PID,$E326),0)=0,"CLEARED (makeup date missing)","CLEARED "&amp;TEXT(_xlfn.MAXIFS(nrMK_Date,nrMK_Link,$B326,nrMK_Credit,"Yes",nrMK_PID,$E326),"mm/dd")),"OPEN"))</f>
        <v/>
      </c>
      <c r="T326" s="17">
        <f>IF($D326="","",IF($C326="","NO DATE",IF($G326="","NO EVENT TYPE",IF(AND($I326&lt;&gt;"",NOT(ISNUMBER($I326))),"MINUTES NOT A NUMBER",IF(AND($J326&lt;&gt;"",NOT(ISNUMBER($J326))),"SESSIONS NOT A NUMBER",IF(OR(N($I326)&lt;0,N($J326)&lt;0),"NEGATIVE MINUTES/SESSIONS",IF(AND($K326="Yes",N($I326)&gt;0),"MINUTES ON A PT EVENT - not counted (PT counts sessions)",IF(AND($K326="No",N($J326)&gt;0),"SESSIONS ON A CLASSROOM EVENT - not counted (classroom counts minutes)",IF(AND($N326="Yes",$K326="Yes",N($J326)=0),"COUNTED PT EVENT WITH NO SESSIONS - dropped from the PT cap",IF(AND($N326="Yes",$K326="No",N($I326)=0),"COUNTED EVENT WITH NO MINUTES - dropped from the classroom cap","OK"))))))))))</f>
        <v/>
      </c>
    </row>
    <row r="327">
      <c r="B327" s="17">
        <f>IF($D327="","","A"&amp;TEXT(ROW()-5,"000"))</f>
        <v/>
      </c>
      <c r="C327" s="18" t="n"/>
      <c r="D327" s="16" t="n"/>
      <c r="E327" s="17">
        <f>IF($D327="","",IFERROR(INDEX(rngCadetPIDs,MATCH($D327,rngCadetNames,0)),"?"))</f>
        <v/>
      </c>
      <c r="F327" s="17">
        <f>IF($E327="","",IFERROR(INDEX(nrCadetAgency,MATCH($E327,rngCadetPIDs,0)),""))</f>
        <v/>
      </c>
      <c r="G327" s="16" t="n"/>
      <c r="H327" s="16" t="n"/>
      <c r="I327" s="16" t="n"/>
      <c r="J327" s="16" t="n"/>
      <c r="K327" s="17">
        <f>IF($G327="","",IF(OR($G327="PT Missed",$G327="PT Modified",$G327="PT Refused"),"Yes","No"))</f>
        <v/>
      </c>
      <c r="L327" s="16" t="n"/>
      <c r="M327" s="16" t="n"/>
      <c r="N327" s="17">
        <f>IF($D327="","",IF($M327="Excused","No",IF(AND($G327="PT Modified",$L327="Received"),"No","Yes")))</f>
        <v/>
      </c>
      <c r="O327" s="16" t="n"/>
      <c r="P327" s="17">
        <f>IF(OR($B327="",N($I327)=0),"",MIN(N($I327),SUMIFS(nrMK_Min,nrMK_Link,$B327,nrMK_Credit,"Yes",nrMK_PID,$E327,nrMK_Type,"Classroom")))</f>
        <v/>
      </c>
      <c r="Q327" s="17">
        <f>IF(OR($B327="",N($J327)=0),"",MIN(N($J327),SUMIFS(nrMK_Sess,nrMK_Link,$B327,nrMK_Credit,"Yes",nrMK_PID,$E327,nrMK_Type,"PT")))</f>
        <v/>
      </c>
      <c r="R327" s="17">
        <f>IF(OR($B327="",$N327&lt;&gt;"Yes"),"",IF($K327="Yes",IF(N($J327)&gt;0,N($J327)-N($Q327),""),IF(N($I327)&gt;0,N($I327)-N($P327),"")))</f>
        <v/>
      </c>
      <c r="S327" s="17">
        <f>IF(OR($B327="",$R327=""),"",IF($R327&lt;=0,IF(IFERROR(_xlfn.MAXIFS(nrMK_Date,nrMK_Link,$B327,nrMK_Credit,"Yes",nrMK_PID,$E327),0)=0,"CLEARED (makeup date missing)","CLEARED "&amp;TEXT(_xlfn.MAXIFS(nrMK_Date,nrMK_Link,$B327,nrMK_Credit,"Yes",nrMK_PID,$E327),"mm/dd")),"OPEN"))</f>
        <v/>
      </c>
      <c r="T327" s="17">
        <f>IF($D327="","",IF($C327="","NO DATE",IF($G327="","NO EVENT TYPE",IF(AND($I327&lt;&gt;"",NOT(ISNUMBER($I327))),"MINUTES NOT A NUMBER",IF(AND($J327&lt;&gt;"",NOT(ISNUMBER($J327))),"SESSIONS NOT A NUMBER",IF(OR(N($I327)&lt;0,N($J327)&lt;0),"NEGATIVE MINUTES/SESSIONS",IF(AND($K327="Yes",N($I327)&gt;0),"MINUTES ON A PT EVENT - not counted (PT counts sessions)",IF(AND($K327="No",N($J327)&gt;0),"SESSIONS ON A CLASSROOM EVENT - not counted (classroom counts minutes)",IF(AND($N327="Yes",$K327="Yes",N($J327)=0),"COUNTED PT EVENT WITH NO SESSIONS - dropped from the PT cap",IF(AND($N327="Yes",$K327="No",N($I327)=0),"COUNTED EVENT WITH NO MINUTES - dropped from the classroom cap","OK"))))))))))</f>
        <v/>
      </c>
    </row>
    <row r="328">
      <c r="B328" s="17">
        <f>IF($D328="","","A"&amp;TEXT(ROW()-5,"000"))</f>
        <v/>
      </c>
      <c r="C328" s="18" t="n"/>
      <c r="D328" s="16" t="n"/>
      <c r="E328" s="17">
        <f>IF($D328="","",IFERROR(INDEX(rngCadetPIDs,MATCH($D328,rngCadetNames,0)),"?"))</f>
        <v/>
      </c>
      <c r="F328" s="17">
        <f>IF($E328="","",IFERROR(INDEX(nrCadetAgency,MATCH($E328,rngCadetPIDs,0)),""))</f>
        <v/>
      </c>
      <c r="G328" s="16" t="n"/>
      <c r="H328" s="16" t="n"/>
      <c r="I328" s="16" t="n"/>
      <c r="J328" s="16" t="n"/>
      <c r="K328" s="17">
        <f>IF($G328="","",IF(OR($G328="PT Missed",$G328="PT Modified",$G328="PT Refused"),"Yes","No"))</f>
        <v/>
      </c>
      <c r="L328" s="16" t="n"/>
      <c r="M328" s="16" t="n"/>
      <c r="N328" s="17">
        <f>IF($D328="","",IF($M328="Excused","No",IF(AND($G328="PT Modified",$L328="Received"),"No","Yes")))</f>
        <v/>
      </c>
      <c r="O328" s="16" t="n"/>
      <c r="P328" s="17">
        <f>IF(OR($B328="",N($I328)=0),"",MIN(N($I328),SUMIFS(nrMK_Min,nrMK_Link,$B328,nrMK_Credit,"Yes",nrMK_PID,$E328,nrMK_Type,"Classroom")))</f>
        <v/>
      </c>
      <c r="Q328" s="17">
        <f>IF(OR($B328="",N($J328)=0),"",MIN(N($J328),SUMIFS(nrMK_Sess,nrMK_Link,$B328,nrMK_Credit,"Yes",nrMK_PID,$E328,nrMK_Type,"PT")))</f>
        <v/>
      </c>
      <c r="R328" s="17">
        <f>IF(OR($B328="",$N328&lt;&gt;"Yes"),"",IF($K328="Yes",IF(N($J328)&gt;0,N($J328)-N($Q328),""),IF(N($I328)&gt;0,N($I328)-N($P328),"")))</f>
        <v/>
      </c>
      <c r="S328" s="17">
        <f>IF(OR($B328="",$R328=""),"",IF($R328&lt;=0,IF(IFERROR(_xlfn.MAXIFS(nrMK_Date,nrMK_Link,$B328,nrMK_Credit,"Yes",nrMK_PID,$E328),0)=0,"CLEARED (makeup date missing)","CLEARED "&amp;TEXT(_xlfn.MAXIFS(nrMK_Date,nrMK_Link,$B328,nrMK_Credit,"Yes",nrMK_PID,$E328),"mm/dd")),"OPEN"))</f>
        <v/>
      </c>
      <c r="T328" s="17">
        <f>IF($D328="","",IF($C328="","NO DATE",IF($G328="","NO EVENT TYPE",IF(AND($I328&lt;&gt;"",NOT(ISNUMBER($I328))),"MINUTES NOT A NUMBER",IF(AND($J328&lt;&gt;"",NOT(ISNUMBER($J328))),"SESSIONS NOT A NUMBER",IF(OR(N($I328)&lt;0,N($J328)&lt;0),"NEGATIVE MINUTES/SESSIONS",IF(AND($K328="Yes",N($I328)&gt;0),"MINUTES ON A PT EVENT - not counted (PT counts sessions)",IF(AND($K328="No",N($J328)&gt;0),"SESSIONS ON A CLASSROOM EVENT - not counted (classroom counts minutes)",IF(AND($N328="Yes",$K328="Yes",N($J328)=0),"COUNTED PT EVENT WITH NO SESSIONS - dropped from the PT cap",IF(AND($N328="Yes",$K328="No",N($I328)=0),"COUNTED EVENT WITH NO MINUTES - dropped from the classroom cap","OK"))))))))))</f>
        <v/>
      </c>
    </row>
    <row r="329">
      <c r="B329" s="17">
        <f>IF($D329="","","A"&amp;TEXT(ROW()-5,"000"))</f>
        <v/>
      </c>
      <c r="C329" s="18" t="n"/>
      <c r="D329" s="16" t="n"/>
      <c r="E329" s="17">
        <f>IF($D329="","",IFERROR(INDEX(rngCadetPIDs,MATCH($D329,rngCadetNames,0)),"?"))</f>
        <v/>
      </c>
      <c r="F329" s="17">
        <f>IF($E329="","",IFERROR(INDEX(nrCadetAgency,MATCH($E329,rngCadetPIDs,0)),""))</f>
        <v/>
      </c>
      <c r="G329" s="16" t="n"/>
      <c r="H329" s="16" t="n"/>
      <c r="I329" s="16" t="n"/>
      <c r="J329" s="16" t="n"/>
      <c r="K329" s="17">
        <f>IF($G329="","",IF(OR($G329="PT Missed",$G329="PT Modified",$G329="PT Refused"),"Yes","No"))</f>
        <v/>
      </c>
      <c r="L329" s="16" t="n"/>
      <c r="M329" s="16" t="n"/>
      <c r="N329" s="17">
        <f>IF($D329="","",IF($M329="Excused","No",IF(AND($G329="PT Modified",$L329="Received"),"No","Yes")))</f>
        <v/>
      </c>
      <c r="O329" s="16" t="n"/>
      <c r="P329" s="17">
        <f>IF(OR($B329="",N($I329)=0),"",MIN(N($I329),SUMIFS(nrMK_Min,nrMK_Link,$B329,nrMK_Credit,"Yes",nrMK_PID,$E329,nrMK_Type,"Classroom")))</f>
        <v/>
      </c>
      <c r="Q329" s="17">
        <f>IF(OR($B329="",N($J329)=0),"",MIN(N($J329),SUMIFS(nrMK_Sess,nrMK_Link,$B329,nrMK_Credit,"Yes",nrMK_PID,$E329,nrMK_Type,"PT")))</f>
        <v/>
      </c>
      <c r="R329" s="17">
        <f>IF(OR($B329="",$N329&lt;&gt;"Yes"),"",IF($K329="Yes",IF(N($J329)&gt;0,N($J329)-N($Q329),""),IF(N($I329)&gt;0,N($I329)-N($P329),"")))</f>
        <v/>
      </c>
      <c r="S329" s="17">
        <f>IF(OR($B329="",$R329=""),"",IF($R329&lt;=0,IF(IFERROR(_xlfn.MAXIFS(nrMK_Date,nrMK_Link,$B329,nrMK_Credit,"Yes",nrMK_PID,$E329),0)=0,"CLEARED (makeup date missing)","CLEARED "&amp;TEXT(_xlfn.MAXIFS(nrMK_Date,nrMK_Link,$B329,nrMK_Credit,"Yes",nrMK_PID,$E329),"mm/dd")),"OPEN"))</f>
        <v/>
      </c>
      <c r="T329" s="17">
        <f>IF($D329="","",IF($C329="","NO DATE",IF($G329="","NO EVENT TYPE",IF(AND($I329&lt;&gt;"",NOT(ISNUMBER($I329))),"MINUTES NOT A NUMBER",IF(AND($J329&lt;&gt;"",NOT(ISNUMBER($J329))),"SESSIONS NOT A NUMBER",IF(OR(N($I329)&lt;0,N($J329)&lt;0),"NEGATIVE MINUTES/SESSIONS",IF(AND($K329="Yes",N($I329)&gt;0),"MINUTES ON A PT EVENT - not counted (PT counts sessions)",IF(AND($K329="No",N($J329)&gt;0),"SESSIONS ON A CLASSROOM EVENT - not counted (classroom counts minutes)",IF(AND($N329="Yes",$K329="Yes",N($J329)=0),"COUNTED PT EVENT WITH NO SESSIONS - dropped from the PT cap",IF(AND($N329="Yes",$K329="No",N($I329)=0),"COUNTED EVENT WITH NO MINUTES - dropped from the classroom cap","OK"))))))))))</f>
        <v/>
      </c>
    </row>
    <row r="330">
      <c r="B330" s="17">
        <f>IF($D330="","","A"&amp;TEXT(ROW()-5,"000"))</f>
        <v/>
      </c>
      <c r="C330" s="18" t="n"/>
      <c r="D330" s="16" t="n"/>
      <c r="E330" s="17">
        <f>IF($D330="","",IFERROR(INDEX(rngCadetPIDs,MATCH($D330,rngCadetNames,0)),"?"))</f>
        <v/>
      </c>
      <c r="F330" s="17">
        <f>IF($E330="","",IFERROR(INDEX(nrCadetAgency,MATCH($E330,rngCadetPIDs,0)),""))</f>
        <v/>
      </c>
      <c r="G330" s="16" t="n"/>
      <c r="H330" s="16" t="n"/>
      <c r="I330" s="16" t="n"/>
      <c r="J330" s="16" t="n"/>
      <c r="K330" s="17">
        <f>IF($G330="","",IF(OR($G330="PT Missed",$G330="PT Modified",$G330="PT Refused"),"Yes","No"))</f>
        <v/>
      </c>
      <c r="L330" s="16" t="n"/>
      <c r="M330" s="16" t="n"/>
      <c r="N330" s="17">
        <f>IF($D330="","",IF($M330="Excused","No",IF(AND($G330="PT Modified",$L330="Received"),"No","Yes")))</f>
        <v/>
      </c>
      <c r="O330" s="16" t="n"/>
      <c r="P330" s="17">
        <f>IF(OR($B330="",N($I330)=0),"",MIN(N($I330),SUMIFS(nrMK_Min,nrMK_Link,$B330,nrMK_Credit,"Yes",nrMK_PID,$E330,nrMK_Type,"Classroom")))</f>
        <v/>
      </c>
      <c r="Q330" s="17">
        <f>IF(OR($B330="",N($J330)=0),"",MIN(N($J330),SUMIFS(nrMK_Sess,nrMK_Link,$B330,nrMK_Credit,"Yes",nrMK_PID,$E330,nrMK_Type,"PT")))</f>
        <v/>
      </c>
      <c r="R330" s="17">
        <f>IF(OR($B330="",$N330&lt;&gt;"Yes"),"",IF($K330="Yes",IF(N($J330)&gt;0,N($J330)-N($Q330),""),IF(N($I330)&gt;0,N($I330)-N($P330),"")))</f>
        <v/>
      </c>
      <c r="S330" s="17">
        <f>IF(OR($B330="",$R330=""),"",IF($R330&lt;=0,IF(IFERROR(_xlfn.MAXIFS(nrMK_Date,nrMK_Link,$B330,nrMK_Credit,"Yes",nrMK_PID,$E330),0)=0,"CLEARED (makeup date missing)","CLEARED "&amp;TEXT(_xlfn.MAXIFS(nrMK_Date,nrMK_Link,$B330,nrMK_Credit,"Yes",nrMK_PID,$E330),"mm/dd")),"OPEN"))</f>
        <v/>
      </c>
      <c r="T330" s="17">
        <f>IF($D330="","",IF($C330="","NO DATE",IF($G330="","NO EVENT TYPE",IF(AND($I330&lt;&gt;"",NOT(ISNUMBER($I330))),"MINUTES NOT A NUMBER",IF(AND($J330&lt;&gt;"",NOT(ISNUMBER($J330))),"SESSIONS NOT A NUMBER",IF(OR(N($I330)&lt;0,N($J330)&lt;0),"NEGATIVE MINUTES/SESSIONS",IF(AND($K330="Yes",N($I330)&gt;0),"MINUTES ON A PT EVENT - not counted (PT counts sessions)",IF(AND($K330="No",N($J330)&gt;0),"SESSIONS ON A CLASSROOM EVENT - not counted (classroom counts minutes)",IF(AND($N330="Yes",$K330="Yes",N($J330)=0),"COUNTED PT EVENT WITH NO SESSIONS - dropped from the PT cap",IF(AND($N330="Yes",$K330="No",N($I330)=0),"COUNTED EVENT WITH NO MINUTES - dropped from the classroom cap","OK"))))))))))</f>
        <v/>
      </c>
    </row>
    <row r="331">
      <c r="B331" s="17">
        <f>IF($D331="","","A"&amp;TEXT(ROW()-5,"000"))</f>
        <v/>
      </c>
      <c r="C331" s="18" t="n"/>
      <c r="D331" s="16" t="n"/>
      <c r="E331" s="17">
        <f>IF($D331="","",IFERROR(INDEX(rngCadetPIDs,MATCH($D331,rngCadetNames,0)),"?"))</f>
        <v/>
      </c>
      <c r="F331" s="17">
        <f>IF($E331="","",IFERROR(INDEX(nrCadetAgency,MATCH($E331,rngCadetPIDs,0)),""))</f>
        <v/>
      </c>
      <c r="G331" s="16" t="n"/>
      <c r="H331" s="16" t="n"/>
      <c r="I331" s="16" t="n"/>
      <c r="J331" s="16" t="n"/>
      <c r="K331" s="17">
        <f>IF($G331="","",IF(OR($G331="PT Missed",$G331="PT Modified",$G331="PT Refused"),"Yes","No"))</f>
        <v/>
      </c>
      <c r="L331" s="16" t="n"/>
      <c r="M331" s="16" t="n"/>
      <c r="N331" s="17">
        <f>IF($D331="","",IF($M331="Excused","No",IF(AND($G331="PT Modified",$L331="Received"),"No","Yes")))</f>
        <v/>
      </c>
      <c r="O331" s="16" t="n"/>
      <c r="P331" s="17">
        <f>IF(OR($B331="",N($I331)=0),"",MIN(N($I331),SUMIFS(nrMK_Min,nrMK_Link,$B331,nrMK_Credit,"Yes",nrMK_PID,$E331,nrMK_Type,"Classroom")))</f>
        <v/>
      </c>
      <c r="Q331" s="17">
        <f>IF(OR($B331="",N($J331)=0),"",MIN(N($J331),SUMIFS(nrMK_Sess,nrMK_Link,$B331,nrMK_Credit,"Yes",nrMK_PID,$E331,nrMK_Type,"PT")))</f>
        <v/>
      </c>
      <c r="R331" s="17">
        <f>IF(OR($B331="",$N331&lt;&gt;"Yes"),"",IF($K331="Yes",IF(N($J331)&gt;0,N($J331)-N($Q331),""),IF(N($I331)&gt;0,N($I331)-N($P331),"")))</f>
        <v/>
      </c>
      <c r="S331" s="17">
        <f>IF(OR($B331="",$R331=""),"",IF($R331&lt;=0,IF(IFERROR(_xlfn.MAXIFS(nrMK_Date,nrMK_Link,$B331,nrMK_Credit,"Yes",nrMK_PID,$E331),0)=0,"CLEARED (makeup date missing)","CLEARED "&amp;TEXT(_xlfn.MAXIFS(nrMK_Date,nrMK_Link,$B331,nrMK_Credit,"Yes",nrMK_PID,$E331),"mm/dd")),"OPEN"))</f>
        <v/>
      </c>
      <c r="T331" s="17">
        <f>IF($D331="","",IF($C331="","NO DATE",IF($G331="","NO EVENT TYPE",IF(AND($I331&lt;&gt;"",NOT(ISNUMBER($I331))),"MINUTES NOT A NUMBER",IF(AND($J331&lt;&gt;"",NOT(ISNUMBER($J331))),"SESSIONS NOT A NUMBER",IF(OR(N($I331)&lt;0,N($J331)&lt;0),"NEGATIVE MINUTES/SESSIONS",IF(AND($K331="Yes",N($I331)&gt;0),"MINUTES ON A PT EVENT - not counted (PT counts sessions)",IF(AND($K331="No",N($J331)&gt;0),"SESSIONS ON A CLASSROOM EVENT - not counted (classroom counts minutes)",IF(AND($N331="Yes",$K331="Yes",N($J331)=0),"COUNTED PT EVENT WITH NO SESSIONS - dropped from the PT cap",IF(AND($N331="Yes",$K331="No",N($I331)=0),"COUNTED EVENT WITH NO MINUTES - dropped from the classroom cap","OK"))))))))))</f>
        <v/>
      </c>
    </row>
    <row r="332">
      <c r="B332" s="17">
        <f>IF($D332="","","A"&amp;TEXT(ROW()-5,"000"))</f>
        <v/>
      </c>
      <c r="C332" s="18" t="n"/>
      <c r="D332" s="16" t="n"/>
      <c r="E332" s="17">
        <f>IF($D332="","",IFERROR(INDEX(rngCadetPIDs,MATCH($D332,rngCadetNames,0)),"?"))</f>
        <v/>
      </c>
      <c r="F332" s="17">
        <f>IF($E332="","",IFERROR(INDEX(nrCadetAgency,MATCH($E332,rngCadetPIDs,0)),""))</f>
        <v/>
      </c>
      <c r="G332" s="16" t="n"/>
      <c r="H332" s="16" t="n"/>
      <c r="I332" s="16" t="n"/>
      <c r="J332" s="16" t="n"/>
      <c r="K332" s="17">
        <f>IF($G332="","",IF(OR($G332="PT Missed",$G332="PT Modified",$G332="PT Refused"),"Yes","No"))</f>
        <v/>
      </c>
      <c r="L332" s="16" t="n"/>
      <c r="M332" s="16" t="n"/>
      <c r="N332" s="17">
        <f>IF($D332="","",IF($M332="Excused","No",IF(AND($G332="PT Modified",$L332="Received"),"No","Yes")))</f>
        <v/>
      </c>
      <c r="O332" s="16" t="n"/>
      <c r="P332" s="17">
        <f>IF(OR($B332="",N($I332)=0),"",MIN(N($I332),SUMIFS(nrMK_Min,nrMK_Link,$B332,nrMK_Credit,"Yes",nrMK_PID,$E332,nrMK_Type,"Classroom")))</f>
        <v/>
      </c>
      <c r="Q332" s="17">
        <f>IF(OR($B332="",N($J332)=0),"",MIN(N($J332),SUMIFS(nrMK_Sess,nrMK_Link,$B332,nrMK_Credit,"Yes",nrMK_PID,$E332,nrMK_Type,"PT")))</f>
        <v/>
      </c>
      <c r="R332" s="17">
        <f>IF(OR($B332="",$N332&lt;&gt;"Yes"),"",IF($K332="Yes",IF(N($J332)&gt;0,N($J332)-N($Q332),""),IF(N($I332)&gt;0,N($I332)-N($P332),"")))</f>
        <v/>
      </c>
      <c r="S332" s="17">
        <f>IF(OR($B332="",$R332=""),"",IF($R332&lt;=0,IF(IFERROR(_xlfn.MAXIFS(nrMK_Date,nrMK_Link,$B332,nrMK_Credit,"Yes",nrMK_PID,$E332),0)=0,"CLEARED (makeup date missing)","CLEARED "&amp;TEXT(_xlfn.MAXIFS(nrMK_Date,nrMK_Link,$B332,nrMK_Credit,"Yes",nrMK_PID,$E332),"mm/dd")),"OPEN"))</f>
        <v/>
      </c>
      <c r="T332" s="17">
        <f>IF($D332="","",IF($C332="","NO DATE",IF($G332="","NO EVENT TYPE",IF(AND($I332&lt;&gt;"",NOT(ISNUMBER($I332))),"MINUTES NOT A NUMBER",IF(AND($J332&lt;&gt;"",NOT(ISNUMBER($J332))),"SESSIONS NOT A NUMBER",IF(OR(N($I332)&lt;0,N($J332)&lt;0),"NEGATIVE MINUTES/SESSIONS",IF(AND($K332="Yes",N($I332)&gt;0),"MINUTES ON A PT EVENT - not counted (PT counts sessions)",IF(AND($K332="No",N($J332)&gt;0),"SESSIONS ON A CLASSROOM EVENT - not counted (classroom counts minutes)",IF(AND($N332="Yes",$K332="Yes",N($J332)=0),"COUNTED PT EVENT WITH NO SESSIONS - dropped from the PT cap",IF(AND($N332="Yes",$K332="No",N($I332)=0),"COUNTED EVENT WITH NO MINUTES - dropped from the classroom cap","OK"))))))))))</f>
        <v/>
      </c>
    </row>
    <row r="333">
      <c r="B333" s="17">
        <f>IF($D333="","","A"&amp;TEXT(ROW()-5,"000"))</f>
        <v/>
      </c>
      <c r="C333" s="18" t="n"/>
      <c r="D333" s="16" t="n"/>
      <c r="E333" s="17">
        <f>IF($D333="","",IFERROR(INDEX(rngCadetPIDs,MATCH($D333,rngCadetNames,0)),"?"))</f>
        <v/>
      </c>
      <c r="F333" s="17">
        <f>IF($E333="","",IFERROR(INDEX(nrCadetAgency,MATCH($E333,rngCadetPIDs,0)),""))</f>
        <v/>
      </c>
      <c r="G333" s="16" t="n"/>
      <c r="H333" s="16" t="n"/>
      <c r="I333" s="16" t="n"/>
      <c r="J333" s="16" t="n"/>
      <c r="K333" s="17">
        <f>IF($G333="","",IF(OR($G333="PT Missed",$G333="PT Modified",$G333="PT Refused"),"Yes","No"))</f>
        <v/>
      </c>
      <c r="L333" s="16" t="n"/>
      <c r="M333" s="16" t="n"/>
      <c r="N333" s="17">
        <f>IF($D333="","",IF($M333="Excused","No",IF(AND($G333="PT Modified",$L333="Received"),"No","Yes")))</f>
        <v/>
      </c>
      <c r="O333" s="16" t="n"/>
      <c r="P333" s="17">
        <f>IF(OR($B333="",N($I333)=0),"",MIN(N($I333),SUMIFS(nrMK_Min,nrMK_Link,$B333,nrMK_Credit,"Yes",nrMK_PID,$E333,nrMK_Type,"Classroom")))</f>
        <v/>
      </c>
      <c r="Q333" s="17">
        <f>IF(OR($B333="",N($J333)=0),"",MIN(N($J333),SUMIFS(nrMK_Sess,nrMK_Link,$B333,nrMK_Credit,"Yes",nrMK_PID,$E333,nrMK_Type,"PT")))</f>
        <v/>
      </c>
      <c r="R333" s="17">
        <f>IF(OR($B333="",$N333&lt;&gt;"Yes"),"",IF($K333="Yes",IF(N($J333)&gt;0,N($J333)-N($Q333),""),IF(N($I333)&gt;0,N($I333)-N($P333),"")))</f>
        <v/>
      </c>
      <c r="S333" s="17">
        <f>IF(OR($B333="",$R333=""),"",IF($R333&lt;=0,IF(IFERROR(_xlfn.MAXIFS(nrMK_Date,nrMK_Link,$B333,nrMK_Credit,"Yes",nrMK_PID,$E333),0)=0,"CLEARED (makeup date missing)","CLEARED "&amp;TEXT(_xlfn.MAXIFS(nrMK_Date,nrMK_Link,$B333,nrMK_Credit,"Yes",nrMK_PID,$E333),"mm/dd")),"OPEN"))</f>
        <v/>
      </c>
      <c r="T333" s="17">
        <f>IF($D333="","",IF($C333="","NO DATE",IF($G333="","NO EVENT TYPE",IF(AND($I333&lt;&gt;"",NOT(ISNUMBER($I333))),"MINUTES NOT A NUMBER",IF(AND($J333&lt;&gt;"",NOT(ISNUMBER($J333))),"SESSIONS NOT A NUMBER",IF(OR(N($I333)&lt;0,N($J333)&lt;0),"NEGATIVE MINUTES/SESSIONS",IF(AND($K333="Yes",N($I333)&gt;0),"MINUTES ON A PT EVENT - not counted (PT counts sessions)",IF(AND($K333="No",N($J333)&gt;0),"SESSIONS ON A CLASSROOM EVENT - not counted (classroom counts minutes)",IF(AND($N333="Yes",$K333="Yes",N($J333)=0),"COUNTED PT EVENT WITH NO SESSIONS - dropped from the PT cap",IF(AND($N333="Yes",$K333="No",N($I333)=0),"COUNTED EVENT WITH NO MINUTES - dropped from the classroom cap","OK"))))))))))</f>
        <v/>
      </c>
    </row>
    <row r="334">
      <c r="B334" s="17">
        <f>IF($D334="","","A"&amp;TEXT(ROW()-5,"000"))</f>
        <v/>
      </c>
      <c r="C334" s="18" t="n"/>
      <c r="D334" s="16" t="n"/>
      <c r="E334" s="17">
        <f>IF($D334="","",IFERROR(INDEX(rngCadetPIDs,MATCH($D334,rngCadetNames,0)),"?"))</f>
        <v/>
      </c>
      <c r="F334" s="17">
        <f>IF($E334="","",IFERROR(INDEX(nrCadetAgency,MATCH($E334,rngCadetPIDs,0)),""))</f>
        <v/>
      </c>
      <c r="G334" s="16" t="n"/>
      <c r="H334" s="16" t="n"/>
      <c r="I334" s="16" t="n"/>
      <c r="J334" s="16" t="n"/>
      <c r="K334" s="17">
        <f>IF($G334="","",IF(OR($G334="PT Missed",$G334="PT Modified",$G334="PT Refused"),"Yes","No"))</f>
        <v/>
      </c>
      <c r="L334" s="16" t="n"/>
      <c r="M334" s="16" t="n"/>
      <c r="N334" s="17">
        <f>IF($D334="","",IF($M334="Excused","No",IF(AND($G334="PT Modified",$L334="Received"),"No","Yes")))</f>
        <v/>
      </c>
      <c r="O334" s="16" t="n"/>
      <c r="P334" s="17">
        <f>IF(OR($B334="",N($I334)=0),"",MIN(N($I334),SUMIFS(nrMK_Min,nrMK_Link,$B334,nrMK_Credit,"Yes",nrMK_PID,$E334,nrMK_Type,"Classroom")))</f>
        <v/>
      </c>
      <c r="Q334" s="17">
        <f>IF(OR($B334="",N($J334)=0),"",MIN(N($J334),SUMIFS(nrMK_Sess,nrMK_Link,$B334,nrMK_Credit,"Yes",nrMK_PID,$E334,nrMK_Type,"PT")))</f>
        <v/>
      </c>
      <c r="R334" s="17">
        <f>IF(OR($B334="",$N334&lt;&gt;"Yes"),"",IF($K334="Yes",IF(N($J334)&gt;0,N($J334)-N($Q334),""),IF(N($I334)&gt;0,N($I334)-N($P334),"")))</f>
        <v/>
      </c>
      <c r="S334" s="17">
        <f>IF(OR($B334="",$R334=""),"",IF($R334&lt;=0,IF(IFERROR(_xlfn.MAXIFS(nrMK_Date,nrMK_Link,$B334,nrMK_Credit,"Yes",nrMK_PID,$E334),0)=0,"CLEARED (makeup date missing)","CLEARED "&amp;TEXT(_xlfn.MAXIFS(nrMK_Date,nrMK_Link,$B334,nrMK_Credit,"Yes",nrMK_PID,$E334),"mm/dd")),"OPEN"))</f>
        <v/>
      </c>
      <c r="T334" s="17">
        <f>IF($D334="","",IF($C334="","NO DATE",IF($G334="","NO EVENT TYPE",IF(AND($I334&lt;&gt;"",NOT(ISNUMBER($I334))),"MINUTES NOT A NUMBER",IF(AND($J334&lt;&gt;"",NOT(ISNUMBER($J334))),"SESSIONS NOT A NUMBER",IF(OR(N($I334)&lt;0,N($J334)&lt;0),"NEGATIVE MINUTES/SESSIONS",IF(AND($K334="Yes",N($I334)&gt;0),"MINUTES ON A PT EVENT - not counted (PT counts sessions)",IF(AND($K334="No",N($J334)&gt;0),"SESSIONS ON A CLASSROOM EVENT - not counted (classroom counts minutes)",IF(AND($N334="Yes",$K334="Yes",N($J334)=0),"COUNTED PT EVENT WITH NO SESSIONS - dropped from the PT cap",IF(AND($N334="Yes",$K334="No",N($I334)=0),"COUNTED EVENT WITH NO MINUTES - dropped from the classroom cap","OK"))))))))))</f>
        <v/>
      </c>
    </row>
    <row r="335">
      <c r="B335" s="17">
        <f>IF($D335="","","A"&amp;TEXT(ROW()-5,"000"))</f>
        <v/>
      </c>
      <c r="C335" s="18" t="n"/>
      <c r="D335" s="16" t="n"/>
      <c r="E335" s="17">
        <f>IF($D335="","",IFERROR(INDEX(rngCadetPIDs,MATCH($D335,rngCadetNames,0)),"?"))</f>
        <v/>
      </c>
      <c r="F335" s="17">
        <f>IF($E335="","",IFERROR(INDEX(nrCadetAgency,MATCH($E335,rngCadetPIDs,0)),""))</f>
        <v/>
      </c>
      <c r="G335" s="16" t="n"/>
      <c r="H335" s="16" t="n"/>
      <c r="I335" s="16" t="n"/>
      <c r="J335" s="16" t="n"/>
      <c r="K335" s="17">
        <f>IF($G335="","",IF(OR($G335="PT Missed",$G335="PT Modified",$G335="PT Refused"),"Yes","No"))</f>
        <v/>
      </c>
      <c r="L335" s="16" t="n"/>
      <c r="M335" s="16" t="n"/>
      <c r="N335" s="17">
        <f>IF($D335="","",IF($M335="Excused","No",IF(AND($G335="PT Modified",$L335="Received"),"No","Yes")))</f>
        <v/>
      </c>
      <c r="O335" s="16" t="n"/>
      <c r="P335" s="17">
        <f>IF(OR($B335="",N($I335)=0),"",MIN(N($I335),SUMIFS(nrMK_Min,nrMK_Link,$B335,nrMK_Credit,"Yes",nrMK_PID,$E335,nrMK_Type,"Classroom")))</f>
        <v/>
      </c>
      <c r="Q335" s="17">
        <f>IF(OR($B335="",N($J335)=0),"",MIN(N($J335),SUMIFS(nrMK_Sess,nrMK_Link,$B335,nrMK_Credit,"Yes",nrMK_PID,$E335,nrMK_Type,"PT")))</f>
        <v/>
      </c>
      <c r="R335" s="17">
        <f>IF(OR($B335="",$N335&lt;&gt;"Yes"),"",IF($K335="Yes",IF(N($J335)&gt;0,N($J335)-N($Q335),""),IF(N($I335)&gt;0,N($I335)-N($P335),"")))</f>
        <v/>
      </c>
      <c r="S335" s="17">
        <f>IF(OR($B335="",$R335=""),"",IF($R335&lt;=0,IF(IFERROR(_xlfn.MAXIFS(nrMK_Date,nrMK_Link,$B335,nrMK_Credit,"Yes",nrMK_PID,$E335),0)=0,"CLEARED (makeup date missing)","CLEARED "&amp;TEXT(_xlfn.MAXIFS(nrMK_Date,nrMK_Link,$B335,nrMK_Credit,"Yes",nrMK_PID,$E335),"mm/dd")),"OPEN"))</f>
        <v/>
      </c>
      <c r="T335" s="17">
        <f>IF($D335="","",IF($C335="","NO DATE",IF($G335="","NO EVENT TYPE",IF(AND($I335&lt;&gt;"",NOT(ISNUMBER($I335))),"MINUTES NOT A NUMBER",IF(AND($J335&lt;&gt;"",NOT(ISNUMBER($J335))),"SESSIONS NOT A NUMBER",IF(OR(N($I335)&lt;0,N($J335)&lt;0),"NEGATIVE MINUTES/SESSIONS",IF(AND($K335="Yes",N($I335)&gt;0),"MINUTES ON A PT EVENT - not counted (PT counts sessions)",IF(AND($K335="No",N($J335)&gt;0),"SESSIONS ON A CLASSROOM EVENT - not counted (classroom counts minutes)",IF(AND($N335="Yes",$K335="Yes",N($J335)=0),"COUNTED PT EVENT WITH NO SESSIONS - dropped from the PT cap",IF(AND($N335="Yes",$K335="No",N($I335)=0),"COUNTED EVENT WITH NO MINUTES - dropped from the classroom cap","OK"))))))))))</f>
        <v/>
      </c>
    </row>
    <row r="336">
      <c r="B336" s="17">
        <f>IF($D336="","","A"&amp;TEXT(ROW()-5,"000"))</f>
        <v/>
      </c>
      <c r="C336" s="18" t="n"/>
      <c r="D336" s="16" t="n"/>
      <c r="E336" s="17">
        <f>IF($D336="","",IFERROR(INDEX(rngCadetPIDs,MATCH($D336,rngCadetNames,0)),"?"))</f>
        <v/>
      </c>
      <c r="F336" s="17">
        <f>IF($E336="","",IFERROR(INDEX(nrCadetAgency,MATCH($E336,rngCadetPIDs,0)),""))</f>
        <v/>
      </c>
      <c r="G336" s="16" t="n"/>
      <c r="H336" s="16" t="n"/>
      <c r="I336" s="16" t="n"/>
      <c r="J336" s="16" t="n"/>
      <c r="K336" s="17">
        <f>IF($G336="","",IF(OR($G336="PT Missed",$G336="PT Modified",$G336="PT Refused"),"Yes","No"))</f>
        <v/>
      </c>
      <c r="L336" s="16" t="n"/>
      <c r="M336" s="16" t="n"/>
      <c r="N336" s="17">
        <f>IF($D336="","",IF($M336="Excused","No",IF(AND($G336="PT Modified",$L336="Received"),"No","Yes")))</f>
        <v/>
      </c>
      <c r="O336" s="16" t="n"/>
      <c r="P336" s="17">
        <f>IF(OR($B336="",N($I336)=0),"",MIN(N($I336),SUMIFS(nrMK_Min,nrMK_Link,$B336,nrMK_Credit,"Yes",nrMK_PID,$E336,nrMK_Type,"Classroom")))</f>
        <v/>
      </c>
      <c r="Q336" s="17">
        <f>IF(OR($B336="",N($J336)=0),"",MIN(N($J336),SUMIFS(nrMK_Sess,nrMK_Link,$B336,nrMK_Credit,"Yes",nrMK_PID,$E336,nrMK_Type,"PT")))</f>
        <v/>
      </c>
      <c r="R336" s="17">
        <f>IF(OR($B336="",$N336&lt;&gt;"Yes"),"",IF($K336="Yes",IF(N($J336)&gt;0,N($J336)-N($Q336),""),IF(N($I336)&gt;0,N($I336)-N($P336),"")))</f>
        <v/>
      </c>
      <c r="S336" s="17">
        <f>IF(OR($B336="",$R336=""),"",IF($R336&lt;=0,IF(IFERROR(_xlfn.MAXIFS(nrMK_Date,nrMK_Link,$B336,nrMK_Credit,"Yes",nrMK_PID,$E336),0)=0,"CLEARED (makeup date missing)","CLEARED "&amp;TEXT(_xlfn.MAXIFS(nrMK_Date,nrMK_Link,$B336,nrMK_Credit,"Yes",nrMK_PID,$E336),"mm/dd")),"OPEN"))</f>
        <v/>
      </c>
      <c r="T336" s="17">
        <f>IF($D336="","",IF($C336="","NO DATE",IF($G336="","NO EVENT TYPE",IF(AND($I336&lt;&gt;"",NOT(ISNUMBER($I336))),"MINUTES NOT A NUMBER",IF(AND($J336&lt;&gt;"",NOT(ISNUMBER($J336))),"SESSIONS NOT A NUMBER",IF(OR(N($I336)&lt;0,N($J336)&lt;0),"NEGATIVE MINUTES/SESSIONS",IF(AND($K336="Yes",N($I336)&gt;0),"MINUTES ON A PT EVENT - not counted (PT counts sessions)",IF(AND($K336="No",N($J336)&gt;0),"SESSIONS ON A CLASSROOM EVENT - not counted (classroom counts minutes)",IF(AND($N336="Yes",$K336="Yes",N($J336)=0),"COUNTED PT EVENT WITH NO SESSIONS - dropped from the PT cap",IF(AND($N336="Yes",$K336="No",N($I336)=0),"COUNTED EVENT WITH NO MINUTES - dropped from the classroom cap","OK"))))))))))</f>
        <v/>
      </c>
    </row>
    <row r="337">
      <c r="B337" s="17">
        <f>IF($D337="","","A"&amp;TEXT(ROW()-5,"000"))</f>
        <v/>
      </c>
      <c r="C337" s="18" t="n"/>
      <c r="D337" s="16" t="n"/>
      <c r="E337" s="17">
        <f>IF($D337="","",IFERROR(INDEX(rngCadetPIDs,MATCH($D337,rngCadetNames,0)),"?"))</f>
        <v/>
      </c>
      <c r="F337" s="17">
        <f>IF($E337="","",IFERROR(INDEX(nrCadetAgency,MATCH($E337,rngCadetPIDs,0)),""))</f>
        <v/>
      </c>
      <c r="G337" s="16" t="n"/>
      <c r="H337" s="16" t="n"/>
      <c r="I337" s="16" t="n"/>
      <c r="J337" s="16" t="n"/>
      <c r="K337" s="17">
        <f>IF($G337="","",IF(OR($G337="PT Missed",$G337="PT Modified",$G337="PT Refused"),"Yes","No"))</f>
        <v/>
      </c>
      <c r="L337" s="16" t="n"/>
      <c r="M337" s="16" t="n"/>
      <c r="N337" s="17">
        <f>IF($D337="","",IF($M337="Excused","No",IF(AND($G337="PT Modified",$L337="Received"),"No","Yes")))</f>
        <v/>
      </c>
      <c r="O337" s="16" t="n"/>
      <c r="P337" s="17">
        <f>IF(OR($B337="",N($I337)=0),"",MIN(N($I337),SUMIFS(nrMK_Min,nrMK_Link,$B337,nrMK_Credit,"Yes",nrMK_PID,$E337,nrMK_Type,"Classroom")))</f>
        <v/>
      </c>
      <c r="Q337" s="17">
        <f>IF(OR($B337="",N($J337)=0),"",MIN(N($J337),SUMIFS(nrMK_Sess,nrMK_Link,$B337,nrMK_Credit,"Yes",nrMK_PID,$E337,nrMK_Type,"PT")))</f>
        <v/>
      </c>
      <c r="R337" s="17">
        <f>IF(OR($B337="",$N337&lt;&gt;"Yes"),"",IF($K337="Yes",IF(N($J337)&gt;0,N($J337)-N($Q337),""),IF(N($I337)&gt;0,N($I337)-N($P337),"")))</f>
        <v/>
      </c>
      <c r="S337" s="17">
        <f>IF(OR($B337="",$R337=""),"",IF($R337&lt;=0,IF(IFERROR(_xlfn.MAXIFS(nrMK_Date,nrMK_Link,$B337,nrMK_Credit,"Yes",nrMK_PID,$E337),0)=0,"CLEARED (makeup date missing)","CLEARED "&amp;TEXT(_xlfn.MAXIFS(nrMK_Date,nrMK_Link,$B337,nrMK_Credit,"Yes",nrMK_PID,$E337),"mm/dd")),"OPEN"))</f>
        <v/>
      </c>
      <c r="T337" s="17">
        <f>IF($D337="","",IF($C337="","NO DATE",IF($G337="","NO EVENT TYPE",IF(AND($I337&lt;&gt;"",NOT(ISNUMBER($I337))),"MINUTES NOT A NUMBER",IF(AND($J337&lt;&gt;"",NOT(ISNUMBER($J337))),"SESSIONS NOT A NUMBER",IF(OR(N($I337)&lt;0,N($J337)&lt;0),"NEGATIVE MINUTES/SESSIONS",IF(AND($K337="Yes",N($I337)&gt;0),"MINUTES ON A PT EVENT - not counted (PT counts sessions)",IF(AND($K337="No",N($J337)&gt;0),"SESSIONS ON A CLASSROOM EVENT - not counted (classroom counts minutes)",IF(AND($N337="Yes",$K337="Yes",N($J337)=0),"COUNTED PT EVENT WITH NO SESSIONS - dropped from the PT cap",IF(AND($N337="Yes",$K337="No",N($I337)=0),"COUNTED EVENT WITH NO MINUTES - dropped from the classroom cap","OK"))))))))))</f>
        <v/>
      </c>
    </row>
    <row r="338">
      <c r="B338" s="17">
        <f>IF($D338="","","A"&amp;TEXT(ROW()-5,"000"))</f>
        <v/>
      </c>
      <c r="C338" s="18" t="n"/>
      <c r="D338" s="16" t="n"/>
      <c r="E338" s="17">
        <f>IF($D338="","",IFERROR(INDEX(rngCadetPIDs,MATCH($D338,rngCadetNames,0)),"?"))</f>
        <v/>
      </c>
      <c r="F338" s="17">
        <f>IF($E338="","",IFERROR(INDEX(nrCadetAgency,MATCH($E338,rngCadetPIDs,0)),""))</f>
        <v/>
      </c>
      <c r="G338" s="16" t="n"/>
      <c r="H338" s="16" t="n"/>
      <c r="I338" s="16" t="n"/>
      <c r="J338" s="16" t="n"/>
      <c r="K338" s="17">
        <f>IF($G338="","",IF(OR($G338="PT Missed",$G338="PT Modified",$G338="PT Refused"),"Yes","No"))</f>
        <v/>
      </c>
      <c r="L338" s="16" t="n"/>
      <c r="M338" s="16" t="n"/>
      <c r="N338" s="17">
        <f>IF($D338="","",IF($M338="Excused","No",IF(AND($G338="PT Modified",$L338="Received"),"No","Yes")))</f>
        <v/>
      </c>
      <c r="O338" s="16" t="n"/>
      <c r="P338" s="17">
        <f>IF(OR($B338="",N($I338)=0),"",MIN(N($I338),SUMIFS(nrMK_Min,nrMK_Link,$B338,nrMK_Credit,"Yes",nrMK_PID,$E338,nrMK_Type,"Classroom")))</f>
        <v/>
      </c>
      <c r="Q338" s="17">
        <f>IF(OR($B338="",N($J338)=0),"",MIN(N($J338),SUMIFS(nrMK_Sess,nrMK_Link,$B338,nrMK_Credit,"Yes",nrMK_PID,$E338,nrMK_Type,"PT")))</f>
        <v/>
      </c>
      <c r="R338" s="17">
        <f>IF(OR($B338="",$N338&lt;&gt;"Yes"),"",IF($K338="Yes",IF(N($J338)&gt;0,N($J338)-N($Q338),""),IF(N($I338)&gt;0,N($I338)-N($P338),"")))</f>
        <v/>
      </c>
      <c r="S338" s="17">
        <f>IF(OR($B338="",$R338=""),"",IF($R338&lt;=0,IF(IFERROR(_xlfn.MAXIFS(nrMK_Date,nrMK_Link,$B338,nrMK_Credit,"Yes",nrMK_PID,$E338),0)=0,"CLEARED (makeup date missing)","CLEARED "&amp;TEXT(_xlfn.MAXIFS(nrMK_Date,nrMK_Link,$B338,nrMK_Credit,"Yes",nrMK_PID,$E338),"mm/dd")),"OPEN"))</f>
        <v/>
      </c>
      <c r="T338" s="17">
        <f>IF($D338="","",IF($C338="","NO DATE",IF($G338="","NO EVENT TYPE",IF(AND($I338&lt;&gt;"",NOT(ISNUMBER($I338))),"MINUTES NOT A NUMBER",IF(AND($J338&lt;&gt;"",NOT(ISNUMBER($J338))),"SESSIONS NOT A NUMBER",IF(OR(N($I338)&lt;0,N($J338)&lt;0),"NEGATIVE MINUTES/SESSIONS",IF(AND($K338="Yes",N($I338)&gt;0),"MINUTES ON A PT EVENT - not counted (PT counts sessions)",IF(AND($K338="No",N($J338)&gt;0),"SESSIONS ON A CLASSROOM EVENT - not counted (classroom counts minutes)",IF(AND($N338="Yes",$K338="Yes",N($J338)=0),"COUNTED PT EVENT WITH NO SESSIONS - dropped from the PT cap",IF(AND($N338="Yes",$K338="No",N($I338)=0),"COUNTED EVENT WITH NO MINUTES - dropped from the classroom cap","OK"))))))))))</f>
        <v/>
      </c>
    </row>
    <row r="339">
      <c r="B339" s="17">
        <f>IF($D339="","","A"&amp;TEXT(ROW()-5,"000"))</f>
        <v/>
      </c>
      <c r="C339" s="18" t="n"/>
      <c r="D339" s="16" t="n"/>
      <c r="E339" s="17">
        <f>IF($D339="","",IFERROR(INDEX(rngCadetPIDs,MATCH($D339,rngCadetNames,0)),"?"))</f>
        <v/>
      </c>
      <c r="F339" s="17">
        <f>IF($E339="","",IFERROR(INDEX(nrCadetAgency,MATCH($E339,rngCadetPIDs,0)),""))</f>
        <v/>
      </c>
      <c r="G339" s="16" t="n"/>
      <c r="H339" s="16" t="n"/>
      <c r="I339" s="16" t="n"/>
      <c r="J339" s="16" t="n"/>
      <c r="K339" s="17">
        <f>IF($G339="","",IF(OR($G339="PT Missed",$G339="PT Modified",$G339="PT Refused"),"Yes","No"))</f>
        <v/>
      </c>
      <c r="L339" s="16" t="n"/>
      <c r="M339" s="16" t="n"/>
      <c r="N339" s="17">
        <f>IF($D339="","",IF($M339="Excused","No",IF(AND($G339="PT Modified",$L339="Received"),"No","Yes")))</f>
        <v/>
      </c>
      <c r="O339" s="16" t="n"/>
      <c r="P339" s="17">
        <f>IF(OR($B339="",N($I339)=0),"",MIN(N($I339),SUMIFS(nrMK_Min,nrMK_Link,$B339,nrMK_Credit,"Yes",nrMK_PID,$E339,nrMK_Type,"Classroom")))</f>
        <v/>
      </c>
      <c r="Q339" s="17">
        <f>IF(OR($B339="",N($J339)=0),"",MIN(N($J339),SUMIFS(nrMK_Sess,nrMK_Link,$B339,nrMK_Credit,"Yes",nrMK_PID,$E339,nrMK_Type,"PT")))</f>
        <v/>
      </c>
      <c r="R339" s="17">
        <f>IF(OR($B339="",$N339&lt;&gt;"Yes"),"",IF($K339="Yes",IF(N($J339)&gt;0,N($J339)-N($Q339),""),IF(N($I339)&gt;0,N($I339)-N($P339),"")))</f>
        <v/>
      </c>
      <c r="S339" s="17">
        <f>IF(OR($B339="",$R339=""),"",IF($R339&lt;=0,IF(IFERROR(_xlfn.MAXIFS(nrMK_Date,nrMK_Link,$B339,nrMK_Credit,"Yes",nrMK_PID,$E339),0)=0,"CLEARED (makeup date missing)","CLEARED "&amp;TEXT(_xlfn.MAXIFS(nrMK_Date,nrMK_Link,$B339,nrMK_Credit,"Yes",nrMK_PID,$E339),"mm/dd")),"OPEN"))</f>
        <v/>
      </c>
      <c r="T339" s="17">
        <f>IF($D339="","",IF($C339="","NO DATE",IF($G339="","NO EVENT TYPE",IF(AND($I339&lt;&gt;"",NOT(ISNUMBER($I339))),"MINUTES NOT A NUMBER",IF(AND($J339&lt;&gt;"",NOT(ISNUMBER($J339))),"SESSIONS NOT A NUMBER",IF(OR(N($I339)&lt;0,N($J339)&lt;0),"NEGATIVE MINUTES/SESSIONS",IF(AND($K339="Yes",N($I339)&gt;0),"MINUTES ON A PT EVENT - not counted (PT counts sessions)",IF(AND($K339="No",N($J339)&gt;0),"SESSIONS ON A CLASSROOM EVENT - not counted (classroom counts minutes)",IF(AND($N339="Yes",$K339="Yes",N($J339)=0),"COUNTED PT EVENT WITH NO SESSIONS - dropped from the PT cap",IF(AND($N339="Yes",$K339="No",N($I339)=0),"COUNTED EVENT WITH NO MINUTES - dropped from the classroom cap","OK"))))))))))</f>
        <v/>
      </c>
    </row>
    <row r="340">
      <c r="B340" s="17">
        <f>IF($D340="","","A"&amp;TEXT(ROW()-5,"000"))</f>
        <v/>
      </c>
      <c r="C340" s="18" t="n"/>
      <c r="D340" s="16" t="n"/>
      <c r="E340" s="17">
        <f>IF($D340="","",IFERROR(INDEX(rngCadetPIDs,MATCH($D340,rngCadetNames,0)),"?"))</f>
        <v/>
      </c>
      <c r="F340" s="17">
        <f>IF($E340="","",IFERROR(INDEX(nrCadetAgency,MATCH($E340,rngCadetPIDs,0)),""))</f>
        <v/>
      </c>
      <c r="G340" s="16" t="n"/>
      <c r="H340" s="16" t="n"/>
      <c r="I340" s="16" t="n"/>
      <c r="J340" s="16" t="n"/>
      <c r="K340" s="17">
        <f>IF($G340="","",IF(OR($G340="PT Missed",$G340="PT Modified",$G340="PT Refused"),"Yes","No"))</f>
        <v/>
      </c>
      <c r="L340" s="16" t="n"/>
      <c r="M340" s="16" t="n"/>
      <c r="N340" s="17">
        <f>IF($D340="","",IF($M340="Excused","No",IF(AND($G340="PT Modified",$L340="Received"),"No","Yes")))</f>
        <v/>
      </c>
      <c r="O340" s="16" t="n"/>
      <c r="P340" s="17">
        <f>IF(OR($B340="",N($I340)=0),"",MIN(N($I340),SUMIFS(nrMK_Min,nrMK_Link,$B340,nrMK_Credit,"Yes",nrMK_PID,$E340,nrMK_Type,"Classroom")))</f>
        <v/>
      </c>
      <c r="Q340" s="17">
        <f>IF(OR($B340="",N($J340)=0),"",MIN(N($J340),SUMIFS(nrMK_Sess,nrMK_Link,$B340,nrMK_Credit,"Yes",nrMK_PID,$E340,nrMK_Type,"PT")))</f>
        <v/>
      </c>
      <c r="R340" s="17">
        <f>IF(OR($B340="",$N340&lt;&gt;"Yes"),"",IF($K340="Yes",IF(N($J340)&gt;0,N($J340)-N($Q340),""),IF(N($I340)&gt;0,N($I340)-N($P340),"")))</f>
        <v/>
      </c>
      <c r="S340" s="17">
        <f>IF(OR($B340="",$R340=""),"",IF($R340&lt;=0,IF(IFERROR(_xlfn.MAXIFS(nrMK_Date,nrMK_Link,$B340,nrMK_Credit,"Yes",nrMK_PID,$E340),0)=0,"CLEARED (makeup date missing)","CLEARED "&amp;TEXT(_xlfn.MAXIFS(nrMK_Date,nrMK_Link,$B340,nrMK_Credit,"Yes",nrMK_PID,$E340),"mm/dd")),"OPEN"))</f>
        <v/>
      </c>
      <c r="T340" s="17">
        <f>IF($D340="","",IF($C340="","NO DATE",IF($G340="","NO EVENT TYPE",IF(AND($I340&lt;&gt;"",NOT(ISNUMBER($I340))),"MINUTES NOT A NUMBER",IF(AND($J340&lt;&gt;"",NOT(ISNUMBER($J340))),"SESSIONS NOT A NUMBER",IF(OR(N($I340)&lt;0,N($J340)&lt;0),"NEGATIVE MINUTES/SESSIONS",IF(AND($K340="Yes",N($I340)&gt;0),"MINUTES ON A PT EVENT - not counted (PT counts sessions)",IF(AND($K340="No",N($J340)&gt;0),"SESSIONS ON A CLASSROOM EVENT - not counted (classroom counts minutes)",IF(AND($N340="Yes",$K340="Yes",N($J340)=0),"COUNTED PT EVENT WITH NO SESSIONS - dropped from the PT cap",IF(AND($N340="Yes",$K340="No",N($I340)=0),"COUNTED EVENT WITH NO MINUTES - dropped from the classroom cap","OK"))))))))))</f>
        <v/>
      </c>
    </row>
    <row r="341">
      <c r="B341" s="17">
        <f>IF($D341="","","A"&amp;TEXT(ROW()-5,"000"))</f>
        <v/>
      </c>
      <c r="C341" s="18" t="n"/>
      <c r="D341" s="16" t="n"/>
      <c r="E341" s="17">
        <f>IF($D341="","",IFERROR(INDEX(rngCadetPIDs,MATCH($D341,rngCadetNames,0)),"?"))</f>
        <v/>
      </c>
      <c r="F341" s="17">
        <f>IF($E341="","",IFERROR(INDEX(nrCadetAgency,MATCH($E341,rngCadetPIDs,0)),""))</f>
        <v/>
      </c>
      <c r="G341" s="16" t="n"/>
      <c r="H341" s="16" t="n"/>
      <c r="I341" s="16" t="n"/>
      <c r="J341" s="16" t="n"/>
      <c r="K341" s="17">
        <f>IF($G341="","",IF(OR($G341="PT Missed",$G341="PT Modified",$G341="PT Refused"),"Yes","No"))</f>
        <v/>
      </c>
      <c r="L341" s="16" t="n"/>
      <c r="M341" s="16" t="n"/>
      <c r="N341" s="17">
        <f>IF($D341="","",IF($M341="Excused","No",IF(AND($G341="PT Modified",$L341="Received"),"No","Yes")))</f>
        <v/>
      </c>
      <c r="O341" s="16" t="n"/>
      <c r="P341" s="17">
        <f>IF(OR($B341="",N($I341)=0),"",MIN(N($I341),SUMIFS(nrMK_Min,nrMK_Link,$B341,nrMK_Credit,"Yes",nrMK_PID,$E341,nrMK_Type,"Classroom")))</f>
        <v/>
      </c>
      <c r="Q341" s="17">
        <f>IF(OR($B341="",N($J341)=0),"",MIN(N($J341),SUMIFS(nrMK_Sess,nrMK_Link,$B341,nrMK_Credit,"Yes",nrMK_PID,$E341,nrMK_Type,"PT")))</f>
        <v/>
      </c>
      <c r="R341" s="17">
        <f>IF(OR($B341="",$N341&lt;&gt;"Yes"),"",IF($K341="Yes",IF(N($J341)&gt;0,N($J341)-N($Q341),""),IF(N($I341)&gt;0,N($I341)-N($P341),"")))</f>
        <v/>
      </c>
      <c r="S341" s="17">
        <f>IF(OR($B341="",$R341=""),"",IF($R341&lt;=0,IF(IFERROR(_xlfn.MAXIFS(nrMK_Date,nrMK_Link,$B341,nrMK_Credit,"Yes",nrMK_PID,$E341),0)=0,"CLEARED (makeup date missing)","CLEARED "&amp;TEXT(_xlfn.MAXIFS(nrMK_Date,nrMK_Link,$B341,nrMK_Credit,"Yes",nrMK_PID,$E341),"mm/dd")),"OPEN"))</f>
        <v/>
      </c>
      <c r="T341" s="17">
        <f>IF($D341="","",IF($C341="","NO DATE",IF($G341="","NO EVENT TYPE",IF(AND($I341&lt;&gt;"",NOT(ISNUMBER($I341))),"MINUTES NOT A NUMBER",IF(AND($J341&lt;&gt;"",NOT(ISNUMBER($J341))),"SESSIONS NOT A NUMBER",IF(OR(N($I341)&lt;0,N($J341)&lt;0),"NEGATIVE MINUTES/SESSIONS",IF(AND($K341="Yes",N($I341)&gt;0),"MINUTES ON A PT EVENT - not counted (PT counts sessions)",IF(AND($K341="No",N($J341)&gt;0),"SESSIONS ON A CLASSROOM EVENT - not counted (classroom counts minutes)",IF(AND($N341="Yes",$K341="Yes",N($J341)=0),"COUNTED PT EVENT WITH NO SESSIONS - dropped from the PT cap",IF(AND($N341="Yes",$K341="No",N($I341)=0),"COUNTED EVENT WITH NO MINUTES - dropped from the classroom cap","OK"))))))))))</f>
        <v/>
      </c>
    </row>
    <row r="342">
      <c r="B342" s="17">
        <f>IF($D342="","","A"&amp;TEXT(ROW()-5,"000"))</f>
        <v/>
      </c>
      <c r="C342" s="18" t="n"/>
      <c r="D342" s="16" t="n"/>
      <c r="E342" s="17">
        <f>IF($D342="","",IFERROR(INDEX(rngCadetPIDs,MATCH($D342,rngCadetNames,0)),"?"))</f>
        <v/>
      </c>
      <c r="F342" s="17">
        <f>IF($E342="","",IFERROR(INDEX(nrCadetAgency,MATCH($E342,rngCadetPIDs,0)),""))</f>
        <v/>
      </c>
      <c r="G342" s="16" t="n"/>
      <c r="H342" s="16" t="n"/>
      <c r="I342" s="16" t="n"/>
      <c r="J342" s="16" t="n"/>
      <c r="K342" s="17">
        <f>IF($G342="","",IF(OR($G342="PT Missed",$G342="PT Modified",$G342="PT Refused"),"Yes","No"))</f>
        <v/>
      </c>
      <c r="L342" s="16" t="n"/>
      <c r="M342" s="16" t="n"/>
      <c r="N342" s="17">
        <f>IF($D342="","",IF($M342="Excused","No",IF(AND($G342="PT Modified",$L342="Received"),"No","Yes")))</f>
        <v/>
      </c>
      <c r="O342" s="16" t="n"/>
      <c r="P342" s="17">
        <f>IF(OR($B342="",N($I342)=0),"",MIN(N($I342),SUMIFS(nrMK_Min,nrMK_Link,$B342,nrMK_Credit,"Yes",nrMK_PID,$E342,nrMK_Type,"Classroom")))</f>
        <v/>
      </c>
      <c r="Q342" s="17">
        <f>IF(OR($B342="",N($J342)=0),"",MIN(N($J342),SUMIFS(nrMK_Sess,nrMK_Link,$B342,nrMK_Credit,"Yes",nrMK_PID,$E342,nrMK_Type,"PT")))</f>
        <v/>
      </c>
      <c r="R342" s="17">
        <f>IF(OR($B342="",$N342&lt;&gt;"Yes"),"",IF($K342="Yes",IF(N($J342)&gt;0,N($J342)-N($Q342),""),IF(N($I342)&gt;0,N($I342)-N($P342),"")))</f>
        <v/>
      </c>
      <c r="S342" s="17">
        <f>IF(OR($B342="",$R342=""),"",IF($R342&lt;=0,IF(IFERROR(_xlfn.MAXIFS(nrMK_Date,nrMK_Link,$B342,nrMK_Credit,"Yes",nrMK_PID,$E342),0)=0,"CLEARED (makeup date missing)","CLEARED "&amp;TEXT(_xlfn.MAXIFS(nrMK_Date,nrMK_Link,$B342,nrMK_Credit,"Yes",nrMK_PID,$E342),"mm/dd")),"OPEN"))</f>
        <v/>
      </c>
      <c r="T342" s="17">
        <f>IF($D342="","",IF($C342="","NO DATE",IF($G342="","NO EVENT TYPE",IF(AND($I342&lt;&gt;"",NOT(ISNUMBER($I342))),"MINUTES NOT A NUMBER",IF(AND($J342&lt;&gt;"",NOT(ISNUMBER($J342))),"SESSIONS NOT A NUMBER",IF(OR(N($I342)&lt;0,N($J342)&lt;0),"NEGATIVE MINUTES/SESSIONS",IF(AND($K342="Yes",N($I342)&gt;0),"MINUTES ON A PT EVENT - not counted (PT counts sessions)",IF(AND($K342="No",N($J342)&gt;0),"SESSIONS ON A CLASSROOM EVENT - not counted (classroom counts minutes)",IF(AND($N342="Yes",$K342="Yes",N($J342)=0),"COUNTED PT EVENT WITH NO SESSIONS - dropped from the PT cap",IF(AND($N342="Yes",$K342="No",N($I342)=0),"COUNTED EVENT WITH NO MINUTES - dropped from the classroom cap","OK"))))))))))</f>
        <v/>
      </c>
    </row>
    <row r="343">
      <c r="B343" s="17">
        <f>IF($D343="","","A"&amp;TEXT(ROW()-5,"000"))</f>
        <v/>
      </c>
      <c r="C343" s="18" t="n"/>
      <c r="D343" s="16" t="n"/>
      <c r="E343" s="17">
        <f>IF($D343="","",IFERROR(INDEX(rngCadetPIDs,MATCH($D343,rngCadetNames,0)),"?"))</f>
        <v/>
      </c>
      <c r="F343" s="17">
        <f>IF($E343="","",IFERROR(INDEX(nrCadetAgency,MATCH($E343,rngCadetPIDs,0)),""))</f>
        <v/>
      </c>
      <c r="G343" s="16" t="n"/>
      <c r="H343" s="16" t="n"/>
      <c r="I343" s="16" t="n"/>
      <c r="J343" s="16" t="n"/>
      <c r="K343" s="17">
        <f>IF($G343="","",IF(OR($G343="PT Missed",$G343="PT Modified",$G343="PT Refused"),"Yes","No"))</f>
        <v/>
      </c>
      <c r="L343" s="16" t="n"/>
      <c r="M343" s="16" t="n"/>
      <c r="N343" s="17">
        <f>IF($D343="","",IF($M343="Excused","No",IF(AND($G343="PT Modified",$L343="Received"),"No","Yes")))</f>
        <v/>
      </c>
      <c r="O343" s="16" t="n"/>
      <c r="P343" s="17">
        <f>IF(OR($B343="",N($I343)=0),"",MIN(N($I343),SUMIFS(nrMK_Min,nrMK_Link,$B343,nrMK_Credit,"Yes",nrMK_PID,$E343,nrMK_Type,"Classroom")))</f>
        <v/>
      </c>
      <c r="Q343" s="17">
        <f>IF(OR($B343="",N($J343)=0),"",MIN(N($J343),SUMIFS(nrMK_Sess,nrMK_Link,$B343,nrMK_Credit,"Yes",nrMK_PID,$E343,nrMK_Type,"PT")))</f>
        <v/>
      </c>
      <c r="R343" s="17">
        <f>IF(OR($B343="",$N343&lt;&gt;"Yes"),"",IF($K343="Yes",IF(N($J343)&gt;0,N($J343)-N($Q343),""),IF(N($I343)&gt;0,N($I343)-N($P343),"")))</f>
        <v/>
      </c>
      <c r="S343" s="17">
        <f>IF(OR($B343="",$R343=""),"",IF($R343&lt;=0,IF(IFERROR(_xlfn.MAXIFS(nrMK_Date,nrMK_Link,$B343,nrMK_Credit,"Yes",nrMK_PID,$E343),0)=0,"CLEARED (makeup date missing)","CLEARED "&amp;TEXT(_xlfn.MAXIFS(nrMK_Date,nrMK_Link,$B343,nrMK_Credit,"Yes",nrMK_PID,$E343),"mm/dd")),"OPEN"))</f>
        <v/>
      </c>
      <c r="T343" s="17">
        <f>IF($D343="","",IF($C343="","NO DATE",IF($G343="","NO EVENT TYPE",IF(AND($I343&lt;&gt;"",NOT(ISNUMBER($I343))),"MINUTES NOT A NUMBER",IF(AND($J343&lt;&gt;"",NOT(ISNUMBER($J343))),"SESSIONS NOT A NUMBER",IF(OR(N($I343)&lt;0,N($J343)&lt;0),"NEGATIVE MINUTES/SESSIONS",IF(AND($K343="Yes",N($I343)&gt;0),"MINUTES ON A PT EVENT - not counted (PT counts sessions)",IF(AND($K343="No",N($J343)&gt;0),"SESSIONS ON A CLASSROOM EVENT - not counted (classroom counts minutes)",IF(AND($N343="Yes",$K343="Yes",N($J343)=0),"COUNTED PT EVENT WITH NO SESSIONS - dropped from the PT cap",IF(AND($N343="Yes",$K343="No",N($I343)=0),"COUNTED EVENT WITH NO MINUTES - dropped from the classroom cap","OK"))))))))))</f>
        <v/>
      </c>
    </row>
    <row r="344">
      <c r="B344" s="17">
        <f>IF($D344="","","A"&amp;TEXT(ROW()-5,"000"))</f>
        <v/>
      </c>
      <c r="C344" s="18" t="n"/>
      <c r="D344" s="16" t="n"/>
      <c r="E344" s="17">
        <f>IF($D344="","",IFERROR(INDEX(rngCadetPIDs,MATCH($D344,rngCadetNames,0)),"?"))</f>
        <v/>
      </c>
      <c r="F344" s="17">
        <f>IF($E344="","",IFERROR(INDEX(nrCadetAgency,MATCH($E344,rngCadetPIDs,0)),""))</f>
        <v/>
      </c>
      <c r="G344" s="16" t="n"/>
      <c r="H344" s="16" t="n"/>
      <c r="I344" s="16" t="n"/>
      <c r="J344" s="16" t="n"/>
      <c r="K344" s="17">
        <f>IF($G344="","",IF(OR($G344="PT Missed",$G344="PT Modified",$G344="PT Refused"),"Yes","No"))</f>
        <v/>
      </c>
      <c r="L344" s="16" t="n"/>
      <c r="M344" s="16" t="n"/>
      <c r="N344" s="17">
        <f>IF($D344="","",IF($M344="Excused","No",IF(AND($G344="PT Modified",$L344="Received"),"No","Yes")))</f>
        <v/>
      </c>
      <c r="O344" s="16" t="n"/>
      <c r="P344" s="17">
        <f>IF(OR($B344="",N($I344)=0),"",MIN(N($I344),SUMIFS(nrMK_Min,nrMK_Link,$B344,nrMK_Credit,"Yes",nrMK_PID,$E344,nrMK_Type,"Classroom")))</f>
        <v/>
      </c>
      <c r="Q344" s="17">
        <f>IF(OR($B344="",N($J344)=0),"",MIN(N($J344),SUMIFS(nrMK_Sess,nrMK_Link,$B344,nrMK_Credit,"Yes",nrMK_PID,$E344,nrMK_Type,"PT")))</f>
        <v/>
      </c>
      <c r="R344" s="17">
        <f>IF(OR($B344="",$N344&lt;&gt;"Yes"),"",IF($K344="Yes",IF(N($J344)&gt;0,N($J344)-N($Q344),""),IF(N($I344)&gt;0,N($I344)-N($P344),"")))</f>
        <v/>
      </c>
      <c r="S344" s="17">
        <f>IF(OR($B344="",$R344=""),"",IF($R344&lt;=0,IF(IFERROR(_xlfn.MAXIFS(nrMK_Date,nrMK_Link,$B344,nrMK_Credit,"Yes",nrMK_PID,$E344),0)=0,"CLEARED (makeup date missing)","CLEARED "&amp;TEXT(_xlfn.MAXIFS(nrMK_Date,nrMK_Link,$B344,nrMK_Credit,"Yes",nrMK_PID,$E344),"mm/dd")),"OPEN"))</f>
        <v/>
      </c>
      <c r="T344" s="17">
        <f>IF($D344="","",IF($C344="","NO DATE",IF($G344="","NO EVENT TYPE",IF(AND($I344&lt;&gt;"",NOT(ISNUMBER($I344))),"MINUTES NOT A NUMBER",IF(AND($J344&lt;&gt;"",NOT(ISNUMBER($J344))),"SESSIONS NOT A NUMBER",IF(OR(N($I344)&lt;0,N($J344)&lt;0),"NEGATIVE MINUTES/SESSIONS",IF(AND($K344="Yes",N($I344)&gt;0),"MINUTES ON A PT EVENT - not counted (PT counts sessions)",IF(AND($K344="No",N($J344)&gt;0),"SESSIONS ON A CLASSROOM EVENT - not counted (classroom counts minutes)",IF(AND($N344="Yes",$K344="Yes",N($J344)=0),"COUNTED PT EVENT WITH NO SESSIONS - dropped from the PT cap",IF(AND($N344="Yes",$K344="No",N($I344)=0),"COUNTED EVENT WITH NO MINUTES - dropped from the classroom cap","OK"))))))))))</f>
        <v/>
      </c>
    </row>
    <row r="345">
      <c r="B345" s="17">
        <f>IF($D345="","","A"&amp;TEXT(ROW()-5,"000"))</f>
        <v/>
      </c>
      <c r="C345" s="18" t="n"/>
      <c r="D345" s="16" t="n"/>
      <c r="E345" s="17">
        <f>IF($D345="","",IFERROR(INDEX(rngCadetPIDs,MATCH($D345,rngCadetNames,0)),"?"))</f>
        <v/>
      </c>
      <c r="F345" s="17">
        <f>IF($E345="","",IFERROR(INDEX(nrCadetAgency,MATCH($E345,rngCadetPIDs,0)),""))</f>
        <v/>
      </c>
      <c r="G345" s="16" t="n"/>
      <c r="H345" s="16" t="n"/>
      <c r="I345" s="16" t="n"/>
      <c r="J345" s="16" t="n"/>
      <c r="K345" s="17">
        <f>IF($G345="","",IF(OR($G345="PT Missed",$G345="PT Modified",$G345="PT Refused"),"Yes","No"))</f>
        <v/>
      </c>
      <c r="L345" s="16" t="n"/>
      <c r="M345" s="16" t="n"/>
      <c r="N345" s="17">
        <f>IF($D345="","",IF($M345="Excused","No",IF(AND($G345="PT Modified",$L345="Received"),"No","Yes")))</f>
        <v/>
      </c>
      <c r="O345" s="16" t="n"/>
      <c r="P345" s="17">
        <f>IF(OR($B345="",N($I345)=0),"",MIN(N($I345),SUMIFS(nrMK_Min,nrMK_Link,$B345,nrMK_Credit,"Yes",nrMK_PID,$E345,nrMK_Type,"Classroom")))</f>
        <v/>
      </c>
      <c r="Q345" s="17">
        <f>IF(OR($B345="",N($J345)=0),"",MIN(N($J345),SUMIFS(nrMK_Sess,nrMK_Link,$B345,nrMK_Credit,"Yes",nrMK_PID,$E345,nrMK_Type,"PT")))</f>
        <v/>
      </c>
      <c r="R345" s="17">
        <f>IF(OR($B345="",$N345&lt;&gt;"Yes"),"",IF($K345="Yes",IF(N($J345)&gt;0,N($J345)-N($Q345),""),IF(N($I345)&gt;0,N($I345)-N($P345),"")))</f>
        <v/>
      </c>
      <c r="S345" s="17">
        <f>IF(OR($B345="",$R345=""),"",IF($R345&lt;=0,IF(IFERROR(_xlfn.MAXIFS(nrMK_Date,nrMK_Link,$B345,nrMK_Credit,"Yes",nrMK_PID,$E345),0)=0,"CLEARED (makeup date missing)","CLEARED "&amp;TEXT(_xlfn.MAXIFS(nrMK_Date,nrMK_Link,$B345,nrMK_Credit,"Yes",nrMK_PID,$E345),"mm/dd")),"OPEN"))</f>
        <v/>
      </c>
      <c r="T345" s="17">
        <f>IF($D345="","",IF($C345="","NO DATE",IF($G345="","NO EVENT TYPE",IF(AND($I345&lt;&gt;"",NOT(ISNUMBER($I345))),"MINUTES NOT A NUMBER",IF(AND($J345&lt;&gt;"",NOT(ISNUMBER($J345))),"SESSIONS NOT A NUMBER",IF(OR(N($I345)&lt;0,N($J345)&lt;0),"NEGATIVE MINUTES/SESSIONS",IF(AND($K345="Yes",N($I345)&gt;0),"MINUTES ON A PT EVENT - not counted (PT counts sessions)",IF(AND($K345="No",N($J345)&gt;0),"SESSIONS ON A CLASSROOM EVENT - not counted (classroom counts minutes)",IF(AND($N345="Yes",$K345="Yes",N($J345)=0),"COUNTED PT EVENT WITH NO SESSIONS - dropped from the PT cap",IF(AND($N345="Yes",$K345="No",N($I345)=0),"COUNTED EVENT WITH NO MINUTES - dropped from the classroom cap","OK"))))))))))</f>
        <v/>
      </c>
    </row>
    <row r="346">
      <c r="B346" s="17">
        <f>IF($D346="","","A"&amp;TEXT(ROW()-5,"000"))</f>
        <v/>
      </c>
      <c r="C346" s="18" t="n"/>
      <c r="D346" s="16" t="n"/>
      <c r="E346" s="17">
        <f>IF($D346="","",IFERROR(INDEX(rngCadetPIDs,MATCH($D346,rngCadetNames,0)),"?"))</f>
        <v/>
      </c>
      <c r="F346" s="17">
        <f>IF($E346="","",IFERROR(INDEX(nrCadetAgency,MATCH($E346,rngCadetPIDs,0)),""))</f>
        <v/>
      </c>
      <c r="G346" s="16" t="n"/>
      <c r="H346" s="16" t="n"/>
      <c r="I346" s="16" t="n"/>
      <c r="J346" s="16" t="n"/>
      <c r="K346" s="17">
        <f>IF($G346="","",IF(OR($G346="PT Missed",$G346="PT Modified",$G346="PT Refused"),"Yes","No"))</f>
        <v/>
      </c>
      <c r="L346" s="16" t="n"/>
      <c r="M346" s="16" t="n"/>
      <c r="N346" s="17">
        <f>IF($D346="","",IF($M346="Excused","No",IF(AND($G346="PT Modified",$L346="Received"),"No","Yes")))</f>
        <v/>
      </c>
      <c r="O346" s="16" t="n"/>
      <c r="P346" s="17">
        <f>IF(OR($B346="",N($I346)=0),"",MIN(N($I346),SUMIFS(nrMK_Min,nrMK_Link,$B346,nrMK_Credit,"Yes",nrMK_PID,$E346,nrMK_Type,"Classroom")))</f>
        <v/>
      </c>
      <c r="Q346" s="17">
        <f>IF(OR($B346="",N($J346)=0),"",MIN(N($J346),SUMIFS(nrMK_Sess,nrMK_Link,$B346,nrMK_Credit,"Yes",nrMK_PID,$E346,nrMK_Type,"PT")))</f>
        <v/>
      </c>
      <c r="R346" s="17">
        <f>IF(OR($B346="",$N346&lt;&gt;"Yes"),"",IF($K346="Yes",IF(N($J346)&gt;0,N($J346)-N($Q346),""),IF(N($I346)&gt;0,N($I346)-N($P346),"")))</f>
        <v/>
      </c>
      <c r="S346" s="17">
        <f>IF(OR($B346="",$R346=""),"",IF($R346&lt;=0,IF(IFERROR(_xlfn.MAXIFS(nrMK_Date,nrMK_Link,$B346,nrMK_Credit,"Yes",nrMK_PID,$E346),0)=0,"CLEARED (makeup date missing)","CLEARED "&amp;TEXT(_xlfn.MAXIFS(nrMK_Date,nrMK_Link,$B346,nrMK_Credit,"Yes",nrMK_PID,$E346),"mm/dd")),"OPEN"))</f>
        <v/>
      </c>
      <c r="T346" s="17">
        <f>IF($D346="","",IF($C346="","NO DATE",IF($G346="","NO EVENT TYPE",IF(AND($I346&lt;&gt;"",NOT(ISNUMBER($I346))),"MINUTES NOT A NUMBER",IF(AND($J346&lt;&gt;"",NOT(ISNUMBER($J346))),"SESSIONS NOT A NUMBER",IF(OR(N($I346)&lt;0,N($J346)&lt;0),"NEGATIVE MINUTES/SESSIONS",IF(AND($K346="Yes",N($I346)&gt;0),"MINUTES ON A PT EVENT - not counted (PT counts sessions)",IF(AND($K346="No",N($J346)&gt;0),"SESSIONS ON A CLASSROOM EVENT - not counted (classroom counts minutes)",IF(AND($N346="Yes",$K346="Yes",N($J346)=0),"COUNTED PT EVENT WITH NO SESSIONS - dropped from the PT cap",IF(AND($N346="Yes",$K346="No",N($I346)=0),"COUNTED EVENT WITH NO MINUTES - dropped from the classroom cap","OK"))))))))))</f>
        <v/>
      </c>
    </row>
    <row r="347">
      <c r="B347" s="17">
        <f>IF($D347="","","A"&amp;TEXT(ROW()-5,"000"))</f>
        <v/>
      </c>
      <c r="C347" s="18" t="n"/>
      <c r="D347" s="16" t="n"/>
      <c r="E347" s="17">
        <f>IF($D347="","",IFERROR(INDEX(rngCadetPIDs,MATCH($D347,rngCadetNames,0)),"?"))</f>
        <v/>
      </c>
      <c r="F347" s="17">
        <f>IF($E347="","",IFERROR(INDEX(nrCadetAgency,MATCH($E347,rngCadetPIDs,0)),""))</f>
        <v/>
      </c>
      <c r="G347" s="16" t="n"/>
      <c r="H347" s="16" t="n"/>
      <c r="I347" s="16" t="n"/>
      <c r="J347" s="16" t="n"/>
      <c r="K347" s="17">
        <f>IF($G347="","",IF(OR($G347="PT Missed",$G347="PT Modified",$G347="PT Refused"),"Yes","No"))</f>
        <v/>
      </c>
      <c r="L347" s="16" t="n"/>
      <c r="M347" s="16" t="n"/>
      <c r="N347" s="17">
        <f>IF($D347="","",IF($M347="Excused","No",IF(AND($G347="PT Modified",$L347="Received"),"No","Yes")))</f>
        <v/>
      </c>
      <c r="O347" s="16" t="n"/>
      <c r="P347" s="17">
        <f>IF(OR($B347="",N($I347)=0),"",MIN(N($I347),SUMIFS(nrMK_Min,nrMK_Link,$B347,nrMK_Credit,"Yes",nrMK_PID,$E347,nrMK_Type,"Classroom")))</f>
        <v/>
      </c>
      <c r="Q347" s="17">
        <f>IF(OR($B347="",N($J347)=0),"",MIN(N($J347),SUMIFS(nrMK_Sess,nrMK_Link,$B347,nrMK_Credit,"Yes",nrMK_PID,$E347,nrMK_Type,"PT")))</f>
        <v/>
      </c>
      <c r="R347" s="17">
        <f>IF(OR($B347="",$N347&lt;&gt;"Yes"),"",IF($K347="Yes",IF(N($J347)&gt;0,N($J347)-N($Q347),""),IF(N($I347)&gt;0,N($I347)-N($P347),"")))</f>
        <v/>
      </c>
      <c r="S347" s="17">
        <f>IF(OR($B347="",$R347=""),"",IF($R347&lt;=0,IF(IFERROR(_xlfn.MAXIFS(nrMK_Date,nrMK_Link,$B347,nrMK_Credit,"Yes",nrMK_PID,$E347),0)=0,"CLEARED (makeup date missing)","CLEARED "&amp;TEXT(_xlfn.MAXIFS(nrMK_Date,nrMK_Link,$B347,nrMK_Credit,"Yes",nrMK_PID,$E347),"mm/dd")),"OPEN"))</f>
        <v/>
      </c>
      <c r="T347" s="17">
        <f>IF($D347="","",IF($C347="","NO DATE",IF($G347="","NO EVENT TYPE",IF(AND($I347&lt;&gt;"",NOT(ISNUMBER($I347))),"MINUTES NOT A NUMBER",IF(AND($J347&lt;&gt;"",NOT(ISNUMBER($J347))),"SESSIONS NOT A NUMBER",IF(OR(N($I347)&lt;0,N($J347)&lt;0),"NEGATIVE MINUTES/SESSIONS",IF(AND($K347="Yes",N($I347)&gt;0),"MINUTES ON A PT EVENT - not counted (PT counts sessions)",IF(AND($K347="No",N($J347)&gt;0),"SESSIONS ON A CLASSROOM EVENT - not counted (classroom counts minutes)",IF(AND($N347="Yes",$K347="Yes",N($J347)=0),"COUNTED PT EVENT WITH NO SESSIONS - dropped from the PT cap",IF(AND($N347="Yes",$K347="No",N($I347)=0),"COUNTED EVENT WITH NO MINUTES - dropped from the classroom cap","OK"))))))))))</f>
        <v/>
      </c>
    </row>
    <row r="348">
      <c r="B348" s="17">
        <f>IF($D348="","","A"&amp;TEXT(ROW()-5,"000"))</f>
        <v/>
      </c>
      <c r="C348" s="18" t="n"/>
      <c r="D348" s="16" t="n"/>
      <c r="E348" s="17">
        <f>IF($D348="","",IFERROR(INDEX(rngCadetPIDs,MATCH($D348,rngCadetNames,0)),"?"))</f>
        <v/>
      </c>
      <c r="F348" s="17">
        <f>IF($E348="","",IFERROR(INDEX(nrCadetAgency,MATCH($E348,rngCadetPIDs,0)),""))</f>
        <v/>
      </c>
      <c r="G348" s="16" t="n"/>
      <c r="H348" s="16" t="n"/>
      <c r="I348" s="16" t="n"/>
      <c r="J348" s="16" t="n"/>
      <c r="K348" s="17">
        <f>IF($G348="","",IF(OR($G348="PT Missed",$G348="PT Modified",$G348="PT Refused"),"Yes","No"))</f>
        <v/>
      </c>
      <c r="L348" s="16" t="n"/>
      <c r="M348" s="16" t="n"/>
      <c r="N348" s="17">
        <f>IF($D348="","",IF($M348="Excused","No",IF(AND($G348="PT Modified",$L348="Received"),"No","Yes")))</f>
        <v/>
      </c>
      <c r="O348" s="16" t="n"/>
      <c r="P348" s="17">
        <f>IF(OR($B348="",N($I348)=0),"",MIN(N($I348),SUMIFS(nrMK_Min,nrMK_Link,$B348,nrMK_Credit,"Yes",nrMK_PID,$E348,nrMK_Type,"Classroom")))</f>
        <v/>
      </c>
      <c r="Q348" s="17">
        <f>IF(OR($B348="",N($J348)=0),"",MIN(N($J348),SUMIFS(nrMK_Sess,nrMK_Link,$B348,nrMK_Credit,"Yes",nrMK_PID,$E348,nrMK_Type,"PT")))</f>
        <v/>
      </c>
      <c r="R348" s="17">
        <f>IF(OR($B348="",$N348&lt;&gt;"Yes"),"",IF($K348="Yes",IF(N($J348)&gt;0,N($J348)-N($Q348),""),IF(N($I348)&gt;0,N($I348)-N($P348),"")))</f>
        <v/>
      </c>
      <c r="S348" s="17">
        <f>IF(OR($B348="",$R348=""),"",IF($R348&lt;=0,IF(IFERROR(_xlfn.MAXIFS(nrMK_Date,nrMK_Link,$B348,nrMK_Credit,"Yes",nrMK_PID,$E348),0)=0,"CLEARED (makeup date missing)","CLEARED "&amp;TEXT(_xlfn.MAXIFS(nrMK_Date,nrMK_Link,$B348,nrMK_Credit,"Yes",nrMK_PID,$E348),"mm/dd")),"OPEN"))</f>
        <v/>
      </c>
      <c r="T348" s="17">
        <f>IF($D348="","",IF($C348="","NO DATE",IF($G348="","NO EVENT TYPE",IF(AND($I348&lt;&gt;"",NOT(ISNUMBER($I348))),"MINUTES NOT A NUMBER",IF(AND($J348&lt;&gt;"",NOT(ISNUMBER($J348))),"SESSIONS NOT A NUMBER",IF(OR(N($I348)&lt;0,N($J348)&lt;0),"NEGATIVE MINUTES/SESSIONS",IF(AND($K348="Yes",N($I348)&gt;0),"MINUTES ON A PT EVENT - not counted (PT counts sessions)",IF(AND($K348="No",N($J348)&gt;0),"SESSIONS ON A CLASSROOM EVENT - not counted (classroom counts minutes)",IF(AND($N348="Yes",$K348="Yes",N($J348)=0),"COUNTED PT EVENT WITH NO SESSIONS - dropped from the PT cap",IF(AND($N348="Yes",$K348="No",N($I348)=0),"COUNTED EVENT WITH NO MINUTES - dropped from the classroom cap","OK"))))))))))</f>
        <v/>
      </c>
    </row>
    <row r="349">
      <c r="B349" s="17">
        <f>IF($D349="","","A"&amp;TEXT(ROW()-5,"000"))</f>
        <v/>
      </c>
      <c r="C349" s="18" t="n"/>
      <c r="D349" s="16" t="n"/>
      <c r="E349" s="17">
        <f>IF($D349="","",IFERROR(INDEX(rngCadetPIDs,MATCH($D349,rngCadetNames,0)),"?"))</f>
        <v/>
      </c>
      <c r="F349" s="17">
        <f>IF($E349="","",IFERROR(INDEX(nrCadetAgency,MATCH($E349,rngCadetPIDs,0)),""))</f>
        <v/>
      </c>
      <c r="G349" s="16" t="n"/>
      <c r="H349" s="16" t="n"/>
      <c r="I349" s="16" t="n"/>
      <c r="J349" s="16" t="n"/>
      <c r="K349" s="17">
        <f>IF($G349="","",IF(OR($G349="PT Missed",$G349="PT Modified",$G349="PT Refused"),"Yes","No"))</f>
        <v/>
      </c>
      <c r="L349" s="16" t="n"/>
      <c r="M349" s="16" t="n"/>
      <c r="N349" s="17">
        <f>IF($D349="","",IF($M349="Excused","No",IF(AND($G349="PT Modified",$L349="Received"),"No","Yes")))</f>
        <v/>
      </c>
      <c r="O349" s="16" t="n"/>
      <c r="P349" s="17">
        <f>IF(OR($B349="",N($I349)=0),"",MIN(N($I349),SUMIFS(nrMK_Min,nrMK_Link,$B349,nrMK_Credit,"Yes",nrMK_PID,$E349,nrMK_Type,"Classroom")))</f>
        <v/>
      </c>
      <c r="Q349" s="17">
        <f>IF(OR($B349="",N($J349)=0),"",MIN(N($J349),SUMIFS(nrMK_Sess,nrMK_Link,$B349,nrMK_Credit,"Yes",nrMK_PID,$E349,nrMK_Type,"PT")))</f>
        <v/>
      </c>
      <c r="R349" s="17">
        <f>IF(OR($B349="",$N349&lt;&gt;"Yes"),"",IF($K349="Yes",IF(N($J349)&gt;0,N($J349)-N($Q349),""),IF(N($I349)&gt;0,N($I349)-N($P349),"")))</f>
        <v/>
      </c>
      <c r="S349" s="17">
        <f>IF(OR($B349="",$R349=""),"",IF($R349&lt;=0,IF(IFERROR(_xlfn.MAXIFS(nrMK_Date,nrMK_Link,$B349,nrMK_Credit,"Yes",nrMK_PID,$E349),0)=0,"CLEARED (makeup date missing)","CLEARED "&amp;TEXT(_xlfn.MAXIFS(nrMK_Date,nrMK_Link,$B349,nrMK_Credit,"Yes",nrMK_PID,$E349),"mm/dd")),"OPEN"))</f>
        <v/>
      </c>
      <c r="T349" s="17">
        <f>IF($D349="","",IF($C349="","NO DATE",IF($G349="","NO EVENT TYPE",IF(AND($I349&lt;&gt;"",NOT(ISNUMBER($I349))),"MINUTES NOT A NUMBER",IF(AND($J349&lt;&gt;"",NOT(ISNUMBER($J349))),"SESSIONS NOT A NUMBER",IF(OR(N($I349)&lt;0,N($J349)&lt;0),"NEGATIVE MINUTES/SESSIONS",IF(AND($K349="Yes",N($I349)&gt;0),"MINUTES ON A PT EVENT - not counted (PT counts sessions)",IF(AND($K349="No",N($J349)&gt;0),"SESSIONS ON A CLASSROOM EVENT - not counted (classroom counts minutes)",IF(AND($N349="Yes",$K349="Yes",N($J349)=0),"COUNTED PT EVENT WITH NO SESSIONS - dropped from the PT cap",IF(AND($N349="Yes",$K349="No",N($I349)=0),"COUNTED EVENT WITH NO MINUTES - dropped from the classroom cap","OK"))))))))))</f>
        <v/>
      </c>
    </row>
    <row r="350">
      <c r="B350" s="17">
        <f>IF($D350="","","A"&amp;TEXT(ROW()-5,"000"))</f>
        <v/>
      </c>
      <c r="C350" s="18" t="n"/>
      <c r="D350" s="16" t="n"/>
      <c r="E350" s="17">
        <f>IF($D350="","",IFERROR(INDEX(rngCadetPIDs,MATCH($D350,rngCadetNames,0)),"?"))</f>
        <v/>
      </c>
      <c r="F350" s="17">
        <f>IF($E350="","",IFERROR(INDEX(nrCadetAgency,MATCH($E350,rngCadetPIDs,0)),""))</f>
        <v/>
      </c>
      <c r="G350" s="16" t="n"/>
      <c r="H350" s="16" t="n"/>
      <c r="I350" s="16" t="n"/>
      <c r="J350" s="16" t="n"/>
      <c r="K350" s="17">
        <f>IF($G350="","",IF(OR($G350="PT Missed",$G350="PT Modified",$G350="PT Refused"),"Yes","No"))</f>
        <v/>
      </c>
      <c r="L350" s="16" t="n"/>
      <c r="M350" s="16" t="n"/>
      <c r="N350" s="17">
        <f>IF($D350="","",IF($M350="Excused","No",IF(AND($G350="PT Modified",$L350="Received"),"No","Yes")))</f>
        <v/>
      </c>
      <c r="O350" s="16" t="n"/>
      <c r="P350" s="17">
        <f>IF(OR($B350="",N($I350)=0),"",MIN(N($I350),SUMIFS(nrMK_Min,nrMK_Link,$B350,nrMK_Credit,"Yes",nrMK_PID,$E350,nrMK_Type,"Classroom")))</f>
        <v/>
      </c>
      <c r="Q350" s="17">
        <f>IF(OR($B350="",N($J350)=0),"",MIN(N($J350),SUMIFS(nrMK_Sess,nrMK_Link,$B350,nrMK_Credit,"Yes",nrMK_PID,$E350,nrMK_Type,"PT")))</f>
        <v/>
      </c>
      <c r="R350" s="17">
        <f>IF(OR($B350="",$N350&lt;&gt;"Yes"),"",IF($K350="Yes",IF(N($J350)&gt;0,N($J350)-N($Q350),""),IF(N($I350)&gt;0,N($I350)-N($P350),"")))</f>
        <v/>
      </c>
      <c r="S350" s="17">
        <f>IF(OR($B350="",$R350=""),"",IF($R350&lt;=0,IF(IFERROR(_xlfn.MAXIFS(nrMK_Date,nrMK_Link,$B350,nrMK_Credit,"Yes",nrMK_PID,$E350),0)=0,"CLEARED (makeup date missing)","CLEARED "&amp;TEXT(_xlfn.MAXIFS(nrMK_Date,nrMK_Link,$B350,nrMK_Credit,"Yes",nrMK_PID,$E350),"mm/dd")),"OPEN"))</f>
        <v/>
      </c>
      <c r="T350" s="17">
        <f>IF($D350="","",IF($C350="","NO DATE",IF($G350="","NO EVENT TYPE",IF(AND($I350&lt;&gt;"",NOT(ISNUMBER($I350))),"MINUTES NOT A NUMBER",IF(AND($J350&lt;&gt;"",NOT(ISNUMBER($J350))),"SESSIONS NOT A NUMBER",IF(OR(N($I350)&lt;0,N($J350)&lt;0),"NEGATIVE MINUTES/SESSIONS",IF(AND($K350="Yes",N($I350)&gt;0),"MINUTES ON A PT EVENT - not counted (PT counts sessions)",IF(AND($K350="No",N($J350)&gt;0),"SESSIONS ON A CLASSROOM EVENT - not counted (classroom counts minutes)",IF(AND($N350="Yes",$K350="Yes",N($J350)=0),"COUNTED PT EVENT WITH NO SESSIONS - dropped from the PT cap",IF(AND($N350="Yes",$K350="No",N($I350)=0),"COUNTED EVENT WITH NO MINUTES - dropped from the classroom cap","OK"))))))))))</f>
        <v/>
      </c>
    </row>
    <row r="351">
      <c r="B351" s="17">
        <f>IF($D351="","","A"&amp;TEXT(ROW()-5,"000"))</f>
        <v/>
      </c>
      <c r="C351" s="18" t="n"/>
      <c r="D351" s="16" t="n"/>
      <c r="E351" s="17">
        <f>IF($D351="","",IFERROR(INDEX(rngCadetPIDs,MATCH($D351,rngCadetNames,0)),"?"))</f>
        <v/>
      </c>
      <c r="F351" s="17">
        <f>IF($E351="","",IFERROR(INDEX(nrCadetAgency,MATCH($E351,rngCadetPIDs,0)),""))</f>
        <v/>
      </c>
      <c r="G351" s="16" t="n"/>
      <c r="H351" s="16" t="n"/>
      <c r="I351" s="16" t="n"/>
      <c r="J351" s="16" t="n"/>
      <c r="K351" s="17">
        <f>IF($G351="","",IF(OR($G351="PT Missed",$G351="PT Modified",$G351="PT Refused"),"Yes","No"))</f>
        <v/>
      </c>
      <c r="L351" s="16" t="n"/>
      <c r="M351" s="16" t="n"/>
      <c r="N351" s="17">
        <f>IF($D351="","",IF($M351="Excused","No",IF(AND($G351="PT Modified",$L351="Received"),"No","Yes")))</f>
        <v/>
      </c>
      <c r="O351" s="16" t="n"/>
      <c r="P351" s="17">
        <f>IF(OR($B351="",N($I351)=0),"",MIN(N($I351),SUMIFS(nrMK_Min,nrMK_Link,$B351,nrMK_Credit,"Yes",nrMK_PID,$E351,nrMK_Type,"Classroom")))</f>
        <v/>
      </c>
      <c r="Q351" s="17">
        <f>IF(OR($B351="",N($J351)=0),"",MIN(N($J351),SUMIFS(nrMK_Sess,nrMK_Link,$B351,nrMK_Credit,"Yes",nrMK_PID,$E351,nrMK_Type,"PT")))</f>
        <v/>
      </c>
      <c r="R351" s="17">
        <f>IF(OR($B351="",$N351&lt;&gt;"Yes"),"",IF($K351="Yes",IF(N($J351)&gt;0,N($J351)-N($Q351),""),IF(N($I351)&gt;0,N($I351)-N($P351),"")))</f>
        <v/>
      </c>
      <c r="S351" s="17">
        <f>IF(OR($B351="",$R351=""),"",IF($R351&lt;=0,IF(IFERROR(_xlfn.MAXIFS(nrMK_Date,nrMK_Link,$B351,nrMK_Credit,"Yes",nrMK_PID,$E351),0)=0,"CLEARED (makeup date missing)","CLEARED "&amp;TEXT(_xlfn.MAXIFS(nrMK_Date,nrMK_Link,$B351,nrMK_Credit,"Yes",nrMK_PID,$E351),"mm/dd")),"OPEN"))</f>
        <v/>
      </c>
      <c r="T351" s="17">
        <f>IF($D351="","",IF($C351="","NO DATE",IF($G351="","NO EVENT TYPE",IF(AND($I351&lt;&gt;"",NOT(ISNUMBER($I351))),"MINUTES NOT A NUMBER",IF(AND($J351&lt;&gt;"",NOT(ISNUMBER($J351))),"SESSIONS NOT A NUMBER",IF(OR(N($I351)&lt;0,N($J351)&lt;0),"NEGATIVE MINUTES/SESSIONS",IF(AND($K351="Yes",N($I351)&gt;0),"MINUTES ON A PT EVENT - not counted (PT counts sessions)",IF(AND($K351="No",N($J351)&gt;0),"SESSIONS ON A CLASSROOM EVENT - not counted (classroom counts minutes)",IF(AND($N351="Yes",$K351="Yes",N($J351)=0),"COUNTED PT EVENT WITH NO SESSIONS - dropped from the PT cap",IF(AND($N351="Yes",$K351="No",N($I351)=0),"COUNTED EVENT WITH NO MINUTES - dropped from the classroom cap","OK"))))))))))</f>
        <v/>
      </c>
    </row>
    <row r="352">
      <c r="B352" s="17">
        <f>IF($D352="","","A"&amp;TEXT(ROW()-5,"000"))</f>
        <v/>
      </c>
      <c r="C352" s="18" t="n"/>
      <c r="D352" s="16" t="n"/>
      <c r="E352" s="17">
        <f>IF($D352="","",IFERROR(INDEX(rngCadetPIDs,MATCH($D352,rngCadetNames,0)),"?"))</f>
        <v/>
      </c>
      <c r="F352" s="17">
        <f>IF($E352="","",IFERROR(INDEX(nrCadetAgency,MATCH($E352,rngCadetPIDs,0)),""))</f>
        <v/>
      </c>
      <c r="G352" s="16" t="n"/>
      <c r="H352" s="16" t="n"/>
      <c r="I352" s="16" t="n"/>
      <c r="J352" s="16" t="n"/>
      <c r="K352" s="17">
        <f>IF($G352="","",IF(OR($G352="PT Missed",$G352="PT Modified",$G352="PT Refused"),"Yes","No"))</f>
        <v/>
      </c>
      <c r="L352" s="16" t="n"/>
      <c r="M352" s="16" t="n"/>
      <c r="N352" s="17">
        <f>IF($D352="","",IF($M352="Excused","No",IF(AND($G352="PT Modified",$L352="Received"),"No","Yes")))</f>
        <v/>
      </c>
      <c r="O352" s="16" t="n"/>
      <c r="P352" s="17">
        <f>IF(OR($B352="",N($I352)=0),"",MIN(N($I352),SUMIFS(nrMK_Min,nrMK_Link,$B352,nrMK_Credit,"Yes",nrMK_PID,$E352,nrMK_Type,"Classroom")))</f>
        <v/>
      </c>
      <c r="Q352" s="17">
        <f>IF(OR($B352="",N($J352)=0),"",MIN(N($J352),SUMIFS(nrMK_Sess,nrMK_Link,$B352,nrMK_Credit,"Yes",nrMK_PID,$E352,nrMK_Type,"PT")))</f>
        <v/>
      </c>
      <c r="R352" s="17">
        <f>IF(OR($B352="",$N352&lt;&gt;"Yes"),"",IF($K352="Yes",IF(N($J352)&gt;0,N($J352)-N($Q352),""),IF(N($I352)&gt;0,N($I352)-N($P352),"")))</f>
        <v/>
      </c>
      <c r="S352" s="17">
        <f>IF(OR($B352="",$R352=""),"",IF($R352&lt;=0,IF(IFERROR(_xlfn.MAXIFS(nrMK_Date,nrMK_Link,$B352,nrMK_Credit,"Yes",nrMK_PID,$E352),0)=0,"CLEARED (makeup date missing)","CLEARED "&amp;TEXT(_xlfn.MAXIFS(nrMK_Date,nrMK_Link,$B352,nrMK_Credit,"Yes",nrMK_PID,$E352),"mm/dd")),"OPEN"))</f>
        <v/>
      </c>
      <c r="T352" s="17">
        <f>IF($D352="","",IF($C352="","NO DATE",IF($G352="","NO EVENT TYPE",IF(AND($I352&lt;&gt;"",NOT(ISNUMBER($I352))),"MINUTES NOT A NUMBER",IF(AND($J352&lt;&gt;"",NOT(ISNUMBER($J352))),"SESSIONS NOT A NUMBER",IF(OR(N($I352)&lt;0,N($J352)&lt;0),"NEGATIVE MINUTES/SESSIONS",IF(AND($K352="Yes",N($I352)&gt;0),"MINUTES ON A PT EVENT - not counted (PT counts sessions)",IF(AND($K352="No",N($J352)&gt;0),"SESSIONS ON A CLASSROOM EVENT - not counted (classroom counts minutes)",IF(AND($N352="Yes",$K352="Yes",N($J352)=0),"COUNTED PT EVENT WITH NO SESSIONS - dropped from the PT cap",IF(AND($N352="Yes",$K352="No",N($I352)=0),"COUNTED EVENT WITH NO MINUTES - dropped from the classroom cap","OK"))))))))))</f>
        <v/>
      </c>
    </row>
    <row r="353">
      <c r="B353" s="17">
        <f>IF($D353="","","A"&amp;TEXT(ROW()-5,"000"))</f>
        <v/>
      </c>
      <c r="C353" s="18" t="n"/>
      <c r="D353" s="16" t="n"/>
      <c r="E353" s="17">
        <f>IF($D353="","",IFERROR(INDEX(rngCadetPIDs,MATCH($D353,rngCadetNames,0)),"?"))</f>
        <v/>
      </c>
      <c r="F353" s="17">
        <f>IF($E353="","",IFERROR(INDEX(nrCadetAgency,MATCH($E353,rngCadetPIDs,0)),""))</f>
        <v/>
      </c>
      <c r="G353" s="16" t="n"/>
      <c r="H353" s="16" t="n"/>
      <c r="I353" s="16" t="n"/>
      <c r="J353" s="16" t="n"/>
      <c r="K353" s="17">
        <f>IF($G353="","",IF(OR($G353="PT Missed",$G353="PT Modified",$G353="PT Refused"),"Yes","No"))</f>
        <v/>
      </c>
      <c r="L353" s="16" t="n"/>
      <c r="M353" s="16" t="n"/>
      <c r="N353" s="17">
        <f>IF($D353="","",IF($M353="Excused","No",IF(AND($G353="PT Modified",$L353="Received"),"No","Yes")))</f>
        <v/>
      </c>
      <c r="O353" s="16" t="n"/>
      <c r="P353" s="17">
        <f>IF(OR($B353="",N($I353)=0),"",MIN(N($I353),SUMIFS(nrMK_Min,nrMK_Link,$B353,nrMK_Credit,"Yes",nrMK_PID,$E353,nrMK_Type,"Classroom")))</f>
        <v/>
      </c>
      <c r="Q353" s="17">
        <f>IF(OR($B353="",N($J353)=0),"",MIN(N($J353),SUMIFS(nrMK_Sess,nrMK_Link,$B353,nrMK_Credit,"Yes",nrMK_PID,$E353,nrMK_Type,"PT")))</f>
        <v/>
      </c>
      <c r="R353" s="17">
        <f>IF(OR($B353="",$N353&lt;&gt;"Yes"),"",IF($K353="Yes",IF(N($J353)&gt;0,N($J353)-N($Q353),""),IF(N($I353)&gt;0,N($I353)-N($P353),"")))</f>
        <v/>
      </c>
      <c r="S353" s="17">
        <f>IF(OR($B353="",$R353=""),"",IF($R353&lt;=0,IF(IFERROR(_xlfn.MAXIFS(nrMK_Date,nrMK_Link,$B353,nrMK_Credit,"Yes",nrMK_PID,$E353),0)=0,"CLEARED (makeup date missing)","CLEARED "&amp;TEXT(_xlfn.MAXIFS(nrMK_Date,nrMK_Link,$B353,nrMK_Credit,"Yes",nrMK_PID,$E353),"mm/dd")),"OPEN"))</f>
        <v/>
      </c>
      <c r="T353" s="17">
        <f>IF($D353="","",IF($C353="","NO DATE",IF($G353="","NO EVENT TYPE",IF(AND($I353&lt;&gt;"",NOT(ISNUMBER($I353))),"MINUTES NOT A NUMBER",IF(AND($J353&lt;&gt;"",NOT(ISNUMBER($J353))),"SESSIONS NOT A NUMBER",IF(OR(N($I353)&lt;0,N($J353)&lt;0),"NEGATIVE MINUTES/SESSIONS",IF(AND($K353="Yes",N($I353)&gt;0),"MINUTES ON A PT EVENT - not counted (PT counts sessions)",IF(AND($K353="No",N($J353)&gt;0),"SESSIONS ON A CLASSROOM EVENT - not counted (classroom counts minutes)",IF(AND($N353="Yes",$K353="Yes",N($J353)=0),"COUNTED PT EVENT WITH NO SESSIONS - dropped from the PT cap",IF(AND($N353="Yes",$K353="No",N($I353)=0),"COUNTED EVENT WITH NO MINUTES - dropped from the classroom cap","OK"))))))))))</f>
        <v/>
      </c>
    </row>
    <row r="354">
      <c r="B354" s="17">
        <f>IF($D354="","","A"&amp;TEXT(ROW()-5,"000"))</f>
        <v/>
      </c>
      <c r="C354" s="18" t="n"/>
      <c r="D354" s="16" t="n"/>
      <c r="E354" s="17">
        <f>IF($D354="","",IFERROR(INDEX(rngCadetPIDs,MATCH($D354,rngCadetNames,0)),"?"))</f>
        <v/>
      </c>
      <c r="F354" s="17">
        <f>IF($E354="","",IFERROR(INDEX(nrCadetAgency,MATCH($E354,rngCadetPIDs,0)),""))</f>
        <v/>
      </c>
      <c r="G354" s="16" t="n"/>
      <c r="H354" s="16" t="n"/>
      <c r="I354" s="16" t="n"/>
      <c r="J354" s="16" t="n"/>
      <c r="K354" s="17">
        <f>IF($G354="","",IF(OR($G354="PT Missed",$G354="PT Modified",$G354="PT Refused"),"Yes","No"))</f>
        <v/>
      </c>
      <c r="L354" s="16" t="n"/>
      <c r="M354" s="16" t="n"/>
      <c r="N354" s="17">
        <f>IF($D354="","",IF($M354="Excused","No",IF(AND($G354="PT Modified",$L354="Received"),"No","Yes")))</f>
        <v/>
      </c>
      <c r="O354" s="16" t="n"/>
      <c r="P354" s="17">
        <f>IF(OR($B354="",N($I354)=0),"",MIN(N($I354),SUMIFS(nrMK_Min,nrMK_Link,$B354,nrMK_Credit,"Yes",nrMK_PID,$E354,nrMK_Type,"Classroom")))</f>
        <v/>
      </c>
      <c r="Q354" s="17">
        <f>IF(OR($B354="",N($J354)=0),"",MIN(N($J354),SUMIFS(nrMK_Sess,nrMK_Link,$B354,nrMK_Credit,"Yes",nrMK_PID,$E354,nrMK_Type,"PT")))</f>
        <v/>
      </c>
      <c r="R354" s="17">
        <f>IF(OR($B354="",$N354&lt;&gt;"Yes"),"",IF($K354="Yes",IF(N($J354)&gt;0,N($J354)-N($Q354),""),IF(N($I354)&gt;0,N($I354)-N($P354),"")))</f>
        <v/>
      </c>
      <c r="S354" s="17">
        <f>IF(OR($B354="",$R354=""),"",IF($R354&lt;=0,IF(IFERROR(_xlfn.MAXIFS(nrMK_Date,nrMK_Link,$B354,nrMK_Credit,"Yes",nrMK_PID,$E354),0)=0,"CLEARED (makeup date missing)","CLEARED "&amp;TEXT(_xlfn.MAXIFS(nrMK_Date,nrMK_Link,$B354,nrMK_Credit,"Yes",nrMK_PID,$E354),"mm/dd")),"OPEN"))</f>
        <v/>
      </c>
      <c r="T354" s="17">
        <f>IF($D354="","",IF($C354="","NO DATE",IF($G354="","NO EVENT TYPE",IF(AND($I354&lt;&gt;"",NOT(ISNUMBER($I354))),"MINUTES NOT A NUMBER",IF(AND($J354&lt;&gt;"",NOT(ISNUMBER($J354))),"SESSIONS NOT A NUMBER",IF(OR(N($I354)&lt;0,N($J354)&lt;0),"NEGATIVE MINUTES/SESSIONS",IF(AND($K354="Yes",N($I354)&gt;0),"MINUTES ON A PT EVENT - not counted (PT counts sessions)",IF(AND($K354="No",N($J354)&gt;0),"SESSIONS ON A CLASSROOM EVENT - not counted (classroom counts minutes)",IF(AND($N354="Yes",$K354="Yes",N($J354)=0),"COUNTED PT EVENT WITH NO SESSIONS - dropped from the PT cap",IF(AND($N354="Yes",$K354="No",N($I354)=0),"COUNTED EVENT WITH NO MINUTES - dropped from the classroom cap","OK"))))))))))</f>
        <v/>
      </c>
    </row>
    <row r="355">
      <c r="B355" s="17">
        <f>IF($D355="","","A"&amp;TEXT(ROW()-5,"000"))</f>
        <v/>
      </c>
      <c r="C355" s="18" t="n"/>
      <c r="D355" s="16" t="n"/>
      <c r="E355" s="17">
        <f>IF($D355="","",IFERROR(INDEX(rngCadetPIDs,MATCH($D355,rngCadetNames,0)),"?"))</f>
        <v/>
      </c>
      <c r="F355" s="17">
        <f>IF($E355="","",IFERROR(INDEX(nrCadetAgency,MATCH($E355,rngCadetPIDs,0)),""))</f>
        <v/>
      </c>
      <c r="G355" s="16" t="n"/>
      <c r="H355" s="16" t="n"/>
      <c r="I355" s="16" t="n"/>
      <c r="J355" s="16" t="n"/>
      <c r="K355" s="17">
        <f>IF($G355="","",IF(OR($G355="PT Missed",$G355="PT Modified",$G355="PT Refused"),"Yes","No"))</f>
        <v/>
      </c>
      <c r="L355" s="16" t="n"/>
      <c r="M355" s="16" t="n"/>
      <c r="N355" s="17">
        <f>IF($D355="","",IF($M355="Excused","No",IF(AND($G355="PT Modified",$L355="Received"),"No","Yes")))</f>
        <v/>
      </c>
      <c r="O355" s="16" t="n"/>
      <c r="P355" s="17">
        <f>IF(OR($B355="",N($I355)=0),"",MIN(N($I355),SUMIFS(nrMK_Min,nrMK_Link,$B355,nrMK_Credit,"Yes",nrMK_PID,$E355,nrMK_Type,"Classroom")))</f>
        <v/>
      </c>
      <c r="Q355" s="17">
        <f>IF(OR($B355="",N($J355)=0),"",MIN(N($J355),SUMIFS(nrMK_Sess,nrMK_Link,$B355,nrMK_Credit,"Yes",nrMK_PID,$E355,nrMK_Type,"PT")))</f>
        <v/>
      </c>
      <c r="R355" s="17">
        <f>IF(OR($B355="",$N355&lt;&gt;"Yes"),"",IF($K355="Yes",IF(N($J355)&gt;0,N($J355)-N($Q355),""),IF(N($I355)&gt;0,N($I355)-N($P355),"")))</f>
        <v/>
      </c>
      <c r="S355" s="17">
        <f>IF(OR($B355="",$R355=""),"",IF($R355&lt;=0,IF(IFERROR(_xlfn.MAXIFS(nrMK_Date,nrMK_Link,$B355,nrMK_Credit,"Yes",nrMK_PID,$E355),0)=0,"CLEARED (makeup date missing)","CLEARED "&amp;TEXT(_xlfn.MAXIFS(nrMK_Date,nrMK_Link,$B355,nrMK_Credit,"Yes",nrMK_PID,$E355),"mm/dd")),"OPEN"))</f>
        <v/>
      </c>
      <c r="T355" s="17">
        <f>IF($D355="","",IF($C355="","NO DATE",IF($G355="","NO EVENT TYPE",IF(AND($I355&lt;&gt;"",NOT(ISNUMBER($I355))),"MINUTES NOT A NUMBER",IF(AND($J355&lt;&gt;"",NOT(ISNUMBER($J355))),"SESSIONS NOT A NUMBER",IF(OR(N($I355)&lt;0,N($J355)&lt;0),"NEGATIVE MINUTES/SESSIONS",IF(AND($K355="Yes",N($I355)&gt;0),"MINUTES ON A PT EVENT - not counted (PT counts sessions)",IF(AND($K355="No",N($J355)&gt;0),"SESSIONS ON A CLASSROOM EVENT - not counted (classroom counts minutes)",IF(AND($N355="Yes",$K355="Yes",N($J355)=0),"COUNTED PT EVENT WITH NO SESSIONS - dropped from the PT cap",IF(AND($N355="Yes",$K355="No",N($I355)=0),"COUNTED EVENT WITH NO MINUTES - dropped from the classroom cap","OK"))))))))))</f>
        <v/>
      </c>
    </row>
    <row r="356">
      <c r="B356" s="17">
        <f>IF($D356="","","A"&amp;TEXT(ROW()-5,"000"))</f>
        <v/>
      </c>
      <c r="C356" s="18" t="n"/>
      <c r="D356" s="16" t="n"/>
      <c r="E356" s="17">
        <f>IF($D356="","",IFERROR(INDEX(rngCadetPIDs,MATCH($D356,rngCadetNames,0)),"?"))</f>
        <v/>
      </c>
      <c r="F356" s="17">
        <f>IF($E356="","",IFERROR(INDEX(nrCadetAgency,MATCH($E356,rngCadetPIDs,0)),""))</f>
        <v/>
      </c>
      <c r="G356" s="16" t="n"/>
      <c r="H356" s="16" t="n"/>
      <c r="I356" s="16" t="n"/>
      <c r="J356" s="16" t="n"/>
      <c r="K356" s="17">
        <f>IF($G356="","",IF(OR($G356="PT Missed",$G356="PT Modified",$G356="PT Refused"),"Yes","No"))</f>
        <v/>
      </c>
      <c r="L356" s="16" t="n"/>
      <c r="M356" s="16" t="n"/>
      <c r="N356" s="17">
        <f>IF($D356="","",IF($M356="Excused","No",IF(AND($G356="PT Modified",$L356="Received"),"No","Yes")))</f>
        <v/>
      </c>
      <c r="O356" s="16" t="n"/>
      <c r="P356" s="17">
        <f>IF(OR($B356="",N($I356)=0),"",MIN(N($I356),SUMIFS(nrMK_Min,nrMK_Link,$B356,nrMK_Credit,"Yes",nrMK_PID,$E356,nrMK_Type,"Classroom")))</f>
        <v/>
      </c>
      <c r="Q356" s="17">
        <f>IF(OR($B356="",N($J356)=0),"",MIN(N($J356),SUMIFS(nrMK_Sess,nrMK_Link,$B356,nrMK_Credit,"Yes",nrMK_PID,$E356,nrMK_Type,"PT")))</f>
        <v/>
      </c>
      <c r="R356" s="17">
        <f>IF(OR($B356="",$N356&lt;&gt;"Yes"),"",IF($K356="Yes",IF(N($J356)&gt;0,N($J356)-N($Q356),""),IF(N($I356)&gt;0,N($I356)-N($P356),"")))</f>
        <v/>
      </c>
      <c r="S356" s="17">
        <f>IF(OR($B356="",$R356=""),"",IF($R356&lt;=0,IF(IFERROR(_xlfn.MAXIFS(nrMK_Date,nrMK_Link,$B356,nrMK_Credit,"Yes",nrMK_PID,$E356),0)=0,"CLEARED (makeup date missing)","CLEARED "&amp;TEXT(_xlfn.MAXIFS(nrMK_Date,nrMK_Link,$B356,nrMK_Credit,"Yes",nrMK_PID,$E356),"mm/dd")),"OPEN"))</f>
        <v/>
      </c>
      <c r="T356" s="17">
        <f>IF($D356="","",IF($C356="","NO DATE",IF($G356="","NO EVENT TYPE",IF(AND($I356&lt;&gt;"",NOT(ISNUMBER($I356))),"MINUTES NOT A NUMBER",IF(AND($J356&lt;&gt;"",NOT(ISNUMBER($J356))),"SESSIONS NOT A NUMBER",IF(OR(N($I356)&lt;0,N($J356)&lt;0),"NEGATIVE MINUTES/SESSIONS",IF(AND($K356="Yes",N($I356)&gt;0),"MINUTES ON A PT EVENT - not counted (PT counts sessions)",IF(AND($K356="No",N($J356)&gt;0),"SESSIONS ON A CLASSROOM EVENT - not counted (classroom counts minutes)",IF(AND($N356="Yes",$K356="Yes",N($J356)=0),"COUNTED PT EVENT WITH NO SESSIONS - dropped from the PT cap",IF(AND($N356="Yes",$K356="No",N($I356)=0),"COUNTED EVENT WITH NO MINUTES - dropped from the classroom cap","OK"))))))))))</f>
        <v/>
      </c>
    </row>
    <row r="357">
      <c r="B357" s="17">
        <f>IF($D357="","","A"&amp;TEXT(ROW()-5,"000"))</f>
        <v/>
      </c>
      <c r="C357" s="18" t="n"/>
      <c r="D357" s="16" t="n"/>
      <c r="E357" s="17">
        <f>IF($D357="","",IFERROR(INDEX(rngCadetPIDs,MATCH($D357,rngCadetNames,0)),"?"))</f>
        <v/>
      </c>
      <c r="F357" s="17">
        <f>IF($E357="","",IFERROR(INDEX(nrCadetAgency,MATCH($E357,rngCadetPIDs,0)),""))</f>
        <v/>
      </c>
      <c r="G357" s="16" t="n"/>
      <c r="H357" s="16" t="n"/>
      <c r="I357" s="16" t="n"/>
      <c r="J357" s="16" t="n"/>
      <c r="K357" s="17">
        <f>IF($G357="","",IF(OR($G357="PT Missed",$G357="PT Modified",$G357="PT Refused"),"Yes","No"))</f>
        <v/>
      </c>
      <c r="L357" s="16" t="n"/>
      <c r="M357" s="16" t="n"/>
      <c r="N357" s="17">
        <f>IF($D357="","",IF($M357="Excused","No",IF(AND($G357="PT Modified",$L357="Received"),"No","Yes")))</f>
        <v/>
      </c>
      <c r="O357" s="16" t="n"/>
      <c r="P357" s="17">
        <f>IF(OR($B357="",N($I357)=0),"",MIN(N($I357),SUMIFS(nrMK_Min,nrMK_Link,$B357,nrMK_Credit,"Yes",nrMK_PID,$E357,nrMK_Type,"Classroom")))</f>
        <v/>
      </c>
      <c r="Q357" s="17">
        <f>IF(OR($B357="",N($J357)=0),"",MIN(N($J357),SUMIFS(nrMK_Sess,nrMK_Link,$B357,nrMK_Credit,"Yes",nrMK_PID,$E357,nrMK_Type,"PT")))</f>
        <v/>
      </c>
      <c r="R357" s="17">
        <f>IF(OR($B357="",$N357&lt;&gt;"Yes"),"",IF($K357="Yes",IF(N($J357)&gt;0,N($J357)-N($Q357),""),IF(N($I357)&gt;0,N($I357)-N($P357),"")))</f>
        <v/>
      </c>
      <c r="S357" s="17">
        <f>IF(OR($B357="",$R357=""),"",IF($R357&lt;=0,IF(IFERROR(_xlfn.MAXIFS(nrMK_Date,nrMK_Link,$B357,nrMK_Credit,"Yes",nrMK_PID,$E357),0)=0,"CLEARED (makeup date missing)","CLEARED "&amp;TEXT(_xlfn.MAXIFS(nrMK_Date,nrMK_Link,$B357,nrMK_Credit,"Yes",nrMK_PID,$E357),"mm/dd")),"OPEN"))</f>
        <v/>
      </c>
      <c r="T357" s="17">
        <f>IF($D357="","",IF($C357="","NO DATE",IF($G357="","NO EVENT TYPE",IF(AND($I357&lt;&gt;"",NOT(ISNUMBER($I357))),"MINUTES NOT A NUMBER",IF(AND($J357&lt;&gt;"",NOT(ISNUMBER($J357))),"SESSIONS NOT A NUMBER",IF(OR(N($I357)&lt;0,N($J357)&lt;0),"NEGATIVE MINUTES/SESSIONS",IF(AND($K357="Yes",N($I357)&gt;0),"MINUTES ON A PT EVENT - not counted (PT counts sessions)",IF(AND($K357="No",N($J357)&gt;0),"SESSIONS ON A CLASSROOM EVENT - not counted (classroom counts minutes)",IF(AND($N357="Yes",$K357="Yes",N($J357)=0),"COUNTED PT EVENT WITH NO SESSIONS - dropped from the PT cap",IF(AND($N357="Yes",$K357="No",N($I357)=0),"COUNTED EVENT WITH NO MINUTES - dropped from the classroom cap","OK"))))))))))</f>
        <v/>
      </c>
    </row>
    <row r="358">
      <c r="B358" s="17">
        <f>IF($D358="","","A"&amp;TEXT(ROW()-5,"000"))</f>
        <v/>
      </c>
      <c r="C358" s="18" t="n"/>
      <c r="D358" s="16" t="n"/>
      <c r="E358" s="17">
        <f>IF($D358="","",IFERROR(INDEX(rngCadetPIDs,MATCH($D358,rngCadetNames,0)),"?"))</f>
        <v/>
      </c>
      <c r="F358" s="17">
        <f>IF($E358="","",IFERROR(INDEX(nrCadetAgency,MATCH($E358,rngCadetPIDs,0)),""))</f>
        <v/>
      </c>
      <c r="G358" s="16" t="n"/>
      <c r="H358" s="16" t="n"/>
      <c r="I358" s="16" t="n"/>
      <c r="J358" s="16" t="n"/>
      <c r="K358" s="17">
        <f>IF($G358="","",IF(OR($G358="PT Missed",$G358="PT Modified",$G358="PT Refused"),"Yes","No"))</f>
        <v/>
      </c>
      <c r="L358" s="16" t="n"/>
      <c r="M358" s="16" t="n"/>
      <c r="N358" s="17">
        <f>IF($D358="","",IF($M358="Excused","No",IF(AND($G358="PT Modified",$L358="Received"),"No","Yes")))</f>
        <v/>
      </c>
      <c r="O358" s="16" t="n"/>
      <c r="P358" s="17">
        <f>IF(OR($B358="",N($I358)=0),"",MIN(N($I358),SUMIFS(nrMK_Min,nrMK_Link,$B358,nrMK_Credit,"Yes",nrMK_PID,$E358,nrMK_Type,"Classroom")))</f>
        <v/>
      </c>
      <c r="Q358" s="17">
        <f>IF(OR($B358="",N($J358)=0),"",MIN(N($J358),SUMIFS(nrMK_Sess,nrMK_Link,$B358,nrMK_Credit,"Yes",nrMK_PID,$E358,nrMK_Type,"PT")))</f>
        <v/>
      </c>
      <c r="R358" s="17">
        <f>IF(OR($B358="",$N358&lt;&gt;"Yes"),"",IF($K358="Yes",IF(N($J358)&gt;0,N($J358)-N($Q358),""),IF(N($I358)&gt;0,N($I358)-N($P358),"")))</f>
        <v/>
      </c>
      <c r="S358" s="17">
        <f>IF(OR($B358="",$R358=""),"",IF($R358&lt;=0,IF(IFERROR(_xlfn.MAXIFS(nrMK_Date,nrMK_Link,$B358,nrMK_Credit,"Yes",nrMK_PID,$E358),0)=0,"CLEARED (makeup date missing)","CLEARED "&amp;TEXT(_xlfn.MAXIFS(nrMK_Date,nrMK_Link,$B358,nrMK_Credit,"Yes",nrMK_PID,$E358),"mm/dd")),"OPEN"))</f>
        <v/>
      </c>
      <c r="T358" s="17">
        <f>IF($D358="","",IF($C358="","NO DATE",IF($G358="","NO EVENT TYPE",IF(AND($I358&lt;&gt;"",NOT(ISNUMBER($I358))),"MINUTES NOT A NUMBER",IF(AND($J358&lt;&gt;"",NOT(ISNUMBER($J358))),"SESSIONS NOT A NUMBER",IF(OR(N($I358)&lt;0,N($J358)&lt;0),"NEGATIVE MINUTES/SESSIONS",IF(AND($K358="Yes",N($I358)&gt;0),"MINUTES ON A PT EVENT - not counted (PT counts sessions)",IF(AND($K358="No",N($J358)&gt;0),"SESSIONS ON A CLASSROOM EVENT - not counted (classroom counts minutes)",IF(AND($N358="Yes",$K358="Yes",N($J358)=0),"COUNTED PT EVENT WITH NO SESSIONS - dropped from the PT cap",IF(AND($N358="Yes",$K358="No",N($I358)=0),"COUNTED EVENT WITH NO MINUTES - dropped from the classroom cap","OK"))))))))))</f>
        <v/>
      </c>
    </row>
    <row r="359">
      <c r="B359" s="17">
        <f>IF($D359="","","A"&amp;TEXT(ROW()-5,"000"))</f>
        <v/>
      </c>
      <c r="C359" s="18" t="n"/>
      <c r="D359" s="16" t="n"/>
      <c r="E359" s="17">
        <f>IF($D359="","",IFERROR(INDEX(rngCadetPIDs,MATCH($D359,rngCadetNames,0)),"?"))</f>
        <v/>
      </c>
      <c r="F359" s="17">
        <f>IF($E359="","",IFERROR(INDEX(nrCadetAgency,MATCH($E359,rngCadetPIDs,0)),""))</f>
        <v/>
      </c>
      <c r="G359" s="16" t="n"/>
      <c r="H359" s="16" t="n"/>
      <c r="I359" s="16" t="n"/>
      <c r="J359" s="16" t="n"/>
      <c r="K359" s="17">
        <f>IF($G359="","",IF(OR($G359="PT Missed",$G359="PT Modified",$G359="PT Refused"),"Yes","No"))</f>
        <v/>
      </c>
      <c r="L359" s="16" t="n"/>
      <c r="M359" s="16" t="n"/>
      <c r="N359" s="17">
        <f>IF($D359="","",IF($M359="Excused","No",IF(AND($G359="PT Modified",$L359="Received"),"No","Yes")))</f>
        <v/>
      </c>
      <c r="O359" s="16" t="n"/>
      <c r="P359" s="17">
        <f>IF(OR($B359="",N($I359)=0),"",MIN(N($I359),SUMIFS(nrMK_Min,nrMK_Link,$B359,nrMK_Credit,"Yes",nrMK_PID,$E359,nrMK_Type,"Classroom")))</f>
        <v/>
      </c>
      <c r="Q359" s="17">
        <f>IF(OR($B359="",N($J359)=0),"",MIN(N($J359),SUMIFS(nrMK_Sess,nrMK_Link,$B359,nrMK_Credit,"Yes",nrMK_PID,$E359,nrMK_Type,"PT")))</f>
        <v/>
      </c>
      <c r="R359" s="17">
        <f>IF(OR($B359="",$N359&lt;&gt;"Yes"),"",IF($K359="Yes",IF(N($J359)&gt;0,N($J359)-N($Q359),""),IF(N($I359)&gt;0,N($I359)-N($P359),"")))</f>
        <v/>
      </c>
      <c r="S359" s="17">
        <f>IF(OR($B359="",$R359=""),"",IF($R359&lt;=0,IF(IFERROR(_xlfn.MAXIFS(nrMK_Date,nrMK_Link,$B359,nrMK_Credit,"Yes",nrMK_PID,$E359),0)=0,"CLEARED (makeup date missing)","CLEARED "&amp;TEXT(_xlfn.MAXIFS(nrMK_Date,nrMK_Link,$B359,nrMK_Credit,"Yes",nrMK_PID,$E359),"mm/dd")),"OPEN"))</f>
        <v/>
      </c>
      <c r="T359" s="17">
        <f>IF($D359="","",IF($C359="","NO DATE",IF($G359="","NO EVENT TYPE",IF(AND($I359&lt;&gt;"",NOT(ISNUMBER($I359))),"MINUTES NOT A NUMBER",IF(AND($J359&lt;&gt;"",NOT(ISNUMBER($J359))),"SESSIONS NOT A NUMBER",IF(OR(N($I359)&lt;0,N($J359)&lt;0),"NEGATIVE MINUTES/SESSIONS",IF(AND($K359="Yes",N($I359)&gt;0),"MINUTES ON A PT EVENT - not counted (PT counts sessions)",IF(AND($K359="No",N($J359)&gt;0),"SESSIONS ON A CLASSROOM EVENT - not counted (classroom counts minutes)",IF(AND($N359="Yes",$K359="Yes",N($J359)=0),"COUNTED PT EVENT WITH NO SESSIONS - dropped from the PT cap",IF(AND($N359="Yes",$K359="No",N($I359)=0),"COUNTED EVENT WITH NO MINUTES - dropped from the classroom cap","OK"))))))))))</f>
        <v/>
      </c>
    </row>
    <row r="360">
      <c r="B360" s="17">
        <f>IF($D360="","","A"&amp;TEXT(ROW()-5,"000"))</f>
        <v/>
      </c>
      <c r="C360" s="18" t="n"/>
      <c r="D360" s="16" t="n"/>
      <c r="E360" s="17">
        <f>IF($D360="","",IFERROR(INDEX(rngCadetPIDs,MATCH($D360,rngCadetNames,0)),"?"))</f>
        <v/>
      </c>
      <c r="F360" s="17">
        <f>IF($E360="","",IFERROR(INDEX(nrCadetAgency,MATCH($E360,rngCadetPIDs,0)),""))</f>
        <v/>
      </c>
      <c r="G360" s="16" t="n"/>
      <c r="H360" s="16" t="n"/>
      <c r="I360" s="16" t="n"/>
      <c r="J360" s="16" t="n"/>
      <c r="K360" s="17">
        <f>IF($G360="","",IF(OR($G360="PT Missed",$G360="PT Modified",$G360="PT Refused"),"Yes","No"))</f>
        <v/>
      </c>
      <c r="L360" s="16" t="n"/>
      <c r="M360" s="16" t="n"/>
      <c r="N360" s="17">
        <f>IF($D360="","",IF($M360="Excused","No",IF(AND($G360="PT Modified",$L360="Received"),"No","Yes")))</f>
        <v/>
      </c>
      <c r="O360" s="16" t="n"/>
      <c r="P360" s="17">
        <f>IF(OR($B360="",N($I360)=0),"",MIN(N($I360),SUMIFS(nrMK_Min,nrMK_Link,$B360,nrMK_Credit,"Yes",nrMK_PID,$E360,nrMK_Type,"Classroom")))</f>
        <v/>
      </c>
      <c r="Q360" s="17">
        <f>IF(OR($B360="",N($J360)=0),"",MIN(N($J360),SUMIFS(nrMK_Sess,nrMK_Link,$B360,nrMK_Credit,"Yes",nrMK_PID,$E360,nrMK_Type,"PT")))</f>
        <v/>
      </c>
      <c r="R360" s="17">
        <f>IF(OR($B360="",$N360&lt;&gt;"Yes"),"",IF($K360="Yes",IF(N($J360)&gt;0,N($J360)-N($Q360),""),IF(N($I360)&gt;0,N($I360)-N($P360),"")))</f>
        <v/>
      </c>
      <c r="S360" s="17">
        <f>IF(OR($B360="",$R360=""),"",IF($R360&lt;=0,IF(IFERROR(_xlfn.MAXIFS(nrMK_Date,nrMK_Link,$B360,nrMK_Credit,"Yes",nrMK_PID,$E360),0)=0,"CLEARED (makeup date missing)","CLEARED "&amp;TEXT(_xlfn.MAXIFS(nrMK_Date,nrMK_Link,$B360,nrMK_Credit,"Yes",nrMK_PID,$E360),"mm/dd")),"OPEN"))</f>
        <v/>
      </c>
      <c r="T360" s="17">
        <f>IF($D360="","",IF($C360="","NO DATE",IF($G360="","NO EVENT TYPE",IF(AND($I360&lt;&gt;"",NOT(ISNUMBER($I360))),"MINUTES NOT A NUMBER",IF(AND($J360&lt;&gt;"",NOT(ISNUMBER($J360))),"SESSIONS NOT A NUMBER",IF(OR(N($I360)&lt;0,N($J360)&lt;0),"NEGATIVE MINUTES/SESSIONS",IF(AND($K360="Yes",N($I360)&gt;0),"MINUTES ON A PT EVENT - not counted (PT counts sessions)",IF(AND($K360="No",N($J360)&gt;0),"SESSIONS ON A CLASSROOM EVENT - not counted (classroom counts minutes)",IF(AND($N360="Yes",$K360="Yes",N($J360)=0),"COUNTED PT EVENT WITH NO SESSIONS - dropped from the PT cap",IF(AND($N360="Yes",$K360="No",N($I360)=0),"COUNTED EVENT WITH NO MINUTES - dropped from the classroom cap","OK"))))))))))</f>
        <v/>
      </c>
    </row>
    <row r="361">
      <c r="B361" s="17">
        <f>IF($D361="","","A"&amp;TEXT(ROW()-5,"000"))</f>
        <v/>
      </c>
      <c r="C361" s="18" t="n"/>
      <c r="D361" s="16" t="n"/>
      <c r="E361" s="17">
        <f>IF($D361="","",IFERROR(INDEX(rngCadetPIDs,MATCH($D361,rngCadetNames,0)),"?"))</f>
        <v/>
      </c>
      <c r="F361" s="17">
        <f>IF($E361="","",IFERROR(INDEX(nrCadetAgency,MATCH($E361,rngCadetPIDs,0)),""))</f>
        <v/>
      </c>
      <c r="G361" s="16" t="n"/>
      <c r="H361" s="16" t="n"/>
      <c r="I361" s="16" t="n"/>
      <c r="J361" s="16" t="n"/>
      <c r="K361" s="17">
        <f>IF($G361="","",IF(OR($G361="PT Missed",$G361="PT Modified",$G361="PT Refused"),"Yes","No"))</f>
        <v/>
      </c>
      <c r="L361" s="16" t="n"/>
      <c r="M361" s="16" t="n"/>
      <c r="N361" s="17">
        <f>IF($D361="","",IF($M361="Excused","No",IF(AND($G361="PT Modified",$L361="Received"),"No","Yes")))</f>
        <v/>
      </c>
      <c r="O361" s="16" t="n"/>
      <c r="P361" s="17">
        <f>IF(OR($B361="",N($I361)=0),"",MIN(N($I361),SUMIFS(nrMK_Min,nrMK_Link,$B361,nrMK_Credit,"Yes",nrMK_PID,$E361,nrMK_Type,"Classroom")))</f>
        <v/>
      </c>
      <c r="Q361" s="17">
        <f>IF(OR($B361="",N($J361)=0),"",MIN(N($J361),SUMIFS(nrMK_Sess,nrMK_Link,$B361,nrMK_Credit,"Yes",nrMK_PID,$E361,nrMK_Type,"PT")))</f>
        <v/>
      </c>
      <c r="R361" s="17">
        <f>IF(OR($B361="",$N361&lt;&gt;"Yes"),"",IF($K361="Yes",IF(N($J361)&gt;0,N($J361)-N($Q361),""),IF(N($I361)&gt;0,N($I361)-N($P361),"")))</f>
        <v/>
      </c>
      <c r="S361" s="17">
        <f>IF(OR($B361="",$R361=""),"",IF($R361&lt;=0,IF(IFERROR(_xlfn.MAXIFS(nrMK_Date,nrMK_Link,$B361,nrMK_Credit,"Yes",nrMK_PID,$E361),0)=0,"CLEARED (makeup date missing)","CLEARED "&amp;TEXT(_xlfn.MAXIFS(nrMK_Date,nrMK_Link,$B361,nrMK_Credit,"Yes",nrMK_PID,$E361),"mm/dd")),"OPEN"))</f>
        <v/>
      </c>
      <c r="T361" s="17">
        <f>IF($D361="","",IF($C361="","NO DATE",IF($G361="","NO EVENT TYPE",IF(AND($I361&lt;&gt;"",NOT(ISNUMBER($I361))),"MINUTES NOT A NUMBER",IF(AND($J361&lt;&gt;"",NOT(ISNUMBER($J361))),"SESSIONS NOT A NUMBER",IF(OR(N($I361)&lt;0,N($J361)&lt;0),"NEGATIVE MINUTES/SESSIONS",IF(AND($K361="Yes",N($I361)&gt;0),"MINUTES ON A PT EVENT - not counted (PT counts sessions)",IF(AND($K361="No",N($J361)&gt;0),"SESSIONS ON A CLASSROOM EVENT - not counted (classroom counts minutes)",IF(AND($N361="Yes",$K361="Yes",N($J361)=0),"COUNTED PT EVENT WITH NO SESSIONS - dropped from the PT cap",IF(AND($N361="Yes",$K361="No",N($I361)=0),"COUNTED EVENT WITH NO MINUTES - dropped from the classroom cap","OK"))))))))))</f>
        <v/>
      </c>
    </row>
    <row r="362">
      <c r="B362" s="17">
        <f>IF($D362="","","A"&amp;TEXT(ROW()-5,"000"))</f>
        <v/>
      </c>
      <c r="C362" s="18" t="n"/>
      <c r="D362" s="16" t="n"/>
      <c r="E362" s="17">
        <f>IF($D362="","",IFERROR(INDEX(rngCadetPIDs,MATCH($D362,rngCadetNames,0)),"?"))</f>
        <v/>
      </c>
      <c r="F362" s="17">
        <f>IF($E362="","",IFERROR(INDEX(nrCadetAgency,MATCH($E362,rngCadetPIDs,0)),""))</f>
        <v/>
      </c>
      <c r="G362" s="16" t="n"/>
      <c r="H362" s="16" t="n"/>
      <c r="I362" s="16" t="n"/>
      <c r="J362" s="16" t="n"/>
      <c r="K362" s="17">
        <f>IF($G362="","",IF(OR($G362="PT Missed",$G362="PT Modified",$G362="PT Refused"),"Yes","No"))</f>
        <v/>
      </c>
      <c r="L362" s="16" t="n"/>
      <c r="M362" s="16" t="n"/>
      <c r="N362" s="17">
        <f>IF($D362="","",IF($M362="Excused","No",IF(AND($G362="PT Modified",$L362="Received"),"No","Yes")))</f>
        <v/>
      </c>
      <c r="O362" s="16" t="n"/>
      <c r="P362" s="17">
        <f>IF(OR($B362="",N($I362)=0),"",MIN(N($I362),SUMIFS(nrMK_Min,nrMK_Link,$B362,nrMK_Credit,"Yes",nrMK_PID,$E362,nrMK_Type,"Classroom")))</f>
        <v/>
      </c>
      <c r="Q362" s="17">
        <f>IF(OR($B362="",N($J362)=0),"",MIN(N($J362),SUMIFS(nrMK_Sess,nrMK_Link,$B362,nrMK_Credit,"Yes",nrMK_PID,$E362,nrMK_Type,"PT")))</f>
        <v/>
      </c>
      <c r="R362" s="17">
        <f>IF(OR($B362="",$N362&lt;&gt;"Yes"),"",IF($K362="Yes",IF(N($J362)&gt;0,N($J362)-N($Q362),""),IF(N($I362)&gt;0,N($I362)-N($P362),"")))</f>
        <v/>
      </c>
      <c r="S362" s="17">
        <f>IF(OR($B362="",$R362=""),"",IF($R362&lt;=0,IF(IFERROR(_xlfn.MAXIFS(nrMK_Date,nrMK_Link,$B362,nrMK_Credit,"Yes",nrMK_PID,$E362),0)=0,"CLEARED (makeup date missing)","CLEARED "&amp;TEXT(_xlfn.MAXIFS(nrMK_Date,nrMK_Link,$B362,nrMK_Credit,"Yes",nrMK_PID,$E362),"mm/dd")),"OPEN"))</f>
        <v/>
      </c>
      <c r="T362" s="17">
        <f>IF($D362="","",IF($C362="","NO DATE",IF($G362="","NO EVENT TYPE",IF(AND($I362&lt;&gt;"",NOT(ISNUMBER($I362))),"MINUTES NOT A NUMBER",IF(AND($J362&lt;&gt;"",NOT(ISNUMBER($J362))),"SESSIONS NOT A NUMBER",IF(OR(N($I362)&lt;0,N($J362)&lt;0),"NEGATIVE MINUTES/SESSIONS",IF(AND($K362="Yes",N($I362)&gt;0),"MINUTES ON A PT EVENT - not counted (PT counts sessions)",IF(AND($K362="No",N($J362)&gt;0),"SESSIONS ON A CLASSROOM EVENT - not counted (classroom counts minutes)",IF(AND($N362="Yes",$K362="Yes",N($J362)=0),"COUNTED PT EVENT WITH NO SESSIONS - dropped from the PT cap",IF(AND($N362="Yes",$K362="No",N($I362)=0),"COUNTED EVENT WITH NO MINUTES - dropped from the classroom cap","OK"))))))))))</f>
        <v/>
      </c>
    </row>
    <row r="363">
      <c r="B363" s="17">
        <f>IF($D363="","","A"&amp;TEXT(ROW()-5,"000"))</f>
        <v/>
      </c>
      <c r="C363" s="18" t="n"/>
      <c r="D363" s="16" t="n"/>
      <c r="E363" s="17">
        <f>IF($D363="","",IFERROR(INDEX(rngCadetPIDs,MATCH($D363,rngCadetNames,0)),"?"))</f>
        <v/>
      </c>
      <c r="F363" s="17">
        <f>IF($E363="","",IFERROR(INDEX(nrCadetAgency,MATCH($E363,rngCadetPIDs,0)),""))</f>
        <v/>
      </c>
      <c r="G363" s="16" t="n"/>
      <c r="H363" s="16" t="n"/>
      <c r="I363" s="16" t="n"/>
      <c r="J363" s="16" t="n"/>
      <c r="K363" s="17">
        <f>IF($G363="","",IF(OR($G363="PT Missed",$G363="PT Modified",$G363="PT Refused"),"Yes","No"))</f>
        <v/>
      </c>
      <c r="L363" s="16" t="n"/>
      <c r="M363" s="16" t="n"/>
      <c r="N363" s="17">
        <f>IF($D363="","",IF($M363="Excused","No",IF(AND($G363="PT Modified",$L363="Received"),"No","Yes")))</f>
        <v/>
      </c>
      <c r="O363" s="16" t="n"/>
      <c r="P363" s="17">
        <f>IF(OR($B363="",N($I363)=0),"",MIN(N($I363),SUMIFS(nrMK_Min,nrMK_Link,$B363,nrMK_Credit,"Yes",nrMK_PID,$E363,nrMK_Type,"Classroom")))</f>
        <v/>
      </c>
      <c r="Q363" s="17">
        <f>IF(OR($B363="",N($J363)=0),"",MIN(N($J363),SUMIFS(nrMK_Sess,nrMK_Link,$B363,nrMK_Credit,"Yes",nrMK_PID,$E363,nrMK_Type,"PT")))</f>
        <v/>
      </c>
      <c r="R363" s="17">
        <f>IF(OR($B363="",$N363&lt;&gt;"Yes"),"",IF($K363="Yes",IF(N($J363)&gt;0,N($J363)-N($Q363),""),IF(N($I363)&gt;0,N($I363)-N($P363),"")))</f>
        <v/>
      </c>
      <c r="S363" s="17">
        <f>IF(OR($B363="",$R363=""),"",IF($R363&lt;=0,IF(IFERROR(_xlfn.MAXIFS(nrMK_Date,nrMK_Link,$B363,nrMK_Credit,"Yes",nrMK_PID,$E363),0)=0,"CLEARED (makeup date missing)","CLEARED "&amp;TEXT(_xlfn.MAXIFS(nrMK_Date,nrMK_Link,$B363,nrMK_Credit,"Yes",nrMK_PID,$E363),"mm/dd")),"OPEN"))</f>
        <v/>
      </c>
      <c r="T363" s="17">
        <f>IF($D363="","",IF($C363="","NO DATE",IF($G363="","NO EVENT TYPE",IF(AND($I363&lt;&gt;"",NOT(ISNUMBER($I363))),"MINUTES NOT A NUMBER",IF(AND($J363&lt;&gt;"",NOT(ISNUMBER($J363))),"SESSIONS NOT A NUMBER",IF(OR(N($I363)&lt;0,N($J363)&lt;0),"NEGATIVE MINUTES/SESSIONS",IF(AND($K363="Yes",N($I363)&gt;0),"MINUTES ON A PT EVENT - not counted (PT counts sessions)",IF(AND($K363="No",N($J363)&gt;0),"SESSIONS ON A CLASSROOM EVENT - not counted (classroom counts minutes)",IF(AND($N363="Yes",$K363="Yes",N($J363)=0),"COUNTED PT EVENT WITH NO SESSIONS - dropped from the PT cap",IF(AND($N363="Yes",$K363="No",N($I363)=0),"COUNTED EVENT WITH NO MINUTES - dropped from the classroom cap","OK"))))))))))</f>
        <v/>
      </c>
    </row>
    <row r="364">
      <c r="B364" s="17">
        <f>IF($D364="","","A"&amp;TEXT(ROW()-5,"000"))</f>
        <v/>
      </c>
      <c r="C364" s="18" t="n"/>
      <c r="D364" s="16" t="n"/>
      <c r="E364" s="17">
        <f>IF($D364="","",IFERROR(INDEX(rngCadetPIDs,MATCH($D364,rngCadetNames,0)),"?"))</f>
        <v/>
      </c>
      <c r="F364" s="17">
        <f>IF($E364="","",IFERROR(INDEX(nrCadetAgency,MATCH($E364,rngCadetPIDs,0)),""))</f>
        <v/>
      </c>
      <c r="G364" s="16" t="n"/>
      <c r="H364" s="16" t="n"/>
      <c r="I364" s="16" t="n"/>
      <c r="J364" s="16" t="n"/>
      <c r="K364" s="17">
        <f>IF($G364="","",IF(OR($G364="PT Missed",$G364="PT Modified",$G364="PT Refused"),"Yes","No"))</f>
        <v/>
      </c>
      <c r="L364" s="16" t="n"/>
      <c r="M364" s="16" t="n"/>
      <c r="N364" s="17">
        <f>IF($D364="","",IF($M364="Excused","No",IF(AND($G364="PT Modified",$L364="Received"),"No","Yes")))</f>
        <v/>
      </c>
      <c r="O364" s="16" t="n"/>
      <c r="P364" s="17">
        <f>IF(OR($B364="",N($I364)=0),"",MIN(N($I364),SUMIFS(nrMK_Min,nrMK_Link,$B364,nrMK_Credit,"Yes",nrMK_PID,$E364,nrMK_Type,"Classroom")))</f>
        <v/>
      </c>
      <c r="Q364" s="17">
        <f>IF(OR($B364="",N($J364)=0),"",MIN(N($J364),SUMIFS(nrMK_Sess,nrMK_Link,$B364,nrMK_Credit,"Yes",nrMK_PID,$E364,nrMK_Type,"PT")))</f>
        <v/>
      </c>
      <c r="R364" s="17">
        <f>IF(OR($B364="",$N364&lt;&gt;"Yes"),"",IF($K364="Yes",IF(N($J364)&gt;0,N($J364)-N($Q364),""),IF(N($I364)&gt;0,N($I364)-N($P364),"")))</f>
        <v/>
      </c>
      <c r="S364" s="17">
        <f>IF(OR($B364="",$R364=""),"",IF($R364&lt;=0,IF(IFERROR(_xlfn.MAXIFS(nrMK_Date,nrMK_Link,$B364,nrMK_Credit,"Yes",nrMK_PID,$E364),0)=0,"CLEARED (makeup date missing)","CLEARED "&amp;TEXT(_xlfn.MAXIFS(nrMK_Date,nrMK_Link,$B364,nrMK_Credit,"Yes",nrMK_PID,$E364),"mm/dd")),"OPEN"))</f>
        <v/>
      </c>
      <c r="T364" s="17">
        <f>IF($D364="","",IF($C364="","NO DATE",IF($G364="","NO EVENT TYPE",IF(AND($I364&lt;&gt;"",NOT(ISNUMBER($I364))),"MINUTES NOT A NUMBER",IF(AND($J364&lt;&gt;"",NOT(ISNUMBER($J364))),"SESSIONS NOT A NUMBER",IF(OR(N($I364)&lt;0,N($J364)&lt;0),"NEGATIVE MINUTES/SESSIONS",IF(AND($K364="Yes",N($I364)&gt;0),"MINUTES ON A PT EVENT - not counted (PT counts sessions)",IF(AND($K364="No",N($J364)&gt;0),"SESSIONS ON A CLASSROOM EVENT - not counted (classroom counts minutes)",IF(AND($N364="Yes",$K364="Yes",N($J364)=0),"COUNTED PT EVENT WITH NO SESSIONS - dropped from the PT cap",IF(AND($N364="Yes",$K364="No",N($I364)=0),"COUNTED EVENT WITH NO MINUTES - dropped from the classroom cap","OK"))))))))))</f>
        <v/>
      </c>
    </row>
    <row r="365">
      <c r="B365" s="17">
        <f>IF($D365="","","A"&amp;TEXT(ROW()-5,"000"))</f>
        <v/>
      </c>
      <c r="C365" s="18" t="n"/>
      <c r="D365" s="16" t="n"/>
      <c r="E365" s="17">
        <f>IF($D365="","",IFERROR(INDEX(rngCadetPIDs,MATCH($D365,rngCadetNames,0)),"?"))</f>
        <v/>
      </c>
      <c r="F365" s="17">
        <f>IF($E365="","",IFERROR(INDEX(nrCadetAgency,MATCH($E365,rngCadetPIDs,0)),""))</f>
        <v/>
      </c>
      <c r="G365" s="16" t="n"/>
      <c r="H365" s="16" t="n"/>
      <c r="I365" s="16" t="n"/>
      <c r="J365" s="16" t="n"/>
      <c r="K365" s="17">
        <f>IF($G365="","",IF(OR($G365="PT Missed",$G365="PT Modified",$G365="PT Refused"),"Yes","No"))</f>
        <v/>
      </c>
      <c r="L365" s="16" t="n"/>
      <c r="M365" s="16" t="n"/>
      <c r="N365" s="17">
        <f>IF($D365="","",IF($M365="Excused","No",IF(AND($G365="PT Modified",$L365="Received"),"No","Yes")))</f>
        <v/>
      </c>
      <c r="O365" s="16" t="n"/>
      <c r="P365" s="17">
        <f>IF(OR($B365="",N($I365)=0),"",MIN(N($I365),SUMIFS(nrMK_Min,nrMK_Link,$B365,nrMK_Credit,"Yes",nrMK_PID,$E365,nrMK_Type,"Classroom")))</f>
        <v/>
      </c>
      <c r="Q365" s="17">
        <f>IF(OR($B365="",N($J365)=0),"",MIN(N($J365),SUMIFS(nrMK_Sess,nrMK_Link,$B365,nrMK_Credit,"Yes",nrMK_PID,$E365,nrMK_Type,"PT")))</f>
        <v/>
      </c>
      <c r="R365" s="17">
        <f>IF(OR($B365="",$N365&lt;&gt;"Yes"),"",IF($K365="Yes",IF(N($J365)&gt;0,N($J365)-N($Q365),""),IF(N($I365)&gt;0,N($I365)-N($P365),"")))</f>
        <v/>
      </c>
      <c r="S365" s="17">
        <f>IF(OR($B365="",$R365=""),"",IF($R365&lt;=0,IF(IFERROR(_xlfn.MAXIFS(nrMK_Date,nrMK_Link,$B365,nrMK_Credit,"Yes",nrMK_PID,$E365),0)=0,"CLEARED (makeup date missing)","CLEARED "&amp;TEXT(_xlfn.MAXIFS(nrMK_Date,nrMK_Link,$B365,nrMK_Credit,"Yes",nrMK_PID,$E365),"mm/dd")),"OPEN"))</f>
        <v/>
      </c>
      <c r="T365" s="17">
        <f>IF($D365="","",IF($C365="","NO DATE",IF($G365="","NO EVENT TYPE",IF(AND($I365&lt;&gt;"",NOT(ISNUMBER($I365))),"MINUTES NOT A NUMBER",IF(AND($J365&lt;&gt;"",NOT(ISNUMBER($J365))),"SESSIONS NOT A NUMBER",IF(OR(N($I365)&lt;0,N($J365)&lt;0),"NEGATIVE MINUTES/SESSIONS",IF(AND($K365="Yes",N($I365)&gt;0),"MINUTES ON A PT EVENT - not counted (PT counts sessions)",IF(AND($K365="No",N($J365)&gt;0),"SESSIONS ON A CLASSROOM EVENT - not counted (classroom counts minutes)",IF(AND($N365="Yes",$K365="Yes",N($J365)=0),"COUNTED PT EVENT WITH NO SESSIONS - dropped from the PT cap",IF(AND($N365="Yes",$K365="No",N($I365)=0),"COUNTED EVENT WITH NO MINUTES - dropped from the classroom cap","OK"))))))))))</f>
        <v/>
      </c>
    </row>
    <row r="366">
      <c r="B366" s="17">
        <f>IF($D366="","","A"&amp;TEXT(ROW()-5,"000"))</f>
        <v/>
      </c>
      <c r="C366" s="18" t="n"/>
      <c r="D366" s="16" t="n"/>
      <c r="E366" s="17">
        <f>IF($D366="","",IFERROR(INDEX(rngCadetPIDs,MATCH($D366,rngCadetNames,0)),"?"))</f>
        <v/>
      </c>
      <c r="F366" s="17">
        <f>IF($E366="","",IFERROR(INDEX(nrCadetAgency,MATCH($E366,rngCadetPIDs,0)),""))</f>
        <v/>
      </c>
      <c r="G366" s="16" t="n"/>
      <c r="H366" s="16" t="n"/>
      <c r="I366" s="16" t="n"/>
      <c r="J366" s="16" t="n"/>
      <c r="K366" s="17">
        <f>IF($G366="","",IF(OR($G366="PT Missed",$G366="PT Modified",$G366="PT Refused"),"Yes","No"))</f>
        <v/>
      </c>
      <c r="L366" s="16" t="n"/>
      <c r="M366" s="16" t="n"/>
      <c r="N366" s="17">
        <f>IF($D366="","",IF($M366="Excused","No",IF(AND($G366="PT Modified",$L366="Received"),"No","Yes")))</f>
        <v/>
      </c>
      <c r="O366" s="16" t="n"/>
      <c r="P366" s="17">
        <f>IF(OR($B366="",N($I366)=0),"",MIN(N($I366),SUMIFS(nrMK_Min,nrMK_Link,$B366,nrMK_Credit,"Yes",nrMK_PID,$E366,nrMK_Type,"Classroom")))</f>
        <v/>
      </c>
      <c r="Q366" s="17">
        <f>IF(OR($B366="",N($J366)=0),"",MIN(N($J366),SUMIFS(nrMK_Sess,nrMK_Link,$B366,nrMK_Credit,"Yes",nrMK_PID,$E366,nrMK_Type,"PT")))</f>
        <v/>
      </c>
      <c r="R366" s="17">
        <f>IF(OR($B366="",$N366&lt;&gt;"Yes"),"",IF($K366="Yes",IF(N($J366)&gt;0,N($J366)-N($Q366),""),IF(N($I366)&gt;0,N($I366)-N($P366),"")))</f>
        <v/>
      </c>
      <c r="S366" s="17">
        <f>IF(OR($B366="",$R366=""),"",IF($R366&lt;=0,IF(IFERROR(_xlfn.MAXIFS(nrMK_Date,nrMK_Link,$B366,nrMK_Credit,"Yes",nrMK_PID,$E366),0)=0,"CLEARED (makeup date missing)","CLEARED "&amp;TEXT(_xlfn.MAXIFS(nrMK_Date,nrMK_Link,$B366,nrMK_Credit,"Yes",nrMK_PID,$E366),"mm/dd")),"OPEN"))</f>
        <v/>
      </c>
      <c r="T366" s="17">
        <f>IF($D366="","",IF($C366="","NO DATE",IF($G366="","NO EVENT TYPE",IF(AND($I366&lt;&gt;"",NOT(ISNUMBER($I366))),"MINUTES NOT A NUMBER",IF(AND($J366&lt;&gt;"",NOT(ISNUMBER($J366))),"SESSIONS NOT A NUMBER",IF(OR(N($I366)&lt;0,N($J366)&lt;0),"NEGATIVE MINUTES/SESSIONS",IF(AND($K366="Yes",N($I366)&gt;0),"MINUTES ON A PT EVENT - not counted (PT counts sessions)",IF(AND($K366="No",N($J366)&gt;0),"SESSIONS ON A CLASSROOM EVENT - not counted (classroom counts minutes)",IF(AND($N366="Yes",$K366="Yes",N($J366)=0),"COUNTED PT EVENT WITH NO SESSIONS - dropped from the PT cap",IF(AND($N366="Yes",$K366="No",N($I366)=0),"COUNTED EVENT WITH NO MINUTES - dropped from the classroom cap","OK"))))))))))</f>
        <v/>
      </c>
    </row>
    <row r="367">
      <c r="B367" s="17">
        <f>IF($D367="","","A"&amp;TEXT(ROW()-5,"000"))</f>
        <v/>
      </c>
      <c r="C367" s="18" t="n"/>
      <c r="D367" s="16" t="n"/>
      <c r="E367" s="17">
        <f>IF($D367="","",IFERROR(INDEX(rngCadetPIDs,MATCH($D367,rngCadetNames,0)),"?"))</f>
        <v/>
      </c>
      <c r="F367" s="17">
        <f>IF($E367="","",IFERROR(INDEX(nrCadetAgency,MATCH($E367,rngCadetPIDs,0)),""))</f>
        <v/>
      </c>
      <c r="G367" s="16" t="n"/>
      <c r="H367" s="16" t="n"/>
      <c r="I367" s="16" t="n"/>
      <c r="J367" s="16" t="n"/>
      <c r="K367" s="17">
        <f>IF($G367="","",IF(OR($G367="PT Missed",$G367="PT Modified",$G367="PT Refused"),"Yes","No"))</f>
        <v/>
      </c>
      <c r="L367" s="16" t="n"/>
      <c r="M367" s="16" t="n"/>
      <c r="N367" s="17">
        <f>IF($D367="","",IF($M367="Excused","No",IF(AND($G367="PT Modified",$L367="Received"),"No","Yes")))</f>
        <v/>
      </c>
      <c r="O367" s="16" t="n"/>
      <c r="P367" s="17">
        <f>IF(OR($B367="",N($I367)=0),"",MIN(N($I367),SUMIFS(nrMK_Min,nrMK_Link,$B367,nrMK_Credit,"Yes",nrMK_PID,$E367,nrMK_Type,"Classroom")))</f>
        <v/>
      </c>
      <c r="Q367" s="17">
        <f>IF(OR($B367="",N($J367)=0),"",MIN(N($J367),SUMIFS(nrMK_Sess,nrMK_Link,$B367,nrMK_Credit,"Yes",nrMK_PID,$E367,nrMK_Type,"PT")))</f>
        <v/>
      </c>
      <c r="R367" s="17">
        <f>IF(OR($B367="",$N367&lt;&gt;"Yes"),"",IF($K367="Yes",IF(N($J367)&gt;0,N($J367)-N($Q367),""),IF(N($I367)&gt;0,N($I367)-N($P367),"")))</f>
        <v/>
      </c>
      <c r="S367" s="17">
        <f>IF(OR($B367="",$R367=""),"",IF($R367&lt;=0,IF(IFERROR(_xlfn.MAXIFS(nrMK_Date,nrMK_Link,$B367,nrMK_Credit,"Yes",nrMK_PID,$E367),0)=0,"CLEARED (makeup date missing)","CLEARED "&amp;TEXT(_xlfn.MAXIFS(nrMK_Date,nrMK_Link,$B367,nrMK_Credit,"Yes",nrMK_PID,$E367),"mm/dd")),"OPEN"))</f>
        <v/>
      </c>
      <c r="T367" s="17">
        <f>IF($D367="","",IF($C367="","NO DATE",IF($G367="","NO EVENT TYPE",IF(AND($I367&lt;&gt;"",NOT(ISNUMBER($I367))),"MINUTES NOT A NUMBER",IF(AND($J367&lt;&gt;"",NOT(ISNUMBER($J367))),"SESSIONS NOT A NUMBER",IF(OR(N($I367)&lt;0,N($J367)&lt;0),"NEGATIVE MINUTES/SESSIONS",IF(AND($K367="Yes",N($I367)&gt;0),"MINUTES ON A PT EVENT - not counted (PT counts sessions)",IF(AND($K367="No",N($J367)&gt;0),"SESSIONS ON A CLASSROOM EVENT - not counted (classroom counts minutes)",IF(AND($N367="Yes",$K367="Yes",N($J367)=0),"COUNTED PT EVENT WITH NO SESSIONS - dropped from the PT cap",IF(AND($N367="Yes",$K367="No",N($I367)=0),"COUNTED EVENT WITH NO MINUTES - dropped from the classroom cap","OK"))))))))))</f>
        <v/>
      </c>
    </row>
    <row r="368">
      <c r="B368" s="17">
        <f>IF($D368="","","A"&amp;TEXT(ROW()-5,"000"))</f>
        <v/>
      </c>
      <c r="C368" s="18" t="n"/>
      <c r="D368" s="16" t="n"/>
      <c r="E368" s="17">
        <f>IF($D368="","",IFERROR(INDEX(rngCadetPIDs,MATCH($D368,rngCadetNames,0)),"?"))</f>
        <v/>
      </c>
      <c r="F368" s="17">
        <f>IF($E368="","",IFERROR(INDEX(nrCadetAgency,MATCH($E368,rngCadetPIDs,0)),""))</f>
        <v/>
      </c>
      <c r="G368" s="16" t="n"/>
      <c r="H368" s="16" t="n"/>
      <c r="I368" s="16" t="n"/>
      <c r="J368" s="16" t="n"/>
      <c r="K368" s="17">
        <f>IF($G368="","",IF(OR($G368="PT Missed",$G368="PT Modified",$G368="PT Refused"),"Yes","No"))</f>
        <v/>
      </c>
      <c r="L368" s="16" t="n"/>
      <c r="M368" s="16" t="n"/>
      <c r="N368" s="17">
        <f>IF($D368="","",IF($M368="Excused","No",IF(AND($G368="PT Modified",$L368="Received"),"No","Yes")))</f>
        <v/>
      </c>
      <c r="O368" s="16" t="n"/>
      <c r="P368" s="17">
        <f>IF(OR($B368="",N($I368)=0),"",MIN(N($I368),SUMIFS(nrMK_Min,nrMK_Link,$B368,nrMK_Credit,"Yes",nrMK_PID,$E368,nrMK_Type,"Classroom")))</f>
        <v/>
      </c>
      <c r="Q368" s="17">
        <f>IF(OR($B368="",N($J368)=0),"",MIN(N($J368),SUMIFS(nrMK_Sess,nrMK_Link,$B368,nrMK_Credit,"Yes",nrMK_PID,$E368,nrMK_Type,"PT")))</f>
        <v/>
      </c>
      <c r="R368" s="17">
        <f>IF(OR($B368="",$N368&lt;&gt;"Yes"),"",IF($K368="Yes",IF(N($J368)&gt;0,N($J368)-N($Q368),""),IF(N($I368)&gt;0,N($I368)-N($P368),"")))</f>
        <v/>
      </c>
      <c r="S368" s="17">
        <f>IF(OR($B368="",$R368=""),"",IF($R368&lt;=0,IF(IFERROR(_xlfn.MAXIFS(nrMK_Date,nrMK_Link,$B368,nrMK_Credit,"Yes",nrMK_PID,$E368),0)=0,"CLEARED (makeup date missing)","CLEARED "&amp;TEXT(_xlfn.MAXIFS(nrMK_Date,nrMK_Link,$B368,nrMK_Credit,"Yes",nrMK_PID,$E368),"mm/dd")),"OPEN"))</f>
        <v/>
      </c>
      <c r="T368" s="17">
        <f>IF($D368="","",IF($C368="","NO DATE",IF($G368="","NO EVENT TYPE",IF(AND($I368&lt;&gt;"",NOT(ISNUMBER($I368))),"MINUTES NOT A NUMBER",IF(AND($J368&lt;&gt;"",NOT(ISNUMBER($J368))),"SESSIONS NOT A NUMBER",IF(OR(N($I368)&lt;0,N($J368)&lt;0),"NEGATIVE MINUTES/SESSIONS",IF(AND($K368="Yes",N($I368)&gt;0),"MINUTES ON A PT EVENT - not counted (PT counts sessions)",IF(AND($K368="No",N($J368)&gt;0),"SESSIONS ON A CLASSROOM EVENT - not counted (classroom counts minutes)",IF(AND($N368="Yes",$K368="Yes",N($J368)=0),"COUNTED PT EVENT WITH NO SESSIONS - dropped from the PT cap",IF(AND($N368="Yes",$K368="No",N($I368)=0),"COUNTED EVENT WITH NO MINUTES - dropped from the classroom cap","OK"))))))))))</f>
        <v/>
      </c>
    </row>
    <row r="369">
      <c r="B369" s="17">
        <f>IF($D369="","","A"&amp;TEXT(ROW()-5,"000"))</f>
        <v/>
      </c>
      <c r="C369" s="18" t="n"/>
      <c r="D369" s="16" t="n"/>
      <c r="E369" s="17">
        <f>IF($D369="","",IFERROR(INDEX(rngCadetPIDs,MATCH($D369,rngCadetNames,0)),"?"))</f>
        <v/>
      </c>
      <c r="F369" s="17">
        <f>IF($E369="","",IFERROR(INDEX(nrCadetAgency,MATCH($E369,rngCadetPIDs,0)),""))</f>
        <v/>
      </c>
      <c r="G369" s="16" t="n"/>
      <c r="H369" s="16" t="n"/>
      <c r="I369" s="16" t="n"/>
      <c r="J369" s="16" t="n"/>
      <c r="K369" s="17">
        <f>IF($G369="","",IF(OR($G369="PT Missed",$G369="PT Modified",$G369="PT Refused"),"Yes","No"))</f>
        <v/>
      </c>
      <c r="L369" s="16" t="n"/>
      <c r="M369" s="16" t="n"/>
      <c r="N369" s="17">
        <f>IF($D369="","",IF($M369="Excused","No",IF(AND($G369="PT Modified",$L369="Received"),"No","Yes")))</f>
        <v/>
      </c>
      <c r="O369" s="16" t="n"/>
      <c r="P369" s="17">
        <f>IF(OR($B369="",N($I369)=0),"",MIN(N($I369),SUMIFS(nrMK_Min,nrMK_Link,$B369,nrMK_Credit,"Yes",nrMK_PID,$E369,nrMK_Type,"Classroom")))</f>
        <v/>
      </c>
      <c r="Q369" s="17">
        <f>IF(OR($B369="",N($J369)=0),"",MIN(N($J369),SUMIFS(nrMK_Sess,nrMK_Link,$B369,nrMK_Credit,"Yes",nrMK_PID,$E369,nrMK_Type,"PT")))</f>
        <v/>
      </c>
      <c r="R369" s="17">
        <f>IF(OR($B369="",$N369&lt;&gt;"Yes"),"",IF($K369="Yes",IF(N($J369)&gt;0,N($J369)-N($Q369),""),IF(N($I369)&gt;0,N($I369)-N($P369),"")))</f>
        <v/>
      </c>
      <c r="S369" s="17">
        <f>IF(OR($B369="",$R369=""),"",IF($R369&lt;=0,IF(IFERROR(_xlfn.MAXIFS(nrMK_Date,nrMK_Link,$B369,nrMK_Credit,"Yes",nrMK_PID,$E369),0)=0,"CLEARED (makeup date missing)","CLEARED "&amp;TEXT(_xlfn.MAXIFS(nrMK_Date,nrMK_Link,$B369,nrMK_Credit,"Yes",nrMK_PID,$E369),"mm/dd")),"OPEN"))</f>
        <v/>
      </c>
      <c r="T369" s="17">
        <f>IF($D369="","",IF($C369="","NO DATE",IF($G369="","NO EVENT TYPE",IF(AND($I369&lt;&gt;"",NOT(ISNUMBER($I369))),"MINUTES NOT A NUMBER",IF(AND($J369&lt;&gt;"",NOT(ISNUMBER($J369))),"SESSIONS NOT A NUMBER",IF(OR(N($I369)&lt;0,N($J369)&lt;0),"NEGATIVE MINUTES/SESSIONS",IF(AND($K369="Yes",N($I369)&gt;0),"MINUTES ON A PT EVENT - not counted (PT counts sessions)",IF(AND($K369="No",N($J369)&gt;0),"SESSIONS ON A CLASSROOM EVENT - not counted (classroom counts minutes)",IF(AND($N369="Yes",$K369="Yes",N($J369)=0),"COUNTED PT EVENT WITH NO SESSIONS - dropped from the PT cap",IF(AND($N369="Yes",$K369="No",N($I369)=0),"COUNTED EVENT WITH NO MINUTES - dropped from the classroom cap","OK"))))))))))</f>
        <v/>
      </c>
    </row>
    <row r="370">
      <c r="B370" s="17">
        <f>IF($D370="","","A"&amp;TEXT(ROW()-5,"000"))</f>
        <v/>
      </c>
      <c r="C370" s="18" t="n"/>
      <c r="D370" s="16" t="n"/>
      <c r="E370" s="17">
        <f>IF($D370="","",IFERROR(INDEX(rngCadetPIDs,MATCH($D370,rngCadetNames,0)),"?"))</f>
        <v/>
      </c>
      <c r="F370" s="17">
        <f>IF($E370="","",IFERROR(INDEX(nrCadetAgency,MATCH($E370,rngCadetPIDs,0)),""))</f>
        <v/>
      </c>
      <c r="G370" s="16" t="n"/>
      <c r="H370" s="16" t="n"/>
      <c r="I370" s="16" t="n"/>
      <c r="J370" s="16" t="n"/>
      <c r="K370" s="17">
        <f>IF($G370="","",IF(OR($G370="PT Missed",$G370="PT Modified",$G370="PT Refused"),"Yes","No"))</f>
        <v/>
      </c>
      <c r="L370" s="16" t="n"/>
      <c r="M370" s="16" t="n"/>
      <c r="N370" s="17">
        <f>IF($D370="","",IF($M370="Excused","No",IF(AND($G370="PT Modified",$L370="Received"),"No","Yes")))</f>
        <v/>
      </c>
      <c r="O370" s="16" t="n"/>
      <c r="P370" s="17">
        <f>IF(OR($B370="",N($I370)=0),"",MIN(N($I370),SUMIFS(nrMK_Min,nrMK_Link,$B370,nrMK_Credit,"Yes",nrMK_PID,$E370,nrMK_Type,"Classroom")))</f>
        <v/>
      </c>
      <c r="Q370" s="17">
        <f>IF(OR($B370="",N($J370)=0),"",MIN(N($J370),SUMIFS(nrMK_Sess,nrMK_Link,$B370,nrMK_Credit,"Yes",nrMK_PID,$E370,nrMK_Type,"PT")))</f>
        <v/>
      </c>
      <c r="R370" s="17">
        <f>IF(OR($B370="",$N370&lt;&gt;"Yes"),"",IF($K370="Yes",IF(N($J370)&gt;0,N($J370)-N($Q370),""),IF(N($I370)&gt;0,N($I370)-N($P370),"")))</f>
        <v/>
      </c>
      <c r="S370" s="17">
        <f>IF(OR($B370="",$R370=""),"",IF($R370&lt;=0,IF(IFERROR(_xlfn.MAXIFS(nrMK_Date,nrMK_Link,$B370,nrMK_Credit,"Yes",nrMK_PID,$E370),0)=0,"CLEARED (makeup date missing)","CLEARED "&amp;TEXT(_xlfn.MAXIFS(nrMK_Date,nrMK_Link,$B370,nrMK_Credit,"Yes",nrMK_PID,$E370),"mm/dd")),"OPEN"))</f>
        <v/>
      </c>
      <c r="T370" s="17">
        <f>IF($D370="","",IF($C370="","NO DATE",IF($G370="","NO EVENT TYPE",IF(AND($I370&lt;&gt;"",NOT(ISNUMBER($I370))),"MINUTES NOT A NUMBER",IF(AND($J370&lt;&gt;"",NOT(ISNUMBER($J370))),"SESSIONS NOT A NUMBER",IF(OR(N($I370)&lt;0,N($J370)&lt;0),"NEGATIVE MINUTES/SESSIONS",IF(AND($K370="Yes",N($I370)&gt;0),"MINUTES ON A PT EVENT - not counted (PT counts sessions)",IF(AND($K370="No",N($J370)&gt;0),"SESSIONS ON A CLASSROOM EVENT - not counted (classroom counts minutes)",IF(AND($N370="Yes",$K370="Yes",N($J370)=0),"COUNTED PT EVENT WITH NO SESSIONS - dropped from the PT cap",IF(AND($N370="Yes",$K370="No",N($I370)=0),"COUNTED EVENT WITH NO MINUTES - dropped from the classroom cap","OK"))))))))))</f>
        <v/>
      </c>
    </row>
    <row r="371">
      <c r="B371" s="17">
        <f>IF($D371="","","A"&amp;TEXT(ROW()-5,"000"))</f>
        <v/>
      </c>
      <c r="C371" s="18" t="n"/>
      <c r="D371" s="16" t="n"/>
      <c r="E371" s="17">
        <f>IF($D371="","",IFERROR(INDEX(rngCadetPIDs,MATCH($D371,rngCadetNames,0)),"?"))</f>
        <v/>
      </c>
      <c r="F371" s="17">
        <f>IF($E371="","",IFERROR(INDEX(nrCadetAgency,MATCH($E371,rngCadetPIDs,0)),""))</f>
        <v/>
      </c>
      <c r="G371" s="16" t="n"/>
      <c r="H371" s="16" t="n"/>
      <c r="I371" s="16" t="n"/>
      <c r="J371" s="16" t="n"/>
      <c r="K371" s="17">
        <f>IF($G371="","",IF(OR($G371="PT Missed",$G371="PT Modified",$G371="PT Refused"),"Yes","No"))</f>
        <v/>
      </c>
      <c r="L371" s="16" t="n"/>
      <c r="M371" s="16" t="n"/>
      <c r="N371" s="17">
        <f>IF($D371="","",IF($M371="Excused","No",IF(AND($G371="PT Modified",$L371="Received"),"No","Yes")))</f>
        <v/>
      </c>
      <c r="O371" s="16" t="n"/>
      <c r="P371" s="17">
        <f>IF(OR($B371="",N($I371)=0),"",MIN(N($I371),SUMIFS(nrMK_Min,nrMK_Link,$B371,nrMK_Credit,"Yes",nrMK_PID,$E371,nrMK_Type,"Classroom")))</f>
        <v/>
      </c>
      <c r="Q371" s="17">
        <f>IF(OR($B371="",N($J371)=0),"",MIN(N($J371),SUMIFS(nrMK_Sess,nrMK_Link,$B371,nrMK_Credit,"Yes",nrMK_PID,$E371,nrMK_Type,"PT")))</f>
        <v/>
      </c>
      <c r="R371" s="17">
        <f>IF(OR($B371="",$N371&lt;&gt;"Yes"),"",IF($K371="Yes",IF(N($J371)&gt;0,N($J371)-N($Q371),""),IF(N($I371)&gt;0,N($I371)-N($P371),"")))</f>
        <v/>
      </c>
      <c r="S371" s="17">
        <f>IF(OR($B371="",$R371=""),"",IF($R371&lt;=0,IF(IFERROR(_xlfn.MAXIFS(nrMK_Date,nrMK_Link,$B371,nrMK_Credit,"Yes",nrMK_PID,$E371),0)=0,"CLEARED (makeup date missing)","CLEARED "&amp;TEXT(_xlfn.MAXIFS(nrMK_Date,nrMK_Link,$B371,nrMK_Credit,"Yes",nrMK_PID,$E371),"mm/dd")),"OPEN"))</f>
        <v/>
      </c>
      <c r="T371" s="17">
        <f>IF($D371="","",IF($C371="","NO DATE",IF($G371="","NO EVENT TYPE",IF(AND($I371&lt;&gt;"",NOT(ISNUMBER($I371))),"MINUTES NOT A NUMBER",IF(AND($J371&lt;&gt;"",NOT(ISNUMBER($J371))),"SESSIONS NOT A NUMBER",IF(OR(N($I371)&lt;0,N($J371)&lt;0),"NEGATIVE MINUTES/SESSIONS",IF(AND($K371="Yes",N($I371)&gt;0),"MINUTES ON A PT EVENT - not counted (PT counts sessions)",IF(AND($K371="No",N($J371)&gt;0),"SESSIONS ON A CLASSROOM EVENT - not counted (classroom counts minutes)",IF(AND($N371="Yes",$K371="Yes",N($J371)=0),"COUNTED PT EVENT WITH NO SESSIONS - dropped from the PT cap",IF(AND($N371="Yes",$K371="No",N($I371)=0),"COUNTED EVENT WITH NO MINUTES - dropped from the classroom cap","OK"))))))))))</f>
        <v/>
      </c>
    </row>
    <row r="372">
      <c r="B372" s="17">
        <f>IF($D372="","","A"&amp;TEXT(ROW()-5,"000"))</f>
        <v/>
      </c>
      <c r="C372" s="18" t="n"/>
      <c r="D372" s="16" t="n"/>
      <c r="E372" s="17">
        <f>IF($D372="","",IFERROR(INDEX(rngCadetPIDs,MATCH($D372,rngCadetNames,0)),"?"))</f>
        <v/>
      </c>
      <c r="F372" s="17">
        <f>IF($E372="","",IFERROR(INDEX(nrCadetAgency,MATCH($E372,rngCadetPIDs,0)),""))</f>
        <v/>
      </c>
      <c r="G372" s="16" t="n"/>
      <c r="H372" s="16" t="n"/>
      <c r="I372" s="16" t="n"/>
      <c r="J372" s="16" t="n"/>
      <c r="K372" s="17">
        <f>IF($G372="","",IF(OR($G372="PT Missed",$G372="PT Modified",$G372="PT Refused"),"Yes","No"))</f>
        <v/>
      </c>
      <c r="L372" s="16" t="n"/>
      <c r="M372" s="16" t="n"/>
      <c r="N372" s="17">
        <f>IF($D372="","",IF($M372="Excused","No",IF(AND($G372="PT Modified",$L372="Received"),"No","Yes")))</f>
        <v/>
      </c>
      <c r="O372" s="16" t="n"/>
      <c r="P372" s="17">
        <f>IF(OR($B372="",N($I372)=0),"",MIN(N($I372),SUMIFS(nrMK_Min,nrMK_Link,$B372,nrMK_Credit,"Yes",nrMK_PID,$E372,nrMK_Type,"Classroom")))</f>
        <v/>
      </c>
      <c r="Q372" s="17">
        <f>IF(OR($B372="",N($J372)=0),"",MIN(N($J372),SUMIFS(nrMK_Sess,nrMK_Link,$B372,nrMK_Credit,"Yes",nrMK_PID,$E372,nrMK_Type,"PT")))</f>
        <v/>
      </c>
      <c r="R372" s="17">
        <f>IF(OR($B372="",$N372&lt;&gt;"Yes"),"",IF($K372="Yes",IF(N($J372)&gt;0,N($J372)-N($Q372),""),IF(N($I372)&gt;0,N($I372)-N($P372),"")))</f>
        <v/>
      </c>
      <c r="S372" s="17">
        <f>IF(OR($B372="",$R372=""),"",IF($R372&lt;=0,IF(IFERROR(_xlfn.MAXIFS(nrMK_Date,nrMK_Link,$B372,nrMK_Credit,"Yes",nrMK_PID,$E372),0)=0,"CLEARED (makeup date missing)","CLEARED "&amp;TEXT(_xlfn.MAXIFS(nrMK_Date,nrMK_Link,$B372,nrMK_Credit,"Yes",nrMK_PID,$E372),"mm/dd")),"OPEN"))</f>
        <v/>
      </c>
      <c r="T372" s="17">
        <f>IF($D372="","",IF($C372="","NO DATE",IF($G372="","NO EVENT TYPE",IF(AND($I372&lt;&gt;"",NOT(ISNUMBER($I372))),"MINUTES NOT A NUMBER",IF(AND($J372&lt;&gt;"",NOT(ISNUMBER($J372))),"SESSIONS NOT A NUMBER",IF(OR(N($I372)&lt;0,N($J372)&lt;0),"NEGATIVE MINUTES/SESSIONS",IF(AND($K372="Yes",N($I372)&gt;0),"MINUTES ON A PT EVENT - not counted (PT counts sessions)",IF(AND($K372="No",N($J372)&gt;0),"SESSIONS ON A CLASSROOM EVENT - not counted (classroom counts minutes)",IF(AND($N372="Yes",$K372="Yes",N($J372)=0),"COUNTED PT EVENT WITH NO SESSIONS - dropped from the PT cap",IF(AND($N372="Yes",$K372="No",N($I372)=0),"COUNTED EVENT WITH NO MINUTES - dropped from the classroom cap","OK"))))))))))</f>
        <v/>
      </c>
    </row>
    <row r="373">
      <c r="B373" s="17">
        <f>IF($D373="","","A"&amp;TEXT(ROW()-5,"000"))</f>
        <v/>
      </c>
      <c r="C373" s="18" t="n"/>
      <c r="D373" s="16" t="n"/>
      <c r="E373" s="17">
        <f>IF($D373="","",IFERROR(INDEX(rngCadetPIDs,MATCH($D373,rngCadetNames,0)),"?"))</f>
        <v/>
      </c>
      <c r="F373" s="17">
        <f>IF($E373="","",IFERROR(INDEX(nrCadetAgency,MATCH($E373,rngCadetPIDs,0)),""))</f>
        <v/>
      </c>
      <c r="G373" s="16" t="n"/>
      <c r="H373" s="16" t="n"/>
      <c r="I373" s="16" t="n"/>
      <c r="J373" s="16" t="n"/>
      <c r="K373" s="17">
        <f>IF($G373="","",IF(OR($G373="PT Missed",$G373="PT Modified",$G373="PT Refused"),"Yes","No"))</f>
        <v/>
      </c>
      <c r="L373" s="16" t="n"/>
      <c r="M373" s="16" t="n"/>
      <c r="N373" s="17">
        <f>IF($D373="","",IF($M373="Excused","No",IF(AND($G373="PT Modified",$L373="Received"),"No","Yes")))</f>
        <v/>
      </c>
      <c r="O373" s="16" t="n"/>
      <c r="P373" s="17">
        <f>IF(OR($B373="",N($I373)=0),"",MIN(N($I373),SUMIFS(nrMK_Min,nrMK_Link,$B373,nrMK_Credit,"Yes",nrMK_PID,$E373,nrMK_Type,"Classroom")))</f>
        <v/>
      </c>
      <c r="Q373" s="17">
        <f>IF(OR($B373="",N($J373)=0),"",MIN(N($J373),SUMIFS(nrMK_Sess,nrMK_Link,$B373,nrMK_Credit,"Yes",nrMK_PID,$E373,nrMK_Type,"PT")))</f>
        <v/>
      </c>
      <c r="R373" s="17">
        <f>IF(OR($B373="",$N373&lt;&gt;"Yes"),"",IF($K373="Yes",IF(N($J373)&gt;0,N($J373)-N($Q373),""),IF(N($I373)&gt;0,N($I373)-N($P373),"")))</f>
        <v/>
      </c>
      <c r="S373" s="17">
        <f>IF(OR($B373="",$R373=""),"",IF($R373&lt;=0,IF(IFERROR(_xlfn.MAXIFS(nrMK_Date,nrMK_Link,$B373,nrMK_Credit,"Yes",nrMK_PID,$E373),0)=0,"CLEARED (makeup date missing)","CLEARED "&amp;TEXT(_xlfn.MAXIFS(nrMK_Date,nrMK_Link,$B373,nrMK_Credit,"Yes",nrMK_PID,$E373),"mm/dd")),"OPEN"))</f>
        <v/>
      </c>
      <c r="T373" s="17">
        <f>IF($D373="","",IF($C373="","NO DATE",IF($G373="","NO EVENT TYPE",IF(AND($I373&lt;&gt;"",NOT(ISNUMBER($I373))),"MINUTES NOT A NUMBER",IF(AND($J373&lt;&gt;"",NOT(ISNUMBER($J373))),"SESSIONS NOT A NUMBER",IF(OR(N($I373)&lt;0,N($J373)&lt;0),"NEGATIVE MINUTES/SESSIONS",IF(AND($K373="Yes",N($I373)&gt;0),"MINUTES ON A PT EVENT - not counted (PT counts sessions)",IF(AND($K373="No",N($J373)&gt;0),"SESSIONS ON A CLASSROOM EVENT - not counted (classroom counts minutes)",IF(AND($N373="Yes",$K373="Yes",N($J373)=0),"COUNTED PT EVENT WITH NO SESSIONS - dropped from the PT cap",IF(AND($N373="Yes",$K373="No",N($I373)=0),"COUNTED EVENT WITH NO MINUTES - dropped from the classroom cap","OK"))))))))))</f>
        <v/>
      </c>
    </row>
    <row r="374">
      <c r="B374" s="17">
        <f>IF($D374="","","A"&amp;TEXT(ROW()-5,"000"))</f>
        <v/>
      </c>
      <c r="C374" s="18" t="n"/>
      <c r="D374" s="16" t="n"/>
      <c r="E374" s="17">
        <f>IF($D374="","",IFERROR(INDEX(rngCadetPIDs,MATCH($D374,rngCadetNames,0)),"?"))</f>
        <v/>
      </c>
      <c r="F374" s="17">
        <f>IF($E374="","",IFERROR(INDEX(nrCadetAgency,MATCH($E374,rngCadetPIDs,0)),""))</f>
        <v/>
      </c>
      <c r="G374" s="16" t="n"/>
      <c r="H374" s="16" t="n"/>
      <c r="I374" s="16" t="n"/>
      <c r="J374" s="16" t="n"/>
      <c r="K374" s="17">
        <f>IF($G374="","",IF(OR($G374="PT Missed",$G374="PT Modified",$G374="PT Refused"),"Yes","No"))</f>
        <v/>
      </c>
      <c r="L374" s="16" t="n"/>
      <c r="M374" s="16" t="n"/>
      <c r="N374" s="17">
        <f>IF($D374="","",IF($M374="Excused","No",IF(AND($G374="PT Modified",$L374="Received"),"No","Yes")))</f>
        <v/>
      </c>
      <c r="O374" s="16" t="n"/>
      <c r="P374" s="17">
        <f>IF(OR($B374="",N($I374)=0),"",MIN(N($I374),SUMIFS(nrMK_Min,nrMK_Link,$B374,nrMK_Credit,"Yes",nrMK_PID,$E374,nrMK_Type,"Classroom")))</f>
        <v/>
      </c>
      <c r="Q374" s="17">
        <f>IF(OR($B374="",N($J374)=0),"",MIN(N($J374),SUMIFS(nrMK_Sess,nrMK_Link,$B374,nrMK_Credit,"Yes",nrMK_PID,$E374,nrMK_Type,"PT")))</f>
        <v/>
      </c>
      <c r="R374" s="17">
        <f>IF(OR($B374="",$N374&lt;&gt;"Yes"),"",IF($K374="Yes",IF(N($J374)&gt;0,N($J374)-N($Q374),""),IF(N($I374)&gt;0,N($I374)-N($P374),"")))</f>
        <v/>
      </c>
      <c r="S374" s="17">
        <f>IF(OR($B374="",$R374=""),"",IF($R374&lt;=0,IF(IFERROR(_xlfn.MAXIFS(nrMK_Date,nrMK_Link,$B374,nrMK_Credit,"Yes",nrMK_PID,$E374),0)=0,"CLEARED (makeup date missing)","CLEARED "&amp;TEXT(_xlfn.MAXIFS(nrMK_Date,nrMK_Link,$B374,nrMK_Credit,"Yes",nrMK_PID,$E374),"mm/dd")),"OPEN"))</f>
        <v/>
      </c>
      <c r="T374" s="17">
        <f>IF($D374="","",IF($C374="","NO DATE",IF($G374="","NO EVENT TYPE",IF(AND($I374&lt;&gt;"",NOT(ISNUMBER($I374))),"MINUTES NOT A NUMBER",IF(AND($J374&lt;&gt;"",NOT(ISNUMBER($J374))),"SESSIONS NOT A NUMBER",IF(OR(N($I374)&lt;0,N($J374)&lt;0),"NEGATIVE MINUTES/SESSIONS",IF(AND($K374="Yes",N($I374)&gt;0),"MINUTES ON A PT EVENT - not counted (PT counts sessions)",IF(AND($K374="No",N($J374)&gt;0),"SESSIONS ON A CLASSROOM EVENT - not counted (classroom counts minutes)",IF(AND($N374="Yes",$K374="Yes",N($J374)=0),"COUNTED PT EVENT WITH NO SESSIONS - dropped from the PT cap",IF(AND($N374="Yes",$K374="No",N($I374)=0),"COUNTED EVENT WITH NO MINUTES - dropped from the classroom cap","OK"))))))))))</f>
        <v/>
      </c>
    </row>
    <row r="375">
      <c r="B375" s="17">
        <f>IF($D375="","","A"&amp;TEXT(ROW()-5,"000"))</f>
        <v/>
      </c>
      <c r="C375" s="18" t="n"/>
      <c r="D375" s="16" t="n"/>
      <c r="E375" s="17">
        <f>IF($D375="","",IFERROR(INDEX(rngCadetPIDs,MATCH($D375,rngCadetNames,0)),"?"))</f>
        <v/>
      </c>
      <c r="F375" s="17">
        <f>IF($E375="","",IFERROR(INDEX(nrCadetAgency,MATCH($E375,rngCadetPIDs,0)),""))</f>
        <v/>
      </c>
      <c r="G375" s="16" t="n"/>
      <c r="H375" s="16" t="n"/>
      <c r="I375" s="16" t="n"/>
      <c r="J375" s="16" t="n"/>
      <c r="K375" s="17">
        <f>IF($G375="","",IF(OR($G375="PT Missed",$G375="PT Modified",$G375="PT Refused"),"Yes","No"))</f>
        <v/>
      </c>
      <c r="L375" s="16" t="n"/>
      <c r="M375" s="16" t="n"/>
      <c r="N375" s="17">
        <f>IF($D375="","",IF($M375="Excused","No",IF(AND($G375="PT Modified",$L375="Received"),"No","Yes")))</f>
        <v/>
      </c>
      <c r="O375" s="16" t="n"/>
      <c r="P375" s="17">
        <f>IF(OR($B375="",N($I375)=0),"",MIN(N($I375),SUMIFS(nrMK_Min,nrMK_Link,$B375,nrMK_Credit,"Yes",nrMK_PID,$E375,nrMK_Type,"Classroom")))</f>
        <v/>
      </c>
      <c r="Q375" s="17">
        <f>IF(OR($B375="",N($J375)=0),"",MIN(N($J375),SUMIFS(nrMK_Sess,nrMK_Link,$B375,nrMK_Credit,"Yes",nrMK_PID,$E375,nrMK_Type,"PT")))</f>
        <v/>
      </c>
      <c r="R375" s="17">
        <f>IF(OR($B375="",$N375&lt;&gt;"Yes"),"",IF($K375="Yes",IF(N($J375)&gt;0,N($J375)-N($Q375),""),IF(N($I375)&gt;0,N($I375)-N($P375),"")))</f>
        <v/>
      </c>
      <c r="S375" s="17">
        <f>IF(OR($B375="",$R375=""),"",IF($R375&lt;=0,IF(IFERROR(_xlfn.MAXIFS(nrMK_Date,nrMK_Link,$B375,nrMK_Credit,"Yes",nrMK_PID,$E375),0)=0,"CLEARED (makeup date missing)","CLEARED "&amp;TEXT(_xlfn.MAXIFS(nrMK_Date,nrMK_Link,$B375,nrMK_Credit,"Yes",nrMK_PID,$E375),"mm/dd")),"OPEN"))</f>
        <v/>
      </c>
      <c r="T375" s="17">
        <f>IF($D375="","",IF($C375="","NO DATE",IF($G375="","NO EVENT TYPE",IF(AND($I375&lt;&gt;"",NOT(ISNUMBER($I375))),"MINUTES NOT A NUMBER",IF(AND($J375&lt;&gt;"",NOT(ISNUMBER($J375))),"SESSIONS NOT A NUMBER",IF(OR(N($I375)&lt;0,N($J375)&lt;0),"NEGATIVE MINUTES/SESSIONS",IF(AND($K375="Yes",N($I375)&gt;0),"MINUTES ON A PT EVENT - not counted (PT counts sessions)",IF(AND($K375="No",N($J375)&gt;0),"SESSIONS ON A CLASSROOM EVENT - not counted (classroom counts minutes)",IF(AND($N375="Yes",$K375="Yes",N($J375)=0),"COUNTED PT EVENT WITH NO SESSIONS - dropped from the PT cap",IF(AND($N375="Yes",$K375="No",N($I375)=0),"COUNTED EVENT WITH NO MINUTES - dropped from the classroom cap","OK"))))))))))</f>
        <v/>
      </c>
    </row>
    <row r="376">
      <c r="B376" s="17">
        <f>IF($D376="","","A"&amp;TEXT(ROW()-5,"000"))</f>
        <v/>
      </c>
      <c r="C376" s="18" t="n"/>
      <c r="D376" s="16" t="n"/>
      <c r="E376" s="17">
        <f>IF($D376="","",IFERROR(INDEX(rngCadetPIDs,MATCH($D376,rngCadetNames,0)),"?"))</f>
        <v/>
      </c>
      <c r="F376" s="17">
        <f>IF($E376="","",IFERROR(INDEX(nrCadetAgency,MATCH($E376,rngCadetPIDs,0)),""))</f>
        <v/>
      </c>
      <c r="G376" s="16" t="n"/>
      <c r="H376" s="16" t="n"/>
      <c r="I376" s="16" t="n"/>
      <c r="J376" s="16" t="n"/>
      <c r="K376" s="17">
        <f>IF($G376="","",IF(OR($G376="PT Missed",$G376="PT Modified",$G376="PT Refused"),"Yes","No"))</f>
        <v/>
      </c>
      <c r="L376" s="16" t="n"/>
      <c r="M376" s="16" t="n"/>
      <c r="N376" s="17">
        <f>IF($D376="","",IF($M376="Excused","No",IF(AND($G376="PT Modified",$L376="Received"),"No","Yes")))</f>
        <v/>
      </c>
      <c r="O376" s="16" t="n"/>
      <c r="P376" s="17">
        <f>IF(OR($B376="",N($I376)=0),"",MIN(N($I376),SUMIFS(nrMK_Min,nrMK_Link,$B376,nrMK_Credit,"Yes",nrMK_PID,$E376,nrMK_Type,"Classroom")))</f>
        <v/>
      </c>
      <c r="Q376" s="17">
        <f>IF(OR($B376="",N($J376)=0),"",MIN(N($J376),SUMIFS(nrMK_Sess,nrMK_Link,$B376,nrMK_Credit,"Yes",nrMK_PID,$E376,nrMK_Type,"PT")))</f>
        <v/>
      </c>
      <c r="R376" s="17">
        <f>IF(OR($B376="",$N376&lt;&gt;"Yes"),"",IF($K376="Yes",IF(N($J376)&gt;0,N($J376)-N($Q376),""),IF(N($I376)&gt;0,N($I376)-N($P376),"")))</f>
        <v/>
      </c>
      <c r="S376" s="17">
        <f>IF(OR($B376="",$R376=""),"",IF($R376&lt;=0,IF(IFERROR(_xlfn.MAXIFS(nrMK_Date,nrMK_Link,$B376,nrMK_Credit,"Yes",nrMK_PID,$E376),0)=0,"CLEARED (makeup date missing)","CLEARED "&amp;TEXT(_xlfn.MAXIFS(nrMK_Date,nrMK_Link,$B376,nrMK_Credit,"Yes",nrMK_PID,$E376),"mm/dd")),"OPEN"))</f>
        <v/>
      </c>
      <c r="T376" s="17">
        <f>IF($D376="","",IF($C376="","NO DATE",IF($G376="","NO EVENT TYPE",IF(AND($I376&lt;&gt;"",NOT(ISNUMBER($I376))),"MINUTES NOT A NUMBER",IF(AND($J376&lt;&gt;"",NOT(ISNUMBER($J376))),"SESSIONS NOT A NUMBER",IF(OR(N($I376)&lt;0,N($J376)&lt;0),"NEGATIVE MINUTES/SESSIONS",IF(AND($K376="Yes",N($I376)&gt;0),"MINUTES ON A PT EVENT - not counted (PT counts sessions)",IF(AND($K376="No",N($J376)&gt;0),"SESSIONS ON A CLASSROOM EVENT - not counted (classroom counts minutes)",IF(AND($N376="Yes",$K376="Yes",N($J376)=0),"COUNTED PT EVENT WITH NO SESSIONS - dropped from the PT cap",IF(AND($N376="Yes",$K376="No",N($I376)=0),"COUNTED EVENT WITH NO MINUTES - dropped from the classroom cap","OK"))))))))))</f>
        <v/>
      </c>
    </row>
    <row r="377">
      <c r="B377" s="17">
        <f>IF($D377="","","A"&amp;TEXT(ROW()-5,"000"))</f>
        <v/>
      </c>
      <c r="C377" s="18" t="n"/>
      <c r="D377" s="16" t="n"/>
      <c r="E377" s="17">
        <f>IF($D377="","",IFERROR(INDEX(rngCadetPIDs,MATCH($D377,rngCadetNames,0)),"?"))</f>
        <v/>
      </c>
      <c r="F377" s="17">
        <f>IF($E377="","",IFERROR(INDEX(nrCadetAgency,MATCH($E377,rngCadetPIDs,0)),""))</f>
        <v/>
      </c>
      <c r="G377" s="16" t="n"/>
      <c r="H377" s="16" t="n"/>
      <c r="I377" s="16" t="n"/>
      <c r="J377" s="16" t="n"/>
      <c r="K377" s="17">
        <f>IF($G377="","",IF(OR($G377="PT Missed",$G377="PT Modified",$G377="PT Refused"),"Yes","No"))</f>
        <v/>
      </c>
      <c r="L377" s="16" t="n"/>
      <c r="M377" s="16" t="n"/>
      <c r="N377" s="17">
        <f>IF($D377="","",IF($M377="Excused","No",IF(AND($G377="PT Modified",$L377="Received"),"No","Yes")))</f>
        <v/>
      </c>
      <c r="O377" s="16" t="n"/>
      <c r="P377" s="17">
        <f>IF(OR($B377="",N($I377)=0),"",MIN(N($I377),SUMIFS(nrMK_Min,nrMK_Link,$B377,nrMK_Credit,"Yes",nrMK_PID,$E377,nrMK_Type,"Classroom")))</f>
        <v/>
      </c>
      <c r="Q377" s="17">
        <f>IF(OR($B377="",N($J377)=0),"",MIN(N($J377),SUMIFS(nrMK_Sess,nrMK_Link,$B377,nrMK_Credit,"Yes",nrMK_PID,$E377,nrMK_Type,"PT")))</f>
        <v/>
      </c>
      <c r="R377" s="17">
        <f>IF(OR($B377="",$N377&lt;&gt;"Yes"),"",IF($K377="Yes",IF(N($J377)&gt;0,N($J377)-N($Q377),""),IF(N($I377)&gt;0,N($I377)-N($P377),"")))</f>
        <v/>
      </c>
      <c r="S377" s="17">
        <f>IF(OR($B377="",$R377=""),"",IF($R377&lt;=0,IF(IFERROR(_xlfn.MAXIFS(nrMK_Date,nrMK_Link,$B377,nrMK_Credit,"Yes",nrMK_PID,$E377),0)=0,"CLEARED (makeup date missing)","CLEARED "&amp;TEXT(_xlfn.MAXIFS(nrMK_Date,nrMK_Link,$B377,nrMK_Credit,"Yes",nrMK_PID,$E377),"mm/dd")),"OPEN"))</f>
        <v/>
      </c>
      <c r="T377" s="17">
        <f>IF($D377="","",IF($C377="","NO DATE",IF($G377="","NO EVENT TYPE",IF(AND($I377&lt;&gt;"",NOT(ISNUMBER($I377))),"MINUTES NOT A NUMBER",IF(AND($J377&lt;&gt;"",NOT(ISNUMBER($J377))),"SESSIONS NOT A NUMBER",IF(OR(N($I377)&lt;0,N($J377)&lt;0),"NEGATIVE MINUTES/SESSIONS",IF(AND($K377="Yes",N($I377)&gt;0),"MINUTES ON A PT EVENT - not counted (PT counts sessions)",IF(AND($K377="No",N($J377)&gt;0),"SESSIONS ON A CLASSROOM EVENT - not counted (classroom counts minutes)",IF(AND($N377="Yes",$K377="Yes",N($J377)=0),"COUNTED PT EVENT WITH NO SESSIONS - dropped from the PT cap",IF(AND($N377="Yes",$K377="No",N($I377)=0),"COUNTED EVENT WITH NO MINUTES - dropped from the classroom cap","OK"))))))))))</f>
        <v/>
      </c>
    </row>
    <row r="378">
      <c r="B378" s="17">
        <f>IF($D378="","","A"&amp;TEXT(ROW()-5,"000"))</f>
        <v/>
      </c>
      <c r="C378" s="18" t="n"/>
      <c r="D378" s="16" t="n"/>
      <c r="E378" s="17">
        <f>IF($D378="","",IFERROR(INDEX(rngCadetPIDs,MATCH($D378,rngCadetNames,0)),"?"))</f>
        <v/>
      </c>
      <c r="F378" s="17">
        <f>IF($E378="","",IFERROR(INDEX(nrCadetAgency,MATCH($E378,rngCadetPIDs,0)),""))</f>
        <v/>
      </c>
      <c r="G378" s="16" t="n"/>
      <c r="H378" s="16" t="n"/>
      <c r="I378" s="16" t="n"/>
      <c r="J378" s="16" t="n"/>
      <c r="K378" s="17">
        <f>IF($G378="","",IF(OR($G378="PT Missed",$G378="PT Modified",$G378="PT Refused"),"Yes","No"))</f>
        <v/>
      </c>
      <c r="L378" s="16" t="n"/>
      <c r="M378" s="16" t="n"/>
      <c r="N378" s="17">
        <f>IF($D378="","",IF($M378="Excused","No",IF(AND($G378="PT Modified",$L378="Received"),"No","Yes")))</f>
        <v/>
      </c>
      <c r="O378" s="16" t="n"/>
      <c r="P378" s="17">
        <f>IF(OR($B378="",N($I378)=0),"",MIN(N($I378),SUMIFS(nrMK_Min,nrMK_Link,$B378,nrMK_Credit,"Yes",nrMK_PID,$E378,nrMK_Type,"Classroom")))</f>
        <v/>
      </c>
      <c r="Q378" s="17">
        <f>IF(OR($B378="",N($J378)=0),"",MIN(N($J378),SUMIFS(nrMK_Sess,nrMK_Link,$B378,nrMK_Credit,"Yes",nrMK_PID,$E378,nrMK_Type,"PT")))</f>
        <v/>
      </c>
      <c r="R378" s="17">
        <f>IF(OR($B378="",$N378&lt;&gt;"Yes"),"",IF($K378="Yes",IF(N($J378)&gt;0,N($J378)-N($Q378),""),IF(N($I378)&gt;0,N($I378)-N($P378),"")))</f>
        <v/>
      </c>
      <c r="S378" s="17">
        <f>IF(OR($B378="",$R378=""),"",IF($R378&lt;=0,IF(IFERROR(_xlfn.MAXIFS(nrMK_Date,nrMK_Link,$B378,nrMK_Credit,"Yes",nrMK_PID,$E378),0)=0,"CLEARED (makeup date missing)","CLEARED "&amp;TEXT(_xlfn.MAXIFS(nrMK_Date,nrMK_Link,$B378,nrMK_Credit,"Yes",nrMK_PID,$E378),"mm/dd")),"OPEN"))</f>
        <v/>
      </c>
      <c r="T378" s="17">
        <f>IF($D378="","",IF($C378="","NO DATE",IF($G378="","NO EVENT TYPE",IF(AND($I378&lt;&gt;"",NOT(ISNUMBER($I378))),"MINUTES NOT A NUMBER",IF(AND($J378&lt;&gt;"",NOT(ISNUMBER($J378))),"SESSIONS NOT A NUMBER",IF(OR(N($I378)&lt;0,N($J378)&lt;0),"NEGATIVE MINUTES/SESSIONS",IF(AND($K378="Yes",N($I378)&gt;0),"MINUTES ON A PT EVENT - not counted (PT counts sessions)",IF(AND($K378="No",N($J378)&gt;0),"SESSIONS ON A CLASSROOM EVENT - not counted (classroom counts minutes)",IF(AND($N378="Yes",$K378="Yes",N($J378)=0),"COUNTED PT EVENT WITH NO SESSIONS - dropped from the PT cap",IF(AND($N378="Yes",$K378="No",N($I378)=0),"COUNTED EVENT WITH NO MINUTES - dropped from the classroom cap","OK"))))))))))</f>
        <v/>
      </c>
    </row>
    <row r="379">
      <c r="B379" s="17">
        <f>IF($D379="","","A"&amp;TEXT(ROW()-5,"000"))</f>
        <v/>
      </c>
      <c r="C379" s="18" t="n"/>
      <c r="D379" s="16" t="n"/>
      <c r="E379" s="17">
        <f>IF($D379="","",IFERROR(INDEX(rngCadetPIDs,MATCH($D379,rngCadetNames,0)),"?"))</f>
        <v/>
      </c>
      <c r="F379" s="17">
        <f>IF($E379="","",IFERROR(INDEX(nrCadetAgency,MATCH($E379,rngCadetPIDs,0)),""))</f>
        <v/>
      </c>
      <c r="G379" s="16" t="n"/>
      <c r="H379" s="16" t="n"/>
      <c r="I379" s="16" t="n"/>
      <c r="J379" s="16" t="n"/>
      <c r="K379" s="17">
        <f>IF($G379="","",IF(OR($G379="PT Missed",$G379="PT Modified",$G379="PT Refused"),"Yes","No"))</f>
        <v/>
      </c>
      <c r="L379" s="16" t="n"/>
      <c r="M379" s="16" t="n"/>
      <c r="N379" s="17">
        <f>IF($D379="","",IF($M379="Excused","No",IF(AND($G379="PT Modified",$L379="Received"),"No","Yes")))</f>
        <v/>
      </c>
      <c r="O379" s="16" t="n"/>
      <c r="P379" s="17">
        <f>IF(OR($B379="",N($I379)=0),"",MIN(N($I379),SUMIFS(nrMK_Min,nrMK_Link,$B379,nrMK_Credit,"Yes",nrMK_PID,$E379,nrMK_Type,"Classroom")))</f>
        <v/>
      </c>
      <c r="Q379" s="17">
        <f>IF(OR($B379="",N($J379)=0),"",MIN(N($J379),SUMIFS(nrMK_Sess,nrMK_Link,$B379,nrMK_Credit,"Yes",nrMK_PID,$E379,nrMK_Type,"PT")))</f>
        <v/>
      </c>
      <c r="R379" s="17">
        <f>IF(OR($B379="",$N379&lt;&gt;"Yes"),"",IF($K379="Yes",IF(N($J379)&gt;0,N($J379)-N($Q379),""),IF(N($I379)&gt;0,N($I379)-N($P379),"")))</f>
        <v/>
      </c>
      <c r="S379" s="17">
        <f>IF(OR($B379="",$R379=""),"",IF($R379&lt;=0,IF(IFERROR(_xlfn.MAXIFS(nrMK_Date,nrMK_Link,$B379,nrMK_Credit,"Yes",nrMK_PID,$E379),0)=0,"CLEARED (makeup date missing)","CLEARED "&amp;TEXT(_xlfn.MAXIFS(nrMK_Date,nrMK_Link,$B379,nrMK_Credit,"Yes",nrMK_PID,$E379),"mm/dd")),"OPEN"))</f>
        <v/>
      </c>
      <c r="T379" s="17">
        <f>IF($D379="","",IF($C379="","NO DATE",IF($G379="","NO EVENT TYPE",IF(AND($I379&lt;&gt;"",NOT(ISNUMBER($I379))),"MINUTES NOT A NUMBER",IF(AND($J379&lt;&gt;"",NOT(ISNUMBER($J379))),"SESSIONS NOT A NUMBER",IF(OR(N($I379)&lt;0,N($J379)&lt;0),"NEGATIVE MINUTES/SESSIONS",IF(AND($K379="Yes",N($I379)&gt;0),"MINUTES ON A PT EVENT - not counted (PT counts sessions)",IF(AND($K379="No",N($J379)&gt;0),"SESSIONS ON A CLASSROOM EVENT - not counted (classroom counts minutes)",IF(AND($N379="Yes",$K379="Yes",N($J379)=0),"COUNTED PT EVENT WITH NO SESSIONS - dropped from the PT cap",IF(AND($N379="Yes",$K379="No",N($I379)=0),"COUNTED EVENT WITH NO MINUTES - dropped from the classroom cap","OK"))))))))))</f>
        <v/>
      </c>
    </row>
    <row r="380">
      <c r="B380" s="17">
        <f>IF($D380="","","A"&amp;TEXT(ROW()-5,"000"))</f>
        <v/>
      </c>
      <c r="C380" s="18" t="n"/>
      <c r="D380" s="16" t="n"/>
      <c r="E380" s="17">
        <f>IF($D380="","",IFERROR(INDEX(rngCadetPIDs,MATCH($D380,rngCadetNames,0)),"?"))</f>
        <v/>
      </c>
      <c r="F380" s="17">
        <f>IF($E380="","",IFERROR(INDEX(nrCadetAgency,MATCH($E380,rngCadetPIDs,0)),""))</f>
        <v/>
      </c>
      <c r="G380" s="16" t="n"/>
      <c r="H380" s="16" t="n"/>
      <c r="I380" s="16" t="n"/>
      <c r="J380" s="16" t="n"/>
      <c r="K380" s="17">
        <f>IF($G380="","",IF(OR($G380="PT Missed",$G380="PT Modified",$G380="PT Refused"),"Yes","No"))</f>
        <v/>
      </c>
      <c r="L380" s="16" t="n"/>
      <c r="M380" s="16" t="n"/>
      <c r="N380" s="17">
        <f>IF($D380="","",IF($M380="Excused","No",IF(AND($G380="PT Modified",$L380="Received"),"No","Yes")))</f>
        <v/>
      </c>
      <c r="O380" s="16" t="n"/>
      <c r="P380" s="17">
        <f>IF(OR($B380="",N($I380)=0),"",MIN(N($I380),SUMIFS(nrMK_Min,nrMK_Link,$B380,nrMK_Credit,"Yes",nrMK_PID,$E380,nrMK_Type,"Classroom")))</f>
        <v/>
      </c>
      <c r="Q380" s="17">
        <f>IF(OR($B380="",N($J380)=0),"",MIN(N($J380),SUMIFS(nrMK_Sess,nrMK_Link,$B380,nrMK_Credit,"Yes",nrMK_PID,$E380,nrMK_Type,"PT")))</f>
        <v/>
      </c>
      <c r="R380" s="17">
        <f>IF(OR($B380="",$N380&lt;&gt;"Yes"),"",IF($K380="Yes",IF(N($J380)&gt;0,N($J380)-N($Q380),""),IF(N($I380)&gt;0,N($I380)-N($P380),"")))</f>
        <v/>
      </c>
      <c r="S380" s="17">
        <f>IF(OR($B380="",$R380=""),"",IF($R380&lt;=0,IF(IFERROR(_xlfn.MAXIFS(nrMK_Date,nrMK_Link,$B380,nrMK_Credit,"Yes",nrMK_PID,$E380),0)=0,"CLEARED (makeup date missing)","CLEARED "&amp;TEXT(_xlfn.MAXIFS(nrMK_Date,nrMK_Link,$B380,nrMK_Credit,"Yes",nrMK_PID,$E380),"mm/dd")),"OPEN"))</f>
        <v/>
      </c>
      <c r="T380" s="17">
        <f>IF($D380="","",IF($C380="","NO DATE",IF($G380="","NO EVENT TYPE",IF(AND($I380&lt;&gt;"",NOT(ISNUMBER($I380))),"MINUTES NOT A NUMBER",IF(AND($J380&lt;&gt;"",NOT(ISNUMBER($J380))),"SESSIONS NOT A NUMBER",IF(OR(N($I380)&lt;0,N($J380)&lt;0),"NEGATIVE MINUTES/SESSIONS",IF(AND($K380="Yes",N($I380)&gt;0),"MINUTES ON A PT EVENT - not counted (PT counts sessions)",IF(AND($K380="No",N($J380)&gt;0),"SESSIONS ON A CLASSROOM EVENT - not counted (classroom counts minutes)",IF(AND($N380="Yes",$K380="Yes",N($J380)=0),"COUNTED PT EVENT WITH NO SESSIONS - dropped from the PT cap",IF(AND($N380="Yes",$K380="No",N($I380)=0),"COUNTED EVENT WITH NO MINUTES - dropped from the classroom cap","OK"))))))))))</f>
        <v/>
      </c>
    </row>
    <row r="381">
      <c r="B381" s="17">
        <f>IF($D381="","","A"&amp;TEXT(ROW()-5,"000"))</f>
        <v/>
      </c>
      <c r="C381" s="18" t="n"/>
      <c r="D381" s="16" t="n"/>
      <c r="E381" s="17">
        <f>IF($D381="","",IFERROR(INDEX(rngCadetPIDs,MATCH($D381,rngCadetNames,0)),"?"))</f>
        <v/>
      </c>
      <c r="F381" s="17">
        <f>IF($E381="","",IFERROR(INDEX(nrCadetAgency,MATCH($E381,rngCadetPIDs,0)),""))</f>
        <v/>
      </c>
      <c r="G381" s="16" t="n"/>
      <c r="H381" s="16" t="n"/>
      <c r="I381" s="16" t="n"/>
      <c r="J381" s="16" t="n"/>
      <c r="K381" s="17">
        <f>IF($G381="","",IF(OR($G381="PT Missed",$G381="PT Modified",$G381="PT Refused"),"Yes","No"))</f>
        <v/>
      </c>
      <c r="L381" s="16" t="n"/>
      <c r="M381" s="16" t="n"/>
      <c r="N381" s="17">
        <f>IF($D381="","",IF($M381="Excused","No",IF(AND($G381="PT Modified",$L381="Received"),"No","Yes")))</f>
        <v/>
      </c>
      <c r="O381" s="16" t="n"/>
      <c r="P381" s="17">
        <f>IF(OR($B381="",N($I381)=0),"",MIN(N($I381),SUMIFS(nrMK_Min,nrMK_Link,$B381,nrMK_Credit,"Yes",nrMK_PID,$E381,nrMK_Type,"Classroom")))</f>
        <v/>
      </c>
      <c r="Q381" s="17">
        <f>IF(OR($B381="",N($J381)=0),"",MIN(N($J381),SUMIFS(nrMK_Sess,nrMK_Link,$B381,nrMK_Credit,"Yes",nrMK_PID,$E381,nrMK_Type,"PT")))</f>
        <v/>
      </c>
      <c r="R381" s="17">
        <f>IF(OR($B381="",$N381&lt;&gt;"Yes"),"",IF($K381="Yes",IF(N($J381)&gt;0,N($J381)-N($Q381),""),IF(N($I381)&gt;0,N($I381)-N($P381),"")))</f>
        <v/>
      </c>
      <c r="S381" s="17">
        <f>IF(OR($B381="",$R381=""),"",IF($R381&lt;=0,IF(IFERROR(_xlfn.MAXIFS(nrMK_Date,nrMK_Link,$B381,nrMK_Credit,"Yes",nrMK_PID,$E381),0)=0,"CLEARED (makeup date missing)","CLEARED "&amp;TEXT(_xlfn.MAXIFS(nrMK_Date,nrMK_Link,$B381,nrMK_Credit,"Yes",nrMK_PID,$E381),"mm/dd")),"OPEN"))</f>
        <v/>
      </c>
      <c r="T381" s="17">
        <f>IF($D381="","",IF($C381="","NO DATE",IF($G381="","NO EVENT TYPE",IF(AND($I381&lt;&gt;"",NOT(ISNUMBER($I381))),"MINUTES NOT A NUMBER",IF(AND($J381&lt;&gt;"",NOT(ISNUMBER($J381))),"SESSIONS NOT A NUMBER",IF(OR(N($I381)&lt;0,N($J381)&lt;0),"NEGATIVE MINUTES/SESSIONS",IF(AND($K381="Yes",N($I381)&gt;0),"MINUTES ON A PT EVENT - not counted (PT counts sessions)",IF(AND($K381="No",N($J381)&gt;0),"SESSIONS ON A CLASSROOM EVENT - not counted (classroom counts minutes)",IF(AND($N381="Yes",$K381="Yes",N($J381)=0),"COUNTED PT EVENT WITH NO SESSIONS - dropped from the PT cap",IF(AND($N381="Yes",$K381="No",N($I381)=0),"COUNTED EVENT WITH NO MINUTES - dropped from the classroom cap","OK"))))))))))</f>
        <v/>
      </c>
    </row>
    <row r="382">
      <c r="B382" s="17">
        <f>IF($D382="","","A"&amp;TEXT(ROW()-5,"000"))</f>
        <v/>
      </c>
      <c r="C382" s="18" t="n"/>
      <c r="D382" s="16" t="n"/>
      <c r="E382" s="17">
        <f>IF($D382="","",IFERROR(INDEX(rngCadetPIDs,MATCH($D382,rngCadetNames,0)),"?"))</f>
        <v/>
      </c>
      <c r="F382" s="17">
        <f>IF($E382="","",IFERROR(INDEX(nrCadetAgency,MATCH($E382,rngCadetPIDs,0)),""))</f>
        <v/>
      </c>
      <c r="G382" s="16" t="n"/>
      <c r="H382" s="16" t="n"/>
      <c r="I382" s="16" t="n"/>
      <c r="J382" s="16" t="n"/>
      <c r="K382" s="17">
        <f>IF($G382="","",IF(OR($G382="PT Missed",$G382="PT Modified",$G382="PT Refused"),"Yes","No"))</f>
        <v/>
      </c>
      <c r="L382" s="16" t="n"/>
      <c r="M382" s="16" t="n"/>
      <c r="N382" s="17">
        <f>IF($D382="","",IF($M382="Excused","No",IF(AND($G382="PT Modified",$L382="Received"),"No","Yes")))</f>
        <v/>
      </c>
      <c r="O382" s="16" t="n"/>
      <c r="P382" s="17">
        <f>IF(OR($B382="",N($I382)=0),"",MIN(N($I382),SUMIFS(nrMK_Min,nrMK_Link,$B382,nrMK_Credit,"Yes",nrMK_PID,$E382,nrMK_Type,"Classroom")))</f>
        <v/>
      </c>
      <c r="Q382" s="17">
        <f>IF(OR($B382="",N($J382)=0),"",MIN(N($J382),SUMIFS(nrMK_Sess,nrMK_Link,$B382,nrMK_Credit,"Yes",nrMK_PID,$E382,nrMK_Type,"PT")))</f>
        <v/>
      </c>
      <c r="R382" s="17">
        <f>IF(OR($B382="",$N382&lt;&gt;"Yes"),"",IF($K382="Yes",IF(N($J382)&gt;0,N($J382)-N($Q382),""),IF(N($I382)&gt;0,N($I382)-N($P382),"")))</f>
        <v/>
      </c>
      <c r="S382" s="17">
        <f>IF(OR($B382="",$R382=""),"",IF($R382&lt;=0,IF(IFERROR(_xlfn.MAXIFS(nrMK_Date,nrMK_Link,$B382,nrMK_Credit,"Yes",nrMK_PID,$E382),0)=0,"CLEARED (makeup date missing)","CLEARED "&amp;TEXT(_xlfn.MAXIFS(nrMK_Date,nrMK_Link,$B382,nrMK_Credit,"Yes",nrMK_PID,$E382),"mm/dd")),"OPEN"))</f>
        <v/>
      </c>
      <c r="T382" s="17">
        <f>IF($D382="","",IF($C382="","NO DATE",IF($G382="","NO EVENT TYPE",IF(AND($I382&lt;&gt;"",NOT(ISNUMBER($I382))),"MINUTES NOT A NUMBER",IF(AND($J382&lt;&gt;"",NOT(ISNUMBER($J382))),"SESSIONS NOT A NUMBER",IF(OR(N($I382)&lt;0,N($J382)&lt;0),"NEGATIVE MINUTES/SESSIONS",IF(AND($K382="Yes",N($I382)&gt;0),"MINUTES ON A PT EVENT - not counted (PT counts sessions)",IF(AND($K382="No",N($J382)&gt;0),"SESSIONS ON A CLASSROOM EVENT - not counted (classroom counts minutes)",IF(AND($N382="Yes",$K382="Yes",N($J382)=0),"COUNTED PT EVENT WITH NO SESSIONS - dropped from the PT cap",IF(AND($N382="Yes",$K382="No",N($I382)=0),"COUNTED EVENT WITH NO MINUTES - dropped from the classroom cap","OK"))))))))))</f>
        <v/>
      </c>
    </row>
    <row r="383">
      <c r="B383" s="17">
        <f>IF($D383="","","A"&amp;TEXT(ROW()-5,"000"))</f>
        <v/>
      </c>
      <c r="C383" s="18" t="n"/>
      <c r="D383" s="16" t="n"/>
      <c r="E383" s="17">
        <f>IF($D383="","",IFERROR(INDEX(rngCadetPIDs,MATCH($D383,rngCadetNames,0)),"?"))</f>
        <v/>
      </c>
      <c r="F383" s="17">
        <f>IF($E383="","",IFERROR(INDEX(nrCadetAgency,MATCH($E383,rngCadetPIDs,0)),""))</f>
        <v/>
      </c>
      <c r="G383" s="16" t="n"/>
      <c r="H383" s="16" t="n"/>
      <c r="I383" s="16" t="n"/>
      <c r="J383" s="16" t="n"/>
      <c r="K383" s="17">
        <f>IF($G383="","",IF(OR($G383="PT Missed",$G383="PT Modified",$G383="PT Refused"),"Yes","No"))</f>
        <v/>
      </c>
      <c r="L383" s="16" t="n"/>
      <c r="M383" s="16" t="n"/>
      <c r="N383" s="17">
        <f>IF($D383="","",IF($M383="Excused","No",IF(AND($G383="PT Modified",$L383="Received"),"No","Yes")))</f>
        <v/>
      </c>
      <c r="O383" s="16" t="n"/>
      <c r="P383" s="17">
        <f>IF(OR($B383="",N($I383)=0),"",MIN(N($I383),SUMIFS(nrMK_Min,nrMK_Link,$B383,nrMK_Credit,"Yes",nrMK_PID,$E383,nrMK_Type,"Classroom")))</f>
        <v/>
      </c>
      <c r="Q383" s="17">
        <f>IF(OR($B383="",N($J383)=0),"",MIN(N($J383),SUMIFS(nrMK_Sess,nrMK_Link,$B383,nrMK_Credit,"Yes",nrMK_PID,$E383,nrMK_Type,"PT")))</f>
        <v/>
      </c>
      <c r="R383" s="17">
        <f>IF(OR($B383="",$N383&lt;&gt;"Yes"),"",IF($K383="Yes",IF(N($J383)&gt;0,N($J383)-N($Q383),""),IF(N($I383)&gt;0,N($I383)-N($P383),"")))</f>
        <v/>
      </c>
      <c r="S383" s="17">
        <f>IF(OR($B383="",$R383=""),"",IF($R383&lt;=0,IF(IFERROR(_xlfn.MAXIFS(nrMK_Date,nrMK_Link,$B383,nrMK_Credit,"Yes",nrMK_PID,$E383),0)=0,"CLEARED (makeup date missing)","CLEARED "&amp;TEXT(_xlfn.MAXIFS(nrMK_Date,nrMK_Link,$B383,nrMK_Credit,"Yes",nrMK_PID,$E383),"mm/dd")),"OPEN"))</f>
        <v/>
      </c>
      <c r="T383" s="17">
        <f>IF($D383="","",IF($C383="","NO DATE",IF($G383="","NO EVENT TYPE",IF(AND($I383&lt;&gt;"",NOT(ISNUMBER($I383))),"MINUTES NOT A NUMBER",IF(AND($J383&lt;&gt;"",NOT(ISNUMBER($J383))),"SESSIONS NOT A NUMBER",IF(OR(N($I383)&lt;0,N($J383)&lt;0),"NEGATIVE MINUTES/SESSIONS",IF(AND($K383="Yes",N($I383)&gt;0),"MINUTES ON A PT EVENT - not counted (PT counts sessions)",IF(AND($K383="No",N($J383)&gt;0),"SESSIONS ON A CLASSROOM EVENT - not counted (classroom counts minutes)",IF(AND($N383="Yes",$K383="Yes",N($J383)=0),"COUNTED PT EVENT WITH NO SESSIONS - dropped from the PT cap",IF(AND($N383="Yes",$K383="No",N($I383)=0),"COUNTED EVENT WITH NO MINUTES - dropped from the classroom cap","OK"))))))))))</f>
        <v/>
      </c>
    </row>
    <row r="384">
      <c r="B384" s="17">
        <f>IF($D384="","","A"&amp;TEXT(ROW()-5,"000"))</f>
        <v/>
      </c>
      <c r="C384" s="18" t="n"/>
      <c r="D384" s="16" t="n"/>
      <c r="E384" s="17">
        <f>IF($D384="","",IFERROR(INDEX(rngCadetPIDs,MATCH($D384,rngCadetNames,0)),"?"))</f>
        <v/>
      </c>
      <c r="F384" s="17">
        <f>IF($E384="","",IFERROR(INDEX(nrCadetAgency,MATCH($E384,rngCadetPIDs,0)),""))</f>
        <v/>
      </c>
      <c r="G384" s="16" t="n"/>
      <c r="H384" s="16" t="n"/>
      <c r="I384" s="16" t="n"/>
      <c r="J384" s="16" t="n"/>
      <c r="K384" s="17">
        <f>IF($G384="","",IF(OR($G384="PT Missed",$G384="PT Modified",$G384="PT Refused"),"Yes","No"))</f>
        <v/>
      </c>
      <c r="L384" s="16" t="n"/>
      <c r="M384" s="16" t="n"/>
      <c r="N384" s="17">
        <f>IF($D384="","",IF($M384="Excused","No",IF(AND($G384="PT Modified",$L384="Received"),"No","Yes")))</f>
        <v/>
      </c>
      <c r="O384" s="16" t="n"/>
      <c r="P384" s="17">
        <f>IF(OR($B384="",N($I384)=0),"",MIN(N($I384),SUMIFS(nrMK_Min,nrMK_Link,$B384,nrMK_Credit,"Yes",nrMK_PID,$E384,nrMK_Type,"Classroom")))</f>
        <v/>
      </c>
      <c r="Q384" s="17">
        <f>IF(OR($B384="",N($J384)=0),"",MIN(N($J384),SUMIFS(nrMK_Sess,nrMK_Link,$B384,nrMK_Credit,"Yes",nrMK_PID,$E384,nrMK_Type,"PT")))</f>
        <v/>
      </c>
      <c r="R384" s="17">
        <f>IF(OR($B384="",$N384&lt;&gt;"Yes"),"",IF($K384="Yes",IF(N($J384)&gt;0,N($J384)-N($Q384),""),IF(N($I384)&gt;0,N($I384)-N($P384),"")))</f>
        <v/>
      </c>
      <c r="S384" s="17">
        <f>IF(OR($B384="",$R384=""),"",IF($R384&lt;=0,IF(IFERROR(_xlfn.MAXIFS(nrMK_Date,nrMK_Link,$B384,nrMK_Credit,"Yes",nrMK_PID,$E384),0)=0,"CLEARED (makeup date missing)","CLEARED "&amp;TEXT(_xlfn.MAXIFS(nrMK_Date,nrMK_Link,$B384,nrMK_Credit,"Yes",nrMK_PID,$E384),"mm/dd")),"OPEN"))</f>
        <v/>
      </c>
      <c r="T384" s="17">
        <f>IF($D384="","",IF($C384="","NO DATE",IF($G384="","NO EVENT TYPE",IF(AND($I384&lt;&gt;"",NOT(ISNUMBER($I384))),"MINUTES NOT A NUMBER",IF(AND($J384&lt;&gt;"",NOT(ISNUMBER($J384))),"SESSIONS NOT A NUMBER",IF(OR(N($I384)&lt;0,N($J384)&lt;0),"NEGATIVE MINUTES/SESSIONS",IF(AND($K384="Yes",N($I384)&gt;0),"MINUTES ON A PT EVENT - not counted (PT counts sessions)",IF(AND($K384="No",N($J384)&gt;0),"SESSIONS ON A CLASSROOM EVENT - not counted (classroom counts minutes)",IF(AND($N384="Yes",$K384="Yes",N($J384)=0),"COUNTED PT EVENT WITH NO SESSIONS - dropped from the PT cap",IF(AND($N384="Yes",$K384="No",N($I384)=0),"COUNTED EVENT WITH NO MINUTES - dropped from the classroom cap","OK"))))))))))</f>
        <v/>
      </c>
    </row>
    <row r="385">
      <c r="B385" s="17">
        <f>IF($D385="","","A"&amp;TEXT(ROW()-5,"000"))</f>
        <v/>
      </c>
      <c r="C385" s="18" t="n"/>
      <c r="D385" s="16" t="n"/>
      <c r="E385" s="17">
        <f>IF($D385="","",IFERROR(INDEX(rngCadetPIDs,MATCH($D385,rngCadetNames,0)),"?"))</f>
        <v/>
      </c>
      <c r="F385" s="17">
        <f>IF($E385="","",IFERROR(INDEX(nrCadetAgency,MATCH($E385,rngCadetPIDs,0)),""))</f>
        <v/>
      </c>
      <c r="G385" s="16" t="n"/>
      <c r="H385" s="16" t="n"/>
      <c r="I385" s="16" t="n"/>
      <c r="J385" s="16" t="n"/>
      <c r="K385" s="17">
        <f>IF($G385="","",IF(OR($G385="PT Missed",$G385="PT Modified",$G385="PT Refused"),"Yes","No"))</f>
        <v/>
      </c>
      <c r="L385" s="16" t="n"/>
      <c r="M385" s="16" t="n"/>
      <c r="N385" s="17">
        <f>IF($D385="","",IF($M385="Excused","No",IF(AND($G385="PT Modified",$L385="Received"),"No","Yes")))</f>
        <v/>
      </c>
      <c r="O385" s="16" t="n"/>
      <c r="P385" s="17">
        <f>IF(OR($B385="",N($I385)=0),"",MIN(N($I385),SUMIFS(nrMK_Min,nrMK_Link,$B385,nrMK_Credit,"Yes",nrMK_PID,$E385,nrMK_Type,"Classroom")))</f>
        <v/>
      </c>
      <c r="Q385" s="17">
        <f>IF(OR($B385="",N($J385)=0),"",MIN(N($J385),SUMIFS(nrMK_Sess,nrMK_Link,$B385,nrMK_Credit,"Yes",nrMK_PID,$E385,nrMK_Type,"PT")))</f>
        <v/>
      </c>
      <c r="R385" s="17">
        <f>IF(OR($B385="",$N385&lt;&gt;"Yes"),"",IF($K385="Yes",IF(N($J385)&gt;0,N($J385)-N($Q385),""),IF(N($I385)&gt;0,N($I385)-N($P385),"")))</f>
        <v/>
      </c>
      <c r="S385" s="17">
        <f>IF(OR($B385="",$R385=""),"",IF($R385&lt;=0,IF(IFERROR(_xlfn.MAXIFS(nrMK_Date,nrMK_Link,$B385,nrMK_Credit,"Yes",nrMK_PID,$E385),0)=0,"CLEARED (makeup date missing)","CLEARED "&amp;TEXT(_xlfn.MAXIFS(nrMK_Date,nrMK_Link,$B385,nrMK_Credit,"Yes",nrMK_PID,$E385),"mm/dd")),"OPEN"))</f>
        <v/>
      </c>
      <c r="T385" s="17">
        <f>IF($D385="","",IF($C385="","NO DATE",IF($G385="","NO EVENT TYPE",IF(AND($I385&lt;&gt;"",NOT(ISNUMBER($I385))),"MINUTES NOT A NUMBER",IF(AND($J385&lt;&gt;"",NOT(ISNUMBER($J385))),"SESSIONS NOT A NUMBER",IF(OR(N($I385)&lt;0,N($J385)&lt;0),"NEGATIVE MINUTES/SESSIONS",IF(AND($K385="Yes",N($I385)&gt;0),"MINUTES ON A PT EVENT - not counted (PT counts sessions)",IF(AND($K385="No",N($J385)&gt;0),"SESSIONS ON A CLASSROOM EVENT - not counted (classroom counts minutes)",IF(AND($N385="Yes",$K385="Yes",N($J385)=0),"COUNTED PT EVENT WITH NO SESSIONS - dropped from the PT cap",IF(AND($N385="Yes",$K385="No",N($I385)=0),"COUNTED EVENT WITH NO MINUTES - dropped from the classroom cap","OK"))))))))))</f>
        <v/>
      </c>
    </row>
    <row r="386">
      <c r="B386" s="17">
        <f>IF($D386="","","A"&amp;TEXT(ROW()-5,"000"))</f>
        <v/>
      </c>
      <c r="C386" s="18" t="n"/>
      <c r="D386" s="16" t="n"/>
      <c r="E386" s="17">
        <f>IF($D386="","",IFERROR(INDEX(rngCadetPIDs,MATCH($D386,rngCadetNames,0)),"?"))</f>
        <v/>
      </c>
      <c r="F386" s="17">
        <f>IF($E386="","",IFERROR(INDEX(nrCadetAgency,MATCH($E386,rngCadetPIDs,0)),""))</f>
        <v/>
      </c>
      <c r="G386" s="16" t="n"/>
      <c r="H386" s="16" t="n"/>
      <c r="I386" s="16" t="n"/>
      <c r="J386" s="16" t="n"/>
      <c r="K386" s="17">
        <f>IF($G386="","",IF(OR($G386="PT Missed",$G386="PT Modified",$G386="PT Refused"),"Yes","No"))</f>
        <v/>
      </c>
      <c r="L386" s="16" t="n"/>
      <c r="M386" s="16" t="n"/>
      <c r="N386" s="17">
        <f>IF($D386="","",IF($M386="Excused","No",IF(AND($G386="PT Modified",$L386="Received"),"No","Yes")))</f>
        <v/>
      </c>
      <c r="O386" s="16" t="n"/>
      <c r="P386" s="17">
        <f>IF(OR($B386="",N($I386)=0),"",MIN(N($I386),SUMIFS(nrMK_Min,nrMK_Link,$B386,nrMK_Credit,"Yes",nrMK_PID,$E386,nrMK_Type,"Classroom")))</f>
        <v/>
      </c>
      <c r="Q386" s="17">
        <f>IF(OR($B386="",N($J386)=0),"",MIN(N($J386),SUMIFS(nrMK_Sess,nrMK_Link,$B386,nrMK_Credit,"Yes",nrMK_PID,$E386,nrMK_Type,"PT")))</f>
        <v/>
      </c>
      <c r="R386" s="17">
        <f>IF(OR($B386="",$N386&lt;&gt;"Yes"),"",IF($K386="Yes",IF(N($J386)&gt;0,N($J386)-N($Q386),""),IF(N($I386)&gt;0,N($I386)-N($P386),"")))</f>
        <v/>
      </c>
      <c r="S386" s="17">
        <f>IF(OR($B386="",$R386=""),"",IF($R386&lt;=0,IF(IFERROR(_xlfn.MAXIFS(nrMK_Date,nrMK_Link,$B386,nrMK_Credit,"Yes",nrMK_PID,$E386),0)=0,"CLEARED (makeup date missing)","CLEARED "&amp;TEXT(_xlfn.MAXIFS(nrMK_Date,nrMK_Link,$B386,nrMK_Credit,"Yes",nrMK_PID,$E386),"mm/dd")),"OPEN"))</f>
        <v/>
      </c>
      <c r="T386" s="17">
        <f>IF($D386="","",IF($C386="","NO DATE",IF($G386="","NO EVENT TYPE",IF(AND($I386&lt;&gt;"",NOT(ISNUMBER($I386))),"MINUTES NOT A NUMBER",IF(AND($J386&lt;&gt;"",NOT(ISNUMBER($J386))),"SESSIONS NOT A NUMBER",IF(OR(N($I386)&lt;0,N($J386)&lt;0),"NEGATIVE MINUTES/SESSIONS",IF(AND($K386="Yes",N($I386)&gt;0),"MINUTES ON A PT EVENT - not counted (PT counts sessions)",IF(AND($K386="No",N($J386)&gt;0),"SESSIONS ON A CLASSROOM EVENT - not counted (classroom counts minutes)",IF(AND($N386="Yes",$K386="Yes",N($J386)=0),"COUNTED PT EVENT WITH NO SESSIONS - dropped from the PT cap",IF(AND($N386="Yes",$K386="No",N($I386)=0),"COUNTED EVENT WITH NO MINUTES - dropped from the classroom cap","OK"))))))))))</f>
        <v/>
      </c>
    </row>
    <row r="387">
      <c r="B387" s="17">
        <f>IF($D387="","","A"&amp;TEXT(ROW()-5,"000"))</f>
        <v/>
      </c>
      <c r="C387" s="18" t="n"/>
      <c r="D387" s="16" t="n"/>
      <c r="E387" s="17">
        <f>IF($D387="","",IFERROR(INDEX(rngCadetPIDs,MATCH($D387,rngCadetNames,0)),"?"))</f>
        <v/>
      </c>
      <c r="F387" s="17">
        <f>IF($E387="","",IFERROR(INDEX(nrCadetAgency,MATCH($E387,rngCadetPIDs,0)),""))</f>
        <v/>
      </c>
      <c r="G387" s="16" t="n"/>
      <c r="H387" s="16" t="n"/>
      <c r="I387" s="16" t="n"/>
      <c r="J387" s="16" t="n"/>
      <c r="K387" s="17">
        <f>IF($G387="","",IF(OR($G387="PT Missed",$G387="PT Modified",$G387="PT Refused"),"Yes","No"))</f>
        <v/>
      </c>
      <c r="L387" s="16" t="n"/>
      <c r="M387" s="16" t="n"/>
      <c r="N387" s="17">
        <f>IF($D387="","",IF($M387="Excused","No",IF(AND($G387="PT Modified",$L387="Received"),"No","Yes")))</f>
        <v/>
      </c>
      <c r="O387" s="16" t="n"/>
      <c r="P387" s="17">
        <f>IF(OR($B387="",N($I387)=0),"",MIN(N($I387),SUMIFS(nrMK_Min,nrMK_Link,$B387,nrMK_Credit,"Yes",nrMK_PID,$E387,nrMK_Type,"Classroom")))</f>
        <v/>
      </c>
      <c r="Q387" s="17">
        <f>IF(OR($B387="",N($J387)=0),"",MIN(N($J387),SUMIFS(nrMK_Sess,nrMK_Link,$B387,nrMK_Credit,"Yes",nrMK_PID,$E387,nrMK_Type,"PT")))</f>
        <v/>
      </c>
      <c r="R387" s="17">
        <f>IF(OR($B387="",$N387&lt;&gt;"Yes"),"",IF($K387="Yes",IF(N($J387)&gt;0,N($J387)-N($Q387),""),IF(N($I387)&gt;0,N($I387)-N($P387),"")))</f>
        <v/>
      </c>
      <c r="S387" s="17">
        <f>IF(OR($B387="",$R387=""),"",IF($R387&lt;=0,IF(IFERROR(_xlfn.MAXIFS(nrMK_Date,nrMK_Link,$B387,nrMK_Credit,"Yes",nrMK_PID,$E387),0)=0,"CLEARED (makeup date missing)","CLEARED "&amp;TEXT(_xlfn.MAXIFS(nrMK_Date,nrMK_Link,$B387,nrMK_Credit,"Yes",nrMK_PID,$E387),"mm/dd")),"OPEN"))</f>
        <v/>
      </c>
      <c r="T387" s="17">
        <f>IF($D387="","",IF($C387="","NO DATE",IF($G387="","NO EVENT TYPE",IF(AND($I387&lt;&gt;"",NOT(ISNUMBER($I387))),"MINUTES NOT A NUMBER",IF(AND($J387&lt;&gt;"",NOT(ISNUMBER($J387))),"SESSIONS NOT A NUMBER",IF(OR(N($I387)&lt;0,N($J387)&lt;0),"NEGATIVE MINUTES/SESSIONS",IF(AND($K387="Yes",N($I387)&gt;0),"MINUTES ON A PT EVENT - not counted (PT counts sessions)",IF(AND($K387="No",N($J387)&gt;0),"SESSIONS ON A CLASSROOM EVENT - not counted (classroom counts minutes)",IF(AND($N387="Yes",$K387="Yes",N($J387)=0),"COUNTED PT EVENT WITH NO SESSIONS - dropped from the PT cap",IF(AND($N387="Yes",$K387="No",N($I387)=0),"COUNTED EVENT WITH NO MINUTES - dropped from the classroom cap","OK"))))))))))</f>
        <v/>
      </c>
    </row>
    <row r="388">
      <c r="B388" s="17">
        <f>IF($D388="","","A"&amp;TEXT(ROW()-5,"000"))</f>
        <v/>
      </c>
      <c r="C388" s="18" t="n"/>
      <c r="D388" s="16" t="n"/>
      <c r="E388" s="17">
        <f>IF($D388="","",IFERROR(INDEX(rngCadetPIDs,MATCH($D388,rngCadetNames,0)),"?"))</f>
        <v/>
      </c>
      <c r="F388" s="17">
        <f>IF($E388="","",IFERROR(INDEX(nrCadetAgency,MATCH($E388,rngCadetPIDs,0)),""))</f>
        <v/>
      </c>
      <c r="G388" s="16" t="n"/>
      <c r="H388" s="16" t="n"/>
      <c r="I388" s="16" t="n"/>
      <c r="J388" s="16" t="n"/>
      <c r="K388" s="17">
        <f>IF($G388="","",IF(OR($G388="PT Missed",$G388="PT Modified",$G388="PT Refused"),"Yes","No"))</f>
        <v/>
      </c>
      <c r="L388" s="16" t="n"/>
      <c r="M388" s="16" t="n"/>
      <c r="N388" s="17">
        <f>IF($D388="","",IF($M388="Excused","No",IF(AND($G388="PT Modified",$L388="Received"),"No","Yes")))</f>
        <v/>
      </c>
      <c r="O388" s="16" t="n"/>
      <c r="P388" s="17">
        <f>IF(OR($B388="",N($I388)=0),"",MIN(N($I388),SUMIFS(nrMK_Min,nrMK_Link,$B388,nrMK_Credit,"Yes",nrMK_PID,$E388,nrMK_Type,"Classroom")))</f>
        <v/>
      </c>
      <c r="Q388" s="17">
        <f>IF(OR($B388="",N($J388)=0),"",MIN(N($J388),SUMIFS(nrMK_Sess,nrMK_Link,$B388,nrMK_Credit,"Yes",nrMK_PID,$E388,nrMK_Type,"PT")))</f>
        <v/>
      </c>
      <c r="R388" s="17">
        <f>IF(OR($B388="",$N388&lt;&gt;"Yes"),"",IF($K388="Yes",IF(N($J388)&gt;0,N($J388)-N($Q388),""),IF(N($I388)&gt;0,N($I388)-N($P388),"")))</f>
        <v/>
      </c>
      <c r="S388" s="17">
        <f>IF(OR($B388="",$R388=""),"",IF($R388&lt;=0,IF(IFERROR(_xlfn.MAXIFS(nrMK_Date,nrMK_Link,$B388,nrMK_Credit,"Yes",nrMK_PID,$E388),0)=0,"CLEARED (makeup date missing)","CLEARED "&amp;TEXT(_xlfn.MAXIFS(nrMK_Date,nrMK_Link,$B388,nrMK_Credit,"Yes",nrMK_PID,$E388),"mm/dd")),"OPEN"))</f>
        <v/>
      </c>
      <c r="T388" s="17">
        <f>IF($D388="","",IF($C388="","NO DATE",IF($G388="","NO EVENT TYPE",IF(AND($I388&lt;&gt;"",NOT(ISNUMBER($I388))),"MINUTES NOT A NUMBER",IF(AND($J388&lt;&gt;"",NOT(ISNUMBER($J388))),"SESSIONS NOT A NUMBER",IF(OR(N($I388)&lt;0,N($J388)&lt;0),"NEGATIVE MINUTES/SESSIONS",IF(AND($K388="Yes",N($I388)&gt;0),"MINUTES ON A PT EVENT - not counted (PT counts sessions)",IF(AND($K388="No",N($J388)&gt;0),"SESSIONS ON A CLASSROOM EVENT - not counted (classroom counts minutes)",IF(AND($N388="Yes",$K388="Yes",N($J388)=0),"COUNTED PT EVENT WITH NO SESSIONS - dropped from the PT cap",IF(AND($N388="Yes",$K388="No",N($I388)=0),"COUNTED EVENT WITH NO MINUTES - dropped from the classroom cap","OK"))))))))))</f>
        <v/>
      </c>
    </row>
    <row r="389">
      <c r="B389" s="17">
        <f>IF($D389="","","A"&amp;TEXT(ROW()-5,"000"))</f>
        <v/>
      </c>
      <c r="C389" s="18" t="n"/>
      <c r="D389" s="16" t="n"/>
      <c r="E389" s="17">
        <f>IF($D389="","",IFERROR(INDEX(rngCadetPIDs,MATCH($D389,rngCadetNames,0)),"?"))</f>
        <v/>
      </c>
      <c r="F389" s="17">
        <f>IF($E389="","",IFERROR(INDEX(nrCadetAgency,MATCH($E389,rngCadetPIDs,0)),""))</f>
        <v/>
      </c>
      <c r="G389" s="16" t="n"/>
      <c r="H389" s="16" t="n"/>
      <c r="I389" s="16" t="n"/>
      <c r="J389" s="16" t="n"/>
      <c r="K389" s="17">
        <f>IF($G389="","",IF(OR($G389="PT Missed",$G389="PT Modified",$G389="PT Refused"),"Yes","No"))</f>
        <v/>
      </c>
      <c r="L389" s="16" t="n"/>
      <c r="M389" s="16" t="n"/>
      <c r="N389" s="17">
        <f>IF($D389="","",IF($M389="Excused","No",IF(AND($G389="PT Modified",$L389="Received"),"No","Yes")))</f>
        <v/>
      </c>
      <c r="O389" s="16" t="n"/>
      <c r="P389" s="17">
        <f>IF(OR($B389="",N($I389)=0),"",MIN(N($I389),SUMIFS(nrMK_Min,nrMK_Link,$B389,nrMK_Credit,"Yes",nrMK_PID,$E389,nrMK_Type,"Classroom")))</f>
        <v/>
      </c>
      <c r="Q389" s="17">
        <f>IF(OR($B389="",N($J389)=0),"",MIN(N($J389),SUMIFS(nrMK_Sess,nrMK_Link,$B389,nrMK_Credit,"Yes",nrMK_PID,$E389,nrMK_Type,"PT")))</f>
        <v/>
      </c>
      <c r="R389" s="17">
        <f>IF(OR($B389="",$N389&lt;&gt;"Yes"),"",IF($K389="Yes",IF(N($J389)&gt;0,N($J389)-N($Q389),""),IF(N($I389)&gt;0,N($I389)-N($P389),"")))</f>
        <v/>
      </c>
      <c r="S389" s="17">
        <f>IF(OR($B389="",$R389=""),"",IF($R389&lt;=0,IF(IFERROR(_xlfn.MAXIFS(nrMK_Date,nrMK_Link,$B389,nrMK_Credit,"Yes",nrMK_PID,$E389),0)=0,"CLEARED (makeup date missing)","CLEARED "&amp;TEXT(_xlfn.MAXIFS(nrMK_Date,nrMK_Link,$B389,nrMK_Credit,"Yes",nrMK_PID,$E389),"mm/dd")),"OPEN"))</f>
        <v/>
      </c>
      <c r="T389" s="17">
        <f>IF($D389="","",IF($C389="","NO DATE",IF($G389="","NO EVENT TYPE",IF(AND($I389&lt;&gt;"",NOT(ISNUMBER($I389))),"MINUTES NOT A NUMBER",IF(AND($J389&lt;&gt;"",NOT(ISNUMBER($J389))),"SESSIONS NOT A NUMBER",IF(OR(N($I389)&lt;0,N($J389)&lt;0),"NEGATIVE MINUTES/SESSIONS",IF(AND($K389="Yes",N($I389)&gt;0),"MINUTES ON A PT EVENT - not counted (PT counts sessions)",IF(AND($K389="No",N($J389)&gt;0),"SESSIONS ON A CLASSROOM EVENT - not counted (classroom counts minutes)",IF(AND($N389="Yes",$K389="Yes",N($J389)=0),"COUNTED PT EVENT WITH NO SESSIONS - dropped from the PT cap",IF(AND($N389="Yes",$K389="No",N($I389)=0),"COUNTED EVENT WITH NO MINUTES - dropped from the classroom cap","OK"))))))))))</f>
        <v/>
      </c>
    </row>
    <row r="390">
      <c r="B390" s="17">
        <f>IF($D390="","","A"&amp;TEXT(ROW()-5,"000"))</f>
        <v/>
      </c>
      <c r="C390" s="18" t="n"/>
      <c r="D390" s="16" t="n"/>
      <c r="E390" s="17">
        <f>IF($D390="","",IFERROR(INDEX(rngCadetPIDs,MATCH($D390,rngCadetNames,0)),"?"))</f>
        <v/>
      </c>
      <c r="F390" s="17">
        <f>IF($E390="","",IFERROR(INDEX(nrCadetAgency,MATCH($E390,rngCadetPIDs,0)),""))</f>
        <v/>
      </c>
      <c r="G390" s="16" t="n"/>
      <c r="H390" s="16" t="n"/>
      <c r="I390" s="16" t="n"/>
      <c r="J390" s="16" t="n"/>
      <c r="K390" s="17">
        <f>IF($G390="","",IF(OR($G390="PT Missed",$G390="PT Modified",$G390="PT Refused"),"Yes","No"))</f>
        <v/>
      </c>
      <c r="L390" s="16" t="n"/>
      <c r="M390" s="16" t="n"/>
      <c r="N390" s="17">
        <f>IF($D390="","",IF($M390="Excused","No",IF(AND($G390="PT Modified",$L390="Received"),"No","Yes")))</f>
        <v/>
      </c>
      <c r="O390" s="16" t="n"/>
      <c r="P390" s="17">
        <f>IF(OR($B390="",N($I390)=0),"",MIN(N($I390),SUMIFS(nrMK_Min,nrMK_Link,$B390,nrMK_Credit,"Yes",nrMK_PID,$E390,nrMK_Type,"Classroom")))</f>
        <v/>
      </c>
      <c r="Q390" s="17">
        <f>IF(OR($B390="",N($J390)=0),"",MIN(N($J390),SUMIFS(nrMK_Sess,nrMK_Link,$B390,nrMK_Credit,"Yes",nrMK_PID,$E390,nrMK_Type,"PT")))</f>
        <v/>
      </c>
      <c r="R390" s="17">
        <f>IF(OR($B390="",$N390&lt;&gt;"Yes"),"",IF($K390="Yes",IF(N($J390)&gt;0,N($J390)-N($Q390),""),IF(N($I390)&gt;0,N($I390)-N($P390),"")))</f>
        <v/>
      </c>
      <c r="S390" s="17">
        <f>IF(OR($B390="",$R390=""),"",IF($R390&lt;=0,IF(IFERROR(_xlfn.MAXIFS(nrMK_Date,nrMK_Link,$B390,nrMK_Credit,"Yes",nrMK_PID,$E390),0)=0,"CLEARED (makeup date missing)","CLEARED "&amp;TEXT(_xlfn.MAXIFS(nrMK_Date,nrMK_Link,$B390,nrMK_Credit,"Yes",nrMK_PID,$E390),"mm/dd")),"OPEN"))</f>
        <v/>
      </c>
      <c r="T390" s="17">
        <f>IF($D390="","",IF($C390="","NO DATE",IF($G390="","NO EVENT TYPE",IF(AND($I390&lt;&gt;"",NOT(ISNUMBER($I390))),"MINUTES NOT A NUMBER",IF(AND($J390&lt;&gt;"",NOT(ISNUMBER($J390))),"SESSIONS NOT A NUMBER",IF(OR(N($I390)&lt;0,N($J390)&lt;0),"NEGATIVE MINUTES/SESSIONS",IF(AND($K390="Yes",N($I390)&gt;0),"MINUTES ON A PT EVENT - not counted (PT counts sessions)",IF(AND($K390="No",N($J390)&gt;0),"SESSIONS ON A CLASSROOM EVENT - not counted (classroom counts minutes)",IF(AND($N390="Yes",$K390="Yes",N($J390)=0),"COUNTED PT EVENT WITH NO SESSIONS - dropped from the PT cap",IF(AND($N390="Yes",$K390="No",N($I390)=0),"COUNTED EVENT WITH NO MINUTES - dropped from the classroom cap","OK"))))))))))</f>
        <v/>
      </c>
    </row>
    <row r="391">
      <c r="B391" s="17">
        <f>IF($D391="","","A"&amp;TEXT(ROW()-5,"000"))</f>
        <v/>
      </c>
      <c r="C391" s="18" t="n"/>
      <c r="D391" s="16" t="n"/>
      <c r="E391" s="17">
        <f>IF($D391="","",IFERROR(INDEX(rngCadetPIDs,MATCH($D391,rngCadetNames,0)),"?"))</f>
        <v/>
      </c>
      <c r="F391" s="17">
        <f>IF($E391="","",IFERROR(INDEX(nrCadetAgency,MATCH($E391,rngCadetPIDs,0)),""))</f>
        <v/>
      </c>
      <c r="G391" s="16" t="n"/>
      <c r="H391" s="16" t="n"/>
      <c r="I391" s="16" t="n"/>
      <c r="J391" s="16" t="n"/>
      <c r="K391" s="17">
        <f>IF($G391="","",IF(OR($G391="PT Missed",$G391="PT Modified",$G391="PT Refused"),"Yes","No"))</f>
        <v/>
      </c>
      <c r="L391" s="16" t="n"/>
      <c r="M391" s="16" t="n"/>
      <c r="N391" s="17">
        <f>IF($D391="","",IF($M391="Excused","No",IF(AND($G391="PT Modified",$L391="Received"),"No","Yes")))</f>
        <v/>
      </c>
      <c r="O391" s="16" t="n"/>
      <c r="P391" s="17">
        <f>IF(OR($B391="",N($I391)=0),"",MIN(N($I391),SUMIFS(nrMK_Min,nrMK_Link,$B391,nrMK_Credit,"Yes",nrMK_PID,$E391,nrMK_Type,"Classroom")))</f>
        <v/>
      </c>
      <c r="Q391" s="17">
        <f>IF(OR($B391="",N($J391)=0),"",MIN(N($J391),SUMIFS(nrMK_Sess,nrMK_Link,$B391,nrMK_Credit,"Yes",nrMK_PID,$E391,nrMK_Type,"PT")))</f>
        <v/>
      </c>
      <c r="R391" s="17">
        <f>IF(OR($B391="",$N391&lt;&gt;"Yes"),"",IF($K391="Yes",IF(N($J391)&gt;0,N($J391)-N($Q391),""),IF(N($I391)&gt;0,N($I391)-N($P391),"")))</f>
        <v/>
      </c>
      <c r="S391" s="17">
        <f>IF(OR($B391="",$R391=""),"",IF($R391&lt;=0,IF(IFERROR(_xlfn.MAXIFS(nrMK_Date,nrMK_Link,$B391,nrMK_Credit,"Yes",nrMK_PID,$E391),0)=0,"CLEARED (makeup date missing)","CLEARED "&amp;TEXT(_xlfn.MAXIFS(nrMK_Date,nrMK_Link,$B391,nrMK_Credit,"Yes",nrMK_PID,$E391),"mm/dd")),"OPEN"))</f>
        <v/>
      </c>
      <c r="T391" s="17">
        <f>IF($D391="","",IF($C391="","NO DATE",IF($G391="","NO EVENT TYPE",IF(AND($I391&lt;&gt;"",NOT(ISNUMBER($I391))),"MINUTES NOT A NUMBER",IF(AND($J391&lt;&gt;"",NOT(ISNUMBER($J391))),"SESSIONS NOT A NUMBER",IF(OR(N($I391)&lt;0,N($J391)&lt;0),"NEGATIVE MINUTES/SESSIONS",IF(AND($K391="Yes",N($I391)&gt;0),"MINUTES ON A PT EVENT - not counted (PT counts sessions)",IF(AND($K391="No",N($J391)&gt;0),"SESSIONS ON A CLASSROOM EVENT - not counted (classroom counts minutes)",IF(AND($N391="Yes",$K391="Yes",N($J391)=0),"COUNTED PT EVENT WITH NO SESSIONS - dropped from the PT cap",IF(AND($N391="Yes",$K391="No",N($I391)=0),"COUNTED EVENT WITH NO MINUTES - dropped from the classroom cap","OK"))))))))))</f>
        <v/>
      </c>
    </row>
    <row r="392">
      <c r="B392" s="17">
        <f>IF($D392="","","A"&amp;TEXT(ROW()-5,"000"))</f>
        <v/>
      </c>
      <c r="C392" s="18" t="n"/>
      <c r="D392" s="16" t="n"/>
      <c r="E392" s="17">
        <f>IF($D392="","",IFERROR(INDEX(rngCadetPIDs,MATCH($D392,rngCadetNames,0)),"?"))</f>
        <v/>
      </c>
      <c r="F392" s="17">
        <f>IF($E392="","",IFERROR(INDEX(nrCadetAgency,MATCH($E392,rngCadetPIDs,0)),""))</f>
        <v/>
      </c>
      <c r="G392" s="16" t="n"/>
      <c r="H392" s="16" t="n"/>
      <c r="I392" s="16" t="n"/>
      <c r="J392" s="16" t="n"/>
      <c r="K392" s="17">
        <f>IF($G392="","",IF(OR($G392="PT Missed",$G392="PT Modified",$G392="PT Refused"),"Yes","No"))</f>
        <v/>
      </c>
      <c r="L392" s="16" t="n"/>
      <c r="M392" s="16" t="n"/>
      <c r="N392" s="17">
        <f>IF($D392="","",IF($M392="Excused","No",IF(AND($G392="PT Modified",$L392="Received"),"No","Yes")))</f>
        <v/>
      </c>
      <c r="O392" s="16" t="n"/>
      <c r="P392" s="17">
        <f>IF(OR($B392="",N($I392)=0),"",MIN(N($I392),SUMIFS(nrMK_Min,nrMK_Link,$B392,nrMK_Credit,"Yes",nrMK_PID,$E392,nrMK_Type,"Classroom")))</f>
        <v/>
      </c>
      <c r="Q392" s="17">
        <f>IF(OR($B392="",N($J392)=0),"",MIN(N($J392),SUMIFS(nrMK_Sess,nrMK_Link,$B392,nrMK_Credit,"Yes",nrMK_PID,$E392,nrMK_Type,"PT")))</f>
        <v/>
      </c>
      <c r="R392" s="17">
        <f>IF(OR($B392="",$N392&lt;&gt;"Yes"),"",IF($K392="Yes",IF(N($J392)&gt;0,N($J392)-N($Q392),""),IF(N($I392)&gt;0,N($I392)-N($P392),"")))</f>
        <v/>
      </c>
      <c r="S392" s="17">
        <f>IF(OR($B392="",$R392=""),"",IF($R392&lt;=0,IF(IFERROR(_xlfn.MAXIFS(nrMK_Date,nrMK_Link,$B392,nrMK_Credit,"Yes",nrMK_PID,$E392),0)=0,"CLEARED (makeup date missing)","CLEARED "&amp;TEXT(_xlfn.MAXIFS(nrMK_Date,nrMK_Link,$B392,nrMK_Credit,"Yes",nrMK_PID,$E392),"mm/dd")),"OPEN"))</f>
        <v/>
      </c>
      <c r="T392" s="17">
        <f>IF($D392="","",IF($C392="","NO DATE",IF($G392="","NO EVENT TYPE",IF(AND($I392&lt;&gt;"",NOT(ISNUMBER($I392))),"MINUTES NOT A NUMBER",IF(AND($J392&lt;&gt;"",NOT(ISNUMBER($J392))),"SESSIONS NOT A NUMBER",IF(OR(N($I392)&lt;0,N($J392)&lt;0),"NEGATIVE MINUTES/SESSIONS",IF(AND($K392="Yes",N($I392)&gt;0),"MINUTES ON A PT EVENT - not counted (PT counts sessions)",IF(AND($K392="No",N($J392)&gt;0),"SESSIONS ON A CLASSROOM EVENT - not counted (classroom counts minutes)",IF(AND($N392="Yes",$K392="Yes",N($J392)=0),"COUNTED PT EVENT WITH NO SESSIONS - dropped from the PT cap",IF(AND($N392="Yes",$K392="No",N($I392)=0),"COUNTED EVENT WITH NO MINUTES - dropped from the classroom cap","OK"))))))))))</f>
        <v/>
      </c>
    </row>
    <row r="393">
      <c r="B393" s="17">
        <f>IF($D393="","","A"&amp;TEXT(ROW()-5,"000"))</f>
        <v/>
      </c>
      <c r="C393" s="18" t="n"/>
      <c r="D393" s="16" t="n"/>
      <c r="E393" s="17">
        <f>IF($D393="","",IFERROR(INDEX(rngCadetPIDs,MATCH($D393,rngCadetNames,0)),"?"))</f>
        <v/>
      </c>
      <c r="F393" s="17">
        <f>IF($E393="","",IFERROR(INDEX(nrCadetAgency,MATCH($E393,rngCadetPIDs,0)),""))</f>
        <v/>
      </c>
      <c r="G393" s="16" t="n"/>
      <c r="H393" s="16" t="n"/>
      <c r="I393" s="16" t="n"/>
      <c r="J393" s="16" t="n"/>
      <c r="K393" s="17">
        <f>IF($G393="","",IF(OR($G393="PT Missed",$G393="PT Modified",$G393="PT Refused"),"Yes","No"))</f>
        <v/>
      </c>
      <c r="L393" s="16" t="n"/>
      <c r="M393" s="16" t="n"/>
      <c r="N393" s="17">
        <f>IF($D393="","",IF($M393="Excused","No",IF(AND($G393="PT Modified",$L393="Received"),"No","Yes")))</f>
        <v/>
      </c>
      <c r="O393" s="16" t="n"/>
      <c r="P393" s="17">
        <f>IF(OR($B393="",N($I393)=0),"",MIN(N($I393),SUMIFS(nrMK_Min,nrMK_Link,$B393,nrMK_Credit,"Yes",nrMK_PID,$E393,nrMK_Type,"Classroom")))</f>
        <v/>
      </c>
      <c r="Q393" s="17">
        <f>IF(OR($B393="",N($J393)=0),"",MIN(N($J393),SUMIFS(nrMK_Sess,nrMK_Link,$B393,nrMK_Credit,"Yes",nrMK_PID,$E393,nrMK_Type,"PT")))</f>
        <v/>
      </c>
      <c r="R393" s="17">
        <f>IF(OR($B393="",$N393&lt;&gt;"Yes"),"",IF($K393="Yes",IF(N($J393)&gt;0,N($J393)-N($Q393),""),IF(N($I393)&gt;0,N($I393)-N($P393),"")))</f>
        <v/>
      </c>
      <c r="S393" s="17">
        <f>IF(OR($B393="",$R393=""),"",IF($R393&lt;=0,IF(IFERROR(_xlfn.MAXIFS(nrMK_Date,nrMK_Link,$B393,nrMK_Credit,"Yes",nrMK_PID,$E393),0)=0,"CLEARED (makeup date missing)","CLEARED "&amp;TEXT(_xlfn.MAXIFS(nrMK_Date,nrMK_Link,$B393,nrMK_Credit,"Yes",nrMK_PID,$E393),"mm/dd")),"OPEN"))</f>
        <v/>
      </c>
      <c r="T393" s="17">
        <f>IF($D393="","",IF($C393="","NO DATE",IF($G393="","NO EVENT TYPE",IF(AND($I393&lt;&gt;"",NOT(ISNUMBER($I393))),"MINUTES NOT A NUMBER",IF(AND($J393&lt;&gt;"",NOT(ISNUMBER($J393))),"SESSIONS NOT A NUMBER",IF(OR(N($I393)&lt;0,N($J393)&lt;0),"NEGATIVE MINUTES/SESSIONS",IF(AND($K393="Yes",N($I393)&gt;0),"MINUTES ON A PT EVENT - not counted (PT counts sessions)",IF(AND($K393="No",N($J393)&gt;0),"SESSIONS ON A CLASSROOM EVENT - not counted (classroom counts minutes)",IF(AND($N393="Yes",$K393="Yes",N($J393)=0),"COUNTED PT EVENT WITH NO SESSIONS - dropped from the PT cap",IF(AND($N393="Yes",$K393="No",N($I393)=0),"COUNTED EVENT WITH NO MINUTES - dropped from the classroom cap","OK"))))))))))</f>
        <v/>
      </c>
    </row>
    <row r="394">
      <c r="B394" s="17">
        <f>IF($D394="","","A"&amp;TEXT(ROW()-5,"000"))</f>
        <v/>
      </c>
      <c r="C394" s="18" t="n"/>
      <c r="D394" s="16" t="n"/>
      <c r="E394" s="17">
        <f>IF($D394="","",IFERROR(INDEX(rngCadetPIDs,MATCH($D394,rngCadetNames,0)),"?"))</f>
        <v/>
      </c>
      <c r="F394" s="17">
        <f>IF($E394="","",IFERROR(INDEX(nrCadetAgency,MATCH($E394,rngCadetPIDs,0)),""))</f>
        <v/>
      </c>
      <c r="G394" s="16" t="n"/>
      <c r="H394" s="16" t="n"/>
      <c r="I394" s="16" t="n"/>
      <c r="J394" s="16" t="n"/>
      <c r="K394" s="17">
        <f>IF($G394="","",IF(OR($G394="PT Missed",$G394="PT Modified",$G394="PT Refused"),"Yes","No"))</f>
        <v/>
      </c>
      <c r="L394" s="16" t="n"/>
      <c r="M394" s="16" t="n"/>
      <c r="N394" s="17">
        <f>IF($D394="","",IF($M394="Excused","No",IF(AND($G394="PT Modified",$L394="Received"),"No","Yes")))</f>
        <v/>
      </c>
      <c r="O394" s="16" t="n"/>
      <c r="P394" s="17">
        <f>IF(OR($B394="",N($I394)=0),"",MIN(N($I394),SUMIFS(nrMK_Min,nrMK_Link,$B394,nrMK_Credit,"Yes",nrMK_PID,$E394,nrMK_Type,"Classroom")))</f>
        <v/>
      </c>
      <c r="Q394" s="17">
        <f>IF(OR($B394="",N($J394)=0),"",MIN(N($J394),SUMIFS(nrMK_Sess,nrMK_Link,$B394,nrMK_Credit,"Yes",nrMK_PID,$E394,nrMK_Type,"PT")))</f>
        <v/>
      </c>
      <c r="R394" s="17">
        <f>IF(OR($B394="",$N394&lt;&gt;"Yes"),"",IF($K394="Yes",IF(N($J394)&gt;0,N($J394)-N($Q394),""),IF(N($I394)&gt;0,N($I394)-N($P394),"")))</f>
        <v/>
      </c>
      <c r="S394" s="17">
        <f>IF(OR($B394="",$R394=""),"",IF($R394&lt;=0,IF(IFERROR(_xlfn.MAXIFS(nrMK_Date,nrMK_Link,$B394,nrMK_Credit,"Yes",nrMK_PID,$E394),0)=0,"CLEARED (makeup date missing)","CLEARED "&amp;TEXT(_xlfn.MAXIFS(nrMK_Date,nrMK_Link,$B394,nrMK_Credit,"Yes",nrMK_PID,$E394),"mm/dd")),"OPEN"))</f>
        <v/>
      </c>
      <c r="T394" s="17">
        <f>IF($D394="","",IF($C394="","NO DATE",IF($G394="","NO EVENT TYPE",IF(AND($I394&lt;&gt;"",NOT(ISNUMBER($I394))),"MINUTES NOT A NUMBER",IF(AND($J394&lt;&gt;"",NOT(ISNUMBER($J394))),"SESSIONS NOT A NUMBER",IF(OR(N($I394)&lt;0,N($J394)&lt;0),"NEGATIVE MINUTES/SESSIONS",IF(AND($K394="Yes",N($I394)&gt;0),"MINUTES ON A PT EVENT - not counted (PT counts sessions)",IF(AND($K394="No",N($J394)&gt;0),"SESSIONS ON A CLASSROOM EVENT - not counted (classroom counts minutes)",IF(AND($N394="Yes",$K394="Yes",N($J394)=0),"COUNTED PT EVENT WITH NO SESSIONS - dropped from the PT cap",IF(AND($N394="Yes",$K394="No",N($I394)=0),"COUNTED EVENT WITH NO MINUTES - dropped from the classroom cap","OK"))))))))))</f>
        <v/>
      </c>
    </row>
    <row r="395">
      <c r="B395" s="17">
        <f>IF($D395="","","A"&amp;TEXT(ROW()-5,"000"))</f>
        <v/>
      </c>
      <c r="C395" s="18" t="n"/>
      <c r="D395" s="16" t="n"/>
      <c r="E395" s="17">
        <f>IF($D395="","",IFERROR(INDEX(rngCadetPIDs,MATCH($D395,rngCadetNames,0)),"?"))</f>
        <v/>
      </c>
      <c r="F395" s="17">
        <f>IF($E395="","",IFERROR(INDEX(nrCadetAgency,MATCH($E395,rngCadetPIDs,0)),""))</f>
        <v/>
      </c>
      <c r="G395" s="16" t="n"/>
      <c r="H395" s="16" t="n"/>
      <c r="I395" s="16" t="n"/>
      <c r="J395" s="16" t="n"/>
      <c r="K395" s="17">
        <f>IF($G395="","",IF(OR($G395="PT Missed",$G395="PT Modified",$G395="PT Refused"),"Yes","No"))</f>
        <v/>
      </c>
      <c r="L395" s="16" t="n"/>
      <c r="M395" s="16" t="n"/>
      <c r="N395" s="17">
        <f>IF($D395="","",IF($M395="Excused","No",IF(AND($G395="PT Modified",$L395="Received"),"No","Yes")))</f>
        <v/>
      </c>
      <c r="O395" s="16" t="n"/>
      <c r="P395" s="17">
        <f>IF(OR($B395="",N($I395)=0),"",MIN(N($I395),SUMIFS(nrMK_Min,nrMK_Link,$B395,nrMK_Credit,"Yes",nrMK_PID,$E395,nrMK_Type,"Classroom")))</f>
        <v/>
      </c>
      <c r="Q395" s="17">
        <f>IF(OR($B395="",N($J395)=0),"",MIN(N($J395),SUMIFS(nrMK_Sess,nrMK_Link,$B395,nrMK_Credit,"Yes",nrMK_PID,$E395,nrMK_Type,"PT")))</f>
        <v/>
      </c>
      <c r="R395" s="17">
        <f>IF(OR($B395="",$N395&lt;&gt;"Yes"),"",IF($K395="Yes",IF(N($J395)&gt;0,N($J395)-N($Q395),""),IF(N($I395)&gt;0,N($I395)-N($P395),"")))</f>
        <v/>
      </c>
      <c r="S395" s="17">
        <f>IF(OR($B395="",$R395=""),"",IF($R395&lt;=0,IF(IFERROR(_xlfn.MAXIFS(nrMK_Date,nrMK_Link,$B395,nrMK_Credit,"Yes",nrMK_PID,$E395),0)=0,"CLEARED (makeup date missing)","CLEARED "&amp;TEXT(_xlfn.MAXIFS(nrMK_Date,nrMK_Link,$B395,nrMK_Credit,"Yes",nrMK_PID,$E395),"mm/dd")),"OPEN"))</f>
        <v/>
      </c>
      <c r="T395" s="17">
        <f>IF($D395="","",IF($C395="","NO DATE",IF($G395="","NO EVENT TYPE",IF(AND($I395&lt;&gt;"",NOT(ISNUMBER($I395))),"MINUTES NOT A NUMBER",IF(AND($J395&lt;&gt;"",NOT(ISNUMBER($J395))),"SESSIONS NOT A NUMBER",IF(OR(N($I395)&lt;0,N($J395)&lt;0),"NEGATIVE MINUTES/SESSIONS",IF(AND($K395="Yes",N($I395)&gt;0),"MINUTES ON A PT EVENT - not counted (PT counts sessions)",IF(AND($K395="No",N($J395)&gt;0),"SESSIONS ON A CLASSROOM EVENT - not counted (classroom counts minutes)",IF(AND($N395="Yes",$K395="Yes",N($J395)=0),"COUNTED PT EVENT WITH NO SESSIONS - dropped from the PT cap",IF(AND($N395="Yes",$K395="No",N($I395)=0),"COUNTED EVENT WITH NO MINUTES - dropped from the classroom cap","OK"))))))))))</f>
        <v/>
      </c>
    </row>
    <row r="396">
      <c r="B396" s="17">
        <f>IF($D396="","","A"&amp;TEXT(ROW()-5,"000"))</f>
        <v/>
      </c>
      <c r="C396" s="18" t="n"/>
      <c r="D396" s="16" t="n"/>
      <c r="E396" s="17">
        <f>IF($D396="","",IFERROR(INDEX(rngCadetPIDs,MATCH($D396,rngCadetNames,0)),"?"))</f>
        <v/>
      </c>
      <c r="F396" s="17">
        <f>IF($E396="","",IFERROR(INDEX(nrCadetAgency,MATCH($E396,rngCadetPIDs,0)),""))</f>
        <v/>
      </c>
      <c r="G396" s="16" t="n"/>
      <c r="H396" s="16" t="n"/>
      <c r="I396" s="16" t="n"/>
      <c r="J396" s="16" t="n"/>
      <c r="K396" s="17">
        <f>IF($G396="","",IF(OR($G396="PT Missed",$G396="PT Modified",$G396="PT Refused"),"Yes","No"))</f>
        <v/>
      </c>
      <c r="L396" s="16" t="n"/>
      <c r="M396" s="16" t="n"/>
      <c r="N396" s="17">
        <f>IF($D396="","",IF($M396="Excused","No",IF(AND($G396="PT Modified",$L396="Received"),"No","Yes")))</f>
        <v/>
      </c>
      <c r="O396" s="16" t="n"/>
      <c r="P396" s="17">
        <f>IF(OR($B396="",N($I396)=0),"",MIN(N($I396),SUMIFS(nrMK_Min,nrMK_Link,$B396,nrMK_Credit,"Yes",nrMK_PID,$E396,nrMK_Type,"Classroom")))</f>
        <v/>
      </c>
      <c r="Q396" s="17">
        <f>IF(OR($B396="",N($J396)=0),"",MIN(N($J396),SUMIFS(nrMK_Sess,nrMK_Link,$B396,nrMK_Credit,"Yes",nrMK_PID,$E396,nrMK_Type,"PT")))</f>
        <v/>
      </c>
      <c r="R396" s="17">
        <f>IF(OR($B396="",$N396&lt;&gt;"Yes"),"",IF($K396="Yes",IF(N($J396)&gt;0,N($J396)-N($Q396),""),IF(N($I396)&gt;0,N($I396)-N($P396),"")))</f>
        <v/>
      </c>
      <c r="S396" s="17">
        <f>IF(OR($B396="",$R396=""),"",IF($R396&lt;=0,IF(IFERROR(_xlfn.MAXIFS(nrMK_Date,nrMK_Link,$B396,nrMK_Credit,"Yes",nrMK_PID,$E396),0)=0,"CLEARED (makeup date missing)","CLEARED "&amp;TEXT(_xlfn.MAXIFS(nrMK_Date,nrMK_Link,$B396,nrMK_Credit,"Yes",nrMK_PID,$E396),"mm/dd")),"OPEN"))</f>
        <v/>
      </c>
      <c r="T396" s="17">
        <f>IF($D396="","",IF($C396="","NO DATE",IF($G396="","NO EVENT TYPE",IF(AND($I396&lt;&gt;"",NOT(ISNUMBER($I396))),"MINUTES NOT A NUMBER",IF(AND($J396&lt;&gt;"",NOT(ISNUMBER($J396))),"SESSIONS NOT A NUMBER",IF(OR(N($I396)&lt;0,N($J396)&lt;0),"NEGATIVE MINUTES/SESSIONS",IF(AND($K396="Yes",N($I396)&gt;0),"MINUTES ON A PT EVENT - not counted (PT counts sessions)",IF(AND($K396="No",N($J396)&gt;0),"SESSIONS ON A CLASSROOM EVENT - not counted (classroom counts minutes)",IF(AND($N396="Yes",$K396="Yes",N($J396)=0),"COUNTED PT EVENT WITH NO SESSIONS - dropped from the PT cap",IF(AND($N396="Yes",$K396="No",N($I396)=0),"COUNTED EVENT WITH NO MINUTES - dropped from the classroom cap","OK"))))))))))</f>
        <v/>
      </c>
    </row>
    <row r="397">
      <c r="B397" s="17">
        <f>IF($D397="","","A"&amp;TEXT(ROW()-5,"000"))</f>
        <v/>
      </c>
      <c r="C397" s="18" t="n"/>
      <c r="D397" s="16" t="n"/>
      <c r="E397" s="17">
        <f>IF($D397="","",IFERROR(INDEX(rngCadetPIDs,MATCH($D397,rngCadetNames,0)),"?"))</f>
        <v/>
      </c>
      <c r="F397" s="17">
        <f>IF($E397="","",IFERROR(INDEX(nrCadetAgency,MATCH($E397,rngCadetPIDs,0)),""))</f>
        <v/>
      </c>
      <c r="G397" s="16" t="n"/>
      <c r="H397" s="16" t="n"/>
      <c r="I397" s="16" t="n"/>
      <c r="J397" s="16" t="n"/>
      <c r="K397" s="17">
        <f>IF($G397="","",IF(OR($G397="PT Missed",$G397="PT Modified",$G397="PT Refused"),"Yes","No"))</f>
        <v/>
      </c>
      <c r="L397" s="16" t="n"/>
      <c r="M397" s="16" t="n"/>
      <c r="N397" s="17">
        <f>IF($D397="","",IF($M397="Excused","No",IF(AND($G397="PT Modified",$L397="Received"),"No","Yes")))</f>
        <v/>
      </c>
      <c r="O397" s="16" t="n"/>
      <c r="P397" s="17">
        <f>IF(OR($B397="",N($I397)=0),"",MIN(N($I397),SUMIFS(nrMK_Min,nrMK_Link,$B397,nrMK_Credit,"Yes",nrMK_PID,$E397,nrMK_Type,"Classroom")))</f>
        <v/>
      </c>
      <c r="Q397" s="17">
        <f>IF(OR($B397="",N($J397)=0),"",MIN(N($J397),SUMIFS(nrMK_Sess,nrMK_Link,$B397,nrMK_Credit,"Yes",nrMK_PID,$E397,nrMK_Type,"PT")))</f>
        <v/>
      </c>
      <c r="R397" s="17">
        <f>IF(OR($B397="",$N397&lt;&gt;"Yes"),"",IF($K397="Yes",IF(N($J397)&gt;0,N($J397)-N($Q397),""),IF(N($I397)&gt;0,N($I397)-N($P397),"")))</f>
        <v/>
      </c>
      <c r="S397" s="17">
        <f>IF(OR($B397="",$R397=""),"",IF($R397&lt;=0,IF(IFERROR(_xlfn.MAXIFS(nrMK_Date,nrMK_Link,$B397,nrMK_Credit,"Yes",nrMK_PID,$E397),0)=0,"CLEARED (makeup date missing)","CLEARED "&amp;TEXT(_xlfn.MAXIFS(nrMK_Date,nrMK_Link,$B397,nrMK_Credit,"Yes",nrMK_PID,$E397),"mm/dd")),"OPEN"))</f>
        <v/>
      </c>
      <c r="T397" s="17">
        <f>IF($D397="","",IF($C397="","NO DATE",IF($G397="","NO EVENT TYPE",IF(AND($I397&lt;&gt;"",NOT(ISNUMBER($I397))),"MINUTES NOT A NUMBER",IF(AND($J397&lt;&gt;"",NOT(ISNUMBER($J397))),"SESSIONS NOT A NUMBER",IF(OR(N($I397)&lt;0,N($J397)&lt;0),"NEGATIVE MINUTES/SESSIONS",IF(AND($K397="Yes",N($I397)&gt;0),"MINUTES ON A PT EVENT - not counted (PT counts sessions)",IF(AND($K397="No",N($J397)&gt;0),"SESSIONS ON A CLASSROOM EVENT - not counted (classroom counts minutes)",IF(AND($N397="Yes",$K397="Yes",N($J397)=0),"COUNTED PT EVENT WITH NO SESSIONS - dropped from the PT cap",IF(AND($N397="Yes",$K397="No",N($I397)=0),"COUNTED EVENT WITH NO MINUTES - dropped from the classroom cap","OK"))))))))))</f>
        <v/>
      </c>
    </row>
    <row r="398">
      <c r="B398" s="17">
        <f>IF($D398="","","A"&amp;TEXT(ROW()-5,"000"))</f>
        <v/>
      </c>
      <c r="C398" s="18" t="n"/>
      <c r="D398" s="16" t="n"/>
      <c r="E398" s="17">
        <f>IF($D398="","",IFERROR(INDEX(rngCadetPIDs,MATCH($D398,rngCadetNames,0)),"?"))</f>
        <v/>
      </c>
      <c r="F398" s="17">
        <f>IF($E398="","",IFERROR(INDEX(nrCadetAgency,MATCH($E398,rngCadetPIDs,0)),""))</f>
        <v/>
      </c>
      <c r="G398" s="16" t="n"/>
      <c r="H398" s="16" t="n"/>
      <c r="I398" s="16" t="n"/>
      <c r="J398" s="16" t="n"/>
      <c r="K398" s="17">
        <f>IF($G398="","",IF(OR($G398="PT Missed",$G398="PT Modified",$G398="PT Refused"),"Yes","No"))</f>
        <v/>
      </c>
      <c r="L398" s="16" t="n"/>
      <c r="M398" s="16" t="n"/>
      <c r="N398" s="17">
        <f>IF($D398="","",IF($M398="Excused","No",IF(AND($G398="PT Modified",$L398="Received"),"No","Yes")))</f>
        <v/>
      </c>
      <c r="O398" s="16" t="n"/>
      <c r="P398" s="17">
        <f>IF(OR($B398="",N($I398)=0),"",MIN(N($I398),SUMIFS(nrMK_Min,nrMK_Link,$B398,nrMK_Credit,"Yes",nrMK_PID,$E398,nrMK_Type,"Classroom")))</f>
        <v/>
      </c>
      <c r="Q398" s="17">
        <f>IF(OR($B398="",N($J398)=0),"",MIN(N($J398),SUMIFS(nrMK_Sess,nrMK_Link,$B398,nrMK_Credit,"Yes",nrMK_PID,$E398,nrMK_Type,"PT")))</f>
        <v/>
      </c>
      <c r="R398" s="17">
        <f>IF(OR($B398="",$N398&lt;&gt;"Yes"),"",IF($K398="Yes",IF(N($J398)&gt;0,N($J398)-N($Q398),""),IF(N($I398)&gt;0,N($I398)-N($P398),"")))</f>
        <v/>
      </c>
      <c r="S398" s="17">
        <f>IF(OR($B398="",$R398=""),"",IF($R398&lt;=0,IF(IFERROR(_xlfn.MAXIFS(nrMK_Date,nrMK_Link,$B398,nrMK_Credit,"Yes",nrMK_PID,$E398),0)=0,"CLEARED (makeup date missing)","CLEARED "&amp;TEXT(_xlfn.MAXIFS(nrMK_Date,nrMK_Link,$B398,nrMK_Credit,"Yes",nrMK_PID,$E398),"mm/dd")),"OPEN"))</f>
        <v/>
      </c>
      <c r="T398" s="17">
        <f>IF($D398="","",IF($C398="","NO DATE",IF($G398="","NO EVENT TYPE",IF(AND($I398&lt;&gt;"",NOT(ISNUMBER($I398))),"MINUTES NOT A NUMBER",IF(AND($J398&lt;&gt;"",NOT(ISNUMBER($J398))),"SESSIONS NOT A NUMBER",IF(OR(N($I398)&lt;0,N($J398)&lt;0),"NEGATIVE MINUTES/SESSIONS",IF(AND($K398="Yes",N($I398)&gt;0),"MINUTES ON A PT EVENT - not counted (PT counts sessions)",IF(AND($K398="No",N($J398)&gt;0),"SESSIONS ON A CLASSROOM EVENT - not counted (classroom counts minutes)",IF(AND($N398="Yes",$K398="Yes",N($J398)=0),"COUNTED PT EVENT WITH NO SESSIONS - dropped from the PT cap",IF(AND($N398="Yes",$K398="No",N($I398)=0),"COUNTED EVENT WITH NO MINUTES - dropped from the classroom cap","OK"))))))))))</f>
        <v/>
      </c>
    </row>
    <row r="399">
      <c r="B399" s="17">
        <f>IF($D399="","","A"&amp;TEXT(ROW()-5,"000"))</f>
        <v/>
      </c>
      <c r="C399" s="18" t="n"/>
      <c r="D399" s="16" t="n"/>
      <c r="E399" s="17">
        <f>IF($D399="","",IFERROR(INDEX(rngCadetPIDs,MATCH($D399,rngCadetNames,0)),"?"))</f>
        <v/>
      </c>
      <c r="F399" s="17">
        <f>IF($E399="","",IFERROR(INDEX(nrCadetAgency,MATCH($E399,rngCadetPIDs,0)),""))</f>
        <v/>
      </c>
      <c r="G399" s="16" t="n"/>
      <c r="H399" s="16" t="n"/>
      <c r="I399" s="16" t="n"/>
      <c r="J399" s="16" t="n"/>
      <c r="K399" s="17">
        <f>IF($G399="","",IF(OR($G399="PT Missed",$G399="PT Modified",$G399="PT Refused"),"Yes","No"))</f>
        <v/>
      </c>
      <c r="L399" s="16" t="n"/>
      <c r="M399" s="16" t="n"/>
      <c r="N399" s="17">
        <f>IF($D399="","",IF($M399="Excused","No",IF(AND($G399="PT Modified",$L399="Received"),"No","Yes")))</f>
        <v/>
      </c>
      <c r="O399" s="16" t="n"/>
      <c r="P399" s="17">
        <f>IF(OR($B399="",N($I399)=0),"",MIN(N($I399),SUMIFS(nrMK_Min,nrMK_Link,$B399,nrMK_Credit,"Yes",nrMK_PID,$E399,nrMK_Type,"Classroom")))</f>
        <v/>
      </c>
      <c r="Q399" s="17">
        <f>IF(OR($B399="",N($J399)=0),"",MIN(N($J399),SUMIFS(nrMK_Sess,nrMK_Link,$B399,nrMK_Credit,"Yes",nrMK_PID,$E399,nrMK_Type,"PT")))</f>
        <v/>
      </c>
      <c r="R399" s="17">
        <f>IF(OR($B399="",$N399&lt;&gt;"Yes"),"",IF($K399="Yes",IF(N($J399)&gt;0,N($J399)-N($Q399),""),IF(N($I399)&gt;0,N($I399)-N($P399),"")))</f>
        <v/>
      </c>
      <c r="S399" s="17">
        <f>IF(OR($B399="",$R399=""),"",IF($R399&lt;=0,IF(IFERROR(_xlfn.MAXIFS(nrMK_Date,nrMK_Link,$B399,nrMK_Credit,"Yes",nrMK_PID,$E399),0)=0,"CLEARED (makeup date missing)","CLEARED "&amp;TEXT(_xlfn.MAXIFS(nrMK_Date,nrMK_Link,$B399,nrMK_Credit,"Yes",nrMK_PID,$E399),"mm/dd")),"OPEN"))</f>
        <v/>
      </c>
      <c r="T399" s="17">
        <f>IF($D399="","",IF($C399="","NO DATE",IF($G399="","NO EVENT TYPE",IF(AND($I399&lt;&gt;"",NOT(ISNUMBER($I399))),"MINUTES NOT A NUMBER",IF(AND($J399&lt;&gt;"",NOT(ISNUMBER($J399))),"SESSIONS NOT A NUMBER",IF(OR(N($I399)&lt;0,N($J399)&lt;0),"NEGATIVE MINUTES/SESSIONS",IF(AND($K399="Yes",N($I399)&gt;0),"MINUTES ON A PT EVENT - not counted (PT counts sessions)",IF(AND($K399="No",N($J399)&gt;0),"SESSIONS ON A CLASSROOM EVENT - not counted (classroom counts minutes)",IF(AND($N399="Yes",$K399="Yes",N($J399)=0),"COUNTED PT EVENT WITH NO SESSIONS - dropped from the PT cap",IF(AND($N399="Yes",$K399="No",N($I399)=0),"COUNTED EVENT WITH NO MINUTES - dropped from the classroom cap","OK"))))))))))</f>
        <v/>
      </c>
    </row>
    <row r="400">
      <c r="B400" s="17">
        <f>IF($D400="","","A"&amp;TEXT(ROW()-5,"000"))</f>
        <v/>
      </c>
      <c r="C400" s="18" t="n"/>
      <c r="D400" s="16" t="n"/>
      <c r="E400" s="17">
        <f>IF($D400="","",IFERROR(INDEX(rngCadetPIDs,MATCH($D400,rngCadetNames,0)),"?"))</f>
        <v/>
      </c>
      <c r="F400" s="17">
        <f>IF($E400="","",IFERROR(INDEX(nrCadetAgency,MATCH($E400,rngCadetPIDs,0)),""))</f>
        <v/>
      </c>
      <c r="G400" s="16" t="n"/>
      <c r="H400" s="16" t="n"/>
      <c r="I400" s="16" t="n"/>
      <c r="J400" s="16" t="n"/>
      <c r="K400" s="17">
        <f>IF($G400="","",IF(OR($G400="PT Missed",$G400="PT Modified",$G400="PT Refused"),"Yes","No"))</f>
        <v/>
      </c>
      <c r="L400" s="16" t="n"/>
      <c r="M400" s="16" t="n"/>
      <c r="N400" s="17">
        <f>IF($D400="","",IF($M400="Excused","No",IF(AND($G400="PT Modified",$L400="Received"),"No","Yes")))</f>
        <v/>
      </c>
      <c r="O400" s="16" t="n"/>
      <c r="P400" s="17">
        <f>IF(OR($B400="",N($I400)=0),"",MIN(N($I400),SUMIFS(nrMK_Min,nrMK_Link,$B400,nrMK_Credit,"Yes",nrMK_PID,$E400,nrMK_Type,"Classroom")))</f>
        <v/>
      </c>
      <c r="Q400" s="17">
        <f>IF(OR($B400="",N($J400)=0),"",MIN(N($J400),SUMIFS(nrMK_Sess,nrMK_Link,$B400,nrMK_Credit,"Yes",nrMK_PID,$E400,nrMK_Type,"PT")))</f>
        <v/>
      </c>
      <c r="R400" s="17">
        <f>IF(OR($B400="",$N400&lt;&gt;"Yes"),"",IF($K400="Yes",IF(N($J400)&gt;0,N($J400)-N($Q400),""),IF(N($I400)&gt;0,N($I400)-N($P400),"")))</f>
        <v/>
      </c>
      <c r="S400" s="17">
        <f>IF(OR($B400="",$R400=""),"",IF($R400&lt;=0,IF(IFERROR(_xlfn.MAXIFS(nrMK_Date,nrMK_Link,$B400,nrMK_Credit,"Yes",nrMK_PID,$E400),0)=0,"CLEARED (makeup date missing)","CLEARED "&amp;TEXT(_xlfn.MAXIFS(nrMK_Date,nrMK_Link,$B400,nrMK_Credit,"Yes",nrMK_PID,$E400),"mm/dd")),"OPEN"))</f>
        <v/>
      </c>
      <c r="T400" s="17">
        <f>IF($D400="","",IF($C400="","NO DATE",IF($G400="","NO EVENT TYPE",IF(AND($I400&lt;&gt;"",NOT(ISNUMBER($I400))),"MINUTES NOT A NUMBER",IF(AND($J400&lt;&gt;"",NOT(ISNUMBER($J400))),"SESSIONS NOT A NUMBER",IF(OR(N($I400)&lt;0,N($J400)&lt;0),"NEGATIVE MINUTES/SESSIONS",IF(AND($K400="Yes",N($I400)&gt;0),"MINUTES ON A PT EVENT - not counted (PT counts sessions)",IF(AND($K400="No",N($J400)&gt;0),"SESSIONS ON A CLASSROOM EVENT - not counted (classroom counts minutes)",IF(AND($N400="Yes",$K400="Yes",N($J400)=0),"COUNTED PT EVENT WITH NO SESSIONS - dropped from the PT cap",IF(AND($N400="Yes",$K400="No",N($I400)=0),"COUNTED EVENT WITH NO MINUTES - dropped from the classroom cap","OK"))))))))))</f>
        <v/>
      </c>
    </row>
    <row r="401">
      <c r="B401" s="17">
        <f>IF($D401="","","A"&amp;TEXT(ROW()-5,"000"))</f>
        <v/>
      </c>
      <c r="C401" s="18" t="n"/>
      <c r="D401" s="16" t="n"/>
      <c r="E401" s="17">
        <f>IF($D401="","",IFERROR(INDEX(rngCadetPIDs,MATCH($D401,rngCadetNames,0)),"?"))</f>
        <v/>
      </c>
      <c r="F401" s="17">
        <f>IF($E401="","",IFERROR(INDEX(nrCadetAgency,MATCH($E401,rngCadetPIDs,0)),""))</f>
        <v/>
      </c>
      <c r="G401" s="16" t="n"/>
      <c r="H401" s="16" t="n"/>
      <c r="I401" s="16" t="n"/>
      <c r="J401" s="16" t="n"/>
      <c r="K401" s="17">
        <f>IF($G401="","",IF(OR($G401="PT Missed",$G401="PT Modified",$G401="PT Refused"),"Yes","No"))</f>
        <v/>
      </c>
      <c r="L401" s="16" t="n"/>
      <c r="M401" s="16" t="n"/>
      <c r="N401" s="17">
        <f>IF($D401="","",IF($M401="Excused","No",IF(AND($G401="PT Modified",$L401="Received"),"No","Yes")))</f>
        <v/>
      </c>
      <c r="O401" s="16" t="n"/>
      <c r="P401" s="17">
        <f>IF(OR($B401="",N($I401)=0),"",MIN(N($I401),SUMIFS(nrMK_Min,nrMK_Link,$B401,nrMK_Credit,"Yes",nrMK_PID,$E401,nrMK_Type,"Classroom")))</f>
        <v/>
      </c>
      <c r="Q401" s="17">
        <f>IF(OR($B401="",N($J401)=0),"",MIN(N($J401),SUMIFS(nrMK_Sess,nrMK_Link,$B401,nrMK_Credit,"Yes",nrMK_PID,$E401,nrMK_Type,"PT")))</f>
        <v/>
      </c>
      <c r="R401" s="17">
        <f>IF(OR($B401="",$N401&lt;&gt;"Yes"),"",IF($K401="Yes",IF(N($J401)&gt;0,N($J401)-N($Q401),""),IF(N($I401)&gt;0,N($I401)-N($P401),"")))</f>
        <v/>
      </c>
      <c r="S401" s="17">
        <f>IF(OR($B401="",$R401=""),"",IF($R401&lt;=0,IF(IFERROR(_xlfn.MAXIFS(nrMK_Date,nrMK_Link,$B401,nrMK_Credit,"Yes",nrMK_PID,$E401),0)=0,"CLEARED (makeup date missing)","CLEARED "&amp;TEXT(_xlfn.MAXIFS(nrMK_Date,nrMK_Link,$B401,nrMK_Credit,"Yes",nrMK_PID,$E401),"mm/dd")),"OPEN"))</f>
        <v/>
      </c>
      <c r="T401" s="17">
        <f>IF($D401="","",IF($C401="","NO DATE",IF($G401="","NO EVENT TYPE",IF(AND($I401&lt;&gt;"",NOT(ISNUMBER($I401))),"MINUTES NOT A NUMBER",IF(AND($J401&lt;&gt;"",NOT(ISNUMBER($J401))),"SESSIONS NOT A NUMBER",IF(OR(N($I401)&lt;0,N($J401)&lt;0),"NEGATIVE MINUTES/SESSIONS",IF(AND($K401="Yes",N($I401)&gt;0),"MINUTES ON A PT EVENT - not counted (PT counts sessions)",IF(AND($K401="No",N($J401)&gt;0),"SESSIONS ON A CLASSROOM EVENT - not counted (classroom counts minutes)",IF(AND($N401="Yes",$K401="Yes",N($J401)=0),"COUNTED PT EVENT WITH NO SESSIONS - dropped from the PT cap",IF(AND($N401="Yes",$K401="No",N($I401)=0),"COUNTED EVENT WITH NO MINUTES - dropped from the classroom cap","OK"))))))))))</f>
        <v/>
      </c>
    </row>
    <row r="402">
      <c r="B402" s="17">
        <f>IF($D402="","","A"&amp;TEXT(ROW()-5,"000"))</f>
        <v/>
      </c>
      <c r="C402" s="18" t="n"/>
      <c r="D402" s="16" t="n"/>
      <c r="E402" s="17">
        <f>IF($D402="","",IFERROR(INDEX(rngCadetPIDs,MATCH($D402,rngCadetNames,0)),"?"))</f>
        <v/>
      </c>
      <c r="F402" s="17">
        <f>IF($E402="","",IFERROR(INDEX(nrCadetAgency,MATCH($E402,rngCadetPIDs,0)),""))</f>
        <v/>
      </c>
      <c r="G402" s="16" t="n"/>
      <c r="H402" s="16" t="n"/>
      <c r="I402" s="16" t="n"/>
      <c r="J402" s="16" t="n"/>
      <c r="K402" s="17">
        <f>IF($G402="","",IF(OR($G402="PT Missed",$G402="PT Modified",$G402="PT Refused"),"Yes","No"))</f>
        <v/>
      </c>
      <c r="L402" s="16" t="n"/>
      <c r="M402" s="16" t="n"/>
      <c r="N402" s="17">
        <f>IF($D402="","",IF($M402="Excused","No",IF(AND($G402="PT Modified",$L402="Received"),"No","Yes")))</f>
        <v/>
      </c>
      <c r="O402" s="16" t="n"/>
      <c r="P402" s="17">
        <f>IF(OR($B402="",N($I402)=0),"",MIN(N($I402),SUMIFS(nrMK_Min,nrMK_Link,$B402,nrMK_Credit,"Yes",nrMK_PID,$E402,nrMK_Type,"Classroom")))</f>
        <v/>
      </c>
      <c r="Q402" s="17">
        <f>IF(OR($B402="",N($J402)=0),"",MIN(N($J402),SUMIFS(nrMK_Sess,nrMK_Link,$B402,nrMK_Credit,"Yes",nrMK_PID,$E402,nrMK_Type,"PT")))</f>
        <v/>
      </c>
      <c r="R402" s="17">
        <f>IF(OR($B402="",$N402&lt;&gt;"Yes"),"",IF($K402="Yes",IF(N($J402)&gt;0,N($J402)-N($Q402),""),IF(N($I402)&gt;0,N($I402)-N($P402),"")))</f>
        <v/>
      </c>
      <c r="S402" s="17">
        <f>IF(OR($B402="",$R402=""),"",IF($R402&lt;=0,IF(IFERROR(_xlfn.MAXIFS(nrMK_Date,nrMK_Link,$B402,nrMK_Credit,"Yes",nrMK_PID,$E402),0)=0,"CLEARED (makeup date missing)","CLEARED "&amp;TEXT(_xlfn.MAXIFS(nrMK_Date,nrMK_Link,$B402,nrMK_Credit,"Yes",nrMK_PID,$E402),"mm/dd")),"OPEN"))</f>
        <v/>
      </c>
      <c r="T402" s="17">
        <f>IF($D402="","",IF($C402="","NO DATE",IF($G402="","NO EVENT TYPE",IF(AND($I402&lt;&gt;"",NOT(ISNUMBER($I402))),"MINUTES NOT A NUMBER",IF(AND($J402&lt;&gt;"",NOT(ISNUMBER($J402))),"SESSIONS NOT A NUMBER",IF(OR(N($I402)&lt;0,N($J402)&lt;0),"NEGATIVE MINUTES/SESSIONS",IF(AND($K402="Yes",N($I402)&gt;0),"MINUTES ON A PT EVENT - not counted (PT counts sessions)",IF(AND($K402="No",N($J402)&gt;0),"SESSIONS ON A CLASSROOM EVENT - not counted (classroom counts minutes)",IF(AND($N402="Yes",$K402="Yes",N($J402)=0),"COUNTED PT EVENT WITH NO SESSIONS - dropped from the PT cap",IF(AND($N402="Yes",$K402="No",N($I402)=0),"COUNTED EVENT WITH NO MINUTES - dropped from the classroom cap","OK"))))))))))</f>
        <v/>
      </c>
    </row>
    <row r="403">
      <c r="B403" s="17">
        <f>IF($D403="","","A"&amp;TEXT(ROW()-5,"000"))</f>
        <v/>
      </c>
      <c r="C403" s="18" t="n"/>
      <c r="D403" s="16" t="n"/>
      <c r="E403" s="17">
        <f>IF($D403="","",IFERROR(INDEX(rngCadetPIDs,MATCH($D403,rngCadetNames,0)),"?"))</f>
        <v/>
      </c>
      <c r="F403" s="17">
        <f>IF($E403="","",IFERROR(INDEX(nrCadetAgency,MATCH($E403,rngCadetPIDs,0)),""))</f>
        <v/>
      </c>
      <c r="G403" s="16" t="n"/>
      <c r="H403" s="16" t="n"/>
      <c r="I403" s="16" t="n"/>
      <c r="J403" s="16" t="n"/>
      <c r="K403" s="17">
        <f>IF($G403="","",IF(OR($G403="PT Missed",$G403="PT Modified",$G403="PT Refused"),"Yes","No"))</f>
        <v/>
      </c>
      <c r="L403" s="16" t="n"/>
      <c r="M403" s="16" t="n"/>
      <c r="N403" s="17">
        <f>IF($D403="","",IF($M403="Excused","No",IF(AND($G403="PT Modified",$L403="Received"),"No","Yes")))</f>
        <v/>
      </c>
      <c r="O403" s="16" t="n"/>
      <c r="P403" s="17">
        <f>IF(OR($B403="",N($I403)=0),"",MIN(N($I403),SUMIFS(nrMK_Min,nrMK_Link,$B403,nrMK_Credit,"Yes",nrMK_PID,$E403,nrMK_Type,"Classroom")))</f>
        <v/>
      </c>
      <c r="Q403" s="17">
        <f>IF(OR($B403="",N($J403)=0),"",MIN(N($J403),SUMIFS(nrMK_Sess,nrMK_Link,$B403,nrMK_Credit,"Yes",nrMK_PID,$E403,nrMK_Type,"PT")))</f>
        <v/>
      </c>
      <c r="R403" s="17">
        <f>IF(OR($B403="",$N403&lt;&gt;"Yes"),"",IF($K403="Yes",IF(N($J403)&gt;0,N($J403)-N($Q403),""),IF(N($I403)&gt;0,N($I403)-N($P403),"")))</f>
        <v/>
      </c>
      <c r="S403" s="17">
        <f>IF(OR($B403="",$R403=""),"",IF($R403&lt;=0,IF(IFERROR(_xlfn.MAXIFS(nrMK_Date,nrMK_Link,$B403,nrMK_Credit,"Yes",nrMK_PID,$E403),0)=0,"CLEARED (makeup date missing)","CLEARED "&amp;TEXT(_xlfn.MAXIFS(nrMK_Date,nrMK_Link,$B403,nrMK_Credit,"Yes",nrMK_PID,$E403),"mm/dd")),"OPEN"))</f>
        <v/>
      </c>
      <c r="T403" s="17">
        <f>IF($D403="","",IF($C403="","NO DATE",IF($G403="","NO EVENT TYPE",IF(AND($I403&lt;&gt;"",NOT(ISNUMBER($I403))),"MINUTES NOT A NUMBER",IF(AND($J403&lt;&gt;"",NOT(ISNUMBER($J403))),"SESSIONS NOT A NUMBER",IF(OR(N($I403)&lt;0,N($J403)&lt;0),"NEGATIVE MINUTES/SESSIONS",IF(AND($K403="Yes",N($I403)&gt;0),"MINUTES ON A PT EVENT - not counted (PT counts sessions)",IF(AND($K403="No",N($J403)&gt;0),"SESSIONS ON A CLASSROOM EVENT - not counted (classroom counts minutes)",IF(AND($N403="Yes",$K403="Yes",N($J403)=0),"COUNTED PT EVENT WITH NO SESSIONS - dropped from the PT cap",IF(AND($N403="Yes",$K403="No",N($I403)=0),"COUNTED EVENT WITH NO MINUTES - dropped from the classroom cap","OK"))))))))))</f>
        <v/>
      </c>
    </row>
    <row r="404">
      <c r="B404" s="17">
        <f>IF($D404="","","A"&amp;TEXT(ROW()-5,"000"))</f>
        <v/>
      </c>
      <c r="C404" s="18" t="n"/>
      <c r="D404" s="16" t="n"/>
      <c r="E404" s="17">
        <f>IF($D404="","",IFERROR(INDEX(rngCadetPIDs,MATCH($D404,rngCadetNames,0)),"?"))</f>
        <v/>
      </c>
      <c r="F404" s="17">
        <f>IF($E404="","",IFERROR(INDEX(nrCadetAgency,MATCH($E404,rngCadetPIDs,0)),""))</f>
        <v/>
      </c>
      <c r="G404" s="16" t="n"/>
      <c r="H404" s="16" t="n"/>
      <c r="I404" s="16" t="n"/>
      <c r="J404" s="16" t="n"/>
      <c r="K404" s="17">
        <f>IF($G404="","",IF(OR($G404="PT Missed",$G404="PT Modified",$G404="PT Refused"),"Yes","No"))</f>
        <v/>
      </c>
      <c r="L404" s="16" t="n"/>
      <c r="M404" s="16" t="n"/>
      <c r="N404" s="17">
        <f>IF($D404="","",IF($M404="Excused","No",IF(AND($G404="PT Modified",$L404="Received"),"No","Yes")))</f>
        <v/>
      </c>
      <c r="O404" s="16" t="n"/>
      <c r="P404" s="17">
        <f>IF(OR($B404="",N($I404)=0),"",MIN(N($I404),SUMIFS(nrMK_Min,nrMK_Link,$B404,nrMK_Credit,"Yes",nrMK_PID,$E404,nrMK_Type,"Classroom")))</f>
        <v/>
      </c>
      <c r="Q404" s="17">
        <f>IF(OR($B404="",N($J404)=0),"",MIN(N($J404),SUMIFS(nrMK_Sess,nrMK_Link,$B404,nrMK_Credit,"Yes",nrMK_PID,$E404,nrMK_Type,"PT")))</f>
        <v/>
      </c>
      <c r="R404" s="17">
        <f>IF(OR($B404="",$N404&lt;&gt;"Yes"),"",IF($K404="Yes",IF(N($J404)&gt;0,N($J404)-N($Q404),""),IF(N($I404)&gt;0,N($I404)-N($P404),"")))</f>
        <v/>
      </c>
      <c r="S404" s="17">
        <f>IF(OR($B404="",$R404=""),"",IF($R404&lt;=0,IF(IFERROR(_xlfn.MAXIFS(nrMK_Date,nrMK_Link,$B404,nrMK_Credit,"Yes",nrMK_PID,$E404),0)=0,"CLEARED (makeup date missing)","CLEARED "&amp;TEXT(_xlfn.MAXIFS(nrMK_Date,nrMK_Link,$B404,nrMK_Credit,"Yes",nrMK_PID,$E404),"mm/dd")),"OPEN"))</f>
        <v/>
      </c>
      <c r="T404" s="17">
        <f>IF($D404="","",IF($C404="","NO DATE",IF($G404="","NO EVENT TYPE",IF(AND($I404&lt;&gt;"",NOT(ISNUMBER($I404))),"MINUTES NOT A NUMBER",IF(AND($J404&lt;&gt;"",NOT(ISNUMBER($J404))),"SESSIONS NOT A NUMBER",IF(OR(N($I404)&lt;0,N($J404)&lt;0),"NEGATIVE MINUTES/SESSIONS",IF(AND($K404="Yes",N($I404)&gt;0),"MINUTES ON A PT EVENT - not counted (PT counts sessions)",IF(AND($K404="No",N($J404)&gt;0),"SESSIONS ON A CLASSROOM EVENT - not counted (classroom counts minutes)",IF(AND($N404="Yes",$K404="Yes",N($J404)=0),"COUNTED PT EVENT WITH NO SESSIONS - dropped from the PT cap",IF(AND($N404="Yes",$K404="No",N($I404)=0),"COUNTED EVENT WITH NO MINUTES - dropped from the classroom cap","OK"))))))))))</f>
        <v/>
      </c>
    </row>
    <row r="405">
      <c r="B405" s="17">
        <f>IF($D405="","","A"&amp;TEXT(ROW()-5,"000"))</f>
        <v/>
      </c>
      <c r="C405" s="18" t="n"/>
      <c r="D405" s="16" t="n"/>
      <c r="E405" s="17">
        <f>IF($D405="","",IFERROR(INDEX(rngCadetPIDs,MATCH($D405,rngCadetNames,0)),"?"))</f>
        <v/>
      </c>
      <c r="F405" s="17">
        <f>IF($E405="","",IFERROR(INDEX(nrCadetAgency,MATCH($E405,rngCadetPIDs,0)),""))</f>
        <v/>
      </c>
      <c r="G405" s="16" t="n"/>
      <c r="H405" s="16" t="n"/>
      <c r="I405" s="16" t="n"/>
      <c r="J405" s="16" t="n"/>
      <c r="K405" s="17">
        <f>IF($G405="","",IF(OR($G405="PT Missed",$G405="PT Modified",$G405="PT Refused"),"Yes","No"))</f>
        <v/>
      </c>
      <c r="L405" s="16" t="n"/>
      <c r="M405" s="16" t="n"/>
      <c r="N405" s="17">
        <f>IF($D405="","",IF($M405="Excused","No",IF(AND($G405="PT Modified",$L405="Received"),"No","Yes")))</f>
        <v/>
      </c>
      <c r="O405" s="16" t="n"/>
      <c r="P405" s="17">
        <f>IF(OR($B405="",N($I405)=0),"",MIN(N($I405),SUMIFS(nrMK_Min,nrMK_Link,$B405,nrMK_Credit,"Yes",nrMK_PID,$E405,nrMK_Type,"Classroom")))</f>
        <v/>
      </c>
      <c r="Q405" s="17">
        <f>IF(OR($B405="",N($J405)=0),"",MIN(N($J405),SUMIFS(nrMK_Sess,nrMK_Link,$B405,nrMK_Credit,"Yes",nrMK_PID,$E405,nrMK_Type,"PT")))</f>
        <v/>
      </c>
      <c r="R405" s="17">
        <f>IF(OR($B405="",$N405&lt;&gt;"Yes"),"",IF($K405="Yes",IF(N($J405)&gt;0,N($J405)-N($Q405),""),IF(N($I405)&gt;0,N($I405)-N($P405),"")))</f>
        <v/>
      </c>
      <c r="S405" s="17">
        <f>IF(OR($B405="",$R405=""),"",IF($R405&lt;=0,IF(IFERROR(_xlfn.MAXIFS(nrMK_Date,nrMK_Link,$B405,nrMK_Credit,"Yes",nrMK_PID,$E405),0)=0,"CLEARED (makeup date missing)","CLEARED "&amp;TEXT(_xlfn.MAXIFS(nrMK_Date,nrMK_Link,$B405,nrMK_Credit,"Yes",nrMK_PID,$E405),"mm/dd")),"OPEN"))</f>
        <v/>
      </c>
      <c r="T405" s="17">
        <f>IF($D405="","",IF($C405="","NO DATE",IF($G405="","NO EVENT TYPE",IF(AND($I405&lt;&gt;"",NOT(ISNUMBER($I405))),"MINUTES NOT A NUMBER",IF(AND($J405&lt;&gt;"",NOT(ISNUMBER($J405))),"SESSIONS NOT A NUMBER",IF(OR(N($I405)&lt;0,N($J405)&lt;0),"NEGATIVE MINUTES/SESSIONS",IF(AND($K405="Yes",N($I405)&gt;0),"MINUTES ON A PT EVENT - not counted (PT counts sessions)",IF(AND($K405="No",N($J405)&gt;0),"SESSIONS ON A CLASSROOM EVENT - not counted (classroom counts minutes)",IF(AND($N405="Yes",$K405="Yes",N($J405)=0),"COUNTED PT EVENT WITH NO SESSIONS - dropped from the PT cap",IF(AND($N405="Yes",$K405="No",N($I405)=0),"COUNTED EVENT WITH NO MINUTES - dropped from the classroom cap","OK"))))))))))</f>
        <v/>
      </c>
    </row>
    <row r="406">
      <c r="B406" s="17">
        <f>IF($D406="","","A"&amp;TEXT(ROW()-5,"000"))</f>
        <v/>
      </c>
      <c r="C406" s="18" t="n"/>
      <c r="D406" s="16" t="n"/>
      <c r="E406" s="17">
        <f>IF($D406="","",IFERROR(INDEX(rngCadetPIDs,MATCH($D406,rngCadetNames,0)),"?"))</f>
        <v/>
      </c>
      <c r="F406" s="17">
        <f>IF($E406="","",IFERROR(INDEX(nrCadetAgency,MATCH($E406,rngCadetPIDs,0)),""))</f>
        <v/>
      </c>
      <c r="G406" s="16" t="n"/>
      <c r="H406" s="16" t="n"/>
      <c r="I406" s="16" t="n"/>
      <c r="J406" s="16" t="n"/>
      <c r="K406" s="17">
        <f>IF($G406="","",IF(OR($G406="PT Missed",$G406="PT Modified",$G406="PT Refused"),"Yes","No"))</f>
        <v/>
      </c>
      <c r="L406" s="16" t="n"/>
      <c r="M406" s="16" t="n"/>
      <c r="N406" s="17">
        <f>IF($D406="","",IF($M406="Excused","No",IF(AND($G406="PT Modified",$L406="Received"),"No","Yes")))</f>
        <v/>
      </c>
      <c r="O406" s="16" t="n"/>
      <c r="P406" s="17">
        <f>IF(OR($B406="",N($I406)=0),"",MIN(N($I406),SUMIFS(nrMK_Min,nrMK_Link,$B406,nrMK_Credit,"Yes",nrMK_PID,$E406,nrMK_Type,"Classroom")))</f>
        <v/>
      </c>
      <c r="Q406" s="17">
        <f>IF(OR($B406="",N($J406)=0),"",MIN(N($J406),SUMIFS(nrMK_Sess,nrMK_Link,$B406,nrMK_Credit,"Yes",nrMK_PID,$E406,nrMK_Type,"PT")))</f>
        <v/>
      </c>
      <c r="R406" s="17">
        <f>IF(OR($B406="",$N406&lt;&gt;"Yes"),"",IF($K406="Yes",IF(N($J406)&gt;0,N($J406)-N($Q406),""),IF(N($I406)&gt;0,N($I406)-N($P406),"")))</f>
        <v/>
      </c>
      <c r="S406" s="17">
        <f>IF(OR($B406="",$R406=""),"",IF($R406&lt;=0,IF(IFERROR(_xlfn.MAXIFS(nrMK_Date,nrMK_Link,$B406,nrMK_Credit,"Yes",nrMK_PID,$E406),0)=0,"CLEARED (makeup date missing)","CLEARED "&amp;TEXT(_xlfn.MAXIFS(nrMK_Date,nrMK_Link,$B406,nrMK_Credit,"Yes",nrMK_PID,$E406),"mm/dd")),"OPEN"))</f>
        <v/>
      </c>
      <c r="T406" s="17">
        <f>IF($D406="","",IF($C406="","NO DATE",IF($G406="","NO EVENT TYPE",IF(AND($I406&lt;&gt;"",NOT(ISNUMBER($I406))),"MINUTES NOT A NUMBER",IF(AND($J406&lt;&gt;"",NOT(ISNUMBER($J406))),"SESSIONS NOT A NUMBER",IF(OR(N($I406)&lt;0,N($J406)&lt;0),"NEGATIVE MINUTES/SESSIONS",IF(AND($K406="Yes",N($I406)&gt;0),"MINUTES ON A PT EVENT - not counted (PT counts sessions)",IF(AND($K406="No",N($J406)&gt;0),"SESSIONS ON A CLASSROOM EVENT - not counted (classroom counts minutes)",IF(AND($N406="Yes",$K406="Yes",N($J406)=0),"COUNTED PT EVENT WITH NO SESSIONS - dropped from the PT cap",IF(AND($N406="Yes",$K406="No",N($I406)=0),"COUNTED EVENT WITH NO MINUTES - dropped from the classroom cap","OK"))))))))))</f>
        <v/>
      </c>
    </row>
    <row r="407">
      <c r="B407" s="17">
        <f>IF($D407="","","A"&amp;TEXT(ROW()-5,"000"))</f>
        <v/>
      </c>
      <c r="C407" s="18" t="n"/>
      <c r="D407" s="16" t="n"/>
      <c r="E407" s="17">
        <f>IF($D407="","",IFERROR(INDEX(rngCadetPIDs,MATCH($D407,rngCadetNames,0)),"?"))</f>
        <v/>
      </c>
      <c r="F407" s="17">
        <f>IF($E407="","",IFERROR(INDEX(nrCadetAgency,MATCH($E407,rngCadetPIDs,0)),""))</f>
        <v/>
      </c>
      <c r="G407" s="16" t="n"/>
      <c r="H407" s="16" t="n"/>
      <c r="I407" s="16" t="n"/>
      <c r="J407" s="16" t="n"/>
      <c r="K407" s="17">
        <f>IF($G407="","",IF(OR($G407="PT Missed",$G407="PT Modified",$G407="PT Refused"),"Yes","No"))</f>
        <v/>
      </c>
      <c r="L407" s="16" t="n"/>
      <c r="M407" s="16" t="n"/>
      <c r="N407" s="17">
        <f>IF($D407="","",IF($M407="Excused","No",IF(AND($G407="PT Modified",$L407="Received"),"No","Yes")))</f>
        <v/>
      </c>
      <c r="O407" s="16" t="n"/>
      <c r="P407" s="17">
        <f>IF(OR($B407="",N($I407)=0),"",MIN(N($I407),SUMIFS(nrMK_Min,nrMK_Link,$B407,nrMK_Credit,"Yes",nrMK_PID,$E407,nrMK_Type,"Classroom")))</f>
        <v/>
      </c>
      <c r="Q407" s="17">
        <f>IF(OR($B407="",N($J407)=0),"",MIN(N($J407),SUMIFS(nrMK_Sess,nrMK_Link,$B407,nrMK_Credit,"Yes",nrMK_PID,$E407,nrMK_Type,"PT")))</f>
        <v/>
      </c>
      <c r="R407" s="17">
        <f>IF(OR($B407="",$N407&lt;&gt;"Yes"),"",IF($K407="Yes",IF(N($J407)&gt;0,N($J407)-N($Q407),""),IF(N($I407)&gt;0,N($I407)-N($P407),"")))</f>
        <v/>
      </c>
      <c r="S407" s="17">
        <f>IF(OR($B407="",$R407=""),"",IF($R407&lt;=0,IF(IFERROR(_xlfn.MAXIFS(nrMK_Date,nrMK_Link,$B407,nrMK_Credit,"Yes",nrMK_PID,$E407),0)=0,"CLEARED (makeup date missing)","CLEARED "&amp;TEXT(_xlfn.MAXIFS(nrMK_Date,nrMK_Link,$B407,nrMK_Credit,"Yes",nrMK_PID,$E407),"mm/dd")),"OPEN"))</f>
        <v/>
      </c>
      <c r="T407" s="17">
        <f>IF($D407="","",IF($C407="","NO DATE",IF($G407="","NO EVENT TYPE",IF(AND($I407&lt;&gt;"",NOT(ISNUMBER($I407))),"MINUTES NOT A NUMBER",IF(AND($J407&lt;&gt;"",NOT(ISNUMBER($J407))),"SESSIONS NOT A NUMBER",IF(OR(N($I407)&lt;0,N($J407)&lt;0),"NEGATIVE MINUTES/SESSIONS",IF(AND($K407="Yes",N($I407)&gt;0),"MINUTES ON A PT EVENT - not counted (PT counts sessions)",IF(AND($K407="No",N($J407)&gt;0),"SESSIONS ON A CLASSROOM EVENT - not counted (classroom counts minutes)",IF(AND($N407="Yes",$K407="Yes",N($J407)=0),"COUNTED PT EVENT WITH NO SESSIONS - dropped from the PT cap",IF(AND($N407="Yes",$K407="No",N($I407)=0),"COUNTED EVENT WITH NO MINUTES - dropped from the classroom cap","OK"))))))))))</f>
        <v/>
      </c>
    </row>
    <row r="408">
      <c r="B408" s="17">
        <f>IF($D408="","","A"&amp;TEXT(ROW()-5,"000"))</f>
        <v/>
      </c>
      <c r="C408" s="18" t="n"/>
      <c r="D408" s="16" t="n"/>
      <c r="E408" s="17">
        <f>IF($D408="","",IFERROR(INDEX(rngCadetPIDs,MATCH($D408,rngCadetNames,0)),"?"))</f>
        <v/>
      </c>
      <c r="F408" s="17">
        <f>IF($E408="","",IFERROR(INDEX(nrCadetAgency,MATCH($E408,rngCadetPIDs,0)),""))</f>
        <v/>
      </c>
      <c r="G408" s="16" t="n"/>
      <c r="H408" s="16" t="n"/>
      <c r="I408" s="16" t="n"/>
      <c r="J408" s="16" t="n"/>
      <c r="K408" s="17">
        <f>IF($G408="","",IF(OR($G408="PT Missed",$G408="PT Modified",$G408="PT Refused"),"Yes","No"))</f>
        <v/>
      </c>
      <c r="L408" s="16" t="n"/>
      <c r="M408" s="16" t="n"/>
      <c r="N408" s="17">
        <f>IF($D408="","",IF($M408="Excused","No",IF(AND($G408="PT Modified",$L408="Received"),"No","Yes")))</f>
        <v/>
      </c>
      <c r="O408" s="16" t="n"/>
      <c r="P408" s="17">
        <f>IF(OR($B408="",N($I408)=0),"",MIN(N($I408),SUMIFS(nrMK_Min,nrMK_Link,$B408,nrMK_Credit,"Yes",nrMK_PID,$E408,nrMK_Type,"Classroom")))</f>
        <v/>
      </c>
      <c r="Q408" s="17">
        <f>IF(OR($B408="",N($J408)=0),"",MIN(N($J408),SUMIFS(nrMK_Sess,nrMK_Link,$B408,nrMK_Credit,"Yes",nrMK_PID,$E408,nrMK_Type,"PT")))</f>
        <v/>
      </c>
      <c r="R408" s="17">
        <f>IF(OR($B408="",$N408&lt;&gt;"Yes"),"",IF($K408="Yes",IF(N($J408)&gt;0,N($J408)-N($Q408),""),IF(N($I408)&gt;0,N($I408)-N($P408),"")))</f>
        <v/>
      </c>
      <c r="S408" s="17">
        <f>IF(OR($B408="",$R408=""),"",IF($R408&lt;=0,IF(IFERROR(_xlfn.MAXIFS(nrMK_Date,nrMK_Link,$B408,nrMK_Credit,"Yes",nrMK_PID,$E408),0)=0,"CLEARED (makeup date missing)","CLEARED "&amp;TEXT(_xlfn.MAXIFS(nrMK_Date,nrMK_Link,$B408,nrMK_Credit,"Yes",nrMK_PID,$E408),"mm/dd")),"OPEN"))</f>
        <v/>
      </c>
      <c r="T408" s="17">
        <f>IF($D408="","",IF($C408="","NO DATE",IF($G408="","NO EVENT TYPE",IF(AND($I408&lt;&gt;"",NOT(ISNUMBER($I408))),"MINUTES NOT A NUMBER",IF(AND($J408&lt;&gt;"",NOT(ISNUMBER($J408))),"SESSIONS NOT A NUMBER",IF(OR(N($I408)&lt;0,N($J408)&lt;0),"NEGATIVE MINUTES/SESSIONS",IF(AND($K408="Yes",N($I408)&gt;0),"MINUTES ON A PT EVENT - not counted (PT counts sessions)",IF(AND($K408="No",N($J408)&gt;0),"SESSIONS ON A CLASSROOM EVENT - not counted (classroom counts minutes)",IF(AND($N408="Yes",$K408="Yes",N($J408)=0),"COUNTED PT EVENT WITH NO SESSIONS - dropped from the PT cap",IF(AND($N408="Yes",$K408="No",N($I408)=0),"COUNTED EVENT WITH NO MINUTES - dropped from the classroom cap","OK"))))))))))</f>
        <v/>
      </c>
    </row>
    <row r="409">
      <c r="B409" s="17">
        <f>IF($D409="","","A"&amp;TEXT(ROW()-5,"000"))</f>
        <v/>
      </c>
      <c r="C409" s="18" t="n"/>
      <c r="D409" s="16" t="n"/>
      <c r="E409" s="17">
        <f>IF($D409="","",IFERROR(INDEX(rngCadetPIDs,MATCH($D409,rngCadetNames,0)),"?"))</f>
        <v/>
      </c>
      <c r="F409" s="17">
        <f>IF($E409="","",IFERROR(INDEX(nrCadetAgency,MATCH($E409,rngCadetPIDs,0)),""))</f>
        <v/>
      </c>
      <c r="G409" s="16" t="n"/>
      <c r="H409" s="16" t="n"/>
      <c r="I409" s="16" t="n"/>
      <c r="J409" s="16" t="n"/>
      <c r="K409" s="17">
        <f>IF($G409="","",IF(OR($G409="PT Missed",$G409="PT Modified",$G409="PT Refused"),"Yes","No"))</f>
        <v/>
      </c>
      <c r="L409" s="16" t="n"/>
      <c r="M409" s="16" t="n"/>
      <c r="N409" s="17">
        <f>IF($D409="","",IF($M409="Excused","No",IF(AND($G409="PT Modified",$L409="Received"),"No","Yes")))</f>
        <v/>
      </c>
      <c r="O409" s="16" t="n"/>
      <c r="P409" s="17">
        <f>IF(OR($B409="",N($I409)=0),"",MIN(N($I409),SUMIFS(nrMK_Min,nrMK_Link,$B409,nrMK_Credit,"Yes",nrMK_PID,$E409,nrMK_Type,"Classroom")))</f>
        <v/>
      </c>
      <c r="Q409" s="17">
        <f>IF(OR($B409="",N($J409)=0),"",MIN(N($J409),SUMIFS(nrMK_Sess,nrMK_Link,$B409,nrMK_Credit,"Yes",nrMK_PID,$E409,nrMK_Type,"PT")))</f>
        <v/>
      </c>
      <c r="R409" s="17">
        <f>IF(OR($B409="",$N409&lt;&gt;"Yes"),"",IF($K409="Yes",IF(N($J409)&gt;0,N($J409)-N($Q409),""),IF(N($I409)&gt;0,N($I409)-N($P409),"")))</f>
        <v/>
      </c>
      <c r="S409" s="17">
        <f>IF(OR($B409="",$R409=""),"",IF($R409&lt;=0,IF(IFERROR(_xlfn.MAXIFS(nrMK_Date,nrMK_Link,$B409,nrMK_Credit,"Yes",nrMK_PID,$E409),0)=0,"CLEARED (makeup date missing)","CLEARED "&amp;TEXT(_xlfn.MAXIFS(nrMK_Date,nrMK_Link,$B409,nrMK_Credit,"Yes",nrMK_PID,$E409),"mm/dd")),"OPEN"))</f>
        <v/>
      </c>
      <c r="T409" s="17">
        <f>IF($D409="","",IF($C409="","NO DATE",IF($G409="","NO EVENT TYPE",IF(AND($I409&lt;&gt;"",NOT(ISNUMBER($I409))),"MINUTES NOT A NUMBER",IF(AND($J409&lt;&gt;"",NOT(ISNUMBER($J409))),"SESSIONS NOT A NUMBER",IF(OR(N($I409)&lt;0,N($J409)&lt;0),"NEGATIVE MINUTES/SESSIONS",IF(AND($K409="Yes",N($I409)&gt;0),"MINUTES ON A PT EVENT - not counted (PT counts sessions)",IF(AND($K409="No",N($J409)&gt;0),"SESSIONS ON A CLASSROOM EVENT - not counted (classroom counts minutes)",IF(AND($N409="Yes",$K409="Yes",N($J409)=0),"COUNTED PT EVENT WITH NO SESSIONS - dropped from the PT cap",IF(AND($N409="Yes",$K409="No",N($I409)=0),"COUNTED EVENT WITH NO MINUTES - dropped from the classroom cap","OK"))))))))))</f>
        <v/>
      </c>
    </row>
    <row r="410">
      <c r="B410" s="17">
        <f>IF($D410="","","A"&amp;TEXT(ROW()-5,"000"))</f>
        <v/>
      </c>
      <c r="C410" s="18" t="n"/>
      <c r="D410" s="16" t="n"/>
      <c r="E410" s="17">
        <f>IF($D410="","",IFERROR(INDEX(rngCadetPIDs,MATCH($D410,rngCadetNames,0)),"?"))</f>
        <v/>
      </c>
      <c r="F410" s="17">
        <f>IF($E410="","",IFERROR(INDEX(nrCadetAgency,MATCH($E410,rngCadetPIDs,0)),""))</f>
        <v/>
      </c>
      <c r="G410" s="16" t="n"/>
      <c r="H410" s="16" t="n"/>
      <c r="I410" s="16" t="n"/>
      <c r="J410" s="16" t="n"/>
      <c r="K410" s="17">
        <f>IF($G410="","",IF(OR($G410="PT Missed",$G410="PT Modified",$G410="PT Refused"),"Yes","No"))</f>
        <v/>
      </c>
      <c r="L410" s="16" t="n"/>
      <c r="M410" s="16" t="n"/>
      <c r="N410" s="17">
        <f>IF($D410="","",IF($M410="Excused","No",IF(AND($G410="PT Modified",$L410="Received"),"No","Yes")))</f>
        <v/>
      </c>
      <c r="O410" s="16" t="n"/>
      <c r="P410" s="17">
        <f>IF(OR($B410="",N($I410)=0),"",MIN(N($I410),SUMIFS(nrMK_Min,nrMK_Link,$B410,nrMK_Credit,"Yes",nrMK_PID,$E410,nrMK_Type,"Classroom")))</f>
        <v/>
      </c>
      <c r="Q410" s="17">
        <f>IF(OR($B410="",N($J410)=0),"",MIN(N($J410),SUMIFS(nrMK_Sess,nrMK_Link,$B410,nrMK_Credit,"Yes",nrMK_PID,$E410,nrMK_Type,"PT")))</f>
        <v/>
      </c>
      <c r="R410" s="17">
        <f>IF(OR($B410="",$N410&lt;&gt;"Yes"),"",IF($K410="Yes",IF(N($J410)&gt;0,N($J410)-N($Q410),""),IF(N($I410)&gt;0,N($I410)-N($P410),"")))</f>
        <v/>
      </c>
      <c r="S410" s="17">
        <f>IF(OR($B410="",$R410=""),"",IF($R410&lt;=0,IF(IFERROR(_xlfn.MAXIFS(nrMK_Date,nrMK_Link,$B410,nrMK_Credit,"Yes",nrMK_PID,$E410),0)=0,"CLEARED (makeup date missing)","CLEARED "&amp;TEXT(_xlfn.MAXIFS(nrMK_Date,nrMK_Link,$B410,nrMK_Credit,"Yes",nrMK_PID,$E410),"mm/dd")),"OPEN"))</f>
        <v/>
      </c>
      <c r="T410" s="17">
        <f>IF($D410="","",IF($C410="","NO DATE",IF($G410="","NO EVENT TYPE",IF(AND($I410&lt;&gt;"",NOT(ISNUMBER($I410))),"MINUTES NOT A NUMBER",IF(AND($J410&lt;&gt;"",NOT(ISNUMBER($J410))),"SESSIONS NOT A NUMBER",IF(OR(N($I410)&lt;0,N($J410)&lt;0),"NEGATIVE MINUTES/SESSIONS",IF(AND($K410="Yes",N($I410)&gt;0),"MINUTES ON A PT EVENT - not counted (PT counts sessions)",IF(AND($K410="No",N($J410)&gt;0),"SESSIONS ON A CLASSROOM EVENT - not counted (classroom counts minutes)",IF(AND($N410="Yes",$K410="Yes",N($J410)=0),"COUNTED PT EVENT WITH NO SESSIONS - dropped from the PT cap",IF(AND($N410="Yes",$K410="No",N($I410)=0),"COUNTED EVENT WITH NO MINUTES - dropped from the classroom cap","OK"))))))))))</f>
        <v/>
      </c>
    </row>
    <row r="411">
      <c r="B411" s="17">
        <f>IF($D411="","","A"&amp;TEXT(ROW()-5,"000"))</f>
        <v/>
      </c>
      <c r="C411" s="18" t="n"/>
      <c r="D411" s="16" t="n"/>
      <c r="E411" s="17">
        <f>IF($D411="","",IFERROR(INDEX(rngCadetPIDs,MATCH($D411,rngCadetNames,0)),"?"))</f>
        <v/>
      </c>
      <c r="F411" s="17">
        <f>IF($E411="","",IFERROR(INDEX(nrCadetAgency,MATCH($E411,rngCadetPIDs,0)),""))</f>
        <v/>
      </c>
      <c r="G411" s="16" t="n"/>
      <c r="H411" s="16" t="n"/>
      <c r="I411" s="16" t="n"/>
      <c r="J411" s="16" t="n"/>
      <c r="K411" s="17">
        <f>IF($G411="","",IF(OR($G411="PT Missed",$G411="PT Modified",$G411="PT Refused"),"Yes","No"))</f>
        <v/>
      </c>
      <c r="L411" s="16" t="n"/>
      <c r="M411" s="16" t="n"/>
      <c r="N411" s="17">
        <f>IF($D411="","",IF($M411="Excused","No",IF(AND($G411="PT Modified",$L411="Received"),"No","Yes")))</f>
        <v/>
      </c>
      <c r="O411" s="16" t="n"/>
      <c r="P411" s="17">
        <f>IF(OR($B411="",N($I411)=0),"",MIN(N($I411),SUMIFS(nrMK_Min,nrMK_Link,$B411,nrMK_Credit,"Yes",nrMK_PID,$E411,nrMK_Type,"Classroom")))</f>
        <v/>
      </c>
      <c r="Q411" s="17">
        <f>IF(OR($B411="",N($J411)=0),"",MIN(N($J411),SUMIFS(nrMK_Sess,nrMK_Link,$B411,nrMK_Credit,"Yes",nrMK_PID,$E411,nrMK_Type,"PT")))</f>
        <v/>
      </c>
      <c r="R411" s="17">
        <f>IF(OR($B411="",$N411&lt;&gt;"Yes"),"",IF($K411="Yes",IF(N($J411)&gt;0,N($J411)-N($Q411),""),IF(N($I411)&gt;0,N($I411)-N($P411),"")))</f>
        <v/>
      </c>
      <c r="S411" s="17">
        <f>IF(OR($B411="",$R411=""),"",IF($R411&lt;=0,IF(IFERROR(_xlfn.MAXIFS(nrMK_Date,nrMK_Link,$B411,nrMK_Credit,"Yes",nrMK_PID,$E411),0)=0,"CLEARED (makeup date missing)","CLEARED "&amp;TEXT(_xlfn.MAXIFS(nrMK_Date,nrMK_Link,$B411,nrMK_Credit,"Yes",nrMK_PID,$E411),"mm/dd")),"OPEN"))</f>
        <v/>
      </c>
      <c r="T411" s="17">
        <f>IF($D411="","",IF($C411="","NO DATE",IF($G411="","NO EVENT TYPE",IF(AND($I411&lt;&gt;"",NOT(ISNUMBER($I411))),"MINUTES NOT A NUMBER",IF(AND($J411&lt;&gt;"",NOT(ISNUMBER($J411))),"SESSIONS NOT A NUMBER",IF(OR(N($I411)&lt;0,N($J411)&lt;0),"NEGATIVE MINUTES/SESSIONS",IF(AND($K411="Yes",N($I411)&gt;0),"MINUTES ON A PT EVENT - not counted (PT counts sessions)",IF(AND($K411="No",N($J411)&gt;0),"SESSIONS ON A CLASSROOM EVENT - not counted (classroom counts minutes)",IF(AND($N411="Yes",$K411="Yes",N($J411)=0),"COUNTED PT EVENT WITH NO SESSIONS - dropped from the PT cap",IF(AND($N411="Yes",$K411="No",N($I411)=0),"COUNTED EVENT WITH NO MINUTES - dropped from the classroom cap","OK"))))))))))</f>
        <v/>
      </c>
    </row>
    <row r="412">
      <c r="B412" s="17">
        <f>IF($D412="","","A"&amp;TEXT(ROW()-5,"000"))</f>
        <v/>
      </c>
      <c r="C412" s="18" t="n"/>
      <c r="D412" s="16" t="n"/>
      <c r="E412" s="17">
        <f>IF($D412="","",IFERROR(INDEX(rngCadetPIDs,MATCH($D412,rngCadetNames,0)),"?"))</f>
        <v/>
      </c>
      <c r="F412" s="17">
        <f>IF($E412="","",IFERROR(INDEX(nrCadetAgency,MATCH($E412,rngCadetPIDs,0)),""))</f>
        <v/>
      </c>
      <c r="G412" s="16" t="n"/>
      <c r="H412" s="16" t="n"/>
      <c r="I412" s="16" t="n"/>
      <c r="J412" s="16" t="n"/>
      <c r="K412" s="17">
        <f>IF($G412="","",IF(OR($G412="PT Missed",$G412="PT Modified",$G412="PT Refused"),"Yes","No"))</f>
        <v/>
      </c>
      <c r="L412" s="16" t="n"/>
      <c r="M412" s="16" t="n"/>
      <c r="N412" s="17">
        <f>IF($D412="","",IF($M412="Excused","No",IF(AND($G412="PT Modified",$L412="Received"),"No","Yes")))</f>
        <v/>
      </c>
      <c r="O412" s="16" t="n"/>
      <c r="P412" s="17">
        <f>IF(OR($B412="",N($I412)=0),"",MIN(N($I412),SUMIFS(nrMK_Min,nrMK_Link,$B412,nrMK_Credit,"Yes",nrMK_PID,$E412,nrMK_Type,"Classroom")))</f>
        <v/>
      </c>
      <c r="Q412" s="17">
        <f>IF(OR($B412="",N($J412)=0),"",MIN(N($J412),SUMIFS(nrMK_Sess,nrMK_Link,$B412,nrMK_Credit,"Yes",nrMK_PID,$E412,nrMK_Type,"PT")))</f>
        <v/>
      </c>
      <c r="R412" s="17">
        <f>IF(OR($B412="",$N412&lt;&gt;"Yes"),"",IF($K412="Yes",IF(N($J412)&gt;0,N($J412)-N($Q412),""),IF(N($I412)&gt;0,N($I412)-N($P412),"")))</f>
        <v/>
      </c>
      <c r="S412" s="17">
        <f>IF(OR($B412="",$R412=""),"",IF($R412&lt;=0,IF(IFERROR(_xlfn.MAXIFS(nrMK_Date,nrMK_Link,$B412,nrMK_Credit,"Yes",nrMK_PID,$E412),0)=0,"CLEARED (makeup date missing)","CLEARED "&amp;TEXT(_xlfn.MAXIFS(nrMK_Date,nrMK_Link,$B412,nrMK_Credit,"Yes",nrMK_PID,$E412),"mm/dd")),"OPEN"))</f>
        <v/>
      </c>
      <c r="T412" s="17">
        <f>IF($D412="","",IF($C412="","NO DATE",IF($G412="","NO EVENT TYPE",IF(AND($I412&lt;&gt;"",NOT(ISNUMBER($I412))),"MINUTES NOT A NUMBER",IF(AND($J412&lt;&gt;"",NOT(ISNUMBER($J412))),"SESSIONS NOT A NUMBER",IF(OR(N($I412)&lt;0,N($J412)&lt;0),"NEGATIVE MINUTES/SESSIONS",IF(AND($K412="Yes",N($I412)&gt;0),"MINUTES ON A PT EVENT - not counted (PT counts sessions)",IF(AND($K412="No",N($J412)&gt;0),"SESSIONS ON A CLASSROOM EVENT - not counted (classroom counts minutes)",IF(AND($N412="Yes",$K412="Yes",N($J412)=0),"COUNTED PT EVENT WITH NO SESSIONS - dropped from the PT cap",IF(AND($N412="Yes",$K412="No",N($I412)=0),"COUNTED EVENT WITH NO MINUTES - dropped from the classroom cap","OK"))))))))))</f>
        <v/>
      </c>
    </row>
    <row r="413">
      <c r="B413" s="17">
        <f>IF($D413="","","A"&amp;TEXT(ROW()-5,"000"))</f>
        <v/>
      </c>
      <c r="C413" s="18" t="n"/>
      <c r="D413" s="16" t="n"/>
      <c r="E413" s="17">
        <f>IF($D413="","",IFERROR(INDEX(rngCadetPIDs,MATCH($D413,rngCadetNames,0)),"?"))</f>
        <v/>
      </c>
      <c r="F413" s="17">
        <f>IF($E413="","",IFERROR(INDEX(nrCadetAgency,MATCH($E413,rngCadetPIDs,0)),""))</f>
        <v/>
      </c>
      <c r="G413" s="16" t="n"/>
      <c r="H413" s="16" t="n"/>
      <c r="I413" s="16" t="n"/>
      <c r="J413" s="16" t="n"/>
      <c r="K413" s="17">
        <f>IF($G413="","",IF(OR($G413="PT Missed",$G413="PT Modified",$G413="PT Refused"),"Yes","No"))</f>
        <v/>
      </c>
      <c r="L413" s="16" t="n"/>
      <c r="M413" s="16" t="n"/>
      <c r="N413" s="17">
        <f>IF($D413="","",IF($M413="Excused","No",IF(AND($G413="PT Modified",$L413="Received"),"No","Yes")))</f>
        <v/>
      </c>
      <c r="O413" s="16" t="n"/>
      <c r="P413" s="17">
        <f>IF(OR($B413="",N($I413)=0),"",MIN(N($I413),SUMIFS(nrMK_Min,nrMK_Link,$B413,nrMK_Credit,"Yes",nrMK_PID,$E413,nrMK_Type,"Classroom")))</f>
        <v/>
      </c>
      <c r="Q413" s="17">
        <f>IF(OR($B413="",N($J413)=0),"",MIN(N($J413),SUMIFS(nrMK_Sess,nrMK_Link,$B413,nrMK_Credit,"Yes",nrMK_PID,$E413,nrMK_Type,"PT")))</f>
        <v/>
      </c>
      <c r="R413" s="17">
        <f>IF(OR($B413="",$N413&lt;&gt;"Yes"),"",IF($K413="Yes",IF(N($J413)&gt;0,N($J413)-N($Q413),""),IF(N($I413)&gt;0,N($I413)-N($P413),"")))</f>
        <v/>
      </c>
      <c r="S413" s="17">
        <f>IF(OR($B413="",$R413=""),"",IF($R413&lt;=0,IF(IFERROR(_xlfn.MAXIFS(nrMK_Date,nrMK_Link,$B413,nrMK_Credit,"Yes",nrMK_PID,$E413),0)=0,"CLEARED (makeup date missing)","CLEARED "&amp;TEXT(_xlfn.MAXIFS(nrMK_Date,nrMK_Link,$B413,nrMK_Credit,"Yes",nrMK_PID,$E413),"mm/dd")),"OPEN"))</f>
        <v/>
      </c>
      <c r="T413" s="17">
        <f>IF($D413="","",IF($C413="","NO DATE",IF($G413="","NO EVENT TYPE",IF(AND($I413&lt;&gt;"",NOT(ISNUMBER($I413))),"MINUTES NOT A NUMBER",IF(AND($J413&lt;&gt;"",NOT(ISNUMBER($J413))),"SESSIONS NOT A NUMBER",IF(OR(N($I413)&lt;0,N($J413)&lt;0),"NEGATIVE MINUTES/SESSIONS",IF(AND($K413="Yes",N($I413)&gt;0),"MINUTES ON A PT EVENT - not counted (PT counts sessions)",IF(AND($K413="No",N($J413)&gt;0),"SESSIONS ON A CLASSROOM EVENT - not counted (classroom counts minutes)",IF(AND($N413="Yes",$K413="Yes",N($J413)=0),"COUNTED PT EVENT WITH NO SESSIONS - dropped from the PT cap",IF(AND($N413="Yes",$K413="No",N($I413)=0),"COUNTED EVENT WITH NO MINUTES - dropped from the classroom cap","OK"))))))))))</f>
        <v/>
      </c>
    </row>
    <row r="414">
      <c r="B414" s="17">
        <f>IF($D414="","","A"&amp;TEXT(ROW()-5,"000"))</f>
        <v/>
      </c>
      <c r="C414" s="18" t="n"/>
      <c r="D414" s="16" t="n"/>
      <c r="E414" s="17">
        <f>IF($D414="","",IFERROR(INDEX(rngCadetPIDs,MATCH($D414,rngCadetNames,0)),"?"))</f>
        <v/>
      </c>
      <c r="F414" s="17">
        <f>IF($E414="","",IFERROR(INDEX(nrCadetAgency,MATCH($E414,rngCadetPIDs,0)),""))</f>
        <v/>
      </c>
      <c r="G414" s="16" t="n"/>
      <c r="H414" s="16" t="n"/>
      <c r="I414" s="16" t="n"/>
      <c r="J414" s="16" t="n"/>
      <c r="K414" s="17">
        <f>IF($G414="","",IF(OR($G414="PT Missed",$G414="PT Modified",$G414="PT Refused"),"Yes","No"))</f>
        <v/>
      </c>
      <c r="L414" s="16" t="n"/>
      <c r="M414" s="16" t="n"/>
      <c r="N414" s="17">
        <f>IF($D414="","",IF($M414="Excused","No",IF(AND($G414="PT Modified",$L414="Received"),"No","Yes")))</f>
        <v/>
      </c>
      <c r="O414" s="16" t="n"/>
      <c r="P414" s="17">
        <f>IF(OR($B414="",N($I414)=0),"",MIN(N($I414),SUMIFS(nrMK_Min,nrMK_Link,$B414,nrMK_Credit,"Yes",nrMK_PID,$E414,nrMK_Type,"Classroom")))</f>
        <v/>
      </c>
      <c r="Q414" s="17">
        <f>IF(OR($B414="",N($J414)=0),"",MIN(N($J414),SUMIFS(nrMK_Sess,nrMK_Link,$B414,nrMK_Credit,"Yes",nrMK_PID,$E414,nrMK_Type,"PT")))</f>
        <v/>
      </c>
      <c r="R414" s="17">
        <f>IF(OR($B414="",$N414&lt;&gt;"Yes"),"",IF($K414="Yes",IF(N($J414)&gt;0,N($J414)-N($Q414),""),IF(N($I414)&gt;0,N($I414)-N($P414),"")))</f>
        <v/>
      </c>
      <c r="S414" s="17">
        <f>IF(OR($B414="",$R414=""),"",IF($R414&lt;=0,IF(IFERROR(_xlfn.MAXIFS(nrMK_Date,nrMK_Link,$B414,nrMK_Credit,"Yes",nrMK_PID,$E414),0)=0,"CLEARED (makeup date missing)","CLEARED "&amp;TEXT(_xlfn.MAXIFS(nrMK_Date,nrMK_Link,$B414,nrMK_Credit,"Yes",nrMK_PID,$E414),"mm/dd")),"OPEN"))</f>
        <v/>
      </c>
      <c r="T414" s="17">
        <f>IF($D414="","",IF($C414="","NO DATE",IF($G414="","NO EVENT TYPE",IF(AND($I414&lt;&gt;"",NOT(ISNUMBER($I414))),"MINUTES NOT A NUMBER",IF(AND($J414&lt;&gt;"",NOT(ISNUMBER($J414))),"SESSIONS NOT A NUMBER",IF(OR(N($I414)&lt;0,N($J414)&lt;0),"NEGATIVE MINUTES/SESSIONS",IF(AND($K414="Yes",N($I414)&gt;0),"MINUTES ON A PT EVENT - not counted (PT counts sessions)",IF(AND($K414="No",N($J414)&gt;0),"SESSIONS ON A CLASSROOM EVENT - not counted (classroom counts minutes)",IF(AND($N414="Yes",$K414="Yes",N($J414)=0),"COUNTED PT EVENT WITH NO SESSIONS - dropped from the PT cap",IF(AND($N414="Yes",$K414="No",N($I414)=0),"COUNTED EVENT WITH NO MINUTES - dropped from the classroom cap","OK"))))))))))</f>
        <v/>
      </c>
    </row>
    <row r="415">
      <c r="B415" s="17">
        <f>IF($D415="","","A"&amp;TEXT(ROW()-5,"000"))</f>
        <v/>
      </c>
      <c r="C415" s="18" t="n"/>
      <c r="D415" s="16" t="n"/>
      <c r="E415" s="17">
        <f>IF($D415="","",IFERROR(INDEX(rngCadetPIDs,MATCH($D415,rngCadetNames,0)),"?"))</f>
        <v/>
      </c>
      <c r="F415" s="17">
        <f>IF($E415="","",IFERROR(INDEX(nrCadetAgency,MATCH($E415,rngCadetPIDs,0)),""))</f>
        <v/>
      </c>
      <c r="G415" s="16" t="n"/>
      <c r="H415" s="16" t="n"/>
      <c r="I415" s="16" t="n"/>
      <c r="J415" s="16" t="n"/>
      <c r="K415" s="17">
        <f>IF($G415="","",IF(OR($G415="PT Missed",$G415="PT Modified",$G415="PT Refused"),"Yes","No"))</f>
        <v/>
      </c>
      <c r="L415" s="16" t="n"/>
      <c r="M415" s="16" t="n"/>
      <c r="N415" s="17">
        <f>IF($D415="","",IF($M415="Excused","No",IF(AND($G415="PT Modified",$L415="Received"),"No","Yes")))</f>
        <v/>
      </c>
      <c r="O415" s="16" t="n"/>
      <c r="P415" s="17">
        <f>IF(OR($B415="",N($I415)=0),"",MIN(N($I415),SUMIFS(nrMK_Min,nrMK_Link,$B415,nrMK_Credit,"Yes",nrMK_PID,$E415,nrMK_Type,"Classroom")))</f>
        <v/>
      </c>
      <c r="Q415" s="17">
        <f>IF(OR($B415="",N($J415)=0),"",MIN(N($J415),SUMIFS(nrMK_Sess,nrMK_Link,$B415,nrMK_Credit,"Yes",nrMK_PID,$E415,nrMK_Type,"PT")))</f>
        <v/>
      </c>
      <c r="R415" s="17">
        <f>IF(OR($B415="",$N415&lt;&gt;"Yes"),"",IF($K415="Yes",IF(N($J415)&gt;0,N($J415)-N($Q415),""),IF(N($I415)&gt;0,N($I415)-N($P415),"")))</f>
        <v/>
      </c>
      <c r="S415" s="17">
        <f>IF(OR($B415="",$R415=""),"",IF($R415&lt;=0,IF(IFERROR(_xlfn.MAXIFS(nrMK_Date,nrMK_Link,$B415,nrMK_Credit,"Yes",nrMK_PID,$E415),0)=0,"CLEARED (makeup date missing)","CLEARED "&amp;TEXT(_xlfn.MAXIFS(nrMK_Date,nrMK_Link,$B415,nrMK_Credit,"Yes",nrMK_PID,$E415),"mm/dd")),"OPEN"))</f>
        <v/>
      </c>
      <c r="T415" s="17">
        <f>IF($D415="","",IF($C415="","NO DATE",IF($G415="","NO EVENT TYPE",IF(AND($I415&lt;&gt;"",NOT(ISNUMBER($I415))),"MINUTES NOT A NUMBER",IF(AND($J415&lt;&gt;"",NOT(ISNUMBER($J415))),"SESSIONS NOT A NUMBER",IF(OR(N($I415)&lt;0,N($J415)&lt;0),"NEGATIVE MINUTES/SESSIONS",IF(AND($K415="Yes",N($I415)&gt;0),"MINUTES ON A PT EVENT - not counted (PT counts sessions)",IF(AND($K415="No",N($J415)&gt;0),"SESSIONS ON A CLASSROOM EVENT - not counted (classroom counts minutes)",IF(AND($N415="Yes",$K415="Yes",N($J415)=0),"COUNTED PT EVENT WITH NO SESSIONS - dropped from the PT cap",IF(AND($N415="Yes",$K415="No",N($I415)=0),"COUNTED EVENT WITH NO MINUTES - dropped from the classroom cap","OK"))))))))))</f>
        <v/>
      </c>
    </row>
    <row r="416">
      <c r="B416" s="17">
        <f>IF($D416="","","A"&amp;TEXT(ROW()-5,"000"))</f>
        <v/>
      </c>
      <c r="C416" s="18" t="n"/>
      <c r="D416" s="16" t="n"/>
      <c r="E416" s="17">
        <f>IF($D416="","",IFERROR(INDEX(rngCadetPIDs,MATCH($D416,rngCadetNames,0)),"?"))</f>
        <v/>
      </c>
      <c r="F416" s="17">
        <f>IF($E416="","",IFERROR(INDEX(nrCadetAgency,MATCH($E416,rngCadetPIDs,0)),""))</f>
        <v/>
      </c>
      <c r="G416" s="16" t="n"/>
      <c r="H416" s="16" t="n"/>
      <c r="I416" s="16" t="n"/>
      <c r="J416" s="16" t="n"/>
      <c r="K416" s="17">
        <f>IF($G416="","",IF(OR($G416="PT Missed",$G416="PT Modified",$G416="PT Refused"),"Yes","No"))</f>
        <v/>
      </c>
      <c r="L416" s="16" t="n"/>
      <c r="M416" s="16" t="n"/>
      <c r="N416" s="17">
        <f>IF($D416="","",IF($M416="Excused","No",IF(AND($G416="PT Modified",$L416="Received"),"No","Yes")))</f>
        <v/>
      </c>
      <c r="O416" s="16" t="n"/>
      <c r="P416" s="17">
        <f>IF(OR($B416="",N($I416)=0),"",MIN(N($I416),SUMIFS(nrMK_Min,nrMK_Link,$B416,nrMK_Credit,"Yes",nrMK_PID,$E416,nrMK_Type,"Classroom")))</f>
        <v/>
      </c>
      <c r="Q416" s="17">
        <f>IF(OR($B416="",N($J416)=0),"",MIN(N($J416),SUMIFS(nrMK_Sess,nrMK_Link,$B416,nrMK_Credit,"Yes",nrMK_PID,$E416,nrMK_Type,"PT")))</f>
        <v/>
      </c>
      <c r="R416" s="17">
        <f>IF(OR($B416="",$N416&lt;&gt;"Yes"),"",IF($K416="Yes",IF(N($J416)&gt;0,N($J416)-N($Q416),""),IF(N($I416)&gt;0,N($I416)-N($P416),"")))</f>
        <v/>
      </c>
      <c r="S416" s="17">
        <f>IF(OR($B416="",$R416=""),"",IF($R416&lt;=0,IF(IFERROR(_xlfn.MAXIFS(nrMK_Date,nrMK_Link,$B416,nrMK_Credit,"Yes",nrMK_PID,$E416),0)=0,"CLEARED (makeup date missing)","CLEARED "&amp;TEXT(_xlfn.MAXIFS(nrMK_Date,nrMK_Link,$B416,nrMK_Credit,"Yes",nrMK_PID,$E416),"mm/dd")),"OPEN"))</f>
        <v/>
      </c>
      <c r="T416" s="17">
        <f>IF($D416="","",IF($C416="","NO DATE",IF($G416="","NO EVENT TYPE",IF(AND($I416&lt;&gt;"",NOT(ISNUMBER($I416))),"MINUTES NOT A NUMBER",IF(AND($J416&lt;&gt;"",NOT(ISNUMBER($J416))),"SESSIONS NOT A NUMBER",IF(OR(N($I416)&lt;0,N($J416)&lt;0),"NEGATIVE MINUTES/SESSIONS",IF(AND($K416="Yes",N($I416)&gt;0),"MINUTES ON A PT EVENT - not counted (PT counts sessions)",IF(AND($K416="No",N($J416)&gt;0),"SESSIONS ON A CLASSROOM EVENT - not counted (classroom counts minutes)",IF(AND($N416="Yes",$K416="Yes",N($J416)=0),"COUNTED PT EVENT WITH NO SESSIONS - dropped from the PT cap",IF(AND($N416="Yes",$K416="No",N($I416)=0),"COUNTED EVENT WITH NO MINUTES - dropped from the classroom cap","OK"))))))))))</f>
        <v/>
      </c>
    </row>
    <row r="417">
      <c r="B417" s="17">
        <f>IF($D417="","","A"&amp;TEXT(ROW()-5,"000"))</f>
        <v/>
      </c>
      <c r="C417" s="18" t="n"/>
      <c r="D417" s="16" t="n"/>
      <c r="E417" s="17">
        <f>IF($D417="","",IFERROR(INDEX(rngCadetPIDs,MATCH($D417,rngCadetNames,0)),"?"))</f>
        <v/>
      </c>
      <c r="F417" s="17">
        <f>IF($E417="","",IFERROR(INDEX(nrCadetAgency,MATCH($E417,rngCadetPIDs,0)),""))</f>
        <v/>
      </c>
      <c r="G417" s="16" t="n"/>
      <c r="H417" s="16" t="n"/>
      <c r="I417" s="16" t="n"/>
      <c r="J417" s="16" t="n"/>
      <c r="K417" s="17">
        <f>IF($G417="","",IF(OR($G417="PT Missed",$G417="PT Modified",$G417="PT Refused"),"Yes","No"))</f>
        <v/>
      </c>
      <c r="L417" s="16" t="n"/>
      <c r="M417" s="16" t="n"/>
      <c r="N417" s="17">
        <f>IF($D417="","",IF($M417="Excused","No",IF(AND($G417="PT Modified",$L417="Received"),"No","Yes")))</f>
        <v/>
      </c>
      <c r="O417" s="16" t="n"/>
      <c r="P417" s="17">
        <f>IF(OR($B417="",N($I417)=0),"",MIN(N($I417),SUMIFS(nrMK_Min,nrMK_Link,$B417,nrMK_Credit,"Yes",nrMK_PID,$E417,nrMK_Type,"Classroom")))</f>
        <v/>
      </c>
      <c r="Q417" s="17">
        <f>IF(OR($B417="",N($J417)=0),"",MIN(N($J417),SUMIFS(nrMK_Sess,nrMK_Link,$B417,nrMK_Credit,"Yes",nrMK_PID,$E417,nrMK_Type,"PT")))</f>
        <v/>
      </c>
      <c r="R417" s="17">
        <f>IF(OR($B417="",$N417&lt;&gt;"Yes"),"",IF($K417="Yes",IF(N($J417)&gt;0,N($J417)-N($Q417),""),IF(N($I417)&gt;0,N($I417)-N($P417),"")))</f>
        <v/>
      </c>
      <c r="S417" s="17">
        <f>IF(OR($B417="",$R417=""),"",IF($R417&lt;=0,IF(IFERROR(_xlfn.MAXIFS(nrMK_Date,nrMK_Link,$B417,nrMK_Credit,"Yes",nrMK_PID,$E417),0)=0,"CLEARED (makeup date missing)","CLEARED "&amp;TEXT(_xlfn.MAXIFS(nrMK_Date,nrMK_Link,$B417,nrMK_Credit,"Yes",nrMK_PID,$E417),"mm/dd")),"OPEN"))</f>
        <v/>
      </c>
      <c r="T417" s="17">
        <f>IF($D417="","",IF($C417="","NO DATE",IF($G417="","NO EVENT TYPE",IF(AND($I417&lt;&gt;"",NOT(ISNUMBER($I417))),"MINUTES NOT A NUMBER",IF(AND($J417&lt;&gt;"",NOT(ISNUMBER($J417))),"SESSIONS NOT A NUMBER",IF(OR(N($I417)&lt;0,N($J417)&lt;0),"NEGATIVE MINUTES/SESSIONS",IF(AND($K417="Yes",N($I417)&gt;0),"MINUTES ON A PT EVENT - not counted (PT counts sessions)",IF(AND($K417="No",N($J417)&gt;0),"SESSIONS ON A CLASSROOM EVENT - not counted (classroom counts minutes)",IF(AND($N417="Yes",$K417="Yes",N($J417)=0),"COUNTED PT EVENT WITH NO SESSIONS - dropped from the PT cap",IF(AND($N417="Yes",$K417="No",N($I417)=0),"COUNTED EVENT WITH NO MINUTES - dropped from the classroom cap","OK"))))))))))</f>
        <v/>
      </c>
    </row>
    <row r="418">
      <c r="B418" s="17">
        <f>IF($D418="","","A"&amp;TEXT(ROW()-5,"000"))</f>
        <v/>
      </c>
      <c r="C418" s="18" t="n"/>
      <c r="D418" s="16" t="n"/>
      <c r="E418" s="17">
        <f>IF($D418="","",IFERROR(INDEX(rngCadetPIDs,MATCH($D418,rngCadetNames,0)),"?"))</f>
        <v/>
      </c>
      <c r="F418" s="17">
        <f>IF($E418="","",IFERROR(INDEX(nrCadetAgency,MATCH($E418,rngCadetPIDs,0)),""))</f>
        <v/>
      </c>
      <c r="G418" s="16" t="n"/>
      <c r="H418" s="16" t="n"/>
      <c r="I418" s="16" t="n"/>
      <c r="J418" s="16" t="n"/>
      <c r="K418" s="17">
        <f>IF($G418="","",IF(OR($G418="PT Missed",$G418="PT Modified",$G418="PT Refused"),"Yes","No"))</f>
        <v/>
      </c>
      <c r="L418" s="16" t="n"/>
      <c r="M418" s="16" t="n"/>
      <c r="N418" s="17">
        <f>IF($D418="","",IF($M418="Excused","No",IF(AND($G418="PT Modified",$L418="Received"),"No","Yes")))</f>
        <v/>
      </c>
      <c r="O418" s="16" t="n"/>
      <c r="P418" s="17">
        <f>IF(OR($B418="",N($I418)=0),"",MIN(N($I418),SUMIFS(nrMK_Min,nrMK_Link,$B418,nrMK_Credit,"Yes",nrMK_PID,$E418,nrMK_Type,"Classroom")))</f>
        <v/>
      </c>
      <c r="Q418" s="17">
        <f>IF(OR($B418="",N($J418)=0),"",MIN(N($J418),SUMIFS(nrMK_Sess,nrMK_Link,$B418,nrMK_Credit,"Yes",nrMK_PID,$E418,nrMK_Type,"PT")))</f>
        <v/>
      </c>
      <c r="R418" s="17">
        <f>IF(OR($B418="",$N418&lt;&gt;"Yes"),"",IF($K418="Yes",IF(N($J418)&gt;0,N($J418)-N($Q418),""),IF(N($I418)&gt;0,N($I418)-N($P418),"")))</f>
        <v/>
      </c>
      <c r="S418" s="17">
        <f>IF(OR($B418="",$R418=""),"",IF($R418&lt;=0,IF(IFERROR(_xlfn.MAXIFS(nrMK_Date,nrMK_Link,$B418,nrMK_Credit,"Yes",nrMK_PID,$E418),0)=0,"CLEARED (makeup date missing)","CLEARED "&amp;TEXT(_xlfn.MAXIFS(nrMK_Date,nrMK_Link,$B418,nrMK_Credit,"Yes",nrMK_PID,$E418),"mm/dd")),"OPEN"))</f>
        <v/>
      </c>
      <c r="T418" s="17">
        <f>IF($D418="","",IF($C418="","NO DATE",IF($G418="","NO EVENT TYPE",IF(AND($I418&lt;&gt;"",NOT(ISNUMBER($I418))),"MINUTES NOT A NUMBER",IF(AND($J418&lt;&gt;"",NOT(ISNUMBER($J418))),"SESSIONS NOT A NUMBER",IF(OR(N($I418)&lt;0,N($J418)&lt;0),"NEGATIVE MINUTES/SESSIONS",IF(AND($K418="Yes",N($I418)&gt;0),"MINUTES ON A PT EVENT - not counted (PT counts sessions)",IF(AND($K418="No",N($J418)&gt;0),"SESSIONS ON A CLASSROOM EVENT - not counted (classroom counts minutes)",IF(AND($N418="Yes",$K418="Yes",N($J418)=0),"COUNTED PT EVENT WITH NO SESSIONS - dropped from the PT cap",IF(AND($N418="Yes",$K418="No",N($I418)=0),"COUNTED EVENT WITH NO MINUTES - dropped from the classroom cap","OK"))))))))))</f>
        <v/>
      </c>
    </row>
    <row r="419">
      <c r="B419" s="17">
        <f>IF($D419="","","A"&amp;TEXT(ROW()-5,"000"))</f>
        <v/>
      </c>
      <c r="C419" s="18" t="n"/>
      <c r="D419" s="16" t="n"/>
      <c r="E419" s="17">
        <f>IF($D419="","",IFERROR(INDEX(rngCadetPIDs,MATCH($D419,rngCadetNames,0)),"?"))</f>
        <v/>
      </c>
      <c r="F419" s="17">
        <f>IF($E419="","",IFERROR(INDEX(nrCadetAgency,MATCH($E419,rngCadetPIDs,0)),""))</f>
        <v/>
      </c>
      <c r="G419" s="16" t="n"/>
      <c r="H419" s="16" t="n"/>
      <c r="I419" s="16" t="n"/>
      <c r="J419" s="16" t="n"/>
      <c r="K419" s="17">
        <f>IF($G419="","",IF(OR($G419="PT Missed",$G419="PT Modified",$G419="PT Refused"),"Yes","No"))</f>
        <v/>
      </c>
      <c r="L419" s="16" t="n"/>
      <c r="M419" s="16" t="n"/>
      <c r="N419" s="17">
        <f>IF($D419="","",IF($M419="Excused","No",IF(AND($G419="PT Modified",$L419="Received"),"No","Yes")))</f>
        <v/>
      </c>
      <c r="O419" s="16" t="n"/>
      <c r="P419" s="17">
        <f>IF(OR($B419="",N($I419)=0),"",MIN(N($I419),SUMIFS(nrMK_Min,nrMK_Link,$B419,nrMK_Credit,"Yes",nrMK_PID,$E419,nrMK_Type,"Classroom")))</f>
        <v/>
      </c>
      <c r="Q419" s="17">
        <f>IF(OR($B419="",N($J419)=0),"",MIN(N($J419),SUMIFS(nrMK_Sess,nrMK_Link,$B419,nrMK_Credit,"Yes",nrMK_PID,$E419,nrMK_Type,"PT")))</f>
        <v/>
      </c>
      <c r="R419" s="17">
        <f>IF(OR($B419="",$N419&lt;&gt;"Yes"),"",IF($K419="Yes",IF(N($J419)&gt;0,N($J419)-N($Q419),""),IF(N($I419)&gt;0,N($I419)-N($P419),"")))</f>
        <v/>
      </c>
      <c r="S419" s="17">
        <f>IF(OR($B419="",$R419=""),"",IF($R419&lt;=0,IF(IFERROR(_xlfn.MAXIFS(nrMK_Date,nrMK_Link,$B419,nrMK_Credit,"Yes",nrMK_PID,$E419),0)=0,"CLEARED (makeup date missing)","CLEARED "&amp;TEXT(_xlfn.MAXIFS(nrMK_Date,nrMK_Link,$B419,nrMK_Credit,"Yes",nrMK_PID,$E419),"mm/dd")),"OPEN"))</f>
        <v/>
      </c>
      <c r="T419" s="17">
        <f>IF($D419="","",IF($C419="","NO DATE",IF($G419="","NO EVENT TYPE",IF(AND($I419&lt;&gt;"",NOT(ISNUMBER($I419))),"MINUTES NOT A NUMBER",IF(AND($J419&lt;&gt;"",NOT(ISNUMBER($J419))),"SESSIONS NOT A NUMBER",IF(OR(N($I419)&lt;0,N($J419)&lt;0),"NEGATIVE MINUTES/SESSIONS",IF(AND($K419="Yes",N($I419)&gt;0),"MINUTES ON A PT EVENT - not counted (PT counts sessions)",IF(AND($K419="No",N($J419)&gt;0),"SESSIONS ON A CLASSROOM EVENT - not counted (classroom counts minutes)",IF(AND($N419="Yes",$K419="Yes",N($J419)=0),"COUNTED PT EVENT WITH NO SESSIONS - dropped from the PT cap",IF(AND($N419="Yes",$K419="No",N($I419)=0),"COUNTED EVENT WITH NO MINUTES - dropped from the classroom cap","OK"))))))))))</f>
        <v/>
      </c>
    </row>
    <row r="420">
      <c r="B420" s="17">
        <f>IF($D420="","","A"&amp;TEXT(ROW()-5,"000"))</f>
        <v/>
      </c>
      <c r="C420" s="18" t="n"/>
      <c r="D420" s="16" t="n"/>
      <c r="E420" s="17">
        <f>IF($D420="","",IFERROR(INDEX(rngCadetPIDs,MATCH($D420,rngCadetNames,0)),"?"))</f>
        <v/>
      </c>
      <c r="F420" s="17">
        <f>IF($E420="","",IFERROR(INDEX(nrCadetAgency,MATCH($E420,rngCadetPIDs,0)),""))</f>
        <v/>
      </c>
      <c r="G420" s="16" t="n"/>
      <c r="H420" s="16" t="n"/>
      <c r="I420" s="16" t="n"/>
      <c r="J420" s="16" t="n"/>
      <c r="K420" s="17">
        <f>IF($G420="","",IF(OR($G420="PT Missed",$G420="PT Modified",$G420="PT Refused"),"Yes","No"))</f>
        <v/>
      </c>
      <c r="L420" s="16" t="n"/>
      <c r="M420" s="16" t="n"/>
      <c r="N420" s="17">
        <f>IF($D420="","",IF($M420="Excused","No",IF(AND($G420="PT Modified",$L420="Received"),"No","Yes")))</f>
        <v/>
      </c>
      <c r="O420" s="16" t="n"/>
      <c r="P420" s="17">
        <f>IF(OR($B420="",N($I420)=0),"",MIN(N($I420),SUMIFS(nrMK_Min,nrMK_Link,$B420,nrMK_Credit,"Yes",nrMK_PID,$E420,nrMK_Type,"Classroom")))</f>
        <v/>
      </c>
      <c r="Q420" s="17">
        <f>IF(OR($B420="",N($J420)=0),"",MIN(N($J420),SUMIFS(nrMK_Sess,nrMK_Link,$B420,nrMK_Credit,"Yes",nrMK_PID,$E420,nrMK_Type,"PT")))</f>
        <v/>
      </c>
      <c r="R420" s="17">
        <f>IF(OR($B420="",$N420&lt;&gt;"Yes"),"",IF($K420="Yes",IF(N($J420)&gt;0,N($J420)-N($Q420),""),IF(N($I420)&gt;0,N($I420)-N($P420),"")))</f>
        <v/>
      </c>
      <c r="S420" s="17">
        <f>IF(OR($B420="",$R420=""),"",IF($R420&lt;=0,IF(IFERROR(_xlfn.MAXIFS(nrMK_Date,nrMK_Link,$B420,nrMK_Credit,"Yes",nrMK_PID,$E420),0)=0,"CLEARED (makeup date missing)","CLEARED "&amp;TEXT(_xlfn.MAXIFS(nrMK_Date,nrMK_Link,$B420,nrMK_Credit,"Yes",nrMK_PID,$E420),"mm/dd")),"OPEN"))</f>
        <v/>
      </c>
      <c r="T420" s="17">
        <f>IF($D420="","",IF($C420="","NO DATE",IF($G420="","NO EVENT TYPE",IF(AND($I420&lt;&gt;"",NOT(ISNUMBER($I420))),"MINUTES NOT A NUMBER",IF(AND($J420&lt;&gt;"",NOT(ISNUMBER($J420))),"SESSIONS NOT A NUMBER",IF(OR(N($I420)&lt;0,N($J420)&lt;0),"NEGATIVE MINUTES/SESSIONS",IF(AND($K420="Yes",N($I420)&gt;0),"MINUTES ON A PT EVENT - not counted (PT counts sessions)",IF(AND($K420="No",N($J420)&gt;0),"SESSIONS ON A CLASSROOM EVENT - not counted (classroom counts minutes)",IF(AND($N420="Yes",$K420="Yes",N($J420)=0),"COUNTED PT EVENT WITH NO SESSIONS - dropped from the PT cap",IF(AND($N420="Yes",$K420="No",N($I420)=0),"COUNTED EVENT WITH NO MINUTES - dropped from the classroom cap","OK"))))))))))</f>
        <v/>
      </c>
    </row>
    <row r="421">
      <c r="B421" s="17">
        <f>IF($D421="","","A"&amp;TEXT(ROW()-5,"000"))</f>
        <v/>
      </c>
      <c r="C421" s="18" t="n"/>
      <c r="D421" s="16" t="n"/>
      <c r="E421" s="17">
        <f>IF($D421="","",IFERROR(INDEX(rngCadetPIDs,MATCH($D421,rngCadetNames,0)),"?"))</f>
        <v/>
      </c>
      <c r="F421" s="17">
        <f>IF($E421="","",IFERROR(INDEX(nrCadetAgency,MATCH($E421,rngCadetPIDs,0)),""))</f>
        <v/>
      </c>
      <c r="G421" s="16" t="n"/>
      <c r="H421" s="16" t="n"/>
      <c r="I421" s="16" t="n"/>
      <c r="J421" s="16" t="n"/>
      <c r="K421" s="17">
        <f>IF($G421="","",IF(OR($G421="PT Missed",$G421="PT Modified",$G421="PT Refused"),"Yes","No"))</f>
        <v/>
      </c>
      <c r="L421" s="16" t="n"/>
      <c r="M421" s="16" t="n"/>
      <c r="N421" s="17">
        <f>IF($D421="","",IF($M421="Excused","No",IF(AND($G421="PT Modified",$L421="Received"),"No","Yes")))</f>
        <v/>
      </c>
      <c r="O421" s="16" t="n"/>
      <c r="P421" s="17">
        <f>IF(OR($B421="",N($I421)=0),"",MIN(N($I421),SUMIFS(nrMK_Min,nrMK_Link,$B421,nrMK_Credit,"Yes",nrMK_PID,$E421,nrMK_Type,"Classroom")))</f>
        <v/>
      </c>
      <c r="Q421" s="17">
        <f>IF(OR($B421="",N($J421)=0),"",MIN(N($J421),SUMIFS(nrMK_Sess,nrMK_Link,$B421,nrMK_Credit,"Yes",nrMK_PID,$E421,nrMK_Type,"PT")))</f>
        <v/>
      </c>
      <c r="R421" s="17">
        <f>IF(OR($B421="",$N421&lt;&gt;"Yes"),"",IF($K421="Yes",IF(N($J421)&gt;0,N($J421)-N($Q421),""),IF(N($I421)&gt;0,N($I421)-N($P421),"")))</f>
        <v/>
      </c>
      <c r="S421" s="17">
        <f>IF(OR($B421="",$R421=""),"",IF($R421&lt;=0,IF(IFERROR(_xlfn.MAXIFS(nrMK_Date,nrMK_Link,$B421,nrMK_Credit,"Yes",nrMK_PID,$E421),0)=0,"CLEARED (makeup date missing)","CLEARED "&amp;TEXT(_xlfn.MAXIFS(nrMK_Date,nrMK_Link,$B421,nrMK_Credit,"Yes",nrMK_PID,$E421),"mm/dd")),"OPEN"))</f>
        <v/>
      </c>
      <c r="T421" s="17">
        <f>IF($D421="","",IF($C421="","NO DATE",IF($G421="","NO EVENT TYPE",IF(AND($I421&lt;&gt;"",NOT(ISNUMBER($I421))),"MINUTES NOT A NUMBER",IF(AND($J421&lt;&gt;"",NOT(ISNUMBER($J421))),"SESSIONS NOT A NUMBER",IF(OR(N($I421)&lt;0,N($J421)&lt;0),"NEGATIVE MINUTES/SESSIONS",IF(AND($K421="Yes",N($I421)&gt;0),"MINUTES ON A PT EVENT - not counted (PT counts sessions)",IF(AND($K421="No",N($J421)&gt;0),"SESSIONS ON A CLASSROOM EVENT - not counted (classroom counts minutes)",IF(AND($N421="Yes",$K421="Yes",N($J421)=0),"COUNTED PT EVENT WITH NO SESSIONS - dropped from the PT cap",IF(AND($N421="Yes",$K421="No",N($I421)=0),"COUNTED EVENT WITH NO MINUTES - dropped from the classroom cap","OK"))))))))))</f>
        <v/>
      </c>
    </row>
    <row r="422">
      <c r="B422" s="17">
        <f>IF($D422="","","A"&amp;TEXT(ROW()-5,"000"))</f>
        <v/>
      </c>
      <c r="C422" s="18" t="n"/>
      <c r="D422" s="16" t="n"/>
      <c r="E422" s="17">
        <f>IF($D422="","",IFERROR(INDEX(rngCadetPIDs,MATCH($D422,rngCadetNames,0)),"?"))</f>
        <v/>
      </c>
      <c r="F422" s="17">
        <f>IF($E422="","",IFERROR(INDEX(nrCadetAgency,MATCH($E422,rngCadetPIDs,0)),""))</f>
        <v/>
      </c>
      <c r="G422" s="16" t="n"/>
      <c r="H422" s="16" t="n"/>
      <c r="I422" s="16" t="n"/>
      <c r="J422" s="16" t="n"/>
      <c r="K422" s="17">
        <f>IF($G422="","",IF(OR($G422="PT Missed",$G422="PT Modified",$G422="PT Refused"),"Yes","No"))</f>
        <v/>
      </c>
      <c r="L422" s="16" t="n"/>
      <c r="M422" s="16" t="n"/>
      <c r="N422" s="17">
        <f>IF($D422="","",IF($M422="Excused","No",IF(AND($G422="PT Modified",$L422="Received"),"No","Yes")))</f>
        <v/>
      </c>
      <c r="O422" s="16" t="n"/>
      <c r="P422" s="17">
        <f>IF(OR($B422="",N($I422)=0),"",MIN(N($I422),SUMIFS(nrMK_Min,nrMK_Link,$B422,nrMK_Credit,"Yes",nrMK_PID,$E422,nrMK_Type,"Classroom")))</f>
        <v/>
      </c>
      <c r="Q422" s="17">
        <f>IF(OR($B422="",N($J422)=0),"",MIN(N($J422),SUMIFS(nrMK_Sess,nrMK_Link,$B422,nrMK_Credit,"Yes",nrMK_PID,$E422,nrMK_Type,"PT")))</f>
        <v/>
      </c>
      <c r="R422" s="17">
        <f>IF(OR($B422="",$N422&lt;&gt;"Yes"),"",IF($K422="Yes",IF(N($J422)&gt;0,N($J422)-N($Q422),""),IF(N($I422)&gt;0,N($I422)-N($P422),"")))</f>
        <v/>
      </c>
      <c r="S422" s="17">
        <f>IF(OR($B422="",$R422=""),"",IF($R422&lt;=0,IF(IFERROR(_xlfn.MAXIFS(nrMK_Date,nrMK_Link,$B422,nrMK_Credit,"Yes",nrMK_PID,$E422),0)=0,"CLEARED (makeup date missing)","CLEARED "&amp;TEXT(_xlfn.MAXIFS(nrMK_Date,nrMK_Link,$B422,nrMK_Credit,"Yes",nrMK_PID,$E422),"mm/dd")),"OPEN"))</f>
        <v/>
      </c>
      <c r="T422" s="17">
        <f>IF($D422="","",IF($C422="","NO DATE",IF($G422="","NO EVENT TYPE",IF(AND($I422&lt;&gt;"",NOT(ISNUMBER($I422))),"MINUTES NOT A NUMBER",IF(AND($J422&lt;&gt;"",NOT(ISNUMBER($J422))),"SESSIONS NOT A NUMBER",IF(OR(N($I422)&lt;0,N($J422)&lt;0),"NEGATIVE MINUTES/SESSIONS",IF(AND($K422="Yes",N($I422)&gt;0),"MINUTES ON A PT EVENT - not counted (PT counts sessions)",IF(AND($K422="No",N($J422)&gt;0),"SESSIONS ON A CLASSROOM EVENT - not counted (classroom counts minutes)",IF(AND($N422="Yes",$K422="Yes",N($J422)=0),"COUNTED PT EVENT WITH NO SESSIONS - dropped from the PT cap",IF(AND($N422="Yes",$K422="No",N($I422)=0),"COUNTED EVENT WITH NO MINUTES - dropped from the classroom cap","OK"))))))))))</f>
        <v/>
      </c>
    </row>
    <row r="423">
      <c r="B423" s="17">
        <f>IF($D423="","","A"&amp;TEXT(ROW()-5,"000"))</f>
        <v/>
      </c>
      <c r="C423" s="18" t="n"/>
      <c r="D423" s="16" t="n"/>
      <c r="E423" s="17">
        <f>IF($D423="","",IFERROR(INDEX(rngCadetPIDs,MATCH($D423,rngCadetNames,0)),"?"))</f>
        <v/>
      </c>
      <c r="F423" s="17">
        <f>IF($E423="","",IFERROR(INDEX(nrCadetAgency,MATCH($E423,rngCadetPIDs,0)),""))</f>
        <v/>
      </c>
      <c r="G423" s="16" t="n"/>
      <c r="H423" s="16" t="n"/>
      <c r="I423" s="16" t="n"/>
      <c r="J423" s="16" t="n"/>
      <c r="K423" s="17">
        <f>IF($G423="","",IF(OR($G423="PT Missed",$G423="PT Modified",$G423="PT Refused"),"Yes","No"))</f>
        <v/>
      </c>
      <c r="L423" s="16" t="n"/>
      <c r="M423" s="16" t="n"/>
      <c r="N423" s="17">
        <f>IF($D423="","",IF($M423="Excused","No",IF(AND($G423="PT Modified",$L423="Received"),"No","Yes")))</f>
        <v/>
      </c>
      <c r="O423" s="16" t="n"/>
      <c r="P423" s="17">
        <f>IF(OR($B423="",N($I423)=0),"",MIN(N($I423),SUMIFS(nrMK_Min,nrMK_Link,$B423,nrMK_Credit,"Yes",nrMK_PID,$E423,nrMK_Type,"Classroom")))</f>
        <v/>
      </c>
      <c r="Q423" s="17">
        <f>IF(OR($B423="",N($J423)=0),"",MIN(N($J423),SUMIFS(nrMK_Sess,nrMK_Link,$B423,nrMK_Credit,"Yes",nrMK_PID,$E423,nrMK_Type,"PT")))</f>
        <v/>
      </c>
      <c r="R423" s="17">
        <f>IF(OR($B423="",$N423&lt;&gt;"Yes"),"",IF($K423="Yes",IF(N($J423)&gt;0,N($J423)-N($Q423),""),IF(N($I423)&gt;0,N($I423)-N($P423),"")))</f>
        <v/>
      </c>
      <c r="S423" s="17">
        <f>IF(OR($B423="",$R423=""),"",IF($R423&lt;=0,IF(IFERROR(_xlfn.MAXIFS(nrMK_Date,nrMK_Link,$B423,nrMK_Credit,"Yes",nrMK_PID,$E423),0)=0,"CLEARED (makeup date missing)","CLEARED "&amp;TEXT(_xlfn.MAXIFS(nrMK_Date,nrMK_Link,$B423,nrMK_Credit,"Yes",nrMK_PID,$E423),"mm/dd")),"OPEN"))</f>
        <v/>
      </c>
      <c r="T423" s="17">
        <f>IF($D423="","",IF($C423="","NO DATE",IF($G423="","NO EVENT TYPE",IF(AND($I423&lt;&gt;"",NOT(ISNUMBER($I423))),"MINUTES NOT A NUMBER",IF(AND($J423&lt;&gt;"",NOT(ISNUMBER($J423))),"SESSIONS NOT A NUMBER",IF(OR(N($I423)&lt;0,N($J423)&lt;0),"NEGATIVE MINUTES/SESSIONS",IF(AND($K423="Yes",N($I423)&gt;0),"MINUTES ON A PT EVENT - not counted (PT counts sessions)",IF(AND($K423="No",N($J423)&gt;0),"SESSIONS ON A CLASSROOM EVENT - not counted (classroom counts minutes)",IF(AND($N423="Yes",$K423="Yes",N($J423)=0),"COUNTED PT EVENT WITH NO SESSIONS - dropped from the PT cap",IF(AND($N423="Yes",$K423="No",N($I423)=0),"COUNTED EVENT WITH NO MINUTES - dropped from the classroom cap","OK"))))))))))</f>
        <v/>
      </c>
    </row>
    <row r="424">
      <c r="B424" s="17">
        <f>IF($D424="","","A"&amp;TEXT(ROW()-5,"000"))</f>
        <v/>
      </c>
      <c r="C424" s="18" t="n"/>
      <c r="D424" s="16" t="n"/>
      <c r="E424" s="17">
        <f>IF($D424="","",IFERROR(INDEX(rngCadetPIDs,MATCH($D424,rngCadetNames,0)),"?"))</f>
        <v/>
      </c>
      <c r="F424" s="17">
        <f>IF($E424="","",IFERROR(INDEX(nrCadetAgency,MATCH($E424,rngCadetPIDs,0)),""))</f>
        <v/>
      </c>
      <c r="G424" s="16" t="n"/>
      <c r="H424" s="16" t="n"/>
      <c r="I424" s="16" t="n"/>
      <c r="J424" s="16" t="n"/>
      <c r="K424" s="17">
        <f>IF($G424="","",IF(OR($G424="PT Missed",$G424="PT Modified",$G424="PT Refused"),"Yes","No"))</f>
        <v/>
      </c>
      <c r="L424" s="16" t="n"/>
      <c r="M424" s="16" t="n"/>
      <c r="N424" s="17">
        <f>IF($D424="","",IF($M424="Excused","No",IF(AND($G424="PT Modified",$L424="Received"),"No","Yes")))</f>
        <v/>
      </c>
      <c r="O424" s="16" t="n"/>
      <c r="P424" s="17">
        <f>IF(OR($B424="",N($I424)=0),"",MIN(N($I424),SUMIFS(nrMK_Min,nrMK_Link,$B424,nrMK_Credit,"Yes",nrMK_PID,$E424,nrMK_Type,"Classroom")))</f>
        <v/>
      </c>
      <c r="Q424" s="17">
        <f>IF(OR($B424="",N($J424)=0),"",MIN(N($J424),SUMIFS(nrMK_Sess,nrMK_Link,$B424,nrMK_Credit,"Yes",nrMK_PID,$E424,nrMK_Type,"PT")))</f>
        <v/>
      </c>
      <c r="R424" s="17">
        <f>IF(OR($B424="",$N424&lt;&gt;"Yes"),"",IF($K424="Yes",IF(N($J424)&gt;0,N($J424)-N($Q424),""),IF(N($I424)&gt;0,N($I424)-N($P424),"")))</f>
        <v/>
      </c>
      <c r="S424" s="17">
        <f>IF(OR($B424="",$R424=""),"",IF($R424&lt;=0,IF(IFERROR(_xlfn.MAXIFS(nrMK_Date,nrMK_Link,$B424,nrMK_Credit,"Yes",nrMK_PID,$E424),0)=0,"CLEARED (makeup date missing)","CLEARED "&amp;TEXT(_xlfn.MAXIFS(nrMK_Date,nrMK_Link,$B424,nrMK_Credit,"Yes",nrMK_PID,$E424),"mm/dd")),"OPEN"))</f>
        <v/>
      </c>
      <c r="T424" s="17">
        <f>IF($D424="","",IF($C424="","NO DATE",IF($G424="","NO EVENT TYPE",IF(AND($I424&lt;&gt;"",NOT(ISNUMBER($I424))),"MINUTES NOT A NUMBER",IF(AND($J424&lt;&gt;"",NOT(ISNUMBER($J424))),"SESSIONS NOT A NUMBER",IF(OR(N($I424)&lt;0,N($J424)&lt;0),"NEGATIVE MINUTES/SESSIONS",IF(AND($K424="Yes",N($I424)&gt;0),"MINUTES ON A PT EVENT - not counted (PT counts sessions)",IF(AND($K424="No",N($J424)&gt;0),"SESSIONS ON A CLASSROOM EVENT - not counted (classroom counts minutes)",IF(AND($N424="Yes",$K424="Yes",N($J424)=0),"COUNTED PT EVENT WITH NO SESSIONS - dropped from the PT cap",IF(AND($N424="Yes",$K424="No",N($I424)=0),"COUNTED EVENT WITH NO MINUTES - dropped from the classroom cap","OK"))))))))))</f>
        <v/>
      </c>
    </row>
    <row r="425">
      <c r="B425" s="17">
        <f>IF($D425="","","A"&amp;TEXT(ROW()-5,"000"))</f>
        <v/>
      </c>
      <c r="C425" s="18" t="n"/>
      <c r="D425" s="16" t="n"/>
      <c r="E425" s="17">
        <f>IF($D425="","",IFERROR(INDEX(rngCadetPIDs,MATCH($D425,rngCadetNames,0)),"?"))</f>
        <v/>
      </c>
      <c r="F425" s="17">
        <f>IF($E425="","",IFERROR(INDEX(nrCadetAgency,MATCH($E425,rngCadetPIDs,0)),""))</f>
        <v/>
      </c>
      <c r="G425" s="16" t="n"/>
      <c r="H425" s="16" t="n"/>
      <c r="I425" s="16" t="n"/>
      <c r="J425" s="16" t="n"/>
      <c r="K425" s="17">
        <f>IF($G425="","",IF(OR($G425="PT Missed",$G425="PT Modified",$G425="PT Refused"),"Yes","No"))</f>
        <v/>
      </c>
      <c r="L425" s="16" t="n"/>
      <c r="M425" s="16" t="n"/>
      <c r="N425" s="17">
        <f>IF($D425="","",IF($M425="Excused","No",IF(AND($G425="PT Modified",$L425="Received"),"No","Yes")))</f>
        <v/>
      </c>
      <c r="O425" s="16" t="n"/>
      <c r="P425" s="17">
        <f>IF(OR($B425="",N($I425)=0),"",MIN(N($I425),SUMIFS(nrMK_Min,nrMK_Link,$B425,nrMK_Credit,"Yes",nrMK_PID,$E425,nrMK_Type,"Classroom")))</f>
        <v/>
      </c>
      <c r="Q425" s="17">
        <f>IF(OR($B425="",N($J425)=0),"",MIN(N($J425),SUMIFS(nrMK_Sess,nrMK_Link,$B425,nrMK_Credit,"Yes",nrMK_PID,$E425,nrMK_Type,"PT")))</f>
        <v/>
      </c>
      <c r="R425" s="17">
        <f>IF(OR($B425="",$N425&lt;&gt;"Yes"),"",IF($K425="Yes",IF(N($J425)&gt;0,N($J425)-N($Q425),""),IF(N($I425)&gt;0,N($I425)-N($P425),"")))</f>
        <v/>
      </c>
      <c r="S425" s="17">
        <f>IF(OR($B425="",$R425=""),"",IF($R425&lt;=0,IF(IFERROR(_xlfn.MAXIFS(nrMK_Date,nrMK_Link,$B425,nrMK_Credit,"Yes",nrMK_PID,$E425),0)=0,"CLEARED (makeup date missing)","CLEARED "&amp;TEXT(_xlfn.MAXIFS(nrMK_Date,nrMK_Link,$B425,nrMK_Credit,"Yes",nrMK_PID,$E425),"mm/dd")),"OPEN"))</f>
        <v/>
      </c>
      <c r="T425" s="17">
        <f>IF($D425="","",IF($C425="","NO DATE",IF($G425="","NO EVENT TYPE",IF(AND($I425&lt;&gt;"",NOT(ISNUMBER($I425))),"MINUTES NOT A NUMBER",IF(AND($J425&lt;&gt;"",NOT(ISNUMBER($J425))),"SESSIONS NOT A NUMBER",IF(OR(N($I425)&lt;0,N($J425)&lt;0),"NEGATIVE MINUTES/SESSIONS",IF(AND($K425="Yes",N($I425)&gt;0),"MINUTES ON A PT EVENT - not counted (PT counts sessions)",IF(AND($K425="No",N($J425)&gt;0),"SESSIONS ON A CLASSROOM EVENT - not counted (classroom counts minutes)",IF(AND($N425="Yes",$K425="Yes",N($J425)=0),"COUNTED PT EVENT WITH NO SESSIONS - dropped from the PT cap",IF(AND($N425="Yes",$K425="No",N($I425)=0),"COUNTED EVENT WITH NO MINUTES - dropped from the classroom cap","OK"))))))))))</f>
        <v/>
      </c>
    </row>
    <row r="426">
      <c r="B426" s="17">
        <f>IF($D426="","","A"&amp;TEXT(ROW()-5,"000"))</f>
        <v/>
      </c>
      <c r="C426" s="18" t="n"/>
      <c r="D426" s="16" t="n"/>
      <c r="E426" s="17">
        <f>IF($D426="","",IFERROR(INDEX(rngCadetPIDs,MATCH($D426,rngCadetNames,0)),"?"))</f>
        <v/>
      </c>
      <c r="F426" s="17">
        <f>IF($E426="","",IFERROR(INDEX(nrCadetAgency,MATCH($E426,rngCadetPIDs,0)),""))</f>
        <v/>
      </c>
      <c r="G426" s="16" t="n"/>
      <c r="H426" s="16" t="n"/>
      <c r="I426" s="16" t="n"/>
      <c r="J426" s="16" t="n"/>
      <c r="K426" s="17">
        <f>IF($G426="","",IF(OR($G426="PT Missed",$G426="PT Modified",$G426="PT Refused"),"Yes","No"))</f>
        <v/>
      </c>
      <c r="L426" s="16" t="n"/>
      <c r="M426" s="16" t="n"/>
      <c r="N426" s="17">
        <f>IF($D426="","",IF($M426="Excused","No",IF(AND($G426="PT Modified",$L426="Received"),"No","Yes")))</f>
        <v/>
      </c>
      <c r="O426" s="16" t="n"/>
      <c r="P426" s="17">
        <f>IF(OR($B426="",N($I426)=0),"",MIN(N($I426),SUMIFS(nrMK_Min,nrMK_Link,$B426,nrMK_Credit,"Yes",nrMK_PID,$E426,nrMK_Type,"Classroom")))</f>
        <v/>
      </c>
      <c r="Q426" s="17">
        <f>IF(OR($B426="",N($J426)=0),"",MIN(N($J426),SUMIFS(nrMK_Sess,nrMK_Link,$B426,nrMK_Credit,"Yes",nrMK_PID,$E426,nrMK_Type,"PT")))</f>
        <v/>
      </c>
      <c r="R426" s="17">
        <f>IF(OR($B426="",$N426&lt;&gt;"Yes"),"",IF($K426="Yes",IF(N($J426)&gt;0,N($J426)-N($Q426),""),IF(N($I426)&gt;0,N($I426)-N($P426),"")))</f>
        <v/>
      </c>
      <c r="S426" s="17">
        <f>IF(OR($B426="",$R426=""),"",IF($R426&lt;=0,IF(IFERROR(_xlfn.MAXIFS(nrMK_Date,nrMK_Link,$B426,nrMK_Credit,"Yes",nrMK_PID,$E426),0)=0,"CLEARED (makeup date missing)","CLEARED "&amp;TEXT(_xlfn.MAXIFS(nrMK_Date,nrMK_Link,$B426,nrMK_Credit,"Yes",nrMK_PID,$E426),"mm/dd")),"OPEN"))</f>
        <v/>
      </c>
      <c r="T426" s="17">
        <f>IF($D426="","",IF($C426="","NO DATE",IF($G426="","NO EVENT TYPE",IF(AND($I426&lt;&gt;"",NOT(ISNUMBER($I426))),"MINUTES NOT A NUMBER",IF(AND($J426&lt;&gt;"",NOT(ISNUMBER($J426))),"SESSIONS NOT A NUMBER",IF(OR(N($I426)&lt;0,N($J426)&lt;0),"NEGATIVE MINUTES/SESSIONS",IF(AND($K426="Yes",N($I426)&gt;0),"MINUTES ON A PT EVENT - not counted (PT counts sessions)",IF(AND($K426="No",N($J426)&gt;0),"SESSIONS ON A CLASSROOM EVENT - not counted (classroom counts minutes)",IF(AND($N426="Yes",$K426="Yes",N($J426)=0),"COUNTED PT EVENT WITH NO SESSIONS - dropped from the PT cap",IF(AND($N426="Yes",$K426="No",N($I426)=0),"COUNTED EVENT WITH NO MINUTES - dropped from the classroom cap","OK"))))))))))</f>
        <v/>
      </c>
    </row>
    <row r="427">
      <c r="B427" s="17">
        <f>IF($D427="","","A"&amp;TEXT(ROW()-5,"000"))</f>
        <v/>
      </c>
      <c r="C427" s="18" t="n"/>
      <c r="D427" s="16" t="n"/>
      <c r="E427" s="17">
        <f>IF($D427="","",IFERROR(INDEX(rngCadetPIDs,MATCH($D427,rngCadetNames,0)),"?"))</f>
        <v/>
      </c>
      <c r="F427" s="17">
        <f>IF($E427="","",IFERROR(INDEX(nrCadetAgency,MATCH($E427,rngCadetPIDs,0)),""))</f>
        <v/>
      </c>
      <c r="G427" s="16" t="n"/>
      <c r="H427" s="16" t="n"/>
      <c r="I427" s="16" t="n"/>
      <c r="J427" s="16" t="n"/>
      <c r="K427" s="17">
        <f>IF($G427="","",IF(OR($G427="PT Missed",$G427="PT Modified",$G427="PT Refused"),"Yes","No"))</f>
        <v/>
      </c>
      <c r="L427" s="16" t="n"/>
      <c r="M427" s="16" t="n"/>
      <c r="N427" s="17">
        <f>IF($D427="","",IF($M427="Excused","No",IF(AND($G427="PT Modified",$L427="Received"),"No","Yes")))</f>
        <v/>
      </c>
      <c r="O427" s="16" t="n"/>
      <c r="P427" s="17">
        <f>IF(OR($B427="",N($I427)=0),"",MIN(N($I427),SUMIFS(nrMK_Min,nrMK_Link,$B427,nrMK_Credit,"Yes",nrMK_PID,$E427,nrMK_Type,"Classroom")))</f>
        <v/>
      </c>
      <c r="Q427" s="17">
        <f>IF(OR($B427="",N($J427)=0),"",MIN(N($J427),SUMIFS(nrMK_Sess,nrMK_Link,$B427,nrMK_Credit,"Yes",nrMK_PID,$E427,nrMK_Type,"PT")))</f>
        <v/>
      </c>
      <c r="R427" s="17">
        <f>IF(OR($B427="",$N427&lt;&gt;"Yes"),"",IF($K427="Yes",IF(N($J427)&gt;0,N($J427)-N($Q427),""),IF(N($I427)&gt;0,N($I427)-N($P427),"")))</f>
        <v/>
      </c>
      <c r="S427" s="17">
        <f>IF(OR($B427="",$R427=""),"",IF($R427&lt;=0,IF(IFERROR(_xlfn.MAXIFS(nrMK_Date,nrMK_Link,$B427,nrMK_Credit,"Yes",nrMK_PID,$E427),0)=0,"CLEARED (makeup date missing)","CLEARED "&amp;TEXT(_xlfn.MAXIFS(nrMK_Date,nrMK_Link,$B427,nrMK_Credit,"Yes",nrMK_PID,$E427),"mm/dd")),"OPEN"))</f>
        <v/>
      </c>
      <c r="T427" s="17">
        <f>IF($D427="","",IF($C427="","NO DATE",IF($G427="","NO EVENT TYPE",IF(AND($I427&lt;&gt;"",NOT(ISNUMBER($I427))),"MINUTES NOT A NUMBER",IF(AND($J427&lt;&gt;"",NOT(ISNUMBER($J427))),"SESSIONS NOT A NUMBER",IF(OR(N($I427)&lt;0,N($J427)&lt;0),"NEGATIVE MINUTES/SESSIONS",IF(AND($K427="Yes",N($I427)&gt;0),"MINUTES ON A PT EVENT - not counted (PT counts sessions)",IF(AND($K427="No",N($J427)&gt;0),"SESSIONS ON A CLASSROOM EVENT - not counted (classroom counts minutes)",IF(AND($N427="Yes",$K427="Yes",N($J427)=0),"COUNTED PT EVENT WITH NO SESSIONS - dropped from the PT cap",IF(AND($N427="Yes",$K427="No",N($I427)=0),"COUNTED EVENT WITH NO MINUTES - dropped from the classroom cap","OK"))))))))))</f>
        <v/>
      </c>
    </row>
    <row r="428">
      <c r="B428" s="17">
        <f>IF($D428="","","A"&amp;TEXT(ROW()-5,"000"))</f>
        <v/>
      </c>
      <c r="C428" s="18" t="n"/>
      <c r="D428" s="16" t="n"/>
      <c r="E428" s="17">
        <f>IF($D428="","",IFERROR(INDEX(rngCadetPIDs,MATCH($D428,rngCadetNames,0)),"?"))</f>
        <v/>
      </c>
      <c r="F428" s="17">
        <f>IF($E428="","",IFERROR(INDEX(nrCadetAgency,MATCH($E428,rngCadetPIDs,0)),""))</f>
        <v/>
      </c>
      <c r="G428" s="16" t="n"/>
      <c r="H428" s="16" t="n"/>
      <c r="I428" s="16" t="n"/>
      <c r="J428" s="16" t="n"/>
      <c r="K428" s="17">
        <f>IF($G428="","",IF(OR($G428="PT Missed",$G428="PT Modified",$G428="PT Refused"),"Yes","No"))</f>
        <v/>
      </c>
      <c r="L428" s="16" t="n"/>
      <c r="M428" s="16" t="n"/>
      <c r="N428" s="17">
        <f>IF($D428="","",IF($M428="Excused","No",IF(AND($G428="PT Modified",$L428="Received"),"No","Yes")))</f>
        <v/>
      </c>
      <c r="O428" s="16" t="n"/>
      <c r="P428" s="17">
        <f>IF(OR($B428="",N($I428)=0),"",MIN(N($I428),SUMIFS(nrMK_Min,nrMK_Link,$B428,nrMK_Credit,"Yes",nrMK_PID,$E428,nrMK_Type,"Classroom")))</f>
        <v/>
      </c>
      <c r="Q428" s="17">
        <f>IF(OR($B428="",N($J428)=0),"",MIN(N($J428),SUMIFS(nrMK_Sess,nrMK_Link,$B428,nrMK_Credit,"Yes",nrMK_PID,$E428,nrMK_Type,"PT")))</f>
        <v/>
      </c>
      <c r="R428" s="17">
        <f>IF(OR($B428="",$N428&lt;&gt;"Yes"),"",IF($K428="Yes",IF(N($J428)&gt;0,N($J428)-N($Q428),""),IF(N($I428)&gt;0,N($I428)-N($P428),"")))</f>
        <v/>
      </c>
      <c r="S428" s="17">
        <f>IF(OR($B428="",$R428=""),"",IF($R428&lt;=0,IF(IFERROR(_xlfn.MAXIFS(nrMK_Date,nrMK_Link,$B428,nrMK_Credit,"Yes",nrMK_PID,$E428),0)=0,"CLEARED (makeup date missing)","CLEARED "&amp;TEXT(_xlfn.MAXIFS(nrMK_Date,nrMK_Link,$B428,nrMK_Credit,"Yes",nrMK_PID,$E428),"mm/dd")),"OPEN"))</f>
        <v/>
      </c>
      <c r="T428" s="17">
        <f>IF($D428="","",IF($C428="","NO DATE",IF($G428="","NO EVENT TYPE",IF(AND($I428&lt;&gt;"",NOT(ISNUMBER($I428))),"MINUTES NOT A NUMBER",IF(AND($J428&lt;&gt;"",NOT(ISNUMBER($J428))),"SESSIONS NOT A NUMBER",IF(OR(N($I428)&lt;0,N($J428)&lt;0),"NEGATIVE MINUTES/SESSIONS",IF(AND($K428="Yes",N($I428)&gt;0),"MINUTES ON A PT EVENT - not counted (PT counts sessions)",IF(AND($K428="No",N($J428)&gt;0),"SESSIONS ON A CLASSROOM EVENT - not counted (classroom counts minutes)",IF(AND($N428="Yes",$K428="Yes",N($J428)=0),"COUNTED PT EVENT WITH NO SESSIONS - dropped from the PT cap",IF(AND($N428="Yes",$K428="No",N($I428)=0),"COUNTED EVENT WITH NO MINUTES - dropped from the classroom cap","OK"))))))))))</f>
        <v/>
      </c>
    </row>
    <row r="429">
      <c r="B429" s="17">
        <f>IF($D429="","","A"&amp;TEXT(ROW()-5,"000"))</f>
        <v/>
      </c>
      <c r="C429" s="18" t="n"/>
      <c r="D429" s="16" t="n"/>
      <c r="E429" s="17">
        <f>IF($D429="","",IFERROR(INDEX(rngCadetPIDs,MATCH($D429,rngCadetNames,0)),"?"))</f>
        <v/>
      </c>
      <c r="F429" s="17">
        <f>IF($E429="","",IFERROR(INDEX(nrCadetAgency,MATCH($E429,rngCadetPIDs,0)),""))</f>
        <v/>
      </c>
      <c r="G429" s="16" t="n"/>
      <c r="H429" s="16" t="n"/>
      <c r="I429" s="16" t="n"/>
      <c r="J429" s="16" t="n"/>
      <c r="K429" s="17">
        <f>IF($G429="","",IF(OR($G429="PT Missed",$G429="PT Modified",$G429="PT Refused"),"Yes","No"))</f>
        <v/>
      </c>
      <c r="L429" s="16" t="n"/>
      <c r="M429" s="16" t="n"/>
      <c r="N429" s="17">
        <f>IF($D429="","",IF($M429="Excused","No",IF(AND($G429="PT Modified",$L429="Received"),"No","Yes")))</f>
        <v/>
      </c>
      <c r="O429" s="16" t="n"/>
      <c r="P429" s="17">
        <f>IF(OR($B429="",N($I429)=0),"",MIN(N($I429),SUMIFS(nrMK_Min,nrMK_Link,$B429,nrMK_Credit,"Yes",nrMK_PID,$E429,nrMK_Type,"Classroom")))</f>
        <v/>
      </c>
      <c r="Q429" s="17">
        <f>IF(OR($B429="",N($J429)=0),"",MIN(N($J429),SUMIFS(nrMK_Sess,nrMK_Link,$B429,nrMK_Credit,"Yes",nrMK_PID,$E429,nrMK_Type,"PT")))</f>
        <v/>
      </c>
      <c r="R429" s="17">
        <f>IF(OR($B429="",$N429&lt;&gt;"Yes"),"",IF($K429="Yes",IF(N($J429)&gt;0,N($J429)-N($Q429),""),IF(N($I429)&gt;0,N($I429)-N($P429),"")))</f>
        <v/>
      </c>
      <c r="S429" s="17">
        <f>IF(OR($B429="",$R429=""),"",IF($R429&lt;=0,IF(IFERROR(_xlfn.MAXIFS(nrMK_Date,nrMK_Link,$B429,nrMK_Credit,"Yes",nrMK_PID,$E429),0)=0,"CLEARED (makeup date missing)","CLEARED "&amp;TEXT(_xlfn.MAXIFS(nrMK_Date,nrMK_Link,$B429,nrMK_Credit,"Yes",nrMK_PID,$E429),"mm/dd")),"OPEN"))</f>
        <v/>
      </c>
      <c r="T429" s="17">
        <f>IF($D429="","",IF($C429="","NO DATE",IF($G429="","NO EVENT TYPE",IF(AND($I429&lt;&gt;"",NOT(ISNUMBER($I429))),"MINUTES NOT A NUMBER",IF(AND($J429&lt;&gt;"",NOT(ISNUMBER($J429))),"SESSIONS NOT A NUMBER",IF(OR(N($I429)&lt;0,N($J429)&lt;0),"NEGATIVE MINUTES/SESSIONS",IF(AND($K429="Yes",N($I429)&gt;0),"MINUTES ON A PT EVENT - not counted (PT counts sessions)",IF(AND($K429="No",N($J429)&gt;0),"SESSIONS ON A CLASSROOM EVENT - not counted (classroom counts minutes)",IF(AND($N429="Yes",$K429="Yes",N($J429)=0),"COUNTED PT EVENT WITH NO SESSIONS - dropped from the PT cap",IF(AND($N429="Yes",$K429="No",N($I429)=0),"COUNTED EVENT WITH NO MINUTES - dropped from the classroom cap","OK"))))))))))</f>
        <v/>
      </c>
    </row>
    <row r="430">
      <c r="B430" s="17">
        <f>IF($D430="","","A"&amp;TEXT(ROW()-5,"000"))</f>
        <v/>
      </c>
      <c r="C430" s="18" t="n"/>
      <c r="D430" s="16" t="n"/>
      <c r="E430" s="17">
        <f>IF($D430="","",IFERROR(INDEX(rngCadetPIDs,MATCH($D430,rngCadetNames,0)),"?"))</f>
        <v/>
      </c>
      <c r="F430" s="17">
        <f>IF($E430="","",IFERROR(INDEX(nrCadetAgency,MATCH($E430,rngCadetPIDs,0)),""))</f>
        <v/>
      </c>
      <c r="G430" s="16" t="n"/>
      <c r="H430" s="16" t="n"/>
      <c r="I430" s="16" t="n"/>
      <c r="J430" s="16" t="n"/>
      <c r="K430" s="17">
        <f>IF($G430="","",IF(OR($G430="PT Missed",$G430="PT Modified",$G430="PT Refused"),"Yes","No"))</f>
        <v/>
      </c>
      <c r="L430" s="16" t="n"/>
      <c r="M430" s="16" t="n"/>
      <c r="N430" s="17">
        <f>IF($D430="","",IF($M430="Excused","No",IF(AND($G430="PT Modified",$L430="Received"),"No","Yes")))</f>
        <v/>
      </c>
      <c r="O430" s="16" t="n"/>
      <c r="P430" s="17">
        <f>IF(OR($B430="",N($I430)=0),"",MIN(N($I430),SUMIFS(nrMK_Min,nrMK_Link,$B430,nrMK_Credit,"Yes",nrMK_PID,$E430,nrMK_Type,"Classroom")))</f>
        <v/>
      </c>
      <c r="Q430" s="17">
        <f>IF(OR($B430="",N($J430)=0),"",MIN(N($J430),SUMIFS(nrMK_Sess,nrMK_Link,$B430,nrMK_Credit,"Yes",nrMK_PID,$E430,nrMK_Type,"PT")))</f>
        <v/>
      </c>
      <c r="R430" s="17">
        <f>IF(OR($B430="",$N430&lt;&gt;"Yes"),"",IF($K430="Yes",IF(N($J430)&gt;0,N($J430)-N($Q430),""),IF(N($I430)&gt;0,N($I430)-N($P430),"")))</f>
        <v/>
      </c>
      <c r="S430" s="17">
        <f>IF(OR($B430="",$R430=""),"",IF($R430&lt;=0,IF(IFERROR(_xlfn.MAXIFS(nrMK_Date,nrMK_Link,$B430,nrMK_Credit,"Yes",nrMK_PID,$E430),0)=0,"CLEARED (makeup date missing)","CLEARED "&amp;TEXT(_xlfn.MAXIFS(nrMK_Date,nrMK_Link,$B430,nrMK_Credit,"Yes",nrMK_PID,$E430),"mm/dd")),"OPEN"))</f>
        <v/>
      </c>
      <c r="T430" s="17">
        <f>IF($D430="","",IF($C430="","NO DATE",IF($G430="","NO EVENT TYPE",IF(AND($I430&lt;&gt;"",NOT(ISNUMBER($I430))),"MINUTES NOT A NUMBER",IF(AND($J430&lt;&gt;"",NOT(ISNUMBER($J430))),"SESSIONS NOT A NUMBER",IF(OR(N($I430)&lt;0,N($J430)&lt;0),"NEGATIVE MINUTES/SESSIONS",IF(AND($K430="Yes",N($I430)&gt;0),"MINUTES ON A PT EVENT - not counted (PT counts sessions)",IF(AND($K430="No",N($J430)&gt;0),"SESSIONS ON A CLASSROOM EVENT - not counted (classroom counts minutes)",IF(AND($N430="Yes",$K430="Yes",N($J430)=0),"COUNTED PT EVENT WITH NO SESSIONS - dropped from the PT cap",IF(AND($N430="Yes",$K430="No",N($I430)=0),"COUNTED EVENT WITH NO MINUTES - dropped from the classroom cap","OK"))))))))))</f>
        <v/>
      </c>
    </row>
    <row r="431">
      <c r="B431" s="17">
        <f>IF($D431="","","A"&amp;TEXT(ROW()-5,"000"))</f>
        <v/>
      </c>
      <c r="C431" s="18" t="n"/>
      <c r="D431" s="16" t="n"/>
      <c r="E431" s="17">
        <f>IF($D431="","",IFERROR(INDEX(rngCadetPIDs,MATCH($D431,rngCadetNames,0)),"?"))</f>
        <v/>
      </c>
      <c r="F431" s="17">
        <f>IF($E431="","",IFERROR(INDEX(nrCadetAgency,MATCH($E431,rngCadetPIDs,0)),""))</f>
        <v/>
      </c>
      <c r="G431" s="16" t="n"/>
      <c r="H431" s="16" t="n"/>
      <c r="I431" s="16" t="n"/>
      <c r="J431" s="16" t="n"/>
      <c r="K431" s="17">
        <f>IF($G431="","",IF(OR($G431="PT Missed",$G431="PT Modified",$G431="PT Refused"),"Yes","No"))</f>
        <v/>
      </c>
      <c r="L431" s="16" t="n"/>
      <c r="M431" s="16" t="n"/>
      <c r="N431" s="17">
        <f>IF($D431="","",IF($M431="Excused","No",IF(AND($G431="PT Modified",$L431="Received"),"No","Yes")))</f>
        <v/>
      </c>
      <c r="O431" s="16" t="n"/>
      <c r="P431" s="17">
        <f>IF(OR($B431="",N($I431)=0),"",MIN(N($I431),SUMIFS(nrMK_Min,nrMK_Link,$B431,nrMK_Credit,"Yes",nrMK_PID,$E431,nrMK_Type,"Classroom")))</f>
        <v/>
      </c>
      <c r="Q431" s="17">
        <f>IF(OR($B431="",N($J431)=0),"",MIN(N($J431),SUMIFS(nrMK_Sess,nrMK_Link,$B431,nrMK_Credit,"Yes",nrMK_PID,$E431,nrMK_Type,"PT")))</f>
        <v/>
      </c>
      <c r="R431" s="17">
        <f>IF(OR($B431="",$N431&lt;&gt;"Yes"),"",IF($K431="Yes",IF(N($J431)&gt;0,N($J431)-N($Q431),""),IF(N($I431)&gt;0,N($I431)-N($P431),"")))</f>
        <v/>
      </c>
      <c r="S431" s="17">
        <f>IF(OR($B431="",$R431=""),"",IF($R431&lt;=0,IF(IFERROR(_xlfn.MAXIFS(nrMK_Date,nrMK_Link,$B431,nrMK_Credit,"Yes",nrMK_PID,$E431),0)=0,"CLEARED (makeup date missing)","CLEARED "&amp;TEXT(_xlfn.MAXIFS(nrMK_Date,nrMK_Link,$B431,nrMK_Credit,"Yes",nrMK_PID,$E431),"mm/dd")),"OPEN"))</f>
        <v/>
      </c>
      <c r="T431" s="17">
        <f>IF($D431="","",IF($C431="","NO DATE",IF($G431="","NO EVENT TYPE",IF(AND($I431&lt;&gt;"",NOT(ISNUMBER($I431))),"MINUTES NOT A NUMBER",IF(AND($J431&lt;&gt;"",NOT(ISNUMBER($J431))),"SESSIONS NOT A NUMBER",IF(OR(N($I431)&lt;0,N($J431)&lt;0),"NEGATIVE MINUTES/SESSIONS",IF(AND($K431="Yes",N($I431)&gt;0),"MINUTES ON A PT EVENT - not counted (PT counts sessions)",IF(AND($K431="No",N($J431)&gt;0),"SESSIONS ON A CLASSROOM EVENT - not counted (classroom counts minutes)",IF(AND($N431="Yes",$K431="Yes",N($J431)=0),"COUNTED PT EVENT WITH NO SESSIONS - dropped from the PT cap",IF(AND($N431="Yes",$K431="No",N($I431)=0),"COUNTED EVENT WITH NO MINUTES - dropped from the classroom cap","OK"))))))))))</f>
        <v/>
      </c>
    </row>
    <row r="432">
      <c r="B432" s="17">
        <f>IF($D432="","","A"&amp;TEXT(ROW()-5,"000"))</f>
        <v/>
      </c>
      <c r="C432" s="18" t="n"/>
      <c r="D432" s="16" t="n"/>
      <c r="E432" s="17">
        <f>IF($D432="","",IFERROR(INDEX(rngCadetPIDs,MATCH($D432,rngCadetNames,0)),"?"))</f>
        <v/>
      </c>
      <c r="F432" s="17">
        <f>IF($E432="","",IFERROR(INDEX(nrCadetAgency,MATCH($E432,rngCadetPIDs,0)),""))</f>
        <v/>
      </c>
      <c r="G432" s="16" t="n"/>
      <c r="H432" s="16" t="n"/>
      <c r="I432" s="16" t="n"/>
      <c r="J432" s="16" t="n"/>
      <c r="K432" s="17">
        <f>IF($G432="","",IF(OR($G432="PT Missed",$G432="PT Modified",$G432="PT Refused"),"Yes","No"))</f>
        <v/>
      </c>
      <c r="L432" s="16" t="n"/>
      <c r="M432" s="16" t="n"/>
      <c r="N432" s="17">
        <f>IF($D432="","",IF($M432="Excused","No",IF(AND($G432="PT Modified",$L432="Received"),"No","Yes")))</f>
        <v/>
      </c>
      <c r="O432" s="16" t="n"/>
      <c r="P432" s="17">
        <f>IF(OR($B432="",N($I432)=0),"",MIN(N($I432),SUMIFS(nrMK_Min,nrMK_Link,$B432,nrMK_Credit,"Yes",nrMK_PID,$E432,nrMK_Type,"Classroom")))</f>
        <v/>
      </c>
      <c r="Q432" s="17">
        <f>IF(OR($B432="",N($J432)=0),"",MIN(N($J432),SUMIFS(nrMK_Sess,nrMK_Link,$B432,nrMK_Credit,"Yes",nrMK_PID,$E432,nrMK_Type,"PT")))</f>
        <v/>
      </c>
      <c r="R432" s="17">
        <f>IF(OR($B432="",$N432&lt;&gt;"Yes"),"",IF($K432="Yes",IF(N($J432)&gt;0,N($J432)-N($Q432),""),IF(N($I432)&gt;0,N($I432)-N($P432),"")))</f>
        <v/>
      </c>
      <c r="S432" s="17">
        <f>IF(OR($B432="",$R432=""),"",IF($R432&lt;=0,IF(IFERROR(_xlfn.MAXIFS(nrMK_Date,nrMK_Link,$B432,nrMK_Credit,"Yes",nrMK_PID,$E432),0)=0,"CLEARED (makeup date missing)","CLEARED "&amp;TEXT(_xlfn.MAXIFS(nrMK_Date,nrMK_Link,$B432,nrMK_Credit,"Yes",nrMK_PID,$E432),"mm/dd")),"OPEN"))</f>
        <v/>
      </c>
      <c r="T432" s="17">
        <f>IF($D432="","",IF($C432="","NO DATE",IF($G432="","NO EVENT TYPE",IF(AND($I432&lt;&gt;"",NOT(ISNUMBER($I432))),"MINUTES NOT A NUMBER",IF(AND($J432&lt;&gt;"",NOT(ISNUMBER($J432))),"SESSIONS NOT A NUMBER",IF(OR(N($I432)&lt;0,N($J432)&lt;0),"NEGATIVE MINUTES/SESSIONS",IF(AND($K432="Yes",N($I432)&gt;0),"MINUTES ON A PT EVENT - not counted (PT counts sessions)",IF(AND($K432="No",N($J432)&gt;0),"SESSIONS ON A CLASSROOM EVENT - not counted (classroom counts minutes)",IF(AND($N432="Yes",$K432="Yes",N($J432)=0),"COUNTED PT EVENT WITH NO SESSIONS - dropped from the PT cap",IF(AND($N432="Yes",$K432="No",N($I432)=0),"COUNTED EVENT WITH NO MINUTES - dropped from the classroom cap","OK"))))))))))</f>
        <v/>
      </c>
    </row>
    <row r="433">
      <c r="B433" s="17">
        <f>IF($D433="","","A"&amp;TEXT(ROW()-5,"000"))</f>
        <v/>
      </c>
      <c r="C433" s="18" t="n"/>
      <c r="D433" s="16" t="n"/>
      <c r="E433" s="17">
        <f>IF($D433="","",IFERROR(INDEX(rngCadetPIDs,MATCH($D433,rngCadetNames,0)),"?"))</f>
        <v/>
      </c>
      <c r="F433" s="17">
        <f>IF($E433="","",IFERROR(INDEX(nrCadetAgency,MATCH($E433,rngCadetPIDs,0)),""))</f>
        <v/>
      </c>
      <c r="G433" s="16" t="n"/>
      <c r="H433" s="16" t="n"/>
      <c r="I433" s="16" t="n"/>
      <c r="J433" s="16" t="n"/>
      <c r="K433" s="17">
        <f>IF($G433="","",IF(OR($G433="PT Missed",$G433="PT Modified",$G433="PT Refused"),"Yes","No"))</f>
        <v/>
      </c>
      <c r="L433" s="16" t="n"/>
      <c r="M433" s="16" t="n"/>
      <c r="N433" s="17">
        <f>IF($D433="","",IF($M433="Excused","No",IF(AND($G433="PT Modified",$L433="Received"),"No","Yes")))</f>
        <v/>
      </c>
      <c r="O433" s="16" t="n"/>
      <c r="P433" s="17">
        <f>IF(OR($B433="",N($I433)=0),"",MIN(N($I433),SUMIFS(nrMK_Min,nrMK_Link,$B433,nrMK_Credit,"Yes",nrMK_PID,$E433,nrMK_Type,"Classroom")))</f>
        <v/>
      </c>
      <c r="Q433" s="17">
        <f>IF(OR($B433="",N($J433)=0),"",MIN(N($J433),SUMIFS(nrMK_Sess,nrMK_Link,$B433,nrMK_Credit,"Yes",nrMK_PID,$E433,nrMK_Type,"PT")))</f>
        <v/>
      </c>
      <c r="R433" s="17">
        <f>IF(OR($B433="",$N433&lt;&gt;"Yes"),"",IF($K433="Yes",IF(N($J433)&gt;0,N($J433)-N($Q433),""),IF(N($I433)&gt;0,N($I433)-N($P433),"")))</f>
        <v/>
      </c>
      <c r="S433" s="17">
        <f>IF(OR($B433="",$R433=""),"",IF($R433&lt;=0,IF(IFERROR(_xlfn.MAXIFS(nrMK_Date,nrMK_Link,$B433,nrMK_Credit,"Yes",nrMK_PID,$E433),0)=0,"CLEARED (makeup date missing)","CLEARED "&amp;TEXT(_xlfn.MAXIFS(nrMK_Date,nrMK_Link,$B433,nrMK_Credit,"Yes",nrMK_PID,$E433),"mm/dd")),"OPEN"))</f>
        <v/>
      </c>
      <c r="T433" s="17">
        <f>IF($D433="","",IF($C433="","NO DATE",IF($G433="","NO EVENT TYPE",IF(AND($I433&lt;&gt;"",NOT(ISNUMBER($I433))),"MINUTES NOT A NUMBER",IF(AND($J433&lt;&gt;"",NOT(ISNUMBER($J433))),"SESSIONS NOT A NUMBER",IF(OR(N($I433)&lt;0,N($J433)&lt;0),"NEGATIVE MINUTES/SESSIONS",IF(AND($K433="Yes",N($I433)&gt;0),"MINUTES ON A PT EVENT - not counted (PT counts sessions)",IF(AND($K433="No",N($J433)&gt;0),"SESSIONS ON A CLASSROOM EVENT - not counted (classroom counts minutes)",IF(AND($N433="Yes",$K433="Yes",N($J433)=0),"COUNTED PT EVENT WITH NO SESSIONS - dropped from the PT cap",IF(AND($N433="Yes",$K433="No",N($I433)=0),"COUNTED EVENT WITH NO MINUTES - dropped from the classroom cap","OK"))))))))))</f>
        <v/>
      </c>
    </row>
    <row r="434">
      <c r="B434" s="17">
        <f>IF($D434="","","A"&amp;TEXT(ROW()-5,"000"))</f>
        <v/>
      </c>
      <c r="C434" s="18" t="n"/>
      <c r="D434" s="16" t="n"/>
      <c r="E434" s="17">
        <f>IF($D434="","",IFERROR(INDEX(rngCadetPIDs,MATCH($D434,rngCadetNames,0)),"?"))</f>
        <v/>
      </c>
      <c r="F434" s="17">
        <f>IF($E434="","",IFERROR(INDEX(nrCadetAgency,MATCH($E434,rngCadetPIDs,0)),""))</f>
        <v/>
      </c>
      <c r="G434" s="16" t="n"/>
      <c r="H434" s="16" t="n"/>
      <c r="I434" s="16" t="n"/>
      <c r="J434" s="16" t="n"/>
      <c r="K434" s="17">
        <f>IF($G434="","",IF(OR($G434="PT Missed",$G434="PT Modified",$G434="PT Refused"),"Yes","No"))</f>
        <v/>
      </c>
      <c r="L434" s="16" t="n"/>
      <c r="M434" s="16" t="n"/>
      <c r="N434" s="17">
        <f>IF($D434="","",IF($M434="Excused","No",IF(AND($G434="PT Modified",$L434="Received"),"No","Yes")))</f>
        <v/>
      </c>
      <c r="O434" s="16" t="n"/>
      <c r="P434" s="17">
        <f>IF(OR($B434="",N($I434)=0),"",MIN(N($I434),SUMIFS(nrMK_Min,nrMK_Link,$B434,nrMK_Credit,"Yes",nrMK_PID,$E434,nrMK_Type,"Classroom")))</f>
        <v/>
      </c>
      <c r="Q434" s="17">
        <f>IF(OR($B434="",N($J434)=0),"",MIN(N($J434),SUMIFS(nrMK_Sess,nrMK_Link,$B434,nrMK_Credit,"Yes",nrMK_PID,$E434,nrMK_Type,"PT")))</f>
        <v/>
      </c>
      <c r="R434" s="17">
        <f>IF(OR($B434="",$N434&lt;&gt;"Yes"),"",IF($K434="Yes",IF(N($J434)&gt;0,N($J434)-N($Q434),""),IF(N($I434)&gt;0,N($I434)-N($P434),"")))</f>
        <v/>
      </c>
      <c r="S434" s="17">
        <f>IF(OR($B434="",$R434=""),"",IF($R434&lt;=0,IF(IFERROR(_xlfn.MAXIFS(nrMK_Date,nrMK_Link,$B434,nrMK_Credit,"Yes",nrMK_PID,$E434),0)=0,"CLEARED (makeup date missing)","CLEARED "&amp;TEXT(_xlfn.MAXIFS(nrMK_Date,nrMK_Link,$B434,nrMK_Credit,"Yes",nrMK_PID,$E434),"mm/dd")),"OPEN"))</f>
        <v/>
      </c>
      <c r="T434" s="17">
        <f>IF($D434="","",IF($C434="","NO DATE",IF($G434="","NO EVENT TYPE",IF(AND($I434&lt;&gt;"",NOT(ISNUMBER($I434))),"MINUTES NOT A NUMBER",IF(AND($J434&lt;&gt;"",NOT(ISNUMBER($J434))),"SESSIONS NOT A NUMBER",IF(OR(N($I434)&lt;0,N($J434)&lt;0),"NEGATIVE MINUTES/SESSIONS",IF(AND($K434="Yes",N($I434)&gt;0),"MINUTES ON A PT EVENT - not counted (PT counts sessions)",IF(AND($K434="No",N($J434)&gt;0),"SESSIONS ON A CLASSROOM EVENT - not counted (classroom counts minutes)",IF(AND($N434="Yes",$K434="Yes",N($J434)=0),"COUNTED PT EVENT WITH NO SESSIONS - dropped from the PT cap",IF(AND($N434="Yes",$K434="No",N($I434)=0),"COUNTED EVENT WITH NO MINUTES - dropped from the classroom cap","OK"))))))))))</f>
        <v/>
      </c>
    </row>
    <row r="435">
      <c r="B435" s="17">
        <f>IF($D435="","","A"&amp;TEXT(ROW()-5,"000"))</f>
        <v/>
      </c>
      <c r="C435" s="18" t="n"/>
      <c r="D435" s="16" t="n"/>
      <c r="E435" s="17">
        <f>IF($D435="","",IFERROR(INDEX(rngCadetPIDs,MATCH($D435,rngCadetNames,0)),"?"))</f>
        <v/>
      </c>
      <c r="F435" s="17">
        <f>IF($E435="","",IFERROR(INDEX(nrCadetAgency,MATCH($E435,rngCadetPIDs,0)),""))</f>
        <v/>
      </c>
      <c r="G435" s="16" t="n"/>
      <c r="H435" s="16" t="n"/>
      <c r="I435" s="16" t="n"/>
      <c r="J435" s="16" t="n"/>
      <c r="K435" s="17">
        <f>IF($G435="","",IF(OR($G435="PT Missed",$G435="PT Modified",$G435="PT Refused"),"Yes","No"))</f>
        <v/>
      </c>
      <c r="L435" s="16" t="n"/>
      <c r="M435" s="16" t="n"/>
      <c r="N435" s="17">
        <f>IF($D435="","",IF($M435="Excused","No",IF(AND($G435="PT Modified",$L435="Received"),"No","Yes")))</f>
        <v/>
      </c>
      <c r="O435" s="16" t="n"/>
      <c r="P435" s="17">
        <f>IF(OR($B435="",N($I435)=0),"",MIN(N($I435),SUMIFS(nrMK_Min,nrMK_Link,$B435,nrMK_Credit,"Yes",nrMK_PID,$E435,nrMK_Type,"Classroom")))</f>
        <v/>
      </c>
      <c r="Q435" s="17">
        <f>IF(OR($B435="",N($J435)=0),"",MIN(N($J435),SUMIFS(nrMK_Sess,nrMK_Link,$B435,nrMK_Credit,"Yes",nrMK_PID,$E435,nrMK_Type,"PT")))</f>
        <v/>
      </c>
      <c r="R435" s="17">
        <f>IF(OR($B435="",$N435&lt;&gt;"Yes"),"",IF($K435="Yes",IF(N($J435)&gt;0,N($J435)-N($Q435),""),IF(N($I435)&gt;0,N($I435)-N($P435),"")))</f>
        <v/>
      </c>
      <c r="S435" s="17">
        <f>IF(OR($B435="",$R435=""),"",IF($R435&lt;=0,IF(IFERROR(_xlfn.MAXIFS(nrMK_Date,nrMK_Link,$B435,nrMK_Credit,"Yes",nrMK_PID,$E435),0)=0,"CLEARED (makeup date missing)","CLEARED "&amp;TEXT(_xlfn.MAXIFS(nrMK_Date,nrMK_Link,$B435,nrMK_Credit,"Yes",nrMK_PID,$E435),"mm/dd")),"OPEN"))</f>
        <v/>
      </c>
      <c r="T435" s="17">
        <f>IF($D435="","",IF($C435="","NO DATE",IF($G435="","NO EVENT TYPE",IF(AND($I435&lt;&gt;"",NOT(ISNUMBER($I435))),"MINUTES NOT A NUMBER",IF(AND($J435&lt;&gt;"",NOT(ISNUMBER($J435))),"SESSIONS NOT A NUMBER",IF(OR(N($I435)&lt;0,N($J435)&lt;0),"NEGATIVE MINUTES/SESSIONS",IF(AND($K435="Yes",N($I435)&gt;0),"MINUTES ON A PT EVENT - not counted (PT counts sessions)",IF(AND($K435="No",N($J435)&gt;0),"SESSIONS ON A CLASSROOM EVENT - not counted (classroom counts minutes)",IF(AND($N435="Yes",$K435="Yes",N($J435)=0),"COUNTED PT EVENT WITH NO SESSIONS - dropped from the PT cap",IF(AND($N435="Yes",$K435="No",N($I435)=0),"COUNTED EVENT WITH NO MINUTES - dropped from the classroom cap","OK"))))))))))</f>
        <v/>
      </c>
    </row>
    <row r="436">
      <c r="B436" s="17">
        <f>IF($D436="","","A"&amp;TEXT(ROW()-5,"000"))</f>
        <v/>
      </c>
      <c r="C436" s="18" t="n"/>
      <c r="D436" s="16" t="n"/>
      <c r="E436" s="17">
        <f>IF($D436="","",IFERROR(INDEX(rngCadetPIDs,MATCH($D436,rngCadetNames,0)),"?"))</f>
        <v/>
      </c>
      <c r="F436" s="17">
        <f>IF($E436="","",IFERROR(INDEX(nrCadetAgency,MATCH($E436,rngCadetPIDs,0)),""))</f>
        <v/>
      </c>
      <c r="G436" s="16" t="n"/>
      <c r="H436" s="16" t="n"/>
      <c r="I436" s="16" t="n"/>
      <c r="J436" s="16" t="n"/>
      <c r="K436" s="17">
        <f>IF($G436="","",IF(OR($G436="PT Missed",$G436="PT Modified",$G436="PT Refused"),"Yes","No"))</f>
        <v/>
      </c>
      <c r="L436" s="16" t="n"/>
      <c r="M436" s="16" t="n"/>
      <c r="N436" s="17">
        <f>IF($D436="","",IF($M436="Excused","No",IF(AND($G436="PT Modified",$L436="Received"),"No","Yes")))</f>
        <v/>
      </c>
      <c r="O436" s="16" t="n"/>
      <c r="P436" s="17">
        <f>IF(OR($B436="",N($I436)=0),"",MIN(N($I436),SUMIFS(nrMK_Min,nrMK_Link,$B436,nrMK_Credit,"Yes",nrMK_PID,$E436,nrMK_Type,"Classroom")))</f>
        <v/>
      </c>
      <c r="Q436" s="17">
        <f>IF(OR($B436="",N($J436)=0),"",MIN(N($J436),SUMIFS(nrMK_Sess,nrMK_Link,$B436,nrMK_Credit,"Yes",nrMK_PID,$E436,nrMK_Type,"PT")))</f>
        <v/>
      </c>
      <c r="R436" s="17">
        <f>IF(OR($B436="",$N436&lt;&gt;"Yes"),"",IF($K436="Yes",IF(N($J436)&gt;0,N($J436)-N($Q436),""),IF(N($I436)&gt;0,N($I436)-N($P436),"")))</f>
        <v/>
      </c>
      <c r="S436" s="17">
        <f>IF(OR($B436="",$R436=""),"",IF($R436&lt;=0,IF(IFERROR(_xlfn.MAXIFS(nrMK_Date,nrMK_Link,$B436,nrMK_Credit,"Yes",nrMK_PID,$E436),0)=0,"CLEARED (makeup date missing)","CLEARED "&amp;TEXT(_xlfn.MAXIFS(nrMK_Date,nrMK_Link,$B436,nrMK_Credit,"Yes",nrMK_PID,$E436),"mm/dd")),"OPEN"))</f>
        <v/>
      </c>
      <c r="T436" s="17">
        <f>IF($D436="","",IF($C436="","NO DATE",IF($G436="","NO EVENT TYPE",IF(AND($I436&lt;&gt;"",NOT(ISNUMBER($I436))),"MINUTES NOT A NUMBER",IF(AND($J436&lt;&gt;"",NOT(ISNUMBER($J436))),"SESSIONS NOT A NUMBER",IF(OR(N($I436)&lt;0,N($J436)&lt;0),"NEGATIVE MINUTES/SESSIONS",IF(AND($K436="Yes",N($I436)&gt;0),"MINUTES ON A PT EVENT - not counted (PT counts sessions)",IF(AND($K436="No",N($J436)&gt;0),"SESSIONS ON A CLASSROOM EVENT - not counted (classroom counts minutes)",IF(AND($N436="Yes",$K436="Yes",N($J436)=0),"COUNTED PT EVENT WITH NO SESSIONS - dropped from the PT cap",IF(AND($N436="Yes",$K436="No",N($I436)=0),"COUNTED EVENT WITH NO MINUTES - dropped from the classroom cap","OK"))))))))))</f>
        <v/>
      </c>
    </row>
    <row r="437">
      <c r="B437" s="17">
        <f>IF($D437="","","A"&amp;TEXT(ROW()-5,"000"))</f>
        <v/>
      </c>
      <c r="C437" s="18" t="n"/>
      <c r="D437" s="16" t="n"/>
      <c r="E437" s="17">
        <f>IF($D437="","",IFERROR(INDEX(rngCadetPIDs,MATCH($D437,rngCadetNames,0)),"?"))</f>
        <v/>
      </c>
      <c r="F437" s="17">
        <f>IF($E437="","",IFERROR(INDEX(nrCadetAgency,MATCH($E437,rngCadetPIDs,0)),""))</f>
        <v/>
      </c>
      <c r="G437" s="16" t="n"/>
      <c r="H437" s="16" t="n"/>
      <c r="I437" s="16" t="n"/>
      <c r="J437" s="16" t="n"/>
      <c r="K437" s="17">
        <f>IF($G437="","",IF(OR($G437="PT Missed",$G437="PT Modified",$G437="PT Refused"),"Yes","No"))</f>
        <v/>
      </c>
      <c r="L437" s="16" t="n"/>
      <c r="M437" s="16" t="n"/>
      <c r="N437" s="17">
        <f>IF($D437="","",IF($M437="Excused","No",IF(AND($G437="PT Modified",$L437="Received"),"No","Yes")))</f>
        <v/>
      </c>
      <c r="O437" s="16" t="n"/>
      <c r="P437" s="17">
        <f>IF(OR($B437="",N($I437)=0),"",MIN(N($I437),SUMIFS(nrMK_Min,nrMK_Link,$B437,nrMK_Credit,"Yes",nrMK_PID,$E437,nrMK_Type,"Classroom")))</f>
        <v/>
      </c>
      <c r="Q437" s="17">
        <f>IF(OR($B437="",N($J437)=0),"",MIN(N($J437),SUMIFS(nrMK_Sess,nrMK_Link,$B437,nrMK_Credit,"Yes",nrMK_PID,$E437,nrMK_Type,"PT")))</f>
        <v/>
      </c>
      <c r="R437" s="17">
        <f>IF(OR($B437="",$N437&lt;&gt;"Yes"),"",IF($K437="Yes",IF(N($J437)&gt;0,N($J437)-N($Q437),""),IF(N($I437)&gt;0,N($I437)-N($P437),"")))</f>
        <v/>
      </c>
      <c r="S437" s="17">
        <f>IF(OR($B437="",$R437=""),"",IF($R437&lt;=0,IF(IFERROR(_xlfn.MAXIFS(nrMK_Date,nrMK_Link,$B437,nrMK_Credit,"Yes",nrMK_PID,$E437),0)=0,"CLEARED (makeup date missing)","CLEARED "&amp;TEXT(_xlfn.MAXIFS(nrMK_Date,nrMK_Link,$B437,nrMK_Credit,"Yes",nrMK_PID,$E437),"mm/dd")),"OPEN"))</f>
        <v/>
      </c>
      <c r="T437" s="17">
        <f>IF($D437="","",IF($C437="","NO DATE",IF($G437="","NO EVENT TYPE",IF(AND($I437&lt;&gt;"",NOT(ISNUMBER($I437))),"MINUTES NOT A NUMBER",IF(AND($J437&lt;&gt;"",NOT(ISNUMBER($J437))),"SESSIONS NOT A NUMBER",IF(OR(N($I437)&lt;0,N($J437)&lt;0),"NEGATIVE MINUTES/SESSIONS",IF(AND($K437="Yes",N($I437)&gt;0),"MINUTES ON A PT EVENT - not counted (PT counts sessions)",IF(AND($K437="No",N($J437)&gt;0),"SESSIONS ON A CLASSROOM EVENT - not counted (classroom counts minutes)",IF(AND($N437="Yes",$K437="Yes",N($J437)=0),"COUNTED PT EVENT WITH NO SESSIONS - dropped from the PT cap",IF(AND($N437="Yes",$K437="No",N($I437)=0),"COUNTED EVENT WITH NO MINUTES - dropped from the classroom cap","OK"))))))))))</f>
        <v/>
      </c>
    </row>
    <row r="438">
      <c r="B438" s="17">
        <f>IF($D438="","","A"&amp;TEXT(ROW()-5,"000"))</f>
        <v/>
      </c>
      <c r="C438" s="18" t="n"/>
      <c r="D438" s="16" t="n"/>
      <c r="E438" s="17">
        <f>IF($D438="","",IFERROR(INDEX(rngCadetPIDs,MATCH($D438,rngCadetNames,0)),"?"))</f>
        <v/>
      </c>
      <c r="F438" s="17">
        <f>IF($E438="","",IFERROR(INDEX(nrCadetAgency,MATCH($E438,rngCadetPIDs,0)),""))</f>
        <v/>
      </c>
      <c r="G438" s="16" t="n"/>
      <c r="H438" s="16" t="n"/>
      <c r="I438" s="16" t="n"/>
      <c r="J438" s="16" t="n"/>
      <c r="K438" s="17">
        <f>IF($G438="","",IF(OR($G438="PT Missed",$G438="PT Modified",$G438="PT Refused"),"Yes","No"))</f>
        <v/>
      </c>
      <c r="L438" s="16" t="n"/>
      <c r="M438" s="16" t="n"/>
      <c r="N438" s="17">
        <f>IF($D438="","",IF($M438="Excused","No",IF(AND($G438="PT Modified",$L438="Received"),"No","Yes")))</f>
        <v/>
      </c>
      <c r="O438" s="16" t="n"/>
      <c r="P438" s="17">
        <f>IF(OR($B438="",N($I438)=0),"",MIN(N($I438),SUMIFS(nrMK_Min,nrMK_Link,$B438,nrMK_Credit,"Yes",nrMK_PID,$E438,nrMK_Type,"Classroom")))</f>
        <v/>
      </c>
      <c r="Q438" s="17">
        <f>IF(OR($B438="",N($J438)=0),"",MIN(N($J438),SUMIFS(nrMK_Sess,nrMK_Link,$B438,nrMK_Credit,"Yes",nrMK_PID,$E438,nrMK_Type,"PT")))</f>
        <v/>
      </c>
      <c r="R438" s="17">
        <f>IF(OR($B438="",$N438&lt;&gt;"Yes"),"",IF($K438="Yes",IF(N($J438)&gt;0,N($J438)-N($Q438),""),IF(N($I438)&gt;0,N($I438)-N($P438),"")))</f>
        <v/>
      </c>
      <c r="S438" s="17">
        <f>IF(OR($B438="",$R438=""),"",IF($R438&lt;=0,IF(IFERROR(_xlfn.MAXIFS(nrMK_Date,nrMK_Link,$B438,nrMK_Credit,"Yes",nrMK_PID,$E438),0)=0,"CLEARED (makeup date missing)","CLEARED "&amp;TEXT(_xlfn.MAXIFS(nrMK_Date,nrMK_Link,$B438,nrMK_Credit,"Yes",nrMK_PID,$E438),"mm/dd")),"OPEN"))</f>
        <v/>
      </c>
      <c r="T438" s="17">
        <f>IF($D438="","",IF($C438="","NO DATE",IF($G438="","NO EVENT TYPE",IF(AND($I438&lt;&gt;"",NOT(ISNUMBER($I438))),"MINUTES NOT A NUMBER",IF(AND($J438&lt;&gt;"",NOT(ISNUMBER($J438))),"SESSIONS NOT A NUMBER",IF(OR(N($I438)&lt;0,N($J438)&lt;0),"NEGATIVE MINUTES/SESSIONS",IF(AND($K438="Yes",N($I438)&gt;0),"MINUTES ON A PT EVENT - not counted (PT counts sessions)",IF(AND($K438="No",N($J438)&gt;0),"SESSIONS ON A CLASSROOM EVENT - not counted (classroom counts minutes)",IF(AND($N438="Yes",$K438="Yes",N($J438)=0),"COUNTED PT EVENT WITH NO SESSIONS - dropped from the PT cap",IF(AND($N438="Yes",$K438="No",N($I438)=0),"COUNTED EVENT WITH NO MINUTES - dropped from the classroom cap","OK"))))))))))</f>
        <v/>
      </c>
    </row>
    <row r="439">
      <c r="B439" s="17">
        <f>IF($D439="","","A"&amp;TEXT(ROW()-5,"000"))</f>
        <v/>
      </c>
      <c r="C439" s="18" t="n"/>
      <c r="D439" s="16" t="n"/>
      <c r="E439" s="17">
        <f>IF($D439="","",IFERROR(INDEX(rngCadetPIDs,MATCH($D439,rngCadetNames,0)),"?"))</f>
        <v/>
      </c>
      <c r="F439" s="17">
        <f>IF($E439="","",IFERROR(INDEX(nrCadetAgency,MATCH($E439,rngCadetPIDs,0)),""))</f>
        <v/>
      </c>
      <c r="G439" s="16" t="n"/>
      <c r="H439" s="16" t="n"/>
      <c r="I439" s="16" t="n"/>
      <c r="J439" s="16" t="n"/>
      <c r="K439" s="17">
        <f>IF($G439="","",IF(OR($G439="PT Missed",$G439="PT Modified",$G439="PT Refused"),"Yes","No"))</f>
        <v/>
      </c>
      <c r="L439" s="16" t="n"/>
      <c r="M439" s="16" t="n"/>
      <c r="N439" s="17">
        <f>IF($D439="","",IF($M439="Excused","No",IF(AND($G439="PT Modified",$L439="Received"),"No","Yes")))</f>
        <v/>
      </c>
      <c r="O439" s="16" t="n"/>
      <c r="P439" s="17">
        <f>IF(OR($B439="",N($I439)=0),"",MIN(N($I439),SUMIFS(nrMK_Min,nrMK_Link,$B439,nrMK_Credit,"Yes",nrMK_PID,$E439,nrMK_Type,"Classroom")))</f>
        <v/>
      </c>
      <c r="Q439" s="17">
        <f>IF(OR($B439="",N($J439)=0),"",MIN(N($J439),SUMIFS(nrMK_Sess,nrMK_Link,$B439,nrMK_Credit,"Yes",nrMK_PID,$E439,nrMK_Type,"PT")))</f>
        <v/>
      </c>
      <c r="R439" s="17">
        <f>IF(OR($B439="",$N439&lt;&gt;"Yes"),"",IF($K439="Yes",IF(N($J439)&gt;0,N($J439)-N($Q439),""),IF(N($I439)&gt;0,N($I439)-N($P439),"")))</f>
        <v/>
      </c>
      <c r="S439" s="17">
        <f>IF(OR($B439="",$R439=""),"",IF($R439&lt;=0,IF(IFERROR(_xlfn.MAXIFS(nrMK_Date,nrMK_Link,$B439,nrMK_Credit,"Yes",nrMK_PID,$E439),0)=0,"CLEARED (makeup date missing)","CLEARED "&amp;TEXT(_xlfn.MAXIFS(nrMK_Date,nrMK_Link,$B439,nrMK_Credit,"Yes",nrMK_PID,$E439),"mm/dd")),"OPEN"))</f>
        <v/>
      </c>
      <c r="T439" s="17">
        <f>IF($D439="","",IF($C439="","NO DATE",IF($G439="","NO EVENT TYPE",IF(AND($I439&lt;&gt;"",NOT(ISNUMBER($I439))),"MINUTES NOT A NUMBER",IF(AND($J439&lt;&gt;"",NOT(ISNUMBER($J439))),"SESSIONS NOT A NUMBER",IF(OR(N($I439)&lt;0,N($J439)&lt;0),"NEGATIVE MINUTES/SESSIONS",IF(AND($K439="Yes",N($I439)&gt;0),"MINUTES ON A PT EVENT - not counted (PT counts sessions)",IF(AND($K439="No",N($J439)&gt;0),"SESSIONS ON A CLASSROOM EVENT - not counted (classroom counts minutes)",IF(AND($N439="Yes",$K439="Yes",N($J439)=0),"COUNTED PT EVENT WITH NO SESSIONS - dropped from the PT cap",IF(AND($N439="Yes",$K439="No",N($I439)=0),"COUNTED EVENT WITH NO MINUTES - dropped from the classroom cap","OK"))))))))))</f>
        <v/>
      </c>
    </row>
    <row r="440">
      <c r="B440" s="17">
        <f>IF($D440="","","A"&amp;TEXT(ROW()-5,"000"))</f>
        <v/>
      </c>
      <c r="C440" s="18" t="n"/>
      <c r="D440" s="16" t="n"/>
      <c r="E440" s="17">
        <f>IF($D440="","",IFERROR(INDEX(rngCadetPIDs,MATCH($D440,rngCadetNames,0)),"?"))</f>
        <v/>
      </c>
      <c r="F440" s="17">
        <f>IF($E440="","",IFERROR(INDEX(nrCadetAgency,MATCH($E440,rngCadetPIDs,0)),""))</f>
        <v/>
      </c>
      <c r="G440" s="16" t="n"/>
      <c r="H440" s="16" t="n"/>
      <c r="I440" s="16" t="n"/>
      <c r="J440" s="16" t="n"/>
      <c r="K440" s="17">
        <f>IF($G440="","",IF(OR($G440="PT Missed",$G440="PT Modified",$G440="PT Refused"),"Yes","No"))</f>
        <v/>
      </c>
      <c r="L440" s="16" t="n"/>
      <c r="M440" s="16" t="n"/>
      <c r="N440" s="17">
        <f>IF($D440="","",IF($M440="Excused","No",IF(AND($G440="PT Modified",$L440="Received"),"No","Yes")))</f>
        <v/>
      </c>
      <c r="O440" s="16" t="n"/>
      <c r="P440" s="17">
        <f>IF(OR($B440="",N($I440)=0),"",MIN(N($I440),SUMIFS(nrMK_Min,nrMK_Link,$B440,nrMK_Credit,"Yes",nrMK_PID,$E440,nrMK_Type,"Classroom")))</f>
        <v/>
      </c>
      <c r="Q440" s="17">
        <f>IF(OR($B440="",N($J440)=0),"",MIN(N($J440),SUMIFS(nrMK_Sess,nrMK_Link,$B440,nrMK_Credit,"Yes",nrMK_PID,$E440,nrMK_Type,"PT")))</f>
        <v/>
      </c>
      <c r="R440" s="17">
        <f>IF(OR($B440="",$N440&lt;&gt;"Yes"),"",IF($K440="Yes",IF(N($J440)&gt;0,N($J440)-N($Q440),""),IF(N($I440)&gt;0,N($I440)-N($P440),"")))</f>
        <v/>
      </c>
      <c r="S440" s="17">
        <f>IF(OR($B440="",$R440=""),"",IF($R440&lt;=0,IF(IFERROR(_xlfn.MAXIFS(nrMK_Date,nrMK_Link,$B440,nrMK_Credit,"Yes",nrMK_PID,$E440),0)=0,"CLEARED (makeup date missing)","CLEARED "&amp;TEXT(_xlfn.MAXIFS(nrMK_Date,nrMK_Link,$B440,nrMK_Credit,"Yes",nrMK_PID,$E440),"mm/dd")),"OPEN"))</f>
        <v/>
      </c>
      <c r="T440" s="17">
        <f>IF($D440="","",IF($C440="","NO DATE",IF($G440="","NO EVENT TYPE",IF(AND($I440&lt;&gt;"",NOT(ISNUMBER($I440))),"MINUTES NOT A NUMBER",IF(AND($J440&lt;&gt;"",NOT(ISNUMBER($J440))),"SESSIONS NOT A NUMBER",IF(OR(N($I440)&lt;0,N($J440)&lt;0),"NEGATIVE MINUTES/SESSIONS",IF(AND($K440="Yes",N($I440)&gt;0),"MINUTES ON A PT EVENT - not counted (PT counts sessions)",IF(AND($K440="No",N($J440)&gt;0),"SESSIONS ON A CLASSROOM EVENT - not counted (classroom counts minutes)",IF(AND($N440="Yes",$K440="Yes",N($J440)=0),"COUNTED PT EVENT WITH NO SESSIONS - dropped from the PT cap",IF(AND($N440="Yes",$K440="No",N($I440)=0),"COUNTED EVENT WITH NO MINUTES - dropped from the classroom cap","OK"))))))))))</f>
        <v/>
      </c>
    </row>
    <row r="441">
      <c r="B441" s="17">
        <f>IF($D441="","","A"&amp;TEXT(ROW()-5,"000"))</f>
        <v/>
      </c>
      <c r="C441" s="18" t="n"/>
      <c r="D441" s="16" t="n"/>
      <c r="E441" s="17">
        <f>IF($D441="","",IFERROR(INDEX(rngCadetPIDs,MATCH($D441,rngCadetNames,0)),"?"))</f>
        <v/>
      </c>
      <c r="F441" s="17">
        <f>IF($E441="","",IFERROR(INDEX(nrCadetAgency,MATCH($E441,rngCadetPIDs,0)),""))</f>
        <v/>
      </c>
      <c r="G441" s="16" t="n"/>
      <c r="H441" s="16" t="n"/>
      <c r="I441" s="16" t="n"/>
      <c r="J441" s="16" t="n"/>
      <c r="K441" s="17">
        <f>IF($G441="","",IF(OR($G441="PT Missed",$G441="PT Modified",$G441="PT Refused"),"Yes","No"))</f>
        <v/>
      </c>
      <c r="L441" s="16" t="n"/>
      <c r="M441" s="16" t="n"/>
      <c r="N441" s="17">
        <f>IF($D441="","",IF($M441="Excused","No",IF(AND($G441="PT Modified",$L441="Received"),"No","Yes")))</f>
        <v/>
      </c>
      <c r="O441" s="16" t="n"/>
      <c r="P441" s="17">
        <f>IF(OR($B441="",N($I441)=0),"",MIN(N($I441),SUMIFS(nrMK_Min,nrMK_Link,$B441,nrMK_Credit,"Yes",nrMK_PID,$E441,nrMK_Type,"Classroom")))</f>
        <v/>
      </c>
      <c r="Q441" s="17">
        <f>IF(OR($B441="",N($J441)=0),"",MIN(N($J441),SUMIFS(nrMK_Sess,nrMK_Link,$B441,nrMK_Credit,"Yes",nrMK_PID,$E441,nrMK_Type,"PT")))</f>
        <v/>
      </c>
      <c r="R441" s="17">
        <f>IF(OR($B441="",$N441&lt;&gt;"Yes"),"",IF($K441="Yes",IF(N($J441)&gt;0,N($J441)-N($Q441),""),IF(N($I441)&gt;0,N($I441)-N($P441),"")))</f>
        <v/>
      </c>
      <c r="S441" s="17">
        <f>IF(OR($B441="",$R441=""),"",IF($R441&lt;=0,IF(IFERROR(_xlfn.MAXIFS(nrMK_Date,nrMK_Link,$B441,nrMK_Credit,"Yes",nrMK_PID,$E441),0)=0,"CLEARED (makeup date missing)","CLEARED "&amp;TEXT(_xlfn.MAXIFS(nrMK_Date,nrMK_Link,$B441,nrMK_Credit,"Yes",nrMK_PID,$E441),"mm/dd")),"OPEN"))</f>
        <v/>
      </c>
      <c r="T441" s="17">
        <f>IF($D441="","",IF($C441="","NO DATE",IF($G441="","NO EVENT TYPE",IF(AND($I441&lt;&gt;"",NOT(ISNUMBER($I441))),"MINUTES NOT A NUMBER",IF(AND($J441&lt;&gt;"",NOT(ISNUMBER($J441))),"SESSIONS NOT A NUMBER",IF(OR(N($I441)&lt;0,N($J441)&lt;0),"NEGATIVE MINUTES/SESSIONS",IF(AND($K441="Yes",N($I441)&gt;0),"MINUTES ON A PT EVENT - not counted (PT counts sessions)",IF(AND($K441="No",N($J441)&gt;0),"SESSIONS ON A CLASSROOM EVENT - not counted (classroom counts minutes)",IF(AND($N441="Yes",$K441="Yes",N($J441)=0),"COUNTED PT EVENT WITH NO SESSIONS - dropped from the PT cap",IF(AND($N441="Yes",$K441="No",N($I441)=0),"COUNTED EVENT WITH NO MINUTES - dropped from the classroom cap","OK"))))))))))</f>
        <v/>
      </c>
    </row>
    <row r="442">
      <c r="B442" s="17">
        <f>IF($D442="","","A"&amp;TEXT(ROW()-5,"000"))</f>
        <v/>
      </c>
      <c r="C442" s="18" t="n"/>
      <c r="D442" s="16" t="n"/>
      <c r="E442" s="17">
        <f>IF($D442="","",IFERROR(INDEX(rngCadetPIDs,MATCH($D442,rngCadetNames,0)),"?"))</f>
        <v/>
      </c>
      <c r="F442" s="17">
        <f>IF($E442="","",IFERROR(INDEX(nrCadetAgency,MATCH($E442,rngCadetPIDs,0)),""))</f>
        <v/>
      </c>
      <c r="G442" s="16" t="n"/>
      <c r="H442" s="16" t="n"/>
      <c r="I442" s="16" t="n"/>
      <c r="J442" s="16" t="n"/>
      <c r="K442" s="17">
        <f>IF($G442="","",IF(OR($G442="PT Missed",$G442="PT Modified",$G442="PT Refused"),"Yes","No"))</f>
        <v/>
      </c>
      <c r="L442" s="16" t="n"/>
      <c r="M442" s="16" t="n"/>
      <c r="N442" s="17">
        <f>IF($D442="","",IF($M442="Excused","No",IF(AND($G442="PT Modified",$L442="Received"),"No","Yes")))</f>
        <v/>
      </c>
      <c r="O442" s="16" t="n"/>
      <c r="P442" s="17">
        <f>IF(OR($B442="",N($I442)=0),"",MIN(N($I442),SUMIFS(nrMK_Min,nrMK_Link,$B442,nrMK_Credit,"Yes",nrMK_PID,$E442,nrMK_Type,"Classroom")))</f>
        <v/>
      </c>
      <c r="Q442" s="17">
        <f>IF(OR($B442="",N($J442)=0),"",MIN(N($J442),SUMIFS(nrMK_Sess,nrMK_Link,$B442,nrMK_Credit,"Yes",nrMK_PID,$E442,nrMK_Type,"PT")))</f>
        <v/>
      </c>
      <c r="R442" s="17">
        <f>IF(OR($B442="",$N442&lt;&gt;"Yes"),"",IF($K442="Yes",IF(N($J442)&gt;0,N($J442)-N($Q442),""),IF(N($I442)&gt;0,N($I442)-N($P442),"")))</f>
        <v/>
      </c>
      <c r="S442" s="17">
        <f>IF(OR($B442="",$R442=""),"",IF($R442&lt;=0,IF(IFERROR(_xlfn.MAXIFS(nrMK_Date,nrMK_Link,$B442,nrMK_Credit,"Yes",nrMK_PID,$E442),0)=0,"CLEARED (makeup date missing)","CLEARED "&amp;TEXT(_xlfn.MAXIFS(nrMK_Date,nrMK_Link,$B442,nrMK_Credit,"Yes",nrMK_PID,$E442),"mm/dd")),"OPEN"))</f>
        <v/>
      </c>
      <c r="T442" s="17">
        <f>IF($D442="","",IF($C442="","NO DATE",IF($G442="","NO EVENT TYPE",IF(AND($I442&lt;&gt;"",NOT(ISNUMBER($I442))),"MINUTES NOT A NUMBER",IF(AND($J442&lt;&gt;"",NOT(ISNUMBER($J442))),"SESSIONS NOT A NUMBER",IF(OR(N($I442)&lt;0,N($J442)&lt;0),"NEGATIVE MINUTES/SESSIONS",IF(AND($K442="Yes",N($I442)&gt;0),"MINUTES ON A PT EVENT - not counted (PT counts sessions)",IF(AND($K442="No",N($J442)&gt;0),"SESSIONS ON A CLASSROOM EVENT - not counted (classroom counts minutes)",IF(AND($N442="Yes",$K442="Yes",N($J442)=0),"COUNTED PT EVENT WITH NO SESSIONS - dropped from the PT cap",IF(AND($N442="Yes",$K442="No",N($I442)=0),"COUNTED EVENT WITH NO MINUTES - dropped from the classroom cap","OK"))))))))))</f>
        <v/>
      </c>
    </row>
    <row r="443">
      <c r="B443" s="17">
        <f>IF($D443="","","A"&amp;TEXT(ROW()-5,"000"))</f>
        <v/>
      </c>
      <c r="C443" s="18" t="n"/>
      <c r="D443" s="16" t="n"/>
      <c r="E443" s="17">
        <f>IF($D443="","",IFERROR(INDEX(rngCadetPIDs,MATCH($D443,rngCadetNames,0)),"?"))</f>
        <v/>
      </c>
      <c r="F443" s="17">
        <f>IF($E443="","",IFERROR(INDEX(nrCadetAgency,MATCH($E443,rngCadetPIDs,0)),""))</f>
        <v/>
      </c>
      <c r="G443" s="16" t="n"/>
      <c r="H443" s="16" t="n"/>
      <c r="I443" s="16" t="n"/>
      <c r="J443" s="16" t="n"/>
      <c r="K443" s="17">
        <f>IF($G443="","",IF(OR($G443="PT Missed",$G443="PT Modified",$G443="PT Refused"),"Yes","No"))</f>
        <v/>
      </c>
      <c r="L443" s="16" t="n"/>
      <c r="M443" s="16" t="n"/>
      <c r="N443" s="17">
        <f>IF($D443="","",IF($M443="Excused","No",IF(AND($G443="PT Modified",$L443="Received"),"No","Yes")))</f>
        <v/>
      </c>
      <c r="O443" s="16" t="n"/>
      <c r="P443" s="17">
        <f>IF(OR($B443="",N($I443)=0),"",MIN(N($I443),SUMIFS(nrMK_Min,nrMK_Link,$B443,nrMK_Credit,"Yes",nrMK_PID,$E443,nrMK_Type,"Classroom")))</f>
        <v/>
      </c>
      <c r="Q443" s="17">
        <f>IF(OR($B443="",N($J443)=0),"",MIN(N($J443),SUMIFS(nrMK_Sess,nrMK_Link,$B443,nrMK_Credit,"Yes",nrMK_PID,$E443,nrMK_Type,"PT")))</f>
        <v/>
      </c>
      <c r="R443" s="17">
        <f>IF(OR($B443="",$N443&lt;&gt;"Yes"),"",IF($K443="Yes",IF(N($J443)&gt;0,N($J443)-N($Q443),""),IF(N($I443)&gt;0,N($I443)-N($P443),"")))</f>
        <v/>
      </c>
      <c r="S443" s="17">
        <f>IF(OR($B443="",$R443=""),"",IF($R443&lt;=0,IF(IFERROR(_xlfn.MAXIFS(nrMK_Date,nrMK_Link,$B443,nrMK_Credit,"Yes",nrMK_PID,$E443),0)=0,"CLEARED (makeup date missing)","CLEARED "&amp;TEXT(_xlfn.MAXIFS(nrMK_Date,nrMK_Link,$B443,nrMK_Credit,"Yes",nrMK_PID,$E443),"mm/dd")),"OPEN"))</f>
        <v/>
      </c>
      <c r="T443" s="17">
        <f>IF($D443="","",IF($C443="","NO DATE",IF($G443="","NO EVENT TYPE",IF(AND($I443&lt;&gt;"",NOT(ISNUMBER($I443))),"MINUTES NOT A NUMBER",IF(AND($J443&lt;&gt;"",NOT(ISNUMBER($J443))),"SESSIONS NOT A NUMBER",IF(OR(N($I443)&lt;0,N($J443)&lt;0),"NEGATIVE MINUTES/SESSIONS",IF(AND($K443="Yes",N($I443)&gt;0),"MINUTES ON A PT EVENT - not counted (PT counts sessions)",IF(AND($K443="No",N($J443)&gt;0),"SESSIONS ON A CLASSROOM EVENT - not counted (classroom counts minutes)",IF(AND($N443="Yes",$K443="Yes",N($J443)=0),"COUNTED PT EVENT WITH NO SESSIONS - dropped from the PT cap",IF(AND($N443="Yes",$K443="No",N($I443)=0),"COUNTED EVENT WITH NO MINUTES - dropped from the classroom cap","OK"))))))))))</f>
        <v/>
      </c>
    </row>
    <row r="444">
      <c r="B444" s="17">
        <f>IF($D444="","","A"&amp;TEXT(ROW()-5,"000"))</f>
        <v/>
      </c>
      <c r="C444" s="18" t="n"/>
      <c r="D444" s="16" t="n"/>
      <c r="E444" s="17">
        <f>IF($D444="","",IFERROR(INDEX(rngCadetPIDs,MATCH($D444,rngCadetNames,0)),"?"))</f>
        <v/>
      </c>
      <c r="F444" s="17">
        <f>IF($E444="","",IFERROR(INDEX(nrCadetAgency,MATCH($E444,rngCadetPIDs,0)),""))</f>
        <v/>
      </c>
      <c r="G444" s="16" t="n"/>
      <c r="H444" s="16" t="n"/>
      <c r="I444" s="16" t="n"/>
      <c r="J444" s="16" t="n"/>
      <c r="K444" s="17">
        <f>IF($G444="","",IF(OR($G444="PT Missed",$G444="PT Modified",$G444="PT Refused"),"Yes","No"))</f>
        <v/>
      </c>
      <c r="L444" s="16" t="n"/>
      <c r="M444" s="16" t="n"/>
      <c r="N444" s="17">
        <f>IF($D444="","",IF($M444="Excused","No",IF(AND($G444="PT Modified",$L444="Received"),"No","Yes")))</f>
        <v/>
      </c>
      <c r="O444" s="16" t="n"/>
      <c r="P444" s="17">
        <f>IF(OR($B444="",N($I444)=0),"",MIN(N($I444),SUMIFS(nrMK_Min,nrMK_Link,$B444,nrMK_Credit,"Yes",nrMK_PID,$E444,nrMK_Type,"Classroom")))</f>
        <v/>
      </c>
      <c r="Q444" s="17">
        <f>IF(OR($B444="",N($J444)=0),"",MIN(N($J444),SUMIFS(nrMK_Sess,nrMK_Link,$B444,nrMK_Credit,"Yes",nrMK_PID,$E444,nrMK_Type,"PT")))</f>
        <v/>
      </c>
      <c r="R444" s="17">
        <f>IF(OR($B444="",$N444&lt;&gt;"Yes"),"",IF($K444="Yes",IF(N($J444)&gt;0,N($J444)-N($Q444),""),IF(N($I444)&gt;0,N($I444)-N($P444),"")))</f>
        <v/>
      </c>
      <c r="S444" s="17">
        <f>IF(OR($B444="",$R444=""),"",IF($R444&lt;=0,IF(IFERROR(_xlfn.MAXIFS(nrMK_Date,nrMK_Link,$B444,nrMK_Credit,"Yes",nrMK_PID,$E444),0)=0,"CLEARED (makeup date missing)","CLEARED "&amp;TEXT(_xlfn.MAXIFS(nrMK_Date,nrMK_Link,$B444,nrMK_Credit,"Yes",nrMK_PID,$E444),"mm/dd")),"OPEN"))</f>
        <v/>
      </c>
      <c r="T444" s="17">
        <f>IF($D444="","",IF($C444="","NO DATE",IF($G444="","NO EVENT TYPE",IF(AND($I444&lt;&gt;"",NOT(ISNUMBER($I444))),"MINUTES NOT A NUMBER",IF(AND($J444&lt;&gt;"",NOT(ISNUMBER($J444))),"SESSIONS NOT A NUMBER",IF(OR(N($I444)&lt;0,N($J444)&lt;0),"NEGATIVE MINUTES/SESSIONS",IF(AND($K444="Yes",N($I444)&gt;0),"MINUTES ON A PT EVENT - not counted (PT counts sessions)",IF(AND($K444="No",N($J444)&gt;0),"SESSIONS ON A CLASSROOM EVENT - not counted (classroom counts minutes)",IF(AND($N444="Yes",$K444="Yes",N($J444)=0),"COUNTED PT EVENT WITH NO SESSIONS - dropped from the PT cap",IF(AND($N444="Yes",$K444="No",N($I444)=0),"COUNTED EVENT WITH NO MINUTES - dropped from the classroom cap","OK"))))))))))</f>
        <v/>
      </c>
    </row>
    <row r="445">
      <c r="B445" s="17">
        <f>IF($D445="","","A"&amp;TEXT(ROW()-5,"000"))</f>
        <v/>
      </c>
      <c r="C445" s="18" t="n"/>
      <c r="D445" s="16" t="n"/>
      <c r="E445" s="17">
        <f>IF($D445="","",IFERROR(INDEX(rngCadetPIDs,MATCH($D445,rngCadetNames,0)),"?"))</f>
        <v/>
      </c>
      <c r="F445" s="17">
        <f>IF($E445="","",IFERROR(INDEX(nrCadetAgency,MATCH($E445,rngCadetPIDs,0)),""))</f>
        <v/>
      </c>
      <c r="G445" s="16" t="n"/>
      <c r="H445" s="16" t="n"/>
      <c r="I445" s="16" t="n"/>
      <c r="J445" s="16" t="n"/>
      <c r="K445" s="17">
        <f>IF($G445="","",IF(OR($G445="PT Missed",$G445="PT Modified",$G445="PT Refused"),"Yes","No"))</f>
        <v/>
      </c>
      <c r="L445" s="16" t="n"/>
      <c r="M445" s="16" t="n"/>
      <c r="N445" s="17">
        <f>IF($D445="","",IF($M445="Excused","No",IF(AND($G445="PT Modified",$L445="Received"),"No","Yes")))</f>
        <v/>
      </c>
      <c r="O445" s="16" t="n"/>
      <c r="P445" s="17">
        <f>IF(OR($B445="",N($I445)=0),"",MIN(N($I445),SUMIFS(nrMK_Min,nrMK_Link,$B445,nrMK_Credit,"Yes",nrMK_PID,$E445,nrMK_Type,"Classroom")))</f>
        <v/>
      </c>
      <c r="Q445" s="17">
        <f>IF(OR($B445="",N($J445)=0),"",MIN(N($J445),SUMIFS(nrMK_Sess,nrMK_Link,$B445,nrMK_Credit,"Yes",nrMK_PID,$E445,nrMK_Type,"PT")))</f>
        <v/>
      </c>
      <c r="R445" s="17">
        <f>IF(OR($B445="",$N445&lt;&gt;"Yes"),"",IF($K445="Yes",IF(N($J445)&gt;0,N($J445)-N($Q445),""),IF(N($I445)&gt;0,N($I445)-N($P445),"")))</f>
        <v/>
      </c>
      <c r="S445" s="17">
        <f>IF(OR($B445="",$R445=""),"",IF($R445&lt;=0,IF(IFERROR(_xlfn.MAXIFS(nrMK_Date,nrMK_Link,$B445,nrMK_Credit,"Yes",nrMK_PID,$E445),0)=0,"CLEARED (makeup date missing)","CLEARED "&amp;TEXT(_xlfn.MAXIFS(nrMK_Date,nrMK_Link,$B445,nrMK_Credit,"Yes",nrMK_PID,$E445),"mm/dd")),"OPEN"))</f>
        <v/>
      </c>
      <c r="T445" s="17">
        <f>IF($D445="","",IF($C445="","NO DATE",IF($G445="","NO EVENT TYPE",IF(AND($I445&lt;&gt;"",NOT(ISNUMBER($I445))),"MINUTES NOT A NUMBER",IF(AND($J445&lt;&gt;"",NOT(ISNUMBER($J445))),"SESSIONS NOT A NUMBER",IF(OR(N($I445)&lt;0,N($J445)&lt;0),"NEGATIVE MINUTES/SESSIONS",IF(AND($K445="Yes",N($I445)&gt;0),"MINUTES ON A PT EVENT - not counted (PT counts sessions)",IF(AND($K445="No",N($J445)&gt;0),"SESSIONS ON A CLASSROOM EVENT - not counted (classroom counts minutes)",IF(AND($N445="Yes",$K445="Yes",N($J445)=0),"COUNTED PT EVENT WITH NO SESSIONS - dropped from the PT cap",IF(AND($N445="Yes",$K445="No",N($I445)=0),"COUNTED EVENT WITH NO MINUTES - dropped from the classroom cap","OK"))))))))))</f>
        <v/>
      </c>
    </row>
    <row r="446">
      <c r="B446" s="17">
        <f>IF($D446="","","A"&amp;TEXT(ROW()-5,"000"))</f>
        <v/>
      </c>
      <c r="C446" s="18" t="n"/>
      <c r="D446" s="16" t="n"/>
      <c r="E446" s="17">
        <f>IF($D446="","",IFERROR(INDEX(rngCadetPIDs,MATCH($D446,rngCadetNames,0)),"?"))</f>
        <v/>
      </c>
      <c r="F446" s="17">
        <f>IF($E446="","",IFERROR(INDEX(nrCadetAgency,MATCH($E446,rngCadetPIDs,0)),""))</f>
        <v/>
      </c>
      <c r="G446" s="16" t="n"/>
      <c r="H446" s="16" t="n"/>
      <c r="I446" s="16" t="n"/>
      <c r="J446" s="16" t="n"/>
      <c r="K446" s="17">
        <f>IF($G446="","",IF(OR($G446="PT Missed",$G446="PT Modified",$G446="PT Refused"),"Yes","No"))</f>
        <v/>
      </c>
      <c r="L446" s="16" t="n"/>
      <c r="M446" s="16" t="n"/>
      <c r="N446" s="17">
        <f>IF($D446="","",IF($M446="Excused","No",IF(AND($G446="PT Modified",$L446="Received"),"No","Yes")))</f>
        <v/>
      </c>
      <c r="O446" s="16" t="n"/>
      <c r="P446" s="17">
        <f>IF(OR($B446="",N($I446)=0),"",MIN(N($I446),SUMIFS(nrMK_Min,nrMK_Link,$B446,nrMK_Credit,"Yes",nrMK_PID,$E446,nrMK_Type,"Classroom")))</f>
        <v/>
      </c>
      <c r="Q446" s="17">
        <f>IF(OR($B446="",N($J446)=0),"",MIN(N($J446),SUMIFS(nrMK_Sess,nrMK_Link,$B446,nrMK_Credit,"Yes",nrMK_PID,$E446,nrMK_Type,"PT")))</f>
        <v/>
      </c>
      <c r="R446" s="17">
        <f>IF(OR($B446="",$N446&lt;&gt;"Yes"),"",IF($K446="Yes",IF(N($J446)&gt;0,N($J446)-N($Q446),""),IF(N($I446)&gt;0,N($I446)-N($P446),"")))</f>
        <v/>
      </c>
      <c r="S446" s="17">
        <f>IF(OR($B446="",$R446=""),"",IF($R446&lt;=0,IF(IFERROR(_xlfn.MAXIFS(nrMK_Date,nrMK_Link,$B446,nrMK_Credit,"Yes",nrMK_PID,$E446),0)=0,"CLEARED (makeup date missing)","CLEARED "&amp;TEXT(_xlfn.MAXIFS(nrMK_Date,nrMK_Link,$B446,nrMK_Credit,"Yes",nrMK_PID,$E446),"mm/dd")),"OPEN"))</f>
        <v/>
      </c>
      <c r="T446" s="17">
        <f>IF($D446="","",IF($C446="","NO DATE",IF($G446="","NO EVENT TYPE",IF(AND($I446&lt;&gt;"",NOT(ISNUMBER($I446))),"MINUTES NOT A NUMBER",IF(AND($J446&lt;&gt;"",NOT(ISNUMBER($J446))),"SESSIONS NOT A NUMBER",IF(OR(N($I446)&lt;0,N($J446)&lt;0),"NEGATIVE MINUTES/SESSIONS",IF(AND($K446="Yes",N($I446)&gt;0),"MINUTES ON A PT EVENT - not counted (PT counts sessions)",IF(AND($K446="No",N($J446)&gt;0),"SESSIONS ON A CLASSROOM EVENT - not counted (classroom counts minutes)",IF(AND($N446="Yes",$K446="Yes",N($J446)=0),"COUNTED PT EVENT WITH NO SESSIONS - dropped from the PT cap",IF(AND($N446="Yes",$K446="No",N($I446)=0),"COUNTED EVENT WITH NO MINUTES - dropped from the classroom cap","OK"))))))))))</f>
        <v/>
      </c>
    </row>
    <row r="447">
      <c r="B447" s="17">
        <f>IF($D447="","","A"&amp;TEXT(ROW()-5,"000"))</f>
        <v/>
      </c>
      <c r="C447" s="18" t="n"/>
      <c r="D447" s="16" t="n"/>
      <c r="E447" s="17">
        <f>IF($D447="","",IFERROR(INDEX(rngCadetPIDs,MATCH($D447,rngCadetNames,0)),"?"))</f>
        <v/>
      </c>
      <c r="F447" s="17">
        <f>IF($E447="","",IFERROR(INDEX(nrCadetAgency,MATCH($E447,rngCadetPIDs,0)),""))</f>
        <v/>
      </c>
      <c r="G447" s="16" t="n"/>
      <c r="H447" s="16" t="n"/>
      <c r="I447" s="16" t="n"/>
      <c r="J447" s="16" t="n"/>
      <c r="K447" s="17">
        <f>IF($G447="","",IF(OR($G447="PT Missed",$G447="PT Modified",$G447="PT Refused"),"Yes","No"))</f>
        <v/>
      </c>
      <c r="L447" s="16" t="n"/>
      <c r="M447" s="16" t="n"/>
      <c r="N447" s="17">
        <f>IF($D447="","",IF($M447="Excused","No",IF(AND($G447="PT Modified",$L447="Received"),"No","Yes")))</f>
        <v/>
      </c>
      <c r="O447" s="16" t="n"/>
      <c r="P447" s="17">
        <f>IF(OR($B447="",N($I447)=0),"",MIN(N($I447),SUMIFS(nrMK_Min,nrMK_Link,$B447,nrMK_Credit,"Yes",nrMK_PID,$E447,nrMK_Type,"Classroom")))</f>
        <v/>
      </c>
      <c r="Q447" s="17">
        <f>IF(OR($B447="",N($J447)=0),"",MIN(N($J447),SUMIFS(nrMK_Sess,nrMK_Link,$B447,nrMK_Credit,"Yes",nrMK_PID,$E447,nrMK_Type,"PT")))</f>
        <v/>
      </c>
      <c r="R447" s="17">
        <f>IF(OR($B447="",$N447&lt;&gt;"Yes"),"",IF($K447="Yes",IF(N($J447)&gt;0,N($J447)-N($Q447),""),IF(N($I447)&gt;0,N($I447)-N($P447),"")))</f>
        <v/>
      </c>
      <c r="S447" s="17">
        <f>IF(OR($B447="",$R447=""),"",IF($R447&lt;=0,IF(IFERROR(_xlfn.MAXIFS(nrMK_Date,nrMK_Link,$B447,nrMK_Credit,"Yes",nrMK_PID,$E447),0)=0,"CLEARED (makeup date missing)","CLEARED "&amp;TEXT(_xlfn.MAXIFS(nrMK_Date,nrMK_Link,$B447,nrMK_Credit,"Yes",nrMK_PID,$E447),"mm/dd")),"OPEN"))</f>
        <v/>
      </c>
      <c r="T447" s="17">
        <f>IF($D447="","",IF($C447="","NO DATE",IF($G447="","NO EVENT TYPE",IF(AND($I447&lt;&gt;"",NOT(ISNUMBER($I447))),"MINUTES NOT A NUMBER",IF(AND($J447&lt;&gt;"",NOT(ISNUMBER($J447))),"SESSIONS NOT A NUMBER",IF(OR(N($I447)&lt;0,N($J447)&lt;0),"NEGATIVE MINUTES/SESSIONS",IF(AND($K447="Yes",N($I447)&gt;0),"MINUTES ON A PT EVENT - not counted (PT counts sessions)",IF(AND($K447="No",N($J447)&gt;0),"SESSIONS ON A CLASSROOM EVENT - not counted (classroom counts minutes)",IF(AND($N447="Yes",$K447="Yes",N($J447)=0),"COUNTED PT EVENT WITH NO SESSIONS - dropped from the PT cap",IF(AND($N447="Yes",$K447="No",N($I447)=0),"COUNTED EVENT WITH NO MINUTES - dropped from the classroom cap","OK"))))))))))</f>
        <v/>
      </c>
    </row>
    <row r="448">
      <c r="B448" s="17">
        <f>IF($D448="","","A"&amp;TEXT(ROW()-5,"000"))</f>
        <v/>
      </c>
      <c r="C448" s="18" t="n"/>
      <c r="D448" s="16" t="n"/>
      <c r="E448" s="17">
        <f>IF($D448="","",IFERROR(INDEX(rngCadetPIDs,MATCH($D448,rngCadetNames,0)),"?"))</f>
        <v/>
      </c>
      <c r="F448" s="17">
        <f>IF($E448="","",IFERROR(INDEX(nrCadetAgency,MATCH($E448,rngCadetPIDs,0)),""))</f>
        <v/>
      </c>
      <c r="G448" s="16" t="n"/>
      <c r="H448" s="16" t="n"/>
      <c r="I448" s="16" t="n"/>
      <c r="J448" s="16" t="n"/>
      <c r="K448" s="17">
        <f>IF($G448="","",IF(OR($G448="PT Missed",$G448="PT Modified",$G448="PT Refused"),"Yes","No"))</f>
        <v/>
      </c>
      <c r="L448" s="16" t="n"/>
      <c r="M448" s="16" t="n"/>
      <c r="N448" s="17">
        <f>IF($D448="","",IF($M448="Excused","No",IF(AND($G448="PT Modified",$L448="Received"),"No","Yes")))</f>
        <v/>
      </c>
      <c r="O448" s="16" t="n"/>
      <c r="P448" s="17">
        <f>IF(OR($B448="",N($I448)=0),"",MIN(N($I448),SUMIFS(nrMK_Min,nrMK_Link,$B448,nrMK_Credit,"Yes",nrMK_PID,$E448,nrMK_Type,"Classroom")))</f>
        <v/>
      </c>
      <c r="Q448" s="17">
        <f>IF(OR($B448="",N($J448)=0),"",MIN(N($J448),SUMIFS(nrMK_Sess,nrMK_Link,$B448,nrMK_Credit,"Yes",nrMK_PID,$E448,nrMK_Type,"PT")))</f>
        <v/>
      </c>
      <c r="R448" s="17">
        <f>IF(OR($B448="",$N448&lt;&gt;"Yes"),"",IF($K448="Yes",IF(N($J448)&gt;0,N($J448)-N($Q448),""),IF(N($I448)&gt;0,N($I448)-N($P448),"")))</f>
        <v/>
      </c>
      <c r="S448" s="17">
        <f>IF(OR($B448="",$R448=""),"",IF($R448&lt;=0,IF(IFERROR(_xlfn.MAXIFS(nrMK_Date,nrMK_Link,$B448,nrMK_Credit,"Yes",nrMK_PID,$E448),0)=0,"CLEARED (makeup date missing)","CLEARED "&amp;TEXT(_xlfn.MAXIFS(nrMK_Date,nrMK_Link,$B448,nrMK_Credit,"Yes",nrMK_PID,$E448),"mm/dd")),"OPEN"))</f>
        <v/>
      </c>
      <c r="T448" s="17">
        <f>IF($D448="","",IF($C448="","NO DATE",IF($G448="","NO EVENT TYPE",IF(AND($I448&lt;&gt;"",NOT(ISNUMBER($I448))),"MINUTES NOT A NUMBER",IF(AND($J448&lt;&gt;"",NOT(ISNUMBER($J448))),"SESSIONS NOT A NUMBER",IF(OR(N($I448)&lt;0,N($J448)&lt;0),"NEGATIVE MINUTES/SESSIONS",IF(AND($K448="Yes",N($I448)&gt;0),"MINUTES ON A PT EVENT - not counted (PT counts sessions)",IF(AND($K448="No",N($J448)&gt;0),"SESSIONS ON A CLASSROOM EVENT - not counted (classroom counts minutes)",IF(AND($N448="Yes",$K448="Yes",N($J448)=0),"COUNTED PT EVENT WITH NO SESSIONS - dropped from the PT cap",IF(AND($N448="Yes",$K448="No",N($I448)=0),"COUNTED EVENT WITH NO MINUTES - dropped from the classroom cap","OK"))))))))))</f>
        <v/>
      </c>
    </row>
    <row r="449">
      <c r="B449" s="17">
        <f>IF($D449="","","A"&amp;TEXT(ROW()-5,"000"))</f>
        <v/>
      </c>
      <c r="C449" s="18" t="n"/>
      <c r="D449" s="16" t="n"/>
      <c r="E449" s="17">
        <f>IF($D449="","",IFERROR(INDEX(rngCadetPIDs,MATCH($D449,rngCadetNames,0)),"?"))</f>
        <v/>
      </c>
      <c r="F449" s="17">
        <f>IF($E449="","",IFERROR(INDEX(nrCadetAgency,MATCH($E449,rngCadetPIDs,0)),""))</f>
        <v/>
      </c>
      <c r="G449" s="16" t="n"/>
      <c r="H449" s="16" t="n"/>
      <c r="I449" s="16" t="n"/>
      <c r="J449" s="16" t="n"/>
      <c r="K449" s="17">
        <f>IF($G449="","",IF(OR($G449="PT Missed",$G449="PT Modified",$G449="PT Refused"),"Yes","No"))</f>
        <v/>
      </c>
      <c r="L449" s="16" t="n"/>
      <c r="M449" s="16" t="n"/>
      <c r="N449" s="17">
        <f>IF($D449="","",IF($M449="Excused","No",IF(AND($G449="PT Modified",$L449="Received"),"No","Yes")))</f>
        <v/>
      </c>
      <c r="O449" s="16" t="n"/>
      <c r="P449" s="17">
        <f>IF(OR($B449="",N($I449)=0),"",MIN(N($I449),SUMIFS(nrMK_Min,nrMK_Link,$B449,nrMK_Credit,"Yes",nrMK_PID,$E449,nrMK_Type,"Classroom")))</f>
        <v/>
      </c>
      <c r="Q449" s="17">
        <f>IF(OR($B449="",N($J449)=0),"",MIN(N($J449),SUMIFS(nrMK_Sess,nrMK_Link,$B449,nrMK_Credit,"Yes",nrMK_PID,$E449,nrMK_Type,"PT")))</f>
        <v/>
      </c>
      <c r="R449" s="17">
        <f>IF(OR($B449="",$N449&lt;&gt;"Yes"),"",IF($K449="Yes",IF(N($J449)&gt;0,N($J449)-N($Q449),""),IF(N($I449)&gt;0,N($I449)-N($P449),"")))</f>
        <v/>
      </c>
      <c r="S449" s="17">
        <f>IF(OR($B449="",$R449=""),"",IF($R449&lt;=0,IF(IFERROR(_xlfn.MAXIFS(nrMK_Date,nrMK_Link,$B449,nrMK_Credit,"Yes",nrMK_PID,$E449),0)=0,"CLEARED (makeup date missing)","CLEARED "&amp;TEXT(_xlfn.MAXIFS(nrMK_Date,nrMK_Link,$B449,nrMK_Credit,"Yes",nrMK_PID,$E449),"mm/dd")),"OPEN"))</f>
        <v/>
      </c>
      <c r="T449" s="17">
        <f>IF($D449="","",IF($C449="","NO DATE",IF($G449="","NO EVENT TYPE",IF(AND($I449&lt;&gt;"",NOT(ISNUMBER($I449))),"MINUTES NOT A NUMBER",IF(AND($J449&lt;&gt;"",NOT(ISNUMBER($J449))),"SESSIONS NOT A NUMBER",IF(OR(N($I449)&lt;0,N($J449)&lt;0),"NEGATIVE MINUTES/SESSIONS",IF(AND($K449="Yes",N($I449)&gt;0),"MINUTES ON A PT EVENT - not counted (PT counts sessions)",IF(AND($K449="No",N($J449)&gt;0),"SESSIONS ON A CLASSROOM EVENT - not counted (classroom counts minutes)",IF(AND($N449="Yes",$K449="Yes",N($J449)=0),"COUNTED PT EVENT WITH NO SESSIONS - dropped from the PT cap",IF(AND($N449="Yes",$K449="No",N($I449)=0),"COUNTED EVENT WITH NO MINUTES - dropped from the classroom cap","OK"))))))))))</f>
        <v/>
      </c>
    </row>
    <row r="450">
      <c r="B450" s="17">
        <f>IF($D450="","","A"&amp;TEXT(ROW()-5,"000"))</f>
        <v/>
      </c>
      <c r="C450" s="18" t="n"/>
      <c r="D450" s="16" t="n"/>
      <c r="E450" s="17">
        <f>IF($D450="","",IFERROR(INDEX(rngCadetPIDs,MATCH($D450,rngCadetNames,0)),"?"))</f>
        <v/>
      </c>
      <c r="F450" s="17">
        <f>IF($E450="","",IFERROR(INDEX(nrCadetAgency,MATCH($E450,rngCadetPIDs,0)),""))</f>
        <v/>
      </c>
      <c r="G450" s="16" t="n"/>
      <c r="H450" s="16" t="n"/>
      <c r="I450" s="16" t="n"/>
      <c r="J450" s="16" t="n"/>
      <c r="K450" s="17">
        <f>IF($G450="","",IF(OR($G450="PT Missed",$G450="PT Modified",$G450="PT Refused"),"Yes","No"))</f>
        <v/>
      </c>
      <c r="L450" s="16" t="n"/>
      <c r="M450" s="16" t="n"/>
      <c r="N450" s="17">
        <f>IF($D450="","",IF($M450="Excused","No",IF(AND($G450="PT Modified",$L450="Received"),"No","Yes")))</f>
        <v/>
      </c>
      <c r="O450" s="16" t="n"/>
      <c r="P450" s="17">
        <f>IF(OR($B450="",N($I450)=0),"",MIN(N($I450),SUMIFS(nrMK_Min,nrMK_Link,$B450,nrMK_Credit,"Yes",nrMK_PID,$E450,nrMK_Type,"Classroom")))</f>
        <v/>
      </c>
      <c r="Q450" s="17">
        <f>IF(OR($B450="",N($J450)=0),"",MIN(N($J450),SUMIFS(nrMK_Sess,nrMK_Link,$B450,nrMK_Credit,"Yes",nrMK_PID,$E450,nrMK_Type,"PT")))</f>
        <v/>
      </c>
      <c r="R450" s="17">
        <f>IF(OR($B450="",$N450&lt;&gt;"Yes"),"",IF($K450="Yes",IF(N($J450)&gt;0,N($J450)-N($Q450),""),IF(N($I450)&gt;0,N($I450)-N($P450),"")))</f>
        <v/>
      </c>
      <c r="S450" s="17">
        <f>IF(OR($B450="",$R450=""),"",IF($R450&lt;=0,IF(IFERROR(_xlfn.MAXIFS(nrMK_Date,nrMK_Link,$B450,nrMK_Credit,"Yes",nrMK_PID,$E450),0)=0,"CLEARED (makeup date missing)","CLEARED "&amp;TEXT(_xlfn.MAXIFS(nrMK_Date,nrMK_Link,$B450,nrMK_Credit,"Yes",nrMK_PID,$E450),"mm/dd")),"OPEN"))</f>
        <v/>
      </c>
      <c r="T450" s="17">
        <f>IF($D450="","",IF($C450="","NO DATE",IF($G450="","NO EVENT TYPE",IF(AND($I450&lt;&gt;"",NOT(ISNUMBER($I450))),"MINUTES NOT A NUMBER",IF(AND($J450&lt;&gt;"",NOT(ISNUMBER($J450))),"SESSIONS NOT A NUMBER",IF(OR(N($I450)&lt;0,N($J450)&lt;0),"NEGATIVE MINUTES/SESSIONS",IF(AND($K450="Yes",N($I450)&gt;0),"MINUTES ON A PT EVENT - not counted (PT counts sessions)",IF(AND($K450="No",N($J450)&gt;0),"SESSIONS ON A CLASSROOM EVENT - not counted (classroom counts minutes)",IF(AND($N450="Yes",$K450="Yes",N($J450)=0),"COUNTED PT EVENT WITH NO SESSIONS - dropped from the PT cap",IF(AND($N450="Yes",$K450="No",N($I450)=0),"COUNTED EVENT WITH NO MINUTES - dropped from the classroom cap","OK"))))))))))</f>
        <v/>
      </c>
    </row>
    <row r="451">
      <c r="B451" s="17">
        <f>IF($D451="","","A"&amp;TEXT(ROW()-5,"000"))</f>
        <v/>
      </c>
      <c r="C451" s="18" t="n"/>
      <c r="D451" s="16" t="n"/>
      <c r="E451" s="17">
        <f>IF($D451="","",IFERROR(INDEX(rngCadetPIDs,MATCH($D451,rngCadetNames,0)),"?"))</f>
        <v/>
      </c>
      <c r="F451" s="17">
        <f>IF($E451="","",IFERROR(INDEX(nrCadetAgency,MATCH($E451,rngCadetPIDs,0)),""))</f>
        <v/>
      </c>
      <c r="G451" s="16" t="n"/>
      <c r="H451" s="16" t="n"/>
      <c r="I451" s="16" t="n"/>
      <c r="J451" s="16" t="n"/>
      <c r="K451" s="17">
        <f>IF($G451="","",IF(OR($G451="PT Missed",$G451="PT Modified",$G451="PT Refused"),"Yes","No"))</f>
        <v/>
      </c>
      <c r="L451" s="16" t="n"/>
      <c r="M451" s="16" t="n"/>
      <c r="N451" s="17">
        <f>IF($D451="","",IF($M451="Excused","No",IF(AND($G451="PT Modified",$L451="Received"),"No","Yes")))</f>
        <v/>
      </c>
      <c r="O451" s="16" t="n"/>
      <c r="P451" s="17">
        <f>IF(OR($B451="",N($I451)=0),"",MIN(N($I451),SUMIFS(nrMK_Min,nrMK_Link,$B451,nrMK_Credit,"Yes",nrMK_PID,$E451,nrMK_Type,"Classroom")))</f>
        <v/>
      </c>
      <c r="Q451" s="17">
        <f>IF(OR($B451="",N($J451)=0),"",MIN(N($J451),SUMIFS(nrMK_Sess,nrMK_Link,$B451,nrMK_Credit,"Yes",nrMK_PID,$E451,nrMK_Type,"PT")))</f>
        <v/>
      </c>
      <c r="R451" s="17">
        <f>IF(OR($B451="",$N451&lt;&gt;"Yes"),"",IF($K451="Yes",IF(N($J451)&gt;0,N($J451)-N($Q451),""),IF(N($I451)&gt;0,N($I451)-N($P451),"")))</f>
        <v/>
      </c>
      <c r="S451" s="17">
        <f>IF(OR($B451="",$R451=""),"",IF($R451&lt;=0,IF(IFERROR(_xlfn.MAXIFS(nrMK_Date,nrMK_Link,$B451,nrMK_Credit,"Yes",nrMK_PID,$E451),0)=0,"CLEARED (makeup date missing)","CLEARED "&amp;TEXT(_xlfn.MAXIFS(nrMK_Date,nrMK_Link,$B451,nrMK_Credit,"Yes",nrMK_PID,$E451),"mm/dd")),"OPEN"))</f>
        <v/>
      </c>
      <c r="T451" s="17">
        <f>IF($D451="","",IF($C451="","NO DATE",IF($G451="","NO EVENT TYPE",IF(AND($I451&lt;&gt;"",NOT(ISNUMBER($I451))),"MINUTES NOT A NUMBER",IF(AND($J451&lt;&gt;"",NOT(ISNUMBER($J451))),"SESSIONS NOT A NUMBER",IF(OR(N($I451)&lt;0,N($J451)&lt;0),"NEGATIVE MINUTES/SESSIONS",IF(AND($K451="Yes",N($I451)&gt;0),"MINUTES ON A PT EVENT - not counted (PT counts sessions)",IF(AND($K451="No",N($J451)&gt;0),"SESSIONS ON A CLASSROOM EVENT - not counted (classroom counts minutes)",IF(AND($N451="Yes",$K451="Yes",N($J451)=0),"COUNTED PT EVENT WITH NO SESSIONS - dropped from the PT cap",IF(AND($N451="Yes",$K451="No",N($I451)=0),"COUNTED EVENT WITH NO MINUTES - dropped from the classroom cap","OK"))))))))))</f>
        <v/>
      </c>
    </row>
    <row r="452">
      <c r="B452" s="17">
        <f>IF($D452="","","A"&amp;TEXT(ROW()-5,"000"))</f>
        <v/>
      </c>
      <c r="C452" s="18" t="n"/>
      <c r="D452" s="16" t="n"/>
      <c r="E452" s="17">
        <f>IF($D452="","",IFERROR(INDEX(rngCadetPIDs,MATCH($D452,rngCadetNames,0)),"?"))</f>
        <v/>
      </c>
      <c r="F452" s="17">
        <f>IF($E452="","",IFERROR(INDEX(nrCadetAgency,MATCH($E452,rngCadetPIDs,0)),""))</f>
        <v/>
      </c>
      <c r="G452" s="16" t="n"/>
      <c r="H452" s="16" t="n"/>
      <c r="I452" s="16" t="n"/>
      <c r="J452" s="16" t="n"/>
      <c r="K452" s="17">
        <f>IF($G452="","",IF(OR($G452="PT Missed",$G452="PT Modified",$G452="PT Refused"),"Yes","No"))</f>
        <v/>
      </c>
      <c r="L452" s="16" t="n"/>
      <c r="M452" s="16" t="n"/>
      <c r="N452" s="17">
        <f>IF($D452="","",IF($M452="Excused","No",IF(AND($G452="PT Modified",$L452="Received"),"No","Yes")))</f>
        <v/>
      </c>
      <c r="O452" s="16" t="n"/>
      <c r="P452" s="17">
        <f>IF(OR($B452="",N($I452)=0),"",MIN(N($I452),SUMIFS(nrMK_Min,nrMK_Link,$B452,nrMK_Credit,"Yes",nrMK_PID,$E452,nrMK_Type,"Classroom")))</f>
        <v/>
      </c>
      <c r="Q452" s="17">
        <f>IF(OR($B452="",N($J452)=0),"",MIN(N($J452),SUMIFS(nrMK_Sess,nrMK_Link,$B452,nrMK_Credit,"Yes",nrMK_PID,$E452,nrMK_Type,"PT")))</f>
        <v/>
      </c>
      <c r="R452" s="17">
        <f>IF(OR($B452="",$N452&lt;&gt;"Yes"),"",IF($K452="Yes",IF(N($J452)&gt;0,N($J452)-N($Q452),""),IF(N($I452)&gt;0,N($I452)-N($P452),"")))</f>
        <v/>
      </c>
      <c r="S452" s="17">
        <f>IF(OR($B452="",$R452=""),"",IF($R452&lt;=0,IF(IFERROR(_xlfn.MAXIFS(nrMK_Date,nrMK_Link,$B452,nrMK_Credit,"Yes",nrMK_PID,$E452),0)=0,"CLEARED (makeup date missing)","CLEARED "&amp;TEXT(_xlfn.MAXIFS(nrMK_Date,nrMK_Link,$B452,nrMK_Credit,"Yes",nrMK_PID,$E452),"mm/dd")),"OPEN"))</f>
        <v/>
      </c>
      <c r="T452" s="17">
        <f>IF($D452="","",IF($C452="","NO DATE",IF($G452="","NO EVENT TYPE",IF(AND($I452&lt;&gt;"",NOT(ISNUMBER($I452))),"MINUTES NOT A NUMBER",IF(AND($J452&lt;&gt;"",NOT(ISNUMBER($J452))),"SESSIONS NOT A NUMBER",IF(OR(N($I452)&lt;0,N($J452)&lt;0),"NEGATIVE MINUTES/SESSIONS",IF(AND($K452="Yes",N($I452)&gt;0),"MINUTES ON A PT EVENT - not counted (PT counts sessions)",IF(AND($K452="No",N($J452)&gt;0),"SESSIONS ON A CLASSROOM EVENT - not counted (classroom counts minutes)",IF(AND($N452="Yes",$K452="Yes",N($J452)=0),"COUNTED PT EVENT WITH NO SESSIONS - dropped from the PT cap",IF(AND($N452="Yes",$K452="No",N($I452)=0),"COUNTED EVENT WITH NO MINUTES - dropped from the classroom cap","OK"))))))))))</f>
        <v/>
      </c>
    </row>
    <row r="453">
      <c r="B453" s="17">
        <f>IF($D453="","","A"&amp;TEXT(ROW()-5,"000"))</f>
        <v/>
      </c>
      <c r="C453" s="18" t="n"/>
      <c r="D453" s="16" t="n"/>
      <c r="E453" s="17">
        <f>IF($D453="","",IFERROR(INDEX(rngCadetPIDs,MATCH($D453,rngCadetNames,0)),"?"))</f>
        <v/>
      </c>
      <c r="F453" s="17">
        <f>IF($E453="","",IFERROR(INDEX(nrCadetAgency,MATCH($E453,rngCadetPIDs,0)),""))</f>
        <v/>
      </c>
      <c r="G453" s="16" t="n"/>
      <c r="H453" s="16" t="n"/>
      <c r="I453" s="16" t="n"/>
      <c r="J453" s="16" t="n"/>
      <c r="K453" s="17">
        <f>IF($G453="","",IF(OR($G453="PT Missed",$G453="PT Modified",$G453="PT Refused"),"Yes","No"))</f>
        <v/>
      </c>
      <c r="L453" s="16" t="n"/>
      <c r="M453" s="16" t="n"/>
      <c r="N453" s="17">
        <f>IF($D453="","",IF($M453="Excused","No",IF(AND($G453="PT Modified",$L453="Received"),"No","Yes")))</f>
        <v/>
      </c>
      <c r="O453" s="16" t="n"/>
      <c r="P453" s="17">
        <f>IF(OR($B453="",N($I453)=0),"",MIN(N($I453),SUMIFS(nrMK_Min,nrMK_Link,$B453,nrMK_Credit,"Yes",nrMK_PID,$E453,nrMK_Type,"Classroom")))</f>
        <v/>
      </c>
      <c r="Q453" s="17">
        <f>IF(OR($B453="",N($J453)=0),"",MIN(N($J453),SUMIFS(nrMK_Sess,nrMK_Link,$B453,nrMK_Credit,"Yes",nrMK_PID,$E453,nrMK_Type,"PT")))</f>
        <v/>
      </c>
      <c r="R453" s="17">
        <f>IF(OR($B453="",$N453&lt;&gt;"Yes"),"",IF($K453="Yes",IF(N($J453)&gt;0,N($J453)-N($Q453),""),IF(N($I453)&gt;0,N($I453)-N($P453),"")))</f>
        <v/>
      </c>
      <c r="S453" s="17">
        <f>IF(OR($B453="",$R453=""),"",IF($R453&lt;=0,IF(IFERROR(_xlfn.MAXIFS(nrMK_Date,nrMK_Link,$B453,nrMK_Credit,"Yes",nrMK_PID,$E453),0)=0,"CLEARED (makeup date missing)","CLEARED "&amp;TEXT(_xlfn.MAXIFS(nrMK_Date,nrMK_Link,$B453,nrMK_Credit,"Yes",nrMK_PID,$E453),"mm/dd")),"OPEN"))</f>
        <v/>
      </c>
      <c r="T453" s="17">
        <f>IF($D453="","",IF($C453="","NO DATE",IF($G453="","NO EVENT TYPE",IF(AND($I453&lt;&gt;"",NOT(ISNUMBER($I453))),"MINUTES NOT A NUMBER",IF(AND($J453&lt;&gt;"",NOT(ISNUMBER($J453))),"SESSIONS NOT A NUMBER",IF(OR(N($I453)&lt;0,N($J453)&lt;0),"NEGATIVE MINUTES/SESSIONS",IF(AND($K453="Yes",N($I453)&gt;0),"MINUTES ON A PT EVENT - not counted (PT counts sessions)",IF(AND($K453="No",N($J453)&gt;0),"SESSIONS ON A CLASSROOM EVENT - not counted (classroom counts minutes)",IF(AND($N453="Yes",$K453="Yes",N($J453)=0),"COUNTED PT EVENT WITH NO SESSIONS - dropped from the PT cap",IF(AND($N453="Yes",$K453="No",N($I453)=0),"COUNTED EVENT WITH NO MINUTES - dropped from the classroom cap","OK"))))))))))</f>
        <v/>
      </c>
    </row>
    <row r="454">
      <c r="B454" s="17">
        <f>IF($D454="","","A"&amp;TEXT(ROW()-5,"000"))</f>
        <v/>
      </c>
      <c r="C454" s="18" t="n"/>
      <c r="D454" s="16" t="n"/>
      <c r="E454" s="17">
        <f>IF($D454="","",IFERROR(INDEX(rngCadetPIDs,MATCH($D454,rngCadetNames,0)),"?"))</f>
        <v/>
      </c>
      <c r="F454" s="17">
        <f>IF($E454="","",IFERROR(INDEX(nrCadetAgency,MATCH($E454,rngCadetPIDs,0)),""))</f>
        <v/>
      </c>
      <c r="G454" s="16" t="n"/>
      <c r="H454" s="16" t="n"/>
      <c r="I454" s="16" t="n"/>
      <c r="J454" s="16" t="n"/>
      <c r="K454" s="17">
        <f>IF($G454="","",IF(OR($G454="PT Missed",$G454="PT Modified",$G454="PT Refused"),"Yes","No"))</f>
        <v/>
      </c>
      <c r="L454" s="16" t="n"/>
      <c r="M454" s="16" t="n"/>
      <c r="N454" s="17">
        <f>IF($D454="","",IF($M454="Excused","No",IF(AND($G454="PT Modified",$L454="Received"),"No","Yes")))</f>
        <v/>
      </c>
      <c r="O454" s="16" t="n"/>
      <c r="P454" s="17">
        <f>IF(OR($B454="",N($I454)=0),"",MIN(N($I454),SUMIFS(nrMK_Min,nrMK_Link,$B454,nrMK_Credit,"Yes",nrMK_PID,$E454,nrMK_Type,"Classroom")))</f>
        <v/>
      </c>
      <c r="Q454" s="17">
        <f>IF(OR($B454="",N($J454)=0),"",MIN(N($J454),SUMIFS(nrMK_Sess,nrMK_Link,$B454,nrMK_Credit,"Yes",nrMK_PID,$E454,nrMK_Type,"PT")))</f>
        <v/>
      </c>
      <c r="R454" s="17">
        <f>IF(OR($B454="",$N454&lt;&gt;"Yes"),"",IF($K454="Yes",IF(N($J454)&gt;0,N($J454)-N($Q454),""),IF(N($I454)&gt;0,N($I454)-N($P454),"")))</f>
        <v/>
      </c>
      <c r="S454" s="17">
        <f>IF(OR($B454="",$R454=""),"",IF($R454&lt;=0,IF(IFERROR(_xlfn.MAXIFS(nrMK_Date,nrMK_Link,$B454,nrMK_Credit,"Yes",nrMK_PID,$E454),0)=0,"CLEARED (makeup date missing)","CLEARED "&amp;TEXT(_xlfn.MAXIFS(nrMK_Date,nrMK_Link,$B454,nrMK_Credit,"Yes",nrMK_PID,$E454),"mm/dd")),"OPEN"))</f>
        <v/>
      </c>
      <c r="T454" s="17">
        <f>IF($D454="","",IF($C454="","NO DATE",IF($G454="","NO EVENT TYPE",IF(AND($I454&lt;&gt;"",NOT(ISNUMBER($I454))),"MINUTES NOT A NUMBER",IF(AND($J454&lt;&gt;"",NOT(ISNUMBER($J454))),"SESSIONS NOT A NUMBER",IF(OR(N($I454)&lt;0,N($J454)&lt;0),"NEGATIVE MINUTES/SESSIONS",IF(AND($K454="Yes",N($I454)&gt;0),"MINUTES ON A PT EVENT - not counted (PT counts sessions)",IF(AND($K454="No",N($J454)&gt;0),"SESSIONS ON A CLASSROOM EVENT - not counted (classroom counts minutes)",IF(AND($N454="Yes",$K454="Yes",N($J454)=0),"COUNTED PT EVENT WITH NO SESSIONS - dropped from the PT cap",IF(AND($N454="Yes",$K454="No",N($I454)=0),"COUNTED EVENT WITH NO MINUTES - dropped from the classroom cap","OK"))))))))))</f>
        <v/>
      </c>
    </row>
    <row r="455">
      <c r="B455" s="17">
        <f>IF($D455="","","A"&amp;TEXT(ROW()-5,"000"))</f>
        <v/>
      </c>
      <c r="C455" s="18" t="n"/>
      <c r="D455" s="16" t="n"/>
      <c r="E455" s="17">
        <f>IF($D455="","",IFERROR(INDEX(rngCadetPIDs,MATCH($D455,rngCadetNames,0)),"?"))</f>
        <v/>
      </c>
      <c r="F455" s="17">
        <f>IF($E455="","",IFERROR(INDEX(nrCadetAgency,MATCH($E455,rngCadetPIDs,0)),""))</f>
        <v/>
      </c>
      <c r="G455" s="16" t="n"/>
      <c r="H455" s="16" t="n"/>
      <c r="I455" s="16" t="n"/>
      <c r="J455" s="16" t="n"/>
      <c r="K455" s="17">
        <f>IF($G455="","",IF(OR($G455="PT Missed",$G455="PT Modified",$G455="PT Refused"),"Yes","No"))</f>
        <v/>
      </c>
      <c r="L455" s="16" t="n"/>
      <c r="M455" s="16" t="n"/>
      <c r="N455" s="17">
        <f>IF($D455="","",IF($M455="Excused","No",IF(AND($G455="PT Modified",$L455="Received"),"No","Yes")))</f>
        <v/>
      </c>
      <c r="O455" s="16" t="n"/>
      <c r="P455" s="17">
        <f>IF(OR($B455="",N($I455)=0),"",MIN(N($I455),SUMIFS(nrMK_Min,nrMK_Link,$B455,nrMK_Credit,"Yes",nrMK_PID,$E455,nrMK_Type,"Classroom")))</f>
        <v/>
      </c>
      <c r="Q455" s="17">
        <f>IF(OR($B455="",N($J455)=0),"",MIN(N($J455),SUMIFS(nrMK_Sess,nrMK_Link,$B455,nrMK_Credit,"Yes",nrMK_PID,$E455,nrMK_Type,"PT")))</f>
        <v/>
      </c>
      <c r="R455" s="17">
        <f>IF(OR($B455="",$N455&lt;&gt;"Yes"),"",IF($K455="Yes",IF(N($J455)&gt;0,N($J455)-N($Q455),""),IF(N($I455)&gt;0,N($I455)-N($P455),"")))</f>
        <v/>
      </c>
      <c r="S455" s="17">
        <f>IF(OR($B455="",$R455=""),"",IF($R455&lt;=0,IF(IFERROR(_xlfn.MAXIFS(nrMK_Date,nrMK_Link,$B455,nrMK_Credit,"Yes",nrMK_PID,$E455),0)=0,"CLEARED (makeup date missing)","CLEARED "&amp;TEXT(_xlfn.MAXIFS(nrMK_Date,nrMK_Link,$B455,nrMK_Credit,"Yes",nrMK_PID,$E455),"mm/dd")),"OPEN"))</f>
        <v/>
      </c>
      <c r="T455" s="17">
        <f>IF($D455="","",IF($C455="","NO DATE",IF($G455="","NO EVENT TYPE",IF(AND($I455&lt;&gt;"",NOT(ISNUMBER($I455))),"MINUTES NOT A NUMBER",IF(AND($J455&lt;&gt;"",NOT(ISNUMBER($J455))),"SESSIONS NOT A NUMBER",IF(OR(N($I455)&lt;0,N($J455)&lt;0),"NEGATIVE MINUTES/SESSIONS",IF(AND($K455="Yes",N($I455)&gt;0),"MINUTES ON A PT EVENT - not counted (PT counts sessions)",IF(AND($K455="No",N($J455)&gt;0),"SESSIONS ON A CLASSROOM EVENT - not counted (classroom counts minutes)",IF(AND($N455="Yes",$K455="Yes",N($J455)=0),"COUNTED PT EVENT WITH NO SESSIONS - dropped from the PT cap",IF(AND($N455="Yes",$K455="No",N($I455)=0),"COUNTED EVENT WITH NO MINUTES - dropped from the classroom cap","OK"))))))))))</f>
        <v/>
      </c>
    </row>
    <row r="456">
      <c r="B456" s="17">
        <f>IF($D456="","","A"&amp;TEXT(ROW()-5,"000"))</f>
        <v/>
      </c>
      <c r="C456" s="18" t="n"/>
      <c r="D456" s="16" t="n"/>
      <c r="E456" s="17">
        <f>IF($D456="","",IFERROR(INDEX(rngCadetPIDs,MATCH($D456,rngCadetNames,0)),"?"))</f>
        <v/>
      </c>
      <c r="F456" s="17">
        <f>IF($E456="","",IFERROR(INDEX(nrCadetAgency,MATCH($E456,rngCadetPIDs,0)),""))</f>
        <v/>
      </c>
      <c r="G456" s="16" t="n"/>
      <c r="H456" s="16" t="n"/>
      <c r="I456" s="16" t="n"/>
      <c r="J456" s="16" t="n"/>
      <c r="K456" s="17">
        <f>IF($G456="","",IF(OR($G456="PT Missed",$G456="PT Modified",$G456="PT Refused"),"Yes","No"))</f>
        <v/>
      </c>
      <c r="L456" s="16" t="n"/>
      <c r="M456" s="16" t="n"/>
      <c r="N456" s="17">
        <f>IF($D456="","",IF($M456="Excused","No",IF(AND($G456="PT Modified",$L456="Received"),"No","Yes")))</f>
        <v/>
      </c>
      <c r="O456" s="16" t="n"/>
      <c r="P456" s="17">
        <f>IF(OR($B456="",N($I456)=0),"",MIN(N($I456),SUMIFS(nrMK_Min,nrMK_Link,$B456,nrMK_Credit,"Yes",nrMK_PID,$E456,nrMK_Type,"Classroom")))</f>
        <v/>
      </c>
      <c r="Q456" s="17">
        <f>IF(OR($B456="",N($J456)=0),"",MIN(N($J456),SUMIFS(nrMK_Sess,nrMK_Link,$B456,nrMK_Credit,"Yes",nrMK_PID,$E456,nrMK_Type,"PT")))</f>
        <v/>
      </c>
      <c r="R456" s="17">
        <f>IF(OR($B456="",$N456&lt;&gt;"Yes"),"",IF($K456="Yes",IF(N($J456)&gt;0,N($J456)-N($Q456),""),IF(N($I456)&gt;0,N($I456)-N($P456),"")))</f>
        <v/>
      </c>
      <c r="S456" s="17">
        <f>IF(OR($B456="",$R456=""),"",IF($R456&lt;=0,IF(IFERROR(_xlfn.MAXIFS(nrMK_Date,nrMK_Link,$B456,nrMK_Credit,"Yes",nrMK_PID,$E456),0)=0,"CLEARED (makeup date missing)","CLEARED "&amp;TEXT(_xlfn.MAXIFS(nrMK_Date,nrMK_Link,$B456,nrMK_Credit,"Yes",nrMK_PID,$E456),"mm/dd")),"OPEN"))</f>
        <v/>
      </c>
      <c r="T456" s="17">
        <f>IF($D456="","",IF($C456="","NO DATE",IF($G456="","NO EVENT TYPE",IF(AND($I456&lt;&gt;"",NOT(ISNUMBER($I456))),"MINUTES NOT A NUMBER",IF(AND($J456&lt;&gt;"",NOT(ISNUMBER($J456))),"SESSIONS NOT A NUMBER",IF(OR(N($I456)&lt;0,N($J456)&lt;0),"NEGATIVE MINUTES/SESSIONS",IF(AND($K456="Yes",N($I456)&gt;0),"MINUTES ON A PT EVENT - not counted (PT counts sessions)",IF(AND($K456="No",N($J456)&gt;0),"SESSIONS ON A CLASSROOM EVENT - not counted (classroom counts minutes)",IF(AND($N456="Yes",$K456="Yes",N($J456)=0),"COUNTED PT EVENT WITH NO SESSIONS - dropped from the PT cap",IF(AND($N456="Yes",$K456="No",N($I456)=0),"COUNTED EVENT WITH NO MINUTES - dropped from the classroom cap","OK"))))))))))</f>
        <v/>
      </c>
    </row>
    <row r="457">
      <c r="B457" s="17">
        <f>IF($D457="","","A"&amp;TEXT(ROW()-5,"000"))</f>
        <v/>
      </c>
      <c r="C457" s="18" t="n"/>
      <c r="D457" s="16" t="n"/>
      <c r="E457" s="17">
        <f>IF($D457="","",IFERROR(INDEX(rngCadetPIDs,MATCH($D457,rngCadetNames,0)),"?"))</f>
        <v/>
      </c>
      <c r="F457" s="17">
        <f>IF($E457="","",IFERROR(INDEX(nrCadetAgency,MATCH($E457,rngCadetPIDs,0)),""))</f>
        <v/>
      </c>
      <c r="G457" s="16" t="n"/>
      <c r="H457" s="16" t="n"/>
      <c r="I457" s="16" t="n"/>
      <c r="J457" s="16" t="n"/>
      <c r="K457" s="17">
        <f>IF($G457="","",IF(OR($G457="PT Missed",$G457="PT Modified",$G457="PT Refused"),"Yes","No"))</f>
        <v/>
      </c>
      <c r="L457" s="16" t="n"/>
      <c r="M457" s="16" t="n"/>
      <c r="N457" s="17">
        <f>IF($D457="","",IF($M457="Excused","No",IF(AND($G457="PT Modified",$L457="Received"),"No","Yes")))</f>
        <v/>
      </c>
      <c r="O457" s="16" t="n"/>
      <c r="P457" s="17">
        <f>IF(OR($B457="",N($I457)=0),"",MIN(N($I457),SUMIFS(nrMK_Min,nrMK_Link,$B457,nrMK_Credit,"Yes",nrMK_PID,$E457,nrMK_Type,"Classroom")))</f>
        <v/>
      </c>
      <c r="Q457" s="17">
        <f>IF(OR($B457="",N($J457)=0),"",MIN(N($J457),SUMIFS(nrMK_Sess,nrMK_Link,$B457,nrMK_Credit,"Yes",nrMK_PID,$E457,nrMK_Type,"PT")))</f>
        <v/>
      </c>
      <c r="R457" s="17">
        <f>IF(OR($B457="",$N457&lt;&gt;"Yes"),"",IF($K457="Yes",IF(N($J457)&gt;0,N($J457)-N($Q457),""),IF(N($I457)&gt;0,N($I457)-N($P457),"")))</f>
        <v/>
      </c>
      <c r="S457" s="17">
        <f>IF(OR($B457="",$R457=""),"",IF($R457&lt;=0,IF(IFERROR(_xlfn.MAXIFS(nrMK_Date,nrMK_Link,$B457,nrMK_Credit,"Yes",nrMK_PID,$E457),0)=0,"CLEARED (makeup date missing)","CLEARED "&amp;TEXT(_xlfn.MAXIFS(nrMK_Date,nrMK_Link,$B457,nrMK_Credit,"Yes",nrMK_PID,$E457),"mm/dd")),"OPEN"))</f>
        <v/>
      </c>
      <c r="T457" s="17">
        <f>IF($D457="","",IF($C457="","NO DATE",IF($G457="","NO EVENT TYPE",IF(AND($I457&lt;&gt;"",NOT(ISNUMBER($I457))),"MINUTES NOT A NUMBER",IF(AND($J457&lt;&gt;"",NOT(ISNUMBER($J457))),"SESSIONS NOT A NUMBER",IF(OR(N($I457)&lt;0,N($J457)&lt;0),"NEGATIVE MINUTES/SESSIONS",IF(AND($K457="Yes",N($I457)&gt;0),"MINUTES ON A PT EVENT - not counted (PT counts sessions)",IF(AND($K457="No",N($J457)&gt;0),"SESSIONS ON A CLASSROOM EVENT - not counted (classroom counts minutes)",IF(AND($N457="Yes",$K457="Yes",N($J457)=0),"COUNTED PT EVENT WITH NO SESSIONS - dropped from the PT cap",IF(AND($N457="Yes",$K457="No",N($I457)=0),"COUNTED EVENT WITH NO MINUTES - dropped from the classroom cap","OK"))))))))))</f>
        <v/>
      </c>
    </row>
    <row r="458">
      <c r="B458" s="17">
        <f>IF($D458="","","A"&amp;TEXT(ROW()-5,"000"))</f>
        <v/>
      </c>
      <c r="C458" s="18" t="n"/>
      <c r="D458" s="16" t="n"/>
      <c r="E458" s="17">
        <f>IF($D458="","",IFERROR(INDEX(rngCadetPIDs,MATCH($D458,rngCadetNames,0)),"?"))</f>
        <v/>
      </c>
      <c r="F458" s="17">
        <f>IF($E458="","",IFERROR(INDEX(nrCadetAgency,MATCH($E458,rngCadetPIDs,0)),""))</f>
        <v/>
      </c>
      <c r="G458" s="16" t="n"/>
      <c r="H458" s="16" t="n"/>
      <c r="I458" s="16" t="n"/>
      <c r="J458" s="16" t="n"/>
      <c r="K458" s="17">
        <f>IF($G458="","",IF(OR($G458="PT Missed",$G458="PT Modified",$G458="PT Refused"),"Yes","No"))</f>
        <v/>
      </c>
      <c r="L458" s="16" t="n"/>
      <c r="M458" s="16" t="n"/>
      <c r="N458" s="17">
        <f>IF($D458="","",IF($M458="Excused","No",IF(AND($G458="PT Modified",$L458="Received"),"No","Yes")))</f>
        <v/>
      </c>
      <c r="O458" s="16" t="n"/>
      <c r="P458" s="17">
        <f>IF(OR($B458="",N($I458)=0),"",MIN(N($I458),SUMIFS(nrMK_Min,nrMK_Link,$B458,nrMK_Credit,"Yes",nrMK_PID,$E458,nrMK_Type,"Classroom")))</f>
        <v/>
      </c>
      <c r="Q458" s="17">
        <f>IF(OR($B458="",N($J458)=0),"",MIN(N($J458),SUMIFS(nrMK_Sess,nrMK_Link,$B458,nrMK_Credit,"Yes",nrMK_PID,$E458,nrMK_Type,"PT")))</f>
        <v/>
      </c>
      <c r="R458" s="17">
        <f>IF(OR($B458="",$N458&lt;&gt;"Yes"),"",IF($K458="Yes",IF(N($J458)&gt;0,N($J458)-N($Q458),""),IF(N($I458)&gt;0,N($I458)-N($P458),"")))</f>
        <v/>
      </c>
      <c r="S458" s="17">
        <f>IF(OR($B458="",$R458=""),"",IF($R458&lt;=0,IF(IFERROR(_xlfn.MAXIFS(nrMK_Date,nrMK_Link,$B458,nrMK_Credit,"Yes",nrMK_PID,$E458),0)=0,"CLEARED (makeup date missing)","CLEARED "&amp;TEXT(_xlfn.MAXIFS(nrMK_Date,nrMK_Link,$B458,nrMK_Credit,"Yes",nrMK_PID,$E458),"mm/dd")),"OPEN"))</f>
        <v/>
      </c>
      <c r="T458" s="17">
        <f>IF($D458="","",IF($C458="","NO DATE",IF($G458="","NO EVENT TYPE",IF(AND($I458&lt;&gt;"",NOT(ISNUMBER($I458))),"MINUTES NOT A NUMBER",IF(AND($J458&lt;&gt;"",NOT(ISNUMBER($J458))),"SESSIONS NOT A NUMBER",IF(OR(N($I458)&lt;0,N($J458)&lt;0),"NEGATIVE MINUTES/SESSIONS",IF(AND($K458="Yes",N($I458)&gt;0),"MINUTES ON A PT EVENT - not counted (PT counts sessions)",IF(AND($K458="No",N($J458)&gt;0),"SESSIONS ON A CLASSROOM EVENT - not counted (classroom counts minutes)",IF(AND($N458="Yes",$K458="Yes",N($J458)=0),"COUNTED PT EVENT WITH NO SESSIONS - dropped from the PT cap",IF(AND($N458="Yes",$K458="No",N($I458)=0),"COUNTED EVENT WITH NO MINUTES - dropped from the classroom cap","OK"))))))))))</f>
        <v/>
      </c>
    </row>
    <row r="459">
      <c r="B459" s="17">
        <f>IF($D459="","","A"&amp;TEXT(ROW()-5,"000"))</f>
        <v/>
      </c>
      <c r="C459" s="18" t="n"/>
      <c r="D459" s="16" t="n"/>
      <c r="E459" s="17">
        <f>IF($D459="","",IFERROR(INDEX(rngCadetPIDs,MATCH($D459,rngCadetNames,0)),"?"))</f>
        <v/>
      </c>
      <c r="F459" s="17">
        <f>IF($E459="","",IFERROR(INDEX(nrCadetAgency,MATCH($E459,rngCadetPIDs,0)),""))</f>
        <v/>
      </c>
      <c r="G459" s="16" t="n"/>
      <c r="H459" s="16" t="n"/>
      <c r="I459" s="16" t="n"/>
      <c r="J459" s="16" t="n"/>
      <c r="K459" s="17">
        <f>IF($G459="","",IF(OR($G459="PT Missed",$G459="PT Modified",$G459="PT Refused"),"Yes","No"))</f>
        <v/>
      </c>
      <c r="L459" s="16" t="n"/>
      <c r="M459" s="16" t="n"/>
      <c r="N459" s="17">
        <f>IF($D459="","",IF($M459="Excused","No",IF(AND($G459="PT Modified",$L459="Received"),"No","Yes")))</f>
        <v/>
      </c>
      <c r="O459" s="16" t="n"/>
      <c r="P459" s="17">
        <f>IF(OR($B459="",N($I459)=0),"",MIN(N($I459),SUMIFS(nrMK_Min,nrMK_Link,$B459,nrMK_Credit,"Yes",nrMK_PID,$E459,nrMK_Type,"Classroom")))</f>
        <v/>
      </c>
      <c r="Q459" s="17">
        <f>IF(OR($B459="",N($J459)=0),"",MIN(N($J459),SUMIFS(nrMK_Sess,nrMK_Link,$B459,nrMK_Credit,"Yes",nrMK_PID,$E459,nrMK_Type,"PT")))</f>
        <v/>
      </c>
      <c r="R459" s="17">
        <f>IF(OR($B459="",$N459&lt;&gt;"Yes"),"",IF($K459="Yes",IF(N($J459)&gt;0,N($J459)-N($Q459),""),IF(N($I459)&gt;0,N($I459)-N($P459),"")))</f>
        <v/>
      </c>
      <c r="S459" s="17">
        <f>IF(OR($B459="",$R459=""),"",IF($R459&lt;=0,IF(IFERROR(_xlfn.MAXIFS(nrMK_Date,nrMK_Link,$B459,nrMK_Credit,"Yes",nrMK_PID,$E459),0)=0,"CLEARED (makeup date missing)","CLEARED "&amp;TEXT(_xlfn.MAXIFS(nrMK_Date,nrMK_Link,$B459,nrMK_Credit,"Yes",nrMK_PID,$E459),"mm/dd")),"OPEN"))</f>
        <v/>
      </c>
      <c r="T459" s="17">
        <f>IF($D459="","",IF($C459="","NO DATE",IF($G459="","NO EVENT TYPE",IF(AND($I459&lt;&gt;"",NOT(ISNUMBER($I459))),"MINUTES NOT A NUMBER",IF(AND($J459&lt;&gt;"",NOT(ISNUMBER($J459))),"SESSIONS NOT A NUMBER",IF(OR(N($I459)&lt;0,N($J459)&lt;0),"NEGATIVE MINUTES/SESSIONS",IF(AND($K459="Yes",N($I459)&gt;0),"MINUTES ON A PT EVENT - not counted (PT counts sessions)",IF(AND($K459="No",N($J459)&gt;0),"SESSIONS ON A CLASSROOM EVENT - not counted (classroom counts minutes)",IF(AND($N459="Yes",$K459="Yes",N($J459)=0),"COUNTED PT EVENT WITH NO SESSIONS - dropped from the PT cap",IF(AND($N459="Yes",$K459="No",N($I459)=0),"COUNTED EVENT WITH NO MINUTES - dropped from the classroom cap","OK"))))))))))</f>
        <v/>
      </c>
    </row>
    <row r="460">
      <c r="B460" s="17">
        <f>IF($D460="","","A"&amp;TEXT(ROW()-5,"000"))</f>
        <v/>
      </c>
      <c r="C460" s="18" t="n"/>
      <c r="D460" s="16" t="n"/>
      <c r="E460" s="17">
        <f>IF($D460="","",IFERROR(INDEX(rngCadetPIDs,MATCH($D460,rngCadetNames,0)),"?"))</f>
        <v/>
      </c>
      <c r="F460" s="17">
        <f>IF($E460="","",IFERROR(INDEX(nrCadetAgency,MATCH($E460,rngCadetPIDs,0)),""))</f>
        <v/>
      </c>
      <c r="G460" s="16" t="n"/>
      <c r="H460" s="16" t="n"/>
      <c r="I460" s="16" t="n"/>
      <c r="J460" s="16" t="n"/>
      <c r="K460" s="17">
        <f>IF($G460="","",IF(OR($G460="PT Missed",$G460="PT Modified",$G460="PT Refused"),"Yes","No"))</f>
        <v/>
      </c>
      <c r="L460" s="16" t="n"/>
      <c r="M460" s="16" t="n"/>
      <c r="N460" s="17">
        <f>IF($D460="","",IF($M460="Excused","No",IF(AND($G460="PT Modified",$L460="Received"),"No","Yes")))</f>
        <v/>
      </c>
      <c r="O460" s="16" t="n"/>
      <c r="P460" s="17">
        <f>IF(OR($B460="",N($I460)=0),"",MIN(N($I460),SUMIFS(nrMK_Min,nrMK_Link,$B460,nrMK_Credit,"Yes",nrMK_PID,$E460,nrMK_Type,"Classroom")))</f>
        <v/>
      </c>
      <c r="Q460" s="17">
        <f>IF(OR($B460="",N($J460)=0),"",MIN(N($J460),SUMIFS(nrMK_Sess,nrMK_Link,$B460,nrMK_Credit,"Yes",nrMK_PID,$E460,nrMK_Type,"PT")))</f>
        <v/>
      </c>
      <c r="R460" s="17">
        <f>IF(OR($B460="",$N460&lt;&gt;"Yes"),"",IF($K460="Yes",IF(N($J460)&gt;0,N($J460)-N($Q460),""),IF(N($I460)&gt;0,N($I460)-N($P460),"")))</f>
        <v/>
      </c>
      <c r="S460" s="17">
        <f>IF(OR($B460="",$R460=""),"",IF($R460&lt;=0,IF(IFERROR(_xlfn.MAXIFS(nrMK_Date,nrMK_Link,$B460,nrMK_Credit,"Yes",nrMK_PID,$E460),0)=0,"CLEARED (makeup date missing)","CLEARED "&amp;TEXT(_xlfn.MAXIFS(nrMK_Date,nrMK_Link,$B460,nrMK_Credit,"Yes",nrMK_PID,$E460),"mm/dd")),"OPEN"))</f>
        <v/>
      </c>
      <c r="T460" s="17">
        <f>IF($D460="","",IF($C460="","NO DATE",IF($G460="","NO EVENT TYPE",IF(AND($I460&lt;&gt;"",NOT(ISNUMBER($I460))),"MINUTES NOT A NUMBER",IF(AND($J460&lt;&gt;"",NOT(ISNUMBER($J460))),"SESSIONS NOT A NUMBER",IF(OR(N($I460)&lt;0,N($J460)&lt;0),"NEGATIVE MINUTES/SESSIONS",IF(AND($K460="Yes",N($I460)&gt;0),"MINUTES ON A PT EVENT - not counted (PT counts sessions)",IF(AND($K460="No",N($J460)&gt;0),"SESSIONS ON A CLASSROOM EVENT - not counted (classroom counts minutes)",IF(AND($N460="Yes",$K460="Yes",N($J460)=0),"COUNTED PT EVENT WITH NO SESSIONS - dropped from the PT cap",IF(AND($N460="Yes",$K460="No",N($I460)=0),"COUNTED EVENT WITH NO MINUTES - dropped from the classroom cap","OK"))))))))))</f>
        <v/>
      </c>
    </row>
    <row r="461">
      <c r="B461" s="17">
        <f>IF($D461="","","A"&amp;TEXT(ROW()-5,"000"))</f>
        <v/>
      </c>
      <c r="C461" s="18" t="n"/>
      <c r="D461" s="16" t="n"/>
      <c r="E461" s="17">
        <f>IF($D461="","",IFERROR(INDEX(rngCadetPIDs,MATCH($D461,rngCadetNames,0)),"?"))</f>
        <v/>
      </c>
      <c r="F461" s="17">
        <f>IF($E461="","",IFERROR(INDEX(nrCadetAgency,MATCH($E461,rngCadetPIDs,0)),""))</f>
        <v/>
      </c>
      <c r="G461" s="16" t="n"/>
      <c r="H461" s="16" t="n"/>
      <c r="I461" s="16" t="n"/>
      <c r="J461" s="16" t="n"/>
      <c r="K461" s="17">
        <f>IF($G461="","",IF(OR($G461="PT Missed",$G461="PT Modified",$G461="PT Refused"),"Yes","No"))</f>
        <v/>
      </c>
      <c r="L461" s="16" t="n"/>
      <c r="M461" s="16" t="n"/>
      <c r="N461" s="17">
        <f>IF($D461="","",IF($M461="Excused","No",IF(AND($G461="PT Modified",$L461="Received"),"No","Yes")))</f>
        <v/>
      </c>
      <c r="O461" s="16" t="n"/>
      <c r="P461" s="17">
        <f>IF(OR($B461="",N($I461)=0),"",MIN(N($I461),SUMIFS(nrMK_Min,nrMK_Link,$B461,nrMK_Credit,"Yes",nrMK_PID,$E461,nrMK_Type,"Classroom")))</f>
        <v/>
      </c>
      <c r="Q461" s="17">
        <f>IF(OR($B461="",N($J461)=0),"",MIN(N($J461),SUMIFS(nrMK_Sess,nrMK_Link,$B461,nrMK_Credit,"Yes",nrMK_PID,$E461,nrMK_Type,"PT")))</f>
        <v/>
      </c>
      <c r="R461" s="17">
        <f>IF(OR($B461="",$N461&lt;&gt;"Yes"),"",IF($K461="Yes",IF(N($J461)&gt;0,N($J461)-N($Q461),""),IF(N($I461)&gt;0,N($I461)-N($P461),"")))</f>
        <v/>
      </c>
      <c r="S461" s="17">
        <f>IF(OR($B461="",$R461=""),"",IF($R461&lt;=0,IF(IFERROR(_xlfn.MAXIFS(nrMK_Date,nrMK_Link,$B461,nrMK_Credit,"Yes",nrMK_PID,$E461),0)=0,"CLEARED (makeup date missing)","CLEARED "&amp;TEXT(_xlfn.MAXIFS(nrMK_Date,nrMK_Link,$B461,nrMK_Credit,"Yes",nrMK_PID,$E461),"mm/dd")),"OPEN"))</f>
        <v/>
      </c>
      <c r="T461" s="17">
        <f>IF($D461="","",IF($C461="","NO DATE",IF($G461="","NO EVENT TYPE",IF(AND($I461&lt;&gt;"",NOT(ISNUMBER($I461))),"MINUTES NOT A NUMBER",IF(AND($J461&lt;&gt;"",NOT(ISNUMBER($J461))),"SESSIONS NOT A NUMBER",IF(OR(N($I461)&lt;0,N($J461)&lt;0),"NEGATIVE MINUTES/SESSIONS",IF(AND($K461="Yes",N($I461)&gt;0),"MINUTES ON A PT EVENT - not counted (PT counts sessions)",IF(AND($K461="No",N($J461)&gt;0),"SESSIONS ON A CLASSROOM EVENT - not counted (classroom counts minutes)",IF(AND($N461="Yes",$K461="Yes",N($J461)=0),"COUNTED PT EVENT WITH NO SESSIONS - dropped from the PT cap",IF(AND($N461="Yes",$K461="No",N($I461)=0),"COUNTED EVENT WITH NO MINUTES - dropped from the classroom cap","OK"))))))))))</f>
        <v/>
      </c>
    </row>
    <row r="462">
      <c r="B462" s="17">
        <f>IF($D462="","","A"&amp;TEXT(ROW()-5,"000"))</f>
        <v/>
      </c>
      <c r="C462" s="18" t="n"/>
      <c r="D462" s="16" t="n"/>
      <c r="E462" s="17">
        <f>IF($D462="","",IFERROR(INDEX(rngCadetPIDs,MATCH($D462,rngCadetNames,0)),"?"))</f>
        <v/>
      </c>
      <c r="F462" s="17">
        <f>IF($E462="","",IFERROR(INDEX(nrCadetAgency,MATCH($E462,rngCadetPIDs,0)),""))</f>
        <v/>
      </c>
      <c r="G462" s="16" t="n"/>
      <c r="H462" s="16" t="n"/>
      <c r="I462" s="16" t="n"/>
      <c r="J462" s="16" t="n"/>
      <c r="K462" s="17">
        <f>IF($G462="","",IF(OR($G462="PT Missed",$G462="PT Modified",$G462="PT Refused"),"Yes","No"))</f>
        <v/>
      </c>
      <c r="L462" s="16" t="n"/>
      <c r="M462" s="16" t="n"/>
      <c r="N462" s="17">
        <f>IF($D462="","",IF($M462="Excused","No",IF(AND($G462="PT Modified",$L462="Received"),"No","Yes")))</f>
        <v/>
      </c>
      <c r="O462" s="16" t="n"/>
      <c r="P462" s="17">
        <f>IF(OR($B462="",N($I462)=0),"",MIN(N($I462),SUMIFS(nrMK_Min,nrMK_Link,$B462,nrMK_Credit,"Yes",nrMK_PID,$E462,nrMK_Type,"Classroom")))</f>
        <v/>
      </c>
      <c r="Q462" s="17">
        <f>IF(OR($B462="",N($J462)=0),"",MIN(N($J462),SUMIFS(nrMK_Sess,nrMK_Link,$B462,nrMK_Credit,"Yes",nrMK_PID,$E462,nrMK_Type,"PT")))</f>
        <v/>
      </c>
      <c r="R462" s="17">
        <f>IF(OR($B462="",$N462&lt;&gt;"Yes"),"",IF($K462="Yes",IF(N($J462)&gt;0,N($J462)-N($Q462),""),IF(N($I462)&gt;0,N($I462)-N($P462),"")))</f>
        <v/>
      </c>
      <c r="S462" s="17">
        <f>IF(OR($B462="",$R462=""),"",IF($R462&lt;=0,IF(IFERROR(_xlfn.MAXIFS(nrMK_Date,nrMK_Link,$B462,nrMK_Credit,"Yes",nrMK_PID,$E462),0)=0,"CLEARED (makeup date missing)","CLEARED "&amp;TEXT(_xlfn.MAXIFS(nrMK_Date,nrMK_Link,$B462,nrMK_Credit,"Yes",nrMK_PID,$E462),"mm/dd")),"OPEN"))</f>
        <v/>
      </c>
      <c r="T462" s="17">
        <f>IF($D462="","",IF($C462="","NO DATE",IF($G462="","NO EVENT TYPE",IF(AND($I462&lt;&gt;"",NOT(ISNUMBER($I462))),"MINUTES NOT A NUMBER",IF(AND($J462&lt;&gt;"",NOT(ISNUMBER($J462))),"SESSIONS NOT A NUMBER",IF(OR(N($I462)&lt;0,N($J462)&lt;0),"NEGATIVE MINUTES/SESSIONS",IF(AND($K462="Yes",N($I462)&gt;0),"MINUTES ON A PT EVENT - not counted (PT counts sessions)",IF(AND($K462="No",N($J462)&gt;0),"SESSIONS ON A CLASSROOM EVENT - not counted (classroom counts minutes)",IF(AND($N462="Yes",$K462="Yes",N($J462)=0),"COUNTED PT EVENT WITH NO SESSIONS - dropped from the PT cap",IF(AND($N462="Yes",$K462="No",N($I462)=0),"COUNTED EVENT WITH NO MINUTES - dropped from the classroom cap","OK"))))))))))</f>
        <v/>
      </c>
    </row>
    <row r="463">
      <c r="B463" s="17">
        <f>IF($D463="","","A"&amp;TEXT(ROW()-5,"000"))</f>
        <v/>
      </c>
      <c r="C463" s="18" t="n"/>
      <c r="D463" s="16" t="n"/>
      <c r="E463" s="17">
        <f>IF($D463="","",IFERROR(INDEX(rngCadetPIDs,MATCH($D463,rngCadetNames,0)),"?"))</f>
        <v/>
      </c>
      <c r="F463" s="17">
        <f>IF($E463="","",IFERROR(INDEX(nrCadetAgency,MATCH($E463,rngCadetPIDs,0)),""))</f>
        <v/>
      </c>
      <c r="G463" s="16" t="n"/>
      <c r="H463" s="16" t="n"/>
      <c r="I463" s="16" t="n"/>
      <c r="J463" s="16" t="n"/>
      <c r="K463" s="17">
        <f>IF($G463="","",IF(OR($G463="PT Missed",$G463="PT Modified",$G463="PT Refused"),"Yes","No"))</f>
        <v/>
      </c>
      <c r="L463" s="16" t="n"/>
      <c r="M463" s="16" t="n"/>
      <c r="N463" s="17">
        <f>IF($D463="","",IF($M463="Excused","No",IF(AND($G463="PT Modified",$L463="Received"),"No","Yes")))</f>
        <v/>
      </c>
      <c r="O463" s="16" t="n"/>
      <c r="P463" s="17">
        <f>IF(OR($B463="",N($I463)=0),"",MIN(N($I463),SUMIFS(nrMK_Min,nrMK_Link,$B463,nrMK_Credit,"Yes",nrMK_PID,$E463,nrMK_Type,"Classroom")))</f>
        <v/>
      </c>
      <c r="Q463" s="17">
        <f>IF(OR($B463="",N($J463)=0),"",MIN(N($J463),SUMIFS(nrMK_Sess,nrMK_Link,$B463,nrMK_Credit,"Yes",nrMK_PID,$E463,nrMK_Type,"PT")))</f>
        <v/>
      </c>
      <c r="R463" s="17">
        <f>IF(OR($B463="",$N463&lt;&gt;"Yes"),"",IF($K463="Yes",IF(N($J463)&gt;0,N($J463)-N($Q463),""),IF(N($I463)&gt;0,N($I463)-N($P463),"")))</f>
        <v/>
      </c>
      <c r="S463" s="17">
        <f>IF(OR($B463="",$R463=""),"",IF($R463&lt;=0,IF(IFERROR(_xlfn.MAXIFS(nrMK_Date,nrMK_Link,$B463,nrMK_Credit,"Yes",nrMK_PID,$E463),0)=0,"CLEARED (makeup date missing)","CLEARED "&amp;TEXT(_xlfn.MAXIFS(nrMK_Date,nrMK_Link,$B463,nrMK_Credit,"Yes",nrMK_PID,$E463),"mm/dd")),"OPEN"))</f>
        <v/>
      </c>
      <c r="T463" s="17">
        <f>IF($D463="","",IF($C463="","NO DATE",IF($G463="","NO EVENT TYPE",IF(AND($I463&lt;&gt;"",NOT(ISNUMBER($I463))),"MINUTES NOT A NUMBER",IF(AND($J463&lt;&gt;"",NOT(ISNUMBER($J463))),"SESSIONS NOT A NUMBER",IF(OR(N($I463)&lt;0,N($J463)&lt;0),"NEGATIVE MINUTES/SESSIONS",IF(AND($K463="Yes",N($I463)&gt;0),"MINUTES ON A PT EVENT - not counted (PT counts sessions)",IF(AND($K463="No",N($J463)&gt;0),"SESSIONS ON A CLASSROOM EVENT - not counted (classroom counts minutes)",IF(AND($N463="Yes",$K463="Yes",N($J463)=0),"COUNTED PT EVENT WITH NO SESSIONS - dropped from the PT cap",IF(AND($N463="Yes",$K463="No",N($I463)=0),"COUNTED EVENT WITH NO MINUTES - dropped from the classroom cap","OK"))))))))))</f>
        <v/>
      </c>
    </row>
    <row r="464">
      <c r="B464" s="17">
        <f>IF($D464="","","A"&amp;TEXT(ROW()-5,"000"))</f>
        <v/>
      </c>
      <c r="C464" s="18" t="n"/>
      <c r="D464" s="16" t="n"/>
      <c r="E464" s="17">
        <f>IF($D464="","",IFERROR(INDEX(rngCadetPIDs,MATCH($D464,rngCadetNames,0)),"?"))</f>
        <v/>
      </c>
      <c r="F464" s="17">
        <f>IF($E464="","",IFERROR(INDEX(nrCadetAgency,MATCH($E464,rngCadetPIDs,0)),""))</f>
        <v/>
      </c>
      <c r="G464" s="16" t="n"/>
      <c r="H464" s="16" t="n"/>
      <c r="I464" s="16" t="n"/>
      <c r="J464" s="16" t="n"/>
      <c r="K464" s="17">
        <f>IF($G464="","",IF(OR($G464="PT Missed",$G464="PT Modified",$G464="PT Refused"),"Yes","No"))</f>
        <v/>
      </c>
      <c r="L464" s="16" t="n"/>
      <c r="M464" s="16" t="n"/>
      <c r="N464" s="17">
        <f>IF($D464="","",IF($M464="Excused","No",IF(AND($G464="PT Modified",$L464="Received"),"No","Yes")))</f>
        <v/>
      </c>
      <c r="O464" s="16" t="n"/>
      <c r="P464" s="17">
        <f>IF(OR($B464="",N($I464)=0),"",MIN(N($I464),SUMIFS(nrMK_Min,nrMK_Link,$B464,nrMK_Credit,"Yes",nrMK_PID,$E464,nrMK_Type,"Classroom")))</f>
        <v/>
      </c>
      <c r="Q464" s="17">
        <f>IF(OR($B464="",N($J464)=0),"",MIN(N($J464),SUMIFS(nrMK_Sess,nrMK_Link,$B464,nrMK_Credit,"Yes",nrMK_PID,$E464,nrMK_Type,"PT")))</f>
        <v/>
      </c>
      <c r="R464" s="17">
        <f>IF(OR($B464="",$N464&lt;&gt;"Yes"),"",IF($K464="Yes",IF(N($J464)&gt;0,N($J464)-N($Q464),""),IF(N($I464)&gt;0,N($I464)-N($P464),"")))</f>
        <v/>
      </c>
      <c r="S464" s="17">
        <f>IF(OR($B464="",$R464=""),"",IF($R464&lt;=0,IF(IFERROR(_xlfn.MAXIFS(nrMK_Date,nrMK_Link,$B464,nrMK_Credit,"Yes",nrMK_PID,$E464),0)=0,"CLEARED (makeup date missing)","CLEARED "&amp;TEXT(_xlfn.MAXIFS(nrMK_Date,nrMK_Link,$B464,nrMK_Credit,"Yes",nrMK_PID,$E464),"mm/dd")),"OPEN"))</f>
        <v/>
      </c>
      <c r="T464" s="17">
        <f>IF($D464="","",IF($C464="","NO DATE",IF($G464="","NO EVENT TYPE",IF(AND($I464&lt;&gt;"",NOT(ISNUMBER($I464))),"MINUTES NOT A NUMBER",IF(AND($J464&lt;&gt;"",NOT(ISNUMBER($J464))),"SESSIONS NOT A NUMBER",IF(OR(N($I464)&lt;0,N($J464)&lt;0),"NEGATIVE MINUTES/SESSIONS",IF(AND($K464="Yes",N($I464)&gt;0),"MINUTES ON A PT EVENT - not counted (PT counts sessions)",IF(AND($K464="No",N($J464)&gt;0),"SESSIONS ON A CLASSROOM EVENT - not counted (classroom counts minutes)",IF(AND($N464="Yes",$K464="Yes",N($J464)=0),"COUNTED PT EVENT WITH NO SESSIONS - dropped from the PT cap",IF(AND($N464="Yes",$K464="No",N($I464)=0),"COUNTED EVENT WITH NO MINUTES - dropped from the classroom cap","OK"))))))))))</f>
        <v/>
      </c>
    </row>
    <row r="465">
      <c r="B465" s="17">
        <f>IF($D465="","","A"&amp;TEXT(ROW()-5,"000"))</f>
        <v/>
      </c>
      <c r="C465" s="18" t="n"/>
      <c r="D465" s="16" t="n"/>
      <c r="E465" s="17">
        <f>IF($D465="","",IFERROR(INDEX(rngCadetPIDs,MATCH($D465,rngCadetNames,0)),"?"))</f>
        <v/>
      </c>
      <c r="F465" s="17">
        <f>IF($E465="","",IFERROR(INDEX(nrCadetAgency,MATCH($E465,rngCadetPIDs,0)),""))</f>
        <v/>
      </c>
      <c r="G465" s="16" t="n"/>
      <c r="H465" s="16" t="n"/>
      <c r="I465" s="16" t="n"/>
      <c r="J465" s="16" t="n"/>
      <c r="K465" s="17">
        <f>IF($G465="","",IF(OR($G465="PT Missed",$G465="PT Modified",$G465="PT Refused"),"Yes","No"))</f>
        <v/>
      </c>
      <c r="L465" s="16" t="n"/>
      <c r="M465" s="16" t="n"/>
      <c r="N465" s="17">
        <f>IF($D465="","",IF($M465="Excused","No",IF(AND($G465="PT Modified",$L465="Received"),"No","Yes")))</f>
        <v/>
      </c>
      <c r="O465" s="16" t="n"/>
      <c r="P465" s="17">
        <f>IF(OR($B465="",N($I465)=0),"",MIN(N($I465),SUMIFS(nrMK_Min,nrMK_Link,$B465,nrMK_Credit,"Yes",nrMK_PID,$E465,nrMK_Type,"Classroom")))</f>
        <v/>
      </c>
      <c r="Q465" s="17">
        <f>IF(OR($B465="",N($J465)=0),"",MIN(N($J465),SUMIFS(nrMK_Sess,nrMK_Link,$B465,nrMK_Credit,"Yes",nrMK_PID,$E465,nrMK_Type,"PT")))</f>
        <v/>
      </c>
      <c r="R465" s="17">
        <f>IF(OR($B465="",$N465&lt;&gt;"Yes"),"",IF($K465="Yes",IF(N($J465)&gt;0,N($J465)-N($Q465),""),IF(N($I465)&gt;0,N($I465)-N($P465),"")))</f>
        <v/>
      </c>
      <c r="S465" s="17">
        <f>IF(OR($B465="",$R465=""),"",IF($R465&lt;=0,IF(IFERROR(_xlfn.MAXIFS(nrMK_Date,nrMK_Link,$B465,nrMK_Credit,"Yes",nrMK_PID,$E465),0)=0,"CLEARED (makeup date missing)","CLEARED "&amp;TEXT(_xlfn.MAXIFS(nrMK_Date,nrMK_Link,$B465,nrMK_Credit,"Yes",nrMK_PID,$E465),"mm/dd")),"OPEN"))</f>
        <v/>
      </c>
      <c r="T465" s="17">
        <f>IF($D465="","",IF($C465="","NO DATE",IF($G465="","NO EVENT TYPE",IF(AND($I465&lt;&gt;"",NOT(ISNUMBER($I465))),"MINUTES NOT A NUMBER",IF(AND($J465&lt;&gt;"",NOT(ISNUMBER($J465))),"SESSIONS NOT A NUMBER",IF(OR(N($I465)&lt;0,N($J465)&lt;0),"NEGATIVE MINUTES/SESSIONS",IF(AND($K465="Yes",N($I465)&gt;0),"MINUTES ON A PT EVENT - not counted (PT counts sessions)",IF(AND($K465="No",N($J465)&gt;0),"SESSIONS ON A CLASSROOM EVENT - not counted (classroom counts minutes)",IF(AND($N465="Yes",$K465="Yes",N($J465)=0),"COUNTED PT EVENT WITH NO SESSIONS - dropped from the PT cap",IF(AND($N465="Yes",$K465="No",N($I465)=0),"COUNTED EVENT WITH NO MINUTES - dropped from the classroom cap","OK"))))))))))</f>
        <v/>
      </c>
    </row>
    <row r="466">
      <c r="B466" s="17">
        <f>IF($D466="","","A"&amp;TEXT(ROW()-5,"000"))</f>
        <v/>
      </c>
      <c r="C466" s="18" t="n"/>
      <c r="D466" s="16" t="n"/>
      <c r="E466" s="17">
        <f>IF($D466="","",IFERROR(INDEX(rngCadetPIDs,MATCH($D466,rngCadetNames,0)),"?"))</f>
        <v/>
      </c>
      <c r="F466" s="17">
        <f>IF($E466="","",IFERROR(INDEX(nrCadetAgency,MATCH($E466,rngCadetPIDs,0)),""))</f>
        <v/>
      </c>
      <c r="G466" s="16" t="n"/>
      <c r="H466" s="16" t="n"/>
      <c r="I466" s="16" t="n"/>
      <c r="J466" s="16" t="n"/>
      <c r="K466" s="17">
        <f>IF($G466="","",IF(OR($G466="PT Missed",$G466="PT Modified",$G466="PT Refused"),"Yes","No"))</f>
        <v/>
      </c>
      <c r="L466" s="16" t="n"/>
      <c r="M466" s="16" t="n"/>
      <c r="N466" s="17">
        <f>IF($D466="","",IF($M466="Excused","No",IF(AND($G466="PT Modified",$L466="Received"),"No","Yes")))</f>
        <v/>
      </c>
      <c r="O466" s="16" t="n"/>
      <c r="P466" s="17">
        <f>IF(OR($B466="",N($I466)=0),"",MIN(N($I466),SUMIFS(nrMK_Min,nrMK_Link,$B466,nrMK_Credit,"Yes",nrMK_PID,$E466,nrMK_Type,"Classroom")))</f>
        <v/>
      </c>
      <c r="Q466" s="17">
        <f>IF(OR($B466="",N($J466)=0),"",MIN(N($J466),SUMIFS(nrMK_Sess,nrMK_Link,$B466,nrMK_Credit,"Yes",nrMK_PID,$E466,nrMK_Type,"PT")))</f>
        <v/>
      </c>
      <c r="R466" s="17">
        <f>IF(OR($B466="",$N466&lt;&gt;"Yes"),"",IF($K466="Yes",IF(N($J466)&gt;0,N($J466)-N($Q466),""),IF(N($I466)&gt;0,N($I466)-N($P466),"")))</f>
        <v/>
      </c>
      <c r="S466" s="17">
        <f>IF(OR($B466="",$R466=""),"",IF($R466&lt;=0,IF(IFERROR(_xlfn.MAXIFS(nrMK_Date,nrMK_Link,$B466,nrMK_Credit,"Yes",nrMK_PID,$E466),0)=0,"CLEARED (makeup date missing)","CLEARED "&amp;TEXT(_xlfn.MAXIFS(nrMK_Date,nrMK_Link,$B466,nrMK_Credit,"Yes",nrMK_PID,$E466),"mm/dd")),"OPEN"))</f>
        <v/>
      </c>
      <c r="T466" s="17">
        <f>IF($D466="","",IF($C466="","NO DATE",IF($G466="","NO EVENT TYPE",IF(AND($I466&lt;&gt;"",NOT(ISNUMBER($I466))),"MINUTES NOT A NUMBER",IF(AND($J466&lt;&gt;"",NOT(ISNUMBER($J466))),"SESSIONS NOT A NUMBER",IF(OR(N($I466)&lt;0,N($J466)&lt;0),"NEGATIVE MINUTES/SESSIONS",IF(AND($K466="Yes",N($I466)&gt;0),"MINUTES ON A PT EVENT - not counted (PT counts sessions)",IF(AND($K466="No",N($J466)&gt;0),"SESSIONS ON A CLASSROOM EVENT - not counted (classroom counts minutes)",IF(AND($N466="Yes",$K466="Yes",N($J466)=0),"COUNTED PT EVENT WITH NO SESSIONS - dropped from the PT cap",IF(AND($N466="Yes",$K466="No",N($I466)=0),"COUNTED EVENT WITH NO MINUTES - dropped from the classroom cap","OK"))))))))))</f>
        <v/>
      </c>
    </row>
    <row r="467">
      <c r="B467" s="17">
        <f>IF($D467="","","A"&amp;TEXT(ROW()-5,"000"))</f>
        <v/>
      </c>
      <c r="C467" s="18" t="n"/>
      <c r="D467" s="16" t="n"/>
      <c r="E467" s="17">
        <f>IF($D467="","",IFERROR(INDEX(rngCadetPIDs,MATCH($D467,rngCadetNames,0)),"?"))</f>
        <v/>
      </c>
      <c r="F467" s="17">
        <f>IF($E467="","",IFERROR(INDEX(nrCadetAgency,MATCH($E467,rngCadetPIDs,0)),""))</f>
        <v/>
      </c>
      <c r="G467" s="16" t="n"/>
      <c r="H467" s="16" t="n"/>
      <c r="I467" s="16" t="n"/>
      <c r="J467" s="16" t="n"/>
      <c r="K467" s="17">
        <f>IF($G467="","",IF(OR($G467="PT Missed",$G467="PT Modified",$G467="PT Refused"),"Yes","No"))</f>
        <v/>
      </c>
      <c r="L467" s="16" t="n"/>
      <c r="M467" s="16" t="n"/>
      <c r="N467" s="17">
        <f>IF($D467="","",IF($M467="Excused","No",IF(AND($G467="PT Modified",$L467="Received"),"No","Yes")))</f>
        <v/>
      </c>
      <c r="O467" s="16" t="n"/>
      <c r="P467" s="17">
        <f>IF(OR($B467="",N($I467)=0),"",MIN(N($I467),SUMIFS(nrMK_Min,nrMK_Link,$B467,nrMK_Credit,"Yes",nrMK_PID,$E467,nrMK_Type,"Classroom")))</f>
        <v/>
      </c>
      <c r="Q467" s="17">
        <f>IF(OR($B467="",N($J467)=0),"",MIN(N($J467),SUMIFS(nrMK_Sess,nrMK_Link,$B467,nrMK_Credit,"Yes",nrMK_PID,$E467,nrMK_Type,"PT")))</f>
        <v/>
      </c>
      <c r="R467" s="17">
        <f>IF(OR($B467="",$N467&lt;&gt;"Yes"),"",IF($K467="Yes",IF(N($J467)&gt;0,N($J467)-N($Q467),""),IF(N($I467)&gt;0,N($I467)-N($P467),"")))</f>
        <v/>
      </c>
      <c r="S467" s="17">
        <f>IF(OR($B467="",$R467=""),"",IF($R467&lt;=0,IF(IFERROR(_xlfn.MAXIFS(nrMK_Date,nrMK_Link,$B467,nrMK_Credit,"Yes",nrMK_PID,$E467),0)=0,"CLEARED (makeup date missing)","CLEARED "&amp;TEXT(_xlfn.MAXIFS(nrMK_Date,nrMK_Link,$B467,nrMK_Credit,"Yes",nrMK_PID,$E467),"mm/dd")),"OPEN"))</f>
        <v/>
      </c>
      <c r="T467" s="17">
        <f>IF($D467="","",IF($C467="","NO DATE",IF($G467="","NO EVENT TYPE",IF(AND($I467&lt;&gt;"",NOT(ISNUMBER($I467))),"MINUTES NOT A NUMBER",IF(AND($J467&lt;&gt;"",NOT(ISNUMBER($J467))),"SESSIONS NOT A NUMBER",IF(OR(N($I467)&lt;0,N($J467)&lt;0),"NEGATIVE MINUTES/SESSIONS",IF(AND($K467="Yes",N($I467)&gt;0),"MINUTES ON A PT EVENT - not counted (PT counts sessions)",IF(AND($K467="No",N($J467)&gt;0),"SESSIONS ON A CLASSROOM EVENT - not counted (classroom counts minutes)",IF(AND($N467="Yes",$K467="Yes",N($J467)=0),"COUNTED PT EVENT WITH NO SESSIONS - dropped from the PT cap",IF(AND($N467="Yes",$K467="No",N($I467)=0),"COUNTED EVENT WITH NO MINUTES - dropped from the classroom cap","OK"))))))))))</f>
        <v/>
      </c>
    </row>
    <row r="468">
      <c r="B468" s="17">
        <f>IF($D468="","","A"&amp;TEXT(ROW()-5,"000"))</f>
        <v/>
      </c>
      <c r="C468" s="18" t="n"/>
      <c r="D468" s="16" t="n"/>
      <c r="E468" s="17">
        <f>IF($D468="","",IFERROR(INDEX(rngCadetPIDs,MATCH($D468,rngCadetNames,0)),"?"))</f>
        <v/>
      </c>
      <c r="F468" s="17">
        <f>IF($E468="","",IFERROR(INDEX(nrCadetAgency,MATCH($E468,rngCadetPIDs,0)),""))</f>
        <v/>
      </c>
      <c r="G468" s="16" t="n"/>
      <c r="H468" s="16" t="n"/>
      <c r="I468" s="16" t="n"/>
      <c r="J468" s="16" t="n"/>
      <c r="K468" s="17">
        <f>IF($G468="","",IF(OR($G468="PT Missed",$G468="PT Modified",$G468="PT Refused"),"Yes","No"))</f>
        <v/>
      </c>
      <c r="L468" s="16" t="n"/>
      <c r="M468" s="16" t="n"/>
      <c r="N468" s="17">
        <f>IF($D468="","",IF($M468="Excused","No",IF(AND($G468="PT Modified",$L468="Received"),"No","Yes")))</f>
        <v/>
      </c>
      <c r="O468" s="16" t="n"/>
      <c r="P468" s="17">
        <f>IF(OR($B468="",N($I468)=0),"",MIN(N($I468),SUMIFS(nrMK_Min,nrMK_Link,$B468,nrMK_Credit,"Yes",nrMK_PID,$E468,nrMK_Type,"Classroom")))</f>
        <v/>
      </c>
      <c r="Q468" s="17">
        <f>IF(OR($B468="",N($J468)=0),"",MIN(N($J468),SUMIFS(nrMK_Sess,nrMK_Link,$B468,nrMK_Credit,"Yes",nrMK_PID,$E468,nrMK_Type,"PT")))</f>
        <v/>
      </c>
      <c r="R468" s="17">
        <f>IF(OR($B468="",$N468&lt;&gt;"Yes"),"",IF($K468="Yes",IF(N($J468)&gt;0,N($J468)-N($Q468),""),IF(N($I468)&gt;0,N($I468)-N($P468),"")))</f>
        <v/>
      </c>
      <c r="S468" s="17">
        <f>IF(OR($B468="",$R468=""),"",IF($R468&lt;=0,IF(IFERROR(_xlfn.MAXIFS(nrMK_Date,nrMK_Link,$B468,nrMK_Credit,"Yes",nrMK_PID,$E468),0)=0,"CLEARED (makeup date missing)","CLEARED "&amp;TEXT(_xlfn.MAXIFS(nrMK_Date,nrMK_Link,$B468,nrMK_Credit,"Yes",nrMK_PID,$E468),"mm/dd")),"OPEN"))</f>
        <v/>
      </c>
      <c r="T468" s="17">
        <f>IF($D468="","",IF($C468="","NO DATE",IF($G468="","NO EVENT TYPE",IF(AND($I468&lt;&gt;"",NOT(ISNUMBER($I468))),"MINUTES NOT A NUMBER",IF(AND($J468&lt;&gt;"",NOT(ISNUMBER($J468))),"SESSIONS NOT A NUMBER",IF(OR(N($I468)&lt;0,N($J468)&lt;0),"NEGATIVE MINUTES/SESSIONS",IF(AND($K468="Yes",N($I468)&gt;0),"MINUTES ON A PT EVENT - not counted (PT counts sessions)",IF(AND($K468="No",N($J468)&gt;0),"SESSIONS ON A CLASSROOM EVENT - not counted (classroom counts minutes)",IF(AND($N468="Yes",$K468="Yes",N($J468)=0),"COUNTED PT EVENT WITH NO SESSIONS - dropped from the PT cap",IF(AND($N468="Yes",$K468="No",N($I468)=0),"COUNTED EVENT WITH NO MINUTES - dropped from the classroom cap","OK"))))))))))</f>
        <v/>
      </c>
    </row>
    <row r="469">
      <c r="B469" s="17">
        <f>IF($D469="","","A"&amp;TEXT(ROW()-5,"000"))</f>
        <v/>
      </c>
      <c r="C469" s="18" t="n"/>
      <c r="D469" s="16" t="n"/>
      <c r="E469" s="17">
        <f>IF($D469="","",IFERROR(INDEX(rngCadetPIDs,MATCH($D469,rngCadetNames,0)),"?"))</f>
        <v/>
      </c>
      <c r="F469" s="17">
        <f>IF($E469="","",IFERROR(INDEX(nrCadetAgency,MATCH($E469,rngCadetPIDs,0)),""))</f>
        <v/>
      </c>
      <c r="G469" s="16" t="n"/>
      <c r="H469" s="16" t="n"/>
      <c r="I469" s="16" t="n"/>
      <c r="J469" s="16" t="n"/>
      <c r="K469" s="17">
        <f>IF($G469="","",IF(OR($G469="PT Missed",$G469="PT Modified",$G469="PT Refused"),"Yes","No"))</f>
        <v/>
      </c>
      <c r="L469" s="16" t="n"/>
      <c r="M469" s="16" t="n"/>
      <c r="N469" s="17">
        <f>IF($D469="","",IF($M469="Excused","No",IF(AND($G469="PT Modified",$L469="Received"),"No","Yes")))</f>
        <v/>
      </c>
      <c r="O469" s="16" t="n"/>
      <c r="P469" s="17">
        <f>IF(OR($B469="",N($I469)=0),"",MIN(N($I469),SUMIFS(nrMK_Min,nrMK_Link,$B469,nrMK_Credit,"Yes",nrMK_PID,$E469,nrMK_Type,"Classroom")))</f>
        <v/>
      </c>
      <c r="Q469" s="17">
        <f>IF(OR($B469="",N($J469)=0),"",MIN(N($J469),SUMIFS(nrMK_Sess,nrMK_Link,$B469,nrMK_Credit,"Yes",nrMK_PID,$E469,nrMK_Type,"PT")))</f>
        <v/>
      </c>
      <c r="R469" s="17">
        <f>IF(OR($B469="",$N469&lt;&gt;"Yes"),"",IF($K469="Yes",IF(N($J469)&gt;0,N($J469)-N($Q469),""),IF(N($I469)&gt;0,N($I469)-N($P469),"")))</f>
        <v/>
      </c>
      <c r="S469" s="17">
        <f>IF(OR($B469="",$R469=""),"",IF($R469&lt;=0,IF(IFERROR(_xlfn.MAXIFS(nrMK_Date,nrMK_Link,$B469,nrMK_Credit,"Yes",nrMK_PID,$E469),0)=0,"CLEARED (makeup date missing)","CLEARED "&amp;TEXT(_xlfn.MAXIFS(nrMK_Date,nrMK_Link,$B469,nrMK_Credit,"Yes",nrMK_PID,$E469),"mm/dd")),"OPEN"))</f>
        <v/>
      </c>
      <c r="T469" s="17">
        <f>IF($D469="","",IF($C469="","NO DATE",IF($G469="","NO EVENT TYPE",IF(AND($I469&lt;&gt;"",NOT(ISNUMBER($I469))),"MINUTES NOT A NUMBER",IF(AND($J469&lt;&gt;"",NOT(ISNUMBER($J469))),"SESSIONS NOT A NUMBER",IF(OR(N($I469)&lt;0,N($J469)&lt;0),"NEGATIVE MINUTES/SESSIONS",IF(AND($K469="Yes",N($I469)&gt;0),"MINUTES ON A PT EVENT - not counted (PT counts sessions)",IF(AND($K469="No",N($J469)&gt;0),"SESSIONS ON A CLASSROOM EVENT - not counted (classroom counts minutes)",IF(AND($N469="Yes",$K469="Yes",N($J469)=0),"COUNTED PT EVENT WITH NO SESSIONS - dropped from the PT cap",IF(AND($N469="Yes",$K469="No",N($I469)=0),"COUNTED EVENT WITH NO MINUTES - dropped from the classroom cap","OK"))))))))))</f>
        <v/>
      </c>
    </row>
    <row r="470">
      <c r="B470" s="17">
        <f>IF($D470="","","A"&amp;TEXT(ROW()-5,"000"))</f>
        <v/>
      </c>
      <c r="C470" s="18" t="n"/>
      <c r="D470" s="16" t="n"/>
      <c r="E470" s="17">
        <f>IF($D470="","",IFERROR(INDEX(rngCadetPIDs,MATCH($D470,rngCadetNames,0)),"?"))</f>
        <v/>
      </c>
      <c r="F470" s="17">
        <f>IF($E470="","",IFERROR(INDEX(nrCadetAgency,MATCH($E470,rngCadetPIDs,0)),""))</f>
        <v/>
      </c>
      <c r="G470" s="16" t="n"/>
      <c r="H470" s="16" t="n"/>
      <c r="I470" s="16" t="n"/>
      <c r="J470" s="16" t="n"/>
      <c r="K470" s="17">
        <f>IF($G470="","",IF(OR($G470="PT Missed",$G470="PT Modified",$G470="PT Refused"),"Yes","No"))</f>
        <v/>
      </c>
      <c r="L470" s="16" t="n"/>
      <c r="M470" s="16" t="n"/>
      <c r="N470" s="17">
        <f>IF($D470="","",IF($M470="Excused","No",IF(AND($G470="PT Modified",$L470="Received"),"No","Yes")))</f>
        <v/>
      </c>
      <c r="O470" s="16" t="n"/>
      <c r="P470" s="17">
        <f>IF(OR($B470="",N($I470)=0),"",MIN(N($I470),SUMIFS(nrMK_Min,nrMK_Link,$B470,nrMK_Credit,"Yes",nrMK_PID,$E470,nrMK_Type,"Classroom")))</f>
        <v/>
      </c>
      <c r="Q470" s="17">
        <f>IF(OR($B470="",N($J470)=0),"",MIN(N($J470),SUMIFS(nrMK_Sess,nrMK_Link,$B470,nrMK_Credit,"Yes",nrMK_PID,$E470,nrMK_Type,"PT")))</f>
        <v/>
      </c>
      <c r="R470" s="17">
        <f>IF(OR($B470="",$N470&lt;&gt;"Yes"),"",IF($K470="Yes",IF(N($J470)&gt;0,N($J470)-N($Q470),""),IF(N($I470)&gt;0,N($I470)-N($P470),"")))</f>
        <v/>
      </c>
      <c r="S470" s="17">
        <f>IF(OR($B470="",$R470=""),"",IF($R470&lt;=0,IF(IFERROR(_xlfn.MAXIFS(nrMK_Date,nrMK_Link,$B470,nrMK_Credit,"Yes",nrMK_PID,$E470),0)=0,"CLEARED (makeup date missing)","CLEARED "&amp;TEXT(_xlfn.MAXIFS(nrMK_Date,nrMK_Link,$B470,nrMK_Credit,"Yes",nrMK_PID,$E470),"mm/dd")),"OPEN"))</f>
        <v/>
      </c>
      <c r="T470" s="17">
        <f>IF($D470="","",IF($C470="","NO DATE",IF($G470="","NO EVENT TYPE",IF(AND($I470&lt;&gt;"",NOT(ISNUMBER($I470))),"MINUTES NOT A NUMBER",IF(AND($J470&lt;&gt;"",NOT(ISNUMBER($J470))),"SESSIONS NOT A NUMBER",IF(OR(N($I470)&lt;0,N($J470)&lt;0),"NEGATIVE MINUTES/SESSIONS",IF(AND($K470="Yes",N($I470)&gt;0),"MINUTES ON A PT EVENT - not counted (PT counts sessions)",IF(AND($K470="No",N($J470)&gt;0),"SESSIONS ON A CLASSROOM EVENT - not counted (classroom counts minutes)",IF(AND($N470="Yes",$K470="Yes",N($J470)=0),"COUNTED PT EVENT WITH NO SESSIONS - dropped from the PT cap",IF(AND($N470="Yes",$K470="No",N($I470)=0),"COUNTED EVENT WITH NO MINUTES - dropped from the classroom cap","OK"))))))))))</f>
        <v/>
      </c>
    </row>
    <row r="471">
      <c r="B471" s="17">
        <f>IF($D471="","","A"&amp;TEXT(ROW()-5,"000"))</f>
        <v/>
      </c>
      <c r="C471" s="18" t="n"/>
      <c r="D471" s="16" t="n"/>
      <c r="E471" s="17">
        <f>IF($D471="","",IFERROR(INDEX(rngCadetPIDs,MATCH($D471,rngCadetNames,0)),"?"))</f>
        <v/>
      </c>
      <c r="F471" s="17">
        <f>IF($E471="","",IFERROR(INDEX(nrCadetAgency,MATCH($E471,rngCadetPIDs,0)),""))</f>
        <v/>
      </c>
      <c r="G471" s="16" t="n"/>
      <c r="H471" s="16" t="n"/>
      <c r="I471" s="16" t="n"/>
      <c r="J471" s="16" t="n"/>
      <c r="K471" s="17">
        <f>IF($G471="","",IF(OR($G471="PT Missed",$G471="PT Modified",$G471="PT Refused"),"Yes","No"))</f>
        <v/>
      </c>
      <c r="L471" s="16" t="n"/>
      <c r="M471" s="16" t="n"/>
      <c r="N471" s="17">
        <f>IF($D471="","",IF($M471="Excused","No",IF(AND($G471="PT Modified",$L471="Received"),"No","Yes")))</f>
        <v/>
      </c>
      <c r="O471" s="16" t="n"/>
      <c r="P471" s="17">
        <f>IF(OR($B471="",N($I471)=0),"",MIN(N($I471),SUMIFS(nrMK_Min,nrMK_Link,$B471,nrMK_Credit,"Yes",nrMK_PID,$E471,nrMK_Type,"Classroom")))</f>
        <v/>
      </c>
      <c r="Q471" s="17">
        <f>IF(OR($B471="",N($J471)=0),"",MIN(N($J471),SUMIFS(nrMK_Sess,nrMK_Link,$B471,nrMK_Credit,"Yes",nrMK_PID,$E471,nrMK_Type,"PT")))</f>
        <v/>
      </c>
      <c r="R471" s="17">
        <f>IF(OR($B471="",$N471&lt;&gt;"Yes"),"",IF($K471="Yes",IF(N($J471)&gt;0,N($J471)-N($Q471),""),IF(N($I471)&gt;0,N($I471)-N($P471),"")))</f>
        <v/>
      </c>
      <c r="S471" s="17">
        <f>IF(OR($B471="",$R471=""),"",IF($R471&lt;=0,IF(IFERROR(_xlfn.MAXIFS(nrMK_Date,nrMK_Link,$B471,nrMK_Credit,"Yes",nrMK_PID,$E471),0)=0,"CLEARED (makeup date missing)","CLEARED "&amp;TEXT(_xlfn.MAXIFS(nrMK_Date,nrMK_Link,$B471,nrMK_Credit,"Yes",nrMK_PID,$E471),"mm/dd")),"OPEN"))</f>
        <v/>
      </c>
      <c r="T471" s="17">
        <f>IF($D471="","",IF($C471="","NO DATE",IF($G471="","NO EVENT TYPE",IF(AND($I471&lt;&gt;"",NOT(ISNUMBER($I471))),"MINUTES NOT A NUMBER",IF(AND($J471&lt;&gt;"",NOT(ISNUMBER($J471))),"SESSIONS NOT A NUMBER",IF(OR(N($I471)&lt;0,N($J471)&lt;0),"NEGATIVE MINUTES/SESSIONS",IF(AND($K471="Yes",N($I471)&gt;0),"MINUTES ON A PT EVENT - not counted (PT counts sessions)",IF(AND($K471="No",N($J471)&gt;0),"SESSIONS ON A CLASSROOM EVENT - not counted (classroom counts minutes)",IF(AND($N471="Yes",$K471="Yes",N($J471)=0),"COUNTED PT EVENT WITH NO SESSIONS - dropped from the PT cap",IF(AND($N471="Yes",$K471="No",N($I471)=0),"COUNTED EVENT WITH NO MINUTES - dropped from the classroom cap","OK"))))))))))</f>
        <v/>
      </c>
    </row>
    <row r="472">
      <c r="B472" s="17">
        <f>IF($D472="","","A"&amp;TEXT(ROW()-5,"000"))</f>
        <v/>
      </c>
      <c r="C472" s="18" t="n"/>
      <c r="D472" s="16" t="n"/>
      <c r="E472" s="17">
        <f>IF($D472="","",IFERROR(INDEX(rngCadetPIDs,MATCH($D472,rngCadetNames,0)),"?"))</f>
        <v/>
      </c>
      <c r="F472" s="17">
        <f>IF($E472="","",IFERROR(INDEX(nrCadetAgency,MATCH($E472,rngCadetPIDs,0)),""))</f>
        <v/>
      </c>
      <c r="G472" s="16" t="n"/>
      <c r="H472" s="16" t="n"/>
      <c r="I472" s="16" t="n"/>
      <c r="J472" s="16" t="n"/>
      <c r="K472" s="17">
        <f>IF($G472="","",IF(OR($G472="PT Missed",$G472="PT Modified",$G472="PT Refused"),"Yes","No"))</f>
        <v/>
      </c>
      <c r="L472" s="16" t="n"/>
      <c r="M472" s="16" t="n"/>
      <c r="N472" s="17">
        <f>IF($D472="","",IF($M472="Excused","No",IF(AND($G472="PT Modified",$L472="Received"),"No","Yes")))</f>
        <v/>
      </c>
      <c r="O472" s="16" t="n"/>
      <c r="P472" s="17">
        <f>IF(OR($B472="",N($I472)=0),"",MIN(N($I472),SUMIFS(nrMK_Min,nrMK_Link,$B472,nrMK_Credit,"Yes",nrMK_PID,$E472,nrMK_Type,"Classroom")))</f>
        <v/>
      </c>
      <c r="Q472" s="17">
        <f>IF(OR($B472="",N($J472)=0),"",MIN(N($J472),SUMIFS(nrMK_Sess,nrMK_Link,$B472,nrMK_Credit,"Yes",nrMK_PID,$E472,nrMK_Type,"PT")))</f>
        <v/>
      </c>
      <c r="R472" s="17">
        <f>IF(OR($B472="",$N472&lt;&gt;"Yes"),"",IF($K472="Yes",IF(N($J472)&gt;0,N($J472)-N($Q472),""),IF(N($I472)&gt;0,N($I472)-N($P472),"")))</f>
        <v/>
      </c>
      <c r="S472" s="17">
        <f>IF(OR($B472="",$R472=""),"",IF($R472&lt;=0,IF(IFERROR(_xlfn.MAXIFS(nrMK_Date,nrMK_Link,$B472,nrMK_Credit,"Yes",nrMK_PID,$E472),0)=0,"CLEARED (makeup date missing)","CLEARED "&amp;TEXT(_xlfn.MAXIFS(nrMK_Date,nrMK_Link,$B472,nrMK_Credit,"Yes",nrMK_PID,$E472),"mm/dd")),"OPEN"))</f>
        <v/>
      </c>
      <c r="T472" s="17">
        <f>IF($D472="","",IF($C472="","NO DATE",IF($G472="","NO EVENT TYPE",IF(AND($I472&lt;&gt;"",NOT(ISNUMBER($I472))),"MINUTES NOT A NUMBER",IF(AND($J472&lt;&gt;"",NOT(ISNUMBER($J472))),"SESSIONS NOT A NUMBER",IF(OR(N($I472)&lt;0,N($J472)&lt;0),"NEGATIVE MINUTES/SESSIONS",IF(AND($K472="Yes",N($I472)&gt;0),"MINUTES ON A PT EVENT - not counted (PT counts sessions)",IF(AND($K472="No",N($J472)&gt;0),"SESSIONS ON A CLASSROOM EVENT - not counted (classroom counts minutes)",IF(AND($N472="Yes",$K472="Yes",N($J472)=0),"COUNTED PT EVENT WITH NO SESSIONS - dropped from the PT cap",IF(AND($N472="Yes",$K472="No",N($I472)=0),"COUNTED EVENT WITH NO MINUTES - dropped from the classroom cap","OK"))))))))))</f>
        <v/>
      </c>
    </row>
    <row r="473">
      <c r="B473" s="17">
        <f>IF($D473="","","A"&amp;TEXT(ROW()-5,"000"))</f>
        <v/>
      </c>
      <c r="C473" s="18" t="n"/>
      <c r="D473" s="16" t="n"/>
      <c r="E473" s="17">
        <f>IF($D473="","",IFERROR(INDEX(rngCadetPIDs,MATCH($D473,rngCadetNames,0)),"?"))</f>
        <v/>
      </c>
      <c r="F473" s="17">
        <f>IF($E473="","",IFERROR(INDEX(nrCadetAgency,MATCH($E473,rngCadetPIDs,0)),""))</f>
        <v/>
      </c>
      <c r="G473" s="16" t="n"/>
      <c r="H473" s="16" t="n"/>
      <c r="I473" s="16" t="n"/>
      <c r="J473" s="16" t="n"/>
      <c r="K473" s="17">
        <f>IF($G473="","",IF(OR($G473="PT Missed",$G473="PT Modified",$G473="PT Refused"),"Yes","No"))</f>
        <v/>
      </c>
      <c r="L473" s="16" t="n"/>
      <c r="M473" s="16" t="n"/>
      <c r="N473" s="17">
        <f>IF($D473="","",IF($M473="Excused","No",IF(AND($G473="PT Modified",$L473="Received"),"No","Yes")))</f>
        <v/>
      </c>
      <c r="O473" s="16" t="n"/>
      <c r="P473" s="17">
        <f>IF(OR($B473="",N($I473)=0),"",MIN(N($I473),SUMIFS(nrMK_Min,nrMK_Link,$B473,nrMK_Credit,"Yes",nrMK_PID,$E473,nrMK_Type,"Classroom")))</f>
        <v/>
      </c>
      <c r="Q473" s="17">
        <f>IF(OR($B473="",N($J473)=0),"",MIN(N($J473),SUMIFS(nrMK_Sess,nrMK_Link,$B473,nrMK_Credit,"Yes",nrMK_PID,$E473,nrMK_Type,"PT")))</f>
        <v/>
      </c>
      <c r="R473" s="17">
        <f>IF(OR($B473="",$N473&lt;&gt;"Yes"),"",IF($K473="Yes",IF(N($J473)&gt;0,N($J473)-N($Q473),""),IF(N($I473)&gt;0,N($I473)-N($P473),"")))</f>
        <v/>
      </c>
      <c r="S473" s="17">
        <f>IF(OR($B473="",$R473=""),"",IF($R473&lt;=0,IF(IFERROR(_xlfn.MAXIFS(nrMK_Date,nrMK_Link,$B473,nrMK_Credit,"Yes",nrMK_PID,$E473),0)=0,"CLEARED (makeup date missing)","CLEARED "&amp;TEXT(_xlfn.MAXIFS(nrMK_Date,nrMK_Link,$B473,nrMK_Credit,"Yes",nrMK_PID,$E473),"mm/dd")),"OPEN"))</f>
        <v/>
      </c>
      <c r="T473" s="17">
        <f>IF($D473="","",IF($C473="","NO DATE",IF($G473="","NO EVENT TYPE",IF(AND($I473&lt;&gt;"",NOT(ISNUMBER($I473))),"MINUTES NOT A NUMBER",IF(AND($J473&lt;&gt;"",NOT(ISNUMBER($J473))),"SESSIONS NOT A NUMBER",IF(OR(N($I473)&lt;0,N($J473)&lt;0),"NEGATIVE MINUTES/SESSIONS",IF(AND($K473="Yes",N($I473)&gt;0),"MINUTES ON A PT EVENT - not counted (PT counts sessions)",IF(AND($K473="No",N($J473)&gt;0),"SESSIONS ON A CLASSROOM EVENT - not counted (classroom counts minutes)",IF(AND($N473="Yes",$K473="Yes",N($J473)=0),"COUNTED PT EVENT WITH NO SESSIONS - dropped from the PT cap",IF(AND($N473="Yes",$K473="No",N($I473)=0),"COUNTED EVENT WITH NO MINUTES - dropped from the classroom cap","OK"))))))))))</f>
        <v/>
      </c>
    </row>
    <row r="474">
      <c r="B474" s="17">
        <f>IF($D474="","","A"&amp;TEXT(ROW()-5,"000"))</f>
        <v/>
      </c>
      <c r="C474" s="18" t="n"/>
      <c r="D474" s="16" t="n"/>
      <c r="E474" s="17">
        <f>IF($D474="","",IFERROR(INDEX(rngCadetPIDs,MATCH($D474,rngCadetNames,0)),"?"))</f>
        <v/>
      </c>
      <c r="F474" s="17">
        <f>IF($E474="","",IFERROR(INDEX(nrCadetAgency,MATCH($E474,rngCadetPIDs,0)),""))</f>
        <v/>
      </c>
      <c r="G474" s="16" t="n"/>
      <c r="H474" s="16" t="n"/>
      <c r="I474" s="16" t="n"/>
      <c r="J474" s="16" t="n"/>
      <c r="K474" s="17">
        <f>IF($G474="","",IF(OR($G474="PT Missed",$G474="PT Modified",$G474="PT Refused"),"Yes","No"))</f>
        <v/>
      </c>
      <c r="L474" s="16" t="n"/>
      <c r="M474" s="16" t="n"/>
      <c r="N474" s="17">
        <f>IF($D474="","",IF($M474="Excused","No",IF(AND($G474="PT Modified",$L474="Received"),"No","Yes")))</f>
        <v/>
      </c>
      <c r="O474" s="16" t="n"/>
      <c r="P474" s="17">
        <f>IF(OR($B474="",N($I474)=0),"",MIN(N($I474),SUMIFS(nrMK_Min,nrMK_Link,$B474,nrMK_Credit,"Yes",nrMK_PID,$E474,nrMK_Type,"Classroom")))</f>
        <v/>
      </c>
      <c r="Q474" s="17">
        <f>IF(OR($B474="",N($J474)=0),"",MIN(N($J474),SUMIFS(nrMK_Sess,nrMK_Link,$B474,nrMK_Credit,"Yes",nrMK_PID,$E474,nrMK_Type,"PT")))</f>
        <v/>
      </c>
      <c r="R474" s="17">
        <f>IF(OR($B474="",$N474&lt;&gt;"Yes"),"",IF($K474="Yes",IF(N($J474)&gt;0,N($J474)-N($Q474),""),IF(N($I474)&gt;0,N($I474)-N($P474),"")))</f>
        <v/>
      </c>
      <c r="S474" s="17">
        <f>IF(OR($B474="",$R474=""),"",IF($R474&lt;=0,IF(IFERROR(_xlfn.MAXIFS(nrMK_Date,nrMK_Link,$B474,nrMK_Credit,"Yes",nrMK_PID,$E474),0)=0,"CLEARED (makeup date missing)","CLEARED "&amp;TEXT(_xlfn.MAXIFS(nrMK_Date,nrMK_Link,$B474,nrMK_Credit,"Yes",nrMK_PID,$E474),"mm/dd")),"OPEN"))</f>
        <v/>
      </c>
      <c r="T474" s="17">
        <f>IF($D474="","",IF($C474="","NO DATE",IF($G474="","NO EVENT TYPE",IF(AND($I474&lt;&gt;"",NOT(ISNUMBER($I474))),"MINUTES NOT A NUMBER",IF(AND($J474&lt;&gt;"",NOT(ISNUMBER($J474))),"SESSIONS NOT A NUMBER",IF(OR(N($I474)&lt;0,N($J474)&lt;0),"NEGATIVE MINUTES/SESSIONS",IF(AND($K474="Yes",N($I474)&gt;0),"MINUTES ON A PT EVENT - not counted (PT counts sessions)",IF(AND($K474="No",N($J474)&gt;0),"SESSIONS ON A CLASSROOM EVENT - not counted (classroom counts minutes)",IF(AND($N474="Yes",$K474="Yes",N($J474)=0),"COUNTED PT EVENT WITH NO SESSIONS - dropped from the PT cap",IF(AND($N474="Yes",$K474="No",N($I474)=0),"COUNTED EVENT WITH NO MINUTES - dropped from the classroom cap","OK"))))))))))</f>
        <v/>
      </c>
    </row>
    <row r="475">
      <c r="B475" s="17">
        <f>IF($D475="","","A"&amp;TEXT(ROW()-5,"000"))</f>
        <v/>
      </c>
      <c r="C475" s="18" t="n"/>
      <c r="D475" s="16" t="n"/>
      <c r="E475" s="17">
        <f>IF($D475="","",IFERROR(INDEX(rngCadetPIDs,MATCH($D475,rngCadetNames,0)),"?"))</f>
        <v/>
      </c>
      <c r="F475" s="17">
        <f>IF($E475="","",IFERROR(INDEX(nrCadetAgency,MATCH($E475,rngCadetPIDs,0)),""))</f>
        <v/>
      </c>
      <c r="G475" s="16" t="n"/>
      <c r="H475" s="16" t="n"/>
      <c r="I475" s="16" t="n"/>
      <c r="J475" s="16" t="n"/>
      <c r="K475" s="17">
        <f>IF($G475="","",IF(OR($G475="PT Missed",$G475="PT Modified",$G475="PT Refused"),"Yes","No"))</f>
        <v/>
      </c>
      <c r="L475" s="16" t="n"/>
      <c r="M475" s="16" t="n"/>
      <c r="N475" s="17">
        <f>IF($D475="","",IF($M475="Excused","No",IF(AND($G475="PT Modified",$L475="Received"),"No","Yes")))</f>
        <v/>
      </c>
      <c r="O475" s="16" t="n"/>
      <c r="P475" s="17">
        <f>IF(OR($B475="",N($I475)=0),"",MIN(N($I475),SUMIFS(nrMK_Min,nrMK_Link,$B475,nrMK_Credit,"Yes",nrMK_PID,$E475,nrMK_Type,"Classroom")))</f>
        <v/>
      </c>
      <c r="Q475" s="17">
        <f>IF(OR($B475="",N($J475)=0),"",MIN(N($J475),SUMIFS(nrMK_Sess,nrMK_Link,$B475,nrMK_Credit,"Yes",nrMK_PID,$E475,nrMK_Type,"PT")))</f>
        <v/>
      </c>
      <c r="R475" s="17">
        <f>IF(OR($B475="",$N475&lt;&gt;"Yes"),"",IF($K475="Yes",IF(N($J475)&gt;0,N($J475)-N($Q475),""),IF(N($I475)&gt;0,N($I475)-N($P475),"")))</f>
        <v/>
      </c>
      <c r="S475" s="17">
        <f>IF(OR($B475="",$R475=""),"",IF($R475&lt;=0,IF(IFERROR(_xlfn.MAXIFS(nrMK_Date,nrMK_Link,$B475,nrMK_Credit,"Yes",nrMK_PID,$E475),0)=0,"CLEARED (makeup date missing)","CLEARED "&amp;TEXT(_xlfn.MAXIFS(nrMK_Date,nrMK_Link,$B475,nrMK_Credit,"Yes",nrMK_PID,$E475),"mm/dd")),"OPEN"))</f>
        <v/>
      </c>
      <c r="T475" s="17">
        <f>IF($D475="","",IF($C475="","NO DATE",IF($G475="","NO EVENT TYPE",IF(AND($I475&lt;&gt;"",NOT(ISNUMBER($I475))),"MINUTES NOT A NUMBER",IF(AND($J475&lt;&gt;"",NOT(ISNUMBER($J475))),"SESSIONS NOT A NUMBER",IF(OR(N($I475)&lt;0,N($J475)&lt;0),"NEGATIVE MINUTES/SESSIONS",IF(AND($K475="Yes",N($I475)&gt;0),"MINUTES ON A PT EVENT - not counted (PT counts sessions)",IF(AND($K475="No",N($J475)&gt;0),"SESSIONS ON A CLASSROOM EVENT - not counted (classroom counts minutes)",IF(AND($N475="Yes",$K475="Yes",N($J475)=0),"COUNTED PT EVENT WITH NO SESSIONS - dropped from the PT cap",IF(AND($N475="Yes",$K475="No",N($I475)=0),"COUNTED EVENT WITH NO MINUTES - dropped from the classroom cap","OK"))))))))))</f>
        <v/>
      </c>
    </row>
    <row r="476">
      <c r="B476" s="17">
        <f>IF($D476="","","A"&amp;TEXT(ROW()-5,"000"))</f>
        <v/>
      </c>
      <c r="C476" s="18" t="n"/>
      <c r="D476" s="16" t="n"/>
      <c r="E476" s="17">
        <f>IF($D476="","",IFERROR(INDEX(rngCadetPIDs,MATCH($D476,rngCadetNames,0)),"?"))</f>
        <v/>
      </c>
      <c r="F476" s="17">
        <f>IF($E476="","",IFERROR(INDEX(nrCadetAgency,MATCH($E476,rngCadetPIDs,0)),""))</f>
        <v/>
      </c>
      <c r="G476" s="16" t="n"/>
      <c r="H476" s="16" t="n"/>
      <c r="I476" s="16" t="n"/>
      <c r="J476" s="16" t="n"/>
      <c r="K476" s="17">
        <f>IF($G476="","",IF(OR($G476="PT Missed",$G476="PT Modified",$G476="PT Refused"),"Yes","No"))</f>
        <v/>
      </c>
      <c r="L476" s="16" t="n"/>
      <c r="M476" s="16" t="n"/>
      <c r="N476" s="17">
        <f>IF($D476="","",IF($M476="Excused","No",IF(AND($G476="PT Modified",$L476="Received"),"No","Yes")))</f>
        <v/>
      </c>
      <c r="O476" s="16" t="n"/>
      <c r="P476" s="17">
        <f>IF(OR($B476="",N($I476)=0),"",MIN(N($I476),SUMIFS(nrMK_Min,nrMK_Link,$B476,nrMK_Credit,"Yes",nrMK_PID,$E476,nrMK_Type,"Classroom")))</f>
        <v/>
      </c>
      <c r="Q476" s="17">
        <f>IF(OR($B476="",N($J476)=0),"",MIN(N($J476),SUMIFS(nrMK_Sess,nrMK_Link,$B476,nrMK_Credit,"Yes",nrMK_PID,$E476,nrMK_Type,"PT")))</f>
        <v/>
      </c>
      <c r="R476" s="17">
        <f>IF(OR($B476="",$N476&lt;&gt;"Yes"),"",IF($K476="Yes",IF(N($J476)&gt;0,N($J476)-N($Q476),""),IF(N($I476)&gt;0,N($I476)-N($P476),"")))</f>
        <v/>
      </c>
      <c r="S476" s="17">
        <f>IF(OR($B476="",$R476=""),"",IF($R476&lt;=0,IF(IFERROR(_xlfn.MAXIFS(nrMK_Date,nrMK_Link,$B476,nrMK_Credit,"Yes",nrMK_PID,$E476),0)=0,"CLEARED (makeup date missing)","CLEARED "&amp;TEXT(_xlfn.MAXIFS(nrMK_Date,nrMK_Link,$B476,nrMK_Credit,"Yes",nrMK_PID,$E476),"mm/dd")),"OPEN"))</f>
        <v/>
      </c>
      <c r="T476" s="17">
        <f>IF($D476="","",IF($C476="","NO DATE",IF($G476="","NO EVENT TYPE",IF(AND($I476&lt;&gt;"",NOT(ISNUMBER($I476))),"MINUTES NOT A NUMBER",IF(AND($J476&lt;&gt;"",NOT(ISNUMBER($J476))),"SESSIONS NOT A NUMBER",IF(OR(N($I476)&lt;0,N($J476)&lt;0),"NEGATIVE MINUTES/SESSIONS",IF(AND($K476="Yes",N($I476)&gt;0),"MINUTES ON A PT EVENT - not counted (PT counts sessions)",IF(AND($K476="No",N($J476)&gt;0),"SESSIONS ON A CLASSROOM EVENT - not counted (classroom counts minutes)",IF(AND($N476="Yes",$K476="Yes",N($J476)=0),"COUNTED PT EVENT WITH NO SESSIONS - dropped from the PT cap",IF(AND($N476="Yes",$K476="No",N($I476)=0),"COUNTED EVENT WITH NO MINUTES - dropped from the classroom cap","OK"))))))))))</f>
        <v/>
      </c>
    </row>
    <row r="477">
      <c r="B477" s="17">
        <f>IF($D477="","","A"&amp;TEXT(ROW()-5,"000"))</f>
        <v/>
      </c>
      <c r="C477" s="18" t="n"/>
      <c r="D477" s="16" t="n"/>
      <c r="E477" s="17">
        <f>IF($D477="","",IFERROR(INDEX(rngCadetPIDs,MATCH($D477,rngCadetNames,0)),"?"))</f>
        <v/>
      </c>
      <c r="F477" s="17">
        <f>IF($E477="","",IFERROR(INDEX(nrCadetAgency,MATCH($E477,rngCadetPIDs,0)),""))</f>
        <v/>
      </c>
      <c r="G477" s="16" t="n"/>
      <c r="H477" s="16" t="n"/>
      <c r="I477" s="16" t="n"/>
      <c r="J477" s="16" t="n"/>
      <c r="K477" s="17">
        <f>IF($G477="","",IF(OR($G477="PT Missed",$G477="PT Modified",$G477="PT Refused"),"Yes","No"))</f>
        <v/>
      </c>
      <c r="L477" s="16" t="n"/>
      <c r="M477" s="16" t="n"/>
      <c r="N477" s="17">
        <f>IF($D477="","",IF($M477="Excused","No",IF(AND($G477="PT Modified",$L477="Received"),"No","Yes")))</f>
        <v/>
      </c>
      <c r="O477" s="16" t="n"/>
      <c r="P477" s="17">
        <f>IF(OR($B477="",N($I477)=0),"",MIN(N($I477),SUMIFS(nrMK_Min,nrMK_Link,$B477,nrMK_Credit,"Yes",nrMK_PID,$E477,nrMK_Type,"Classroom")))</f>
        <v/>
      </c>
      <c r="Q477" s="17">
        <f>IF(OR($B477="",N($J477)=0),"",MIN(N($J477),SUMIFS(nrMK_Sess,nrMK_Link,$B477,nrMK_Credit,"Yes",nrMK_PID,$E477,nrMK_Type,"PT")))</f>
        <v/>
      </c>
      <c r="R477" s="17">
        <f>IF(OR($B477="",$N477&lt;&gt;"Yes"),"",IF($K477="Yes",IF(N($J477)&gt;0,N($J477)-N($Q477),""),IF(N($I477)&gt;0,N($I477)-N($P477),"")))</f>
        <v/>
      </c>
      <c r="S477" s="17">
        <f>IF(OR($B477="",$R477=""),"",IF($R477&lt;=0,IF(IFERROR(_xlfn.MAXIFS(nrMK_Date,nrMK_Link,$B477,nrMK_Credit,"Yes",nrMK_PID,$E477),0)=0,"CLEARED (makeup date missing)","CLEARED "&amp;TEXT(_xlfn.MAXIFS(nrMK_Date,nrMK_Link,$B477,nrMK_Credit,"Yes",nrMK_PID,$E477),"mm/dd")),"OPEN"))</f>
        <v/>
      </c>
      <c r="T477" s="17">
        <f>IF($D477="","",IF($C477="","NO DATE",IF($G477="","NO EVENT TYPE",IF(AND($I477&lt;&gt;"",NOT(ISNUMBER($I477))),"MINUTES NOT A NUMBER",IF(AND($J477&lt;&gt;"",NOT(ISNUMBER($J477))),"SESSIONS NOT A NUMBER",IF(OR(N($I477)&lt;0,N($J477)&lt;0),"NEGATIVE MINUTES/SESSIONS",IF(AND($K477="Yes",N($I477)&gt;0),"MINUTES ON A PT EVENT - not counted (PT counts sessions)",IF(AND($K477="No",N($J477)&gt;0),"SESSIONS ON A CLASSROOM EVENT - not counted (classroom counts minutes)",IF(AND($N477="Yes",$K477="Yes",N($J477)=0),"COUNTED PT EVENT WITH NO SESSIONS - dropped from the PT cap",IF(AND($N477="Yes",$K477="No",N($I477)=0),"COUNTED EVENT WITH NO MINUTES - dropped from the classroom cap","OK"))))))))))</f>
        <v/>
      </c>
    </row>
    <row r="478">
      <c r="B478" s="17">
        <f>IF($D478="","","A"&amp;TEXT(ROW()-5,"000"))</f>
        <v/>
      </c>
      <c r="C478" s="18" t="n"/>
      <c r="D478" s="16" t="n"/>
      <c r="E478" s="17">
        <f>IF($D478="","",IFERROR(INDEX(rngCadetPIDs,MATCH($D478,rngCadetNames,0)),"?"))</f>
        <v/>
      </c>
      <c r="F478" s="17">
        <f>IF($E478="","",IFERROR(INDEX(nrCadetAgency,MATCH($E478,rngCadetPIDs,0)),""))</f>
        <v/>
      </c>
      <c r="G478" s="16" t="n"/>
      <c r="H478" s="16" t="n"/>
      <c r="I478" s="16" t="n"/>
      <c r="J478" s="16" t="n"/>
      <c r="K478" s="17">
        <f>IF($G478="","",IF(OR($G478="PT Missed",$G478="PT Modified",$G478="PT Refused"),"Yes","No"))</f>
        <v/>
      </c>
      <c r="L478" s="16" t="n"/>
      <c r="M478" s="16" t="n"/>
      <c r="N478" s="17">
        <f>IF($D478="","",IF($M478="Excused","No",IF(AND($G478="PT Modified",$L478="Received"),"No","Yes")))</f>
        <v/>
      </c>
      <c r="O478" s="16" t="n"/>
      <c r="P478" s="17">
        <f>IF(OR($B478="",N($I478)=0),"",MIN(N($I478),SUMIFS(nrMK_Min,nrMK_Link,$B478,nrMK_Credit,"Yes",nrMK_PID,$E478,nrMK_Type,"Classroom")))</f>
        <v/>
      </c>
      <c r="Q478" s="17">
        <f>IF(OR($B478="",N($J478)=0),"",MIN(N($J478),SUMIFS(nrMK_Sess,nrMK_Link,$B478,nrMK_Credit,"Yes",nrMK_PID,$E478,nrMK_Type,"PT")))</f>
        <v/>
      </c>
      <c r="R478" s="17">
        <f>IF(OR($B478="",$N478&lt;&gt;"Yes"),"",IF($K478="Yes",IF(N($J478)&gt;0,N($J478)-N($Q478),""),IF(N($I478)&gt;0,N($I478)-N($P478),"")))</f>
        <v/>
      </c>
      <c r="S478" s="17">
        <f>IF(OR($B478="",$R478=""),"",IF($R478&lt;=0,IF(IFERROR(_xlfn.MAXIFS(nrMK_Date,nrMK_Link,$B478,nrMK_Credit,"Yes",nrMK_PID,$E478),0)=0,"CLEARED (makeup date missing)","CLEARED "&amp;TEXT(_xlfn.MAXIFS(nrMK_Date,nrMK_Link,$B478,nrMK_Credit,"Yes",nrMK_PID,$E478),"mm/dd")),"OPEN"))</f>
        <v/>
      </c>
      <c r="T478" s="17">
        <f>IF($D478="","",IF($C478="","NO DATE",IF($G478="","NO EVENT TYPE",IF(AND($I478&lt;&gt;"",NOT(ISNUMBER($I478))),"MINUTES NOT A NUMBER",IF(AND($J478&lt;&gt;"",NOT(ISNUMBER($J478))),"SESSIONS NOT A NUMBER",IF(OR(N($I478)&lt;0,N($J478)&lt;0),"NEGATIVE MINUTES/SESSIONS",IF(AND($K478="Yes",N($I478)&gt;0),"MINUTES ON A PT EVENT - not counted (PT counts sessions)",IF(AND($K478="No",N($J478)&gt;0),"SESSIONS ON A CLASSROOM EVENT - not counted (classroom counts minutes)",IF(AND($N478="Yes",$K478="Yes",N($J478)=0),"COUNTED PT EVENT WITH NO SESSIONS - dropped from the PT cap",IF(AND($N478="Yes",$K478="No",N($I478)=0),"COUNTED EVENT WITH NO MINUTES - dropped from the classroom cap","OK"))))))))))</f>
        <v/>
      </c>
    </row>
    <row r="479">
      <c r="B479" s="17">
        <f>IF($D479="","","A"&amp;TEXT(ROW()-5,"000"))</f>
        <v/>
      </c>
      <c r="C479" s="18" t="n"/>
      <c r="D479" s="16" t="n"/>
      <c r="E479" s="17">
        <f>IF($D479="","",IFERROR(INDEX(rngCadetPIDs,MATCH($D479,rngCadetNames,0)),"?"))</f>
        <v/>
      </c>
      <c r="F479" s="17">
        <f>IF($E479="","",IFERROR(INDEX(nrCadetAgency,MATCH($E479,rngCadetPIDs,0)),""))</f>
        <v/>
      </c>
      <c r="G479" s="16" t="n"/>
      <c r="H479" s="16" t="n"/>
      <c r="I479" s="16" t="n"/>
      <c r="J479" s="16" t="n"/>
      <c r="K479" s="17">
        <f>IF($G479="","",IF(OR($G479="PT Missed",$G479="PT Modified",$G479="PT Refused"),"Yes","No"))</f>
        <v/>
      </c>
      <c r="L479" s="16" t="n"/>
      <c r="M479" s="16" t="n"/>
      <c r="N479" s="17">
        <f>IF($D479="","",IF($M479="Excused","No",IF(AND($G479="PT Modified",$L479="Received"),"No","Yes")))</f>
        <v/>
      </c>
      <c r="O479" s="16" t="n"/>
      <c r="P479" s="17">
        <f>IF(OR($B479="",N($I479)=0),"",MIN(N($I479),SUMIFS(nrMK_Min,nrMK_Link,$B479,nrMK_Credit,"Yes",nrMK_PID,$E479,nrMK_Type,"Classroom")))</f>
        <v/>
      </c>
      <c r="Q479" s="17">
        <f>IF(OR($B479="",N($J479)=0),"",MIN(N($J479),SUMIFS(nrMK_Sess,nrMK_Link,$B479,nrMK_Credit,"Yes",nrMK_PID,$E479,nrMK_Type,"PT")))</f>
        <v/>
      </c>
      <c r="R479" s="17">
        <f>IF(OR($B479="",$N479&lt;&gt;"Yes"),"",IF($K479="Yes",IF(N($J479)&gt;0,N($J479)-N($Q479),""),IF(N($I479)&gt;0,N($I479)-N($P479),"")))</f>
        <v/>
      </c>
      <c r="S479" s="17">
        <f>IF(OR($B479="",$R479=""),"",IF($R479&lt;=0,IF(IFERROR(_xlfn.MAXIFS(nrMK_Date,nrMK_Link,$B479,nrMK_Credit,"Yes",nrMK_PID,$E479),0)=0,"CLEARED (makeup date missing)","CLEARED "&amp;TEXT(_xlfn.MAXIFS(nrMK_Date,nrMK_Link,$B479,nrMK_Credit,"Yes",nrMK_PID,$E479),"mm/dd")),"OPEN"))</f>
        <v/>
      </c>
      <c r="T479" s="17">
        <f>IF($D479="","",IF($C479="","NO DATE",IF($G479="","NO EVENT TYPE",IF(AND($I479&lt;&gt;"",NOT(ISNUMBER($I479))),"MINUTES NOT A NUMBER",IF(AND($J479&lt;&gt;"",NOT(ISNUMBER($J479))),"SESSIONS NOT A NUMBER",IF(OR(N($I479)&lt;0,N($J479)&lt;0),"NEGATIVE MINUTES/SESSIONS",IF(AND($K479="Yes",N($I479)&gt;0),"MINUTES ON A PT EVENT - not counted (PT counts sessions)",IF(AND($K479="No",N($J479)&gt;0),"SESSIONS ON A CLASSROOM EVENT - not counted (classroom counts minutes)",IF(AND($N479="Yes",$K479="Yes",N($J479)=0),"COUNTED PT EVENT WITH NO SESSIONS - dropped from the PT cap",IF(AND($N479="Yes",$K479="No",N($I479)=0),"COUNTED EVENT WITH NO MINUTES - dropped from the classroom cap","OK"))))))))))</f>
        <v/>
      </c>
    </row>
    <row r="480">
      <c r="B480" s="17">
        <f>IF($D480="","","A"&amp;TEXT(ROW()-5,"000"))</f>
        <v/>
      </c>
      <c r="C480" s="18" t="n"/>
      <c r="D480" s="16" t="n"/>
      <c r="E480" s="17">
        <f>IF($D480="","",IFERROR(INDEX(rngCadetPIDs,MATCH($D480,rngCadetNames,0)),"?"))</f>
        <v/>
      </c>
      <c r="F480" s="17">
        <f>IF($E480="","",IFERROR(INDEX(nrCadetAgency,MATCH($E480,rngCadetPIDs,0)),""))</f>
        <v/>
      </c>
      <c r="G480" s="16" t="n"/>
      <c r="H480" s="16" t="n"/>
      <c r="I480" s="16" t="n"/>
      <c r="J480" s="16" t="n"/>
      <c r="K480" s="17">
        <f>IF($G480="","",IF(OR($G480="PT Missed",$G480="PT Modified",$G480="PT Refused"),"Yes","No"))</f>
        <v/>
      </c>
      <c r="L480" s="16" t="n"/>
      <c r="M480" s="16" t="n"/>
      <c r="N480" s="17">
        <f>IF($D480="","",IF($M480="Excused","No",IF(AND($G480="PT Modified",$L480="Received"),"No","Yes")))</f>
        <v/>
      </c>
      <c r="O480" s="16" t="n"/>
      <c r="P480" s="17">
        <f>IF(OR($B480="",N($I480)=0),"",MIN(N($I480),SUMIFS(nrMK_Min,nrMK_Link,$B480,nrMK_Credit,"Yes",nrMK_PID,$E480,nrMK_Type,"Classroom")))</f>
        <v/>
      </c>
      <c r="Q480" s="17">
        <f>IF(OR($B480="",N($J480)=0),"",MIN(N($J480),SUMIFS(nrMK_Sess,nrMK_Link,$B480,nrMK_Credit,"Yes",nrMK_PID,$E480,nrMK_Type,"PT")))</f>
        <v/>
      </c>
      <c r="R480" s="17">
        <f>IF(OR($B480="",$N480&lt;&gt;"Yes"),"",IF($K480="Yes",IF(N($J480)&gt;0,N($J480)-N($Q480),""),IF(N($I480)&gt;0,N($I480)-N($P480),"")))</f>
        <v/>
      </c>
      <c r="S480" s="17">
        <f>IF(OR($B480="",$R480=""),"",IF($R480&lt;=0,IF(IFERROR(_xlfn.MAXIFS(nrMK_Date,nrMK_Link,$B480,nrMK_Credit,"Yes",nrMK_PID,$E480),0)=0,"CLEARED (makeup date missing)","CLEARED "&amp;TEXT(_xlfn.MAXIFS(nrMK_Date,nrMK_Link,$B480,nrMK_Credit,"Yes",nrMK_PID,$E480),"mm/dd")),"OPEN"))</f>
        <v/>
      </c>
      <c r="T480" s="17">
        <f>IF($D480="","",IF($C480="","NO DATE",IF($G480="","NO EVENT TYPE",IF(AND($I480&lt;&gt;"",NOT(ISNUMBER($I480))),"MINUTES NOT A NUMBER",IF(AND($J480&lt;&gt;"",NOT(ISNUMBER($J480))),"SESSIONS NOT A NUMBER",IF(OR(N($I480)&lt;0,N($J480)&lt;0),"NEGATIVE MINUTES/SESSIONS",IF(AND($K480="Yes",N($I480)&gt;0),"MINUTES ON A PT EVENT - not counted (PT counts sessions)",IF(AND($K480="No",N($J480)&gt;0),"SESSIONS ON A CLASSROOM EVENT - not counted (classroom counts minutes)",IF(AND($N480="Yes",$K480="Yes",N($J480)=0),"COUNTED PT EVENT WITH NO SESSIONS - dropped from the PT cap",IF(AND($N480="Yes",$K480="No",N($I480)=0),"COUNTED EVENT WITH NO MINUTES - dropped from the classroom cap","OK"))))))))))</f>
        <v/>
      </c>
    </row>
    <row r="481">
      <c r="B481" s="17">
        <f>IF($D481="","","A"&amp;TEXT(ROW()-5,"000"))</f>
        <v/>
      </c>
      <c r="C481" s="18" t="n"/>
      <c r="D481" s="16" t="n"/>
      <c r="E481" s="17">
        <f>IF($D481="","",IFERROR(INDEX(rngCadetPIDs,MATCH($D481,rngCadetNames,0)),"?"))</f>
        <v/>
      </c>
      <c r="F481" s="17">
        <f>IF($E481="","",IFERROR(INDEX(nrCadetAgency,MATCH($E481,rngCadetPIDs,0)),""))</f>
        <v/>
      </c>
      <c r="G481" s="16" t="n"/>
      <c r="H481" s="16" t="n"/>
      <c r="I481" s="16" t="n"/>
      <c r="J481" s="16" t="n"/>
      <c r="K481" s="17">
        <f>IF($G481="","",IF(OR($G481="PT Missed",$G481="PT Modified",$G481="PT Refused"),"Yes","No"))</f>
        <v/>
      </c>
      <c r="L481" s="16" t="n"/>
      <c r="M481" s="16" t="n"/>
      <c r="N481" s="17">
        <f>IF($D481="","",IF($M481="Excused","No",IF(AND($G481="PT Modified",$L481="Received"),"No","Yes")))</f>
        <v/>
      </c>
      <c r="O481" s="16" t="n"/>
      <c r="P481" s="17">
        <f>IF(OR($B481="",N($I481)=0),"",MIN(N($I481),SUMIFS(nrMK_Min,nrMK_Link,$B481,nrMK_Credit,"Yes",nrMK_PID,$E481,nrMK_Type,"Classroom")))</f>
        <v/>
      </c>
      <c r="Q481" s="17">
        <f>IF(OR($B481="",N($J481)=0),"",MIN(N($J481),SUMIFS(nrMK_Sess,nrMK_Link,$B481,nrMK_Credit,"Yes",nrMK_PID,$E481,nrMK_Type,"PT")))</f>
        <v/>
      </c>
      <c r="R481" s="17">
        <f>IF(OR($B481="",$N481&lt;&gt;"Yes"),"",IF($K481="Yes",IF(N($J481)&gt;0,N($J481)-N($Q481),""),IF(N($I481)&gt;0,N($I481)-N($P481),"")))</f>
        <v/>
      </c>
      <c r="S481" s="17">
        <f>IF(OR($B481="",$R481=""),"",IF($R481&lt;=0,IF(IFERROR(_xlfn.MAXIFS(nrMK_Date,nrMK_Link,$B481,nrMK_Credit,"Yes",nrMK_PID,$E481),0)=0,"CLEARED (makeup date missing)","CLEARED "&amp;TEXT(_xlfn.MAXIFS(nrMK_Date,nrMK_Link,$B481,nrMK_Credit,"Yes",nrMK_PID,$E481),"mm/dd")),"OPEN"))</f>
        <v/>
      </c>
      <c r="T481" s="17">
        <f>IF($D481="","",IF($C481="","NO DATE",IF($G481="","NO EVENT TYPE",IF(AND($I481&lt;&gt;"",NOT(ISNUMBER($I481))),"MINUTES NOT A NUMBER",IF(AND($J481&lt;&gt;"",NOT(ISNUMBER($J481))),"SESSIONS NOT A NUMBER",IF(OR(N($I481)&lt;0,N($J481)&lt;0),"NEGATIVE MINUTES/SESSIONS",IF(AND($K481="Yes",N($I481)&gt;0),"MINUTES ON A PT EVENT - not counted (PT counts sessions)",IF(AND($K481="No",N($J481)&gt;0),"SESSIONS ON A CLASSROOM EVENT - not counted (classroom counts minutes)",IF(AND($N481="Yes",$K481="Yes",N($J481)=0),"COUNTED PT EVENT WITH NO SESSIONS - dropped from the PT cap",IF(AND($N481="Yes",$K481="No",N($I481)=0),"COUNTED EVENT WITH NO MINUTES - dropped from the classroom cap","OK"))))))))))</f>
        <v/>
      </c>
    </row>
    <row r="482">
      <c r="B482" s="17">
        <f>IF($D482="","","A"&amp;TEXT(ROW()-5,"000"))</f>
        <v/>
      </c>
      <c r="C482" s="18" t="n"/>
      <c r="D482" s="16" t="n"/>
      <c r="E482" s="17">
        <f>IF($D482="","",IFERROR(INDEX(rngCadetPIDs,MATCH($D482,rngCadetNames,0)),"?"))</f>
        <v/>
      </c>
      <c r="F482" s="17">
        <f>IF($E482="","",IFERROR(INDEX(nrCadetAgency,MATCH($E482,rngCadetPIDs,0)),""))</f>
        <v/>
      </c>
      <c r="G482" s="16" t="n"/>
      <c r="H482" s="16" t="n"/>
      <c r="I482" s="16" t="n"/>
      <c r="J482" s="16" t="n"/>
      <c r="K482" s="17">
        <f>IF($G482="","",IF(OR($G482="PT Missed",$G482="PT Modified",$G482="PT Refused"),"Yes","No"))</f>
        <v/>
      </c>
      <c r="L482" s="16" t="n"/>
      <c r="M482" s="16" t="n"/>
      <c r="N482" s="17">
        <f>IF($D482="","",IF($M482="Excused","No",IF(AND($G482="PT Modified",$L482="Received"),"No","Yes")))</f>
        <v/>
      </c>
      <c r="O482" s="16" t="n"/>
      <c r="P482" s="17">
        <f>IF(OR($B482="",N($I482)=0),"",MIN(N($I482),SUMIFS(nrMK_Min,nrMK_Link,$B482,nrMK_Credit,"Yes",nrMK_PID,$E482,nrMK_Type,"Classroom")))</f>
        <v/>
      </c>
      <c r="Q482" s="17">
        <f>IF(OR($B482="",N($J482)=0),"",MIN(N($J482),SUMIFS(nrMK_Sess,nrMK_Link,$B482,nrMK_Credit,"Yes",nrMK_PID,$E482,nrMK_Type,"PT")))</f>
        <v/>
      </c>
      <c r="R482" s="17">
        <f>IF(OR($B482="",$N482&lt;&gt;"Yes"),"",IF($K482="Yes",IF(N($J482)&gt;0,N($J482)-N($Q482),""),IF(N($I482)&gt;0,N($I482)-N($P482),"")))</f>
        <v/>
      </c>
      <c r="S482" s="17">
        <f>IF(OR($B482="",$R482=""),"",IF($R482&lt;=0,IF(IFERROR(_xlfn.MAXIFS(nrMK_Date,nrMK_Link,$B482,nrMK_Credit,"Yes",nrMK_PID,$E482),0)=0,"CLEARED (makeup date missing)","CLEARED "&amp;TEXT(_xlfn.MAXIFS(nrMK_Date,nrMK_Link,$B482,nrMK_Credit,"Yes",nrMK_PID,$E482),"mm/dd")),"OPEN"))</f>
        <v/>
      </c>
      <c r="T482" s="17">
        <f>IF($D482="","",IF($C482="","NO DATE",IF($G482="","NO EVENT TYPE",IF(AND($I482&lt;&gt;"",NOT(ISNUMBER($I482))),"MINUTES NOT A NUMBER",IF(AND($J482&lt;&gt;"",NOT(ISNUMBER($J482))),"SESSIONS NOT A NUMBER",IF(OR(N($I482)&lt;0,N($J482)&lt;0),"NEGATIVE MINUTES/SESSIONS",IF(AND($K482="Yes",N($I482)&gt;0),"MINUTES ON A PT EVENT - not counted (PT counts sessions)",IF(AND($K482="No",N($J482)&gt;0),"SESSIONS ON A CLASSROOM EVENT - not counted (classroom counts minutes)",IF(AND($N482="Yes",$K482="Yes",N($J482)=0),"COUNTED PT EVENT WITH NO SESSIONS - dropped from the PT cap",IF(AND($N482="Yes",$K482="No",N($I482)=0),"COUNTED EVENT WITH NO MINUTES - dropped from the classroom cap","OK"))))))))))</f>
        <v/>
      </c>
    </row>
    <row r="483">
      <c r="B483" s="17">
        <f>IF($D483="","","A"&amp;TEXT(ROW()-5,"000"))</f>
        <v/>
      </c>
      <c r="C483" s="18" t="n"/>
      <c r="D483" s="16" t="n"/>
      <c r="E483" s="17">
        <f>IF($D483="","",IFERROR(INDEX(rngCadetPIDs,MATCH($D483,rngCadetNames,0)),"?"))</f>
        <v/>
      </c>
      <c r="F483" s="17">
        <f>IF($E483="","",IFERROR(INDEX(nrCadetAgency,MATCH($E483,rngCadetPIDs,0)),""))</f>
        <v/>
      </c>
      <c r="G483" s="16" t="n"/>
      <c r="H483" s="16" t="n"/>
      <c r="I483" s="16" t="n"/>
      <c r="J483" s="16" t="n"/>
      <c r="K483" s="17">
        <f>IF($G483="","",IF(OR($G483="PT Missed",$G483="PT Modified",$G483="PT Refused"),"Yes","No"))</f>
        <v/>
      </c>
      <c r="L483" s="16" t="n"/>
      <c r="M483" s="16" t="n"/>
      <c r="N483" s="17">
        <f>IF($D483="","",IF($M483="Excused","No",IF(AND($G483="PT Modified",$L483="Received"),"No","Yes")))</f>
        <v/>
      </c>
      <c r="O483" s="16" t="n"/>
      <c r="P483" s="17">
        <f>IF(OR($B483="",N($I483)=0),"",MIN(N($I483),SUMIFS(nrMK_Min,nrMK_Link,$B483,nrMK_Credit,"Yes",nrMK_PID,$E483,nrMK_Type,"Classroom")))</f>
        <v/>
      </c>
      <c r="Q483" s="17">
        <f>IF(OR($B483="",N($J483)=0),"",MIN(N($J483),SUMIFS(nrMK_Sess,nrMK_Link,$B483,nrMK_Credit,"Yes",nrMK_PID,$E483,nrMK_Type,"PT")))</f>
        <v/>
      </c>
      <c r="R483" s="17">
        <f>IF(OR($B483="",$N483&lt;&gt;"Yes"),"",IF($K483="Yes",IF(N($J483)&gt;0,N($J483)-N($Q483),""),IF(N($I483)&gt;0,N($I483)-N($P483),"")))</f>
        <v/>
      </c>
      <c r="S483" s="17">
        <f>IF(OR($B483="",$R483=""),"",IF($R483&lt;=0,IF(IFERROR(_xlfn.MAXIFS(nrMK_Date,nrMK_Link,$B483,nrMK_Credit,"Yes",nrMK_PID,$E483),0)=0,"CLEARED (makeup date missing)","CLEARED "&amp;TEXT(_xlfn.MAXIFS(nrMK_Date,nrMK_Link,$B483,nrMK_Credit,"Yes",nrMK_PID,$E483),"mm/dd")),"OPEN"))</f>
        <v/>
      </c>
      <c r="T483" s="17">
        <f>IF($D483="","",IF($C483="","NO DATE",IF($G483="","NO EVENT TYPE",IF(AND($I483&lt;&gt;"",NOT(ISNUMBER($I483))),"MINUTES NOT A NUMBER",IF(AND($J483&lt;&gt;"",NOT(ISNUMBER($J483))),"SESSIONS NOT A NUMBER",IF(OR(N($I483)&lt;0,N($J483)&lt;0),"NEGATIVE MINUTES/SESSIONS",IF(AND($K483="Yes",N($I483)&gt;0),"MINUTES ON A PT EVENT - not counted (PT counts sessions)",IF(AND($K483="No",N($J483)&gt;0),"SESSIONS ON A CLASSROOM EVENT - not counted (classroom counts minutes)",IF(AND($N483="Yes",$K483="Yes",N($J483)=0),"COUNTED PT EVENT WITH NO SESSIONS - dropped from the PT cap",IF(AND($N483="Yes",$K483="No",N($I483)=0),"COUNTED EVENT WITH NO MINUTES - dropped from the classroom cap","OK"))))))))))</f>
        <v/>
      </c>
    </row>
    <row r="484">
      <c r="B484" s="17">
        <f>IF($D484="","","A"&amp;TEXT(ROW()-5,"000"))</f>
        <v/>
      </c>
      <c r="C484" s="18" t="n"/>
      <c r="D484" s="16" t="n"/>
      <c r="E484" s="17">
        <f>IF($D484="","",IFERROR(INDEX(rngCadetPIDs,MATCH($D484,rngCadetNames,0)),"?"))</f>
        <v/>
      </c>
      <c r="F484" s="17">
        <f>IF($E484="","",IFERROR(INDEX(nrCadetAgency,MATCH($E484,rngCadetPIDs,0)),""))</f>
        <v/>
      </c>
      <c r="G484" s="16" t="n"/>
      <c r="H484" s="16" t="n"/>
      <c r="I484" s="16" t="n"/>
      <c r="J484" s="16" t="n"/>
      <c r="K484" s="17">
        <f>IF($G484="","",IF(OR($G484="PT Missed",$G484="PT Modified",$G484="PT Refused"),"Yes","No"))</f>
        <v/>
      </c>
      <c r="L484" s="16" t="n"/>
      <c r="M484" s="16" t="n"/>
      <c r="N484" s="17">
        <f>IF($D484="","",IF($M484="Excused","No",IF(AND($G484="PT Modified",$L484="Received"),"No","Yes")))</f>
        <v/>
      </c>
      <c r="O484" s="16" t="n"/>
      <c r="P484" s="17">
        <f>IF(OR($B484="",N($I484)=0),"",MIN(N($I484),SUMIFS(nrMK_Min,nrMK_Link,$B484,nrMK_Credit,"Yes",nrMK_PID,$E484,nrMK_Type,"Classroom")))</f>
        <v/>
      </c>
      <c r="Q484" s="17">
        <f>IF(OR($B484="",N($J484)=0),"",MIN(N($J484),SUMIFS(nrMK_Sess,nrMK_Link,$B484,nrMK_Credit,"Yes",nrMK_PID,$E484,nrMK_Type,"PT")))</f>
        <v/>
      </c>
      <c r="R484" s="17">
        <f>IF(OR($B484="",$N484&lt;&gt;"Yes"),"",IF($K484="Yes",IF(N($J484)&gt;0,N($J484)-N($Q484),""),IF(N($I484)&gt;0,N($I484)-N($P484),"")))</f>
        <v/>
      </c>
      <c r="S484" s="17">
        <f>IF(OR($B484="",$R484=""),"",IF($R484&lt;=0,IF(IFERROR(_xlfn.MAXIFS(nrMK_Date,nrMK_Link,$B484,nrMK_Credit,"Yes",nrMK_PID,$E484),0)=0,"CLEARED (makeup date missing)","CLEARED "&amp;TEXT(_xlfn.MAXIFS(nrMK_Date,nrMK_Link,$B484,nrMK_Credit,"Yes",nrMK_PID,$E484),"mm/dd")),"OPEN"))</f>
        <v/>
      </c>
      <c r="T484" s="17">
        <f>IF($D484="","",IF($C484="","NO DATE",IF($G484="","NO EVENT TYPE",IF(AND($I484&lt;&gt;"",NOT(ISNUMBER($I484))),"MINUTES NOT A NUMBER",IF(AND($J484&lt;&gt;"",NOT(ISNUMBER($J484))),"SESSIONS NOT A NUMBER",IF(OR(N($I484)&lt;0,N($J484)&lt;0),"NEGATIVE MINUTES/SESSIONS",IF(AND($K484="Yes",N($I484)&gt;0),"MINUTES ON A PT EVENT - not counted (PT counts sessions)",IF(AND($K484="No",N($J484)&gt;0),"SESSIONS ON A CLASSROOM EVENT - not counted (classroom counts minutes)",IF(AND($N484="Yes",$K484="Yes",N($J484)=0),"COUNTED PT EVENT WITH NO SESSIONS - dropped from the PT cap",IF(AND($N484="Yes",$K484="No",N($I484)=0),"COUNTED EVENT WITH NO MINUTES - dropped from the classroom cap","OK"))))))))))</f>
        <v/>
      </c>
    </row>
    <row r="485">
      <c r="B485" s="17">
        <f>IF($D485="","","A"&amp;TEXT(ROW()-5,"000"))</f>
        <v/>
      </c>
      <c r="C485" s="18" t="n"/>
      <c r="D485" s="16" t="n"/>
      <c r="E485" s="17">
        <f>IF($D485="","",IFERROR(INDEX(rngCadetPIDs,MATCH($D485,rngCadetNames,0)),"?"))</f>
        <v/>
      </c>
      <c r="F485" s="17">
        <f>IF($E485="","",IFERROR(INDEX(nrCadetAgency,MATCH($E485,rngCadetPIDs,0)),""))</f>
        <v/>
      </c>
      <c r="G485" s="16" t="n"/>
      <c r="H485" s="16" t="n"/>
      <c r="I485" s="16" t="n"/>
      <c r="J485" s="16" t="n"/>
      <c r="K485" s="17">
        <f>IF($G485="","",IF(OR($G485="PT Missed",$G485="PT Modified",$G485="PT Refused"),"Yes","No"))</f>
        <v/>
      </c>
      <c r="L485" s="16" t="n"/>
      <c r="M485" s="16" t="n"/>
      <c r="N485" s="17">
        <f>IF($D485="","",IF($M485="Excused","No",IF(AND($G485="PT Modified",$L485="Received"),"No","Yes")))</f>
        <v/>
      </c>
      <c r="O485" s="16" t="n"/>
      <c r="P485" s="17">
        <f>IF(OR($B485="",N($I485)=0),"",MIN(N($I485),SUMIFS(nrMK_Min,nrMK_Link,$B485,nrMK_Credit,"Yes",nrMK_PID,$E485,nrMK_Type,"Classroom")))</f>
        <v/>
      </c>
      <c r="Q485" s="17">
        <f>IF(OR($B485="",N($J485)=0),"",MIN(N($J485),SUMIFS(nrMK_Sess,nrMK_Link,$B485,nrMK_Credit,"Yes",nrMK_PID,$E485,nrMK_Type,"PT")))</f>
        <v/>
      </c>
      <c r="R485" s="17">
        <f>IF(OR($B485="",$N485&lt;&gt;"Yes"),"",IF($K485="Yes",IF(N($J485)&gt;0,N($J485)-N($Q485),""),IF(N($I485)&gt;0,N($I485)-N($P485),"")))</f>
        <v/>
      </c>
      <c r="S485" s="17">
        <f>IF(OR($B485="",$R485=""),"",IF($R485&lt;=0,IF(IFERROR(_xlfn.MAXIFS(nrMK_Date,nrMK_Link,$B485,nrMK_Credit,"Yes",nrMK_PID,$E485),0)=0,"CLEARED (makeup date missing)","CLEARED "&amp;TEXT(_xlfn.MAXIFS(nrMK_Date,nrMK_Link,$B485,nrMK_Credit,"Yes",nrMK_PID,$E485),"mm/dd")),"OPEN"))</f>
        <v/>
      </c>
      <c r="T485" s="17">
        <f>IF($D485="","",IF($C485="","NO DATE",IF($G485="","NO EVENT TYPE",IF(AND($I485&lt;&gt;"",NOT(ISNUMBER($I485))),"MINUTES NOT A NUMBER",IF(AND($J485&lt;&gt;"",NOT(ISNUMBER($J485))),"SESSIONS NOT A NUMBER",IF(OR(N($I485)&lt;0,N($J485)&lt;0),"NEGATIVE MINUTES/SESSIONS",IF(AND($K485="Yes",N($I485)&gt;0),"MINUTES ON A PT EVENT - not counted (PT counts sessions)",IF(AND($K485="No",N($J485)&gt;0),"SESSIONS ON A CLASSROOM EVENT - not counted (classroom counts minutes)",IF(AND($N485="Yes",$K485="Yes",N($J485)=0),"COUNTED PT EVENT WITH NO SESSIONS - dropped from the PT cap",IF(AND($N485="Yes",$K485="No",N($I485)=0),"COUNTED EVENT WITH NO MINUTES - dropped from the classroom cap","OK"))))))))))</f>
        <v/>
      </c>
    </row>
    <row r="486">
      <c r="B486" s="17">
        <f>IF($D486="","","A"&amp;TEXT(ROW()-5,"000"))</f>
        <v/>
      </c>
      <c r="C486" s="18" t="n"/>
      <c r="D486" s="16" t="n"/>
      <c r="E486" s="17">
        <f>IF($D486="","",IFERROR(INDEX(rngCadetPIDs,MATCH($D486,rngCadetNames,0)),"?"))</f>
        <v/>
      </c>
      <c r="F486" s="17">
        <f>IF($E486="","",IFERROR(INDEX(nrCadetAgency,MATCH($E486,rngCadetPIDs,0)),""))</f>
        <v/>
      </c>
      <c r="G486" s="16" t="n"/>
      <c r="H486" s="16" t="n"/>
      <c r="I486" s="16" t="n"/>
      <c r="J486" s="16" t="n"/>
      <c r="K486" s="17">
        <f>IF($G486="","",IF(OR($G486="PT Missed",$G486="PT Modified",$G486="PT Refused"),"Yes","No"))</f>
        <v/>
      </c>
      <c r="L486" s="16" t="n"/>
      <c r="M486" s="16" t="n"/>
      <c r="N486" s="17">
        <f>IF($D486="","",IF($M486="Excused","No",IF(AND($G486="PT Modified",$L486="Received"),"No","Yes")))</f>
        <v/>
      </c>
      <c r="O486" s="16" t="n"/>
      <c r="P486" s="17">
        <f>IF(OR($B486="",N($I486)=0),"",MIN(N($I486),SUMIFS(nrMK_Min,nrMK_Link,$B486,nrMK_Credit,"Yes",nrMK_PID,$E486,nrMK_Type,"Classroom")))</f>
        <v/>
      </c>
      <c r="Q486" s="17">
        <f>IF(OR($B486="",N($J486)=0),"",MIN(N($J486),SUMIFS(nrMK_Sess,nrMK_Link,$B486,nrMK_Credit,"Yes",nrMK_PID,$E486,nrMK_Type,"PT")))</f>
        <v/>
      </c>
      <c r="R486" s="17">
        <f>IF(OR($B486="",$N486&lt;&gt;"Yes"),"",IF($K486="Yes",IF(N($J486)&gt;0,N($J486)-N($Q486),""),IF(N($I486)&gt;0,N($I486)-N($P486),"")))</f>
        <v/>
      </c>
      <c r="S486" s="17">
        <f>IF(OR($B486="",$R486=""),"",IF($R486&lt;=0,IF(IFERROR(_xlfn.MAXIFS(nrMK_Date,nrMK_Link,$B486,nrMK_Credit,"Yes",nrMK_PID,$E486),0)=0,"CLEARED (makeup date missing)","CLEARED "&amp;TEXT(_xlfn.MAXIFS(nrMK_Date,nrMK_Link,$B486,nrMK_Credit,"Yes",nrMK_PID,$E486),"mm/dd")),"OPEN"))</f>
        <v/>
      </c>
      <c r="T486" s="17">
        <f>IF($D486="","",IF($C486="","NO DATE",IF($G486="","NO EVENT TYPE",IF(AND($I486&lt;&gt;"",NOT(ISNUMBER($I486))),"MINUTES NOT A NUMBER",IF(AND($J486&lt;&gt;"",NOT(ISNUMBER($J486))),"SESSIONS NOT A NUMBER",IF(OR(N($I486)&lt;0,N($J486)&lt;0),"NEGATIVE MINUTES/SESSIONS",IF(AND($K486="Yes",N($I486)&gt;0),"MINUTES ON A PT EVENT - not counted (PT counts sessions)",IF(AND($K486="No",N($J486)&gt;0),"SESSIONS ON A CLASSROOM EVENT - not counted (classroom counts minutes)",IF(AND($N486="Yes",$K486="Yes",N($J486)=0),"COUNTED PT EVENT WITH NO SESSIONS - dropped from the PT cap",IF(AND($N486="Yes",$K486="No",N($I486)=0),"COUNTED EVENT WITH NO MINUTES - dropped from the classroom cap","OK"))))))))))</f>
        <v/>
      </c>
    </row>
    <row r="487">
      <c r="B487" s="17">
        <f>IF($D487="","","A"&amp;TEXT(ROW()-5,"000"))</f>
        <v/>
      </c>
      <c r="C487" s="18" t="n"/>
      <c r="D487" s="16" t="n"/>
      <c r="E487" s="17">
        <f>IF($D487="","",IFERROR(INDEX(rngCadetPIDs,MATCH($D487,rngCadetNames,0)),"?"))</f>
        <v/>
      </c>
      <c r="F487" s="17">
        <f>IF($E487="","",IFERROR(INDEX(nrCadetAgency,MATCH($E487,rngCadetPIDs,0)),""))</f>
        <v/>
      </c>
      <c r="G487" s="16" t="n"/>
      <c r="H487" s="16" t="n"/>
      <c r="I487" s="16" t="n"/>
      <c r="J487" s="16" t="n"/>
      <c r="K487" s="17">
        <f>IF($G487="","",IF(OR($G487="PT Missed",$G487="PT Modified",$G487="PT Refused"),"Yes","No"))</f>
        <v/>
      </c>
      <c r="L487" s="16" t="n"/>
      <c r="M487" s="16" t="n"/>
      <c r="N487" s="17">
        <f>IF($D487="","",IF($M487="Excused","No",IF(AND($G487="PT Modified",$L487="Received"),"No","Yes")))</f>
        <v/>
      </c>
      <c r="O487" s="16" t="n"/>
      <c r="P487" s="17">
        <f>IF(OR($B487="",N($I487)=0),"",MIN(N($I487),SUMIFS(nrMK_Min,nrMK_Link,$B487,nrMK_Credit,"Yes",nrMK_PID,$E487,nrMK_Type,"Classroom")))</f>
        <v/>
      </c>
      <c r="Q487" s="17">
        <f>IF(OR($B487="",N($J487)=0),"",MIN(N($J487),SUMIFS(nrMK_Sess,nrMK_Link,$B487,nrMK_Credit,"Yes",nrMK_PID,$E487,nrMK_Type,"PT")))</f>
        <v/>
      </c>
      <c r="R487" s="17">
        <f>IF(OR($B487="",$N487&lt;&gt;"Yes"),"",IF($K487="Yes",IF(N($J487)&gt;0,N($J487)-N($Q487),""),IF(N($I487)&gt;0,N($I487)-N($P487),"")))</f>
        <v/>
      </c>
      <c r="S487" s="17">
        <f>IF(OR($B487="",$R487=""),"",IF($R487&lt;=0,IF(IFERROR(_xlfn.MAXIFS(nrMK_Date,nrMK_Link,$B487,nrMK_Credit,"Yes",nrMK_PID,$E487),0)=0,"CLEARED (makeup date missing)","CLEARED "&amp;TEXT(_xlfn.MAXIFS(nrMK_Date,nrMK_Link,$B487,nrMK_Credit,"Yes",nrMK_PID,$E487),"mm/dd")),"OPEN"))</f>
        <v/>
      </c>
      <c r="T487" s="17">
        <f>IF($D487="","",IF($C487="","NO DATE",IF($G487="","NO EVENT TYPE",IF(AND($I487&lt;&gt;"",NOT(ISNUMBER($I487))),"MINUTES NOT A NUMBER",IF(AND($J487&lt;&gt;"",NOT(ISNUMBER($J487))),"SESSIONS NOT A NUMBER",IF(OR(N($I487)&lt;0,N($J487)&lt;0),"NEGATIVE MINUTES/SESSIONS",IF(AND($K487="Yes",N($I487)&gt;0),"MINUTES ON A PT EVENT - not counted (PT counts sessions)",IF(AND($K487="No",N($J487)&gt;0),"SESSIONS ON A CLASSROOM EVENT - not counted (classroom counts minutes)",IF(AND($N487="Yes",$K487="Yes",N($J487)=0),"COUNTED PT EVENT WITH NO SESSIONS - dropped from the PT cap",IF(AND($N487="Yes",$K487="No",N($I487)=0),"COUNTED EVENT WITH NO MINUTES - dropped from the classroom cap","OK"))))))))))</f>
        <v/>
      </c>
    </row>
    <row r="488">
      <c r="B488" s="17">
        <f>IF($D488="","","A"&amp;TEXT(ROW()-5,"000"))</f>
        <v/>
      </c>
      <c r="C488" s="18" t="n"/>
      <c r="D488" s="16" t="n"/>
      <c r="E488" s="17">
        <f>IF($D488="","",IFERROR(INDEX(rngCadetPIDs,MATCH($D488,rngCadetNames,0)),"?"))</f>
        <v/>
      </c>
      <c r="F488" s="17">
        <f>IF($E488="","",IFERROR(INDEX(nrCadetAgency,MATCH($E488,rngCadetPIDs,0)),""))</f>
        <v/>
      </c>
      <c r="G488" s="16" t="n"/>
      <c r="H488" s="16" t="n"/>
      <c r="I488" s="16" t="n"/>
      <c r="J488" s="16" t="n"/>
      <c r="K488" s="17">
        <f>IF($G488="","",IF(OR($G488="PT Missed",$G488="PT Modified",$G488="PT Refused"),"Yes","No"))</f>
        <v/>
      </c>
      <c r="L488" s="16" t="n"/>
      <c r="M488" s="16" t="n"/>
      <c r="N488" s="17">
        <f>IF($D488="","",IF($M488="Excused","No",IF(AND($G488="PT Modified",$L488="Received"),"No","Yes")))</f>
        <v/>
      </c>
      <c r="O488" s="16" t="n"/>
      <c r="P488" s="17">
        <f>IF(OR($B488="",N($I488)=0),"",MIN(N($I488),SUMIFS(nrMK_Min,nrMK_Link,$B488,nrMK_Credit,"Yes",nrMK_PID,$E488,nrMK_Type,"Classroom")))</f>
        <v/>
      </c>
      <c r="Q488" s="17">
        <f>IF(OR($B488="",N($J488)=0),"",MIN(N($J488),SUMIFS(nrMK_Sess,nrMK_Link,$B488,nrMK_Credit,"Yes",nrMK_PID,$E488,nrMK_Type,"PT")))</f>
        <v/>
      </c>
      <c r="R488" s="17">
        <f>IF(OR($B488="",$N488&lt;&gt;"Yes"),"",IF($K488="Yes",IF(N($J488)&gt;0,N($J488)-N($Q488),""),IF(N($I488)&gt;0,N($I488)-N($P488),"")))</f>
        <v/>
      </c>
      <c r="S488" s="17">
        <f>IF(OR($B488="",$R488=""),"",IF($R488&lt;=0,IF(IFERROR(_xlfn.MAXIFS(nrMK_Date,nrMK_Link,$B488,nrMK_Credit,"Yes",nrMK_PID,$E488),0)=0,"CLEARED (makeup date missing)","CLEARED "&amp;TEXT(_xlfn.MAXIFS(nrMK_Date,nrMK_Link,$B488,nrMK_Credit,"Yes",nrMK_PID,$E488),"mm/dd")),"OPEN"))</f>
        <v/>
      </c>
      <c r="T488" s="17">
        <f>IF($D488="","",IF($C488="","NO DATE",IF($G488="","NO EVENT TYPE",IF(AND($I488&lt;&gt;"",NOT(ISNUMBER($I488))),"MINUTES NOT A NUMBER",IF(AND($J488&lt;&gt;"",NOT(ISNUMBER($J488))),"SESSIONS NOT A NUMBER",IF(OR(N($I488)&lt;0,N($J488)&lt;0),"NEGATIVE MINUTES/SESSIONS",IF(AND($K488="Yes",N($I488)&gt;0),"MINUTES ON A PT EVENT - not counted (PT counts sessions)",IF(AND($K488="No",N($J488)&gt;0),"SESSIONS ON A CLASSROOM EVENT - not counted (classroom counts minutes)",IF(AND($N488="Yes",$K488="Yes",N($J488)=0),"COUNTED PT EVENT WITH NO SESSIONS - dropped from the PT cap",IF(AND($N488="Yes",$K488="No",N($I488)=0),"COUNTED EVENT WITH NO MINUTES - dropped from the classroom cap","OK"))))))))))</f>
        <v/>
      </c>
    </row>
    <row r="489">
      <c r="B489" s="17">
        <f>IF($D489="","","A"&amp;TEXT(ROW()-5,"000"))</f>
        <v/>
      </c>
      <c r="C489" s="18" t="n"/>
      <c r="D489" s="16" t="n"/>
      <c r="E489" s="17">
        <f>IF($D489="","",IFERROR(INDEX(rngCadetPIDs,MATCH($D489,rngCadetNames,0)),"?"))</f>
        <v/>
      </c>
      <c r="F489" s="17">
        <f>IF($E489="","",IFERROR(INDEX(nrCadetAgency,MATCH($E489,rngCadetPIDs,0)),""))</f>
        <v/>
      </c>
      <c r="G489" s="16" t="n"/>
      <c r="H489" s="16" t="n"/>
      <c r="I489" s="16" t="n"/>
      <c r="J489" s="16" t="n"/>
      <c r="K489" s="17">
        <f>IF($G489="","",IF(OR($G489="PT Missed",$G489="PT Modified",$G489="PT Refused"),"Yes","No"))</f>
        <v/>
      </c>
      <c r="L489" s="16" t="n"/>
      <c r="M489" s="16" t="n"/>
      <c r="N489" s="17">
        <f>IF($D489="","",IF($M489="Excused","No",IF(AND($G489="PT Modified",$L489="Received"),"No","Yes")))</f>
        <v/>
      </c>
      <c r="O489" s="16" t="n"/>
      <c r="P489" s="17">
        <f>IF(OR($B489="",N($I489)=0),"",MIN(N($I489),SUMIFS(nrMK_Min,nrMK_Link,$B489,nrMK_Credit,"Yes",nrMK_PID,$E489,nrMK_Type,"Classroom")))</f>
        <v/>
      </c>
      <c r="Q489" s="17">
        <f>IF(OR($B489="",N($J489)=0),"",MIN(N($J489),SUMIFS(nrMK_Sess,nrMK_Link,$B489,nrMK_Credit,"Yes",nrMK_PID,$E489,nrMK_Type,"PT")))</f>
        <v/>
      </c>
      <c r="R489" s="17">
        <f>IF(OR($B489="",$N489&lt;&gt;"Yes"),"",IF($K489="Yes",IF(N($J489)&gt;0,N($J489)-N($Q489),""),IF(N($I489)&gt;0,N($I489)-N($P489),"")))</f>
        <v/>
      </c>
      <c r="S489" s="17">
        <f>IF(OR($B489="",$R489=""),"",IF($R489&lt;=0,IF(IFERROR(_xlfn.MAXIFS(nrMK_Date,nrMK_Link,$B489,nrMK_Credit,"Yes",nrMK_PID,$E489),0)=0,"CLEARED (makeup date missing)","CLEARED "&amp;TEXT(_xlfn.MAXIFS(nrMK_Date,nrMK_Link,$B489,nrMK_Credit,"Yes",nrMK_PID,$E489),"mm/dd")),"OPEN"))</f>
        <v/>
      </c>
      <c r="T489" s="17">
        <f>IF($D489="","",IF($C489="","NO DATE",IF($G489="","NO EVENT TYPE",IF(AND($I489&lt;&gt;"",NOT(ISNUMBER($I489))),"MINUTES NOT A NUMBER",IF(AND($J489&lt;&gt;"",NOT(ISNUMBER($J489))),"SESSIONS NOT A NUMBER",IF(OR(N($I489)&lt;0,N($J489)&lt;0),"NEGATIVE MINUTES/SESSIONS",IF(AND($K489="Yes",N($I489)&gt;0),"MINUTES ON A PT EVENT - not counted (PT counts sessions)",IF(AND($K489="No",N($J489)&gt;0),"SESSIONS ON A CLASSROOM EVENT - not counted (classroom counts minutes)",IF(AND($N489="Yes",$K489="Yes",N($J489)=0),"COUNTED PT EVENT WITH NO SESSIONS - dropped from the PT cap",IF(AND($N489="Yes",$K489="No",N($I489)=0),"COUNTED EVENT WITH NO MINUTES - dropped from the classroom cap","OK"))))))))))</f>
        <v/>
      </c>
    </row>
    <row r="490">
      <c r="B490" s="17">
        <f>IF($D490="","","A"&amp;TEXT(ROW()-5,"000"))</f>
        <v/>
      </c>
      <c r="C490" s="18" t="n"/>
      <c r="D490" s="16" t="n"/>
      <c r="E490" s="17">
        <f>IF($D490="","",IFERROR(INDEX(rngCadetPIDs,MATCH($D490,rngCadetNames,0)),"?"))</f>
        <v/>
      </c>
      <c r="F490" s="17">
        <f>IF($E490="","",IFERROR(INDEX(nrCadetAgency,MATCH($E490,rngCadetPIDs,0)),""))</f>
        <v/>
      </c>
      <c r="G490" s="16" t="n"/>
      <c r="H490" s="16" t="n"/>
      <c r="I490" s="16" t="n"/>
      <c r="J490" s="16" t="n"/>
      <c r="K490" s="17">
        <f>IF($G490="","",IF(OR($G490="PT Missed",$G490="PT Modified",$G490="PT Refused"),"Yes","No"))</f>
        <v/>
      </c>
      <c r="L490" s="16" t="n"/>
      <c r="M490" s="16" t="n"/>
      <c r="N490" s="17">
        <f>IF($D490="","",IF($M490="Excused","No",IF(AND($G490="PT Modified",$L490="Received"),"No","Yes")))</f>
        <v/>
      </c>
      <c r="O490" s="16" t="n"/>
      <c r="P490" s="17">
        <f>IF(OR($B490="",N($I490)=0),"",MIN(N($I490),SUMIFS(nrMK_Min,nrMK_Link,$B490,nrMK_Credit,"Yes",nrMK_PID,$E490,nrMK_Type,"Classroom")))</f>
        <v/>
      </c>
      <c r="Q490" s="17">
        <f>IF(OR($B490="",N($J490)=0),"",MIN(N($J490),SUMIFS(nrMK_Sess,nrMK_Link,$B490,nrMK_Credit,"Yes",nrMK_PID,$E490,nrMK_Type,"PT")))</f>
        <v/>
      </c>
      <c r="R490" s="17">
        <f>IF(OR($B490="",$N490&lt;&gt;"Yes"),"",IF($K490="Yes",IF(N($J490)&gt;0,N($J490)-N($Q490),""),IF(N($I490)&gt;0,N($I490)-N($P490),"")))</f>
        <v/>
      </c>
      <c r="S490" s="17">
        <f>IF(OR($B490="",$R490=""),"",IF($R490&lt;=0,IF(IFERROR(_xlfn.MAXIFS(nrMK_Date,nrMK_Link,$B490,nrMK_Credit,"Yes",nrMK_PID,$E490),0)=0,"CLEARED (makeup date missing)","CLEARED "&amp;TEXT(_xlfn.MAXIFS(nrMK_Date,nrMK_Link,$B490,nrMK_Credit,"Yes",nrMK_PID,$E490),"mm/dd")),"OPEN"))</f>
        <v/>
      </c>
      <c r="T490" s="17">
        <f>IF($D490="","",IF($C490="","NO DATE",IF($G490="","NO EVENT TYPE",IF(AND($I490&lt;&gt;"",NOT(ISNUMBER($I490))),"MINUTES NOT A NUMBER",IF(AND($J490&lt;&gt;"",NOT(ISNUMBER($J490))),"SESSIONS NOT A NUMBER",IF(OR(N($I490)&lt;0,N($J490)&lt;0),"NEGATIVE MINUTES/SESSIONS",IF(AND($K490="Yes",N($I490)&gt;0),"MINUTES ON A PT EVENT - not counted (PT counts sessions)",IF(AND($K490="No",N($J490)&gt;0),"SESSIONS ON A CLASSROOM EVENT - not counted (classroom counts minutes)",IF(AND($N490="Yes",$K490="Yes",N($J490)=0),"COUNTED PT EVENT WITH NO SESSIONS - dropped from the PT cap",IF(AND($N490="Yes",$K490="No",N($I490)=0),"COUNTED EVENT WITH NO MINUTES - dropped from the classroom cap","OK"))))))))))</f>
        <v/>
      </c>
    </row>
    <row r="491">
      <c r="B491" s="17">
        <f>IF($D491="","","A"&amp;TEXT(ROW()-5,"000"))</f>
        <v/>
      </c>
      <c r="C491" s="18" t="n"/>
      <c r="D491" s="16" t="n"/>
      <c r="E491" s="17">
        <f>IF($D491="","",IFERROR(INDEX(rngCadetPIDs,MATCH($D491,rngCadetNames,0)),"?"))</f>
        <v/>
      </c>
      <c r="F491" s="17">
        <f>IF($E491="","",IFERROR(INDEX(nrCadetAgency,MATCH($E491,rngCadetPIDs,0)),""))</f>
        <v/>
      </c>
      <c r="G491" s="16" t="n"/>
      <c r="H491" s="16" t="n"/>
      <c r="I491" s="16" t="n"/>
      <c r="J491" s="16" t="n"/>
      <c r="K491" s="17">
        <f>IF($G491="","",IF(OR($G491="PT Missed",$G491="PT Modified",$G491="PT Refused"),"Yes","No"))</f>
        <v/>
      </c>
      <c r="L491" s="16" t="n"/>
      <c r="M491" s="16" t="n"/>
      <c r="N491" s="17">
        <f>IF($D491="","",IF($M491="Excused","No",IF(AND($G491="PT Modified",$L491="Received"),"No","Yes")))</f>
        <v/>
      </c>
      <c r="O491" s="16" t="n"/>
      <c r="P491" s="17">
        <f>IF(OR($B491="",N($I491)=0),"",MIN(N($I491),SUMIFS(nrMK_Min,nrMK_Link,$B491,nrMK_Credit,"Yes",nrMK_PID,$E491,nrMK_Type,"Classroom")))</f>
        <v/>
      </c>
      <c r="Q491" s="17">
        <f>IF(OR($B491="",N($J491)=0),"",MIN(N($J491),SUMIFS(nrMK_Sess,nrMK_Link,$B491,nrMK_Credit,"Yes",nrMK_PID,$E491,nrMK_Type,"PT")))</f>
        <v/>
      </c>
      <c r="R491" s="17">
        <f>IF(OR($B491="",$N491&lt;&gt;"Yes"),"",IF($K491="Yes",IF(N($J491)&gt;0,N($J491)-N($Q491),""),IF(N($I491)&gt;0,N($I491)-N($P491),"")))</f>
        <v/>
      </c>
      <c r="S491" s="17">
        <f>IF(OR($B491="",$R491=""),"",IF($R491&lt;=0,IF(IFERROR(_xlfn.MAXIFS(nrMK_Date,nrMK_Link,$B491,nrMK_Credit,"Yes",nrMK_PID,$E491),0)=0,"CLEARED (makeup date missing)","CLEARED "&amp;TEXT(_xlfn.MAXIFS(nrMK_Date,nrMK_Link,$B491,nrMK_Credit,"Yes",nrMK_PID,$E491),"mm/dd")),"OPEN"))</f>
        <v/>
      </c>
      <c r="T491" s="17">
        <f>IF($D491="","",IF($C491="","NO DATE",IF($G491="","NO EVENT TYPE",IF(AND($I491&lt;&gt;"",NOT(ISNUMBER($I491))),"MINUTES NOT A NUMBER",IF(AND($J491&lt;&gt;"",NOT(ISNUMBER($J491))),"SESSIONS NOT A NUMBER",IF(OR(N($I491)&lt;0,N($J491)&lt;0),"NEGATIVE MINUTES/SESSIONS",IF(AND($K491="Yes",N($I491)&gt;0),"MINUTES ON A PT EVENT - not counted (PT counts sessions)",IF(AND($K491="No",N($J491)&gt;0),"SESSIONS ON A CLASSROOM EVENT - not counted (classroom counts minutes)",IF(AND($N491="Yes",$K491="Yes",N($J491)=0),"COUNTED PT EVENT WITH NO SESSIONS - dropped from the PT cap",IF(AND($N491="Yes",$K491="No",N($I491)=0),"COUNTED EVENT WITH NO MINUTES - dropped from the classroom cap","OK"))))))))))</f>
        <v/>
      </c>
    </row>
    <row r="492">
      <c r="B492" s="17">
        <f>IF($D492="","","A"&amp;TEXT(ROW()-5,"000"))</f>
        <v/>
      </c>
      <c r="C492" s="18" t="n"/>
      <c r="D492" s="16" t="n"/>
      <c r="E492" s="17">
        <f>IF($D492="","",IFERROR(INDEX(rngCadetPIDs,MATCH($D492,rngCadetNames,0)),"?"))</f>
        <v/>
      </c>
      <c r="F492" s="17">
        <f>IF($E492="","",IFERROR(INDEX(nrCadetAgency,MATCH($E492,rngCadetPIDs,0)),""))</f>
        <v/>
      </c>
      <c r="G492" s="16" t="n"/>
      <c r="H492" s="16" t="n"/>
      <c r="I492" s="16" t="n"/>
      <c r="J492" s="16" t="n"/>
      <c r="K492" s="17">
        <f>IF($G492="","",IF(OR($G492="PT Missed",$G492="PT Modified",$G492="PT Refused"),"Yes","No"))</f>
        <v/>
      </c>
      <c r="L492" s="16" t="n"/>
      <c r="M492" s="16" t="n"/>
      <c r="N492" s="17">
        <f>IF($D492="","",IF($M492="Excused","No",IF(AND($G492="PT Modified",$L492="Received"),"No","Yes")))</f>
        <v/>
      </c>
      <c r="O492" s="16" t="n"/>
      <c r="P492" s="17">
        <f>IF(OR($B492="",N($I492)=0),"",MIN(N($I492),SUMIFS(nrMK_Min,nrMK_Link,$B492,nrMK_Credit,"Yes",nrMK_PID,$E492,nrMK_Type,"Classroom")))</f>
        <v/>
      </c>
      <c r="Q492" s="17">
        <f>IF(OR($B492="",N($J492)=0),"",MIN(N($J492),SUMIFS(nrMK_Sess,nrMK_Link,$B492,nrMK_Credit,"Yes",nrMK_PID,$E492,nrMK_Type,"PT")))</f>
        <v/>
      </c>
      <c r="R492" s="17">
        <f>IF(OR($B492="",$N492&lt;&gt;"Yes"),"",IF($K492="Yes",IF(N($J492)&gt;0,N($J492)-N($Q492),""),IF(N($I492)&gt;0,N($I492)-N($P492),"")))</f>
        <v/>
      </c>
      <c r="S492" s="17">
        <f>IF(OR($B492="",$R492=""),"",IF($R492&lt;=0,IF(IFERROR(_xlfn.MAXIFS(nrMK_Date,nrMK_Link,$B492,nrMK_Credit,"Yes",nrMK_PID,$E492),0)=0,"CLEARED (makeup date missing)","CLEARED "&amp;TEXT(_xlfn.MAXIFS(nrMK_Date,nrMK_Link,$B492,nrMK_Credit,"Yes",nrMK_PID,$E492),"mm/dd")),"OPEN"))</f>
        <v/>
      </c>
      <c r="T492" s="17">
        <f>IF($D492="","",IF($C492="","NO DATE",IF($G492="","NO EVENT TYPE",IF(AND($I492&lt;&gt;"",NOT(ISNUMBER($I492))),"MINUTES NOT A NUMBER",IF(AND($J492&lt;&gt;"",NOT(ISNUMBER($J492))),"SESSIONS NOT A NUMBER",IF(OR(N($I492)&lt;0,N($J492)&lt;0),"NEGATIVE MINUTES/SESSIONS",IF(AND($K492="Yes",N($I492)&gt;0),"MINUTES ON A PT EVENT - not counted (PT counts sessions)",IF(AND($K492="No",N($J492)&gt;0),"SESSIONS ON A CLASSROOM EVENT - not counted (classroom counts minutes)",IF(AND($N492="Yes",$K492="Yes",N($J492)=0),"COUNTED PT EVENT WITH NO SESSIONS - dropped from the PT cap",IF(AND($N492="Yes",$K492="No",N($I492)=0),"COUNTED EVENT WITH NO MINUTES - dropped from the classroom cap","OK"))))))))))</f>
        <v/>
      </c>
    </row>
    <row r="493">
      <c r="B493" s="17">
        <f>IF($D493="","","A"&amp;TEXT(ROW()-5,"000"))</f>
        <v/>
      </c>
      <c r="C493" s="18" t="n"/>
      <c r="D493" s="16" t="n"/>
      <c r="E493" s="17">
        <f>IF($D493="","",IFERROR(INDEX(rngCadetPIDs,MATCH($D493,rngCadetNames,0)),"?"))</f>
        <v/>
      </c>
      <c r="F493" s="17">
        <f>IF($E493="","",IFERROR(INDEX(nrCadetAgency,MATCH($E493,rngCadetPIDs,0)),""))</f>
        <v/>
      </c>
      <c r="G493" s="16" t="n"/>
      <c r="H493" s="16" t="n"/>
      <c r="I493" s="16" t="n"/>
      <c r="J493" s="16" t="n"/>
      <c r="K493" s="17">
        <f>IF($G493="","",IF(OR($G493="PT Missed",$G493="PT Modified",$G493="PT Refused"),"Yes","No"))</f>
        <v/>
      </c>
      <c r="L493" s="16" t="n"/>
      <c r="M493" s="16" t="n"/>
      <c r="N493" s="17">
        <f>IF($D493="","",IF($M493="Excused","No",IF(AND($G493="PT Modified",$L493="Received"),"No","Yes")))</f>
        <v/>
      </c>
      <c r="O493" s="16" t="n"/>
      <c r="P493" s="17">
        <f>IF(OR($B493="",N($I493)=0),"",MIN(N($I493),SUMIFS(nrMK_Min,nrMK_Link,$B493,nrMK_Credit,"Yes",nrMK_PID,$E493,nrMK_Type,"Classroom")))</f>
        <v/>
      </c>
      <c r="Q493" s="17">
        <f>IF(OR($B493="",N($J493)=0),"",MIN(N($J493),SUMIFS(nrMK_Sess,nrMK_Link,$B493,nrMK_Credit,"Yes",nrMK_PID,$E493,nrMK_Type,"PT")))</f>
        <v/>
      </c>
      <c r="R493" s="17">
        <f>IF(OR($B493="",$N493&lt;&gt;"Yes"),"",IF($K493="Yes",IF(N($J493)&gt;0,N($J493)-N($Q493),""),IF(N($I493)&gt;0,N($I493)-N($P493),"")))</f>
        <v/>
      </c>
      <c r="S493" s="17">
        <f>IF(OR($B493="",$R493=""),"",IF($R493&lt;=0,IF(IFERROR(_xlfn.MAXIFS(nrMK_Date,nrMK_Link,$B493,nrMK_Credit,"Yes",nrMK_PID,$E493),0)=0,"CLEARED (makeup date missing)","CLEARED "&amp;TEXT(_xlfn.MAXIFS(nrMK_Date,nrMK_Link,$B493,nrMK_Credit,"Yes",nrMK_PID,$E493),"mm/dd")),"OPEN"))</f>
        <v/>
      </c>
      <c r="T493" s="17">
        <f>IF($D493="","",IF($C493="","NO DATE",IF($G493="","NO EVENT TYPE",IF(AND($I493&lt;&gt;"",NOT(ISNUMBER($I493))),"MINUTES NOT A NUMBER",IF(AND($J493&lt;&gt;"",NOT(ISNUMBER($J493))),"SESSIONS NOT A NUMBER",IF(OR(N($I493)&lt;0,N($J493)&lt;0),"NEGATIVE MINUTES/SESSIONS",IF(AND($K493="Yes",N($I493)&gt;0),"MINUTES ON A PT EVENT - not counted (PT counts sessions)",IF(AND($K493="No",N($J493)&gt;0),"SESSIONS ON A CLASSROOM EVENT - not counted (classroom counts minutes)",IF(AND($N493="Yes",$K493="Yes",N($J493)=0),"COUNTED PT EVENT WITH NO SESSIONS - dropped from the PT cap",IF(AND($N493="Yes",$K493="No",N($I493)=0),"COUNTED EVENT WITH NO MINUTES - dropped from the classroom cap","OK"))))))))))</f>
        <v/>
      </c>
    </row>
    <row r="494">
      <c r="B494" s="17">
        <f>IF($D494="","","A"&amp;TEXT(ROW()-5,"000"))</f>
        <v/>
      </c>
      <c r="C494" s="18" t="n"/>
      <c r="D494" s="16" t="n"/>
      <c r="E494" s="17">
        <f>IF($D494="","",IFERROR(INDEX(rngCadetPIDs,MATCH($D494,rngCadetNames,0)),"?"))</f>
        <v/>
      </c>
      <c r="F494" s="17">
        <f>IF($E494="","",IFERROR(INDEX(nrCadetAgency,MATCH($E494,rngCadetPIDs,0)),""))</f>
        <v/>
      </c>
      <c r="G494" s="16" t="n"/>
      <c r="H494" s="16" t="n"/>
      <c r="I494" s="16" t="n"/>
      <c r="J494" s="16" t="n"/>
      <c r="K494" s="17">
        <f>IF($G494="","",IF(OR($G494="PT Missed",$G494="PT Modified",$G494="PT Refused"),"Yes","No"))</f>
        <v/>
      </c>
      <c r="L494" s="16" t="n"/>
      <c r="M494" s="16" t="n"/>
      <c r="N494" s="17">
        <f>IF($D494="","",IF($M494="Excused","No",IF(AND($G494="PT Modified",$L494="Received"),"No","Yes")))</f>
        <v/>
      </c>
      <c r="O494" s="16" t="n"/>
      <c r="P494" s="17">
        <f>IF(OR($B494="",N($I494)=0),"",MIN(N($I494),SUMIFS(nrMK_Min,nrMK_Link,$B494,nrMK_Credit,"Yes",nrMK_PID,$E494,nrMK_Type,"Classroom")))</f>
        <v/>
      </c>
      <c r="Q494" s="17">
        <f>IF(OR($B494="",N($J494)=0),"",MIN(N($J494),SUMIFS(nrMK_Sess,nrMK_Link,$B494,nrMK_Credit,"Yes",nrMK_PID,$E494,nrMK_Type,"PT")))</f>
        <v/>
      </c>
      <c r="R494" s="17">
        <f>IF(OR($B494="",$N494&lt;&gt;"Yes"),"",IF($K494="Yes",IF(N($J494)&gt;0,N($J494)-N($Q494),""),IF(N($I494)&gt;0,N($I494)-N($P494),"")))</f>
        <v/>
      </c>
      <c r="S494" s="17">
        <f>IF(OR($B494="",$R494=""),"",IF($R494&lt;=0,IF(IFERROR(_xlfn.MAXIFS(nrMK_Date,nrMK_Link,$B494,nrMK_Credit,"Yes",nrMK_PID,$E494),0)=0,"CLEARED (makeup date missing)","CLEARED "&amp;TEXT(_xlfn.MAXIFS(nrMK_Date,nrMK_Link,$B494,nrMK_Credit,"Yes",nrMK_PID,$E494),"mm/dd")),"OPEN"))</f>
        <v/>
      </c>
      <c r="T494" s="17">
        <f>IF($D494="","",IF($C494="","NO DATE",IF($G494="","NO EVENT TYPE",IF(AND($I494&lt;&gt;"",NOT(ISNUMBER($I494))),"MINUTES NOT A NUMBER",IF(AND($J494&lt;&gt;"",NOT(ISNUMBER($J494))),"SESSIONS NOT A NUMBER",IF(OR(N($I494)&lt;0,N($J494)&lt;0),"NEGATIVE MINUTES/SESSIONS",IF(AND($K494="Yes",N($I494)&gt;0),"MINUTES ON A PT EVENT - not counted (PT counts sessions)",IF(AND($K494="No",N($J494)&gt;0),"SESSIONS ON A CLASSROOM EVENT - not counted (classroom counts minutes)",IF(AND($N494="Yes",$K494="Yes",N($J494)=0),"COUNTED PT EVENT WITH NO SESSIONS - dropped from the PT cap",IF(AND($N494="Yes",$K494="No",N($I494)=0),"COUNTED EVENT WITH NO MINUTES - dropped from the classroom cap","OK"))))))))))</f>
        <v/>
      </c>
    </row>
    <row r="495">
      <c r="B495" s="17">
        <f>IF($D495="","","A"&amp;TEXT(ROW()-5,"000"))</f>
        <v/>
      </c>
      <c r="C495" s="18" t="n"/>
      <c r="D495" s="16" t="n"/>
      <c r="E495" s="17">
        <f>IF($D495="","",IFERROR(INDEX(rngCadetPIDs,MATCH($D495,rngCadetNames,0)),"?"))</f>
        <v/>
      </c>
      <c r="F495" s="17">
        <f>IF($E495="","",IFERROR(INDEX(nrCadetAgency,MATCH($E495,rngCadetPIDs,0)),""))</f>
        <v/>
      </c>
      <c r="G495" s="16" t="n"/>
      <c r="H495" s="16" t="n"/>
      <c r="I495" s="16" t="n"/>
      <c r="J495" s="16" t="n"/>
      <c r="K495" s="17">
        <f>IF($G495="","",IF(OR($G495="PT Missed",$G495="PT Modified",$G495="PT Refused"),"Yes","No"))</f>
        <v/>
      </c>
      <c r="L495" s="16" t="n"/>
      <c r="M495" s="16" t="n"/>
      <c r="N495" s="17">
        <f>IF($D495="","",IF($M495="Excused","No",IF(AND($G495="PT Modified",$L495="Received"),"No","Yes")))</f>
        <v/>
      </c>
      <c r="O495" s="16" t="n"/>
      <c r="P495" s="17">
        <f>IF(OR($B495="",N($I495)=0),"",MIN(N($I495),SUMIFS(nrMK_Min,nrMK_Link,$B495,nrMK_Credit,"Yes",nrMK_PID,$E495,nrMK_Type,"Classroom")))</f>
        <v/>
      </c>
      <c r="Q495" s="17">
        <f>IF(OR($B495="",N($J495)=0),"",MIN(N($J495),SUMIFS(nrMK_Sess,nrMK_Link,$B495,nrMK_Credit,"Yes",nrMK_PID,$E495,nrMK_Type,"PT")))</f>
        <v/>
      </c>
      <c r="R495" s="17">
        <f>IF(OR($B495="",$N495&lt;&gt;"Yes"),"",IF($K495="Yes",IF(N($J495)&gt;0,N($J495)-N($Q495),""),IF(N($I495)&gt;0,N($I495)-N($P495),"")))</f>
        <v/>
      </c>
      <c r="S495" s="17">
        <f>IF(OR($B495="",$R495=""),"",IF($R495&lt;=0,IF(IFERROR(_xlfn.MAXIFS(nrMK_Date,nrMK_Link,$B495,nrMK_Credit,"Yes",nrMK_PID,$E495),0)=0,"CLEARED (makeup date missing)","CLEARED "&amp;TEXT(_xlfn.MAXIFS(nrMK_Date,nrMK_Link,$B495,nrMK_Credit,"Yes",nrMK_PID,$E495),"mm/dd")),"OPEN"))</f>
        <v/>
      </c>
      <c r="T495" s="17">
        <f>IF($D495="","",IF($C495="","NO DATE",IF($G495="","NO EVENT TYPE",IF(AND($I495&lt;&gt;"",NOT(ISNUMBER($I495))),"MINUTES NOT A NUMBER",IF(AND($J495&lt;&gt;"",NOT(ISNUMBER($J495))),"SESSIONS NOT A NUMBER",IF(OR(N($I495)&lt;0,N($J495)&lt;0),"NEGATIVE MINUTES/SESSIONS",IF(AND($K495="Yes",N($I495)&gt;0),"MINUTES ON A PT EVENT - not counted (PT counts sessions)",IF(AND($K495="No",N($J495)&gt;0),"SESSIONS ON A CLASSROOM EVENT - not counted (classroom counts minutes)",IF(AND($N495="Yes",$K495="Yes",N($J495)=0),"COUNTED PT EVENT WITH NO SESSIONS - dropped from the PT cap",IF(AND($N495="Yes",$K495="No",N($I495)=0),"COUNTED EVENT WITH NO MINUTES - dropped from the classroom cap","OK"))))))))))</f>
        <v/>
      </c>
    </row>
    <row r="496">
      <c r="B496" s="17">
        <f>IF($D496="","","A"&amp;TEXT(ROW()-5,"000"))</f>
        <v/>
      </c>
      <c r="C496" s="18" t="n"/>
      <c r="D496" s="16" t="n"/>
      <c r="E496" s="17">
        <f>IF($D496="","",IFERROR(INDEX(rngCadetPIDs,MATCH($D496,rngCadetNames,0)),"?"))</f>
        <v/>
      </c>
      <c r="F496" s="17">
        <f>IF($E496="","",IFERROR(INDEX(nrCadetAgency,MATCH($E496,rngCadetPIDs,0)),""))</f>
        <v/>
      </c>
      <c r="G496" s="16" t="n"/>
      <c r="H496" s="16" t="n"/>
      <c r="I496" s="16" t="n"/>
      <c r="J496" s="16" t="n"/>
      <c r="K496" s="17">
        <f>IF($G496="","",IF(OR($G496="PT Missed",$G496="PT Modified",$G496="PT Refused"),"Yes","No"))</f>
        <v/>
      </c>
      <c r="L496" s="16" t="n"/>
      <c r="M496" s="16" t="n"/>
      <c r="N496" s="17">
        <f>IF($D496="","",IF($M496="Excused","No",IF(AND($G496="PT Modified",$L496="Received"),"No","Yes")))</f>
        <v/>
      </c>
      <c r="O496" s="16" t="n"/>
      <c r="P496" s="17">
        <f>IF(OR($B496="",N($I496)=0),"",MIN(N($I496),SUMIFS(nrMK_Min,nrMK_Link,$B496,nrMK_Credit,"Yes",nrMK_PID,$E496,nrMK_Type,"Classroom")))</f>
        <v/>
      </c>
      <c r="Q496" s="17">
        <f>IF(OR($B496="",N($J496)=0),"",MIN(N($J496),SUMIFS(nrMK_Sess,nrMK_Link,$B496,nrMK_Credit,"Yes",nrMK_PID,$E496,nrMK_Type,"PT")))</f>
        <v/>
      </c>
      <c r="R496" s="17">
        <f>IF(OR($B496="",$N496&lt;&gt;"Yes"),"",IF($K496="Yes",IF(N($J496)&gt;0,N($J496)-N($Q496),""),IF(N($I496)&gt;0,N($I496)-N($P496),"")))</f>
        <v/>
      </c>
      <c r="S496" s="17">
        <f>IF(OR($B496="",$R496=""),"",IF($R496&lt;=0,IF(IFERROR(_xlfn.MAXIFS(nrMK_Date,nrMK_Link,$B496,nrMK_Credit,"Yes",nrMK_PID,$E496),0)=0,"CLEARED (makeup date missing)","CLEARED "&amp;TEXT(_xlfn.MAXIFS(nrMK_Date,nrMK_Link,$B496,nrMK_Credit,"Yes",nrMK_PID,$E496),"mm/dd")),"OPEN"))</f>
        <v/>
      </c>
      <c r="T496" s="17">
        <f>IF($D496="","",IF($C496="","NO DATE",IF($G496="","NO EVENT TYPE",IF(AND($I496&lt;&gt;"",NOT(ISNUMBER($I496))),"MINUTES NOT A NUMBER",IF(AND($J496&lt;&gt;"",NOT(ISNUMBER($J496))),"SESSIONS NOT A NUMBER",IF(OR(N($I496)&lt;0,N($J496)&lt;0),"NEGATIVE MINUTES/SESSIONS",IF(AND($K496="Yes",N($I496)&gt;0),"MINUTES ON A PT EVENT - not counted (PT counts sessions)",IF(AND($K496="No",N($J496)&gt;0),"SESSIONS ON A CLASSROOM EVENT - not counted (classroom counts minutes)",IF(AND($N496="Yes",$K496="Yes",N($J496)=0),"COUNTED PT EVENT WITH NO SESSIONS - dropped from the PT cap",IF(AND($N496="Yes",$K496="No",N($I496)=0),"COUNTED EVENT WITH NO MINUTES - dropped from the classroom cap","OK"))))))))))</f>
        <v/>
      </c>
    </row>
    <row r="497">
      <c r="B497" s="17">
        <f>IF($D497="","","A"&amp;TEXT(ROW()-5,"000"))</f>
        <v/>
      </c>
      <c r="C497" s="18" t="n"/>
      <c r="D497" s="16" t="n"/>
      <c r="E497" s="17">
        <f>IF($D497="","",IFERROR(INDEX(rngCadetPIDs,MATCH($D497,rngCadetNames,0)),"?"))</f>
        <v/>
      </c>
      <c r="F497" s="17">
        <f>IF($E497="","",IFERROR(INDEX(nrCadetAgency,MATCH($E497,rngCadetPIDs,0)),""))</f>
        <v/>
      </c>
      <c r="G497" s="16" t="n"/>
      <c r="H497" s="16" t="n"/>
      <c r="I497" s="16" t="n"/>
      <c r="J497" s="16" t="n"/>
      <c r="K497" s="17">
        <f>IF($G497="","",IF(OR($G497="PT Missed",$G497="PT Modified",$G497="PT Refused"),"Yes","No"))</f>
        <v/>
      </c>
      <c r="L497" s="16" t="n"/>
      <c r="M497" s="16" t="n"/>
      <c r="N497" s="17">
        <f>IF($D497="","",IF($M497="Excused","No",IF(AND($G497="PT Modified",$L497="Received"),"No","Yes")))</f>
        <v/>
      </c>
      <c r="O497" s="16" t="n"/>
      <c r="P497" s="17">
        <f>IF(OR($B497="",N($I497)=0),"",MIN(N($I497),SUMIFS(nrMK_Min,nrMK_Link,$B497,nrMK_Credit,"Yes",nrMK_PID,$E497,nrMK_Type,"Classroom")))</f>
        <v/>
      </c>
      <c r="Q497" s="17">
        <f>IF(OR($B497="",N($J497)=0),"",MIN(N($J497),SUMIFS(nrMK_Sess,nrMK_Link,$B497,nrMK_Credit,"Yes",nrMK_PID,$E497,nrMK_Type,"PT")))</f>
        <v/>
      </c>
      <c r="R497" s="17">
        <f>IF(OR($B497="",$N497&lt;&gt;"Yes"),"",IF($K497="Yes",IF(N($J497)&gt;0,N($J497)-N($Q497),""),IF(N($I497)&gt;0,N($I497)-N($P497),"")))</f>
        <v/>
      </c>
      <c r="S497" s="17">
        <f>IF(OR($B497="",$R497=""),"",IF($R497&lt;=0,IF(IFERROR(_xlfn.MAXIFS(nrMK_Date,nrMK_Link,$B497,nrMK_Credit,"Yes",nrMK_PID,$E497),0)=0,"CLEARED (makeup date missing)","CLEARED "&amp;TEXT(_xlfn.MAXIFS(nrMK_Date,nrMK_Link,$B497,nrMK_Credit,"Yes",nrMK_PID,$E497),"mm/dd")),"OPEN"))</f>
        <v/>
      </c>
      <c r="T497" s="17">
        <f>IF($D497="","",IF($C497="","NO DATE",IF($G497="","NO EVENT TYPE",IF(AND($I497&lt;&gt;"",NOT(ISNUMBER($I497))),"MINUTES NOT A NUMBER",IF(AND($J497&lt;&gt;"",NOT(ISNUMBER($J497))),"SESSIONS NOT A NUMBER",IF(OR(N($I497)&lt;0,N($J497)&lt;0),"NEGATIVE MINUTES/SESSIONS",IF(AND($K497="Yes",N($I497)&gt;0),"MINUTES ON A PT EVENT - not counted (PT counts sessions)",IF(AND($K497="No",N($J497)&gt;0),"SESSIONS ON A CLASSROOM EVENT - not counted (classroom counts minutes)",IF(AND($N497="Yes",$K497="Yes",N($J497)=0),"COUNTED PT EVENT WITH NO SESSIONS - dropped from the PT cap",IF(AND($N497="Yes",$K497="No",N($I497)=0),"COUNTED EVENT WITH NO MINUTES - dropped from the classroom cap","OK"))))))))))</f>
        <v/>
      </c>
    </row>
    <row r="498">
      <c r="B498" s="17">
        <f>IF($D498="","","A"&amp;TEXT(ROW()-5,"000"))</f>
        <v/>
      </c>
      <c r="C498" s="18" t="n"/>
      <c r="D498" s="16" t="n"/>
      <c r="E498" s="17">
        <f>IF($D498="","",IFERROR(INDEX(rngCadetPIDs,MATCH($D498,rngCadetNames,0)),"?"))</f>
        <v/>
      </c>
      <c r="F498" s="17">
        <f>IF($E498="","",IFERROR(INDEX(nrCadetAgency,MATCH($E498,rngCadetPIDs,0)),""))</f>
        <v/>
      </c>
      <c r="G498" s="16" t="n"/>
      <c r="H498" s="16" t="n"/>
      <c r="I498" s="16" t="n"/>
      <c r="J498" s="16" t="n"/>
      <c r="K498" s="17">
        <f>IF($G498="","",IF(OR($G498="PT Missed",$G498="PT Modified",$G498="PT Refused"),"Yes","No"))</f>
        <v/>
      </c>
      <c r="L498" s="16" t="n"/>
      <c r="M498" s="16" t="n"/>
      <c r="N498" s="17">
        <f>IF($D498="","",IF($M498="Excused","No",IF(AND($G498="PT Modified",$L498="Received"),"No","Yes")))</f>
        <v/>
      </c>
      <c r="O498" s="16" t="n"/>
      <c r="P498" s="17">
        <f>IF(OR($B498="",N($I498)=0),"",MIN(N($I498),SUMIFS(nrMK_Min,nrMK_Link,$B498,nrMK_Credit,"Yes",nrMK_PID,$E498,nrMK_Type,"Classroom")))</f>
        <v/>
      </c>
      <c r="Q498" s="17">
        <f>IF(OR($B498="",N($J498)=0),"",MIN(N($J498),SUMIFS(nrMK_Sess,nrMK_Link,$B498,nrMK_Credit,"Yes",nrMK_PID,$E498,nrMK_Type,"PT")))</f>
        <v/>
      </c>
      <c r="R498" s="17">
        <f>IF(OR($B498="",$N498&lt;&gt;"Yes"),"",IF($K498="Yes",IF(N($J498)&gt;0,N($J498)-N($Q498),""),IF(N($I498)&gt;0,N($I498)-N($P498),"")))</f>
        <v/>
      </c>
      <c r="S498" s="17">
        <f>IF(OR($B498="",$R498=""),"",IF($R498&lt;=0,IF(IFERROR(_xlfn.MAXIFS(nrMK_Date,nrMK_Link,$B498,nrMK_Credit,"Yes",nrMK_PID,$E498),0)=0,"CLEARED (makeup date missing)","CLEARED "&amp;TEXT(_xlfn.MAXIFS(nrMK_Date,nrMK_Link,$B498,nrMK_Credit,"Yes",nrMK_PID,$E498),"mm/dd")),"OPEN"))</f>
        <v/>
      </c>
      <c r="T498" s="17">
        <f>IF($D498="","",IF($C498="","NO DATE",IF($G498="","NO EVENT TYPE",IF(AND($I498&lt;&gt;"",NOT(ISNUMBER($I498))),"MINUTES NOT A NUMBER",IF(AND($J498&lt;&gt;"",NOT(ISNUMBER($J498))),"SESSIONS NOT A NUMBER",IF(OR(N($I498)&lt;0,N($J498)&lt;0),"NEGATIVE MINUTES/SESSIONS",IF(AND($K498="Yes",N($I498)&gt;0),"MINUTES ON A PT EVENT - not counted (PT counts sessions)",IF(AND($K498="No",N($J498)&gt;0),"SESSIONS ON A CLASSROOM EVENT - not counted (classroom counts minutes)",IF(AND($N498="Yes",$K498="Yes",N($J498)=0),"COUNTED PT EVENT WITH NO SESSIONS - dropped from the PT cap",IF(AND($N498="Yes",$K498="No",N($I498)=0),"COUNTED EVENT WITH NO MINUTES - dropped from the classroom cap","OK"))))))))))</f>
        <v/>
      </c>
    </row>
    <row r="499">
      <c r="B499" s="17">
        <f>IF($D499="","","A"&amp;TEXT(ROW()-5,"000"))</f>
        <v/>
      </c>
      <c r="C499" s="18" t="n"/>
      <c r="D499" s="16" t="n"/>
      <c r="E499" s="17">
        <f>IF($D499="","",IFERROR(INDEX(rngCadetPIDs,MATCH($D499,rngCadetNames,0)),"?"))</f>
        <v/>
      </c>
      <c r="F499" s="17">
        <f>IF($E499="","",IFERROR(INDEX(nrCadetAgency,MATCH($E499,rngCadetPIDs,0)),""))</f>
        <v/>
      </c>
      <c r="G499" s="16" t="n"/>
      <c r="H499" s="16" t="n"/>
      <c r="I499" s="16" t="n"/>
      <c r="J499" s="16" t="n"/>
      <c r="K499" s="17">
        <f>IF($G499="","",IF(OR($G499="PT Missed",$G499="PT Modified",$G499="PT Refused"),"Yes","No"))</f>
        <v/>
      </c>
      <c r="L499" s="16" t="n"/>
      <c r="M499" s="16" t="n"/>
      <c r="N499" s="17">
        <f>IF($D499="","",IF($M499="Excused","No",IF(AND($G499="PT Modified",$L499="Received"),"No","Yes")))</f>
        <v/>
      </c>
      <c r="O499" s="16" t="n"/>
      <c r="P499" s="17">
        <f>IF(OR($B499="",N($I499)=0),"",MIN(N($I499),SUMIFS(nrMK_Min,nrMK_Link,$B499,nrMK_Credit,"Yes",nrMK_PID,$E499,nrMK_Type,"Classroom")))</f>
        <v/>
      </c>
      <c r="Q499" s="17">
        <f>IF(OR($B499="",N($J499)=0),"",MIN(N($J499),SUMIFS(nrMK_Sess,nrMK_Link,$B499,nrMK_Credit,"Yes",nrMK_PID,$E499,nrMK_Type,"PT")))</f>
        <v/>
      </c>
      <c r="R499" s="17">
        <f>IF(OR($B499="",$N499&lt;&gt;"Yes"),"",IF($K499="Yes",IF(N($J499)&gt;0,N($J499)-N($Q499),""),IF(N($I499)&gt;0,N($I499)-N($P499),"")))</f>
        <v/>
      </c>
      <c r="S499" s="17">
        <f>IF(OR($B499="",$R499=""),"",IF($R499&lt;=0,IF(IFERROR(_xlfn.MAXIFS(nrMK_Date,nrMK_Link,$B499,nrMK_Credit,"Yes",nrMK_PID,$E499),0)=0,"CLEARED (makeup date missing)","CLEARED "&amp;TEXT(_xlfn.MAXIFS(nrMK_Date,nrMK_Link,$B499,nrMK_Credit,"Yes",nrMK_PID,$E499),"mm/dd")),"OPEN"))</f>
        <v/>
      </c>
      <c r="T499" s="17">
        <f>IF($D499="","",IF($C499="","NO DATE",IF($G499="","NO EVENT TYPE",IF(AND($I499&lt;&gt;"",NOT(ISNUMBER($I499))),"MINUTES NOT A NUMBER",IF(AND($J499&lt;&gt;"",NOT(ISNUMBER($J499))),"SESSIONS NOT A NUMBER",IF(OR(N($I499)&lt;0,N($J499)&lt;0),"NEGATIVE MINUTES/SESSIONS",IF(AND($K499="Yes",N($I499)&gt;0),"MINUTES ON A PT EVENT - not counted (PT counts sessions)",IF(AND($K499="No",N($J499)&gt;0),"SESSIONS ON A CLASSROOM EVENT - not counted (classroom counts minutes)",IF(AND($N499="Yes",$K499="Yes",N($J499)=0),"COUNTED PT EVENT WITH NO SESSIONS - dropped from the PT cap",IF(AND($N499="Yes",$K499="No",N($I499)=0),"COUNTED EVENT WITH NO MINUTES - dropped from the classroom cap","OK"))))))))))</f>
        <v/>
      </c>
    </row>
    <row r="500">
      <c r="B500" s="17">
        <f>IF($D500="","","A"&amp;TEXT(ROW()-5,"000"))</f>
        <v/>
      </c>
      <c r="C500" s="18" t="n"/>
      <c r="D500" s="16" t="n"/>
      <c r="E500" s="17">
        <f>IF($D500="","",IFERROR(INDEX(rngCadetPIDs,MATCH($D500,rngCadetNames,0)),"?"))</f>
        <v/>
      </c>
      <c r="F500" s="17">
        <f>IF($E500="","",IFERROR(INDEX(nrCadetAgency,MATCH($E500,rngCadetPIDs,0)),""))</f>
        <v/>
      </c>
      <c r="G500" s="16" t="n"/>
      <c r="H500" s="16" t="n"/>
      <c r="I500" s="16" t="n"/>
      <c r="J500" s="16" t="n"/>
      <c r="K500" s="17">
        <f>IF($G500="","",IF(OR($G500="PT Missed",$G500="PT Modified",$G500="PT Refused"),"Yes","No"))</f>
        <v/>
      </c>
      <c r="L500" s="16" t="n"/>
      <c r="M500" s="16" t="n"/>
      <c r="N500" s="17">
        <f>IF($D500="","",IF($M500="Excused","No",IF(AND($G500="PT Modified",$L500="Received"),"No","Yes")))</f>
        <v/>
      </c>
      <c r="O500" s="16" t="n"/>
      <c r="P500" s="17">
        <f>IF(OR($B500="",N($I500)=0),"",MIN(N($I500),SUMIFS(nrMK_Min,nrMK_Link,$B500,nrMK_Credit,"Yes",nrMK_PID,$E500,nrMK_Type,"Classroom")))</f>
        <v/>
      </c>
      <c r="Q500" s="17">
        <f>IF(OR($B500="",N($J500)=0),"",MIN(N($J500),SUMIFS(nrMK_Sess,nrMK_Link,$B500,nrMK_Credit,"Yes",nrMK_PID,$E500,nrMK_Type,"PT")))</f>
        <v/>
      </c>
      <c r="R500" s="17">
        <f>IF(OR($B500="",$N500&lt;&gt;"Yes"),"",IF($K500="Yes",IF(N($J500)&gt;0,N($J500)-N($Q500),""),IF(N($I500)&gt;0,N($I500)-N($P500),"")))</f>
        <v/>
      </c>
      <c r="S500" s="17">
        <f>IF(OR($B500="",$R500=""),"",IF($R500&lt;=0,IF(IFERROR(_xlfn.MAXIFS(nrMK_Date,nrMK_Link,$B500,nrMK_Credit,"Yes",nrMK_PID,$E500),0)=0,"CLEARED (makeup date missing)","CLEARED "&amp;TEXT(_xlfn.MAXIFS(nrMK_Date,nrMK_Link,$B500,nrMK_Credit,"Yes",nrMK_PID,$E500),"mm/dd")),"OPEN"))</f>
        <v/>
      </c>
      <c r="T500" s="17">
        <f>IF($D500="","",IF($C500="","NO DATE",IF($G500="","NO EVENT TYPE",IF(AND($I500&lt;&gt;"",NOT(ISNUMBER($I500))),"MINUTES NOT A NUMBER",IF(AND($J500&lt;&gt;"",NOT(ISNUMBER($J500))),"SESSIONS NOT A NUMBER",IF(OR(N($I500)&lt;0,N($J500)&lt;0),"NEGATIVE MINUTES/SESSIONS",IF(AND($K500="Yes",N($I500)&gt;0),"MINUTES ON A PT EVENT - not counted (PT counts sessions)",IF(AND($K500="No",N($J500)&gt;0),"SESSIONS ON A CLASSROOM EVENT - not counted (classroom counts minutes)",IF(AND($N500="Yes",$K500="Yes",N($J500)=0),"COUNTED PT EVENT WITH NO SESSIONS - dropped from the PT cap",IF(AND($N500="Yes",$K500="No",N($I500)=0),"COUNTED EVENT WITH NO MINUTES - dropped from the classroom cap","OK"))))))))))</f>
        <v/>
      </c>
    </row>
    <row r="501">
      <c r="B501" s="17">
        <f>IF($D501="","","A"&amp;TEXT(ROW()-5,"000"))</f>
        <v/>
      </c>
      <c r="C501" s="18" t="n"/>
      <c r="D501" s="16" t="n"/>
      <c r="E501" s="17">
        <f>IF($D501="","",IFERROR(INDEX(rngCadetPIDs,MATCH($D501,rngCadetNames,0)),"?"))</f>
        <v/>
      </c>
      <c r="F501" s="17">
        <f>IF($E501="","",IFERROR(INDEX(nrCadetAgency,MATCH($E501,rngCadetPIDs,0)),""))</f>
        <v/>
      </c>
      <c r="G501" s="16" t="n"/>
      <c r="H501" s="16" t="n"/>
      <c r="I501" s="16" t="n"/>
      <c r="J501" s="16" t="n"/>
      <c r="K501" s="17">
        <f>IF($G501="","",IF(OR($G501="PT Missed",$G501="PT Modified",$G501="PT Refused"),"Yes","No"))</f>
        <v/>
      </c>
      <c r="L501" s="16" t="n"/>
      <c r="M501" s="16" t="n"/>
      <c r="N501" s="17">
        <f>IF($D501="","",IF($M501="Excused","No",IF(AND($G501="PT Modified",$L501="Received"),"No","Yes")))</f>
        <v/>
      </c>
      <c r="O501" s="16" t="n"/>
      <c r="P501" s="17">
        <f>IF(OR($B501="",N($I501)=0),"",MIN(N($I501),SUMIFS(nrMK_Min,nrMK_Link,$B501,nrMK_Credit,"Yes",nrMK_PID,$E501,nrMK_Type,"Classroom")))</f>
        <v/>
      </c>
      <c r="Q501" s="17">
        <f>IF(OR($B501="",N($J501)=0),"",MIN(N($J501),SUMIFS(nrMK_Sess,nrMK_Link,$B501,nrMK_Credit,"Yes",nrMK_PID,$E501,nrMK_Type,"PT")))</f>
        <v/>
      </c>
      <c r="R501" s="17">
        <f>IF(OR($B501="",$N501&lt;&gt;"Yes"),"",IF($K501="Yes",IF(N($J501)&gt;0,N($J501)-N($Q501),""),IF(N($I501)&gt;0,N($I501)-N($P501),"")))</f>
        <v/>
      </c>
      <c r="S501" s="17">
        <f>IF(OR($B501="",$R501=""),"",IF($R501&lt;=0,IF(IFERROR(_xlfn.MAXIFS(nrMK_Date,nrMK_Link,$B501,nrMK_Credit,"Yes",nrMK_PID,$E501),0)=0,"CLEARED (makeup date missing)","CLEARED "&amp;TEXT(_xlfn.MAXIFS(nrMK_Date,nrMK_Link,$B501,nrMK_Credit,"Yes",nrMK_PID,$E501),"mm/dd")),"OPEN"))</f>
        <v/>
      </c>
      <c r="T501" s="17">
        <f>IF($D501="","",IF($C501="","NO DATE",IF($G501="","NO EVENT TYPE",IF(AND($I501&lt;&gt;"",NOT(ISNUMBER($I501))),"MINUTES NOT A NUMBER",IF(AND($J501&lt;&gt;"",NOT(ISNUMBER($J501))),"SESSIONS NOT A NUMBER",IF(OR(N($I501)&lt;0,N($J501)&lt;0),"NEGATIVE MINUTES/SESSIONS",IF(AND($K501="Yes",N($I501)&gt;0),"MINUTES ON A PT EVENT - not counted (PT counts sessions)",IF(AND($K501="No",N($J501)&gt;0),"SESSIONS ON A CLASSROOM EVENT - not counted (classroom counts minutes)",IF(AND($N501="Yes",$K501="Yes",N($J501)=0),"COUNTED PT EVENT WITH NO SESSIONS - dropped from the PT cap",IF(AND($N501="Yes",$K501="No",N($I501)=0),"COUNTED EVENT WITH NO MINUTES - dropped from the classroom cap","OK"))))))))))</f>
        <v/>
      </c>
    </row>
    <row r="502">
      <c r="B502" s="17">
        <f>IF($D502="","","A"&amp;TEXT(ROW()-5,"000"))</f>
        <v/>
      </c>
      <c r="C502" s="18" t="n"/>
      <c r="D502" s="16" t="n"/>
      <c r="E502" s="17">
        <f>IF($D502="","",IFERROR(INDEX(rngCadetPIDs,MATCH($D502,rngCadetNames,0)),"?"))</f>
        <v/>
      </c>
      <c r="F502" s="17">
        <f>IF($E502="","",IFERROR(INDEX(nrCadetAgency,MATCH($E502,rngCadetPIDs,0)),""))</f>
        <v/>
      </c>
      <c r="G502" s="16" t="n"/>
      <c r="H502" s="16" t="n"/>
      <c r="I502" s="16" t="n"/>
      <c r="J502" s="16" t="n"/>
      <c r="K502" s="17">
        <f>IF($G502="","",IF(OR($G502="PT Missed",$G502="PT Modified",$G502="PT Refused"),"Yes","No"))</f>
        <v/>
      </c>
      <c r="L502" s="16" t="n"/>
      <c r="M502" s="16" t="n"/>
      <c r="N502" s="17">
        <f>IF($D502="","",IF($M502="Excused","No",IF(AND($G502="PT Modified",$L502="Received"),"No","Yes")))</f>
        <v/>
      </c>
      <c r="O502" s="16" t="n"/>
      <c r="P502" s="17">
        <f>IF(OR($B502="",N($I502)=0),"",MIN(N($I502),SUMIFS(nrMK_Min,nrMK_Link,$B502,nrMK_Credit,"Yes",nrMK_PID,$E502,nrMK_Type,"Classroom")))</f>
        <v/>
      </c>
      <c r="Q502" s="17">
        <f>IF(OR($B502="",N($J502)=0),"",MIN(N($J502),SUMIFS(nrMK_Sess,nrMK_Link,$B502,nrMK_Credit,"Yes",nrMK_PID,$E502,nrMK_Type,"PT")))</f>
        <v/>
      </c>
      <c r="R502" s="17">
        <f>IF(OR($B502="",$N502&lt;&gt;"Yes"),"",IF($K502="Yes",IF(N($J502)&gt;0,N($J502)-N($Q502),""),IF(N($I502)&gt;0,N($I502)-N($P502),"")))</f>
        <v/>
      </c>
      <c r="S502" s="17">
        <f>IF(OR($B502="",$R502=""),"",IF($R502&lt;=0,IF(IFERROR(_xlfn.MAXIFS(nrMK_Date,nrMK_Link,$B502,nrMK_Credit,"Yes",nrMK_PID,$E502),0)=0,"CLEARED (makeup date missing)","CLEARED "&amp;TEXT(_xlfn.MAXIFS(nrMK_Date,nrMK_Link,$B502,nrMK_Credit,"Yes",nrMK_PID,$E502),"mm/dd")),"OPEN"))</f>
        <v/>
      </c>
      <c r="T502" s="17">
        <f>IF($D502="","",IF($C502="","NO DATE",IF($G502="","NO EVENT TYPE",IF(AND($I502&lt;&gt;"",NOT(ISNUMBER($I502))),"MINUTES NOT A NUMBER",IF(AND($J502&lt;&gt;"",NOT(ISNUMBER($J502))),"SESSIONS NOT A NUMBER",IF(OR(N($I502)&lt;0,N($J502)&lt;0),"NEGATIVE MINUTES/SESSIONS",IF(AND($K502="Yes",N($I502)&gt;0),"MINUTES ON A PT EVENT - not counted (PT counts sessions)",IF(AND($K502="No",N($J502)&gt;0),"SESSIONS ON A CLASSROOM EVENT - not counted (classroom counts minutes)",IF(AND($N502="Yes",$K502="Yes",N($J502)=0),"COUNTED PT EVENT WITH NO SESSIONS - dropped from the PT cap",IF(AND($N502="Yes",$K502="No",N($I502)=0),"COUNTED EVENT WITH NO MINUTES - dropped from the classroom cap","OK"))))))))))</f>
        <v/>
      </c>
    </row>
    <row r="503">
      <c r="B503" s="17">
        <f>IF($D503="","","A"&amp;TEXT(ROW()-5,"000"))</f>
        <v/>
      </c>
      <c r="C503" s="18" t="n"/>
      <c r="D503" s="16" t="n"/>
      <c r="E503" s="17">
        <f>IF($D503="","",IFERROR(INDEX(rngCadetPIDs,MATCH($D503,rngCadetNames,0)),"?"))</f>
        <v/>
      </c>
      <c r="F503" s="17">
        <f>IF($E503="","",IFERROR(INDEX(nrCadetAgency,MATCH($E503,rngCadetPIDs,0)),""))</f>
        <v/>
      </c>
      <c r="G503" s="16" t="n"/>
      <c r="H503" s="16" t="n"/>
      <c r="I503" s="16" t="n"/>
      <c r="J503" s="16" t="n"/>
      <c r="K503" s="17">
        <f>IF($G503="","",IF(OR($G503="PT Missed",$G503="PT Modified",$G503="PT Refused"),"Yes","No"))</f>
        <v/>
      </c>
      <c r="L503" s="16" t="n"/>
      <c r="M503" s="16" t="n"/>
      <c r="N503" s="17">
        <f>IF($D503="","",IF($M503="Excused","No",IF(AND($G503="PT Modified",$L503="Received"),"No","Yes")))</f>
        <v/>
      </c>
      <c r="O503" s="16" t="n"/>
      <c r="P503" s="17">
        <f>IF(OR($B503="",N($I503)=0),"",MIN(N($I503),SUMIFS(nrMK_Min,nrMK_Link,$B503,nrMK_Credit,"Yes",nrMK_PID,$E503,nrMK_Type,"Classroom")))</f>
        <v/>
      </c>
      <c r="Q503" s="17">
        <f>IF(OR($B503="",N($J503)=0),"",MIN(N($J503),SUMIFS(nrMK_Sess,nrMK_Link,$B503,nrMK_Credit,"Yes",nrMK_PID,$E503,nrMK_Type,"PT")))</f>
        <v/>
      </c>
      <c r="R503" s="17">
        <f>IF(OR($B503="",$N503&lt;&gt;"Yes"),"",IF($K503="Yes",IF(N($J503)&gt;0,N($J503)-N($Q503),""),IF(N($I503)&gt;0,N($I503)-N($P503),"")))</f>
        <v/>
      </c>
      <c r="S503" s="17">
        <f>IF(OR($B503="",$R503=""),"",IF($R503&lt;=0,IF(IFERROR(_xlfn.MAXIFS(nrMK_Date,nrMK_Link,$B503,nrMK_Credit,"Yes",nrMK_PID,$E503),0)=0,"CLEARED (makeup date missing)","CLEARED "&amp;TEXT(_xlfn.MAXIFS(nrMK_Date,nrMK_Link,$B503,nrMK_Credit,"Yes",nrMK_PID,$E503),"mm/dd")),"OPEN"))</f>
        <v/>
      </c>
      <c r="T503" s="17">
        <f>IF($D503="","",IF($C503="","NO DATE",IF($G503="","NO EVENT TYPE",IF(AND($I503&lt;&gt;"",NOT(ISNUMBER($I503))),"MINUTES NOT A NUMBER",IF(AND($J503&lt;&gt;"",NOT(ISNUMBER($J503))),"SESSIONS NOT A NUMBER",IF(OR(N($I503)&lt;0,N($J503)&lt;0),"NEGATIVE MINUTES/SESSIONS",IF(AND($K503="Yes",N($I503)&gt;0),"MINUTES ON A PT EVENT - not counted (PT counts sessions)",IF(AND($K503="No",N($J503)&gt;0),"SESSIONS ON A CLASSROOM EVENT - not counted (classroom counts minutes)",IF(AND($N503="Yes",$K503="Yes",N($J503)=0),"COUNTED PT EVENT WITH NO SESSIONS - dropped from the PT cap",IF(AND($N503="Yes",$K503="No",N($I503)=0),"COUNTED EVENT WITH NO MINUTES - dropped from the classroom cap","OK"))))))))))</f>
        <v/>
      </c>
    </row>
    <row r="504">
      <c r="B504" s="17">
        <f>IF($D504="","","A"&amp;TEXT(ROW()-5,"000"))</f>
        <v/>
      </c>
      <c r="C504" s="18" t="n"/>
      <c r="D504" s="16" t="n"/>
      <c r="E504" s="17">
        <f>IF($D504="","",IFERROR(INDEX(rngCadetPIDs,MATCH($D504,rngCadetNames,0)),"?"))</f>
        <v/>
      </c>
      <c r="F504" s="17">
        <f>IF($E504="","",IFERROR(INDEX(nrCadetAgency,MATCH($E504,rngCadetPIDs,0)),""))</f>
        <v/>
      </c>
      <c r="G504" s="16" t="n"/>
      <c r="H504" s="16" t="n"/>
      <c r="I504" s="16" t="n"/>
      <c r="J504" s="16" t="n"/>
      <c r="K504" s="17">
        <f>IF($G504="","",IF(OR($G504="PT Missed",$G504="PT Modified",$G504="PT Refused"),"Yes","No"))</f>
        <v/>
      </c>
      <c r="L504" s="16" t="n"/>
      <c r="M504" s="16" t="n"/>
      <c r="N504" s="17">
        <f>IF($D504="","",IF($M504="Excused","No",IF(AND($G504="PT Modified",$L504="Received"),"No","Yes")))</f>
        <v/>
      </c>
      <c r="O504" s="16" t="n"/>
      <c r="P504" s="17">
        <f>IF(OR($B504="",N($I504)=0),"",MIN(N($I504),SUMIFS(nrMK_Min,nrMK_Link,$B504,nrMK_Credit,"Yes",nrMK_PID,$E504,nrMK_Type,"Classroom")))</f>
        <v/>
      </c>
      <c r="Q504" s="17">
        <f>IF(OR($B504="",N($J504)=0),"",MIN(N($J504),SUMIFS(nrMK_Sess,nrMK_Link,$B504,nrMK_Credit,"Yes",nrMK_PID,$E504,nrMK_Type,"PT")))</f>
        <v/>
      </c>
      <c r="R504" s="17">
        <f>IF(OR($B504="",$N504&lt;&gt;"Yes"),"",IF($K504="Yes",IF(N($J504)&gt;0,N($J504)-N($Q504),""),IF(N($I504)&gt;0,N($I504)-N($P504),"")))</f>
        <v/>
      </c>
      <c r="S504" s="17">
        <f>IF(OR($B504="",$R504=""),"",IF($R504&lt;=0,IF(IFERROR(_xlfn.MAXIFS(nrMK_Date,nrMK_Link,$B504,nrMK_Credit,"Yes",nrMK_PID,$E504),0)=0,"CLEARED (makeup date missing)","CLEARED "&amp;TEXT(_xlfn.MAXIFS(nrMK_Date,nrMK_Link,$B504,nrMK_Credit,"Yes",nrMK_PID,$E504),"mm/dd")),"OPEN"))</f>
        <v/>
      </c>
      <c r="T504" s="17">
        <f>IF($D504="","",IF($C504="","NO DATE",IF($G504="","NO EVENT TYPE",IF(AND($I504&lt;&gt;"",NOT(ISNUMBER($I504))),"MINUTES NOT A NUMBER",IF(AND($J504&lt;&gt;"",NOT(ISNUMBER($J504))),"SESSIONS NOT A NUMBER",IF(OR(N($I504)&lt;0,N($J504)&lt;0),"NEGATIVE MINUTES/SESSIONS",IF(AND($K504="Yes",N($I504)&gt;0),"MINUTES ON A PT EVENT - not counted (PT counts sessions)",IF(AND($K504="No",N($J504)&gt;0),"SESSIONS ON A CLASSROOM EVENT - not counted (classroom counts minutes)",IF(AND($N504="Yes",$K504="Yes",N($J504)=0),"COUNTED PT EVENT WITH NO SESSIONS - dropped from the PT cap",IF(AND($N504="Yes",$K504="No",N($I504)=0),"COUNTED EVENT WITH NO MINUTES - dropped from the classroom cap","OK"))))))))))</f>
        <v/>
      </c>
    </row>
    <row r="505">
      <c r="B505" s="17">
        <f>IF($D505="","","A"&amp;TEXT(ROW()-5,"000"))</f>
        <v/>
      </c>
      <c r="C505" s="18" t="n"/>
      <c r="D505" s="16" t="n"/>
      <c r="E505" s="17">
        <f>IF($D505="","",IFERROR(INDEX(rngCadetPIDs,MATCH($D505,rngCadetNames,0)),"?"))</f>
        <v/>
      </c>
      <c r="F505" s="17">
        <f>IF($E505="","",IFERROR(INDEX(nrCadetAgency,MATCH($E505,rngCadetPIDs,0)),""))</f>
        <v/>
      </c>
      <c r="G505" s="16" t="n"/>
      <c r="H505" s="16" t="n"/>
      <c r="I505" s="16" t="n"/>
      <c r="J505" s="16" t="n"/>
      <c r="K505" s="17">
        <f>IF($G505="","",IF(OR($G505="PT Missed",$G505="PT Modified",$G505="PT Refused"),"Yes","No"))</f>
        <v/>
      </c>
      <c r="L505" s="16" t="n"/>
      <c r="M505" s="16" t="n"/>
      <c r="N505" s="17">
        <f>IF($D505="","",IF($M505="Excused","No",IF(AND($G505="PT Modified",$L505="Received"),"No","Yes")))</f>
        <v/>
      </c>
      <c r="O505" s="16" t="n"/>
      <c r="P505" s="17">
        <f>IF(OR($B505="",N($I505)=0),"",MIN(N($I505),SUMIFS(nrMK_Min,nrMK_Link,$B505,nrMK_Credit,"Yes",nrMK_PID,$E505,nrMK_Type,"Classroom")))</f>
        <v/>
      </c>
      <c r="Q505" s="17">
        <f>IF(OR($B505="",N($J505)=0),"",MIN(N($J505),SUMIFS(nrMK_Sess,nrMK_Link,$B505,nrMK_Credit,"Yes",nrMK_PID,$E505,nrMK_Type,"PT")))</f>
        <v/>
      </c>
      <c r="R505" s="17">
        <f>IF(OR($B505="",$N505&lt;&gt;"Yes"),"",IF($K505="Yes",IF(N($J505)&gt;0,N($J505)-N($Q505),""),IF(N($I505)&gt;0,N($I505)-N($P505),"")))</f>
        <v/>
      </c>
      <c r="S505" s="17">
        <f>IF(OR($B505="",$R505=""),"",IF($R505&lt;=0,IF(IFERROR(_xlfn.MAXIFS(nrMK_Date,nrMK_Link,$B505,nrMK_Credit,"Yes",nrMK_PID,$E505),0)=0,"CLEARED (makeup date missing)","CLEARED "&amp;TEXT(_xlfn.MAXIFS(nrMK_Date,nrMK_Link,$B505,nrMK_Credit,"Yes",nrMK_PID,$E505),"mm/dd")),"OPEN"))</f>
        <v/>
      </c>
      <c r="T505" s="17">
        <f>IF($D505="","",IF($C505="","NO DATE",IF($G505="","NO EVENT TYPE",IF(AND($I505&lt;&gt;"",NOT(ISNUMBER($I505))),"MINUTES NOT A NUMBER",IF(AND($J505&lt;&gt;"",NOT(ISNUMBER($J505))),"SESSIONS NOT A NUMBER",IF(OR(N($I505)&lt;0,N($J505)&lt;0),"NEGATIVE MINUTES/SESSIONS",IF(AND($K505="Yes",N($I505)&gt;0),"MINUTES ON A PT EVENT - not counted (PT counts sessions)",IF(AND($K505="No",N($J505)&gt;0),"SESSIONS ON A CLASSROOM EVENT - not counted (classroom counts minutes)",IF(AND($N505="Yes",$K505="Yes",N($J505)=0),"COUNTED PT EVENT WITH NO SESSIONS - dropped from the PT cap",IF(AND($N505="Yes",$K505="No",N($I505)=0),"COUNTED EVENT WITH NO MINUTES - dropped from the classroom cap","OK"))))))))))</f>
        <v/>
      </c>
    </row>
    <row r="506">
      <c r="B506" s="17">
        <f>IF($D506="","","A"&amp;TEXT(ROW()-5,"000"))</f>
        <v/>
      </c>
      <c r="C506" s="18" t="n"/>
      <c r="D506" s="16" t="n"/>
      <c r="E506" s="17">
        <f>IF($D506="","",IFERROR(INDEX(rngCadetPIDs,MATCH($D506,rngCadetNames,0)),"?"))</f>
        <v/>
      </c>
      <c r="F506" s="17">
        <f>IF($E506="","",IFERROR(INDEX(nrCadetAgency,MATCH($E506,rngCadetPIDs,0)),""))</f>
        <v/>
      </c>
      <c r="G506" s="16" t="n"/>
      <c r="H506" s="16" t="n"/>
      <c r="I506" s="16" t="n"/>
      <c r="J506" s="16" t="n"/>
      <c r="K506" s="17">
        <f>IF($G506="","",IF(OR($G506="PT Missed",$G506="PT Modified",$G506="PT Refused"),"Yes","No"))</f>
        <v/>
      </c>
      <c r="L506" s="16" t="n"/>
      <c r="M506" s="16" t="n"/>
      <c r="N506" s="17">
        <f>IF($D506="","",IF($M506="Excused","No",IF(AND($G506="PT Modified",$L506="Received"),"No","Yes")))</f>
        <v/>
      </c>
      <c r="O506" s="16" t="n"/>
      <c r="P506" s="17">
        <f>IF(OR($B506="",N($I506)=0),"",MIN(N($I506),SUMIFS(nrMK_Min,nrMK_Link,$B506,nrMK_Credit,"Yes",nrMK_PID,$E506,nrMK_Type,"Classroom")))</f>
        <v/>
      </c>
      <c r="Q506" s="17">
        <f>IF(OR($B506="",N($J506)=0),"",MIN(N($J506),SUMIFS(nrMK_Sess,nrMK_Link,$B506,nrMK_Credit,"Yes",nrMK_PID,$E506,nrMK_Type,"PT")))</f>
        <v/>
      </c>
      <c r="R506" s="17">
        <f>IF(OR($B506="",$N506&lt;&gt;"Yes"),"",IF($K506="Yes",IF(N($J506)&gt;0,N($J506)-N($Q506),""),IF(N($I506)&gt;0,N($I506)-N($P506),"")))</f>
        <v/>
      </c>
      <c r="S506" s="17">
        <f>IF(OR($B506="",$R506=""),"",IF($R506&lt;=0,IF(IFERROR(_xlfn.MAXIFS(nrMK_Date,nrMK_Link,$B506,nrMK_Credit,"Yes",nrMK_PID,$E506),0)=0,"CLEARED (makeup date missing)","CLEARED "&amp;TEXT(_xlfn.MAXIFS(nrMK_Date,nrMK_Link,$B506,nrMK_Credit,"Yes",nrMK_PID,$E506),"mm/dd")),"OPEN"))</f>
        <v/>
      </c>
      <c r="T506" s="17">
        <f>IF($D506="","",IF($C506="","NO DATE",IF($G506="","NO EVENT TYPE",IF(AND($I506&lt;&gt;"",NOT(ISNUMBER($I506))),"MINUTES NOT A NUMBER",IF(AND($J506&lt;&gt;"",NOT(ISNUMBER($J506))),"SESSIONS NOT A NUMBER",IF(OR(N($I506)&lt;0,N($J506)&lt;0),"NEGATIVE MINUTES/SESSIONS",IF(AND($K506="Yes",N($I506)&gt;0),"MINUTES ON A PT EVENT - not counted (PT counts sessions)",IF(AND($K506="No",N($J506)&gt;0),"SESSIONS ON A CLASSROOM EVENT - not counted (classroom counts minutes)",IF(AND($N506="Yes",$K506="Yes",N($J506)=0),"COUNTED PT EVENT WITH NO SESSIONS - dropped from the PT cap",IF(AND($N506="Yes",$K506="No",N($I506)=0),"COUNTED EVENT WITH NO MINUTES - dropped from the classroom cap","OK"))))))))))</f>
        <v/>
      </c>
    </row>
    <row r="507">
      <c r="B507" s="17">
        <f>IF($D507="","","A"&amp;TEXT(ROW()-5,"000"))</f>
        <v/>
      </c>
      <c r="C507" s="18" t="n"/>
      <c r="D507" s="16" t="n"/>
      <c r="E507" s="17">
        <f>IF($D507="","",IFERROR(INDEX(rngCadetPIDs,MATCH($D507,rngCadetNames,0)),"?"))</f>
        <v/>
      </c>
      <c r="F507" s="17">
        <f>IF($E507="","",IFERROR(INDEX(nrCadetAgency,MATCH($E507,rngCadetPIDs,0)),""))</f>
        <v/>
      </c>
      <c r="G507" s="16" t="n"/>
      <c r="H507" s="16" t="n"/>
      <c r="I507" s="16" t="n"/>
      <c r="J507" s="16" t="n"/>
      <c r="K507" s="17">
        <f>IF($G507="","",IF(OR($G507="PT Missed",$G507="PT Modified",$G507="PT Refused"),"Yes","No"))</f>
        <v/>
      </c>
      <c r="L507" s="16" t="n"/>
      <c r="M507" s="16" t="n"/>
      <c r="N507" s="17">
        <f>IF($D507="","",IF($M507="Excused","No",IF(AND($G507="PT Modified",$L507="Received"),"No","Yes")))</f>
        <v/>
      </c>
      <c r="O507" s="16" t="n"/>
      <c r="P507" s="17">
        <f>IF(OR($B507="",N($I507)=0),"",MIN(N($I507),SUMIFS(nrMK_Min,nrMK_Link,$B507,nrMK_Credit,"Yes",nrMK_PID,$E507,nrMK_Type,"Classroom")))</f>
        <v/>
      </c>
      <c r="Q507" s="17">
        <f>IF(OR($B507="",N($J507)=0),"",MIN(N($J507),SUMIFS(nrMK_Sess,nrMK_Link,$B507,nrMK_Credit,"Yes",nrMK_PID,$E507,nrMK_Type,"PT")))</f>
        <v/>
      </c>
      <c r="R507" s="17">
        <f>IF(OR($B507="",$N507&lt;&gt;"Yes"),"",IF($K507="Yes",IF(N($J507)&gt;0,N($J507)-N($Q507),""),IF(N($I507)&gt;0,N($I507)-N($P507),"")))</f>
        <v/>
      </c>
      <c r="S507" s="17">
        <f>IF(OR($B507="",$R507=""),"",IF($R507&lt;=0,IF(IFERROR(_xlfn.MAXIFS(nrMK_Date,nrMK_Link,$B507,nrMK_Credit,"Yes",nrMK_PID,$E507),0)=0,"CLEARED (makeup date missing)","CLEARED "&amp;TEXT(_xlfn.MAXIFS(nrMK_Date,nrMK_Link,$B507,nrMK_Credit,"Yes",nrMK_PID,$E507),"mm/dd")),"OPEN"))</f>
        <v/>
      </c>
      <c r="T507" s="17">
        <f>IF($D507="","",IF($C507="","NO DATE",IF($G507="","NO EVENT TYPE",IF(AND($I507&lt;&gt;"",NOT(ISNUMBER($I507))),"MINUTES NOT A NUMBER",IF(AND($J507&lt;&gt;"",NOT(ISNUMBER($J507))),"SESSIONS NOT A NUMBER",IF(OR(N($I507)&lt;0,N($J507)&lt;0),"NEGATIVE MINUTES/SESSIONS",IF(AND($K507="Yes",N($I507)&gt;0),"MINUTES ON A PT EVENT - not counted (PT counts sessions)",IF(AND($K507="No",N($J507)&gt;0),"SESSIONS ON A CLASSROOM EVENT - not counted (classroom counts minutes)",IF(AND($N507="Yes",$K507="Yes",N($J507)=0),"COUNTED PT EVENT WITH NO SESSIONS - dropped from the PT cap",IF(AND($N507="Yes",$K507="No",N($I507)=0),"COUNTED EVENT WITH NO MINUTES - dropped from the classroom cap","OK"))))))))))</f>
        <v/>
      </c>
    </row>
    <row r="508">
      <c r="B508" s="17">
        <f>IF($D508="","","A"&amp;TEXT(ROW()-5,"000"))</f>
        <v/>
      </c>
      <c r="C508" s="18" t="n"/>
      <c r="D508" s="16" t="n"/>
      <c r="E508" s="17">
        <f>IF($D508="","",IFERROR(INDEX(rngCadetPIDs,MATCH($D508,rngCadetNames,0)),"?"))</f>
        <v/>
      </c>
      <c r="F508" s="17">
        <f>IF($E508="","",IFERROR(INDEX(nrCadetAgency,MATCH($E508,rngCadetPIDs,0)),""))</f>
        <v/>
      </c>
      <c r="G508" s="16" t="n"/>
      <c r="H508" s="16" t="n"/>
      <c r="I508" s="16" t="n"/>
      <c r="J508" s="16" t="n"/>
      <c r="K508" s="17">
        <f>IF($G508="","",IF(OR($G508="PT Missed",$G508="PT Modified",$G508="PT Refused"),"Yes","No"))</f>
        <v/>
      </c>
      <c r="L508" s="16" t="n"/>
      <c r="M508" s="16" t="n"/>
      <c r="N508" s="17">
        <f>IF($D508="","",IF($M508="Excused","No",IF(AND($G508="PT Modified",$L508="Received"),"No","Yes")))</f>
        <v/>
      </c>
      <c r="O508" s="16" t="n"/>
      <c r="P508" s="17">
        <f>IF(OR($B508="",N($I508)=0),"",MIN(N($I508),SUMIFS(nrMK_Min,nrMK_Link,$B508,nrMK_Credit,"Yes",nrMK_PID,$E508,nrMK_Type,"Classroom")))</f>
        <v/>
      </c>
      <c r="Q508" s="17">
        <f>IF(OR($B508="",N($J508)=0),"",MIN(N($J508),SUMIFS(nrMK_Sess,nrMK_Link,$B508,nrMK_Credit,"Yes",nrMK_PID,$E508,nrMK_Type,"PT")))</f>
        <v/>
      </c>
      <c r="R508" s="17">
        <f>IF(OR($B508="",$N508&lt;&gt;"Yes"),"",IF($K508="Yes",IF(N($J508)&gt;0,N($J508)-N($Q508),""),IF(N($I508)&gt;0,N($I508)-N($P508),"")))</f>
        <v/>
      </c>
      <c r="S508" s="17">
        <f>IF(OR($B508="",$R508=""),"",IF($R508&lt;=0,IF(IFERROR(_xlfn.MAXIFS(nrMK_Date,nrMK_Link,$B508,nrMK_Credit,"Yes",nrMK_PID,$E508),0)=0,"CLEARED (makeup date missing)","CLEARED "&amp;TEXT(_xlfn.MAXIFS(nrMK_Date,nrMK_Link,$B508,nrMK_Credit,"Yes",nrMK_PID,$E508),"mm/dd")),"OPEN"))</f>
        <v/>
      </c>
      <c r="T508" s="17">
        <f>IF($D508="","",IF($C508="","NO DATE",IF($G508="","NO EVENT TYPE",IF(AND($I508&lt;&gt;"",NOT(ISNUMBER($I508))),"MINUTES NOT A NUMBER",IF(AND($J508&lt;&gt;"",NOT(ISNUMBER($J508))),"SESSIONS NOT A NUMBER",IF(OR(N($I508)&lt;0,N($J508)&lt;0),"NEGATIVE MINUTES/SESSIONS",IF(AND($K508="Yes",N($I508)&gt;0),"MINUTES ON A PT EVENT - not counted (PT counts sessions)",IF(AND($K508="No",N($J508)&gt;0),"SESSIONS ON A CLASSROOM EVENT - not counted (classroom counts minutes)",IF(AND($N508="Yes",$K508="Yes",N($J508)=0),"COUNTED PT EVENT WITH NO SESSIONS - dropped from the PT cap",IF(AND($N508="Yes",$K508="No",N($I508)=0),"COUNTED EVENT WITH NO MINUTES - dropped from the classroom cap","OK"))))))))))</f>
        <v/>
      </c>
    </row>
    <row r="509">
      <c r="B509" s="17">
        <f>IF($D509="","","A"&amp;TEXT(ROW()-5,"000"))</f>
        <v/>
      </c>
      <c r="C509" s="18" t="n"/>
      <c r="D509" s="16" t="n"/>
      <c r="E509" s="17">
        <f>IF($D509="","",IFERROR(INDEX(rngCadetPIDs,MATCH($D509,rngCadetNames,0)),"?"))</f>
        <v/>
      </c>
      <c r="F509" s="17">
        <f>IF($E509="","",IFERROR(INDEX(nrCadetAgency,MATCH($E509,rngCadetPIDs,0)),""))</f>
        <v/>
      </c>
      <c r="G509" s="16" t="n"/>
      <c r="H509" s="16" t="n"/>
      <c r="I509" s="16" t="n"/>
      <c r="J509" s="16" t="n"/>
      <c r="K509" s="17">
        <f>IF($G509="","",IF(OR($G509="PT Missed",$G509="PT Modified",$G509="PT Refused"),"Yes","No"))</f>
        <v/>
      </c>
      <c r="L509" s="16" t="n"/>
      <c r="M509" s="16" t="n"/>
      <c r="N509" s="17">
        <f>IF($D509="","",IF($M509="Excused","No",IF(AND($G509="PT Modified",$L509="Received"),"No","Yes")))</f>
        <v/>
      </c>
      <c r="O509" s="16" t="n"/>
      <c r="P509" s="17">
        <f>IF(OR($B509="",N($I509)=0),"",MIN(N($I509),SUMIFS(nrMK_Min,nrMK_Link,$B509,nrMK_Credit,"Yes",nrMK_PID,$E509,nrMK_Type,"Classroom")))</f>
        <v/>
      </c>
      <c r="Q509" s="17">
        <f>IF(OR($B509="",N($J509)=0),"",MIN(N($J509),SUMIFS(nrMK_Sess,nrMK_Link,$B509,nrMK_Credit,"Yes",nrMK_PID,$E509,nrMK_Type,"PT")))</f>
        <v/>
      </c>
      <c r="R509" s="17">
        <f>IF(OR($B509="",$N509&lt;&gt;"Yes"),"",IF($K509="Yes",IF(N($J509)&gt;0,N($J509)-N($Q509),""),IF(N($I509)&gt;0,N($I509)-N($P509),"")))</f>
        <v/>
      </c>
      <c r="S509" s="17">
        <f>IF(OR($B509="",$R509=""),"",IF($R509&lt;=0,IF(IFERROR(_xlfn.MAXIFS(nrMK_Date,nrMK_Link,$B509,nrMK_Credit,"Yes",nrMK_PID,$E509),0)=0,"CLEARED (makeup date missing)","CLEARED "&amp;TEXT(_xlfn.MAXIFS(nrMK_Date,nrMK_Link,$B509,nrMK_Credit,"Yes",nrMK_PID,$E509),"mm/dd")),"OPEN"))</f>
        <v/>
      </c>
      <c r="T509" s="17">
        <f>IF($D509="","",IF($C509="","NO DATE",IF($G509="","NO EVENT TYPE",IF(AND($I509&lt;&gt;"",NOT(ISNUMBER($I509))),"MINUTES NOT A NUMBER",IF(AND($J509&lt;&gt;"",NOT(ISNUMBER($J509))),"SESSIONS NOT A NUMBER",IF(OR(N($I509)&lt;0,N($J509)&lt;0),"NEGATIVE MINUTES/SESSIONS",IF(AND($K509="Yes",N($I509)&gt;0),"MINUTES ON A PT EVENT - not counted (PT counts sessions)",IF(AND($K509="No",N($J509)&gt;0),"SESSIONS ON A CLASSROOM EVENT - not counted (classroom counts minutes)",IF(AND($N509="Yes",$K509="Yes",N($J509)=0),"COUNTED PT EVENT WITH NO SESSIONS - dropped from the PT cap",IF(AND($N509="Yes",$K509="No",N($I509)=0),"COUNTED EVENT WITH NO MINUTES - dropped from the classroom cap","OK"))))))))))</f>
        <v/>
      </c>
    </row>
    <row r="510">
      <c r="B510" s="17">
        <f>IF($D510="","","A"&amp;TEXT(ROW()-5,"000"))</f>
        <v/>
      </c>
      <c r="C510" s="18" t="n"/>
      <c r="D510" s="16" t="n"/>
      <c r="E510" s="17">
        <f>IF($D510="","",IFERROR(INDEX(rngCadetPIDs,MATCH($D510,rngCadetNames,0)),"?"))</f>
        <v/>
      </c>
      <c r="F510" s="17">
        <f>IF($E510="","",IFERROR(INDEX(nrCadetAgency,MATCH($E510,rngCadetPIDs,0)),""))</f>
        <v/>
      </c>
      <c r="G510" s="16" t="n"/>
      <c r="H510" s="16" t="n"/>
      <c r="I510" s="16" t="n"/>
      <c r="J510" s="16" t="n"/>
      <c r="K510" s="17">
        <f>IF($G510="","",IF(OR($G510="PT Missed",$G510="PT Modified",$G510="PT Refused"),"Yes","No"))</f>
        <v/>
      </c>
      <c r="L510" s="16" t="n"/>
      <c r="M510" s="16" t="n"/>
      <c r="N510" s="17">
        <f>IF($D510="","",IF($M510="Excused","No",IF(AND($G510="PT Modified",$L510="Received"),"No","Yes")))</f>
        <v/>
      </c>
      <c r="O510" s="16" t="n"/>
      <c r="P510" s="17">
        <f>IF(OR($B510="",N($I510)=0),"",MIN(N($I510),SUMIFS(nrMK_Min,nrMK_Link,$B510,nrMK_Credit,"Yes",nrMK_PID,$E510,nrMK_Type,"Classroom")))</f>
        <v/>
      </c>
      <c r="Q510" s="17">
        <f>IF(OR($B510="",N($J510)=0),"",MIN(N($J510),SUMIFS(nrMK_Sess,nrMK_Link,$B510,nrMK_Credit,"Yes",nrMK_PID,$E510,nrMK_Type,"PT")))</f>
        <v/>
      </c>
      <c r="R510" s="17">
        <f>IF(OR($B510="",$N510&lt;&gt;"Yes"),"",IF($K510="Yes",IF(N($J510)&gt;0,N($J510)-N($Q510),""),IF(N($I510)&gt;0,N($I510)-N($P510),"")))</f>
        <v/>
      </c>
      <c r="S510" s="17">
        <f>IF(OR($B510="",$R510=""),"",IF($R510&lt;=0,IF(IFERROR(_xlfn.MAXIFS(nrMK_Date,nrMK_Link,$B510,nrMK_Credit,"Yes",nrMK_PID,$E510),0)=0,"CLEARED (makeup date missing)","CLEARED "&amp;TEXT(_xlfn.MAXIFS(nrMK_Date,nrMK_Link,$B510,nrMK_Credit,"Yes",nrMK_PID,$E510),"mm/dd")),"OPEN"))</f>
        <v/>
      </c>
      <c r="T510" s="17">
        <f>IF($D510="","",IF($C510="","NO DATE",IF($G510="","NO EVENT TYPE",IF(AND($I510&lt;&gt;"",NOT(ISNUMBER($I510))),"MINUTES NOT A NUMBER",IF(AND($J510&lt;&gt;"",NOT(ISNUMBER($J510))),"SESSIONS NOT A NUMBER",IF(OR(N($I510)&lt;0,N($J510)&lt;0),"NEGATIVE MINUTES/SESSIONS",IF(AND($K510="Yes",N($I510)&gt;0),"MINUTES ON A PT EVENT - not counted (PT counts sessions)",IF(AND($K510="No",N($J510)&gt;0),"SESSIONS ON A CLASSROOM EVENT - not counted (classroom counts minutes)",IF(AND($N510="Yes",$K510="Yes",N($J510)=0),"COUNTED PT EVENT WITH NO SESSIONS - dropped from the PT cap",IF(AND($N510="Yes",$K510="No",N($I510)=0),"COUNTED EVENT WITH NO MINUTES - dropped from the classroom cap","OK"))))))))))</f>
        <v/>
      </c>
    </row>
    <row r="511">
      <c r="B511" s="17">
        <f>IF($D511="","","A"&amp;TEXT(ROW()-5,"000"))</f>
        <v/>
      </c>
      <c r="C511" s="18" t="n"/>
      <c r="D511" s="16" t="n"/>
      <c r="E511" s="17">
        <f>IF($D511="","",IFERROR(INDEX(rngCadetPIDs,MATCH($D511,rngCadetNames,0)),"?"))</f>
        <v/>
      </c>
      <c r="F511" s="17">
        <f>IF($E511="","",IFERROR(INDEX(nrCadetAgency,MATCH($E511,rngCadetPIDs,0)),""))</f>
        <v/>
      </c>
      <c r="G511" s="16" t="n"/>
      <c r="H511" s="16" t="n"/>
      <c r="I511" s="16" t="n"/>
      <c r="J511" s="16" t="n"/>
      <c r="K511" s="17">
        <f>IF($G511="","",IF(OR($G511="PT Missed",$G511="PT Modified",$G511="PT Refused"),"Yes","No"))</f>
        <v/>
      </c>
      <c r="L511" s="16" t="n"/>
      <c r="M511" s="16" t="n"/>
      <c r="N511" s="17">
        <f>IF($D511="","",IF($M511="Excused","No",IF(AND($G511="PT Modified",$L511="Received"),"No","Yes")))</f>
        <v/>
      </c>
      <c r="O511" s="16" t="n"/>
      <c r="P511" s="17">
        <f>IF(OR($B511="",N($I511)=0),"",MIN(N($I511),SUMIFS(nrMK_Min,nrMK_Link,$B511,nrMK_Credit,"Yes",nrMK_PID,$E511,nrMK_Type,"Classroom")))</f>
        <v/>
      </c>
      <c r="Q511" s="17">
        <f>IF(OR($B511="",N($J511)=0),"",MIN(N($J511),SUMIFS(nrMK_Sess,nrMK_Link,$B511,nrMK_Credit,"Yes",nrMK_PID,$E511,nrMK_Type,"PT")))</f>
        <v/>
      </c>
      <c r="R511" s="17">
        <f>IF(OR($B511="",$N511&lt;&gt;"Yes"),"",IF($K511="Yes",IF(N($J511)&gt;0,N($J511)-N($Q511),""),IF(N($I511)&gt;0,N($I511)-N($P511),"")))</f>
        <v/>
      </c>
      <c r="S511" s="17">
        <f>IF(OR($B511="",$R511=""),"",IF($R511&lt;=0,IF(IFERROR(_xlfn.MAXIFS(nrMK_Date,nrMK_Link,$B511,nrMK_Credit,"Yes",nrMK_PID,$E511),0)=0,"CLEARED (makeup date missing)","CLEARED "&amp;TEXT(_xlfn.MAXIFS(nrMK_Date,nrMK_Link,$B511,nrMK_Credit,"Yes",nrMK_PID,$E511),"mm/dd")),"OPEN"))</f>
        <v/>
      </c>
      <c r="T511" s="17">
        <f>IF($D511="","",IF($C511="","NO DATE",IF($G511="","NO EVENT TYPE",IF(AND($I511&lt;&gt;"",NOT(ISNUMBER($I511))),"MINUTES NOT A NUMBER",IF(AND($J511&lt;&gt;"",NOT(ISNUMBER($J511))),"SESSIONS NOT A NUMBER",IF(OR(N($I511)&lt;0,N($J511)&lt;0),"NEGATIVE MINUTES/SESSIONS",IF(AND($K511="Yes",N($I511)&gt;0),"MINUTES ON A PT EVENT - not counted (PT counts sessions)",IF(AND($K511="No",N($J511)&gt;0),"SESSIONS ON A CLASSROOM EVENT - not counted (classroom counts minutes)",IF(AND($N511="Yes",$K511="Yes",N($J511)=0),"COUNTED PT EVENT WITH NO SESSIONS - dropped from the PT cap",IF(AND($N511="Yes",$K511="No",N($I511)=0),"COUNTED EVENT WITH NO MINUTES - dropped from the classroom cap","OK"))))))))))</f>
        <v/>
      </c>
    </row>
    <row r="512">
      <c r="B512" s="17">
        <f>IF($D512="","","A"&amp;TEXT(ROW()-5,"000"))</f>
        <v/>
      </c>
      <c r="C512" s="18" t="n"/>
      <c r="D512" s="16" t="n"/>
      <c r="E512" s="17">
        <f>IF($D512="","",IFERROR(INDEX(rngCadetPIDs,MATCH($D512,rngCadetNames,0)),"?"))</f>
        <v/>
      </c>
      <c r="F512" s="17">
        <f>IF($E512="","",IFERROR(INDEX(nrCadetAgency,MATCH($E512,rngCadetPIDs,0)),""))</f>
        <v/>
      </c>
      <c r="G512" s="16" t="n"/>
      <c r="H512" s="16" t="n"/>
      <c r="I512" s="16" t="n"/>
      <c r="J512" s="16" t="n"/>
      <c r="K512" s="17">
        <f>IF($G512="","",IF(OR($G512="PT Missed",$G512="PT Modified",$G512="PT Refused"),"Yes","No"))</f>
        <v/>
      </c>
      <c r="L512" s="16" t="n"/>
      <c r="M512" s="16" t="n"/>
      <c r="N512" s="17">
        <f>IF($D512="","",IF($M512="Excused","No",IF(AND($G512="PT Modified",$L512="Received"),"No","Yes")))</f>
        <v/>
      </c>
      <c r="O512" s="16" t="n"/>
      <c r="P512" s="17">
        <f>IF(OR($B512="",N($I512)=0),"",MIN(N($I512),SUMIFS(nrMK_Min,nrMK_Link,$B512,nrMK_Credit,"Yes",nrMK_PID,$E512,nrMK_Type,"Classroom")))</f>
        <v/>
      </c>
      <c r="Q512" s="17">
        <f>IF(OR($B512="",N($J512)=0),"",MIN(N($J512),SUMIFS(nrMK_Sess,nrMK_Link,$B512,nrMK_Credit,"Yes",nrMK_PID,$E512,nrMK_Type,"PT")))</f>
        <v/>
      </c>
      <c r="R512" s="17">
        <f>IF(OR($B512="",$N512&lt;&gt;"Yes"),"",IF($K512="Yes",IF(N($J512)&gt;0,N($J512)-N($Q512),""),IF(N($I512)&gt;0,N($I512)-N($P512),"")))</f>
        <v/>
      </c>
      <c r="S512" s="17">
        <f>IF(OR($B512="",$R512=""),"",IF($R512&lt;=0,IF(IFERROR(_xlfn.MAXIFS(nrMK_Date,nrMK_Link,$B512,nrMK_Credit,"Yes",nrMK_PID,$E512),0)=0,"CLEARED (makeup date missing)","CLEARED "&amp;TEXT(_xlfn.MAXIFS(nrMK_Date,nrMK_Link,$B512,nrMK_Credit,"Yes",nrMK_PID,$E512),"mm/dd")),"OPEN"))</f>
        <v/>
      </c>
      <c r="T512" s="17">
        <f>IF($D512="","",IF($C512="","NO DATE",IF($G512="","NO EVENT TYPE",IF(AND($I512&lt;&gt;"",NOT(ISNUMBER($I512))),"MINUTES NOT A NUMBER",IF(AND($J512&lt;&gt;"",NOT(ISNUMBER($J512))),"SESSIONS NOT A NUMBER",IF(OR(N($I512)&lt;0,N($J512)&lt;0),"NEGATIVE MINUTES/SESSIONS",IF(AND($K512="Yes",N($I512)&gt;0),"MINUTES ON A PT EVENT - not counted (PT counts sessions)",IF(AND($K512="No",N($J512)&gt;0),"SESSIONS ON A CLASSROOM EVENT - not counted (classroom counts minutes)",IF(AND($N512="Yes",$K512="Yes",N($J512)=0),"COUNTED PT EVENT WITH NO SESSIONS - dropped from the PT cap",IF(AND($N512="Yes",$K512="No",N($I512)=0),"COUNTED EVENT WITH NO MINUTES - dropped from the classroom cap","OK"))))))))))</f>
        <v/>
      </c>
    </row>
    <row r="513">
      <c r="B513" s="17">
        <f>IF($D513="","","A"&amp;TEXT(ROW()-5,"000"))</f>
        <v/>
      </c>
      <c r="C513" s="18" t="n"/>
      <c r="D513" s="16" t="n"/>
      <c r="E513" s="17">
        <f>IF($D513="","",IFERROR(INDEX(rngCadetPIDs,MATCH($D513,rngCadetNames,0)),"?"))</f>
        <v/>
      </c>
      <c r="F513" s="17">
        <f>IF($E513="","",IFERROR(INDEX(nrCadetAgency,MATCH($E513,rngCadetPIDs,0)),""))</f>
        <v/>
      </c>
      <c r="G513" s="16" t="n"/>
      <c r="H513" s="16" t="n"/>
      <c r="I513" s="16" t="n"/>
      <c r="J513" s="16" t="n"/>
      <c r="K513" s="17">
        <f>IF($G513="","",IF(OR($G513="PT Missed",$G513="PT Modified",$G513="PT Refused"),"Yes","No"))</f>
        <v/>
      </c>
      <c r="L513" s="16" t="n"/>
      <c r="M513" s="16" t="n"/>
      <c r="N513" s="17">
        <f>IF($D513="","",IF($M513="Excused","No",IF(AND($G513="PT Modified",$L513="Received"),"No","Yes")))</f>
        <v/>
      </c>
      <c r="O513" s="16" t="n"/>
      <c r="P513" s="17">
        <f>IF(OR($B513="",N($I513)=0),"",MIN(N($I513),SUMIFS(nrMK_Min,nrMK_Link,$B513,nrMK_Credit,"Yes",nrMK_PID,$E513,nrMK_Type,"Classroom")))</f>
        <v/>
      </c>
      <c r="Q513" s="17">
        <f>IF(OR($B513="",N($J513)=0),"",MIN(N($J513),SUMIFS(nrMK_Sess,nrMK_Link,$B513,nrMK_Credit,"Yes",nrMK_PID,$E513,nrMK_Type,"PT")))</f>
        <v/>
      </c>
      <c r="R513" s="17">
        <f>IF(OR($B513="",$N513&lt;&gt;"Yes"),"",IF($K513="Yes",IF(N($J513)&gt;0,N($J513)-N($Q513),""),IF(N($I513)&gt;0,N($I513)-N($P513),"")))</f>
        <v/>
      </c>
      <c r="S513" s="17">
        <f>IF(OR($B513="",$R513=""),"",IF($R513&lt;=0,IF(IFERROR(_xlfn.MAXIFS(nrMK_Date,nrMK_Link,$B513,nrMK_Credit,"Yes",nrMK_PID,$E513),0)=0,"CLEARED (makeup date missing)","CLEARED "&amp;TEXT(_xlfn.MAXIFS(nrMK_Date,nrMK_Link,$B513,nrMK_Credit,"Yes",nrMK_PID,$E513),"mm/dd")),"OPEN"))</f>
        <v/>
      </c>
      <c r="T513" s="17">
        <f>IF($D513="","",IF($C513="","NO DATE",IF($G513="","NO EVENT TYPE",IF(AND($I513&lt;&gt;"",NOT(ISNUMBER($I513))),"MINUTES NOT A NUMBER",IF(AND($J513&lt;&gt;"",NOT(ISNUMBER($J513))),"SESSIONS NOT A NUMBER",IF(OR(N($I513)&lt;0,N($J513)&lt;0),"NEGATIVE MINUTES/SESSIONS",IF(AND($K513="Yes",N($I513)&gt;0),"MINUTES ON A PT EVENT - not counted (PT counts sessions)",IF(AND($K513="No",N($J513)&gt;0),"SESSIONS ON A CLASSROOM EVENT - not counted (classroom counts minutes)",IF(AND($N513="Yes",$K513="Yes",N($J513)=0),"COUNTED PT EVENT WITH NO SESSIONS - dropped from the PT cap",IF(AND($N513="Yes",$K513="No",N($I513)=0),"COUNTED EVENT WITH NO MINUTES - dropped from the classroom cap","OK"))))))))))</f>
        <v/>
      </c>
    </row>
    <row r="514">
      <c r="B514" s="17">
        <f>IF($D514="","","A"&amp;TEXT(ROW()-5,"000"))</f>
        <v/>
      </c>
      <c r="C514" s="18" t="n"/>
      <c r="D514" s="16" t="n"/>
      <c r="E514" s="17">
        <f>IF($D514="","",IFERROR(INDEX(rngCadetPIDs,MATCH($D514,rngCadetNames,0)),"?"))</f>
        <v/>
      </c>
      <c r="F514" s="17">
        <f>IF($E514="","",IFERROR(INDEX(nrCadetAgency,MATCH($E514,rngCadetPIDs,0)),""))</f>
        <v/>
      </c>
      <c r="G514" s="16" t="n"/>
      <c r="H514" s="16" t="n"/>
      <c r="I514" s="16" t="n"/>
      <c r="J514" s="16" t="n"/>
      <c r="K514" s="17">
        <f>IF($G514="","",IF(OR($G514="PT Missed",$G514="PT Modified",$G514="PT Refused"),"Yes","No"))</f>
        <v/>
      </c>
      <c r="L514" s="16" t="n"/>
      <c r="M514" s="16" t="n"/>
      <c r="N514" s="17">
        <f>IF($D514="","",IF($M514="Excused","No",IF(AND($G514="PT Modified",$L514="Received"),"No","Yes")))</f>
        <v/>
      </c>
      <c r="O514" s="16" t="n"/>
      <c r="P514" s="17">
        <f>IF(OR($B514="",N($I514)=0),"",MIN(N($I514),SUMIFS(nrMK_Min,nrMK_Link,$B514,nrMK_Credit,"Yes",nrMK_PID,$E514,nrMK_Type,"Classroom")))</f>
        <v/>
      </c>
      <c r="Q514" s="17">
        <f>IF(OR($B514="",N($J514)=0),"",MIN(N($J514),SUMIFS(nrMK_Sess,nrMK_Link,$B514,nrMK_Credit,"Yes",nrMK_PID,$E514,nrMK_Type,"PT")))</f>
        <v/>
      </c>
      <c r="R514" s="17">
        <f>IF(OR($B514="",$N514&lt;&gt;"Yes"),"",IF($K514="Yes",IF(N($J514)&gt;0,N($J514)-N($Q514),""),IF(N($I514)&gt;0,N($I514)-N($P514),"")))</f>
        <v/>
      </c>
      <c r="S514" s="17">
        <f>IF(OR($B514="",$R514=""),"",IF($R514&lt;=0,IF(IFERROR(_xlfn.MAXIFS(nrMK_Date,nrMK_Link,$B514,nrMK_Credit,"Yes",nrMK_PID,$E514),0)=0,"CLEARED (makeup date missing)","CLEARED "&amp;TEXT(_xlfn.MAXIFS(nrMK_Date,nrMK_Link,$B514,nrMK_Credit,"Yes",nrMK_PID,$E514),"mm/dd")),"OPEN"))</f>
        <v/>
      </c>
      <c r="T514" s="17">
        <f>IF($D514="","",IF($C514="","NO DATE",IF($G514="","NO EVENT TYPE",IF(AND($I514&lt;&gt;"",NOT(ISNUMBER($I514))),"MINUTES NOT A NUMBER",IF(AND($J514&lt;&gt;"",NOT(ISNUMBER($J514))),"SESSIONS NOT A NUMBER",IF(OR(N($I514)&lt;0,N($J514)&lt;0),"NEGATIVE MINUTES/SESSIONS",IF(AND($K514="Yes",N($I514)&gt;0),"MINUTES ON A PT EVENT - not counted (PT counts sessions)",IF(AND($K514="No",N($J514)&gt;0),"SESSIONS ON A CLASSROOM EVENT - not counted (classroom counts minutes)",IF(AND($N514="Yes",$K514="Yes",N($J514)=0),"COUNTED PT EVENT WITH NO SESSIONS - dropped from the PT cap",IF(AND($N514="Yes",$K514="No",N($I514)=0),"COUNTED EVENT WITH NO MINUTES - dropped from the classroom cap","OK"))))))))))</f>
        <v/>
      </c>
    </row>
    <row r="515">
      <c r="B515" s="17">
        <f>IF($D515="","","A"&amp;TEXT(ROW()-5,"000"))</f>
        <v/>
      </c>
      <c r="C515" s="18" t="n"/>
      <c r="D515" s="16" t="n"/>
      <c r="E515" s="17">
        <f>IF($D515="","",IFERROR(INDEX(rngCadetPIDs,MATCH($D515,rngCadetNames,0)),"?"))</f>
        <v/>
      </c>
      <c r="F515" s="17">
        <f>IF($E515="","",IFERROR(INDEX(nrCadetAgency,MATCH($E515,rngCadetPIDs,0)),""))</f>
        <v/>
      </c>
      <c r="G515" s="16" t="n"/>
      <c r="H515" s="16" t="n"/>
      <c r="I515" s="16" t="n"/>
      <c r="J515" s="16" t="n"/>
      <c r="K515" s="17">
        <f>IF($G515="","",IF(OR($G515="PT Missed",$G515="PT Modified",$G515="PT Refused"),"Yes","No"))</f>
        <v/>
      </c>
      <c r="L515" s="16" t="n"/>
      <c r="M515" s="16" t="n"/>
      <c r="N515" s="17">
        <f>IF($D515="","",IF($M515="Excused","No",IF(AND($G515="PT Modified",$L515="Received"),"No","Yes")))</f>
        <v/>
      </c>
      <c r="O515" s="16" t="n"/>
      <c r="P515" s="17">
        <f>IF(OR($B515="",N($I515)=0),"",MIN(N($I515),SUMIFS(nrMK_Min,nrMK_Link,$B515,nrMK_Credit,"Yes",nrMK_PID,$E515,nrMK_Type,"Classroom")))</f>
        <v/>
      </c>
      <c r="Q515" s="17">
        <f>IF(OR($B515="",N($J515)=0),"",MIN(N($J515),SUMIFS(nrMK_Sess,nrMK_Link,$B515,nrMK_Credit,"Yes",nrMK_PID,$E515,nrMK_Type,"PT")))</f>
        <v/>
      </c>
      <c r="R515" s="17">
        <f>IF(OR($B515="",$N515&lt;&gt;"Yes"),"",IF($K515="Yes",IF(N($J515)&gt;0,N($J515)-N($Q515),""),IF(N($I515)&gt;0,N($I515)-N($P515),"")))</f>
        <v/>
      </c>
      <c r="S515" s="17">
        <f>IF(OR($B515="",$R515=""),"",IF($R515&lt;=0,IF(IFERROR(_xlfn.MAXIFS(nrMK_Date,nrMK_Link,$B515,nrMK_Credit,"Yes",nrMK_PID,$E515),0)=0,"CLEARED (makeup date missing)","CLEARED "&amp;TEXT(_xlfn.MAXIFS(nrMK_Date,nrMK_Link,$B515,nrMK_Credit,"Yes",nrMK_PID,$E515),"mm/dd")),"OPEN"))</f>
        <v/>
      </c>
      <c r="T515" s="17">
        <f>IF($D515="","",IF($C515="","NO DATE",IF($G515="","NO EVENT TYPE",IF(AND($I515&lt;&gt;"",NOT(ISNUMBER($I515))),"MINUTES NOT A NUMBER",IF(AND($J515&lt;&gt;"",NOT(ISNUMBER($J515))),"SESSIONS NOT A NUMBER",IF(OR(N($I515)&lt;0,N($J515)&lt;0),"NEGATIVE MINUTES/SESSIONS",IF(AND($K515="Yes",N($I515)&gt;0),"MINUTES ON A PT EVENT - not counted (PT counts sessions)",IF(AND($K515="No",N($J515)&gt;0),"SESSIONS ON A CLASSROOM EVENT - not counted (classroom counts minutes)",IF(AND($N515="Yes",$K515="Yes",N($J515)=0),"COUNTED PT EVENT WITH NO SESSIONS - dropped from the PT cap",IF(AND($N515="Yes",$K515="No",N($I515)=0),"COUNTED EVENT WITH NO MINUTES - dropped from the classroom cap","OK"))))))))))</f>
        <v/>
      </c>
    </row>
    <row r="516">
      <c r="B516" s="17">
        <f>IF($D516="","","A"&amp;TEXT(ROW()-5,"000"))</f>
        <v/>
      </c>
      <c r="C516" s="18" t="n"/>
      <c r="D516" s="16" t="n"/>
      <c r="E516" s="17">
        <f>IF($D516="","",IFERROR(INDEX(rngCadetPIDs,MATCH($D516,rngCadetNames,0)),"?"))</f>
        <v/>
      </c>
      <c r="F516" s="17">
        <f>IF($E516="","",IFERROR(INDEX(nrCadetAgency,MATCH($E516,rngCadetPIDs,0)),""))</f>
        <v/>
      </c>
      <c r="G516" s="16" t="n"/>
      <c r="H516" s="16" t="n"/>
      <c r="I516" s="16" t="n"/>
      <c r="J516" s="16" t="n"/>
      <c r="K516" s="17">
        <f>IF($G516="","",IF(OR($G516="PT Missed",$G516="PT Modified",$G516="PT Refused"),"Yes","No"))</f>
        <v/>
      </c>
      <c r="L516" s="16" t="n"/>
      <c r="M516" s="16" t="n"/>
      <c r="N516" s="17">
        <f>IF($D516="","",IF($M516="Excused","No",IF(AND($G516="PT Modified",$L516="Received"),"No","Yes")))</f>
        <v/>
      </c>
      <c r="O516" s="16" t="n"/>
      <c r="P516" s="17">
        <f>IF(OR($B516="",N($I516)=0),"",MIN(N($I516),SUMIFS(nrMK_Min,nrMK_Link,$B516,nrMK_Credit,"Yes",nrMK_PID,$E516,nrMK_Type,"Classroom")))</f>
        <v/>
      </c>
      <c r="Q516" s="17">
        <f>IF(OR($B516="",N($J516)=0),"",MIN(N($J516),SUMIFS(nrMK_Sess,nrMK_Link,$B516,nrMK_Credit,"Yes",nrMK_PID,$E516,nrMK_Type,"PT")))</f>
        <v/>
      </c>
      <c r="R516" s="17">
        <f>IF(OR($B516="",$N516&lt;&gt;"Yes"),"",IF($K516="Yes",IF(N($J516)&gt;0,N($J516)-N($Q516),""),IF(N($I516)&gt;0,N($I516)-N($P516),"")))</f>
        <v/>
      </c>
      <c r="S516" s="17">
        <f>IF(OR($B516="",$R516=""),"",IF($R516&lt;=0,IF(IFERROR(_xlfn.MAXIFS(nrMK_Date,nrMK_Link,$B516,nrMK_Credit,"Yes",nrMK_PID,$E516),0)=0,"CLEARED (makeup date missing)","CLEARED "&amp;TEXT(_xlfn.MAXIFS(nrMK_Date,nrMK_Link,$B516,nrMK_Credit,"Yes",nrMK_PID,$E516),"mm/dd")),"OPEN"))</f>
        <v/>
      </c>
      <c r="T516" s="17">
        <f>IF($D516="","",IF($C516="","NO DATE",IF($G516="","NO EVENT TYPE",IF(AND($I516&lt;&gt;"",NOT(ISNUMBER($I516))),"MINUTES NOT A NUMBER",IF(AND($J516&lt;&gt;"",NOT(ISNUMBER($J516))),"SESSIONS NOT A NUMBER",IF(OR(N($I516)&lt;0,N($J516)&lt;0),"NEGATIVE MINUTES/SESSIONS",IF(AND($K516="Yes",N($I516)&gt;0),"MINUTES ON A PT EVENT - not counted (PT counts sessions)",IF(AND($K516="No",N($J516)&gt;0),"SESSIONS ON A CLASSROOM EVENT - not counted (classroom counts minutes)",IF(AND($N516="Yes",$K516="Yes",N($J516)=0),"COUNTED PT EVENT WITH NO SESSIONS - dropped from the PT cap",IF(AND($N516="Yes",$K516="No",N($I516)=0),"COUNTED EVENT WITH NO MINUTES - dropped from the classroom cap","OK"))))))))))</f>
        <v/>
      </c>
    </row>
    <row r="517">
      <c r="B517" s="17">
        <f>IF($D517="","","A"&amp;TEXT(ROW()-5,"000"))</f>
        <v/>
      </c>
      <c r="C517" s="18" t="n"/>
      <c r="D517" s="16" t="n"/>
      <c r="E517" s="17">
        <f>IF($D517="","",IFERROR(INDEX(rngCadetPIDs,MATCH($D517,rngCadetNames,0)),"?"))</f>
        <v/>
      </c>
      <c r="F517" s="17">
        <f>IF($E517="","",IFERROR(INDEX(nrCadetAgency,MATCH($E517,rngCadetPIDs,0)),""))</f>
        <v/>
      </c>
      <c r="G517" s="16" t="n"/>
      <c r="H517" s="16" t="n"/>
      <c r="I517" s="16" t="n"/>
      <c r="J517" s="16" t="n"/>
      <c r="K517" s="17">
        <f>IF($G517="","",IF(OR($G517="PT Missed",$G517="PT Modified",$G517="PT Refused"),"Yes","No"))</f>
        <v/>
      </c>
      <c r="L517" s="16" t="n"/>
      <c r="M517" s="16" t="n"/>
      <c r="N517" s="17">
        <f>IF($D517="","",IF($M517="Excused","No",IF(AND($G517="PT Modified",$L517="Received"),"No","Yes")))</f>
        <v/>
      </c>
      <c r="O517" s="16" t="n"/>
      <c r="P517" s="17">
        <f>IF(OR($B517="",N($I517)=0),"",MIN(N($I517),SUMIFS(nrMK_Min,nrMK_Link,$B517,nrMK_Credit,"Yes",nrMK_PID,$E517,nrMK_Type,"Classroom")))</f>
        <v/>
      </c>
      <c r="Q517" s="17">
        <f>IF(OR($B517="",N($J517)=0),"",MIN(N($J517),SUMIFS(nrMK_Sess,nrMK_Link,$B517,nrMK_Credit,"Yes",nrMK_PID,$E517,nrMK_Type,"PT")))</f>
        <v/>
      </c>
      <c r="R517" s="17">
        <f>IF(OR($B517="",$N517&lt;&gt;"Yes"),"",IF($K517="Yes",IF(N($J517)&gt;0,N($J517)-N($Q517),""),IF(N($I517)&gt;0,N($I517)-N($P517),"")))</f>
        <v/>
      </c>
      <c r="S517" s="17">
        <f>IF(OR($B517="",$R517=""),"",IF($R517&lt;=0,IF(IFERROR(_xlfn.MAXIFS(nrMK_Date,nrMK_Link,$B517,nrMK_Credit,"Yes",nrMK_PID,$E517),0)=0,"CLEARED (makeup date missing)","CLEARED "&amp;TEXT(_xlfn.MAXIFS(nrMK_Date,nrMK_Link,$B517,nrMK_Credit,"Yes",nrMK_PID,$E517),"mm/dd")),"OPEN"))</f>
        <v/>
      </c>
      <c r="T517" s="17">
        <f>IF($D517="","",IF($C517="","NO DATE",IF($G517="","NO EVENT TYPE",IF(AND($I517&lt;&gt;"",NOT(ISNUMBER($I517))),"MINUTES NOT A NUMBER",IF(AND($J517&lt;&gt;"",NOT(ISNUMBER($J517))),"SESSIONS NOT A NUMBER",IF(OR(N($I517)&lt;0,N($J517)&lt;0),"NEGATIVE MINUTES/SESSIONS",IF(AND($K517="Yes",N($I517)&gt;0),"MINUTES ON A PT EVENT - not counted (PT counts sessions)",IF(AND($K517="No",N($J517)&gt;0),"SESSIONS ON A CLASSROOM EVENT - not counted (classroom counts minutes)",IF(AND($N517="Yes",$K517="Yes",N($J517)=0),"COUNTED PT EVENT WITH NO SESSIONS - dropped from the PT cap",IF(AND($N517="Yes",$K517="No",N($I517)=0),"COUNTED EVENT WITH NO MINUTES - dropped from the classroom cap","OK"))))))))))</f>
        <v/>
      </c>
    </row>
    <row r="518">
      <c r="B518" s="17">
        <f>IF($D518="","","A"&amp;TEXT(ROW()-5,"000"))</f>
        <v/>
      </c>
      <c r="C518" s="18" t="n"/>
      <c r="D518" s="16" t="n"/>
      <c r="E518" s="17">
        <f>IF($D518="","",IFERROR(INDEX(rngCadetPIDs,MATCH($D518,rngCadetNames,0)),"?"))</f>
        <v/>
      </c>
      <c r="F518" s="17">
        <f>IF($E518="","",IFERROR(INDEX(nrCadetAgency,MATCH($E518,rngCadetPIDs,0)),""))</f>
        <v/>
      </c>
      <c r="G518" s="16" t="n"/>
      <c r="H518" s="16" t="n"/>
      <c r="I518" s="16" t="n"/>
      <c r="J518" s="16" t="n"/>
      <c r="K518" s="17">
        <f>IF($G518="","",IF(OR($G518="PT Missed",$G518="PT Modified",$G518="PT Refused"),"Yes","No"))</f>
        <v/>
      </c>
      <c r="L518" s="16" t="n"/>
      <c r="M518" s="16" t="n"/>
      <c r="N518" s="17">
        <f>IF($D518="","",IF($M518="Excused","No",IF(AND($G518="PT Modified",$L518="Received"),"No","Yes")))</f>
        <v/>
      </c>
      <c r="O518" s="16" t="n"/>
      <c r="P518" s="17">
        <f>IF(OR($B518="",N($I518)=0),"",MIN(N($I518),SUMIFS(nrMK_Min,nrMK_Link,$B518,nrMK_Credit,"Yes",nrMK_PID,$E518,nrMK_Type,"Classroom")))</f>
        <v/>
      </c>
      <c r="Q518" s="17">
        <f>IF(OR($B518="",N($J518)=0),"",MIN(N($J518),SUMIFS(nrMK_Sess,nrMK_Link,$B518,nrMK_Credit,"Yes",nrMK_PID,$E518,nrMK_Type,"PT")))</f>
        <v/>
      </c>
      <c r="R518" s="17">
        <f>IF(OR($B518="",$N518&lt;&gt;"Yes"),"",IF($K518="Yes",IF(N($J518)&gt;0,N($J518)-N($Q518),""),IF(N($I518)&gt;0,N($I518)-N($P518),"")))</f>
        <v/>
      </c>
      <c r="S518" s="17">
        <f>IF(OR($B518="",$R518=""),"",IF($R518&lt;=0,IF(IFERROR(_xlfn.MAXIFS(nrMK_Date,nrMK_Link,$B518,nrMK_Credit,"Yes",nrMK_PID,$E518),0)=0,"CLEARED (makeup date missing)","CLEARED "&amp;TEXT(_xlfn.MAXIFS(nrMK_Date,nrMK_Link,$B518,nrMK_Credit,"Yes",nrMK_PID,$E518),"mm/dd")),"OPEN"))</f>
        <v/>
      </c>
      <c r="T518" s="17">
        <f>IF($D518="","",IF($C518="","NO DATE",IF($G518="","NO EVENT TYPE",IF(AND($I518&lt;&gt;"",NOT(ISNUMBER($I518))),"MINUTES NOT A NUMBER",IF(AND($J518&lt;&gt;"",NOT(ISNUMBER($J518))),"SESSIONS NOT A NUMBER",IF(OR(N($I518)&lt;0,N($J518)&lt;0),"NEGATIVE MINUTES/SESSIONS",IF(AND($K518="Yes",N($I518)&gt;0),"MINUTES ON A PT EVENT - not counted (PT counts sessions)",IF(AND($K518="No",N($J518)&gt;0),"SESSIONS ON A CLASSROOM EVENT - not counted (classroom counts minutes)",IF(AND($N518="Yes",$K518="Yes",N($J518)=0),"COUNTED PT EVENT WITH NO SESSIONS - dropped from the PT cap",IF(AND($N518="Yes",$K518="No",N($I518)=0),"COUNTED EVENT WITH NO MINUTES - dropped from the classroom cap","OK"))))))))))</f>
        <v/>
      </c>
    </row>
    <row r="519">
      <c r="B519" s="17">
        <f>IF($D519="","","A"&amp;TEXT(ROW()-5,"000"))</f>
        <v/>
      </c>
      <c r="C519" s="18" t="n"/>
      <c r="D519" s="16" t="n"/>
      <c r="E519" s="17">
        <f>IF($D519="","",IFERROR(INDEX(rngCadetPIDs,MATCH($D519,rngCadetNames,0)),"?"))</f>
        <v/>
      </c>
      <c r="F519" s="17">
        <f>IF($E519="","",IFERROR(INDEX(nrCadetAgency,MATCH($E519,rngCadetPIDs,0)),""))</f>
        <v/>
      </c>
      <c r="G519" s="16" t="n"/>
      <c r="H519" s="16" t="n"/>
      <c r="I519" s="16" t="n"/>
      <c r="J519" s="16" t="n"/>
      <c r="K519" s="17">
        <f>IF($G519="","",IF(OR($G519="PT Missed",$G519="PT Modified",$G519="PT Refused"),"Yes","No"))</f>
        <v/>
      </c>
      <c r="L519" s="16" t="n"/>
      <c r="M519" s="16" t="n"/>
      <c r="N519" s="17">
        <f>IF($D519="","",IF($M519="Excused","No",IF(AND($G519="PT Modified",$L519="Received"),"No","Yes")))</f>
        <v/>
      </c>
      <c r="O519" s="16" t="n"/>
      <c r="P519" s="17">
        <f>IF(OR($B519="",N($I519)=0),"",MIN(N($I519),SUMIFS(nrMK_Min,nrMK_Link,$B519,nrMK_Credit,"Yes",nrMK_PID,$E519,nrMK_Type,"Classroom")))</f>
        <v/>
      </c>
      <c r="Q519" s="17">
        <f>IF(OR($B519="",N($J519)=0),"",MIN(N($J519),SUMIFS(nrMK_Sess,nrMK_Link,$B519,nrMK_Credit,"Yes",nrMK_PID,$E519,nrMK_Type,"PT")))</f>
        <v/>
      </c>
      <c r="R519" s="17">
        <f>IF(OR($B519="",$N519&lt;&gt;"Yes"),"",IF($K519="Yes",IF(N($J519)&gt;0,N($J519)-N($Q519),""),IF(N($I519)&gt;0,N($I519)-N($P519),"")))</f>
        <v/>
      </c>
      <c r="S519" s="17">
        <f>IF(OR($B519="",$R519=""),"",IF($R519&lt;=0,IF(IFERROR(_xlfn.MAXIFS(nrMK_Date,nrMK_Link,$B519,nrMK_Credit,"Yes",nrMK_PID,$E519),0)=0,"CLEARED (makeup date missing)","CLEARED "&amp;TEXT(_xlfn.MAXIFS(nrMK_Date,nrMK_Link,$B519,nrMK_Credit,"Yes",nrMK_PID,$E519),"mm/dd")),"OPEN"))</f>
        <v/>
      </c>
      <c r="T519" s="17">
        <f>IF($D519="","",IF($C519="","NO DATE",IF($G519="","NO EVENT TYPE",IF(AND($I519&lt;&gt;"",NOT(ISNUMBER($I519))),"MINUTES NOT A NUMBER",IF(AND($J519&lt;&gt;"",NOT(ISNUMBER($J519))),"SESSIONS NOT A NUMBER",IF(OR(N($I519)&lt;0,N($J519)&lt;0),"NEGATIVE MINUTES/SESSIONS",IF(AND($K519="Yes",N($I519)&gt;0),"MINUTES ON A PT EVENT - not counted (PT counts sessions)",IF(AND($K519="No",N($J519)&gt;0),"SESSIONS ON A CLASSROOM EVENT - not counted (classroom counts minutes)",IF(AND($N519="Yes",$K519="Yes",N($J519)=0),"COUNTED PT EVENT WITH NO SESSIONS - dropped from the PT cap",IF(AND($N519="Yes",$K519="No",N($I519)=0),"COUNTED EVENT WITH NO MINUTES - dropped from the classroom cap","OK"))))))))))</f>
        <v/>
      </c>
    </row>
    <row r="520">
      <c r="B520" s="17">
        <f>IF($D520="","","A"&amp;TEXT(ROW()-5,"000"))</f>
        <v/>
      </c>
      <c r="C520" s="18" t="n"/>
      <c r="D520" s="16" t="n"/>
      <c r="E520" s="17">
        <f>IF($D520="","",IFERROR(INDEX(rngCadetPIDs,MATCH($D520,rngCadetNames,0)),"?"))</f>
        <v/>
      </c>
      <c r="F520" s="17">
        <f>IF($E520="","",IFERROR(INDEX(nrCadetAgency,MATCH($E520,rngCadetPIDs,0)),""))</f>
        <v/>
      </c>
      <c r="G520" s="16" t="n"/>
      <c r="H520" s="16" t="n"/>
      <c r="I520" s="16" t="n"/>
      <c r="J520" s="16" t="n"/>
      <c r="K520" s="17">
        <f>IF($G520="","",IF(OR($G520="PT Missed",$G520="PT Modified",$G520="PT Refused"),"Yes","No"))</f>
        <v/>
      </c>
      <c r="L520" s="16" t="n"/>
      <c r="M520" s="16" t="n"/>
      <c r="N520" s="17">
        <f>IF($D520="","",IF($M520="Excused","No",IF(AND($G520="PT Modified",$L520="Received"),"No","Yes")))</f>
        <v/>
      </c>
      <c r="O520" s="16" t="n"/>
      <c r="P520" s="17">
        <f>IF(OR($B520="",N($I520)=0),"",MIN(N($I520),SUMIFS(nrMK_Min,nrMK_Link,$B520,nrMK_Credit,"Yes",nrMK_PID,$E520,nrMK_Type,"Classroom")))</f>
        <v/>
      </c>
      <c r="Q520" s="17">
        <f>IF(OR($B520="",N($J520)=0),"",MIN(N($J520),SUMIFS(nrMK_Sess,nrMK_Link,$B520,nrMK_Credit,"Yes",nrMK_PID,$E520,nrMK_Type,"PT")))</f>
        <v/>
      </c>
      <c r="R520" s="17">
        <f>IF(OR($B520="",$N520&lt;&gt;"Yes"),"",IF($K520="Yes",IF(N($J520)&gt;0,N($J520)-N($Q520),""),IF(N($I520)&gt;0,N($I520)-N($P520),"")))</f>
        <v/>
      </c>
      <c r="S520" s="17">
        <f>IF(OR($B520="",$R520=""),"",IF($R520&lt;=0,IF(IFERROR(_xlfn.MAXIFS(nrMK_Date,nrMK_Link,$B520,nrMK_Credit,"Yes",nrMK_PID,$E520),0)=0,"CLEARED (makeup date missing)","CLEARED "&amp;TEXT(_xlfn.MAXIFS(nrMK_Date,nrMK_Link,$B520,nrMK_Credit,"Yes",nrMK_PID,$E520),"mm/dd")),"OPEN"))</f>
        <v/>
      </c>
      <c r="T520" s="17">
        <f>IF($D520="","",IF($C520="","NO DATE",IF($G520="","NO EVENT TYPE",IF(AND($I520&lt;&gt;"",NOT(ISNUMBER($I520))),"MINUTES NOT A NUMBER",IF(AND($J520&lt;&gt;"",NOT(ISNUMBER($J520))),"SESSIONS NOT A NUMBER",IF(OR(N($I520)&lt;0,N($J520)&lt;0),"NEGATIVE MINUTES/SESSIONS",IF(AND($K520="Yes",N($I520)&gt;0),"MINUTES ON A PT EVENT - not counted (PT counts sessions)",IF(AND($K520="No",N($J520)&gt;0),"SESSIONS ON A CLASSROOM EVENT - not counted (classroom counts minutes)",IF(AND($N520="Yes",$K520="Yes",N($J520)=0),"COUNTED PT EVENT WITH NO SESSIONS - dropped from the PT cap",IF(AND($N520="Yes",$K520="No",N($I520)=0),"COUNTED EVENT WITH NO MINUTES - dropped from the classroom cap","OK"))))))))))</f>
        <v/>
      </c>
    </row>
    <row r="521">
      <c r="B521" s="17">
        <f>IF($D521="","","A"&amp;TEXT(ROW()-5,"000"))</f>
        <v/>
      </c>
      <c r="C521" s="18" t="n"/>
      <c r="D521" s="16" t="n"/>
      <c r="E521" s="17">
        <f>IF($D521="","",IFERROR(INDEX(rngCadetPIDs,MATCH($D521,rngCadetNames,0)),"?"))</f>
        <v/>
      </c>
      <c r="F521" s="17">
        <f>IF($E521="","",IFERROR(INDEX(nrCadetAgency,MATCH($E521,rngCadetPIDs,0)),""))</f>
        <v/>
      </c>
      <c r="G521" s="16" t="n"/>
      <c r="H521" s="16" t="n"/>
      <c r="I521" s="16" t="n"/>
      <c r="J521" s="16" t="n"/>
      <c r="K521" s="17">
        <f>IF($G521="","",IF(OR($G521="PT Missed",$G521="PT Modified",$G521="PT Refused"),"Yes","No"))</f>
        <v/>
      </c>
      <c r="L521" s="16" t="n"/>
      <c r="M521" s="16" t="n"/>
      <c r="N521" s="17">
        <f>IF($D521="","",IF($M521="Excused","No",IF(AND($G521="PT Modified",$L521="Received"),"No","Yes")))</f>
        <v/>
      </c>
      <c r="O521" s="16" t="n"/>
      <c r="P521" s="17">
        <f>IF(OR($B521="",N($I521)=0),"",MIN(N($I521),SUMIFS(nrMK_Min,nrMK_Link,$B521,nrMK_Credit,"Yes",nrMK_PID,$E521,nrMK_Type,"Classroom")))</f>
        <v/>
      </c>
      <c r="Q521" s="17">
        <f>IF(OR($B521="",N($J521)=0),"",MIN(N($J521),SUMIFS(nrMK_Sess,nrMK_Link,$B521,nrMK_Credit,"Yes",nrMK_PID,$E521,nrMK_Type,"PT")))</f>
        <v/>
      </c>
      <c r="R521" s="17">
        <f>IF(OR($B521="",$N521&lt;&gt;"Yes"),"",IF($K521="Yes",IF(N($J521)&gt;0,N($J521)-N($Q521),""),IF(N($I521)&gt;0,N($I521)-N($P521),"")))</f>
        <v/>
      </c>
      <c r="S521" s="17">
        <f>IF(OR($B521="",$R521=""),"",IF($R521&lt;=0,IF(IFERROR(_xlfn.MAXIFS(nrMK_Date,nrMK_Link,$B521,nrMK_Credit,"Yes",nrMK_PID,$E521),0)=0,"CLEARED (makeup date missing)","CLEARED "&amp;TEXT(_xlfn.MAXIFS(nrMK_Date,nrMK_Link,$B521,nrMK_Credit,"Yes",nrMK_PID,$E521),"mm/dd")),"OPEN"))</f>
        <v/>
      </c>
      <c r="T521" s="17">
        <f>IF($D521="","",IF($C521="","NO DATE",IF($G521="","NO EVENT TYPE",IF(AND($I521&lt;&gt;"",NOT(ISNUMBER($I521))),"MINUTES NOT A NUMBER",IF(AND($J521&lt;&gt;"",NOT(ISNUMBER($J521))),"SESSIONS NOT A NUMBER",IF(OR(N($I521)&lt;0,N($J521)&lt;0),"NEGATIVE MINUTES/SESSIONS",IF(AND($K521="Yes",N($I521)&gt;0),"MINUTES ON A PT EVENT - not counted (PT counts sessions)",IF(AND($K521="No",N($J521)&gt;0),"SESSIONS ON A CLASSROOM EVENT - not counted (classroom counts minutes)",IF(AND($N521="Yes",$K521="Yes",N($J521)=0),"COUNTED PT EVENT WITH NO SESSIONS - dropped from the PT cap",IF(AND($N521="Yes",$K521="No",N($I521)=0),"COUNTED EVENT WITH NO MINUTES - dropped from the classroom cap","OK"))))))))))</f>
        <v/>
      </c>
    </row>
    <row r="522">
      <c r="B522" s="17">
        <f>IF($D522="","","A"&amp;TEXT(ROW()-5,"000"))</f>
        <v/>
      </c>
      <c r="C522" s="18" t="n"/>
      <c r="D522" s="16" t="n"/>
      <c r="E522" s="17">
        <f>IF($D522="","",IFERROR(INDEX(rngCadetPIDs,MATCH($D522,rngCadetNames,0)),"?"))</f>
        <v/>
      </c>
      <c r="F522" s="17">
        <f>IF($E522="","",IFERROR(INDEX(nrCadetAgency,MATCH($E522,rngCadetPIDs,0)),""))</f>
        <v/>
      </c>
      <c r="G522" s="16" t="n"/>
      <c r="H522" s="16" t="n"/>
      <c r="I522" s="16" t="n"/>
      <c r="J522" s="16" t="n"/>
      <c r="K522" s="17">
        <f>IF($G522="","",IF(OR($G522="PT Missed",$G522="PT Modified",$G522="PT Refused"),"Yes","No"))</f>
        <v/>
      </c>
      <c r="L522" s="16" t="n"/>
      <c r="M522" s="16" t="n"/>
      <c r="N522" s="17">
        <f>IF($D522="","",IF($M522="Excused","No",IF(AND($G522="PT Modified",$L522="Received"),"No","Yes")))</f>
        <v/>
      </c>
      <c r="O522" s="16" t="n"/>
      <c r="P522" s="17">
        <f>IF(OR($B522="",N($I522)=0),"",MIN(N($I522),SUMIFS(nrMK_Min,nrMK_Link,$B522,nrMK_Credit,"Yes",nrMK_PID,$E522,nrMK_Type,"Classroom")))</f>
        <v/>
      </c>
      <c r="Q522" s="17">
        <f>IF(OR($B522="",N($J522)=0),"",MIN(N($J522),SUMIFS(nrMK_Sess,nrMK_Link,$B522,nrMK_Credit,"Yes",nrMK_PID,$E522,nrMK_Type,"PT")))</f>
        <v/>
      </c>
      <c r="R522" s="17">
        <f>IF(OR($B522="",$N522&lt;&gt;"Yes"),"",IF($K522="Yes",IF(N($J522)&gt;0,N($J522)-N($Q522),""),IF(N($I522)&gt;0,N($I522)-N($P522),"")))</f>
        <v/>
      </c>
      <c r="S522" s="17">
        <f>IF(OR($B522="",$R522=""),"",IF($R522&lt;=0,IF(IFERROR(_xlfn.MAXIFS(nrMK_Date,nrMK_Link,$B522,nrMK_Credit,"Yes",nrMK_PID,$E522),0)=0,"CLEARED (makeup date missing)","CLEARED "&amp;TEXT(_xlfn.MAXIFS(nrMK_Date,nrMK_Link,$B522,nrMK_Credit,"Yes",nrMK_PID,$E522),"mm/dd")),"OPEN"))</f>
        <v/>
      </c>
      <c r="T522" s="17">
        <f>IF($D522="","",IF($C522="","NO DATE",IF($G522="","NO EVENT TYPE",IF(AND($I522&lt;&gt;"",NOT(ISNUMBER($I522))),"MINUTES NOT A NUMBER",IF(AND($J522&lt;&gt;"",NOT(ISNUMBER($J522))),"SESSIONS NOT A NUMBER",IF(OR(N($I522)&lt;0,N($J522)&lt;0),"NEGATIVE MINUTES/SESSIONS",IF(AND($K522="Yes",N($I522)&gt;0),"MINUTES ON A PT EVENT - not counted (PT counts sessions)",IF(AND($K522="No",N($J522)&gt;0),"SESSIONS ON A CLASSROOM EVENT - not counted (classroom counts minutes)",IF(AND($N522="Yes",$K522="Yes",N($J522)=0),"COUNTED PT EVENT WITH NO SESSIONS - dropped from the PT cap",IF(AND($N522="Yes",$K522="No",N($I522)=0),"COUNTED EVENT WITH NO MINUTES - dropped from the classroom cap","OK"))))))))))</f>
        <v/>
      </c>
    </row>
    <row r="523">
      <c r="B523" s="17">
        <f>IF($D523="","","A"&amp;TEXT(ROW()-5,"000"))</f>
        <v/>
      </c>
      <c r="C523" s="18" t="n"/>
      <c r="D523" s="16" t="n"/>
      <c r="E523" s="17">
        <f>IF($D523="","",IFERROR(INDEX(rngCadetPIDs,MATCH($D523,rngCadetNames,0)),"?"))</f>
        <v/>
      </c>
      <c r="F523" s="17">
        <f>IF($E523="","",IFERROR(INDEX(nrCadetAgency,MATCH($E523,rngCadetPIDs,0)),""))</f>
        <v/>
      </c>
      <c r="G523" s="16" t="n"/>
      <c r="H523" s="16" t="n"/>
      <c r="I523" s="16" t="n"/>
      <c r="J523" s="16" t="n"/>
      <c r="K523" s="17">
        <f>IF($G523="","",IF(OR($G523="PT Missed",$G523="PT Modified",$G523="PT Refused"),"Yes","No"))</f>
        <v/>
      </c>
      <c r="L523" s="16" t="n"/>
      <c r="M523" s="16" t="n"/>
      <c r="N523" s="17">
        <f>IF($D523="","",IF($M523="Excused","No",IF(AND($G523="PT Modified",$L523="Received"),"No","Yes")))</f>
        <v/>
      </c>
      <c r="O523" s="16" t="n"/>
      <c r="P523" s="17">
        <f>IF(OR($B523="",N($I523)=0),"",MIN(N($I523),SUMIFS(nrMK_Min,nrMK_Link,$B523,nrMK_Credit,"Yes",nrMK_PID,$E523,nrMK_Type,"Classroom")))</f>
        <v/>
      </c>
      <c r="Q523" s="17">
        <f>IF(OR($B523="",N($J523)=0),"",MIN(N($J523),SUMIFS(nrMK_Sess,nrMK_Link,$B523,nrMK_Credit,"Yes",nrMK_PID,$E523,nrMK_Type,"PT")))</f>
        <v/>
      </c>
      <c r="R523" s="17">
        <f>IF(OR($B523="",$N523&lt;&gt;"Yes"),"",IF($K523="Yes",IF(N($J523)&gt;0,N($J523)-N($Q523),""),IF(N($I523)&gt;0,N($I523)-N($P523),"")))</f>
        <v/>
      </c>
      <c r="S523" s="17">
        <f>IF(OR($B523="",$R523=""),"",IF($R523&lt;=0,IF(IFERROR(_xlfn.MAXIFS(nrMK_Date,nrMK_Link,$B523,nrMK_Credit,"Yes",nrMK_PID,$E523),0)=0,"CLEARED (makeup date missing)","CLEARED "&amp;TEXT(_xlfn.MAXIFS(nrMK_Date,nrMK_Link,$B523,nrMK_Credit,"Yes",nrMK_PID,$E523),"mm/dd")),"OPEN"))</f>
        <v/>
      </c>
      <c r="T523" s="17">
        <f>IF($D523="","",IF($C523="","NO DATE",IF($G523="","NO EVENT TYPE",IF(AND($I523&lt;&gt;"",NOT(ISNUMBER($I523))),"MINUTES NOT A NUMBER",IF(AND($J523&lt;&gt;"",NOT(ISNUMBER($J523))),"SESSIONS NOT A NUMBER",IF(OR(N($I523)&lt;0,N($J523)&lt;0),"NEGATIVE MINUTES/SESSIONS",IF(AND($K523="Yes",N($I523)&gt;0),"MINUTES ON A PT EVENT - not counted (PT counts sessions)",IF(AND($K523="No",N($J523)&gt;0),"SESSIONS ON A CLASSROOM EVENT - not counted (classroom counts minutes)",IF(AND($N523="Yes",$K523="Yes",N($J523)=0),"COUNTED PT EVENT WITH NO SESSIONS - dropped from the PT cap",IF(AND($N523="Yes",$K523="No",N($I523)=0),"COUNTED EVENT WITH NO MINUTES - dropped from the classroom cap","OK"))))))))))</f>
        <v/>
      </c>
    </row>
    <row r="524">
      <c r="B524" s="17">
        <f>IF($D524="","","A"&amp;TEXT(ROW()-5,"000"))</f>
        <v/>
      </c>
      <c r="C524" s="18" t="n"/>
      <c r="D524" s="16" t="n"/>
      <c r="E524" s="17">
        <f>IF($D524="","",IFERROR(INDEX(rngCadetPIDs,MATCH($D524,rngCadetNames,0)),"?"))</f>
        <v/>
      </c>
      <c r="F524" s="17">
        <f>IF($E524="","",IFERROR(INDEX(nrCadetAgency,MATCH($E524,rngCadetPIDs,0)),""))</f>
        <v/>
      </c>
      <c r="G524" s="16" t="n"/>
      <c r="H524" s="16" t="n"/>
      <c r="I524" s="16" t="n"/>
      <c r="J524" s="16" t="n"/>
      <c r="K524" s="17">
        <f>IF($G524="","",IF(OR($G524="PT Missed",$G524="PT Modified",$G524="PT Refused"),"Yes","No"))</f>
        <v/>
      </c>
      <c r="L524" s="16" t="n"/>
      <c r="M524" s="16" t="n"/>
      <c r="N524" s="17">
        <f>IF($D524="","",IF($M524="Excused","No",IF(AND($G524="PT Modified",$L524="Received"),"No","Yes")))</f>
        <v/>
      </c>
      <c r="O524" s="16" t="n"/>
      <c r="P524" s="17">
        <f>IF(OR($B524="",N($I524)=0),"",MIN(N($I524),SUMIFS(nrMK_Min,nrMK_Link,$B524,nrMK_Credit,"Yes",nrMK_PID,$E524,nrMK_Type,"Classroom")))</f>
        <v/>
      </c>
      <c r="Q524" s="17">
        <f>IF(OR($B524="",N($J524)=0),"",MIN(N($J524),SUMIFS(nrMK_Sess,nrMK_Link,$B524,nrMK_Credit,"Yes",nrMK_PID,$E524,nrMK_Type,"PT")))</f>
        <v/>
      </c>
      <c r="R524" s="17">
        <f>IF(OR($B524="",$N524&lt;&gt;"Yes"),"",IF($K524="Yes",IF(N($J524)&gt;0,N($J524)-N($Q524),""),IF(N($I524)&gt;0,N($I524)-N($P524),"")))</f>
        <v/>
      </c>
      <c r="S524" s="17">
        <f>IF(OR($B524="",$R524=""),"",IF($R524&lt;=0,IF(IFERROR(_xlfn.MAXIFS(nrMK_Date,nrMK_Link,$B524,nrMK_Credit,"Yes",nrMK_PID,$E524),0)=0,"CLEARED (makeup date missing)","CLEARED "&amp;TEXT(_xlfn.MAXIFS(nrMK_Date,nrMK_Link,$B524,nrMK_Credit,"Yes",nrMK_PID,$E524),"mm/dd")),"OPEN"))</f>
        <v/>
      </c>
      <c r="T524" s="17">
        <f>IF($D524="","",IF($C524="","NO DATE",IF($G524="","NO EVENT TYPE",IF(AND($I524&lt;&gt;"",NOT(ISNUMBER($I524))),"MINUTES NOT A NUMBER",IF(AND($J524&lt;&gt;"",NOT(ISNUMBER($J524))),"SESSIONS NOT A NUMBER",IF(OR(N($I524)&lt;0,N($J524)&lt;0),"NEGATIVE MINUTES/SESSIONS",IF(AND($K524="Yes",N($I524)&gt;0),"MINUTES ON A PT EVENT - not counted (PT counts sessions)",IF(AND($K524="No",N($J524)&gt;0),"SESSIONS ON A CLASSROOM EVENT - not counted (classroom counts minutes)",IF(AND($N524="Yes",$K524="Yes",N($J524)=0),"COUNTED PT EVENT WITH NO SESSIONS - dropped from the PT cap",IF(AND($N524="Yes",$K524="No",N($I524)=0),"COUNTED EVENT WITH NO MINUTES - dropped from the classroom cap","OK"))))))))))</f>
        <v/>
      </c>
    </row>
    <row r="525">
      <c r="B525" s="17">
        <f>IF($D525="","","A"&amp;TEXT(ROW()-5,"000"))</f>
        <v/>
      </c>
      <c r="C525" s="18" t="n"/>
      <c r="D525" s="16" t="n"/>
      <c r="E525" s="17">
        <f>IF($D525="","",IFERROR(INDEX(rngCadetPIDs,MATCH($D525,rngCadetNames,0)),"?"))</f>
        <v/>
      </c>
      <c r="F525" s="17">
        <f>IF($E525="","",IFERROR(INDEX(nrCadetAgency,MATCH($E525,rngCadetPIDs,0)),""))</f>
        <v/>
      </c>
      <c r="G525" s="16" t="n"/>
      <c r="H525" s="16" t="n"/>
      <c r="I525" s="16" t="n"/>
      <c r="J525" s="16" t="n"/>
      <c r="K525" s="17">
        <f>IF($G525="","",IF(OR($G525="PT Missed",$G525="PT Modified",$G525="PT Refused"),"Yes","No"))</f>
        <v/>
      </c>
      <c r="L525" s="16" t="n"/>
      <c r="M525" s="16" t="n"/>
      <c r="N525" s="17">
        <f>IF($D525="","",IF($M525="Excused","No",IF(AND($G525="PT Modified",$L525="Received"),"No","Yes")))</f>
        <v/>
      </c>
      <c r="O525" s="16" t="n"/>
      <c r="P525" s="17">
        <f>IF(OR($B525="",N($I525)=0),"",MIN(N($I525),SUMIFS(nrMK_Min,nrMK_Link,$B525,nrMK_Credit,"Yes",nrMK_PID,$E525,nrMK_Type,"Classroom")))</f>
        <v/>
      </c>
      <c r="Q525" s="17">
        <f>IF(OR($B525="",N($J525)=0),"",MIN(N($J525),SUMIFS(nrMK_Sess,nrMK_Link,$B525,nrMK_Credit,"Yes",nrMK_PID,$E525,nrMK_Type,"PT")))</f>
        <v/>
      </c>
      <c r="R525" s="17">
        <f>IF(OR($B525="",$N525&lt;&gt;"Yes"),"",IF($K525="Yes",IF(N($J525)&gt;0,N($J525)-N($Q525),""),IF(N($I525)&gt;0,N($I525)-N($P525),"")))</f>
        <v/>
      </c>
      <c r="S525" s="17">
        <f>IF(OR($B525="",$R525=""),"",IF($R525&lt;=0,IF(IFERROR(_xlfn.MAXIFS(nrMK_Date,nrMK_Link,$B525,nrMK_Credit,"Yes",nrMK_PID,$E525),0)=0,"CLEARED (makeup date missing)","CLEARED "&amp;TEXT(_xlfn.MAXIFS(nrMK_Date,nrMK_Link,$B525,nrMK_Credit,"Yes",nrMK_PID,$E525),"mm/dd")),"OPEN"))</f>
        <v/>
      </c>
      <c r="T525" s="17">
        <f>IF($D525="","",IF($C525="","NO DATE",IF($G525="","NO EVENT TYPE",IF(AND($I525&lt;&gt;"",NOT(ISNUMBER($I525))),"MINUTES NOT A NUMBER",IF(AND($J525&lt;&gt;"",NOT(ISNUMBER($J525))),"SESSIONS NOT A NUMBER",IF(OR(N($I525)&lt;0,N($J525)&lt;0),"NEGATIVE MINUTES/SESSIONS",IF(AND($K525="Yes",N($I525)&gt;0),"MINUTES ON A PT EVENT - not counted (PT counts sessions)",IF(AND($K525="No",N($J525)&gt;0),"SESSIONS ON A CLASSROOM EVENT - not counted (classroom counts minutes)",IF(AND($N525="Yes",$K525="Yes",N($J525)=0),"COUNTED PT EVENT WITH NO SESSIONS - dropped from the PT cap",IF(AND($N525="Yes",$K525="No",N($I525)=0),"COUNTED EVENT WITH NO MINUTES - dropped from the classroom cap","OK"))))))))))</f>
        <v/>
      </c>
    </row>
    <row r="526">
      <c r="B526" s="17">
        <f>IF($D526="","","A"&amp;TEXT(ROW()-5,"000"))</f>
        <v/>
      </c>
      <c r="C526" s="18" t="n"/>
      <c r="D526" s="16" t="n"/>
      <c r="E526" s="17">
        <f>IF($D526="","",IFERROR(INDEX(rngCadetPIDs,MATCH($D526,rngCadetNames,0)),"?"))</f>
        <v/>
      </c>
      <c r="F526" s="17">
        <f>IF($E526="","",IFERROR(INDEX(nrCadetAgency,MATCH($E526,rngCadetPIDs,0)),""))</f>
        <v/>
      </c>
      <c r="G526" s="16" t="n"/>
      <c r="H526" s="16" t="n"/>
      <c r="I526" s="16" t="n"/>
      <c r="J526" s="16" t="n"/>
      <c r="K526" s="17">
        <f>IF($G526="","",IF(OR($G526="PT Missed",$G526="PT Modified",$G526="PT Refused"),"Yes","No"))</f>
        <v/>
      </c>
      <c r="L526" s="16" t="n"/>
      <c r="M526" s="16" t="n"/>
      <c r="N526" s="17">
        <f>IF($D526="","",IF($M526="Excused","No",IF(AND($G526="PT Modified",$L526="Received"),"No","Yes")))</f>
        <v/>
      </c>
      <c r="O526" s="16" t="n"/>
      <c r="P526" s="17">
        <f>IF(OR($B526="",N($I526)=0),"",MIN(N($I526),SUMIFS(nrMK_Min,nrMK_Link,$B526,nrMK_Credit,"Yes",nrMK_PID,$E526,nrMK_Type,"Classroom")))</f>
        <v/>
      </c>
      <c r="Q526" s="17">
        <f>IF(OR($B526="",N($J526)=0),"",MIN(N($J526),SUMIFS(nrMK_Sess,nrMK_Link,$B526,nrMK_Credit,"Yes",nrMK_PID,$E526,nrMK_Type,"PT")))</f>
        <v/>
      </c>
      <c r="R526" s="17">
        <f>IF(OR($B526="",$N526&lt;&gt;"Yes"),"",IF($K526="Yes",IF(N($J526)&gt;0,N($J526)-N($Q526),""),IF(N($I526)&gt;0,N($I526)-N($P526),"")))</f>
        <v/>
      </c>
      <c r="S526" s="17">
        <f>IF(OR($B526="",$R526=""),"",IF($R526&lt;=0,IF(IFERROR(_xlfn.MAXIFS(nrMK_Date,nrMK_Link,$B526,nrMK_Credit,"Yes",nrMK_PID,$E526),0)=0,"CLEARED (makeup date missing)","CLEARED "&amp;TEXT(_xlfn.MAXIFS(nrMK_Date,nrMK_Link,$B526,nrMK_Credit,"Yes",nrMK_PID,$E526),"mm/dd")),"OPEN"))</f>
        <v/>
      </c>
      <c r="T526" s="17">
        <f>IF($D526="","",IF($C526="","NO DATE",IF($G526="","NO EVENT TYPE",IF(AND($I526&lt;&gt;"",NOT(ISNUMBER($I526))),"MINUTES NOT A NUMBER",IF(AND($J526&lt;&gt;"",NOT(ISNUMBER($J526))),"SESSIONS NOT A NUMBER",IF(OR(N($I526)&lt;0,N($J526)&lt;0),"NEGATIVE MINUTES/SESSIONS",IF(AND($K526="Yes",N($I526)&gt;0),"MINUTES ON A PT EVENT - not counted (PT counts sessions)",IF(AND($K526="No",N($J526)&gt;0),"SESSIONS ON A CLASSROOM EVENT - not counted (classroom counts minutes)",IF(AND($N526="Yes",$K526="Yes",N($J526)=0),"COUNTED PT EVENT WITH NO SESSIONS - dropped from the PT cap",IF(AND($N526="Yes",$K526="No",N($I526)=0),"COUNTED EVENT WITH NO MINUTES - dropped from the classroom cap","OK"))))))))))</f>
        <v/>
      </c>
    </row>
    <row r="527">
      <c r="B527" s="17">
        <f>IF($D527="","","A"&amp;TEXT(ROW()-5,"000"))</f>
        <v/>
      </c>
      <c r="C527" s="18" t="n"/>
      <c r="D527" s="16" t="n"/>
      <c r="E527" s="17">
        <f>IF($D527="","",IFERROR(INDEX(rngCadetPIDs,MATCH($D527,rngCadetNames,0)),"?"))</f>
        <v/>
      </c>
      <c r="F527" s="17">
        <f>IF($E527="","",IFERROR(INDEX(nrCadetAgency,MATCH($E527,rngCadetPIDs,0)),""))</f>
        <v/>
      </c>
      <c r="G527" s="16" t="n"/>
      <c r="H527" s="16" t="n"/>
      <c r="I527" s="16" t="n"/>
      <c r="J527" s="16" t="n"/>
      <c r="K527" s="17">
        <f>IF($G527="","",IF(OR($G527="PT Missed",$G527="PT Modified",$G527="PT Refused"),"Yes","No"))</f>
        <v/>
      </c>
      <c r="L527" s="16" t="n"/>
      <c r="M527" s="16" t="n"/>
      <c r="N527" s="17">
        <f>IF($D527="","",IF($M527="Excused","No",IF(AND($G527="PT Modified",$L527="Received"),"No","Yes")))</f>
        <v/>
      </c>
      <c r="O527" s="16" t="n"/>
      <c r="P527" s="17">
        <f>IF(OR($B527="",N($I527)=0),"",MIN(N($I527),SUMIFS(nrMK_Min,nrMK_Link,$B527,nrMK_Credit,"Yes",nrMK_PID,$E527,nrMK_Type,"Classroom")))</f>
        <v/>
      </c>
      <c r="Q527" s="17">
        <f>IF(OR($B527="",N($J527)=0),"",MIN(N($J527),SUMIFS(nrMK_Sess,nrMK_Link,$B527,nrMK_Credit,"Yes",nrMK_PID,$E527,nrMK_Type,"PT")))</f>
        <v/>
      </c>
      <c r="R527" s="17">
        <f>IF(OR($B527="",$N527&lt;&gt;"Yes"),"",IF($K527="Yes",IF(N($J527)&gt;0,N($J527)-N($Q527),""),IF(N($I527)&gt;0,N($I527)-N($P527),"")))</f>
        <v/>
      </c>
      <c r="S527" s="17">
        <f>IF(OR($B527="",$R527=""),"",IF($R527&lt;=0,IF(IFERROR(_xlfn.MAXIFS(nrMK_Date,nrMK_Link,$B527,nrMK_Credit,"Yes",nrMK_PID,$E527),0)=0,"CLEARED (makeup date missing)","CLEARED "&amp;TEXT(_xlfn.MAXIFS(nrMK_Date,nrMK_Link,$B527,nrMK_Credit,"Yes",nrMK_PID,$E527),"mm/dd")),"OPEN"))</f>
        <v/>
      </c>
      <c r="T527" s="17">
        <f>IF($D527="","",IF($C527="","NO DATE",IF($G527="","NO EVENT TYPE",IF(AND($I527&lt;&gt;"",NOT(ISNUMBER($I527))),"MINUTES NOT A NUMBER",IF(AND($J527&lt;&gt;"",NOT(ISNUMBER($J527))),"SESSIONS NOT A NUMBER",IF(OR(N($I527)&lt;0,N($J527)&lt;0),"NEGATIVE MINUTES/SESSIONS",IF(AND($K527="Yes",N($I527)&gt;0),"MINUTES ON A PT EVENT - not counted (PT counts sessions)",IF(AND($K527="No",N($J527)&gt;0),"SESSIONS ON A CLASSROOM EVENT - not counted (classroom counts minutes)",IF(AND($N527="Yes",$K527="Yes",N($J527)=0),"COUNTED PT EVENT WITH NO SESSIONS - dropped from the PT cap",IF(AND($N527="Yes",$K527="No",N($I527)=0),"COUNTED EVENT WITH NO MINUTES - dropped from the classroom cap","OK"))))))))))</f>
        <v/>
      </c>
    </row>
    <row r="528">
      <c r="B528" s="17">
        <f>IF($D528="","","A"&amp;TEXT(ROW()-5,"000"))</f>
        <v/>
      </c>
      <c r="C528" s="18" t="n"/>
      <c r="D528" s="16" t="n"/>
      <c r="E528" s="17">
        <f>IF($D528="","",IFERROR(INDEX(rngCadetPIDs,MATCH($D528,rngCadetNames,0)),"?"))</f>
        <v/>
      </c>
      <c r="F528" s="17">
        <f>IF($E528="","",IFERROR(INDEX(nrCadetAgency,MATCH($E528,rngCadetPIDs,0)),""))</f>
        <v/>
      </c>
      <c r="G528" s="16" t="n"/>
      <c r="H528" s="16" t="n"/>
      <c r="I528" s="16" t="n"/>
      <c r="J528" s="16" t="n"/>
      <c r="K528" s="17">
        <f>IF($G528="","",IF(OR($G528="PT Missed",$G528="PT Modified",$G528="PT Refused"),"Yes","No"))</f>
        <v/>
      </c>
      <c r="L528" s="16" t="n"/>
      <c r="M528" s="16" t="n"/>
      <c r="N528" s="17">
        <f>IF($D528="","",IF($M528="Excused","No",IF(AND($G528="PT Modified",$L528="Received"),"No","Yes")))</f>
        <v/>
      </c>
      <c r="O528" s="16" t="n"/>
      <c r="P528" s="17">
        <f>IF(OR($B528="",N($I528)=0),"",MIN(N($I528),SUMIFS(nrMK_Min,nrMK_Link,$B528,nrMK_Credit,"Yes",nrMK_PID,$E528,nrMK_Type,"Classroom")))</f>
        <v/>
      </c>
      <c r="Q528" s="17">
        <f>IF(OR($B528="",N($J528)=0),"",MIN(N($J528),SUMIFS(nrMK_Sess,nrMK_Link,$B528,nrMK_Credit,"Yes",nrMK_PID,$E528,nrMK_Type,"PT")))</f>
        <v/>
      </c>
      <c r="R528" s="17">
        <f>IF(OR($B528="",$N528&lt;&gt;"Yes"),"",IF($K528="Yes",IF(N($J528)&gt;0,N($J528)-N($Q528),""),IF(N($I528)&gt;0,N($I528)-N($P528),"")))</f>
        <v/>
      </c>
      <c r="S528" s="17">
        <f>IF(OR($B528="",$R528=""),"",IF($R528&lt;=0,IF(IFERROR(_xlfn.MAXIFS(nrMK_Date,nrMK_Link,$B528,nrMK_Credit,"Yes",nrMK_PID,$E528),0)=0,"CLEARED (makeup date missing)","CLEARED "&amp;TEXT(_xlfn.MAXIFS(nrMK_Date,nrMK_Link,$B528,nrMK_Credit,"Yes",nrMK_PID,$E528),"mm/dd")),"OPEN"))</f>
        <v/>
      </c>
      <c r="T528" s="17">
        <f>IF($D528="","",IF($C528="","NO DATE",IF($G528="","NO EVENT TYPE",IF(AND($I528&lt;&gt;"",NOT(ISNUMBER($I528))),"MINUTES NOT A NUMBER",IF(AND($J528&lt;&gt;"",NOT(ISNUMBER($J528))),"SESSIONS NOT A NUMBER",IF(OR(N($I528)&lt;0,N($J528)&lt;0),"NEGATIVE MINUTES/SESSIONS",IF(AND($K528="Yes",N($I528)&gt;0),"MINUTES ON A PT EVENT - not counted (PT counts sessions)",IF(AND($K528="No",N($J528)&gt;0),"SESSIONS ON A CLASSROOM EVENT - not counted (classroom counts minutes)",IF(AND($N528="Yes",$K528="Yes",N($J528)=0),"COUNTED PT EVENT WITH NO SESSIONS - dropped from the PT cap",IF(AND($N528="Yes",$K528="No",N($I528)=0),"COUNTED EVENT WITH NO MINUTES - dropped from the classroom cap","OK"))))))))))</f>
        <v/>
      </c>
    </row>
    <row r="529">
      <c r="B529" s="17">
        <f>IF($D529="","","A"&amp;TEXT(ROW()-5,"000"))</f>
        <v/>
      </c>
      <c r="C529" s="18" t="n"/>
      <c r="D529" s="16" t="n"/>
      <c r="E529" s="17">
        <f>IF($D529="","",IFERROR(INDEX(rngCadetPIDs,MATCH($D529,rngCadetNames,0)),"?"))</f>
        <v/>
      </c>
      <c r="F529" s="17">
        <f>IF($E529="","",IFERROR(INDEX(nrCadetAgency,MATCH($E529,rngCadetPIDs,0)),""))</f>
        <v/>
      </c>
      <c r="G529" s="16" t="n"/>
      <c r="H529" s="16" t="n"/>
      <c r="I529" s="16" t="n"/>
      <c r="J529" s="16" t="n"/>
      <c r="K529" s="17">
        <f>IF($G529="","",IF(OR($G529="PT Missed",$G529="PT Modified",$G529="PT Refused"),"Yes","No"))</f>
        <v/>
      </c>
      <c r="L529" s="16" t="n"/>
      <c r="M529" s="16" t="n"/>
      <c r="N529" s="17">
        <f>IF($D529="","",IF($M529="Excused","No",IF(AND($G529="PT Modified",$L529="Received"),"No","Yes")))</f>
        <v/>
      </c>
      <c r="O529" s="16" t="n"/>
      <c r="P529" s="17">
        <f>IF(OR($B529="",N($I529)=0),"",MIN(N($I529),SUMIFS(nrMK_Min,nrMK_Link,$B529,nrMK_Credit,"Yes",nrMK_PID,$E529,nrMK_Type,"Classroom")))</f>
        <v/>
      </c>
      <c r="Q529" s="17">
        <f>IF(OR($B529="",N($J529)=0),"",MIN(N($J529),SUMIFS(nrMK_Sess,nrMK_Link,$B529,nrMK_Credit,"Yes",nrMK_PID,$E529,nrMK_Type,"PT")))</f>
        <v/>
      </c>
      <c r="R529" s="17">
        <f>IF(OR($B529="",$N529&lt;&gt;"Yes"),"",IF($K529="Yes",IF(N($J529)&gt;0,N($J529)-N($Q529),""),IF(N($I529)&gt;0,N($I529)-N($P529),"")))</f>
        <v/>
      </c>
      <c r="S529" s="17">
        <f>IF(OR($B529="",$R529=""),"",IF($R529&lt;=0,IF(IFERROR(_xlfn.MAXIFS(nrMK_Date,nrMK_Link,$B529,nrMK_Credit,"Yes",nrMK_PID,$E529),0)=0,"CLEARED (makeup date missing)","CLEARED "&amp;TEXT(_xlfn.MAXIFS(nrMK_Date,nrMK_Link,$B529,nrMK_Credit,"Yes",nrMK_PID,$E529),"mm/dd")),"OPEN"))</f>
        <v/>
      </c>
      <c r="T529" s="17">
        <f>IF($D529="","",IF($C529="","NO DATE",IF($G529="","NO EVENT TYPE",IF(AND($I529&lt;&gt;"",NOT(ISNUMBER($I529))),"MINUTES NOT A NUMBER",IF(AND($J529&lt;&gt;"",NOT(ISNUMBER($J529))),"SESSIONS NOT A NUMBER",IF(OR(N($I529)&lt;0,N($J529)&lt;0),"NEGATIVE MINUTES/SESSIONS",IF(AND($K529="Yes",N($I529)&gt;0),"MINUTES ON A PT EVENT - not counted (PT counts sessions)",IF(AND($K529="No",N($J529)&gt;0),"SESSIONS ON A CLASSROOM EVENT - not counted (classroom counts minutes)",IF(AND($N529="Yes",$K529="Yes",N($J529)=0),"COUNTED PT EVENT WITH NO SESSIONS - dropped from the PT cap",IF(AND($N529="Yes",$K529="No",N($I529)=0),"COUNTED EVENT WITH NO MINUTES - dropped from the classroom cap","OK"))))))))))</f>
        <v/>
      </c>
    </row>
    <row r="530">
      <c r="B530" s="17">
        <f>IF($D530="","","A"&amp;TEXT(ROW()-5,"000"))</f>
        <v/>
      </c>
      <c r="C530" s="18" t="n"/>
      <c r="D530" s="16" t="n"/>
      <c r="E530" s="17">
        <f>IF($D530="","",IFERROR(INDEX(rngCadetPIDs,MATCH($D530,rngCadetNames,0)),"?"))</f>
        <v/>
      </c>
      <c r="F530" s="17">
        <f>IF($E530="","",IFERROR(INDEX(nrCadetAgency,MATCH($E530,rngCadetPIDs,0)),""))</f>
        <v/>
      </c>
      <c r="G530" s="16" t="n"/>
      <c r="H530" s="16" t="n"/>
      <c r="I530" s="16" t="n"/>
      <c r="J530" s="16" t="n"/>
      <c r="K530" s="17">
        <f>IF($G530="","",IF(OR($G530="PT Missed",$G530="PT Modified",$G530="PT Refused"),"Yes","No"))</f>
        <v/>
      </c>
      <c r="L530" s="16" t="n"/>
      <c r="M530" s="16" t="n"/>
      <c r="N530" s="17">
        <f>IF($D530="","",IF($M530="Excused","No",IF(AND($G530="PT Modified",$L530="Received"),"No","Yes")))</f>
        <v/>
      </c>
      <c r="O530" s="16" t="n"/>
      <c r="P530" s="17">
        <f>IF(OR($B530="",N($I530)=0),"",MIN(N($I530),SUMIFS(nrMK_Min,nrMK_Link,$B530,nrMK_Credit,"Yes",nrMK_PID,$E530,nrMK_Type,"Classroom")))</f>
        <v/>
      </c>
      <c r="Q530" s="17">
        <f>IF(OR($B530="",N($J530)=0),"",MIN(N($J530),SUMIFS(nrMK_Sess,nrMK_Link,$B530,nrMK_Credit,"Yes",nrMK_PID,$E530,nrMK_Type,"PT")))</f>
        <v/>
      </c>
      <c r="R530" s="17">
        <f>IF(OR($B530="",$N530&lt;&gt;"Yes"),"",IF($K530="Yes",IF(N($J530)&gt;0,N($J530)-N($Q530),""),IF(N($I530)&gt;0,N($I530)-N($P530),"")))</f>
        <v/>
      </c>
      <c r="S530" s="17">
        <f>IF(OR($B530="",$R530=""),"",IF($R530&lt;=0,IF(IFERROR(_xlfn.MAXIFS(nrMK_Date,nrMK_Link,$B530,nrMK_Credit,"Yes",nrMK_PID,$E530),0)=0,"CLEARED (makeup date missing)","CLEARED "&amp;TEXT(_xlfn.MAXIFS(nrMK_Date,nrMK_Link,$B530,nrMK_Credit,"Yes",nrMK_PID,$E530),"mm/dd")),"OPEN"))</f>
        <v/>
      </c>
      <c r="T530" s="17">
        <f>IF($D530="","",IF($C530="","NO DATE",IF($G530="","NO EVENT TYPE",IF(AND($I530&lt;&gt;"",NOT(ISNUMBER($I530))),"MINUTES NOT A NUMBER",IF(AND($J530&lt;&gt;"",NOT(ISNUMBER($J530))),"SESSIONS NOT A NUMBER",IF(OR(N($I530)&lt;0,N($J530)&lt;0),"NEGATIVE MINUTES/SESSIONS",IF(AND($K530="Yes",N($I530)&gt;0),"MINUTES ON A PT EVENT - not counted (PT counts sessions)",IF(AND($K530="No",N($J530)&gt;0),"SESSIONS ON A CLASSROOM EVENT - not counted (classroom counts minutes)",IF(AND($N530="Yes",$K530="Yes",N($J530)=0),"COUNTED PT EVENT WITH NO SESSIONS - dropped from the PT cap",IF(AND($N530="Yes",$K530="No",N($I530)=0),"COUNTED EVENT WITH NO MINUTES - dropped from the classroom cap","OK"))))))))))</f>
        <v/>
      </c>
    </row>
    <row r="531">
      <c r="B531" s="17">
        <f>IF($D531="","","A"&amp;TEXT(ROW()-5,"000"))</f>
        <v/>
      </c>
      <c r="C531" s="18" t="n"/>
      <c r="D531" s="16" t="n"/>
      <c r="E531" s="17">
        <f>IF($D531="","",IFERROR(INDEX(rngCadetPIDs,MATCH($D531,rngCadetNames,0)),"?"))</f>
        <v/>
      </c>
      <c r="F531" s="17">
        <f>IF($E531="","",IFERROR(INDEX(nrCadetAgency,MATCH($E531,rngCadetPIDs,0)),""))</f>
        <v/>
      </c>
      <c r="G531" s="16" t="n"/>
      <c r="H531" s="16" t="n"/>
      <c r="I531" s="16" t="n"/>
      <c r="J531" s="16" t="n"/>
      <c r="K531" s="17">
        <f>IF($G531="","",IF(OR($G531="PT Missed",$G531="PT Modified",$G531="PT Refused"),"Yes","No"))</f>
        <v/>
      </c>
      <c r="L531" s="16" t="n"/>
      <c r="M531" s="16" t="n"/>
      <c r="N531" s="17">
        <f>IF($D531="","",IF($M531="Excused","No",IF(AND($G531="PT Modified",$L531="Received"),"No","Yes")))</f>
        <v/>
      </c>
      <c r="O531" s="16" t="n"/>
      <c r="P531" s="17">
        <f>IF(OR($B531="",N($I531)=0),"",MIN(N($I531),SUMIFS(nrMK_Min,nrMK_Link,$B531,nrMK_Credit,"Yes",nrMK_PID,$E531,nrMK_Type,"Classroom")))</f>
        <v/>
      </c>
      <c r="Q531" s="17">
        <f>IF(OR($B531="",N($J531)=0),"",MIN(N($J531),SUMIFS(nrMK_Sess,nrMK_Link,$B531,nrMK_Credit,"Yes",nrMK_PID,$E531,nrMK_Type,"PT")))</f>
        <v/>
      </c>
      <c r="R531" s="17">
        <f>IF(OR($B531="",$N531&lt;&gt;"Yes"),"",IF($K531="Yes",IF(N($J531)&gt;0,N($J531)-N($Q531),""),IF(N($I531)&gt;0,N($I531)-N($P531),"")))</f>
        <v/>
      </c>
      <c r="S531" s="17">
        <f>IF(OR($B531="",$R531=""),"",IF($R531&lt;=0,IF(IFERROR(_xlfn.MAXIFS(nrMK_Date,nrMK_Link,$B531,nrMK_Credit,"Yes",nrMK_PID,$E531),0)=0,"CLEARED (makeup date missing)","CLEARED "&amp;TEXT(_xlfn.MAXIFS(nrMK_Date,nrMK_Link,$B531,nrMK_Credit,"Yes",nrMK_PID,$E531),"mm/dd")),"OPEN"))</f>
        <v/>
      </c>
      <c r="T531" s="17">
        <f>IF($D531="","",IF($C531="","NO DATE",IF($G531="","NO EVENT TYPE",IF(AND($I531&lt;&gt;"",NOT(ISNUMBER($I531))),"MINUTES NOT A NUMBER",IF(AND($J531&lt;&gt;"",NOT(ISNUMBER($J531))),"SESSIONS NOT A NUMBER",IF(OR(N($I531)&lt;0,N($J531)&lt;0),"NEGATIVE MINUTES/SESSIONS",IF(AND($K531="Yes",N($I531)&gt;0),"MINUTES ON A PT EVENT - not counted (PT counts sessions)",IF(AND($K531="No",N($J531)&gt;0),"SESSIONS ON A CLASSROOM EVENT - not counted (classroom counts minutes)",IF(AND($N531="Yes",$K531="Yes",N($J531)=0),"COUNTED PT EVENT WITH NO SESSIONS - dropped from the PT cap",IF(AND($N531="Yes",$K531="No",N($I531)=0),"COUNTED EVENT WITH NO MINUTES - dropped from the classroom cap","OK"))))))))))</f>
        <v/>
      </c>
    </row>
    <row r="532">
      <c r="B532" s="17">
        <f>IF($D532="","","A"&amp;TEXT(ROW()-5,"000"))</f>
        <v/>
      </c>
      <c r="C532" s="18" t="n"/>
      <c r="D532" s="16" t="n"/>
      <c r="E532" s="17">
        <f>IF($D532="","",IFERROR(INDEX(rngCadetPIDs,MATCH($D532,rngCadetNames,0)),"?"))</f>
        <v/>
      </c>
      <c r="F532" s="17">
        <f>IF($E532="","",IFERROR(INDEX(nrCadetAgency,MATCH($E532,rngCadetPIDs,0)),""))</f>
        <v/>
      </c>
      <c r="G532" s="16" t="n"/>
      <c r="H532" s="16" t="n"/>
      <c r="I532" s="16" t="n"/>
      <c r="J532" s="16" t="n"/>
      <c r="K532" s="17">
        <f>IF($G532="","",IF(OR($G532="PT Missed",$G532="PT Modified",$G532="PT Refused"),"Yes","No"))</f>
        <v/>
      </c>
      <c r="L532" s="16" t="n"/>
      <c r="M532" s="16" t="n"/>
      <c r="N532" s="17">
        <f>IF($D532="","",IF($M532="Excused","No",IF(AND($G532="PT Modified",$L532="Received"),"No","Yes")))</f>
        <v/>
      </c>
      <c r="O532" s="16" t="n"/>
      <c r="P532" s="17">
        <f>IF(OR($B532="",N($I532)=0),"",MIN(N($I532),SUMIFS(nrMK_Min,nrMK_Link,$B532,nrMK_Credit,"Yes",nrMK_PID,$E532,nrMK_Type,"Classroom")))</f>
        <v/>
      </c>
      <c r="Q532" s="17">
        <f>IF(OR($B532="",N($J532)=0),"",MIN(N($J532),SUMIFS(nrMK_Sess,nrMK_Link,$B532,nrMK_Credit,"Yes",nrMK_PID,$E532,nrMK_Type,"PT")))</f>
        <v/>
      </c>
      <c r="R532" s="17">
        <f>IF(OR($B532="",$N532&lt;&gt;"Yes"),"",IF($K532="Yes",IF(N($J532)&gt;0,N($J532)-N($Q532),""),IF(N($I532)&gt;0,N($I532)-N($P532),"")))</f>
        <v/>
      </c>
      <c r="S532" s="17">
        <f>IF(OR($B532="",$R532=""),"",IF($R532&lt;=0,IF(IFERROR(_xlfn.MAXIFS(nrMK_Date,nrMK_Link,$B532,nrMK_Credit,"Yes",nrMK_PID,$E532),0)=0,"CLEARED (makeup date missing)","CLEARED "&amp;TEXT(_xlfn.MAXIFS(nrMK_Date,nrMK_Link,$B532,nrMK_Credit,"Yes",nrMK_PID,$E532),"mm/dd")),"OPEN"))</f>
        <v/>
      </c>
      <c r="T532" s="17">
        <f>IF($D532="","",IF($C532="","NO DATE",IF($G532="","NO EVENT TYPE",IF(AND($I532&lt;&gt;"",NOT(ISNUMBER($I532))),"MINUTES NOT A NUMBER",IF(AND($J532&lt;&gt;"",NOT(ISNUMBER($J532))),"SESSIONS NOT A NUMBER",IF(OR(N($I532)&lt;0,N($J532)&lt;0),"NEGATIVE MINUTES/SESSIONS",IF(AND($K532="Yes",N($I532)&gt;0),"MINUTES ON A PT EVENT - not counted (PT counts sessions)",IF(AND($K532="No",N($J532)&gt;0),"SESSIONS ON A CLASSROOM EVENT - not counted (classroom counts minutes)",IF(AND($N532="Yes",$K532="Yes",N($J532)=0),"COUNTED PT EVENT WITH NO SESSIONS - dropped from the PT cap",IF(AND($N532="Yes",$K532="No",N($I532)=0),"COUNTED EVENT WITH NO MINUTES - dropped from the classroom cap","OK"))))))))))</f>
        <v/>
      </c>
    </row>
    <row r="533">
      <c r="B533" s="17">
        <f>IF($D533="","","A"&amp;TEXT(ROW()-5,"000"))</f>
        <v/>
      </c>
      <c r="C533" s="18" t="n"/>
      <c r="D533" s="16" t="n"/>
      <c r="E533" s="17">
        <f>IF($D533="","",IFERROR(INDEX(rngCadetPIDs,MATCH($D533,rngCadetNames,0)),"?"))</f>
        <v/>
      </c>
      <c r="F533" s="17">
        <f>IF($E533="","",IFERROR(INDEX(nrCadetAgency,MATCH($E533,rngCadetPIDs,0)),""))</f>
        <v/>
      </c>
      <c r="G533" s="16" t="n"/>
      <c r="H533" s="16" t="n"/>
      <c r="I533" s="16" t="n"/>
      <c r="J533" s="16" t="n"/>
      <c r="K533" s="17">
        <f>IF($G533="","",IF(OR($G533="PT Missed",$G533="PT Modified",$G533="PT Refused"),"Yes","No"))</f>
        <v/>
      </c>
      <c r="L533" s="16" t="n"/>
      <c r="M533" s="16" t="n"/>
      <c r="N533" s="17">
        <f>IF($D533="","",IF($M533="Excused","No",IF(AND($G533="PT Modified",$L533="Received"),"No","Yes")))</f>
        <v/>
      </c>
      <c r="O533" s="16" t="n"/>
      <c r="P533" s="17">
        <f>IF(OR($B533="",N($I533)=0),"",MIN(N($I533),SUMIFS(nrMK_Min,nrMK_Link,$B533,nrMK_Credit,"Yes",nrMK_PID,$E533,nrMK_Type,"Classroom")))</f>
        <v/>
      </c>
      <c r="Q533" s="17">
        <f>IF(OR($B533="",N($J533)=0),"",MIN(N($J533),SUMIFS(nrMK_Sess,nrMK_Link,$B533,nrMK_Credit,"Yes",nrMK_PID,$E533,nrMK_Type,"PT")))</f>
        <v/>
      </c>
      <c r="R533" s="17">
        <f>IF(OR($B533="",$N533&lt;&gt;"Yes"),"",IF($K533="Yes",IF(N($J533)&gt;0,N($J533)-N($Q533),""),IF(N($I533)&gt;0,N($I533)-N($P533),"")))</f>
        <v/>
      </c>
      <c r="S533" s="17">
        <f>IF(OR($B533="",$R533=""),"",IF($R533&lt;=0,IF(IFERROR(_xlfn.MAXIFS(nrMK_Date,nrMK_Link,$B533,nrMK_Credit,"Yes",nrMK_PID,$E533),0)=0,"CLEARED (makeup date missing)","CLEARED "&amp;TEXT(_xlfn.MAXIFS(nrMK_Date,nrMK_Link,$B533,nrMK_Credit,"Yes",nrMK_PID,$E533),"mm/dd")),"OPEN"))</f>
        <v/>
      </c>
      <c r="T533" s="17">
        <f>IF($D533="","",IF($C533="","NO DATE",IF($G533="","NO EVENT TYPE",IF(AND($I533&lt;&gt;"",NOT(ISNUMBER($I533))),"MINUTES NOT A NUMBER",IF(AND($J533&lt;&gt;"",NOT(ISNUMBER($J533))),"SESSIONS NOT A NUMBER",IF(OR(N($I533)&lt;0,N($J533)&lt;0),"NEGATIVE MINUTES/SESSIONS",IF(AND($K533="Yes",N($I533)&gt;0),"MINUTES ON A PT EVENT - not counted (PT counts sessions)",IF(AND($K533="No",N($J533)&gt;0),"SESSIONS ON A CLASSROOM EVENT - not counted (classroom counts minutes)",IF(AND($N533="Yes",$K533="Yes",N($J533)=0),"COUNTED PT EVENT WITH NO SESSIONS - dropped from the PT cap",IF(AND($N533="Yes",$K533="No",N($I533)=0),"COUNTED EVENT WITH NO MINUTES - dropped from the classroom cap","OK"))))))))))</f>
        <v/>
      </c>
    </row>
    <row r="534">
      <c r="B534" s="17">
        <f>IF($D534="","","A"&amp;TEXT(ROW()-5,"000"))</f>
        <v/>
      </c>
      <c r="C534" s="18" t="n"/>
      <c r="D534" s="16" t="n"/>
      <c r="E534" s="17">
        <f>IF($D534="","",IFERROR(INDEX(rngCadetPIDs,MATCH($D534,rngCadetNames,0)),"?"))</f>
        <v/>
      </c>
      <c r="F534" s="17">
        <f>IF($E534="","",IFERROR(INDEX(nrCadetAgency,MATCH($E534,rngCadetPIDs,0)),""))</f>
        <v/>
      </c>
      <c r="G534" s="16" t="n"/>
      <c r="H534" s="16" t="n"/>
      <c r="I534" s="16" t="n"/>
      <c r="J534" s="16" t="n"/>
      <c r="K534" s="17">
        <f>IF($G534="","",IF(OR($G534="PT Missed",$G534="PT Modified",$G534="PT Refused"),"Yes","No"))</f>
        <v/>
      </c>
      <c r="L534" s="16" t="n"/>
      <c r="M534" s="16" t="n"/>
      <c r="N534" s="17">
        <f>IF($D534="","",IF($M534="Excused","No",IF(AND($G534="PT Modified",$L534="Received"),"No","Yes")))</f>
        <v/>
      </c>
      <c r="O534" s="16" t="n"/>
      <c r="P534" s="17">
        <f>IF(OR($B534="",N($I534)=0),"",MIN(N($I534),SUMIFS(nrMK_Min,nrMK_Link,$B534,nrMK_Credit,"Yes",nrMK_PID,$E534,nrMK_Type,"Classroom")))</f>
        <v/>
      </c>
      <c r="Q534" s="17">
        <f>IF(OR($B534="",N($J534)=0),"",MIN(N($J534),SUMIFS(nrMK_Sess,nrMK_Link,$B534,nrMK_Credit,"Yes",nrMK_PID,$E534,nrMK_Type,"PT")))</f>
        <v/>
      </c>
      <c r="R534" s="17">
        <f>IF(OR($B534="",$N534&lt;&gt;"Yes"),"",IF($K534="Yes",IF(N($J534)&gt;0,N($J534)-N($Q534),""),IF(N($I534)&gt;0,N($I534)-N($P534),"")))</f>
        <v/>
      </c>
      <c r="S534" s="17">
        <f>IF(OR($B534="",$R534=""),"",IF($R534&lt;=0,IF(IFERROR(_xlfn.MAXIFS(nrMK_Date,nrMK_Link,$B534,nrMK_Credit,"Yes",nrMK_PID,$E534),0)=0,"CLEARED (makeup date missing)","CLEARED "&amp;TEXT(_xlfn.MAXIFS(nrMK_Date,nrMK_Link,$B534,nrMK_Credit,"Yes",nrMK_PID,$E534),"mm/dd")),"OPEN"))</f>
        <v/>
      </c>
      <c r="T534" s="17">
        <f>IF($D534="","",IF($C534="","NO DATE",IF($G534="","NO EVENT TYPE",IF(AND($I534&lt;&gt;"",NOT(ISNUMBER($I534))),"MINUTES NOT A NUMBER",IF(AND($J534&lt;&gt;"",NOT(ISNUMBER($J534))),"SESSIONS NOT A NUMBER",IF(OR(N($I534)&lt;0,N($J534)&lt;0),"NEGATIVE MINUTES/SESSIONS",IF(AND($K534="Yes",N($I534)&gt;0),"MINUTES ON A PT EVENT - not counted (PT counts sessions)",IF(AND($K534="No",N($J534)&gt;0),"SESSIONS ON A CLASSROOM EVENT - not counted (classroom counts minutes)",IF(AND($N534="Yes",$K534="Yes",N($J534)=0),"COUNTED PT EVENT WITH NO SESSIONS - dropped from the PT cap",IF(AND($N534="Yes",$K534="No",N($I534)=0),"COUNTED EVENT WITH NO MINUTES - dropped from the classroom cap","OK"))))))))))</f>
        <v/>
      </c>
    </row>
    <row r="535">
      <c r="B535" s="17">
        <f>IF($D535="","","A"&amp;TEXT(ROW()-5,"000"))</f>
        <v/>
      </c>
      <c r="C535" s="18" t="n"/>
      <c r="D535" s="16" t="n"/>
      <c r="E535" s="17">
        <f>IF($D535="","",IFERROR(INDEX(rngCadetPIDs,MATCH($D535,rngCadetNames,0)),"?"))</f>
        <v/>
      </c>
      <c r="F535" s="17">
        <f>IF($E535="","",IFERROR(INDEX(nrCadetAgency,MATCH($E535,rngCadetPIDs,0)),""))</f>
        <v/>
      </c>
      <c r="G535" s="16" t="n"/>
      <c r="H535" s="16" t="n"/>
      <c r="I535" s="16" t="n"/>
      <c r="J535" s="16" t="n"/>
      <c r="K535" s="17">
        <f>IF($G535="","",IF(OR($G535="PT Missed",$G535="PT Modified",$G535="PT Refused"),"Yes","No"))</f>
        <v/>
      </c>
      <c r="L535" s="16" t="n"/>
      <c r="M535" s="16" t="n"/>
      <c r="N535" s="17">
        <f>IF($D535="","",IF($M535="Excused","No",IF(AND($G535="PT Modified",$L535="Received"),"No","Yes")))</f>
        <v/>
      </c>
      <c r="O535" s="16" t="n"/>
      <c r="P535" s="17">
        <f>IF(OR($B535="",N($I535)=0),"",MIN(N($I535),SUMIFS(nrMK_Min,nrMK_Link,$B535,nrMK_Credit,"Yes",nrMK_PID,$E535,nrMK_Type,"Classroom")))</f>
        <v/>
      </c>
      <c r="Q535" s="17">
        <f>IF(OR($B535="",N($J535)=0),"",MIN(N($J535),SUMIFS(nrMK_Sess,nrMK_Link,$B535,nrMK_Credit,"Yes",nrMK_PID,$E535,nrMK_Type,"PT")))</f>
        <v/>
      </c>
      <c r="R535" s="17">
        <f>IF(OR($B535="",$N535&lt;&gt;"Yes"),"",IF($K535="Yes",IF(N($J535)&gt;0,N($J535)-N($Q535),""),IF(N($I535)&gt;0,N($I535)-N($P535),"")))</f>
        <v/>
      </c>
      <c r="S535" s="17">
        <f>IF(OR($B535="",$R535=""),"",IF($R535&lt;=0,IF(IFERROR(_xlfn.MAXIFS(nrMK_Date,nrMK_Link,$B535,nrMK_Credit,"Yes",nrMK_PID,$E535),0)=0,"CLEARED (makeup date missing)","CLEARED "&amp;TEXT(_xlfn.MAXIFS(nrMK_Date,nrMK_Link,$B535,nrMK_Credit,"Yes",nrMK_PID,$E535),"mm/dd")),"OPEN"))</f>
        <v/>
      </c>
      <c r="T535" s="17">
        <f>IF($D535="","",IF($C535="","NO DATE",IF($G535="","NO EVENT TYPE",IF(AND($I535&lt;&gt;"",NOT(ISNUMBER($I535))),"MINUTES NOT A NUMBER",IF(AND($J535&lt;&gt;"",NOT(ISNUMBER($J535))),"SESSIONS NOT A NUMBER",IF(OR(N($I535)&lt;0,N($J535)&lt;0),"NEGATIVE MINUTES/SESSIONS",IF(AND($K535="Yes",N($I535)&gt;0),"MINUTES ON A PT EVENT - not counted (PT counts sessions)",IF(AND($K535="No",N($J535)&gt;0),"SESSIONS ON A CLASSROOM EVENT - not counted (classroom counts minutes)",IF(AND($N535="Yes",$K535="Yes",N($J535)=0),"COUNTED PT EVENT WITH NO SESSIONS - dropped from the PT cap",IF(AND($N535="Yes",$K535="No",N($I535)=0),"COUNTED EVENT WITH NO MINUTES - dropped from the classroom cap","OK"))))))))))</f>
        <v/>
      </c>
    </row>
    <row r="536">
      <c r="B536" s="17">
        <f>IF($D536="","","A"&amp;TEXT(ROW()-5,"000"))</f>
        <v/>
      </c>
      <c r="C536" s="18" t="n"/>
      <c r="D536" s="16" t="n"/>
      <c r="E536" s="17">
        <f>IF($D536="","",IFERROR(INDEX(rngCadetPIDs,MATCH($D536,rngCadetNames,0)),"?"))</f>
        <v/>
      </c>
      <c r="F536" s="17">
        <f>IF($E536="","",IFERROR(INDEX(nrCadetAgency,MATCH($E536,rngCadetPIDs,0)),""))</f>
        <v/>
      </c>
      <c r="G536" s="16" t="n"/>
      <c r="H536" s="16" t="n"/>
      <c r="I536" s="16" t="n"/>
      <c r="J536" s="16" t="n"/>
      <c r="K536" s="17">
        <f>IF($G536="","",IF(OR($G536="PT Missed",$G536="PT Modified",$G536="PT Refused"),"Yes","No"))</f>
        <v/>
      </c>
      <c r="L536" s="16" t="n"/>
      <c r="M536" s="16" t="n"/>
      <c r="N536" s="17">
        <f>IF($D536="","",IF($M536="Excused","No",IF(AND($G536="PT Modified",$L536="Received"),"No","Yes")))</f>
        <v/>
      </c>
      <c r="O536" s="16" t="n"/>
      <c r="P536" s="17">
        <f>IF(OR($B536="",N($I536)=0),"",MIN(N($I536),SUMIFS(nrMK_Min,nrMK_Link,$B536,nrMK_Credit,"Yes",nrMK_PID,$E536,nrMK_Type,"Classroom")))</f>
        <v/>
      </c>
      <c r="Q536" s="17">
        <f>IF(OR($B536="",N($J536)=0),"",MIN(N($J536),SUMIFS(nrMK_Sess,nrMK_Link,$B536,nrMK_Credit,"Yes",nrMK_PID,$E536,nrMK_Type,"PT")))</f>
        <v/>
      </c>
      <c r="R536" s="17">
        <f>IF(OR($B536="",$N536&lt;&gt;"Yes"),"",IF($K536="Yes",IF(N($J536)&gt;0,N($J536)-N($Q536),""),IF(N($I536)&gt;0,N($I536)-N($P536),"")))</f>
        <v/>
      </c>
      <c r="S536" s="17">
        <f>IF(OR($B536="",$R536=""),"",IF($R536&lt;=0,IF(IFERROR(_xlfn.MAXIFS(nrMK_Date,nrMK_Link,$B536,nrMK_Credit,"Yes",nrMK_PID,$E536),0)=0,"CLEARED (makeup date missing)","CLEARED "&amp;TEXT(_xlfn.MAXIFS(nrMK_Date,nrMK_Link,$B536,nrMK_Credit,"Yes",nrMK_PID,$E536),"mm/dd")),"OPEN"))</f>
        <v/>
      </c>
      <c r="T536" s="17">
        <f>IF($D536="","",IF($C536="","NO DATE",IF($G536="","NO EVENT TYPE",IF(AND($I536&lt;&gt;"",NOT(ISNUMBER($I536))),"MINUTES NOT A NUMBER",IF(AND($J536&lt;&gt;"",NOT(ISNUMBER($J536))),"SESSIONS NOT A NUMBER",IF(OR(N($I536)&lt;0,N($J536)&lt;0),"NEGATIVE MINUTES/SESSIONS",IF(AND($K536="Yes",N($I536)&gt;0),"MINUTES ON A PT EVENT - not counted (PT counts sessions)",IF(AND($K536="No",N($J536)&gt;0),"SESSIONS ON A CLASSROOM EVENT - not counted (classroom counts minutes)",IF(AND($N536="Yes",$K536="Yes",N($J536)=0),"COUNTED PT EVENT WITH NO SESSIONS - dropped from the PT cap",IF(AND($N536="Yes",$K536="No",N($I536)=0),"COUNTED EVENT WITH NO MINUTES - dropped from the classroom cap","OK"))))))))))</f>
        <v/>
      </c>
    </row>
    <row r="537">
      <c r="B537" s="17">
        <f>IF($D537="","","A"&amp;TEXT(ROW()-5,"000"))</f>
        <v/>
      </c>
      <c r="C537" s="18" t="n"/>
      <c r="D537" s="16" t="n"/>
      <c r="E537" s="17">
        <f>IF($D537="","",IFERROR(INDEX(rngCadetPIDs,MATCH($D537,rngCadetNames,0)),"?"))</f>
        <v/>
      </c>
      <c r="F537" s="17">
        <f>IF($E537="","",IFERROR(INDEX(nrCadetAgency,MATCH($E537,rngCadetPIDs,0)),""))</f>
        <v/>
      </c>
      <c r="G537" s="16" t="n"/>
      <c r="H537" s="16" t="n"/>
      <c r="I537" s="16" t="n"/>
      <c r="J537" s="16" t="n"/>
      <c r="K537" s="17">
        <f>IF($G537="","",IF(OR($G537="PT Missed",$G537="PT Modified",$G537="PT Refused"),"Yes","No"))</f>
        <v/>
      </c>
      <c r="L537" s="16" t="n"/>
      <c r="M537" s="16" t="n"/>
      <c r="N537" s="17">
        <f>IF($D537="","",IF($M537="Excused","No",IF(AND($G537="PT Modified",$L537="Received"),"No","Yes")))</f>
        <v/>
      </c>
      <c r="O537" s="16" t="n"/>
      <c r="P537" s="17">
        <f>IF(OR($B537="",N($I537)=0),"",MIN(N($I537),SUMIFS(nrMK_Min,nrMK_Link,$B537,nrMK_Credit,"Yes",nrMK_PID,$E537,nrMK_Type,"Classroom")))</f>
        <v/>
      </c>
      <c r="Q537" s="17">
        <f>IF(OR($B537="",N($J537)=0),"",MIN(N($J537),SUMIFS(nrMK_Sess,nrMK_Link,$B537,nrMK_Credit,"Yes",nrMK_PID,$E537,nrMK_Type,"PT")))</f>
        <v/>
      </c>
      <c r="R537" s="17">
        <f>IF(OR($B537="",$N537&lt;&gt;"Yes"),"",IF($K537="Yes",IF(N($J537)&gt;0,N($J537)-N($Q537),""),IF(N($I537)&gt;0,N($I537)-N($P537),"")))</f>
        <v/>
      </c>
      <c r="S537" s="17">
        <f>IF(OR($B537="",$R537=""),"",IF($R537&lt;=0,IF(IFERROR(_xlfn.MAXIFS(nrMK_Date,nrMK_Link,$B537,nrMK_Credit,"Yes",nrMK_PID,$E537),0)=0,"CLEARED (makeup date missing)","CLEARED "&amp;TEXT(_xlfn.MAXIFS(nrMK_Date,nrMK_Link,$B537,nrMK_Credit,"Yes",nrMK_PID,$E537),"mm/dd")),"OPEN"))</f>
        <v/>
      </c>
      <c r="T537" s="17">
        <f>IF($D537="","",IF($C537="","NO DATE",IF($G537="","NO EVENT TYPE",IF(AND($I537&lt;&gt;"",NOT(ISNUMBER($I537))),"MINUTES NOT A NUMBER",IF(AND($J537&lt;&gt;"",NOT(ISNUMBER($J537))),"SESSIONS NOT A NUMBER",IF(OR(N($I537)&lt;0,N($J537)&lt;0),"NEGATIVE MINUTES/SESSIONS",IF(AND($K537="Yes",N($I537)&gt;0),"MINUTES ON A PT EVENT - not counted (PT counts sessions)",IF(AND($K537="No",N($J537)&gt;0),"SESSIONS ON A CLASSROOM EVENT - not counted (classroom counts minutes)",IF(AND($N537="Yes",$K537="Yes",N($J537)=0),"COUNTED PT EVENT WITH NO SESSIONS - dropped from the PT cap",IF(AND($N537="Yes",$K537="No",N($I537)=0),"COUNTED EVENT WITH NO MINUTES - dropped from the classroom cap","OK"))))))))))</f>
        <v/>
      </c>
    </row>
    <row r="538">
      <c r="B538" s="17">
        <f>IF($D538="","","A"&amp;TEXT(ROW()-5,"000"))</f>
        <v/>
      </c>
      <c r="C538" s="18" t="n"/>
      <c r="D538" s="16" t="n"/>
      <c r="E538" s="17">
        <f>IF($D538="","",IFERROR(INDEX(rngCadetPIDs,MATCH($D538,rngCadetNames,0)),"?"))</f>
        <v/>
      </c>
      <c r="F538" s="17">
        <f>IF($E538="","",IFERROR(INDEX(nrCadetAgency,MATCH($E538,rngCadetPIDs,0)),""))</f>
        <v/>
      </c>
      <c r="G538" s="16" t="n"/>
      <c r="H538" s="16" t="n"/>
      <c r="I538" s="16" t="n"/>
      <c r="J538" s="16" t="n"/>
      <c r="K538" s="17">
        <f>IF($G538="","",IF(OR($G538="PT Missed",$G538="PT Modified",$G538="PT Refused"),"Yes","No"))</f>
        <v/>
      </c>
      <c r="L538" s="16" t="n"/>
      <c r="M538" s="16" t="n"/>
      <c r="N538" s="17">
        <f>IF($D538="","",IF($M538="Excused","No",IF(AND($G538="PT Modified",$L538="Received"),"No","Yes")))</f>
        <v/>
      </c>
      <c r="O538" s="16" t="n"/>
      <c r="P538" s="17">
        <f>IF(OR($B538="",N($I538)=0),"",MIN(N($I538),SUMIFS(nrMK_Min,nrMK_Link,$B538,nrMK_Credit,"Yes",nrMK_PID,$E538,nrMK_Type,"Classroom")))</f>
        <v/>
      </c>
      <c r="Q538" s="17">
        <f>IF(OR($B538="",N($J538)=0),"",MIN(N($J538),SUMIFS(nrMK_Sess,nrMK_Link,$B538,nrMK_Credit,"Yes",nrMK_PID,$E538,nrMK_Type,"PT")))</f>
        <v/>
      </c>
      <c r="R538" s="17">
        <f>IF(OR($B538="",$N538&lt;&gt;"Yes"),"",IF($K538="Yes",IF(N($J538)&gt;0,N($J538)-N($Q538),""),IF(N($I538)&gt;0,N($I538)-N($P538),"")))</f>
        <v/>
      </c>
      <c r="S538" s="17">
        <f>IF(OR($B538="",$R538=""),"",IF($R538&lt;=0,IF(IFERROR(_xlfn.MAXIFS(nrMK_Date,nrMK_Link,$B538,nrMK_Credit,"Yes",nrMK_PID,$E538),0)=0,"CLEARED (makeup date missing)","CLEARED "&amp;TEXT(_xlfn.MAXIFS(nrMK_Date,nrMK_Link,$B538,nrMK_Credit,"Yes",nrMK_PID,$E538),"mm/dd")),"OPEN"))</f>
        <v/>
      </c>
      <c r="T538" s="17">
        <f>IF($D538="","",IF($C538="","NO DATE",IF($G538="","NO EVENT TYPE",IF(AND($I538&lt;&gt;"",NOT(ISNUMBER($I538))),"MINUTES NOT A NUMBER",IF(AND($J538&lt;&gt;"",NOT(ISNUMBER($J538))),"SESSIONS NOT A NUMBER",IF(OR(N($I538)&lt;0,N($J538)&lt;0),"NEGATIVE MINUTES/SESSIONS",IF(AND($K538="Yes",N($I538)&gt;0),"MINUTES ON A PT EVENT - not counted (PT counts sessions)",IF(AND($K538="No",N($J538)&gt;0),"SESSIONS ON A CLASSROOM EVENT - not counted (classroom counts minutes)",IF(AND($N538="Yes",$K538="Yes",N($J538)=0),"COUNTED PT EVENT WITH NO SESSIONS - dropped from the PT cap",IF(AND($N538="Yes",$K538="No",N($I538)=0),"COUNTED EVENT WITH NO MINUTES - dropped from the classroom cap","OK"))))))))))</f>
        <v/>
      </c>
    </row>
    <row r="539">
      <c r="B539" s="17">
        <f>IF($D539="","","A"&amp;TEXT(ROW()-5,"000"))</f>
        <v/>
      </c>
      <c r="C539" s="18" t="n"/>
      <c r="D539" s="16" t="n"/>
      <c r="E539" s="17">
        <f>IF($D539="","",IFERROR(INDEX(rngCadetPIDs,MATCH($D539,rngCadetNames,0)),"?"))</f>
        <v/>
      </c>
      <c r="F539" s="17">
        <f>IF($E539="","",IFERROR(INDEX(nrCadetAgency,MATCH($E539,rngCadetPIDs,0)),""))</f>
        <v/>
      </c>
      <c r="G539" s="16" t="n"/>
      <c r="H539" s="16" t="n"/>
      <c r="I539" s="16" t="n"/>
      <c r="J539" s="16" t="n"/>
      <c r="K539" s="17">
        <f>IF($G539="","",IF(OR($G539="PT Missed",$G539="PT Modified",$G539="PT Refused"),"Yes","No"))</f>
        <v/>
      </c>
      <c r="L539" s="16" t="n"/>
      <c r="M539" s="16" t="n"/>
      <c r="N539" s="17">
        <f>IF($D539="","",IF($M539="Excused","No",IF(AND($G539="PT Modified",$L539="Received"),"No","Yes")))</f>
        <v/>
      </c>
      <c r="O539" s="16" t="n"/>
      <c r="P539" s="17">
        <f>IF(OR($B539="",N($I539)=0),"",MIN(N($I539),SUMIFS(nrMK_Min,nrMK_Link,$B539,nrMK_Credit,"Yes",nrMK_PID,$E539,nrMK_Type,"Classroom")))</f>
        <v/>
      </c>
      <c r="Q539" s="17">
        <f>IF(OR($B539="",N($J539)=0),"",MIN(N($J539),SUMIFS(nrMK_Sess,nrMK_Link,$B539,nrMK_Credit,"Yes",nrMK_PID,$E539,nrMK_Type,"PT")))</f>
        <v/>
      </c>
      <c r="R539" s="17">
        <f>IF(OR($B539="",$N539&lt;&gt;"Yes"),"",IF($K539="Yes",IF(N($J539)&gt;0,N($J539)-N($Q539),""),IF(N($I539)&gt;0,N($I539)-N($P539),"")))</f>
        <v/>
      </c>
      <c r="S539" s="17">
        <f>IF(OR($B539="",$R539=""),"",IF($R539&lt;=0,IF(IFERROR(_xlfn.MAXIFS(nrMK_Date,nrMK_Link,$B539,nrMK_Credit,"Yes",nrMK_PID,$E539),0)=0,"CLEARED (makeup date missing)","CLEARED "&amp;TEXT(_xlfn.MAXIFS(nrMK_Date,nrMK_Link,$B539,nrMK_Credit,"Yes",nrMK_PID,$E539),"mm/dd")),"OPEN"))</f>
        <v/>
      </c>
      <c r="T539" s="17">
        <f>IF($D539="","",IF($C539="","NO DATE",IF($G539="","NO EVENT TYPE",IF(AND($I539&lt;&gt;"",NOT(ISNUMBER($I539))),"MINUTES NOT A NUMBER",IF(AND($J539&lt;&gt;"",NOT(ISNUMBER($J539))),"SESSIONS NOT A NUMBER",IF(OR(N($I539)&lt;0,N($J539)&lt;0),"NEGATIVE MINUTES/SESSIONS",IF(AND($K539="Yes",N($I539)&gt;0),"MINUTES ON A PT EVENT - not counted (PT counts sessions)",IF(AND($K539="No",N($J539)&gt;0),"SESSIONS ON A CLASSROOM EVENT - not counted (classroom counts minutes)",IF(AND($N539="Yes",$K539="Yes",N($J539)=0),"COUNTED PT EVENT WITH NO SESSIONS - dropped from the PT cap",IF(AND($N539="Yes",$K539="No",N($I539)=0),"COUNTED EVENT WITH NO MINUTES - dropped from the classroom cap","OK"))))))))))</f>
        <v/>
      </c>
    </row>
    <row r="540">
      <c r="B540" s="17">
        <f>IF($D540="","","A"&amp;TEXT(ROW()-5,"000"))</f>
        <v/>
      </c>
      <c r="C540" s="18" t="n"/>
      <c r="D540" s="16" t="n"/>
      <c r="E540" s="17">
        <f>IF($D540="","",IFERROR(INDEX(rngCadetPIDs,MATCH($D540,rngCadetNames,0)),"?"))</f>
        <v/>
      </c>
      <c r="F540" s="17">
        <f>IF($E540="","",IFERROR(INDEX(nrCadetAgency,MATCH($E540,rngCadetPIDs,0)),""))</f>
        <v/>
      </c>
      <c r="G540" s="16" t="n"/>
      <c r="H540" s="16" t="n"/>
      <c r="I540" s="16" t="n"/>
      <c r="J540" s="16" t="n"/>
      <c r="K540" s="17">
        <f>IF($G540="","",IF(OR($G540="PT Missed",$G540="PT Modified",$G540="PT Refused"),"Yes","No"))</f>
        <v/>
      </c>
      <c r="L540" s="16" t="n"/>
      <c r="M540" s="16" t="n"/>
      <c r="N540" s="17">
        <f>IF($D540="","",IF($M540="Excused","No",IF(AND($G540="PT Modified",$L540="Received"),"No","Yes")))</f>
        <v/>
      </c>
      <c r="O540" s="16" t="n"/>
      <c r="P540" s="17">
        <f>IF(OR($B540="",N($I540)=0),"",MIN(N($I540),SUMIFS(nrMK_Min,nrMK_Link,$B540,nrMK_Credit,"Yes",nrMK_PID,$E540,nrMK_Type,"Classroom")))</f>
        <v/>
      </c>
      <c r="Q540" s="17">
        <f>IF(OR($B540="",N($J540)=0),"",MIN(N($J540),SUMIFS(nrMK_Sess,nrMK_Link,$B540,nrMK_Credit,"Yes",nrMK_PID,$E540,nrMK_Type,"PT")))</f>
        <v/>
      </c>
      <c r="R540" s="17">
        <f>IF(OR($B540="",$N540&lt;&gt;"Yes"),"",IF($K540="Yes",IF(N($J540)&gt;0,N($J540)-N($Q540),""),IF(N($I540)&gt;0,N($I540)-N($P540),"")))</f>
        <v/>
      </c>
      <c r="S540" s="17">
        <f>IF(OR($B540="",$R540=""),"",IF($R540&lt;=0,IF(IFERROR(_xlfn.MAXIFS(nrMK_Date,nrMK_Link,$B540,nrMK_Credit,"Yes",nrMK_PID,$E540),0)=0,"CLEARED (makeup date missing)","CLEARED "&amp;TEXT(_xlfn.MAXIFS(nrMK_Date,nrMK_Link,$B540,nrMK_Credit,"Yes",nrMK_PID,$E540),"mm/dd")),"OPEN"))</f>
        <v/>
      </c>
      <c r="T540" s="17">
        <f>IF($D540="","",IF($C540="","NO DATE",IF($G540="","NO EVENT TYPE",IF(AND($I540&lt;&gt;"",NOT(ISNUMBER($I540))),"MINUTES NOT A NUMBER",IF(AND($J540&lt;&gt;"",NOT(ISNUMBER($J540))),"SESSIONS NOT A NUMBER",IF(OR(N($I540)&lt;0,N($J540)&lt;0),"NEGATIVE MINUTES/SESSIONS",IF(AND($K540="Yes",N($I540)&gt;0),"MINUTES ON A PT EVENT - not counted (PT counts sessions)",IF(AND($K540="No",N($J540)&gt;0),"SESSIONS ON A CLASSROOM EVENT - not counted (classroom counts minutes)",IF(AND($N540="Yes",$K540="Yes",N($J540)=0),"COUNTED PT EVENT WITH NO SESSIONS - dropped from the PT cap",IF(AND($N540="Yes",$K540="No",N($I540)=0),"COUNTED EVENT WITH NO MINUTES - dropped from the classroom cap","OK"))))))))))</f>
        <v/>
      </c>
    </row>
    <row r="541">
      <c r="B541" s="17">
        <f>IF($D541="","","A"&amp;TEXT(ROW()-5,"000"))</f>
        <v/>
      </c>
      <c r="C541" s="18" t="n"/>
      <c r="D541" s="16" t="n"/>
      <c r="E541" s="17">
        <f>IF($D541="","",IFERROR(INDEX(rngCadetPIDs,MATCH($D541,rngCadetNames,0)),"?"))</f>
        <v/>
      </c>
      <c r="F541" s="17">
        <f>IF($E541="","",IFERROR(INDEX(nrCadetAgency,MATCH($E541,rngCadetPIDs,0)),""))</f>
        <v/>
      </c>
      <c r="G541" s="16" t="n"/>
      <c r="H541" s="16" t="n"/>
      <c r="I541" s="16" t="n"/>
      <c r="J541" s="16" t="n"/>
      <c r="K541" s="17">
        <f>IF($G541="","",IF(OR($G541="PT Missed",$G541="PT Modified",$G541="PT Refused"),"Yes","No"))</f>
        <v/>
      </c>
      <c r="L541" s="16" t="n"/>
      <c r="M541" s="16" t="n"/>
      <c r="N541" s="17">
        <f>IF($D541="","",IF($M541="Excused","No",IF(AND($G541="PT Modified",$L541="Received"),"No","Yes")))</f>
        <v/>
      </c>
      <c r="O541" s="16" t="n"/>
      <c r="P541" s="17">
        <f>IF(OR($B541="",N($I541)=0),"",MIN(N($I541),SUMIFS(nrMK_Min,nrMK_Link,$B541,nrMK_Credit,"Yes",nrMK_PID,$E541,nrMK_Type,"Classroom")))</f>
        <v/>
      </c>
      <c r="Q541" s="17">
        <f>IF(OR($B541="",N($J541)=0),"",MIN(N($J541),SUMIFS(nrMK_Sess,nrMK_Link,$B541,nrMK_Credit,"Yes",nrMK_PID,$E541,nrMK_Type,"PT")))</f>
        <v/>
      </c>
      <c r="R541" s="17">
        <f>IF(OR($B541="",$N541&lt;&gt;"Yes"),"",IF($K541="Yes",IF(N($J541)&gt;0,N($J541)-N($Q541),""),IF(N($I541)&gt;0,N($I541)-N($P541),"")))</f>
        <v/>
      </c>
      <c r="S541" s="17">
        <f>IF(OR($B541="",$R541=""),"",IF($R541&lt;=0,IF(IFERROR(_xlfn.MAXIFS(nrMK_Date,nrMK_Link,$B541,nrMK_Credit,"Yes",nrMK_PID,$E541),0)=0,"CLEARED (makeup date missing)","CLEARED "&amp;TEXT(_xlfn.MAXIFS(nrMK_Date,nrMK_Link,$B541,nrMK_Credit,"Yes",nrMK_PID,$E541),"mm/dd")),"OPEN"))</f>
        <v/>
      </c>
      <c r="T541" s="17">
        <f>IF($D541="","",IF($C541="","NO DATE",IF($G541="","NO EVENT TYPE",IF(AND($I541&lt;&gt;"",NOT(ISNUMBER($I541))),"MINUTES NOT A NUMBER",IF(AND($J541&lt;&gt;"",NOT(ISNUMBER($J541))),"SESSIONS NOT A NUMBER",IF(OR(N($I541)&lt;0,N($J541)&lt;0),"NEGATIVE MINUTES/SESSIONS",IF(AND($K541="Yes",N($I541)&gt;0),"MINUTES ON A PT EVENT - not counted (PT counts sessions)",IF(AND($K541="No",N($J541)&gt;0),"SESSIONS ON A CLASSROOM EVENT - not counted (classroom counts minutes)",IF(AND($N541="Yes",$K541="Yes",N($J541)=0),"COUNTED PT EVENT WITH NO SESSIONS - dropped from the PT cap",IF(AND($N541="Yes",$K541="No",N($I541)=0),"COUNTED EVENT WITH NO MINUTES - dropped from the classroom cap","OK"))))))))))</f>
        <v/>
      </c>
    </row>
    <row r="542">
      <c r="B542" s="17">
        <f>IF($D542="","","A"&amp;TEXT(ROW()-5,"000"))</f>
        <v/>
      </c>
      <c r="C542" s="18" t="n"/>
      <c r="D542" s="16" t="n"/>
      <c r="E542" s="17">
        <f>IF($D542="","",IFERROR(INDEX(rngCadetPIDs,MATCH($D542,rngCadetNames,0)),"?"))</f>
        <v/>
      </c>
      <c r="F542" s="17">
        <f>IF($E542="","",IFERROR(INDEX(nrCadetAgency,MATCH($E542,rngCadetPIDs,0)),""))</f>
        <v/>
      </c>
      <c r="G542" s="16" t="n"/>
      <c r="H542" s="16" t="n"/>
      <c r="I542" s="16" t="n"/>
      <c r="J542" s="16" t="n"/>
      <c r="K542" s="17">
        <f>IF($G542="","",IF(OR($G542="PT Missed",$G542="PT Modified",$G542="PT Refused"),"Yes","No"))</f>
        <v/>
      </c>
      <c r="L542" s="16" t="n"/>
      <c r="M542" s="16" t="n"/>
      <c r="N542" s="17">
        <f>IF($D542="","",IF($M542="Excused","No",IF(AND($G542="PT Modified",$L542="Received"),"No","Yes")))</f>
        <v/>
      </c>
      <c r="O542" s="16" t="n"/>
      <c r="P542" s="17">
        <f>IF(OR($B542="",N($I542)=0),"",MIN(N($I542),SUMIFS(nrMK_Min,nrMK_Link,$B542,nrMK_Credit,"Yes",nrMK_PID,$E542,nrMK_Type,"Classroom")))</f>
        <v/>
      </c>
      <c r="Q542" s="17">
        <f>IF(OR($B542="",N($J542)=0),"",MIN(N($J542),SUMIFS(nrMK_Sess,nrMK_Link,$B542,nrMK_Credit,"Yes",nrMK_PID,$E542,nrMK_Type,"PT")))</f>
        <v/>
      </c>
      <c r="R542" s="17">
        <f>IF(OR($B542="",$N542&lt;&gt;"Yes"),"",IF($K542="Yes",IF(N($J542)&gt;0,N($J542)-N($Q542),""),IF(N($I542)&gt;0,N($I542)-N($P542),"")))</f>
        <v/>
      </c>
      <c r="S542" s="17">
        <f>IF(OR($B542="",$R542=""),"",IF($R542&lt;=0,IF(IFERROR(_xlfn.MAXIFS(nrMK_Date,nrMK_Link,$B542,nrMK_Credit,"Yes",nrMK_PID,$E542),0)=0,"CLEARED (makeup date missing)","CLEARED "&amp;TEXT(_xlfn.MAXIFS(nrMK_Date,nrMK_Link,$B542,nrMK_Credit,"Yes",nrMK_PID,$E542),"mm/dd")),"OPEN"))</f>
        <v/>
      </c>
      <c r="T542" s="17">
        <f>IF($D542="","",IF($C542="","NO DATE",IF($G542="","NO EVENT TYPE",IF(AND($I542&lt;&gt;"",NOT(ISNUMBER($I542))),"MINUTES NOT A NUMBER",IF(AND($J542&lt;&gt;"",NOT(ISNUMBER($J542))),"SESSIONS NOT A NUMBER",IF(OR(N($I542)&lt;0,N($J542)&lt;0),"NEGATIVE MINUTES/SESSIONS",IF(AND($K542="Yes",N($I542)&gt;0),"MINUTES ON A PT EVENT - not counted (PT counts sessions)",IF(AND($K542="No",N($J542)&gt;0),"SESSIONS ON A CLASSROOM EVENT - not counted (classroom counts minutes)",IF(AND($N542="Yes",$K542="Yes",N($J542)=0),"COUNTED PT EVENT WITH NO SESSIONS - dropped from the PT cap",IF(AND($N542="Yes",$K542="No",N($I542)=0),"COUNTED EVENT WITH NO MINUTES - dropped from the classroom cap","OK"))))))))))</f>
        <v/>
      </c>
    </row>
    <row r="543">
      <c r="B543" s="17">
        <f>IF($D543="","","A"&amp;TEXT(ROW()-5,"000"))</f>
        <v/>
      </c>
      <c r="C543" s="18" t="n"/>
      <c r="D543" s="16" t="n"/>
      <c r="E543" s="17">
        <f>IF($D543="","",IFERROR(INDEX(rngCadetPIDs,MATCH($D543,rngCadetNames,0)),"?"))</f>
        <v/>
      </c>
      <c r="F543" s="17">
        <f>IF($E543="","",IFERROR(INDEX(nrCadetAgency,MATCH($E543,rngCadetPIDs,0)),""))</f>
        <v/>
      </c>
      <c r="G543" s="16" t="n"/>
      <c r="H543" s="16" t="n"/>
      <c r="I543" s="16" t="n"/>
      <c r="J543" s="16" t="n"/>
      <c r="K543" s="17">
        <f>IF($G543="","",IF(OR($G543="PT Missed",$G543="PT Modified",$G543="PT Refused"),"Yes","No"))</f>
        <v/>
      </c>
      <c r="L543" s="16" t="n"/>
      <c r="M543" s="16" t="n"/>
      <c r="N543" s="17">
        <f>IF($D543="","",IF($M543="Excused","No",IF(AND($G543="PT Modified",$L543="Received"),"No","Yes")))</f>
        <v/>
      </c>
      <c r="O543" s="16" t="n"/>
      <c r="P543" s="17">
        <f>IF(OR($B543="",N($I543)=0),"",MIN(N($I543),SUMIFS(nrMK_Min,nrMK_Link,$B543,nrMK_Credit,"Yes",nrMK_PID,$E543,nrMK_Type,"Classroom")))</f>
        <v/>
      </c>
      <c r="Q543" s="17">
        <f>IF(OR($B543="",N($J543)=0),"",MIN(N($J543),SUMIFS(nrMK_Sess,nrMK_Link,$B543,nrMK_Credit,"Yes",nrMK_PID,$E543,nrMK_Type,"PT")))</f>
        <v/>
      </c>
      <c r="R543" s="17">
        <f>IF(OR($B543="",$N543&lt;&gt;"Yes"),"",IF($K543="Yes",IF(N($J543)&gt;0,N($J543)-N($Q543),""),IF(N($I543)&gt;0,N($I543)-N($P543),"")))</f>
        <v/>
      </c>
      <c r="S543" s="17">
        <f>IF(OR($B543="",$R543=""),"",IF($R543&lt;=0,IF(IFERROR(_xlfn.MAXIFS(nrMK_Date,nrMK_Link,$B543,nrMK_Credit,"Yes",nrMK_PID,$E543),0)=0,"CLEARED (makeup date missing)","CLEARED "&amp;TEXT(_xlfn.MAXIFS(nrMK_Date,nrMK_Link,$B543,nrMK_Credit,"Yes",nrMK_PID,$E543),"mm/dd")),"OPEN"))</f>
        <v/>
      </c>
      <c r="T543" s="17">
        <f>IF($D543="","",IF($C543="","NO DATE",IF($G543="","NO EVENT TYPE",IF(AND($I543&lt;&gt;"",NOT(ISNUMBER($I543))),"MINUTES NOT A NUMBER",IF(AND($J543&lt;&gt;"",NOT(ISNUMBER($J543))),"SESSIONS NOT A NUMBER",IF(OR(N($I543)&lt;0,N($J543)&lt;0),"NEGATIVE MINUTES/SESSIONS",IF(AND($K543="Yes",N($I543)&gt;0),"MINUTES ON A PT EVENT - not counted (PT counts sessions)",IF(AND($K543="No",N($J543)&gt;0),"SESSIONS ON A CLASSROOM EVENT - not counted (classroom counts minutes)",IF(AND($N543="Yes",$K543="Yes",N($J543)=0),"COUNTED PT EVENT WITH NO SESSIONS - dropped from the PT cap",IF(AND($N543="Yes",$K543="No",N($I543)=0),"COUNTED EVENT WITH NO MINUTES - dropped from the classroom cap","OK"))))))))))</f>
        <v/>
      </c>
    </row>
    <row r="544">
      <c r="B544" s="17">
        <f>IF($D544="","","A"&amp;TEXT(ROW()-5,"000"))</f>
        <v/>
      </c>
      <c r="C544" s="18" t="n"/>
      <c r="D544" s="16" t="n"/>
      <c r="E544" s="17">
        <f>IF($D544="","",IFERROR(INDEX(rngCadetPIDs,MATCH($D544,rngCadetNames,0)),"?"))</f>
        <v/>
      </c>
      <c r="F544" s="17">
        <f>IF($E544="","",IFERROR(INDEX(nrCadetAgency,MATCH($E544,rngCadetPIDs,0)),""))</f>
        <v/>
      </c>
      <c r="G544" s="16" t="n"/>
      <c r="H544" s="16" t="n"/>
      <c r="I544" s="16" t="n"/>
      <c r="J544" s="16" t="n"/>
      <c r="K544" s="17">
        <f>IF($G544="","",IF(OR($G544="PT Missed",$G544="PT Modified",$G544="PT Refused"),"Yes","No"))</f>
        <v/>
      </c>
      <c r="L544" s="16" t="n"/>
      <c r="M544" s="16" t="n"/>
      <c r="N544" s="17">
        <f>IF($D544="","",IF($M544="Excused","No",IF(AND($G544="PT Modified",$L544="Received"),"No","Yes")))</f>
        <v/>
      </c>
      <c r="O544" s="16" t="n"/>
      <c r="P544" s="17">
        <f>IF(OR($B544="",N($I544)=0),"",MIN(N($I544),SUMIFS(nrMK_Min,nrMK_Link,$B544,nrMK_Credit,"Yes",nrMK_PID,$E544,nrMK_Type,"Classroom")))</f>
        <v/>
      </c>
      <c r="Q544" s="17">
        <f>IF(OR($B544="",N($J544)=0),"",MIN(N($J544),SUMIFS(nrMK_Sess,nrMK_Link,$B544,nrMK_Credit,"Yes",nrMK_PID,$E544,nrMK_Type,"PT")))</f>
        <v/>
      </c>
      <c r="R544" s="17">
        <f>IF(OR($B544="",$N544&lt;&gt;"Yes"),"",IF($K544="Yes",IF(N($J544)&gt;0,N($J544)-N($Q544),""),IF(N($I544)&gt;0,N($I544)-N($P544),"")))</f>
        <v/>
      </c>
      <c r="S544" s="17">
        <f>IF(OR($B544="",$R544=""),"",IF($R544&lt;=0,IF(IFERROR(_xlfn.MAXIFS(nrMK_Date,nrMK_Link,$B544,nrMK_Credit,"Yes",nrMK_PID,$E544),0)=0,"CLEARED (makeup date missing)","CLEARED "&amp;TEXT(_xlfn.MAXIFS(nrMK_Date,nrMK_Link,$B544,nrMK_Credit,"Yes",nrMK_PID,$E544),"mm/dd")),"OPEN"))</f>
        <v/>
      </c>
      <c r="T544" s="17">
        <f>IF($D544="","",IF($C544="","NO DATE",IF($G544="","NO EVENT TYPE",IF(AND($I544&lt;&gt;"",NOT(ISNUMBER($I544))),"MINUTES NOT A NUMBER",IF(AND($J544&lt;&gt;"",NOT(ISNUMBER($J544))),"SESSIONS NOT A NUMBER",IF(OR(N($I544)&lt;0,N($J544)&lt;0),"NEGATIVE MINUTES/SESSIONS",IF(AND($K544="Yes",N($I544)&gt;0),"MINUTES ON A PT EVENT - not counted (PT counts sessions)",IF(AND($K544="No",N($J544)&gt;0),"SESSIONS ON A CLASSROOM EVENT - not counted (classroom counts minutes)",IF(AND($N544="Yes",$K544="Yes",N($J544)=0),"COUNTED PT EVENT WITH NO SESSIONS - dropped from the PT cap",IF(AND($N544="Yes",$K544="No",N($I544)=0),"COUNTED EVENT WITH NO MINUTES - dropped from the classroom cap","OK"))))))))))</f>
        <v/>
      </c>
    </row>
    <row r="545">
      <c r="B545" s="17">
        <f>IF($D545="","","A"&amp;TEXT(ROW()-5,"000"))</f>
        <v/>
      </c>
      <c r="C545" s="18" t="n"/>
      <c r="D545" s="16" t="n"/>
      <c r="E545" s="17">
        <f>IF($D545="","",IFERROR(INDEX(rngCadetPIDs,MATCH($D545,rngCadetNames,0)),"?"))</f>
        <v/>
      </c>
      <c r="F545" s="17">
        <f>IF($E545="","",IFERROR(INDEX(nrCadetAgency,MATCH($E545,rngCadetPIDs,0)),""))</f>
        <v/>
      </c>
      <c r="G545" s="16" t="n"/>
      <c r="H545" s="16" t="n"/>
      <c r="I545" s="16" t="n"/>
      <c r="J545" s="16" t="n"/>
      <c r="K545" s="17">
        <f>IF($G545="","",IF(OR($G545="PT Missed",$G545="PT Modified",$G545="PT Refused"),"Yes","No"))</f>
        <v/>
      </c>
      <c r="L545" s="16" t="n"/>
      <c r="M545" s="16" t="n"/>
      <c r="N545" s="17">
        <f>IF($D545="","",IF($M545="Excused","No",IF(AND($G545="PT Modified",$L545="Received"),"No","Yes")))</f>
        <v/>
      </c>
      <c r="O545" s="16" t="n"/>
      <c r="P545" s="17">
        <f>IF(OR($B545="",N($I545)=0),"",MIN(N($I545),SUMIFS(nrMK_Min,nrMK_Link,$B545,nrMK_Credit,"Yes",nrMK_PID,$E545,nrMK_Type,"Classroom")))</f>
        <v/>
      </c>
      <c r="Q545" s="17">
        <f>IF(OR($B545="",N($J545)=0),"",MIN(N($J545),SUMIFS(nrMK_Sess,nrMK_Link,$B545,nrMK_Credit,"Yes",nrMK_PID,$E545,nrMK_Type,"PT")))</f>
        <v/>
      </c>
      <c r="R545" s="17">
        <f>IF(OR($B545="",$N545&lt;&gt;"Yes"),"",IF($K545="Yes",IF(N($J545)&gt;0,N($J545)-N($Q545),""),IF(N($I545)&gt;0,N($I545)-N($P545),"")))</f>
        <v/>
      </c>
      <c r="S545" s="17">
        <f>IF(OR($B545="",$R545=""),"",IF($R545&lt;=0,IF(IFERROR(_xlfn.MAXIFS(nrMK_Date,nrMK_Link,$B545,nrMK_Credit,"Yes",nrMK_PID,$E545),0)=0,"CLEARED (makeup date missing)","CLEARED "&amp;TEXT(_xlfn.MAXIFS(nrMK_Date,nrMK_Link,$B545,nrMK_Credit,"Yes",nrMK_PID,$E545),"mm/dd")),"OPEN"))</f>
        <v/>
      </c>
      <c r="T545" s="17">
        <f>IF($D545="","",IF($C545="","NO DATE",IF($G545="","NO EVENT TYPE",IF(AND($I545&lt;&gt;"",NOT(ISNUMBER($I545))),"MINUTES NOT A NUMBER",IF(AND($J545&lt;&gt;"",NOT(ISNUMBER($J545))),"SESSIONS NOT A NUMBER",IF(OR(N($I545)&lt;0,N($J545)&lt;0),"NEGATIVE MINUTES/SESSIONS",IF(AND($K545="Yes",N($I545)&gt;0),"MINUTES ON A PT EVENT - not counted (PT counts sessions)",IF(AND($K545="No",N($J545)&gt;0),"SESSIONS ON A CLASSROOM EVENT - not counted (classroom counts minutes)",IF(AND($N545="Yes",$K545="Yes",N($J545)=0),"COUNTED PT EVENT WITH NO SESSIONS - dropped from the PT cap",IF(AND($N545="Yes",$K545="No",N($I545)=0),"COUNTED EVENT WITH NO MINUTES - dropped from the classroom cap","OK"))))))))))</f>
        <v/>
      </c>
    </row>
    <row r="546">
      <c r="B546" s="17">
        <f>IF($D546="","","A"&amp;TEXT(ROW()-5,"000"))</f>
        <v/>
      </c>
      <c r="C546" s="18" t="n"/>
      <c r="D546" s="16" t="n"/>
      <c r="E546" s="17">
        <f>IF($D546="","",IFERROR(INDEX(rngCadetPIDs,MATCH($D546,rngCadetNames,0)),"?"))</f>
        <v/>
      </c>
      <c r="F546" s="17">
        <f>IF($E546="","",IFERROR(INDEX(nrCadetAgency,MATCH($E546,rngCadetPIDs,0)),""))</f>
        <v/>
      </c>
      <c r="G546" s="16" t="n"/>
      <c r="H546" s="16" t="n"/>
      <c r="I546" s="16" t="n"/>
      <c r="J546" s="16" t="n"/>
      <c r="K546" s="17">
        <f>IF($G546="","",IF(OR($G546="PT Missed",$G546="PT Modified",$G546="PT Refused"),"Yes","No"))</f>
        <v/>
      </c>
      <c r="L546" s="16" t="n"/>
      <c r="M546" s="16" t="n"/>
      <c r="N546" s="17">
        <f>IF($D546="","",IF($M546="Excused","No",IF(AND($G546="PT Modified",$L546="Received"),"No","Yes")))</f>
        <v/>
      </c>
      <c r="O546" s="16" t="n"/>
      <c r="P546" s="17">
        <f>IF(OR($B546="",N($I546)=0),"",MIN(N($I546),SUMIFS(nrMK_Min,nrMK_Link,$B546,nrMK_Credit,"Yes",nrMK_PID,$E546,nrMK_Type,"Classroom")))</f>
        <v/>
      </c>
      <c r="Q546" s="17">
        <f>IF(OR($B546="",N($J546)=0),"",MIN(N($J546),SUMIFS(nrMK_Sess,nrMK_Link,$B546,nrMK_Credit,"Yes",nrMK_PID,$E546,nrMK_Type,"PT")))</f>
        <v/>
      </c>
      <c r="R546" s="17">
        <f>IF(OR($B546="",$N546&lt;&gt;"Yes"),"",IF($K546="Yes",IF(N($J546)&gt;0,N($J546)-N($Q546),""),IF(N($I546)&gt;0,N($I546)-N($P546),"")))</f>
        <v/>
      </c>
      <c r="S546" s="17">
        <f>IF(OR($B546="",$R546=""),"",IF($R546&lt;=0,IF(IFERROR(_xlfn.MAXIFS(nrMK_Date,nrMK_Link,$B546,nrMK_Credit,"Yes",nrMK_PID,$E546),0)=0,"CLEARED (makeup date missing)","CLEARED "&amp;TEXT(_xlfn.MAXIFS(nrMK_Date,nrMK_Link,$B546,nrMK_Credit,"Yes",nrMK_PID,$E546),"mm/dd")),"OPEN"))</f>
        <v/>
      </c>
      <c r="T546" s="17">
        <f>IF($D546="","",IF($C546="","NO DATE",IF($G546="","NO EVENT TYPE",IF(AND($I546&lt;&gt;"",NOT(ISNUMBER($I546))),"MINUTES NOT A NUMBER",IF(AND($J546&lt;&gt;"",NOT(ISNUMBER($J546))),"SESSIONS NOT A NUMBER",IF(OR(N($I546)&lt;0,N($J546)&lt;0),"NEGATIVE MINUTES/SESSIONS",IF(AND($K546="Yes",N($I546)&gt;0),"MINUTES ON A PT EVENT - not counted (PT counts sessions)",IF(AND($K546="No",N($J546)&gt;0),"SESSIONS ON A CLASSROOM EVENT - not counted (classroom counts minutes)",IF(AND($N546="Yes",$K546="Yes",N($J546)=0),"COUNTED PT EVENT WITH NO SESSIONS - dropped from the PT cap",IF(AND($N546="Yes",$K546="No",N($I546)=0),"COUNTED EVENT WITH NO MINUTES - dropped from the classroom cap","OK"))))))))))</f>
        <v/>
      </c>
    </row>
    <row r="547">
      <c r="B547" s="17">
        <f>IF($D547="","","A"&amp;TEXT(ROW()-5,"000"))</f>
        <v/>
      </c>
      <c r="C547" s="18" t="n"/>
      <c r="D547" s="16" t="n"/>
      <c r="E547" s="17">
        <f>IF($D547="","",IFERROR(INDEX(rngCadetPIDs,MATCH($D547,rngCadetNames,0)),"?"))</f>
        <v/>
      </c>
      <c r="F547" s="17">
        <f>IF($E547="","",IFERROR(INDEX(nrCadetAgency,MATCH($E547,rngCadetPIDs,0)),""))</f>
        <v/>
      </c>
      <c r="G547" s="16" t="n"/>
      <c r="H547" s="16" t="n"/>
      <c r="I547" s="16" t="n"/>
      <c r="J547" s="16" t="n"/>
      <c r="K547" s="17">
        <f>IF($G547="","",IF(OR($G547="PT Missed",$G547="PT Modified",$G547="PT Refused"),"Yes","No"))</f>
        <v/>
      </c>
      <c r="L547" s="16" t="n"/>
      <c r="M547" s="16" t="n"/>
      <c r="N547" s="17">
        <f>IF($D547="","",IF($M547="Excused","No",IF(AND($G547="PT Modified",$L547="Received"),"No","Yes")))</f>
        <v/>
      </c>
      <c r="O547" s="16" t="n"/>
      <c r="P547" s="17">
        <f>IF(OR($B547="",N($I547)=0),"",MIN(N($I547),SUMIFS(nrMK_Min,nrMK_Link,$B547,nrMK_Credit,"Yes",nrMK_PID,$E547,nrMK_Type,"Classroom")))</f>
        <v/>
      </c>
      <c r="Q547" s="17">
        <f>IF(OR($B547="",N($J547)=0),"",MIN(N($J547),SUMIFS(nrMK_Sess,nrMK_Link,$B547,nrMK_Credit,"Yes",nrMK_PID,$E547,nrMK_Type,"PT")))</f>
        <v/>
      </c>
      <c r="R547" s="17">
        <f>IF(OR($B547="",$N547&lt;&gt;"Yes"),"",IF($K547="Yes",IF(N($J547)&gt;0,N($J547)-N($Q547),""),IF(N($I547)&gt;0,N($I547)-N($P547),"")))</f>
        <v/>
      </c>
      <c r="S547" s="17">
        <f>IF(OR($B547="",$R547=""),"",IF($R547&lt;=0,IF(IFERROR(_xlfn.MAXIFS(nrMK_Date,nrMK_Link,$B547,nrMK_Credit,"Yes",nrMK_PID,$E547),0)=0,"CLEARED (makeup date missing)","CLEARED "&amp;TEXT(_xlfn.MAXIFS(nrMK_Date,nrMK_Link,$B547,nrMK_Credit,"Yes",nrMK_PID,$E547),"mm/dd")),"OPEN"))</f>
        <v/>
      </c>
      <c r="T547" s="17">
        <f>IF($D547="","",IF($C547="","NO DATE",IF($G547="","NO EVENT TYPE",IF(AND($I547&lt;&gt;"",NOT(ISNUMBER($I547))),"MINUTES NOT A NUMBER",IF(AND($J547&lt;&gt;"",NOT(ISNUMBER($J547))),"SESSIONS NOT A NUMBER",IF(OR(N($I547)&lt;0,N($J547)&lt;0),"NEGATIVE MINUTES/SESSIONS",IF(AND($K547="Yes",N($I547)&gt;0),"MINUTES ON A PT EVENT - not counted (PT counts sessions)",IF(AND($K547="No",N($J547)&gt;0),"SESSIONS ON A CLASSROOM EVENT - not counted (classroom counts minutes)",IF(AND($N547="Yes",$K547="Yes",N($J547)=0),"COUNTED PT EVENT WITH NO SESSIONS - dropped from the PT cap",IF(AND($N547="Yes",$K547="No",N($I547)=0),"COUNTED EVENT WITH NO MINUTES - dropped from the classroom cap","OK"))))))))))</f>
        <v/>
      </c>
    </row>
    <row r="548">
      <c r="B548" s="17">
        <f>IF($D548="","","A"&amp;TEXT(ROW()-5,"000"))</f>
        <v/>
      </c>
      <c r="C548" s="18" t="n"/>
      <c r="D548" s="16" t="n"/>
      <c r="E548" s="17">
        <f>IF($D548="","",IFERROR(INDEX(rngCadetPIDs,MATCH($D548,rngCadetNames,0)),"?"))</f>
        <v/>
      </c>
      <c r="F548" s="17">
        <f>IF($E548="","",IFERROR(INDEX(nrCadetAgency,MATCH($E548,rngCadetPIDs,0)),""))</f>
        <v/>
      </c>
      <c r="G548" s="16" t="n"/>
      <c r="H548" s="16" t="n"/>
      <c r="I548" s="16" t="n"/>
      <c r="J548" s="16" t="n"/>
      <c r="K548" s="17">
        <f>IF($G548="","",IF(OR($G548="PT Missed",$G548="PT Modified",$G548="PT Refused"),"Yes","No"))</f>
        <v/>
      </c>
      <c r="L548" s="16" t="n"/>
      <c r="M548" s="16" t="n"/>
      <c r="N548" s="17">
        <f>IF($D548="","",IF($M548="Excused","No",IF(AND($G548="PT Modified",$L548="Received"),"No","Yes")))</f>
        <v/>
      </c>
      <c r="O548" s="16" t="n"/>
      <c r="P548" s="17">
        <f>IF(OR($B548="",N($I548)=0),"",MIN(N($I548),SUMIFS(nrMK_Min,nrMK_Link,$B548,nrMK_Credit,"Yes",nrMK_PID,$E548,nrMK_Type,"Classroom")))</f>
        <v/>
      </c>
      <c r="Q548" s="17">
        <f>IF(OR($B548="",N($J548)=0),"",MIN(N($J548),SUMIFS(nrMK_Sess,nrMK_Link,$B548,nrMK_Credit,"Yes",nrMK_PID,$E548,nrMK_Type,"PT")))</f>
        <v/>
      </c>
      <c r="R548" s="17">
        <f>IF(OR($B548="",$N548&lt;&gt;"Yes"),"",IF($K548="Yes",IF(N($J548)&gt;0,N($J548)-N($Q548),""),IF(N($I548)&gt;0,N($I548)-N($P548),"")))</f>
        <v/>
      </c>
      <c r="S548" s="17">
        <f>IF(OR($B548="",$R548=""),"",IF($R548&lt;=0,IF(IFERROR(_xlfn.MAXIFS(nrMK_Date,nrMK_Link,$B548,nrMK_Credit,"Yes",nrMK_PID,$E548),0)=0,"CLEARED (makeup date missing)","CLEARED "&amp;TEXT(_xlfn.MAXIFS(nrMK_Date,nrMK_Link,$B548,nrMK_Credit,"Yes",nrMK_PID,$E548),"mm/dd")),"OPEN"))</f>
        <v/>
      </c>
      <c r="T548" s="17">
        <f>IF($D548="","",IF($C548="","NO DATE",IF($G548="","NO EVENT TYPE",IF(AND($I548&lt;&gt;"",NOT(ISNUMBER($I548))),"MINUTES NOT A NUMBER",IF(AND($J548&lt;&gt;"",NOT(ISNUMBER($J548))),"SESSIONS NOT A NUMBER",IF(OR(N($I548)&lt;0,N($J548)&lt;0),"NEGATIVE MINUTES/SESSIONS",IF(AND($K548="Yes",N($I548)&gt;0),"MINUTES ON A PT EVENT - not counted (PT counts sessions)",IF(AND($K548="No",N($J548)&gt;0),"SESSIONS ON A CLASSROOM EVENT - not counted (classroom counts minutes)",IF(AND($N548="Yes",$K548="Yes",N($J548)=0),"COUNTED PT EVENT WITH NO SESSIONS - dropped from the PT cap",IF(AND($N548="Yes",$K548="No",N($I548)=0),"COUNTED EVENT WITH NO MINUTES - dropped from the classroom cap","OK"))))))))))</f>
        <v/>
      </c>
    </row>
    <row r="549">
      <c r="B549" s="17">
        <f>IF($D549="","","A"&amp;TEXT(ROW()-5,"000"))</f>
        <v/>
      </c>
      <c r="C549" s="18" t="n"/>
      <c r="D549" s="16" t="n"/>
      <c r="E549" s="17">
        <f>IF($D549="","",IFERROR(INDEX(rngCadetPIDs,MATCH($D549,rngCadetNames,0)),"?"))</f>
        <v/>
      </c>
      <c r="F549" s="17">
        <f>IF($E549="","",IFERROR(INDEX(nrCadetAgency,MATCH($E549,rngCadetPIDs,0)),""))</f>
        <v/>
      </c>
      <c r="G549" s="16" t="n"/>
      <c r="H549" s="16" t="n"/>
      <c r="I549" s="16" t="n"/>
      <c r="J549" s="16" t="n"/>
      <c r="K549" s="17">
        <f>IF($G549="","",IF(OR($G549="PT Missed",$G549="PT Modified",$G549="PT Refused"),"Yes","No"))</f>
        <v/>
      </c>
      <c r="L549" s="16" t="n"/>
      <c r="M549" s="16" t="n"/>
      <c r="N549" s="17">
        <f>IF($D549="","",IF($M549="Excused","No",IF(AND($G549="PT Modified",$L549="Received"),"No","Yes")))</f>
        <v/>
      </c>
      <c r="O549" s="16" t="n"/>
      <c r="P549" s="17">
        <f>IF(OR($B549="",N($I549)=0),"",MIN(N($I549),SUMIFS(nrMK_Min,nrMK_Link,$B549,nrMK_Credit,"Yes",nrMK_PID,$E549,nrMK_Type,"Classroom")))</f>
        <v/>
      </c>
      <c r="Q549" s="17">
        <f>IF(OR($B549="",N($J549)=0),"",MIN(N($J549),SUMIFS(nrMK_Sess,nrMK_Link,$B549,nrMK_Credit,"Yes",nrMK_PID,$E549,nrMK_Type,"PT")))</f>
        <v/>
      </c>
      <c r="R549" s="17">
        <f>IF(OR($B549="",$N549&lt;&gt;"Yes"),"",IF($K549="Yes",IF(N($J549)&gt;0,N($J549)-N($Q549),""),IF(N($I549)&gt;0,N($I549)-N($P549),"")))</f>
        <v/>
      </c>
      <c r="S549" s="17">
        <f>IF(OR($B549="",$R549=""),"",IF($R549&lt;=0,IF(IFERROR(_xlfn.MAXIFS(nrMK_Date,nrMK_Link,$B549,nrMK_Credit,"Yes",nrMK_PID,$E549),0)=0,"CLEARED (makeup date missing)","CLEARED "&amp;TEXT(_xlfn.MAXIFS(nrMK_Date,nrMK_Link,$B549,nrMK_Credit,"Yes",nrMK_PID,$E549),"mm/dd")),"OPEN"))</f>
        <v/>
      </c>
      <c r="T549" s="17">
        <f>IF($D549="","",IF($C549="","NO DATE",IF($G549="","NO EVENT TYPE",IF(AND($I549&lt;&gt;"",NOT(ISNUMBER($I549))),"MINUTES NOT A NUMBER",IF(AND($J549&lt;&gt;"",NOT(ISNUMBER($J549))),"SESSIONS NOT A NUMBER",IF(OR(N($I549)&lt;0,N($J549)&lt;0),"NEGATIVE MINUTES/SESSIONS",IF(AND($K549="Yes",N($I549)&gt;0),"MINUTES ON A PT EVENT - not counted (PT counts sessions)",IF(AND($K549="No",N($J549)&gt;0),"SESSIONS ON A CLASSROOM EVENT - not counted (classroom counts minutes)",IF(AND($N549="Yes",$K549="Yes",N($J549)=0),"COUNTED PT EVENT WITH NO SESSIONS - dropped from the PT cap",IF(AND($N549="Yes",$K549="No",N($I549)=0),"COUNTED EVENT WITH NO MINUTES - dropped from the classroom cap","OK"))))))))))</f>
        <v/>
      </c>
    </row>
    <row r="550">
      <c r="B550" s="17">
        <f>IF($D550="","","A"&amp;TEXT(ROW()-5,"000"))</f>
        <v/>
      </c>
      <c r="C550" s="18" t="n"/>
      <c r="D550" s="16" t="n"/>
      <c r="E550" s="17">
        <f>IF($D550="","",IFERROR(INDEX(rngCadetPIDs,MATCH($D550,rngCadetNames,0)),"?"))</f>
        <v/>
      </c>
      <c r="F550" s="17">
        <f>IF($E550="","",IFERROR(INDEX(nrCadetAgency,MATCH($E550,rngCadetPIDs,0)),""))</f>
        <v/>
      </c>
      <c r="G550" s="16" t="n"/>
      <c r="H550" s="16" t="n"/>
      <c r="I550" s="16" t="n"/>
      <c r="J550" s="16" t="n"/>
      <c r="K550" s="17">
        <f>IF($G550="","",IF(OR($G550="PT Missed",$G550="PT Modified",$G550="PT Refused"),"Yes","No"))</f>
        <v/>
      </c>
      <c r="L550" s="16" t="n"/>
      <c r="M550" s="16" t="n"/>
      <c r="N550" s="17">
        <f>IF($D550="","",IF($M550="Excused","No",IF(AND($G550="PT Modified",$L550="Received"),"No","Yes")))</f>
        <v/>
      </c>
      <c r="O550" s="16" t="n"/>
      <c r="P550" s="17">
        <f>IF(OR($B550="",N($I550)=0),"",MIN(N($I550),SUMIFS(nrMK_Min,nrMK_Link,$B550,nrMK_Credit,"Yes",nrMK_PID,$E550,nrMK_Type,"Classroom")))</f>
        <v/>
      </c>
      <c r="Q550" s="17">
        <f>IF(OR($B550="",N($J550)=0),"",MIN(N($J550),SUMIFS(nrMK_Sess,nrMK_Link,$B550,nrMK_Credit,"Yes",nrMK_PID,$E550,nrMK_Type,"PT")))</f>
        <v/>
      </c>
      <c r="R550" s="17">
        <f>IF(OR($B550="",$N550&lt;&gt;"Yes"),"",IF($K550="Yes",IF(N($J550)&gt;0,N($J550)-N($Q550),""),IF(N($I550)&gt;0,N($I550)-N($P550),"")))</f>
        <v/>
      </c>
      <c r="S550" s="17">
        <f>IF(OR($B550="",$R550=""),"",IF($R550&lt;=0,IF(IFERROR(_xlfn.MAXIFS(nrMK_Date,nrMK_Link,$B550,nrMK_Credit,"Yes",nrMK_PID,$E550),0)=0,"CLEARED (makeup date missing)","CLEARED "&amp;TEXT(_xlfn.MAXIFS(nrMK_Date,nrMK_Link,$B550,nrMK_Credit,"Yes",nrMK_PID,$E550),"mm/dd")),"OPEN"))</f>
        <v/>
      </c>
      <c r="T550" s="17">
        <f>IF($D550="","",IF($C550="","NO DATE",IF($G550="","NO EVENT TYPE",IF(AND($I550&lt;&gt;"",NOT(ISNUMBER($I550))),"MINUTES NOT A NUMBER",IF(AND($J550&lt;&gt;"",NOT(ISNUMBER($J550))),"SESSIONS NOT A NUMBER",IF(OR(N($I550)&lt;0,N($J550)&lt;0),"NEGATIVE MINUTES/SESSIONS",IF(AND($K550="Yes",N($I550)&gt;0),"MINUTES ON A PT EVENT - not counted (PT counts sessions)",IF(AND($K550="No",N($J550)&gt;0),"SESSIONS ON A CLASSROOM EVENT - not counted (classroom counts minutes)",IF(AND($N550="Yes",$K550="Yes",N($J550)=0),"COUNTED PT EVENT WITH NO SESSIONS - dropped from the PT cap",IF(AND($N550="Yes",$K550="No",N($I550)=0),"COUNTED EVENT WITH NO MINUTES - dropped from the classroom cap","OK"))))))))))</f>
        <v/>
      </c>
    </row>
    <row r="551">
      <c r="B551" s="17">
        <f>IF($D551="","","A"&amp;TEXT(ROW()-5,"000"))</f>
        <v/>
      </c>
      <c r="C551" s="18" t="n"/>
      <c r="D551" s="16" t="n"/>
      <c r="E551" s="17">
        <f>IF($D551="","",IFERROR(INDEX(rngCadetPIDs,MATCH($D551,rngCadetNames,0)),"?"))</f>
        <v/>
      </c>
      <c r="F551" s="17">
        <f>IF($E551="","",IFERROR(INDEX(nrCadetAgency,MATCH($E551,rngCadetPIDs,0)),""))</f>
        <v/>
      </c>
      <c r="G551" s="16" t="n"/>
      <c r="H551" s="16" t="n"/>
      <c r="I551" s="16" t="n"/>
      <c r="J551" s="16" t="n"/>
      <c r="K551" s="17">
        <f>IF($G551="","",IF(OR($G551="PT Missed",$G551="PT Modified",$G551="PT Refused"),"Yes","No"))</f>
        <v/>
      </c>
      <c r="L551" s="16" t="n"/>
      <c r="M551" s="16" t="n"/>
      <c r="N551" s="17">
        <f>IF($D551="","",IF($M551="Excused","No",IF(AND($G551="PT Modified",$L551="Received"),"No","Yes")))</f>
        <v/>
      </c>
      <c r="O551" s="16" t="n"/>
      <c r="P551" s="17">
        <f>IF(OR($B551="",N($I551)=0),"",MIN(N($I551),SUMIFS(nrMK_Min,nrMK_Link,$B551,nrMK_Credit,"Yes",nrMK_PID,$E551,nrMK_Type,"Classroom")))</f>
        <v/>
      </c>
      <c r="Q551" s="17">
        <f>IF(OR($B551="",N($J551)=0),"",MIN(N($J551),SUMIFS(nrMK_Sess,nrMK_Link,$B551,nrMK_Credit,"Yes",nrMK_PID,$E551,nrMK_Type,"PT")))</f>
        <v/>
      </c>
      <c r="R551" s="17">
        <f>IF(OR($B551="",$N551&lt;&gt;"Yes"),"",IF($K551="Yes",IF(N($J551)&gt;0,N($J551)-N($Q551),""),IF(N($I551)&gt;0,N($I551)-N($P551),"")))</f>
        <v/>
      </c>
      <c r="S551" s="17">
        <f>IF(OR($B551="",$R551=""),"",IF($R551&lt;=0,IF(IFERROR(_xlfn.MAXIFS(nrMK_Date,nrMK_Link,$B551,nrMK_Credit,"Yes",nrMK_PID,$E551),0)=0,"CLEARED (makeup date missing)","CLEARED "&amp;TEXT(_xlfn.MAXIFS(nrMK_Date,nrMK_Link,$B551,nrMK_Credit,"Yes",nrMK_PID,$E551),"mm/dd")),"OPEN"))</f>
        <v/>
      </c>
      <c r="T551" s="17">
        <f>IF($D551="","",IF($C551="","NO DATE",IF($G551="","NO EVENT TYPE",IF(AND($I551&lt;&gt;"",NOT(ISNUMBER($I551))),"MINUTES NOT A NUMBER",IF(AND($J551&lt;&gt;"",NOT(ISNUMBER($J551))),"SESSIONS NOT A NUMBER",IF(OR(N($I551)&lt;0,N($J551)&lt;0),"NEGATIVE MINUTES/SESSIONS",IF(AND($K551="Yes",N($I551)&gt;0),"MINUTES ON A PT EVENT - not counted (PT counts sessions)",IF(AND($K551="No",N($J551)&gt;0),"SESSIONS ON A CLASSROOM EVENT - not counted (classroom counts minutes)",IF(AND($N551="Yes",$K551="Yes",N($J551)=0),"COUNTED PT EVENT WITH NO SESSIONS - dropped from the PT cap",IF(AND($N551="Yes",$K551="No",N($I551)=0),"COUNTED EVENT WITH NO MINUTES - dropped from the classroom cap","OK"))))))))))</f>
        <v/>
      </c>
    </row>
    <row r="552">
      <c r="B552" s="17">
        <f>IF($D552="","","A"&amp;TEXT(ROW()-5,"000"))</f>
        <v/>
      </c>
      <c r="C552" s="18" t="n"/>
      <c r="D552" s="16" t="n"/>
      <c r="E552" s="17">
        <f>IF($D552="","",IFERROR(INDEX(rngCadetPIDs,MATCH($D552,rngCadetNames,0)),"?"))</f>
        <v/>
      </c>
      <c r="F552" s="17">
        <f>IF($E552="","",IFERROR(INDEX(nrCadetAgency,MATCH($E552,rngCadetPIDs,0)),""))</f>
        <v/>
      </c>
      <c r="G552" s="16" t="n"/>
      <c r="H552" s="16" t="n"/>
      <c r="I552" s="16" t="n"/>
      <c r="J552" s="16" t="n"/>
      <c r="K552" s="17">
        <f>IF($G552="","",IF(OR($G552="PT Missed",$G552="PT Modified",$G552="PT Refused"),"Yes","No"))</f>
        <v/>
      </c>
      <c r="L552" s="16" t="n"/>
      <c r="M552" s="16" t="n"/>
      <c r="N552" s="17">
        <f>IF($D552="","",IF($M552="Excused","No",IF(AND($G552="PT Modified",$L552="Received"),"No","Yes")))</f>
        <v/>
      </c>
      <c r="O552" s="16" t="n"/>
      <c r="P552" s="17">
        <f>IF(OR($B552="",N($I552)=0),"",MIN(N($I552),SUMIFS(nrMK_Min,nrMK_Link,$B552,nrMK_Credit,"Yes",nrMK_PID,$E552,nrMK_Type,"Classroom")))</f>
        <v/>
      </c>
      <c r="Q552" s="17">
        <f>IF(OR($B552="",N($J552)=0),"",MIN(N($J552),SUMIFS(nrMK_Sess,nrMK_Link,$B552,nrMK_Credit,"Yes",nrMK_PID,$E552,nrMK_Type,"PT")))</f>
        <v/>
      </c>
      <c r="R552" s="17">
        <f>IF(OR($B552="",$N552&lt;&gt;"Yes"),"",IF($K552="Yes",IF(N($J552)&gt;0,N($J552)-N($Q552),""),IF(N($I552)&gt;0,N($I552)-N($P552),"")))</f>
        <v/>
      </c>
      <c r="S552" s="17">
        <f>IF(OR($B552="",$R552=""),"",IF($R552&lt;=0,IF(IFERROR(_xlfn.MAXIFS(nrMK_Date,nrMK_Link,$B552,nrMK_Credit,"Yes",nrMK_PID,$E552),0)=0,"CLEARED (makeup date missing)","CLEARED "&amp;TEXT(_xlfn.MAXIFS(nrMK_Date,nrMK_Link,$B552,nrMK_Credit,"Yes",nrMK_PID,$E552),"mm/dd")),"OPEN"))</f>
        <v/>
      </c>
      <c r="T552" s="17">
        <f>IF($D552="","",IF($C552="","NO DATE",IF($G552="","NO EVENT TYPE",IF(AND($I552&lt;&gt;"",NOT(ISNUMBER($I552))),"MINUTES NOT A NUMBER",IF(AND($J552&lt;&gt;"",NOT(ISNUMBER($J552))),"SESSIONS NOT A NUMBER",IF(OR(N($I552)&lt;0,N($J552)&lt;0),"NEGATIVE MINUTES/SESSIONS",IF(AND($K552="Yes",N($I552)&gt;0),"MINUTES ON A PT EVENT - not counted (PT counts sessions)",IF(AND($K552="No",N($J552)&gt;0),"SESSIONS ON A CLASSROOM EVENT - not counted (classroom counts minutes)",IF(AND($N552="Yes",$K552="Yes",N($J552)=0),"COUNTED PT EVENT WITH NO SESSIONS - dropped from the PT cap",IF(AND($N552="Yes",$K552="No",N($I552)=0),"COUNTED EVENT WITH NO MINUTES - dropped from the classroom cap","OK"))))))))))</f>
        <v/>
      </c>
    </row>
    <row r="553">
      <c r="B553" s="17">
        <f>IF($D553="","","A"&amp;TEXT(ROW()-5,"000"))</f>
        <v/>
      </c>
      <c r="C553" s="18" t="n"/>
      <c r="D553" s="16" t="n"/>
      <c r="E553" s="17">
        <f>IF($D553="","",IFERROR(INDEX(rngCadetPIDs,MATCH($D553,rngCadetNames,0)),"?"))</f>
        <v/>
      </c>
      <c r="F553" s="17">
        <f>IF($E553="","",IFERROR(INDEX(nrCadetAgency,MATCH($E553,rngCadetPIDs,0)),""))</f>
        <v/>
      </c>
      <c r="G553" s="16" t="n"/>
      <c r="H553" s="16" t="n"/>
      <c r="I553" s="16" t="n"/>
      <c r="J553" s="16" t="n"/>
      <c r="K553" s="17">
        <f>IF($G553="","",IF(OR($G553="PT Missed",$G553="PT Modified",$G553="PT Refused"),"Yes","No"))</f>
        <v/>
      </c>
      <c r="L553" s="16" t="n"/>
      <c r="M553" s="16" t="n"/>
      <c r="N553" s="17">
        <f>IF($D553="","",IF($M553="Excused","No",IF(AND($G553="PT Modified",$L553="Received"),"No","Yes")))</f>
        <v/>
      </c>
      <c r="O553" s="16" t="n"/>
      <c r="P553" s="17">
        <f>IF(OR($B553="",N($I553)=0),"",MIN(N($I553),SUMIFS(nrMK_Min,nrMK_Link,$B553,nrMK_Credit,"Yes",nrMK_PID,$E553,nrMK_Type,"Classroom")))</f>
        <v/>
      </c>
      <c r="Q553" s="17">
        <f>IF(OR($B553="",N($J553)=0),"",MIN(N($J553),SUMIFS(nrMK_Sess,nrMK_Link,$B553,nrMK_Credit,"Yes",nrMK_PID,$E553,nrMK_Type,"PT")))</f>
        <v/>
      </c>
      <c r="R553" s="17">
        <f>IF(OR($B553="",$N553&lt;&gt;"Yes"),"",IF($K553="Yes",IF(N($J553)&gt;0,N($J553)-N($Q553),""),IF(N($I553)&gt;0,N($I553)-N($P553),"")))</f>
        <v/>
      </c>
      <c r="S553" s="17">
        <f>IF(OR($B553="",$R553=""),"",IF($R553&lt;=0,IF(IFERROR(_xlfn.MAXIFS(nrMK_Date,nrMK_Link,$B553,nrMK_Credit,"Yes",nrMK_PID,$E553),0)=0,"CLEARED (makeup date missing)","CLEARED "&amp;TEXT(_xlfn.MAXIFS(nrMK_Date,nrMK_Link,$B553,nrMK_Credit,"Yes",nrMK_PID,$E553),"mm/dd")),"OPEN"))</f>
        <v/>
      </c>
      <c r="T553" s="17">
        <f>IF($D553="","",IF($C553="","NO DATE",IF($G553="","NO EVENT TYPE",IF(AND($I553&lt;&gt;"",NOT(ISNUMBER($I553))),"MINUTES NOT A NUMBER",IF(AND($J553&lt;&gt;"",NOT(ISNUMBER($J553))),"SESSIONS NOT A NUMBER",IF(OR(N($I553)&lt;0,N($J553)&lt;0),"NEGATIVE MINUTES/SESSIONS",IF(AND($K553="Yes",N($I553)&gt;0),"MINUTES ON A PT EVENT - not counted (PT counts sessions)",IF(AND($K553="No",N($J553)&gt;0),"SESSIONS ON A CLASSROOM EVENT - not counted (classroom counts minutes)",IF(AND($N553="Yes",$K553="Yes",N($J553)=0),"COUNTED PT EVENT WITH NO SESSIONS - dropped from the PT cap",IF(AND($N553="Yes",$K553="No",N($I553)=0),"COUNTED EVENT WITH NO MINUTES - dropped from the classroom cap","OK"))))))))))</f>
        <v/>
      </c>
    </row>
    <row r="554">
      <c r="B554" s="17">
        <f>IF($D554="","","A"&amp;TEXT(ROW()-5,"000"))</f>
        <v/>
      </c>
      <c r="C554" s="18" t="n"/>
      <c r="D554" s="16" t="n"/>
      <c r="E554" s="17">
        <f>IF($D554="","",IFERROR(INDEX(rngCadetPIDs,MATCH($D554,rngCadetNames,0)),"?"))</f>
        <v/>
      </c>
      <c r="F554" s="17">
        <f>IF($E554="","",IFERROR(INDEX(nrCadetAgency,MATCH($E554,rngCadetPIDs,0)),""))</f>
        <v/>
      </c>
      <c r="G554" s="16" t="n"/>
      <c r="H554" s="16" t="n"/>
      <c r="I554" s="16" t="n"/>
      <c r="J554" s="16" t="n"/>
      <c r="K554" s="17">
        <f>IF($G554="","",IF(OR($G554="PT Missed",$G554="PT Modified",$G554="PT Refused"),"Yes","No"))</f>
        <v/>
      </c>
      <c r="L554" s="16" t="n"/>
      <c r="M554" s="16" t="n"/>
      <c r="N554" s="17">
        <f>IF($D554="","",IF($M554="Excused","No",IF(AND($G554="PT Modified",$L554="Received"),"No","Yes")))</f>
        <v/>
      </c>
      <c r="O554" s="16" t="n"/>
      <c r="P554" s="17">
        <f>IF(OR($B554="",N($I554)=0),"",MIN(N($I554),SUMIFS(nrMK_Min,nrMK_Link,$B554,nrMK_Credit,"Yes",nrMK_PID,$E554,nrMK_Type,"Classroom")))</f>
        <v/>
      </c>
      <c r="Q554" s="17">
        <f>IF(OR($B554="",N($J554)=0),"",MIN(N($J554),SUMIFS(nrMK_Sess,nrMK_Link,$B554,nrMK_Credit,"Yes",nrMK_PID,$E554,nrMK_Type,"PT")))</f>
        <v/>
      </c>
      <c r="R554" s="17">
        <f>IF(OR($B554="",$N554&lt;&gt;"Yes"),"",IF($K554="Yes",IF(N($J554)&gt;0,N($J554)-N($Q554),""),IF(N($I554)&gt;0,N($I554)-N($P554),"")))</f>
        <v/>
      </c>
      <c r="S554" s="17">
        <f>IF(OR($B554="",$R554=""),"",IF($R554&lt;=0,IF(IFERROR(_xlfn.MAXIFS(nrMK_Date,nrMK_Link,$B554,nrMK_Credit,"Yes",nrMK_PID,$E554),0)=0,"CLEARED (makeup date missing)","CLEARED "&amp;TEXT(_xlfn.MAXIFS(nrMK_Date,nrMK_Link,$B554,nrMK_Credit,"Yes",nrMK_PID,$E554),"mm/dd")),"OPEN"))</f>
        <v/>
      </c>
      <c r="T554" s="17">
        <f>IF($D554="","",IF($C554="","NO DATE",IF($G554="","NO EVENT TYPE",IF(AND($I554&lt;&gt;"",NOT(ISNUMBER($I554))),"MINUTES NOT A NUMBER",IF(AND($J554&lt;&gt;"",NOT(ISNUMBER($J554))),"SESSIONS NOT A NUMBER",IF(OR(N($I554)&lt;0,N($J554)&lt;0),"NEGATIVE MINUTES/SESSIONS",IF(AND($K554="Yes",N($I554)&gt;0),"MINUTES ON A PT EVENT - not counted (PT counts sessions)",IF(AND($K554="No",N($J554)&gt;0),"SESSIONS ON A CLASSROOM EVENT - not counted (classroom counts minutes)",IF(AND($N554="Yes",$K554="Yes",N($J554)=0),"COUNTED PT EVENT WITH NO SESSIONS - dropped from the PT cap",IF(AND($N554="Yes",$K554="No",N($I554)=0),"COUNTED EVENT WITH NO MINUTES - dropped from the classroom cap","OK"))))))))))</f>
        <v/>
      </c>
    </row>
    <row r="555">
      <c r="B555" s="17">
        <f>IF($D555="","","A"&amp;TEXT(ROW()-5,"000"))</f>
        <v/>
      </c>
      <c r="C555" s="18" t="n"/>
      <c r="D555" s="16" t="n"/>
      <c r="E555" s="17">
        <f>IF($D555="","",IFERROR(INDEX(rngCadetPIDs,MATCH($D555,rngCadetNames,0)),"?"))</f>
        <v/>
      </c>
      <c r="F555" s="17">
        <f>IF($E555="","",IFERROR(INDEX(nrCadetAgency,MATCH($E555,rngCadetPIDs,0)),""))</f>
        <v/>
      </c>
      <c r="G555" s="16" t="n"/>
      <c r="H555" s="16" t="n"/>
      <c r="I555" s="16" t="n"/>
      <c r="J555" s="16" t="n"/>
      <c r="K555" s="17">
        <f>IF($G555="","",IF(OR($G555="PT Missed",$G555="PT Modified",$G555="PT Refused"),"Yes","No"))</f>
        <v/>
      </c>
      <c r="L555" s="16" t="n"/>
      <c r="M555" s="16" t="n"/>
      <c r="N555" s="17">
        <f>IF($D555="","",IF($M555="Excused","No",IF(AND($G555="PT Modified",$L555="Received"),"No","Yes")))</f>
        <v/>
      </c>
      <c r="O555" s="16" t="n"/>
      <c r="P555" s="17">
        <f>IF(OR($B555="",N($I555)=0),"",MIN(N($I555),SUMIFS(nrMK_Min,nrMK_Link,$B555,nrMK_Credit,"Yes",nrMK_PID,$E555,nrMK_Type,"Classroom")))</f>
        <v/>
      </c>
      <c r="Q555" s="17">
        <f>IF(OR($B555="",N($J555)=0),"",MIN(N($J555),SUMIFS(nrMK_Sess,nrMK_Link,$B555,nrMK_Credit,"Yes",nrMK_PID,$E555,nrMK_Type,"PT")))</f>
        <v/>
      </c>
      <c r="R555" s="17">
        <f>IF(OR($B555="",$N555&lt;&gt;"Yes"),"",IF($K555="Yes",IF(N($J555)&gt;0,N($J555)-N($Q555),""),IF(N($I555)&gt;0,N($I555)-N($P555),"")))</f>
        <v/>
      </c>
      <c r="S555" s="17">
        <f>IF(OR($B555="",$R555=""),"",IF($R555&lt;=0,IF(IFERROR(_xlfn.MAXIFS(nrMK_Date,nrMK_Link,$B555,nrMK_Credit,"Yes",nrMK_PID,$E555),0)=0,"CLEARED (makeup date missing)","CLEARED "&amp;TEXT(_xlfn.MAXIFS(nrMK_Date,nrMK_Link,$B555,nrMK_Credit,"Yes",nrMK_PID,$E555),"mm/dd")),"OPEN"))</f>
        <v/>
      </c>
      <c r="T555" s="17">
        <f>IF($D555="","",IF($C555="","NO DATE",IF($G555="","NO EVENT TYPE",IF(AND($I555&lt;&gt;"",NOT(ISNUMBER($I555))),"MINUTES NOT A NUMBER",IF(AND($J555&lt;&gt;"",NOT(ISNUMBER($J555))),"SESSIONS NOT A NUMBER",IF(OR(N($I555)&lt;0,N($J555)&lt;0),"NEGATIVE MINUTES/SESSIONS",IF(AND($K555="Yes",N($I555)&gt;0),"MINUTES ON A PT EVENT - not counted (PT counts sessions)",IF(AND($K555="No",N($J555)&gt;0),"SESSIONS ON A CLASSROOM EVENT - not counted (classroom counts minutes)",IF(AND($N555="Yes",$K555="Yes",N($J555)=0),"COUNTED PT EVENT WITH NO SESSIONS - dropped from the PT cap",IF(AND($N555="Yes",$K555="No",N($I555)=0),"COUNTED EVENT WITH NO MINUTES - dropped from the classroom cap","OK"))))))))))</f>
        <v/>
      </c>
    </row>
    <row r="556">
      <c r="B556" s="17">
        <f>IF($D556="","","A"&amp;TEXT(ROW()-5,"000"))</f>
        <v/>
      </c>
      <c r="C556" s="18" t="n"/>
      <c r="D556" s="16" t="n"/>
      <c r="E556" s="17">
        <f>IF($D556="","",IFERROR(INDEX(rngCadetPIDs,MATCH($D556,rngCadetNames,0)),"?"))</f>
        <v/>
      </c>
      <c r="F556" s="17">
        <f>IF($E556="","",IFERROR(INDEX(nrCadetAgency,MATCH($E556,rngCadetPIDs,0)),""))</f>
        <v/>
      </c>
      <c r="G556" s="16" t="n"/>
      <c r="H556" s="16" t="n"/>
      <c r="I556" s="16" t="n"/>
      <c r="J556" s="16" t="n"/>
      <c r="K556" s="17">
        <f>IF($G556="","",IF(OR($G556="PT Missed",$G556="PT Modified",$G556="PT Refused"),"Yes","No"))</f>
        <v/>
      </c>
      <c r="L556" s="16" t="n"/>
      <c r="M556" s="16" t="n"/>
      <c r="N556" s="17">
        <f>IF($D556="","",IF($M556="Excused","No",IF(AND($G556="PT Modified",$L556="Received"),"No","Yes")))</f>
        <v/>
      </c>
      <c r="O556" s="16" t="n"/>
      <c r="P556" s="17">
        <f>IF(OR($B556="",N($I556)=0),"",MIN(N($I556),SUMIFS(nrMK_Min,nrMK_Link,$B556,nrMK_Credit,"Yes",nrMK_PID,$E556,nrMK_Type,"Classroom")))</f>
        <v/>
      </c>
      <c r="Q556" s="17">
        <f>IF(OR($B556="",N($J556)=0),"",MIN(N($J556),SUMIFS(nrMK_Sess,nrMK_Link,$B556,nrMK_Credit,"Yes",nrMK_PID,$E556,nrMK_Type,"PT")))</f>
        <v/>
      </c>
      <c r="R556" s="17">
        <f>IF(OR($B556="",$N556&lt;&gt;"Yes"),"",IF($K556="Yes",IF(N($J556)&gt;0,N($J556)-N($Q556),""),IF(N($I556)&gt;0,N($I556)-N($P556),"")))</f>
        <v/>
      </c>
      <c r="S556" s="17">
        <f>IF(OR($B556="",$R556=""),"",IF($R556&lt;=0,IF(IFERROR(_xlfn.MAXIFS(nrMK_Date,nrMK_Link,$B556,nrMK_Credit,"Yes",nrMK_PID,$E556),0)=0,"CLEARED (makeup date missing)","CLEARED "&amp;TEXT(_xlfn.MAXIFS(nrMK_Date,nrMK_Link,$B556,nrMK_Credit,"Yes",nrMK_PID,$E556),"mm/dd")),"OPEN"))</f>
        <v/>
      </c>
      <c r="T556" s="17">
        <f>IF($D556="","",IF($C556="","NO DATE",IF($G556="","NO EVENT TYPE",IF(AND($I556&lt;&gt;"",NOT(ISNUMBER($I556))),"MINUTES NOT A NUMBER",IF(AND($J556&lt;&gt;"",NOT(ISNUMBER($J556))),"SESSIONS NOT A NUMBER",IF(OR(N($I556)&lt;0,N($J556)&lt;0),"NEGATIVE MINUTES/SESSIONS",IF(AND($K556="Yes",N($I556)&gt;0),"MINUTES ON A PT EVENT - not counted (PT counts sessions)",IF(AND($K556="No",N($J556)&gt;0),"SESSIONS ON A CLASSROOM EVENT - not counted (classroom counts minutes)",IF(AND($N556="Yes",$K556="Yes",N($J556)=0),"COUNTED PT EVENT WITH NO SESSIONS - dropped from the PT cap",IF(AND($N556="Yes",$K556="No",N($I556)=0),"COUNTED EVENT WITH NO MINUTES - dropped from the classroom cap","OK"))))))))))</f>
        <v/>
      </c>
    </row>
    <row r="557">
      <c r="B557" s="17">
        <f>IF($D557="","","A"&amp;TEXT(ROW()-5,"000"))</f>
        <v/>
      </c>
      <c r="C557" s="18" t="n"/>
      <c r="D557" s="16" t="n"/>
      <c r="E557" s="17">
        <f>IF($D557="","",IFERROR(INDEX(rngCadetPIDs,MATCH($D557,rngCadetNames,0)),"?"))</f>
        <v/>
      </c>
      <c r="F557" s="17">
        <f>IF($E557="","",IFERROR(INDEX(nrCadetAgency,MATCH($E557,rngCadetPIDs,0)),""))</f>
        <v/>
      </c>
      <c r="G557" s="16" t="n"/>
      <c r="H557" s="16" t="n"/>
      <c r="I557" s="16" t="n"/>
      <c r="J557" s="16" t="n"/>
      <c r="K557" s="17">
        <f>IF($G557="","",IF(OR($G557="PT Missed",$G557="PT Modified",$G557="PT Refused"),"Yes","No"))</f>
        <v/>
      </c>
      <c r="L557" s="16" t="n"/>
      <c r="M557" s="16" t="n"/>
      <c r="N557" s="17">
        <f>IF($D557="","",IF($M557="Excused","No",IF(AND($G557="PT Modified",$L557="Received"),"No","Yes")))</f>
        <v/>
      </c>
      <c r="O557" s="16" t="n"/>
      <c r="P557" s="17">
        <f>IF(OR($B557="",N($I557)=0),"",MIN(N($I557),SUMIFS(nrMK_Min,nrMK_Link,$B557,nrMK_Credit,"Yes",nrMK_PID,$E557,nrMK_Type,"Classroom")))</f>
        <v/>
      </c>
      <c r="Q557" s="17">
        <f>IF(OR($B557="",N($J557)=0),"",MIN(N($J557),SUMIFS(nrMK_Sess,nrMK_Link,$B557,nrMK_Credit,"Yes",nrMK_PID,$E557,nrMK_Type,"PT")))</f>
        <v/>
      </c>
      <c r="R557" s="17">
        <f>IF(OR($B557="",$N557&lt;&gt;"Yes"),"",IF($K557="Yes",IF(N($J557)&gt;0,N($J557)-N($Q557),""),IF(N($I557)&gt;0,N($I557)-N($P557),"")))</f>
        <v/>
      </c>
      <c r="S557" s="17">
        <f>IF(OR($B557="",$R557=""),"",IF($R557&lt;=0,IF(IFERROR(_xlfn.MAXIFS(nrMK_Date,nrMK_Link,$B557,nrMK_Credit,"Yes",nrMK_PID,$E557),0)=0,"CLEARED (makeup date missing)","CLEARED "&amp;TEXT(_xlfn.MAXIFS(nrMK_Date,nrMK_Link,$B557,nrMK_Credit,"Yes",nrMK_PID,$E557),"mm/dd")),"OPEN"))</f>
        <v/>
      </c>
      <c r="T557" s="17">
        <f>IF($D557="","",IF($C557="","NO DATE",IF($G557="","NO EVENT TYPE",IF(AND($I557&lt;&gt;"",NOT(ISNUMBER($I557))),"MINUTES NOT A NUMBER",IF(AND($J557&lt;&gt;"",NOT(ISNUMBER($J557))),"SESSIONS NOT A NUMBER",IF(OR(N($I557)&lt;0,N($J557)&lt;0),"NEGATIVE MINUTES/SESSIONS",IF(AND($K557="Yes",N($I557)&gt;0),"MINUTES ON A PT EVENT - not counted (PT counts sessions)",IF(AND($K557="No",N($J557)&gt;0),"SESSIONS ON A CLASSROOM EVENT - not counted (classroom counts minutes)",IF(AND($N557="Yes",$K557="Yes",N($J557)=0),"COUNTED PT EVENT WITH NO SESSIONS - dropped from the PT cap",IF(AND($N557="Yes",$K557="No",N($I557)=0),"COUNTED EVENT WITH NO MINUTES - dropped from the classroom cap","OK"))))))))))</f>
        <v/>
      </c>
    </row>
    <row r="558">
      <c r="B558" s="17">
        <f>IF($D558="","","A"&amp;TEXT(ROW()-5,"000"))</f>
        <v/>
      </c>
      <c r="C558" s="18" t="n"/>
      <c r="D558" s="16" t="n"/>
      <c r="E558" s="17">
        <f>IF($D558="","",IFERROR(INDEX(rngCadetPIDs,MATCH($D558,rngCadetNames,0)),"?"))</f>
        <v/>
      </c>
      <c r="F558" s="17">
        <f>IF($E558="","",IFERROR(INDEX(nrCadetAgency,MATCH($E558,rngCadetPIDs,0)),""))</f>
        <v/>
      </c>
      <c r="G558" s="16" t="n"/>
      <c r="H558" s="16" t="n"/>
      <c r="I558" s="16" t="n"/>
      <c r="J558" s="16" t="n"/>
      <c r="K558" s="17">
        <f>IF($G558="","",IF(OR($G558="PT Missed",$G558="PT Modified",$G558="PT Refused"),"Yes","No"))</f>
        <v/>
      </c>
      <c r="L558" s="16" t="n"/>
      <c r="M558" s="16" t="n"/>
      <c r="N558" s="17">
        <f>IF($D558="","",IF($M558="Excused","No",IF(AND($G558="PT Modified",$L558="Received"),"No","Yes")))</f>
        <v/>
      </c>
      <c r="O558" s="16" t="n"/>
      <c r="P558" s="17">
        <f>IF(OR($B558="",N($I558)=0),"",MIN(N($I558),SUMIFS(nrMK_Min,nrMK_Link,$B558,nrMK_Credit,"Yes",nrMK_PID,$E558,nrMK_Type,"Classroom")))</f>
        <v/>
      </c>
      <c r="Q558" s="17">
        <f>IF(OR($B558="",N($J558)=0),"",MIN(N($J558),SUMIFS(nrMK_Sess,nrMK_Link,$B558,nrMK_Credit,"Yes",nrMK_PID,$E558,nrMK_Type,"PT")))</f>
        <v/>
      </c>
      <c r="R558" s="17">
        <f>IF(OR($B558="",$N558&lt;&gt;"Yes"),"",IF($K558="Yes",IF(N($J558)&gt;0,N($J558)-N($Q558),""),IF(N($I558)&gt;0,N($I558)-N($P558),"")))</f>
        <v/>
      </c>
      <c r="S558" s="17">
        <f>IF(OR($B558="",$R558=""),"",IF($R558&lt;=0,IF(IFERROR(_xlfn.MAXIFS(nrMK_Date,nrMK_Link,$B558,nrMK_Credit,"Yes",nrMK_PID,$E558),0)=0,"CLEARED (makeup date missing)","CLEARED "&amp;TEXT(_xlfn.MAXIFS(nrMK_Date,nrMK_Link,$B558,nrMK_Credit,"Yes",nrMK_PID,$E558),"mm/dd")),"OPEN"))</f>
        <v/>
      </c>
      <c r="T558" s="17">
        <f>IF($D558="","",IF($C558="","NO DATE",IF($G558="","NO EVENT TYPE",IF(AND($I558&lt;&gt;"",NOT(ISNUMBER($I558))),"MINUTES NOT A NUMBER",IF(AND($J558&lt;&gt;"",NOT(ISNUMBER($J558))),"SESSIONS NOT A NUMBER",IF(OR(N($I558)&lt;0,N($J558)&lt;0),"NEGATIVE MINUTES/SESSIONS",IF(AND($K558="Yes",N($I558)&gt;0),"MINUTES ON A PT EVENT - not counted (PT counts sessions)",IF(AND($K558="No",N($J558)&gt;0),"SESSIONS ON A CLASSROOM EVENT - not counted (classroom counts minutes)",IF(AND($N558="Yes",$K558="Yes",N($J558)=0),"COUNTED PT EVENT WITH NO SESSIONS - dropped from the PT cap",IF(AND($N558="Yes",$K558="No",N($I558)=0),"COUNTED EVENT WITH NO MINUTES - dropped from the classroom cap","OK"))))))))))</f>
        <v/>
      </c>
    </row>
    <row r="559">
      <c r="B559" s="17">
        <f>IF($D559="","","A"&amp;TEXT(ROW()-5,"000"))</f>
        <v/>
      </c>
      <c r="C559" s="18" t="n"/>
      <c r="D559" s="16" t="n"/>
      <c r="E559" s="17">
        <f>IF($D559="","",IFERROR(INDEX(rngCadetPIDs,MATCH($D559,rngCadetNames,0)),"?"))</f>
        <v/>
      </c>
      <c r="F559" s="17">
        <f>IF($E559="","",IFERROR(INDEX(nrCadetAgency,MATCH($E559,rngCadetPIDs,0)),""))</f>
        <v/>
      </c>
      <c r="G559" s="16" t="n"/>
      <c r="H559" s="16" t="n"/>
      <c r="I559" s="16" t="n"/>
      <c r="J559" s="16" t="n"/>
      <c r="K559" s="17">
        <f>IF($G559="","",IF(OR($G559="PT Missed",$G559="PT Modified",$G559="PT Refused"),"Yes","No"))</f>
        <v/>
      </c>
      <c r="L559" s="16" t="n"/>
      <c r="M559" s="16" t="n"/>
      <c r="N559" s="17">
        <f>IF($D559="","",IF($M559="Excused","No",IF(AND($G559="PT Modified",$L559="Received"),"No","Yes")))</f>
        <v/>
      </c>
      <c r="O559" s="16" t="n"/>
      <c r="P559" s="17">
        <f>IF(OR($B559="",N($I559)=0),"",MIN(N($I559),SUMIFS(nrMK_Min,nrMK_Link,$B559,nrMK_Credit,"Yes",nrMK_PID,$E559,nrMK_Type,"Classroom")))</f>
        <v/>
      </c>
      <c r="Q559" s="17">
        <f>IF(OR($B559="",N($J559)=0),"",MIN(N($J559),SUMIFS(nrMK_Sess,nrMK_Link,$B559,nrMK_Credit,"Yes",nrMK_PID,$E559,nrMK_Type,"PT")))</f>
        <v/>
      </c>
      <c r="R559" s="17">
        <f>IF(OR($B559="",$N559&lt;&gt;"Yes"),"",IF($K559="Yes",IF(N($J559)&gt;0,N($J559)-N($Q559),""),IF(N($I559)&gt;0,N($I559)-N($P559),"")))</f>
        <v/>
      </c>
      <c r="S559" s="17">
        <f>IF(OR($B559="",$R559=""),"",IF($R559&lt;=0,IF(IFERROR(_xlfn.MAXIFS(nrMK_Date,nrMK_Link,$B559,nrMK_Credit,"Yes",nrMK_PID,$E559),0)=0,"CLEARED (makeup date missing)","CLEARED "&amp;TEXT(_xlfn.MAXIFS(nrMK_Date,nrMK_Link,$B559,nrMK_Credit,"Yes",nrMK_PID,$E559),"mm/dd")),"OPEN"))</f>
        <v/>
      </c>
      <c r="T559" s="17">
        <f>IF($D559="","",IF($C559="","NO DATE",IF($G559="","NO EVENT TYPE",IF(AND($I559&lt;&gt;"",NOT(ISNUMBER($I559))),"MINUTES NOT A NUMBER",IF(AND($J559&lt;&gt;"",NOT(ISNUMBER($J559))),"SESSIONS NOT A NUMBER",IF(OR(N($I559)&lt;0,N($J559)&lt;0),"NEGATIVE MINUTES/SESSIONS",IF(AND($K559="Yes",N($I559)&gt;0),"MINUTES ON A PT EVENT - not counted (PT counts sessions)",IF(AND($K559="No",N($J559)&gt;0),"SESSIONS ON A CLASSROOM EVENT - not counted (classroom counts minutes)",IF(AND($N559="Yes",$K559="Yes",N($J559)=0),"COUNTED PT EVENT WITH NO SESSIONS - dropped from the PT cap",IF(AND($N559="Yes",$K559="No",N($I559)=0),"COUNTED EVENT WITH NO MINUTES - dropped from the classroom cap","OK"))))))))))</f>
        <v/>
      </c>
    </row>
    <row r="560">
      <c r="B560" s="17">
        <f>IF($D560="","","A"&amp;TEXT(ROW()-5,"000"))</f>
        <v/>
      </c>
      <c r="C560" s="18" t="n"/>
      <c r="D560" s="16" t="n"/>
      <c r="E560" s="17">
        <f>IF($D560="","",IFERROR(INDEX(rngCadetPIDs,MATCH($D560,rngCadetNames,0)),"?"))</f>
        <v/>
      </c>
      <c r="F560" s="17">
        <f>IF($E560="","",IFERROR(INDEX(nrCadetAgency,MATCH($E560,rngCadetPIDs,0)),""))</f>
        <v/>
      </c>
      <c r="G560" s="16" t="n"/>
      <c r="H560" s="16" t="n"/>
      <c r="I560" s="16" t="n"/>
      <c r="J560" s="16" t="n"/>
      <c r="K560" s="17">
        <f>IF($G560="","",IF(OR($G560="PT Missed",$G560="PT Modified",$G560="PT Refused"),"Yes","No"))</f>
        <v/>
      </c>
      <c r="L560" s="16" t="n"/>
      <c r="M560" s="16" t="n"/>
      <c r="N560" s="17">
        <f>IF($D560="","",IF($M560="Excused","No",IF(AND($G560="PT Modified",$L560="Received"),"No","Yes")))</f>
        <v/>
      </c>
      <c r="O560" s="16" t="n"/>
      <c r="P560" s="17">
        <f>IF(OR($B560="",N($I560)=0),"",MIN(N($I560),SUMIFS(nrMK_Min,nrMK_Link,$B560,nrMK_Credit,"Yes",nrMK_PID,$E560,nrMK_Type,"Classroom")))</f>
        <v/>
      </c>
      <c r="Q560" s="17">
        <f>IF(OR($B560="",N($J560)=0),"",MIN(N($J560),SUMIFS(nrMK_Sess,nrMK_Link,$B560,nrMK_Credit,"Yes",nrMK_PID,$E560,nrMK_Type,"PT")))</f>
        <v/>
      </c>
      <c r="R560" s="17">
        <f>IF(OR($B560="",$N560&lt;&gt;"Yes"),"",IF($K560="Yes",IF(N($J560)&gt;0,N($J560)-N($Q560),""),IF(N($I560)&gt;0,N($I560)-N($P560),"")))</f>
        <v/>
      </c>
      <c r="S560" s="17">
        <f>IF(OR($B560="",$R560=""),"",IF($R560&lt;=0,IF(IFERROR(_xlfn.MAXIFS(nrMK_Date,nrMK_Link,$B560,nrMK_Credit,"Yes",nrMK_PID,$E560),0)=0,"CLEARED (makeup date missing)","CLEARED "&amp;TEXT(_xlfn.MAXIFS(nrMK_Date,nrMK_Link,$B560,nrMK_Credit,"Yes",nrMK_PID,$E560),"mm/dd")),"OPEN"))</f>
        <v/>
      </c>
      <c r="T560" s="17">
        <f>IF($D560="","",IF($C560="","NO DATE",IF($G560="","NO EVENT TYPE",IF(AND($I560&lt;&gt;"",NOT(ISNUMBER($I560))),"MINUTES NOT A NUMBER",IF(AND($J560&lt;&gt;"",NOT(ISNUMBER($J560))),"SESSIONS NOT A NUMBER",IF(OR(N($I560)&lt;0,N($J560)&lt;0),"NEGATIVE MINUTES/SESSIONS",IF(AND($K560="Yes",N($I560)&gt;0),"MINUTES ON A PT EVENT - not counted (PT counts sessions)",IF(AND($K560="No",N($J560)&gt;0),"SESSIONS ON A CLASSROOM EVENT - not counted (classroom counts minutes)",IF(AND($N560="Yes",$K560="Yes",N($J560)=0),"COUNTED PT EVENT WITH NO SESSIONS - dropped from the PT cap",IF(AND($N560="Yes",$K560="No",N($I560)=0),"COUNTED EVENT WITH NO MINUTES - dropped from the classroom cap","OK"))))))))))</f>
        <v/>
      </c>
    </row>
    <row r="561">
      <c r="B561" s="17">
        <f>IF($D561="","","A"&amp;TEXT(ROW()-5,"000"))</f>
        <v/>
      </c>
      <c r="C561" s="18" t="n"/>
      <c r="D561" s="16" t="n"/>
      <c r="E561" s="17">
        <f>IF($D561="","",IFERROR(INDEX(rngCadetPIDs,MATCH($D561,rngCadetNames,0)),"?"))</f>
        <v/>
      </c>
      <c r="F561" s="17">
        <f>IF($E561="","",IFERROR(INDEX(nrCadetAgency,MATCH($E561,rngCadetPIDs,0)),""))</f>
        <v/>
      </c>
      <c r="G561" s="16" t="n"/>
      <c r="H561" s="16" t="n"/>
      <c r="I561" s="16" t="n"/>
      <c r="J561" s="16" t="n"/>
      <c r="K561" s="17">
        <f>IF($G561="","",IF(OR($G561="PT Missed",$G561="PT Modified",$G561="PT Refused"),"Yes","No"))</f>
        <v/>
      </c>
      <c r="L561" s="16" t="n"/>
      <c r="M561" s="16" t="n"/>
      <c r="N561" s="17">
        <f>IF($D561="","",IF($M561="Excused","No",IF(AND($G561="PT Modified",$L561="Received"),"No","Yes")))</f>
        <v/>
      </c>
      <c r="O561" s="16" t="n"/>
      <c r="P561" s="17">
        <f>IF(OR($B561="",N($I561)=0),"",MIN(N($I561),SUMIFS(nrMK_Min,nrMK_Link,$B561,nrMK_Credit,"Yes",nrMK_PID,$E561,nrMK_Type,"Classroom")))</f>
        <v/>
      </c>
      <c r="Q561" s="17">
        <f>IF(OR($B561="",N($J561)=0),"",MIN(N($J561),SUMIFS(nrMK_Sess,nrMK_Link,$B561,nrMK_Credit,"Yes",nrMK_PID,$E561,nrMK_Type,"PT")))</f>
        <v/>
      </c>
      <c r="R561" s="17">
        <f>IF(OR($B561="",$N561&lt;&gt;"Yes"),"",IF($K561="Yes",IF(N($J561)&gt;0,N($J561)-N($Q561),""),IF(N($I561)&gt;0,N($I561)-N($P561),"")))</f>
        <v/>
      </c>
      <c r="S561" s="17">
        <f>IF(OR($B561="",$R561=""),"",IF($R561&lt;=0,IF(IFERROR(_xlfn.MAXIFS(nrMK_Date,nrMK_Link,$B561,nrMK_Credit,"Yes",nrMK_PID,$E561),0)=0,"CLEARED (makeup date missing)","CLEARED "&amp;TEXT(_xlfn.MAXIFS(nrMK_Date,nrMK_Link,$B561,nrMK_Credit,"Yes",nrMK_PID,$E561),"mm/dd")),"OPEN"))</f>
        <v/>
      </c>
      <c r="T561" s="17">
        <f>IF($D561="","",IF($C561="","NO DATE",IF($G561="","NO EVENT TYPE",IF(AND($I561&lt;&gt;"",NOT(ISNUMBER($I561))),"MINUTES NOT A NUMBER",IF(AND($J561&lt;&gt;"",NOT(ISNUMBER($J561))),"SESSIONS NOT A NUMBER",IF(OR(N($I561)&lt;0,N($J561)&lt;0),"NEGATIVE MINUTES/SESSIONS",IF(AND($K561="Yes",N($I561)&gt;0),"MINUTES ON A PT EVENT - not counted (PT counts sessions)",IF(AND($K561="No",N($J561)&gt;0),"SESSIONS ON A CLASSROOM EVENT - not counted (classroom counts minutes)",IF(AND($N561="Yes",$K561="Yes",N($J561)=0),"COUNTED PT EVENT WITH NO SESSIONS - dropped from the PT cap",IF(AND($N561="Yes",$K561="No",N($I561)=0),"COUNTED EVENT WITH NO MINUTES - dropped from the classroom cap","OK"))))))))))</f>
        <v/>
      </c>
    </row>
    <row r="562">
      <c r="B562" s="17">
        <f>IF($D562="","","A"&amp;TEXT(ROW()-5,"000"))</f>
        <v/>
      </c>
      <c r="C562" s="18" t="n"/>
      <c r="D562" s="16" t="n"/>
      <c r="E562" s="17">
        <f>IF($D562="","",IFERROR(INDEX(rngCadetPIDs,MATCH($D562,rngCadetNames,0)),"?"))</f>
        <v/>
      </c>
      <c r="F562" s="17">
        <f>IF($E562="","",IFERROR(INDEX(nrCadetAgency,MATCH($E562,rngCadetPIDs,0)),""))</f>
        <v/>
      </c>
      <c r="G562" s="16" t="n"/>
      <c r="H562" s="16" t="n"/>
      <c r="I562" s="16" t="n"/>
      <c r="J562" s="16" t="n"/>
      <c r="K562" s="17">
        <f>IF($G562="","",IF(OR($G562="PT Missed",$G562="PT Modified",$G562="PT Refused"),"Yes","No"))</f>
        <v/>
      </c>
      <c r="L562" s="16" t="n"/>
      <c r="M562" s="16" t="n"/>
      <c r="N562" s="17">
        <f>IF($D562="","",IF($M562="Excused","No",IF(AND($G562="PT Modified",$L562="Received"),"No","Yes")))</f>
        <v/>
      </c>
      <c r="O562" s="16" t="n"/>
      <c r="P562" s="17">
        <f>IF(OR($B562="",N($I562)=0),"",MIN(N($I562),SUMIFS(nrMK_Min,nrMK_Link,$B562,nrMK_Credit,"Yes",nrMK_PID,$E562,nrMK_Type,"Classroom")))</f>
        <v/>
      </c>
      <c r="Q562" s="17">
        <f>IF(OR($B562="",N($J562)=0),"",MIN(N($J562),SUMIFS(nrMK_Sess,nrMK_Link,$B562,nrMK_Credit,"Yes",nrMK_PID,$E562,nrMK_Type,"PT")))</f>
        <v/>
      </c>
      <c r="R562" s="17">
        <f>IF(OR($B562="",$N562&lt;&gt;"Yes"),"",IF($K562="Yes",IF(N($J562)&gt;0,N($J562)-N($Q562),""),IF(N($I562)&gt;0,N($I562)-N($P562),"")))</f>
        <v/>
      </c>
      <c r="S562" s="17">
        <f>IF(OR($B562="",$R562=""),"",IF($R562&lt;=0,IF(IFERROR(_xlfn.MAXIFS(nrMK_Date,nrMK_Link,$B562,nrMK_Credit,"Yes",nrMK_PID,$E562),0)=0,"CLEARED (makeup date missing)","CLEARED "&amp;TEXT(_xlfn.MAXIFS(nrMK_Date,nrMK_Link,$B562,nrMK_Credit,"Yes",nrMK_PID,$E562),"mm/dd")),"OPEN"))</f>
        <v/>
      </c>
      <c r="T562" s="17">
        <f>IF($D562="","",IF($C562="","NO DATE",IF($G562="","NO EVENT TYPE",IF(AND($I562&lt;&gt;"",NOT(ISNUMBER($I562))),"MINUTES NOT A NUMBER",IF(AND($J562&lt;&gt;"",NOT(ISNUMBER($J562))),"SESSIONS NOT A NUMBER",IF(OR(N($I562)&lt;0,N($J562)&lt;0),"NEGATIVE MINUTES/SESSIONS",IF(AND($K562="Yes",N($I562)&gt;0),"MINUTES ON A PT EVENT - not counted (PT counts sessions)",IF(AND($K562="No",N($J562)&gt;0),"SESSIONS ON A CLASSROOM EVENT - not counted (classroom counts minutes)",IF(AND($N562="Yes",$K562="Yes",N($J562)=0),"COUNTED PT EVENT WITH NO SESSIONS - dropped from the PT cap",IF(AND($N562="Yes",$K562="No",N($I562)=0),"COUNTED EVENT WITH NO MINUTES - dropped from the classroom cap","OK"))))))))))</f>
        <v/>
      </c>
    </row>
    <row r="563">
      <c r="B563" s="17">
        <f>IF($D563="","","A"&amp;TEXT(ROW()-5,"000"))</f>
        <v/>
      </c>
      <c r="C563" s="18" t="n"/>
      <c r="D563" s="16" t="n"/>
      <c r="E563" s="17">
        <f>IF($D563="","",IFERROR(INDEX(rngCadetPIDs,MATCH($D563,rngCadetNames,0)),"?"))</f>
        <v/>
      </c>
      <c r="F563" s="17">
        <f>IF($E563="","",IFERROR(INDEX(nrCadetAgency,MATCH($E563,rngCadetPIDs,0)),""))</f>
        <v/>
      </c>
      <c r="G563" s="16" t="n"/>
      <c r="H563" s="16" t="n"/>
      <c r="I563" s="16" t="n"/>
      <c r="J563" s="16" t="n"/>
      <c r="K563" s="17">
        <f>IF($G563="","",IF(OR($G563="PT Missed",$G563="PT Modified",$G563="PT Refused"),"Yes","No"))</f>
        <v/>
      </c>
      <c r="L563" s="16" t="n"/>
      <c r="M563" s="16" t="n"/>
      <c r="N563" s="17">
        <f>IF($D563="","",IF($M563="Excused","No",IF(AND($G563="PT Modified",$L563="Received"),"No","Yes")))</f>
        <v/>
      </c>
      <c r="O563" s="16" t="n"/>
      <c r="P563" s="17">
        <f>IF(OR($B563="",N($I563)=0),"",MIN(N($I563),SUMIFS(nrMK_Min,nrMK_Link,$B563,nrMK_Credit,"Yes",nrMK_PID,$E563,nrMK_Type,"Classroom")))</f>
        <v/>
      </c>
      <c r="Q563" s="17">
        <f>IF(OR($B563="",N($J563)=0),"",MIN(N($J563),SUMIFS(nrMK_Sess,nrMK_Link,$B563,nrMK_Credit,"Yes",nrMK_PID,$E563,nrMK_Type,"PT")))</f>
        <v/>
      </c>
      <c r="R563" s="17">
        <f>IF(OR($B563="",$N563&lt;&gt;"Yes"),"",IF($K563="Yes",IF(N($J563)&gt;0,N($J563)-N($Q563),""),IF(N($I563)&gt;0,N($I563)-N($P563),"")))</f>
        <v/>
      </c>
      <c r="S563" s="17">
        <f>IF(OR($B563="",$R563=""),"",IF($R563&lt;=0,IF(IFERROR(_xlfn.MAXIFS(nrMK_Date,nrMK_Link,$B563,nrMK_Credit,"Yes",nrMK_PID,$E563),0)=0,"CLEARED (makeup date missing)","CLEARED "&amp;TEXT(_xlfn.MAXIFS(nrMK_Date,nrMK_Link,$B563,nrMK_Credit,"Yes",nrMK_PID,$E563),"mm/dd")),"OPEN"))</f>
        <v/>
      </c>
      <c r="T563" s="17">
        <f>IF($D563="","",IF($C563="","NO DATE",IF($G563="","NO EVENT TYPE",IF(AND($I563&lt;&gt;"",NOT(ISNUMBER($I563))),"MINUTES NOT A NUMBER",IF(AND($J563&lt;&gt;"",NOT(ISNUMBER($J563))),"SESSIONS NOT A NUMBER",IF(OR(N($I563)&lt;0,N($J563)&lt;0),"NEGATIVE MINUTES/SESSIONS",IF(AND($K563="Yes",N($I563)&gt;0),"MINUTES ON A PT EVENT - not counted (PT counts sessions)",IF(AND($K563="No",N($J563)&gt;0),"SESSIONS ON A CLASSROOM EVENT - not counted (classroom counts minutes)",IF(AND($N563="Yes",$K563="Yes",N($J563)=0),"COUNTED PT EVENT WITH NO SESSIONS - dropped from the PT cap",IF(AND($N563="Yes",$K563="No",N($I563)=0),"COUNTED EVENT WITH NO MINUTES - dropped from the classroom cap","OK"))))))))))</f>
        <v/>
      </c>
    </row>
    <row r="564">
      <c r="B564" s="17">
        <f>IF($D564="","","A"&amp;TEXT(ROW()-5,"000"))</f>
        <v/>
      </c>
      <c r="C564" s="18" t="n"/>
      <c r="D564" s="16" t="n"/>
      <c r="E564" s="17">
        <f>IF($D564="","",IFERROR(INDEX(rngCadetPIDs,MATCH($D564,rngCadetNames,0)),"?"))</f>
        <v/>
      </c>
      <c r="F564" s="17">
        <f>IF($E564="","",IFERROR(INDEX(nrCadetAgency,MATCH($E564,rngCadetPIDs,0)),""))</f>
        <v/>
      </c>
      <c r="G564" s="16" t="n"/>
      <c r="H564" s="16" t="n"/>
      <c r="I564" s="16" t="n"/>
      <c r="J564" s="16" t="n"/>
      <c r="K564" s="17">
        <f>IF($G564="","",IF(OR($G564="PT Missed",$G564="PT Modified",$G564="PT Refused"),"Yes","No"))</f>
        <v/>
      </c>
      <c r="L564" s="16" t="n"/>
      <c r="M564" s="16" t="n"/>
      <c r="N564" s="17">
        <f>IF($D564="","",IF($M564="Excused","No",IF(AND($G564="PT Modified",$L564="Received"),"No","Yes")))</f>
        <v/>
      </c>
      <c r="O564" s="16" t="n"/>
      <c r="P564" s="17">
        <f>IF(OR($B564="",N($I564)=0),"",MIN(N($I564),SUMIFS(nrMK_Min,nrMK_Link,$B564,nrMK_Credit,"Yes",nrMK_PID,$E564,nrMK_Type,"Classroom")))</f>
        <v/>
      </c>
      <c r="Q564" s="17">
        <f>IF(OR($B564="",N($J564)=0),"",MIN(N($J564),SUMIFS(nrMK_Sess,nrMK_Link,$B564,nrMK_Credit,"Yes",nrMK_PID,$E564,nrMK_Type,"PT")))</f>
        <v/>
      </c>
      <c r="R564" s="17">
        <f>IF(OR($B564="",$N564&lt;&gt;"Yes"),"",IF($K564="Yes",IF(N($J564)&gt;0,N($J564)-N($Q564),""),IF(N($I564)&gt;0,N($I564)-N($P564),"")))</f>
        <v/>
      </c>
      <c r="S564" s="17">
        <f>IF(OR($B564="",$R564=""),"",IF($R564&lt;=0,IF(IFERROR(_xlfn.MAXIFS(nrMK_Date,nrMK_Link,$B564,nrMK_Credit,"Yes",nrMK_PID,$E564),0)=0,"CLEARED (makeup date missing)","CLEARED "&amp;TEXT(_xlfn.MAXIFS(nrMK_Date,nrMK_Link,$B564,nrMK_Credit,"Yes",nrMK_PID,$E564),"mm/dd")),"OPEN"))</f>
        <v/>
      </c>
      <c r="T564" s="17">
        <f>IF($D564="","",IF($C564="","NO DATE",IF($G564="","NO EVENT TYPE",IF(AND($I564&lt;&gt;"",NOT(ISNUMBER($I564))),"MINUTES NOT A NUMBER",IF(AND($J564&lt;&gt;"",NOT(ISNUMBER($J564))),"SESSIONS NOT A NUMBER",IF(OR(N($I564)&lt;0,N($J564)&lt;0),"NEGATIVE MINUTES/SESSIONS",IF(AND($K564="Yes",N($I564)&gt;0),"MINUTES ON A PT EVENT - not counted (PT counts sessions)",IF(AND($K564="No",N($J564)&gt;0),"SESSIONS ON A CLASSROOM EVENT - not counted (classroom counts minutes)",IF(AND($N564="Yes",$K564="Yes",N($J564)=0),"COUNTED PT EVENT WITH NO SESSIONS - dropped from the PT cap",IF(AND($N564="Yes",$K564="No",N($I564)=0),"COUNTED EVENT WITH NO MINUTES - dropped from the classroom cap","OK"))))))))))</f>
        <v/>
      </c>
    </row>
    <row r="565">
      <c r="B565" s="17">
        <f>IF($D565="","","A"&amp;TEXT(ROW()-5,"000"))</f>
        <v/>
      </c>
      <c r="C565" s="18" t="n"/>
      <c r="D565" s="16" t="n"/>
      <c r="E565" s="17">
        <f>IF($D565="","",IFERROR(INDEX(rngCadetPIDs,MATCH($D565,rngCadetNames,0)),"?"))</f>
        <v/>
      </c>
      <c r="F565" s="17">
        <f>IF($E565="","",IFERROR(INDEX(nrCadetAgency,MATCH($E565,rngCadetPIDs,0)),""))</f>
        <v/>
      </c>
      <c r="G565" s="16" t="n"/>
      <c r="H565" s="16" t="n"/>
      <c r="I565" s="16" t="n"/>
      <c r="J565" s="16" t="n"/>
      <c r="K565" s="17">
        <f>IF($G565="","",IF(OR($G565="PT Missed",$G565="PT Modified",$G565="PT Refused"),"Yes","No"))</f>
        <v/>
      </c>
      <c r="L565" s="16" t="n"/>
      <c r="M565" s="16" t="n"/>
      <c r="N565" s="17">
        <f>IF($D565="","",IF($M565="Excused","No",IF(AND($G565="PT Modified",$L565="Received"),"No","Yes")))</f>
        <v/>
      </c>
      <c r="O565" s="16" t="n"/>
      <c r="P565" s="17">
        <f>IF(OR($B565="",N($I565)=0),"",MIN(N($I565),SUMIFS(nrMK_Min,nrMK_Link,$B565,nrMK_Credit,"Yes",nrMK_PID,$E565,nrMK_Type,"Classroom")))</f>
        <v/>
      </c>
      <c r="Q565" s="17">
        <f>IF(OR($B565="",N($J565)=0),"",MIN(N($J565),SUMIFS(nrMK_Sess,nrMK_Link,$B565,nrMK_Credit,"Yes",nrMK_PID,$E565,nrMK_Type,"PT")))</f>
        <v/>
      </c>
      <c r="R565" s="17">
        <f>IF(OR($B565="",$N565&lt;&gt;"Yes"),"",IF($K565="Yes",IF(N($J565)&gt;0,N($J565)-N($Q565),""),IF(N($I565)&gt;0,N($I565)-N($P565),"")))</f>
        <v/>
      </c>
      <c r="S565" s="17">
        <f>IF(OR($B565="",$R565=""),"",IF($R565&lt;=0,IF(IFERROR(_xlfn.MAXIFS(nrMK_Date,nrMK_Link,$B565,nrMK_Credit,"Yes",nrMK_PID,$E565),0)=0,"CLEARED (makeup date missing)","CLEARED "&amp;TEXT(_xlfn.MAXIFS(nrMK_Date,nrMK_Link,$B565,nrMK_Credit,"Yes",nrMK_PID,$E565),"mm/dd")),"OPEN"))</f>
        <v/>
      </c>
      <c r="T565" s="17">
        <f>IF($D565="","",IF($C565="","NO DATE",IF($G565="","NO EVENT TYPE",IF(AND($I565&lt;&gt;"",NOT(ISNUMBER($I565))),"MINUTES NOT A NUMBER",IF(AND($J565&lt;&gt;"",NOT(ISNUMBER($J565))),"SESSIONS NOT A NUMBER",IF(OR(N($I565)&lt;0,N($J565)&lt;0),"NEGATIVE MINUTES/SESSIONS",IF(AND($K565="Yes",N($I565)&gt;0),"MINUTES ON A PT EVENT - not counted (PT counts sessions)",IF(AND($K565="No",N($J565)&gt;0),"SESSIONS ON A CLASSROOM EVENT - not counted (classroom counts minutes)",IF(AND($N565="Yes",$K565="Yes",N($J565)=0),"COUNTED PT EVENT WITH NO SESSIONS - dropped from the PT cap",IF(AND($N565="Yes",$K565="No",N($I565)=0),"COUNTED EVENT WITH NO MINUTES - dropped from the classroom cap","OK"))))))))))</f>
        <v/>
      </c>
    </row>
    <row r="566">
      <c r="B566" s="17">
        <f>IF($D566="","","A"&amp;TEXT(ROW()-5,"000"))</f>
        <v/>
      </c>
      <c r="C566" s="18" t="n"/>
      <c r="D566" s="16" t="n"/>
      <c r="E566" s="17">
        <f>IF($D566="","",IFERROR(INDEX(rngCadetPIDs,MATCH($D566,rngCadetNames,0)),"?"))</f>
        <v/>
      </c>
      <c r="F566" s="17">
        <f>IF($E566="","",IFERROR(INDEX(nrCadetAgency,MATCH($E566,rngCadetPIDs,0)),""))</f>
        <v/>
      </c>
      <c r="G566" s="16" t="n"/>
      <c r="H566" s="16" t="n"/>
      <c r="I566" s="16" t="n"/>
      <c r="J566" s="16" t="n"/>
      <c r="K566" s="17">
        <f>IF($G566="","",IF(OR($G566="PT Missed",$G566="PT Modified",$G566="PT Refused"),"Yes","No"))</f>
        <v/>
      </c>
      <c r="L566" s="16" t="n"/>
      <c r="M566" s="16" t="n"/>
      <c r="N566" s="17">
        <f>IF($D566="","",IF($M566="Excused","No",IF(AND($G566="PT Modified",$L566="Received"),"No","Yes")))</f>
        <v/>
      </c>
      <c r="O566" s="16" t="n"/>
      <c r="P566" s="17">
        <f>IF(OR($B566="",N($I566)=0),"",MIN(N($I566),SUMIFS(nrMK_Min,nrMK_Link,$B566,nrMK_Credit,"Yes",nrMK_PID,$E566,nrMK_Type,"Classroom")))</f>
        <v/>
      </c>
      <c r="Q566" s="17">
        <f>IF(OR($B566="",N($J566)=0),"",MIN(N($J566),SUMIFS(nrMK_Sess,nrMK_Link,$B566,nrMK_Credit,"Yes",nrMK_PID,$E566,nrMK_Type,"PT")))</f>
        <v/>
      </c>
      <c r="R566" s="17">
        <f>IF(OR($B566="",$N566&lt;&gt;"Yes"),"",IF($K566="Yes",IF(N($J566)&gt;0,N($J566)-N($Q566),""),IF(N($I566)&gt;0,N($I566)-N($P566),"")))</f>
        <v/>
      </c>
      <c r="S566" s="17">
        <f>IF(OR($B566="",$R566=""),"",IF($R566&lt;=0,IF(IFERROR(_xlfn.MAXIFS(nrMK_Date,nrMK_Link,$B566,nrMK_Credit,"Yes",nrMK_PID,$E566),0)=0,"CLEARED (makeup date missing)","CLEARED "&amp;TEXT(_xlfn.MAXIFS(nrMK_Date,nrMK_Link,$B566,nrMK_Credit,"Yes",nrMK_PID,$E566),"mm/dd")),"OPEN"))</f>
        <v/>
      </c>
      <c r="T566" s="17">
        <f>IF($D566="","",IF($C566="","NO DATE",IF($G566="","NO EVENT TYPE",IF(AND($I566&lt;&gt;"",NOT(ISNUMBER($I566))),"MINUTES NOT A NUMBER",IF(AND($J566&lt;&gt;"",NOT(ISNUMBER($J566))),"SESSIONS NOT A NUMBER",IF(OR(N($I566)&lt;0,N($J566)&lt;0),"NEGATIVE MINUTES/SESSIONS",IF(AND($K566="Yes",N($I566)&gt;0),"MINUTES ON A PT EVENT - not counted (PT counts sessions)",IF(AND($K566="No",N($J566)&gt;0),"SESSIONS ON A CLASSROOM EVENT - not counted (classroom counts minutes)",IF(AND($N566="Yes",$K566="Yes",N($J566)=0),"COUNTED PT EVENT WITH NO SESSIONS - dropped from the PT cap",IF(AND($N566="Yes",$K566="No",N($I566)=0),"COUNTED EVENT WITH NO MINUTES - dropped from the classroom cap","OK"))))))))))</f>
        <v/>
      </c>
    </row>
    <row r="567">
      <c r="B567" s="17">
        <f>IF($D567="","","A"&amp;TEXT(ROW()-5,"000"))</f>
        <v/>
      </c>
      <c r="C567" s="18" t="n"/>
      <c r="D567" s="16" t="n"/>
      <c r="E567" s="17">
        <f>IF($D567="","",IFERROR(INDEX(rngCadetPIDs,MATCH($D567,rngCadetNames,0)),"?"))</f>
        <v/>
      </c>
      <c r="F567" s="17">
        <f>IF($E567="","",IFERROR(INDEX(nrCadetAgency,MATCH($E567,rngCadetPIDs,0)),""))</f>
        <v/>
      </c>
      <c r="G567" s="16" t="n"/>
      <c r="H567" s="16" t="n"/>
      <c r="I567" s="16" t="n"/>
      <c r="J567" s="16" t="n"/>
      <c r="K567" s="17">
        <f>IF($G567="","",IF(OR($G567="PT Missed",$G567="PT Modified",$G567="PT Refused"),"Yes","No"))</f>
        <v/>
      </c>
      <c r="L567" s="16" t="n"/>
      <c r="M567" s="16" t="n"/>
      <c r="N567" s="17">
        <f>IF($D567="","",IF($M567="Excused","No",IF(AND($G567="PT Modified",$L567="Received"),"No","Yes")))</f>
        <v/>
      </c>
      <c r="O567" s="16" t="n"/>
      <c r="P567" s="17">
        <f>IF(OR($B567="",N($I567)=0),"",MIN(N($I567),SUMIFS(nrMK_Min,nrMK_Link,$B567,nrMK_Credit,"Yes",nrMK_PID,$E567,nrMK_Type,"Classroom")))</f>
        <v/>
      </c>
      <c r="Q567" s="17">
        <f>IF(OR($B567="",N($J567)=0),"",MIN(N($J567),SUMIFS(nrMK_Sess,nrMK_Link,$B567,nrMK_Credit,"Yes",nrMK_PID,$E567,nrMK_Type,"PT")))</f>
        <v/>
      </c>
      <c r="R567" s="17">
        <f>IF(OR($B567="",$N567&lt;&gt;"Yes"),"",IF($K567="Yes",IF(N($J567)&gt;0,N($J567)-N($Q567),""),IF(N($I567)&gt;0,N($I567)-N($P567),"")))</f>
        <v/>
      </c>
      <c r="S567" s="17">
        <f>IF(OR($B567="",$R567=""),"",IF($R567&lt;=0,IF(IFERROR(_xlfn.MAXIFS(nrMK_Date,nrMK_Link,$B567,nrMK_Credit,"Yes",nrMK_PID,$E567),0)=0,"CLEARED (makeup date missing)","CLEARED "&amp;TEXT(_xlfn.MAXIFS(nrMK_Date,nrMK_Link,$B567,nrMK_Credit,"Yes",nrMK_PID,$E567),"mm/dd")),"OPEN"))</f>
        <v/>
      </c>
      <c r="T567" s="17">
        <f>IF($D567="","",IF($C567="","NO DATE",IF($G567="","NO EVENT TYPE",IF(AND($I567&lt;&gt;"",NOT(ISNUMBER($I567))),"MINUTES NOT A NUMBER",IF(AND($J567&lt;&gt;"",NOT(ISNUMBER($J567))),"SESSIONS NOT A NUMBER",IF(OR(N($I567)&lt;0,N($J567)&lt;0),"NEGATIVE MINUTES/SESSIONS",IF(AND($K567="Yes",N($I567)&gt;0),"MINUTES ON A PT EVENT - not counted (PT counts sessions)",IF(AND($K567="No",N($J567)&gt;0),"SESSIONS ON A CLASSROOM EVENT - not counted (classroom counts minutes)",IF(AND($N567="Yes",$K567="Yes",N($J567)=0),"COUNTED PT EVENT WITH NO SESSIONS - dropped from the PT cap",IF(AND($N567="Yes",$K567="No",N($I567)=0),"COUNTED EVENT WITH NO MINUTES - dropped from the classroom cap","OK"))))))))))</f>
        <v/>
      </c>
    </row>
    <row r="568">
      <c r="B568" s="17">
        <f>IF($D568="","","A"&amp;TEXT(ROW()-5,"000"))</f>
        <v/>
      </c>
      <c r="C568" s="18" t="n"/>
      <c r="D568" s="16" t="n"/>
      <c r="E568" s="17">
        <f>IF($D568="","",IFERROR(INDEX(rngCadetPIDs,MATCH($D568,rngCadetNames,0)),"?"))</f>
        <v/>
      </c>
      <c r="F568" s="17">
        <f>IF($E568="","",IFERROR(INDEX(nrCadetAgency,MATCH($E568,rngCadetPIDs,0)),""))</f>
        <v/>
      </c>
      <c r="G568" s="16" t="n"/>
      <c r="H568" s="16" t="n"/>
      <c r="I568" s="16" t="n"/>
      <c r="J568" s="16" t="n"/>
      <c r="K568" s="17">
        <f>IF($G568="","",IF(OR($G568="PT Missed",$G568="PT Modified",$G568="PT Refused"),"Yes","No"))</f>
        <v/>
      </c>
      <c r="L568" s="16" t="n"/>
      <c r="M568" s="16" t="n"/>
      <c r="N568" s="17">
        <f>IF($D568="","",IF($M568="Excused","No",IF(AND($G568="PT Modified",$L568="Received"),"No","Yes")))</f>
        <v/>
      </c>
      <c r="O568" s="16" t="n"/>
      <c r="P568" s="17">
        <f>IF(OR($B568="",N($I568)=0),"",MIN(N($I568),SUMIFS(nrMK_Min,nrMK_Link,$B568,nrMK_Credit,"Yes",nrMK_PID,$E568,nrMK_Type,"Classroom")))</f>
        <v/>
      </c>
      <c r="Q568" s="17">
        <f>IF(OR($B568="",N($J568)=0),"",MIN(N($J568),SUMIFS(nrMK_Sess,nrMK_Link,$B568,nrMK_Credit,"Yes",nrMK_PID,$E568,nrMK_Type,"PT")))</f>
        <v/>
      </c>
      <c r="R568" s="17">
        <f>IF(OR($B568="",$N568&lt;&gt;"Yes"),"",IF($K568="Yes",IF(N($J568)&gt;0,N($J568)-N($Q568),""),IF(N($I568)&gt;0,N($I568)-N($P568),"")))</f>
        <v/>
      </c>
      <c r="S568" s="17">
        <f>IF(OR($B568="",$R568=""),"",IF($R568&lt;=0,IF(IFERROR(_xlfn.MAXIFS(nrMK_Date,nrMK_Link,$B568,nrMK_Credit,"Yes",nrMK_PID,$E568),0)=0,"CLEARED (makeup date missing)","CLEARED "&amp;TEXT(_xlfn.MAXIFS(nrMK_Date,nrMK_Link,$B568,nrMK_Credit,"Yes",nrMK_PID,$E568),"mm/dd")),"OPEN"))</f>
        <v/>
      </c>
      <c r="T568" s="17">
        <f>IF($D568="","",IF($C568="","NO DATE",IF($G568="","NO EVENT TYPE",IF(AND($I568&lt;&gt;"",NOT(ISNUMBER($I568))),"MINUTES NOT A NUMBER",IF(AND($J568&lt;&gt;"",NOT(ISNUMBER($J568))),"SESSIONS NOT A NUMBER",IF(OR(N($I568)&lt;0,N($J568)&lt;0),"NEGATIVE MINUTES/SESSIONS",IF(AND($K568="Yes",N($I568)&gt;0),"MINUTES ON A PT EVENT - not counted (PT counts sessions)",IF(AND($K568="No",N($J568)&gt;0),"SESSIONS ON A CLASSROOM EVENT - not counted (classroom counts minutes)",IF(AND($N568="Yes",$K568="Yes",N($J568)=0),"COUNTED PT EVENT WITH NO SESSIONS - dropped from the PT cap",IF(AND($N568="Yes",$K568="No",N($I568)=0),"COUNTED EVENT WITH NO MINUTES - dropped from the classroom cap","OK"))))))))))</f>
        <v/>
      </c>
    </row>
    <row r="569">
      <c r="B569" s="17">
        <f>IF($D569="","","A"&amp;TEXT(ROW()-5,"000"))</f>
        <v/>
      </c>
      <c r="C569" s="18" t="n"/>
      <c r="D569" s="16" t="n"/>
      <c r="E569" s="17">
        <f>IF($D569="","",IFERROR(INDEX(rngCadetPIDs,MATCH($D569,rngCadetNames,0)),"?"))</f>
        <v/>
      </c>
      <c r="F569" s="17">
        <f>IF($E569="","",IFERROR(INDEX(nrCadetAgency,MATCH($E569,rngCadetPIDs,0)),""))</f>
        <v/>
      </c>
      <c r="G569" s="16" t="n"/>
      <c r="H569" s="16" t="n"/>
      <c r="I569" s="16" t="n"/>
      <c r="J569" s="16" t="n"/>
      <c r="K569" s="17">
        <f>IF($G569="","",IF(OR($G569="PT Missed",$G569="PT Modified",$G569="PT Refused"),"Yes","No"))</f>
        <v/>
      </c>
      <c r="L569" s="16" t="n"/>
      <c r="M569" s="16" t="n"/>
      <c r="N569" s="17">
        <f>IF($D569="","",IF($M569="Excused","No",IF(AND($G569="PT Modified",$L569="Received"),"No","Yes")))</f>
        <v/>
      </c>
      <c r="O569" s="16" t="n"/>
      <c r="P569" s="17">
        <f>IF(OR($B569="",N($I569)=0),"",MIN(N($I569),SUMIFS(nrMK_Min,nrMK_Link,$B569,nrMK_Credit,"Yes",nrMK_PID,$E569,nrMK_Type,"Classroom")))</f>
        <v/>
      </c>
      <c r="Q569" s="17">
        <f>IF(OR($B569="",N($J569)=0),"",MIN(N($J569),SUMIFS(nrMK_Sess,nrMK_Link,$B569,nrMK_Credit,"Yes",nrMK_PID,$E569,nrMK_Type,"PT")))</f>
        <v/>
      </c>
      <c r="R569" s="17">
        <f>IF(OR($B569="",$N569&lt;&gt;"Yes"),"",IF($K569="Yes",IF(N($J569)&gt;0,N($J569)-N($Q569),""),IF(N($I569)&gt;0,N($I569)-N($P569),"")))</f>
        <v/>
      </c>
      <c r="S569" s="17">
        <f>IF(OR($B569="",$R569=""),"",IF($R569&lt;=0,IF(IFERROR(_xlfn.MAXIFS(nrMK_Date,nrMK_Link,$B569,nrMK_Credit,"Yes",nrMK_PID,$E569),0)=0,"CLEARED (makeup date missing)","CLEARED "&amp;TEXT(_xlfn.MAXIFS(nrMK_Date,nrMK_Link,$B569,nrMK_Credit,"Yes",nrMK_PID,$E569),"mm/dd")),"OPEN"))</f>
        <v/>
      </c>
      <c r="T569" s="17">
        <f>IF($D569="","",IF($C569="","NO DATE",IF($G569="","NO EVENT TYPE",IF(AND($I569&lt;&gt;"",NOT(ISNUMBER($I569))),"MINUTES NOT A NUMBER",IF(AND($J569&lt;&gt;"",NOT(ISNUMBER($J569))),"SESSIONS NOT A NUMBER",IF(OR(N($I569)&lt;0,N($J569)&lt;0),"NEGATIVE MINUTES/SESSIONS",IF(AND($K569="Yes",N($I569)&gt;0),"MINUTES ON A PT EVENT - not counted (PT counts sessions)",IF(AND($K569="No",N($J569)&gt;0),"SESSIONS ON A CLASSROOM EVENT - not counted (classroom counts minutes)",IF(AND($N569="Yes",$K569="Yes",N($J569)=0),"COUNTED PT EVENT WITH NO SESSIONS - dropped from the PT cap",IF(AND($N569="Yes",$K569="No",N($I569)=0),"COUNTED EVENT WITH NO MINUTES - dropped from the classroom cap","OK"))))))))))</f>
        <v/>
      </c>
    </row>
    <row r="570">
      <c r="B570" s="17">
        <f>IF($D570="","","A"&amp;TEXT(ROW()-5,"000"))</f>
        <v/>
      </c>
      <c r="C570" s="18" t="n"/>
      <c r="D570" s="16" t="n"/>
      <c r="E570" s="17">
        <f>IF($D570="","",IFERROR(INDEX(rngCadetPIDs,MATCH($D570,rngCadetNames,0)),"?"))</f>
        <v/>
      </c>
      <c r="F570" s="17">
        <f>IF($E570="","",IFERROR(INDEX(nrCadetAgency,MATCH($E570,rngCadetPIDs,0)),""))</f>
        <v/>
      </c>
      <c r="G570" s="16" t="n"/>
      <c r="H570" s="16" t="n"/>
      <c r="I570" s="16" t="n"/>
      <c r="J570" s="16" t="n"/>
      <c r="K570" s="17">
        <f>IF($G570="","",IF(OR($G570="PT Missed",$G570="PT Modified",$G570="PT Refused"),"Yes","No"))</f>
        <v/>
      </c>
      <c r="L570" s="16" t="n"/>
      <c r="M570" s="16" t="n"/>
      <c r="N570" s="17">
        <f>IF($D570="","",IF($M570="Excused","No",IF(AND($G570="PT Modified",$L570="Received"),"No","Yes")))</f>
        <v/>
      </c>
      <c r="O570" s="16" t="n"/>
      <c r="P570" s="17">
        <f>IF(OR($B570="",N($I570)=0),"",MIN(N($I570),SUMIFS(nrMK_Min,nrMK_Link,$B570,nrMK_Credit,"Yes",nrMK_PID,$E570,nrMK_Type,"Classroom")))</f>
        <v/>
      </c>
      <c r="Q570" s="17">
        <f>IF(OR($B570="",N($J570)=0),"",MIN(N($J570),SUMIFS(nrMK_Sess,nrMK_Link,$B570,nrMK_Credit,"Yes",nrMK_PID,$E570,nrMK_Type,"PT")))</f>
        <v/>
      </c>
      <c r="R570" s="17">
        <f>IF(OR($B570="",$N570&lt;&gt;"Yes"),"",IF($K570="Yes",IF(N($J570)&gt;0,N($J570)-N($Q570),""),IF(N($I570)&gt;0,N($I570)-N($P570),"")))</f>
        <v/>
      </c>
      <c r="S570" s="17">
        <f>IF(OR($B570="",$R570=""),"",IF($R570&lt;=0,IF(IFERROR(_xlfn.MAXIFS(nrMK_Date,nrMK_Link,$B570,nrMK_Credit,"Yes",nrMK_PID,$E570),0)=0,"CLEARED (makeup date missing)","CLEARED "&amp;TEXT(_xlfn.MAXIFS(nrMK_Date,nrMK_Link,$B570,nrMK_Credit,"Yes",nrMK_PID,$E570),"mm/dd")),"OPEN"))</f>
        <v/>
      </c>
      <c r="T570" s="17">
        <f>IF($D570="","",IF($C570="","NO DATE",IF($G570="","NO EVENT TYPE",IF(AND($I570&lt;&gt;"",NOT(ISNUMBER($I570))),"MINUTES NOT A NUMBER",IF(AND($J570&lt;&gt;"",NOT(ISNUMBER($J570))),"SESSIONS NOT A NUMBER",IF(OR(N($I570)&lt;0,N($J570)&lt;0),"NEGATIVE MINUTES/SESSIONS",IF(AND($K570="Yes",N($I570)&gt;0),"MINUTES ON A PT EVENT - not counted (PT counts sessions)",IF(AND($K570="No",N($J570)&gt;0),"SESSIONS ON A CLASSROOM EVENT - not counted (classroom counts minutes)",IF(AND($N570="Yes",$K570="Yes",N($J570)=0),"COUNTED PT EVENT WITH NO SESSIONS - dropped from the PT cap",IF(AND($N570="Yes",$K570="No",N($I570)=0),"COUNTED EVENT WITH NO MINUTES - dropped from the classroom cap","OK"))))))))))</f>
        <v/>
      </c>
    </row>
    <row r="571">
      <c r="B571" s="17">
        <f>IF($D571="","","A"&amp;TEXT(ROW()-5,"000"))</f>
        <v/>
      </c>
      <c r="C571" s="18" t="n"/>
      <c r="D571" s="16" t="n"/>
      <c r="E571" s="17">
        <f>IF($D571="","",IFERROR(INDEX(rngCadetPIDs,MATCH($D571,rngCadetNames,0)),"?"))</f>
        <v/>
      </c>
      <c r="F571" s="17">
        <f>IF($E571="","",IFERROR(INDEX(nrCadetAgency,MATCH($E571,rngCadetPIDs,0)),""))</f>
        <v/>
      </c>
      <c r="G571" s="16" t="n"/>
      <c r="H571" s="16" t="n"/>
      <c r="I571" s="16" t="n"/>
      <c r="J571" s="16" t="n"/>
      <c r="K571" s="17">
        <f>IF($G571="","",IF(OR($G571="PT Missed",$G571="PT Modified",$G571="PT Refused"),"Yes","No"))</f>
        <v/>
      </c>
      <c r="L571" s="16" t="n"/>
      <c r="M571" s="16" t="n"/>
      <c r="N571" s="17">
        <f>IF($D571="","",IF($M571="Excused","No",IF(AND($G571="PT Modified",$L571="Received"),"No","Yes")))</f>
        <v/>
      </c>
      <c r="O571" s="16" t="n"/>
      <c r="P571" s="17">
        <f>IF(OR($B571="",N($I571)=0),"",MIN(N($I571),SUMIFS(nrMK_Min,nrMK_Link,$B571,nrMK_Credit,"Yes",nrMK_PID,$E571,nrMK_Type,"Classroom")))</f>
        <v/>
      </c>
      <c r="Q571" s="17">
        <f>IF(OR($B571="",N($J571)=0),"",MIN(N($J571),SUMIFS(nrMK_Sess,nrMK_Link,$B571,nrMK_Credit,"Yes",nrMK_PID,$E571,nrMK_Type,"PT")))</f>
        <v/>
      </c>
      <c r="R571" s="17">
        <f>IF(OR($B571="",$N571&lt;&gt;"Yes"),"",IF($K571="Yes",IF(N($J571)&gt;0,N($J571)-N($Q571),""),IF(N($I571)&gt;0,N($I571)-N($P571),"")))</f>
        <v/>
      </c>
      <c r="S571" s="17">
        <f>IF(OR($B571="",$R571=""),"",IF($R571&lt;=0,IF(IFERROR(_xlfn.MAXIFS(nrMK_Date,nrMK_Link,$B571,nrMK_Credit,"Yes",nrMK_PID,$E571),0)=0,"CLEARED (makeup date missing)","CLEARED "&amp;TEXT(_xlfn.MAXIFS(nrMK_Date,nrMK_Link,$B571,nrMK_Credit,"Yes",nrMK_PID,$E571),"mm/dd")),"OPEN"))</f>
        <v/>
      </c>
      <c r="T571" s="17">
        <f>IF($D571="","",IF($C571="","NO DATE",IF($G571="","NO EVENT TYPE",IF(AND($I571&lt;&gt;"",NOT(ISNUMBER($I571))),"MINUTES NOT A NUMBER",IF(AND($J571&lt;&gt;"",NOT(ISNUMBER($J571))),"SESSIONS NOT A NUMBER",IF(OR(N($I571)&lt;0,N($J571)&lt;0),"NEGATIVE MINUTES/SESSIONS",IF(AND($K571="Yes",N($I571)&gt;0),"MINUTES ON A PT EVENT - not counted (PT counts sessions)",IF(AND($K571="No",N($J571)&gt;0),"SESSIONS ON A CLASSROOM EVENT - not counted (classroom counts minutes)",IF(AND($N571="Yes",$K571="Yes",N($J571)=0),"COUNTED PT EVENT WITH NO SESSIONS - dropped from the PT cap",IF(AND($N571="Yes",$K571="No",N($I571)=0),"COUNTED EVENT WITH NO MINUTES - dropped from the classroom cap","OK"))))))))))</f>
        <v/>
      </c>
    </row>
    <row r="572">
      <c r="B572" s="17">
        <f>IF($D572="","","A"&amp;TEXT(ROW()-5,"000"))</f>
        <v/>
      </c>
      <c r="C572" s="18" t="n"/>
      <c r="D572" s="16" t="n"/>
      <c r="E572" s="17">
        <f>IF($D572="","",IFERROR(INDEX(rngCadetPIDs,MATCH($D572,rngCadetNames,0)),"?"))</f>
        <v/>
      </c>
      <c r="F572" s="17">
        <f>IF($E572="","",IFERROR(INDEX(nrCadetAgency,MATCH($E572,rngCadetPIDs,0)),""))</f>
        <v/>
      </c>
      <c r="G572" s="16" t="n"/>
      <c r="H572" s="16" t="n"/>
      <c r="I572" s="16" t="n"/>
      <c r="J572" s="16" t="n"/>
      <c r="K572" s="17">
        <f>IF($G572="","",IF(OR($G572="PT Missed",$G572="PT Modified",$G572="PT Refused"),"Yes","No"))</f>
        <v/>
      </c>
      <c r="L572" s="16" t="n"/>
      <c r="M572" s="16" t="n"/>
      <c r="N572" s="17">
        <f>IF($D572="","",IF($M572="Excused","No",IF(AND($G572="PT Modified",$L572="Received"),"No","Yes")))</f>
        <v/>
      </c>
      <c r="O572" s="16" t="n"/>
      <c r="P572" s="17">
        <f>IF(OR($B572="",N($I572)=0),"",MIN(N($I572),SUMIFS(nrMK_Min,nrMK_Link,$B572,nrMK_Credit,"Yes",nrMK_PID,$E572,nrMK_Type,"Classroom")))</f>
        <v/>
      </c>
      <c r="Q572" s="17">
        <f>IF(OR($B572="",N($J572)=0),"",MIN(N($J572),SUMIFS(nrMK_Sess,nrMK_Link,$B572,nrMK_Credit,"Yes",nrMK_PID,$E572,nrMK_Type,"PT")))</f>
        <v/>
      </c>
      <c r="R572" s="17">
        <f>IF(OR($B572="",$N572&lt;&gt;"Yes"),"",IF($K572="Yes",IF(N($J572)&gt;0,N($J572)-N($Q572),""),IF(N($I572)&gt;0,N($I572)-N($P572),"")))</f>
        <v/>
      </c>
      <c r="S572" s="17">
        <f>IF(OR($B572="",$R572=""),"",IF($R572&lt;=0,IF(IFERROR(_xlfn.MAXIFS(nrMK_Date,nrMK_Link,$B572,nrMK_Credit,"Yes",nrMK_PID,$E572),0)=0,"CLEARED (makeup date missing)","CLEARED "&amp;TEXT(_xlfn.MAXIFS(nrMK_Date,nrMK_Link,$B572,nrMK_Credit,"Yes",nrMK_PID,$E572),"mm/dd")),"OPEN"))</f>
        <v/>
      </c>
      <c r="T572" s="17">
        <f>IF($D572="","",IF($C572="","NO DATE",IF($G572="","NO EVENT TYPE",IF(AND($I572&lt;&gt;"",NOT(ISNUMBER($I572))),"MINUTES NOT A NUMBER",IF(AND($J572&lt;&gt;"",NOT(ISNUMBER($J572))),"SESSIONS NOT A NUMBER",IF(OR(N($I572)&lt;0,N($J572)&lt;0),"NEGATIVE MINUTES/SESSIONS",IF(AND($K572="Yes",N($I572)&gt;0),"MINUTES ON A PT EVENT - not counted (PT counts sessions)",IF(AND($K572="No",N($J572)&gt;0),"SESSIONS ON A CLASSROOM EVENT - not counted (classroom counts minutes)",IF(AND($N572="Yes",$K572="Yes",N($J572)=0),"COUNTED PT EVENT WITH NO SESSIONS - dropped from the PT cap",IF(AND($N572="Yes",$K572="No",N($I572)=0),"COUNTED EVENT WITH NO MINUTES - dropped from the classroom cap","OK"))))))))))</f>
        <v/>
      </c>
    </row>
    <row r="573">
      <c r="B573" s="17">
        <f>IF($D573="","","A"&amp;TEXT(ROW()-5,"000"))</f>
        <v/>
      </c>
      <c r="C573" s="18" t="n"/>
      <c r="D573" s="16" t="n"/>
      <c r="E573" s="17">
        <f>IF($D573="","",IFERROR(INDEX(rngCadetPIDs,MATCH($D573,rngCadetNames,0)),"?"))</f>
        <v/>
      </c>
      <c r="F573" s="17">
        <f>IF($E573="","",IFERROR(INDEX(nrCadetAgency,MATCH($E573,rngCadetPIDs,0)),""))</f>
        <v/>
      </c>
      <c r="G573" s="16" t="n"/>
      <c r="H573" s="16" t="n"/>
      <c r="I573" s="16" t="n"/>
      <c r="J573" s="16" t="n"/>
      <c r="K573" s="17">
        <f>IF($G573="","",IF(OR($G573="PT Missed",$G573="PT Modified",$G573="PT Refused"),"Yes","No"))</f>
        <v/>
      </c>
      <c r="L573" s="16" t="n"/>
      <c r="M573" s="16" t="n"/>
      <c r="N573" s="17">
        <f>IF($D573="","",IF($M573="Excused","No",IF(AND($G573="PT Modified",$L573="Received"),"No","Yes")))</f>
        <v/>
      </c>
      <c r="O573" s="16" t="n"/>
      <c r="P573" s="17">
        <f>IF(OR($B573="",N($I573)=0),"",MIN(N($I573),SUMIFS(nrMK_Min,nrMK_Link,$B573,nrMK_Credit,"Yes",nrMK_PID,$E573,nrMK_Type,"Classroom")))</f>
        <v/>
      </c>
      <c r="Q573" s="17">
        <f>IF(OR($B573="",N($J573)=0),"",MIN(N($J573),SUMIFS(nrMK_Sess,nrMK_Link,$B573,nrMK_Credit,"Yes",nrMK_PID,$E573,nrMK_Type,"PT")))</f>
        <v/>
      </c>
      <c r="R573" s="17">
        <f>IF(OR($B573="",$N573&lt;&gt;"Yes"),"",IF($K573="Yes",IF(N($J573)&gt;0,N($J573)-N($Q573),""),IF(N($I573)&gt;0,N($I573)-N($P573),"")))</f>
        <v/>
      </c>
      <c r="S573" s="17">
        <f>IF(OR($B573="",$R573=""),"",IF($R573&lt;=0,IF(IFERROR(_xlfn.MAXIFS(nrMK_Date,nrMK_Link,$B573,nrMK_Credit,"Yes",nrMK_PID,$E573),0)=0,"CLEARED (makeup date missing)","CLEARED "&amp;TEXT(_xlfn.MAXIFS(nrMK_Date,nrMK_Link,$B573,nrMK_Credit,"Yes",nrMK_PID,$E573),"mm/dd")),"OPEN"))</f>
        <v/>
      </c>
      <c r="T573" s="17">
        <f>IF($D573="","",IF($C573="","NO DATE",IF($G573="","NO EVENT TYPE",IF(AND($I573&lt;&gt;"",NOT(ISNUMBER($I573))),"MINUTES NOT A NUMBER",IF(AND($J573&lt;&gt;"",NOT(ISNUMBER($J573))),"SESSIONS NOT A NUMBER",IF(OR(N($I573)&lt;0,N($J573)&lt;0),"NEGATIVE MINUTES/SESSIONS",IF(AND($K573="Yes",N($I573)&gt;0),"MINUTES ON A PT EVENT - not counted (PT counts sessions)",IF(AND($K573="No",N($J573)&gt;0),"SESSIONS ON A CLASSROOM EVENT - not counted (classroom counts minutes)",IF(AND($N573="Yes",$K573="Yes",N($J573)=0),"COUNTED PT EVENT WITH NO SESSIONS - dropped from the PT cap",IF(AND($N573="Yes",$K573="No",N($I573)=0),"COUNTED EVENT WITH NO MINUTES - dropped from the classroom cap","OK"))))))))))</f>
        <v/>
      </c>
    </row>
    <row r="574">
      <c r="B574" s="17">
        <f>IF($D574="","","A"&amp;TEXT(ROW()-5,"000"))</f>
        <v/>
      </c>
      <c r="C574" s="18" t="n"/>
      <c r="D574" s="16" t="n"/>
      <c r="E574" s="17">
        <f>IF($D574="","",IFERROR(INDEX(rngCadetPIDs,MATCH($D574,rngCadetNames,0)),"?"))</f>
        <v/>
      </c>
      <c r="F574" s="17">
        <f>IF($E574="","",IFERROR(INDEX(nrCadetAgency,MATCH($E574,rngCadetPIDs,0)),""))</f>
        <v/>
      </c>
      <c r="G574" s="16" t="n"/>
      <c r="H574" s="16" t="n"/>
      <c r="I574" s="16" t="n"/>
      <c r="J574" s="16" t="n"/>
      <c r="K574" s="17">
        <f>IF($G574="","",IF(OR($G574="PT Missed",$G574="PT Modified",$G574="PT Refused"),"Yes","No"))</f>
        <v/>
      </c>
      <c r="L574" s="16" t="n"/>
      <c r="M574" s="16" t="n"/>
      <c r="N574" s="17">
        <f>IF($D574="","",IF($M574="Excused","No",IF(AND($G574="PT Modified",$L574="Received"),"No","Yes")))</f>
        <v/>
      </c>
      <c r="O574" s="16" t="n"/>
      <c r="P574" s="17">
        <f>IF(OR($B574="",N($I574)=0),"",MIN(N($I574),SUMIFS(nrMK_Min,nrMK_Link,$B574,nrMK_Credit,"Yes",nrMK_PID,$E574,nrMK_Type,"Classroom")))</f>
        <v/>
      </c>
      <c r="Q574" s="17">
        <f>IF(OR($B574="",N($J574)=0),"",MIN(N($J574),SUMIFS(nrMK_Sess,nrMK_Link,$B574,nrMK_Credit,"Yes",nrMK_PID,$E574,nrMK_Type,"PT")))</f>
        <v/>
      </c>
      <c r="R574" s="17">
        <f>IF(OR($B574="",$N574&lt;&gt;"Yes"),"",IF($K574="Yes",IF(N($J574)&gt;0,N($J574)-N($Q574),""),IF(N($I574)&gt;0,N($I574)-N($P574),"")))</f>
        <v/>
      </c>
      <c r="S574" s="17">
        <f>IF(OR($B574="",$R574=""),"",IF($R574&lt;=0,IF(IFERROR(_xlfn.MAXIFS(nrMK_Date,nrMK_Link,$B574,nrMK_Credit,"Yes",nrMK_PID,$E574),0)=0,"CLEARED (makeup date missing)","CLEARED "&amp;TEXT(_xlfn.MAXIFS(nrMK_Date,nrMK_Link,$B574,nrMK_Credit,"Yes",nrMK_PID,$E574),"mm/dd")),"OPEN"))</f>
        <v/>
      </c>
      <c r="T574" s="17">
        <f>IF($D574="","",IF($C574="","NO DATE",IF($G574="","NO EVENT TYPE",IF(AND($I574&lt;&gt;"",NOT(ISNUMBER($I574))),"MINUTES NOT A NUMBER",IF(AND($J574&lt;&gt;"",NOT(ISNUMBER($J574))),"SESSIONS NOT A NUMBER",IF(OR(N($I574)&lt;0,N($J574)&lt;0),"NEGATIVE MINUTES/SESSIONS",IF(AND($K574="Yes",N($I574)&gt;0),"MINUTES ON A PT EVENT - not counted (PT counts sessions)",IF(AND($K574="No",N($J574)&gt;0),"SESSIONS ON A CLASSROOM EVENT - not counted (classroom counts minutes)",IF(AND($N574="Yes",$K574="Yes",N($J574)=0),"COUNTED PT EVENT WITH NO SESSIONS - dropped from the PT cap",IF(AND($N574="Yes",$K574="No",N($I574)=0),"COUNTED EVENT WITH NO MINUTES - dropped from the classroom cap","OK"))))))))))</f>
        <v/>
      </c>
    </row>
    <row r="575">
      <c r="B575" s="17">
        <f>IF($D575="","","A"&amp;TEXT(ROW()-5,"000"))</f>
        <v/>
      </c>
      <c r="C575" s="18" t="n"/>
      <c r="D575" s="16" t="n"/>
      <c r="E575" s="17">
        <f>IF($D575="","",IFERROR(INDEX(rngCadetPIDs,MATCH($D575,rngCadetNames,0)),"?"))</f>
        <v/>
      </c>
      <c r="F575" s="17">
        <f>IF($E575="","",IFERROR(INDEX(nrCadetAgency,MATCH($E575,rngCadetPIDs,0)),""))</f>
        <v/>
      </c>
      <c r="G575" s="16" t="n"/>
      <c r="H575" s="16" t="n"/>
      <c r="I575" s="16" t="n"/>
      <c r="J575" s="16" t="n"/>
      <c r="K575" s="17">
        <f>IF($G575="","",IF(OR($G575="PT Missed",$G575="PT Modified",$G575="PT Refused"),"Yes","No"))</f>
        <v/>
      </c>
      <c r="L575" s="16" t="n"/>
      <c r="M575" s="16" t="n"/>
      <c r="N575" s="17">
        <f>IF($D575="","",IF($M575="Excused","No",IF(AND($G575="PT Modified",$L575="Received"),"No","Yes")))</f>
        <v/>
      </c>
      <c r="O575" s="16" t="n"/>
      <c r="P575" s="17">
        <f>IF(OR($B575="",N($I575)=0),"",MIN(N($I575),SUMIFS(nrMK_Min,nrMK_Link,$B575,nrMK_Credit,"Yes",nrMK_PID,$E575,nrMK_Type,"Classroom")))</f>
        <v/>
      </c>
      <c r="Q575" s="17">
        <f>IF(OR($B575="",N($J575)=0),"",MIN(N($J575),SUMIFS(nrMK_Sess,nrMK_Link,$B575,nrMK_Credit,"Yes",nrMK_PID,$E575,nrMK_Type,"PT")))</f>
        <v/>
      </c>
      <c r="R575" s="17">
        <f>IF(OR($B575="",$N575&lt;&gt;"Yes"),"",IF($K575="Yes",IF(N($J575)&gt;0,N($J575)-N($Q575),""),IF(N($I575)&gt;0,N($I575)-N($P575),"")))</f>
        <v/>
      </c>
      <c r="S575" s="17">
        <f>IF(OR($B575="",$R575=""),"",IF($R575&lt;=0,IF(IFERROR(_xlfn.MAXIFS(nrMK_Date,nrMK_Link,$B575,nrMK_Credit,"Yes",nrMK_PID,$E575),0)=0,"CLEARED (makeup date missing)","CLEARED "&amp;TEXT(_xlfn.MAXIFS(nrMK_Date,nrMK_Link,$B575,nrMK_Credit,"Yes",nrMK_PID,$E575),"mm/dd")),"OPEN"))</f>
        <v/>
      </c>
      <c r="T575" s="17">
        <f>IF($D575="","",IF($C575="","NO DATE",IF($G575="","NO EVENT TYPE",IF(AND($I575&lt;&gt;"",NOT(ISNUMBER($I575))),"MINUTES NOT A NUMBER",IF(AND($J575&lt;&gt;"",NOT(ISNUMBER($J575))),"SESSIONS NOT A NUMBER",IF(OR(N($I575)&lt;0,N($J575)&lt;0),"NEGATIVE MINUTES/SESSIONS",IF(AND($K575="Yes",N($I575)&gt;0),"MINUTES ON A PT EVENT - not counted (PT counts sessions)",IF(AND($K575="No",N($J575)&gt;0),"SESSIONS ON A CLASSROOM EVENT - not counted (classroom counts minutes)",IF(AND($N575="Yes",$K575="Yes",N($J575)=0),"COUNTED PT EVENT WITH NO SESSIONS - dropped from the PT cap",IF(AND($N575="Yes",$K575="No",N($I575)=0),"COUNTED EVENT WITH NO MINUTES - dropped from the classroom cap","OK"))))))))))</f>
        <v/>
      </c>
    </row>
    <row r="576">
      <c r="B576" s="17">
        <f>IF($D576="","","A"&amp;TEXT(ROW()-5,"000"))</f>
        <v/>
      </c>
      <c r="C576" s="18" t="n"/>
      <c r="D576" s="16" t="n"/>
      <c r="E576" s="17">
        <f>IF($D576="","",IFERROR(INDEX(rngCadetPIDs,MATCH($D576,rngCadetNames,0)),"?"))</f>
        <v/>
      </c>
      <c r="F576" s="17">
        <f>IF($E576="","",IFERROR(INDEX(nrCadetAgency,MATCH($E576,rngCadetPIDs,0)),""))</f>
        <v/>
      </c>
      <c r="G576" s="16" t="n"/>
      <c r="H576" s="16" t="n"/>
      <c r="I576" s="16" t="n"/>
      <c r="J576" s="16" t="n"/>
      <c r="K576" s="17">
        <f>IF($G576="","",IF(OR($G576="PT Missed",$G576="PT Modified",$G576="PT Refused"),"Yes","No"))</f>
        <v/>
      </c>
      <c r="L576" s="16" t="n"/>
      <c r="M576" s="16" t="n"/>
      <c r="N576" s="17">
        <f>IF($D576="","",IF($M576="Excused","No",IF(AND($G576="PT Modified",$L576="Received"),"No","Yes")))</f>
        <v/>
      </c>
      <c r="O576" s="16" t="n"/>
      <c r="P576" s="17">
        <f>IF(OR($B576="",N($I576)=0),"",MIN(N($I576),SUMIFS(nrMK_Min,nrMK_Link,$B576,nrMK_Credit,"Yes",nrMK_PID,$E576,nrMK_Type,"Classroom")))</f>
        <v/>
      </c>
      <c r="Q576" s="17">
        <f>IF(OR($B576="",N($J576)=0),"",MIN(N($J576),SUMIFS(nrMK_Sess,nrMK_Link,$B576,nrMK_Credit,"Yes",nrMK_PID,$E576,nrMK_Type,"PT")))</f>
        <v/>
      </c>
      <c r="R576" s="17">
        <f>IF(OR($B576="",$N576&lt;&gt;"Yes"),"",IF($K576="Yes",IF(N($J576)&gt;0,N($J576)-N($Q576),""),IF(N($I576)&gt;0,N($I576)-N($P576),"")))</f>
        <v/>
      </c>
      <c r="S576" s="17">
        <f>IF(OR($B576="",$R576=""),"",IF($R576&lt;=0,IF(IFERROR(_xlfn.MAXIFS(nrMK_Date,nrMK_Link,$B576,nrMK_Credit,"Yes",nrMK_PID,$E576),0)=0,"CLEARED (makeup date missing)","CLEARED "&amp;TEXT(_xlfn.MAXIFS(nrMK_Date,nrMK_Link,$B576,nrMK_Credit,"Yes",nrMK_PID,$E576),"mm/dd")),"OPEN"))</f>
        <v/>
      </c>
      <c r="T576" s="17">
        <f>IF($D576="","",IF($C576="","NO DATE",IF($G576="","NO EVENT TYPE",IF(AND($I576&lt;&gt;"",NOT(ISNUMBER($I576))),"MINUTES NOT A NUMBER",IF(AND($J576&lt;&gt;"",NOT(ISNUMBER($J576))),"SESSIONS NOT A NUMBER",IF(OR(N($I576)&lt;0,N($J576)&lt;0),"NEGATIVE MINUTES/SESSIONS",IF(AND($K576="Yes",N($I576)&gt;0),"MINUTES ON A PT EVENT - not counted (PT counts sessions)",IF(AND($K576="No",N($J576)&gt;0),"SESSIONS ON A CLASSROOM EVENT - not counted (classroom counts minutes)",IF(AND($N576="Yes",$K576="Yes",N($J576)=0),"COUNTED PT EVENT WITH NO SESSIONS - dropped from the PT cap",IF(AND($N576="Yes",$K576="No",N($I576)=0),"COUNTED EVENT WITH NO MINUTES - dropped from the classroom cap","OK"))))))))))</f>
        <v/>
      </c>
    </row>
    <row r="577">
      <c r="B577" s="17">
        <f>IF($D577="","","A"&amp;TEXT(ROW()-5,"000"))</f>
        <v/>
      </c>
      <c r="C577" s="18" t="n"/>
      <c r="D577" s="16" t="n"/>
      <c r="E577" s="17">
        <f>IF($D577="","",IFERROR(INDEX(rngCadetPIDs,MATCH($D577,rngCadetNames,0)),"?"))</f>
        <v/>
      </c>
      <c r="F577" s="17">
        <f>IF($E577="","",IFERROR(INDEX(nrCadetAgency,MATCH($E577,rngCadetPIDs,0)),""))</f>
        <v/>
      </c>
      <c r="G577" s="16" t="n"/>
      <c r="H577" s="16" t="n"/>
      <c r="I577" s="16" t="n"/>
      <c r="J577" s="16" t="n"/>
      <c r="K577" s="17">
        <f>IF($G577="","",IF(OR($G577="PT Missed",$G577="PT Modified",$G577="PT Refused"),"Yes","No"))</f>
        <v/>
      </c>
      <c r="L577" s="16" t="n"/>
      <c r="M577" s="16" t="n"/>
      <c r="N577" s="17">
        <f>IF($D577="","",IF($M577="Excused","No",IF(AND($G577="PT Modified",$L577="Received"),"No","Yes")))</f>
        <v/>
      </c>
      <c r="O577" s="16" t="n"/>
      <c r="P577" s="17">
        <f>IF(OR($B577="",N($I577)=0),"",MIN(N($I577),SUMIFS(nrMK_Min,nrMK_Link,$B577,nrMK_Credit,"Yes",nrMK_PID,$E577,nrMK_Type,"Classroom")))</f>
        <v/>
      </c>
      <c r="Q577" s="17">
        <f>IF(OR($B577="",N($J577)=0),"",MIN(N($J577),SUMIFS(nrMK_Sess,nrMK_Link,$B577,nrMK_Credit,"Yes",nrMK_PID,$E577,nrMK_Type,"PT")))</f>
        <v/>
      </c>
      <c r="R577" s="17">
        <f>IF(OR($B577="",$N577&lt;&gt;"Yes"),"",IF($K577="Yes",IF(N($J577)&gt;0,N($J577)-N($Q577),""),IF(N($I577)&gt;0,N($I577)-N($P577),"")))</f>
        <v/>
      </c>
      <c r="S577" s="17">
        <f>IF(OR($B577="",$R577=""),"",IF($R577&lt;=0,IF(IFERROR(_xlfn.MAXIFS(nrMK_Date,nrMK_Link,$B577,nrMK_Credit,"Yes",nrMK_PID,$E577),0)=0,"CLEARED (makeup date missing)","CLEARED "&amp;TEXT(_xlfn.MAXIFS(nrMK_Date,nrMK_Link,$B577,nrMK_Credit,"Yes",nrMK_PID,$E577),"mm/dd")),"OPEN"))</f>
        <v/>
      </c>
      <c r="T577" s="17">
        <f>IF($D577="","",IF($C577="","NO DATE",IF($G577="","NO EVENT TYPE",IF(AND($I577&lt;&gt;"",NOT(ISNUMBER($I577))),"MINUTES NOT A NUMBER",IF(AND($J577&lt;&gt;"",NOT(ISNUMBER($J577))),"SESSIONS NOT A NUMBER",IF(OR(N($I577)&lt;0,N($J577)&lt;0),"NEGATIVE MINUTES/SESSIONS",IF(AND($K577="Yes",N($I577)&gt;0),"MINUTES ON A PT EVENT - not counted (PT counts sessions)",IF(AND($K577="No",N($J577)&gt;0),"SESSIONS ON A CLASSROOM EVENT - not counted (classroom counts minutes)",IF(AND($N577="Yes",$K577="Yes",N($J577)=0),"COUNTED PT EVENT WITH NO SESSIONS - dropped from the PT cap",IF(AND($N577="Yes",$K577="No",N($I577)=0),"COUNTED EVENT WITH NO MINUTES - dropped from the classroom cap","OK"))))))))))</f>
        <v/>
      </c>
    </row>
    <row r="578">
      <c r="B578" s="17">
        <f>IF($D578="","","A"&amp;TEXT(ROW()-5,"000"))</f>
        <v/>
      </c>
      <c r="C578" s="18" t="n"/>
      <c r="D578" s="16" t="n"/>
      <c r="E578" s="17">
        <f>IF($D578="","",IFERROR(INDEX(rngCadetPIDs,MATCH($D578,rngCadetNames,0)),"?"))</f>
        <v/>
      </c>
      <c r="F578" s="17">
        <f>IF($E578="","",IFERROR(INDEX(nrCadetAgency,MATCH($E578,rngCadetPIDs,0)),""))</f>
        <v/>
      </c>
      <c r="G578" s="16" t="n"/>
      <c r="H578" s="16" t="n"/>
      <c r="I578" s="16" t="n"/>
      <c r="J578" s="16" t="n"/>
      <c r="K578" s="17">
        <f>IF($G578="","",IF(OR($G578="PT Missed",$G578="PT Modified",$G578="PT Refused"),"Yes","No"))</f>
        <v/>
      </c>
      <c r="L578" s="16" t="n"/>
      <c r="M578" s="16" t="n"/>
      <c r="N578" s="17">
        <f>IF($D578="","",IF($M578="Excused","No",IF(AND($G578="PT Modified",$L578="Received"),"No","Yes")))</f>
        <v/>
      </c>
      <c r="O578" s="16" t="n"/>
      <c r="P578" s="17">
        <f>IF(OR($B578="",N($I578)=0),"",MIN(N($I578),SUMIFS(nrMK_Min,nrMK_Link,$B578,nrMK_Credit,"Yes",nrMK_PID,$E578,nrMK_Type,"Classroom")))</f>
        <v/>
      </c>
      <c r="Q578" s="17">
        <f>IF(OR($B578="",N($J578)=0),"",MIN(N($J578),SUMIFS(nrMK_Sess,nrMK_Link,$B578,nrMK_Credit,"Yes",nrMK_PID,$E578,nrMK_Type,"PT")))</f>
        <v/>
      </c>
      <c r="R578" s="17">
        <f>IF(OR($B578="",$N578&lt;&gt;"Yes"),"",IF($K578="Yes",IF(N($J578)&gt;0,N($J578)-N($Q578),""),IF(N($I578)&gt;0,N($I578)-N($P578),"")))</f>
        <v/>
      </c>
      <c r="S578" s="17">
        <f>IF(OR($B578="",$R578=""),"",IF($R578&lt;=0,IF(IFERROR(_xlfn.MAXIFS(nrMK_Date,nrMK_Link,$B578,nrMK_Credit,"Yes",nrMK_PID,$E578),0)=0,"CLEARED (makeup date missing)","CLEARED "&amp;TEXT(_xlfn.MAXIFS(nrMK_Date,nrMK_Link,$B578,nrMK_Credit,"Yes",nrMK_PID,$E578),"mm/dd")),"OPEN"))</f>
        <v/>
      </c>
      <c r="T578" s="17">
        <f>IF($D578="","",IF($C578="","NO DATE",IF($G578="","NO EVENT TYPE",IF(AND($I578&lt;&gt;"",NOT(ISNUMBER($I578))),"MINUTES NOT A NUMBER",IF(AND($J578&lt;&gt;"",NOT(ISNUMBER($J578))),"SESSIONS NOT A NUMBER",IF(OR(N($I578)&lt;0,N($J578)&lt;0),"NEGATIVE MINUTES/SESSIONS",IF(AND($K578="Yes",N($I578)&gt;0),"MINUTES ON A PT EVENT - not counted (PT counts sessions)",IF(AND($K578="No",N($J578)&gt;0),"SESSIONS ON A CLASSROOM EVENT - not counted (classroom counts minutes)",IF(AND($N578="Yes",$K578="Yes",N($J578)=0),"COUNTED PT EVENT WITH NO SESSIONS - dropped from the PT cap",IF(AND($N578="Yes",$K578="No",N($I578)=0),"COUNTED EVENT WITH NO MINUTES - dropped from the classroom cap","OK"))))))))))</f>
        <v/>
      </c>
    </row>
    <row r="579">
      <c r="B579" s="17">
        <f>IF($D579="","","A"&amp;TEXT(ROW()-5,"000"))</f>
        <v/>
      </c>
      <c r="C579" s="18" t="n"/>
      <c r="D579" s="16" t="n"/>
      <c r="E579" s="17">
        <f>IF($D579="","",IFERROR(INDEX(rngCadetPIDs,MATCH($D579,rngCadetNames,0)),"?"))</f>
        <v/>
      </c>
      <c r="F579" s="17">
        <f>IF($E579="","",IFERROR(INDEX(nrCadetAgency,MATCH($E579,rngCadetPIDs,0)),""))</f>
        <v/>
      </c>
      <c r="G579" s="16" t="n"/>
      <c r="H579" s="16" t="n"/>
      <c r="I579" s="16" t="n"/>
      <c r="J579" s="16" t="n"/>
      <c r="K579" s="17">
        <f>IF($G579="","",IF(OR($G579="PT Missed",$G579="PT Modified",$G579="PT Refused"),"Yes","No"))</f>
        <v/>
      </c>
      <c r="L579" s="16" t="n"/>
      <c r="M579" s="16" t="n"/>
      <c r="N579" s="17">
        <f>IF($D579="","",IF($M579="Excused","No",IF(AND($G579="PT Modified",$L579="Received"),"No","Yes")))</f>
        <v/>
      </c>
      <c r="O579" s="16" t="n"/>
      <c r="P579" s="17">
        <f>IF(OR($B579="",N($I579)=0),"",MIN(N($I579),SUMIFS(nrMK_Min,nrMK_Link,$B579,nrMK_Credit,"Yes",nrMK_PID,$E579,nrMK_Type,"Classroom")))</f>
        <v/>
      </c>
      <c r="Q579" s="17">
        <f>IF(OR($B579="",N($J579)=0),"",MIN(N($J579),SUMIFS(nrMK_Sess,nrMK_Link,$B579,nrMK_Credit,"Yes",nrMK_PID,$E579,nrMK_Type,"PT")))</f>
        <v/>
      </c>
      <c r="R579" s="17">
        <f>IF(OR($B579="",$N579&lt;&gt;"Yes"),"",IF($K579="Yes",IF(N($J579)&gt;0,N($J579)-N($Q579),""),IF(N($I579)&gt;0,N($I579)-N($P579),"")))</f>
        <v/>
      </c>
      <c r="S579" s="17">
        <f>IF(OR($B579="",$R579=""),"",IF($R579&lt;=0,IF(IFERROR(_xlfn.MAXIFS(nrMK_Date,nrMK_Link,$B579,nrMK_Credit,"Yes",nrMK_PID,$E579),0)=0,"CLEARED (makeup date missing)","CLEARED "&amp;TEXT(_xlfn.MAXIFS(nrMK_Date,nrMK_Link,$B579,nrMK_Credit,"Yes",nrMK_PID,$E579),"mm/dd")),"OPEN"))</f>
        <v/>
      </c>
      <c r="T579" s="17">
        <f>IF($D579="","",IF($C579="","NO DATE",IF($G579="","NO EVENT TYPE",IF(AND($I579&lt;&gt;"",NOT(ISNUMBER($I579))),"MINUTES NOT A NUMBER",IF(AND($J579&lt;&gt;"",NOT(ISNUMBER($J579))),"SESSIONS NOT A NUMBER",IF(OR(N($I579)&lt;0,N($J579)&lt;0),"NEGATIVE MINUTES/SESSIONS",IF(AND($K579="Yes",N($I579)&gt;0),"MINUTES ON A PT EVENT - not counted (PT counts sessions)",IF(AND($K579="No",N($J579)&gt;0),"SESSIONS ON A CLASSROOM EVENT - not counted (classroom counts minutes)",IF(AND($N579="Yes",$K579="Yes",N($J579)=0),"COUNTED PT EVENT WITH NO SESSIONS - dropped from the PT cap",IF(AND($N579="Yes",$K579="No",N($I579)=0),"COUNTED EVENT WITH NO MINUTES - dropped from the classroom cap","OK"))))))))))</f>
        <v/>
      </c>
    </row>
    <row r="580">
      <c r="B580" s="17">
        <f>IF($D580="","","A"&amp;TEXT(ROW()-5,"000"))</f>
        <v/>
      </c>
      <c r="C580" s="18" t="n"/>
      <c r="D580" s="16" t="n"/>
      <c r="E580" s="17">
        <f>IF($D580="","",IFERROR(INDEX(rngCadetPIDs,MATCH($D580,rngCadetNames,0)),"?"))</f>
        <v/>
      </c>
      <c r="F580" s="17">
        <f>IF($E580="","",IFERROR(INDEX(nrCadetAgency,MATCH($E580,rngCadetPIDs,0)),""))</f>
        <v/>
      </c>
      <c r="G580" s="16" t="n"/>
      <c r="H580" s="16" t="n"/>
      <c r="I580" s="16" t="n"/>
      <c r="J580" s="16" t="n"/>
      <c r="K580" s="17">
        <f>IF($G580="","",IF(OR($G580="PT Missed",$G580="PT Modified",$G580="PT Refused"),"Yes","No"))</f>
        <v/>
      </c>
      <c r="L580" s="16" t="n"/>
      <c r="M580" s="16" t="n"/>
      <c r="N580" s="17">
        <f>IF($D580="","",IF($M580="Excused","No",IF(AND($G580="PT Modified",$L580="Received"),"No","Yes")))</f>
        <v/>
      </c>
      <c r="O580" s="16" t="n"/>
      <c r="P580" s="17">
        <f>IF(OR($B580="",N($I580)=0),"",MIN(N($I580),SUMIFS(nrMK_Min,nrMK_Link,$B580,nrMK_Credit,"Yes",nrMK_PID,$E580,nrMK_Type,"Classroom")))</f>
        <v/>
      </c>
      <c r="Q580" s="17">
        <f>IF(OR($B580="",N($J580)=0),"",MIN(N($J580),SUMIFS(nrMK_Sess,nrMK_Link,$B580,nrMK_Credit,"Yes",nrMK_PID,$E580,nrMK_Type,"PT")))</f>
        <v/>
      </c>
      <c r="R580" s="17">
        <f>IF(OR($B580="",$N580&lt;&gt;"Yes"),"",IF($K580="Yes",IF(N($J580)&gt;0,N($J580)-N($Q580),""),IF(N($I580)&gt;0,N($I580)-N($P580),"")))</f>
        <v/>
      </c>
      <c r="S580" s="17">
        <f>IF(OR($B580="",$R580=""),"",IF($R580&lt;=0,IF(IFERROR(_xlfn.MAXIFS(nrMK_Date,nrMK_Link,$B580,nrMK_Credit,"Yes",nrMK_PID,$E580),0)=0,"CLEARED (makeup date missing)","CLEARED "&amp;TEXT(_xlfn.MAXIFS(nrMK_Date,nrMK_Link,$B580,nrMK_Credit,"Yes",nrMK_PID,$E580),"mm/dd")),"OPEN"))</f>
        <v/>
      </c>
      <c r="T580" s="17">
        <f>IF($D580="","",IF($C580="","NO DATE",IF($G580="","NO EVENT TYPE",IF(AND($I580&lt;&gt;"",NOT(ISNUMBER($I580))),"MINUTES NOT A NUMBER",IF(AND($J580&lt;&gt;"",NOT(ISNUMBER($J580))),"SESSIONS NOT A NUMBER",IF(OR(N($I580)&lt;0,N($J580)&lt;0),"NEGATIVE MINUTES/SESSIONS",IF(AND($K580="Yes",N($I580)&gt;0),"MINUTES ON A PT EVENT - not counted (PT counts sessions)",IF(AND($K580="No",N($J580)&gt;0),"SESSIONS ON A CLASSROOM EVENT - not counted (classroom counts minutes)",IF(AND($N580="Yes",$K580="Yes",N($J580)=0),"COUNTED PT EVENT WITH NO SESSIONS - dropped from the PT cap",IF(AND($N580="Yes",$K580="No",N($I580)=0),"COUNTED EVENT WITH NO MINUTES - dropped from the classroom cap","OK"))))))))))</f>
        <v/>
      </c>
    </row>
    <row r="581">
      <c r="B581" s="17">
        <f>IF($D581="","","A"&amp;TEXT(ROW()-5,"000"))</f>
        <v/>
      </c>
      <c r="C581" s="18" t="n"/>
      <c r="D581" s="16" t="n"/>
      <c r="E581" s="17">
        <f>IF($D581="","",IFERROR(INDEX(rngCadetPIDs,MATCH($D581,rngCadetNames,0)),"?"))</f>
        <v/>
      </c>
      <c r="F581" s="17">
        <f>IF($E581="","",IFERROR(INDEX(nrCadetAgency,MATCH($E581,rngCadetPIDs,0)),""))</f>
        <v/>
      </c>
      <c r="G581" s="16" t="n"/>
      <c r="H581" s="16" t="n"/>
      <c r="I581" s="16" t="n"/>
      <c r="J581" s="16" t="n"/>
      <c r="K581" s="17">
        <f>IF($G581="","",IF(OR($G581="PT Missed",$G581="PT Modified",$G581="PT Refused"),"Yes","No"))</f>
        <v/>
      </c>
      <c r="L581" s="16" t="n"/>
      <c r="M581" s="16" t="n"/>
      <c r="N581" s="17">
        <f>IF($D581="","",IF($M581="Excused","No",IF(AND($G581="PT Modified",$L581="Received"),"No","Yes")))</f>
        <v/>
      </c>
      <c r="O581" s="16" t="n"/>
      <c r="P581" s="17">
        <f>IF(OR($B581="",N($I581)=0),"",MIN(N($I581),SUMIFS(nrMK_Min,nrMK_Link,$B581,nrMK_Credit,"Yes",nrMK_PID,$E581,nrMK_Type,"Classroom")))</f>
        <v/>
      </c>
      <c r="Q581" s="17">
        <f>IF(OR($B581="",N($J581)=0),"",MIN(N($J581),SUMIFS(nrMK_Sess,nrMK_Link,$B581,nrMK_Credit,"Yes",nrMK_PID,$E581,nrMK_Type,"PT")))</f>
        <v/>
      </c>
      <c r="R581" s="17">
        <f>IF(OR($B581="",$N581&lt;&gt;"Yes"),"",IF($K581="Yes",IF(N($J581)&gt;0,N($J581)-N($Q581),""),IF(N($I581)&gt;0,N($I581)-N($P581),"")))</f>
        <v/>
      </c>
      <c r="S581" s="17">
        <f>IF(OR($B581="",$R581=""),"",IF($R581&lt;=0,IF(IFERROR(_xlfn.MAXIFS(nrMK_Date,nrMK_Link,$B581,nrMK_Credit,"Yes",nrMK_PID,$E581),0)=0,"CLEARED (makeup date missing)","CLEARED "&amp;TEXT(_xlfn.MAXIFS(nrMK_Date,nrMK_Link,$B581,nrMK_Credit,"Yes",nrMK_PID,$E581),"mm/dd")),"OPEN"))</f>
        <v/>
      </c>
      <c r="T581" s="17">
        <f>IF($D581="","",IF($C581="","NO DATE",IF($G581="","NO EVENT TYPE",IF(AND($I581&lt;&gt;"",NOT(ISNUMBER($I581))),"MINUTES NOT A NUMBER",IF(AND($J581&lt;&gt;"",NOT(ISNUMBER($J581))),"SESSIONS NOT A NUMBER",IF(OR(N($I581)&lt;0,N($J581)&lt;0),"NEGATIVE MINUTES/SESSIONS",IF(AND($K581="Yes",N($I581)&gt;0),"MINUTES ON A PT EVENT - not counted (PT counts sessions)",IF(AND($K581="No",N($J581)&gt;0),"SESSIONS ON A CLASSROOM EVENT - not counted (classroom counts minutes)",IF(AND($N581="Yes",$K581="Yes",N($J581)=0),"COUNTED PT EVENT WITH NO SESSIONS - dropped from the PT cap",IF(AND($N581="Yes",$K581="No",N($I581)=0),"COUNTED EVENT WITH NO MINUTES - dropped from the classroom cap","OK"))))))))))</f>
        <v/>
      </c>
    </row>
    <row r="582">
      <c r="B582" s="17">
        <f>IF($D582="","","A"&amp;TEXT(ROW()-5,"000"))</f>
        <v/>
      </c>
      <c r="C582" s="18" t="n"/>
      <c r="D582" s="16" t="n"/>
      <c r="E582" s="17">
        <f>IF($D582="","",IFERROR(INDEX(rngCadetPIDs,MATCH($D582,rngCadetNames,0)),"?"))</f>
        <v/>
      </c>
      <c r="F582" s="17">
        <f>IF($E582="","",IFERROR(INDEX(nrCadetAgency,MATCH($E582,rngCadetPIDs,0)),""))</f>
        <v/>
      </c>
      <c r="G582" s="16" t="n"/>
      <c r="H582" s="16" t="n"/>
      <c r="I582" s="16" t="n"/>
      <c r="J582" s="16" t="n"/>
      <c r="K582" s="17">
        <f>IF($G582="","",IF(OR($G582="PT Missed",$G582="PT Modified",$G582="PT Refused"),"Yes","No"))</f>
        <v/>
      </c>
      <c r="L582" s="16" t="n"/>
      <c r="M582" s="16" t="n"/>
      <c r="N582" s="17">
        <f>IF($D582="","",IF($M582="Excused","No",IF(AND($G582="PT Modified",$L582="Received"),"No","Yes")))</f>
        <v/>
      </c>
      <c r="O582" s="16" t="n"/>
      <c r="P582" s="17">
        <f>IF(OR($B582="",N($I582)=0),"",MIN(N($I582),SUMIFS(nrMK_Min,nrMK_Link,$B582,nrMK_Credit,"Yes",nrMK_PID,$E582,nrMK_Type,"Classroom")))</f>
        <v/>
      </c>
      <c r="Q582" s="17">
        <f>IF(OR($B582="",N($J582)=0),"",MIN(N($J582),SUMIFS(nrMK_Sess,nrMK_Link,$B582,nrMK_Credit,"Yes",nrMK_PID,$E582,nrMK_Type,"PT")))</f>
        <v/>
      </c>
      <c r="R582" s="17">
        <f>IF(OR($B582="",$N582&lt;&gt;"Yes"),"",IF($K582="Yes",IF(N($J582)&gt;0,N($J582)-N($Q582),""),IF(N($I582)&gt;0,N($I582)-N($P582),"")))</f>
        <v/>
      </c>
      <c r="S582" s="17">
        <f>IF(OR($B582="",$R582=""),"",IF($R582&lt;=0,IF(IFERROR(_xlfn.MAXIFS(nrMK_Date,nrMK_Link,$B582,nrMK_Credit,"Yes",nrMK_PID,$E582),0)=0,"CLEARED (makeup date missing)","CLEARED "&amp;TEXT(_xlfn.MAXIFS(nrMK_Date,nrMK_Link,$B582,nrMK_Credit,"Yes",nrMK_PID,$E582),"mm/dd")),"OPEN"))</f>
        <v/>
      </c>
      <c r="T582" s="17">
        <f>IF($D582="","",IF($C582="","NO DATE",IF($G582="","NO EVENT TYPE",IF(AND($I582&lt;&gt;"",NOT(ISNUMBER($I582))),"MINUTES NOT A NUMBER",IF(AND($J582&lt;&gt;"",NOT(ISNUMBER($J582))),"SESSIONS NOT A NUMBER",IF(OR(N($I582)&lt;0,N($J582)&lt;0),"NEGATIVE MINUTES/SESSIONS",IF(AND($K582="Yes",N($I582)&gt;0),"MINUTES ON A PT EVENT - not counted (PT counts sessions)",IF(AND($K582="No",N($J582)&gt;0),"SESSIONS ON A CLASSROOM EVENT - not counted (classroom counts minutes)",IF(AND($N582="Yes",$K582="Yes",N($J582)=0),"COUNTED PT EVENT WITH NO SESSIONS - dropped from the PT cap",IF(AND($N582="Yes",$K582="No",N($I582)=0),"COUNTED EVENT WITH NO MINUTES - dropped from the classroom cap","OK"))))))))))</f>
        <v/>
      </c>
    </row>
    <row r="583">
      <c r="B583" s="17">
        <f>IF($D583="","","A"&amp;TEXT(ROW()-5,"000"))</f>
        <v/>
      </c>
      <c r="C583" s="18" t="n"/>
      <c r="D583" s="16" t="n"/>
      <c r="E583" s="17">
        <f>IF($D583="","",IFERROR(INDEX(rngCadetPIDs,MATCH($D583,rngCadetNames,0)),"?"))</f>
        <v/>
      </c>
      <c r="F583" s="17">
        <f>IF($E583="","",IFERROR(INDEX(nrCadetAgency,MATCH($E583,rngCadetPIDs,0)),""))</f>
        <v/>
      </c>
      <c r="G583" s="16" t="n"/>
      <c r="H583" s="16" t="n"/>
      <c r="I583" s="16" t="n"/>
      <c r="J583" s="16" t="n"/>
      <c r="K583" s="17">
        <f>IF($G583="","",IF(OR($G583="PT Missed",$G583="PT Modified",$G583="PT Refused"),"Yes","No"))</f>
        <v/>
      </c>
      <c r="L583" s="16" t="n"/>
      <c r="M583" s="16" t="n"/>
      <c r="N583" s="17">
        <f>IF($D583="","",IF($M583="Excused","No",IF(AND($G583="PT Modified",$L583="Received"),"No","Yes")))</f>
        <v/>
      </c>
      <c r="O583" s="16" t="n"/>
      <c r="P583" s="17">
        <f>IF(OR($B583="",N($I583)=0),"",MIN(N($I583),SUMIFS(nrMK_Min,nrMK_Link,$B583,nrMK_Credit,"Yes",nrMK_PID,$E583,nrMK_Type,"Classroom")))</f>
        <v/>
      </c>
      <c r="Q583" s="17">
        <f>IF(OR($B583="",N($J583)=0),"",MIN(N($J583),SUMIFS(nrMK_Sess,nrMK_Link,$B583,nrMK_Credit,"Yes",nrMK_PID,$E583,nrMK_Type,"PT")))</f>
        <v/>
      </c>
      <c r="R583" s="17">
        <f>IF(OR($B583="",$N583&lt;&gt;"Yes"),"",IF($K583="Yes",IF(N($J583)&gt;0,N($J583)-N($Q583),""),IF(N($I583)&gt;0,N($I583)-N($P583),"")))</f>
        <v/>
      </c>
      <c r="S583" s="17">
        <f>IF(OR($B583="",$R583=""),"",IF($R583&lt;=0,IF(IFERROR(_xlfn.MAXIFS(nrMK_Date,nrMK_Link,$B583,nrMK_Credit,"Yes",nrMK_PID,$E583),0)=0,"CLEARED (makeup date missing)","CLEARED "&amp;TEXT(_xlfn.MAXIFS(nrMK_Date,nrMK_Link,$B583,nrMK_Credit,"Yes",nrMK_PID,$E583),"mm/dd")),"OPEN"))</f>
        <v/>
      </c>
      <c r="T583" s="17">
        <f>IF($D583="","",IF($C583="","NO DATE",IF($G583="","NO EVENT TYPE",IF(AND($I583&lt;&gt;"",NOT(ISNUMBER($I583))),"MINUTES NOT A NUMBER",IF(AND($J583&lt;&gt;"",NOT(ISNUMBER($J583))),"SESSIONS NOT A NUMBER",IF(OR(N($I583)&lt;0,N($J583)&lt;0),"NEGATIVE MINUTES/SESSIONS",IF(AND($K583="Yes",N($I583)&gt;0),"MINUTES ON A PT EVENT - not counted (PT counts sessions)",IF(AND($K583="No",N($J583)&gt;0),"SESSIONS ON A CLASSROOM EVENT - not counted (classroom counts minutes)",IF(AND($N583="Yes",$K583="Yes",N($J583)=0),"COUNTED PT EVENT WITH NO SESSIONS - dropped from the PT cap",IF(AND($N583="Yes",$K583="No",N($I583)=0),"COUNTED EVENT WITH NO MINUTES - dropped from the classroom cap","OK"))))))))))</f>
        <v/>
      </c>
    </row>
    <row r="584">
      <c r="B584" s="17">
        <f>IF($D584="","","A"&amp;TEXT(ROW()-5,"000"))</f>
        <v/>
      </c>
      <c r="C584" s="18" t="n"/>
      <c r="D584" s="16" t="n"/>
      <c r="E584" s="17">
        <f>IF($D584="","",IFERROR(INDEX(rngCadetPIDs,MATCH($D584,rngCadetNames,0)),"?"))</f>
        <v/>
      </c>
      <c r="F584" s="17">
        <f>IF($E584="","",IFERROR(INDEX(nrCadetAgency,MATCH($E584,rngCadetPIDs,0)),""))</f>
        <v/>
      </c>
      <c r="G584" s="16" t="n"/>
      <c r="H584" s="16" t="n"/>
      <c r="I584" s="16" t="n"/>
      <c r="J584" s="16" t="n"/>
      <c r="K584" s="17">
        <f>IF($G584="","",IF(OR($G584="PT Missed",$G584="PT Modified",$G584="PT Refused"),"Yes","No"))</f>
        <v/>
      </c>
      <c r="L584" s="16" t="n"/>
      <c r="M584" s="16" t="n"/>
      <c r="N584" s="17">
        <f>IF($D584="","",IF($M584="Excused","No",IF(AND($G584="PT Modified",$L584="Received"),"No","Yes")))</f>
        <v/>
      </c>
      <c r="O584" s="16" t="n"/>
      <c r="P584" s="17">
        <f>IF(OR($B584="",N($I584)=0),"",MIN(N($I584),SUMIFS(nrMK_Min,nrMK_Link,$B584,nrMK_Credit,"Yes",nrMK_PID,$E584,nrMK_Type,"Classroom")))</f>
        <v/>
      </c>
      <c r="Q584" s="17">
        <f>IF(OR($B584="",N($J584)=0),"",MIN(N($J584),SUMIFS(nrMK_Sess,nrMK_Link,$B584,nrMK_Credit,"Yes",nrMK_PID,$E584,nrMK_Type,"PT")))</f>
        <v/>
      </c>
      <c r="R584" s="17">
        <f>IF(OR($B584="",$N584&lt;&gt;"Yes"),"",IF($K584="Yes",IF(N($J584)&gt;0,N($J584)-N($Q584),""),IF(N($I584)&gt;0,N($I584)-N($P584),"")))</f>
        <v/>
      </c>
      <c r="S584" s="17">
        <f>IF(OR($B584="",$R584=""),"",IF($R584&lt;=0,IF(IFERROR(_xlfn.MAXIFS(nrMK_Date,nrMK_Link,$B584,nrMK_Credit,"Yes",nrMK_PID,$E584),0)=0,"CLEARED (makeup date missing)","CLEARED "&amp;TEXT(_xlfn.MAXIFS(nrMK_Date,nrMK_Link,$B584,nrMK_Credit,"Yes",nrMK_PID,$E584),"mm/dd")),"OPEN"))</f>
        <v/>
      </c>
      <c r="T584" s="17">
        <f>IF($D584="","",IF($C584="","NO DATE",IF($G584="","NO EVENT TYPE",IF(AND($I584&lt;&gt;"",NOT(ISNUMBER($I584))),"MINUTES NOT A NUMBER",IF(AND($J584&lt;&gt;"",NOT(ISNUMBER($J584))),"SESSIONS NOT A NUMBER",IF(OR(N($I584)&lt;0,N($J584)&lt;0),"NEGATIVE MINUTES/SESSIONS",IF(AND($K584="Yes",N($I584)&gt;0),"MINUTES ON A PT EVENT - not counted (PT counts sessions)",IF(AND($K584="No",N($J584)&gt;0),"SESSIONS ON A CLASSROOM EVENT - not counted (classroom counts minutes)",IF(AND($N584="Yes",$K584="Yes",N($J584)=0),"COUNTED PT EVENT WITH NO SESSIONS - dropped from the PT cap",IF(AND($N584="Yes",$K584="No",N($I584)=0),"COUNTED EVENT WITH NO MINUTES - dropped from the classroom cap","OK"))))))))))</f>
        <v/>
      </c>
    </row>
    <row r="585">
      <c r="B585" s="17">
        <f>IF($D585="","","A"&amp;TEXT(ROW()-5,"000"))</f>
        <v/>
      </c>
      <c r="C585" s="18" t="n"/>
      <c r="D585" s="16" t="n"/>
      <c r="E585" s="17">
        <f>IF($D585="","",IFERROR(INDEX(rngCadetPIDs,MATCH($D585,rngCadetNames,0)),"?"))</f>
        <v/>
      </c>
      <c r="F585" s="17">
        <f>IF($E585="","",IFERROR(INDEX(nrCadetAgency,MATCH($E585,rngCadetPIDs,0)),""))</f>
        <v/>
      </c>
      <c r="G585" s="16" t="n"/>
      <c r="H585" s="16" t="n"/>
      <c r="I585" s="16" t="n"/>
      <c r="J585" s="16" t="n"/>
      <c r="K585" s="17">
        <f>IF($G585="","",IF(OR($G585="PT Missed",$G585="PT Modified",$G585="PT Refused"),"Yes","No"))</f>
        <v/>
      </c>
      <c r="L585" s="16" t="n"/>
      <c r="M585" s="16" t="n"/>
      <c r="N585" s="17">
        <f>IF($D585="","",IF($M585="Excused","No",IF(AND($G585="PT Modified",$L585="Received"),"No","Yes")))</f>
        <v/>
      </c>
      <c r="O585" s="16" t="n"/>
      <c r="P585" s="17">
        <f>IF(OR($B585="",N($I585)=0),"",MIN(N($I585),SUMIFS(nrMK_Min,nrMK_Link,$B585,nrMK_Credit,"Yes",nrMK_PID,$E585,nrMK_Type,"Classroom")))</f>
        <v/>
      </c>
      <c r="Q585" s="17">
        <f>IF(OR($B585="",N($J585)=0),"",MIN(N($J585),SUMIFS(nrMK_Sess,nrMK_Link,$B585,nrMK_Credit,"Yes",nrMK_PID,$E585,nrMK_Type,"PT")))</f>
        <v/>
      </c>
      <c r="R585" s="17">
        <f>IF(OR($B585="",$N585&lt;&gt;"Yes"),"",IF($K585="Yes",IF(N($J585)&gt;0,N($J585)-N($Q585),""),IF(N($I585)&gt;0,N($I585)-N($P585),"")))</f>
        <v/>
      </c>
      <c r="S585" s="17">
        <f>IF(OR($B585="",$R585=""),"",IF($R585&lt;=0,IF(IFERROR(_xlfn.MAXIFS(nrMK_Date,nrMK_Link,$B585,nrMK_Credit,"Yes",nrMK_PID,$E585),0)=0,"CLEARED (makeup date missing)","CLEARED "&amp;TEXT(_xlfn.MAXIFS(nrMK_Date,nrMK_Link,$B585,nrMK_Credit,"Yes",nrMK_PID,$E585),"mm/dd")),"OPEN"))</f>
        <v/>
      </c>
      <c r="T585" s="17">
        <f>IF($D585="","",IF($C585="","NO DATE",IF($G585="","NO EVENT TYPE",IF(AND($I585&lt;&gt;"",NOT(ISNUMBER($I585))),"MINUTES NOT A NUMBER",IF(AND($J585&lt;&gt;"",NOT(ISNUMBER($J585))),"SESSIONS NOT A NUMBER",IF(OR(N($I585)&lt;0,N($J585)&lt;0),"NEGATIVE MINUTES/SESSIONS",IF(AND($K585="Yes",N($I585)&gt;0),"MINUTES ON A PT EVENT - not counted (PT counts sessions)",IF(AND($K585="No",N($J585)&gt;0),"SESSIONS ON A CLASSROOM EVENT - not counted (classroom counts minutes)",IF(AND($N585="Yes",$K585="Yes",N($J585)=0),"COUNTED PT EVENT WITH NO SESSIONS - dropped from the PT cap",IF(AND($N585="Yes",$K585="No",N($I585)=0),"COUNTED EVENT WITH NO MINUTES - dropped from the classroom cap","OK"))))))))))</f>
        <v/>
      </c>
    </row>
    <row r="586">
      <c r="B586" s="17">
        <f>IF($D586="","","A"&amp;TEXT(ROW()-5,"000"))</f>
        <v/>
      </c>
      <c r="C586" s="18" t="n"/>
      <c r="D586" s="16" t="n"/>
      <c r="E586" s="17">
        <f>IF($D586="","",IFERROR(INDEX(rngCadetPIDs,MATCH($D586,rngCadetNames,0)),"?"))</f>
        <v/>
      </c>
      <c r="F586" s="17">
        <f>IF($E586="","",IFERROR(INDEX(nrCadetAgency,MATCH($E586,rngCadetPIDs,0)),""))</f>
        <v/>
      </c>
      <c r="G586" s="16" t="n"/>
      <c r="H586" s="16" t="n"/>
      <c r="I586" s="16" t="n"/>
      <c r="J586" s="16" t="n"/>
      <c r="K586" s="17">
        <f>IF($G586="","",IF(OR($G586="PT Missed",$G586="PT Modified",$G586="PT Refused"),"Yes","No"))</f>
        <v/>
      </c>
      <c r="L586" s="16" t="n"/>
      <c r="M586" s="16" t="n"/>
      <c r="N586" s="17">
        <f>IF($D586="","",IF($M586="Excused","No",IF(AND($G586="PT Modified",$L586="Received"),"No","Yes")))</f>
        <v/>
      </c>
      <c r="O586" s="16" t="n"/>
      <c r="P586" s="17">
        <f>IF(OR($B586="",N($I586)=0),"",MIN(N($I586),SUMIFS(nrMK_Min,nrMK_Link,$B586,nrMK_Credit,"Yes",nrMK_PID,$E586,nrMK_Type,"Classroom")))</f>
        <v/>
      </c>
      <c r="Q586" s="17">
        <f>IF(OR($B586="",N($J586)=0),"",MIN(N($J586),SUMIFS(nrMK_Sess,nrMK_Link,$B586,nrMK_Credit,"Yes",nrMK_PID,$E586,nrMK_Type,"PT")))</f>
        <v/>
      </c>
      <c r="R586" s="17">
        <f>IF(OR($B586="",$N586&lt;&gt;"Yes"),"",IF($K586="Yes",IF(N($J586)&gt;0,N($J586)-N($Q586),""),IF(N($I586)&gt;0,N($I586)-N($P586),"")))</f>
        <v/>
      </c>
      <c r="S586" s="17">
        <f>IF(OR($B586="",$R586=""),"",IF($R586&lt;=0,IF(IFERROR(_xlfn.MAXIFS(nrMK_Date,nrMK_Link,$B586,nrMK_Credit,"Yes",nrMK_PID,$E586),0)=0,"CLEARED (makeup date missing)","CLEARED "&amp;TEXT(_xlfn.MAXIFS(nrMK_Date,nrMK_Link,$B586,nrMK_Credit,"Yes",nrMK_PID,$E586),"mm/dd")),"OPEN"))</f>
        <v/>
      </c>
      <c r="T586" s="17">
        <f>IF($D586="","",IF($C586="","NO DATE",IF($G586="","NO EVENT TYPE",IF(AND($I586&lt;&gt;"",NOT(ISNUMBER($I586))),"MINUTES NOT A NUMBER",IF(AND($J586&lt;&gt;"",NOT(ISNUMBER($J586))),"SESSIONS NOT A NUMBER",IF(OR(N($I586)&lt;0,N($J586)&lt;0),"NEGATIVE MINUTES/SESSIONS",IF(AND($K586="Yes",N($I586)&gt;0),"MINUTES ON A PT EVENT - not counted (PT counts sessions)",IF(AND($K586="No",N($J586)&gt;0),"SESSIONS ON A CLASSROOM EVENT - not counted (classroom counts minutes)",IF(AND($N586="Yes",$K586="Yes",N($J586)=0),"COUNTED PT EVENT WITH NO SESSIONS - dropped from the PT cap",IF(AND($N586="Yes",$K586="No",N($I586)=0),"COUNTED EVENT WITH NO MINUTES - dropped from the classroom cap","OK"))))))))))</f>
        <v/>
      </c>
    </row>
    <row r="587">
      <c r="B587" s="17">
        <f>IF($D587="","","A"&amp;TEXT(ROW()-5,"000"))</f>
        <v/>
      </c>
      <c r="C587" s="18" t="n"/>
      <c r="D587" s="16" t="n"/>
      <c r="E587" s="17">
        <f>IF($D587="","",IFERROR(INDEX(rngCadetPIDs,MATCH($D587,rngCadetNames,0)),"?"))</f>
        <v/>
      </c>
      <c r="F587" s="17">
        <f>IF($E587="","",IFERROR(INDEX(nrCadetAgency,MATCH($E587,rngCadetPIDs,0)),""))</f>
        <v/>
      </c>
      <c r="G587" s="16" t="n"/>
      <c r="H587" s="16" t="n"/>
      <c r="I587" s="16" t="n"/>
      <c r="J587" s="16" t="n"/>
      <c r="K587" s="17">
        <f>IF($G587="","",IF(OR($G587="PT Missed",$G587="PT Modified",$G587="PT Refused"),"Yes","No"))</f>
        <v/>
      </c>
      <c r="L587" s="16" t="n"/>
      <c r="M587" s="16" t="n"/>
      <c r="N587" s="17">
        <f>IF($D587="","",IF($M587="Excused","No",IF(AND($G587="PT Modified",$L587="Received"),"No","Yes")))</f>
        <v/>
      </c>
      <c r="O587" s="16" t="n"/>
      <c r="P587" s="17">
        <f>IF(OR($B587="",N($I587)=0),"",MIN(N($I587),SUMIFS(nrMK_Min,nrMK_Link,$B587,nrMK_Credit,"Yes",nrMK_PID,$E587,nrMK_Type,"Classroom")))</f>
        <v/>
      </c>
      <c r="Q587" s="17">
        <f>IF(OR($B587="",N($J587)=0),"",MIN(N($J587),SUMIFS(nrMK_Sess,nrMK_Link,$B587,nrMK_Credit,"Yes",nrMK_PID,$E587,nrMK_Type,"PT")))</f>
        <v/>
      </c>
      <c r="R587" s="17">
        <f>IF(OR($B587="",$N587&lt;&gt;"Yes"),"",IF($K587="Yes",IF(N($J587)&gt;0,N($J587)-N($Q587),""),IF(N($I587)&gt;0,N($I587)-N($P587),"")))</f>
        <v/>
      </c>
      <c r="S587" s="17">
        <f>IF(OR($B587="",$R587=""),"",IF($R587&lt;=0,IF(IFERROR(_xlfn.MAXIFS(nrMK_Date,nrMK_Link,$B587,nrMK_Credit,"Yes",nrMK_PID,$E587),0)=0,"CLEARED (makeup date missing)","CLEARED "&amp;TEXT(_xlfn.MAXIFS(nrMK_Date,nrMK_Link,$B587,nrMK_Credit,"Yes",nrMK_PID,$E587),"mm/dd")),"OPEN"))</f>
        <v/>
      </c>
      <c r="T587" s="17">
        <f>IF($D587="","",IF($C587="","NO DATE",IF($G587="","NO EVENT TYPE",IF(AND($I587&lt;&gt;"",NOT(ISNUMBER($I587))),"MINUTES NOT A NUMBER",IF(AND($J587&lt;&gt;"",NOT(ISNUMBER($J587))),"SESSIONS NOT A NUMBER",IF(OR(N($I587)&lt;0,N($J587)&lt;0),"NEGATIVE MINUTES/SESSIONS",IF(AND($K587="Yes",N($I587)&gt;0),"MINUTES ON A PT EVENT - not counted (PT counts sessions)",IF(AND($K587="No",N($J587)&gt;0),"SESSIONS ON A CLASSROOM EVENT - not counted (classroom counts minutes)",IF(AND($N587="Yes",$K587="Yes",N($J587)=0),"COUNTED PT EVENT WITH NO SESSIONS - dropped from the PT cap",IF(AND($N587="Yes",$K587="No",N($I587)=0),"COUNTED EVENT WITH NO MINUTES - dropped from the classroom cap","OK"))))))))))</f>
        <v/>
      </c>
    </row>
    <row r="588">
      <c r="B588" s="17">
        <f>IF($D588="","","A"&amp;TEXT(ROW()-5,"000"))</f>
        <v/>
      </c>
      <c r="C588" s="18" t="n"/>
      <c r="D588" s="16" t="n"/>
      <c r="E588" s="17">
        <f>IF($D588="","",IFERROR(INDEX(rngCadetPIDs,MATCH($D588,rngCadetNames,0)),"?"))</f>
        <v/>
      </c>
      <c r="F588" s="17">
        <f>IF($E588="","",IFERROR(INDEX(nrCadetAgency,MATCH($E588,rngCadetPIDs,0)),""))</f>
        <v/>
      </c>
      <c r="G588" s="16" t="n"/>
      <c r="H588" s="16" t="n"/>
      <c r="I588" s="16" t="n"/>
      <c r="J588" s="16" t="n"/>
      <c r="K588" s="17">
        <f>IF($G588="","",IF(OR($G588="PT Missed",$G588="PT Modified",$G588="PT Refused"),"Yes","No"))</f>
        <v/>
      </c>
      <c r="L588" s="16" t="n"/>
      <c r="M588" s="16" t="n"/>
      <c r="N588" s="17">
        <f>IF($D588="","",IF($M588="Excused","No",IF(AND($G588="PT Modified",$L588="Received"),"No","Yes")))</f>
        <v/>
      </c>
      <c r="O588" s="16" t="n"/>
      <c r="P588" s="17">
        <f>IF(OR($B588="",N($I588)=0),"",MIN(N($I588),SUMIFS(nrMK_Min,nrMK_Link,$B588,nrMK_Credit,"Yes",nrMK_PID,$E588,nrMK_Type,"Classroom")))</f>
        <v/>
      </c>
      <c r="Q588" s="17">
        <f>IF(OR($B588="",N($J588)=0),"",MIN(N($J588),SUMIFS(nrMK_Sess,nrMK_Link,$B588,nrMK_Credit,"Yes",nrMK_PID,$E588,nrMK_Type,"PT")))</f>
        <v/>
      </c>
      <c r="R588" s="17">
        <f>IF(OR($B588="",$N588&lt;&gt;"Yes"),"",IF($K588="Yes",IF(N($J588)&gt;0,N($J588)-N($Q588),""),IF(N($I588)&gt;0,N($I588)-N($P588),"")))</f>
        <v/>
      </c>
      <c r="S588" s="17">
        <f>IF(OR($B588="",$R588=""),"",IF($R588&lt;=0,IF(IFERROR(_xlfn.MAXIFS(nrMK_Date,nrMK_Link,$B588,nrMK_Credit,"Yes",nrMK_PID,$E588),0)=0,"CLEARED (makeup date missing)","CLEARED "&amp;TEXT(_xlfn.MAXIFS(nrMK_Date,nrMK_Link,$B588,nrMK_Credit,"Yes",nrMK_PID,$E588),"mm/dd")),"OPEN"))</f>
        <v/>
      </c>
      <c r="T588" s="17">
        <f>IF($D588="","",IF($C588="","NO DATE",IF($G588="","NO EVENT TYPE",IF(AND($I588&lt;&gt;"",NOT(ISNUMBER($I588))),"MINUTES NOT A NUMBER",IF(AND($J588&lt;&gt;"",NOT(ISNUMBER($J588))),"SESSIONS NOT A NUMBER",IF(OR(N($I588)&lt;0,N($J588)&lt;0),"NEGATIVE MINUTES/SESSIONS",IF(AND($K588="Yes",N($I588)&gt;0),"MINUTES ON A PT EVENT - not counted (PT counts sessions)",IF(AND($K588="No",N($J588)&gt;0),"SESSIONS ON A CLASSROOM EVENT - not counted (classroom counts minutes)",IF(AND($N588="Yes",$K588="Yes",N($J588)=0),"COUNTED PT EVENT WITH NO SESSIONS - dropped from the PT cap",IF(AND($N588="Yes",$K588="No",N($I588)=0),"COUNTED EVENT WITH NO MINUTES - dropped from the classroom cap","OK"))))))))))</f>
        <v/>
      </c>
    </row>
    <row r="589">
      <c r="B589" s="17">
        <f>IF($D589="","","A"&amp;TEXT(ROW()-5,"000"))</f>
        <v/>
      </c>
      <c r="C589" s="18" t="n"/>
      <c r="D589" s="16" t="n"/>
      <c r="E589" s="17">
        <f>IF($D589="","",IFERROR(INDEX(rngCadetPIDs,MATCH($D589,rngCadetNames,0)),"?"))</f>
        <v/>
      </c>
      <c r="F589" s="17">
        <f>IF($E589="","",IFERROR(INDEX(nrCadetAgency,MATCH($E589,rngCadetPIDs,0)),""))</f>
        <v/>
      </c>
      <c r="G589" s="16" t="n"/>
      <c r="H589" s="16" t="n"/>
      <c r="I589" s="16" t="n"/>
      <c r="J589" s="16" t="n"/>
      <c r="K589" s="17">
        <f>IF($G589="","",IF(OR($G589="PT Missed",$G589="PT Modified",$G589="PT Refused"),"Yes","No"))</f>
        <v/>
      </c>
      <c r="L589" s="16" t="n"/>
      <c r="M589" s="16" t="n"/>
      <c r="N589" s="17">
        <f>IF($D589="","",IF($M589="Excused","No",IF(AND($G589="PT Modified",$L589="Received"),"No","Yes")))</f>
        <v/>
      </c>
      <c r="O589" s="16" t="n"/>
      <c r="P589" s="17">
        <f>IF(OR($B589="",N($I589)=0),"",MIN(N($I589),SUMIFS(nrMK_Min,nrMK_Link,$B589,nrMK_Credit,"Yes",nrMK_PID,$E589,nrMK_Type,"Classroom")))</f>
        <v/>
      </c>
      <c r="Q589" s="17">
        <f>IF(OR($B589="",N($J589)=0),"",MIN(N($J589),SUMIFS(nrMK_Sess,nrMK_Link,$B589,nrMK_Credit,"Yes",nrMK_PID,$E589,nrMK_Type,"PT")))</f>
        <v/>
      </c>
      <c r="R589" s="17">
        <f>IF(OR($B589="",$N589&lt;&gt;"Yes"),"",IF($K589="Yes",IF(N($J589)&gt;0,N($J589)-N($Q589),""),IF(N($I589)&gt;0,N($I589)-N($P589),"")))</f>
        <v/>
      </c>
      <c r="S589" s="17">
        <f>IF(OR($B589="",$R589=""),"",IF($R589&lt;=0,IF(IFERROR(_xlfn.MAXIFS(nrMK_Date,nrMK_Link,$B589,nrMK_Credit,"Yes",nrMK_PID,$E589),0)=0,"CLEARED (makeup date missing)","CLEARED "&amp;TEXT(_xlfn.MAXIFS(nrMK_Date,nrMK_Link,$B589,nrMK_Credit,"Yes",nrMK_PID,$E589),"mm/dd")),"OPEN"))</f>
        <v/>
      </c>
      <c r="T589" s="17">
        <f>IF($D589="","",IF($C589="","NO DATE",IF($G589="","NO EVENT TYPE",IF(AND($I589&lt;&gt;"",NOT(ISNUMBER($I589))),"MINUTES NOT A NUMBER",IF(AND($J589&lt;&gt;"",NOT(ISNUMBER($J589))),"SESSIONS NOT A NUMBER",IF(OR(N($I589)&lt;0,N($J589)&lt;0),"NEGATIVE MINUTES/SESSIONS",IF(AND($K589="Yes",N($I589)&gt;0),"MINUTES ON A PT EVENT - not counted (PT counts sessions)",IF(AND($K589="No",N($J589)&gt;0),"SESSIONS ON A CLASSROOM EVENT - not counted (classroom counts minutes)",IF(AND($N589="Yes",$K589="Yes",N($J589)=0),"COUNTED PT EVENT WITH NO SESSIONS - dropped from the PT cap",IF(AND($N589="Yes",$K589="No",N($I589)=0),"COUNTED EVENT WITH NO MINUTES - dropped from the classroom cap","OK"))))))))))</f>
        <v/>
      </c>
    </row>
    <row r="590">
      <c r="B590" s="17">
        <f>IF($D590="","","A"&amp;TEXT(ROW()-5,"000"))</f>
        <v/>
      </c>
      <c r="C590" s="18" t="n"/>
      <c r="D590" s="16" t="n"/>
      <c r="E590" s="17">
        <f>IF($D590="","",IFERROR(INDEX(rngCadetPIDs,MATCH($D590,rngCadetNames,0)),"?"))</f>
        <v/>
      </c>
      <c r="F590" s="17">
        <f>IF($E590="","",IFERROR(INDEX(nrCadetAgency,MATCH($E590,rngCadetPIDs,0)),""))</f>
        <v/>
      </c>
      <c r="G590" s="16" t="n"/>
      <c r="H590" s="16" t="n"/>
      <c r="I590" s="16" t="n"/>
      <c r="J590" s="16" t="n"/>
      <c r="K590" s="17">
        <f>IF($G590="","",IF(OR($G590="PT Missed",$G590="PT Modified",$G590="PT Refused"),"Yes","No"))</f>
        <v/>
      </c>
      <c r="L590" s="16" t="n"/>
      <c r="M590" s="16" t="n"/>
      <c r="N590" s="17">
        <f>IF($D590="","",IF($M590="Excused","No",IF(AND($G590="PT Modified",$L590="Received"),"No","Yes")))</f>
        <v/>
      </c>
      <c r="O590" s="16" t="n"/>
      <c r="P590" s="17">
        <f>IF(OR($B590="",N($I590)=0),"",MIN(N($I590),SUMIFS(nrMK_Min,nrMK_Link,$B590,nrMK_Credit,"Yes",nrMK_PID,$E590,nrMK_Type,"Classroom")))</f>
        <v/>
      </c>
      <c r="Q590" s="17">
        <f>IF(OR($B590="",N($J590)=0),"",MIN(N($J590),SUMIFS(nrMK_Sess,nrMK_Link,$B590,nrMK_Credit,"Yes",nrMK_PID,$E590,nrMK_Type,"PT")))</f>
        <v/>
      </c>
      <c r="R590" s="17">
        <f>IF(OR($B590="",$N590&lt;&gt;"Yes"),"",IF($K590="Yes",IF(N($J590)&gt;0,N($J590)-N($Q590),""),IF(N($I590)&gt;0,N($I590)-N($P590),"")))</f>
        <v/>
      </c>
      <c r="S590" s="17">
        <f>IF(OR($B590="",$R590=""),"",IF($R590&lt;=0,IF(IFERROR(_xlfn.MAXIFS(nrMK_Date,nrMK_Link,$B590,nrMK_Credit,"Yes",nrMK_PID,$E590),0)=0,"CLEARED (makeup date missing)","CLEARED "&amp;TEXT(_xlfn.MAXIFS(nrMK_Date,nrMK_Link,$B590,nrMK_Credit,"Yes",nrMK_PID,$E590),"mm/dd")),"OPEN"))</f>
        <v/>
      </c>
      <c r="T590" s="17">
        <f>IF($D590="","",IF($C590="","NO DATE",IF($G590="","NO EVENT TYPE",IF(AND($I590&lt;&gt;"",NOT(ISNUMBER($I590))),"MINUTES NOT A NUMBER",IF(AND($J590&lt;&gt;"",NOT(ISNUMBER($J590))),"SESSIONS NOT A NUMBER",IF(OR(N($I590)&lt;0,N($J590)&lt;0),"NEGATIVE MINUTES/SESSIONS",IF(AND($K590="Yes",N($I590)&gt;0),"MINUTES ON A PT EVENT - not counted (PT counts sessions)",IF(AND($K590="No",N($J590)&gt;0),"SESSIONS ON A CLASSROOM EVENT - not counted (classroom counts minutes)",IF(AND($N590="Yes",$K590="Yes",N($J590)=0),"COUNTED PT EVENT WITH NO SESSIONS - dropped from the PT cap",IF(AND($N590="Yes",$K590="No",N($I590)=0),"COUNTED EVENT WITH NO MINUTES - dropped from the classroom cap","OK"))))))))))</f>
        <v/>
      </c>
    </row>
    <row r="591">
      <c r="B591" s="17">
        <f>IF($D591="","","A"&amp;TEXT(ROW()-5,"000"))</f>
        <v/>
      </c>
      <c r="C591" s="18" t="n"/>
      <c r="D591" s="16" t="n"/>
      <c r="E591" s="17">
        <f>IF($D591="","",IFERROR(INDEX(rngCadetPIDs,MATCH($D591,rngCadetNames,0)),"?"))</f>
        <v/>
      </c>
      <c r="F591" s="17">
        <f>IF($E591="","",IFERROR(INDEX(nrCadetAgency,MATCH($E591,rngCadetPIDs,0)),""))</f>
        <v/>
      </c>
      <c r="G591" s="16" t="n"/>
      <c r="H591" s="16" t="n"/>
      <c r="I591" s="16" t="n"/>
      <c r="J591" s="16" t="n"/>
      <c r="K591" s="17">
        <f>IF($G591="","",IF(OR($G591="PT Missed",$G591="PT Modified",$G591="PT Refused"),"Yes","No"))</f>
        <v/>
      </c>
      <c r="L591" s="16" t="n"/>
      <c r="M591" s="16" t="n"/>
      <c r="N591" s="17">
        <f>IF($D591="","",IF($M591="Excused","No",IF(AND($G591="PT Modified",$L591="Received"),"No","Yes")))</f>
        <v/>
      </c>
      <c r="O591" s="16" t="n"/>
      <c r="P591" s="17">
        <f>IF(OR($B591="",N($I591)=0),"",MIN(N($I591),SUMIFS(nrMK_Min,nrMK_Link,$B591,nrMK_Credit,"Yes",nrMK_PID,$E591,nrMK_Type,"Classroom")))</f>
        <v/>
      </c>
      <c r="Q591" s="17">
        <f>IF(OR($B591="",N($J591)=0),"",MIN(N($J591),SUMIFS(nrMK_Sess,nrMK_Link,$B591,nrMK_Credit,"Yes",nrMK_PID,$E591,nrMK_Type,"PT")))</f>
        <v/>
      </c>
      <c r="R591" s="17">
        <f>IF(OR($B591="",$N591&lt;&gt;"Yes"),"",IF($K591="Yes",IF(N($J591)&gt;0,N($J591)-N($Q591),""),IF(N($I591)&gt;0,N($I591)-N($P591),"")))</f>
        <v/>
      </c>
      <c r="S591" s="17">
        <f>IF(OR($B591="",$R591=""),"",IF($R591&lt;=0,IF(IFERROR(_xlfn.MAXIFS(nrMK_Date,nrMK_Link,$B591,nrMK_Credit,"Yes",nrMK_PID,$E591),0)=0,"CLEARED (makeup date missing)","CLEARED "&amp;TEXT(_xlfn.MAXIFS(nrMK_Date,nrMK_Link,$B591,nrMK_Credit,"Yes",nrMK_PID,$E591),"mm/dd")),"OPEN"))</f>
        <v/>
      </c>
      <c r="T591" s="17">
        <f>IF($D591="","",IF($C591="","NO DATE",IF($G591="","NO EVENT TYPE",IF(AND($I591&lt;&gt;"",NOT(ISNUMBER($I591))),"MINUTES NOT A NUMBER",IF(AND($J591&lt;&gt;"",NOT(ISNUMBER($J591))),"SESSIONS NOT A NUMBER",IF(OR(N($I591)&lt;0,N($J591)&lt;0),"NEGATIVE MINUTES/SESSIONS",IF(AND($K591="Yes",N($I591)&gt;0),"MINUTES ON A PT EVENT - not counted (PT counts sessions)",IF(AND($K591="No",N($J591)&gt;0),"SESSIONS ON A CLASSROOM EVENT - not counted (classroom counts minutes)",IF(AND($N591="Yes",$K591="Yes",N($J591)=0),"COUNTED PT EVENT WITH NO SESSIONS - dropped from the PT cap",IF(AND($N591="Yes",$K591="No",N($I591)=0),"COUNTED EVENT WITH NO MINUTES - dropped from the classroom cap","OK"))))))))))</f>
        <v/>
      </c>
    </row>
    <row r="592">
      <c r="B592" s="17">
        <f>IF($D592="","","A"&amp;TEXT(ROW()-5,"000"))</f>
        <v/>
      </c>
      <c r="C592" s="18" t="n"/>
      <c r="D592" s="16" t="n"/>
      <c r="E592" s="17">
        <f>IF($D592="","",IFERROR(INDEX(rngCadetPIDs,MATCH($D592,rngCadetNames,0)),"?"))</f>
        <v/>
      </c>
      <c r="F592" s="17">
        <f>IF($E592="","",IFERROR(INDEX(nrCadetAgency,MATCH($E592,rngCadetPIDs,0)),""))</f>
        <v/>
      </c>
      <c r="G592" s="16" t="n"/>
      <c r="H592" s="16" t="n"/>
      <c r="I592" s="16" t="n"/>
      <c r="J592" s="16" t="n"/>
      <c r="K592" s="17">
        <f>IF($G592="","",IF(OR($G592="PT Missed",$G592="PT Modified",$G592="PT Refused"),"Yes","No"))</f>
        <v/>
      </c>
      <c r="L592" s="16" t="n"/>
      <c r="M592" s="16" t="n"/>
      <c r="N592" s="17">
        <f>IF($D592="","",IF($M592="Excused","No",IF(AND($G592="PT Modified",$L592="Received"),"No","Yes")))</f>
        <v/>
      </c>
      <c r="O592" s="16" t="n"/>
      <c r="P592" s="17">
        <f>IF(OR($B592="",N($I592)=0),"",MIN(N($I592),SUMIFS(nrMK_Min,nrMK_Link,$B592,nrMK_Credit,"Yes",nrMK_PID,$E592,nrMK_Type,"Classroom")))</f>
        <v/>
      </c>
      <c r="Q592" s="17">
        <f>IF(OR($B592="",N($J592)=0),"",MIN(N($J592),SUMIFS(nrMK_Sess,nrMK_Link,$B592,nrMK_Credit,"Yes",nrMK_PID,$E592,nrMK_Type,"PT")))</f>
        <v/>
      </c>
      <c r="R592" s="17">
        <f>IF(OR($B592="",$N592&lt;&gt;"Yes"),"",IF($K592="Yes",IF(N($J592)&gt;0,N($J592)-N($Q592),""),IF(N($I592)&gt;0,N($I592)-N($P592),"")))</f>
        <v/>
      </c>
      <c r="S592" s="17">
        <f>IF(OR($B592="",$R592=""),"",IF($R592&lt;=0,IF(IFERROR(_xlfn.MAXIFS(nrMK_Date,nrMK_Link,$B592,nrMK_Credit,"Yes",nrMK_PID,$E592),0)=0,"CLEARED (makeup date missing)","CLEARED "&amp;TEXT(_xlfn.MAXIFS(nrMK_Date,nrMK_Link,$B592,nrMK_Credit,"Yes",nrMK_PID,$E592),"mm/dd")),"OPEN"))</f>
        <v/>
      </c>
      <c r="T592" s="17">
        <f>IF($D592="","",IF($C592="","NO DATE",IF($G592="","NO EVENT TYPE",IF(AND($I592&lt;&gt;"",NOT(ISNUMBER($I592))),"MINUTES NOT A NUMBER",IF(AND($J592&lt;&gt;"",NOT(ISNUMBER($J592))),"SESSIONS NOT A NUMBER",IF(OR(N($I592)&lt;0,N($J592)&lt;0),"NEGATIVE MINUTES/SESSIONS",IF(AND($K592="Yes",N($I592)&gt;0),"MINUTES ON A PT EVENT - not counted (PT counts sessions)",IF(AND($K592="No",N($J592)&gt;0),"SESSIONS ON A CLASSROOM EVENT - not counted (classroom counts minutes)",IF(AND($N592="Yes",$K592="Yes",N($J592)=0),"COUNTED PT EVENT WITH NO SESSIONS - dropped from the PT cap",IF(AND($N592="Yes",$K592="No",N($I592)=0),"COUNTED EVENT WITH NO MINUTES - dropped from the classroom cap","OK"))))))))))</f>
        <v/>
      </c>
    </row>
    <row r="593">
      <c r="B593" s="17">
        <f>IF($D593="","","A"&amp;TEXT(ROW()-5,"000"))</f>
        <v/>
      </c>
      <c r="C593" s="18" t="n"/>
      <c r="D593" s="16" t="n"/>
      <c r="E593" s="17">
        <f>IF($D593="","",IFERROR(INDEX(rngCadetPIDs,MATCH($D593,rngCadetNames,0)),"?"))</f>
        <v/>
      </c>
      <c r="F593" s="17">
        <f>IF($E593="","",IFERROR(INDEX(nrCadetAgency,MATCH($E593,rngCadetPIDs,0)),""))</f>
        <v/>
      </c>
      <c r="G593" s="16" t="n"/>
      <c r="H593" s="16" t="n"/>
      <c r="I593" s="16" t="n"/>
      <c r="J593" s="16" t="n"/>
      <c r="K593" s="17">
        <f>IF($G593="","",IF(OR($G593="PT Missed",$G593="PT Modified",$G593="PT Refused"),"Yes","No"))</f>
        <v/>
      </c>
      <c r="L593" s="16" t="n"/>
      <c r="M593" s="16" t="n"/>
      <c r="N593" s="17">
        <f>IF($D593="","",IF($M593="Excused","No",IF(AND($G593="PT Modified",$L593="Received"),"No","Yes")))</f>
        <v/>
      </c>
      <c r="O593" s="16" t="n"/>
      <c r="P593" s="17">
        <f>IF(OR($B593="",N($I593)=0),"",MIN(N($I593),SUMIFS(nrMK_Min,nrMK_Link,$B593,nrMK_Credit,"Yes",nrMK_PID,$E593,nrMK_Type,"Classroom")))</f>
        <v/>
      </c>
      <c r="Q593" s="17">
        <f>IF(OR($B593="",N($J593)=0),"",MIN(N($J593),SUMIFS(nrMK_Sess,nrMK_Link,$B593,nrMK_Credit,"Yes",nrMK_PID,$E593,nrMK_Type,"PT")))</f>
        <v/>
      </c>
      <c r="R593" s="17">
        <f>IF(OR($B593="",$N593&lt;&gt;"Yes"),"",IF($K593="Yes",IF(N($J593)&gt;0,N($J593)-N($Q593),""),IF(N($I593)&gt;0,N($I593)-N($P593),"")))</f>
        <v/>
      </c>
      <c r="S593" s="17">
        <f>IF(OR($B593="",$R593=""),"",IF($R593&lt;=0,IF(IFERROR(_xlfn.MAXIFS(nrMK_Date,nrMK_Link,$B593,nrMK_Credit,"Yes",nrMK_PID,$E593),0)=0,"CLEARED (makeup date missing)","CLEARED "&amp;TEXT(_xlfn.MAXIFS(nrMK_Date,nrMK_Link,$B593,nrMK_Credit,"Yes",nrMK_PID,$E593),"mm/dd")),"OPEN"))</f>
        <v/>
      </c>
      <c r="T593" s="17">
        <f>IF($D593="","",IF($C593="","NO DATE",IF($G593="","NO EVENT TYPE",IF(AND($I593&lt;&gt;"",NOT(ISNUMBER($I593))),"MINUTES NOT A NUMBER",IF(AND($J593&lt;&gt;"",NOT(ISNUMBER($J593))),"SESSIONS NOT A NUMBER",IF(OR(N($I593)&lt;0,N($J593)&lt;0),"NEGATIVE MINUTES/SESSIONS",IF(AND($K593="Yes",N($I593)&gt;0),"MINUTES ON A PT EVENT - not counted (PT counts sessions)",IF(AND($K593="No",N($J593)&gt;0),"SESSIONS ON A CLASSROOM EVENT - not counted (classroom counts minutes)",IF(AND($N593="Yes",$K593="Yes",N($J593)=0),"COUNTED PT EVENT WITH NO SESSIONS - dropped from the PT cap",IF(AND($N593="Yes",$K593="No",N($I593)=0),"COUNTED EVENT WITH NO MINUTES - dropped from the classroom cap","OK"))))))))))</f>
        <v/>
      </c>
    </row>
    <row r="594">
      <c r="B594" s="17">
        <f>IF($D594="","","A"&amp;TEXT(ROW()-5,"000"))</f>
        <v/>
      </c>
      <c r="C594" s="18" t="n"/>
      <c r="D594" s="16" t="n"/>
      <c r="E594" s="17">
        <f>IF($D594="","",IFERROR(INDEX(rngCadetPIDs,MATCH($D594,rngCadetNames,0)),"?"))</f>
        <v/>
      </c>
      <c r="F594" s="17">
        <f>IF($E594="","",IFERROR(INDEX(nrCadetAgency,MATCH($E594,rngCadetPIDs,0)),""))</f>
        <v/>
      </c>
      <c r="G594" s="16" t="n"/>
      <c r="H594" s="16" t="n"/>
      <c r="I594" s="16" t="n"/>
      <c r="J594" s="16" t="n"/>
      <c r="K594" s="17">
        <f>IF($G594="","",IF(OR($G594="PT Missed",$G594="PT Modified",$G594="PT Refused"),"Yes","No"))</f>
        <v/>
      </c>
      <c r="L594" s="16" t="n"/>
      <c r="M594" s="16" t="n"/>
      <c r="N594" s="17">
        <f>IF($D594="","",IF($M594="Excused","No",IF(AND($G594="PT Modified",$L594="Received"),"No","Yes")))</f>
        <v/>
      </c>
      <c r="O594" s="16" t="n"/>
      <c r="P594" s="17">
        <f>IF(OR($B594="",N($I594)=0),"",MIN(N($I594),SUMIFS(nrMK_Min,nrMK_Link,$B594,nrMK_Credit,"Yes",nrMK_PID,$E594,nrMK_Type,"Classroom")))</f>
        <v/>
      </c>
      <c r="Q594" s="17">
        <f>IF(OR($B594="",N($J594)=0),"",MIN(N($J594),SUMIFS(nrMK_Sess,nrMK_Link,$B594,nrMK_Credit,"Yes",nrMK_PID,$E594,nrMK_Type,"PT")))</f>
        <v/>
      </c>
      <c r="R594" s="17">
        <f>IF(OR($B594="",$N594&lt;&gt;"Yes"),"",IF($K594="Yes",IF(N($J594)&gt;0,N($J594)-N($Q594),""),IF(N($I594)&gt;0,N($I594)-N($P594),"")))</f>
        <v/>
      </c>
      <c r="S594" s="17">
        <f>IF(OR($B594="",$R594=""),"",IF($R594&lt;=0,IF(IFERROR(_xlfn.MAXIFS(nrMK_Date,nrMK_Link,$B594,nrMK_Credit,"Yes",nrMK_PID,$E594),0)=0,"CLEARED (makeup date missing)","CLEARED "&amp;TEXT(_xlfn.MAXIFS(nrMK_Date,nrMK_Link,$B594,nrMK_Credit,"Yes",nrMK_PID,$E594),"mm/dd")),"OPEN"))</f>
        <v/>
      </c>
      <c r="T594" s="17">
        <f>IF($D594="","",IF($C594="","NO DATE",IF($G594="","NO EVENT TYPE",IF(AND($I594&lt;&gt;"",NOT(ISNUMBER($I594))),"MINUTES NOT A NUMBER",IF(AND($J594&lt;&gt;"",NOT(ISNUMBER($J594))),"SESSIONS NOT A NUMBER",IF(OR(N($I594)&lt;0,N($J594)&lt;0),"NEGATIVE MINUTES/SESSIONS",IF(AND($K594="Yes",N($I594)&gt;0),"MINUTES ON A PT EVENT - not counted (PT counts sessions)",IF(AND($K594="No",N($J594)&gt;0),"SESSIONS ON A CLASSROOM EVENT - not counted (classroom counts minutes)",IF(AND($N594="Yes",$K594="Yes",N($J594)=0),"COUNTED PT EVENT WITH NO SESSIONS - dropped from the PT cap",IF(AND($N594="Yes",$K594="No",N($I594)=0),"COUNTED EVENT WITH NO MINUTES - dropped from the classroom cap","OK"))))))))))</f>
        <v/>
      </c>
    </row>
    <row r="595">
      <c r="B595" s="17">
        <f>IF($D595="","","A"&amp;TEXT(ROW()-5,"000"))</f>
        <v/>
      </c>
      <c r="C595" s="18" t="n"/>
      <c r="D595" s="16" t="n"/>
      <c r="E595" s="17">
        <f>IF($D595="","",IFERROR(INDEX(rngCadetPIDs,MATCH($D595,rngCadetNames,0)),"?"))</f>
        <v/>
      </c>
      <c r="F595" s="17">
        <f>IF($E595="","",IFERROR(INDEX(nrCadetAgency,MATCH($E595,rngCadetPIDs,0)),""))</f>
        <v/>
      </c>
      <c r="G595" s="16" t="n"/>
      <c r="H595" s="16" t="n"/>
      <c r="I595" s="16" t="n"/>
      <c r="J595" s="16" t="n"/>
      <c r="K595" s="17">
        <f>IF($G595="","",IF(OR($G595="PT Missed",$G595="PT Modified",$G595="PT Refused"),"Yes","No"))</f>
        <v/>
      </c>
      <c r="L595" s="16" t="n"/>
      <c r="M595" s="16" t="n"/>
      <c r="N595" s="17">
        <f>IF($D595="","",IF($M595="Excused","No",IF(AND($G595="PT Modified",$L595="Received"),"No","Yes")))</f>
        <v/>
      </c>
      <c r="O595" s="16" t="n"/>
      <c r="P595" s="17">
        <f>IF(OR($B595="",N($I595)=0),"",MIN(N($I595),SUMIFS(nrMK_Min,nrMK_Link,$B595,nrMK_Credit,"Yes",nrMK_PID,$E595,nrMK_Type,"Classroom")))</f>
        <v/>
      </c>
      <c r="Q595" s="17">
        <f>IF(OR($B595="",N($J595)=0),"",MIN(N($J595),SUMIFS(nrMK_Sess,nrMK_Link,$B595,nrMK_Credit,"Yes",nrMK_PID,$E595,nrMK_Type,"PT")))</f>
        <v/>
      </c>
      <c r="R595" s="17">
        <f>IF(OR($B595="",$N595&lt;&gt;"Yes"),"",IF($K595="Yes",IF(N($J595)&gt;0,N($J595)-N($Q595),""),IF(N($I595)&gt;0,N($I595)-N($P595),"")))</f>
        <v/>
      </c>
      <c r="S595" s="17">
        <f>IF(OR($B595="",$R595=""),"",IF($R595&lt;=0,IF(IFERROR(_xlfn.MAXIFS(nrMK_Date,nrMK_Link,$B595,nrMK_Credit,"Yes",nrMK_PID,$E595),0)=0,"CLEARED (makeup date missing)","CLEARED "&amp;TEXT(_xlfn.MAXIFS(nrMK_Date,nrMK_Link,$B595,nrMK_Credit,"Yes",nrMK_PID,$E595),"mm/dd")),"OPEN"))</f>
        <v/>
      </c>
      <c r="T595" s="17">
        <f>IF($D595="","",IF($C595="","NO DATE",IF($G595="","NO EVENT TYPE",IF(AND($I595&lt;&gt;"",NOT(ISNUMBER($I595))),"MINUTES NOT A NUMBER",IF(AND($J595&lt;&gt;"",NOT(ISNUMBER($J595))),"SESSIONS NOT A NUMBER",IF(OR(N($I595)&lt;0,N($J595)&lt;0),"NEGATIVE MINUTES/SESSIONS",IF(AND($K595="Yes",N($I595)&gt;0),"MINUTES ON A PT EVENT - not counted (PT counts sessions)",IF(AND($K595="No",N($J595)&gt;0),"SESSIONS ON A CLASSROOM EVENT - not counted (classroom counts minutes)",IF(AND($N595="Yes",$K595="Yes",N($J595)=0),"COUNTED PT EVENT WITH NO SESSIONS - dropped from the PT cap",IF(AND($N595="Yes",$K595="No",N($I595)=0),"COUNTED EVENT WITH NO MINUTES - dropped from the classroom cap","OK"))))))))))</f>
        <v/>
      </c>
    </row>
    <row r="596">
      <c r="B596" s="17">
        <f>IF($D596="","","A"&amp;TEXT(ROW()-5,"000"))</f>
        <v/>
      </c>
      <c r="C596" s="18" t="n"/>
      <c r="D596" s="16" t="n"/>
      <c r="E596" s="17">
        <f>IF($D596="","",IFERROR(INDEX(rngCadetPIDs,MATCH($D596,rngCadetNames,0)),"?"))</f>
        <v/>
      </c>
      <c r="F596" s="17">
        <f>IF($E596="","",IFERROR(INDEX(nrCadetAgency,MATCH($E596,rngCadetPIDs,0)),""))</f>
        <v/>
      </c>
      <c r="G596" s="16" t="n"/>
      <c r="H596" s="16" t="n"/>
      <c r="I596" s="16" t="n"/>
      <c r="J596" s="16" t="n"/>
      <c r="K596" s="17">
        <f>IF($G596="","",IF(OR($G596="PT Missed",$G596="PT Modified",$G596="PT Refused"),"Yes","No"))</f>
        <v/>
      </c>
      <c r="L596" s="16" t="n"/>
      <c r="M596" s="16" t="n"/>
      <c r="N596" s="17">
        <f>IF($D596="","",IF($M596="Excused","No",IF(AND($G596="PT Modified",$L596="Received"),"No","Yes")))</f>
        <v/>
      </c>
      <c r="O596" s="16" t="n"/>
      <c r="P596" s="17">
        <f>IF(OR($B596="",N($I596)=0),"",MIN(N($I596),SUMIFS(nrMK_Min,nrMK_Link,$B596,nrMK_Credit,"Yes",nrMK_PID,$E596,nrMK_Type,"Classroom")))</f>
        <v/>
      </c>
      <c r="Q596" s="17">
        <f>IF(OR($B596="",N($J596)=0),"",MIN(N($J596),SUMIFS(nrMK_Sess,nrMK_Link,$B596,nrMK_Credit,"Yes",nrMK_PID,$E596,nrMK_Type,"PT")))</f>
        <v/>
      </c>
      <c r="R596" s="17">
        <f>IF(OR($B596="",$N596&lt;&gt;"Yes"),"",IF($K596="Yes",IF(N($J596)&gt;0,N($J596)-N($Q596),""),IF(N($I596)&gt;0,N($I596)-N($P596),"")))</f>
        <v/>
      </c>
      <c r="S596" s="17">
        <f>IF(OR($B596="",$R596=""),"",IF($R596&lt;=0,IF(IFERROR(_xlfn.MAXIFS(nrMK_Date,nrMK_Link,$B596,nrMK_Credit,"Yes",nrMK_PID,$E596),0)=0,"CLEARED (makeup date missing)","CLEARED "&amp;TEXT(_xlfn.MAXIFS(nrMK_Date,nrMK_Link,$B596,nrMK_Credit,"Yes",nrMK_PID,$E596),"mm/dd")),"OPEN"))</f>
        <v/>
      </c>
      <c r="T596" s="17">
        <f>IF($D596="","",IF($C596="","NO DATE",IF($G596="","NO EVENT TYPE",IF(AND($I596&lt;&gt;"",NOT(ISNUMBER($I596))),"MINUTES NOT A NUMBER",IF(AND($J596&lt;&gt;"",NOT(ISNUMBER($J596))),"SESSIONS NOT A NUMBER",IF(OR(N($I596)&lt;0,N($J596)&lt;0),"NEGATIVE MINUTES/SESSIONS",IF(AND($K596="Yes",N($I596)&gt;0),"MINUTES ON A PT EVENT - not counted (PT counts sessions)",IF(AND($K596="No",N($J596)&gt;0),"SESSIONS ON A CLASSROOM EVENT - not counted (classroom counts minutes)",IF(AND($N596="Yes",$K596="Yes",N($J596)=0),"COUNTED PT EVENT WITH NO SESSIONS - dropped from the PT cap",IF(AND($N596="Yes",$K596="No",N($I596)=0),"COUNTED EVENT WITH NO MINUTES - dropped from the classroom cap","OK"))))))))))</f>
        <v/>
      </c>
    </row>
    <row r="597">
      <c r="B597" s="17">
        <f>IF($D597="","","A"&amp;TEXT(ROW()-5,"000"))</f>
        <v/>
      </c>
      <c r="C597" s="18" t="n"/>
      <c r="D597" s="16" t="n"/>
      <c r="E597" s="17">
        <f>IF($D597="","",IFERROR(INDEX(rngCadetPIDs,MATCH($D597,rngCadetNames,0)),"?"))</f>
        <v/>
      </c>
      <c r="F597" s="17">
        <f>IF($E597="","",IFERROR(INDEX(nrCadetAgency,MATCH($E597,rngCadetPIDs,0)),""))</f>
        <v/>
      </c>
      <c r="G597" s="16" t="n"/>
      <c r="H597" s="16" t="n"/>
      <c r="I597" s="16" t="n"/>
      <c r="J597" s="16" t="n"/>
      <c r="K597" s="17">
        <f>IF($G597="","",IF(OR($G597="PT Missed",$G597="PT Modified",$G597="PT Refused"),"Yes","No"))</f>
        <v/>
      </c>
      <c r="L597" s="16" t="n"/>
      <c r="M597" s="16" t="n"/>
      <c r="N597" s="17">
        <f>IF($D597="","",IF($M597="Excused","No",IF(AND($G597="PT Modified",$L597="Received"),"No","Yes")))</f>
        <v/>
      </c>
      <c r="O597" s="16" t="n"/>
      <c r="P597" s="17">
        <f>IF(OR($B597="",N($I597)=0),"",MIN(N($I597),SUMIFS(nrMK_Min,nrMK_Link,$B597,nrMK_Credit,"Yes",nrMK_PID,$E597,nrMK_Type,"Classroom")))</f>
        <v/>
      </c>
      <c r="Q597" s="17">
        <f>IF(OR($B597="",N($J597)=0),"",MIN(N($J597),SUMIFS(nrMK_Sess,nrMK_Link,$B597,nrMK_Credit,"Yes",nrMK_PID,$E597,nrMK_Type,"PT")))</f>
        <v/>
      </c>
      <c r="R597" s="17">
        <f>IF(OR($B597="",$N597&lt;&gt;"Yes"),"",IF($K597="Yes",IF(N($J597)&gt;0,N($J597)-N($Q597),""),IF(N($I597)&gt;0,N($I597)-N($P597),"")))</f>
        <v/>
      </c>
      <c r="S597" s="17">
        <f>IF(OR($B597="",$R597=""),"",IF($R597&lt;=0,IF(IFERROR(_xlfn.MAXIFS(nrMK_Date,nrMK_Link,$B597,nrMK_Credit,"Yes",nrMK_PID,$E597),0)=0,"CLEARED (makeup date missing)","CLEARED "&amp;TEXT(_xlfn.MAXIFS(nrMK_Date,nrMK_Link,$B597,nrMK_Credit,"Yes",nrMK_PID,$E597),"mm/dd")),"OPEN"))</f>
        <v/>
      </c>
      <c r="T597" s="17">
        <f>IF($D597="","",IF($C597="","NO DATE",IF($G597="","NO EVENT TYPE",IF(AND($I597&lt;&gt;"",NOT(ISNUMBER($I597))),"MINUTES NOT A NUMBER",IF(AND($J597&lt;&gt;"",NOT(ISNUMBER($J597))),"SESSIONS NOT A NUMBER",IF(OR(N($I597)&lt;0,N($J597)&lt;0),"NEGATIVE MINUTES/SESSIONS",IF(AND($K597="Yes",N($I597)&gt;0),"MINUTES ON A PT EVENT - not counted (PT counts sessions)",IF(AND($K597="No",N($J597)&gt;0),"SESSIONS ON A CLASSROOM EVENT - not counted (classroom counts minutes)",IF(AND($N597="Yes",$K597="Yes",N($J597)=0),"COUNTED PT EVENT WITH NO SESSIONS - dropped from the PT cap",IF(AND($N597="Yes",$K597="No",N($I597)=0),"COUNTED EVENT WITH NO MINUTES - dropped from the classroom cap","OK"))))))))))</f>
        <v/>
      </c>
    </row>
    <row r="598">
      <c r="B598" s="17">
        <f>IF($D598="","","A"&amp;TEXT(ROW()-5,"000"))</f>
        <v/>
      </c>
      <c r="C598" s="18" t="n"/>
      <c r="D598" s="16" t="n"/>
      <c r="E598" s="17">
        <f>IF($D598="","",IFERROR(INDEX(rngCadetPIDs,MATCH($D598,rngCadetNames,0)),"?"))</f>
        <v/>
      </c>
      <c r="F598" s="17">
        <f>IF($E598="","",IFERROR(INDEX(nrCadetAgency,MATCH($E598,rngCadetPIDs,0)),""))</f>
        <v/>
      </c>
      <c r="G598" s="16" t="n"/>
      <c r="H598" s="16" t="n"/>
      <c r="I598" s="16" t="n"/>
      <c r="J598" s="16" t="n"/>
      <c r="K598" s="17">
        <f>IF($G598="","",IF(OR($G598="PT Missed",$G598="PT Modified",$G598="PT Refused"),"Yes","No"))</f>
        <v/>
      </c>
      <c r="L598" s="16" t="n"/>
      <c r="M598" s="16" t="n"/>
      <c r="N598" s="17">
        <f>IF($D598="","",IF($M598="Excused","No",IF(AND($G598="PT Modified",$L598="Received"),"No","Yes")))</f>
        <v/>
      </c>
      <c r="O598" s="16" t="n"/>
      <c r="P598" s="17">
        <f>IF(OR($B598="",N($I598)=0),"",MIN(N($I598),SUMIFS(nrMK_Min,nrMK_Link,$B598,nrMK_Credit,"Yes",nrMK_PID,$E598,nrMK_Type,"Classroom")))</f>
        <v/>
      </c>
      <c r="Q598" s="17">
        <f>IF(OR($B598="",N($J598)=0),"",MIN(N($J598),SUMIFS(nrMK_Sess,nrMK_Link,$B598,nrMK_Credit,"Yes",nrMK_PID,$E598,nrMK_Type,"PT")))</f>
        <v/>
      </c>
      <c r="R598" s="17">
        <f>IF(OR($B598="",$N598&lt;&gt;"Yes"),"",IF($K598="Yes",IF(N($J598)&gt;0,N($J598)-N($Q598),""),IF(N($I598)&gt;0,N($I598)-N($P598),"")))</f>
        <v/>
      </c>
      <c r="S598" s="17">
        <f>IF(OR($B598="",$R598=""),"",IF($R598&lt;=0,IF(IFERROR(_xlfn.MAXIFS(nrMK_Date,nrMK_Link,$B598,nrMK_Credit,"Yes",nrMK_PID,$E598),0)=0,"CLEARED (makeup date missing)","CLEARED "&amp;TEXT(_xlfn.MAXIFS(nrMK_Date,nrMK_Link,$B598,nrMK_Credit,"Yes",nrMK_PID,$E598),"mm/dd")),"OPEN"))</f>
        <v/>
      </c>
      <c r="T598" s="17">
        <f>IF($D598="","",IF($C598="","NO DATE",IF($G598="","NO EVENT TYPE",IF(AND($I598&lt;&gt;"",NOT(ISNUMBER($I598))),"MINUTES NOT A NUMBER",IF(AND($J598&lt;&gt;"",NOT(ISNUMBER($J598))),"SESSIONS NOT A NUMBER",IF(OR(N($I598)&lt;0,N($J598)&lt;0),"NEGATIVE MINUTES/SESSIONS",IF(AND($K598="Yes",N($I598)&gt;0),"MINUTES ON A PT EVENT - not counted (PT counts sessions)",IF(AND($K598="No",N($J598)&gt;0),"SESSIONS ON A CLASSROOM EVENT - not counted (classroom counts minutes)",IF(AND($N598="Yes",$K598="Yes",N($J598)=0),"COUNTED PT EVENT WITH NO SESSIONS - dropped from the PT cap",IF(AND($N598="Yes",$K598="No",N($I598)=0),"COUNTED EVENT WITH NO MINUTES - dropped from the classroom cap","OK"))))))))))</f>
        <v/>
      </c>
    </row>
    <row r="599">
      <c r="B599" s="17">
        <f>IF($D599="","","A"&amp;TEXT(ROW()-5,"000"))</f>
        <v/>
      </c>
      <c r="C599" s="18" t="n"/>
      <c r="D599" s="16" t="n"/>
      <c r="E599" s="17">
        <f>IF($D599="","",IFERROR(INDEX(rngCadetPIDs,MATCH($D599,rngCadetNames,0)),"?"))</f>
        <v/>
      </c>
      <c r="F599" s="17">
        <f>IF($E599="","",IFERROR(INDEX(nrCadetAgency,MATCH($E599,rngCadetPIDs,0)),""))</f>
        <v/>
      </c>
      <c r="G599" s="16" t="n"/>
      <c r="H599" s="16" t="n"/>
      <c r="I599" s="16" t="n"/>
      <c r="J599" s="16" t="n"/>
      <c r="K599" s="17">
        <f>IF($G599="","",IF(OR($G599="PT Missed",$G599="PT Modified",$G599="PT Refused"),"Yes","No"))</f>
        <v/>
      </c>
      <c r="L599" s="16" t="n"/>
      <c r="M599" s="16" t="n"/>
      <c r="N599" s="17">
        <f>IF($D599="","",IF($M599="Excused","No",IF(AND($G599="PT Modified",$L599="Received"),"No","Yes")))</f>
        <v/>
      </c>
      <c r="O599" s="16" t="n"/>
      <c r="P599" s="17">
        <f>IF(OR($B599="",N($I599)=0),"",MIN(N($I599),SUMIFS(nrMK_Min,nrMK_Link,$B599,nrMK_Credit,"Yes",nrMK_PID,$E599,nrMK_Type,"Classroom")))</f>
        <v/>
      </c>
      <c r="Q599" s="17">
        <f>IF(OR($B599="",N($J599)=0),"",MIN(N($J599),SUMIFS(nrMK_Sess,nrMK_Link,$B599,nrMK_Credit,"Yes",nrMK_PID,$E599,nrMK_Type,"PT")))</f>
        <v/>
      </c>
      <c r="R599" s="17">
        <f>IF(OR($B599="",$N599&lt;&gt;"Yes"),"",IF($K599="Yes",IF(N($J599)&gt;0,N($J599)-N($Q599),""),IF(N($I599)&gt;0,N($I599)-N($P599),"")))</f>
        <v/>
      </c>
      <c r="S599" s="17">
        <f>IF(OR($B599="",$R599=""),"",IF($R599&lt;=0,IF(IFERROR(_xlfn.MAXIFS(nrMK_Date,nrMK_Link,$B599,nrMK_Credit,"Yes",nrMK_PID,$E599),0)=0,"CLEARED (makeup date missing)","CLEARED "&amp;TEXT(_xlfn.MAXIFS(nrMK_Date,nrMK_Link,$B599,nrMK_Credit,"Yes",nrMK_PID,$E599),"mm/dd")),"OPEN"))</f>
        <v/>
      </c>
      <c r="T599" s="17">
        <f>IF($D599="","",IF($C599="","NO DATE",IF($G599="","NO EVENT TYPE",IF(AND($I599&lt;&gt;"",NOT(ISNUMBER($I599))),"MINUTES NOT A NUMBER",IF(AND($J599&lt;&gt;"",NOT(ISNUMBER($J599))),"SESSIONS NOT A NUMBER",IF(OR(N($I599)&lt;0,N($J599)&lt;0),"NEGATIVE MINUTES/SESSIONS",IF(AND($K599="Yes",N($I599)&gt;0),"MINUTES ON A PT EVENT - not counted (PT counts sessions)",IF(AND($K599="No",N($J599)&gt;0),"SESSIONS ON A CLASSROOM EVENT - not counted (classroom counts minutes)",IF(AND($N599="Yes",$K599="Yes",N($J599)=0),"COUNTED PT EVENT WITH NO SESSIONS - dropped from the PT cap",IF(AND($N599="Yes",$K599="No",N($I599)=0),"COUNTED EVENT WITH NO MINUTES - dropped from the classroom cap","OK"))))))))))</f>
        <v/>
      </c>
    </row>
    <row r="600">
      <c r="B600" s="17">
        <f>IF($D600="","","A"&amp;TEXT(ROW()-5,"000"))</f>
        <v/>
      </c>
      <c r="C600" s="18" t="n"/>
      <c r="D600" s="16" t="n"/>
      <c r="E600" s="17">
        <f>IF($D600="","",IFERROR(INDEX(rngCadetPIDs,MATCH($D600,rngCadetNames,0)),"?"))</f>
        <v/>
      </c>
      <c r="F600" s="17">
        <f>IF($E600="","",IFERROR(INDEX(nrCadetAgency,MATCH($E600,rngCadetPIDs,0)),""))</f>
        <v/>
      </c>
      <c r="G600" s="16" t="n"/>
      <c r="H600" s="16" t="n"/>
      <c r="I600" s="16" t="n"/>
      <c r="J600" s="16" t="n"/>
      <c r="K600" s="17">
        <f>IF($G600="","",IF(OR($G600="PT Missed",$G600="PT Modified",$G600="PT Refused"),"Yes","No"))</f>
        <v/>
      </c>
      <c r="L600" s="16" t="n"/>
      <c r="M600" s="16" t="n"/>
      <c r="N600" s="17">
        <f>IF($D600="","",IF($M600="Excused","No",IF(AND($G600="PT Modified",$L600="Received"),"No","Yes")))</f>
        <v/>
      </c>
      <c r="O600" s="16" t="n"/>
      <c r="P600" s="17">
        <f>IF(OR($B600="",N($I600)=0),"",MIN(N($I600),SUMIFS(nrMK_Min,nrMK_Link,$B600,nrMK_Credit,"Yes",nrMK_PID,$E600,nrMK_Type,"Classroom")))</f>
        <v/>
      </c>
      <c r="Q600" s="17">
        <f>IF(OR($B600="",N($J600)=0),"",MIN(N($J600),SUMIFS(nrMK_Sess,nrMK_Link,$B600,nrMK_Credit,"Yes",nrMK_PID,$E600,nrMK_Type,"PT")))</f>
        <v/>
      </c>
      <c r="R600" s="17">
        <f>IF(OR($B600="",$N600&lt;&gt;"Yes"),"",IF($K600="Yes",IF(N($J600)&gt;0,N($J600)-N($Q600),""),IF(N($I600)&gt;0,N($I600)-N($P600),"")))</f>
        <v/>
      </c>
      <c r="S600" s="17">
        <f>IF(OR($B600="",$R600=""),"",IF($R600&lt;=0,IF(IFERROR(_xlfn.MAXIFS(nrMK_Date,nrMK_Link,$B600,nrMK_Credit,"Yes",nrMK_PID,$E600),0)=0,"CLEARED (makeup date missing)","CLEARED "&amp;TEXT(_xlfn.MAXIFS(nrMK_Date,nrMK_Link,$B600,nrMK_Credit,"Yes",nrMK_PID,$E600),"mm/dd")),"OPEN"))</f>
        <v/>
      </c>
      <c r="T600" s="17">
        <f>IF($D600="","",IF($C600="","NO DATE",IF($G600="","NO EVENT TYPE",IF(AND($I600&lt;&gt;"",NOT(ISNUMBER($I600))),"MINUTES NOT A NUMBER",IF(AND($J600&lt;&gt;"",NOT(ISNUMBER($J600))),"SESSIONS NOT A NUMBER",IF(OR(N($I600)&lt;0,N($J600)&lt;0),"NEGATIVE MINUTES/SESSIONS",IF(AND($K600="Yes",N($I600)&gt;0),"MINUTES ON A PT EVENT - not counted (PT counts sessions)",IF(AND($K600="No",N($J600)&gt;0),"SESSIONS ON A CLASSROOM EVENT - not counted (classroom counts minutes)",IF(AND($N600="Yes",$K600="Yes",N($J600)=0),"COUNTED PT EVENT WITH NO SESSIONS - dropped from the PT cap",IF(AND($N600="Yes",$K600="No",N($I600)=0),"COUNTED EVENT WITH NO MINUTES - dropped from the classroom cap","OK"))))))))))</f>
        <v/>
      </c>
    </row>
    <row r="601">
      <c r="B601" s="17">
        <f>IF($D601="","","A"&amp;TEXT(ROW()-5,"000"))</f>
        <v/>
      </c>
      <c r="C601" s="18" t="n"/>
      <c r="D601" s="16" t="n"/>
      <c r="E601" s="17">
        <f>IF($D601="","",IFERROR(INDEX(rngCadetPIDs,MATCH($D601,rngCadetNames,0)),"?"))</f>
        <v/>
      </c>
      <c r="F601" s="17">
        <f>IF($E601="","",IFERROR(INDEX(nrCadetAgency,MATCH($E601,rngCadetPIDs,0)),""))</f>
        <v/>
      </c>
      <c r="G601" s="16" t="n"/>
      <c r="H601" s="16" t="n"/>
      <c r="I601" s="16" t="n"/>
      <c r="J601" s="16" t="n"/>
      <c r="K601" s="17">
        <f>IF($G601="","",IF(OR($G601="PT Missed",$G601="PT Modified",$G601="PT Refused"),"Yes","No"))</f>
        <v/>
      </c>
      <c r="L601" s="16" t="n"/>
      <c r="M601" s="16" t="n"/>
      <c r="N601" s="17">
        <f>IF($D601="","",IF($M601="Excused","No",IF(AND($G601="PT Modified",$L601="Received"),"No","Yes")))</f>
        <v/>
      </c>
      <c r="O601" s="16" t="n"/>
      <c r="P601" s="17">
        <f>IF(OR($B601="",N($I601)=0),"",MIN(N($I601),SUMIFS(nrMK_Min,nrMK_Link,$B601,nrMK_Credit,"Yes",nrMK_PID,$E601,nrMK_Type,"Classroom")))</f>
        <v/>
      </c>
      <c r="Q601" s="17">
        <f>IF(OR($B601="",N($J601)=0),"",MIN(N($J601),SUMIFS(nrMK_Sess,nrMK_Link,$B601,nrMK_Credit,"Yes",nrMK_PID,$E601,nrMK_Type,"PT")))</f>
        <v/>
      </c>
      <c r="R601" s="17">
        <f>IF(OR($B601="",$N601&lt;&gt;"Yes"),"",IF($K601="Yes",IF(N($J601)&gt;0,N($J601)-N($Q601),""),IF(N($I601)&gt;0,N($I601)-N($P601),"")))</f>
        <v/>
      </c>
      <c r="S601" s="17">
        <f>IF(OR($B601="",$R601=""),"",IF($R601&lt;=0,IF(IFERROR(_xlfn.MAXIFS(nrMK_Date,nrMK_Link,$B601,nrMK_Credit,"Yes",nrMK_PID,$E601),0)=0,"CLEARED (makeup date missing)","CLEARED "&amp;TEXT(_xlfn.MAXIFS(nrMK_Date,nrMK_Link,$B601,nrMK_Credit,"Yes",nrMK_PID,$E601),"mm/dd")),"OPEN"))</f>
        <v/>
      </c>
      <c r="T601" s="17">
        <f>IF($D601="","",IF($C601="","NO DATE",IF($G601="","NO EVENT TYPE",IF(AND($I601&lt;&gt;"",NOT(ISNUMBER($I601))),"MINUTES NOT A NUMBER",IF(AND($J601&lt;&gt;"",NOT(ISNUMBER($J601))),"SESSIONS NOT A NUMBER",IF(OR(N($I601)&lt;0,N($J601)&lt;0),"NEGATIVE MINUTES/SESSIONS",IF(AND($K601="Yes",N($I601)&gt;0),"MINUTES ON A PT EVENT - not counted (PT counts sessions)",IF(AND($K601="No",N($J601)&gt;0),"SESSIONS ON A CLASSROOM EVENT - not counted (classroom counts minutes)",IF(AND($N601="Yes",$K601="Yes",N($J601)=0),"COUNTED PT EVENT WITH NO SESSIONS - dropped from the PT cap",IF(AND($N601="Yes",$K601="No",N($I601)=0),"COUNTED EVENT WITH NO MINUTES - dropped from the classroom cap","OK"))))))))))</f>
        <v/>
      </c>
    </row>
    <row r="602">
      <c r="B602" s="17">
        <f>IF($D602="","","A"&amp;TEXT(ROW()-5,"000"))</f>
        <v/>
      </c>
      <c r="C602" s="18" t="n"/>
      <c r="D602" s="16" t="n"/>
      <c r="E602" s="17">
        <f>IF($D602="","",IFERROR(INDEX(rngCadetPIDs,MATCH($D602,rngCadetNames,0)),"?"))</f>
        <v/>
      </c>
      <c r="F602" s="17">
        <f>IF($E602="","",IFERROR(INDEX(nrCadetAgency,MATCH($E602,rngCadetPIDs,0)),""))</f>
        <v/>
      </c>
      <c r="G602" s="16" t="n"/>
      <c r="H602" s="16" t="n"/>
      <c r="I602" s="16" t="n"/>
      <c r="J602" s="16" t="n"/>
      <c r="K602" s="17">
        <f>IF($G602="","",IF(OR($G602="PT Missed",$G602="PT Modified",$G602="PT Refused"),"Yes","No"))</f>
        <v/>
      </c>
      <c r="L602" s="16" t="n"/>
      <c r="M602" s="16" t="n"/>
      <c r="N602" s="17">
        <f>IF($D602="","",IF($M602="Excused","No",IF(AND($G602="PT Modified",$L602="Received"),"No","Yes")))</f>
        <v/>
      </c>
      <c r="O602" s="16" t="n"/>
      <c r="P602" s="17">
        <f>IF(OR($B602="",N($I602)=0),"",MIN(N($I602),SUMIFS(nrMK_Min,nrMK_Link,$B602,nrMK_Credit,"Yes",nrMK_PID,$E602,nrMK_Type,"Classroom")))</f>
        <v/>
      </c>
      <c r="Q602" s="17">
        <f>IF(OR($B602="",N($J602)=0),"",MIN(N($J602),SUMIFS(nrMK_Sess,nrMK_Link,$B602,nrMK_Credit,"Yes",nrMK_PID,$E602,nrMK_Type,"PT")))</f>
        <v/>
      </c>
      <c r="R602" s="17">
        <f>IF(OR($B602="",$N602&lt;&gt;"Yes"),"",IF($K602="Yes",IF(N($J602)&gt;0,N($J602)-N($Q602),""),IF(N($I602)&gt;0,N($I602)-N($P602),"")))</f>
        <v/>
      </c>
      <c r="S602" s="17">
        <f>IF(OR($B602="",$R602=""),"",IF($R602&lt;=0,IF(IFERROR(_xlfn.MAXIFS(nrMK_Date,nrMK_Link,$B602,nrMK_Credit,"Yes",nrMK_PID,$E602),0)=0,"CLEARED (makeup date missing)","CLEARED "&amp;TEXT(_xlfn.MAXIFS(nrMK_Date,nrMK_Link,$B602,nrMK_Credit,"Yes",nrMK_PID,$E602),"mm/dd")),"OPEN"))</f>
        <v/>
      </c>
      <c r="T602" s="17">
        <f>IF($D602="","",IF($C602="","NO DATE",IF($G602="","NO EVENT TYPE",IF(AND($I602&lt;&gt;"",NOT(ISNUMBER($I602))),"MINUTES NOT A NUMBER",IF(AND($J602&lt;&gt;"",NOT(ISNUMBER($J602))),"SESSIONS NOT A NUMBER",IF(OR(N($I602)&lt;0,N($J602)&lt;0),"NEGATIVE MINUTES/SESSIONS",IF(AND($K602="Yes",N($I602)&gt;0),"MINUTES ON A PT EVENT - not counted (PT counts sessions)",IF(AND($K602="No",N($J602)&gt;0),"SESSIONS ON A CLASSROOM EVENT - not counted (classroom counts minutes)",IF(AND($N602="Yes",$K602="Yes",N($J602)=0),"COUNTED PT EVENT WITH NO SESSIONS - dropped from the PT cap",IF(AND($N602="Yes",$K602="No",N($I602)=0),"COUNTED EVENT WITH NO MINUTES - dropped from the classroom cap","OK"))))))))))</f>
        <v/>
      </c>
    </row>
    <row r="603">
      <c r="B603" s="17">
        <f>IF($D603="","","A"&amp;TEXT(ROW()-5,"000"))</f>
        <v/>
      </c>
      <c r="C603" s="18" t="n"/>
      <c r="D603" s="16" t="n"/>
      <c r="E603" s="17">
        <f>IF($D603="","",IFERROR(INDEX(rngCadetPIDs,MATCH($D603,rngCadetNames,0)),"?"))</f>
        <v/>
      </c>
      <c r="F603" s="17">
        <f>IF($E603="","",IFERROR(INDEX(nrCadetAgency,MATCH($E603,rngCadetPIDs,0)),""))</f>
        <v/>
      </c>
      <c r="G603" s="16" t="n"/>
      <c r="H603" s="16" t="n"/>
      <c r="I603" s="16" t="n"/>
      <c r="J603" s="16" t="n"/>
      <c r="K603" s="17">
        <f>IF($G603="","",IF(OR($G603="PT Missed",$G603="PT Modified",$G603="PT Refused"),"Yes","No"))</f>
        <v/>
      </c>
      <c r="L603" s="16" t="n"/>
      <c r="M603" s="16" t="n"/>
      <c r="N603" s="17">
        <f>IF($D603="","",IF($M603="Excused","No",IF(AND($G603="PT Modified",$L603="Received"),"No","Yes")))</f>
        <v/>
      </c>
      <c r="O603" s="16" t="n"/>
      <c r="P603" s="17">
        <f>IF(OR($B603="",N($I603)=0),"",MIN(N($I603),SUMIFS(nrMK_Min,nrMK_Link,$B603,nrMK_Credit,"Yes",nrMK_PID,$E603,nrMK_Type,"Classroom")))</f>
        <v/>
      </c>
      <c r="Q603" s="17">
        <f>IF(OR($B603="",N($J603)=0),"",MIN(N($J603),SUMIFS(nrMK_Sess,nrMK_Link,$B603,nrMK_Credit,"Yes",nrMK_PID,$E603,nrMK_Type,"PT")))</f>
        <v/>
      </c>
      <c r="R603" s="17">
        <f>IF(OR($B603="",$N603&lt;&gt;"Yes"),"",IF($K603="Yes",IF(N($J603)&gt;0,N($J603)-N($Q603),""),IF(N($I603)&gt;0,N($I603)-N($P603),"")))</f>
        <v/>
      </c>
      <c r="S603" s="17">
        <f>IF(OR($B603="",$R603=""),"",IF($R603&lt;=0,IF(IFERROR(_xlfn.MAXIFS(nrMK_Date,nrMK_Link,$B603,nrMK_Credit,"Yes",nrMK_PID,$E603),0)=0,"CLEARED (makeup date missing)","CLEARED "&amp;TEXT(_xlfn.MAXIFS(nrMK_Date,nrMK_Link,$B603,nrMK_Credit,"Yes",nrMK_PID,$E603),"mm/dd")),"OPEN"))</f>
        <v/>
      </c>
      <c r="T603" s="17">
        <f>IF($D603="","",IF($C603="","NO DATE",IF($G603="","NO EVENT TYPE",IF(AND($I603&lt;&gt;"",NOT(ISNUMBER($I603))),"MINUTES NOT A NUMBER",IF(AND($J603&lt;&gt;"",NOT(ISNUMBER($J603))),"SESSIONS NOT A NUMBER",IF(OR(N($I603)&lt;0,N($J603)&lt;0),"NEGATIVE MINUTES/SESSIONS",IF(AND($K603="Yes",N($I603)&gt;0),"MINUTES ON A PT EVENT - not counted (PT counts sessions)",IF(AND($K603="No",N($J603)&gt;0),"SESSIONS ON A CLASSROOM EVENT - not counted (classroom counts minutes)",IF(AND($N603="Yes",$K603="Yes",N($J603)=0),"COUNTED PT EVENT WITH NO SESSIONS - dropped from the PT cap",IF(AND($N603="Yes",$K603="No",N($I603)=0),"COUNTED EVENT WITH NO MINUTES - dropped from the classroom cap","OK"))))))))))</f>
        <v/>
      </c>
    </row>
    <row r="604">
      <c r="B604" s="17">
        <f>IF($D604="","","A"&amp;TEXT(ROW()-5,"000"))</f>
        <v/>
      </c>
      <c r="C604" s="18" t="n"/>
      <c r="D604" s="16" t="n"/>
      <c r="E604" s="17">
        <f>IF($D604="","",IFERROR(INDEX(rngCadetPIDs,MATCH($D604,rngCadetNames,0)),"?"))</f>
        <v/>
      </c>
      <c r="F604" s="17">
        <f>IF($E604="","",IFERROR(INDEX(nrCadetAgency,MATCH($E604,rngCadetPIDs,0)),""))</f>
        <v/>
      </c>
      <c r="G604" s="16" t="n"/>
      <c r="H604" s="16" t="n"/>
      <c r="I604" s="16" t="n"/>
      <c r="J604" s="16" t="n"/>
      <c r="K604" s="17">
        <f>IF($G604="","",IF(OR($G604="PT Missed",$G604="PT Modified",$G604="PT Refused"),"Yes","No"))</f>
        <v/>
      </c>
      <c r="L604" s="16" t="n"/>
      <c r="M604" s="16" t="n"/>
      <c r="N604" s="17">
        <f>IF($D604="","",IF($M604="Excused","No",IF(AND($G604="PT Modified",$L604="Received"),"No","Yes")))</f>
        <v/>
      </c>
      <c r="O604" s="16" t="n"/>
      <c r="P604" s="17">
        <f>IF(OR($B604="",N($I604)=0),"",MIN(N($I604),SUMIFS(nrMK_Min,nrMK_Link,$B604,nrMK_Credit,"Yes",nrMK_PID,$E604,nrMK_Type,"Classroom")))</f>
        <v/>
      </c>
      <c r="Q604" s="17">
        <f>IF(OR($B604="",N($J604)=0),"",MIN(N($J604),SUMIFS(nrMK_Sess,nrMK_Link,$B604,nrMK_Credit,"Yes",nrMK_PID,$E604,nrMK_Type,"PT")))</f>
        <v/>
      </c>
      <c r="R604" s="17">
        <f>IF(OR($B604="",$N604&lt;&gt;"Yes"),"",IF($K604="Yes",IF(N($J604)&gt;0,N($J604)-N($Q604),""),IF(N($I604)&gt;0,N($I604)-N($P604),"")))</f>
        <v/>
      </c>
      <c r="S604" s="17">
        <f>IF(OR($B604="",$R604=""),"",IF($R604&lt;=0,IF(IFERROR(_xlfn.MAXIFS(nrMK_Date,nrMK_Link,$B604,nrMK_Credit,"Yes",nrMK_PID,$E604),0)=0,"CLEARED (makeup date missing)","CLEARED "&amp;TEXT(_xlfn.MAXIFS(nrMK_Date,nrMK_Link,$B604,nrMK_Credit,"Yes",nrMK_PID,$E604),"mm/dd")),"OPEN"))</f>
        <v/>
      </c>
      <c r="T604" s="17">
        <f>IF($D604="","",IF($C604="","NO DATE",IF($G604="","NO EVENT TYPE",IF(AND($I604&lt;&gt;"",NOT(ISNUMBER($I604))),"MINUTES NOT A NUMBER",IF(AND($J604&lt;&gt;"",NOT(ISNUMBER($J604))),"SESSIONS NOT A NUMBER",IF(OR(N($I604)&lt;0,N($J604)&lt;0),"NEGATIVE MINUTES/SESSIONS",IF(AND($K604="Yes",N($I604)&gt;0),"MINUTES ON A PT EVENT - not counted (PT counts sessions)",IF(AND($K604="No",N($J604)&gt;0),"SESSIONS ON A CLASSROOM EVENT - not counted (classroom counts minutes)",IF(AND($N604="Yes",$K604="Yes",N($J604)=0),"COUNTED PT EVENT WITH NO SESSIONS - dropped from the PT cap",IF(AND($N604="Yes",$K604="No",N($I604)=0),"COUNTED EVENT WITH NO MINUTES - dropped from the classroom cap","OK"))))))))))</f>
        <v/>
      </c>
    </row>
    <row r="605">
      <c r="B605" s="17">
        <f>IF($D605="","","A"&amp;TEXT(ROW()-5,"000"))</f>
        <v/>
      </c>
      <c r="C605" s="18" t="n"/>
      <c r="D605" s="16" t="n"/>
      <c r="E605" s="17">
        <f>IF($D605="","",IFERROR(INDEX(rngCadetPIDs,MATCH($D605,rngCadetNames,0)),"?"))</f>
        <v/>
      </c>
      <c r="F605" s="17">
        <f>IF($E605="","",IFERROR(INDEX(nrCadetAgency,MATCH($E605,rngCadetPIDs,0)),""))</f>
        <v/>
      </c>
      <c r="G605" s="16" t="n"/>
      <c r="H605" s="16" t="n"/>
      <c r="I605" s="16" t="n"/>
      <c r="J605" s="16" t="n"/>
      <c r="K605" s="17">
        <f>IF($G605="","",IF(OR($G605="PT Missed",$G605="PT Modified",$G605="PT Refused"),"Yes","No"))</f>
        <v/>
      </c>
      <c r="L605" s="16" t="n"/>
      <c r="M605" s="16" t="n"/>
      <c r="N605" s="17">
        <f>IF($D605="","",IF($M605="Excused","No",IF(AND($G605="PT Modified",$L605="Received"),"No","Yes")))</f>
        <v/>
      </c>
      <c r="O605" s="16" t="n"/>
      <c r="P605" s="17">
        <f>IF(OR($B605="",N($I605)=0),"",MIN(N($I605),SUMIFS(nrMK_Min,nrMK_Link,$B605,nrMK_Credit,"Yes",nrMK_PID,$E605,nrMK_Type,"Classroom")))</f>
        <v/>
      </c>
      <c r="Q605" s="17">
        <f>IF(OR($B605="",N($J605)=0),"",MIN(N($J605),SUMIFS(nrMK_Sess,nrMK_Link,$B605,nrMK_Credit,"Yes",nrMK_PID,$E605,nrMK_Type,"PT")))</f>
        <v/>
      </c>
      <c r="R605" s="17">
        <f>IF(OR($B605="",$N605&lt;&gt;"Yes"),"",IF($K605="Yes",IF(N($J605)&gt;0,N($J605)-N($Q605),""),IF(N($I605)&gt;0,N($I605)-N($P605),"")))</f>
        <v/>
      </c>
      <c r="S605" s="17">
        <f>IF(OR($B605="",$R605=""),"",IF($R605&lt;=0,IF(IFERROR(_xlfn.MAXIFS(nrMK_Date,nrMK_Link,$B605,nrMK_Credit,"Yes",nrMK_PID,$E605),0)=0,"CLEARED (makeup date missing)","CLEARED "&amp;TEXT(_xlfn.MAXIFS(nrMK_Date,nrMK_Link,$B605,nrMK_Credit,"Yes",nrMK_PID,$E605),"mm/dd")),"OPEN"))</f>
        <v/>
      </c>
      <c r="T605" s="17">
        <f>IF($D605="","",IF($C605="","NO DATE",IF($G605="","NO EVENT TYPE",IF(AND($I605&lt;&gt;"",NOT(ISNUMBER($I605))),"MINUTES NOT A NUMBER",IF(AND($J605&lt;&gt;"",NOT(ISNUMBER($J605))),"SESSIONS NOT A NUMBER",IF(OR(N($I605)&lt;0,N($J605)&lt;0),"NEGATIVE MINUTES/SESSIONS",IF(AND($K605="Yes",N($I605)&gt;0),"MINUTES ON A PT EVENT - not counted (PT counts sessions)",IF(AND($K605="No",N($J605)&gt;0),"SESSIONS ON A CLASSROOM EVENT - not counted (classroom counts minutes)",IF(AND($N605="Yes",$K605="Yes",N($J605)=0),"COUNTED PT EVENT WITH NO SESSIONS - dropped from the PT cap",IF(AND($N605="Yes",$K605="No",N($I605)=0),"COUNTED EVENT WITH NO MINUTES - dropped from the classroom cap","OK"))))))))))</f>
        <v/>
      </c>
    </row>
    <row r="606">
      <c r="B606" s="17">
        <f>IF($D606="","","A"&amp;TEXT(ROW()-5,"000"))</f>
        <v/>
      </c>
      <c r="C606" s="18" t="n"/>
      <c r="D606" s="16" t="n"/>
      <c r="E606" s="17">
        <f>IF($D606="","",IFERROR(INDEX(rngCadetPIDs,MATCH($D606,rngCadetNames,0)),"?"))</f>
        <v/>
      </c>
      <c r="F606" s="17">
        <f>IF($E606="","",IFERROR(INDEX(nrCadetAgency,MATCH($E606,rngCadetPIDs,0)),""))</f>
        <v/>
      </c>
      <c r="G606" s="16" t="n"/>
      <c r="H606" s="16" t="n"/>
      <c r="I606" s="16" t="n"/>
      <c r="J606" s="16" t="n"/>
      <c r="K606" s="17">
        <f>IF($G606="","",IF(OR($G606="PT Missed",$G606="PT Modified",$G606="PT Refused"),"Yes","No"))</f>
        <v/>
      </c>
      <c r="L606" s="16" t="n"/>
      <c r="M606" s="16" t="n"/>
      <c r="N606" s="17">
        <f>IF($D606="","",IF($M606="Excused","No",IF(AND($G606="PT Modified",$L606="Received"),"No","Yes")))</f>
        <v/>
      </c>
      <c r="O606" s="16" t="n"/>
      <c r="P606" s="17">
        <f>IF(OR($B606="",N($I606)=0),"",MIN(N($I606),SUMIFS(nrMK_Min,nrMK_Link,$B606,nrMK_Credit,"Yes",nrMK_PID,$E606,nrMK_Type,"Classroom")))</f>
        <v/>
      </c>
      <c r="Q606" s="17">
        <f>IF(OR($B606="",N($J606)=0),"",MIN(N($J606),SUMIFS(nrMK_Sess,nrMK_Link,$B606,nrMK_Credit,"Yes",nrMK_PID,$E606,nrMK_Type,"PT")))</f>
        <v/>
      </c>
      <c r="R606" s="17">
        <f>IF(OR($B606="",$N606&lt;&gt;"Yes"),"",IF($K606="Yes",IF(N($J606)&gt;0,N($J606)-N($Q606),""),IF(N($I606)&gt;0,N($I606)-N($P606),"")))</f>
        <v/>
      </c>
      <c r="S606" s="17">
        <f>IF(OR($B606="",$R606=""),"",IF($R606&lt;=0,IF(IFERROR(_xlfn.MAXIFS(nrMK_Date,nrMK_Link,$B606,nrMK_Credit,"Yes",nrMK_PID,$E606),0)=0,"CLEARED (makeup date missing)","CLEARED "&amp;TEXT(_xlfn.MAXIFS(nrMK_Date,nrMK_Link,$B606,nrMK_Credit,"Yes",nrMK_PID,$E606),"mm/dd")),"OPEN"))</f>
        <v/>
      </c>
      <c r="T606" s="17">
        <f>IF($D606="","",IF($C606="","NO DATE",IF($G606="","NO EVENT TYPE",IF(AND($I606&lt;&gt;"",NOT(ISNUMBER($I606))),"MINUTES NOT A NUMBER",IF(AND($J606&lt;&gt;"",NOT(ISNUMBER($J606))),"SESSIONS NOT A NUMBER",IF(OR(N($I606)&lt;0,N($J606)&lt;0),"NEGATIVE MINUTES/SESSIONS",IF(AND($K606="Yes",N($I606)&gt;0),"MINUTES ON A PT EVENT - not counted (PT counts sessions)",IF(AND($K606="No",N($J606)&gt;0),"SESSIONS ON A CLASSROOM EVENT - not counted (classroom counts minutes)",IF(AND($N606="Yes",$K606="Yes",N($J606)=0),"COUNTED PT EVENT WITH NO SESSIONS - dropped from the PT cap",IF(AND($N606="Yes",$K606="No",N($I606)=0),"COUNTED EVENT WITH NO MINUTES - dropped from the classroom cap","OK"))))))))))</f>
        <v/>
      </c>
    </row>
    <row r="607">
      <c r="B607" s="17">
        <f>IF($D607="","","A"&amp;TEXT(ROW()-5,"000"))</f>
        <v/>
      </c>
      <c r="C607" s="18" t="n"/>
      <c r="D607" s="16" t="n"/>
      <c r="E607" s="17">
        <f>IF($D607="","",IFERROR(INDEX(rngCadetPIDs,MATCH($D607,rngCadetNames,0)),"?"))</f>
        <v/>
      </c>
      <c r="F607" s="17">
        <f>IF($E607="","",IFERROR(INDEX(nrCadetAgency,MATCH($E607,rngCadetPIDs,0)),""))</f>
        <v/>
      </c>
      <c r="G607" s="16" t="n"/>
      <c r="H607" s="16" t="n"/>
      <c r="I607" s="16" t="n"/>
      <c r="J607" s="16" t="n"/>
      <c r="K607" s="17">
        <f>IF($G607="","",IF(OR($G607="PT Missed",$G607="PT Modified",$G607="PT Refused"),"Yes","No"))</f>
        <v/>
      </c>
      <c r="L607" s="16" t="n"/>
      <c r="M607" s="16" t="n"/>
      <c r="N607" s="17">
        <f>IF($D607="","",IF($M607="Excused","No",IF(AND($G607="PT Modified",$L607="Received"),"No","Yes")))</f>
        <v/>
      </c>
      <c r="O607" s="16" t="n"/>
      <c r="P607" s="17">
        <f>IF(OR($B607="",N($I607)=0),"",MIN(N($I607),SUMIFS(nrMK_Min,nrMK_Link,$B607,nrMK_Credit,"Yes",nrMK_PID,$E607,nrMK_Type,"Classroom")))</f>
        <v/>
      </c>
      <c r="Q607" s="17">
        <f>IF(OR($B607="",N($J607)=0),"",MIN(N($J607),SUMIFS(nrMK_Sess,nrMK_Link,$B607,nrMK_Credit,"Yes",nrMK_PID,$E607,nrMK_Type,"PT")))</f>
        <v/>
      </c>
      <c r="R607" s="17">
        <f>IF(OR($B607="",$N607&lt;&gt;"Yes"),"",IF($K607="Yes",IF(N($J607)&gt;0,N($J607)-N($Q607),""),IF(N($I607)&gt;0,N($I607)-N($P607),"")))</f>
        <v/>
      </c>
      <c r="S607" s="17">
        <f>IF(OR($B607="",$R607=""),"",IF($R607&lt;=0,IF(IFERROR(_xlfn.MAXIFS(nrMK_Date,nrMK_Link,$B607,nrMK_Credit,"Yes",nrMK_PID,$E607),0)=0,"CLEARED (makeup date missing)","CLEARED "&amp;TEXT(_xlfn.MAXIFS(nrMK_Date,nrMK_Link,$B607,nrMK_Credit,"Yes",nrMK_PID,$E607),"mm/dd")),"OPEN"))</f>
        <v/>
      </c>
      <c r="T607" s="17">
        <f>IF($D607="","",IF($C607="","NO DATE",IF($G607="","NO EVENT TYPE",IF(AND($I607&lt;&gt;"",NOT(ISNUMBER($I607))),"MINUTES NOT A NUMBER",IF(AND($J607&lt;&gt;"",NOT(ISNUMBER($J607))),"SESSIONS NOT A NUMBER",IF(OR(N($I607)&lt;0,N($J607)&lt;0),"NEGATIVE MINUTES/SESSIONS",IF(AND($K607="Yes",N($I607)&gt;0),"MINUTES ON A PT EVENT - not counted (PT counts sessions)",IF(AND($K607="No",N($J607)&gt;0),"SESSIONS ON A CLASSROOM EVENT - not counted (classroom counts minutes)",IF(AND($N607="Yes",$K607="Yes",N($J607)=0),"COUNTED PT EVENT WITH NO SESSIONS - dropped from the PT cap",IF(AND($N607="Yes",$K607="No",N($I607)=0),"COUNTED EVENT WITH NO MINUTES - dropped from the classroom cap","OK"))))))))))</f>
        <v/>
      </c>
    </row>
    <row r="608">
      <c r="B608" s="17">
        <f>IF($D608="","","A"&amp;TEXT(ROW()-5,"000"))</f>
        <v/>
      </c>
      <c r="C608" s="18" t="n"/>
      <c r="D608" s="16" t="n"/>
      <c r="E608" s="17">
        <f>IF($D608="","",IFERROR(INDEX(rngCadetPIDs,MATCH($D608,rngCadetNames,0)),"?"))</f>
        <v/>
      </c>
      <c r="F608" s="17">
        <f>IF($E608="","",IFERROR(INDEX(nrCadetAgency,MATCH($E608,rngCadetPIDs,0)),""))</f>
        <v/>
      </c>
      <c r="G608" s="16" t="n"/>
      <c r="H608" s="16" t="n"/>
      <c r="I608" s="16" t="n"/>
      <c r="J608" s="16" t="n"/>
      <c r="K608" s="17">
        <f>IF($G608="","",IF(OR($G608="PT Missed",$G608="PT Modified",$G608="PT Refused"),"Yes","No"))</f>
        <v/>
      </c>
      <c r="L608" s="16" t="n"/>
      <c r="M608" s="16" t="n"/>
      <c r="N608" s="17">
        <f>IF($D608="","",IF($M608="Excused","No",IF(AND($G608="PT Modified",$L608="Received"),"No","Yes")))</f>
        <v/>
      </c>
      <c r="O608" s="16" t="n"/>
      <c r="P608" s="17">
        <f>IF(OR($B608="",N($I608)=0),"",MIN(N($I608),SUMIFS(nrMK_Min,nrMK_Link,$B608,nrMK_Credit,"Yes",nrMK_PID,$E608,nrMK_Type,"Classroom")))</f>
        <v/>
      </c>
      <c r="Q608" s="17">
        <f>IF(OR($B608="",N($J608)=0),"",MIN(N($J608),SUMIFS(nrMK_Sess,nrMK_Link,$B608,nrMK_Credit,"Yes",nrMK_PID,$E608,nrMK_Type,"PT")))</f>
        <v/>
      </c>
      <c r="R608" s="17">
        <f>IF(OR($B608="",$N608&lt;&gt;"Yes"),"",IF($K608="Yes",IF(N($J608)&gt;0,N($J608)-N($Q608),""),IF(N($I608)&gt;0,N($I608)-N($P608),"")))</f>
        <v/>
      </c>
      <c r="S608" s="17">
        <f>IF(OR($B608="",$R608=""),"",IF($R608&lt;=0,IF(IFERROR(_xlfn.MAXIFS(nrMK_Date,nrMK_Link,$B608,nrMK_Credit,"Yes",nrMK_PID,$E608),0)=0,"CLEARED (makeup date missing)","CLEARED "&amp;TEXT(_xlfn.MAXIFS(nrMK_Date,nrMK_Link,$B608,nrMK_Credit,"Yes",nrMK_PID,$E608),"mm/dd")),"OPEN"))</f>
        <v/>
      </c>
      <c r="T608" s="17">
        <f>IF($D608="","",IF($C608="","NO DATE",IF($G608="","NO EVENT TYPE",IF(AND($I608&lt;&gt;"",NOT(ISNUMBER($I608))),"MINUTES NOT A NUMBER",IF(AND($J608&lt;&gt;"",NOT(ISNUMBER($J608))),"SESSIONS NOT A NUMBER",IF(OR(N($I608)&lt;0,N($J608)&lt;0),"NEGATIVE MINUTES/SESSIONS",IF(AND($K608="Yes",N($I608)&gt;0),"MINUTES ON A PT EVENT - not counted (PT counts sessions)",IF(AND($K608="No",N($J608)&gt;0),"SESSIONS ON A CLASSROOM EVENT - not counted (classroom counts minutes)",IF(AND($N608="Yes",$K608="Yes",N($J608)=0),"COUNTED PT EVENT WITH NO SESSIONS - dropped from the PT cap",IF(AND($N608="Yes",$K608="No",N($I608)=0),"COUNTED EVENT WITH NO MINUTES - dropped from the classroom cap","OK"))))))))))</f>
        <v/>
      </c>
    </row>
    <row r="609">
      <c r="B609" s="17">
        <f>IF($D609="","","A"&amp;TEXT(ROW()-5,"000"))</f>
        <v/>
      </c>
      <c r="C609" s="18" t="n"/>
      <c r="D609" s="16" t="n"/>
      <c r="E609" s="17">
        <f>IF($D609="","",IFERROR(INDEX(rngCadetPIDs,MATCH($D609,rngCadetNames,0)),"?"))</f>
        <v/>
      </c>
      <c r="F609" s="17">
        <f>IF($E609="","",IFERROR(INDEX(nrCadetAgency,MATCH($E609,rngCadetPIDs,0)),""))</f>
        <v/>
      </c>
      <c r="G609" s="16" t="n"/>
      <c r="H609" s="16" t="n"/>
      <c r="I609" s="16" t="n"/>
      <c r="J609" s="16" t="n"/>
      <c r="K609" s="17">
        <f>IF($G609="","",IF(OR($G609="PT Missed",$G609="PT Modified",$G609="PT Refused"),"Yes","No"))</f>
        <v/>
      </c>
      <c r="L609" s="16" t="n"/>
      <c r="M609" s="16" t="n"/>
      <c r="N609" s="17">
        <f>IF($D609="","",IF($M609="Excused","No",IF(AND($G609="PT Modified",$L609="Received"),"No","Yes")))</f>
        <v/>
      </c>
      <c r="O609" s="16" t="n"/>
      <c r="P609" s="17">
        <f>IF(OR($B609="",N($I609)=0),"",MIN(N($I609),SUMIFS(nrMK_Min,nrMK_Link,$B609,nrMK_Credit,"Yes",nrMK_PID,$E609,nrMK_Type,"Classroom")))</f>
        <v/>
      </c>
      <c r="Q609" s="17">
        <f>IF(OR($B609="",N($J609)=0),"",MIN(N($J609),SUMIFS(nrMK_Sess,nrMK_Link,$B609,nrMK_Credit,"Yes",nrMK_PID,$E609,nrMK_Type,"PT")))</f>
        <v/>
      </c>
      <c r="R609" s="17">
        <f>IF(OR($B609="",$N609&lt;&gt;"Yes"),"",IF($K609="Yes",IF(N($J609)&gt;0,N($J609)-N($Q609),""),IF(N($I609)&gt;0,N($I609)-N($P609),"")))</f>
        <v/>
      </c>
      <c r="S609" s="17">
        <f>IF(OR($B609="",$R609=""),"",IF($R609&lt;=0,IF(IFERROR(_xlfn.MAXIFS(nrMK_Date,nrMK_Link,$B609,nrMK_Credit,"Yes",nrMK_PID,$E609),0)=0,"CLEARED (makeup date missing)","CLEARED "&amp;TEXT(_xlfn.MAXIFS(nrMK_Date,nrMK_Link,$B609,nrMK_Credit,"Yes",nrMK_PID,$E609),"mm/dd")),"OPEN"))</f>
        <v/>
      </c>
      <c r="T609" s="17">
        <f>IF($D609="","",IF($C609="","NO DATE",IF($G609="","NO EVENT TYPE",IF(AND($I609&lt;&gt;"",NOT(ISNUMBER($I609))),"MINUTES NOT A NUMBER",IF(AND($J609&lt;&gt;"",NOT(ISNUMBER($J609))),"SESSIONS NOT A NUMBER",IF(OR(N($I609)&lt;0,N($J609)&lt;0),"NEGATIVE MINUTES/SESSIONS",IF(AND($K609="Yes",N($I609)&gt;0),"MINUTES ON A PT EVENT - not counted (PT counts sessions)",IF(AND($K609="No",N($J609)&gt;0),"SESSIONS ON A CLASSROOM EVENT - not counted (classroom counts minutes)",IF(AND($N609="Yes",$K609="Yes",N($J609)=0),"COUNTED PT EVENT WITH NO SESSIONS - dropped from the PT cap",IF(AND($N609="Yes",$K609="No",N($I609)=0),"COUNTED EVENT WITH NO MINUTES - dropped from the classroom cap","OK"))))))))))</f>
        <v/>
      </c>
    </row>
    <row r="610">
      <c r="B610" s="17">
        <f>IF($D610="","","A"&amp;TEXT(ROW()-5,"000"))</f>
        <v/>
      </c>
      <c r="C610" s="18" t="n"/>
      <c r="D610" s="16" t="n"/>
      <c r="E610" s="17">
        <f>IF($D610="","",IFERROR(INDEX(rngCadetPIDs,MATCH($D610,rngCadetNames,0)),"?"))</f>
        <v/>
      </c>
      <c r="F610" s="17">
        <f>IF($E610="","",IFERROR(INDEX(nrCadetAgency,MATCH($E610,rngCadetPIDs,0)),""))</f>
        <v/>
      </c>
      <c r="G610" s="16" t="n"/>
      <c r="H610" s="16" t="n"/>
      <c r="I610" s="16" t="n"/>
      <c r="J610" s="16" t="n"/>
      <c r="K610" s="17">
        <f>IF($G610="","",IF(OR($G610="PT Missed",$G610="PT Modified",$G610="PT Refused"),"Yes","No"))</f>
        <v/>
      </c>
      <c r="L610" s="16" t="n"/>
      <c r="M610" s="16" t="n"/>
      <c r="N610" s="17">
        <f>IF($D610="","",IF($M610="Excused","No",IF(AND($G610="PT Modified",$L610="Received"),"No","Yes")))</f>
        <v/>
      </c>
      <c r="O610" s="16" t="n"/>
      <c r="P610" s="17">
        <f>IF(OR($B610="",N($I610)=0),"",MIN(N($I610),SUMIFS(nrMK_Min,nrMK_Link,$B610,nrMK_Credit,"Yes",nrMK_PID,$E610,nrMK_Type,"Classroom")))</f>
        <v/>
      </c>
      <c r="Q610" s="17">
        <f>IF(OR($B610="",N($J610)=0),"",MIN(N($J610),SUMIFS(nrMK_Sess,nrMK_Link,$B610,nrMK_Credit,"Yes",nrMK_PID,$E610,nrMK_Type,"PT")))</f>
        <v/>
      </c>
      <c r="R610" s="17">
        <f>IF(OR($B610="",$N610&lt;&gt;"Yes"),"",IF($K610="Yes",IF(N($J610)&gt;0,N($J610)-N($Q610),""),IF(N($I610)&gt;0,N($I610)-N($P610),"")))</f>
        <v/>
      </c>
      <c r="S610" s="17">
        <f>IF(OR($B610="",$R610=""),"",IF($R610&lt;=0,IF(IFERROR(_xlfn.MAXIFS(nrMK_Date,nrMK_Link,$B610,nrMK_Credit,"Yes",nrMK_PID,$E610),0)=0,"CLEARED (makeup date missing)","CLEARED "&amp;TEXT(_xlfn.MAXIFS(nrMK_Date,nrMK_Link,$B610,nrMK_Credit,"Yes",nrMK_PID,$E610),"mm/dd")),"OPEN"))</f>
        <v/>
      </c>
      <c r="T610" s="17">
        <f>IF($D610="","",IF($C610="","NO DATE",IF($G610="","NO EVENT TYPE",IF(AND($I610&lt;&gt;"",NOT(ISNUMBER($I610))),"MINUTES NOT A NUMBER",IF(AND($J610&lt;&gt;"",NOT(ISNUMBER($J610))),"SESSIONS NOT A NUMBER",IF(OR(N($I610)&lt;0,N($J610)&lt;0),"NEGATIVE MINUTES/SESSIONS",IF(AND($K610="Yes",N($I610)&gt;0),"MINUTES ON A PT EVENT - not counted (PT counts sessions)",IF(AND($K610="No",N($J610)&gt;0),"SESSIONS ON A CLASSROOM EVENT - not counted (classroom counts minutes)",IF(AND($N610="Yes",$K610="Yes",N($J610)=0),"COUNTED PT EVENT WITH NO SESSIONS - dropped from the PT cap",IF(AND($N610="Yes",$K610="No",N($I610)=0),"COUNTED EVENT WITH NO MINUTES - dropped from the classroom cap","OK"))))))))))</f>
        <v/>
      </c>
    </row>
    <row r="611">
      <c r="B611" s="17">
        <f>IF($D611="","","A"&amp;TEXT(ROW()-5,"000"))</f>
        <v/>
      </c>
      <c r="C611" s="18" t="n"/>
      <c r="D611" s="16" t="n"/>
      <c r="E611" s="17">
        <f>IF($D611="","",IFERROR(INDEX(rngCadetPIDs,MATCH($D611,rngCadetNames,0)),"?"))</f>
        <v/>
      </c>
      <c r="F611" s="17">
        <f>IF($E611="","",IFERROR(INDEX(nrCadetAgency,MATCH($E611,rngCadetPIDs,0)),""))</f>
        <v/>
      </c>
      <c r="G611" s="16" t="n"/>
      <c r="H611" s="16" t="n"/>
      <c r="I611" s="16" t="n"/>
      <c r="J611" s="16" t="n"/>
      <c r="K611" s="17">
        <f>IF($G611="","",IF(OR($G611="PT Missed",$G611="PT Modified",$G611="PT Refused"),"Yes","No"))</f>
        <v/>
      </c>
      <c r="L611" s="16" t="n"/>
      <c r="M611" s="16" t="n"/>
      <c r="N611" s="17">
        <f>IF($D611="","",IF($M611="Excused","No",IF(AND($G611="PT Modified",$L611="Received"),"No","Yes")))</f>
        <v/>
      </c>
      <c r="O611" s="16" t="n"/>
      <c r="P611" s="17">
        <f>IF(OR($B611="",N($I611)=0),"",MIN(N($I611),SUMIFS(nrMK_Min,nrMK_Link,$B611,nrMK_Credit,"Yes",nrMK_PID,$E611,nrMK_Type,"Classroom")))</f>
        <v/>
      </c>
      <c r="Q611" s="17">
        <f>IF(OR($B611="",N($J611)=0),"",MIN(N($J611),SUMIFS(nrMK_Sess,nrMK_Link,$B611,nrMK_Credit,"Yes",nrMK_PID,$E611,nrMK_Type,"PT")))</f>
        <v/>
      </c>
      <c r="R611" s="17">
        <f>IF(OR($B611="",$N611&lt;&gt;"Yes"),"",IF($K611="Yes",IF(N($J611)&gt;0,N($J611)-N($Q611),""),IF(N($I611)&gt;0,N($I611)-N($P611),"")))</f>
        <v/>
      </c>
      <c r="S611" s="17">
        <f>IF(OR($B611="",$R611=""),"",IF($R611&lt;=0,IF(IFERROR(_xlfn.MAXIFS(nrMK_Date,nrMK_Link,$B611,nrMK_Credit,"Yes",nrMK_PID,$E611),0)=0,"CLEARED (makeup date missing)","CLEARED "&amp;TEXT(_xlfn.MAXIFS(nrMK_Date,nrMK_Link,$B611,nrMK_Credit,"Yes",nrMK_PID,$E611),"mm/dd")),"OPEN"))</f>
        <v/>
      </c>
      <c r="T611" s="17">
        <f>IF($D611="","",IF($C611="","NO DATE",IF($G611="","NO EVENT TYPE",IF(AND($I611&lt;&gt;"",NOT(ISNUMBER($I611))),"MINUTES NOT A NUMBER",IF(AND($J611&lt;&gt;"",NOT(ISNUMBER($J611))),"SESSIONS NOT A NUMBER",IF(OR(N($I611)&lt;0,N($J611)&lt;0),"NEGATIVE MINUTES/SESSIONS",IF(AND($K611="Yes",N($I611)&gt;0),"MINUTES ON A PT EVENT - not counted (PT counts sessions)",IF(AND($K611="No",N($J611)&gt;0),"SESSIONS ON A CLASSROOM EVENT - not counted (classroom counts minutes)",IF(AND($N611="Yes",$K611="Yes",N($J611)=0),"COUNTED PT EVENT WITH NO SESSIONS - dropped from the PT cap",IF(AND($N611="Yes",$K611="No",N($I611)=0),"COUNTED EVENT WITH NO MINUTES - dropped from the classroom cap","OK"))))))))))</f>
        <v/>
      </c>
    </row>
    <row r="612">
      <c r="B612" s="17">
        <f>IF($D612="","","A"&amp;TEXT(ROW()-5,"000"))</f>
        <v/>
      </c>
      <c r="C612" s="18" t="n"/>
      <c r="D612" s="16" t="n"/>
      <c r="E612" s="17">
        <f>IF($D612="","",IFERROR(INDEX(rngCadetPIDs,MATCH($D612,rngCadetNames,0)),"?"))</f>
        <v/>
      </c>
      <c r="F612" s="17">
        <f>IF($E612="","",IFERROR(INDEX(nrCadetAgency,MATCH($E612,rngCadetPIDs,0)),""))</f>
        <v/>
      </c>
      <c r="G612" s="16" t="n"/>
      <c r="H612" s="16" t="n"/>
      <c r="I612" s="16" t="n"/>
      <c r="J612" s="16" t="n"/>
      <c r="K612" s="17">
        <f>IF($G612="","",IF(OR($G612="PT Missed",$G612="PT Modified",$G612="PT Refused"),"Yes","No"))</f>
        <v/>
      </c>
      <c r="L612" s="16" t="n"/>
      <c r="M612" s="16" t="n"/>
      <c r="N612" s="17">
        <f>IF($D612="","",IF($M612="Excused","No",IF(AND($G612="PT Modified",$L612="Received"),"No","Yes")))</f>
        <v/>
      </c>
      <c r="O612" s="16" t="n"/>
      <c r="P612" s="17">
        <f>IF(OR($B612="",N($I612)=0),"",MIN(N($I612),SUMIFS(nrMK_Min,nrMK_Link,$B612,nrMK_Credit,"Yes",nrMK_PID,$E612,nrMK_Type,"Classroom")))</f>
        <v/>
      </c>
      <c r="Q612" s="17">
        <f>IF(OR($B612="",N($J612)=0),"",MIN(N($J612),SUMIFS(nrMK_Sess,nrMK_Link,$B612,nrMK_Credit,"Yes",nrMK_PID,$E612,nrMK_Type,"PT")))</f>
        <v/>
      </c>
      <c r="R612" s="17">
        <f>IF(OR($B612="",$N612&lt;&gt;"Yes"),"",IF($K612="Yes",IF(N($J612)&gt;0,N($J612)-N($Q612),""),IF(N($I612)&gt;0,N($I612)-N($P612),"")))</f>
        <v/>
      </c>
      <c r="S612" s="17">
        <f>IF(OR($B612="",$R612=""),"",IF($R612&lt;=0,IF(IFERROR(_xlfn.MAXIFS(nrMK_Date,nrMK_Link,$B612,nrMK_Credit,"Yes",nrMK_PID,$E612),0)=0,"CLEARED (makeup date missing)","CLEARED "&amp;TEXT(_xlfn.MAXIFS(nrMK_Date,nrMK_Link,$B612,nrMK_Credit,"Yes",nrMK_PID,$E612),"mm/dd")),"OPEN"))</f>
        <v/>
      </c>
      <c r="T612" s="17">
        <f>IF($D612="","",IF($C612="","NO DATE",IF($G612="","NO EVENT TYPE",IF(AND($I612&lt;&gt;"",NOT(ISNUMBER($I612))),"MINUTES NOT A NUMBER",IF(AND($J612&lt;&gt;"",NOT(ISNUMBER($J612))),"SESSIONS NOT A NUMBER",IF(OR(N($I612)&lt;0,N($J612)&lt;0),"NEGATIVE MINUTES/SESSIONS",IF(AND($K612="Yes",N($I612)&gt;0),"MINUTES ON A PT EVENT - not counted (PT counts sessions)",IF(AND($K612="No",N($J612)&gt;0),"SESSIONS ON A CLASSROOM EVENT - not counted (classroom counts minutes)",IF(AND($N612="Yes",$K612="Yes",N($J612)=0),"COUNTED PT EVENT WITH NO SESSIONS - dropped from the PT cap",IF(AND($N612="Yes",$K612="No",N($I612)=0),"COUNTED EVENT WITH NO MINUTES - dropped from the classroom cap","OK"))))))))))</f>
        <v/>
      </c>
    </row>
    <row r="613">
      <c r="B613" s="17">
        <f>IF($D613="","","A"&amp;TEXT(ROW()-5,"000"))</f>
        <v/>
      </c>
      <c r="C613" s="18" t="n"/>
      <c r="D613" s="16" t="n"/>
      <c r="E613" s="17">
        <f>IF($D613="","",IFERROR(INDEX(rngCadetPIDs,MATCH($D613,rngCadetNames,0)),"?"))</f>
        <v/>
      </c>
      <c r="F613" s="17">
        <f>IF($E613="","",IFERROR(INDEX(nrCadetAgency,MATCH($E613,rngCadetPIDs,0)),""))</f>
        <v/>
      </c>
      <c r="G613" s="16" t="n"/>
      <c r="H613" s="16" t="n"/>
      <c r="I613" s="16" t="n"/>
      <c r="J613" s="16" t="n"/>
      <c r="K613" s="17">
        <f>IF($G613="","",IF(OR($G613="PT Missed",$G613="PT Modified",$G613="PT Refused"),"Yes","No"))</f>
        <v/>
      </c>
      <c r="L613" s="16" t="n"/>
      <c r="M613" s="16" t="n"/>
      <c r="N613" s="17">
        <f>IF($D613="","",IF($M613="Excused","No",IF(AND($G613="PT Modified",$L613="Received"),"No","Yes")))</f>
        <v/>
      </c>
      <c r="O613" s="16" t="n"/>
      <c r="P613" s="17">
        <f>IF(OR($B613="",N($I613)=0),"",MIN(N($I613),SUMIFS(nrMK_Min,nrMK_Link,$B613,nrMK_Credit,"Yes",nrMK_PID,$E613,nrMK_Type,"Classroom")))</f>
        <v/>
      </c>
      <c r="Q613" s="17">
        <f>IF(OR($B613="",N($J613)=0),"",MIN(N($J613),SUMIFS(nrMK_Sess,nrMK_Link,$B613,nrMK_Credit,"Yes",nrMK_PID,$E613,nrMK_Type,"PT")))</f>
        <v/>
      </c>
      <c r="R613" s="17">
        <f>IF(OR($B613="",$N613&lt;&gt;"Yes"),"",IF($K613="Yes",IF(N($J613)&gt;0,N($J613)-N($Q613),""),IF(N($I613)&gt;0,N($I613)-N($P613),"")))</f>
        <v/>
      </c>
      <c r="S613" s="17">
        <f>IF(OR($B613="",$R613=""),"",IF($R613&lt;=0,IF(IFERROR(_xlfn.MAXIFS(nrMK_Date,nrMK_Link,$B613,nrMK_Credit,"Yes",nrMK_PID,$E613),0)=0,"CLEARED (makeup date missing)","CLEARED "&amp;TEXT(_xlfn.MAXIFS(nrMK_Date,nrMK_Link,$B613,nrMK_Credit,"Yes",nrMK_PID,$E613),"mm/dd")),"OPEN"))</f>
        <v/>
      </c>
      <c r="T613" s="17">
        <f>IF($D613="","",IF($C613="","NO DATE",IF($G613="","NO EVENT TYPE",IF(AND($I613&lt;&gt;"",NOT(ISNUMBER($I613))),"MINUTES NOT A NUMBER",IF(AND($J613&lt;&gt;"",NOT(ISNUMBER($J613))),"SESSIONS NOT A NUMBER",IF(OR(N($I613)&lt;0,N($J613)&lt;0),"NEGATIVE MINUTES/SESSIONS",IF(AND($K613="Yes",N($I613)&gt;0),"MINUTES ON A PT EVENT - not counted (PT counts sessions)",IF(AND($K613="No",N($J613)&gt;0),"SESSIONS ON A CLASSROOM EVENT - not counted (classroom counts minutes)",IF(AND($N613="Yes",$K613="Yes",N($J613)=0),"COUNTED PT EVENT WITH NO SESSIONS - dropped from the PT cap",IF(AND($N613="Yes",$K613="No",N($I613)=0),"COUNTED EVENT WITH NO MINUTES - dropped from the classroom cap","OK"))))))))))</f>
        <v/>
      </c>
    </row>
    <row r="614">
      <c r="B614" s="17">
        <f>IF($D614="","","A"&amp;TEXT(ROW()-5,"000"))</f>
        <v/>
      </c>
      <c r="C614" s="18" t="n"/>
      <c r="D614" s="16" t="n"/>
      <c r="E614" s="17">
        <f>IF($D614="","",IFERROR(INDEX(rngCadetPIDs,MATCH($D614,rngCadetNames,0)),"?"))</f>
        <v/>
      </c>
      <c r="F614" s="17">
        <f>IF($E614="","",IFERROR(INDEX(nrCadetAgency,MATCH($E614,rngCadetPIDs,0)),""))</f>
        <v/>
      </c>
      <c r="G614" s="16" t="n"/>
      <c r="H614" s="16" t="n"/>
      <c r="I614" s="16" t="n"/>
      <c r="J614" s="16" t="n"/>
      <c r="K614" s="17">
        <f>IF($G614="","",IF(OR($G614="PT Missed",$G614="PT Modified",$G614="PT Refused"),"Yes","No"))</f>
        <v/>
      </c>
      <c r="L614" s="16" t="n"/>
      <c r="M614" s="16" t="n"/>
      <c r="N614" s="17">
        <f>IF($D614="","",IF($M614="Excused","No",IF(AND($G614="PT Modified",$L614="Received"),"No","Yes")))</f>
        <v/>
      </c>
      <c r="O614" s="16" t="n"/>
      <c r="P614" s="17">
        <f>IF(OR($B614="",N($I614)=0),"",MIN(N($I614),SUMIFS(nrMK_Min,nrMK_Link,$B614,nrMK_Credit,"Yes",nrMK_PID,$E614,nrMK_Type,"Classroom")))</f>
        <v/>
      </c>
      <c r="Q614" s="17">
        <f>IF(OR($B614="",N($J614)=0),"",MIN(N($J614),SUMIFS(nrMK_Sess,nrMK_Link,$B614,nrMK_Credit,"Yes",nrMK_PID,$E614,nrMK_Type,"PT")))</f>
        <v/>
      </c>
      <c r="R614" s="17">
        <f>IF(OR($B614="",$N614&lt;&gt;"Yes"),"",IF($K614="Yes",IF(N($J614)&gt;0,N($J614)-N($Q614),""),IF(N($I614)&gt;0,N($I614)-N($P614),"")))</f>
        <v/>
      </c>
      <c r="S614" s="17">
        <f>IF(OR($B614="",$R614=""),"",IF($R614&lt;=0,IF(IFERROR(_xlfn.MAXIFS(nrMK_Date,nrMK_Link,$B614,nrMK_Credit,"Yes",nrMK_PID,$E614),0)=0,"CLEARED (makeup date missing)","CLEARED "&amp;TEXT(_xlfn.MAXIFS(nrMK_Date,nrMK_Link,$B614,nrMK_Credit,"Yes",nrMK_PID,$E614),"mm/dd")),"OPEN"))</f>
        <v/>
      </c>
      <c r="T614" s="17">
        <f>IF($D614="","",IF($C614="","NO DATE",IF($G614="","NO EVENT TYPE",IF(AND($I614&lt;&gt;"",NOT(ISNUMBER($I614))),"MINUTES NOT A NUMBER",IF(AND($J614&lt;&gt;"",NOT(ISNUMBER($J614))),"SESSIONS NOT A NUMBER",IF(OR(N($I614)&lt;0,N($J614)&lt;0),"NEGATIVE MINUTES/SESSIONS",IF(AND($K614="Yes",N($I614)&gt;0),"MINUTES ON A PT EVENT - not counted (PT counts sessions)",IF(AND($K614="No",N($J614)&gt;0),"SESSIONS ON A CLASSROOM EVENT - not counted (classroom counts minutes)",IF(AND($N614="Yes",$K614="Yes",N($J614)=0),"COUNTED PT EVENT WITH NO SESSIONS - dropped from the PT cap",IF(AND($N614="Yes",$K614="No",N($I614)=0),"COUNTED EVENT WITH NO MINUTES - dropped from the classroom cap","OK"))))))))))</f>
        <v/>
      </c>
    </row>
    <row r="615">
      <c r="B615" s="17">
        <f>IF($D615="","","A"&amp;TEXT(ROW()-5,"000"))</f>
        <v/>
      </c>
      <c r="C615" s="18" t="n"/>
      <c r="D615" s="16" t="n"/>
      <c r="E615" s="17">
        <f>IF($D615="","",IFERROR(INDEX(rngCadetPIDs,MATCH($D615,rngCadetNames,0)),"?"))</f>
        <v/>
      </c>
      <c r="F615" s="17">
        <f>IF($E615="","",IFERROR(INDEX(nrCadetAgency,MATCH($E615,rngCadetPIDs,0)),""))</f>
        <v/>
      </c>
      <c r="G615" s="16" t="n"/>
      <c r="H615" s="16" t="n"/>
      <c r="I615" s="16" t="n"/>
      <c r="J615" s="16" t="n"/>
      <c r="K615" s="17">
        <f>IF($G615="","",IF(OR($G615="PT Missed",$G615="PT Modified",$G615="PT Refused"),"Yes","No"))</f>
        <v/>
      </c>
      <c r="L615" s="16" t="n"/>
      <c r="M615" s="16" t="n"/>
      <c r="N615" s="17">
        <f>IF($D615="","",IF($M615="Excused","No",IF(AND($G615="PT Modified",$L615="Received"),"No","Yes")))</f>
        <v/>
      </c>
      <c r="O615" s="16" t="n"/>
      <c r="P615" s="17">
        <f>IF(OR($B615="",N($I615)=0),"",MIN(N($I615),SUMIFS(nrMK_Min,nrMK_Link,$B615,nrMK_Credit,"Yes",nrMK_PID,$E615,nrMK_Type,"Classroom")))</f>
        <v/>
      </c>
      <c r="Q615" s="17">
        <f>IF(OR($B615="",N($J615)=0),"",MIN(N($J615),SUMIFS(nrMK_Sess,nrMK_Link,$B615,nrMK_Credit,"Yes",nrMK_PID,$E615,nrMK_Type,"PT")))</f>
        <v/>
      </c>
      <c r="R615" s="17">
        <f>IF(OR($B615="",$N615&lt;&gt;"Yes"),"",IF($K615="Yes",IF(N($J615)&gt;0,N($J615)-N($Q615),""),IF(N($I615)&gt;0,N($I615)-N($P615),"")))</f>
        <v/>
      </c>
      <c r="S615" s="17">
        <f>IF(OR($B615="",$R615=""),"",IF($R615&lt;=0,IF(IFERROR(_xlfn.MAXIFS(nrMK_Date,nrMK_Link,$B615,nrMK_Credit,"Yes",nrMK_PID,$E615),0)=0,"CLEARED (makeup date missing)","CLEARED "&amp;TEXT(_xlfn.MAXIFS(nrMK_Date,nrMK_Link,$B615,nrMK_Credit,"Yes",nrMK_PID,$E615),"mm/dd")),"OPEN"))</f>
        <v/>
      </c>
      <c r="T615" s="17">
        <f>IF($D615="","",IF($C615="","NO DATE",IF($G615="","NO EVENT TYPE",IF(AND($I615&lt;&gt;"",NOT(ISNUMBER($I615))),"MINUTES NOT A NUMBER",IF(AND($J615&lt;&gt;"",NOT(ISNUMBER($J615))),"SESSIONS NOT A NUMBER",IF(OR(N($I615)&lt;0,N($J615)&lt;0),"NEGATIVE MINUTES/SESSIONS",IF(AND($K615="Yes",N($I615)&gt;0),"MINUTES ON A PT EVENT - not counted (PT counts sessions)",IF(AND($K615="No",N($J615)&gt;0),"SESSIONS ON A CLASSROOM EVENT - not counted (classroom counts minutes)",IF(AND($N615="Yes",$K615="Yes",N($J615)=0),"COUNTED PT EVENT WITH NO SESSIONS - dropped from the PT cap",IF(AND($N615="Yes",$K615="No",N($I615)=0),"COUNTED EVENT WITH NO MINUTES - dropped from the classroom cap","OK"))))))))))</f>
        <v/>
      </c>
    </row>
    <row r="616">
      <c r="B616" s="17">
        <f>IF($D616="","","A"&amp;TEXT(ROW()-5,"000"))</f>
        <v/>
      </c>
      <c r="C616" s="18" t="n"/>
      <c r="D616" s="16" t="n"/>
      <c r="E616" s="17">
        <f>IF($D616="","",IFERROR(INDEX(rngCadetPIDs,MATCH($D616,rngCadetNames,0)),"?"))</f>
        <v/>
      </c>
      <c r="F616" s="17">
        <f>IF($E616="","",IFERROR(INDEX(nrCadetAgency,MATCH($E616,rngCadetPIDs,0)),""))</f>
        <v/>
      </c>
      <c r="G616" s="16" t="n"/>
      <c r="H616" s="16" t="n"/>
      <c r="I616" s="16" t="n"/>
      <c r="J616" s="16" t="n"/>
      <c r="K616" s="17">
        <f>IF($G616="","",IF(OR($G616="PT Missed",$G616="PT Modified",$G616="PT Refused"),"Yes","No"))</f>
        <v/>
      </c>
      <c r="L616" s="16" t="n"/>
      <c r="M616" s="16" t="n"/>
      <c r="N616" s="17">
        <f>IF($D616="","",IF($M616="Excused","No",IF(AND($G616="PT Modified",$L616="Received"),"No","Yes")))</f>
        <v/>
      </c>
      <c r="O616" s="16" t="n"/>
      <c r="P616" s="17">
        <f>IF(OR($B616="",N($I616)=0),"",MIN(N($I616),SUMIFS(nrMK_Min,nrMK_Link,$B616,nrMK_Credit,"Yes",nrMK_PID,$E616,nrMK_Type,"Classroom")))</f>
        <v/>
      </c>
      <c r="Q616" s="17">
        <f>IF(OR($B616="",N($J616)=0),"",MIN(N($J616),SUMIFS(nrMK_Sess,nrMK_Link,$B616,nrMK_Credit,"Yes",nrMK_PID,$E616,nrMK_Type,"PT")))</f>
        <v/>
      </c>
      <c r="R616" s="17">
        <f>IF(OR($B616="",$N616&lt;&gt;"Yes"),"",IF($K616="Yes",IF(N($J616)&gt;0,N($J616)-N($Q616),""),IF(N($I616)&gt;0,N($I616)-N($P616),"")))</f>
        <v/>
      </c>
      <c r="S616" s="17">
        <f>IF(OR($B616="",$R616=""),"",IF($R616&lt;=0,IF(IFERROR(_xlfn.MAXIFS(nrMK_Date,nrMK_Link,$B616,nrMK_Credit,"Yes",nrMK_PID,$E616),0)=0,"CLEARED (makeup date missing)","CLEARED "&amp;TEXT(_xlfn.MAXIFS(nrMK_Date,nrMK_Link,$B616,nrMK_Credit,"Yes",nrMK_PID,$E616),"mm/dd")),"OPEN"))</f>
        <v/>
      </c>
      <c r="T616" s="17">
        <f>IF($D616="","",IF($C616="","NO DATE",IF($G616="","NO EVENT TYPE",IF(AND($I616&lt;&gt;"",NOT(ISNUMBER($I616))),"MINUTES NOT A NUMBER",IF(AND($J616&lt;&gt;"",NOT(ISNUMBER($J616))),"SESSIONS NOT A NUMBER",IF(OR(N($I616)&lt;0,N($J616)&lt;0),"NEGATIVE MINUTES/SESSIONS",IF(AND($K616="Yes",N($I616)&gt;0),"MINUTES ON A PT EVENT - not counted (PT counts sessions)",IF(AND($K616="No",N($J616)&gt;0),"SESSIONS ON A CLASSROOM EVENT - not counted (classroom counts minutes)",IF(AND($N616="Yes",$K616="Yes",N($J616)=0),"COUNTED PT EVENT WITH NO SESSIONS - dropped from the PT cap",IF(AND($N616="Yes",$K616="No",N($I616)=0),"COUNTED EVENT WITH NO MINUTES - dropped from the classroom cap","OK"))))))))))</f>
        <v/>
      </c>
    </row>
    <row r="617">
      <c r="B617" s="17">
        <f>IF($D617="","","A"&amp;TEXT(ROW()-5,"000"))</f>
        <v/>
      </c>
      <c r="C617" s="18" t="n"/>
      <c r="D617" s="16" t="n"/>
      <c r="E617" s="17">
        <f>IF($D617="","",IFERROR(INDEX(rngCadetPIDs,MATCH($D617,rngCadetNames,0)),"?"))</f>
        <v/>
      </c>
      <c r="F617" s="17">
        <f>IF($E617="","",IFERROR(INDEX(nrCadetAgency,MATCH($E617,rngCadetPIDs,0)),""))</f>
        <v/>
      </c>
      <c r="G617" s="16" t="n"/>
      <c r="H617" s="16" t="n"/>
      <c r="I617" s="16" t="n"/>
      <c r="J617" s="16" t="n"/>
      <c r="K617" s="17">
        <f>IF($G617="","",IF(OR($G617="PT Missed",$G617="PT Modified",$G617="PT Refused"),"Yes","No"))</f>
        <v/>
      </c>
      <c r="L617" s="16" t="n"/>
      <c r="M617" s="16" t="n"/>
      <c r="N617" s="17">
        <f>IF($D617="","",IF($M617="Excused","No",IF(AND($G617="PT Modified",$L617="Received"),"No","Yes")))</f>
        <v/>
      </c>
      <c r="O617" s="16" t="n"/>
      <c r="P617" s="17">
        <f>IF(OR($B617="",N($I617)=0),"",MIN(N($I617),SUMIFS(nrMK_Min,nrMK_Link,$B617,nrMK_Credit,"Yes",nrMK_PID,$E617,nrMK_Type,"Classroom")))</f>
        <v/>
      </c>
      <c r="Q617" s="17">
        <f>IF(OR($B617="",N($J617)=0),"",MIN(N($J617),SUMIFS(nrMK_Sess,nrMK_Link,$B617,nrMK_Credit,"Yes",nrMK_PID,$E617,nrMK_Type,"PT")))</f>
        <v/>
      </c>
      <c r="R617" s="17">
        <f>IF(OR($B617="",$N617&lt;&gt;"Yes"),"",IF($K617="Yes",IF(N($J617)&gt;0,N($J617)-N($Q617),""),IF(N($I617)&gt;0,N($I617)-N($P617),"")))</f>
        <v/>
      </c>
      <c r="S617" s="17">
        <f>IF(OR($B617="",$R617=""),"",IF($R617&lt;=0,IF(IFERROR(_xlfn.MAXIFS(nrMK_Date,nrMK_Link,$B617,nrMK_Credit,"Yes",nrMK_PID,$E617),0)=0,"CLEARED (makeup date missing)","CLEARED "&amp;TEXT(_xlfn.MAXIFS(nrMK_Date,nrMK_Link,$B617,nrMK_Credit,"Yes",nrMK_PID,$E617),"mm/dd")),"OPEN"))</f>
        <v/>
      </c>
      <c r="T617" s="17">
        <f>IF($D617="","",IF($C617="","NO DATE",IF($G617="","NO EVENT TYPE",IF(AND($I617&lt;&gt;"",NOT(ISNUMBER($I617))),"MINUTES NOT A NUMBER",IF(AND($J617&lt;&gt;"",NOT(ISNUMBER($J617))),"SESSIONS NOT A NUMBER",IF(OR(N($I617)&lt;0,N($J617)&lt;0),"NEGATIVE MINUTES/SESSIONS",IF(AND($K617="Yes",N($I617)&gt;0),"MINUTES ON A PT EVENT - not counted (PT counts sessions)",IF(AND($K617="No",N($J617)&gt;0),"SESSIONS ON A CLASSROOM EVENT - not counted (classroom counts minutes)",IF(AND($N617="Yes",$K617="Yes",N($J617)=0),"COUNTED PT EVENT WITH NO SESSIONS - dropped from the PT cap",IF(AND($N617="Yes",$K617="No",N($I617)=0),"COUNTED EVENT WITH NO MINUTES - dropped from the classroom cap","OK"))))))))))</f>
        <v/>
      </c>
    </row>
    <row r="618">
      <c r="B618" s="17">
        <f>IF($D618="","","A"&amp;TEXT(ROW()-5,"000"))</f>
        <v/>
      </c>
      <c r="C618" s="18" t="n"/>
      <c r="D618" s="16" t="n"/>
      <c r="E618" s="17">
        <f>IF($D618="","",IFERROR(INDEX(rngCadetPIDs,MATCH($D618,rngCadetNames,0)),"?"))</f>
        <v/>
      </c>
      <c r="F618" s="17">
        <f>IF($E618="","",IFERROR(INDEX(nrCadetAgency,MATCH($E618,rngCadetPIDs,0)),""))</f>
        <v/>
      </c>
      <c r="G618" s="16" t="n"/>
      <c r="H618" s="16" t="n"/>
      <c r="I618" s="16" t="n"/>
      <c r="J618" s="16" t="n"/>
      <c r="K618" s="17">
        <f>IF($G618="","",IF(OR($G618="PT Missed",$G618="PT Modified",$G618="PT Refused"),"Yes","No"))</f>
        <v/>
      </c>
      <c r="L618" s="16" t="n"/>
      <c r="M618" s="16" t="n"/>
      <c r="N618" s="17">
        <f>IF($D618="","",IF($M618="Excused","No",IF(AND($G618="PT Modified",$L618="Received"),"No","Yes")))</f>
        <v/>
      </c>
      <c r="O618" s="16" t="n"/>
      <c r="P618" s="17">
        <f>IF(OR($B618="",N($I618)=0),"",MIN(N($I618),SUMIFS(nrMK_Min,nrMK_Link,$B618,nrMK_Credit,"Yes",nrMK_PID,$E618,nrMK_Type,"Classroom")))</f>
        <v/>
      </c>
      <c r="Q618" s="17">
        <f>IF(OR($B618="",N($J618)=0),"",MIN(N($J618),SUMIFS(nrMK_Sess,nrMK_Link,$B618,nrMK_Credit,"Yes",nrMK_PID,$E618,nrMK_Type,"PT")))</f>
        <v/>
      </c>
      <c r="R618" s="17">
        <f>IF(OR($B618="",$N618&lt;&gt;"Yes"),"",IF($K618="Yes",IF(N($J618)&gt;0,N($J618)-N($Q618),""),IF(N($I618)&gt;0,N($I618)-N($P618),"")))</f>
        <v/>
      </c>
      <c r="S618" s="17">
        <f>IF(OR($B618="",$R618=""),"",IF($R618&lt;=0,IF(IFERROR(_xlfn.MAXIFS(nrMK_Date,nrMK_Link,$B618,nrMK_Credit,"Yes",nrMK_PID,$E618),0)=0,"CLEARED (makeup date missing)","CLEARED "&amp;TEXT(_xlfn.MAXIFS(nrMK_Date,nrMK_Link,$B618,nrMK_Credit,"Yes",nrMK_PID,$E618),"mm/dd")),"OPEN"))</f>
        <v/>
      </c>
      <c r="T618" s="17">
        <f>IF($D618="","",IF($C618="","NO DATE",IF($G618="","NO EVENT TYPE",IF(AND($I618&lt;&gt;"",NOT(ISNUMBER($I618))),"MINUTES NOT A NUMBER",IF(AND($J618&lt;&gt;"",NOT(ISNUMBER($J618))),"SESSIONS NOT A NUMBER",IF(OR(N($I618)&lt;0,N($J618)&lt;0),"NEGATIVE MINUTES/SESSIONS",IF(AND($K618="Yes",N($I618)&gt;0),"MINUTES ON A PT EVENT - not counted (PT counts sessions)",IF(AND($K618="No",N($J618)&gt;0),"SESSIONS ON A CLASSROOM EVENT - not counted (classroom counts minutes)",IF(AND($N618="Yes",$K618="Yes",N($J618)=0),"COUNTED PT EVENT WITH NO SESSIONS - dropped from the PT cap",IF(AND($N618="Yes",$K618="No",N($I618)=0),"COUNTED EVENT WITH NO MINUTES - dropped from the classroom cap","OK"))))))))))</f>
        <v/>
      </c>
    </row>
    <row r="619">
      <c r="B619" s="17">
        <f>IF($D619="","","A"&amp;TEXT(ROW()-5,"000"))</f>
        <v/>
      </c>
      <c r="C619" s="18" t="n"/>
      <c r="D619" s="16" t="n"/>
      <c r="E619" s="17">
        <f>IF($D619="","",IFERROR(INDEX(rngCadetPIDs,MATCH($D619,rngCadetNames,0)),"?"))</f>
        <v/>
      </c>
      <c r="F619" s="17">
        <f>IF($E619="","",IFERROR(INDEX(nrCadetAgency,MATCH($E619,rngCadetPIDs,0)),""))</f>
        <v/>
      </c>
      <c r="G619" s="16" t="n"/>
      <c r="H619" s="16" t="n"/>
      <c r="I619" s="16" t="n"/>
      <c r="J619" s="16" t="n"/>
      <c r="K619" s="17">
        <f>IF($G619="","",IF(OR($G619="PT Missed",$G619="PT Modified",$G619="PT Refused"),"Yes","No"))</f>
        <v/>
      </c>
      <c r="L619" s="16" t="n"/>
      <c r="M619" s="16" t="n"/>
      <c r="N619" s="17">
        <f>IF($D619="","",IF($M619="Excused","No",IF(AND($G619="PT Modified",$L619="Received"),"No","Yes")))</f>
        <v/>
      </c>
      <c r="O619" s="16" t="n"/>
      <c r="P619" s="17">
        <f>IF(OR($B619="",N($I619)=0),"",MIN(N($I619),SUMIFS(nrMK_Min,nrMK_Link,$B619,nrMK_Credit,"Yes",nrMK_PID,$E619,nrMK_Type,"Classroom")))</f>
        <v/>
      </c>
      <c r="Q619" s="17">
        <f>IF(OR($B619="",N($J619)=0),"",MIN(N($J619),SUMIFS(nrMK_Sess,nrMK_Link,$B619,nrMK_Credit,"Yes",nrMK_PID,$E619,nrMK_Type,"PT")))</f>
        <v/>
      </c>
      <c r="R619" s="17">
        <f>IF(OR($B619="",$N619&lt;&gt;"Yes"),"",IF($K619="Yes",IF(N($J619)&gt;0,N($J619)-N($Q619),""),IF(N($I619)&gt;0,N($I619)-N($P619),"")))</f>
        <v/>
      </c>
      <c r="S619" s="17">
        <f>IF(OR($B619="",$R619=""),"",IF($R619&lt;=0,IF(IFERROR(_xlfn.MAXIFS(nrMK_Date,nrMK_Link,$B619,nrMK_Credit,"Yes",nrMK_PID,$E619),0)=0,"CLEARED (makeup date missing)","CLEARED "&amp;TEXT(_xlfn.MAXIFS(nrMK_Date,nrMK_Link,$B619,nrMK_Credit,"Yes",nrMK_PID,$E619),"mm/dd")),"OPEN"))</f>
        <v/>
      </c>
      <c r="T619" s="17">
        <f>IF($D619="","",IF($C619="","NO DATE",IF($G619="","NO EVENT TYPE",IF(AND($I619&lt;&gt;"",NOT(ISNUMBER($I619))),"MINUTES NOT A NUMBER",IF(AND($J619&lt;&gt;"",NOT(ISNUMBER($J619))),"SESSIONS NOT A NUMBER",IF(OR(N($I619)&lt;0,N($J619)&lt;0),"NEGATIVE MINUTES/SESSIONS",IF(AND($K619="Yes",N($I619)&gt;0),"MINUTES ON A PT EVENT - not counted (PT counts sessions)",IF(AND($K619="No",N($J619)&gt;0),"SESSIONS ON A CLASSROOM EVENT - not counted (classroom counts minutes)",IF(AND($N619="Yes",$K619="Yes",N($J619)=0),"COUNTED PT EVENT WITH NO SESSIONS - dropped from the PT cap",IF(AND($N619="Yes",$K619="No",N($I619)=0),"COUNTED EVENT WITH NO MINUTES - dropped from the classroom cap","OK"))))))))))</f>
        <v/>
      </c>
    </row>
    <row r="620">
      <c r="B620" s="17">
        <f>IF($D620="","","A"&amp;TEXT(ROW()-5,"000"))</f>
        <v/>
      </c>
      <c r="C620" s="18" t="n"/>
      <c r="D620" s="16" t="n"/>
      <c r="E620" s="17">
        <f>IF($D620="","",IFERROR(INDEX(rngCadetPIDs,MATCH($D620,rngCadetNames,0)),"?"))</f>
        <v/>
      </c>
      <c r="F620" s="17">
        <f>IF($E620="","",IFERROR(INDEX(nrCadetAgency,MATCH($E620,rngCadetPIDs,0)),""))</f>
        <v/>
      </c>
      <c r="G620" s="16" t="n"/>
      <c r="H620" s="16" t="n"/>
      <c r="I620" s="16" t="n"/>
      <c r="J620" s="16" t="n"/>
      <c r="K620" s="17">
        <f>IF($G620="","",IF(OR($G620="PT Missed",$G620="PT Modified",$G620="PT Refused"),"Yes","No"))</f>
        <v/>
      </c>
      <c r="L620" s="16" t="n"/>
      <c r="M620" s="16" t="n"/>
      <c r="N620" s="17">
        <f>IF($D620="","",IF($M620="Excused","No",IF(AND($G620="PT Modified",$L620="Received"),"No","Yes")))</f>
        <v/>
      </c>
      <c r="O620" s="16" t="n"/>
      <c r="P620" s="17">
        <f>IF(OR($B620="",N($I620)=0),"",MIN(N($I620),SUMIFS(nrMK_Min,nrMK_Link,$B620,nrMK_Credit,"Yes",nrMK_PID,$E620,nrMK_Type,"Classroom")))</f>
        <v/>
      </c>
      <c r="Q620" s="17">
        <f>IF(OR($B620="",N($J620)=0),"",MIN(N($J620),SUMIFS(nrMK_Sess,nrMK_Link,$B620,nrMK_Credit,"Yes",nrMK_PID,$E620,nrMK_Type,"PT")))</f>
        <v/>
      </c>
      <c r="R620" s="17">
        <f>IF(OR($B620="",$N620&lt;&gt;"Yes"),"",IF($K620="Yes",IF(N($J620)&gt;0,N($J620)-N($Q620),""),IF(N($I620)&gt;0,N($I620)-N($P620),"")))</f>
        <v/>
      </c>
      <c r="S620" s="17">
        <f>IF(OR($B620="",$R620=""),"",IF($R620&lt;=0,IF(IFERROR(_xlfn.MAXIFS(nrMK_Date,nrMK_Link,$B620,nrMK_Credit,"Yes",nrMK_PID,$E620),0)=0,"CLEARED (makeup date missing)","CLEARED "&amp;TEXT(_xlfn.MAXIFS(nrMK_Date,nrMK_Link,$B620,nrMK_Credit,"Yes",nrMK_PID,$E620),"mm/dd")),"OPEN"))</f>
        <v/>
      </c>
      <c r="T620" s="17">
        <f>IF($D620="","",IF($C620="","NO DATE",IF($G620="","NO EVENT TYPE",IF(AND($I620&lt;&gt;"",NOT(ISNUMBER($I620))),"MINUTES NOT A NUMBER",IF(AND($J620&lt;&gt;"",NOT(ISNUMBER($J620))),"SESSIONS NOT A NUMBER",IF(OR(N($I620)&lt;0,N($J620)&lt;0),"NEGATIVE MINUTES/SESSIONS",IF(AND($K620="Yes",N($I620)&gt;0),"MINUTES ON A PT EVENT - not counted (PT counts sessions)",IF(AND($K620="No",N($J620)&gt;0),"SESSIONS ON A CLASSROOM EVENT - not counted (classroom counts minutes)",IF(AND($N620="Yes",$K620="Yes",N($J620)=0),"COUNTED PT EVENT WITH NO SESSIONS - dropped from the PT cap",IF(AND($N620="Yes",$K620="No",N($I620)=0),"COUNTED EVENT WITH NO MINUTES - dropped from the classroom cap","OK"))))))))))</f>
        <v/>
      </c>
    </row>
    <row r="621">
      <c r="B621" s="17">
        <f>IF($D621="","","A"&amp;TEXT(ROW()-5,"000"))</f>
        <v/>
      </c>
      <c r="C621" s="18" t="n"/>
      <c r="D621" s="16" t="n"/>
      <c r="E621" s="17">
        <f>IF($D621="","",IFERROR(INDEX(rngCadetPIDs,MATCH($D621,rngCadetNames,0)),"?"))</f>
        <v/>
      </c>
      <c r="F621" s="17">
        <f>IF($E621="","",IFERROR(INDEX(nrCadetAgency,MATCH($E621,rngCadetPIDs,0)),""))</f>
        <v/>
      </c>
      <c r="G621" s="16" t="n"/>
      <c r="H621" s="16" t="n"/>
      <c r="I621" s="16" t="n"/>
      <c r="J621" s="16" t="n"/>
      <c r="K621" s="17">
        <f>IF($G621="","",IF(OR($G621="PT Missed",$G621="PT Modified",$G621="PT Refused"),"Yes","No"))</f>
        <v/>
      </c>
      <c r="L621" s="16" t="n"/>
      <c r="M621" s="16" t="n"/>
      <c r="N621" s="17">
        <f>IF($D621="","",IF($M621="Excused","No",IF(AND($G621="PT Modified",$L621="Received"),"No","Yes")))</f>
        <v/>
      </c>
      <c r="O621" s="16" t="n"/>
      <c r="P621" s="17">
        <f>IF(OR($B621="",N($I621)=0),"",MIN(N($I621),SUMIFS(nrMK_Min,nrMK_Link,$B621,nrMK_Credit,"Yes",nrMK_PID,$E621,nrMK_Type,"Classroom")))</f>
        <v/>
      </c>
      <c r="Q621" s="17">
        <f>IF(OR($B621="",N($J621)=0),"",MIN(N($J621),SUMIFS(nrMK_Sess,nrMK_Link,$B621,nrMK_Credit,"Yes",nrMK_PID,$E621,nrMK_Type,"PT")))</f>
        <v/>
      </c>
      <c r="R621" s="17">
        <f>IF(OR($B621="",$N621&lt;&gt;"Yes"),"",IF($K621="Yes",IF(N($J621)&gt;0,N($J621)-N($Q621),""),IF(N($I621)&gt;0,N($I621)-N($P621),"")))</f>
        <v/>
      </c>
      <c r="S621" s="17">
        <f>IF(OR($B621="",$R621=""),"",IF($R621&lt;=0,IF(IFERROR(_xlfn.MAXIFS(nrMK_Date,nrMK_Link,$B621,nrMK_Credit,"Yes",nrMK_PID,$E621),0)=0,"CLEARED (makeup date missing)","CLEARED "&amp;TEXT(_xlfn.MAXIFS(nrMK_Date,nrMK_Link,$B621,nrMK_Credit,"Yes",nrMK_PID,$E621),"mm/dd")),"OPEN"))</f>
        <v/>
      </c>
      <c r="T621" s="17">
        <f>IF($D621="","",IF($C621="","NO DATE",IF($G621="","NO EVENT TYPE",IF(AND($I621&lt;&gt;"",NOT(ISNUMBER($I621))),"MINUTES NOT A NUMBER",IF(AND($J621&lt;&gt;"",NOT(ISNUMBER($J621))),"SESSIONS NOT A NUMBER",IF(OR(N($I621)&lt;0,N($J621)&lt;0),"NEGATIVE MINUTES/SESSIONS",IF(AND($K621="Yes",N($I621)&gt;0),"MINUTES ON A PT EVENT - not counted (PT counts sessions)",IF(AND($K621="No",N($J621)&gt;0),"SESSIONS ON A CLASSROOM EVENT - not counted (classroom counts minutes)",IF(AND($N621="Yes",$K621="Yes",N($J621)=0),"COUNTED PT EVENT WITH NO SESSIONS - dropped from the PT cap",IF(AND($N621="Yes",$K621="No",N($I621)=0),"COUNTED EVENT WITH NO MINUTES - dropped from the classroom cap","OK"))))))))))</f>
        <v/>
      </c>
    </row>
    <row r="622">
      <c r="B622" s="17">
        <f>IF($D622="","","A"&amp;TEXT(ROW()-5,"000"))</f>
        <v/>
      </c>
      <c r="C622" s="18" t="n"/>
      <c r="D622" s="16" t="n"/>
      <c r="E622" s="17">
        <f>IF($D622="","",IFERROR(INDEX(rngCadetPIDs,MATCH($D622,rngCadetNames,0)),"?"))</f>
        <v/>
      </c>
      <c r="F622" s="17">
        <f>IF($E622="","",IFERROR(INDEX(nrCadetAgency,MATCH($E622,rngCadetPIDs,0)),""))</f>
        <v/>
      </c>
      <c r="G622" s="16" t="n"/>
      <c r="H622" s="16" t="n"/>
      <c r="I622" s="16" t="n"/>
      <c r="J622" s="16" t="n"/>
      <c r="K622" s="17">
        <f>IF($G622="","",IF(OR($G622="PT Missed",$G622="PT Modified",$G622="PT Refused"),"Yes","No"))</f>
        <v/>
      </c>
      <c r="L622" s="16" t="n"/>
      <c r="M622" s="16" t="n"/>
      <c r="N622" s="17">
        <f>IF($D622="","",IF($M622="Excused","No",IF(AND($G622="PT Modified",$L622="Received"),"No","Yes")))</f>
        <v/>
      </c>
      <c r="O622" s="16" t="n"/>
      <c r="P622" s="17">
        <f>IF(OR($B622="",N($I622)=0),"",MIN(N($I622),SUMIFS(nrMK_Min,nrMK_Link,$B622,nrMK_Credit,"Yes",nrMK_PID,$E622,nrMK_Type,"Classroom")))</f>
        <v/>
      </c>
      <c r="Q622" s="17">
        <f>IF(OR($B622="",N($J622)=0),"",MIN(N($J622),SUMIFS(nrMK_Sess,nrMK_Link,$B622,nrMK_Credit,"Yes",nrMK_PID,$E622,nrMK_Type,"PT")))</f>
        <v/>
      </c>
      <c r="R622" s="17">
        <f>IF(OR($B622="",$N622&lt;&gt;"Yes"),"",IF($K622="Yes",IF(N($J622)&gt;0,N($J622)-N($Q622),""),IF(N($I622)&gt;0,N($I622)-N($P622),"")))</f>
        <v/>
      </c>
      <c r="S622" s="17">
        <f>IF(OR($B622="",$R622=""),"",IF($R622&lt;=0,IF(IFERROR(_xlfn.MAXIFS(nrMK_Date,nrMK_Link,$B622,nrMK_Credit,"Yes",nrMK_PID,$E622),0)=0,"CLEARED (makeup date missing)","CLEARED "&amp;TEXT(_xlfn.MAXIFS(nrMK_Date,nrMK_Link,$B622,nrMK_Credit,"Yes",nrMK_PID,$E622),"mm/dd")),"OPEN"))</f>
        <v/>
      </c>
      <c r="T622" s="17">
        <f>IF($D622="","",IF($C622="","NO DATE",IF($G622="","NO EVENT TYPE",IF(AND($I622&lt;&gt;"",NOT(ISNUMBER($I622))),"MINUTES NOT A NUMBER",IF(AND($J622&lt;&gt;"",NOT(ISNUMBER($J622))),"SESSIONS NOT A NUMBER",IF(OR(N($I622)&lt;0,N($J622)&lt;0),"NEGATIVE MINUTES/SESSIONS",IF(AND($K622="Yes",N($I622)&gt;0),"MINUTES ON A PT EVENT - not counted (PT counts sessions)",IF(AND($K622="No",N($J622)&gt;0),"SESSIONS ON A CLASSROOM EVENT - not counted (classroom counts minutes)",IF(AND($N622="Yes",$K622="Yes",N($J622)=0),"COUNTED PT EVENT WITH NO SESSIONS - dropped from the PT cap",IF(AND($N622="Yes",$K622="No",N($I622)=0),"COUNTED EVENT WITH NO MINUTES - dropped from the classroom cap","OK"))))))))))</f>
        <v/>
      </c>
    </row>
    <row r="623">
      <c r="B623" s="17">
        <f>IF($D623="","","A"&amp;TEXT(ROW()-5,"000"))</f>
        <v/>
      </c>
      <c r="C623" s="18" t="n"/>
      <c r="D623" s="16" t="n"/>
      <c r="E623" s="17">
        <f>IF($D623="","",IFERROR(INDEX(rngCadetPIDs,MATCH($D623,rngCadetNames,0)),"?"))</f>
        <v/>
      </c>
      <c r="F623" s="17">
        <f>IF($E623="","",IFERROR(INDEX(nrCadetAgency,MATCH($E623,rngCadetPIDs,0)),""))</f>
        <v/>
      </c>
      <c r="G623" s="16" t="n"/>
      <c r="H623" s="16" t="n"/>
      <c r="I623" s="16" t="n"/>
      <c r="J623" s="16" t="n"/>
      <c r="K623" s="17">
        <f>IF($G623="","",IF(OR($G623="PT Missed",$G623="PT Modified",$G623="PT Refused"),"Yes","No"))</f>
        <v/>
      </c>
      <c r="L623" s="16" t="n"/>
      <c r="M623" s="16" t="n"/>
      <c r="N623" s="17">
        <f>IF($D623="","",IF($M623="Excused","No",IF(AND($G623="PT Modified",$L623="Received"),"No","Yes")))</f>
        <v/>
      </c>
      <c r="O623" s="16" t="n"/>
      <c r="P623" s="17">
        <f>IF(OR($B623="",N($I623)=0),"",MIN(N($I623),SUMIFS(nrMK_Min,nrMK_Link,$B623,nrMK_Credit,"Yes",nrMK_PID,$E623,nrMK_Type,"Classroom")))</f>
        <v/>
      </c>
      <c r="Q623" s="17">
        <f>IF(OR($B623="",N($J623)=0),"",MIN(N($J623),SUMIFS(nrMK_Sess,nrMK_Link,$B623,nrMK_Credit,"Yes",nrMK_PID,$E623,nrMK_Type,"PT")))</f>
        <v/>
      </c>
      <c r="R623" s="17">
        <f>IF(OR($B623="",$N623&lt;&gt;"Yes"),"",IF($K623="Yes",IF(N($J623)&gt;0,N($J623)-N($Q623),""),IF(N($I623)&gt;0,N($I623)-N($P623),"")))</f>
        <v/>
      </c>
      <c r="S623" s="17">
        <f>IF(OR($B623="",$R623=""),"",IF($R623&lt;=0,IF(IFERROR(_xlfn.MAXIFS(nrMK_Date,nrMK_Link,$B623,nrMK_Credit,"Yes",nrMK_PID,$E623),0)=0,"CLEARED (makeup date missing)","CLEARED "&amp;TEXT(_xlfn.MAXIFS(nrMK_Date,nrMK_Link,$B623,nrMK_Credit,"Yes",nrMK_PID,$E623),"mm/dd")),"OPEN"))</f>
        <v/>
      </c>
      <c r="T623" s="17">
        <f>IF($D623="","",IF($C623="","NO DATE",IF($G623="","NO EVENT TYPE",IF(AND($I623&lt;&gt;"",NOT(ISNUMBER($I623))),"MINUTES NOT A NUMBER",IF(AND($J623&lt;&gt;"",NOT(ISNUMBER($J623))),"SESSIONS NOT A NUMBER",IF(OR(N($I623)&lt;0,N($J623)&lt;0),"NEGATIVE MINUTES/SESSIONS",IF(AND($K623="Yes",N($I623)&gt;0),"MINUTES ON A PT EVENT - not counted (PT counts sessions)",IF(AND($K623="No",N($J623)&gt;0),"SESSIONS ON A CLASSROOM EVENT - not counted (classroom counts minutes)",IF(AND($N623="Yes",$K623="Yes",N($J623)=0),"COUNTED PT EVENT WITH NO SESSIONS - dropped from the PT cap",IF(AND($N623="Yes",$K623="No",N($I623)=0),"COUNTED EVENT WITH NO MINUTES - dropped from the classroom cap","OK"))))))))))</f>
        <v/>
      </c>
    </row>
    <row r="624">
      <c r="B624" s="17">
        <f>IF($D624="","","A"&amp;TEXT(ROW()-5,"000"))</f>
        <v/>
      </c>
      <c r="C624" s="18" t="n"/>
      <c r="D624" s="16" t="n"/>
      <c r="E624" s="17">
        <f>IF($D624="","",IFERROR(INDEX(rngCadetPIDs,MATCH($D624,rngCadetNames,0)),"?"))</f>
        <v/>
      </c>
      <c r="F624" s="17">
        <f>IF($E624="","",IFERROR(INDEX(nrCadetAgency,MATCH($E624,rngCadetPIDs,0)),""))</f>
        <v/>
      </c>
      <c r="G624" s="16" t="n"/>
      <c r="H624" s="16" t="n"/>
      <c r="I624" s="16" t="n"/>
      <c r="J624" s="16" t="n"/>
      <c r="K624" s="17">
        <f>IF($G624="","",IF(OR($G624="PT Missed",$G624="PT Modified",$G624="PT Refused"),"Yes","No"))</f>
        <v/>
      </c>
      <c r="L624" s="16" t="n"/>
      <c r="M624" s="16" t="n"/>
      <c r="N624" s="17">
        <f>IF($D624="","",IF($M624="Excused","No",IF(AND($G624="PT Modified",$L624="Received"),"No","Yes")))</f>
        <v/>
      </c>
      <c r="O624" s="16" t="n"/>
      <c r="P624" s="17">
        <f>IF(OR($B624="",N($I624)=0),"",MIN(N($I624),SUMIFS(nrMK_Min,nrMK_Link,$B624,nrMK_Credit,"Yes",nrMK_PID,$E624,nrMK_Type,"Classroom")))</f>
        <v/>
      </c>
      <c r="Q624" s="17">
        <f>IF(OR($B624="",N($J624)=0),"",MIN(N($J624),SUMIFS(nrMK_Sess,nrMK_Link,$B624,nrMK_Credit,"Yes",nrMK_PID,$E624,nrMK_Type,"PT")))</f>
        <v/>
      </c>
      <c r="R624" s="17">
        <f>IF(OR($B624="",$N624&lt;&gt;"Yes"),"",IF($K624="Yes",IF(N($J624)&gt;0,N($J624)-N($Q624),""),IF(N($I624)&gt;0,N($I624)-N($P624),"")))</f>
        <v/>
      </c>
      <c r="S624" s="17">
        <f>IF(OR($B624="",$R624=""),"",IF($R624&lt;=0,IF(IFERROR(_xlfn.MAXIFS(nrMK_Date,nrMK_Link,$B624,nrMK_Credit,"Yes",nrMK_PID,$E624),0)=0,"CLEARED (makeup date missing)","CLEARED "&amp;TEXT(_xlfn.MAXIFS(nrMK_Date,nrMK_Link,$B624,nrMK_Credit,"Yes",nrMK_PID,$E624),"mm/dd")),"OPEN"))</f>
        <v/>
      </c>
      <c r="T624" s="17">
        <f>IF($D624="","",IF($C624="","NO DATE",IF($G624="","NO EVENT TYPE",IF(AND($I624&lt;&gt;"",NOT(ISNUMBER($I624))),"MINUTES NOT A NUMBER",IF(AND($J624&lt;&gt;"",NOT(ISNUMBER($J624))),"SESSIONS NOT A NUMBER",IF(OR(N($I624)&lt;0,N($J624)&lt;0),"NEGATIVE MINUTES/SESSIONS",IF(AND($K624="Yes",N($I624)&gt;0),"MINUTES ON A PT EVENT - not counted (PT counts sessions)",IF(AND($K624="No",N($J624)&gt;0),"SESSIONS ON A CLASSROOM EVENT - not counted (classroom counts minutes)",IF(AND($N624="Yes",$K624="Yes",N($J624)=0),"COUNTED PT EVENT WITH NO SESSIONS - dropped from the PT cap",IF(AND($N624="Yes",$K624="No",N($I624)=0),"COUNTED EVENT WITH NO MINUTES - dropped from the classroom cap","OK"))))))))))</f>
        <v/>
      </c>
    </row>
    <row r="625">
      <c r="B625" s="17">
        <f>IF($D625="","","A"&amp;TEXT(ROW()-5,"000"))</f>
        <v/>
      </c>
      <c r="C625" s="18" t="n"/>
      <c r="D625" s="16" t="n"/>
      <c r="E625" s="17">
        <f>IF($D625="","",IFERROR(INDEX(rngCadetPIDs,MATCH($D625,rngCadetNames,0)),"?"))</f>
        <v/>
      </c>
      <c r="F625" s="17">
        <f>IF($E625="","",IFERROR(INDEX(nrCadetAgency,MATCH($E625,rngCadetPIDs,0)),""))</f>
        <v/>
      </c>
      <c r="G625" s="16" t="n"/>
      <c r="H625" s="16" t="n"/>
      <c r="I625" s="16" t="n"/>
      <c r="J625" s="16" t="n"/>
      <c r="K625" s="17">
        <f>IF($G625="","",IF(OR($G625="PT Missed",$G625="PT Modified",$G625="PT Refused"),"Yes","No"))</f>
        <v/>
      </c>
      <c r="L625" s="16" t="n"/>
      <c r="M625" s="16" t="n"/>
      <c r="N625" s="17">
        <f>IF($D625="","",IF($M625="Excused","No",IF(AND($G625="PT Modified",$L625="Received"),"No","Yes")))</f>
        <v/>
      </c>
      <c r="O625" s="16" t="n"/>
      <c r="P625" s="17">
        <f>IF(OR($B625="",N($I625)=0),"",MIN(N($I625),SUMIFS(nrMK_Min,nrMK_Link,$B625,nrMK_Credit,"Yes",nrMK_PID,$E625,nrMK_Type,"Classroom")))</f>
        <v/>
      </c>
      <c r="Q625" s="17">
        <f>IF(OR($B625="",N($J625)=0),"",MIN(N($J625),SUMIFS(nrMK_Sess,nrMK_Link,$B625,nrMK_Credit,"Yes",nrMK_PID,$E625,nrMK_Type,"PT")))</f>
        <v/>
      </c>
      <c r="R625" s="17">
        <f>IF(OR($B625="",$N625&lt;&gt;"Yes"),"",IF($K625="Yes",IF(N($J625)&gt;0,N($J625)-N($Q625),""),IF(N($I625)&gt;0,N($I625)-N($P625),"")))</f>
        <v/>
      </c>
      <c r="S625" s="17">
        <f>IF(OR($B625="",$R625=""),"",IF($R625&lt;=0,IF(IFERROR(_xlfn.MAXIFS(nrMK_Date,nrMK_Link,$B625,nrMK_Credit,"Yes",nrMK_PID,$E625),0)=0,"CLEARED (makeup date missing)","CLEARED "&amp;TEXT(_xlfn.MAXIFS(nrMK_Date,nrMK_Link,$B625,nrMK_Credit,"Yes",nrMK_PID,$E625),"mm/dd")),"OPEN"))</f>
        <v/>
      </c>
      <c r="T625" s="17">
        <f>IF($D625="","",IF($C625="","NO DATE",IF($G625="","NO EVENT TYPE",IF(AND($I625&lt;&gt;"",NOT(ISNUMBER($I625))),"MINUTES NOT A NUMBER",IF(AND($J625&lt;&gt;"",NOT(ISNUMBER($J625))),"SESSIONS NOT A NUMBER",IF(OR(N($I625)&lt;0,N($J625)&lt;0),"NEGATIVE MINUTES/SESSIONS",IF(AND($K625="Yes",N($I625)&gt;0),"MINUTES ON A PT EVENT - not counted (PT counts sessions)",IF(AND($K625="No",N($J625)&gt;0),"SESSIONS ON A CLASSROOM EVENT - not counted (classroom counts minutes)",IF(AND($N625="Yes",$K625="Yes",N($J625)=0),"COUNTED PT EVENT WITH NO SESSIONS - dropped from the PT cap",IF(AND($N625="Yes",$K625="No",N($I625)=0),"COUNTED EVENT WITH NO MINUTES - dropped from the classroom cap","OK"))))))))))</f>
        <v/>
      </c>
    </row>
    <row r="626">
      <c r="B626" s="17">
        <f>IF($D626="","","A"&amp;TEXT(ROW()-5,"000"))</f>
        <v/>
      </c>
      <c r="C626" s="18" t="n"/>
      <c r="D626" s="16" t="n"/>
      <c r="E626" s="17">
        <f>IF($D626="","",IFERROR(INDEX(rngCadetPIDs,MATCH($D626,rngCadetNames,0)),"?"))</f>
        <v/>
      </c>
      <c r="F626" s="17">
        <f>IF($E626="","",IFERROR(INDEX(nrCadetAgency,MATCH($E626,rngCadetPIDs,0)),""))</f>
        <v/>
      </c>
      <c r="G626" s="16" t="n"/>
      <c r="H626" s="16" t="n"/>
      <c r="I626" s="16" t="n"/>
      <c r="J626" s="16" t="n"/>
      <c r="K626" s="17">
        <f>IF($G626="","",IF(OR($G626="PT Missed",$G626="PT Modified",$G626="PT Refused"),"Yes","No"))</f>
        <v/>
      </c>
      <c r="L626" s="16" t="n"/>
      <c r="M626" s="16" t="n"/>
      <c r="N626" s="17">
        <f>IF($D626="","",IF($M626="Excused","No",IF(AND($G626="PT Modified",$L626="Received"),"No","Yes")))</f>
        <v/>
      </c>
      <c r="O626" s="16" t="n"/>
      <c r="P626" s="17">
        <f>IF(OR($B626="",N($I626)=0),"",MIN(N($I626),SUMIFS(nrMK_Min,nrMK_Link,$B626,nrMK_Credit,"Yes",nrMK_PID,$E626,nrMK_Type,"Classroom")))</f>
        <v/>
      </c>
      <c r="Q626" s="17">
        <f>IF(OR($B626="",N($J626)=0),"",MIN(N($J626),SUMIFS(nrMK_Sess,nrMK_Link,$B626,nrMK_Credit,"Yes",nrMK_PID,$E626,nrMK_Type,"PT")))</f>
        <v/>
      </c>
      <c r="R626" s="17">
        <f>IF(OR($B626="",$N626&lt;&gt;"Yes"),"",IF($K626="Yes",IF(N($J626)&gt;0,N($J626)-N($Q626),""),IF(N($I626)&gt;0,N($I626)-N($P626),"")))</f>
        <v/>
      </c>
      <c r="S626" s="17">
        <f>IF(OR($B626="",$R626=""),"",IF($R626&lt;=0,IF(IFERROR(_xlfn.MAXIFS(nrMK_Date,nrMK_Link,$B626,nrMK_Credit,"Yes",nrMK_PID,$E626),0)=0,"CLEARED (makeup date missing)","CLEARED "&amp;TEXT(_xlfn.MAXIFS(nrMK_Date,nrMK_Link,$B626,nrMK_Credit,"Yes",nrMK_PID,$E626),"mm/dd")),"OPEN"))</f>
        <v/>
      </c>
      <c r="T626" s="17">
        <f>IF($D626="","",IF($C626="","NO DATE",IF($G626="","NO EVENT TYPE",IF(AND($I626&lt;&gt;"",NOT(ISNUMBER($I626))),"MINUTES NOT A NUMBER",IF(AND($J626&lt;&gt;"",NOT(ISNUMBER($J626))),"SESSIONS NOT A NUMBER",IF(OR(N($I626)&lt;0,N($J626)&lt;0),"NEGATIVE MINUTES/SESSIONS",IF(AND($K626="Yes",N($I626)&gt;0),"MINUTES ON A PT EVENT - not counted (PT counts sessions)",IF(AND($K626="No",N($J626)&gt;0),"SESSIONS ON A CLASSROOM EVENT - not counted (classroom counts minutes)",IF(AND($N626="Yes",$K626="Yes",N($J626)=0),"COUNTED PT EVENT WITH NO SESSIONS - dropped from the PT cap",IF(AND($N626="Yes",$K626="No",N($I626)=0),"COUNTED EVENT WITH NO MINUTES - dropped from the classroom cap","OK"))))))))))</f>
        <v/>
      </c>
    </row>
    <row r="627">
      <c r="B627" s="17">
        <f>IF($D627="","","A"&amp;TEXT(ROW()-5,"000"))</f>
        <v/>
      </c>
      <c r="C627" s="18" t="n"/>
      <c r="D627" s="16" t="n"/>
      <c r="E627" s="17">
        <f>IF($D627="","",IFERROR(INDEX(rngCadetPIDs,MATCH($D627,rngCadetNames,0)),"?"))</f>
        <v/>
      </c>
      <c r="F627" s="17">
        <f>IF($E627="","",IFERROR(INDEX(nrCadetAgency,MATCH($E627,rngCadetPIDs,0)),""))</f>
        <v/>
      </c>
      <c r="G627" s="16" t="n"/>
      <c r="H627" s="16" t="n"/>
      <c r="I627" s="16" t="n"/>
      <c r="J627" s="16" t="n"/>
      <c r="K627" s="17">
        <f>IF($G627="","",IF(OR($G627="PT Missed",$G627="PT Modified",$G627="PT Refused"),"Yes","No"))</f>
        <v/>
      </c>
      <c r="L627" s="16" t="n"/>
      <c r="M627" s="16" t="n"/>
      <c r="N627" s="17">
        <f>IF($D627="","",IF($M627="Excused","No",IF(AND($G627="PT Modified",$L627="Received"),"No","Yes")))</f>
        <v/>
      </c>
      <c r="O627" s="16" t="n"/>
      <c r="P627" s="17">
        <f>IF(OR($B627="",N($I627)=0),"",MIN(N($I627),SUMIFS(nrMK_Min,nrMK_Link,$B627,nrMK_Credit,"Yes",nrMK_PID,$E627,nrMK_Type,"Classroom")))</f>
        <v/>
      </c>
      <c r="Q627" s="17">
        <f>IF(OR($B627="",N($J627)=0),"",MIN(N($J627),SUMIFS(nrMK_Sess,nrMK_Link,$B627,nrMK_Credit,"Yes",nrMK_PID,$E627,nrMK_Type,"PT")))</f>
        <v/>
      </c>
      <c r="R627" s="17">
        <f>IF(OR($B627="",$N627&lt;&gt;"Yes"),"",IF($K627="Yes",IF(N($J627)&gt;0,N($J627)-N($Q627),""),IF(N($I627)&gt;0,N($I627)-N($P627),"")))</f>
        <v/>
      </c>
      <c r="S627" s="17">
        <f>IF(OR($B627="",$R627=""),"",IF($R627&lt;=0,IF(IFERROR(_xlfn.MAXIFS(nrMK_Date,nrMK_Link,$B627,nrMK_Credit,"Yes",nrMK_PID,$E627),0)=0,"CLEARED (makeup date missing)","CLEARED "&amp;TEXT(_xlfn.MAXIFS(nrMK_Date,nrMK_Link,$B627,nrMK_Credit,"Yes",nrMK_PID,$E627),"mm/dd")),"OPEN"))</f>
        <v/>
      </c>
      <c r="T627" s="17">
        <f>IF($D627="","",IF($C627="","NO DATE",IF($G627="","NO EVENT TYPE",IF(AND($I627&lt;&gt;"",NOT(ISNUMBER($I627))),"MINUTES NOT A NUMBER",IF(AND($J627&lt;&gt;"",NOT(ISNUMBER($J627))),"SESSIONS NOT A NUMBER",IF(OR(N($I627)&lt;0,N($J627)&lt;0),"NEGATIVE MINUTES/SESSIONS",IF(AND($K627="Yes",N($I627)&gt;0),"MINUTES ON A PT EVENT - not counted (PT counts sessions)",IF(AND($K627="No",N($J627)&gt;0),"SESSIONS ON A CLASSROOM EVENT - not counted (classroom counts minutes)",IF(AND($N627="Yes",$K627="Yes",N($J627)=0),"COUNTED PT EVENT WITH NO SESSIONS - dropped from the PT cap",IF(AND($N627="Yes",$K627="No",N($I627)=0),"COUNTED EVENT WITH NO MINUTES - dropped from the classroom cap","OK"))))))))))</f>
        <v/>
      </c>
    </row>
    <row r="628">
      <c r="B628" s="17">
        <f>IF($D628="","","A"&amp;TEXT(ROW()-5,"000"))</f>
        <v/>
      </c>
      <c r="C628" s="18" t="n"/>
      <c r="D628" s="16" t="n"/>
      <c r="E628" s="17">
        <f>IF($D628="","",IFERROR(INDEX(rngCadetPIDs,MATCH($D628,rngCadetNames,0)),"?"))</f>
        <v/>
      </c>
      <c r="F628" s="17">
        <f>IF($E628="","",IFERROR(INDEX(nrCadetAgency,MATCH($E628,rngCadetPIDs,0)),""))</f>
        <v/>
      </c>
      <c r="G628" s="16" t="n"/>
      <c r="H628" s="16" t="n"/>
      <c r="I628" s="16" t="n"/>
      <c r="J628" s="16" t="n"/>
      <c r="K628" s="17">
        <f>IF($G628="","",IF(OR($G628="PT Missed",$G628="PT Modified",$G628="PT Refused"),"Yes","No"))</f>
        <v/>
      </c>
      <c r="L628" s="16" t="n"/>
      <c r="M628" s="16" t="n"/>
      <c r="N628" s="17">
        <f>IF($D628="","",IF($M628="Excused","No",IF(AND($G628="PT Modified",$L628="Received"),"No","Yes")))</f>
        <v/>
      </c>
      <c r="O628" s="16" t="n"/>
      <c r="P628" s="17">
        <f>IF(OR($B628="",N($I628)=0),"",MIN(N($I628),SUMIFS(nrMK_Min,nrMK_Link,$B628,nrMK_Credit,"Yes",nrMK_PID,$E628,nrMK_Type,"Classroom")))</f>
        <v/>
      </c>
      <c r="Q628" s="17">
        <f>IF(OR($B628="",N($J628)=0),"",MIN(N($J628),SUMIFS(nrMK_Sess,nrMK_Link,$B628,nrMK_Credit,"Yes",nrMK_PID,$E628,nrMK_Type,"PT")))</f>
        <v/>
      </c>
      <c r="R628" s="17">
        <f>IF(OR($B628="",$N628&lt;&gt;"Yes"),"",IF($K628="Yes",IF(N($J628)&gt;0,N($J628)-N($Q628),""),IF(N($I628)&gt;0,N($I628)-N($P628),"")))</f>
        <v/>
      </c>
      <c r="S628" s="17">
        <f>IF(OR($B628="",$R628=""),"",IF($R628&lt;=0,IF(IFERROR(_xlfn.MAXIFS(nrMK_Date,nrMK_Link,$B628,nrMK_Credit,"Yes",nrMK_PID,$E628),0)=0,"CLEARED (makeup date missing)","CLEARED "&amp;TEXT(_xlfn.MAXIFS(nrMK_Date,nrMK_Link,$B628,nrMK_Credit,"Yes",nrMK_PID,$E628),"mm/dd")),"OPEN"))</f>
        <v/>
      </c>
      <c r="T628" s="17">
        <f>IF($D628="","",IF($C628="","NO DATE",IF($G628="","NO EVENT TYPE",IF(AND($I628&lt;&gt;"",NOT(ISNUMBER($I628))),"MINUTES NOT A NUMBER",IF(AND($J628&lt;&gt;"",NOT(ISNUMBER($J628))),"SESSIONS NOT A NUMBER",IF(OR(N($I628)&lt;0,N($J628)&lt;0),"NEGATIVE MINUTES/SESSIONS",IF(AND($K628="Yes",N($I628)&gt;0),"MINUTES ON A PT EVENT - not counted (PT counts sessions)",IF(AND($K628="No",N($J628)&gt;0),"SESSIONS ON A CLASSROOM EVENT - not counted (classroom counts minutes)",IF(AND($N628="Yes",$K628="Yes",N($J628)=0),"COUNTED PT EVENT WITH NO SESSIONS - dropped from the PT cap",IF(AND($N628="Yes",$K628="No",N($I628)=0),"COUNTED EVENT WITH NO MINUTES - dropped from the classroom cap","OK"))))))))))</f>
        <v/>
      </c>
    </row>
    <row r="629">
      <c r="B629" s="17">
        <f>IF($D629="","","A"&amp;TEXT(ROW()-5,"000"))</f>
        <v/>
      </c>
      <c r="C629" s="18" t="n"/>
      <c r="D629" s="16" t="n"/>
      <c r="E629" s="17">
        <f>IF($D629="","",IFERROR(INDEX(rngCadetPIDs,MATCH($D629,rngCadetNames,0)),"?"))</f>
        <v/>
      </c>
      <c r="F629" s="17">
        <f>IF($E629="","",IFERROR(INDEX(nrCadetAgency,MATCH($E629,rngCadetPIDs,0)),""))</f>
        <v/>
      </c>
      <c r="G629" s="16" t="n"/>
      <c r="H629" s="16" t="n"/>
      <c r="I629" s="16" t="n"/>
      <c r="J629" s="16" t="n"/>
      <c r="K629" s="17">
        <f>IF($G629="","",IF(OR($G629="PT Missed",$G629="PT Modified",$G629="PT Refused"),"Yes","No"))</f>
        <v/>
      </c>
      <c r="L629" s="16" t="n"/>
      <c r="M629" s="16" t="n"/>
      <c r="N629" s="17">
        <f>IF($D629="","",IF($M629="Excused","No",IF(AND($G629="PT Modified",$L629="Received"),"No","Yes")))</f>
        <v/>
      </c>
      <c r="O629" s="16" t="n"/>
      <c r="P629" s="17">
        <f>IF(OR($B629="",N($I629)=0),"",MIN(N($I629),SUMIFS(nrMK_Min,nrMK_Link,$B629,nrMK_Credit,"Yes",nrMK_PID,$E629,nrMK_Type,"Classroom")))</f>
        <v/>
      </c>
      <c r="Q629" s="17">
        <f>IF(OR($B629="",N($J629)=0),"",MIN(N($J629),SUMIFS(nrMK_Sess,nrMK_Link,$B629,nrMK_Credit,"Yes",nrMK_PID,$E629,nrMK_Type,"PT")))</f>
        <v/>
      </c>
      <c r="R629" s="17">
        <f>IF(OR($B629="",$N629&lt;&gt;"Yes"),"",IF($K629="Yes",IF(N($J629)&gt;0,N($J629)-N($Q629),""),IF(N($I629)&gt;0,N($I629)-N($P629),"")))</f>
        <v/>
      </c>
      <c r="S629" s="17">
        <f>IF(OR($B629="",$R629=""),"",IF($R629&lt;=0,IF(IFERROR(_xlfn.MAXIFS(nrMK_Date,nrMK_Link,$B629,nrMK_Credit,"Yes",nrMK_PID,$E629),0)=0,"CLEARED (makeup date missing)","CLEARED "&amp;TEXT(_xlfn.MAXIFS(nrMK_Date,nrMK_Link,$B629,nrMK_Credit,"Yes",nrMK_PID,$E629),"mm/dd")),"OPEN"))</f>
        <v/>
      </c>
      <c r="T629" s="17">
        <f>IF($D629="","",IF($C629="","NO DATE",IF($G629="","NO EVENT TYPE",IF(AND($I629&lt;&gt;"",NOT(ISNUMBER($I629))),"MINUTES NOT A NUMBER",IF(AND($J629&lt;&gt;"",NOT(ISNUMBER($J629))),"SESSIONS NOT A NUMBER",IF(OR(N($I629)&lt;0,N($J629)&lt;0),"NEGATIVE MINUTES/SESSIONS",IF(AND($K629="Yes",N($I629)&gt;0),"MINUTES ON A PT EVENT - not counted (PT counts sessions)",IF(AND($K629="No",N($J629)&gt;0),"SESSIONS ON A CLASSROOM EVENT - not counted (classroom counts minutes)",IF(AND($N629="Yes",$K629="Yes",N($J629)=0),"COUNTED PT EVENT WITH NO SESSIONS - dropped from the PT cap",IF(AND($N629="Yes",$K629="No",N($I629)=0),"COUNTED EVENT WITH NO MINUTES - dropped from the classroom cap","OK"))))))))))</f>
        <v/>
      </c>
    </row>
    <row r="630">
      <c r="B630" s="17">
        <f>IF($D630="","","A"&amp;TEXT(ROW()-5,"000"))</f>
        <v/>
      </c>
      <c r="C630" s="18" t="n"/>
      <c r="D630" s="16" t="n"/>
      <c r="E630" s="17">
        <f>IF($D630="","",IFERROR(INDEX(rngCadetPIDs,MATCH($D630,rngCadetNames,0)),"?"))</f>
        <v/>
      </c>
      <c r="F630" s="17">
        <f>IF($E630="","",IFERROR(INDEX(nrCadetAgency,MATCH($E630,rngCadetPIDs,0)),""))</f>
        <v/>
      </c>
      <c r="G630" s="16" t="n"/>
      <c r="H630" s="16" t="n"/>
      <c r="I630" s="16" t="n"/>
      <c r="J630" s="16" t="n"/>
      <c r="K630" s="17">
        <f>IF($G630="","",IF(OR($G630="PT Missed",$G630="PT Modified",$G630="PT Refused"),"Yes","No"))</f>
        <v/>
      </c>
      <c r="L630" s="16" t="n"/>
      <c r="M630" s="16" t="n"/>
      <c r="N630" s="17">
        <f>IF($D630="","",IF($M630="Excused","No",IF(AND($G630="PT Modified",$L630="Received"),"No","Yes")))</f>
        <v/>
      </c>
      <c r="O630" s="16" t="n"/>
      <c r="P630" s="17">
        <f>IF(OR($B630="",N($I630)=0),"",MIN(N($I630),SUMIFS(nrMK_Min,nrMK_Link,$B630,nrMK_Credit,"Yes",nrMK_PID,$E630,nrMK_Type,"Classroom")))</f>
        <v/>
      </c>
      <c r="Q630" s="17">
        <f>IF(OR($B630="",N($J630)=0),"",MIN(N($J630),SUMIFS(nrMK_Sess,nrMK_Link,$B630,nrMK_Credit,"Yes",nrMK_PID,$E630,nrMK_Type,"PT")))</f>
        <v/>
      </c>
      <c r="R630" s="17">
        <f>IF(OR($B630="",$N630&lt;&gt;"Yes"),"",IF($K630="Yes",IF(N($J630)&gt;0,N($J630)-N($Q630),""),IF(N($I630)&gt;0,N($I630)-N($P630),"")))</f>
        <v/>
      </c>
      <c r="S630" s="17">
        <f>IF(OR($B630="",$R630=""),"",IF($R630&lt;=0,IF(IFERROR(_xlfn.MAXIFS(nrMK_Date,nrMK_Link,$B630,nrMK_Credit,"Yes",nrMK_PID,$E630),0)=0,"CLEARED (makeup date missing)","CLEARED "&amp;TEXT(_xlfn.MAXIFS(nrMK_Date,nrMK_Link,$B630,nrMK_Credit,"Yes",nrMK_PID,$E630),"mm/dd")),"OPEN"))</f>
        <v/>
      </c>
      <c r="T630" s="17">
        <f>IF($D630="","",IF($C630="","NO DATE",IF($G630="","NO EVENT TYPE",IF(AND($I630&lt;&gt;"",NOT(ISNUMBER($I630))),"MINUTES NOT A NUMBER",IF(AND($J630&lt;&gt;"",NOT(ISNUMBER($J630))),"SESSIONS NOT A NUMBER",IF(OR(N($I630)&lt;0,N($J630)&lt;0),"NEGATIVE MINUTES/SESSIONS",IF(AND($K630="Yes",N($I630)&gt;0),"MINUTES ON A PT EVENT - not counted (PT counts sessions)",IF(AND($K630="No",N($J630)&gt;0),"SESSIONS ON A CLASSROOM EVENT - not counted (classroom counts minutes)",IF(AND($N630="Yes",$K630="Yes",N($J630)=0),"COUNTED PT EVENT WITH NO SESSIONS - dropped from the PT cap",IF(AND($N630="Yes",$K630="No",N($I630)=0),"COUNTED EVENT WITH NO MINUTES - dropped from the classroom cap","OK"))))))))))</f>
        <v/>
      </c>
    </row>
    <row r="631">
      <c r="B631" s="17">
        <f>IF($D631="","","A"&amp;TEXT(ROW()-5,"000"))</f>
        <v/>
      </c>
      <c r="C631" s="18" t="n"/>
      <c r="D631" s="16" t="n"/>
      <c r="E631" s="17">
        <f>IF($D631="","",IFERROR(INDEX(rngCadetPIDs,MATCH($D631,rngCadetNames,0)),"?"))</f>
        <v/>
      </c>
      <c r="F631" s="17">
        <f>IF($E631="","",IFERROR(INDEX(nrCadetAgency,MATCH($E631,rngCadetPIDs,0)),""))</f>
        <v/>
      </c>
      <c r="G631" s="16" t="n"/>
      <c r="H631" s="16" t="n"/>
      <c r="I631" s="16" t="n"/>
      <c r="J631" s="16" t="n"/>
      <c r="K631" s="17">
        <f>IF($G631="","",IF(OR($G631="PT Missed",$G631="PT Modified",$G631="PT Refused"),"Yes","No"))</f>
        <v/>
      </c>
      <c r="L631" s="16" t="n"/>
      <c r="M631" s="16" t="n"/>
      <c r="N631" s="17">
        <f>IF($D631="","",IF($M631="Excused","No",IF(AND($G631="PT Modified",$L631="Received"),"No","Yes")))</f>
        <v/>
      </c>
      <c r="O631" s="16" t="n"/>
      <c r="P631" s="17">
        <f>IF(OR($B631="",N($I631)=0),"",MIN(N($I631),SUMIFS(nrMK_Min,nrMK_Link,$B631,nrMK_Credit,"Yes",nrMK_PID,$E631,nrMK_Type,"Classroom")))</f>
        <v/>
      </c>
      <c r="Q631" s="17">
        <f>IF(OR($B631="",N($J631)=0),"",MIN(N($J631),SUMIFS(nrMK_Sess,nrMK_Link,$B631,nrMK_Credit,"Yes",nrMK_PID,$E631,nrMK_Type,"PT")))</f>
        <v/>
      </c>
      <c r="R631" s="17">
        <f>IF(OR($B631="",$N631&lt;&gt;"Yes"),"",IF($K631="Yes",IF(N($J631)&gt;0,N($J631)-N($Q631),""),IF(N($I631)&gt;0,N($I631)-N($P631),"")))</f>
        <v/>
      </c>
      <c r="S631" s="17">
        <f>IF(OR($B631="",$R631=""),"",IF($R631&lt;=0,IF(IFERROR(_xlfn.MAXIFS(nrMK_Date,nrMK_Link,$B631,nrMK_Credit,"Yes",nrMK_PID,$E631),0)=0,"CLEARED (makeup date missing)","CLEARED "&amp;TEXT(_xlfn.MAXIFS(nrMK_Date,nrMK_Link,$B631,nrMK_Credit,"Yes",nrMK_PID,$E631),"mm/dd")),"OPEN"))</f>
        <v/>
      </c>
      <c r="T631" s="17">
        <f>IF($D631="","",IF($C631="","NO DATE",IF($G631="","NO EVENT TYPE",IF(AND($I631&lt;&gt;"",NOT(ISNUMBER($I631))),"MINUTES NOT A NUMBER",IF(AND($J631&lt;&gt;"",NOT(ISNUMBER($J631))),"SESSIONS NOT A NUMBER",IF(OR(N($I631)&lt;0,N($J631)&lt;0),"NEGATIVE MINUTES/SESSIONS",IF(AND($K631="Yes",N($I631)&gt;0),"MINUTES ON A PT EVENT - not counted (PT counts sessions)",IF(AND($K631="No",N($J631)&gt;0),"SESSIONS ON A CLASSROOM EVENT - not counted (classroom counts minutes)",IF(AND($N631="Yes",$K631="Yes",N($J631)=0),"COUNTED PT EVENT WITH NO SESSIONS - dropped from the PT cap",IF(AND($N631="Yes",$K631="No",N($I631)=0),"COUNTED EVENT WITH NO MINUTES - dropped from the classroom cap","OK"))))))))))</f>
        <v/>
      </c>
    </row>
    <row r="632">
      <c r="B632" s="17">
        <f>IF($D632="","","A"&amp;TEXT(ROW()-5,"000"))</f>
        <v/>
      </c>
      <c r="C632" s="18" t="n"/>
      <c r="D632" s="16" t="n"/>
      <c r="E632" s="17">
        <f>IF($D632="","",IFERROR(INDEX(rngCadetPIDs,MATCH($D632,rngCadetNames,0)),"?"))</f>
        <v/>
      </c>
      <c r="F632" s="17">
        <f>IF($E632="","",IFERROR(INDEX(nrCadetAgency,MATCH($E632,rngCadetPIDs,0)),""))</f>
        <v/>
      </c>
      <c r="G632" s="16" t="n"/>
      <c r="H632" s="16" t="n"/>
      <c r="I632" s="16" t="n"/>
      <c r="J632" s="16" t="n"/>
      <c r="K632" s="17">
        <f>IF($G632="","",IF(OR($G632="PT Missed",$G632="PT Modified",$G632="PT Refused"),"Yes","No"))</f>
        <v/>
      </c>
      <c r="L632" s="16" t="n"/>
      <c r="M632" s="16" t="n"/>
      <c r="N632" s="17">
        <f>IF($D632="","",IF($M632="Excused","No",IF(AND($G632="PT Modified",$L632="Received"),"No","Yes")))</f>
        <v/>
      </c>
      <c r="O632" s="16" t="n"/>
      <c r="P632" s="17">
        <f>IF(OR($B632="",N($I632)=0),"",MIN(N($I632),SUMIFS(nrMK_Min,nrMK_Link,$B632,nrMK_Credit,"Yes",nrMK_PID,$E632,nrMK_Type,"Classroom")))</f>
        <v/>
      </c>
      <c r="Q632" s="17">
        <f>IF(OR($B632="",N($J632)=0),"",MIN(N($J632),SUMIFS(nrMK_Sess,nrMK_Link,$B632,nrMK_Credit,"Yes",nrMK_PID,$E632,nrMK_Type,"PT")))</f>
        <v/>
      </c>
      <c r="R632" s="17">
        <f>IF(OR($B632="",$N632&lt;&gt;"Yes"),"",IF($K632="Yes",IF(N($J632)&gt;0,N($J632)-N($Q632),""),IF(N($I632)&gt;0,N($I632)-N($P632),"")))</f>
        <v/>
      </c>
      <c r="S632" s="17">
        <f>IF(OR($B632="",$R632=""),"",IF($R632&lt;=0,IF(IFERROR(_xlfn.MAXIFS(nrMK_Date,nrMK_Link,$B632,nrMK_Credit,"Yes",nrMK_PID,$E632),0)=0,"CLEARED (makeup date missing)","CLEARED "&amp;TEXT(_xlfn.MAXIFS(nrMK_Date,nrMK_Link,$B632,nrMK_Credit,"Yes",nrMK_PID,$E632),"mm/dd")),"OPEN"))</f>
        <v/>
      </c>
      <c r="T632" s="17">
        <f>IF($D632="","",IF($C632="","NO DATE",IF($G632="","NO EVENT TYPE",IF(AND($I632&lt;&gt;"",NOT(ISNUMBER($I632))),"MINUTES NOT A NUMBER",IF(AND($J632&lt;&gt;"",NOT(ISNUMBER($J632))),"SESSIONS NOT A NUMBER",IF(OR(N($I632)&lt;0,N($J632)&lt;0),"NEGATIVE MINUTES/SESSIONS",IF(AND($K632="Yes",N($I632)&gt;0),"MINUTES ON A PT EVENT - not counted (PT counts sessions)",IF(AND($K632="No",N($J632)&gt;0),"SESSIONS ON A CLASSROOM EVENT - not counted (classroom counts minutes)",IF(AND($N632="Yes",$K632="Yes",N($J632)=0),"COUNTED PT EVENT WITH NO SESSIONS - dropped from the PT cap",IF(AND($N632="Yes",$K632="No",N($I632)=0),"COUNTED EVENT WITH NO MINUTES - dropped from the classroom cap","OK"))))))))))</f>
        <v/>
      </c>
    </row>
    <row r="633">
      <c r="B633" s="17">
        <f>IF($D633="","","A"&amp;TEXT(ROW()-5,"000"))</f>
        <v/>
      </c>
      <c r="C633" s="18" t="n"/>
      <c r="D633" s="16" t="n"/>
      <c r="E633" s="17">
        <f>IF($D633="","",IFERROR(INDEX(rngCadetPIDs,MATCH($D633,rngCadetNames,0)),"?"))</f>
        <v/>
      </c>
      <c r="F633" s="17">
        <f>IF($E633="","",IFERROR(INDEX(nrCadetAgency,MATCH($E633,rngCadetPIDs,0)),""))</f>
        <v/>
      </c>
      <c r="G633" s="16" t="n"/>
      <c r="H633" s="16" t="n"/>
      <c r="I633" s="16" t="n"/>
      <c r="J633" s="16" t="n"/>
      <c r="K633" s="17">
        <f>IF($G633="","",IF(OR($G633="PT Missed",$G633="PT Modified",$G633="PT Refused"),"Yes","No"))</f>
        <v/>
      </c>
      <c r="L633" s="16" t="n"/>
      <c r="M633" s="16" t="n"/>
      <c r="N633" s="17">
        <f>IF($D633="","",IF($M633="Excused","No",IF(AND($G633="PT Modified",$L633="Received"),"No","Yes")))</f>
        <v/>
      </c>
      <c r="O633" s="16" t="n"/>
      <c r="P633" s="17">
        <f>IF(OR($B633="",N($I633)=0),"",MIN(N($I633),SUMIFS(nrMK_Min,nrMK_Link,$B633,nrMK_Credit,"Yes",nrMK_PID,$E633,nrMK_Type,"Classroom")))</f>
        <v/>
      </c>
      <c r="Q633" s="17">
        <f>IF(OR($B633="",N($J633)=0),"",MIN(N($J633),SUMIFS(nrMK_Sess,nrMK_Link,$B633,nrMK_Credit,"Yes",nrMK_PID,$E633,nrMK_Type,"PT")))</f>
        <v/>
      </c>
      <c r="R633" s="17">
        <f>IF(OR($B633="",$N633&lt;&gt;"Yes"),"",IF($K633="Yes",IF(N($J633)&gt;0,N($J633)-N($Q633),""),IF(N($I633)&gt;0,N($I633)-N($P633),"")))</f>
        <v/>
      </c>
      <c r="S633" s="17">
        <f>IF(OR($B633="",$R633=""),"",IF($R633&lt;=0,IF(IFERROR(_xlfn.MAXIFS(nrMK_Date,nrMK_Link,$B633,nrMK_Credit,"Yes",nrMK_PID,$E633),0)=0,"CLEARED (makeup date missing)","CLEARED "&amp;TEXT(_xlfn.MAXIFS(nrMK_Date,nrMK_Link,$B633,nrMK_Credit,"Yes",nrMK_PID,$E633),"mm/dd")),"OPEN"))</f>
        <v/>
      </c>
      <c r="T633" s="17">
        <f>IF($D633="","",IF($C633="","NO DATE",IF($G633="","NO EVENT TYPE",IF(AND($I633&lt;&gt;"",NOT(ISNUMBER($I633))),"MINUTES NOT A NUMBER",IF(AND($J633&lt;&gt;"",NOT(ISNUMBER($J633))),"SESSIONS NOT A NUMBER",IF(OR(N($I633)&lt;0,N($J633)&lt;0),"NEGATIVE MINUTES/SESSIONS",IF(AND($K633="Yes",N($I633)&gt;0),"MINUTES ON A PT EVENT - not counted (PT counts sessions)",IF(AND($K633="No",N($J633)&gt;0),"SESSIONS ON A CLASSROOM EVENT - not counted (classroom counts minutes)",IF(AND($N633="Yes",$K633="Yes",N($J633)=0),"COUNTED PT EVENT WITH NO SESSIONS - dropped from the PT cap",IF(AND($N633="Yes",$K633="No",N($I633)=0),"COUNTED EVENT WITH NO MINUTES - dropped from the classroom cap","OK"))))))))))</f>
        <v/>
      </c>
    </row>
    <row r="634">
      <c r="B634" s="17">
        <f>IF($D634="","","A"&amp;TEXT(ROW()-5,"000"))</f>
        <v/>
      </c>
      <c r="C634" s="18" t="n"/>
      <c r="D634" s="16" t="n"/>
      <c r="E634" s="17">
        <f>IF($D634="","",IFERROR(INDEX(rngCadetPIDs,MATCH($D634,rngCadetNames,0)),"?"))</f>
        <v/>
      </c>
      <c r="F634" s="17">
        <f>IF($E634="","",IFERROR(INDEX(nrCadetAgency,MATCH($E634,rngCadetPIDs,0)),""))</f>
        <v/>
      </c>
      <c r="G634" s="16" t="n"/>
      <c r="H634" s="16" t="n"/>
      <c r="I634" s="16" t="n"/>
      <c r="J634" s="16" t="n"/>
      <c r="K634" s="17">
        <f>IF($G634="","",IF(OR($G634="PT Missed",$G634="PT Modified",$G634="PT Refused"),"Yes","No"))</f>
        <v/>
      </c>
      <c r="L634" s="16" t="n"/>
      <c r="M634" s="16" t="n"/>
      <c r="N634" s="17">
        <f>IF($D634="","",IF($M634="Excused","No",IF(AND($G634="PT Modified",$L634="Received"),"No","Yes")))</f>
        <v/>
      </c>
      <c r="O634" s="16" t="n"/>
      <c r="P634" s="17">
        <f>IF(OR($B634="",N($I634)=0),"",MIN(N($I634),SUMIFS(nrMK_Min,nrMK_Link,$B634,nrMK_Credit,"Yes",nrMK_PID,$E634,nrMK_Type,"Classroom")))</f>
        <v/>
      </c>
      <c r="Q634" s="17">
        <f>IF(OR($B634="",N($J634)=0),"",MIN(N($J634),SUMIFS(nrMK_Sess,nrMK_Link,$B634,nrMK_Credit,"Yes",nrMK_PID,$E634,nrMK_Type,"PT")))</f>
        <v/>
      </c>
      <c r="R634" s="17">
        <f>IF(OR($B634="",$N634&lt;&gt;"Yes"),"",IF($K634="Yes",IF(N($J634)&gt;0,N($J634)-N($Q634),""),IF(N($I634)&gt;0,N($I634)-N($P634),"")))</f>
        <v/>
      </c>
      <c r="S634" s="17">
        <f>IF(OR($B634="",$R634=""),"",IF($R634&lt;=0,IF(IFERROR(_xlfn.MAXIFS(nrMK_Date,nrMK_Link,$B634,nrMK_Credit,"Yes",nrMK_PID,$E634),0)=0,"CLEARED (makeup date missing)","CLEARED "&amp;TEXT(_xlfn.MAXIFS(nrMK_Date,nrMK_Link,$B634,nrMK_Credit,"Yes",nrMK_PID,$E634),"mm/dd")),"OPEN"))</f>
        <v/>
      </c>
      <c r="T634" s="17">
        <f>IF($D634="","",IF($C634="","NO DATE",IF($G634="","NO EVENT TYPE",IF(AND($I634&lt;&gt;"",NOT(ISNUMBER($I634))),"MINUTES NOT A NUMBER",IF(AND($J634&lt;&gt;"",NOT(ISNUMBER($J634))),"SESSIONS NOT A NUMBER",IF(OR(N($I634)&lt;0,N($J634)&lt;0),"NEGATIVE MINUTES/SESSIONS",IF(AND($K634="Yes",N($I634)&gt;0),"MINUTES ON A PT EVENT - not counted (PT counts sessions)",IF(AND($K634="No",N($J634)&gt;0),"SESSIONS ON A CLASSROOM EVENT - not counted (classroom counts minutes)",IF(AND($N634="Yes",$K634="Yes",N($J634)=0),"COUNTED PT EVENT WITH NO SESSIONS - dropped from the PT cap",IF(AND($N634="Yes",$K634="No",N($I634)=0),"COUNTED EVENT WITH NO MINUTES - dropped from the classroom cap","OK"))))))))))</f>
        <v/>
      </c>
    </row>
    <row r="635">
      <c r="B635" s="17">
        <f>IF($D635="","","A"&amp;TEXT(ROW()-5,"000"))</f>
        <v/>
      </c>
      <c r="C635" s="18" t="n"/>
      <c r="D635" s="16" t="n"/>
      <c r="E635" s="17">
        <f>IF($D635="","",IFERROR(INDEX(rngCadetPIDs,MATCH($D635,rngCadetNames,0)),"?"))</f>
        <v/>
      </c>
      <c r="F635" s="17">
        <f>IF($E635="","",IFERROR(INDEX(nrCadetAgency,MATCH($E635,rngCadetPIDs,0)),""))</f>
        <v/>
      </c>
      <c r="G635" s="16" t="n"/>
      <c r="H635" s="16" t="n"/>
      <c r="I635" s="16" t="n"/>
      <c r="J635" s="16" t="n"/>
      <c r="K635" s="17">
        <f>IF($G635="","",IF(OR($G635="PT Missed",$G635="PT Modified",$G635="PT Refused"),"Yes","No"))</f>
        <v/>
      </c>
      <c r="L635" s="16" t="n"/>
      <c r="M635" s="16" t="n"/>
      <c r="N635" s="17">
        <f>IF($D635="","",IF($M635="Excused","No",IF(AND($G635="PT Modified",$L635="Received"),"No","Yes")))</f>
        <v/>
      </c>
      <c r="O635" s="16" t="n"/>
      <c r="P635" s="17">
        <f>IF(OR($B635="",N($I635)=0),"",MIN(N($I635),SUMIFS(nrMK_Min,nrMK_Link,$B635,nrMK_Credit,"Yes",nrMK_PID,$E635,nrMK_Type,"Classroom")))</f>
        <v/>
      </c>
      <c r="Q635" s="17">
        <f>IF(OR($B635="",N($J635)=0),"",MIN(N($J635),SUMIFS(nrMK_Sess,nrMK_Link,$B635,nrMK_Credit,"Yes",nrMK_PID,$E635,nrMK_Type,"PT")))</f>
        <v/>
      </c>
      <c r="R635" s="17">
        <f>IF(OR($B635="",$N635&lt;&gt;"Yes"),"",IF($K635="Yes",IF(N($J635)&gt;0,N($J635)-N($Q635),""),IF(N($I635)&gt;0,N($I635)-N($P635),"")))</f>
        <v/>
      </c>
      <c r="S635" s="17">
        <f>IF(OR($B635="",$R635=""),"",IF($R635&lt;=0,IF(IFERROR(_xlfn.MAXIFS(nrMK_Date,nrMK_Link,$B635,nrMK_Credit,"Yes",nrMK_PID,$E635),0)=0,"CLEARED (makeup date missing)","CLEARED "&amp;TEXT(_xlfn.MAXIFS(nrMK_Date,nrMK_Link,$B635,nrMK_Credit,"Yes",nrMK_PID,$E635),"mm/dd")),"OPEN"))</f>
        <v/>
      </c>
      <c r="T635" s="17">
        <f>IF($D635="","",IF($C635="","NO DATE",IF($G635="","NO EVENT TYPE",IF(AND($I635&lt;&gt;"",NOT(ISNUMBER($I635))),"MINUTES NOT A NUMBER",IF(AND($J635&lt;&gt;"",NOT(ISNUMBER($J635))),"SESSIONS NOT A NUMBER",IF(OR(N($I635)&lt;0,N($J635)&lt;0),"NEGATIVE MINUTES/SESSIONS",IF(AND($K635="Yes",N($I635)&gt;0),"MINUTES ON A PT EVENT - not counted (PT counts sessions)",IF(AND($K635="No",N($J635)&gt;0),"SESSIONS ON A CLASSROOM EVENT - not counted (classroom counts minutes)",IF(AND($N635="Yes",$K635="Yes",N($J635)=0),"COUNTED PT EVENT WITH NO SESSIONS - dropped from the PT cap",IF(AND($N635="Yes",$K635="No",N($I635)=0),"COUNTED EVENT WITH NO MINUTES - dropped from the classroom cap","OK"))))))))))</f>
        <v/>
      </c>
    </row>
    <row r="636">
      <c r="B636" s="17">
        <f>IF($D636="","","A"&amp;TEXT(ROW()-5,"000"))</f>
        <v/>
      </c>
      <c r="C636" s="18" t="n"/>
      <c r="D636" s="16" t="n"/>
      <c r="E636" s="17">
        <f>IF($D636="","",IFERROR(INDEX(rngCadetPIDs,MATCH($D636,rngCadetNames,0)),"?"))</f>
        <v/>
      </c>
      <c r="F636" s="17">
        <f>IF($E636="","",IFERROR(INDEX(nrCadetAgency,MATCH($E636,rngCadetPIDs,0)),""))</f>
        <v/>
      </c>
      <c r="G636" s="16" t="n"/>
      <c r="H636" s="16" t="n"/>
      <c r="I636" s="16" t="n"/>
      <c r="J636" s="16" t="n"/>
      <c r="K636" s="17">
        <f>IF($G636="","",IF(OR($G636="PT Missed",$G636="PT Modified",$G636="PT Refused"),"Yes","No"))</f>
        <v/>
      </c>
      <c r="L636" s="16" t="n"/>
      <c r="M636" s="16" t="n"/>
      <c r="N636" s="17">
        <f>IF($D636="","",IF($M636="Excused","No",IF(AND($G636="PT Modified",$L636="Received"),"No","Yes")))</f>
        <v/>
      </c>
      <c r="O636" s="16" t="n"/>
      <c r="P636" s="17">
        <f>IF(OR($B636="",N($I636)=0),"",MIN(N($I636),SUMIFS(nrMK_Min,nrMK_Link,$B636,nrMK_Credit,"Yes",nrMK_PID,$E636,nrMK_Type,"Classroom")))</f>
        <v/>
      </c>
      <c r="Q636" s="17">
        <f>IF(OR($B636="",N($J636)=0),"",MIN(N($J636),SUMIFS(nrMK_Sess,nrMK_Link,$B636,nrMK_Credit,"Yes",nrMK_PID,$E636,nrMK_Type,"PT")))</f>
        <v/>
      </c>
      <c r="R636" s="17">
        <f>IF(OR($B636="",$N636&lt;&gt;"Yes"),"",IF($K636="Yes",IF(N($J636)&gt;0,N($J636)-N($Q636),""),IF(N($I636)&gt;0,N($I636)-N($P636),"")))</f>
        <v/>
      </c>
      <c r="S636" s="17">
        <f>IF(OR($B636="",$R636=""),"",IF($R636&lt;=0,IF(IFERROR(_xlfn.MAXIFS(nrMK_Date,nrMK_Link,$B636,nrMK_Credit,"Yes",nrMK_PID,$E636),0)=0,"CLEARED (makeup date missing)","CLEARED "&amp;TEXT(_xlfn.MAXIFS(nrMK_Date,nrMK_Link,$B636,nrMK_Credit,"Yes",nrMK_PID,$E636),"mm/dd")),"OPEN"))</f>
        <v/>
      </c>
      <c r="T636" s="17">
        <f>IF($D636="","",IF($C636="","NO DATE",IF($G636="","NO EVENT TYPE",IF(AND($I636&lt;&gt;"",NOT(ISNUMBER($I636))),"MINUTES NOT A NUMBER",IF(AND($J636&lt;&gt;"",NOT(ISNUMBER($J636))),"SESSIONS NOT A NUMBER",IF(OR(N($I636)&lt;0,N($J636)&lt;0),"NEGATIVE MINUTES/SESSIONS",IF(AND($K636="Yes",N($I636)&gt;0),"MINUTES ON A PT EVENT - not counted (PT counts sessions)",IF(AND($K636="No",N($J636)&gt;0),"SESSIONS ON A CLASSROOM EVENT - not counted (classroom counts minutes)",IF(AND($N636="Yes",$K636="Yes",N($J636)=0),"COUNTED PT EVENT WITH NO SESSIONS - dropped from the PT cap",IF(AND($N636="Yes",$K636="No",N($I636)=0),"COUNTED EVENT WITH NO MINUTES - dropped from the classroom cap","OK"))))))))))</f>
        <v/>
      </c>
    </row>
    <row r="637">
      <c r="B637" s="17">
        <f>IF($D637="","","A"&amp;TEXT(ROW()-5,"000"))</f>
        <v/>
      </c>
      <c r="C637" s="18" t="n"/>
      <c r="D637" s="16" t="n"/>
      <c r="E637" s="17">
        <f>IF($D637="","",IFERROR(INDEX(rngCadetPIDs,MATCH($D637,rngCadetNames,0)),"?"))</f>
        <v/>
      </c>
      <c r="F637" s="17">
        <f>IF($E637="","",IFERROR(INDEX(nrCadetAgency,MATCH($E637,rngCadetPIDs,0)),""))</f>
        <v/>
      </c>
      <c r="G637" s="16" t="n"/>
      <c r="H637" s="16" t="n"/>
      <c r="I637" s="16" t="n"/>
      <c r="J637" s="16" t="n"/>
      <c r="K637" s="17">
        <f>IF($G637="","",IF(OR($G637="PT Missed",$G637="PT Modified",$G637="PT Refused"),"Yes","No"))</f>
        <v/>
      </c>
      <c r="L637" s="16" t="n"/>
      <c r="M637" s="16" t="n"/>
      <c r="N637" s="17">
        <f>IF($D637="","",IF($M637="Excused","No",IF(AND($G637="PT Modified",$L637="Received"),"No","Yes")))</f>
        <v/>
      </c>
      <c r="O637" s="16" t="n"/>
      <c r="P637" s="17">
        <f>IF(OR($B637="",N($I637)=0),"",MIN(N($I637),SUMIFS(nrMK_Min,nrMK_Link,$B637,nrMK_Credit,"Yes",nrMK_PID,$E637,nrMK_Type,"Classroom")))</f>
        <v/>
      </c>
      <c r="Q637" s="17">
        <f>IF(OR($B637="",N($J637)=0),"",MIN(N($J637),SUMIFS(nrMK_Sess,nrMK_Link,$B637,nrMK_Credit,"Yes",nrMK_PID,$E637,nrMK_Type,"PT")))</f>
        <v/>
      </c>
      <c r="R637" s="17">
        <f>IF(OR($B637="",$N637&lt;&gt;"Yes"),"",IF($K637="Yes",IF(N($J637)&gt;0,N($J637)-N($Q637),""),IF(N($I637)&gt;0,N($I637)-N($P637),"")))</f>
        <v/>
      </c>
      <c r="S637" s="17">
        <f>IF(OR($B637="",$R637=""),"",IF($R637&lt;=0,IF(IFERROR(_xlfn.MAXIFS(nrMK_Date,nrMK_Link,$B637,nrMK_Credit,"Yes",nrMK_PID,$E637),0)=0,"CLEARED (makeup date missing)","CLEARED "&amp;TEXT(_xlfn.MAXIFS(nrMK_Date,nrMK_Link,$B637,nrMK_Credit,"Yes",nrMK_PID,$E637),"mm/dd")),"OPEN"))</f>
        <v/>
      </c>
      <c r="T637" s="17">
        <f>IF($D637="","",IF($C637="","NO DATE",IF($G637="","NO EVENT TYPE",IF(AND($I637&lt;&gt;"",NOT(ISNUMBER($I637))),"MINUTES NOT A NUMBER",IF(AND($J637&lt;&gt;"",NOT(ISNUMBER($J637))),"SESSIONS NOT A NUMBER",IF(OR(N($I637)&lt;0,N($J637)&lt;0),"NEGATIVE MINUTES/SESSIONS",IF(AND($K637="Yes",N($I637)&gt;0),"MINUTES ON A PT EVENT - not counted (PT counts sessions)",IF(AND($K637="No",N($J637)&gt;0),"SESSIONS ON A CLASSROOM EVENT - not counted (classroom counts minutes)",IF(AND($N637="Yes",$K637="Yes",N($J637)=0),"COUNTED PT EVENT WITH NO SESSIONS - dropped from the PT cap",IF(AND($N637="Yes",$K637="No",N($I637)=0),"COUNTED EVENT WITH NO MINUTES - dropped from the classroom cap","OK"))))))))))</f>
        <v/>
      </c>
    </row>
    <row r="638">
      <c r="B638" s="17">
        <f>IF($D638="","","A"&amp;TEXT(ROW()-5,"000"))</f>
        <v/>
      </c>
      <c r="C638" s="18" t="n"/>
      <c r="D638" s="16" t="n"/>
      <c r="E638" s="17">
        <f>IF($D638="","",IFERROR(INDEX(rngCadetPIDs,MATCH($D638,rngCadetNames,0)),"?"))</f>
        <v/>
      </c>
      <c r="F638" s="17">
        <f>IF($E638="","",IFERROR(INDEX(nrCadetAgency,MATCH($E638,rngCadetPIDs,0)),""))</f>
        <v/>
      </c>
      <c r="G638" s="16" t="n"/>
      <c r="H638" s="16" t="n"/>
      <c r="I638" s="16" t="n"/>
      <c r="J638" s="16" t="n"/>
      <c r="K638" s="17">
        <f>IF($G638="","",IF(OR($G638="PT Missed",$G638="PT Modified",$G638="PT Refused"),"Yes","No"))</f>
        <v/>
      </c>
      <c r="L638" s="16" t="n"/>
      <c r="M638" s="16" t="n"/>
      <c r="N638" s="17">
        <f>IF($D638="","",IF($M638="Excused","No",IF(AND($G638="PT Modified",$L638="Received"),"No","Yes")))</f>
        <v/>
      </c>
      <c r="O638" s="16" t="n"/>
      <c r="P638" s="17">
        <f>IF(OR($B638="",N($I638)=0),"",MIN(N($I638),SUMIFS(nrMK_Min,nrMK_Link,$B638,nrMK_Credit,"Yes",nrMK_PID,$E638,nrMK_Type,"Classroom")))</f>
        <v/>
      </c>
      <c r="Q638" s="17">
        <f>IF(OR($B638="",N($J638)=0),"",MIN(N($J638),SUMIFS(nrMK_Sess,nrMK_Link,$B638,nrMK_Credit,"Yes",nrMK_PID,$E638,nrMK_Type,"PT")))</f>
        <v/>
      </c>
      <c r="R638" s="17">
        <f>IF(OR($B638="",$N638&lt;&gt;"Yes"),"",IF($K638="Yes",IF(N($J638)&gt;0,N($J638)-N($Q638),""),IF(N($I638)&gt;0,N($I638)-N($P638),"")))</f>
        <v/>
      </c>
      <c r="S638" s="17">
        <f>IF(OR($B638="",$R638=""),"",IF($R638&lt;=0,IF(IFERROR(_xlfn.MAXIFS(nrMK_Date,nrMK_Link,$B638,nrMK_Credit,"Yes",nrMK_PID,$E638),0)=0,"CLEARED (makeup date missing)","CLEARED "&amp;TEXT(_xlfn.MAXIFS(nrMK_Date,nrMK_Link,$B638,nrMK_Credit,"Yes",nrMK_PID,$E638),"mm/dd")),"OPEN"))</f>
        <v/>
      </c>
      <c r="T638" s="17">
        <f>IF($D638="","",IF($C638="","NO DATE",IF($G638="","NO EVENT TYPE",IF(AND($I638&lt;&gt;"",NOT(ISNUMBER($I638))),"MINUTES NOT A NUMBER",IF(AND($J638&lt;&gt;"",NOT(ISNUMBER($J638))),"SESSIONS NOT A NUMBER",IF(OR(N($I638)&lt;0,N($J638)&lt;0),"NEGATIVE MINUTES/SESSIONS",IF(AND($K638="Yes",N($I638)&gt;0),"MINUTES ON A PT EVENT - not counted (PT counts sessions)",IF(AND($K638="No",N($J638)&gt;0),"SESSIONS ON A CLASSROOM EVENT - not counted (classroom counts minutes)",IF(AND($N638="Yes",$K638="Yes",N($J638)=0),"COUNTED PT EVENT WITH NO SESSIONS - dropped from the PT cap",IF(AND($N638="Yes",$K638="No",N($I638)=0),"COUNTED EVENT WITH NO MINUTES - dropped from the classroom cap","OK"))))))))))</f>
        <v/>
      </c>
    </row>
    <row r="639">
      <c r="B639" s="17">
        <f>IF($D639="","","A"&amp;TEXT(ROW()-5,"000"))</f>
        <v/>
      </c>
      <c r="C639" s="18" t="n"/>
      <c r="D639" s="16" t="n"/>
      <c r="E639" s="17">
        <f>IF($D639="","",IFERROR(INDEX(rngCadetPIDs,MATCH($D639,rngCadetNames,0)),"?"))</f>
        <v/>
      </c>
      <c r="F639" s="17">
        <f>IF($E639="","",IFERROR(INDEX(nrCadetAgency,MATCH($E639,rngCadetPIDs,0)),""))</f>
        <v/>
      </c>
      <c r="G639" s="16" t="n"/>
      <c r="H639" s="16" t="n"/>
      <c r="I639" s="16" t="n"/>
      <c r="J639" s="16" t="n"/>
      <c r="K639" s="17">
        <f>IF($G639="","",IF(OR($G639="PT Missed",$G639="PT Modified",$G639="PT Refused"),"Yes","No"))</f>
        <v/>
      </c>
      <c r="L639" s="16" t="n"/>
      <c r="M639" s="16" t="n"/>
      <c r="N639" s="17">
        <f>IF($D639="","",IF($M639="Excused","No",IF(AND($G639="PT Modified",$L639="Received"),"No","Yes")))</f>
        <v/>
      </c>
      <c r="O639" s="16" t="n"/>
      <c r="P639" s="17">
        <f>IF(OR($B639="",N($I639)=0),"",MIN(N($I639),SUMIFS(nrMK_Min,nrMK_Link,$B639,nrMK_Credit,"Yes",nrMK_PID,$E639,nrMK_Type,"Classroom")))</f>
        <v/>
      </c>
      <c r="Q639" s="17">
        <f>IF(OR($B639="",N($J639)=0),"",MIN(N($J639),SUMIFS(nrMK_Sess,nrMK_Link,$B639,nrMK_Credit,"Yes",nrMK_PID,$E639,nrMK_Type,"PT")))</f>
        <v/>
      </c>
      <c r="R639" s="17">
        <f>IF(OR($B639="",$N639&lt;&gt;"Yes"),"",IF($K639="Yes",IF(N($J639)&gt;0,N($J639)-N($Q639),""),IF(N($I639)&gt;0,N($I639)-N($P639),"")))</f>
        <v/>
      </c>
      <c r="S639" s="17">
        <f>IF(OR($B639="",$R639=""),"",IF($R639&lt;=0,IF(IFERROR(_xlfn.MAXIFS(nrMK_Date,nrMK_Link,$B639,nrMK_Credit,"Yes",nrMK_PID,$E639),0)=0,"CLEARED (makeup date missing)","CLEARED "&amp;TEXT(_xlfn.MAXIFS(nrMK_Date,nrMK_Link,$B639,nrMK_Credit,"Yes",nrMK_PID,$E639),"mm/dd")),"OPEN"))</f>
        <v/>
      </c>
      <c r="T639" s="17">
        <f>IF($D639="","",IF($C639="","NO DATE",IF($G639="","NO EVENT TYPE",IF(AND($I639&lt;&gt;"",NOT(ISNUMBER($I639))),"MINUTES NOT A NUMBER",IF(AND($J639&lt;&gt;"",NOT(ISNUMBER($J639))),"SESSIONS NOT A NUMBER",IF(OR(N($I639)&lt;0,N($J639)&lt;0),"NEGATIVE MINUTES/SESSIONS",IF(AND($K639="Yes",N($I639)&gt;0),"MINUTES ON A PT EVENT - not counted (PT counts sessions)",IF(AND($K639="No",N($J639)&gt;0),"SESSIONS ON A CLASSROOM EVENT - not counted (classroom counts minutes)",IF(AND($N639="Yes",$K639="Yes",N($J639)=0),"COUNTED PT EVENT WITH NO SESSIONS - dropped from the PT cap",IF(AND($N639="Yes",$K639="No",N($I639)=0),"COUNTED EVENT WITH NO MINUTES - dropped from the classroom cap","OK"))))))))))</f>
        <v/>
      </c>
    </row>
    <row r="640">
      <c r="B640" s="17">
        <f>IF($D640="","","A"&amp;TEXT(ROW()-5,"000"))</f>
        <v/>
      </c>
      <c r="C640" s="18" t="n"/>
      <c r="D640" s="16" t="n"/>
      <c r="E640" s="17">
        <f>IF($D640="","",IFERROR(INDEX(rngCadetPIDs,MATCH($D640,rngCadetNames,0)),"?"))</f>
        <v/>
      </c>
      <c r="F640" s="17">
        <f>IF($E640="","",IFERROR(INDEX(nrCadetAgency,MATCH($E640,rngCadetPIDs,0)),""))</f>
        <v/>
      </c>
      <c r="G640" s="16" t="n"/>
      <c r="H640" s="16" t="n"/>
      <c r="I640" s="16" t="n"/>
      <c r="J640" s="16" t="n"/>
      <c r="K640" s="17">
        <f>IF($G640="","",IF(OR($G640="PT Missed",$G640="PT Modified",$G640="PT Refused"),"Yes","No"))</f>
        <v/>
      </c>
      <c r="L640" s="16" t="n"/>
      <c r="M640" s="16" t="n"/>
      <c r="N640" s="17">
        <f>IF($D640="","",IF($M640="Excused","No",IF(AND($G640="PT Modified",$L640="Received"),"No","Yes")))</f>
        <v/>
      </c>
      <c r="O640" s="16" t="n"/>
      <c r="P640" s="17">
        <f>IF(OR($B640="",N($I640)=0),"",MIN(N($I640),SUMIFS(nrMK_Min,nrMK_Link,$B640,nrMK_Credit,"Yes",nrMK_PID,$E640,nrMK_Type,"Classroom")))</f>
        <v/>
      </c>
      <c r="Q640" s="17">
        <f>IF(OR($B640="",N($J640)=0),"",MIN(N($J640),SUMIFS(nrMK_Sess,nrMK_Link,$B640,nrMK_Credit,"Yes",nrMK_PID,$E640,nrMK_Type,"PT")))</f>
        <v/>
      </c>
      <c r="R640" s="17">
        <f>IF(OR($B640="",$N640&lt;&gt;"Yes"),"",IF($K640="Yes",IF(N($J640)&gt;0,N($J640)-N($Q640),""),IF(N($I640)&gt;0,N($I640)-N($P640),"")))</f>
        <v/>
      </c>
      <c r="S640" s="17">
        <f>IF(OR($B640="",$R640=""),"",IF($R640&lt;=0,IF(IFERROR(_xlfn.MAXIFS(nrMK_Date,nrMK_Link,$B640,nrMK_Credit,"Yes",nrMK_PID,$E640),0)=0,"CLEARED (makeup date missing)","CLEARED "&amp;TEXT(_xlfn.MAXIFS(nrMK_Date,nrMK_Link,$B640,nrMK_Credit,"Yes",nrMK_PID,$E640),"mm/dd")),"OPEN"))</f>
        <v/>
      </c>
      <c r="T640" s="17">
        <f>IF($D640="","",IF($C640="","NO DATE",IF($G640="","NO EVENT TYPE",IF(AND($I640&lt;&gt;"",NOT(ISNUMBER($I640))),"MINUTES NOT A NUMBER",IF(AND($J640&lt;&gt;"",NOT(ISNUMBER($J640))),"SESSIONS NOT A NUMBER",IF(OR(N($I640)&lt;0,N($J640)&lt;0),"NEGATIVE MINUTES/SESSIONS",IF(AND($K640="Yes",N($I640)&gt;0),"MINUTES ON A PT EVENT - not counted (PT counts sessions)",IF(AND($K640="No",N($J640)&gt;0),"SESSIONS ON A CLASSROOM EVENT - not counted (classroom counts minutes)",IF(AND($N640="Yes",$K640="Yes",N($J640)=0),"COUNTED PT EVENT WITH NO SESSIONS - dropped from the PT cap",IF(AND($N640="Yes",$K640="No",N($I640)=0),"COUNTED EVENT WITH NO MINUTES - dropped from the classroom cap","OK"))))))))))</f>
        <v/>
      </c>
    </row>
    <row r="641">
      <c r="B641" s="17">
        <f>IF($D641="","","A"&amp;TEXT(ROW()-5,"000"))</f>
        <v/>
      </c>
      <c r="C641" s="18" t="n"/>
      <c r="D641" s="16" t="n"/>
      <c r="E641" s="17">
        <f>IF($D641="","",IFERROR(INDEX(rngCadetPIDs,MATCH($D641,rngCadetNames,0)),"?"))</f>
        <v/>
      </c>
      <c r="F641" s="17">
        <f>IF($E641="","",IFERROR(INDEX(nrCadetAgency,MATCH($E641,rngCadetPIDs,0)),""))</f>
        <v/>
      </c>
      <c r="G641" s="16" t="n"/>
      <c r="H641" s="16" t="n"/>
      <c r="I641" s="16" t="n"/>
      <c r="J641" s="16" t="n"/>
      <c r="K641" s="17">
        <f>IF($G641="","",IF(OR($G641="PT Missed",$G641="PT Modified",$G641="PT Refused"),"Yes","No"))</f>
        <v/>
      </c>
      <c r="L641" s="16" t="n"/>
      <c r="M641" s="16" t="n"/>
      <c r="N641" s="17">
        <f>IF($D641="","",IF($M641="Excused","No",IF(AND($G641="PT Modified",$L641="Received"),"No","Yes")))</f>
        <v/>
      </c>
      <c r="O641" s="16" t="n"/>
      <c r="P641" s="17">
        <f>IF(OR($B641="",N($I641)=0),"",MIN(N($I641),SUMIFS(nrMK_Min,nrMK_Link,$B641,nrMK_Credit,"Yes",nrMK_PID,$E641,nrMK_Type,"Classroom")))</f>
        <v/>
      </c>
      <c r="Q641" s="17">
        <f>IF(OR($B641="",N($J641)=0),"",MIN(N($J641),SUMIFS(nrMK_Sess,nrMK_Link,$B641,nrMK_Credit,"Yes",nrMK_PID,$E641,nrMK_Type,"PT")))</f>
        <v/>
      </c>
      <c r="R641" s="17">
        <f>IF(OR($B641="",$N641&lt;&gt;"Yes"),"",IF($K641="Yes",IF(N($J641)&gt;0,N($J641)-N($Q641),""),IF(N($I641)&gt;0,N($I641)-N($P641),"")))</f>
        <v/>
      </c>
      <c r="S641" s="17">
        <f>IF(OR($B641="",$R641=""),"",IF($R641&lt;=0,IF(IFERROR(_xlfn.MAXIFS(nrMK_Date,nrMK_Link,$B641,nrMK_Credit,"Yes",nrMK_PID,$E641),0)=0,"CLEARED (makeup date missing)","CLEARED "&amp;TEXT(_xlfn.MAXIFS(nrMK_Date,nrMK_Link,$B641,nrMK_Credit,"Yes",nrMK_PID,$E641),"mm/dd")),"OPEN"))</f>
        <v/>
      </c>
      <c r="T641" s="17">
        <f>IF($D641="","",IF($C641="","NO DATE",IF($G641="","NO EVENT TYPE",IF(AND($I641&lt;&gt;"",NOT(ISNUMBER($I641))),"MINUTES NOT A NUMBER",IF(AND($J641&lt;&gt;"",NOT(ISNUMBER($J641))),"SESSIONS NOT A NUMBER",IF(OR(N($I641)&lt;0,N($J641)&lt;0),"NEGATIVE MINUTES/SESSIONS",IF(AND($K641="Yes",N($I641)&gt;0),"MINUTES ON A PT EVENT - not counted (PT counts sessions)",IF(AND($K641="No",N($J641)&gt;0),"SESSIONS ON A CLASSROOM EVENT - not counted (classroom counts minutes)",IF(AND($N641="Yes",$K641="Yes",N($J641)=0),"COUNTED PT EVENT WITH NO SESSIONS - dropped from the PT cap",IF(AND($N641="Yes",$K641="No",N($I641)=0),"COUNTED EVENT WITH NO MINUTES - dropped from the classroom cap","OK"))))))))))</f>
        <v/>
      </c>
    </row>
    <row r="642">
      <c r="B642" s="17">
        <f>IF($D642="","","A"&amp;TEXT(ROW()-5,"000"))</f>
        <v/>
      </c>
      <c r="C642" s="18" t="n"/>
      <c r="D642" s="16" t="n"/>
      <c r="E642" s="17">
        <f>IF($D642="","",IFERROR(INDEX(rngCadetPIDs,MATCH($D642,rngCadetNames,0)),"?"))</f>
        <v/>
      </c>
      <c r="F642" s="17">
        <f>IF($E642="","",IFERROR(INDEX(nrCadetAgency,MATCH($E642,rngCadetPIDs,0)),""))</f>
        <v/>
      </c>
      <c r="G642" s="16" t="n"/>
      <c r="H642" s="16" t="n"/>
      <c r="I642" s="16" t="n"/>
      <c r="J642" s="16" t="n"/>
      <c r="K642" s="17">
        <f>IF($G642="","",IF(OR($G642="PT Missed",$G642="PT Modified",$G642="PT Refused"),"Yes","No"))</f>
        <v/>
      </c>
      <c r="L642" s="16" t="n"/>
      <c r="M642" s="16" t="n"/>
      <c r="N642" s="17">
        <f>IF($D642="","",IF($M642="Excused","No",IF(AND($G642="PT Modified",$L642="Received"),"No","Yes")))</f>
        <v/>
      </c>
      <c r="O642" s="16" t="n"/>
      <c r="P642" s="17">
        <f>IF(OR($B642="",N($I642)=0),"",MIN(N($I642),SUMIFS(nrMK_Min,nrMK_Link,$B642,nrMK_Credit,"Yes",nrMK_PID,$E642,nrMK_Type,"Classroom")))</f>
        <v/>
      </c>
      <c r="Q642" s="17">
        <f>IF(OR($B642="",N($J642)=0),"",MIN(N($J642),SUMIFS(nrMK_Sess,nrMK_Link,$B642,nrMK_Credit,"Yes",nrMK_PID,$E642,nrMK_Type,"PT")))</f>
        <v/>
      </c>
      <c r="R642" s="17">
        <f>IF(OR($B642="",$N642&lt;&gt;"Yes"),"",IF($K642="Yes",IF(N($J642)&gt;0,N($J642)-N($Q642),""),IF(N($I642)&gt;0,N($I642)-N($P642),"")))</f>
        <v/>
      </c>
      <c r="S642" s="17">
        <f>IF(OR($B642="",$R642=""),"",IF($R642&lt;=0,IF(IFERROR(_xlfn.MAXIFS(nrMK_Date,nrMK_Link,$B642,nrMK_Credit,"Yes",nrMK_PID,$E642),0)=0,"CLEARED (makeup date missing)","CLEARED "&amp;TEXT(_xlfn.MAXIFS(nrMK_Date,nrMK_Link,$B642,nrMK_Credit,"Yes",nrMK_PID,$E642),"mm/dd")),"OPEN"))</f>
        <v/>
      </c>
      <c r="T642" s="17">
        <f>IF($D642="","",IF($C642="","NO DATE",IF($G642="","NO EVENT TYPE",IF(AND($I642&lt;&gt;"",NOT(ISNUMBER($I642))),"MINUTES NOT A NUMBER",IF(AND($J642&lt;&gt;"",NOT(ISNUMBER($J642))),"SESSIONS NOT A NUMBER",IF(OR(N($I642)&lt;0,N($J642)&lt;0),"NEGATIVE MINUTES/SESSIONS",IF(AND($K642="Yes",N($I642)&gt;0),"MINUTES ON A PT EVENT - not counted (PT counts sessions)",IF(AND($K642="No",N($J642)&gt;0),"SESSIONS ON A CLASSROOM EVENT - not counted (classroom counts minutes)",IF(AND($N642="Yes",$K642="Yes",N($J642)=0),"COUNTED PT EVENT WITH NO SESSIONS - dropped from the PT cap",IF(AND($N642="Yes",$K642="No",N($I642)=0),"COUNTED EVENT WITH NO MINUTES - dropped from the classroom cap","OK"))))))))))</f>
        <v/>
      </c>
    </row>
    <row r="643">
      <c r="B643" s="17">
        <f>IF($D643="","","A"&amp;TEXT(ROW()-5,"000"))</f>
        <v/>
      </c>
      <c r="C643" s="18" t="n"/>
      <c r="D643" s="16" t="n"/>
      <c r="E643" s="17">
        <f>IF($D643="","",IFERROR(INDEX(rngCadetPIDs,MATCH($D643,rngCadetNames,0)),"?"))</f>
        <v/>
      </c>
      <c r="F643" s="17">
        <f>IF($E643="","",IFERROR(INDEX(nrCadetAgency,MATCH($E643,rngCadetPIDs,0)),""))</f>
        <v/>
      </c>
      <c r="G643" s="16" t="n"/>
      <c r="H643" s="16" t="n"/>
      <c r="I643" s="16" t="n"/>
      <c r="J643" s="16" t="n"/>
      <c r="K643" s="17">
        <f>IF($G643="","",IF(OR($G643="PT Missed",$G643="PT Modified",$G643="PT Refused"),"Yes","No"))</f>
        <v/>
      </c>
      <c r="L643" s="16" t="n"/>
      <c r="M643" s="16" t="n"/>
      <c r="N643" s="17">
        <f>IF($D643="","",IF($M643="Excused","No",IF(AND($G643="PT Modified",$L643="Received"),"No","Yes")))</f>
        <v/>
      </c>
      <c r="O643" s="16" t="n"/>
      <c r="P643" s="17">
        <f>IF(OR($B643="",N($I643)=0),"",MIN(N($I643),SUMIFS(nrMK_Min,nrMK_Link,$B643,nrMK_Credit,"Yes",nrMK_PID,$E643,nrMK_Type,"Classroom")))</f>
        <v/>
      </c>
      <c r="Q643" s="17">
        <f>IF(OR($B643="",N($J643)=0),"",MIN(N($J643),SUMIFS(nrMK_Sess,nrMK_Link,$B643,nrMK_Credit,"Yes",nrMK_PID,$E643,nrMK_Type,"PT")))</f>
        <v/>
      </c>
      <c r="R643" s="17">
        <f>IF(OR($B643="",$N643&lt;&gt;"Yes"),"",IF($K643="Yes",IF(N($J643)&gt;0,N($J643)-N($Q643),""),IF(N($I643)&gt;0,N($I643)-N($P643),"")))</f>
        <v/>
      </c>
      <c r="S643" s="17">
        <f>IF(OR($B643="",$R643=""),"",IF($R643&lt;=0,IF(IFERROR(_xlfn.MAXIFS(nrMK_Date,nrMK_Link,$B643,nrMK_Credit,"Yes",nrMK_PID,$E643),0)=0,"CLEARED (makeup date missing)","CLEARED "&amp;TEXT(_xlfn.MAXIFS(nrMK_Date,nrMK_Link,$B643,nrMK_Credit,"Yes",nrMK_PID,$E643),"mm/dd")),"OPEN"))</f>
        <v/>
      </c>
      <c r="T643" s="17">
        <f>IF($D643="","",IF($C643="","NO DATE",IF($G643="","NO EVENT TYPE",IF(AND($I643&lt;&gt;"",NOT(ISNUMBER($I643))),"MINUTES NOT A NUMBER",IF(AND($J643&lt;&gt;"",NOT(ISNUMBER($J643))),"SESSIONS NOT A NUMBER",IF(OR(N($I643)&lt;0,N($J643)&lt;0),"NEGATIVE MINUTES/SESSIONS",IF(AND($K643="Yes",N($I643)&gt;0),"MINUTES ON A PT EVENT - not counted (PT counts sessions)",IF(AND($K643="No",N($J643)&gt;0),"SESSIONS ON A CLASSROOM EVENT - not counted (classroom counts minutes)",IF(AND($N643="Yes",$K643="Yes",N($J643)=0),"COUNTED PT EVENT WITH NO SESSIONS - dropped from the PT cap",IF(AND($N643="Yes",$K643="No",N($I643)=0),"COUNTED EVENT WITH NO MINUTES - dropped from the classroom cap","OK"))))))))))</f>
        <v/>
      </c>
    </row>
    <row r="644">
      <c r="B644" s="17">
        <f>IF($D644="","","A"&amp;TEXT(ROW()-5,"000"))</f>
        <v/>
      </c>
      <c r="C644" s="18" t="n"/>
      <c r="D644" s="16" t="n"/>
      <c r="E644" s="17">
        <f>IF($D644="","",IFERROR(INDEX(rngCadetPIDs,MATCH($D644,rngCadetNames,0)),"?"))</f>
        <v/>
      </c>
      <c r="F644" s="17">
        <f>IF($E644="","",IFERROR(INDEX(nrCadetAgency,MATCH($E644,rngCadetPIDs,0)),""))</f>
        <v/>
      </c>
      <c r="G644" s="16" t="n"/>
      <c r="H644" s="16" t="n"/>
      <c r="I644" s="16" t="n"/>
      <c r="J644" s="16" t="n"/>
      <c r="K644" s="17">
        <f>IF($G644="","",IF(OR($G644="PT Missed",$G644="PT Modified",$G644="PT Refused"),"Yes","No"))</f>
        <v/>
      </c>
      <c r="L644" s="16" t="n"/>
      <c r="M644" s="16" t="n"/>
      <c r="N644" s="17">
        <f>IF($D644="","",IF($M644="Excused","No",IF(AND($G644="PT Modified",$L644="Received"),"No","Yes")))</f>
        <v/>
      </c>
      <c r="O644" s="16" t="n"/>
      <c r="P644" s="17">
        <f>IF(OR($B644="",N($I644)=0),"",MIN(N($I644),SUMIFS(nrMK_Min,nrMK_Link,$B644,nrMK_Credit,"Yes",nrMK_PID,$E644,nrMK_Type,"Classroom")))</f>
        <v/>
      </c>
      <c r="Q644" s="17">
        <f>IF(OR($B644="",N($J644)=0),"",MIN(N($J644),SUMIFS(nrMK_Sess,nrMK_Link,$B644,nrMK_Credit,"Yes",nrMK_PID,$E644,nrMK_Type,"PT")))</f>
        <v/>
      </c>
      <c r="R644" s="17">
        <f>IF(OR($B644="",$N644&lt;&gt;"Yes"),"",IF($K644="Yes",IF(N($J644)&gt;0,N($J644)-N($Q644),""),IF(N($I644)&gt;0,N($I644)-N($P644),"")))</f>
        <v/>
      </c>
      <c r="S644" s="17">
        <f>IF(OR($B644="",$R644=""),"",IF($R644&lt;=0,IF(IFERROR(_xlfn.MAXIFS(nrMK_Date,nrMK_Link,$B644,nrMK_Credit,"Yes",nrMK_PID,$E644),0)=0,"CLEARED (makeup date missing)","CLEARED "&amp;TEXT(_xlfn.MAXIFS(nrMK_Date,nrMK_Link,$B644,nrMK_Credit,"Yes",nrMK_PID,$E644),"mm/dd")),"OPEN"))</f>
        <v/>
      </c>
      <c r="T644" s="17">
        <f>IF($D644="","",IF($C644="","NO DATE",IF($G644="","NO EVENT TYPE",IF(AND($I644&lt;&gt;"",NOT(ISNUMBER($I644))),"MINUTES NOT A NUMBER",IF(AND($J644&lt;&gt;"",NOT(ISNUMBER($J644))),"SESSIONS NOT A NUMBER",IF(OR(N($I644)&lt;0,N($J644)&lt;0),"NEGATIVE MINUTES/SESSIONS",IF(AND($K644="Yes",N($I644)&gt;0),"MINUTES ON A PT EVENT - not counted (PT counts sessions)",IF(AND($K644="No",N($J644)&gt;0),"SESSIONS ON A CLASSROOM EVENT - not counted (classroom counts minutes)",IF(AND($N644="Yes",$K644="Yes",N($J644)=0),"COUNTED PT EVENT WITH NO SESSIONS - dropped from the PT cap",IF(AND($N644="Yes",$K644="No",N($I644)=0),"COUNTED EVENT WITH NO MINUTES - dropped from the classroom cap","OK"))))))))))</f>
        <v/>
      </c>
    </row>
    <row r="645">
      <c r="B645" s="17">
        <f>IF($D645="","","A"&amp;TEXT(ROW()-5,"000"))</f>
        <v/>
      </c>
      <c r="C645" s="18" t="n"/>
      <c r="D645" s="16" t="n"/>
      <c r="E645" s="17">
        <f>IF($D645="","",IFERROR(INDEX(rngCadetPIDs,MATCH($D645,rngCadetNames,0)),"?"))</f>
        <v/>
      </c>
      <c r="F645" s="17">
        <f>IF($E645="","",IFERROR(INDEX(nrCadetAgency,MATCH($E645,rngCadetPIDs,0)),""))</f>
        <v/>
      </c>
      <c r="G645" s="16" t="n"/>
      <c r="H645" s="16" t="n"/>
      <c r="I645" s="16" t="n"/>
      <c r="J645" s="16" t="n"/>
      <c r="K645" s="17">
        <f>IF($G645="","",IF(OR($G645="PT Missed",$G645="PT Modified",$G645="PT Refused"),"Yes","No"))</f>
        <v/>
      </c>
      <c r="L645" s="16" t="n"/>
      <c r="M645" s="16" t="n"/>
      <c r="N645" s="17">
        <f>IF($D645="","",IF($M645="Excused","No",IF(AND($G645="PT Modified",$L645="Received"),"No","Yes")))</f>
        <v/>
      </c>
      <c r="O645" s="16" t="n"/>
      <c r="P645" s="17">
        <f>IF(OR($B645="",N($I645)=0),"",MIN(N($I645),SUMIFS(nrMK_Min,nrMK_Link,$B645,nrMK_Credit,"Yes",nrMK_PID,$E645,nrMK_Type,"Classroom")))</f>
        <v/>
      </c>
      <c r="Q645" s="17">
        <f>IF(OR($B645="",N($J645)=0),"",MIN(N($J645),SUMIFS(nrMK_Sess,nrMK_Link,$B645,nrMK_Credit,"Yes",nrMK_PID,$E645,nrMK_Type,"PT")))</f>
        <v/>
      </c>
      <c r="R645" s="17">
        <f>IF(OR($B645="",$N645&lt;&gt;"Yes"),"",IF($K645="Yes",IF(N($J645)&gt;0,N($J645)-N($Q645),""),IF(N($I645)&gt;0,N($I645)-N($P645),"")))</f>
        <v/>
      </c>
      <c r="S645" s="17">
        <f>IF(OR($B645="",$R645=""),"",IF($R645&lt;=0,IF(IFERROR(_xlfn.MAXIFS(nrMK_Date,nrMK_Link,$B645,nrMK_Credit,"Yes",nrMK_PID,$E645),0)=0,"CLEARED (makeup date missing)","CLEARED "&amp;TEXT(_xlfn.MAXIFS(nrMK_Date,nrMK_Link,$B645,nrMK_Credit,"Yes",nrMK_PID,$E645),"mm/dd")),"OPEN"))</f>
        <v/>
      </c>
      <c r="T645" s="17">
        <f>IF($D645="","",IF($C645="","NO DATE",IF($G645="","NO EVENT TYPE",IF(AND($I645&lt;&gt;"",NOT(ISNUMBER($I645))),"MINUTES NOT A NUMBER",IF(AND($J645&lt;&gt;"",NOT(ISNUMBER($J645))),"SESSIONS NOT A NUMBER",IF(OR(N($I645)&lt;0,N($J645)&lt;0),"NEGATIVE MINUTES/SESSIONS",IF(AND($K645="Yes",N($I645)&gt;0),"MINUTES ON A PT EVENT - not counted (PT counts sessions)",IF(AND($K645="No",N($J645)&gt;0),"SESSIONS ON A CLASSROOM EVENT - not counted (classroom counts minutes)",IF(AND($N645="Yes",$K645="Yes",N($J645)=0),"COUNTED PT EVENT WITH NO SESSIONS - dropped from the PT cap",IF(AND($N645="Yes",$K645="No",N($I645)=0),"COUNTED EVENT WITH NO MINUTES - dropped from the classroom cap","OK"))))))))))</f>
        <v/>
      </c>
    </row>
    <row r="646">
      <c r="B646" s="17">
        <f>IF($D646="","","A"&amp;TEXT(ROW()-5,"000"))</f>
        <v/>
      </c>
      <c r="C646" s="18" t="n"/>
      <c r="D646" s="16" t="n"/>
      <c r="E646" s="17">
        <f>IF($D646="","",IFERROR(INDEX(rngCadetPIDs,MATCH($D646,rngCadetNames,0)),"?"))</f>
        <v/>
      </c>
      <c r="F646" s="17">
        <f>IF($E646="","",IFERROR(INDEX(nrCadetAgency,MATCH($E646,rngCadetPIDs,0)),""))</f>
        <v/>
      </c>
      <c r="G646" s="16" t="n"/>
      <c r="H646" s="16" t="n"/>
      <c r="I646" s="16" t="n"/>
      <c r="J646" s="16" t="n"/>
      <c r="K646" s="17">
        <f>IF($G646="","",IF(OR($G646="PT Missed",$G646="PT Modified",$G646="PT Refused"),"Yes","No"))</f>
        <v/>
      </c>
      <c r="L646" s="16" t="n"/>
      <c r="M646" s="16" t="n"/>
      <c r="N646" s="17">
        <f>IF($D646="","",IF($M646="Excused","No",IF(AND($G646="PT Modified",$L646="Received"),"No","Yes")))</f>
        <v/>
      </c>
      <c r="O646" s="16" t="n"/>
      <c r="P646" s="17">
        <f>IF(OR($B646="",N($I646)=0),"",MIN(N($I646),SUMIFS(nrMK_Min,nrMK_Link,$B646,nrMK_Credit,"Yes",nrMK_PID,$E646,nrMK_Type,"Classroom")))</f>
        <v/>
      </c>
      <c r="Q646" s="17">
        <f>IF(OR($B646="",N($J646)=0),"",MIN(N($J646),SUMIFS(nrMK_Sess,nrMK_Link,$B646,nrMK_Credit,"Yes",nrMK_PID,$E646,nrMK_Type,"PT")))</f>
        <v/>
      </c>
      <c r="R646" s="17">
        <f>IF(OR($B646="",$N646&lt;&gt;"Yes"),"",IF($K646="Yes",IF(N($J646)&gt;0,N($J646)-N($Q646),""),IF(N($I646)&gt;0,N($I646)-N($P646),"")))</f>
        <v/>
      </c>
      <c r="S646" s="17">
        <f>IF(OR($B646="",$R646=""),"",IF($R646&lt;=0,IF(IFERROR(_xlfn.MAXIFS(nrMK_Date,nrMK_Link,$B646,nrMK_Credit,"Yes",nrMK_PID,$E646),0)=0,"CLEARED (makeup date missing)","CLEARED "&amp;TEXT(_xlfn.MAXIFS(nrMK_Date,nrMK_Link,$B646,nrMK_Credit,"Yes",nrMK_PID,$E646),"mm/dd")),"OPEN"))</f>
        <v/>
      </c>
      <c r="T646" s="17">
        <f>IF($D646="","",IF($C646="","NO DATE",IF($G646="","NO EVENT TYPE",IF(AND($I646&lt;&gt;"",NOT(ISNUMBER($I646))),"MINUTES NOT A NUMBER",IF(AND($J646&lt;&gt;"",NOT(ISNUMBER($J646))),"SESSIONS NOT A NUMBER",IF(OR(N($I646)&lt;0,N($J646)&lt;0),"NEGATIVE MINUTES/SESSIONS",IF(AND($K646="Yes",N($I646)&gt;0),"MINUTES ON A PT EVENT - not counted (PT counts sessions)",IF(AND($K646="No",N($J646)&gt;0),"SESSIONS ON A CLASSROOM EVENT - not counted (classroom counts minutes)",IF(AND($N646="Yes",$K646="Yes",N($J646)=0),"COUNTED PT EVENT WITH NO SESSIONS - dropped from the PT cap",IF(AND($N646="Yes",$K646="No",N($I646)=0),"COUNTED EVENT WITH NO MINUTES - dropped from the classroom cap","OK"))))))))))</f>
        <v/>
      </c>
    </row>
    <row r="647">
      <c r="B647" s="17">
        <f>IF($D647="","","A"&amp;TEXT(ROW()-5,"000"))</f>
        <v/>
      </c>
      <c r="C647" s="18" t="n"/>
      <c r="D647" s="16" t="n"/>
      <c r="E647" s="17">
        <f>IF($D647="","",IFERROR(INDEX(rngCadetPIDs,MATCH($D647,rngCadetNames,0)),"?"))</f>
        <v/>
      </c>
      <c r="F647" s="17">
        <f>IF($E647="","",IFERROR(INDEX(nrCadetAgency,MATCH($E647,rngCadetPIDs,0)),""))</f>
        <v/>
      </c>
      <c r="G647" s="16" t="n"/>
      <c r="H647" s="16" t="n"/>
      <c r="I647" s="16" t="n"/>
      <c r="J647" s="16" t="n"/>
      <c r="K647" s="17">
        <f>IF($G647="","",IF(OR($G647="PT Missed",$G647="PT Modified",$G647="PT Refused"),"Yes","No"))</f>
        <v/>
      </c>
      <c r="L647" s="16" t="n"/>
      <c r="M647" s="16" t="n"/>
      <c r="N647" s="17">
        <f>IF($D647="","",IF($M647="Excused","No",IF(AND($G647="PT Modified",$L647="Received"),"No","Yes")))</f>
        <v/>
      </c>
      <c r="O647" s="16" t="n"/>
      <c r="P647" s="17">
        <f>IF(OR($B647="",N($I647)=0),"",MIN(N($I647),SUMIFS(nrMK_Min,nrMK_Link,$B647,nrMK_Credit,"Yes",nrMK_PID,$E647,nrMK_Type,"Classroom")))</f>
        <v/>
      </c>
      <c r="Q647" s="17">
        <f>IF(OR($B647="",N($J647)=0),"",MIN(N($J647),SUMIFS(nrMK_Sess,nrMK_Link,$B647,nrMK_Credit,"Yes",nrMK_PID,$E647,nrMK_Type,"PT")))</f>
        <v/>
      </c>
      <c r="R647" s="17">
        <f>IF(OR($B647="",$N647&lt;&gt;"Yes"),"",IF($K647="Yes",IF(N($J647)&gt;0,N($J647)-N($Q647),""),IF(N($I647)&gt;0,N($I647)-N($P647),"")))</f>
        <v/>
      </c>
      <c r="S647" s="17">
        <f>IF(OR($B647="",$R647=""),"",IF($R647&lt;=0,IF(IFERROR(_xlfn.MAXIFS(nrMK_Date,nrMK_Link,$B647,nrMK_Credit,"Yes",nrMK_PID,$E647),0)=0,"CLEARED (makeup date missing)","CLEARED "&amp;TEXT(_xlfn.MAXIFS(nrMK_Date,nrMK_Link,$B647,nrMK_Credit,"Yes",nrMK_PID,$E647),"mm/dd")),"OPEN"))</f>
        <v/>
      </c>
      <c r="T647" s="17">
        <f>IF($D647="","",IF($C647="","NO DATE",IF($G647="","NO EVENT TYPE",IF(AND($I647&lt;&gt;"",NOT(ISNUMBER($I647))),"MINUTES NOT A NUMBER",IF(AND($J647&lt;&gt;"",NOT(ISNUMBER($J647))),"SESSIONS NOT A NUMBER",IF(OR(N($I647)&lt;0,N($J647)&lt;0),"NEGATIVE MINUTES/SESSIONS",IF(AND($K647="Yes",N($I647)&gt;0),"MINUTES ON A PT EVENT - not counted (PT counts sessions)",IF(AND($K647="No",N($J647)&gt;0),"SESSIONS ON A CLASSROOM EVENT - not counted (classroom counts minutes)",IF(AND($N647="Yes",$K647="Yes",N($J647)=0),"COUNTED PT EVENT WITH NO SESSIONS - dropped from the PT cap",IF(AND($N647="Yes",$K647="No",N($I647)=0),"COUNTED EVENT WITH NO MINUTES - dropped from the classroom cap","OK"))))))))))</f>
        <v/>
      </c>
    </row>
    <row r="648">
      <c r="B648" s="17">
        <f>IF($D648="","","A"&amp;TEXT(ROW()-5,"000"))</f>
        <v/>
      </c>
      <c r="C648" s="18" t="n"/>
      <c r="D648" s="16" t="n"/>
      <c r="E648" s="17">
        <f>IF($D648="","",IFERROR(INDEX(rngCadetPIDs,MATCH($D648,rngCadetNames,0)),"?"))</f>
        <v/>
      </c>
      <c r="F648" s="17">
        <f>IF($E648="","",IFERROR(INDEX(nrCadetAgency,MATCH($E648,rngCadetPIDs,0)),""))</f>
        <v/>
      </c>
      <c r="G648" s="16" t="n"/>
      <c r="H648" s="16" t="n"/>
      <c r="I648" s="16" t="n"/>
      <c r="J648" s="16" t="n"/>
      <c r="K648" s="17">
        <f>IF($G648="","",IF(OR($G648="PT Missed",$G648="PT Modified",$G648="PT Refused"),"Yes","No"))</f>
        <v/>
      </c>
      <c r="L648" s="16" t="n"/>
      <c r="M648" s="16" t="n"/>
      <c r="N648" s="17">
        <f>IF($D648="","",IF($M648="Excused","No",IF(AND($G648="PT Modified",$L648="Received"),"No","Yes")))</f>
        <v/>
      </c>
      <c r="O648" s="16" t="n"/>
      <c r="P648" s="17">
        <f>IF(OR($B648="",N($I648)=0),"",MIN(N($I648),SUMIFS(nrMK_Min,nrMK_Link,$B648,nrMK_Credit,"Yes",nrMK_PID,$E648,nrMK_Type,"Classroom")))</f>
        <v/>
      </c>
      <c r="Q648" s="17">
        <f>IF(OR($B648="",N($J648)=0),"",MIN(N($J648),SUMIFS(nrMK_Sess,nrMK_Link,$B648,nrMK_Credit,"Yes",nrMK_PID,$E648,nrMK_Type,"PT")))</f>
        <v/>
      </c>
      <c r="R648" s="17">
        <f>IF(OR($B648="",$N648&lt;&gt;"Yes"),"",IF($K648="Yes",IF(N($J648)&gt;0,N($J648)-N($Q648),""),IF(N($I648)&gt;0,N($I648)-N($P648),"")))</f>
        <v/>
      </c>
      <c r="S648" s="17">
        <f>IF(OR($B648="",$R648=""),"",IF($R648&lt;=0,IF(IFERROR(_xlfn.MAXIFS(nrMK_Date,nrMK_Link,$B648,nrMK_Credit,"Yes",nrMK_PID,$E648),0)=0,"CLEARED (makeup date missing)","CLEARED "&amp;TEXT(_xlfn.MAXIFS(nrMK_Date,nrMK_Link,$B648,nrMK_Credit,"Yes",nrMK_PID,$E648),"mm/dd")),"OPEN"))</f>
        <v/>
      </c>
      <c r="T648" s="17">
        <f>IF($D648="","",IF($C648="","NO DATE",IF($G648="","NO EVENT TYPE",IF(AND($I648&lt;&gt;"",NOT(ISNUMBER($I648))),"MINUTES NOT A NUMBER",IF(AND($J648&lt;&gt;"",NOT(ISNUMBER($J648))),"SESSIONS NOT A NUMBER",IF(OR(N($I648)&lt;0,N($J648)&lt;0),"NEGATIVE MINUTES/SESSIONS",IF(AND($K648="Yes",N($I648)&gt;0),"MINUTES ON A PT EVENT - not counted (PT counts sessions)",IF(AND($K648="No",N($J648)&gt;0),"SESSIONS ON A CLASSROOM EVENT - not counted (classroom counts minutes)",IF(AND($N648="Yes",$K648="Yes",N($J648)=0),"COUNTED PT EVENT WITH NO SESSIONS - dropped from the PT cap",IF(AND($N648="Yes",$K648="No",N($I648)=0),"COUNTED EVENT WITH NO MINUTES - dropped from the classroom cap","OK"))))))))))</f>
        <v/>
      </c>
    </row>
    <row r="649">
      <c r="B649" s="17">
        <f>IF($D649="","","A"&amp;TEXT(ROW()-5,"000"))</f>
        <v/>
      </c>
      <c r="C649" s="18" t="n"/>
      <c r="D649" s="16" t="n"/>
      <c r="E649" s="17">
        <f>IF($D649="","",IFERROR(INDEX(rngCadetPIDs,MATCH($D649,rngCadetNames,0)),"?"))</f>
        <v/>
      </c>
      <c r="F649" s="17">
        <f>IF($E649="","",IFERROR(INDEX(nrCadetAgency,MATCH($E649,rngCadetPIDs,0)),""))</f>
        <v/>
      </c>
      <c r="G649" s="16" t="n"/>
      <c r="H649" s="16" t="n"/>
      <c r="I649" s="16" t="n"/>
      <c r="J649" s="16" t="n"/>
      <c r="K649" s="17">
        <f>IF($G649="","",IF(OR($G649="PT Missed",$G649="PT Modified",$G649="PT Refused"),"Yes","No"))</f>
        <v/>
      </c>
      <c r="L649" s="16" t="n"/>
      <c r="M649" s="16" t="n"/>
      <c r="N649" s="17">
        <f>IF($D649="","",IF($M649="Excused","No",IF(AND($G649="PT Modified",$L649="Received"),"No","Yes")))</f>
        <v/>
      </c>
      <c r="O649" s="16" t="n"/>
      <c r="P649" s="17">
        <f>IF(OR($B649="",N($I649)=0),"",MIN(N($I649),SUMIFS(nrMK_Min,nrMK_Link,$B649,nrMK_Credit,"Yes",nrMK_PID,$E649,nrMK_Type,"Classroom")))</f>
        <v/>
      </c>
      <c r="Q649" s="17">
        <f>IF(OR($B649="",N($J649)=0),"",MIN(N($J649),SUMIFS(nrMK_Sess,nrMK_Link,$B649,nrMK_Credit,"Yes",nrMK_PID,$E649,nrMK_Type,"PT")))</f>
        <v/>
      </c>
      <c r="R649" s="17">
        <f>IF(OR($B649="",$N649&lt;&gt;"Yes"),"",IF($K649="Yes",IF(N($J649)&gt;0,N($J649)-N($Q649),""),IF(N($I649)&gt;0,N($I649)-N($P649),"")))</f>
        <v/>
      </c>
      <c r="S649" s="17">
        <f>IF(OR($B649="",$R649=""),"",IF($R649&lt;=0,IF(IFERROR(_xlfn.MAXIFS(nrMK_Date,nrMK_Link,$B649,nrMK_Credit,"Yes",nrMK_PID,$E649),0)=0,"CLEARED (makeup date missing)","CLEARED "&amp;TEXT(_xlfn.MAXIFS(nrMK_Date,nrMK_Link,$B649,nrMK_Credit,"Yes",nrMK_PID,$E649),"mm/dd")),"OPEN"))</f>
        <v/>
      </c>
      <c r="T649" s="17">
        <f>IF($D649="","",IF($C649="","NO DATE",IF($G649="","NO EVENT TYPE",IF(AND($I649&lt;&gt;"",NOT(ISNUMBER($I649))),"MINUTES NOT A NUMBER",IF(AND($J649&lt;&gt;"",NOT(ISNUMBER($J649))),"SESSIONS NOT A NUMBER",IF(OR(N($I649)&lt;0,N($J649)&lt;0),"NEGATIVE MINUTES/SESSIONS",IF(AND($K649="Yes",N($I649)&gt;0),"MINUTES ON A PT EVENT - not counted (PT counts sessions)",IF(AND($K649="No",N($J649)&gt;0),"SESSIONS ON A CLASSROOM EVENT - not counted (classroom counts minutes)",IF(AND($N649="Yes",$K649="Yes",N($J649)=0),"COUNTED PT EVENT WITH NO SESSIONS - dropped from the PT cap",IF(AND($N649="Yes",$K649="No",N($I649)=0),"COUNTED EVENT WITH NO MINUTES - dropped from the classroom cap","OK"))))))))))</f>
        <v/>
      </c>
    </row>
    <row r="650">
      <c r="B650" s="17">
        <f>IF($D650="","","A"&amp;TEXT(ROW()-5,"000"))</f>
        <v/>
      </c>
      <c r="C650" s="18" t="n"/>
      <c r="D650" s="16" t="n"/>
      <c r="E650" s="17">
        <f>IF($D650="","",IFERROR(INDEX(rngCadetPIDs,MATCH($D650,rngCadetNames,0)),"?"))</f>
        <v/>
      </c>
      <c r="F650" s="17">
        <f>IF($E650="","",IFERROR(INDEX(nrCadetAgency,MATCH($E650,rngCadetPIDs,0)),""))</f>
        <v/>
      </c>
      <c r="G650" s="16" t="n"/>
      <c r="H650" s="16" t="n"/>
      <c r="I650" s="16" t="n"/>
      <c r="J650" s="16" t="n"/>
      <c r="K650" s="17">
        <f>IF($G650="","",IF(OR($G650="PT Missed",$G650="PT Modified",$G650="PT Refused"),"Yes","No"))</f>
        <v/>
      </c>
      <c r="L650" s="16" t="n"/>
      <c r="M650" s="16" t="n"/>
      <c r="N650" s="17">
        <f>IF($D650="","",IF($M650="Excused","No",IF(AND($G650="PT Modified",$L650="Received"),"No","Yes")))</f>
        <v/>
      </c>
      <c r="O650" s="16" t="n"/>
      <c r="P650" s="17">
        <f>IF(OR($B650="",N($I650)=0),"",MIN(N($I650),SUMIFS(nrMK_Min,nrMK_Link,$B650,nrMK_Credit,"Yes",nrMK_PID,$E650,nrMK_Type,"Classroom")))</f>
        <v/>
      </c>
      <c r="Q650" s="17">
        <f>IF(OR($B650="",N($J650)=0),"",MIN(N($J650),SUMIFS(nrMK_Sess,nrMK_Link,$B650,nrMK_Credit,"Yes",nrMK_PID,$E650,nrMK_Type,"PT")))</f>
        <v/>
      </c>
      <c r="R650" s="17">
        <f>IF(OR($B650="",$N650&lt;&gt;"Yes"),"",IF($K650="Yes",IF(N($J650)&gt;0,N($J650)-N($Q650),""),IF(N($I650)&gt;0,N($I650)-N($P650),"")))</f>
        <v/>
      </c>
      <c r="S650" s="17">
        <f>IF(OR($B650="",$R650=""),"",IF($R650&lt;=0,IF(IFERROR(_xlfn.MAXIFS(nrMK_Date,nrMK_Link,$B650,nrMK_Credit,"Yes",nrMK_PID,$E650),0)=0,"CLEARED (makeup date missing)","CLEARED "&amp;TEXT(_xlfn.MAXIFS(nrMK_Date,nrMK_Link,$B650,nrMK_Credit,"Yes",nrMK_PID,$E650),"mm/dd")),"OPEN"))</f>
        <v/>
      </c>
      <c r="T650" s="17">
        <f>IF($D650="","",IF($C650="","NO DATE",IF($G650="","NO EVENT TYPE",IF(AND($I650&lt;&gt;"",NOT(ISNUMBER($I650))),"MINUTES NOT A NUMBER",IF(AND($J650&lt;&gt;"",NOT(ISNUMBER($J650))),"SESSIONS NOT A NUMBER",IF(OR(N($I650)&lt;0,N($J650)&lt;0),"NEGATIVE MINUTES/SESSIONS",IF(AND($K650="Yes",N($I650)&gt;0),"MINUTES ON A PT EVENT - not counted (PT counts sessions)",IF(AND($K650="No",N($J650)&gt;0),"SESSIONS ON A CLASSROOM EVENT - not counted (classroom counts minutes)",IF(AND($N650="Yes",$K650="Yes",N($J650)=0),"COUNTED PT EVENT WITH NO SESSIONS - dropped from the PT cap",IF(AND($N650="Yes",$K650="No",N($I650)=0),"COUNTED EVENT WITH NO MINUTES - dropped from the classroom cap","OK"))))))))))</f>
        <v/>
      </c>
    </row>
    <row r="651">
      <c r="B651" s="17">
        <f>IF($D651="","","A"&amp;TEXT(ROW()-5,"000"))</f>
        <v/>
      </c>
      <c r="C651" s="18" t="n"/>
      <c r="D651" s="16" t="n"/>
      <c r="E651" s="17">
        <f>IF($D651="","",IFERROR(INDEX(rngCadetPIDs,MATCH($D651,rngCadetNames,0)),"?"))</f>
        <v/>
      </c>
      <c r="F651" s="17">
        <f>IF($E651="","",IFERROR(INDEX(nrCadetAgency,MATCH($E651,rngCadetPIDs,0)),""))</f>
        <v/>
      </c>
      <c r="G651" s="16" t="n"/>
      <c r="H651" s="16" t="n"/>
      <c r="I651" s="16" t="n"/>
      <c r="J651" s="16" t="n"/>
      <c r="K651" s="17">
        <f>IF($G651="","",IF(OR($G651="PT Missed",$G651="PT Modified",$G651="PT Refused"),"Yes","No"))</f>
        <v/>
      </c>
      <c r="L651" s="16" t="n"/>
      <c r="M651" s="16" t="n"/>
      <c r="N651" s="17">
        <f>IF($D651="","",IF($M651="Excused","No",IF(AND($G651="PT Modified",$L651="Received"),"No","Yes")))</f>
        <v/>
      </c>
      <c r="O651" s="16" t="n"/>
      <c r="P651" s="17">
        <f>IF(OR($B651="",N($I651)=0),"",MIN(N($I651),SUMIFS(nrMK_Min,nrMK_Link,$B651,nrMK_Credit,"Yes",nrMK_PID,$E651,nrMK_Type,"Classroom")))</f>
        <v/>
      </c>
      <c r="Q651" s="17">
        <f>IF(OR($B651="",N($J651)=0),"",MIN(N($J651),SUMIFS(nrMK_Sess,nrMK_Link,$B651,nrMK_Credit,"Yes",nrMK_PID,$E651,nrMK_Type,"PT")))</f>
        <v/>
      </c>
      <c r="R651" s="17">
        <f>IF(OR($B651="",$N651&lt;&gt;"Yes"),"",IF($K651="Yes",IF(N($J651)&gt;0,N($J651)-N($Q651),""),IF(N($I651)&gt;0,N($I651)-N($P651),"")))</f>
        <v/>
      </c>
      <c r="S651" s="17">
        <f>IF(OR($B651="",$R651=""),"",IF($R651&lt;=0,IF(IFERROR(_xlfn.MAXIFS(nrMK_Date,nrMK_Link,$B651,nrMK_Credit,"Yes",nrMK_PID,$E651),0)=0,"CLEARED (makeup date missing)","CLEARED "&amp;TEXT(_xlfn.MAXIFS(nrMK_Date,nrMK_Link,$B651,nrMK_Credit,"Yes",nrMK_PID,$E651),"mm/dd")),"OPEN"))</f>
        <v/>
      </c>
      <c r="T651" s="17">
        <f>IF($D651="","",IF($C651="","NO DATE",IF($G651="","NO EVENT TYPE",IF(AND($I651&lt;&gt;"",NOT(ISNUMBER($I651))),"MINUTES NOT A NUMBER",IF(AND($J651&lt;&gt;"",NOT(ISNUMBER($J651))),"SESSIONS NOT A NUMBER",IF(OR(N($I651)&lt;0,N($J651)&lt;0),"NEGATIVE MINUTES/SESSIONS",IF(AND($K651="Yes",N($I651)&gt;0),"MINUTES ON A PT EVENT - not counted (PT counts sessions)",IF(AND($K651="No",N($J651)&gt;0),"SESSIONS ON A CLASSROOM EVENT - not counted (classroom counts minutes)",IF(AND($N651="Yes",$K651="Yes",N($J651)=0),"COUNTED PT EVENT WITH NO SESSIONS - dropped from the PT cap",IF(AND($N651="Yes",$K651="No",N($I651)=0),"COUNTED EVENT WITH NO MINUTES - dropped from the classroom cap","OK"))))))))))</f>
        <v/>
      </c>
    </row>
    <row r="652">
      <c r="B652" s="17">
        <f>IF($D652="","","A"&amp;TEXT(ROW()-5,"000"))</f>
        <v/>
      </c>
      <c r="C652" s="18" t="n"/>
      <c r="D652" s="16" t="n"/>
      <c r="E652" s="17">
        <f>IF($D652="","",IFERROR(INDEX(rngCadetPIDs,MATCH($D652,rngCadetNames,0)),"?"))</f>
        <v/>
      </c>
      <c r="F652" s="17">
        <f>IF($E652="","",IFERROR(INDEX(nrCadetAgency,MATCH($E652,rngCadetPIDs,0)),""))</f>
        <v/>
      </c>
      <c r="G652" s="16" t="n"/>
      <c r="H652" s="16" t="n"/>
      <c r="I652" s="16" t="n"/>
      <c r="J652" s="16" t="n"/>
      <c r="K652" s="17">
        <f>IF($G652="","",IF(OR($G652="PT Missed",$G652="PT Modified",$G652="PT Refused"),"Yes","No"))</f>
        <v/>
      </c>
      <c r="L652" s="16" t="n"/>
      <c r="M652" s="16" t="n"/>
      <c r="N652" s="17">
        <f>IF($D652="","",IF($M652="Excused","No",IF(AND($G652="PT Modified",$L652="Received"),"No","Yes")))</f>
        <v/>
      </c>
      <c r="O652" s="16" t="n"/>
      <c r="P652" s="17">
        <f>IF(OR($B652="",N($I652)=0),"",MIN(N($I652),SUMIFS(nrMK_Min,nrMK_Link,$B652,nrMK_Credit,"Yes",nrMK_PID,$E652,nrMK_Type,"Classroom")))</f>
        <v/>
      </c>
      <c r="Q652" s="17">
        <f>IF(OR($B652="",N($J652)=0),"",MIN(N($J652),SUMIFS(nrMK_Sess,nrMK_Link,$B652,nrMK_Credit,"Yes",nrMK_PID,$E652,nrMK_Type,"PT")))</f>
        <v/>
      </c>
      <c r="R652" s="17">
        <f>IF(OR($B652="",$N652&lt;&gt;"Yes"),"",IF($K652="Yes",IF(N($J652)&gt;0,N($J652)-N($Q652),""),IF(N($I652)&gt;0,N($I652)-N($P652),"")))</f>
        <v/>
      </c>
      <c r="S652" s="17">
        <f>IF(OR($B652="",$R652=""),"",IF($R652&lt;=0,IF(IFERROR(_xlfn.MAXIFS(nrMK_Date,nrMK_Link,$B652,nrMK_Credit,"Yes",nrMK_PID,$E652),0)=0,"CLEARED (makeup date missing)","CLEARED "&amp;TEXT(_xlfn.MAXIFS(nrMK_Date,nrMK_Link,$B652,nrMK_Credit,"Yes",nrMK_PID,$E652),"mm/dd")),"OPEN"))</f>
        <v/>
      </c>
      <c r="T652" s="17">
        <f>IF($D652="","",IF($C652="","NO DATE",IF($G652="","NO EVENT TYPE",IF(AND($I652&lt;&gt;"",NOT(ISNUMBER($I652))),"MINUTES NOT A NUMBER",IF(AND($J652&lt;&gt;"",NOT(ISNUMBER($J652))),"SESSIONS NOT A NUMBER",IF(OR(N($I652)&lt;0,N($J652)&lt;0),"NEGATIVE MINUTES/SESSIONS",IF(AND($K652="Yes",N($I652)&gt;0),"MINUTES ON A PT EVENT - not counted (PT counts sessions)",IF(AND($K652="No",N($J652)&gt;0),"SESSIONS ON A CLASSROOM EVENT - not counted (classroom counts minutes)",IF(AND($N652="Yes",$K652="Yes",N($J652)=0),"COUNTED PT EVENT WITH NO SESSIONS - dropped from the PT cap",IF(AND($N652="Yes",$K652="No",N($I652)=0),"COUNTED EVENT WITH NO MINUTES - dropped from the classroom cap","OK"))))))))))</f>
        <v/>
      </c>
    </row>
    <row r="653">
      <c r="B653" s="17">
        <f>IF($D653="","","A"&amp;TEXT(ROW()-5,"000"))</f>
        <v/>
      </c>
      <c r="C653" s="18" t="n"/>
      <c r="D653" s="16" t="n"/>
      <c r="E653" s="17">
        <f>IF($D653="","",IFERROR(INDEX(rngCadetPIDs,MATCH($D653,rngCadetNames,0)),"?"))</f>
        <v/>
      </c>
      <c r="F653" s="17">
        <f>IF($E653="","",IFERROR(INDEX(nrCadetAgency,MATCH($E653,rngCadetPIDs,0)),""))</f>
        <v/>
      </c>
      <c r="G653" s="16" t="n"/>
      <c r="H653" s="16" t="n"/>
      <c r="I653" s="16" t="n"/>
      <c r="J653" s="16" t="n"/>
      <c r="K653" s="17">
        <f>IF($G653="","",IF(OR($G653="PT Missed",$G653="PT Modified",$G653="PT Refused"),"Yes","No"))</f>
        <v/>
      </c>
      <c r="L653" s="16" t="n"/>
      <c r="M653" s="16" t="n"/>
      <c r="N653" s="17">
        <f>IF($D653="","",IF($M653="Excused","No",IF(AND($G653="PT Modified",$L653="Received"),"No","Yes")))</f>
        <v/>
      </c>
      <c r="O653" s="16" t="n"/>
      <c r="P653" s="17">
        <f>IF(OR($B653="",N($I653)=0),"",MIN(N($I653),SUMIFS(nrMK_Min,nrMK_Link,$B653,nrMK_Credit,"Yes",nrMK_PID,$E653,nrMK_Type,"Classroom")))</f>
        <v/>
      </c>
      <c r="Q653" s="17">
        <f>IF(OR($B653="",N($J653)=0),"",MIN(N($J653),SUMIFS(nrMK_Sess,nrMK_Link,$B653,nrMK_Credit,"Yes",nrMK_PID,$E653,nrMK_Type,"PT")))</f>
        <v/>
      </c>
      <c r="R653" s="17">
        <f>IF(OR($B653="",$N653&lt;&gt;"Yes"),"",IF($K653="Yes",IF(N($J653)&gt;0,N($J653)-N($Q653),""),IF(N($I653)&gt;0,N($I653)-N($P653),"")))</f>
        <v/>
      </c>
      <c r="S653" s="17">
        <f>IF(OR($B653="",$R653=""),"",IF($R653&lt;=0,IF(IFERROR(_xlfn.MAXIFS(nrMK_Date,nrMK_Link,$B653,nrMK_Credit,"Yes",nrMK_PID,$E653),0)=0,"CLEARED (makeup date missing)","CLEARED "&amp;TEXT(_xlfn.MAXIFS(nrMK_Date,nrMK_Link,$B653,nrMK_Credit,"Yes",nrMK_PID,$E653),"mm/dd")),"OPEN"))</f>
        <v/>
      </c>
      <c r="T653" s="17">
        <f>IF($D653="","",IF($C653="","NO DATE",IF($G653="","NO EVENT TYPE",IF(AND($I653&lt;&gt;"",NOT(ISNUMBER($I653))),"MINUTES NOT A NUMBER",IF(AND($J653&lt;&gt;"",NOT(ISNUMBER($J653))),"SESSIONS NOT A NUMBER",IF(OR(N($I653)&lt;0,N($J653)&lt;0),"NEGATIVE MINUTES/SESSIONS",IF(AND($K653="Yes",N($I653)&gt;0),"MINUTES ON A PT EVENT - not counted (PT counts sessions)",IF(AND($K653="No",N($J653)&gt;0),"SESSIONS ON A CLASSROOM EVENT - not counted (classroom counts minutes)",IF(AND($N653="Yes",$K653="Yes",N($J653)=0),"COUNTED PT EVENT WITH NO SESSIONS - dropped from the PT cap",IF(AND($N653="Yes",$K653="No",N($I653)=0),"COUNTED EVENT WITH NO MINUTES - dropped from the classroom cap","OK"))))))))))</f>
        <v/>
      </c>
    </row>
    <row r="654">
      <c r="B654" s="17">
        <f>IF($D654="","","A"&amp;TEXT(ROW()-5,"000"))</f>
        <v/>
      </c>
      <c r="C654" s="18" t="n"/>
      <c r="D654" s="16" t="n"/>
      <c r="E654" s="17">
        <f>IF($D654="","",IFERROR(INDEX(rngCadetPIDs,MATCH($D654,rngCadetNames,0)),"?"))</f>
        <v/>
      </c>
      <c r="F654" s="17">
        <f>IF($E654="","",IFERROR(INDEX(nrCadetAgency,MATCH($E654,rngCadetPIDs,0)),""))</f>
        <v/>
      </c>
      <c r="G654" s="16" t="n"/>
      <c r="H654" s="16" t="n"/>
      <c r="I654" s="16" t="n"/>
      <c r="J654" s="16" t="n"/>
      <c r="K654" s="17">
        <f>IF($G654="","",IF(OR($G654="PT Missed",$G654="PT Modified",$G654="PT Refused"),"Yes","No"))</f>
        <v/>
      </c>
      <c r="L654" s="16" t="n"/>
      <c r="M654" s="16" t="n"/>
      <c r="N654" s="17">
        <f>IF($D654="","",IF($M654="Excused","No",IF(AND($G654="PT Modified",$L654="Received"),"No","Yes")))</f>
        <v/>
      </c>
      <c r="O654" s="16" t="n"/>
      <c r="P654" s="17">
        <f>IF(OR($B654="",N($I654)=0),"",MIN(N($I654),SUMIFS(nrMK_Min,nrMK_Link,$B654,nrMK_Credit,"Yes",nrMK_PID,$E654,nrMK_Type,"Classroom")))</f>
        <v/>
      </c>
      <c r="Q654" s="17">
        <f>IF(OR($B654="",N($J654)=0),"",MIN(N($J654),SUMIFS(nrMK_Sess,nrMK_Link,$B654,nrMK_Credit,"Yes",nrMK_PID,$E654,nrMK_Type,"PT")))</f>
        <v/>
      </c>
      <c r="R654" s="17">
        <f>IF(OR($B654="",$N654&lt;&gt;"Yes"),"",IF($K654="Yes",IF(N($J654)&gt;0,N($J654)-N($Q654),""),IF(N($I654)&gt;0,N($I654)-N($P654),"")))</f>
        <v/>
      </c>
      <c r="S654" s="17">
        <f>IF(OR($B654="",$R654=""),"",IF($R654&lt;=0,IF(IFERROR(_xlfn.MAXIFS(nrMK_Date,nrMK_Link,$B654,nrMK_Credit,"Yes",nrMK_PID,$E654),0)=0,"CLEARED (makeup date missing)","CLEARED "&amp;TEXT(_xlfn.MAXIFS(nrMK_Date,nrMK_Link,$B654,nrMK_Credit,"Yes",nrMK_PID,$E654),"mm/dd")),"OPEN"))</f>
        <v/>
      </c>
      <c r="T654" s="17">
        <f>IF($D654="","",IF($C654="","NO DATE",IF($G654="","NO EVENT TYPE",IF(AND($I654&lt;&gt;"",NOT(ISNUMBER($I654))),"MINUTES NOT A NUMBER",IF(AND($J654&lt;&gt;"",NOT(ISNUMBER($J654))),"SESSIONS NOT A NUMBER",IF(OR(N($I654)&lt;0,N($J654)&lt;0),"NEGATIVE MINUTES/SESSIONS",IF(AND($K654="Yes",N($I654)&gt;0),"MINUTES ON A PT EVENT - not counted (PT counts sessions)",IF(AND($K654="No",N($J654)&gt;0),"SESSIONS ON A CLASSROOM EVENT - not counted (classroom counts minutes)",IF(AND($N654="Yes",$K654="Yes",N($J654)=0),"COUNTED PT EVENT WITH NO SESSIONS - dropped from the PT cap",IF(AND($N654="Yes",$K654="No",N($I654)=0),"COUNTED EVENT WITH NO MINUTES - dropped from the classroom cap","OK"))))))))))</f>
        <v/>
      </c>
    </row>
    <row r="655">
      <c r="B655" s="17">
        <f>IF($D655="","","A"&amp;TEXT(ROW()-5,"000"))</f>
        <v/>
      </c>
      <c r="C655" s="18" t="n"/>
      <c r="D655" s="16" t="n"/>
      <c r="E655" s="17">
        <f>IF($D655="","",IFERROR(INDEX(rngCadetPIDs,MATCH($D655,rngCadetNames,0)),"?"))</f>
        <v/>
      </c>
      <c r="F655" s="17">
        <f>IF($E655="","",IFERROR(INDEX(nrCadetAgency,MATCH($E655,rngCadetPIDs,0)),""))</f>
        <v/>
      </c>
      <c r="G655" s="16" t="n"/>
      <c r="H655" s="16" t="n"/>
      <c r="I655" s="16" t="n"/>
      <c r="J655" s="16" t="n"/>
      <c r="K655" s="17">
        <f>IF($G655="","",IF(OR($G655="PT Missed",$G655="PT Modified",$G655="PT Refused"),"Yes","No"))</f>
        <v/>
      </c>
      <c r="L655" s="16" t="n"/>
      <c r="M655" s="16" t="n"/>
      <c r="N655" s="17">
        <f>IF($D655="","",IF($M655="Excused","No",IF(AND($G655="PT Modified",$L655="Received"),"No","Yes")))</f>
        <v/>
      </c>
      <c r="O655" s="16" t="n"/>
      <c r="P655" s="17">
        <f>IF(OR($B655="",N($I655)=0),"",MIN(N($I655),SUMIFS(nrMK_Min,nrMK_Link,$B655,nrMK_Credit,"Yes",nrMK_PID,$E655,nrMK_Type,"Classroom")))</f>
        <v/>
      </c>
      <c r="Q655" s="17">
        <f>IF(OR($B655="",N($J655)=0),"",MIN(N($J655),SUMIFS(nrMK_Sess,nrMK_Link,$B655,nrMK_Credit,"Yes",nrMK_PID,$E655,nrMK_Type,"PT")))</f>
        <v/>
      </c>
      <c r="R655" s="17">
        <f>IF(OR($B655="",$N655&lt;&gt;"Yes"),"",IF($K655="Yes",IF(N($J655)&gt;0,N($J655)-N($Q655),""),IF(N($I655)&gt;0,N($I655)-N($P655),"")))</f>
        <v/>
      </c>
      <c r="S655" s="17">
        <f>IF(OR($B655="",$R655=""),"",IF($R655&lt;=0,IF(IFERROR(_xlfn.MAXIFS(nrMK_Date,nrMK_Link,$B655,nrMK_Credit,"Yes",nrMK_PID,$E655),0)=0,"CLEARED (makeup date missing)","CLEARED "&amp;TEXT(_xlfn.MAXIFS(nrMK_Date,nrMK_Link,$B655,nrMK_Credit,"Yes",nrMK_PID,$E655),"mm/dd")),"OPEN"))</f>
        <v/>
      </c>
      <c r="T655" s="17">
        <f>IF($D655="","",IF($C655="","NO DATE",IF($G655="","NO EVENT TYPE",IF(AND($I655&lt;&gt;"",NOT(ISNUMBER($I655))),"MINUTES NOT A NUMBER",IF(AND($J655&lt;&gt;"",NOT(ISNUMBER($J655))),"SESSIONS NOT A NUMBER",IF(OR(N($I655)&lt;0,N($J655)&lt;0),"NEGATIVE MINUTES/SESSIONS",IF(AND($K655="Yes",N($I655)&gt;0),"MINUTES ON A PT EVENT - not counted (PT counts sessions)",IF(AND($K655="No",N($J655)&gt;0),"SESSIONS ON A CLASSROOM EVENT - not counted (classroom counts minutes)",IF(AND($N655="Yes",$K655="Yes",N($J655)=0),"COUNTED PT EVENT WITH NO SESSIONS - dropped from the PT cap",IF(AND($N655="Yes",$K655="No",N($I655)=0),"COUNTED EVENT WITH NO MINUTES - dropped from the classroom cap","OK"))))))))))</f>
        <v/>
      </c>
    </row>
    <row r="656">
      <c r="B656" s="17">
        <f>IF($D656="","","A"&amp;TEXT(ROW()-5,"000"))</f>
        <v/>
      </c>
      <c r="C656" s="18" t="n"/>
      <c r="D656" s="16" t="n"/>
      <c r="E656" s="17">
        <f>IF($D656="","",IFERROR(INDEX(rngCadetPIDs,MATCH($D656,rngCadetNames,0)),"?"))</f>
        <v/>
      </c>
      <c r="F656" s="17">
        <f>IF($E656="","",IFERROR(INDEX(nrCadetAgency,MATCH($E656,rngCadetPIDs,0)),""))</f>
        <v/>
      </c>
      <c r="G656" s="16" t="n"/>
      <c r="H656" s="16" t="n"/>
      <c r="I656" s="16" t="n"/>
      <c r="J656" s="16" t="n"/>
      <c r="K656" s="17">
        <f>IF($G656="","",IF(OR($G656="PT Missed",$G656="PT Modified",$G656="PT Refused"),"Yes","No"))</f>
        <v/>
      </c>
      <c r="L656" s="16" t="n"/>
      <c r="M656" s="16" t="n"/>
      <c r="N656" s="17">
        <f>IF($D656="","",IF($M656="Excused","No",IF(AND($G656="PT Modified",$L656="Received"),"No","Yes")))</f>
        <v/>
      </c>
      <c r="O656" s="16" t="n"/>
      <c r="P656" s="17">
        <f>IF(OR($B656="",N($I656)=0),"",MIN(N($I656),SUMIFS(nrMK_Min,nrMK_Link,$B656,nrMK_Credit,"Yes",nrMK_PID,$E656,nrMK_Type,"Classroom")))</f>
        <v/>
      </c>
      <c r="Q656" s="17">
        <f>IF(OR($B656="",N($J656)=0),"",MIN(N($J656),SUMIFS(nrMK_Sess,nrMK_Link,$B656,nrMK_Credit,"Yes",nrMK_PID,$E656,nrMK_Type,"PT")))</f>
        <v/>
      </c>
      <c r="R656" s="17">
        <f>IF(OR($B656="",$N656&lt;&gt;"Yes"),"",IF($K656="Yes",IF(N($J656)&gt;0,N($J656)-N($Q656),""),IF(N($I656)&gt;0,N($I656)-N($P656),"")))</f>
        <v/>
      </c>
      <c r="S656" s="17">
        <f>IF(OR($B656="",$R656=""),"",IF($R656&lt;=0,IF(IFERROR(_xlfn.MAXIFS(nrMK_Date,nrMK_Link,$B656,nrMK_Credit,"Yes",nrMK_PID,$E656),0)=0,"CLEARED (makeup date missing)","CLEARED "&amp;TEXT(_xlfn.MAXIFS(nrMK_Date,nrMK_Link,$B656,nrMK_Credit,"Yes",nrMK_PID,$E656),"mm/dd")),"OPEN"))</f>
        <v/>
      </c>
      <c r="T656" s="17">
        <f>IF($D656="","",IF($C656="","NO DATE",IF($G656="","NO EVENT TYPE",IF(AND($I656&lt;&gt;"",NOT(ISNUMBER($I656))),"MINUTES NOT A NUMBER",IF(AND($J656&lt;&gt;"",NOT(ISNUMBER($J656))),"SESSIONS NOT A NUMBER",IF(OR(N($I656)&lt;0,N($J656)&lt;0),"NEGATIVE MINUTES/SESSIONS",IF(AND($K656="Yes",N($I656)&gt;0),"MINUTES ON A PT EVENT - not counted (PT counts sessions)",IF(AND($K656="No",N($J656)&gt;0),"SESSIONS ON A CLASSROOM EVENT - not counted (classroom counts minutes)",IF(AND($N656="Yes",$K656="Yes",N($J656)=0),"COUNTED PT EVENT WITH NO SESSIONS - dropped from the PT cap",IF(AND($N656="Yes",$K656="No",N($I656)=0),"COUNTED EVENT WITH NO MINUTES - dropped from the classroom cap","OK"))))))))))</f>
        <v/>
      </c>
    </row>
    <row r="657">
      <c r="B657" s="17">
        <f>IF($D657="","","A"&amp;TEXT(ROW()-5,"000"))</f>
        <v/>
      </c>
      <c r="C657" s="18" t="n"/>
      <c r="D657" s="16" t="n"/>
      <c r="E657" s="17">
        <f>IF($D657="","",IFERROR(INDEX(rngCadetPIDs,MATCH($D657,rngCadetNames,0)),"?"))</f>
        <v/>
      </c>
      <c r="F657" s="17">
        <f>IF($E657="","",IFERROR(INDEX(nrCadetAgency,MATCH($E657,rngCadetPIDs,0)),""))</f>
        <v/>
      </c>
      <c r="G657" s="16" t="n"/>
      <c r="H657" s="16" t="n"/>
      <c r="I657" s="16" t="n"/>
      <c r="J657" s="16" t="n"/>
      <c r="K657" s="17">
        <f>IF($G657="","",IF(OR($G657="PT Missed",$G657="PT Modified",$G657="PT Refused"),"Yes","No"))</f>
        <v/>
      </c>
      <c r="L657" s="16" t="n"/>
      <c r="M657" s="16" t="n"/>
      <c r="N657" s="17">
        <f>IF($D657="","",IF($M657="Excused","No",IF(AND($G657="PT Modified",$L657="Received"),"No","Yes")))</f>
        <v/>
      </c>
      <c r="O657" s="16" t="n"/>
      <c r="P657" s="17">
        <f>IF(OR($B657="",N($I657)=0),"",MIN(N($I657),SUMIFS(nrMK_Min,nrMK_Link,$B657,nrMK_Credit,"Yes",nrMK_PID,$E657,nrMK_Type,"Classroom")))</f>
        <v/>
      </c>
      <c r="Q657" s="17">
        <f>IF(OR($B657="",N($J657)=0),"",MIN(N($J657),SUMIFS(nrMK_Sess,nrMK_Link,$B657,nrMK_Credit,"Yes",nrMK_PID,$E657,nrMK_Type,"PT")))</f>
        <v/>
      </c>
      <c r="R657" s="17">
        <f>IF(OR($B657="",$N657&lt;&gt;"Yes"),"",IF($K657="Yes",IF(N($J657)&gt;0,N($J657)-N($Q657),""),IF(N($I657)&gt;0,N($I657)-N($P657),"")))</f>
        <v/>
      </c>
      <c r="S657" s="17">
        <f>IF(OR($B657="",$R657=""),"",IF($R657&lt;=0,IF(IFERROR(_xlfn.MAXIFS(nrMK_Date,nrMK_Link,$B657,nrMK_Credit,"Yes",nrMK_PID,$E657),0)=0,"CLEARED (makeup date missing)","CLEARED "&amp;TEXT(_xlfn.MAXIFS(nrMK_Date,nrMK_Link,$B657,nrMK_Credit,"Yes",nrMK_PID,$E657),"mm/dd")),"OPEN"))</f>
        <v/>
      </c>
      <c r="T657" s="17">
        <f>IF($D657="","",IF($C657="","NO DATE",IF($G657="","NO EVENT TYPE",IF(AND($I657&lt;&gt;"",NOT(ISNUMBER($I657))),"MINUTES NOT A NUMBER",IF(AND($J657&lt;&gt;"",NOT(ISNUMBER($J657))),"SESSIONS NOT A NUMBER",IF(OR(N($I657)&lt;0,N($J657)&lt;0),"NEGATIVE MINUTES/SESSIONS",IF(AND($K657="Yes",N($I657)&gt;0),"MINUTES ON A PT EVENT - not counted (PT counts sessions)",IF(AND($K657="No",N($J657)&gt;0),"SESSIONS ON A CLASSROOM EVENT - not counted (classroom counts minutes)",IF(AND($N657="Yes",$K657="Yes",N($J657)=0),"COUNTED PT EVENT WITH NO SESSIONS - dropped from the PT cap",IF(AND($N657="Yes",$K657="No",N($I657)=0),"COUNTED EVENT WITH NO MINUTES - dropped from the classroom cap","OK"))))))))))</f>
        <v/>
      </c>
    </row>
    <row r="658">
      <c r="B658" s="17">
        <f>IF($D658="","","A"&amp;TEXT(ROW()-5,"000"))</f>
        <v/>
      </c>
      <c r="C658" s="18" t="n"/>
      <c r="D658" s="16" t="n"/>
      <c r="E658" s="17">
        <f>IF($D658="","",IFERROR(INDEX(rngCadetPIDs,MATCH($D658,rngCadetNames,0)),"?"))</f>
        <v/>
      </c>
      <c r="F658" s="17">
        <f>IF($E658="","",IFERROR(INDEX(nrCadetAgency,MATCH($E658,rngCadetPIDs,0)),""))</f>
        <v/>
      </c>
      <c r="G658" s="16" t="n"/>
      <c r="H658" s="16" t="n"/>
      <c r="I658" s="16" t="n"/>
      <c r="J658" s="16" t="n"/>
      <c r="K658" s="17">
        <f>IF($G658="","",IF(OR($G658="PT Missed",$G658="PT Modified",$G658="PT Refused"),"Yes","No"))</f>
        <v/>
      </c>
      <c r="L658" s="16" t="n"/>
      <c r="M658" s="16" t="n"/>
      <c r="N658" s="17">
        <f>IF($D658="","",IF($M658="Excused","No",IF(AND($G658="PT Modified",$L658="Received"),"No","Yes")))</f>
        <v/>
      </c>
      <c r="O658" s="16" t="n"/>
      <c r="P658" s="17">
        <f>IF(OR($B658="",N($I658)=0),"",MIN(N($I658),SUMIFS(nrMK_Min,nrMK_Link,$B658,nrMK_Credit,"Yes",nrMK_PID,$E658,nrMK_Type,"Classroom")))</f>
        <v/>
      </c>
      <c r="Q658" s="17">
        <f>IF(OR($B658="",N($J658)=0),"",MIN(N($J658),SUMIFS(nrMK_Sess,nrMK_Link,$B658,nrMK_Credit,"Yes",nrMK_PID,$E658,nrMK_Type,"PT")))</f>
        <v/>
      </c>
      <c r="R658" s="17">
        <f>IF(OR($B658="",$N658&lt;&gt;"Yes"),"",IF($K658="Yes",IF(N($J658)&gt;0,N($J658)-N($Q658),""),IF(N($I658)&gt;0,N($I658)-N($P658),"")))</f>
        <v/>
      </c>
      <c r="S658" s="17">
        <f>IF(OR($B658="",$R658=""),"",IF($R658&lt;=0,IF(IFERROR(_xlfn.MAXIFS(nrMK_Date,nrMK_Link,$B658,nrMK_Credit,"Yes",nrMK_PID,$E658),0)=0,"CLEARED (makeup date missing)","CLEARED "&amp;TEXT(_xlfn.MAXIFS(nrMK_Date,nrMK_Link,$B658,nrMK_Credit,"Yes",nrMK_PID,$E658),"mm/dd")),"OPEN"))</f>
        <v/>
      </c>
      <c r="T658" s="17">
        <f>IF($D658="","",IF($C658="","NO DATE",IF($G658="","NO EVENT TYPE",IF(AND($I658&lt;&gt;"",NOT(ISNUMBER($I658))),"MINUTES NOT A NUMBER",IF(AND($J658&lt;&gt;"",NOT(ISNUMBER($J658))),"SESSIONS NOT A NUMBER",IF(OR(N($I658)&lt;0,N($J658)&lt;0),"NEGATIVE MINUTES/SESSIONS",IF(AND($K658="Yes",N($I658)&gt;0),"MINUTES ON A PT EVENT - not counted (PT counts sessions)",IF(AND($K658="No",N($J658)&gt;0),"SESSIONS ON A CLASSROOM EVENT - not counted (classroom counts minutes)",IF(AND($N658="Yes",$K658="Yes",N($J658)=0),"COUNTED PT EVENT WITH NO SESSIONS - dropped from the PT cap",IF(AND($N658="Yes",$K658="No",N($I658)=0),"COUNTED EVENT WITH NO MINUTES - dropped from the classroom cap","OK"))))))))))</f>
        <v/>
      </c>
    </row>
    <row r="659">
      <c r="B659" s="17">
        <f>IF($D659="","","A"&amp;TEXT(ROW()-5,"000"))</f>
        <v/>
      </c>
      <c r="C659" s="18" t="n"/>
      <c r="D659" s="16" t="n"/>
      <c r="E659" s="17">
        <f>IF($D659="","",IFERROR(INDEX(rngCadetPIDs,MATCH($D659,rngCadetNames,0)),"?"))</f>
        <v/>
      </c>
      <c r="F659" s="17">
        <f>IF($E659="","",IFERROR(INDEX(nrCadetAgency,MATCH($E659,rngCadetPIDs,0)),""))</f>
        <v/>
      </c>
      <c r="G659" s="16" t="n"/>
      <c r="H659" s="16" t="n"/>
      <c r="I659" s="16" t="n"/>
      <c r="J659" s="16" t="n"/>
      <c r="K659" s="17">
        <f>IF($G659="","",IF(OR($G659="PT Missed",$G659="PT Modified",$G659="PT Refused"),"Yes","No"))</f>
        <v/>
      </c>
      <c r="L659" s="16" t="n"/>
      <c r="M659" s="16" t="n"/>
      <c r="N659" s="17">
        <f>IF($D659="","",IF($M659="Excused","No",IF(AND($G659="PT Modified",$L659="Received"),"No","Yes")))</f>
        <v/>
      </c>
      <c r="O659" s="16" t="n"/>
      <c r="P659" s="17">
        <f>IF(OR($B659="",N($I659)=0),"",MIN(N($I659),SUMIFS(nrMK_Min,nrMK_Link,$B659,nrMK_Credit,"Yes",nrMK_PID,$E659,nrMK_Type,"Classroom")))</f>
        <v/>
      </c>
      <c r="Q659" s="17">
        <f>IF(OR($B659="",N($J659)=0),"",MIN(N($J659),SUMIFS(nrMK_Sess,nrMK_Link,$B659,nrMK_Credit,"Yes",nrMK_PID,$E659,nrMK_Type,"PT")))</f>
        <v/>
      </c>
      <c r="R659" s="17">
        <f>IF(OR($B659="",$N659&lt;&gt;"Yes"),"",IF($K659="Yes",IF(N($J659)&gt;0,N($J659)-N($Q659),""),IF(N($I659)&gt;0,N($I659)-N($P659),"")))</f>
        <v/>
      </c>
      <c r="S659" s="17">
        <f>IF(OR($B659="",$R659=""),"",IF($R659&lt;=0,IF(IFERROR(_xlfn.MAXIFS(nrMK_Date,nrMK_Link,$B659,nrMK_Credit,"Yes",nrMK_PID,$E659),0)=0,"CLEARED (makeup date missing)","CLEARED "&amp;TEXT(_xlfn.MAXIFS(nrMK_Date,nrMK_Link,$B659,nrMK_Credit,"Yes",nrMK_PID,$E659),"mm/dd")),"OPEN"))</f>
        <v/>
      </c>
      <c r="T659" s="17">
        <f>IF($D659="","",IF($C659="","NO DATE",IF($G659="","NO EVENT TYPE",IF(AND($I659&lt;&gt;"",NOT(ISNUMBER($I659))),"MINUTES NOT A NUMBER",IF(AND($J659&lt;&gt;"",NOT(ISNUMBER($J659))),"SESSIONS NOT A NUMBER",IF(OR(N($I659)&lt;0,N($J659)&lt;0),"NEGATIVE MINUTES/SESSIONS",IF(AND($K659="Yes",N($I659)&gt;0),"MINUTES ON A PT EVENT - not counted (PT counts sessions)",IF(AND($K659="No",N($J659)&gt;0),"SESSIONS ON A CLASSROOM EVENT - not counted (classroom counts minutes)",IF(AND($N659="Yes",$K659="Yes",N($J659)=0),"COUNTED PT EVENT WITH NO SESSIONS - dropped from the PT cap",IF(AND($N659="Yes",$K659="No",N($I659)=0),"COUNTED EVENT WITH NO MINUTES - dropped from the classroom cap","OK"))))))))))</f>
        <v/>
      </c>
    </row>
    <row r="660">
      <c r="B660" s="17">
        <f>IF($D660="","","A"&amp;TEXT(ROW()-5,"000"))</f>
        <v/>
      </c>
      <c r="C660" s="18" t="n"/>
      <c r="D660" s="16" t="n"/>
      <c r="E660" s="17">
        <f>IF($D660="","",IFERROR(INDEX(rngCadetPIDs,MATCH($D660,rngCadetNames,0)),"?"))</f>
        <v/>
      </c>
      <c r="F660" s="17">
        <f>IF($E660="","",IFERROR(INDEX(nrCadetAgency,MATCH($E660,rngCadetPIDs,0)),""))</f>
        <v/>
      </c>
      <c r="G660" s="16" t="n"/>
      <c r="H660" s="16" t="n"/>
      <c r="I660" s="16" t="n"/>
      <c r="J660" s="16" t="n"/>
      <c r="K660" s="17">
        <f>IF($G660="","",IF(OR($G660="PT Missed",$G660="PT Modified",$G660="PT Refused"),"Yes","No"))</f>
        <v/>
      </c>
      <c r="L660" s="16" t="n"/>
      <c r="M660" s="16" t="n"/>
      <c r="N660" s="17">
        <f>IF($D660="","",IF($M660="Excused","No",IF(AND($G660="PT Modified",$L660="Received"),"No","Yes")))</f>
        <v/>
      </c>
      <c r="O660" s="16" t="n"/>
      <c r="P660" s="17">
        <f>IF(OR($B660="",N($I660)=0),"",MIN(N($I660),SUMIFS(nrMK_Min,nrMK_Link,$B660,nrMK_Credit,"Yes",nrMK_PID,$E660,nrMK_Type,"Classroom")))</f>
        <v/>
      </c>
      <c r="Q660" s="17">
        <f>IF(OR($B660="",N($J660)=0),"",MIN(N($J660),SUMIFS(nrMK_Sess,nrMK_Link,$B660,nrMK_Credit,"Yes",nrMK_PID,$E660,nrMK_Type,"PT")))</f>
        <v/>
      </c>
      <c r="R660" s="17">
        <f>IF(OR($B660="",$N660&lt;&gt;"Yes"),"",IF($K660="Yes",IF(N($J660)&gt;0,N($J660)-N($Q660),""),IF(N($I660)&gt;0,N($I660)-N($P660),"")))</f>
        <v/>
      </c>
      <c r="S660" s="17">
        <f>IF(OR($B660="",$R660=""),"",IF($R660&lt;=0,IF(IFERROR(_xlfn.MAXIFS(nrMK_Date,nrMK_Link,$B660,nrMK_Credit,"Yes",nrMK_PID,$E660),0)=0,"CLEARED (makeup date missing)","CLEARED "&amp;TEXT(_xlfn.MAXIFS(nrMK_Date,nrMK_Link,$B660,nrMK_Credit,"Yes",nrMK_PID,$E660),"mm/dd")),"OPEN"))</f>
        <v/>
      </c>
      <c r="T660" s="17">
        <f>IF($D660="","",IF($C660="","NO DATE",IF($G660="","NO EVENT TYPE",IF(AND($I660&lt;&gt;"",NOT(ISNUMBER($I660))),"MINUTES NOT A NUMBER",IF(AND($J660&lt;&gt;"",NOT(ISNUMBER($J660))),"SESSIONS NOT A NUMBER",IF(OR(N($I660)&lt;0,N($J660)&lt;0),"NEGATIVE MINUTES/SESSIONS",IF(AND($K660="Yes",N($I660)&gt;0),"MINUTES ON A PT EVENT - not counted (PT counts sessions)",IF(AND($K660="No",N($J660)&gt;0),"SESSIONS ON A CLASSROOM EVENT - not counted (classroom counts minutes)",IF(AND($N660="Yes",$K660="Yes",N($J660)=0),"COUNTED PT EVENT WITH NO SESSIONS - dropped from the PT cap",IF(AND($N660="Yes",$K660="No",N($I660)=0),"COUNTED EVENT WITH NO MINUTES - dropped from the classroom cap","OK"))))))))))</f>
        <v/>
      </c>
    </row>
    <row r="661">
      <c r="B661" s="17">
        <f>IF($D661="","","A"&amp;TEXT(ROW()-5,"000"))</f>
        <v/>
      </c>
      <c r="C661" s="18" t="n"/>
      <c r="D661" s="16" t="n"/>
      <c r="E661" s="17">
        <f>IF($D661="","",IFERROR(INDEX(rngCadetPIDs,MATCH($D661,rngCadetNames,0)),"?"))</f>
        <v/>
      </c>
      <c r="F661" s="17">
        <f>IF($E661="","",IFERROR(INDEX(nrCadetAgency,MATCH($E661,rngCadetPIDs,0)),""))</f>
        <v/>
      </c>
      <c r="G661" s="16" t="n"/>
      <c r="H661" s="16" t="n"/>
      <c r="I661" s="16" t="n"/>
      <c r="J661" s="16" t="n"/>
      <c r="K661" s="17">
        <f>IF($G661="","",IF(OR($G661="PT Missed",$G661="PT Modified",$G661="PT Refused"),"Yes","No"))</f>
        <v/>
      </c>
      <c r="L661" s="16" t="n"/>
      <c r="M661" s="16" t="n"/>
      <c r="N661" s="17">
        <f>IF($D661="","",IF($M661="Excused","No",IF(AND($G661="PT Modified",$L661="Received"),"No","Yes")))</f>
        <v/>
      </c>
      <c r="O661" s="16" t="n"/>
      <c r="P661" s="17">
        <f>IF(OR($B661="",N($I661)=0),"",MIN(N($I661),SUMIFS(nrMK_Min,nrMK_Link,$B661,nrMK_Credit,"Yes",nrMK_PID,$E661,nrMK_Type,"Classroom")))</f>
        <v/>
      </c>
      <c r="Q661" s="17">
        <f>IF(OR($B661="",N($J661)=0),"",MIN(N($J661),SUMIFS(nrMK_Sess,nrMK_Link,$B661,nrMK_Credit,"Yes",nrMK_PID,$E661,nrMK_Type,"PT")))</f>
        <v/>
      </c>
      <c r="R661" s="17">
        <f>IF(OR($B661="",$N661&lt;&gt;"Yes"),"",IF($K661="Yes",IF(N($J661)&gt;0,N($J661)-N($Q661),""),IF(N($I661)&gt;0,N($I661)-N($P661),"")))</f>
        <v/>
      </c>
      <c r="S661" s="17">
        <f>IF(OR($B661="",$R661=""),"",IF($R661&lt;=0,IF(IFERROR(_xlfn.MAXIFS(nrMK_Date,nrMK_Link,$B661,nrMK_Credit,"Yes",nrMK_PID,$E661),0)=0,"CLEARED (makeup date missing)","CLEARED "&amp;TEXT(_xlfn.MAXIFS(nrMK_Date,nrMK_Link,$B661,nrMK_Credit,"Yes",nrMK_PID,$E661),"mm/dd")),"OPEN"))</f>
        <v/>
      </c>
      <c r="T661" s="17">
        <f>IF($D661="","",IF($C661="","NO DATE",IF($G661="","NO EVENT TYPE",IF(AND($I661&lt;&gt;"",NOT(ISNUMBER($I661))),"MINUTES NOT A NUMBER",IF(AND($J661&lt;&gt;"",NOT(ISNUMBER($J661))),"SESSIONS NOT A NUMBER",IF(OR(N($I661)&lt;0,N($J661)&lt;0),"NEGATIVE MINUTES/SESSIONS",IF(AND($K661="Yes",N($I661)&gt;0),"MINUTES ON A PT EVENT - not counted (PT counts sessions)",IF(AND($K661="No",N($J661)&gt;0),"SESSIONS ON A CLASSROOM EVENT - not counted (classroom counts minutes)",IF(AND($N661="Yes",$K661="Yes",N($J661)=0),"COUNTED PT EVENT WITH NO SESSIONS - dropped from the PT cap",IF(AND($N661="Yes",$K661="No",N($I661)=0),"COUNTED EVENT WITH NO MINUTES - dropped from the classroom cap","OK"))))))))))</f>
        <v/>
      </c>
    </row>
    <row r="662">
      <c r="B662" s="17">
        <f>IF($D662="","","A"&amp;TEXT(ROW()-5,"000"))</f>
        <v/>
      </c>
      <c r="C662" s="18" t="n"/>
      <c r="D662" s="16" t="n"/>
      <c r="E662" s="17">
        <f>IF($D662="","",IFERROR(INDEX(rngCadetPIDs,MATCH($D662,rngCadetNames,0)),"?"))</f>
        <v/>
      </c>
      <c r="F662" s="17">
        <f>IF($E662="","",IFERROR(INDEX(nrCadetAgency,MATCH($E662,rngCadetPIDs,0)),""))</f>
        <v/>
      </c>
      <c r="G662" s="16" t="n"/>
      <c r="H662" s="16" t="n"/>
      <c r="I662" s="16" t="n"/>
      <c r="J662" s="16" t="n"/>
      <c r="K662" s="17">
        <f>IF($G662="","",IF(OR($G662="PT Missed",$G662="PT Modified",$G662="PT Refused"),"Yes","No"))</f>
        <v/>
      </c>
      <c r="L662" s="16" t="n"/>
      <c r="M662" s="16" t="n"/>
      <c r="N662" s="17">
        <f>IF($D662="","",IF($M662="Excused","No",IF(AND($G662="PT Modified",$L662="Received"),"No","Yes")))</f>
        <v/>
      </c>
      <c r="O662" s="16" t="n"/>
      <c r="P662" s="17">
        <f>IF(OR($B662="",N($I662)=0),"",MIN(N($I662),SUMIFS(nrMK_Min,nrMK_Link,$B662,nrMK_Credit,"Yes",nrMK_PID,$E662,nrMK_Type,"Classroom")))</f>
        <v/>
      </c>
      <c r="Q662" s="17">
        <f>IF(OR($B662="",N($J662)=0),"",MIN(N($J662),SUMIFS(nrMK_Sess,nrMK_Link,$B662,nrMK_Credit,"Yes",nrMK_PID,$E662,nrMK_Type,"PT")))</f>
        <v/>
      </c>
      <c r="R662" s="17">
        <f>IF(OR($B662="",$N662&lt;&gt;"Yes"),"",IF($K662="Yes",IF(N($J662)&gt;0,N($J662)-N($Q662),""),IF(N($I662)&gt;0,N($I662)-N($P662),"")))</f>
        <v/>
      </c>
      <c r="S662" s="17">
        <f>IF(OR($B662="",$R662=""),"",IF($R662&lt;=0,IF(IFERROR(_xlfn.MAXIFS(nrMK_Date,nrMK_Link,$B662,nrMK_Credit,"Yes",nrMK_PID,$E662),0)=0,"CLEARED (makeup date missing)","CLEARED "&amp;TEXT(_xlfn.MAXIFS(nrMK_Date,nrMK_Link,$B662,nrMK_Credit,"Yes",nrMK_PID,$E662),"mm/dd")),"OPEN"))</f>
        <v/>
      </c>
      <c r="T662" s="17">
        <f>IF($D662="","",IF($C662="","NO DATE",IF($G662="","NO EVENT TYPE",IF(AND($I662&lt;&gt;"",NOT(ISNUMBER($I662))),"MINUTES NOT A NUMBER",IF(AND($J662&lt;&gt;"",NOT(ISNUMBER($J662))),"SESSIONS NOT A NUMBER",IF(OR(N($I662)&lt;0,N($J662)&lt;0),"NEGATIVE MINUTES/SESSIONS",IF(AND($K662="Yes",N($I662)&gt;0),"MINUTES ON A PT EVENT - not counted (PT counts sessions)",IF(AND($K662="No",N($J662)&gt;0),"SESSIONS ON A CLASSROOM EVENT - not counted (classroom counts minutes)",IF(AND($N662="Yes",$K662="Yes",N($J662)=0),"COUNTED PT EVENT WITH NO SESSIONS - dropped from the PT cap",IF(AND($N662="Yes",$K662="No",N($I662)=0),"COUNTED EVENT WITH NO MINUTES - dropped from the classroom cap","OK"))))))))))</f>
        <v/>
      </c>
    </row>
    <row r="663">
      <c r="B663" s="17">
        <f>IF($D663="","","A"&amp;TEXT(ROW()-5,"000"))</f>
        <v/>
      </c>
      <c r="C663" s="18" t="n"/>
      <c r="D663" s="16" t="n"/>
      <c r="E663" s="17">
        <f>IF($D663="","",IFERROR(INDEX(rngCadetPIDs,MATCH($D663,rngCadetNames,0)),"?"))</f>
        <v/>
      </c>
      <c r="F663" s="17">
        <f>IF($E663="","",IFERROR(INDEX(nrCadetAgency,MATCH($E663,rngCadetPIDs,0)),""))</f>
        <v/>
      </c>
      <c r="G663" s="16" t="n"/>
      <c r="H663" s="16" t="n"/>
      <c r="I663" s="16" t="n"/>
      <c r="J663" s="16" t="n"/>
      <c r="K663" s="17">
        <f>IF($G663="","",IF(OR($G663="PT Missed",$G663="PT Modified",$G663="PT Refused"),"Yes","No"))</f>
        <v/>
      </c>
      <c r="L663" s="16" t="n"/>
      <c r="M663" s="16" t="n"/>
      <c r="N663" s="17">
        <f>IF($D663="","",IF($M663="Excused","No",IF(AND($G663="PT Modified",$L663="Received"),"No","Yes")))</f>
        <v/>
      </c>
      <c r="O663" s="16" t="n"/>
      <c r="P663" s="17">
        <f>IF(OR($B663="",N($I663)=0),"",MIN(N($I663),SUMIFS(nrMK_Min,nrMK_Link,$B663,nrMK_Credit,"Yes",nrMK_PID,$E663,nrMK_Type,"Classroom")))</f>
        <v/>
      </c>
      <c r="Q663" s="17">
        <f>IF(OR($B663="",N($J663)=0),"",MIN(N($J663),SUMIFS(nrMK_Sess,nrMK_Link,$B663,nrMK_Credit,"Yes",nrMK_PID,$E663,nrMK_Type,"PT")))</f>
        <v/>
      </c>
      <c r="R663" s="17">
        <f>IF(OR($B663="",$N663&lt;&gt;"Yes"),"",IF($K663="Yes",IF(N($J663)&gt;0,N($J663)-N($Q663),""),IF(N($I663)&gt;0,N($I663)-N($P663),"")))</f>
        <v/>
      </c>
      <c r="S663" s="17">
        <f>IF(OR($B663="",$R663=""),"",IF($R663&lt;=0,IF(IFERROR(_xlfn.MAXIFS(nrMK_Date,nrMK_Link,$B663,nrMK_Credit,"Yes",nrMK_PID,$E663),0)=0,"CLEARED (makeup date missing)","CLEARED "&amp;TEXT(_xlfn.MAXIFS(nrMK_Date,nrMK_Link,$B663,nrMK_Credit,"Yes",nrMK_PID,$E663),"mm/dd")),"OPEN"))</f>
        <v/>
      </c>
      <c r="T663" s="17">
        <f>IF($D663="","",IF($C663="","NO DATE",IF($G663="","NO EVENT TYPE",IF(AND($I663&lt;&gt;"",NOT(ISNUMBER($I663))),"MINUTES NOT A NUMBER",IF(AND($J663&lt;&gt;"",NOT(ISNUMBER($J663))),"SESSIONS NOT A NUMBER",IF(OR(N($I663)&lt;0,N($J663)&lt;0),"NEGATIVE MINUTES/SESSIONS",IF(AND($K663="Yes",N($I663)&gt;0),"MINUTES ON A PT EVENT - not counted (PT counts sessions)",IF(AND($K663="No",N($J663)&gt;0),"SESSIONS ON A CLASSROOM EVENT - not counted (classroom counts minutes)",IF(AND($N663="Yes",$K663="Yes",N($J663)=0),"COUNTED PT EVENT WITH NO SESSIONS - dropped from the PT cap",IF(AND($N663="Yes",$K663="No",N($I663)=0),"COUNTED EVENT WITH NO MINUTES - dropped from the classroom cap","OK"))))))))))</f>
        <v/>
      </c>
    </row>
    <row r="664">
      <c r="B664" s="17">
        <f>IF($D664="","","A"&amp;TEXT(ROW()-5,"000"))</f>
        <v/>
      </c>
      <c r="C664" s="18" t="n"/>
      <c r="D664" s="16" t="n"/>
      <c r="E664" s="17">
        <f>IF($D664="","",IFERROR(INDEX(rngCadetPIDs,MATCH($D664,rngCadetNames,0)),"?"))</f>
        <v/>
      </c>
      <c r="F664" s="17">
        <f>IF($E664="","",IFERROR(INDEX(nrCadetAgency,MATCH($E664,rngCadetPIDs,0)),""))</f>
        <v/>
      </c>
      <c r="G664" s="16" t="n"/>
      <c r="H664" s="16" t="n"/>
      <c r="I664" s="16" t="n"/>
      <c r="J664" s="16" t="n"/>
      <c r="K664" s="17">
        <f>IF($G664="","",IF(OR($G664="PT Missed",$G664="PT Modified",$G664="PT Refused"),"Yes","No"))</f>
        <v/>
      </c>
      <c r="L664" s="16" t="n"/>
      <c r="M664" s="16" t="n"/>
      <c r="N664" s="17">
        <f>IF($D664="","",IF($M664="Excused","No",IF(AND($G664="PT Modified",$L664="Received"),"No","Yes")))</f>
        <v/>
      </c>
      <c r="O664" s="16" t="n"/>
      <c r="P664" s="17">
        <f>IF(OR($B664="",N($I664)=0),"",MIN(N($I664),SUMIFS(nrMK_Min,nrMK_Link,$B664,nrMK_Credit,"Yes",nrMK_PID,$E664,nrMK_Type,"Classroom")))</f>
        <v/>
      </c>
      <c r="Q664" s="17">
        <f>IF(OR($B664="",N($J664)=0),"",MIN(N($J664),SUMIFS(nrMK_Sess,nrMK_Link,$B664,nrMK_Credit,"Yes",nrMK_PID,$E664,nrMK_Type,"PT")))</f>
        <v/>
      </c>
      <c r="R664" s="17">
        <f>IF(OR($B664="",$N664&lt;&gt;"Yes"),"",IF($K664="Yes",IF(N($J664)&gt;0,N($J664)-N($Q664),""),IF(N($I664)&gt;0,N($I664)-N($P664),"")))</f>
        <v/>
      </c>
      <c r="S664" s="17">
        <f>IF(OR($B664="",$R664=""),"",IF($R664&lt;=0,IF(IFERROR(_xlfn.MAXIFS(nrMK_Date,nrMK_Link,$B664,nrMK_Credit,"Yes",nrMK_PID,$E664),0)=0,"CLEARED (makeup date missing)","CLEARED "&amp;TEXT(_xlfn.MAXIFS(nrMK_Date,nrMK_Link,$B664,nrMK_Credit,"Yes",nrMK_PID,$E664),"mm/dd")),"OPEN"))</f>
        <v/>
      </c>
      <c r="T664" s="17">
        <f>IF($D664="","",IF($C664="","NO DATE",IF($G664="","NO EVENT TYPE",IF(AND($I664&lt;&gt;"",NOT(ISNUMBER($I664))),"MINUTES NOT A NUMBER",IF(AND($J664&lt;&gt;"",NOT(ISNUMBER($J664))),"SESSIONS NOT A NUMBER",IF(OR(N($I664)&lt;0,N($J664)&lt;0),"NEGATIVE MINUTES/SESSIONS",IF(AND($K664="Yes",N($I664)&gt;0),"MINUTES ON A PT EVENT - not counted (PT counts sessions)",IF(AND($K664="No",N($J664)&gt;0),"SESSIONS ON A CLASSROOM EVENT - not counted (classroom counts minutes)",IF(AND($N664="Yes",$K664="Yes",N($J664)=0),"COUNTED PT EVENT WITH NO SESSIONS - dropped from the PT cap",IF(AND($N664="Yes",$K664="No",N($I664)=0),"COUNTED EVENT WITH NO MINUTES - dropped from the classroom cap","OK"))))))))))</f>
        <v/>
      </c>
    </row>
    <row r="665">
      <c r="B665" s="17">
        <f>IF($D665="","","A"&amp;TEXT(ROW()-5,"000"))</f>
        <v/>
      </c>
      <c r="C665" s="18" t="n"/>
      <c r="D665" s="16" t="n"/>
      <c r="E665" s="17">
        <f>IF($D665="","",IFERROR(INDEX(rngCadetPIDs,MATCH($D665,rngCadetNames,0)),"?"))</f>
        <v/>
      </c>
      <c r="F665" s="17">
        <f>IF($E665="","",IFERROR(INDEX(nrCadetAgency,MATCH($E665,rngCadetPIDs,0)),""))</f>
        <v/>
      </c>
      <c r="G665" s="16" t="n"/>
      <c r="H665" s="16" t="n"/>
      <c r="I665" s="16" t="n"/>
      <c r="J665" s="16" t="n"/>
      <c r="K665" s="17">
        <f>IF($G665="","",IF(OR($G665="PT Missed",$G665="PT Modified",$G665="PT Refused"),"Yes","No"))</f>
        <v/>
      </c>
      <c r="L665" s="16" t="n"/>
      <c r="M665" s="16" t="n"/>
      <c r="N665" s="17">
        <f>IF($D665="","",IF($M665="Excused","No",IF(AND($G665="PT Modified",$L665="Received"),"No","Yes")))</f>
        <v/>
      </c>
      <c r="O665" s="16" t="n"/>
      <c r="P665" s="17">
        <f>IF(OR($B665="",N($I665)=0),"",MIN(N($I665),SUMIFS(nrMK_Min,nrMK_Link,$B665,nrMK_Credit,"Yes",nrMK_PID,$E665,nrMK_Type,"Classroom")))</f>
        <v/>
      </c>
      <c r="Q665" s="17">
        <f>IF(OR($B665="",N($J665)=0),"",MIN(N($J665),SUMIFS(nrMK_Sess,nrMK_Link,$B665,nrMK_Credit,"Yes",nrMK_PID,$E665,nrMK_Type,"PT")))</f>
        <v/>
      </c>
      <c r="R665" s="17">
        <f>IF(OR($B665="",$N665&lt;&gt;"Yes"),"",IF($K665="Yes",IF(N($J665)&gt;0,N($J665)-N($Q665),""),IF(N($I665)&gt;0,N($I665)-N($P665),"")))</f>
        <v/>
      </c>
      <c r="S665" s="17">
        <f>IF(OR($B665="",$R665=""),"",IF($R665&lt;=0,IF(IFERROR(_xlfn.MAXIFS(nrMK_Date,nrMK_Link,$B665,nrMK_Credit,"Yes",nrMK_PID,$E665),0)=0,"CLEARED (makeup date missing)","CLEARED "&amp;TEXT(_xlfn.MAXIFS(nrMK_Date,nrMK_Link,$B665,nrMK_Credit,"Yes",nrMK_PID,$E665),"mm/dd")),"OPEN"))</f>
        <v/>
      </c>
      <c r="T665" s="17">
        <f>IF($D665="","",IF($C665="","NO DATE",IF($G665="","NO EVENT TYPE",IF(AND($I665&lt;&gt;"",NOT(ISNUMBER($I665))),"MINUTES NOT A NUMBER",IF(AND($J665&lt;&gt;"",NOT(ISNUMBER($J665))),"SESSIONS NOT A NUMBER",IF(OR(N($I665)&lt;0,N($J665)&lt;0),"NEGATIVE MINUTES/SESSIONS",IF(AND($K665="Yes",N($I665)&gt;0),"MINUTES ON A PT EVENT - not counted (PT counts sessions)",IF(AND($K665="No",N($J665)&gt;0),"SESSIONS ON A CLASSROOM EVENT - not counted (classroom counts minutes)",IF(AND($N665="Yes",$K665="Yes",N($J665)=0),"COUNTED PT EVENT WITH NO SESSIONS - dropped from the PT cap",IF(AND($N665="Yes",$K665="No",N($I665)=0),"COUNTED EVENT WITH NO MINUTES - dropped from the classroom cap","OK"))))))))))</f>
        <v/>
      </c>
    </row>
    <row r="666">
      <c r="B666" s="17">
        <f>IF($D666="","","A"&amp;TEXT(ROW()-5,"000"))</f>
        <v/>
      </c>
      <c r="C666" s="18" t="n"/>
      <c r="D666" s="16" t="n"/>
      <c r="E666" s="17">
        <f>IF($D666="","",IFERROR(INDEX(rngCadetPIDs,MATCH($D666,rngCadetNames,0)),"?"))</f>
        <v/>
      </c>
      <c r="F666" s="17">
        <f>IF($E666="","",IFERROR(INDEX(nrCadetAgency,MATCH($E666,rngCadetPIDs,0)),""))</f>
        <v/>
      </c>
      <c r="G666" s="16" t="n"/>
      <c r="H666" s="16" t="n"/>
      <c r="I666" s="16" t="n"/>
      <c r="J666" s="16" t="n"/>
      <c r="K666" s="17">
        <f>IF($G666="","",IF(OR($G666="PT Missed",$G666="PT Modified",$G666="PT Refused"),"Yes","No"))</f>
        <v/>
      </c>
      <c r="L666" s="16" t="n"/>
      <c r="M666" s="16" t="n"/>
      <c r="N666" s="17">
        <f>IF($D666="","",IF($M666="Excused","No",IF(AND($G666="PT Modified",$L666="Received"),"No","Yes")))</f>
        <v/>
      </c>
      <c r="O666" s="16" t="n"/>
      <c r="P666" s="17">
        <f>IF(OR($B666="",N($I666)=0),"",MIN(N($I666),SUMIFS(nrMK_Min,nrMK_Link,$B666,nrMK_Credit,"Yes",nrMK_PID,$E666,nrMK_Type,"Classroom")))</f>
        <v/>
      </c>
      <c r="Q666" s="17">
        <f>IF(OR($B666="",N($J666)=0),"",MIN(N($J666),SUMIFS(nrMK_Sess,nrMK_Link,$B666,nrMK_Credit,"Yes",nrMK_PID,$E666,nrMK_Type,"PT")))</f>
        <v/>
      </c>
      <c r="R666" s="17">
        <f>IF(OR($B666="",$N666&lt;&gt;"Yes"),"",IF($K666="Yes",IF(N($J666)&gt;0,N($J666)-N($Q666),""),IF(N($I666)&gt;0,N($I666)-N($P666),"")))</f>
        <v/>
      </c>
      <c r="S666" s="17">
        <f>IF(OR($B666="",$R666=""),"",IF($R666&lt;=0,IF(IFERROR(_xlfn.MAXIFS(nrMK_Date,nrMK_Link,$B666,nrMK_Credit,"Yes",nrMK_PID,$E666),0)=0,"CLEARED (makeup date missing)","CLEARED "&amp;TEXT(_xlfn.MAXIFS(nrMK_Date,nrMK_Link,$B666,nrMK_Credit,"Yes",nrMK_PID,$E666),"mm/dd")),"OPEN"))</f>
        <v/>
      </c>
      <c r="T666" s="17">
        <f>IF($D666="","",IF($C666="","NO DATE",IF($G666="","NO EVENT TYPE",IF(AND($I666&lt;&gt;"",NOT(ISNUMBER($I666))),"MINUTES NOT A NUMBER",IF(AND($J666&lt;&gt;"",NOT(ISNUMBER($J666))),"SESSIONS NOT A NUMBER",IF(OR(N($I666)&lt;0,N($J666)&lt;0),"NEGATIVE MINUTES/SESSIONS",IF(AND($K666="Yes",N($I666)&gt;0),"MINUTES ON A PT EVENT - not counted (PT counts sessions)",IF(AND($K666="No",N($J666)&gt;0),"SESSIONS ON A CLASSROOM EVENT - not counted (classroom counts minutes)",IF(AND($N666="Yes",$K666="Yes",N($J666)=0),"COUNTED PT EVENT WITH NO SESSIONS - dropped from the PT cap",IF(AND($N666="Yes",$K666="No",N($I666)=0),"COUNTED EVENT WITH NO MINUTES - dropped from the classroom cap","OK"))))))))))</f>
        <v/>
      </c>
    </row>
    <row r="667">
      <c r="B667" s="17">
        <f>IF($D667="","","A"&amp;TEXT(ROW()-5,"000"))</f>
        <v/>
      </c>
      <c r="C667" s="18" t="n"/>
      <c r="D667" s="16" t="n"/>
      <c r="E667" s="17">
        <f>IF($D667="","",IFERROR(INDEX(rngCadetPIDs,MATCH($D667,rngCadetNames,0)),"?"))</f>
        <v/>
      </c>
      <c r="F667" s="17">
        <f>IF($E667="","",IFERROR(INDEX(nrCadetAgency,MATCH($E667,rngCadetPIDs,0)),""))</f>
        <v/>
      </c>
      <c r="G667" s="16" t="n"/>
      <c r="H667" s="16" t="n"/>
      <c r="I667" s="16" t="n"/>
      <c r="J667" s="16" t="n"/>
      <c r="K667" s="17">
        <f>IF($G667="","",IF(OR($G667="PT Missed",$G667="PT Modified",$G667="PT Refused"),"Yes","No"))</f>
        <v/>
      </c>
      <c r="L667" s="16" t="n"/>
      <c r="M667" s="16" t="n"/>
      <c r="N667" s="17">
        <f>IF($D667="","",IF($M667="Excused","No",IF(AND($G667="PT Modified",$L667="Received"),"No","Yes")))</f>
        <v/>
      </c>
      <c r="O667" s="16" t="n"/>
      <c r="P667" s="17">
        <f>IF(OR($B667="",N($I667)=0),"",MIN(N($I667),SUMIFS(nrMK_Min,nrMK_Link,$B667,nrMK_Credit,"Yes",nrMK_PID,$E667,nrMK_Type,"Classroom")))</f>
        <v/>
      </c>
      <c r="Q667" s="17">
        <f>IF(OR($B667="",N($J667)=0),"",MIN(N($J667),SUMIFS(nrMK_Sess,nrMK_Link,$B667,nrMK_Credit,"Yes",nrMK_PID,$E667,nrMK_Type,"PT")))</f>
        <v/>
      </c>
      <c r="R667" s="17">
        <f>IF(OR($B667="",$N667&lt;&gt;"Yes"),"",IF($K667="Yes",IF(N($J667)&gt;0,N($J667)-N($Q667),""),IF(N($I667)&gt;0,N($I667)-N($P667),"")))</f>
        <v/>
      </c>
      <c r="S667" s="17">
        <f>IF(OR($B667="",$R667=""),"",IF($R667&lt;=0,IF(IFERROR(_xlfn.MAXIFS(nrMK_Date,nrMK_Link,$B667,nrMK_Credit,"Yes",nrMK_PID,$E667),0)=0,"CLEARED (makeup date missing)","CLEARED "&amp;TEXT(_xlfn.MAXIFS(nrMK_Date,nrMK_Link,$B667,nrMK_Credit,"Yes",nrMK_PID,$E667),"mm/dd")),"OPEN"))</f>
        <v/>
      </c>
      <c r="T667" s="17">
        <f>IF($D667="","",IF($C667="","NO DATE",IF($G667="","NO EVENT TYPE",IF(AND($I667&lt;&gt;"",NOT(ISNUMBER($I667))),"MINUTES NOT A NUMBER",IF(AND($J667&lt;&gt;"",NOT(ISNUMBER($J667))),"SESSIONS NOT A NUMBER",IF(OR(N($I667)&lt;0,N($J667)&lt;0),"NEGATIVE MINUTES/SESSIONS",IF(AND($K667="Yes",N($I667)&gt;0),"MINUTES ON A PT EVENT - not counted (PT counts sessions)",IF(AND($K667="No",N($J667)&gt;0),"SESSIONS ON A CLASSROOM EVENT - not counted (classroom counts minutes)",IF(AND($N667="Yes",$K667="Yes",N($J667)=0),"COUNTED PT EVENT WITH NO SESSIONS - dropped from the PT cap",IF(AND($N667="Yes",$K667="No",N($I667)=0),"COUNTED EVENT WITH NO MINUTES - dropped from the classroom cap","OK"))))))))))</f>
        <v/>
      </c>
    </row>
    <row r="668">
      <c r="B668" s="17">
        <f>IF($D668="","","A"&amp;TEXT(ROW()-5,"000"))</f>
        <v/>
      </c>
      <c r="C668" s="18" t="n"/>
      <c r="D668" s="16" t="n"/>
      <c r="E668" s="17">
        <f>IF($D668="","",IFERROR(INDEX(rngCadetPIDs,MATCH($D668,rngCadetNames,0)),"?"))</f>
        <v/>
      </c>
      <c r="F668" s="17">
        <f>IF($E668="","",IFERROR(INDEX(nrCadetAgency,MATCH($E668,rngCadetPIDs,0)),""))</f>
        <v/>
      </c>
      <c r="G668" s="16" t="n"/>
      <c r="H668" s="16" t="n"/>
      <c r="I668" s="16" t="n"/>
      <c r="J668" s="16" t="n"/>
      <c r="K668" s="17">
        <f>IF($G668="","",IF(OR($G668="PT Missed",$G668="PT Modified",$G668="PT Refused"),"Yes","No"))</f>
        <v/>
      </c>
      <c r="L668" s="16" t="n"/>
      <c r="M668" s="16" t="n"/>
      <c r="N668" s="17">
        <f>IF($D668="","",IF($M668="Excused","No",IF(AND($G668="PT Modified",$L668="Received"),"No","Yes")))</f>
        <v/>
      </c>
      <c r="O668" s="16" t="n"/>
      <c r="P668" s="17">
        <f>IF(OR($B668="",N($I668)=0),"",MIN(N($I668),SUMIFS(nrMK_Min,nrMK_Link,$B668,nrMK_Credit,"Yes",nrMK_PID,$E668,nrMK_Type,"Classroom")))</f>
        <v/>
      </c>
      <c r="Q668" s="17">
        <f>IF(OR($B668="",N($J668)=0),"",MIN(N($J668),SUMIFS(nrMK_Sess,nrMK_Link,$B668,nrMK_Credit,"Yes",nrMK_PID,$E668,nrMK_Type,"PT")))</f>
        <v/>
      </c>
      <c r="R668" s="17">
        <f>IF(OR($B668="",$N668&lt;&gt;"Yes"),"",IF($K668="Yes",IF(N($J668)&gt;0,N($J668)-N($Q668),""),IF(N($I668)&gt;0,N($I668)-N($P668),"")))</f>
        <v/>
      </c>
      <c r="S668" s="17">
        <f>IF(OR($B668="",$R668=""),"",IF($R668&lt;=0,IF(IFERROR(_xlfn.MAXIFS(nrMK_Date,nrMK_Link,$B668,nrMK_Credit,"Yes",nrMK_PID,$E668),0)=0,"CLEARED (makeup date missing)","CLEARED "&amp;TEXT(_xlfn.MAXIFS(nrMK_Date,nrMK_Link,$B668,nrMK_Credit,"Yes",nrMK_PID,$E668),"mm/dd")),"OPEN"))</f>
        <v/>
      </c>
      <c r="T668" s="17">
        <f>IF($D668="","",IF($C668="","NO DATE",IF($G668="","NO EVENT TYPE",IF(AND($I668&lt;&gt;"",NOT(ISNUMBER($I668))),"MINUTES NOT A NUMBER",IF(AND($J668&lt;&gt;"",NOT(ISNUMBER($J668))),"SESSIONS NOT A NUMBER",IF(OR(N($I668)&lt;0,N($J668)&lt;0),"NEGATIVE MINUTES/SESSIONS",IF(AND($K668="Yes",N($I668)&gt;0),"MINUTES ON A PT EVENT - not counted (PT counts sessions)",IF(AND($K668="No",N($J668)&gt;0),"SESSIONS ON A CLASSROOM EVENT - not counted (classroom counts minutes)",IF(AND($N668="Yes",$K668="Yes",N($J668)=0),"COUNTED PT EVENT WITH NO SESSIONS - dropped from the PT cap",IF(AND($N668="Yes",$K668="No",N($I668)=0),"COUNTED EVENT WITH NO MINUTES - dropped from the classroom cap","OK"))))))))))</f>
        <v/>
      </c>
    </row>
    <row r="669">
      <c r="B669" s="17">
        <f>IF($D669="","","A"&amp;TEXT(ROW()-5,"000"))</f>
        <v/>
      </c>
      <c r="C669" s="18" t="n"/>
      <c r="D669" s="16" t="n"/>
      <c r="E669" s="17">
        <f>IF($D669="","",IFERROR(INDEX(rngCadetPIDs,MATCH($D669,rngCadetNames,0)),"?"))</f>
        <v/>
      </c>
      <c r="F669" s="17">
        <f>IF($E669="","",IFERROR(INDEX(nrCadetAgency,MATCH($E669,rngCadetPIDs,0)),""))</f>
        <v/>
      </c>
      <c r="G669" s="16" t="n"/>
      <c r="H669" s="16" t="n"/>
      <c r="I669" s="16" t="n"/>
      <c r="J669" s="16" t="n"/>
      <c r="K669" s="17">
        <f>IF($G669="","",IF(OR($G669="PT Missed",$G669="PT Modified",$G669="PT Refused"),"Yes","No"))</f>
        <v/>
      </c>
      <c r="L669" s="16" t="n"/>
      <c r="M669" s="16" t="n"/>
      <c r="N669" s="17">
        <f>IF($D669="","",IF($M669="Excused","No",IF(AND($G669="PT Modified",$L669="Received"),"No","Yes")))</f>
        <v/>
      </c>
      <c r="O669" s="16" t="n"/>
      <c r="P669" s="17">
        <f>IF(OR($B669="",N($I669)=0),"",MIN(N($I669),SUMIFS(nrMK_Min,nrMK_Link,$B669,nrMK_Credit,"Yes",nrMK_PID,$E669,nrMK_Type,"Classroom")))</f>
        <v/>
      </c>
      <c r="Q669" s="17">
        <f>IF(OR($B669="",N($J669)=0),"",MIN(N($J669),SUMIFS(nrMK_Sess,nrMK_Link,$B669,nrMK_Credit,"Yes",nrMK_PID,$E669,nrMK_Type,"PT")))</f>
        <v/>
      </c>
      <c r="R669" s="17">
        <f>IF(OR($B669="",$N669&lt;&gt;"Yes"),"",IF($K669="Yes",IF(N($J669)&gt;0,N($J669)-N($Q669),""),IF(N($I669)&gt;0,N($I669)-N($P669),"")))</f>
        <v/>
      </c>
      <c r="S669" s="17">
        <f>IF(OR($B669="",$R669=""),"",IF($R669&lt;=0,IF(IFERROR(_xlfn.MAXIFS(nrMK_Date,nrMK_Link,$B669,nrMK_Credit,"Yes",nrMK_PID,$E669),0)=0,"CLEARED (makeup date missing)","CLEARED "&amp;TEXT(_xlfn.MAXIFS(nrMK_Date,nrMK_Link,$B669,nrMK_Credit,"Yes",nrMK_PID,$E669),"mm/dd")),"OPEN"))</f>
        <v/>
      </c>
      <c r="T669" s="17">
        <f>IF($D669="","",IF($C669="","NO DATE",IF($G669="","NO EVENT TYPE",IF(AND($I669&lt;&gt;"",NOT(ISNUMBER($I669))),"MINUTES NOT A NUMBER",IF(AND($J669&lt;&gt;"",NOT(ISNUMBER($J669))),"SESSIONS NOT A NUMBER",IF(OR(N($I669)&lt;0,N($J669)&lt;0),"NEGATIVE MINUTES/SESSIONS",IF(AND($K669="Yes",N($I669)&gt;0),"MINUTES ON A PT EVENT - not counted (PT counts sessions)",IF(AND($K669="No",N($J669)&gt;0),"SESSIONS ON A CLASSROOM EVENT - not counted (classroom counts minutes)",IF(AND($N669="Yes",$K669="Yes",N($J669)=0),"COUNTED PT EVENT WITH NO SESSIONS - dropped from the PT cap",IF(AND($N669="Yes",$K669="No",N($I669)=0),"COUNTED EVENT WITH NO MINUTES - dropped from the classroom cap","OK"))))))))))</f>
        <v/>
      </c>
    </row>
    <row r="670">
      <c r="B670" s="17">
        <f>IF($D670="","","A"&amp;TEXT(ROW()-5,"000"))</f>
        <v/>
      </c>
      <c r="C670" s="18" t="n"/>
      <c r="D670" s="16" t="n"/>
      <c r="E670" s="17">
        <f>IF($D670="","",IFERROR(INDEX(rngCadetPIDs,MATCH($D670,rngCadetNames,0)),"?"))</f>
        <v/>
      </c>
      <c r="F670" s="17">
        <f>IF($E670="","",IFERROR(INDEX(nrCadetAgency,MATCH($E670,rngCadetPIDs,0)),""))</f>
        <v/>
      </c>
      <c r="G670" s="16" t="n"/>
      <c r="H670" s="16" t="n"/>
      <c r="I670" s="16" t="n"/>
      <c r="J670" s="16" t="n"/>
      <c r="K670" s="17">
        <f>IF($G670="","",IF(OR($G670="PT Missed",$G670="PT Modified",$G670="PT Refused"),"Yes","No"))</f>
        <v/>
      </c>
      <c r="L670" s="16" t="n"/>
      <c r="M670" s="16" t="n"/>
      <c r="N670" s="17">
        <f>IF($D670="","",IF($M670="Excused","No",IF(AND($G670="PT Modified",$L670="Received"),"No","Yes")))</f>
        <v/>
      </c>
      <c r="O670" s="16" t="n"/>
      <c r="P670" s="17">
        <f>IF(OR($B670="",N($I670)=0),"",MIN(N($I670),SUMIFS(nrMK_Min,nrMK_Link,$B670,nrMK_Credit,"Yes",nrMK_PID,$E670,nrMK_Type,"Classroom")))</f>
        <v/>
      </c>
      <c r="Q670" s="17">
        <f>IF(OR($B670="",N($J670)=0),"",MIN(N($J670),SUMIFS(nrMK_Sess,nrMK_Link,$B670,nrMK_Credit,"Yes",nrMK_PID,$E670,nrMK_Type,"PT")))</f>
        <v/>
      </c>
      <c r="R670" s="17">
        <f>IF(OR($B670="",$N670&lt;&gt;"Yes"),"",IF($K670="Yes",IF(N($J670)&gt;0,N($J670)-N($Q670),""),IF(N($I670)&gt;0,N($I670)-N($P670),"")))</f>
        <v/>
      </c>
      <c r="S670" s="17">
        <f>IF(OR($B670="",$R670=""),"",IF($R670&lt;=0,IF(IFERROR(_xlfn.MAXIFS(nrMK_Date,nrMK_Link,$B670,nrMK_Credit,"Yes",nrMK_PID,$E670),0)=0,"CLEARED (makeup date missing)","CLEARED "&amp;TEXT(_xlfn.MAXIFS(nrMK_Date,nrMK_Link,$B670,nrMK_Credit,"Yes",nrMK_PID,$E670),"mm/dd")),"OPEN"))</f>
        <v/>
      </c>
      <c r="T670" s="17">
        <f>IF($D670="","",IF($C670="","NO DATE",IF($G670="","NO EVENT TYPE",IF(AND($I670&lt;&gt;"",NOT(ISNUMBER($I670))),"MINUTES NOT A NUMBER",IF(AND($J670&lt;&gt;"",NOT(ISNUMBER($J670))),"SESSIONS NOT A NUMBER",IF(OR(N($I670)&lt;0,N($J670)&lt;0),"NEGATIVE MINUTES/SESSIONS",IF(AND($K670="Yes",N($I670)&gt;0),"MINUTES ON A PT EVENT - not counted (PT counts sessions)",IF(AND($K670="No",N($J670)&gt;0),"SESSIONS ON A CLASSROOM EVENT - not counted (classroom counts minutes)",IF(AND($N670="Yes",$K670="Yes",N($J670)=0),"COUNTED PT EVENT WITH NO SESSIONS - dropped from the PT cap",IF(AND($N670="Yes",$K670="No",N($I670)=0),"COUNTED EVENT WITH NO MINUTES - dropped from the classroom cap","OK"))))))))))</f>
        <v/>
      </c>
    </row>
    <row r="671">
      <c r="B671" s="17">
        <f>IF($D671="","","A"&amp;TEXT(ROW()-5,"000"))</f>
        <v/>
      </c>
      <c r="C671" s="18" t="n"/>
      <c r="D671" s="16" t="n"/>
      <c r="E671" s="17">
        <f>IF($D671="","",IFERROR(INDEX(rngCadetPIDs,MATCH($D671,rngCadetNames,0)),"?"))</f>
        <v/>
      </c>
      <c r="F671" s="17">
        <f>IF($E671="","",IFERROR(INDEX(nrCadetAgency,MATCH($E671,rngCadetPIDs,0)),""))</f>
        <v/>
      </c>
      <c r="G671" s="16" t="n"/>
      <c r="H671" s="16" t="n"/>
      <c r="I671" s="16" t="n"/>
      <c r="J671" s="16" t="n"/>
      <c r="K671" s="17">
        <f>IF($G671="","",IF(OR($G671="PT Missed",$G671="PT Modified",$G671="PT Refused"),"Yes","No"))</f>
        <v/>
      </c>
      <c r="L671" s="16" t="n"/>
      <c r="M671" s="16" t="n"/>
      <c r="N671" s="17">
        <f>IF($D671="","",IF($M671="Excused","No",IF(AND($G671="PT Modified",$L671="Received"),"No","Yes")))</f>
        <v/>
      </c>
      <c r="O671" s="16" t="n"/>
      <c r="P671" s="17">
        <f>IF(OR($B671="",N($I671)=0),"",MIN(N($I671),SUMIFS(nrMK_Min,nrMK_Link,$B671,nrMK_Credit,"Yes",nrMK_PID,$E671,nrMK_Type,"Classroom")))</f>
        <v/>
      </c>
      <c r="Q671" s="17">
        <f>IF(OR($B671="",N($J671)=0),"",MIN(N($J671),SUMIFS(nrMK_Sess,nrMK_Link,$B671,nrMK_Credit,"Yes",nrMK_PID,$E671,nrMK_Type,"PT")))</f>
        <v/>
      </c>
      <c r="R671" s="17">
        <f>IF(OR($B671="",$N671&lt;&gt;"Yes"),"",IF($K671="Yes",IF(N($J671)&gt;0,N($J671)-N($Q671),""),IF(N($I671)&gt;0,N($I671)-N($P671),"")))</f>
        <v/>
      </c>
      <c r="S671" s="17">
        <f>IF(OR($B671="",$R671=""),"",IF($R671&lt;=0,IF(IFERROR(_xlfn.MAXIFS(nrMK_Date,nrMK_Link,$B671,nrMK_Credit,"Yes",nrMK_PID,$E671),0)=0,"CLEARED (makeup date missing)","CLEARED "&amp;TEXT(_xlfn.MAXIFS(nrMK_Date,nrMK_Link,$B671,nrMK_Credit,"Yes",nrMK_PID,$E671),"mm/dd")),"OPEN"))</f>
        <v/>
      </c>
      <c r="T671" s="17">
        <f>IF($D671="","",IF($C671="","NO DATE",IF($G671="","NO EVENT TYPE",IF(AND($I671&lt;&gt;"",NOT(ISNUMBER($I671))),"MINUTES NOT A NUMBER",IF(AND($J671&lt;&gt;"",NOT(ISNUMBER($J671))),"SESSIONS NOT A NUMBER",IF(OR(N($I671)&lt;0,N($J671)&lt;0),"NEGATIVE MINUTES/SESSIONS",IF(AND($K671="Yes",N($I671)&gt;0),"MINUTES ON A PT EVENT - not counted (PT counts sessions)",IF(AND($K671="No",N($J671)&gt;0),"SESSIONS ON A CLASSROOM EVENT - not counted (classroom counts minutes)",IF(AND($N671="Yes",$K671="Yes",N($J671)=0),"COUNTED PT EVENT WITH NO SESSIONS - dropped from the PT cap",IF(AND($N671="Yes",$K671="No",N($I671)=0),"COUNTED EVENT WITH NO MINUTES - dropped from the classroom cap","OK"))))))))))</f>
        <v/>
      </c>
    </row>
    <row r="672">
      <c r="B672" s="17">
        <f>IF($D672="","","A"&amp;TEXT(ROW()-5,"000"))</f>
        <v/>
      </c>
      <c r="C672" s="18" t="n"/>
      <c r="D672" s="16" t="n"/>
      <c r="E672" s="17">
        <f>IF($D672="","",IFERROR(INDEX(rngCadetPIDs,MATCH($D672,rngCadetNames,0)),"?"))</f>
        <v/>
      </c>
      <c r="F672" s="17">
        <f>IF($E672="","",IFERROR(INDEX(nrCadetAgency,MATCH($E672,rngCadetPIDs,0)),""))</f>
        <v/>
      </c>
      <c r="G672" s="16" t="n"/>
      <c r="H672" s="16" t="n"/>
      <c r="I672" s="16" t="n"/>
      <c r="J672" s="16" t="n"/>
      <c r="K672" s="17">
        <f>IF($G672="","",IF(OR($G672="PT Missed",$G672="PT Modified",$G672="PT Refused"),"Yes","No"))</f>
        <v/>
      </c>
      <c r="L672" s="16" t="n"/>
      <c r="M672" s="16" t="n"/>
      <c r="N672" s="17">
        <f>IF($D672="","",IF($M672="Excused","No",IF(AND($G672="PT Modified",$L672="Received"),"No","Yes")))</f>
        <v/>
      </c>
      <c r="O672" s="16" t="n"/>
      <c r="P672" s="17">
        <f>IF(OR($B672="",N($I672)=0),"",MIN(N($I672),SUMIFS(nrMK_Min,nrMK_Link,$B672,nrMK_Credit,"Yes",nrMK_PID,$E672,nrMK_Type,"Classroom")))</f>
        <v/>
      </c>
      <c r="Q672" s="17">
        <f>IF(OR($B672="",N($J672)=0),"",MIN(N($J672),SUMIFS(nrMK_Sess,nrMK_Link,$B672,nrMK_Credit,"Yes",nrMK_PID,$E672,nrMK_Type,"PT")))</f>
        <v/>
      </c>
      <c r="R672" s="17">
        <f>IF(OR($B672="",$N672&lt;&gt;"Yes"),"",IF($K672="Yes",IF(N($J672)&gt;0,N($J672)-N($Q672),""),IF(N($I672)&gt;0,N($I672)-N($P672),"")))</f>
        <v/>
      </c>
      <c r="S672" s="17">
        <f>IF(OR($B672="",$R672=""),"",IF($R672&lt;=0,IF(IFERROR(_xlfn.MAXIFS(nrMK_Date,nrMK_Link,$B672,nrMK_Credit,"Yes",nrMK_PID,$E672),0)=0,"CLEARED (makeup date missing)","CLEARED "&amp;TEXT(_xlfn.MAXIFS(nrMK_Date,nrMK_Link,$B672,nrMK_Credit,"Yes",nrMK_PID,$E672),"mm/dd")),"OPEN"))</f>
        <v/>
      </c>
      <c r="T672" s="17">
        <f>IF($D672="","",IF($C672="","NO DATE",IF($G672="","NO EVENT TYPE",IF(AND($I672&lt;&gt;"",NOT(ISNUMBER($I672))),"MINUTES NOT A NUMBER",IF(AND($J672&lt;&gt;"",NOT(ISNUMBER($J672))),"SESSIONS NOT A NUMBER",IF(OR(N($I672)&lt;0,N($J672)&lt;0),"NEGATIVE MINUTES/SESSIONS",IF(AND($K672="Yes",N($I672)&gt;0),"MINUTES ON A PT EVENT - not counted (PT counts sessions)",IF(AND($K672="No",N($J672)&gt;0),"SESSIONS ON A CLASSROOM EVENT - not counted (classroom counts minutes)",IF(AND($N672="Yes",$K672="Yes",N($J672)=0),"COUNTED PT EVENT WITH NO SESSIONS - dropped from the PT cap",IF(AND($N672="Yes",$K672="No",N($I672)=0),"COUNTED EVENT WITH NO MINUTES - dropped from the classroom cap","OK"))))))))))</f>
        <v/>
      </c>
    </row>
    <row r="673">
      <c r="B673" s="17">
        <f>IF($D673="","","A"&amp;TEXT(ROW()-5,"000"))</f>
        <v/>
      </c>
      <c r="C673" s="18" t="n"/>
      <c r="D673" s="16" t="n"/>
      <c r="E673" s="17">
        <f>IF($D673="","",IFERROR(INDEX(rngCadetPIDs,MATCH($D673,rngCadetNames,0)),"?"))</f>
        <v/>
      </c>
      <c r="F673" s="17">
        <f>IF($E673="","",IFERROR(INDEX(nrCadetAgency,MATCH($E673,rngCadetPIDs,0)),""))</f>
        <v/>
      </c>
      <c r="G673" s="16" t="n"/>
      <c r="H673" s="16" t="n"/>
      <c r="I673" s="16" t="n"/>
      <c r="J673" s="16" t="n"/>
      <c r="K673" s="17">
        <f>IF($G673="","",IF(OR($G673="PT Missed",$G673="PT Modified",$G673="PT Refused"),"Yes","No"))</f>
        <v/>
      </c>
      <c r="L673" s="16" t="n"/>
      <c r="M673" s="16" t="n"/>
      <c r="N673" s="17">
        <f>IF($D673="","",IF($M673="Excused","No",IF(AND($G673="PT Modified",$L673="Received"),"No","Yes")))</f>
        <v/>
      </c>
      <c r="O673" s="16" t="n"/>
      <c r="P673" s="17">
        <f>IF(OR($B673="",N($I673)=0),"",MIN(N($I673),SUMIFS(nrMK_Min,nrMK_Link,$B673,nrMK_Credit,"Yes",nrMK_PID,$E673,nrMK_Type,"Classroom")))</f>
        <v/>
      </c>
      <c r="Q673" s="17">
        <f>IF(OR($B673="",N($J673)=0),"",MIN(N($J673),SUMIFS(nrMK_Sess,nrMK_Link,$B673,nrMK_Credit,"Yes",nrMK_PID,$E673,nrMK_Type,"PT")))</f>
        <v/>
      </c>
      <c r="R673" s="17">
        <f>IF(OR($B673="",$N673&lt;&gt;"Yes"),"",IF($K673="Yes",IF(N($J673)&gt;0,N($J673)-N($Q673),""),IF(N($I673)&gt;0,N($I673)-N($P673),"")))</f>
        <v/>
      </c>
      <c r="S673" s="17">
        <f>IF(OR($B673="",$R673=""),"",IF($R673&lt;=0,IF(IFERROR(_xlfn.MAXIFS(nrMK_Date,nrMK_Link,$B673,nrMK_Credit,"Yes",nrMK_PID,$E673),0)=0,"CLEARED (makeup date missing)","CLEARED "&amp;TEXT(_xlfn.MAXIFS(nrMK_Date,nrMK_Link,$B673,nrMK_Credit,"Yes",nrMK_PID,$E673),"mm/dd")),"OPEN"))</f>
        <v/>
      </c>
      <c r="T673" s="17">
        <f>IF($D673="","",IF($C673="","NO DATE",IF($G673="","NO EVENT TYPE",IF(AND($I673&lt;&gt;"",NOT(ISNUMBER($I673))),"MINUTES NOT A NUMBER",IF(AND($J673&lt;&gt;"",NOT(ISNUMBER($J673))),"SESSIONS NOT A NUMBER",IF(OR(N($I673)&lt;0,N($J673)&lt;0),"NEGATIVE MINUTES/SESSIONS",IF(AND($K673="Yes",N($I673)&gt;0),"MINUTES ON A PT EVENT - not counted (PT counts sessions)",IF(AND($K673="No",N($J673)&gt;0),"SESSIONS ON A CLASSROOM EVENT - not counted (classroom counts minutes)",IF(AND($N673="Yes",$K673="Yes",N($J673)=0),"COUNTED PT EVENT WITH NO SESSIONS - dropped from the PT cap",IF(AND($N673="Yes",$K673="No",N($I673)=0),"COUNTED EVENT WITH NO MINUTES - dropped from the classroom cap","OK"))))))))))</f>
        <v/>
      </c>
    </row>
    <row r="674">
      <c r="B674" s="17">
        <f>IF($D674="","","A"&amp;TEXT(ROW()-5,"000"))</f>
        <v/>
      </c>
      <c r="C674" s="18" t="n"/>
      <c r="D674" s="16" t="n"/>
      <c r="E674" s="17">
        <f>IF($D674="","",IFERROR(INDEX(rngCadetPIDs,MATCH($D674,rngCadetNames,0)),"?"))</f>
        <v/>
      </c>
      <c r="F674" s="17">
        <f>IF($E674="","",IFERROR(INDEX(nrCadetAgency,MATCH($E674,rngCadetPIDs,0)),""))</f>
        <v/>
      </c>
      <c r="G674" s="16" t="n"/>
      <c r="H674" s="16" t="n"/>
      <c r="I674" s="16" t="n"/>
      <c r="J674" s="16" t="n"/>
      <c r="K674" s="17">
        <f>IF($G674="","",IF(OR($G674="PT Missed",$G674="PT Modified",$G674="PT Refused"),"Yes","No"))</f>
        <v/>
      </c>
      <c r="L674" s="16" t="n"/>
      <c r="M674" s="16" t="n"/>
      <c r="N674" s="17">
        <f>IF($D674="","",IF($M674="Excused","No",IF(AND($G674="PT Modified",$L674="Received"),"No","Yes")))</f>
        <v/>
      </c>
      <c r="O674" s="16" t="n"/>
      <c r="P674" s="17">
        <f>IF(OR($B674="",N($I674)=0),"",MIN(N($I674),SUMIFS(nrMK_Min,nrMK_Link,$B674,nrMK_Credit,"Yes",nrMK_PID,$E674,nrMK_Type,"Classroom")))</f>
        <v/>
      </c>
      <c r="Q674" s="17">
        <f>IF(OR($B674="",N($J674)=0),"",MIN(N($J674),SUMIFS(nrMK_Sess,nrMK_Link,$B674,nrMK_Credit,"Yes",nrMK_PID,$E674,nrMK_Type,"PT")))</f>
        <v/>
      </c>
      <c r="R674" s="17">
        <f>IF(OR($B674="",$N674&lt;&gt;"Yes"),"",IF($K674="Yes",IF(N($J674)&gt;0,N($J674)-N($Q674),""),IF(N($I674)&gt;0,N($I674)-N($P674),"")))</f>
        <v/>
      </c>
      <c r="S674" s="17">
        <f>IF(OR($B674="",$R674=""),"",IF($R674&lt;=0,IF(IFERROR(_xlfn.MAXIFS(nrMK_Date,nrMK_Link,$B674,nrMK_Credit,"Yes",nrMK_PID,$E674),0)=0,"CLEARED (makeup date missing)","CLEARED "&amp;TEXT(_xlfn.MAXIFS(nrMK_Date,nrMK_Link,$B674,nrMK_Credit,"Yes",nrMK_PID,$E674),"mm/dd")),"OPEN"))</f>
        <v/>
      </c>
      <c r="T674" s="17">
        <f>IF($D674="","",IF($C674="","NO DATE",IF($G674="","NO EVENT TYPE",IF(AND($I674&lt;&gt;"",NOT(ISNUMBER($I674))),"MINUTES NOT A NUMBER",IF(AND($J674&lt;&gt;"",NOT(ISNUMBER($J674))),"SESSIONS NOT A NUMBER",IF(OR(N($I674)&lt;0,N($J674)&lt;0),"NEGATIVE MINUTES/SESSIONS",IF(AND($K674="Yes",N($I674)&gt;0),"MINUTES ON A PT EVENT - not counted (PT counts sessions)",IF(AND($K674="No",N($J674)&gt;0),"SESSIONS ON A CLASSROOM EVENT - not counted (classroom counts minutes)",IF(AND($N674="Yes",$K674="Yes",N($J674)=0),"COUNTED PT EVENT WITH NO SESSIONS - dropped from the PT cap",IF(AND($N674="Yes",$K674="No",N($I674)=0),"COUNTED EVENT WITH NO MINUTES - dropped from the classroom cap","OK"))))))))))</f>
        <v/>
      </c>
    </row>
    <row r="675">
      <c r="B675" s="17">
        <f>IF($D675="","","A"&amp;TEXT(ROW()-5,"000"))</f>
        <v/>
      </c>
      <c r="C675" s="18" t="n"/>
      <c r="D675" s="16" t="n"/>
      <c r="E675" s="17">
        <f>IF($D675="","",IFERROR(INDEX(rngCadetPIDs,MATCH($D675,rngCadetNames,0)),"?"))</f>
        <v/>
      </c>
      <c r="F675" s="17">
        <f>IF($E675="","",IFERROR(INDEX(nrCadetAgency,MATCH($E675,rngCadetPIDs,0)),""))</f>
        <v/>
      </c>
      <c r="G675" s="16" t="n"/>
      <c r="H675" s="16" t="n"/>
      <c r="I675" s="16" t="n"/>
      <c r="J675" s="16" t="n"/>
      <c r="K675" s="17">
        <f>IF($G675="","",IF(OR($G675="PT Missed",$G675="PT Modified",$G675="PT Refused"),"Yes","No"))</f>
        <v/>
      </c>
      <c r="L675" s="16" t="n"/>
      <c r="M675" s="16" t="n"/>
      <c r="N675" s="17">
        <f>IF($D675="","",IF($M675="Excused","No",IF(AND($G675="PT Modified",$L675="Received"),"No","Yes")))</f>
        <v/>
      </c>
      <c r="O675" s="16" t="n"/>
      <c r="P675" s="17">
        <f>IF(OR($B675="",N($I675)=0),"",MIN(N($I675),SUMIFS(nrMK_Min,nrMK_Link,$B675,nrMK_Credit,"Yes",nrMK_PID,$E675,nrMK_Type,"Classroom")))</f>
        <v/>
      </c>
      <c r="Q675" s="17">
        <f>IF(OR($B675="",N($J675)=0),"",MIN(N($J675),SUMIFS(nrMK_Sess,nrMK_Link,$B675,nrMK_Credit,"Yes",nrMK_PID,$E675,nrMK_Type,"PT")))</f>
        <v/>
      </c>
      <c r="R675" s="17">
        <f>IF(OR($B675="",$N675&lt;&gt;"Yes"),"",IF($K675="Yes",IF(N($J675)&gt;0,N($J675)-N($Q675),""),IF(N($I675)&gt;0,N($I675)-N($P675),"")))</f>
        <v/>
      </c>
      <c r="S675" s="17">
        <f>IF(OR($B675="",$R675=""),"",IF($R675&lt;=0,IF(IFERROR(_xlfn.MAXIFS(nrMK_Date,nrMK_Link,$B675,nrMK_Credit,"Yes",nrMK_PID,$E675),0)=0,"CLEARED (makeup date missing)","CLEARED "&amp;TEXT(_xlfn.MAXIFS(nrMK_Date,nrMK_Link,$B675,nrMK_Credit,"Yes",nrMK_PID,$E675),"mm/dd")),"OPEN"))</f>
        <v/>
      </c>
      <c r="T675" s="17">
        <f>IF($D675="","",IF($C675="","NO DATE",IF($G675="","NO EVENT TYPE",IF(AND($I675&lt;&gt;"",NOT(ISNUMBER($I675))),"MINUTES NOT A NUMBER",IF(AND($J675&lt;&gt;"",NOT(ISNUMBER($J675))),"SESSIONS NOT A NUMBER",IF(OR(N($I675)&lt;0,N($J675)&lt;0),"NEGATIVE MINUTES/SESSIONS",IF(AND($K675="Yes",N($I675)&gt;0),"MINUTES ON A PT EVENT - not counted (PT counts sessions)",IF(AND($K675="No",N($J675)&gt;0),"SESSIONS ON A CLASSROOM EVENT - not counted (classroom counts minutes)",IF(AND($N675="Yes",$K675="Yes",N($J675)=0),"COUNTED PT EVENT WITH NO SESSIONS - dropped from the PT cap",IF(AND($N675="Yes",$K675="No",N($I675)=0),"COUNTED EVENT WITH NO MINUTES - dropped from the classroom cap","OK"))))))))))</f>
        <v/>
      </c>
    </row>
    <row r="676">
      <c r="B676" s="17">
        <f>IF($D676="","","A"&amp;TEXT(ROW()-5,"000"))</f>
        <v/>
      </c>
      <c r="C676" s="18" t="n"/>
      <c r="D676" s="16" t="n"/>
      <c r="E676" s="17">
        <f>IF($D676="","",IFERROR(INDEX(rngCadetPIDs,MATCH($D676,rngCadetNames,0)),"?"))</f>
        <v/>
      </c>
      <c r="F676" s="17">
        <f>IF($E676="","",IFERROR(INDEX(nrCadetAgency,MATCH($E676,rngCadetPIDs,0)),""))</f>
        <v/>
      </c>
      <c r="G676" s="16" t="n"/>
      <c r="H676" s="16" t="n"/>
      <c r="I676" s="16" t="n"/>
      <c r="J676" s="16" t="n"/>
      <c r="K676" s="17">
        <f>IF($G676="","",IF(OR($G676="PT Missed",$G676="PT Modified",$G676="PT Refused"),"Yes","No"))</f>
        <v/>
      </c>
      <c r="L676" s="16" t="n"/>
      <c r="M676" s="16" t="n"/>
      <c r="N676" s="17">
        <f>IF($D676="","",IF($M676="Excused","No",IF(AND($G676="PT Modified",$L676="Received"),"No","Yes")))</f>
        <v/>
      </c>
      <c r="O676" s="16" t="n"/>
      <c r="P676" s="17">
        <f>IF(OR($B676="",N($I676)=0),"",MIN(N($I676),SUMIFS(nrMK_Min,nrMK_Link,$B676,nrMK_Credit,"Yes",nrMK_PID,$E676,nrMK_Type,"Classroom")))</f>
        <v/>
      </c>
      <c r="Q676" s="17">
        <f>IF(OR($B676="",N($J676)=0),"",MIN(N($J676),SUMIFS(nrMK_Sess,nrMK_Link,$B676,nrMK_Credit,"Yes",nrMK_PID,$E676,nrMK_Type,"PT")))</f>
        <v/>
      </c>
      <c r="R676" s="17">
        <f>IF(OR($B676="",$N676&lt;&gt;"Yes"),"",IF($K676="Yes",IF(N($J676)&gt;0,N($J676)-N($Q676),""),IF(N($I676)&gt;0,N($I676)-N($P676),"")))</f>
        <v/>
      </c>
      <c r="S676" s="17">
        <f>IF(OR($B676="",$R676=""),"",IF($R676&lt;=0,IF(IFERROR(_xlfn.MAXIFS(nrMK_Date,nrMK_Link,$B676,nrMK_Credit,"Yes",nrMK_PID,$E676),0)=0,"CLEARED (makeup date missing)","CLEARED "&amp;TEXT(_xlfn.MAXIFS(nrMK_Date,nrMK_Link,$B676,nrMK_Credit,"Yes",nrMK_PID,$E676),"mm/dd")),"OPEN"))</f>
        <v/>
      </c>
      <c r="T676" s="17">
        <f>IF($D676="","",IF($C676="","NO DATE",IF($G676="","NO EVENT TYPE",IF(AND($I676&lt;&gt;"",NOT(ISNUMBER($I676))),"MINUTES NOT A NUMBER",IF(AND($J676&lt;&gt;"",NOT(ISNUMBER($J676))),"SESSIONS NOT A NUMBER",IF(OR(N($I676)&lt;0,N($J676)&lt;0),"NEGATIVE MINUTES/SESSIONS",IF(AND($K676="Yes",N($I676)&gt;0),"MINUTES ON A PT EVENT - not counted (PT counts sessions)",IF(AND($K676="No",N($J676)&gt;0),"SESSIONS ON A CLASSROOM EVENT - not counted (classroom counts minutes)",IF(AND($N676="Yes",$K676="Yes",N($J676)=0),"COUNTED PT EVENT WITH NO SESSIONS - dropped from the PT cap",IF(AND($N676="Yes",$K676="No",N($I676)=0),"COUNTED EVENT WITH NO MINUTES - dropped from the classroom cap","OK"))))))))))</f>
        <v/>
      </c>
    </row>
    <row r="677">
      <c r="B677" s="17">
        <f>IF($D677="","","A"&amp;TEXT(ROW()-5,"000"))</f>
        <v/>
      </c>
      <c r="C677" s="18" t="n"/>
      <c r="D677" s="16" t="n"/>
      <c r="E677" s="17">
        <f>IF($D677="","",IFERROR(INDEX(rngCadetPIDs,MATCH($D677,rngCadetNames,0)),"?"))</f>
        <v/>
      </c>
      <c r="F677" s="17">
        <f>IF($E677="","",IFERROR(INDEX(nrCadetAgency,MATCH($E677,rngCadetPIDs,0)),""))</f>
        <v/>
      </c>
      <c r="G677" s="16" t="n"/>
      <c r="H677" s="16" t="n"/>
      <c r="I677" s="16" t="n"/>
      <c r="J677" s="16" t="n"/>
      <c r="K677" s="17">
        <f>IF($G677="","",IF(OR($G677="PT Missed",$G677="PT Modified",$G677="PT Refused"),"Yes","No"))</f>
        <v/>
      </c>
      <c r="L677" s="16" t="n"/>
      <c r="M677" s="16" t="n"/>
      <c r="N677" s="17">
        <f>IF($D677="","",IF($M677="Excused","No",IF(AND($G677="PT Modified",$L677="Received"),"No","Yes")))</f>
        <v/>
      </c>
      <c r="O677" s="16" t="n"/>
      <c r="P677" s="17">
        <f>IF(OR($B677="",N($I677)=0),"",MIN(N($I677),SUMIFS(nrMK_Min,nrMK_Link,$B677,nrMK_Credit,"Yes",nrMK_PID,$E677,nrMK_Type,"Classroom")))</f>
        <v/>
      </c>
      <c r="Q677" s="17">
        <f>IF(OR($B677="",N($J677)=0),"",MIN(N($J677),SUMIFS(nrMK_Sess,nrMK_Link,$B677,nrMK_Credit,"Yes",nrMK_PID,$E677,nrMK_Type,"PT")))</f>
        <v/>
      </c>
      <c r="R677" s="17">
        <f>IF(OR($B677="",$N677&lt;&gt;"Yes"),"",IF($K677="Yes",IF(N($J677)&gt;0,N($J677)-N($Q677),""),IF(N($I677)&gt;0,N($I677)-N($P677),"")))</f>
        <v/>
      </c>
      <c r="S677" s="17">
        <f>IF(OR($B677="",$R677=""),"",IF($R677&lt;=0,IF(IFERROR(_xlfn.MAXIFS(nrMK_Date,nrMK_Link,$B677,nrMK_Credit,"Yes",nrMK_PID,$E677),0)=0,"CLEARED (makeup date missing)","CLEARED "&amp;TEXT(_xlfn.MAXIFS(nrMK_Date,nrMK_Link,$B677,nrMK_Credit,"Yes",nrMK_PID,$E677),"mm/dd")),"OPEN"))</f>
        <v/>
      </c>
      <c r="T677" s="17">
        <f>IF($D677="","",IF($C677="","NO DATE",IF($G677="","NO EVENT TYPE",IF(AND($I677&lt;&gt;"",NOT(ISNUMBER($I677))),"MINUTES NOT A NUMBER",IF(AND($J677&lt;&gt;"",NOT(ISNUMBER($J677))),"SESSIONS NOT A NUMBER",IF(OR(N($I677)&lt;0,N($J677)&lt;0),"NEGATIVE MINUTES/SESSIONS",IF(AND($K677="Yes",N($I677)&gt;0),"MINUTES ON A PT EVENT - not counted (PT counts sessions)",IF(AND($K677="No",N($J677)&gt;0),"SESSIONS ON A CLASSROOM EVENT - not counted (classroom counts minutes)",IF(AND($N677="Yes",$K677="Yes",N($J677)=0),"COUNTED PT EVENT WITH NO SESSIONS - dropped from the PT cap",IF(AND($N677="Yes",$K677="No",N($I677)=0),"COUNTED EVENT WITH NO MINUTES - dropped from the classroom cap","OK"))))))))))</f>
        <v/>
      </c>
    </row>
    <row r="678">
      <c r="B678" s="17">
        <f>IF($D678="","","A"&amp;TEXT(ROW()-5,"000"))</f>
        <v/>
      </c>
      <c r="C678" s="18" t="n"/>
      <c r="D678" s="16" t="n"/>
      <c r="E678" s="17">
        <f>IF($D678="","",IFERROR(INDEX(rngCadetPIDs,MATCH($D678,rngCadetNames,0)),"?"))</f>
        <v/>
      </c>
      <c r="F678" s="17">
        <f>IF($E678="","",IFERROR(INDEX(nrCadetAgency,MATCH($E678,rngCadetPIDs,0)),""))</f>
        <v/>
      </c>
      <c r="G678" s="16" t="n"/>
      <c r="H678" s="16" t="n"/>
      <c r="I678" s="16" t="n"/>
      <c r="J678" s="16" t="n"/>
      <c r="K678" s="17">
        <f>IF($G678="","",IF(OR($G678="PT Missed",$G678="PT Modified",$G678="PT Refused"),"Yes","No"))</f>
        <v/>
      </c>
      <c r="L678" s="16" t="n"/>
      <c r="M678" s="16" t="n"/>
      <c r="N678" s="17">
        <f>IF($D678="","",IF($M678="Excused","No",IF(AND($G678="PT Modified",$L678="Received"),"No","Yes")))</f>
        <v/>
      </c>
      <c r="O678" s="16" t="n"/>
      <c r="P678" s="17">
        <f>IF(OR($B678="",N($I678)=0),"",MIN(N($I678),SUMIFS(nrMK_Min,nrMK_Link,$B678,nrMK_Credit,"Yes",nrMK_PID,$E678,nrMK_Type,"Classroom")))</f>
        <v/>
      </c>
      <c r="Q678" s="17">
        <f>IF(OR($B678="",N($J678)=0),"",MIN(N($J678),SUMIFS(nrMK_Sess,nrMK_Link,$B678,nrMK_Credit,"Yes",nrMK_PID,$E678,nrMK_Type,"PT")))</f>
        <v/>
      </c>
      <c r="R678" s="17">
        <f>IF(OR($B678="",$N678&lt;&gt;"Yes"),"",IF($K678="Yes",IF(N($J678)&gt;0,N($J678)-N($Q678),""),IF(N($I678)&gt;0,N($I678)-N($P678),"")))</f>
        <v/>
      </c>
      <c r="S678" s="17">
        <f>IF(OR($B678="",$R678=""),"",IF($R678&lt;=0,IF(IFERROR(_xlfn.MAXIFS(nrMK_Date,nrMK_Link,$B678,nrMK_Credit,"Yes",nrMK_PID,$E678),0)=0,"CLEARED (makeup date missing)","CLEARED "&amp;TEXT(_xlfn.MAXIFS(nrMK_Date,nrMK_Link,$B678,nrMK_Credit,"Yes",nrMK_PID,$E678),"mm/dd")),"OPEN"))</f>
        <v/>
      </c>
      <c r="T678" s="17">
        <f>IF($D678="","",IF($C678="","NO DATE",IF($G678="","NO EVENT TYPE",IF(AND($I678&lt;&gt;"",NOT(ISNUMBER($I678))),"MINUTES NOT A NUMBER",IF(AND($J678&lt;&gt;"",NOT(ISNUMBER($J678))),"SESSIONS NOT A NUMBER",IF(OR(N($I678)&lt;0,N($J678)&lt;0),"NEGATIVE MINUTES/SESSIONS",IF(AND($K678="Yes",N($I678)&gt;0),"MINUTES ON A PT EVENT - not counted (PT counts sessions)",IF(AND($K678="No",N($J678)&gt;0),"SESSIONS ON A CLASSROOM EVENT - not counted (classroom counts minutes)",IF(AND($N678="Yes",$K678="Yes",N($J678)=0),"COUNTED PT EVENT WITH NO SESSIONS - dropped from the PT cap",IF(AND($N678="Yes",$K678="No",N($I678)=0),"COUNTED EVENT WITH NO MINUTES - dropped from the classroom cap","OK"))))))))))</f>
        <v/>
      </c>
    </row>
    <row r="679">
      <c r="B679" s="17">
        <f>IF($D679="","","A"&amp;TEXT(ROW()-5,"000"))</f>
        <v/>
      </c>
      <c r="C679" s="18" t="n"/>
      <c r="D679" s="16" t="n"/>
      <c r="E679" s="17">
        <f>IF($D679="","",IFERROR(INDEX(rngCadetPIDs,MATCH($D679,rngCadetNames,0)),"?"))</f>
        <v/>
      </c>
      <c r="F679" s="17">
        <f>IF($E679="","",IFERROR(INDEX(nrCadetAgency,MATCH($E679,rngCadetPIDs,0)),""))</f>
        <v/>
      </c>
      <c r="G679" s="16" t="n"/>
      <c r="H679" s="16" t="n"/>
      <c r="I679" s="16" t="n"/>
      <c r="J679" s="16" t="n"/>
      <c r="K679" s="17">
        <f>IF($G679="","",IF(OR($G679="PT Missed",$G679="PT Modified",$G679="PT Refused"),"Yes","No"))</f>
        <v/>
      </c>
      <c r="L679" s="16" t="n"/>
      <c r="M679" s="16" t="n"/>
      <c r="N679" s="17">
        <f>IF($D679="","",IF($M679="Excused","No",IF(AND($G679="PT Modified",$L679="Received"),"No","Yes")))</f>
        <v/>
      </c>
      <c r="O679" s="16" t="n"/>
      <c r="P679" s="17">
        <f>IF(OR($B679="",N($I679)=0),"",MIN(N($I679),SUMIFS(nrMK_Min,nrMK_Link,$B679,nrMK_Credit,"Yes",nrMK_PID,$E679,nrMK_Type,"Classroom")))</f>
        <v/>
      </c>
      <c r="Q679" s="17">
        <f>IF(OR($B679="",N($J679)=0),"",MIN(N($J679),SUMIFS(nrMK_Sess,nrMK_Link,$B679,nrMK_Credit,"Yes",nrMK_PID,$E679,nrMK_Type,"PT")))</f>
        <v/>
      </c>
      <c r="R679" s="17">
        <f>IF(OR($B679="",$N679&lt;&gt;"Yes"),"",IF($K679="Yes",IF(N($J679)&gt;0,N($J679)-N($Q679),""),IF(N($I679)&gt;0,N($I679)-N($P679),"")))</f>
        <v/>
      </c>
      <c r="S679" s="17">
        <f>IF(OR($B679="",$R679=""),"",IF($R679&lt;=0,IF(IFERROR(_xlfn.MAXIFS(nrMK_Date,nrMK_Link,$B679,nrMK_Credit,"Yes",nrMK_PID,$E679),0)=0,"CLEARED (makeup date missing)","CLEARED "&amp;TEXT(_xlfn.MAXIFS(nrMK_Date,nrMK_Link,$B679,nrMK_Credit,"Yes",nrMK_PID,$E679),"mm/dd")),"OPEN"))</f>
        <v/>
      </c>
      <c r="T679" s="17">
        <f>IF($D679="","",IF($C679="","NO DATE",IF($G679="","NO EVENT TYPE",IF(AND($I679&lt;&gt;"",NOT(ISNUMBER($I679))),"MINUTES NOT A NUMBER",IF(AND($J679&lt;&gt;"",NOT(ISNUMBER($J679))),"SESSIONS NOT A NUMBER",IF(OR(N($I679)&lt;0,N($J679)&lt;0),"NEGATIVE MINUTES/SESSIONS",IF(AND($K679="Yes",N($I679)&gt;0),"MINUTES ON A PT EVENT - not counted (PT counts sessions)",IF(AND($K679="No",N($J679)&gt;0),"SESSIONS ON A CLASSROOM EVENT - not counted (classroom counts minutes)",IF(AND($N679="Yes",$K679="Yes",N($J679)=0),"COUNTED PT EVENT WITH NO SESSIONS - dropped from the PT cap",IF(AND($N679="Yes",$K679="No",N($I679)=0),"COUNTED EVENT WITH NO MINUTES - dropped from the classroom cap","OK"))))))))))</f>
        <v/>
      </c>
    </row>
    <row r="680">
      <c r="B680" s="17">
        <f>IF($D680="","","A"&amp;TEXT(ROW()-5,"000"))</f>
        <v/>
      </c>
      <c r="C680" s="18" t="n"/>
      <c r="D680" s="16" t="n"/>
      <c r="E680" s="17">
        <f>IF($D680="","",IFERROR(INDEX(rngCadetPIDs,MATCH($D680,rngCadetNames,0)),"?"))</f>
        <v/>
      </c>
      <c r="F680" s="17">
        <f>IF($E680="","",IFERROR(INDEX(nrCadetAgency,MATCH($E680,rngCadetPIDs,0)),""))</f>
        <v/>
      </c>
      <c r="G680" s="16" t="n"/>
      <c r="H680" s="16" t="n"/>
      <c r="I680" s="16" t="n"/>
      <c r="J680" s="16" t="n"/>
      <c r="K680" s="17">
        <f>IF($G680="","",IF(OR($G680="PT Missed",$G680="PT Modified",$G680="PT Refused"),"Yes","No"))</f>
        <v/>
      </c>
      <c r="L680" s="16" t="n"/>
      <c r="M680" s="16" t="n"/>
      <c r="N680" s="17">
        <f>IF($D680="","",IF($M680="Excused","No",IF(AND($G680="PT Modified",$L680="Received"),"No","Yes")))</f>
        <v/>
      </c>
      <c r="O680" s="16" t="n"/>
      <c r="P680" s="17">
        <f>IF(OR($B680="",N($I680)=0),"",MIN(N($I680),SUMIFS(nrMK_Min,nrMK_Link,$B680,nrMK_Credit,"Yes",nrMK_PID,$E680,nrMK_Type,"Classroom")))</f>
        <v/>
      </c>
      <c r="Q680" s="17">
        <f>IF(OR($B680="",N($J680)=0),"",MIN(N($J680),SUMIFS(nrMK_Sess,nrMK_Link,$B680,nrMK_Credit,"Yes",nrMK_PID,$E680,nrMK_Type,"PT")))</f>
        <v/>
      </c>
      <c r="R680" s="17">
        <f>IF(OR($B680="",$N680&lt;&gt;"Yes"),"",IF($K680="Yes",IF(N($J680)&gt;0,N($J680)-N($Q680),""),IF(N($I680)&gt;0,N($I680)-N($P680),"")))</f>
        <v/>
      </c>
      <c r="S680" s="17">
        <f>IF(OR($B680="",$R680=""),"",IF($R680&lt;=0,IF(IFERROR(_xlfn.MAXIFS(nrMK_Date,nrMK_Link,$B680,nrMK_Credit,"Yes",nrMK_PID,$E680),0)=0,"CLEARED (makeup date missing)","CLEARED "&amp;TEXT(_xlfn.MAXIFS(nrMK_Date,nrMK_Link,$B680,nrMK_Credit,"Yes",nrMK_PID,$E680),"mm/dd")),"OPEN"))</f>
        <v/>
      </c>
      <c r="T680" s="17">
        <f>IF($D680="","",IF($C680="","NO DATE",IF($G680="","NO EVENT TYPE",IF(AND($I680&lt;&gt;"",NOT(ISNUMBER($I680))),"MINUTES NOT A NUMBER",IF(AND($J680&lt;&gt;"",NOT(ISNUMBER($J680))),"SESSIONS NOT A NUMBER",IF(OR(N($I680)&lt;0,N($J680)&lt;0),"NEGATIVE MINUTES/SESSIONS",IF(AND($K680="Yes",N($I680)&gt;0),"MINUTES ON A PT EVENT - not counted (PT counts sessions)",IF(AND($K680="No",N($J680)&gt;0),"SESSIONS ON A CLASSROOM EVENT - not counted (classroom counts minutes)",IF(AND($N680="Yes",$K680="Yes",N($J680)=0),"COUNTED PT EVENT WITH NO SESSIONS - dropped from the PT cap",IF(AND($N680="Yes",$K680="No",N($I680)=0),"COUNTED EVENT WITH NO MINUTES - dropped from the classroom cap","OK"))))))))))</f>
        <v/>
      </c>
    </row>
    <row r="681">
      <c r="B681" s="17">
        <f>IF($D681="","","A"&amp;TEXT(ROW()-5,"000"))</f>
        <v/>
      </c>
      <c r="C681" s="18" t="n"/>
      <c r="D681" s="16" t="n"/>
      <c r="E681" s="17">
        <f>IF($D681="","",IFERROR(INDEX(rngCadetPIDs,MATCH($D681,rngCadetNames,0)),"?"))</f>
        <v/>
      </c>
      <c r="F681" s="17">
        <f>IF($E681="","",IFERROR(INDEX(nrCadetAgency,MATCH($E681,rngCadetPIDs,0)),""))</f>
        <v/>
      </c>
      <c r="G681" s="16" t="n"/>
      <c r="H681" s="16" t="n"/>
      <c r="I681" s="16" t="n"/>
      <c r="J681" s="16" t="n"/>
      <c r="K681" s="17">
        <f>IF($G681="","",IF(OR($G681="PT Missed",$G681="PT Modified",$G681="PT Refused"),"Yes","No"))</f>
        <v/>
      </c>
      <c r="L681" s="16" t="n"/>
      <c r="M681" s="16" t="n"/>
      <c r="N681" s="17">
        <f>IF($D681="","",IF($M681="Excused","No",IF(AND($G681="PT Modified",$L681="Received"),"No","Yes")))</f>
        <v/>
      </c>
      <c r="O681" s="16" t="n"/>
      <c r="P681" s="17">
        <f>IF(OR($B681="",N($I681)=0),"",MIN(N($I681),SUMIFS(nrMK_Min,nrMK_Link,$B681,nrMK_Credit,"Yes",nrMK_PID,$E681,nrMK_Type,"Classroom")))</f>
        <v/>
      </c>
      <c r="Q681" s="17">
        <f>IF(OR($B681="",N($J681)=0),"",MIN(N($J681),SUMIFS(nrMK_Sess,nrMK_Link,$B681,nrMK_Credit,"Yes",nrMK_PID,$E681,nrMK_Type,"PT")))</f>
        <v/>
      </c>
      <c r="R681" s="17">
        <f>IF(OR($B681="",$N681&lt;&gt;"Yes"),"",IF($K681="Yes",IF(N($J681)&gt;0,N($J681)-N($Q681),""),IF(N($I681)&gt;0,N($I681)-N($P681),"")))</f>
        <v/>
      </c>
      <c r="S681" s="17">
        <f>IF(OR($B681="",$R681=""),"",IF($R681&lt;=0,IF(IFERROR(_xlfn.MAXIFS(nrMK_Date,nrMK_Link,$B681,nrMK_Credit,"Yes",nrMK_PID,$E681),0)=0,"CLEARED (makeup date missing)","CLEARED "&amp;TEXT(_xlfn.MAXIFS(nrMK_Date,nrMK_Link,$B681,nrMK_Credit,"Yes",nrMK_PID,$E681),"mm/dd")),"OPEN"))</f>
        <v/>
      </c>
      <c r="T681" s="17">
        <f>IF($D681="","",IF($C681="","NO DATE",IF($G681="","NO EVENT TYPE",IF(AND($I681&lt;&gt;"",NOT(ISNUMBER($I681))),"MINUTES NOT A NUMBER",IF(AND($J681&lt;&gt;"",NOT(ISNUMBER($J681))),"SESSIONS NOT A NUMBER",IF(OR(N($I681)&lt;0,N($J681)&lt;0),"NEGATIVE MINUTES/SESSIONS",IF(AND($K681="Yes",N($I681)&gt;0),"MINUTES ON A PT EVENT - not counted (PT counts sessions)",IF(AND($K681="No",N($J681)&gt;0),"SESSIONS ON A CLASSROOM EVENT - not counted (classroom counts minutes)",IF(AND($N681="Yes",$K681="Yes",N($J681)=0),"COUNTED PT EVENT WITH NO SESSIONS - dropped from the PT cap",IF(AND($N681="Yes",$K681="No",N($I681)=0),"COUNTED EVENT WITH NO MINUTES - dropped from the classroom cap","OK"))))))))))</f>
        <v/>
      </c>
    </row>
    <row r="682">
      <c r="B682" s="17">
        <f>IF($D682="","","A"&amp;TEXT(ROW()-5,"000"))</f>
        <v/>
      </c>
      <c r="C682" s="18" t="n"/>
      <c r="D682" s="16" t="n"/>
      <c r="E682" s="17">
        <f>IF($D682="","",IFERROR(INDEX(rngCadetPIDs,MATCH($D682,rngCadetNames,0)),"?"))</f>
        <v/>
      </c>
      <c r="F682" s="17">
        <f>IF($E682="","",IFERROR(INDEX(nrCadetAgency,MATCH($E682,rngCadetPIDs,0)),""))</f>
        <v/>
      </c>
      <c r="G682" s="16" t="n"/>
      <c r="H682" s="16" t="n"/>
      <c r="I682" s="16" t="n"/>
      <c r="J682" s="16" t="n"/>
      <c r="K682" s="17">
        <f>IF($G682="","",IF(OR($G682="PT Missed",$G682="PT Modified",$G682="PT Refused"),"Yes","No"))</f>
        <v/>
      </c>
      <c r="L682" s="16" t="n"/>
      <c r="M682" s="16" t="n"/>
      <c r="N682" s="17">
        <f>IF($D682="","",IF($M682="Excused","No",IF(AND($G682="PT Modified",$L682="Received"),"No","Yes")))</f>
        <v/>
      </c>
      <c r="O682" s="16" t="n"/>
      <c r="P682" s="17">
        <f>IF(OR($B682="",N($I682)=0),"",MIN(N($I682),SUMIFS(nrMK_Min,nrMK_Link,$B682,nrMK_Credit,"Yes",nrMK_PID,$E682,nrMK_Type,"Classroom")))</f>
        <v/>
      </c>
      <c r="Q682" s="17">
        <f>IF(OR($B682="",N($J682)=0),"",MIN(N($J682),SUMIFS(nrMK_Sess,nrMK_Link,$B682,nrMK_Credit,"Yes",nrMK_PID,$E682,nrMK_Type,"PT")))</f>
        <v/>
      </c>
      <c r="R682" s="17">
        <f>IF(OR($B682="",$N682&lt;&gt;"Yes"),"",IF($K682="Yes",IF(N($J682)&gt;0,N($J682)-N($Q682),""),IF(N($I682)&gt;0,N($I682)-N($P682),"")))</f>
        <v/>
      </c>
      <c r="S682" s="17">
        <f>IF(OR($B682="",$R682=""),"",IF($R682&lt;=0,IF(IFERROR(_xlfn.MAXIFS(nrMK_Date,nrMK_Link,$B682,nrMK_Credit,"Yes",nrMK_PID,$E682),0)=0,"CLEARED (makeup date missing)","CLEARED "&amp;TEXT(_xlfn.MAXIFS(nrMK_Date,nrMK_Link,$B682,nrMK_Credit,"Yes",nrMK_PID,$E682),"mm/dd")),"OPEN"))</f>
        <v/>
      </c>
      <c r="T682" s="17">
        <f>IF($D682="","",IF($C682="","NO DATE",IF($G682="","NO EVENT TYPE",IF(AND($I682&lt;&gt;"",NOT(ISNUMBER($I682))),"MINUTES NOT A NUMBER",IF(AND($J682&lt;&gt;"",NOT(ISNUMBER($J682))),"SESSIONS NOT A NUMBER",IF(OR(N($I682)&lt;0,N($J682)&lt;0),"NEGATIVE MINUTES/SESSIONS",IF(AND($K682="Yes",N($I682)&gt;0),"MINUTES ON A PT EVENT - not counted (PT counts sessions)",IF(AND($K682="No",N($J682)&gt;0),"SESSIONS ON A CLASSROOM EVENT - not counted (classroom counts minutes)",IF(AND($N682="Yes",$K682="Yes",N($J682)=0),"COUNTED PT EVENT WITH NO SESSIONS - dropped from the PT cap",IF(AND($N682="Yes",$K682="No",N($I682)=0),"COUNTED EVENT WITH NO MINUTES - dropped from the classroom cap","OK"))))))))))</f>
        <v/>
      </c>
    </row>
    <row r="683">
      <c r="B683" s="17">
        <f>IF($D683="","","A"&amp;TEXT(ROW()-5,"000"))</f>
        <v/>
      </c>
      <c r="C683" s="18" t="n"/>
      <c r="D683" s="16" t="n"/>
      <c r="E683" s="17">
        <f>IF($D683="","",IFERROR(INDEX(rngCadetPIDs,MATCH($D683,rngCadetNames,0)),"?"))</f>
        <v/>
      </c>
      <c r="F683" s="17">
        <f>IF($E683="","",IFERROR(INDEX(nrCadetAgency,MATCH($E683,rngCadetPIDs,0)),""))</f>
        <v/>
      </c>
      <c r="G683" s="16" t="n"/>
      <c r="H683" s="16" t="n"/>
      <c r="I683" s="16" t="n"/>
      <c r="J683" s="16" t="n"/>
      <c r="K683" s="17">
        <f>IF($G683="","",IF(OR($G683="PT Missed",$G683="PT Modified",$G683="PT Refused"),"Yes","No"))</f>
        <v/>
      </c>
      <c r="L683" s="16" t="n"/>
      <c r="M683" s="16" t="n"/>
      <c r="N683" s="17">
        <f>IF($D683="","",IF($M683="Excused","No",IF(AND($G683="PT Modified",$L683="Received"),"No","Yes")))</f>
        <v/>
      </c>
      <c r="O683" s="16" t="n"/>
      <c r="P683" s="17">
        <f>IF(OR($B683="",N($I683)=0),"",MIN(N($I683),SUMIFS(nrMK_Min,nrMK_Link,$B683,nrMK_Credit,"Yes",nrMK_PID,$E683,nrMK_Type,"Classroom")))</f>
        <v/>
      </c>
      <c r="Q683" s="17">
        <f>IF(OR($B683="",N($J683)=0),"",MIN(N($J683),SUMIFS(nrMK_Sess,nrMK_Link,$B683,nrMK_Credit,"Yes",nrMK_PID,$E683,nrMK_Type,"PT")))</f>
        <v/>
      </c>
      <c r="R683" s="17">
        <f>IF(OR($B683="",$N683&lt;&gt;"Yes"),"",IF($K683="Yes",IF(N($J683)&gt;0,N($J683)-N($Q683),""),IF(N($I683)&gt;0,N($I683)-N($P683),"")))</f>
        <v/>
      </c>
      <c r="S683" s="17">
        <f>IF(OR($B683="",$R683=""),"",IF($R683&lt;=0,IF(IFERROR(_xlfn.MAXIFS(nrMK_Date,nrMK_Link,$B683,nrMK_Credit,"Yes",nrMK_PID,$E683),0)=0,"CLEARED (makeup date missing)","CLEARED "&amp;TEXT(_xlfn.MAXIFS(nrMK_Date,nrMK_Link,$B683,nrMK_Credit,"Yes",nrMK_PID,$E683),"mm/dd")),"OPEN"))</f>
        <v/>
      </c>
      <c r="T683" s="17">
        <f>IF($D683="","",IF($C683="","NO DATE",IF($G683="","NO EVENT TYPE",IF(AND($I683&lt;&gt;"",NOT(ISNUMBER($I683))),"MINUTES NOT A NUMBER",IF(AND($J683&lt;&gt;"",NOT(ISNUMBER($J683))),"SESSIONS NOT A NUMBER",IF(OR(N($I683)&lt;0,N($J683)&lt;0),"NEGATIVE MINUTES/SESSIONS",IF(AND($K683="Yes",N($I683)&gt;0),"MINUTES ON A PT EVENT - not counted (PT counts sessions)",IF(AND($K683="No",N($J683)&gt;0),"SESSIONS ON A CLASSROOM EVENT - not counted (classroom counts minutes)",IF(AND($N683="Yes",$K683="Yes",N($J683)=0),"COUNTED PT EVENT WITH NO SESSIONS - dropped from the PT cap",IF(AND($N683="Yes",$K683="No",N($I683)=0),"COUNTED EVENT WITH NO MINUTES - dropped from the classroom cap","OK"))))))))))</f>
        <v/>
      </c>
    </row>
    <row r="684">
      <c r="B684" s="17">
        <f>IF($D684="","","A"&amp;TEXT(ROW()-5,"000"))</f>
        <v/>
      </c>
      <c r="C684" s="18" t="n"/>
      <c r="D684" s="16" t="n"/>
      <c r="E684" s="17">
        <f>IF($D684="","",IFERROR(INDEX(rngCadetPIDs,MATCH($D684,rngCadetNames,0)),"?"))</f>
        <v/>
      </c>
      <c r="F684" s="17">
        <f>IF($E684="","",IFERROR(INDEX(nrCadetAgency,MATCH($E684,rngCadetPIDs,0)),""))</f>
        <v/>
      </c>
      <c r="G684" s="16" t="n"/>
      <c r="H684" s="16" t="n"/>
      <c r="I684" s="16" t="n"/>
      <c r="J684" s="16" t="n"/>
      <c r="K684" s="17">
        <f>IF($G684="","",IF(OR($G684="PT Missed",$G684="PT Modified",$G684="PT Refused"),"Yes","No"))</f>
        <v/>
      </c>
      <c r="L684" s="16" t="n"/>
      <c r="M684" s="16" t="n"/>
      <c r="N684" s="17">
        <f>IF($D684="","",IF($M684="Excused","No",IF(AND($G684="PT Modified",$L684="Received"),"No","Yes")))</f>
        <v/>
      </c>
      <c r="O684" s="16" t="n"/>
      <c r="P684" s="17">
        <f>IF(OR($B684="",N($I684)=0),"",MIN(N($I684),SUMIFS(nrMK_Min,nrMK_Link,$B684,nrMK_Credit,"Yes",nrMK_PID,$E684,nrMK_Type,"Classroom")))</f>
        <v/>
      </c>
      <c r="Q684" s="17">
        <f>IF(OR($B684="",N($J684)=0),"",MIN(N($J684),SUMIFS(nrMK_Sess,nrMK_Link,$B684,nrMK_Credit,"Yes",nrMK_PID,$E684,nrMK_Type,"PT")))</f>
        <v/>
      </c>
      <c r="R684" s="17">
        <f>IF(OR($B684="",$N684&lt;&gt;"Yes"),"",IF($K684="Yes",IF(N($J684)&gt;0,N($J684)-N($Q684),""),IF(N($I684)&gt;0,N($I684)-N($P684),"")))</f>
        <v/>
      </c>
      <c r="S684" s="17">
        <f>IF(OR($B684="",$R684=""),"",IF($R684&lt;=0,IF(IFERROR(_xlfn.MAXIFS(nrMK_Date,nrMK_Link,$B684,nrMK_Credit,"Yes",nrMK_PID,$E684),0)=0,"CLEARED (makeup date missing)","CLEARED "&amp;TEXT(_xlfn.MAXIFS(nrMK_Date,nrMK_Link,$B684,nrMK_Credit,"Yes",nrMK_PID,$E684),"mm/dd")),"OPEN"))</f>
        <v/>
      </c>
      <c r="T684" s="17">
        <f>IF($D684="","",IF($C684="","NO DATE",IF($G684="","NO EVENT TYPE",IF(AND($I684&lt;&gt;"",NOT(ISNUMBER($I684))),"MINUTES NOT A NUMBER",IF(AND($J684&lt;&gt;"",NOT(ISNUMBER($J684))),"SESSIONS NOT A NUMBER",IF(OR(N($I684)&lt;0,N($J684)&lt;0),"NEGATIVE MINUTES/SESSIONS",IF(AND($K684="Yes",N($I684)&gt;0),"MINUTES ON A PT EVENT - not counted (PT counts sessions)",IF(AND($K684="No",N($J684)&gt;0),"SESSIONS ON A CLASSROOM EVENT - not counted (classroom counts minutes)",IF(AND($N684="Yes",$K684="Yes",N($J684)=0),"COUNTED PT EVENT WITH NO SESSIONS - dropped from the PT cap",IF(AND($N684="Yes",$K684="No",N($I684)=0),"COUNTED EVENT WITH NO MINUTES - dropped from the classroom cap","OK"))))))))))</f>
        <v/>
      </c>
    </row>
    <row r="685">
      <c r="B685" s="17">
        <f>IF($D685="","","A"&amp;TEXT(ROW()-5,"000"))</f>
        <v/>
      </c>
      <c r="C685" s="18" t="n"/>
      <c r="D685" s="16" t="n"/>
      <c r="E685" s="17">
        <f>IF($D685="","",IFERROR(INDEX(rngCadetPIDs,MATCH($D685,rngCadetNames,0)),"?"))</f>
        <v/>
      </c>
      <c r="F685" s="17">
        <f>IF($E685="","",IFERROR(INDEX(nrCadetAgency,MATCH($E685,rngCadetPIDs,0)),""))</f>
        <v/>
      </c>
      <c r="G685" s="16" t="n"/>
      <c r="H685" s="16" t="n"/>
      <c r="I685" s="16" t="n"/>
      <c r="J685" s="16" t="n"/>
      <c r="K685" s="17">
        <f>IF($G685="","",IF(OR($G685="PT Missed",$G685="PT Modified",$G685="PT Refused"),"Yes","No"))</f>
        <v/>
      </c>
      <c r="L685" s="16" t="n"/>
      <c r="M685" s="16" t="n"/>
      <c r="N685" s="17">
        <f>IF($D685="","",IF($M685="Excused","No",IF(AND($G685="PT Modified",$L685="Received"),"No","Yes")))</f>
        <v/>
      </c>
      <c r="O685" s="16" t="n"/>
      <c r="P685" s="17">
        <f>IF(OR($B685="",N($I685)=0),"",MIN(N($I685),SUMIFS(nrMK_Min,nrMK_Link,$B685,nrMK_Credit,"Yes",nrMK_PID,$E685,nrMK_Type,"Classroom")))</f>
        <v/>
      </c>
      <c r="Q685" s="17">
        <f>IF(OR($B685="",N($J685)=0),"",MIN(N($J685),SUMIFS(nrMK_Sess,nrMK_Link,$B685,nrMK_Credit,"Yes",nrMK_PID,$E685,nrMK_Type,"PT")))</f>
        <v/>
      </c>
      <c r="R685" s="17">
        <f>IF(OR($B685="",$N685&lt;&gt;"Yes"),"",IF($K685="Yes",IF(N($J685)&gt;0,N($J685)-N($Q685),""),IF(N($I685)&gt;0,N($I685)-N($P685),"")))</f>
        <v/>
      </c>
      <c r="S685" s="17">
        <f>IF(OR($B685="",$R685=""),"",IF($R685&lt;=0,IF(IFERROR(_xlfn.MAXIFS(nrMK_Date,nrMK_Link,$B685,nrMK_Credit,"Yes",nrMK_PID,$E685),0)=0,"CLEARED (makeup date missing)","CLEARED "&amp;TEXT(_xlfn.MAXIFS(nrMK_Date,nrMK_Link,$B685,nrMK_Credit,"Yes",nrMK_PID,$E685),"mm/dd")),"OPEN"))</f>
        <v/>
      </c>
      <c r="T685" s="17">
        <f>IF($D685="","",IF($C685="","NO DATE",IF($G685="","NO EVENT TYPE",IF(AND($I685&lt;&gt;"",NOT(ISNUMBER($I685))),"MINUTES NOT A NUMBER",IF(AND($J685&lt;&gt;"",NOT(ISNUMBER($J685))),"SESSIONS NOT A NUMBER",IF(OR(N($I685)&lt;0,N($J685)&lt;0),"NEGATIVE MINUTES/SESSIONS",IF(AND($K685="Yes",N($I685)&gt;0),"MINUTES ON A PT EVENT - not counted (PT counts sessions)",IF(AND($K685="No",N($J685)&gt;0),"SESSIONS ON A CLASSROOM EVENT - not counted (classroom counts minutes)",IF(AND($N685="Yes",$K685="Yes",N($J685)=0),"COUNTED PT EVENT WITH NO SESSIONS - dropped from the PT cap",IF(AND($N685="Yes",$K685="No",N($I685)=0),"COUNTED EVENT WITH NO MINUTES - dropped from the classroom cap","OK"))))))))))</f>
        <v/>
      </c>
    </row>
    <row r="686">
      <c r="B686" s="17">
        <f>IF($D686="","","A"&amp;TEXT(ROW()-5,"000"))</f>
        <v/>
      </c>
      <c r="C686" s="18" t="n"/>
      <c r="D686" s="16" t="n"/>
      <c r="E686" s="17">
        <f>IF($D686="","",IFERROR(INDEX(rngCadetPIDs,MATCH($D686,rngCadetNames,0)),"?"))</f>
        <v/>
      </c>
      <c r="F686" s="17">
        <f>IF($E686="","",IFERROR(INDEX(nrCadetAgency,MATCH($E686,rngCadetPIDs,0)),""))</f>
        <v/>
      </c>
      <c r="G686" s="16" t="n"/>
      <c r="H686" s="16" t="n"/>
      <c r="I686" s="16" t="n"/>
      <c r="J686" s="16" t="n"/>
      <c r="K686" s="17">
        <f>IF($G686="","",IF(OR($G686="PT Missed",$G686="PT Modified",$G686="PT Refused"),"Yes","No"))</f>
        <v/>
      </c>
      <c r="L686" s="16" t="n"/>
      <c r="M686" s="16" t="n"/>
      <c r="N686" s="17">
        <f>IF($D686="","",IF($M686="Excused","No",IF(AND($G686="PT Modified",$L686="Received"),"No","Yes")))</f>
        <v/>
      </c>
      <c r="O686" s="16" t="n"/>
      <c r="P686" s="17">
        <f>IF(OR($B686="",N($I686)=0),"",MIN(N($I686),SUMIFS(nrMK_Min,nrMK_Link,$B686,nrMK_Credit,"Yes",nrMK_PID,$E686,nrMK_Type,"Classroom")))</f>
        <v/>
      </c>
      <c r="Q686" s="17">
        <f>IF(OR($B686="",N($J686)=0),"",MIN(N($J686),SUMIFS(nrMK_Sess,nrMK_Link,$B686,nrMK_Credit,"Yes",nrMK_PID,$E686,nrMK_Type,"PT")))</f>
        <v/>
      </c>
      <c r="R686" s="17">
        <f>IF(OR($B686="",$N686&lt;&gt;"Yes"),"",IF($K686="Yes",IF(N($J686)&gt;0,N($J686)-N($Q686),""),IF(N($I686)&gt;0,N($I686)-N($P686),"")))</f>
        <v/>
      </c>
      <c r="S686" s="17">
        <f>IF(OR($B686="",$R686=""),"",IF($R686&lt;=0,IF(IFERROR(_xlfn.MAXIFS(nrMK_Date,nrMK_Link,$B686,nrMK_Credit,"Yes",nrMK_PID,$E686),0)=0,"CLEARED (makeup date missing)","CLEARED "&amp;TEXT(_xlfn.MAXIFS(nrMK_Date,nrMK_Link,$B686,nrMK_Credit,"Yes",nrMK_PID,$E686),"mm/dd")),"OPEN"))</f>
        <v/>
      </c>
      <c r="T686" s="17">
        <f>IF($D686="","",IF($C686="","NO DATE",IF($G686="","NO EVENT TYPE",IF(AND($I686&lt;&gt;"",NOT(ISNUMBER($I686))),"MINUTES NOT A NUMBER",IF(AND($J686&lt;&gt;"",NOT(ISNUMBER($J686))),"SESSIONS NOT A NUMBER",IF(OR(N($I686)&lt;0,N($J686)&lt;0),"NEGATIVE MINUTES/SESSIONS",IF(AND($K686="Yes",N($I686)&gt;0),"MINUTES ON A PT EVENT - not counted (PT counts sessions)",IF(AND($K686="No",N($J686)&gt;0),"SESSIONS ON A CLASSROOM EVENT - not counted (classroom counts minutes)",IF(AND($N686="Yes",$K686="Yes",N($J686)=0),"COUNTED PT EVENT WITH NO SESSIONS - dropped from the PT cap",IF(AND($N686="Yes",$K686="No",N($I686)=0),"COUNTED EVENT WITH NO MINUTES - dropped from the classroom cap","OK"))))))))))</f>
        <v/>
      </c>
    </row>
    <row r="687">
      <c r="B687" s="17">
        <f>IF($D687="","","A"&amp;TEXT(ROW()-5,"000"))</f>
        <v/>
      </c>
      <c r="C687" s="18" t="n"/>
      <c r="D687" s="16" t="n"/>
      <c r="E687" s="17">
        <f>IF($D687="","",IFERROR(INDEX(rngCadetPIDs,MATCH($D687,rngCadetNames,0)),"?"))</f>
        <v/>
      </c>
      <c r="F687" s="17">
        <f>IF($E687="","",IFERROR(INDEX(nrCadetAgency,MATCH($E687,rngCadetPIDs,0)),""))</f>
        <v/>
      </c>
      <c r="G687" s="16" t="n"/>
      <c r="H687" s="16" t="n"/>
      <c r="I687" s="16" t="n"/>
      <c r="J687" s="16" t="n"/>
      <c r="K687" s="17">
        <f>IF($G687="","",IF(OR($G687="PT Missed",$G687="PT Modified",$G687="PT Refused"),"Yes","No"))</f>
        <v/>
      </c>
      <c r="L687" s="16" t="n"/>
      <c r="M687" s="16" t="n"/>
      <c r="N687" s="17">
        <f>IF($D687="","",IF($M687="Excused","No",IF(AND($G687="PT Modified",$L687="Received"),"No","Yes")))</f>
        <v/>
      </c>
      <c r="O687" s="16" t="n"/>
      <c r="P687" s="17">
        <f>IF(OR($B687="",N($I687)=0),"",MIN(N($I687),SUMIFS(nrMK_Min,nrMK_Link,$B687,nrMK_Credit,"Yes",nrMK_PID,$E687,nrMK_Type,"Classroom")))</f>
        <v/>
      </c>
      <c r="Q687" s="17">
        <f>IF(OR($B687="",N($J687)=0),"",MIN(N($J687),SUMIFS(nrMK_Sess,nrMK_Link,$B687,nrMK_Credit,"Yes",nrMK_PID,$E687,nrMK_Type,"PT")))</f>
        <v/>
      </c>
      <c r="R687" s="17">
        <f>IF(OR($B687="",$N687&lt;&gt;"Yes"),"",IF($K687="Yes",IF(N($J687)&gt;0,N($J687)-N($Q687),""),IF(N($I687)&gt;0,N($I687)-N($P687),"")))</f>
        <v/>
      </c>
      <c r="S687" s="17">
        <f>IF(OR($B687="",$R687=""),"",IF($R687&lt;=0,IF(IFERROR(_xlfn.MAXIFS(nrMK_Date,nrMK_Link,$B687,nrMK_Credit,"Yes",nrMK_PID,$E687),0)=0,"CLEARED (makeup date missing)","CLEARED "&amp;TEXT(_xlfn.MAXIFS(nrMK_Date,nrMK_Link,$B687,nrMK_Credit,"Yes",nrMK_PID,$E687),"mm/dd")),"OPEN"))</f>
        <v/>
      </c>
      <c r="T687" s="17">
        <f>IF($D687="","",IF($C687="","NO DATE",IF($G687="","NO EVENT TYPE",IF(AND($I687&lt;&gt;"",NOT(ISNUMBER($I687))),"MINUTES NOT A NUMBER",IF(AND($J687&lt;&gt;"",NOT(ISNUMBER($J687))),"SESSIONS NOT A NUMBER",IF(OR(N($I687)&lt;0,N($J687)&lt;0),"NEGATIVE MINUTES/SESSIONS",IF(AND($K687="Yes",N($I687)&gt;0),"MINUTES ON A PT EVENT - not counted (PT counts sessions)",IF(AND($K687="No",N($J687)&gt;0),"SESSIONS ON A CLASSROOM EVENT - not counted (classroom counts minutes)",IF(AND($N687="Yes",$K687="Yes",N($J687)=0),"COUNTED PT EVENT WITH NO SESSIONS - dropped from the PT cap",IF(AND($N687="Yes",$K687="No",N($I687)=0),"COUNTED EVENT WITH NO MINUTES - dropped from the classroom cap","OK"))))))))))</f>
        <v/>
      </c>
    </row>
    <row r="688">
      <c r="B688" s="17">
        <f>IF($D688="","","A"&amp;TEXT(ROW()-5,"000"))</f>
        <v/>
      </c>
      <c r="C688" s="18" t="n"/>
      <c r="D688" s="16" t="n"/>
      <c r="E688" s="17">
        <f>IF($D688="","",IFERROR(INDEX(rngCadetPIDs,MATCH($D688,rngCadetNames,0)),"?"))</f>
        <v/>
      </c>
      <c r="F688" s="17">
        <f>IF($E688="","",IFERROR(INDEX(nrCadetAgency,MATCH($E688,rngCadetPIDs,0)),""))</f>
        <v/>
      </c>
      <c r="G688" s="16" t="n"/>
      <c r="H688" s="16" t="n"/>
      <c r="I688" s="16" t="n"/>
      <c r="J688" s="16" t="n"/>
      <c r="K688" s="17">
        <f>IF($G688="","",IF(OR($G688="PT Missed",$G688="PT Modified",$G688="PT Refused"),"Yes","No"))</f>
        <v/>
      </c>
      <c r="L688" s="16" t="n"/>
      <c r="M688" s="16" t="n"/>
      <c r="N688" s="17">
        <f>IF($D688="","",IF($M688="Excused","No",IF(AND($G688="PT Modified",$L688="Received"),"No","Yes")))</f>
        <v/>
      </c>
      <c r="O688" s="16" t="n"/>
      <c r="P688" s="17">
        <f>IF(OR($B688="",N($I688)=0),"",MIN(N($I688),SUMIFS(nrMK_Min,nrMK_Link,$B688,nrMK_Credit,"Yes",nrMK_PID,$E688,nrMK_Type,"Classroom")))</f>
        <v/>
      </c>
      <c r="Q688" s="17">
        <f>IF(OR($B688="",N($J688)=0),"",MIN(N($J688),SUMIFS(nrMK_Sess,nrMK_Link,$B688,nrMK_Credit,"Yes",nrMK_PID,$E688,nrMK_Type,"PT")))</f>
        <v/>
      </c>
      <c r="R688" s="17">
        <f>IF(OR($B688="",$N688&lt;&gt;"Yes"),"",IF($K688="Yes",IF(N($J688)&gt;0,N($J688)-N($Q688),""),IF(N($I688)&gt;0,N($I688)-N($P688),"")))</f>
        <v/>
      </c>
      <c r="S688" s="17">
        <f>IF(OR($B688="",$R688=""),"",IF($R688&lt;=0,IF(IFERROR(_xlfn.MAXIFS(nrMK_Date,nrMK_Link,$B688,nrMK_Credit,"Yes",nrMK_PID,$E688),0)=0,"CLEARED (makeup date missing)","CLEARED "&amp;TEXT(_xlfn.MAXIFS(nrMK_Date,nrMK_Link,$B688,nrMK_Credit,"Yes",nrMK_PID,$E688),"mm/dd")),"OPEN"))</f>
        <v/>
      </c>
      <c r="T688" s="17">
        <f>IF($D688="","",IF($C688="","NO DATE",IF($G688="","NO EVENT TYPE",IF(AND($I688&lt;&gt;"",NOT(ISNUMBER($I688))),"MINUTES NOT A NUMBER",IF(AND($J688&lt;&gt;"",NOT(ISNUMBER($J688))),"SESSIONS NOT A NUMBER",IF(OR(N($I688)&lt;0,N($J688)&lt;0),"NEGATIVE MINUTES/SESSIONS",IF(AND($K688="Yes",N($I688)&gt;0),"MINUTES ON A PT EVENT - not counted (PT counts sessions)",IF(AND($K688="No",N($J688)&gt;0),"SESSIONS ON A CLASSROOM EVENT - not counted (classroom counts minutes)",IF(AND($N688="Yes",$K688="Yes",N($J688)=0),"COUNTED PT EVENT WITH NO SESSIONS - dropped from the PT cap",IF(AND($N688="Yes",$K688="No",N($I688)=0),"COUNTED EVENT WITH NO MINUTES - dropped from the classroom cap","OK"))))))))))</f>
        <v/>
      </c>
    </row>
    <row r="689">
      <c r="B689" s="17">
        <f>IF($D689="","","A"&amp;TEXT(ROW()-5,"000"))</f>
        <v/>
      </c>
      <c r="C689" s="18" t="n"/>
      <c r="D689" s="16" t="n"/>
      <c r="E689" s="17">
        <f>IF($D689="","",IFERROR(INDEX(rngCadetPIDs,MATCH($D689,rngCadetNames,0)),"?"))</f>
        <v/>
      </c>
      <c r="F689" s="17">
        <f>IF($E689="","",IFERROR(INDEX(nrCadetAgency,MATCH($E689,rngCadetPIDs,0)),""))</f>
        <v/>
      </c>
      <c r="G689" s="16" t="n"/>
      <c r="H689" s="16" t="n"/>
      <c r="I689" s="16" t="n"/>
      <c r="J689" s="16" t="n"/>
      <c r="K689" s="17">
        <f>IF($G689="","",IF(OR($G689="PT Missed",$G689="PT Modified",$G689="PT Refused"),"Yes","No"))</f>
        <v/>
      </c>
      <c r="L689" s="16" t="n"/>
      <c r="M689" s="16" t="n"/>
      <c r="N689" s="17">
        <f>IF($D689="","",IF($M689="Excused","No",IF(AND($G689="PT Modified",$L689="Received"),"No","Yes")))</f>
        <v/>
      </c>
      <c r="O689" s="16" t="n"/>
      <c r="P689" s="17">
        <f>IF(OR($B689="",N($I689)=0),"",MIN(N($I689),SUMIFS(nrMK_Min,nrMK_Link,$B689,nrMK_Credit,"Yes",nrMK_PID,$E689,nrMK_Type,"Classroom")))</f>
        <v/>
      </c>
      <c r="Q689" s="17">
        <f>IF(OR($B689="",N($J689)=0),"",MIN(N($J689),SUMIFS(nrMK_Sess,nrMK_Link,$B689,nrMK_Credit,"Yes",nrMK_PID,$E689,nrMK_Type,"PT")))</f>
        <v/>
      </c>
      <c r="R689" s="17">
        <f>IF(OR($B689="",$N689&lt;&gt;"Yes"),"",IF($K689="Yes",IF(N($J689)&gt;0,N($J689)-N($Q689),""),IF(N($I689)&gt;0,N($I689)-N($P689),"")))</f>
        <v/>
      </c>
      <c r="S689" s="17">
        <f>IF(OR($B689="",$R689=""),"",IF($R689&lt;=0,IF(IFERROR(_xlfn.MAXIFS(nrMK_Date,nrMK_Link,$B689,nrMK_Credit,"Yes",nrMK_PID,$E689),0)=0,"CLEARED (makeup date missing)","CLEARED "&amp;TEXT(_xlfn.MAXIFS(nrMK_Date,nrMK_Link,$B689,nrMK_Credit,"Yes",nrMK_PID,$E689),"mm/dd")),"OPEN"))</f>
        <v/>
      </c>
      <c r="T689" s="17">
        <f>IF($D689="","",IF($C689="","NO DATE",IF($G689="","NO EVENT TYPE",IF(AND($I689&lt;&gt;"",NOT(ISNUMBER($I689))),"MINUTES NOT A NUMBER",IF(AND($J689&lt;&gt;"",NOT(ISNUMBER($J689))),"SESSIONS NOT A NUMBER",IF(OR(N($I689)&lt;0,N($J689)&lt;0),"NEGATIVE MINUTES/SESSIONS",IF(AND($K689="Yes",N($I689)&gt;0),"MINUTES ON A PT EVENT - not counted (PT counts sessions)",IF(AND($K689="No",N($J689)&gt;0),"SESSIONS ON A CLASSROOM EVENT - not counted (classroom counts minutes)",IF(AND($N689="Yes",$K689="Yes",N($J689)=0),"COUNTED PT EVENT WITH NO SESSIONS - dropped from the PT cap",IF(AND($N689="Yes",$K689="No",N($I689)=0),"COUNTED EVENT WITH NO MINUTES - dropped from the classroom cap","OK"))))))))))</f>
        <v/>
      </c>
    </row>
    <row r="690">
      <c r="B690" s="17">
        <f>IF($D690="","","A"&amp;TEXT(ROW()-5,"000"))</f>
        <v/>
      </c>
      <c r="C690" s="18" t="n"/>
      <c r="D690" s="16" t="n"/>
      <c r="E690" s="17">
        <f>IF($D690="","",IFERROR(INDEX(rngCadetPIDs,MATCH($D690,rngCadetNames,0)),"?"))</f>
        <v/>
      </c>
      <c r="F690" s="17">
        <f>IF($E690="","",IFERROR(INDEX(nrCadetAgency,MATCH($E690,rngCadetPIDs,0)),""))</f>
        <v/>
      </c>
      <c r="G690" s="16" t="n"/>
      <c r="H690" s="16" t="n"/>
      <c r="I690" s="16" t="n"/>
      <c r="J690" s="16" t="n"/>
      <c r="K690" s="17">
        <f>IF($G690="","",IF(OR($G690="PT Missed",$G690="PT Modified",$G690="PT Refused"),"Yes","No"))</f>
        <v/>
      </c>
      <c r="L690" s="16" t="n"/>
      <c r="M690" s="16" t="n"/>
      <c r="N690" s="17">
        <f>IF($D690="","",IF($M690="Excused","No",IF(AND($G690="PT Modified",$L690="Received"),"No","Yes")))</f>
        <v/>
      </c>
      <c r="O690" s="16" t="n"/>
      <c r="P690" s="17">
        <f>IF(OR($B690="",N($I690)=0),"",MIN(N($I690),SUMIFS(nrMK_Min,nrMK_Link,$B690,nrMK_Credit,"Yes",nrMK_PID,$E690,nrMK_Type,"Classroom")))</f>
        <v/>
      </c>
      <c r="Q690" s="17">
        <f>IF(OR($B690="",N($J690)=0),"",MIN(N($J690),SUMIFS(nrMK_Sess,nrMK_Link,$B690,nrMK_Credit,"Yes",nrMK_PID,$E690,nrMK_Type,"PT")))</f>
        <v/>
      </c>
      <c r="R690" s="17">
        <f>IF(OR($B690="",$N690&lt;&gt;"Yes"),"",IF($K690="Yes",IF(N($J690)&gt;0,N($J690)-N($Q690),""),IF(N($I690)&gt;0,N($I690)-N($P690),"")))</f>
        <v/>
      </c>
      <c r="S690" s="17">
        <f>IF(OR($B690="",$R690=""),"",IF($R690&lt;=0,IF(IFERROR(_xlfn.MAXIFS(nrMK_Date,nrMK_Link,$B690,nrMK_Credit,"Yes",nrMK_PID,$E690),0)=0,"CLEARED (makeup date missing)","CLEARED "&amp;TEXT(_xlfn.MAXIFS(nrMK_Date,nrMK_Link,$B690,nrMK_Credit,"Yes",nrMK_PID,$E690),"mm/dd")),"OPEN"))</f>
        <v/>
      </c>
      <c r="T690" s="17">
        <f>IF($D690="","",IF($C690="","NO DATE",IF($G690="","NO EVENT TYPE",IF(AND($I690&lt;&gt;"",NOT(ISNUMBER($I690))),"MINUTES NOT A NUMBER",IF(AND($J690&lt;&gt;"",NOT(ISNUMBER($J690))),"SESSIONS NOT A NUMBER",IF(OR(N($I690)&lt;0,N($J690)&lt;0),"NEGATIVE MINUTES/SESSIONS",IF(AND($K690="Yes",N($I690)&gt;0),"MINUTES ON A PT EVENT - not counted (PT counts sessions)",IF(AND($K690="No",N($J690)&gt;0),"SESSIONS ON A CLASSROOM EVENT - not counted (classroom counts minutes)",IF(AND($N690="Yes",$K690="Yes",N($J690)=0),"COUNTED PT EVENT WITH NO SESSIONS - dropped from the PT cap",IF(AND($N690="Yes",$K690="No",N($I690)=0),"COUNTED EVENT WITH NO MINUTES - dropped from the classroom cap","OK"))))))))))</f>
        <v/>
      </c>
    </row>
    <row r="691">
      <c r="B691" s="17">
        <f>IF($D691="","","A"&amp;TEXT(ROW()-5,"000"))</f>
        <v/>
      </c>
      <c r="C691" s="18" t="n"/>
      <c r="D691" s="16" t="n"/>
      <c r="E691" s="17">
        <f>IF($D691="","",IFERROR(INDEX(rngCadetPIDs,MATCH($D691,rngCadetNames,0)),"?"))</f>
        <v/>
      </c>
      <c r="F691" s="17">
        <f>IF($E691="","",IFERROR(INDEX(nrCadetAgency,MATCH($E691,rngCadetPIDs,0)),""))</f>
        <v/>
      </c>
      <c r="G691" s="16" t="n"/>
      <c r="H691" s="16" t="n"/>
      <c r="I691" s="16" t="n"/>
      <c r="J691" s="16" t="n"/>
      <c r="K691" s="17">
        <f>IF($G691="","",IF(OR($G691="PT Missed",$G691="PT Modified",$G691="PT Refused"),"Yes","No"))</f>
        <v/>
      </c>
      <c r="L691" s="16" t="n"/>
      <c r="M691" s="16" t="n"/>
      <c r="N691" s="17">
        <f>IF($D691="","",IF($M691="Excused","No",IF(AND($G691="PT Modified",$L691="Received"),"No","Yes")))</f>
        <v/>
      </c>
      <c r="O691" s="16" t="n"/>
      <c r="P691" s="17">
        <f>IF(OR($B691="",N($I691)=0),"",MIN(N($I691),SUMIFS(nrMK_Min,nrMK_Link,$B691,nrMK_Credit,"Yes",nrMK_PID,$E691,nrMK_Type,"Classroom")))</f>
        <v/>
      </c>
      <c r="Q691" s="17">
        <f>IF(OR($B691="",N($J691)=0),"",MIN(N($J691),SUMIFS(nrMK_Sess,nrMK_Link,$B691,nrMK_Credit,"Yes",nrMK_PID,$E691,nrMK_Type,"PT")))</f>
        <v/>
      </c>
      <c r="R691" s="17">
        <f>IF(OR($B691="",$N691&lt;&gt;"Yes"),"",IF($K691="Yes",IF(N($J691)&gt;0,N($J691)-N($Q691),""),IF(N($I691)&gt;0,N($I691)-N($P691),"")))</f>
        <v/>
      </c>
      <c r="S691" s="17">
        <f>IF(OR($B691="",$R691=""),"",IF($R691&lt;=0,IF(IFERROR(_xlfn.MAXIFS(nrMK_Date,nrMK_Link,$B691,nrMK_Credit,"Yes",nrMK_PID,$E691),0)=0,"CLEARED (makeup date missing)","CLEARED "&amp;TEXT(_xlfn.MAXIFS(nrMK_Date,nrMK_Link,$B691,nrMK_Credit,"Yes",nrMK_PID,$E691),"mm/dd")),"OPEN"))</f>
        <v/>
      </c>
      <c r="T691" s="17">
        <f>IF($D691="","",IF($C691="","NO DATE",IF($G691="","NO EVENT TYPE",IF(AND($I691&lt;&gt;"",NOT(ISNUMBER($I691))),"MINUTES NOT A NUMBER",IF(AND($J691&lt;&gt;"",NOT(ISNUMBER($J691))),"SESSIONS NOT A NUMBER",IF(OR(N($I691)&lt;0,N($J691)&lt;0),"NEGATIVE MINUTES/SESSIONS",IF(AND($K691="Yes",N($I691)&gt;0),"MINUTES ON A PT EVENT - not counted (PT counts sessions)",IF(AND($K691="No",N($J691)&gt;0),"SESSIONS ON A CLASSROOM EVENT - not counted (classroom counts minutes)",IF(AND($N691="Yes",$K691="Yes",N($J691)=0),"COUNTED PT EVENT WITH NO SESSIONS - dropped from the PT cap",IF(AND($N691="Yes",$K691="No",N($I691)=0),"COUNTED EVENT WITH NO MINUTES - dropped from the classroom cap","OK"))))))))))</f>
        <v/>
      </c>
    </row>
    <row r="692">
      <c r="B692" s="17">
        <f>IF($D692="","","A"&amp;TEXT(ROW()-5,"000"))</f>
        <v/>
      </c>
      <c r="C692" s="18" t="n"/>
      <c r="D692" s="16" t="n"/>
      <c r="E692" s="17">
        <f>IF($D692="","",IFERROR(INDEX(rngCadetPIDs,MATCH($D692,rngCadetNames,0)),"?"))</f>
        <v/>
      </c>
      <c r="F692" s="17">
        <f>IF($E692="","",IFERROR(INDEX(nrCadetAgency,MATCH($E692,rngCadetPIDs,0)),""))</f>
        <v/>
      </c>
      <c r="G692" s="16" t="n"/>
      <c r="H692" s="16" t="n"/>
      <c r="I692" s="16" t="n"/>
      <c r="J692" s="16" t="n"/>
      <c r="K692" s="17">
        <f>IF($G692="","",IF(OR($G692="PT Missed",$G692="PT Modified",$G692="PT Refused"),"Yes","No"))</f>
        <v/>
      </c>
      <c r="L692" s="16" t="n"/>
      <c r="M692" s="16" t="n"/>
      <c r="N692" s="17">
        <f>IF($D692="","",IF($M692="Excused","No",IF(AND($G692="PT Modified",$L692="Received"),"No","Yes")))</f>
        <v/>
      </c>
      <c r="O692" s="16" t="n"/>
      <c r="P692" s="17">
        <f>IF(OR($B692="",N($I692)=0),"",MIN(N($I692),SUMIFS(nrMK_Min,nrMK_Link,$B692,nrMK_Credit,"Yes",nrMK_PID,$E692,nrMK_Type,"Classroom")))</f>
        <v/>
      </c>
      <c r="Q692" s="17">
        <f>IF(OR($B692="",N($J692)=0),"",MIN(N($J692),SUMIFS(nrMK_Sess,nrMK_Link,$B692,nrMK_Credit,"Yes",nrMK_PID,$E692,nrMK_Type,"PT")))</f>
        <v/>
      </c>
      <c r="R692" s="17">
        <f>IF(OR($B692="",$N692&lt;&gt;"Yes"),"",IF($K692="Yes",IF(N($J692)&gt;0,N($J692)-N($Q692),""),IF(N($I692)&gt;0,N($I692)-N($P692),"")))</f>
        <v/>
      </c>
      <c r="S692" s="17">
        <f>IF(OR($B692="",$R692=""),"",IF($R692&lt;=0,IF(IFERROR(_xlfn.MAXIFS(nrMK_Date,nrMK_Link,$B692,nrMK_Credit,"Yes",nrMK_PID,$E692),0)=0,"CLEARED (makeup date missing)","CLEARED "&amp;TEXT(_xlfn.MAXIFS(nrMK_Date,nrMK_Link,$B692,nrMK_Credit,"Yes",nrMK_PID,$E692),"mm/dd")),"OPEN"))</f>
        <v/>
      </c>
      <c r="T692" s="17">
        <f>IF($D692="","",IF($C692="","NO DATE",IF($G692="","NO EVENT TYPE",IF(AND($I692&lt;&gt;"",NOT(ISNUMBER($I692))),"MINUTES NOT A NUMBER",IF(AND($J692&lt;&gt;"",NOT(ISNUMBER($J692))),"SESSIONS NOT A NUMBER",IF(OR(N($I692)&lt;0,N($J692)&lt;0),"NEGATIVE MINUTES/SESSIONS",IF(AND($K692="Yes",N($I692)&gt;0),"MINUTES ON A PT EVENT - not counted (PT counts sessions)",IF(AND($K692="No",N($J692)&gt;0),"SESSIONS ON A CLASSROOM EVENT - not counted (classroom counts minutes)",IF(AND($N692="Yes",$K692="Yes",N($J692)=0),"COUNTED PT EVENT WITH NO SESSIONS - dropped from the PT cap",IF(AND($N692="Yes",$K692="No",N($I692)=0),"COUNTED EVENT WITH NO MINUTES - dropped from the classroom cap","OK"))))))))))</f>
        <v/>
      </c>
    </row>
    <row r="693">
      <c r="B693" s="17">
        <f>IF($D693="","","A"&amp;TEXT(ROW()-5,"000"))</f>
        <v/>
      </c>
      <c r="C693" s="18" t="n"/>
      <c r="D693" s="16" t="n"/>
      <c r="E693" s="17">
        <f>IF($D693="","",IFERROR(INDEX(rngCadetPIDs,MATCH($D693,rngCadetNames,0)),"?"))</f>
        <v/>
      </c>
      <c r="F693" s="17">
        <f>IF($E693="","",IFERROR(INDEX(nrCadetAgency,MATCH($E693,rngCadetPIDs,0)),""))</f>
        <v/>
      </c>
      <c r="G693" s="16" t="n"/>
      <c r="H693" s="16" t="n"/>
      <c r="I693" s="16" t="n"/>
      <c r="J693" s="16" t="n"/>
      <c r="K693" s="17">
        <f>IF($G693="","",IF(OR($G693="PT Missed",$G693="PT Modified",$G693="PT Refused"),"Yes","No"))</f>
        <v/>
      </c>
      <c r="L693" s="16" t="n"/>
      <c r="M693" s="16" t="n"/>
      <c r="N693" s="17">
        <f>IF($D693="","",IF($M693="Excused","No",IF(AND($G693="PT Modified",$L693="Received"),"No","Yes")))</f>
        <v/>
      </c>
      <c r="O693" s="16" t="n"/>
      <c r="P693" s="17">
        <f>IF(OR($B693="",N($I693)=0),"",MIN(N($I693),SUMIFS(nrMK_Min,nrMK_Link,$B693,nrMK_Credit,"Yes",nrMK_PID,$E693,nrMK_Type,"Classroom")))</f>
        <v/>
      </c>
      <c r="Q693" s="17">
        <f>IF(OR($B693="",N($J693)=0),"",MIN(N($J693),SUMIFS(nrMK_Sess,nrMK_Link,$B693,nrMK_Credit,"Yes",nrMK_PID,$E693,nrMK_Type,"PT")))</f>
        <v/>
      </c>
      <c r="R693" s="17">
        <f>IF(OR($B693="",$N693&lt;&gt;"Yes"),"",IF($K693="Yes",IF(N($J693)&gt;0,N($J693)-N($Q693),""),IF(N($I693)&gt;0,N($I693)-N($P693),"")))</f>
        <v/>
      </c>
      <c r="S693" s="17">
        <f>IF(OR($B693="",$R693=""),"",IF($R693&lt;=0,IF(IFERROR(_xlfn.MAXIFS(nrMK_Date,nrMK_Link,$B693,nrMK_Credit,"Yes",nrMK_PID,$E693),0)=0,"CLEARED (makeup date missing)","CLEARED "&amp;TEXT(_xlfn.MAXIFS(nrMK_Date,nrMK_Link,$B693,nrMK_Credit,"Yes",nrMK_PID,$E693),"mm/dd")),"OPEN"))</f>
        <v/>
      </c>
      <c r="T693" s="17">
        <f>IF($D693="","",IF($C693="","NO DATE",IF($G693="","NO EVENT TYPE",IF(AND($I693&lt;&gt;"",NOT(ISNUMBER($I693))),"MINUTES NOT A NUMBER",IF(AND($J693&lt;&gt;"",NOT(ISNUMBER($J693))),"SESSIONS NOT A NUMBER",IF(OR(N($I693)&lt;0,N($J693)&lt;0),"NEGATIVE MINUTES/SESSIONS",IF(AND($K693="Yes",N($I693)&gt;0),"MINUTES ON A PT EVENT - not counted (PT counts sessions)",IF(AND($K693="No",N($J693)&gt;0),"SESSIONS ON A CLASSROOM EVENT - not counted (classroom counts minutes)",IF(AND($N693="Yes",$K693="Yes",N($J693)=0),"COUNTED PT EVENT WITH NO SESSIONS - dropped from the PT cap",IF(AND($N693="Yes",$K693="No",N($I693)=0),"COUNTED EVENT WITH NO MINUTES - dropped from the classroom cap","OK"))))))))))</f>
        <v/>
      </c>
    </row>
    <row r="694">
      <c r="B694" s="17">
        <f>IF($D694="","","A"&amp;TEXT(ROW()-5,"000"))</f>
        <v/>
      </c>
      <c r="C694" s="18" t="n"/>
      <c r="D694" s="16" t="n"/>
      <c r="E694" s="17">
        <f>IF($D694="","",IFERROR(INDEX(rngCadetPIDs,MATCH($D694,rngCadetNames,0)),"?"))</f>
        <v/>
      </c>
      <c r="F694" s="17">
        <f>IF($E694="","",IFERROR(INDEX(nrCadetAgency,MATCH($E694,rngCadetPIDs,0)),""))</f>
        <v/>
      </c>
      <c r="G694" s="16" t="n"/>
      <c r="H694" s="16" t="n"/>
      <c r="I694" s="16" t="n"/>
      <c r="J694" s="16" t="n"/>
      <c r="K694" s="17">
        <f>IF($G694="","",IF(OR($G694="PT Missed",$G694="PT Modified",$G694="PT Refused"),"Yes","No"))</f>
        <v/>
      </c>
      <c r="L694" s="16" t="n"/>
      <c r="M694" s="16" t="n"/>
      <c r="N694" s="17">
        <f>IF($D694="","",IF($M694="Excused","No",IF(AND($G694="PT Modified",$L694="Received"),"No","Yes")))</f>
        <v/>
      </c>
      <c r="O694" s="16" t="n"/>
      <c r="P694" s="17">
        <f>IF(OR($B694="",N($I694)=0),"",MIN(N($I694),SUMIFS(nrMK_Min,nrMK_Link,$B694,nrMK_Credit,"Yes",nrMK_PID,$E694,nrMK_Type,"Classroom")))</f>
        <v/>
      </c>
      <c r="Q694" s="17">
        <f>IF(OR($B694="",N($J694)=0),"",MIN(N($J694),SUMIFS(nrMK_Sess,nrMK_Link,$B694,nrMK_Credit,"Yes",nrMK_PID,$E694,nrMK_Type,"PT")))</f>
        <v/>
      </c>
      <c r="R694" s="17">
        <f>IF(OR($B694="",$N694&lt;&gt;"Yes"),"",IF($K694="Yes",IF(N($J694)&gt;0,N($J694)-N($Q694),""),IF(N($I694)&gt;0,N($I694)-N($P694),"")))</f>
        <v/>
      </c>
      <c r="S694" s="17">
        <f>IF(OR($B694="",$R694=""),"",IF($R694&lt;=0,IF(IFERROR(_xlfn.MAXIFS(nrMK_Date,nrMK_Link,$B694,nrMK_Credit,"Yes",nrMK_PID,$E694),0)=0,"CLEARED (makeup date missing)","CLEARED "&amp;TEXT(_xlfn.MAXIFS(nrMK_Date,nrMK_Link,$B694,nrMK_Credit,"Yes",nrMK_PID,$E694),"mm/dd")),"OPEN"))</f>
        <v/>
      </c>
      <c r="T694" s="17">
        <f>IF($D694="","",IF($C694="","NO DATE",IF($G694="","NO EVENT TYPE",IF(AND($I694&lt;&gt;"",NOT(ISNUMBER($I694))),"MINUTES NOT A NUMBER",IF(AND($J694&lt;&gt;"",NOT(ISNUMBER($J694))),"SESSIONS NOT A NUMBER",IF(OR(N($I694)&lt;0,N($J694)&lt;0),"NEGATIVE MINUTES/SESSIONS",IF(AND($K694="Yes",N($I694)&gt;0),"MINUTES ON A PT EVENT - not counted (PT counts sessions)",IF(AND($K694="No",N($J694)&gt;0),"SESSIONS ON A CLASSROOM EVENT - not counted (classroom counts minutes)",IF(AND($N694="Yes",$K694="Yes",N($J694)=0),"COUNTED PT EVENT WITH NO SESSIONS - dropped from the PT cap",IF(AND($N694="Yes",$K694="No",N($I694)=0),"COUNTED EVENT WITH NO MINUTES - dropped from the classroom cap","OK"))))))))))</f>
        <v/>
      </c>
    </row>
    <row r="695">
      <c r="B695" s="17">
        <f>IF($D695="","","A"&amp;TEXT(ROW()-5,"000"))</f>
        <v/>
      </c>
      <c r="C695" s="18" t="n"/>
      <c r="D695" s="16" t="n"/>
      <c r="E695" s="17">
        <f>IF($D695="","",IFERROR(INDEX(rngCadetPIDs,MATCH($D695,rngCadetNames,0)),"?"))</f>
        <v/>
      </c>
      <c r="F695" s="17">
        <f>IF($E695="","",IFERROR(INDEX(nrCadetAgency,MATCH($E695,rngCadetPIDs,0)),""))</f>
        <v/>
      </c>
      <c r="G695" s="16" t="n"/>
      <c r="H695" s="16" t="n"/>
      <c r="I695" s="16" t="n"/>
      <c r="J695" s="16" t="n"/>
      <c r="K695" s="17">
        <f>IF($G695="","",IF(OR($G695="PT Missed",$G695="PT Modified",$G695="PT Refused"),"Yes","No"))</f>
        <v/>
      </c>
      <c r="L695" s="16" t="n"/>
      <c r="M695" s="16" t="n"/>
      <c r="N695" s="17">
        <f>IF($D695="","",IF($M695="Excused","No",IF(AND($G695="PT Modified",$L695="Received"),"No","Yes")))</f>
        <v/>
      </c>
      <c r="O695" s="16" t="n"/>
      <c r="P695" s="17">
        <f>IF(OR($B695="",N($I695)=0),"",MIN(N($I695),SUMIFS(nrMK_Min,nrMK_Link,$B695,nrMK_Credit,"Yes",nrMK_PID,$E695,nrMK_Type,"Classroom")))</f>
        <v/>
      </c>
      <c r="Q695" s="17">
        <f>IF(OR($B695="",N($J695)=0),"",MIN(N($J695),SUMIFS(nrMK_Sess,nrMK_Link,$B695,nrMK_Credit,"Yes",nrMK_PID,$E695,nrMK_Type,"PT")))</f>
        <v/>
      </c>
      <c r="R695" s="17">
        <f>IF(OR($B695="",$N695&lt;&gt;"Yes"),"",IF($K695="Yes",IF(N($J695)&gt;0,N($J695)-N($Q695),""),IF(N($I695)&gt;0,N($I695)-N($P695),"")))</f>
        <v/>
      </c>
      <c r="S695" s="17">
        <f>IF(OR($B695="",$R695=""),"",IF($R695&lt;=0,IF(IFERROR(_xlfn.MAXIFS(nrMK_Date,nrMK_Link,$B695,nrMK_Credit,"Yes",nrMK_PID,$E695),0)=0,"CLEARED (makeup date missing)","CLEARED "&amp;TEXT(_xlfn.MAXIFS(nrMK_Date,nrMK_Link,$B695,nrMK_Credit,"Yes",nrMK_PID,$E695),"mm/dd")),"OPEN"))</f>
        <v/>
      </c>
      <c r="T695" s="17">
        <f>IF($D695="","",IF($C695="","NO DATE",IF($G695="","NO EVENT TYPE",IF(AND($I695&lt;&gt;"",NOT(ISNUMBER($I695))),"MINUTES NOT A NUMBER",IF(AND($J695&lt;&gt;"",NOT(ISNUMBER($J695))),"SESSIONS NOT A NUMBER",IF(OR(N($I695)&lt;0,N($J695)&lt;0),"NEGATIVE MINUTES/SESSIONS",IF(AND($K695="Yes",N($I695)&gt;0),"MINUTES ON A PT EVENT - not counted (PT counts sessions)",IF(AND($K695="No",N($J695)&gt;0),"SESSIONS ON A CLASSROOM EVENT - not counted (classroom counts minutes)",IF(AND($N695="Yes",$K695="Yes",N($J695)=0),"COUNTED PT EVENT WITH NO SESSIONS - dropped from the PT cap",IF(AND($N695="Yes",$K695="No",N($I695)=0),"COUNTED EVENT WITH NO MINUTES - dropped from the classroom cap","OK"))))))))))</f>
        <v/>
      </c>
    </row>
    <row r="696">
      <c r="B696" s="17">
        <f>IF($D696="","","A"&amp;TEXT(ROW()-5,"000"))</f>
        <v/>
      </c>
      <c r="C696" s="18" t="n"/>
      <c r="D696" s="16" t="n"/>
      <c r="E696" s="17">
        <f>IF($D696="","",IFERROR(INDEX(rngCadetPIDs,MATCH($D696,rngCadetNames,0)),"?"))</f>
        <v/>
      </c>
      <c r="F696" s="17">
        <f>IF($E696="","",IFERROR(INDEX(nrCadetAgency,MATCH($E696,rngCadetPIDs,0)),""))</f>
        <v/>
      </c>
      <c r="G696" s="16" t="n"/>
      <c r="H696" s="16" t="n"/>
      <c r="I696" s="16" t="n"/>
      <c r="J696" s="16" t="n"/>
      <c r="K696" s="17">
        <f>IF($G696="","",IF(OR($G696="PT Missed",$G696="PT Modified",$G696="PT Refused"),"Yes","No"))</f>
        <v/>
      </c>
      <c r="L696" s="16" t="n"/>
      <c r="M696" s="16" t="n"/>
      <c r="N696" s="17">
        <f>IF($D696="","",IF($M696="Excused","No",IF(AND($G696="PT Modified",$L696="Received"),"No","Yes")))</f>
        <v/>
      </c>
      <c r="O696" s="16" t="n"/>
      <c r="P696" s="17">
        <f>IF(OR($B696="",N($I696)=0),"",MIN(N($I696),SUMIFS(nrMK_Min,nrMK_Link,$B696,nrMK_Credit,"Yes",nrMK_PID,$E696,nrMK_Type,"Classroom")))</f>
        <v/>
      </c>
      <c r="Q696" s="17">
        <f>IF(OR($B696="",N($J696)=0),"",MIN(N($J696),SUMIFS(nrMK_Sess,nrMK_Link,$B696,nrMK_Credit,"Yes",nrMK_PID,$E696,nrMK_Type,"PT")))</f>
        <v/>
      </c>
      <c r="R696" s="17">
        <f>IF(OR($B696="",$N696&lt;&gt;"Yes"),"",IF($K696="Yes",IF(N($J696)&gt;0,N($J696)-N($Q696),""),IF(N($I696)&gt;0,N($I696)-N($P696),"")))</f>
        <v/>
      </c>
      <c r="S696" s="17">
        <f>IF(OR($B696="",$R696=""),"",IF($R696&lt;=0,IF(IFERROR(_xlfn.MAXIFS(nrMK_Date,nrMK_Link,$B696,nrMK_Credit,"Yes",nrMK_PID,$E696),0)=0,"CLEARED (makeup date missing)","CLEARED "&amp;TEXT(_xlfn.MAXIFS(nrMK_Date,nrMK_Link,$B696,nrMK_Credit,"Yes",nrMK_PID,$E696),"mm/dd")),"OPEN"))</f>
        <v/>
      </c>
      <c r="T696" s="17">
        <f>IF($D696="","",IF($C696="","NO DATE",IF($G696="","NO EVENT TYPE",IF(AND($I696&lt;&gt;"",NOT(ISNUMBER($I696))),"MINUTES NOT A NUMBER",IF(AND($J696&lt;&gt;"",NOT(ISNUMBER($J696))),"SESSIONS NOT A NUMBER",IF(OR(N($I696)&lt;0,N($J696)&lt;0),"NEGATIVE MINUTES/SESSIONS",IF(AND($K696="Yes",N($I696)&gt;0),"MINUTES ON A PT EVENT - not counted (PT counts sessions)",IF(AND($K696="No",N($J696)&gt;0),"SESSIONS ON A CLASSROOM EVENT - not counted (classroom counts minutes)",IF(AND($N696="Yes",$K696="Yes",N($J696)=0),"COUNTED PT EVENT WITH NO SESSIONS - dropped from the PT cap",IF(AND($N696="Yes",$K696="No",N($I696)=0),"COUNTED EVENT WITH NO MINUTES - dropped from the classroom cap","OK"))))))))))</f>
        <v/>
      </c>
    </row>
    <row r="697">
      <c r="B697" s="17">
        <f>IF($D697="","","A"&amp;TEXT(ROW()-5,"000"))</f>
        <v/>
      </c>
      <c r="C697" s="18" t="n"/>
      <c r="D697" s="16" t="n"/>
      <c r="E697" s="17">
        <f>IF($D697="","",IFERROR(INDEX(rngCadetPIDs,MATCH($D697,rngCadetNames,0)),"?"))</f>
        <v/>
      </c>
      <c r="F697" s="17">
        <f>IF($E697="","",IFERROR(INDEX(nrCadetAgency,MATCH($E697,rngCadetPIDs,0)),""))</f>
        <v/>
      </c>
      <c r="G697" s="16" t="n"/>
      <c r="H697" s="16" t="n"/>
      <c r="I697" s="16" t="n"/>
      <c r="J697" s="16" t="n"/>
      <c r="K697" s="17">
        <f>IF($G697="","",IF(OR($G697="PT Missed",$G697="PT Modified",$G697="PT Refused"),"Yes","No"))</f>
        <v/>
      </c>
      <c r="L697" s="16" t="n"/>
      <c r="M697" s="16" t="n"/>
      <c r="N697" s="17">
        <f>IF($D697="","",IF($M697="Excused","No",IF(AND($G697="PT Modified",$L697="Received"),"No","Yes")))</f>
        <v/>
      </c>
      <c r="O697" s="16" t="n"/>
      <c r="P697" s="17">
        <f>IF(OR($B697="",N($I697)=0),"",MIN(N($I697),SUMIFS(nrMK_Min,nrMK_Link,$B697,nrMK_Credit,"Yes",nrMK_PID,$E697,nrMK_Type,"Classroom")))</f>
        <v/>
      </c>
      <c r="Q697" s="17">
        <f>IF(OR($B697="",N($J697)=0),"",MIN(N($J697),SUMIFS(nrMK_Sess,nrMK_Link,$B697,nrMK_Credit,"Yes",nrMK_PID,$E697,nrMK_Type,"PT")))</f>
        <v/>
      </c>
      <c r="R697" s="17">
        <f>IF(OR($B697="",$N697&lt;&gt;"Yes"),"",IF($K697="Yes",IF(N($J697)&gt;0,N($J697)-N($Q697),""),IF(N($I697)&gt;0,N($I697)-N($P697),"")))</f>
        <v/>
      </c>
      <c r="S697" s="17">
        <f>IF(OR($B697="",$R697=""),"",IF($R697&lt;=0,IF(IFERROR(_xlfn.MAXIFS(nrMK_Date,nrMK_Link,$B697,nrMK_Credit,"Yes",nrMK_PID,$E697),0)=0,"CLEARED (makeup date missing)","CLEARED "&amp;TEXT(_xlfn.MAXIFS(nrMK_Date,nrMK_Link,$B697,nrMK_Credit,"Yes",nrMK_PID,$E697),"mm/dd")),"OPEN"))</f>
        <v/>
      </c>
      <c r="T697" s="17">
        <f>IF($D697="","",IF($C697="","NO DATE",IF($G697="","NO EVENT TYPE",IF(AND($I697&lt;&gt;"",NOT(ISNUMBER($I697))),"MINUTES NOT A NUMBER",IF(AND($J697&lt;&gt;"",NOT(ISNUMBER($J697))),"SESSIONS NOT A NUMBER",IF(OR(N($I697)&lt;0,N($J697)&lt;0),"NEGATIVE MINUTES/SESSIONS",IF(AND($K697="Yes",N($I697)&gt;0),"MINUTES ON A PT EVENT - not counted (PT counts sessions)",IF(AND($K697="No",N($J697)&gt;0),"SESSIONS ON A CLASSROOM EVENT - not counted (classroom counts minutes)",IF(AND($N697="Yes",$K697="Yes",N($J697)=0),"COUNTED PT EVENT WITH NO SESSIONS - dropped from the PT cap",IF(AND($N697="Yes",$K697="No",N($I697)=0),"COUNTED EVENT WITH NO MINUTES - dropped from the classroom cap","OK"))))))))))</f>
        <v/>
      </c>
    </row>
    <row r="698">
      <c r="B698" s="17">
        <f>IF($D698="","","A"&amp;TEXT(ROW()-5,"000"))</f>
        <v/>
      </c>
      <c r="C698" s="18" t="n"/>
      <c r="D698" s="16" t="n"/>
      <c r="E698" s="17">
        <f>IF($D698="","",IFERROR(INDEX(rngCadetPIDs,MATCH($D698,rngCadetNames,0)),"?"))</f>
        <v/>
      </c>
      <c r="F698" s="17">
        <f>IF($E698="","",IFERROR(INDEX(nrCadetAgency,MATCH($E698,rngCadetPIDs,0)),""))</f>
        <v/>
      </c>
      <c r="G698" s="16" t="n"/>
      <c r="H698" s="16" t="n"/>
      <c r="I698" s="16" t="n"/>
      <c r="J698" s="16" t="n"/>
      <c r="K698" s="17">
        <f>IF($G698="","",IF(OR($G698="PT Missed",$G698="PT Modified",$G698="PT Refused"),"Yes","No"))</f>
        <v/>
      </c>
      <c r="L698" s="16" t="n"/>
      <c r="M698" s="16" t="n"/>
      <c r="N698" s="17">
        <f>IF($D698="","",IF($M698="Excused","No",IF(AND($G698="PT Modified",$L698="Received"),"No","Yes")))</f>
        <v/>
      </c>
      <c r="O698" s="16" t="n"/>
      <c r="P698" s="17">
        <f>IF(OR($B698="",N($I698)=0),"",MIN(N($I698),SUMIFS(nrMK_Min,nrMK_Link,$B698,nrMK_Credit,"Yes",nrMK_PID,$E698,nrMK_Type,"Classroom")))</f>
        <v/>
      </c>
      <c r="Q698" s="17">
        <f>IF(OR($B698="",N($J698)=0),"",MIN(N($J698),SUMIFS(nrMK_Sess,nrMK_Link,$B698,nrMK_Credit,"Yes",nrMK_PID,$E698,nrMK_Type,"PT")))</f>
        <v/>
      </c>
      <c r="R698" s="17">
        <f>IF(OR($B698="",$N698&lt;&gt;"Yes"),"",IF($K698="Yes",IF(N($J698)&gt;0,N($J698)-N($Q698),""),IF(N($I698)&gt;0,N($I698)-N($P698),"")))</f>
        <v/>
      </c>
      <c r="S698" s="17">
        <f>IF(OR($B698="",$R698=""),"",IF($R698&lt;=0,IF(IFERROR(_xlfn.MAXIFS(nrMK_Date,nrMK_Link,$B698,nrMK_Credit,"Yes",nrMK_PID,$E698),0)=0,"CLEARED (makeup date missing)","CLEARED "&amp;TEXT(_xlfn.MAXIFS(nrMK_Date,nrMK_Link,$B698,nrMK_Credit,"Yes",nrMK_PID,$E698),"mm/dd")),"OPEN"))</f>
        <v/>
      </c>
      <c r="T698" s="17">
        <f>IF($D698="","",IF($C698="","NO DATE",IF($G698="","NO EVENT TYPE",IF(AND($I698&lt;&gt;"",NOT(ISNUMBER($I698))),"MINUTES NOT A NUMBER",IF(AND($J698&lt;&gt;"",NOT(ISNUMBER($J698))),"SESSIONS NOT A NUMBER",IF(OR(N($I698)&lt;0,N($J698)&lt;0),"NEGATIVE MINUTES/SESSIONS",IF(AND($K698="Yes",N($I698)&gt;0),"MINUTES ON A PT EVENT - not counted (PT counts sessions)",IF(AND($K698="No",N($J698)&gt;0),"SESSIONS ON A CLASSROOM EVENT - not counted (classroom counts minutes)",IF(AND($N698="Yes",$K698="Yes",N($J698)=0),"COUNTED PT EVENT WITH NO SESSIONS - dropped from the PT cap",IF(AND($N698="Yes",$K698="No",N($I698)=0),"COUNTED EVENT WITH NO MINUTES - dropped from the classroom cap","OK"))))))))))</f>
        <v/>
      </c>
    </row>
    <row r="699">
      <c r="B699" s="17">
        <f>IF($D699="","","A"&amp;TEXT(ROW()-5,"000"))</f>
        <v/>
      </c>
      <c r="C699" s="18" t="n"/>
      <c r="D699" s="16" t="n"/>
      <c r="E699" s="17">
        <f>IF($D699="","",IFERROR(INDEX(rngCadetPIDs,MATCH($D699,rngCadetNames,0)),"?"))</f>
        <v/>
      </c>
      <c r="F699" s="17">
        <f>IF($E699="","",IFERROR(INDEX(nrCadetAgency,MATCH($E699,rngCadetPIDs,0)),""))</f>
        <v/>
      </c>
      <c r="G699" s="16" t="n"/>
      <c r="H699" s="16" t="n"/>
      <c r="I699" s="16" t="n"/>
      <c r="J699" s="16" t="n"/>
      <c r="K699" s="17">
        <f>IF($G699="","",IF(OR($G699="PT Missed",$G699="PT Modified",$G699="PT Refused"),"Yes","No"))</f>
        <v/>
      </c>
      <c r="L699" s="16" t="n"/>
      <c r="M699" s="16" t="n"/>
      <c r="N699" s="17">
        <f>IF($D699="","",IF($M699="Excused","No",IF(AND($G699="PT Modified",$L699="Received"),"No","Yes")))</f>
        <v/>
      </c>
      <c r="O699" s="16" t="n"/>
      <c r="P699" s="17">
        <f>IF(OR($B699="",N($I699)=0),"",MIN(N($I699),SUMIFS(nrMK_Min,nrMK_Link,$B699,nrMK_Credit,"Yes",nrMK_PID,$E699,nrMK_Type,"Classroom")))</f>
        <v/>
      </c>
      <c r="Q699" s="17">
        <f>IF(OR($B699="",N($J699)=0),"",MIN(N($J699),SUMIFS(nrMK_Sess,nrMK_Link,$B699,nrMK_Credit,"Yes",nrMK_PID,$E699,nrMK_Type,"PT")))</f>
        <v/>
      </c>
      <c r="R699" s="17">
        <f>IF(OR($B699="",$N699&lt;&gt;"Yes"),"",IF($K699="Yes",IF(N($J699)&gt;0,N($J699)-N($Q699),""),IF(N($I699)&gt;0,N($I699)-N($P699),"")))</f>
        <v/>
      </c>
      <c r="S699" s="17">
        <f>IF(OR($B699="",$R699=""),"",IF($R699&lt;=0,IF(IFERROR(_xlfn.MAXIFS(nrMK_Date,nrMK_Link,$B699,nrMK_Credit,"Yes",nrMK_PID,$E699),0)=0,"CLEARED (makeup date missing)","CLEARED "&amp;TEXT(_xlfn.MAXIFS(nrMK_Date,nrMK_Link,$B699,nrMK_Credit,"Yes",nrMK_PID,$E699),"mm/dd")),"OPEN"))</f>
        <v/>
      </c>
      <c r="T699" s="17">
        <f>IF($D699="","",IF($C699="","NO DATE",IF($G699="","NO EVENT TYPE",IF(AND($I699&lt;&gt;"",NOT(ISNUMBER($I699))),"MINUTES NOT A NUMBER",IF(AND($J699&lt;&gt;"",NOT(ISNUMBER($J699))),"SESSIONS NOT A NUMBER",IF(OR(N($I699)&lt;0,N($J699)&lt;0),"NEGATIVE MINUTES/SESSIONS",IF(AND($K699="Yes",N($I699)&gt;0),"MINUTES ON A PT EVENT - not counted (PT counts sessions)",IF(AND($K699="No",N($J699)&gt;0),"SESSIONS ON A CLASSROOM EVENT - not counted (classroom counts minutes)",IF(AND($N699="Yes",$K699="Yes",N($J699)=0),"COUNTED PT EVENT WITH NO SESSIONS - dropped from the PT cap",IF(AND($N699="Yes",$K699="No",N($I699)=0),"COUNTED EVENT WITH NO MINUTES - dropped from the classroom cap","OK"))))))))))</f>
        <v/>
      </c>
    </row>
    <row r="700">
      <c r="B700" s="17">
        <f>IF($D700="","","A"&amp;TEXT(ROW()-5,"000"))</f>
        <v/>
      </c>
      <c r="C700" s="18" t="n"/>
      <c r="D700" s="16" t="n"/>
      <c r="E700" s="17">
        <f>IF($D700="","",IFERROR(INDEX(rngCadetPIDs,MATCH($D700,rngCadetNames,0)),"?"))</f>
        <v/>
      </c>
      <c r="F700" s="17">
        <f>IF($E700="","",IFERROR(INDEX(nrCadetAgency,MATCH($E700,rngCadetPIDs,0)),""))</f>
        <v/>
      </c>
      <c r="G700" s="16" t="n"/>
      <c r="H700" s="16" t="n"/>
      <c r="I700" s="16" t="n"/>
      <c r="J700" s="16" t="n"/>
      <c r="K700" s="17">
        <f>IF($G700="","",IF(OR($G700="PT Missed",$G700="PT Modified",$G700="PT Refused"),"Yes","No"))</f>
        <v/>
      </c>
      <c r="L700" s="16" t="n"/>
      <c r="M700" s="16" t="n"/>
      <c r="N700" s="17">
        <f>IF($D700="","",IF($M700="Excused","No",IF(AND($G700="PT Modified",$L700="Received"),"No","Yes")))</f>
        <v/>
      </c>
      <c r="O700" s="16" t="n"/>
      <c r="P700" s="17">
        <f>IF(OR($B700="",N($I700)=0),"",MIN(N($I700),SUMIFS(nrMK_Min,nrMK_Link,$B700,nrMK_Credit,"Yes",nrMK_PID,$E700,nrMK_Type,"Classroom")))</f>
        <v/>
      </c>
      <c r="Q700" s="17">
        <f>IF(OR($B700="",N($J700)=0),"",MIN(N($J700),SUMIFS(nrMK_Sess,nrMK_Link,$B700,nrMK_Credit,"Yes",nrMK_PID,$E700,nrMK_Type,"PT")))</f>
        <v/>
      </c>
      <c r="R700" s="17">
        <f>IF(OR($B700="",$N700&lt;&gt;"Yes"),"",IF($K700="Yes",IF(N($J700)&gt;0,N($J700)-N($Q700),""),IF(N($I700)&gt;0,N($I700)-N($P700),"")))</f>
        <v/>
      </c>
      <c r="S700" s="17">
        <f>IF(OR($B700="",$R700=""),"",IF($R700&lt;=0,IF(IFERROR(_xlfn.MAXIFS(nrMK_Date,nrMK_Link,$B700,nrMK_Credit,"Yes",nrMK_PID,$E700),0)=0,"CLEARED (makeup date missing)","CLEARED "&amp;TEXT(_xlfn.MAXIFS(nrMK_Date,nrMK_Link,$B700,nrMK_Credit,"Yes",nrMK_PID,$E700),"mm/dd")),"OPEN"))</f>
        <v/>
      </c>
      <c r="T700" s="17">
        <f>IF($D700="","",IF($C700="","NO DATE",IF($G700="","NO EVENT TYPE",IF(AND($I700&lt;&gt;"",NOT(ISNUMBER($I700))),"MINUTES NOT A NUMBER",IF(AND($J700&lt;&gt;"",NOT(ISNUMBER($J700))),"SESSIONS NOT A NUMBER",IF(OR(N($I700)&lt;0,N($J700)&lt;0),"NEGATIVE MINUTES/SESSIONS",IF(AND($K700="Yes",N($I700)&gt;0),"MINUTES ON A PT EVENT - not counted (PT counts sessions)",IF(AND($K700="No",N($J700)&gt;0),"SESSIONS ON A CLASSROOM EVENT - not counted (classroom counts minutes)",IF(AND($N700="Yes",$K700="Yes",N($J700)=0),"COUNTED PT EVENT WITH NO SESSIONS - dropped from the PT cap",IF(AND($N700="Yes",$K700="No",N($I700)=0),"COUNTED EVENT WITH NO MINUTES - dropped from the classroom cap","OK"))))))))))</f>
        <v/>
      </c>
    </row>
    <row r="701">
      <c r="B701" s="17">
        <f>IF($D701="","","A"&amp;TEXT(ROW()-5,"000"))</f>
        <v/>
      </c>
      <c r="C701" s="18" t="n"/>
      <c r="D701" s="16" t="n"/>
      <c r="E701" s="17">
        <f>IF($D701="","",IFERROR(INDEX(rngCadetPIDs,MATCH($D701,rngCadetNames,0)),"?"))</f>
        <v/>
      </c>
      <c r="F701" s="17">
        <f>IF($E701="","",IFERROR(INDEX(nrCadetAgency,MATCH($E701,rngCadetPIDs,0)),""))</f>
        <v/>
      </c>
      <c r="G701" s="16" t="n"/>
      <c r="H701" s="16" t="n"/>
      <c r="I701" s="16" t="n"/>
      <c r="J701" s="16" t="n"/>
      <c r="K701" s="17">
        <f>IF($G701="","",IF(OR($G701="PT Missed",$G701="PT Modified",$G701="PT Refused"),"Yes","No"))</f>
        <v/>
      </c>
      <c r="L701" s="16" t="n"/>
      <c r="M701" s="16" t="n"/>
      <c r="N701" s="17">
        <f>IF($D701="","",IF($M701="Excused","No",IF(AND($G701="PT Modified",$L701="Received"),"No","Yes")))</f>
        <v/>
      </c>
      <c r="O701" s="16" t="n"/>
      <c r="P701" s="17">
        <f>IF(OR($B701="",N($I701)=0),"",MIN(N($I701),SUMIFS(nrMK_Min,nrMK_Link,$B701,nrMK_Credit,"Yes",nrMK_PID,$E701,nrMK_Type,"Classroom")))</f>
        <v/>
      </c>
      <c r="Q701" s="17">
        <f>IF(OR($B701="",N($J701)=0),"",MIN(N($J701),SUMIFS(nrMK_Sess,nrMK_Link,$B701,nrMK_Credit,"Yes",nrMK_PID,$E701,nrMK_Type,"PT")))</f>
        <v/>
      </c>
      <c r="R701" s="17">
        <f>IF(OR($B701="",$N701&lt;&gt;"Yes"),"",IF($K701="Yes",IF(N($J701)&gt;0,N($J701)-N($Q701),""),IF(N($I701)&gt;0,N($I701)-N($P701),"")))</f>
        <v/>
      </c>
      <c r="S701" s="17">
        <f>IF(OR($B701="",$R701=""),"",IF($R701&lt;=0,IF(IFERROR(_xlfn.MAXIFS(nrMK_Date,nrMK_Link,$B701,nrMK_Credit,"Yes",nrMK_PID,$E701),0)=0,"CLEARED (makeup date missing)","CLEARED "&amp;TEXT(_xlfn.MAXIFS(nrMK_Date,nrMK_Link,$B701,nrMK_Credit,"Yes",nrMK_PID,$E701),"mm/dd")),"OPEN"))</f>
        <v/>
      </c>
      <c r="T701" s="17">
        <f>IF($D701="","",IF($C701="","NO DATE",IF($G701="","NO EVENT TYPE",IF(AND($I701&lt;&gt;"",NOT(ISNUMBER($I701))),"MINUTES NOT A NUMBER",IF(AND($J701&lt;&gt;"",NOT(ISNUMBER($J701))),"SESSIONS NOT A NUMBER",IF(OR(N($I701)&lt;0,N($J701)&lt;0),"NEGATIVE MINUTES/SESSIONS",IF(AND($K701="Yes",N($I701)&gt;0),"MINUTES ON A PT EVENT - not counted (PT counts sessions)",IF(AND($K701="No",N($J701)&gt;0),"SESSIONS ON A CLASSROOM EVENT - not counted (classroom counts minutes)",IF(AND($N701="Yes",$K701="Yes",N($J701)=0),"COUNTED PT EVENT WITH NO SESSIONS - dropped from the PT cap",IF(AND($N701="Yes",$K701="No",N($I701)=0),"COUNTED EVENT WITH NO MINUTES - dropped from the classroom cap","OK"))))))))))</f>
        <v/>
      </c>
    </row>
    <row r="702">
      <c r="B702" s="17">
        <f>IF($D702="","","A"&amp;TEXT(ROW()-5,"000"))</f>
        <v/>
      </c>
      <c r="C702" s="18" t="n"/>
      <c r="D702" s="16" t="n"/>
      <c r="E702" s="17">
        <f>IF($D702="","",IFERROR(INDEX(rngCadetPIDs,MATCH($D702,rngCadetNames,0)),"?"))</f>
        <v/>
      </c>
      <c r="F702" s="17">
        <f>IF($E702="","",IFERROR(INDEX(nrCadetAgency,MATCH($E702,rngCadetPIDs,0)),""))</f>
        <v/>
      </c>
      <c r="G702" s="16" t="n"/>
      <c r="H702" s="16" t="n"/>
      <c r="I702" s="16" t="n"/>
      <c r="J702" s="16" t="n"/>
      <c r="K702" s="17">
        <f>IF($G702="","",IF(OR($G702="PT Missed",$G702="PT Modified",$G702="PT Refused"),"Yes","No"))</f>
        <v/>
      </c>
      <c r="L702" s="16" t="n"/>
      <c r="M702" s="16" t="n"/>
      <c r="N702" s="17">
        <f>IF($D702="","",IF($M702="Excused","No",IF(AND($G702="PT Modified",$L702="Received"),"No","Yes")))</f>
        <v/>
      </c>
      <c r="O702" s="16" t="n"/>
      <c r="P702" s="17">
        <f>IF(OR($B702="",N($I702)=0),"",MIN(N($I702),SUMIFS(nrMK_Min,nrMK_Link,$B702,nrMK_Credit,"Yes",nrMK_PID,$E702,nrMK_Type,"Classroom")))</f>
        <v/>
      </c>
      <c r="Q702" s="17">
        <f>IF(OR($B702="",N($J702)=0),"",MIN(N($J702),SUMIFS(nrMK_Sess,nrMK_Link,$B702,nrMK_Credit,"Yes",nrMK_PID,$E702,nrMK_Type,"PT")))</f>
        <v/>
      </c>
      <c r="R702" s="17">
        <f>IF(OR($B702="",$N702&lt;&gt;"Yes"),"",IF($K702="Yes",IF(N($J702)&gt;0,N($J702)-N($Q702),""),IF(N($I702)&gt;0,N($I702)-N($P702),"")))</f>
        <v/>
      </c>
      <c r="S702" s="17">
        <f>IF(OR($B702="",$R702=""),"",IF($R702&lt;=0,IF(IFERROR(_xlfn.MAXIFS(nrMK_Date,nrMK_Link,$B702,nrMK_Credit,"Yes",nrMK_PID,$E702),0)=0,"CLEARED (makeup date missing)","CLEARED "&amp;TEXT(_xlfn.MAXIFS(nrMK_Date,nrMK_Link,$B702,nrMK_Credit,"Yes",nrMK_PID,$E702),"mm/dd")),"OPEN"))</f>
        <v/>
      </c>
      <c r="T702" s="17">
        <f>IF($D702="","",IF($C702="","NO DATE",IF($G702="","NO EVENT TYPE",IF(AND($I702&lt;&gt;"",NOT(ISNUMBER($I702))),"MINUTES NOT A NUMBER",IF(AND($J702&lt;&gt;"",NOT(ISNUMBER($J702))),"SESSIONS NOT A NUMBER",IF(OR(N($I702)&lt;0,N($J702)&lt;0),"NEGATIVE MINUTES/SESSIONS",IF(AND($K702="Yes",N($I702)&gt;0),"MINUTES ON A PT EVENT - not counted (PT counts sessions)",IF(AND($K702="No",N($J702)&gt;0),"SESSIONS ON A CLASSROOM EVENT - not counted (classroom counts minutes)",IF(AND($N702="Yes",$K702="Yes",N($J702)=0),"COUNTED PT EVENT WITH NO SESSIONS - dropped from the PT cap",IF(AND($N702="Yes",$K702="No",N($I702)=0),"COUNTED EVENT WITH NO MINUTES - dropped from the classroom cap","OK"))))))))))</f>
        <v/>
      </c>
    </row>
    <row r="703">
      <c r="B703" s="17">
        <f>IF($D703="","","A"&amp;TEXT(ROW()-5,"000"))</f>
        <v/>
      </c>
      <c r="C703" s="18" t="n"/>
      <c r="D703" s="16" t="n"/>
      <c r="E703" s="17">
        <f>IF($D703="","",IFERROR(INDEX(rngCadetPIDs,MATCH($D703,rngCadetNames,0)),"?"))</f>
        <v/>
      </c>
      <c r="F703" s="17">
        <f>IF($E703="","",IFERROR(INDEX(nrCadetAgency,MATCH($E703,rngCadetPIDs,0)),""))</f>
        <v/>
      </c>
      <c r="G703" s="16" t="n"/>
      <c r="H703" s="16" t="n"/>
      <c r="I703" s="16" t="n"/>
      <c r="J703" s="16" t="n"/>
      <c r="K703" s="17">
        <f>IF($G703="","",IF(OR($G703="PT Missed",$G703="PT Modified",$G703="PT Refused"),"Yes","No"))</f>
        <v/>
      </c>
      <c r="L703" s="16" t="n"/>
      <c r="M703" s="16" t="n"/>
      <c r="N703" s="17">
        <f>IF($D703="","",IF($M703="Excused","No",IF(AND($G703="PT Modified",$L703="Received"),"No","Yes")))</f>
        <v/>
      </c>
      <c r="O703" s="16" t="n"/>
      <c r="P703" s="17">
        <f>IF(OR($B703="",N($I703)=0),"",MIN(N($I703),SUMIFS(nrMK_Min,nrMK_Link,$B703,nrMK_Credit,"Yes",nrMK_PID,$E703,nrMK_Type,"Classroom")))</f>
        <v/>
      </c>
      <c r="Q703" s="17">
        <f>IF(OR($B703="",N($J703)=0),"",MIN(N($J703),SUMIFS(nrMK_Sess,nrMK_Link,$B703,nrMK_Credit,"Yes",nrMK_PID,$E703,nrMK_Type,"PT")))</f>
        <v/>
      </c>
      <c r="R703" s="17">
        <f>IF(OR($B703="",$N703&lt;&gt;"Yes"),"",IF($K703="Yes",IF(N($J703)&gt;0,N($J703)-N($Q703),""),IF(N($I703)&gt;0,N($I703)-N($P703),"")))</f>
        <v/>
      </c>
      <c r="S703" s="17">
        <f>IF(OR($B703="",$R703=""),"",IF($R703&lt;=0,IF(IFERROR(_xlfn.MAXIFS(nrMK_Date,nrMK_Link,$B703,nrMK_Credit,"Yes",nrMK_PID,$E703),0)=0,"CLEARED (makeup date missing)","CLEARED "&amp;TEXT(_xlfn.MAXIFS(nrMK_Date,nrMK_Link,$B703,nrMK_Credit,"Yes",nrMK_PID,$E703),"mm/dd")),"OPEN"))</f>
        <v/>
      </c>
      <c r="T703" s="17">
        <f>IF($D703="","",IF($C703="","NO DATE",IF($G703="","NO EVENT TYPE",IF(AND($I703&lt;&gt;"",NOT(ISNUMBER($I703))),"MINUTES NOT A NUMBER",IF(AND($J703&lt;&gt;"",NOT(ISNUMBER($J703))),"SESSIONS NOT A NUMBER",IF(OR(N($I703)&lt;0,N($J703)&lt;0),"NEGATIVE MINUTES/SESSIONS",IF(AND($K703="Yes",N($I703)&gt;0),"MINUTES ON A PT EVENT - not counted (PT counts sessions)",IF(AND($K703="No",N($J703)&gt;0),"SESSIONS ON A CLASSROOM EVENT - not counted (classroom counts minutes)",IF(AND($N703="Yes",$K703="Yes",N($J703)=0),"COUNTED PT EVENT WITH NO SESSIONS - dropped from the PT cap",IF(AND($N703="Yes",$K703="No",N($I703)=0),"COUNTED EVENT WITH NO MINUTES - dropped from the classroom cap","OK"))))))))))</f>
        <v/>
      </c>
    </row>
    <row r="704">
      <c r="B704" s="17">
        <f>IF($D704="","","A"&amp;TEXT(ROW()-5,"000"))</f>
        <v/>
      </c>
      <c r="C704" s="18" t="n"/>
      <c r="D704" s="16" t="n"/>
      <c r="E704" s="17">
        <f>IF($D704="","",IFERROR(INDEX(rngCadetPIDs,MATCH($D704,rngCadetNames,0)),"?"))</f>
        <v/>
      </c>
      <c r="F704" s="17">
        <f>IF($E704="","",IFERROR(INDEX(nrCadetAgency,MATCH($E704,rngCadetPIDs,0)),""))</f>
        <v/>
      </c>
      <c r="G704" s="16" t="n"/>
      <c r="H704" s="16" t="n"/>
      <c r="I704" s="16" t="n"/>
      <c r="J704" s="16" t="n"/>
      <c r="K704" s="17">
        <f>IF($G704="","",IF(OR($G704="PT Missed",$G704="PT Modified",$G704="PT Refused"),"Yes","No"))</f>
        <v/>
      </c>
      <c r="L704" s="16" t="n"/>
      <c r="M704" s="16" t="n"/>
      <c r="N704" s="17">
        <f>IF($D704="","",IF($M704="Excused","No",IF(AND($G704="PT Modified",$L704="Received"),"No","Yes")))</f>
        <v/>
      </c>
      <c r="O704" s="16" t="n"/>
      <c r="P704" s="17">
        <f>IF(OR($B704="",N($I704)=0),"",MIN(N($I704),SUMIFS(nrMK_Min,nrMK_Link,$B704,nrMK_Credit,"Yes",nrMK_PID,$E704,nrMK_Type,"Classroom")))</f>
        <v/>
      </c>
      <c r="Q704" s="17">
        <f>IF(OR($B704="",N($J704)=0),"",MIN(N($J704),SUMIFS(nrMK_Sess,nrMK_Link,$B704,nrMK_Credit,"Yes",nrMK_PID,$E704,nrMK_Type,"PT")))</f>
        <v/>
      </c>
      <c r="R704" s="17">
        <f>IF(OR($B704="",$N704&lt;&gt;"Yes"),"",IF($K704="Yes",IF(N($J704)&gt;0,N($J704)-N($Q704),""),IF(N($I704)&gt;0,N($I704)-N($P704),"")))</f>
        <v/>
      </c>
      <c r="S704" s="17">
        <f>IF(OR($B704="",$R704=""),"",IF($R704&lt;=0,IF(IFERROR(_xlfn.MAXIFS(nrMK_Date,nrMK_Link,$B704,nrMK_Credit,"Yes",nrMK_PID,$E704),0)=0,"CLEARED (makeup date missing)","CLEARED "&amp;TEXT(_xlfn.MAXIFS(nrMK_Date,nrMK_Link,$B704,nrMK_Credit,"Yes",nrMK_PID,$E704),"mm/dd")),"OPEN"))</f>
        <v/>
      </c>
      <c r="T704" s="17">
        <f>IF($D704="","",IF($C704="","NO DATE",IF($G704="","NO EVENT TYPE",IF(AND($I704&lt;&gt;"",NOT(ISNUMBER($I704))),"MINUTES NOT A NUMBER",IF(AND($J704&lt;&gt;"",NOT(ISNUMBER($J704))),"SESSIONS NOT A NUMBER",IF(OR(N($I704)&lt;0,N($J704)&lt;0),"NEGATIVE MINUTES/SESSIONS",IF(AND($K704="Yes",N($I704)&gt;0),"MINUTES ON A PT EVENT - not counted (PT counts sessions)",IF(AND($K704="No",N($J704)&gt;0),"SESSIONS ON A CLASSROOM EVENT - not counted (classroom counts minutes)",IF(AND($N704="Yes",$K704="Yes",N($J704)=0),"COUNTED PT EVENT WITH NO SESSIONS - dropped from the PT cap",IF(AND($N704="Yes",$K704="No",N($I704)=0),"COUNTED EVENT WITH NO MINUTES - dropped from the classroom cap","OK"))))))))))</f>
        <v/>
      </c>
    </row>
    <row r="705">
      <c r="B705" s="17">
        <f>IF($D705="","","A"&amp;TEXT(ROW()-5,"000"))</f>
        <v/>
      </c>
      <c r="C705" s="18" t="n"/>
      <c r="D705" s="16" t="n"/>
      <c r="E705" s="17">
        <f>IF($D705="","",IFERROR(INDEX(rngCadetPIDs,MATCH($D705,rngCadetNames,0)),"?"))</f>
        <v/>
      </c>
      <c r="F705" s="17">
        <f>IF($E705="","",IFERROR(INDEX(nrCadetAgency,MATCH($E705,rngCadetPIDs,0)),""))</f>
        <v/>
      </c>
      <c r="G705" s="16" t="n"/>
      <c r="H705" s="16" t="n"/>
      <c r="I705" s="16" t="n"/>
      <c r="J705" s="16" t="n"/>
      <c r="K705" s="17">
        <f>IF($G705="","",IF(OR($G705="PT Missed",$G705="PT Modified",$G705="PT Refused"),"Yes","No"))</f>
        <v/>
      </c>
      <c r="L705" s="16" t="n"/>
      <c r="M705" s="16" t="n"/>
      <c r="N705" s="17">
        <f>IF($D705="","",IF($M705="Excused","No",IF(AND($G705="PT Modified",$L705="Received"),"No","Yes")))</f>
        <v/>
      </c>
      <c r="O705" s="16" t="n"/>
      <c r="P705" s="17">
        <f>IF(OR($B705="",N($I705)=0),"",MIN(N($I705),SUMIFS(nrMK_Min,nrMK_Link,$B705,nrMK_Credit,"Yes",nrMK_PID,$E705,nrMK_Type,"Classroom")))</f>
        <v/>
      </c>
      <c r="Q705" s="17">
        <f>IF(OR($B705="",N($J705)=0),"",MIN(N($J705),SUMIFS(nrMK_Sess,nrMK_Link,$B705,nrMK_Credit,"Yes",nrMK_PID,$E705,nrMK_Type,"PT")))</f>
        <v/>
      </c>
      <c r="R705" s="17">
        <f>IF(OR($B705="",$N705&lt;&gt;"Yes"),"",IF($K705="Yes",IF(N($J705)&gt;0,N($J705)-N($Q705),""),IF(N($I705)&gt;0,N($I705)-N($P705),"")))</f>
        <v/>
      </c>
      <c r="S705" s="17">
        <f>IF(OR($B705="",$R705=""),"",IF($R705&lt;=0,IF(IFERROR(_xlfn.MAXIFS(nrMK_Date,nrMK_Link,$B705,nrMK_Credit,"Yes",nrMK_PID,$E705),0)=0,"CLEARED (makeup date missing)","CLEARED "&amp;TEXT(_xlfn.MAXIFS(nrMK_Date,nrMK_Link,$B705,nrMK_Credit,"Yes",nrMK_PID,$E705),"mm/dd")),"OPEN"))</f>
        <v/>
      </c>
      <c r="T705" s="17">
        <f>IF($D705="","",IF($C705="","NO DATE",IF($G705="","NO EVENT TYPE",IF(AND($I705&lt;&gt;"",NOT(ISNUMBER($I705))),"MINUTES NOT A NUMBER",IF(AND($J705&lt;&gt;"",NOT(ISNUMBER($J705))),"SESSIONS NOT A NUMBER",IF(OR(N($I705)&lt;0,N($J705)&lt;0),"NEGATIVE MINUTES/SESSIONS",IF(AND($K705="Yes",N($I705)&gt;0),"MINUTES ON A PT EVENT - not counted (PT counts sessions)",IF(AND($K705="No",N($J705)&gt;0),"SESSIONS ON A CLASSROOM EVENT - not counted (classroom counts minutes)",IF(AND($N705="Yes",$K705="Yes",N($J705)=0),"COUNTED PT EVENT WITH NO SESSIONS - dropped from the PT cap",IF(AND($N705="Yes",$K705="No",N($I705)=0),"COUNTED EVENT WITH NO MINUTES - dropped from the classroom cap","OK"))))))))))</f>
        <v/>
      </c>
    </row>
    <row r="706">
      <c r="B706" s="17">
        <f>IF($D706="","","A"&amp;TEXT(ROW()-5,"000"))</f>
        <v/>
      </c>
      <c r="C706" s="18" t="n"/>
      <c r="D706" s="16" t="n"/>
      <c r="E706" s="17">
        <f>IF($D706="","",IFERROR(INDEX(rngCadetPIDs,MATCH($D706,rngCadetNames,0)),"?"))</f>
        <v/>
      </c>
      <c r="F706" s="17">
        <f>IF($E706="","",IFERROR(INDEX(nrCadetAgency,MATCH($E706,rngCadetPIDs,0)),""))</f>
        <v/>
      </c>
      <c r="G706" s="16" t="n"/>
      <c r="H706" s="16" t="n"/>
      <c r="I706" s="16" t="n"/>
      <c r="J706" s="16" t="n"/>
      <c r="K706" s="17">
        <f>IF($G706="","",IF(OR($G706="PT Missed",$G706="PT Modified",$G706="PT Refused"),"Yes","No"))</f>
        <v/>
      </c>
      <c r="L706" s="16" t="n"/>
      <c r="M706" s="16" t="n"/>
      <c r="N706" s="17">
        <f>IF($D706="","",IF($M706="Excused","No",IF(AND($G706="PT Modified",$L706="Received"),"No","Yes")))</f>
        <v/>
      </c>
      <c r="O706" s="16" t="n"/>
      <c r="P706" s="17">
        <f>IF(OR($B706="",N($I706)=0),"",MIN(N($I706),SUMIFS(nrMK_Min,nrMK_Link,$B706,nrMK_Credit,"Yes",nrMK_PID,$E706,nrMK_Type,"Classroom")))</f>
        <v/>
      </c>
      <c r="Q706" s="17">
        <f>IF(OR($B706="",N($J706)=0),"",MIN(N($J706),SUMIFS(nrMK_Sess,nrMK_Link,$B706,nrMK_Credit,"Yes",nrMK_PID,$E706,nrMK_Type,"PT")))</f>
        <v/>
      </c>
      <c r="R706" s="17">
        <f>IF(OR($B706="",$N706&lt;&gt;"Yes"),"",IF($K706="Yes",IF(N($J706)&gt;0,N($J706)-N($Q706),""),IF(N($I706)&gt;0,N($I706)-N($P706),"")))</f>
        <v/>
      </c>
      <c r="S706" s="17">
        <f>IF(OR($B706="",$R706=""),"",IF($R706&lt;=0,IF(IFERROR(_xlfn.MAXIFS(nrMK_Date,nrMK_Link,$B706,nrMK_Credit,"Yes",nrMK_PID,$E706),0)=0,"CLEARED (makeup date missing)","CLEARED "&amp;TEXT(_xlfn.MAXIFS(nrMK_Date,nrMK_Link,$B706,nrMK_Credit,"Yes",nrMK_PID,$E706),"mm/dd")),"OPEN"))</f>
        <v/>
      </c>
      <c r="T706" s="17">
        <f>IF($D706="","",IF($C706="","NO DATE",IF($G706="","NO EVENT TYPE",IF(AND($I706&lt;&gt;"",NOT(ISNUMBER($I706))),"MINUTES NOT A NUMBER",IF(AND($J706&lt;&gt;"",NOT(ISNUMBER($J706))),"SESSIONS NOT A NUMBER",IF(OR(N($I706)&lt;0,N($J706)&lt;0),"NEGATIVE MINUTES/SESSIONS",IF(AND($K706="Yes",N($I706)&gt;0),"MINUTES ON A PT EVENT - not counted (PT counts sessions)",IF(AND($K706="No",N($J706)&gt;0),"SESSIONS ON A CLASSROOM EVENT - not counted (classroom counts minutes)",IF(AND($N706="Yes",$K706="Yes",N($J706)=0),"COUNTED PT EVENT WITH NO SESSIONS - dropped from the PT cap",IF(AND($N706="Yes",$K706="No",N($I706)=0),"COUNTED EVENT WITH NO MINUTES - dropped from the classroom cap","OK"))))))))))</f>
        <v/>
      </c>
    </row>
    <row r="707">
      <c r="B707" s="17">
        <f>IF($D707="","","A"&amp;TEXT(ROW()-5,"000"))</f>
        <v/>
      </c>
      <c r="C707" s="18" t="n"/>
      <c r="D707" s="16" t="n"/>
      <c r="E707" s="17">
        <f>IF($D707="","",IFERROR(INDEX(rngCadetPIDs,MATCH($D707,rngCadetNames,0)),"?"))</f>
        <v/>
      </c>
      <c r="F707" s="17">
        <f>IF($E707="","",IFERROR(INDEX(nrCadetAgency,MATCH($E707,rngCadetPIDs,0)),""))</f>
        <v/>
      </c>
      <c r="G707" s="16" t="n"/>
      <c r="H707" s="16" t="n"/>
      <c r="I707" s="16" t="n"/>
      <c r="J707" s="16" t="n"/>
      <c r="K707" s="17">
        <f>IF($G707="","",IF(OR($G707="PT Missed",$G707="PT Modified",$G707="PT Refused"),"Yes","No"))</f>
        <v/>
      </c>
      <c r="L707" s="16" t="n"/>
      <c r="M707" s="16" t="n"/>
      <c r="N707" s="17">
        <f>IF($D707="","",IF($M707="Excused","No",IF(AND($G707="PT Modified",$L707="Received"),"No","Yes")))</f>
        <v/>
      </c>
      <c r="O707" s="16" t="n"/>
      <c r="P707" s="17">
        <f>IF(OR($B707="",N($I707)=0),"",MIN(N($I707),SUMIFS(nrMK_Min,nrMK_Link,$B707,nrMK_Credit,"Yes",nrMK_PID,$E707,nrMK_Type,"Classroom")))</f>
        <v/>
      </c>
      <c r="Q707" s="17">
        <f>IF(OR($B707="",N($J707)=0),"",MIN(N($J707),SUMIFS(nrMK_Sess,nrMK_Link,$B707,nrMK_Credit,"Yes",nrMK_PID,$E707,nrMK_Type,"PT")))</f>
        <v/>
      </c>
      <c r="R707" s="17">
        <f>IF(OR($B707="",$N707&lt;&gt;"Yes"),"",IF($K707="Yes",IF(N($J707)&gt;0,N($J707)-N($Q707),""),IF(N($I707)&gt;0,N($I707)-N($P707),"")))</f>
        <v/>
      </c>
      <c r="S707" s="17">
        <f>IF(OR($B707="",$R707=""),"",IF($R707&lt;=0,IF(IFERROR(_xlfn.MAXIFS(nrMK_Date,nrMK_Link,$B707,nrMK_Credit,"Yes",nrMK_PID,$E707),0)=0,"CLEARED (makeup date missing)","CLEARED "&amp;TEXT(_xlfn.MAXIFS(nrMK_Date,nrMK_Link,$B707,nrMK_Credit,"Yes",nrMK_PID,$E707),"mm/dd")),"OPEN"))</f>
        <v/>
      </c>
      <c r="T707" s="17">
        <f>IF($D707="","",IF($C707="","NO DATE",IF($G707="","NO EVENT TYPE",IF(AND($I707&lt;&gt;"",NOT(ISNUMBER($I707))),"MINUTES NOT A NUMBER",IF(AND($J707&lt;&gt;"",NOT(ISNUMBER($J707))),"SESSIONS NOT A NUMBER",IF(OR(N($I707)&lt;0,N($J707)&lt;0),"NEGATIVE MINUTES/SESSIONS",IF(AND($K707="Yes",N($I707)&gt;0),"MINUTES ON A PT EVENT - not counted (PT counts sessions)",IF(AND($K707="No",N($J707)&gt;0),"SESSIONS ON A CLASSROOM EVENT - not counted (classroom counts minutes)",IF(AND($N707="Yes",$K707="Yes",N($J707)=0),"COUNTED PT EVENT WITH NO SESSIONS - dropped from the PT cap",IF(AND($N707="Yes",$K707="No",N($I707)=0),"COUNTED EVENT WITH NO MINUTES - dropped from the classroom cap","OK"))))))))))</f>
        <v/>
      </c>
    </row>
    <row r="708">
      <c r="B708" s="17">
        <f>IF($D708="","","A"&amp;TEXT(ROW()-5,"000"))</f>
        <v/>
      </c>
      <c r="C708" s="18" t="n"/>
      <c r="D708" s="16" t="n"/>
      <c r="E708" s="17">
        <f>IF($D708="","",IFERROR(INDEX(rngCadetPIDs,MATCH($D708,rngCadetNames,0)),"?"))</f>
        <v/>
      </c>
      <c r="F708" s="17">
        <f>IF($E708="","",IFERROR(INDEX(nrCadetAgency,MATCH($E708,rngCadetPIDs,0)),""))</f>
        <v/>
      </c>
      <c r="G708" s="16" t="n"/>
      <c r="H708" s="16" t="n"/>
      <c r="I708" s="16" t="n"/>
      <c r="J708" s="16" t="n"/>
      <c r="K708" s="17">
        <f>IF($G708="","",IF(OR($G708="PT Missed",$G708="PT Modified",$G708="PT Refused"),"Yes","No"))</f>
        <v/>
      </c>
      <c r="L708" s="16" t="n"/>
      <c r="M708" s="16" t="n"/>
      <c r="N708" s="17">
        <f>IF($D708="","",IF($M708="Excused","No",IF(AND($G708="PT Modified",$L708="Received"),"No","Yes")))</f>
        <v/>
      </c>
      <c r="O708" s="16" t="n"/>
      <c r="P708" s="17">
        <f>IF(OR($B708="",N($I708)=0),"",MIN(N($I708),SUMIFS(nrMK_Min,nrMK_Link,$B708,nrMK_Credit,"Yes",nrMK_PID,$E708,nrMK_Type,"Classroom")))</f>
        <v/>
      </c>
      <c r="Q708" s="17">
        <f>IF(OR($B708="",N($J708)=0),"",MIN(N($J708),SUMIFS(nrMK_Sess,nrMK_Link,$B708,nrMK_Credit,"Yes",nrMK_PID,$E708,nrMK_Type,"PT")))</f>
        <v/>
      </c>
      <c r="R708" s="17">
        <f>IF(OR($B708="",$N708&lt;&gt;"Yes"),"",IF($K708="Yes",IF(N($J708)&gt;0,N($J708)-N($Q708),""),IF(N($I708)&gt;0,N($I708)-N($P708),"")))</f>
        <v/>
      </c>
      <c r="S708" s="17">
        <f>IF(OR($B708="",$R708=""),"",IF($R708&lt;=0,IF(IFERROR(_xlfn.MAXIFS(nrMK_Date,nrMK_Link,$B708,nrMK_Credit,"Yes",nrMK_PID,$E708),0)=0,"CLEARED (makeup date missing)","CLEARED "&amp;TEXT(_xlfn.MAXIFS(nrMK_Date,nrMK_Link,$B708,nrMK_Credit,"Yes",nrMK_PID,$E708),"mm/dd")),"OPEN"))</f>
        <v/>
      </c>
      <c r="T708" s="17">
        <f>IF($D708="","",IF($C708="","NO DATE",IF($G708="","NO EVENT TYPE",IF(AND($I708&lt;&gt;"",NOT(ISNUMBER($I708))),"MINUTES NOT A NUMBER",IF(AND($J708&lt;&gt;"",NOT(ISNUMBER($J708))),"SESSIONS NOT A NUMBER",IF(OR(N($I708)&lt;0,N($J708)&lt;0),"NEGATIVE MINUTES/SESSIONS",IF(AND($K708="Yes",N($I708)&gt;0),"MINUTES ON A PT EVENT - not counted (PT counts sessions)",IF(AND($K708="No",N($J708)&gt;0),"SESSIONS ON A CLASSROOM EVENT - not counted (classroom counts minutes)",IF(AND($N708="Yes",$K708="Yes",N($J708)=0),"COUNTED PT EVENT WITH NO SESSIONS - dropped from the PT cap",IF(AND($N708="Yes",$K708="No",N($I708)=0),"COUNTED EVENT WITH NO MINUTES - dropped from the classroom cap","OK"))))))))))</f>
        <v/>
      </c>
    </row>
    <row r="709">
      <c r="B709" s="17">
        <f>IF($D709="","","A"&amp;TEXT(ROW()-5,"000"))</f>
        <v/>
      </c>
      <c r="C709" s="18" t="n"/>
      <c r="D709" s="16" t="n"/>
      <c r="E709" s="17">
        <f>IF($D709="","",IFERROR(INDEX(rngCadetPIDs,MATCH($D709,rngCadetNames,0)),"?"))</f>
        <v/>
      </c>
      <c r="F709" s="17">
        <f>IF($E709="","",IFERROR(INDEX(nrCadetAgency,MATCH($E709,rngCadetPIDs,0)),""))</f>
        <v/>
      </c>
      <c r="G709" s="16" t="n"/>
      <c r="H709" s="16" t="n"/>
      <c r="I709" s="16" t="n"/>
      <c r="J709" s="16" t="n"/>
      <c r="K709" s="17">
        <f>IF($G709="","",IF(OR($G709="PT Missed",$G709="PT Modified",$G709="PT Refused"),"Yes","No"))</f>
        <v/>
      </c>
      <c r="L709" s="16" t="n"/>
      <c r="M709" s="16" t="n"/>
      <c r="N709" s="17">
        <f>IF($D709="","",IF($M709="Excused","No",IF(AND($G709="PT Modified",$L709="Received"),"No","Yes")))</f>
        <v/>
      </c>
      <c r="O709" s="16" t="n"/>
      <c r="P709" s="17">
        <f>IF(OR($B709="",N($I709)=0),"",MIN(N($I709),SUMIFS(nrMK_Min,nrMK_Link,$B709,nrMK_Credit,"Yes",nrMK_PID,$E709,nrMK_Type,"Classroom")))</f>
        <v/>
      </c>
      <c r="Q709" s="17">
        <f>IF(OR($B709="",N($J709)=0),"",MIN(N($J709),SUMIFS(nrMK_Sess,nrMK_Link,$B709,nrMK_Credit,"Yes",nrMK_PID,$E709,nrMK_Type,"PT")))</f>
        <v/>
      </c>
      <c r="R709" s="17">
        <f>IF(OR($B709="",$N709&lt;&gt;"Yes"),"",IF($K709="Yes",IF(N($J709)&gt;0,N($J709)-N($Q709),""),IF(N($I709)&gt;0,N($I709)-N($P709),"")))</f>
        <v/>
      </c>
      <c r="S709" s="17">
        <f>IF(OR($B709="",$R709=""),"",IF($R709&lt;=0,IF(IFERROR(_xlfn.MAXIFS(nrMK_Date,nrMK_Link,$B709,nrMK_Credit,"Yes",nrMK_PID,$E709),0)=0,"CLEARED (makeup date missing)","CLEARED "&amp;TEXT(_xlfn.MAXIFS(nrMK_Date,nrMK_Link,$B709,nrMK_Credit,"Yes",nrMK_PID,$E709),"mm/dd")),"OPEN"))</f>
        <v/>
      </c>
      <c r="T709" s="17">
        <f>IF($D709="","",IF($C709="","NO DATE",IF($G709="","NO EVENT TYPE",IF(AND($I709&lt;&gt;"",NOT(ISNUMBER($I709))),"MINUTES NOT A NUMBER",IF(AND($J709&lt;&gt;"",NOT(ISNUMBER($J709))),"SESSIONS NOT A NUMBER",IF(OR(N($I709)&lt;0,N($J709)&lt;0),"NEGATIVE MINUTES/SESSIONS",IF(AND($K709="Yes",N($I709)&gt;0),"MINUTES ON A PT EVENT - not counted (PT counts sessions)",IF(AND($K709="No",N($J709)&gt;0),"SESSIONS ON A CLASSROOM EVENT - not counted (classroom counts minutes)",IF(AND($N709="Yes",$K709="Yes",N($J709)=0),"COUNTED PT EVENT WITH NO SESSIONS - dropped from the PT cap",IF(AND($N709="Yes",$K709="No",N($I709)=0),"COUNTED EVENT WITH NO MINUTES - dropped from the classroom cap","OK"))))))))))</f>
        <v/>
      </c>
    </row>
    <row r="710">
      <c r="B710" s="17">
        <f>IF($D710="","","A"&amp;TEXT(ROW()-5,"000"))</f>
        <v/>
      </c>
      <c r="C710" s="18" t="n"/>
      <c r="D710" s="16" t="n"/>
      <c r="E710" s="17">
        <f>IF($D710="","",IFERROR(INDEX(rngCadetPIDs,MATCH($D710,rngCadetNames,0)),"?"))</f>
        <v/>
      </c>
      <c r="F710" s="17">
        <f>IF($E710="","",IFERROR(INDEX(nrCadetAgency,MATCH($E710,rngCadetPIDs,0)),""))</f>
        <v/>
      </c>
      <c r="G710" s="16" t="n"/>
      <c r="H710" s="16" t="n"/>
      <c r="I710" s="16" t="n"/>
      <c r="J710" s="16" t="n"/>
      <c r="K710" s="17">
        <f>IF($G710="","",IF(OR($G710="PT Missed",$G710="PT Modified",$G710="PT Refused"),"Yes","No"))</f>
        <v/>
      </c>
      <c r="L710" s="16" t="n"/>
      <c r="M710" s="16" t="n"/>
      <c r="N710" s="17">
        <f>IF($D710="","",IF($M710="Excused","No",IF(AND($G710="PT Modified",$L710="Received"),"No","Yes")))</f>
        <v/>
      </c>
      <c r="O710" s="16" t="n"/>
      <c r="P710" s="17">
        <f>IF(OR($B710="",N($I710)=0),"",MIN(N($I710),SUMIFS(nrMK_Min,nrMK_Link,$B710,nrMK_Credit,"Yes",nrMK_PID,$E710,nrMK_Type,"Classroom")))</f>
        <v/>
      </c>
      <c r="Q710" s="17">
        <f>IF(OR($B710="",N($J710)=0),"",MIN(N($J710),SUMIFS(nrMK_Sess,nrMK_Link,$B710,nrMK_Credit,"Yes",nrMK_PID,$E710,nrMK_Type,"PT")))</f>
        <v/>
      </c>
      <c r="R710" s="17">
        <f>IF(OR($B710="",$N710&lt;&gt;"Yes"),"",IF($K710="Yes",IF(N($J710)&gt;0,N($J710)-N($Q710),""),IF(N($I710)&gt;0,N($I710)-N($P710),"")))</f>
        <v/>
      </c>
      <c r="S710" s="17">
        <f>IF(OR($B710="",$R710=""),"",IF($R710&lt;=0,IF(IFERROR(_xlfn.MAXIFS(nrMK_Date,nrMK_Link,$B710,nrMK_Credit,"Yes",nrMK_PID,$E710),0)=0,"CLEARED (makeup date missing)","CLEARED "&amp;TEXT(_xlfn.MAXIFS(nrMK_Date,nrMK_Link,$B710,nrMK_Credit,"Yes",nrMK_PID,$E710),"mm/dd")),"OPEN"))</f>
        <v/>
      </c>
      <c r="T710" s="17">
        <f>IF($D710="","",IF($C710="","NO DATE",IF($G710="","NO EVENT TYPE",IF(AND($I710&lt;&gt;"",NOT(ISNUMBER($I710))),"MINUTES NOT A NUMBER",IF(AND($J710&lt;&gt;"",NOT(ISNUMBER($J710))),"SESSIONS NOT A NUMBER",IF(OR(N($I710)&lt;0,N($J710)&lt;0),"NEGATIVE MINUTES/SESSIONS",IF(AND($K710="Yes",N($I710)&gt;0),"MINUTES ON A PT EVENT - not counted (PT counts sessions)",IF(AND($K710="No",N($J710)&gt;0),"SESSIONS ON A CLASSROOM EVENT - not counted (classroom counts minutes)",IF(AND($N710="Yes",$K710="Yes",N($J710)=0),"COUNTED PT EVENT WITH NO SESSIONS - dropped from the PT cap",IF(AND($N710="Yes",$K710="No",N($I710)=0),"COUNTED EVENT WITH NO MINUTES - dropped from the classroom cap","OK"))))))))))</f>
        <v/>
      </c>
    </row>
    <row r="711">
      <c r="B711" s="17">
        <f>IF($D711="","","A"&amp;TEXT(ROW()-5,"000"))</f>
        <v/>
      </c>
      <c r="C711" s="18" t="n"/>
      <c r="D711" s="16" t="n"/>
      <c r="E711" s="17">
        <f>IF($D711="","",IFERROR(INDEX(rngCadetPIDs,MATCH($D711,rngCadetNames,0)),"?"))</f>
        <v/>
      </c>
      <c r="F711" s="17">
        <f>IF($E711="","",IFERROR(INDEX(nrCadetAgency,MATCH($E711,rngCadetPIDs,0)),""))</f>
        <v/>
      </c>
      <c r="G711" s="16" t="n"/>
      <c r="H711" s="16" t="n"/>
      <c r="I711" s="16" t="n"/>
      <c r="J711" s="16" t="n"/>
      <c r="K711" s="17">
        <f>IF($G711="","",IF(OR($G711="PT Missed",$G711="PT Modified",$G711="PT Refused"),"Yes","No"))</f>
        <v/>
      </c>
      <c r="L711" s="16" t="n"/>
      <c r="M711" s="16" t="n"/>
      <c r="N711" s="17">
        <f>IF($D711="","",IF($M711="Excused","No",IF(AND($G711="PT Modified",$L711="Received"),"No","Yes")))</f>
        <v/>
      </c>
      <c r="O711" s="16" t="n"/>
      <c r="P711" s="17">
        <f>IF(OR($B711="",N($I711)=0),"",MIN(N($I711),SUMIFS(nrMK_Min,nrMK_Link,$B711,nrMK_Credit,"Yes",nrMK_PID,$E711,nrMK_Type,"Classroom")))</f>
        <v/>
      </c>
      <c r="Q711" s="17">
        <f>IF(OR($B711="",N($J711)=0),"",MIN(N($J711),SUMIFS(nrMK_Sess,nrMK_Link,$B711,nrMK_Credit,"Yes",nrMK_PID,$E711,nrMK_Type,"PT")))</f>
        <v/>
      </c>
      <c r="R711" s="17">
        <f>IF(OR($B711="",$N711&lt;&gt;"Yes"),"",IF($K711="Yes",IF(N($J711)&gt;0,N($J711)-N($Q711),""),IF(N($I711)&gt;0,N($I711)-N($P711),"")))</f>
        <v/>
      </c>
      <c r="S711" s="17">
        <f>IF(OR($B711="",$R711=""),"",IF($R711&lt;=0,IF(IFERROR(_xlfn.MAXIFS(nrMK_Date,nrMK_Link,$B711,nrMK_Credit,"Yes",nrMK_PID,$E711),0)=0,"CLEARED (makeup date missing)","CLEARED "&amp;TEXT(_xlfn.MAXIFS(nrMK_Date,nrMK_Link,$B711,nrMK_Credit,"Yes",nrMK_PID,$E711),"mm/dd")),"OPEN"))</f>
        <v/>
      </c>
      <c r="T711" s="17">
        <f>IF($D711="","",IF($C711="","NO DATE",IF($G711="","NO EVENT TYPE",IF(AND($I711&lt;&gt;"",NOT(ISNUMBER($I711))),"MINUTES NOT A NUMBER",IF(AND($J711&lt;&gt;"",NOT(ISNUMBER($J711))),"SESSIONS NOT A NUMBER",IF(OR(N($I711)&lt;0,N($J711)&lt;0),"NEGATIVE MINUTES/SESSIONS",IF(AND($K711="Yes",N($I711)&gt;0),"MINUTES ON A PT EVENT - not counted (PT counts sessions)",IF(AND($K711="No",N($J711)&gt;0),"SESSIONS ON A CLASSROOM EVENT - not counted (classroom counts minutes)",IF(AND($N711="Yes",$K711="Yes",N($J711)=0),"COUNTED PT EVENT WITH NO SESSIONS - dropped from the PT cap",IF(AND($N711="Yes",$K711="No",N($I711)=0),"COUNTED EVENT WITH NO MINUTES - dropped from the classroom cap","OK"))))))))))</f>
        <v/>
      </c>
    </row>
    <row r="712">
      <c r="B712" s="17">
        <f>IF($D712="","","A"&amp;TEXT(ROW()-5,"000"))</f>
        <v/>
      </c>
      <c r="C712" s="18" t="n"/>
      <c r="D712" s="16" t="n"/>
      <c r="E712" s="17">
        <f>IF($D712="","",IFERROR(INDEX(rngCadetPIDs,MATCH($D712,rngCadetNames,0)),"?"))</f>
        <v/>
      </c>
      <c r="F712" s="17">
        <f>IF($E712="","",IFERROR(INDEX(nrCadetAgency,MATCH($E712,rngCadetPIDs,0)),""))</f>
        <v/>
      </c>
      <c r="G712" s="16" t="n"/>
      <c r="H712" s="16" t="n"/>
      <c r="I712" s="16" t="n"/>
      <c r="J712" s="16" t="n"/>
      <c r="K712" s="17">
        <f>IF($G712="","",IF(OR($G712="PT Missed",$G712="PT Modified",$G712="PT Refused"),"Yes","No"))</f>
        <v/>
      </c>
      <c r="L712" s="16" t="n"/>
      <c r="M712" s="16" t="n"/>
      <c r="N712" s="17">
        <f>IF($D712="","",IF($M712="Excused","No",IF(AND($G712="PT Modified",$L712="Received"),"No","Yes")))</f>
        <v/>
      </c>
      <c r="O712" s="16" t="n"/>
      <c r="P712" s="17">
        <f>IF(OR($B712="",N($I712)=0),"",MIN(N($I712),SUMIFS(nrMK_Min,nrMK_Link,$B712,nrMK_Credit,"Yes",nrMK_PID,$E712,nrMK_Type,"Classroom")))</f>
        <v/>
      </c>
      <c r="Q712" s="17">
        <f>IF(OR($B712="",N($J712)=0),"",MIN(N($J712),SUMIFS(nrMK_Sess,nrMK_Link,$B712,nrMK_Credit,"Yes",nrMK_PID,$E712,nrMK_Type,"PT")))</f>
        <v/>
      </c>
      <c r="R712" s="17">
        <f>IF(OR($B712="",$N712&lt;&gt;"Yes"),"",IF($K712="Yes",IF(N($J712)&gt;0,N($J712)-N($Q712),""),IF(N($I712)&gt;0,N($I712)-N($P712),"")))</f>
        <v/>
      </c>
      <c r="S712" s="17">
        <f>IF(OR($B712="",$R712=""),"",IF($R712&lt;=0,IF(IFERROR(_xlfn.MAXIFS(nrMK_Date,nrMK_Link,$B712,nrMK_Credit,"Yes",nrMK_PID,$E712),0)=0,"CLEARED (makeup date missing)","CLEARED "&amp;TEXT(_xlfn.MAXIFS(nrMK_Date,nrMK_Link,$B712,nrMK_Credit,"Yes",nrMK_PID,$E712),"mm/dd")),"OPEN"))</f>
        <v/>
      </c>
      <c r="T712" s="17">
        <f>IF($D712="","",IF($C712="","NO DATE",IF($G712="","NO EVENT TYPE",IF(AND($I712&lt;&gt;"",NOT(ISNUMBER($I712))),"MINUTES NOT A NUMBER",IF(AND($J712&lt;&gt;"",NOT(ISNUMBER($J712))),"SESSIONS NOT A NUMBER",IF(OR(N($I712)&lt;0,N($J712)&lt;0),"NEGATIVE MINUTES/SESSIONS",IF(AND($K712="Yes",N($I712)&gt;0),"MINUTES ON A PT EVENT - not counted (PT counts sessions)",IF(AND($K712="No",N($J712)&gt;0),"SESSIONS ON A CLASSROOM EVENT - not counted (classroom counts minutes)",IF(AND($N712="Yes",$K712="Yes",N($J712)=0),"COUNTED PT EVENT WITH NO SESSIONS - dropped from the PT cap",IF(AND($N712="Yes",$K712="No",N($I712)=0),"COUNTED EVENT WITH NO MINUTES - dropped from the classroom cap","OK"))))))))))</f>
        <v/>
      </c>
    </row>
    <row r="713">
      <c r="B713" s="17">
        <f>IF($D713="","","A"&amp;TEXT(ROW()-5,"000"))</f>
        <v/>
      </c>
      <c r="C713" s="18" t="n"/>
      <c r="D713" s="16" t="n"/>
      <c r="E713" s="17">
        <f>IF($D713="","",IFERROR(INDEX(rngCadetPIDs,MATCH($D713,rngCadetNames,0)),"?"))</f>
        <v/>
      </c>
      <c r="F713" s="17">
        <f>IF($E713="","",IFERROR(INDEX(nrCadetAgency,MATCH($E713,rngCadetPIDs,0)),""))</f>
        <v/>
      </c>
      <c r="G713" s="16" t="n"/>
      <c r="H713" s="16" t="n"/>
      <c r="I713" s="16" t="n"/>
      <c r="J713" s="16" t="n"/>
      <c r="K713" s="17">
        <f>IF($G713="","",IF(OR($G713="PT Missed",$G713="PT Modified",$G713="PT Refused"),"Yes","No"))</f>
        <v/>
      </c>
      <c r="L713" s="16" t="n"/>
      <c r="M713" s="16" t="n"/>
      <c r="N713" s="17">
        <f>IF($D713="","",IF($M713="Excused","No",IF(AND($G713="PT Modified",$L713="Received"),"No","Yes")))</f>
        <v/>
      </c>
      <c r="O713" s="16" t="n"/>
      <c r="P713" s="17">
        <f>IF(OR($B713="",N($I713)=0),"",MIN(N($I713),SUMIFS(nrMK_Min,nrMK_Link,$B713,nrMK_Credit,"Yes",nrMK_PID,$E713,nrMK_Type,"Classroom")))</f>
        <v/>
      </c>
      <c r="Q713" s="17">
        <f>IF(OR($B713="",N($J713)=0),"",MIN(N($J713),SUMIFS(nrMK_Sess,nrMK_Link,$B713,nrMK_Credit,"Yes",nrMK_PID,$E713,nrMK_Type,"PT")))</f>
        <v/>
      </c>
      <c r="R713" s="17">
        <f>IF(OR($B713="",$N713&lt;&gt;"Yes"),"",IF($K713="Yes",IF(N($J713)&gt;0,N($J713)-N($Q713),""),IF(N($I713)&gt;0,N($I713)-N($P713),"")))</f>
        <v/>
      </c>
      <c r="S713" s="17">
        <f>IF(OR($B713="",$R713=""),"",IF($R713&lt;=0,IF(IFERROR(_xlfn.MAXIFS(nrMK_Date,nrMK_Link,$B713,nrMK_Credit,"Yes",nrMK_PID,$E713),0)=0,"CLEARED (makeup date missing)","CLEARED "&amp;TEXT(_xlfn.MAXIFS(nrMK_Date,nrMK_Link,$B713,nrMK_Credit,"Yes",nrMK_PID,$E713),"mm/dd")),"OPEN"))</f>
        <v/>
      </c>
      <c r="T713" s="17">
        <f>IF($D713="","",IF($C713="","NO DATE",IF($G713="","NO EVENT TYPE",IF(AND($I713&lt;&gt;"",NOT(ISNUMBER($I713))),"MINUTES NOT A NUMBER",IF(AND($J713&lt;&gt;"",NOT(ISNUMBER($J713))),"SESSIONS NOT A NUMBER",IF(OR(N($I713)&lt;0,N($J713)&lt;0),"NEGATIVE MINUTES/SESSIONS",IF(AND($K713="Yes",N($I713)&gt;0),"MINUTES ON A PT EVENT - not counted (PT counts sessions)",IF(AND($K713="No",N($J713)&gt;0),"SESSIONS ON A CLASSROOM EVENT - not counted (classroom counts minutes)",IF(AND($N713="Yes",$K713="Yes",N($J713)=0),"COUNTED PT EVENT WITH NO SESSIONS - dropped from the PT cap",IF(AND($N713="Yes",$K713="No",N($I713)=0),"COUNTED EVENT WITH NO MINUTES - dropped from the classroom cap","OK"))))))))))</f>
        <v/>
      </c>
    </row>
    <row r="714">
      <c r="B714" s="17">
        <f>IF($D714="","","A"&amp;TEXT(ROW()-5,"000"))</f>
        <v/>
      </c>
      <c r="C714" s="18" t="n"/>
      <c r="D714" s="16" t="n"/>
      <c r="E714" s="17">
        <f>IF($D714="","",IFERROR(INDEX(rngCadetPIDs,MATCH($D714,rngCadetNames,0)),"?"))</f>
        <v/>
      </c>
      <c r="F714" s="17">
        <f>IF($E714="","",IFERROR(INDEX(nrCadetAgency,MATCH($E714,rngCadetPIDs,0)),""))</f>
        <v/>
      </c>
      <c r="G714" s="16" t="n"/>
      <c r="H714" s="16" t="n"/>
      <c r="I714" s="16" t="n"/>
      <c r="J714" s="16" t="n"/>
      <c r="K714" s="17">
        <f>IF($G714="","",IF(OR($G714="PT Missed",$G714="PT Modified",$G714="PT Refused"),"Yes","No"))</f>
        <v/>
      </c>
      <c r="L714" s="16" t="n"/>
      <c r="M714" s="16" t="n"/>
      <c r="N714" s="17">
        <f>IF($D714="","",IF($M714="Excused","No",IF(AND($G714="PT Modified",$L714="Received"),"No","Yes")))</f>
        <v/>
      </c>
      <c r="O714" s="16" t="n"/>
      <c r="P714" s="17">
        <f>IF(OR($B714="",N($I714)=0),"",MIN(N($I714),SUMIFS(nrMK_Min,nrMK_Link,$B714,nrMK_Credit,"Yes",nrMK_PID,$E714,nrMK_Type,"Classroom")))</f>
        <v/>
      </c>
      <c r="Q714" s="17">
        <f>IF(OR($B714="",N($J714)=0),"",MIN(N($J714),SUMIFS(nrMK_Sess,nrMK_Link,$B714,nrMK_Credit,"Yes",nrMK_PID,$E714,nrMK_Type,"PT")))</f>
        <v/>
      </c>
      <c r="R714" s="17">
        <f>IF(OR($B714="",$N714&lt;&gt;"Yes"),"",IF($K714="Yes",IF(N($J714)&gt;0,N($J714)-N($Q714),""),IF(N($I714)&gt;0,N($I714)-N($P714),"")))</f>
        <v/>
      </c>
      <c r="S714" s="17">
        <f>IF(OR($B714="",$R714=""),"",IF($R714&lt;=0,IF(IFERROR(_xlfn.MAXIFS(nrMK_Date,nrMK_Link,$B714,nrMK_Credit,"Yes",nrMK_PID,$E714),0)=0,"CLEARED (makeup date missing)","CLEARED "&amp;TEXT(_xlfn.MAXIFS(nrMK_Date,nrMK_Link,$B714,nrMK_Credit,"Yes",nrMK_PID,$E714),"mm/dd")),"OPEN"))</f>
        <v/>
      </c>
      <c r="T714" s="17">
        <f>IF($D714="","",IF($C714="","NO DATE",IF($G714="","NO EVENT TYPE",IF(AND($I714&lt;&gt;"",NOT(ISNUMBER($I714))),"MINUTES NOT A NUMBER",IF(AND($J714&lt;&gt;"",NOT(ISNUMBER($J714))),"SESSIONS NOT A NUMBER",IF(OR(N($I714)&lt;0,N($J714)&lt;0),"NEGATIVE MINUTES/SESSIONS",IF(AND($K714="Yes",N($I714)&gt;0),"MINUTES ON A PT EVENT - not counted (PT counts sessions)",IF(AND($K714="No",N($J714)&gt;0),"SESSIONS ON A CLASSROOM EVENT - not counted (classroom counts minutes)",IF(AND($N714="Yes",$K714="Yes",N($J714)=0),"COUNTED PT EVENT WITH NO SESSIONS - dropped from the PT cap",IF(AND($N714="Yes",$K714="No",N($I714)=0),"COUNTED EVENT WITH NO MINUTES - dropped from the classroom cap","OK"))))))))))</f>
        <v/>
      </c>
    </row>
    <row r="715">
      <c r="B715" s="17">
        <f>IF($D715="","","A"&amp;TEXT(ROW()-5,"000"))</f>
        <v/>
      </c>
      <c r="C715" s="18" t="n"/>
      <c r="D715" s="16" t="n"/>
      <c r="E715" s="17">
        <f>IF($D715="","",IFERROR(INDEX(rngCadetPIDs,MATCH($D715,rngCadetNames,0)),"?"))</f>
        <v/>
      </c>
      <c r="F715" s="17">
        <f>IF($E715="","",IFERROR(INDEX(nrCadetAgency,MATCH($E715,rngCadetPIDs,0)),""))</f>
        <v/>
      </c>
      <c r="G715" s="16" t="n"/>
      <c r="H715" s="16" t="n"/>
      <c r="I715" s="16" t="n"/>
      <c r="J715" s="16" t="n"/>
      <c r="K715" s="17">
        <f>IF($G715="","",IF(OR($G715="PT Missed",$G715="PT Modified",$G715="PT Refused"),"Yes","No"))</f>
        <v/>
      </c>
      <c r="L715" s="16" t="n"/>
      <c r="M715" s="16" t="n"/>
      <c r="N715" s="17">
        <f>IF($D715="","",IF($M715="Excused","No",IF(AND($G715="PT Modified",$L715="Received"),"No","Yes")))</f>
        <v/>
      </c>
      <c r="O715" s="16" t="n"/>
      <c r="P715" s="17">
        <f>IF(OR($B715="",N($I715)=0),"",MIN(N($I715),SUMIFS(nrMK_Min,nrMK_Link,$B715,nrMK_Credit,"Yes",nrMK_PID,$E715,nrMK_Type,"Classroom")))</f>
        <v/>
      </c>
      <c r="Q715" s="17">
        <f>IF(OR($B715="",N($J715)=0),"",MIN(N($J715),SUMIFS(nrMK_Sess,nrMK_Link,$B715,nrMK_Credit,"Yes",nrMK_PID,$E715,nrMK_Type,"PT")))</f>
        <v/>
      </c>
      <c r="R715" s="17">
        <f>IF(OR($B715="",$N715&lt;&gt;"Yes"),"",IF($K715="Yes",IF(N($J715)&gt;0,N($J715)-N($Q715),""),IF(N($I715)&gt;0,N($I715)-N($P715),"")))</f>
        <v/>
      </c>
      <c r="S715" s="17">
        <f>IF(OR($B715="",$R715=""),"",IF($R715&lt;=0,IF(IFERROR(_xlfn.MAXIFS(nrMK_Date,nrMK_Link,$B715,nrMK_Credit,"Yes",nrMK_PID,$E715),0)=0,"CLEARED (makeup date missing)","CLEARED "&amp;TEXT(_xlfn.MAXIFS(nrMK_Date,nrMK_Link,$B715,nrMK_Credit,"Yes",nrMK_PID,$E715),"mm/dd")),"OPEN"))</f>
        <v/>
      </c>
      <c r="T715" s="17">
        <f>IF($D715="","",IF($C715="","NO DATE",IF($G715="","NO EVENT TYPE",IF(AND($I715&lt;&gt;"",NOT(ISNUMBER($I715))),"MINUTES NOT A NUMBER",IF(AND($J715&lt;&gt;"",NOT(ISNUMBER($J715))),"SESSIONS NOT A NUMBER",IF(OR(N($I715)&lt;0,N($J715)&lt;0),"NEGATIVE MINUTES/SESSIONS",IF(AND($K715="Yes",N($I715)&gt;0),"MINUTES ON A PT EVENT - not counted (PT counts sessions)",IF(AND($K715="No",N($J715)&gt;0),"SESSIONS ON A CLASSROOM EVENT - not counted (classroom counts minutes)",IF(AND($N715="Yes",$K715="Yes",N($J715)=0),"COUNTED PT EVENT WITH NO SESSIONS - dropped from the PT cap",IF(AND($N715="Yes",$K715="No",N($I715)=0),"COUNTED EVENT WITH NO MINUTES - dropped from the classroom cap","OK"))))))))))</f>
        <v/>
      </c>
    </row>
    <row r="716">
      <c r="B716" s="17">
        <f>IF($D716="","","A"&amp;TEXT(ROW()-5,"000"))</f>
        <v/>
      </c>
      <c r="C716" s="18" t="n"/>
      <c r="D716" s="16" t="n"/>
      <c r="E716" s="17">
        <f>IF($D716="","",IFERROR(INDEX(rngCadetPIDs,MATCH($D716,rngCadetNames,0)),"?"))</f>
        <v/>
      </c>
      <c r="F716" s="17">
        <f>IF($E716="","",IFERROR(INDEX(nrCadetAgency,MATCH($E716,rngCadetPIDs,0)),""))</f>
        <v/>
      </c>
      <c r="G716" s="16" t="n"/>
      <c r="H716" s="16" t="n"/>
      <c r="I716" s="16" t="n"/>
      <c r="J716" s="16" t="n"/>
      <c r="K716" s="17">
        <f>IF($G716="","",IF(OR($G716="PT Missed",$G716="PT Modified",$G716="PT Refused"),"Yes","No"))</f>
        <v/>
      </c>
      <c r="L716" s="16" t="n"/>
      <c r="M716" s="16" t="n"/>
      <c r="N716" s="17">
        <f>IF($D716="","",IF($M716="Excused","No",IF(AND($G716="PT Modified",$L716="Received"),"No","Yes")))</f>
        <v/>
      </c>
      <c r="O716" s="16" t="n"/>
      <c r="P716" s="17">
        <f>IF(OR($B716="",N($I716)=0),"",MIN(N($I716),SUMIFS(nrMK_Min,nrMK_Link,$B716,nrMK_Credit,"Yes",nrMK_PID,$E716,nrMK_Type,"Classroom")))</f>
        <v/>
      </c>
      <c r="Q716" s="17">
        <f>IF(OR($B716="",N($J716)=0),"",MIN(N($J716),SUMIFS(nrMK_Sess,nrMK_Link,$B716,nrMK_Credit,"Yes",nrMK_PID,$E716,nrMK_Type,"PT")))</f>
        <v/>
      </c>
      <c r="R716" s="17">
        <f>IF(OR($B716="",$N716&lt;&gt;"Yes"),"",IF($K716="Yes",IF(N($J716)&gt;0,N($J716)-N($Q716),""),IF(N($I716)&gt;0,N($I716)-N($P716),"")))</f>
        <v/>
      </c>
      <c r="S716" s="17">
        <f>IF(OR($B716="",$R716=""),"",IF($R716&lt;=0,IF(IFERROR(_xlfn.MAXIFS(nrMK_Date,nrMK_Link,$B716,nrMK_Credit,"Yes",nrMK_PID,$E716),0)=0,"CLEARED (makeup date missing)","CLEARED "&amp;TEXT(_xlfn.MAXIFS(nrMK_Date,nrMK_Link,$B716,nrMK_Credit,"Yes",nrMK_PID,$E716),"mm/dd")),"OPEN"))</f>
        <v/>
      </c>
      <c r="T716" s="17">
        <f>IF($D716="","",IF($C716="","NO DATE",IF($G716="","NO EVENT TYPE",IF(AND($I716&lt;&gt;"",NOT(ISNUMBER($I716))),"MINUTES NOT A NUMBER",IF(AND($J716&lt;&gt;"",NOT(ISNUMBER($J716))),"SESSIONS NOT A NUMBER",IF(OR(N($I716)&lt;0,N($J716)&lt;0),"NEGATIVE MINUTES/SESSIONS",IF(AND($K716="Yes",N($I716)&gt;0),"MINUTES ON A PT EVENT - not counted (PT counts sessions)",IF(AND($K716="No",N($J716)&gt;0),"SESSIONS ON A CLASSROOM EVENT - not counted (classroom counts minutes)",IF(AND($N716="Yes",$K716="Yes",N($J716)=0),"COUNTED PT EVENT WITH NO SESSIONS - dropped from the PT cap",IF(AND($N716="Yes",$K716="No",N($I716)=0),"COUNTED EVENT WITH NO MINUTES - dropped from the classroom cap","OK"))))))))))</f>
        <v/>
      </c>
    </row>
    <row r="717">
      <c r="B717" s="17">
        <f>IF($D717="","","A"&amp;TEXT(ROW()-5,"000"))</f>
        <v/>
      </c>
      <c r="C717" s="18" t="n"/>
      <c r="D717" s="16" t="n"/>
      <c r="E717" s="17">
        <f>IF($D717="","",IFERROR(INDEX(rngCadetPIDs,MATCH($D717,rngCadetNames,0)),"?"))</f>
        <v/>
      </c>
      <c r="F717" s="17">
        <f>IF($E717="","",IFERROR(INDEX(nrCadetAgency,MATCH($E717,rngCadetPIDs,0)),""))</f>
        <v/>
      </c>
      <c r="G717" s="16" t="n"/>
      <c r="H717" s="16" t="n"/>
      <c r="I717" s="16" t="n"/>
      <c r="J717" s="16" t="n"/>
      <c r="K717" s="17">
        <f>IF($G717="","",IF(OR($G717="PT Missed",$G717="PT Modified",$G717="PT Refused"),"Yes","No"))</f>
        <v/>
      </c>
      <c r="L717" s="16" t="n"/>
      <c r="M717" s="16" t="n"/>
      <c r="N717" s="17">
        <f>IF($D717="","",IF($M717="Excused","No",IF(AND($G717="PT Modified",$L717="Received"),"No","Yes")))</f>
        <v/>
      </c>
      <c r="O717" s="16" t="n"/>
      <c r="P717" s="17">
        <f>IF(OR($B717="",N($I717)=0),"",MIN(N($I717),SUMIFS(nrMK_Min,nrMK_Link,$B717,nrMK_Credit,"Yes",nrMK_PID,$E717,nrMK_Type,"Classroom")))</f>
        <v/>
      </c>
      <c r="Q717" s="17">
        <f>IF(OR($B717="",N($J717)=0),"",MIN(N($J717),SUMIFS(nrMK_Sess,nrMK_Link,$B717,nrMK_Credit,"Yes",nrMK_PID,$E717,nrMK_Type,"PT")))</f>
        <v/>
      </c>
      <c r="R717" s="17">
        <f>IF(OR($B717="",$N717&lt;&gt;"Yes"),"",IF($K717="Yes",IF(N($J717)&gt;0,N($J717)-N($Q717),""),IF(N($I717)&gt;0,N($I717)-N($P717),"")))</f>
        <v/>
      </c>
      <c r="S717" s="17">
        <f>IF(OR($B717="",$R717=""),"",IF($R717&lt;=0,IF(IFERROR(_xlfn.MAXIFS(nrMK_Date,nrMK_Link,$B717,nrMK_Credit,"Yes",nrMK_PID,$E717),0)=0,"CLEARED (makeup date missing)","CLEARED "&amp;TEXT(_xlfn.MAXIFS(nrMK_Date,nrMK_Link,$B717,nrMK_Credit,"Yes",nrMK_PID,$E717),"mm/dd")),"OPEN"))</f>
        <v/>
      </c>
      <c r="T717" s="17">
        <f>IF($D717="","",IF($C717="","NO DATE",IF($G717="","NO EVENT TYPE",IF(AND($I717&lt;&gt;"",NOT(ISNUMBER($I717))),"MINUTES NOT A NUMBER",IF(AND($J717&lt;&gt;"",NOT(ISNUMBER($J717))),"SESSIONS NOT A NUMBER",IF(OR(N($I717)&lt;0,N($J717)&lt;0),"NEGATIVE MINUTES/SESSIONS",IF(AND($K717="Yes",N($I717)&gt;0),"MINUTES ON A PT EVENT - not counted (PT counts sessions)",IF(AND($K717="No",N($J717)&gt;0),"SESSIONS ON A CLASSROOM EVENT - not counted (classroom counts minutes)",IF(AND($N717="Yes",$K717="Yes",N($J717)=0),"COUNTED PT EVENT WITH NO SESSIONS - dropped from the PT cap",IF(AND($N717="Yes",$K717="No",N($I717)=0),"COUNTED EVENT WITH NO MINUTES - dropped from the classroom cap","OK"))))))))))</f>
        <v/>
      </c>
    </row>
    <row r="718">
      <c r="B718" s="17">
        <f>IF($D718="","","A"&amp;TEXT(ROW()-5,"000"))</f>
        <v/>
      </c>
      <c r="C718" s="18" t="n"/>
      <c r="D718" s="16" t="n"/>
      <c r="E718" s="17">
        <f>IF($D718="","",IFERROR(INDEX(rngCadetPIDs,MATCH($D718,rngCadetNames,0)),"?"))</f>
        <v/>
      </c>
      <c r="F718" s="17">
        <f>IF($E718="","",IFERROR(INDEX(nrCadetAgency,MATCH($E718,rngCadetPIDs,0)),""))</f>
        <v/>
      </c>
      <c r="G718" s="16" t="n"/>
      <c r="H718" s="16" t="n"/>
      <c r="I718" s="16" t="n"/>
      <c r="J718" s="16" t="n"/>
      <c r="K718" s="17">
        <f>IF($G718="","",IF(OR($G718="PT Missed",$G718="PT Modified",$G718="PT Refused"),"Yes","No"))</f>
        <v/>
      </c>
      <c r="L718" s="16" t="n"/>
      <c r="M718" s="16" t="n"/>
      <c r="N718" s="17">
        <f>IF($D718="","",IF($M718="Excused","No",IF(AND($G718="PT Modified",$L718="Received"),"No","Yes")))</f>
        <v/>
      </c>
      <c r="O718" s="16" t="n"/>
      <c r="P718" s="17">
        <f>IF(OR($B718="",N($I718)=0),"",MIN(N($I718),SUMIFS(nrMK_Min,nrMK_Link,$B718,nrMK_Credit,"Yes",nrMK_PID,$E718,nrMK_Type,"Classroom")))</f>
        <v/>
      </c>
      <c r="Q718" s="17">
        <f>IF(OR($B718="",N($J718)=0),"",MIN(N($J718),SUMIFS(nrMK_Sess,nrMK_Link,$B718,nrMK_Credit,"Yes",nrMK_PID,$E718,nrMK_Type,"PT")))</f>
        <v/>
      </c>
      <c r="R718" s="17">
        <f>IF(OR($B718="",$N718&lt;&gt;"Yes"),"",IF($K718="Yes",IF(N($J718)&gt;0,N($J718)-N($Q718),""),IF(N($I718)&gt;0,N($I718)-N($P718),"")))</f>
        <v/>
      </c>
      <c r="S718" s="17">
        <f>IF(OR($B718="",$R718=""),"",IF($R718&lt;=0,IF(IFERROR(_xlfn.MAXIFS(nrMK_Date,nrMK_Link,$B718,nrMK_Credit,"Yes",nrMK_PID,$E718),0)=0,"CLEARED (makeup date missing)","CLEARED "&amp;TEXT(_xlfn.MAXIFS(nrMK_Date,nrMK_Link,$B718,nrMK_Credit,"Yes",nrMK_PID,$E718),"mm/dd")),"OPEN"))</f>
        <v/>
      </c>
      <c r="T718" s="17">
        <f>IF($D718="","",IF($C718="","NO DATE",IF($G718="","NO EVENT TYPE",IF(AND($I718&lt;&gt;"",NOT(ISNUMBER($I718))),"MINUTES NOT A NUMBER",IF(AND($J718&lt;&gt;"",NOT(ISNUMBER($J718))),"SESSIONS NOT A NUMBER",IF(OR(N($I718)&lt;0,N($J718)&lt;0),"NEGATIVE MINUTES/SESSIONS",IF(AND($K718="Yes",N($I718)&gt;0),"MINUTES ON A PT EVENT - not counted (PT counts sessions)",IF(AND($K718="No",N($J718)&gt;0),"SESSIONS ON A CLASSROOM EVENT - not counted (classroom counts minutes)",IF(AND($N718="Yes",$K718="Yes",N($J718)=0),"COUNTED PT EVENT WITH NO SESSIONS - dropped from the PT cap",IF(AND($N718="Yes",$K718="No",N($I718)=0),"COUNTED EVENT WITH NO MINUTES - dropped from the classroom cap","OK"))))))))))</f>
        <v/>
      </c>
    </row>
    <row r="719">
      <c r="B719" s="17">
        <f>IF($D719="","","A"&amp;TEXT(ROW()-5,"000"))</f>
        <v/>
      </c>
      <c r="C719" s="18" t="n"/>
      <c r="D719" s="16" t="n"/>
      <c r="E719" s="17">
        <f>IF($D719="","",IFERROR(INDEX(rngCadetPIDs,MATCH($D719,rngCadetNames,0)),"?"))</f>
        <v/>
      </c>
      <c r="F719" s="17">
        <f>IF($E719="","",IFERROR(INDEX(nrCadetAgency,MATCH($E719,rngCadetPIDs,0)),""))</f>
        <v/>
      </c>
      <c r="G719" s="16" t="n"/>
      <c r="H719" s="16" t="n"/>
      <c r="I719" s="16" t="n"/>
      <c r="J719" s="16" t="n"/>
      <c r="K719" s="17">
        <f>IF($G719="","",IF(OR($G719="PT Missed",$G719="PT Modified",$G719="PT Refused"),"Yes","No"))</f>
        <v/>
      </c>
      <c r="L719" s="16" t="n"/>
      <c r="M719" s="16" t="n"/>
      <c r="N719" s="17">
        <f>IF($D719="","",IF($M719="Excused","No",IF(AND($G719="PT Modified",$L719="Received"),"No","Yes")))</f>
        <v/>
      </c>
      <c r="O719" s="16" t="n"/>
      <c r="P719" s="17">
        <f>IF(OR($B719="",N($I719)=0),"",MIN(N($I719),SUMIFS(nrMK_Min,nrMK_Link,$B719,nrMK_Credit,"Yes",nrMK_PID,$E719,nrMK_Type,"Classroom")))</f>
        <v/>
      </c>
      <c r="Q719" s="17">
        <f>IF(OR($B719="",N($J719)=0),"",MIN(N($J719),SUMIFS(nrMK_Sess,nrMK_Link,$B719,nrMK_Credit,"Yes",nrMK_PID,$E719,nrMK_Type,"PT")))</f>
        <v/>
      </c>
      <c r="R719" s="17">
        <f>IF(OR($B719="",$N719&lt;&gt;"Yes"),"",IF($K719="Yes",IF(N($J719)&gt;0,N($J719)-N($Q719),""),IF(N($I719)&gt;0,N($I719)-N($P719),"")))</f>
        <v/>
      </c>
      <c r="S719" s="17">
        <f>IF(OR($B719="",$R719=""),"",IF($R719&lt;=0,IF(IFERROR(_xlfn.MAXIFS(nrMK_Date,nrMK_Link,$B719,nrMK_Credit,"Yes",nrMK_PID,$E719),0)=0,"CLEARED (makeup date missing)","CLEARED "&amp;TEXT(_xlfn.MAXIFS(nrMK_Date,nrMK_Link,$B719,nrMK_Credit,"Yes",nrMK_PID,$E719),"mm/dd")),"OPEN"))</f>
        <v/>
      </c>
      <c r="T719" s="17">
        <f>IF($D719="","",IF($C719="","NO DATE",IF($G719="","NO EVENT TYPE",IF(AND($I719&lt;&gt;"",NOT(ISNUMBER($I719))),"MINUTES NOT A NUMBER",IF(AND($J719&lt;&gt;"",NOT(ISNUMBER($J719))),"SESSIONS NOT A NUMBER",IF(OR(N($I719)&lt;0,N($J719)&lt;0),"NEGATIVE MINUTES/SESSIONS",IF(AND($K719="Yes",N($I719)&gt;0),"MINUTES ON A PT EVENT - not counted (PT counts sessions)",IF(AND($K719="No",N($J719)&gt;0),"SESSIONS ON A CLASSROOM EVENT - not counted (classroom counts minutes)",IF(AND($N719="Yes",$K719="Yes",N($J719)=0),"COUNTED PT EVENT WITH NO SESSIONS - dropped from the PT cap",IF(AND($N719="Yes",$K719="No",N($I719)=0),"COUNTED EVENT WITH NO MINUTES - dropped from the classroom cap","OK"))))))))))</f>
        <v/>
      </c>
    </row>
    <row r="720">
      <c r="B720" s="17">
        <f>IF($D720="","","A"&amp;TEXT(ROW()-5,"000"))</f>
        <v/>
      </c>
      <c r="C720" s="18" t="n"/>
      <c r="D720" s="16" t="n"/>
      <c r="E720" s="17">
        <f>IF($D720="","",IFERROR(INDEX(rngCadetPIDs,MATCH($D720,rngCadetNames,0)),"?"))</f>
        <v/>
      </c>
      <c r="F720" s="17">
        <f>IF($E720="","",IFERROR(INDEX(nrCadetAgency,MATCH($E720,rngCadetPIDs,0)),""))</f>
        <v/>
      </c>
      <c r="G720" s="16" t="n"/>
      <c r="H720" s="16" t="n"/>
      <c r="I720" s="16" t="n"/>
      <c r="J720" s="16" t="n"/>
      <c r="K720" s="17">
        <f>IF($G720="","",IF(OR($G720="PT Missed",$G720="PT Modified",$G720="PT Refused"),"Yes","No"))</f>
        <v/>
      </c>
      <c r="L720" s="16" t="n"/>
      <c r="M720" s="16" t="n"/>
      <c r="N720" s="17">
        <f>IF($D720="","",IF($M720="Excused","No",IF(AND($G720="PT Modified",$L720="Received"),"No","Yes")))</f>
        <v/>
      </c>
      <c r="O720" s="16" t="n"/>
      <c r="P720" s="17">
        <f>IF(OR($B720="",N($I720)=0),"",MIN(N($I720),SUMIFS(nrMK_Min,nrMK_Link,$B720,nrMK_Credit,"Yes",nrMK_PID,$E720,nrMK_Type,"Classroom")))</f>
        <v/>
      </c>
      <c r="Q720" s="17">
        <f>IF(OR($B720="",N($J720)=0),"",MIN(N($J720),SUMIFS(nrMK_Sess,nrMK_Link,$B720,nrMK_Credit,"Yes",nrMK_PID,$E720,nrMK_Type,"PT")))</f>
        <v/>
      </c>
      <c r="R720" s="17">
        <f>IF(OR($B720="",$N720&lt;&gt;"Yes"),"",IF($K720="Yes",IF(N($J720)&gt;0,N($J720)-N($Q720),""),IF(N($I720)&gt;0,N($I720)-N($P720),"")))</f>
        <v/>
      </c>
      <c r="S720" s="17">
        <f>IF(OR($B720="",$R720=""),"",IF($R720&lt;=0,IF(IFERROR(_xlfn.MAXIFS(nrMK_Date,nrMK_Link,$B720,nrMK_Credit,"Yes",nrMK_PID,$E720),0)=0,"CLEARED (makeup date missing)","CLEARED "&amp;TEXT(_xlfn.MAXIFS(nrMK_Date,nrMK_Link,$B720,nrMK_Credit,"Yes",nrMK_PID,$E720),"mm/dd")),"OPEN"))</f>
        <v/>
      </c>
      <c r="T720" s="17">
        <f>IF($D720="","",IF($C720="","NO DATE",IF($G720="","NO EVENT TYPE",IF(AND($I720&lt;&gt;"",NOT(ISNUMBER($I720))),"MINUTES NOT A NUMBER",IF(AND($J720&lt;&gt;"",NOT(ISNUMBER($J720))),"SESSIONS NOT A NUMBER",IF(OR(N($I720)&lt;0,N($J720)&lt;0),"NEGATIVE MINUTES/SESSIONS",IF(AND($K720="Yes",N($I720)&gt;0),"MINUTES ON A PT EVENT - not counted (PT counts sessions)",IF(AND($K720="No",N($J720)&gt;0),"SESSIONS ON A CLASSROOM EVENT - not counted (classroom counts minutes)",IF(AND($N720="Yes",$K720="Yes",N($J720)=0),"COUNTED PT EVENT WITH NO SESSIONS - dropped from the PT cap",IF(AND($N720="Yes",$K720="No",N($I720)=0),"COUNTED EVENT WITH NO MINUTES - dropped from the classroom cap","OK"))))))))))</f>
        <v/>
      </c>
    </row>
    <row r="721">
      <c r="B721" s="17">
        <f>IF($D721="","","A"&amp;TEXT(ROW()-5,"000"))</f>
        <v/>
      </c>
      <c r="C721" s="18" t="n"/>
      <c r="D721" s="16" t="n"/>
      <c r="E721" s="17">
        <f>IF($D721="","",IFERROR(INDEX(rngCadetPIDs,MATCH($D721,rngCadetNames,0)),"?"))</f>
        <v/>
      </c>
      <c r="F721" s="17">
        <f>IF($E721="","",IFERROR(INDEX(nrCadetAgency,MATCH($E721,rngCadetPIDs,0)),""))</f>
        <v/>
      </c>
      <c r="G721" s="16" t="n"/>
      <c r="H721" s="16" t="n"/>
      <c r="I721" s="16" t="n"/>
      <c r="J721" s="16" t="n"/>
      <c r="K721" s="17">
        <f>IF($G721="","",IF(OR($G721="PT Missed",$G721="PT Modified",$G721="PT Refused"),"Yes","No"))</f>
        <v/>
      </c>
      <c r="L721" s="16" t="n"/>
      <c r="M721" s="16" t="n"/>
      <c r="N721" s="17">
        <f>IF($D721="","",IF($M721="Excused","No",IF(AND($G721="PT Modified",$L721="Received"),"No","Yes")))</f>
        <v/>
      </c>
      <c r="O721" s="16" t="n"/>
      <c r="P721" s="17">
        <f>IF(OR($B721="",N($I721)=0),"",MIN(N($I721),SUMIFS(nrMK_Min,nrMK_Link,$B721,nrMK_Credit,"Yes",nrMK_PID,$E721,nrMK_Type,"Classroom")))</f>
        <v/>
      </c>
      <c r="Q721" s="17">
        <f>IF(OR($B721="",N($J721)=0),"",MIN(N($J721),SUMIFS(nrMK_Sess,nrMK_Link,$B721,nrMK_Credit,"Yes",nrMK_PID,$E721,nrMK_Type,"PT")))</f>
        <v/>
      </c>
      <c r="R721" s="17">
        <f>IF(OR($B721="",$N721&lt;&gt;"Yes"),"",IF($K721="Yes",IF(N($J721)&gt;0,N($J721)-N($Q721),""),IF(N($I721)&gt;0,N($I721)-N($P721),"")))</f>
        <v/>
      </c>
      <c r="S721" s="17">
        <f>IF(OR($B721="",$R721=""),"",IF($R721&lt;=0,IF(IFERROR(_xlfn.MAXIFS(nrMK_Date,nrMK_Link,$B721,nrMK_Credit,"Yes",nrMK_PID,$E721),0)=0,"CLEARED (makeup date missing)","CLEARED "&amp;TEXT(_xlfn.MAXIFS(nrMK_Date,nrMK_Link,$B721,nrMK_Credit,"Yes",nrMK_PID,$E721),"mm/dd")),"OPEN"))</f>
        <v/>
      </c>
      <c r="T721" s="17">
        <f>IF($D721="","",IF($C721="","NO DATE",IF($G721="","NO EVENT TYPE",IF(AND($I721&lt;&gt;"",NOT(ISNUMBER($I721))),"MINUTES NOT A NUMBER",IF(AND($J721&lt;&gt;"",NOT(ISNUMBER($J721))),"SESSIONS NOT A NUMBER",IF(OR(N($I721)&lt;0,N($J721)&lt;0),"NEGATIVE MINUTES/SESSIONS",IF(AND($K721="Yes",N($I721)&gt;0),"MINUTES ON A PT EVENT - not counted (PT counts sessions)",IF(AND($K721="No",N($J721)&gt;0),"SESSIONS ON A CLASSROOM EVENT - not counted (classroom counts minutes)",IF(AND($N721="Yes",$K721="Yes",N($J721)=0),"COUNTED PT EVENT WITH NO SESSIONS - dropped from the PT cap",IF(AND($N721="Yes",$K721="No",N($I721)=0),"COUNTED EVENT WITH NO MINUTES - dropped from the classroom cap","OK"))))))))))</f>
        <v/>
      </c>
    </row>
    <row r="722">
      <c r="B722" s="17">
        <f>IF($D722="","","A"&amp;TEXT(ROW()-5,"000"))</f>
        <v/>
      </c>
      <c r="C722" s="18" t="n"/>
      <c r="D722" s="16" t="n"/>
      <c r="E722" s="17">
        <f>IF($D722="","",IFERROR(INDEX(rngCadetPIDs,MATCH($D722,rngCadetNames,0)),"?"))</f>
        <v/>
      </c>
      <c r="F722" s="17">
        <f>IF($E722="","",IFERROR(INDEX(nrCadetAgency,MATCH($E722,rngCadetPIDs,0)),""))</f>
        <v/>
      </c>
      <c r="G722" s="16" t="n"/>
      <c r="H722" s="16" t="n"/>
      <c r="I722" s="16" t="n"/>
      <c r="J722" s="16" t="n"/>
      <c r="K722" s="17">
        <f>IF($G722="","",IF(OR($G722="PT Missed",$G722="PT Modified",$G722="PT Refused"),"Yes","No"))</f>
        <v/>
      </c>
      <c r="L722" s="16" t="n"/>
      <c r="M722" s="16" t="n"/>
      <c r="N722" s="17">
        <f>IF($D722="","",IF($M722="Excused","No",IF(AND($G722="PT Modified",$L722="Received"),"No","Yes")))</f>
        <v/>
      </c>
      <c r="O722" s="16" t="n"/>
      <c r="P722" s="17">
        <f>IF(OR($B722="",N($I722)=0),"",MIN(N($I722),SUMIFS(nrMK_Min,nrMK_Link,$B722,nrMK_Credit,"Yes",nrMK_PID,$E722,nrMK_Type,"Classroom")))</f>
        <v/>
      </c>
      <c r="Q722" s="17">
        <f>IF(OR($B722="",N($J722)=0),"",MIN(N($J722),SUMIFS(nrMK_Sess,nrMK_Link,$B722,nrMK_Credit,"Yes",nrMK_PID,$E722,nrMK_Type,"PT")))</f>
        <v/>
      </c>
      <c r="R722" s="17">
        <f>IF(OR($B722="",$N722&lt;&gt;"Yes"),"",IF($K722="Yes",IF(N($J722)&gt;0,N($J722)-N($Q722),""),IF(N($I722)&gt;0,N($I722)-N($P722),"")))</f>
        <v/>
      </c>
      <c r="S722" s="17">
        <f>IF(OR($B722="",$R722=""),"",IF($R722&lt;=0,IF(IFERROR(_xlfn.MAXIFS(nrMK_Date,nrMK_Link,$B722,nrMK_Credit,"Yes",nrMK_PID,$E722),0)=0,"CLEARED (makeup date missing)","CLEARED "&amp;TEXT(_xlfn.MAXIFS(nrMK_Date,nrMK_Link,$B722,nrMK_Credit,"Yes",nrMK_PID,$E722),"mm/dd")),"OPEN"))</f>
        <v/>
      </c>
      <c r="T722" s="17">
        <f>IF($D722="","",IF($C722="","NO DATE",IF($G722="","NO EVENT TYPE",IF(AND($I722&lt;&gt;"",NOT(ISNUMBER($I722))),"MINUTES NOT A NUMBER",IF(AND($J722&lt;&gt;"",NOT(ISNUMBER($J722))),"SESSIONS NOT A NUMBER",IF(OR(N($I722)&lt;0,N($J722)&lt;0),"NEGATIVE MINUTES/SESSIONS",IF(AND($K722="Yes",N($I722)&gt;0),"MINUTES ON A PT EVENT - not counted (PT counts sessions)",IF(AND($K722="No",N($J722)&gt;0),"SESSIONS ON A CLASSROOM EVENT - not counted (classroom counts minutes)",IF(AND($N722="Yes",$K722="Yes",N($J722)=0),"COUNTED PT EVENT WITH NO SESSIONS - dropped from the PT cap",IF(AND($N722="Yes",$K722="No",N($I722)=0),"COUNTED EVENT WITH NO MINUTES - dropped from the classroom cap","OK"))))))))))</f>
        <v/>
      </c>
    </row>
    <row r="723">
      <c r="B723" s="17">
        <f>IF($D723="","","A"&amp;TEXT(ROW()-5,"000"))</f>
        <v/>
      </c>
      <c r="C723" s="18" t="n"/>
      <c r="D723" s="16" t="n"/>
      <c r="E723" s="17">
        <f>IF($D723="","",IFERROR(INDEX(rngCadetPIDs,MATCH($D723,rngCadetNames,0)),"?"))</f>
        <v/>
      </c>
      <c r="F723" s="17">
        <f>IF($E723="","",IFERROR(INDEX(nrCadetAgency,MATCH($E723,rngCadetPIDs,0)),""))</f>
        <v/>
      </c>
      <c r="G723" s="16" t="n"/>
      <c r="H723" s="16" t="n"/>
      <c r="I723" s="16" t="n"/>
      <c r="J723" s="16" t="n"/>
      <c r="K723" s="17">
        <f>IF($G723="","",IF(OR($G723="PT Missed",$G723="PT Modified",$G723="PT Refused"),"Yes","No"))</f>
        <v/>
      </c>
      <c r="L723" s="16" t="n"/>
      <c r="M723" s="16" t="n"/>
      <c r="N723" s="17">
        <f>IF($D723="","",IF($M723="Excused","No",IF(AND($G723="PT Modified",$L723="Received"),"No","Yes")))</f>
        <v/>
      </c>
      <c r="O723" s="16" t="n"/>
      <c r="P723" s="17">
        <f>IF(OR($B723="",N($I723)=0),"",MIN(N($I723),SUMIFS(nrMK_Min,nrMK_Link,$B723,nrMK_Credit,"Yes",nrMK_PID,$E723,nrMK_Type,"Classroom")))</f>
        <v/>
      </c>
      <c r="Q723" s="17">
        <f>IF(OR($B723="",N($J723)=0),"",MIN(N($J723),SUMIFS(nrMK_Sess,nrMK_Link,$B723,nrMK_Credit,"Yes",nrMK_PID,$E723,nrMK_Type,"PT")))</f>
        <v/>
      </c>
      <c r="R723" s="17">
        <f>IF(OR($B723="",$N723&lt;&gt;"Yes"),"",IF($K723="Yes",IF(N($J723)&gt;0,N($J723)-N($Q723),""),IF(N($I723)&gt;0,N($I723)-N($P723),"")))</f>
        <v/>
      </c>
      <c r="S723" s="17">
        <f>IF(OR($B723="",$R723=""),"",IF($R723&lt;=0,IF(IFERROR(_xlfn.MAXIFS(nrMK_Date,nrMK_Link,$B723,nrMK_Credit,"Yes",nrMK_PID,$E723),0)=0,"CLEARED (makeup date missing)","CLEARED "&amp;TEXT(_xlfn.MAXIFS(nrMK_Date,nrMK_Link,$B723,nrMK_Credit,"Yes",nrMK_PID,$E723),"mm/dd")),"OPEN"))</f>
        <v/>
      </c>
      <c r="T723" s="17">
        <f>IF($D723="","",IF($C723="","NO DATE",IF($G723="","NO EVENT TYPE",IF(AND($I723&lt;&gt;"",NOT(ISNUMBER($I723))),"MINUTES NOT A NUMBER",IF(AND($J723&lt;&gt;"",NOT(ISNUMBER($J723))),"SESSIONS NOT A NUMBER",IF(OR(N($I723)&lt;0,N($J723)&lt;0),"NEGATIVE MINUTES/SESSIONS",IF(AND($K723="Yes",N($I723)&gt;0),"MINUTES ON A PT EVENT - not counted (PT counts sessions)",IF(AND($K723="No",N($J723)&gt;0),"SESSIONS ON A CLASSROOM EVENT - not counted (classroom counts minutes)",IF(AND($N723="Yes",$K723="Yes",N($J723)=0),"COUNTED PT EVENT WITH NO SESSIONS - dropped from the PT cap",IF(AND($N723="Yes",$K723="No",N($I723)=0),"COUNTED EVENT WITH NO MINUTES - dropped from the classroom cap","OK"))))))))))</f>
        <v/>
      </c>
    </row>
    <row r="724">
      <c r="B724" s="17">
        <f>IF($D724="","","A"&amp;TEXT(ROW()-5,"000"))</f>
        <v/>
      </c>
      <c r="C724" s="18" t="n"/>
      <c r="D724" s="16" t="n"/>
      <c r="E724" s="17">
        <f>IF($D724="","",IFERROR(INDEX(rngCadetPIDs,MATCH($D724,rngCadetNames,0)),"?"))</f>
        <v/>
      </c>
      <c r="F724" s="17">
        <f>IF($E724="","",IFERROR(INDEX(nrCadetAgency,MATCH($E724,rngCadetPIDs,0)),""))</f>
        <v/>
      </c>
      <c r="G724" s="16" t="n"/>
      <c r="H724" s="16" t="n"/>
      <c r="I724" s="16" t="n"/>
      <c r="J724" s="16" t="n"/>
      <c r="K724" s="17">
        <f>IF($G724="","",IF(OR($G724="PT Missed",$G724="PT Modified",$G724="PT Refused"),"Yes","No"))</f>
        <v/>
      </c>
      <c r="L724" s="16" t="n"/>
      <c r="M724" s="16" t="n"/>
      <c r="N724" s="17">
        <f>IF($D724="","",IF($M724="Excused","No",IF(AND($G724="PT Modified",$L724="Received"),"No","Yes")))</f>
        <v/>
      </c>
      <c r="O724" s="16" t="n"/>
      <c r="P724" s="17">
        <f>IF(OR($B724="",N($I724)=0),"",MIN(N($I724),SUMIFS(nrMK_Min,nrMK_Link,$B724,nrMK_Credit,"Yes",nrMK_PID,$E724,nrMK_Type,"Classroom")))</f>
        <v/>
      </c>
      <c r="Q724" s="17">
        <f>IF(OR($B724="",N($J724)=0),"",MIN(N($J724),SUMIFS(nrMK_Sess,nrMK_Link,$B724,nrMK_Credit,"Yes",nrMK_PID,$E724,nrMK_Type,"PT")))</f>
        <v/>
      </c>
      <c r="R724" s="17">
        <f>IF(OR($B724="",$N724&lt;&gt;"Yes"),"",IF($K724="Yes",IF(N($J724)&gt;0,N($J724)-N($Q724),""),IF(N($I724)&gt;0,N($I724)-N($P724),"")))</f>
        <v/>
      </c>
      <c r="S724" s="17">
        <f>IF(OR($B724="",$R724=""),"",IF($R724&lt;=0,IF(IFERROR(_xlfn.MAXIFS(nrMK_Date,nrMK_Link,$B724,nrMK_Credit,"Yes",nrMK_PID,$E724),0)=0,"CLEARED (makeup date missing)","CLEARED "&amp;TEXT(_xlfn.MAXIFS(nrMK_Date,nrMK_Link,$B724,nrMK_Credit,"Yes",nrMK_PID,$E724),"mm/dd")),"OPEN"))</f>
        <v/>
      </c>
      <c r="T724" s="17">
        <f>IF($D724="","",IF($C724="","NO DATE",IF($G724="","NO EVENT TYPE",IF(AND($I724&lt;&gt;"",NOT(ISNUMBER($I724))),"MINUTES NOT A NUMBER",IF(AND($J724&lt;&gt;"",NOT(ISNUMBER($J724))),"SESSIONS NOT A NUMBER",IF(OR(N($I724)&lt;0,N($J724)&lt;0),"NEGATIVE MINUTES/SESSIONS",IF(AND($K724="Yes",N($I724)&gt;0),"MINUTES ON A PT EVENT - not counted (PT counts sessions)",IF(AND($K724="No",N($J724)&gt;0),"SESSIONS ON A CLASSROOM EVENT - not counted (classroom counts minutes)",IF(AND($N724="Yes",$K724="Yes",N($J724)=0),"COUNTED PT EVENT WITH NO SESSIONS - dropped from the PT cap",IF(AND($N724="Yes",$K724="No",N($I724)=0),"COUNTED EVENT WITH NO MINUTES - dropped from the classroom cap","OK"))))))))))</f>
        <v/>
      </c>
    </row>
    <row r="725">
      <c r="B725" s="17">
        <f>IF($D725="","","A"&amp;TEXT(ROW()-5,"000"))</f>
        <v/>
      </c>
      <c r="C725" s="18" t="n"/>
      <c r="D725" s="16" t="n"/>
      <c r="E725" s="17">
        <f>IF($D725="","",IFERROR(INDEX(rngCadetPIDs,MATCH($D725,rngCadetNames,0)),"?"))</f>
        <v/>
      </c>
      <c r="F725" s="17">
        <f>IF($E725="","",IFERROR(INDEX(nrCadetAgency,MATCH($E725,rngCadetPIDs,0)),""))</f>
        <v/>
      </c>
      <c r="G725" s="16" t="n"/>
      <c r="H725" s="16" t="n"/>
      <c r="I725" s="16" t="n"/>
      <c r="J725" s="16" t="n"/>
      <c r="K725" s="17">
        <f>IF($G725="","",IF(OR($G725="PT Missed",$G725="PT Modified",$G725="PT Refused"),"Yes","No"))</f>
        <v/>
      </c>
      <c r="L725" s="16" t="n"/>
      <c r="M725" s="16" t="n"/>
      <c r="N725" s="17">
        <f>IF($D725="","",IF($M725="Excused","No",IF(AND($G725="PT Modified",$L725="Received"),"No","Yes")))</f>
        <v/>
      </c>
      <c r="O725" s="16" t="n"/>
      <c r="P725" s="17">
        <f>IF(OR($B725="",N($I725)=0),"",MIN(N($I725),SUMIFS(nrMK_Min,nrMK_Link,$B725,nrMK_Credit,"Yes",nrMK_PID,$E725,nrMK_Type,"Classroom")))</f>
        <v/>
      </c>
      <c r="Q725" s="17">
        <f>IF(OR($B725="",N($J725)=0),"",MIN(N($J725),SUMIFS(nrMK_Sess,nrMK_Link,$B725,nrMK_Credit,"Yes",nrMK_PID,$E725,nrMK_Type,"PT")))</f>
        <v/>
      </c>
      <c r="R725" s="17">
        <f>IF(OR($B725="",$N725&lt;&gt;"Yes"),"",IF($K725="Yes",IF(N($J725)&gt;0,N($J725)-N($Q725),""),IF(N($I725)&gt;0,N($I725)-N($P725),"")))</f>
        <v/>
      </c>
      <c r="S725" s="17">
        <f>IF(OR($B725="",$R725=""),"",IF($R725&lt;=0,IF(IFERROR(_xlfn.MAXIFS(nrMK_Date,nrMK_Link,$B725,nrMK_Credit,"Yes",nrMK_PID,$E725),0)=0,"CLEARED (makeup date missing)","CLEARED "&amp;TEXT(_xlfn.MAXIFS(nrMK_Date,nrMK_Link,$B725,nrMK_Credit,"Yes",nrMK_PID,$E725),"mm/dd")),"OPEN"))</f>
        <v/>
      </c>
      <c r="T725" s="17">
        <f>IF($D725="","",IF($C725="","NO DATE",IF($G725="","NO EVENT TYPE",IF(AND($I725&lt;&gt;"",NOT(ISNUMBER($I725))),"MINUTES NOT A NUMBER",IF(AND($J725&lt;&gt;"",NOT(ISNUMBER($J725))),"SESSIONS NOT A NUMBER",IF(OR(N($I725)&lt;0,N($J725)&lt;0),"NEGATIVE MINUTES/SESSIONS",IF(AND($K725="Yes",N($I725)&gt;0),"MINUTES ON A PT EVENT - not counted (PT counts sessions)",IF(AND($K725="No",N($J725)&gt;0),"SESSIONS ON A CLASSROOM EVENT - not counted (classroom counts minutes)",IF(AND($N725="Yes",$K725="Yes",N($J725)=0),"COUNTED PT EVENT WITH NO SESSIONS - dropped from the PT cap",IF(AND($N725="Yes",$K725="No",N($I725)=0),"COUNTED EVENT WITH NO MINUTES - dropped from the classroom cap","OK"))))))))))</f>
        <v/>
      </c>
    </row>
    <row r="726">
      <c r="B726" s="17">
        <f>IF($D726="","","A"&amp;TEXT(ROW()-5,"000"))</f>
        <v/>
      </c>
      <c r="C726" s="18" t="n"/>
      <c r="D726" s="16" t="n"/>
      <c r="E726" s="17">
        <f>IF($D726="","",IFERROR(INDEX(rngCadetPIDs,MATCH($D726,rngCadetNames,0)),"?"))</f>
        <v/>
      </c>
      <c r="F726" s="17">
        <f>IF($E726="","",IFERROR(INDEX(nrCadetAgency,MATCH($E726,rngCadetPIDs,0)),""))</f>
        <v/>
      </c>
      <c r="G726" s="16" t="n"/>
      <c r="H726" s="16" t="n"/>
      <c r="I726" s="16" t="n"/>
      <c r="J726" s="16" t="n"/>
      <c r="K726" s="17">
        <f>IF($G726="","",IF(OR($G726="PT Missed",$G726="PT Modified",$G726="PT Refused"),"Yes","No"))</f>
        <v/>
      </c>
      <c r="L726" s="16" t="n"/>
      <c r="M726" s="16" t="n"/>
      <c r="N726" s="17">
        <f>IF($D726="","",IF($M726="Excused","No",IF(AND($G726="PT Modified",$L726="Received"),"No","Yes")))</f>
        <v/>
      </c>
      <c r="O726" s="16" t="n"/>
      <c r="P726" s="17">
        <f>IF(OR($B726="",N($I726)=0),"",MIN(N($I726),SUMIFS(nrMK_Min,nrMK_Link,$B726,nrMK_Credit,"Yes",nrMK_PID,$E726,nrMK_Type,"Classroom")))</f>
        <v/>
      </c>
      <c r="Q726" s="17">
        <f>IF(OR($B726="",N($J726)=0),"",MIN(N($J726),SUMIFS(nrMK_Sess,nrMK_Link,$B726,nrMK_Credit,"Yes",nrMK_PID,$E726,nrMK_Type,"PT")))</f>
        <v/>
      </c>
      <c r="R726" s="17">
        <f>IF(OR($B726="",$N726&lt;&gt;"Yes"),"",IF($K726="Yes",IF(N($J726)&gt;0,N($J726)-N($Q726),""),IF(N($I726)&gt;0,N($I726)-N($P726),"")))</f>
        <v/>
      </c>
      <c r="S726" s="17">
        <f>IF(OR($B726="",$R726=""),"",IF($R726&lt;=0,IF(IFERROR(_xlfn.MAXIFS(nrMK_Date,nrMK_Link,$B726,nrMK_Credit,"Yes",nrMK_PID,$E726),0)=0,"CLEARED (makeup date missing)","CLEARED "&amp;TEXT(_xlfn.MAXIFS(nrMK_Date,nrMK_Link,$B726,nrMK_Credit,"Yes",nrMK_PID,$E726),"mm/dd")),"OPEN"))</f>
        <v/>
      </c>
      <c r="T726" s="17">
        <f>IF($D726="","",IF($C726="","NO DATE",IF($G726="","NO EVENT TYPE",IF(AND($I726&lt;&gt;"",NOT(ISNUMBER($I726))),"MINUTES NOT A NUMBER",IF(AND($J726&lt;&gt;"",NOT(ISNUMBER($J726))),"SESSIONS NOT A NUMBER",IF(OR(N($I726)&lt;0,N($J726)&lt;0),"NEGATIVE MINUTES/SESSIONS",IF(AND($K726="Yes",N($I726)&gt;0),"MINUTES ON A PT EVENT - not counted (PT counts sessions)",IF(AND($K726="No",N($J726)&gt;0),"SESSIONS ON A CLASSROOM EVENT - not counted (classroom counts minutes)",IF(AND($N726="Yes",$K726="Yes",N($J726)=0),"COUNTED PT EVENT WITH NO SESSIONS - dropped from the PT cap",IF(AND($N726="Yes",$K726="No",N($I726)=0),"COUNTED EVENT WITH NO MINUTES - dropped from the classroom cap","OK"))))))))))</f>
        <v/>
      </c>
    </row>
    <row r="727">
      <c r="B727" s="17">
        <f>IF($D727="","","A"&amp;TEXT(ROW()-5,"000"))</f>
        <v/>
      </c>
      <c r="C727" s="18" t="n"/>
      <c r="D727" s="16" t="n"/>
      <c r="E727" s="17">
        <f>IF($D727="","",IFERROR(INDEX(rngCadetPIDs,MATCH($D727,rngCadetNames,0)),"?"))</f>
        <v/>
      </c>
      <c r="F727" s="17">
        <f>IF($E727="","",IFERROR(INDEX(nrCadetAgency,MATCH($E727,rngCadetPIDs,0)),""))</f>
        <v/>
      </c>
      <c r="G727" s="16" t="n"/>
      <c r="H727" s="16" t="n"/>
      <c r="I727" s="16" t="n"/>
      <c r="J727" s="16" t="n"/>
      <c r="K727" s="17">
        <f>IF($G727="","",IF(OR($G727="PT Missed",$G727="PT Modified",$G727="PT Refused"),"Yes","No"))</f>
        <v/>
      </c>
      <c r="L727" s="16" t="n"/>
      <c r="M727" s="16" t="n"/>
      <c r="N727" s="17">
        <f>IF($D727="","",IF($M727="Excused","No",IF(AND($G727="PT Modified",$L727="Received"),"No","Yes")))</f>
        <v/>
      </c>
      <c r="O727" s="16" t="n"/>
      <c r="P727" s="17">
        <f>IF(OR($B727="",N($I727)=0),"",MIN(N($I727),SUMIFS(nrMK_Min,nrMK_Link,$B727,nrMK_Credit,"Yes",nrMK_PID,$E727,nrMK_Type,"Classroom")))</f>
        <v/>
      </c>
      <c r="Q727" s="17">
        <f>IF(OR($B727="",N($J727)=0),"",MIN(N($J727),SUMIFS(nrMK_Sess,nrMK_Link,$B727,nrMK_Credit,"Yes",nrMK_PID,$E727,nrMK_Type,"PT")))</f>
        <v/>
      </c>
      <c r="R727" s="17">
        <f>IF(OR($B727="",$N727&lt;&gt;"Yes"),"",IF($K727="Yes",IF(N($J727)&gt;0,N($J727)-N($Q727),""),IF(N($I727)&gt;0,N($I727)-N($P727),"")))</f>
        <v/>
      </c>
      <c r="S727" s="17">
        <f>IF(OR($B727="",$R727=""),"",IF($R727&lt;=0,IF(IFERROR(_xlfn.MAXIFS(nrMK_Date,nrMK_Link,$B727,nrMK_Credit,"Yes",nrMK_PID,$E727),0)=0,"CLEARED (makeup date missing)","CLEARED "&amp;TEXT(_xlfn.MAXIFS(nrMK_Date,nrMK_Link,$B727,nrMK_Credit,"Yes",nrMK_PID,$E727),"mm/dd")),"OPEN"))</f>
        <v/>
      </c>
      <c r="T727" s="17">
        <f>IF($D727="","",IF($C727="","NO DATE",IF($G727="","NO EVENT TYPE",IF(AND($I727&lt;&gt;"",NOT(ISNUMBER($I727))),"MINUTES NOT A NUMBER",IF(AND($J727&lt;&gt;"",NOT(ISNUMBER($J727))),"SESSIONS NOT A NUMBER",IF(OR(N($I727)&lt;0,N($J727)&lt;0),"NEGATIVE MINUTES/SESSIONS",IF(AND($K727="Yes",N($I727)&gt;0),"MINUTES ON A PT EVENT - not counted (PT counts sessions)",IF(AND($K727="No",N($J727)&gt;0),"SESSIONS ON A CLASSROOM EVENT - not counted (classroom counts minutes)",IF(AND($N727="Yes",$K727="Yes",N($J727)=0),"COUNTED PT EVENT WITH NO SESSIONS - dropped from the PT cap",IF(AND($N727="Yes",$K727="No",N($I727)=0),"COUNTED EVENT WITH NO MINUTES - dropped from the classroom cap","OK"))))))))))</f>
        <v/>
      </c>
    </row>
    <row r="728">
      <c r="B728" s="17">
        <f>IF($D728="","","A"&amp;TEXT(ROW()-5,"000"))</f>
        <v/>
      </c>
      <c r="C728" s="18" t="n"/>
      <c r="D728" s="16" t="n"/>
      <c r="E728" s="17">
        <f>IF($D728="","",IFERROR(INDEX(rngCadetPIDs,MATCH($D728,rngCadetNames,0)),"?"))</f>
        <v/>
      </c>
      <c r="F728" s="17">
        <f>IF($E728="","",IFERROR(INDEX(nrCadetAgency,MATCH($E728,rngCadetPIDs,0)),""))</f>
        <v/>
      </c>
      <c r="G728" s="16" t="n"/>
      <c r="H728" s="16" t="n"/>
      <c r="I728" s="16" t="n"/>
      <c r="J728" s="16" t="n"/>
      <c r="K728" s="17">
        <f>IF($G728="","",IF(OR($G728="PT Missed",$G728="PT Modified",$G728="PT Refused"),"Yes","No"))</f>
        <v/>
      </c>
      <c r="L728" s="16" t="n"/>
      <c r="M728" s="16" t="n"/>
      <c r="N728" s="17">
        <f>IF($D728="","",IF($M728="Excused","No",IF(AND($G728="PT Modified",$L728="Received"),"No","Yes")))</f>
        <v/>
      </c>
      <c r="O728" s="16" t="n"/>
      <c r="P728" s="17">
        <f>IF(OR($B728="",N($I728)=0),"",MIN(N($I728),SUMIFS(nrMK_Min,nrMK_Link,$B728,nrMK_Credit,"Yes",nrMK_PID,$E728,nrMK_Type,"Classroom")))</f>
        <v/>
      </c>
      <c r="Q728" s="17">
        <f>IF(OR($B728="",N($J728)=0),"",MIN(N($J728),SUMIFS(nrMK_Sess,nrMK_Link,$B728,nrMK_Credit,"Yes",nrMK_PID,$E728,nrMK_Type,"PT")))</f>
        <v/>
      </c>
      <c r="R728" s="17">
        <f>IF(OR($B728="",$N728&lt;&gt;"Yes"),"",IF($K728="Yes",IF(N($J728)&gt;0,N($J728)-N($Q728),""),IF(N($I728)&gt;0,N($I728)-N($P728),"")))</f>
        <v/>
      </c>
      <c r="S728" s="17">
        <f>IF(OR($B728="",$R728=""),"",IF($R728&lt;=0,IF(IFERROR(_xlfn.MAXIFS(nrMK_Date,nrMK_Link,$B728,nrMK_Credit,"Yes",nrMK_PID,$E728),0)=0,"CLEARED (makeup date missing)","CLEARED "&amp;TEXT(_xlfn.MAXIFS(nrMK_Date,nrMK_Link,$B728,nrMK_Credit,"Yes",nrMK_PID,$E728),"mm/dd")),"OPEN"))</f>
        <v/>
      </c>
      <c r="T728" s="17">
        <f>IF($D728="","",IF($C728="","NO DATE",IF($G728="","NO EVENT TYPE",IF(AND($I728&lt;&gt;"",NOT(ISNUMBER($I728))),"MINUTES NOT A NUMBER",IF(AND($J728&lt;&gt;"",NOT(ISNUMBER($J728))),"SESSIONS NOT A NUMBER",IF(OR(N($I728)&lt;0,N($J728)&lt;0),"NEGATIVE MINUTES/SESSIONS",IF(AND($K728="Yes",N($I728)&gt;0),"MINUTES ON A PT EVENT - not counted (PT counts sessions)",IF(AND($K728="No",N($J728)&gt;0),"SESSIONS ON A CLASSROOM EVENT - not counted (classroom counts minutes)",IF(AND($N728="Yes",$K728="Yes",N($J728)=0),"COUNTED PT EVENT WITH NO SESSIONS - dropped from the PT cap",IF(AND($N728="Yes",$K728="No",N($I728)=0),"COUNTED EVENT WITH NO MINUTES - dropped from the classroom cap","OK"))))))))))</f>
        <v/>
      </c>
    </row>
    <row r="729">
      <c r="B729" s="17">
        <f>IF($D729="","","A"&amp;TEXT(ROW()-5,"000"))</f>
        <v/>
      </c>
      <c r="C729" s="18" t="n"/>
      <c r="D729" s="16" t="n"/>
      <c r="E729" s="17">
        <f>IF($D729="","",IFERROR(INDEX(rngCadetPIDs,MATCH($D729,rngCadetNames,0)),"?"))</f>
        <v/>
      </c>
      <c r="F729" s="17">
        <f>IF($E729="","",IFERROR(INDEX(nrCadetAgency,MATCH($E729,rngCadetPIDs,0)),""))</f>
        <v/>
      </c>
      <c r="G729" s="16" t="n"/>
      <c r="H729" s="16" t="n"/>
      <c r="I729" s="16" t="n"/>
      <c r="J729" s="16" t="n"/>
      <c r="K729" s="17">
        <f>IF($G729="","",IF(OR($G729="PT Missed",$G729="PT Modified",$G729="PT Refused"),"Yes","No"))</f>
        <v/>
      </c>
      <c r="L729" s="16" t="n"/>
      <c r="M729" s="16" t="n"/>
      <c r="N729" s="17">
        <f>IF($D729="","",IF($M729="Excused","No",IF(AND($G729="PT Modified",$L729="Received"),"No","Yes")))</f>
        <v/>
      </c>
      <c r="O729" s="16" t="n"/>
      <c r="P729" s="17">
        <f>IF(OR($B729="",N($I729)=0),"",MIN(N($I729),SUMIFS(nrMK_Min,nrMK_Link,$B729,nrMK_Credit,"Yes",nrMK_PID,$E729,nrMK_Type,"Classroom")))</f>
        <v/>
      </c>
      <c r="Q729" s="17">
        <f>IF(OR($B729="",N($J729)=0),"",MIN(N($J729),SUMIFS(nrMK_Sess,nrMK_Link,$B729,nrMK_Credit,"Yes",nrMK_PID,$E729,nrMK_Type,"PT")))</f>
        <v/>
      </c>
      <c r="R729" s="17">
        <f>IF(OR($B729="",$N729&lt;&gt;"Yes"),"",IF($K729="Yes",IF(N($J729)&gt;0,N($J729)-N($Q729),""),IF(N($I729)&gt;0,N($I729)-N($P729),"")))</f>
        <v/>
      </c>
      <c r="S729" s="17">
        <f>IF(OR($B729="",$R729=""),"",IF($R729&lt;=0,IF(IFERROR(_xlfn.MAXIFS(nrMK_Date,nrMK_Link,$B729,nrMK_Credit,"Yes",nrMK_PID,$E729),0)=0,"CLEARED (makeup date missing)","CLEARED "&amp;TEXT(_xlfn.MAXIFS(nrMK_Date,nrMK_Link,$B729,nrMK_Credit,"Yes",nrMK_PID,$E729),"mm/dd")),"OPEN"))</f>
        <v/>
      </c>
      <c r="T729" s="17">
        <f>IF($D729="","",IF($C729="","NO DATE",IF($G729="","NO EVENT TYPE",IF(AND($I729&lt;&gt;"",NOT(ISNUMBER($I729))),"MINUTES NOT A NUMBER",IF(AND($J729&lt;&gt;"",NOT(ISNUMBER($J729))),"SESSIONS NOT A NUMBER",IF(OR(N($I729)&lt;0,N($J729)&lt;0),"NEGATIVE MINUTES/SESSIONS",IF(AND($K729="Yes",N($I729)&gt;0),"MINUTES ON A PT EVENT - not counted (PT counts sessions)",IF(AND($K729="No",N($J729)&gt;0),"SESSIONS ON A CLASSROOM EVENT - not counted (classroom counts minutes)",IF(AND($N729="Yes",$K729="Yes",N($J729)=0),"COUNTED PT EVENT WITH NO SESSIONS - dropped from the PT cap",IF(AND($N729="Yes",$K729="No",N($I729)=0),"COUNTED EVENT WITH NO MINUTES - dropped from the classroom cap","OK"))))))))))</f>
        <v/>
      </c>
    </row>
    <row r="730">
      <c r="B730" s="17">
        <f>IF($D730="","","A"&amp;TEXT(ROW()-5,"000"))</f>
        <v/>
      </c>
      <c r="C730" s="18" t="n"/>
      <c r="D730" s="16" t="n"/>
      <c r="E730" s="17">
        <f>IF($D730="","",IFERROR(INDEX(rngCadetPIDs,MATCH($D730,rngCadetNames,0)),"?"))</f>
        <v/>
      </c>
      <c r="F730" s="17">
        <f>IF($E730="","",IFERROR(INDEX(nrCadetAgency,MATCH($E730,rngCadetPIDs,0)),""))</f>
        <v/>
      </c>
      <c r="G730" s="16" t="n"/>
      <c r="H730" s="16" t="n"/>
      <c r="I730" s="16" t="n"/>
      <c r="J730" s="16" t="n"/>
      <c r="K730" s="17">
        <f>IF($G730="","",IF(OR($G730="PT Missed",$G730="PT Modified",$G730="PT Refused"),"Yes","No"))</f>
        <v/>
      </c>
      <c r="L730" s="16" t="n"/>
      <c r="M730" s="16" t="n"/>
      <c r="N730" s="17">
        <f>IF($D730="","",IF($M730="Excused","No",IF(AND($G730="PT Modified",$L730="Received"),"No","Yes")))</f>
        <v/>
      </c>
      <c r="O730" s="16" t="n"/>
      <c r="P730" s="17">
        <f>IF(OR($B730="",N($I730)=0),"",MIN(N($I730),SUMIFS(nrMK_Min,nrMK_Link,$B730,nrMK_Credit,"Yes",nrMK_PID,$E730,nrMK_Type,"Classroom")))</f>
        <v/>
      </c>
      <c r="Q730" s="17">
        <f>IF(OR($B730="",N($J730)=0),"",MIN(N($J730),SUMIFS(nrMK_Sess,nrMK_Link,$B730,nrMK_Credit,"Yes",nrMK_PID,$E730,nrMK_Type,"PT")))</f>
        <v/>
      </c>
      <c r="R730" s="17">
        <f>IF(OR($B730="",$N730&lt;&gt;"Yes"),"",IF($K730="Yes",IF(N($J730)&gt;0,N($J730)-N($Q730),""),IF(N($I730)&gt;0,N($I730)-N($P730),"")))</f>
        <v/>
      </c>
      <c r="S730" s="17">
        <f>IF(OR($B730="",$R730=""),"",IF($R730&lt;=0,IF(IFERROR(_xlfn.MAXIFS(nrMK_Date,nrMK_Link,$B730,nrMK_Credit,"Yes",nrMK_PID,$E730),0)=0,"CLEARED (makeup date missing)","CLEARED "&amp;TEXT(_xlfn.MAXIFS(nrMK_Date,nrMK_Link,$B730,nrMK_Credit,"Yes",nrMK_PID,$E730),"mm/dd")),"OPEN"))</f>
        <v/>
      </c>
      <c r="T730" s="17">
        <f>IF($D730="","",IF($C730="","NO DATE",IF($G730="","NO EVENT TYPE",IF(AND($I730&lt;&gt;"",NOT(ISNUMBER($I730))),"MINUTES NOT A NUMBER",IF(AND($J730&lt;&gt;"",NOT(ISNUMBER($J730))),"SESSIONS NOT A NUMBER",IF(OR(N($I730)&lt;0,N($J730)&lt;0),"NEGATIVE MINUTES/SESSIONS",IF(AND($K730="Yes",N($I730)&gt;0),"MINUTES ON A PT EVENT - not counted (PT counts sessions)",IF(AND($K730="No",N($J730)&gt;0),"SESSIONS ON A CLASSROOM EVENT - not counted (classroom counts minutes)",IF(AND($N730="Yes",$K730="Yes",N($J730)=0),"COUNTED PT EVENT WITH NO SESSIONS - dropped from the PT cap",IF(AND($N730="Yes",$K730="No",N($I730)=0),"COUNTED EVENT WITH NO MINUTES - dropped from the classroom cap","OK"))))))))))</f>
        <v/>
      </c>
    </row>
    <row r="731">
      <c r="B731" s="17">
        <f>IF($D731="","","A"&amp;TEXT(ROW()-5,"000"))</f>
        <v/>
      </c>
      <c r="C731" s="18" t="n"/>
      <c r="D731" s="16" t="n"/>
      <c r="E731" s="17">
        <f>IF($D731="","",IFERROR(INDEX(rngCadetPIDs,MATCH($D731,rngCadetNames,0)),"?"))</f>
        <v/>
      </c>
      <c r="F731" s="17">
        <f>IF($E731="","",IFERROR(INDEX(nrCadetAgency,MATCH($E731,rngCadetPIDs,0)),""))</f>
        <v/>
      </c>
      <c r="G731" s="16" t="n"/>
      <c r="H731" s="16" t="n"/>
      <c r="I731" s="16" t="n"/>
      <c r="J731" s="16" t="n"/>
      <c r="K731" s="17">
        <f>IF($G731="","",IF(OR($G731="PT Missed",$G731="PT Modified",$G731="PT Refused"),"Yes","No"))</f>
        <v/>
      </c>
      <c r="L731" s="16" t="n"/>
      <c r="M731" s="16" t="n"/>
      <c r="N731" s="17">
        <f>IF($D731="","",IF($M731="Excused","No",IF(AND($G731="PT Modified",$L731="Received"),"No","Yes")))</f>
        <v/>
      </c>
      <c r="O731" s="16" t="n"/>
      <c r="P731" s="17">
        <f>IF(OR($B731="",N($I731)=0),"",MIN(N($I731),SUMIFS(nrMK_Min,nrMK_Link,$B731,nrMK_Credit,"Yes",nrMK_PID,$E731,nrMK_Type,"Classroom")))</f>
        <v/>
      </c>
      <c r="Q731" s="17">
        <f>IF(OR($B731="",N($J731)=0),"",MIN(N($J731),SUMIFS(nrMK_Sess,nrMK_Link,$B731,nrMK_Credit,"Yes",nrMK_PID,$E731,nrMK_Type,"PT")))</f>
        <v/>
      </c>
      <c r="R731" s="17">
        <f>IF(OR($B731="",$N731&lt;&gt;"Yes"),"",IF($K731="Yes",IF(N($J731)&gt;0,N($J731)-N($Q731),""),IF(N($I731)&gt;0,N($I731)-N($P731),"")))</f>
        <v/>
      </c>
      <c r="S731" s="17">
        <f>IF(OR($B731="",$R731=""),"",IF($R731&lt;=0,IF(IFERROR(_xlfn.MAXIFS(nrMK_Date,nrMK_Link,$B731,nrMK_Credit,"Yes",nrMK_PID,$E731),0)=0,"CLEARED (makeup date missing)","CLEARED "&amp;TEXT(_xlfn.MAXIFS(nrMK_Date,nrMK_Link,$B731,nrMK_Credit,"Yes",nrMK_PID,$E731),"mm/dd")),"OPEN"))</f>
        <v/>
      </c>
      <c r="T731" s="17">
        <f>IF($D731="","",IF($C731="","NO DATE",IF($G731="","NO EVENT TYPE",IF(AND($I731&lt;&gt;"",NOT(ISNUMBER($I731))),"MINUTES NOT A NUMBER",IF(AND($J731&lt;&gt;"",NOT(ISNUMBER($J731))),"SESSIONS NOT A NUMBER",IF(OR(N($I731)&lt;0,N($J731)&lt;0),"NEGATIVE MINUTES/SESSIONS",IF(AND($K731="Yes",N($I731)&gt;0),"MINUTES ON A PT EVENT - not counted (PT counts sessions)",IF(AND($K731="No",N($J731)&gt;0),"SESSIONS ON A CLASSROOM EVENT - not counted (classroom counts minutes)",IF(AND($N731="Yes",$K731="Yes",N($J731)=0),"COUNTED PT EVENT WITH NO SESSIONS - dropped from the PT cap",IF(AND($N731="Yes",$K731="No",N($I731)=0),"COUNTED EVENT WITH NO MINUTES - dropped from the classroom cap","OK"))))))))))</f>
        <v/>
      </c>
    </row>
    <row r="732">
      <c r="B732" s="17">
        <f>IF($D732="","","A"&amp;TEXT(ROW()-5,"000"))</f>
        <v/>
      </c>
      <c r="C732" s="18" t="n"/>
      <c r="D732" s="16" t="n"/>
      <c r="E732" s="17">
        <f>IF($D732="","",IFERROR(INDEX(rngCadetPIDs,MATCH($D732,rngCadetNames,0)),"?"))</f>
        <v/>
      </c>
      <c r="F732" s="17">
        <f>IF($E732="","",IFERROR(INDEX(nrCadetAgency,MATCH($E732,rngCadetPIDs,0)),""))</f>
        <v/>
      </c>
      <c r="G732" s="16" t="n"/>
      <c r="H732" s="16" t="n"/>
      <c r="I732" s="16" t="n"/>
      <c r="J732" s="16" t="n"/>
      <c r="K732" s="17">
        <f>IF($G732="","",IF(OR($G732="PT Missed",$G732="PT Modified",$G732="PT Refused"),"Yes","No"))</f>
        <v/>
      </c>
      <c r="L732" s="16" t="n"/>
      <c r="M732" s="16" t="n"/>
      <c r="N732" s="17">
        <f>IF($D732="","",IF($M732="Excused","No",IF(AND($G732="PT Modified",$L732="Received"),"No","Yes")))</f>
        <v/>
      </c>
      <c r="O732" s="16" t="n"/>
      <c r="P732" s="17">
        <f>IF(OR($B732="",N($I732)=0),"",MIN(N($I732),SUMIFS(nrMK_Min,nrMK_Link,$B732,nrMK_Credit,"Yes",nrMK_PID,$E732,nrMK_Type,"Classroom")))</f>
        <v/>
      </c>
      <c r="Q732" s="17">
        <f>IF(OR($B732="",N($J732)=0),"",MIN(N($J732),SUMIFS(nrMK_Sess,nrMK_Link,$B732,nrMK_Credit,"Yes",nrMK_PID,$E732,nrMK_Type,"PT")))</f>
        <v/>
      </c>
      <c r="R732" s="17">
        <f>IF(OR($B732="",$N732&lt;&gt;"Yes"),"",IF($K732="Yes",IF(N($J732)&gt;0,N($J732)-N($Q732),""),IF(N($I732)&gt;0,N($I732)-N($P732),"")))</f>
        <v/>
      </c>
      <c r="S732" s="17">
        <f>IF(OR($B732="",$R732=""),"",IF($R732&lt;=0,IF(IFERROR(_xlfn.MAXIFS(nrMK_Date,nrMK_Link,$B732,nrMK_Credit,"Yes",nrMK_PID,$E732),0)=0,"CLEARED (makeup date missing)","CLEARED "&amp;TEXT(_xlfn.MAXIFS(nrMK_Date,nrMK_Link,$B732,nrMK_Credit,"Yes",nrMK_PID,$E732),"mm/dd")),"OPEN"))</f>
        <v/>
      </c>
      <c r="T732" s="17">
        <f>IF($D732="","",IF($C732="","NO DATE",IF($G732="","NO EVENT TYPE",IF(AND($I732&lt;&gt;"",NOT(ISNUMBER($I732))),"MINUTES NOT A NUMBER",IF(AND($J732&lt;&gt;"",NOT(ISNUMBER($J732))),"SESSIONS NOT A NUMBER",IF(OR(N($I732)&lt;0,N($J732)&lt;0),"NEGATIVE MINUTES/SESSIONS",IF(AND($K732="Yes",N($I732)&gt;0),"MINUTES ON A PT EVENT - not counted (PT counts sessions)",IF(AND($K732="No",N($J732)&gt;0),"SESSIONS ON A CLASSROOM EVENT - not counted (classroom counts minutes)",IF(AND($N732="Yes",$K732="Yes",N($J732)=0),"COUNTED PT EVENT WITH NO SESSIONS - dropped from the PT cap",IF(AND($N732="Yes",$K732="No",N($I732)=0),"COUNTED EVENT WITH NO MINUTES - dropped from the classroom cap","OK"))))))))))</f>
        <v/>
      </c>
    </row>
    <row r="733">
      <c r="B733" s="17">
        <f>IF($D733="","","A"&amp;TEXT(ROW()-5,"000"))</f>
        <v/>
      </c>
      <c r="C733" s="18" t="n"/>
      <c r="D733" s="16" t="n"/>
      <c r="E733" s="17">
        <f>IF($D733="","",IFERROR(INDEX(rngCadetPIDs,MATCH($D733,rngCadetNames,0)),"?"))</f>
        <v/>
      </c>
      <c r="F733" s="17">
        <f>IF($E733="","",IFERROR(INDEX(nrCadetAgency,MATCH($E733,rngCadetPIDs,0)),""))</f>
        <v/>
      </c>
      <c r="G733" s="16" t="n"/>
      <c r="H733" s="16" t="n"/>
      <c r="I733" s="16" t="n"/>
      <c r="J733" s="16" t="n"/>
      <c r="K733" s="17">
        <f>IF($G733="","",IF(OR($G733="PT Missed",$G733="PT Modified",$G733="PT Refused"),"Yes","No"))</f>
        <v/>
      </c>
      <c r="L733" s="16" t="n"/>
      <c r="M733" s="16" t="n"/>
      <c r="N733" s="17">
        <f>IF($D733="","",IF($M733="Excused","No",IF(AND($G733="PT Modified",$L733="Received"),"No","Yes")))</f>
        <v/>
      </c>
      <c r="O733" s="16" t="n"/>
      <c r="P733" s="17">
        <f>IF(OR($B733="",N($I733)=0),"",MIN(N($I733),SUMIFS(nrMK_Min,nrMK_Link,$B733,nrMK_Credit,"Yes",nrMK_PID,$E733,nrMK_Type,"Classroom")))</f>
        <v/>
      </c>
      <c r="Q733" s="17">
        <f>IF(OR($B733="",N($J733)=0),"",MIN(N($J733),SUMIFS(nrMK_Sess,nrMK_Link,$B733,nrMK_Credit,"Yes",nrMK_PID,$E733,nrMK_Type,"PT")))</f>
        <v/>
      </c>
      <c r="R733" s="17">
        <f>IF(OR($B733="",$N733&lt;&gt;"Yes"),"",IF($K733="Yes",IF(N($J733)&gt;0,N($J733)-N($Q733),""),IF(N($I733)&gt;0,N($I733)-N($P733),"")))</f>
        <v/>
      </c>
      <c r="S733" s="17">
        <f>IF(OR($B733="",$R733=""),"",IF($R733&lt;=0,IF(IFERROR(_xlfn.MAXIFS(nrMK_Date,nrMK_Link,$B733,nrMK_Credit,"Yes",nrMK_PID,$E733),0)=0,"CLEARED (makeup date missing)","CLEARED "&amp;TEXT(_xlfn.MAXIFS(nrMK_Date,nrMK_Link,$B733,nrMK_Credit,"Yes",nrMK_PID,$E733),"mm/dd")),"OPEN"))</f>
        <v/>
      </c>
      <c r="T733" s="17">
        <f>IF($D733="","",IF($C733="","NO DATE",IF($G733="","NO EVENT TYPE",IF(AND($I733&lt;&gt;"",NOT(ISNUMBER($I733))),"MINUTES NOT A NUMBER",IF(AND($J733&lt;&gt;"",NOT(ISNUMBER($J733))),"SESSIONS NOT A NUMBER",IF(OR(N($I733)&lt;0,N($J733)&lt;0),"NEGATIVE MINUTES/SESSIONS",IF(AND($K733="Yes",N($I733)&gt;0),"MINUTES ON A PT EVENT - not counted (PT counts sessions)",IF(AND($K733="No",N($J733)&gt;0),"SESSIONS ON A CLASSROOM EVENT - not counted (classroom counts minutes)",IF(AND($N733="Yes",$K733="Yes",N($J733)=0),"COUNTED PT EVENT WITH NO SESSIONS - dropped from the PT cap",IF(AND($N733="Yes",$K733="No",N($I733)=0),"COUNTED EVENT WITH NO MINUTES - dropped from the classroom cap","OK"))))))))))</f>
        <v/>
      </c>
    </row>
    <row r="734">
      <c r="B734" s="17">
        <f>IF($D734="","","A"&amp;TEXT(ROW()-5,"000"))</f>
        <v/>
      </c>
      <c r="C734" s="18" t="n"/>
      <c r="D734" s="16" t="n"/>
      <c r="E734" s="17">
        <f>IF($D734="","",IFERROR(INDEX(rngCadetPIDs,MATCH($D734,rngCadetNames,0)),"?"))</f>
        <v/>
      </c>
      <c r="F734" s="17">
        <f>IF($E734="","",IFERROR(INDEX(nrCadetAgency,MATCH($E734,rngCadetPIDs,0)),""))</f>
        <v/>
      </c>
      <c r="G734" s="16" t="n"/>
      <c r="H734" s="16" t="n"/>
      <c r="I734" s="16" t="n"/>
      <c r="J734" s="16" t="n"/>
      <c r="K734" s="17">
        <f>IF($G734="","",IF(OR($G734="PT Missed",$G734="PT Modified",$G734="PT Refused"),"Yes","No"))</f>
        <v/>
      </c>
      <c r="L734" s="16" t="n"/>
      <c r="M734" s="16" t="n"/>
      <c r="N734" s="17">
        <f>IF($D734="","",IF($M734="Excused","No",IF(AND($G734="PT Modified",$L734="Received"),"No","Yes")))</f>
        <v/>
      </c>
      <c r="O734" s="16" t="n"/>
      <c r="P734" s="17">
        <f>IF(OR($B734="",N($I734)=0),"",MIN(N($I734),SUMIFS(nrMK_Min,nrMK_Link,$B734,nrMK_Credit,"Yes",nrMK_PID,$E734,nrMK_Type,"Classroom")))</f>
        <v/>
      </c>
      <c r="Q734" s="17">
        <f>IF(OR($B734="",N($J734)=0),"",MIN(N($J734),SUMIFS(nrMK_Sess,nrMK_Link,$B734,nrMK_Credit,"Yes",nrMK_PID,$E734,nrMK_Type,"PT")))</f>
        <v/>
      </c>
      <c r="R734" s="17">
        <f>IF(OR($B734="",$N734&lt;&gt;"Yes"),"",IF($K734="Yes",IF(N($J734)&gt;0,N($J734)-N($Q734),""),IF(N($I734)&gt;0,N($I734)-N($P734),"")))</f>
        <v/>
      </c>
      <c r="S734" s="17">
        <f>IF(OR($B734="",$R734=""),"",IF($R734&lt;=0,IF(IFERROR(_xlfn.MAXIFS(nrMK_Date,nrMK_Link,$B734,nrMK_Credit,"Yes",nrMK_PID,$E734),0)=0,"CLEARED (makeup date missing)","CLEARED "&amp;TEXT(_xlfn.MAXIFS(nrMK_Date,nrMK_Link,$B734,nrMK_Credit,"Yes",nrMK_PID,$E734),"mm/dd")),"OPEN"))</f>
        <v/>
      </c>
      <c r="T734" s="17">
        <f>IF($D734="","",IF($C734="","NO DATE",IF($G734="","NO EVENT TYPE",IF(AND($I734&lt;&gt;"",NOT(ISNUMBER($I734))),"MINUTES NOT A NUMBER",IF(AND($J734&lt;&gt;"",NOT(ISNUMBER($J734))),"SESSIONS NOT A NUMBER",IF(OR(N($I734)&lt;0,N($J734)&lt;0),"NEGATIVE MINUTES/SESSIONS",IF(AND($K734="Yes",N($I734)&gt;0),"MINUTES ON A PT EVENT - not counted (PT counts sessions)",IF(AND($K734="No",N($J734)&gt;0),"SESSIONS ON A CLASSROOM EVENT - not counted (classroom counts minutes)",IF(AND($N734="Yes",$K734="Yes",N($J734)=0),"COUNTED PT EVENT WITH NO SESSIONS - dropped from the PT cap",IF(AND($N734="Yes",$K734="No",N($I734)=0),"COUNTED EVENT WITH NO MINUTES - dropped from the classroom cap","OK"))))))))))</f>
        <v/>
      </c>
    </row>
    <row r="735">
      <c r="B735" s="17">
        <f>IF($D735="","","A"&amp;TEXT(ROW()-5,"000"))</f>
        <v/>
      </c>
      <c r="C735" s="18" t="n"/>
      <c r="D735" s="16" t="n"/>
      <c r="E735" s="17">
        <f>IF($D735="","",IFERROR(INDEX(rngCadetPIDs,MATCH($D735,rngCadetNames,0)),"?"))</f>
        <v/>
      </c>
      <c r="F735" s="17">
        <f>IF($E735="","",IFERROR(INDEX(nrCadetAgency,MATCH($E735,rngCadetPIDs,0)),""))</f>
        <v/>
      </c>
      <c r="G735" s="16" t="n"/>
      <c r="H735" s="16" t="n"/>
      <c r="I735" s="16" t="n"/>
      <c r="J735" s="16" t="n"/>
      <c r="K735" s="17">
        <f>IF($G735="","",IF(OR($G735="PT Missed",$G735="PT Modified",$G735="PT Refused"),"Yes","No"))</f>
        <v/>
      </c>
      <c r="L735" s="16" t="n"/>
      <c r="M735" s="16" t="n"/>
      <c r="N735" s="17">
        <f>IF($D735="","",IF($M735="Excused","No",IF(AND($G735="PT Modified",$L735="Received"),"No","Yes")))</f>
        <v/>
      </c>
      <c r="O735" s="16" t="n"/>
      <c r="P735" s="17">
        <f>IF(OR($B735="",N($I735)=0),"",MIN(N($I735),SUMIFS(nrMK_Min,nrMK_Link,$B735,nrMK_Credit,"Yes",nrMK_PID,$E735,nrMK_Type,"Classroom")))</f>
        <v/>
      </c>
      <c r="Q735" s="17">
        <f>IF(OR($B735="",N($J735)=0),"",MIN(N($J735),SUMIFS(nrMK_Sess,nrMK_Link,$B735,nrMK_Credit,"Yes",nrMK_PID,$E735,nrMK_Type,"PT")))</f>
        <v/>
      </c>
      <c r="R735" s="17">
        <f>IF(OR($B735="",$N735&lt;&gt;"Yes"),"",IF($K735="Yes",IF(N($J735)&gt;0,N($J735)-N($Q735),""),IF(N($I735)&gt;0,N($I735)-N($P735),"")))</f>
        <v/>
      </c>
      <c r="S735" s="17">
        <f>IF(OR($B735="",$R735=""),"",IF($R735&lt;=0,IF(IFERROR(_xlfn.MAXIFS(nrMK_Date,nrMK_Link,$B735,nrMK_Credit,"Yes",nrMK_PID,$E735),0)=0,"CLEARED (makeup date missing)","CLEARED "&amp;TEXT(_xlfn.MAXIFS(nrMK_Date,nrMK_Link,$B735,nrMK_Credit,"Yes",nrMK_PID,$E735),"mm/dd")),"OPEN"))</f>
        <v/>
      </c>
      <c r="T735" s="17">
        <f>IF($D735="","",IF($C735="","NO DATE",IF($G735="","NO EVENT TYPE",IF(AND($I735&lt;&gt;"",NOT(ISNUMBER($I735))),"MINUTES NOT A NUMBER",IF(AND($J735&lt;&gt;"",NOT(ISNUMBER($J735))),"SESSIONS NOT A NUMBER",IF(OR(N($I735)&lt;0,N($J735)&lt;0),"NEGATIVE MINUTES/SESSIONS",IF(AND($K735="Yes",N($I735)&gt;0),"MINUTES ON A PT EVENT - not counted (PT counts sessions)",IF(AND($K735="No",N($J735)&gt;0),"SESSIONS ON A CLASSROOM EVENT - not counted (classroom counts minutes)",IF(AND($N735="Yes",$K735="Yes",N($J735)=0),"COUNTED PT EVENT WITH NO SESSIONS - dropped from the PT cap",IF(AND($N735="Yes",$K735="No",N($I735)=0),"COUNTED EVENT WITH NO MINUTES - dropped from the classroom cap","OK"))))))))))</f>
        <v/>
      </c>
    </row>
    <row r="736">
      <c r="B736" s="17">
        <f>IF($D736="","","A"&amp;TEXT(ROW()-5,"000"))</f>
        <v/>
      </c>
      <c r="C736" s="18" t="n"/>
      <c r="D736" s="16" t="n"/>
      <c r="E736" s="17">
        <f>IF($D736="","",IFERROR(INDEX(rngCadetPIDs,MATCH($D736,rngCadetNames,0)),"?"))</f>
        <v/>
      </c>
      <c r="F736" s="17">
        <f>IF($E736="","",IFERROR(INDEX(nrCadetAgency,MATCH($E736,rngCadetPIDs,0)),""))</f>
        <v/>
      </c>
      <c r="G736" s="16" t="n"/>
      <c r="H736" s="16" t="n"/>
      <c r="I736" s="16" t="n"/>
      <c r="J736" s="16" t="n"/>
      <c r="K736" s="17">
        <f>IF($G736="","",IF(OR($G736="PT Missed",$G736="PT Modified",$G736="PT Refused"),"Yes","No"))</f>
        <v/>
      </c>
      <c r="L736" s="16" t="n"/>
      <c r="M736" s="16" t="n"/>
      <c r="N736" s="17">
        <f>IF($D736="","",IF($M736="Excused","No",IF(AND($G736="PT Modified",$L736="Received"),"No","Yes")))</f>
        <v/>
      </c>
      <c r="O736" s="16" t="n"/>
      <c r="P736" s="17">
        <f>IF(OR($B736="",N($I736)=0),"",MIN(N($I736),SUMIFS(nrMK_Min,nrMK_Link,$B736,nrMK_Credit,"Yes",nrMK_PID,$E736,nrMK_Type,"Classroom")))</f>
        <v/>
      </c>
      <c r="Q736" s="17">
        <f>IF(OR($B736="",N($J736)=0),"",MIN(N($J736),SUMIFS(nrMK_Sess,nrMK_Link,$B736,nrMK_Credit,"Yes",nrMK_PID,$E736,nrMK_Type,"PT")))</f>
        <v/>
      </c>
      <c r="R736" s="17">
        <f>IF(OR($B736="",$N736&lt;&gt;"Yes"),"",IF($K736="Yes",IF(N($J736)&gt;0,N($J736)-N($Q736),""),IF(N($I736)&gt;0,N($I736)-N($P736),"")))</f>
        <v/>
      </c>
      <c r="S736" s="17">
        <f>IF(OR($B736="",$R736=""),"",IF($R736&lt;=0,IF(IFERROR(_xlfn.MAXIFS(nrMK_Date,nrMK_Link,$B736,nrMK_Credit,"Yes",nrMK_PID,$E736),0)=0,"CLEARED (makeup date missing)","CLEARED "&amp;TEXT(_xlfn.MAXIFS(nrMK_Date,nrMK_Link,$B736,nrMK_Credit,"Yes",nrMK_PID,$E736),"mm/dd")),"OPEN"))</f>
        <v/>
      </c>
      <c r="T736" s="17">
        <f>IF($D736="","",IF($C736="","NO DATE",IF($G736="","NO EVENT TYPE",IF(AND($I736&lt;&gt;"",NOT(ISNUMBER($I736))),"MINUTES NOT A NUMBER",IF(AND($J736&lt;&gt;"",NOT(ISNUMBER($J736))),"SESSIONS NOT A NUMBER",IF(OR(N($I736)&lt;0,N($J736)&lt;0),"NEGATIVE MINUTES/SESSIONS",IF(AND($K736="Yes",N($I736)&gt;0),"MINUTES ON A PT EVENT - not counted (PT counts sessions)",IF(AND($K736="No",N($J736)&gt;0),"SESSIONS ON A CLASSROOM EVENT - not counted (classroom counts minutes)",IF(AND($N736="Yes",$K736="Yes",N($J736)=0),"COUNTED PT EVENT WITH NO SESSIONS - dropped from the PT cap",IF(AND($N736="Yes",$K736="No",N($I736)=0),"COUNTED EVENT WITH NO MINUTES - dropped from the classroom cap","OK"))))))))))</f>
        <v/>
      </c>
    </row>
    <row r="737">
      <c r="B737" s="17">
        <f>IF($D737="","","A"&amp;TEXT(ROW()-5,"000"))</f>
        <v/>
      </c>
      <c r="C737" s="18" t="n"/>
      <c r="D737" s="16" t="n"/>
      <c r="E737" s="17">
        <f>IF($D737="","",IFERROR(INDEX(rngCadetPIDs,MATCH($D737,rngCadetNames,0)),"?"))</f>
        <v/>
      </c>
      <c r="F737" s="17">
        <f>IF($E737="","",IFERROR(INDEX(nrCadetAgency,MATCH($E737,rngCadetPIDs,0)),""))</f>
        <v/>
      </c>
      <c r="G737" s="16" t="n"/>
      <c r="H737" s="16" t="n"/>
      <c r="I737" s="16" t="n"/>
      <c r="J737" s="16" t="n"/>
      <c r="K737" s="17">
        <f>IF($G737="","",IF(OR($G737="PT Missed",$G737="PT Modified",$G737="PT Refused"),"Yes","No"))</f>
        <v/>
      </c>
      <c r="L737" s="16" t="n"/>
      <c r="M737" s="16" t="n"/>
      <c r="N737" s="17">
        <f>IF($D737="","",IF($M737="Excused","No",IF(AND($G737="PT Modified",$L737="Received"),"No","Yes")))</f>
        <v/>
      </c>
      <c r="O737" s="16" t="n"/>
      <c r="P737" s="17">
        <f>IF(OR($B737="",N($I737)=0),"",MIN(N($I737),SUMIFS(nrMK_Min,nrMK_Link,$B737,nrMK_Credit,"Yes",nrMK_PID,$E737,nrMK_Type,"Classroom")))</f>
        <v/>
      </c>
      <c r="Q737" s="17">
        <f>IF(OR($B737="",N($J737)=0),"",MIN(N($J737),SUMIFS(nrMK_Sess,nrMK_Link,$B737,nrMK_Credit,"Yes",nrMK_PID,$E737,nrMK_Type,"PT")))</f>
        <v/>
      </c>
      <c r="R737" s="17">
        <f>IF(OR($B737="",$N737&lt;&gt;"Yes"),"",IF($K737="Yes",IF(N($J737)&gt;0,N($J737)-N($Q737),""),IF(N($I737)&gt;0,N($I737)-N($P737),"")))</f>
        <v/>
      </c>
      <c r="S737" s="17">
        <f>IF(OR($B737="",$R737=""),"",IF($R737&lt;=0,IF(IFERROR(_xlfn.MAXIFS(nrMK_Date,nrMK_Link,$B737,nrMK_Credit,"Yes",nrMK_PID,$E737),0)=0,"CLEARED (makeup date missing)","CLEARED "&amp;TEXT(_xlfn.MAXIFS(nrMK_Date,nrMK_Link,$B737,nrMK_Credit,"Yes",nrMK_PID,$E737),"mm/dd")),"OPEN"))</f>
        <v/>
      </c>
      <c r="T737" s="17">
        <f>IF($D737="","",IF($C737="","NO DATE",IF($G737="","NO EVENT TYPE",IF(AND($I737&lt;&gt;"",NOT(ISNUMBER($I737))),"MINUTES NOT A NUMBER",IF(AND($J737&lt;&gt;"",NOT(ISNUMBER($J737))),"SESSIONS NOT A NUMBER",IF(OR(N($I737)&lt;0,N($J737)&lt;0),"NEGATIVE MINUTES/SESSIONS",IF(AND($K737="Yes",N($I737)&gt;0),"MINUTES ON A PT EVENT - not counted (PT counts sessions)",IF(AND($K737="No",N($J737)&gt;0),"SESSIONS ON A CLASSROOM EVENT - not counted (classroom counts minutes)",IF(AND($N737="Yes",$K737="Yes",N($J737)=0),"COUNTED PT EVENT WITH NO SESSIONS - dropped from the PT cap",IF(AND($N737="Yes",$K737="No",N($I737)=0),"COUNTED EVENT WITH NO MINUTES - dropped from the classroom cap","OK"))))))))))</f>
        <v/>
      </c>
    </row>
    <row r="738">
      <c r="B738" s="17">
        <f>IF($D738="","","A"&amp;TEXT(ROW()-5,"000"))</f>
        <v/>
      </c>
      <c r="C738" s="18" t="n"/>
      <c r="D738" s="16" t="n"/>
      <c r="E738" s="17">
        <f>IF($D738="","",IFERROR(INDEX(rngCadetPIDs,MATCH($D738,rngCadetNames,0)),"?"))</f>
        <v/>
      </c>
      <c r="F738" s="17">
        <f>IF($E738="","",IFERROR(INDEX(nrCadetAgency,MATCH($E738,rngCadetPIDs,0)),""))</f>
        <v/>
      </c>
      <c r="G738" s="16" t="n"/>
      <c r="H738" s="16" t="n"/>
      <c r="I738" s="16" t="n"/>
      <c r="J738" s="16" t="n"/>
      <c r="K738" s="17">
        <f>IF($G738="","",IF(OR($G738="PT Missed",$G738="PT Modified",$G738="PT Refused"),"Yes","No"))</f>
        <v/>
      </c>
      <c r="L738" s="16" t="n"/>
      <c r="M738" s="16" t="n"/>
      <c r="N738" s="17">
        <f>IF($D738="","",IF($M738="Excused","No",IF(AND($G738="PT Modified",$L738="Received"),"No","Yes")))</f>
        <v/>
      </c>
      <c r="O738" s="16" t="n"/>
      <c r="P738" s="17">
        <f>IF(OR($B738="",N($I738)=0),"",MIN(N($I738),SUMIFS(nrMK_Min,nrMK_Link,$B738,nrMK_Credit,"Yes",nrMK_PID,$E738,nrMK_Type,"Classroom")))</f>
        <v/>
      </c>
      <c r="Q738" s="17">
        <f>IF(OR($B738="",N($J738)=0),"",MIN(N($J738),SUMIFS(nrMK_Sess,nrMK_Link,$B738,nrMK_Credit,"Yes",nrMK_PID,$E738,nrMK_Type,"PT")))</f>
        <v/>
      </c>
      <c r="R738" s="17">
        <f>IF(OR($B738="",$N738&lt;&gt;"Yes"),"",IF($K738="Yes",IF(N($J738)&gt;0,N($J738)-N($Q738),""),IF(N($I738)&gt;0,N($I738)-N($P738),"")))</f>
        <v/>
      </c>
      <c r="S738" s="17">
        <f>IF(OR($B738="",$R738=""),"",IF($R738&lt;=0,IF(IFERROR(_xlfn.MAXIFS(nrMK_Date,nrMK_Link,$B738,nrMK_Credit,"Yes",nrMK_PID,$E738),0)=0,"CLEARED (makeup date missing)","CLEARED "&amp;TEXT(_xlfn.MAXIFS(nrMK_Date,nrMK_Link,$B738,nrMK_Credit,"Yes",nrMK_PID,$E738),"mm/dd")),"OPEN"))</f>
        <v/>
      </c>
      <c r="T738" s="17">
        <f>IF($D738="","",IF($C738="","NO DATE",IF($G738="","NO EVENT TYPE",IF(AND($I738&lt;&gt;"",NOT(ISNUMBER($I738))),"MINUTES NOT A NUMBER",IF(AND($J738&lt;&gt;"",NOT(ISNUMBER($J738))),"SESSIONS NOT A NUMBER",IF(OR(N($I738)&lt;0,N($J738)&lt;0),"NEGATIVE MINUTES/SESSIONS",IF(AND($K738="Yes",N($I738)&gt;0),"MINUTES ON A PT EVENT - not counted (PT counts sessions)",IF(AND($K738="No",N($J738)&gt;0),"SESSIONS ON A CLASSROOM EVENT - not counted (classroom counts minutes)",IF(AND($N738="Yes",$K738="Yes",N($J738)=0),"COUNTED PT EVENT WITH NO SESSIONS - dropped from the PT cap",IF(AND($N738="Yes",$K738="No",N($I738)=0),"COUNTED EVENT WITH NO MINUTES - dropped from the classroom cap","OK"))))))))))</f>
        <v/>
      </c>
    </row>
    <row r="739">
      <c r="B739" s="17">
        <f>IF($D739="","","A"&amp;TEXT(ROW()-5,"000"))</f>
        <v/>
      </c>
      <c r="C739" s="18" t="n"/>
      <c r="D739" s="16" t="n"/>
      <c r="E739" s="17">
        <f>IF($D739="","",IFERROR(INDEX(rngCadetPIDs,MATCH($D739,rngCadetNames,0)),"?"))</f>
        <v/>
      </c>
      <c r="F739" s="17">
        <f>IF($E739="","",IFERROR(INDEX(nrCadetAgency,MATCH($E739,rngCadetPIDs,0)),""))</f>
        <v/>
      </c>
      <c r="G739" s="16" t="n"/>
      <c r="H739" s="16" t="n"/>
      <c r="I739" s="16" t="n"/>
      <c r="J739" s="16" t="n"/>
      <c r="K739" s="17">
        <f>IF($G739="","",IF(OR($G739="PT Missed",$G739="PT Modified",$G739="PT Refused"),"Yes","No"))</f>
        <v/>
      </c>
      <c r="L739" s="16" t="n"/>
      <c r="M739" s="16" t="n"/>
      <c r="N739" s="17">
        <f>IF($D739="","",IF($M739="Excused","No",IF(AND($G739="PT Modified",$L739="Received"),"No","Yes")))</f>
        <v/>
      </c>
      <c r="O739" s="16" t="n"/>
      <c r="P739" s="17">
        <f>IF(OR($B739="",N($I739)=0),"",MIN(N($I739),SUMIFS(nrMK_Min,nrMK_Link,$B739,nrMK_Credit,"Yes",nrMK_PID,$E739,nrMK_Type,"Classroom")))</f>
        <v/>
      </c>
      <c r="Q739" s="17">
        <f>IF(OR($B739="",N($J739)=0),"",MIN(N($J739),SUMIFS(nrMK_Sess,nrMK_Link,$B739,nrMK_Credit,"Yes",nrMK_PID,$E739,nrMK_Type,"PT")))</f>
        <v/>
      </c>
      <c r="R739" s="17">
        <f>IF(OR($B739="",$N739&lt;&gt;"Yes"),"",IF($K739="Yes",IF(N($J739)&gt;0,N($J739)-N($Q739),""),IF(N($I739)&gt;0,N($I739)-N($P739),"")))</f>
        <v/>
      </c>
      <c r="S739" s="17">
        <f>IF(OR($B739="",$R739=""),"",IF($R739&lt;=0,IF(IFERROR(_xlfn.MAXIFS(nrMK_Date,nrMK_Link,$B739,nrMK_Credit,"Yes",nrMK_PID,$E739),0)=0,"CLEARED (makeup date missing)","CLEARED "&amp;TEXT(_xlfn.MAXIFS(nrMK_Date,nrMK_Link,$B739,nrMK_Credit,"Yes",nrMK_PID,$E739),"mm/dd")),"OPEN"))</f>
        <v/>
      </c>
      <c r="T739" s="17">
        <f>IF($D739="","",IF($C739="","NO DATE",IF($G739="","NO EVENT TYPE",IF(AND($I739&lt;&gt;"",NOT(ISNUMBER($I739))),"MINUTES NOT A NUMBER",IF(AND($J739&lt;&gt;"",NOT(ISNUMBER($J739))),"SESSIONS NOT A NUMBER",IF(OR(N($I739)&lt;0,N($J739)&lt;0),"NEGATIVE MINUTES/SESSIONS",IF(AND($K739="Yes",N($I739)&gt;0),"MINUTES ON A PT EVENT - not counted (PT counts sessions)",IF(AND($K739="No",N($J739)&gt;0),"SESSIONS ON A CLASSROOM EVENT - not counted (classroom counts minutes)",IF(AND($N739="Yes",$K739="Yes",N($J739)=0),"COUNTED PT EVENT WITH NO SESSIONS - dropped from the PT cap",IF(AND($N739="Yes",$K739="No",N($I739)=0),"COUNTED EVENT WITH NO MINUTES - dropped from the classroom cap","OK"))))))))))</f>
        <v/>
      </c>
    </row>
    <row r="740">
      <c r="B740" s="17">
        <f>IF($D740="","","A"&amp;TEXT(ROW()-5,"000"))</f>
        <v/>
      </c>
      <c r="C740" s="18" t="n"/>
      <c r="D740" s="16" t="n"/>
      <c r="E740" s="17">
        <f>IF($D740="","",IFERROR(INDEX(rngCadetPIDs,MATCH($D740,rngCadetNames,0)),"?"))</f>
        <v/>
      </c>
      <c r="F740" s="17">
        <f>IF($E740="","",IFERROR(INDEX(nrCadetAgency,MATCH($E740,rngCadetPIDs,0)),""))</f>
        <v/>
      </c>
      <c r="G740" s="16" t="n"/>
      <c r="H740" s="16" t="n"/>
      <c r="I740" s="16" t="n"/>
      <c r="J740" s="16" t="n"/>
      <c r="K740" s="17">
        <f>IF($G740="","",IF(OR($G740="PT Missed",$G740="PT Modified",$G740="PT Refused"),"Yes","No"))</f>
        <v/>
      </c>
      <c r="L740" s="16" t="n"/>
      <c r="M740" s="16" t="n"/>
      <c r="N740" s="17">
        <f>IF($D740="","",IF($M740="Excused","No",IF(AND($G740="PT Modified",$L740="Received"),"No","Yes")))</f>
        <v/>
      </c>
      <c r="O740" s="16" t="n"/>
      <c r="P740" s="17">
        <f>IF(OR($B740="",N($I740)=0),"",MIN(N($I740),SUMIFS(nrMK_Min,nrMK_Link,$B740,nrMK_Credit,"Yes",nrMK_PID,$E740,nrMK_Type,"Classroom")))</f>
        <v/>
      </c>
      <c r="Q740" s="17">
        <f>IF(OR($B740="",N($J740)=0),"",MIN(N($J740),SUMIFS(nrMK_Sess,nrMK_Link,$B740,nrMK_Credit,"Yes",nrMK_PID,$E740,nrMK_Type,"PT")))</f>
        <v/>
      </c>
      <c r="R740" s="17">
        <f>IF(OR($B740="",$N740&lt;&gt;"Yes"),"",IF($K740="Yes",IF(N($J740)&gt;0,N($J740)-N($Q740),""),IF(N($I740)&gt;0,N($I740)-N($P740),"")))</f>
        <v/>
      </c>
      <c r="S740" s="17">
        <f>IF(OR($B740="",$R740=""),"",IF($R740&lt;=0,IF(IFERROR(_xlfn.MAXIFS(nrMK_Date,nrMK_Link,$B740,nrMK_Credit,"Yes",nrMK_PID,$E740),0)=0,"CLEARED (makeup date missing)","CLEARED "&amp;TEXT(_xlfn.MAXIFS(nrMK_Date,nrMK_Link,$B740,nrMK_Credit,"Yes",nrMK_PID,$E740),"mm/dd")),"OPEN"))</f>
        <v/>
      </c>
      <c r="T740" s="17">
        <f>IF($D740="","",IF($C740="","NO DATE",IF($G740="","NO EVENT TYPE",IF(AND($I740&lt;&gt;"",NOT(ISNUMBER($I740))),"MINUTES NOT A NUMBER",IF(AND($J740&lt;&gt;"",NOT(ISNUMBER($J740))),"SESSIONS NOT A NUMBER",IF(OR(N($I740)&lt;0,N($J740)&lt;0),"NEGATIVE MINUTES/SESSIONS",IF(AND($K740="Yes",N($I740)&gt;0),"MINUTES ON A PT EVENT - not counted (PT counts sessions)",IF(AND($K740="No",N($J740)&gt;0),"SESSIONS ON A CLASSROOM EVENT - not counted (classroom counts minutes)",IF(AND($N740="Yes",$K740="Yes",N($J740)=0),"COUNTED PT EVENT WITH NO SESSIONS - dropped from the PT cap",IF(AND($N740="Yes",$K740="No",N($I740)=0),"COUNTED EVENT WITH NO MINUTES - dropped from the classroom cap","OK"))))))))))</f>
        <v/>
      </c>
    </row>
    <row r="741">
      <c r="B741" s="17">
        <f>IF($D741="","","A"&amp;TEXT(ROW()-5,"000"))</f>
        <v/>
      </c>
      <c r="C741" s="18" t="n"/>
      <c r="D741" s="16" t="n"/>
      <c r="E741" s="17">
        <f>IF($D741="","",IFERROR(INDEX(rngCadetPIDs,MATCH($D741,rngCadetNames,0)),"?"))</f>
        <v/>
      </c>
      <c r="F741" s="17">
        <f>IF($E741="","",IFERROR(INDEX(nrCadetAgency,MATCH($E741,rngCadetPIDs,0)),""))</f>
        <v/>
      </c>
      <c r="G741" s="16" t="n"/>
      <c r="H741" s="16" t="n"/>
      <c r="I741" s="16" t="n"/>
      <c r="J741" s="16" t="n"/>
      <c r="K741" s="17">
        <f>IF($G741="","",IF(OR($G741="PT Missed",$G741="PT Modified",$G741="PT Refused"),"Yes","No"))</f>
        <v/>
      </c>
      <c r="L741" s="16" t="n"/>
      <c r="M741" s="16" t="n"/>
      <c r="N741" s="17">
        <f>IF($D741="","",IF($M741="Excused","No",IF(AND($G741="PT Modified",$L741="Received"),"No","Yes")))</f>
        <v/>
      </c>
      <c r="O741" s="16" t="n"/>
      <c r="P741" s="17">
        <f>IF(OR($B741="",N($I741)=0),"",MIN(N($I741),SUMIFS(nrMK_Min,nrMK_Link,$B741,nrMK_Credit,"Yes",nrMK_PID,$E741,nrMK_Type,"Classroom")))</f>
        <v/>
      </c>
      <c r="Q741" s="17">
        <f>IF(OR($B741="",N($J741)=0),"",MIN(N($J741),SUMIFS(nrMK_Sess,nrMK_Link,$B741,nrMK_Credit,"Yes",nrMK_PID,$E741,nrMK_Type,"PT")))</f>
        <v/>
      </c>
      <c r="R741" s="17">
        <f>IF(OR($B741="",$N741&lt;&gt;"Yes"),"",IF($K741="Yes",IF(N($J741)&gt;0,N($J741)-N($Q741),""),IF(N($I741)&gt;0,N($I741)-N($P741),"")))</f>
        <v/>
      </c>
      <c r="S741" s="17">
        <f>IF(OR($B741="",$R741=""),"",IF($R741&lt;=0,IF(IFERROR(_xlfn.MAXIFS(nrMK_Date,nrMK_Link,$B741,nrMK_Credit,"Yes",nrMK_PID,$E741),0)=0,"CLEARED (makeup date missing)","CLEARED "&amp;TEXT(_xlfn.MAXIFS(nrMK_Date,nrMK_Link,$B741,nrMK_Credit,"Yes",nrMK_PID,$E741),"mm/dd")),"OPEN"))</f>
        <v/>
      </c>
      <c r="T741" s="17">
        <f>IF($D741="","",IF($C741="","NO DATE",IF($G741="","NO EVENT TYPE",IF(AND($I741&lt;&gt;"",NOT(ISNUMBER($I741))),"MINUTES NOT A NUMBER",IF(AND($J741&lt;&gt;"",NOT(ISNUMBER($J741))),"SESSIONS NOT A NUMBER",IF(OR(N($I741)&lt;0,N($J741)&lt;0),"NEGATIVE MINUTES/SESSIONS",IF(AND($K741="Yes",N($I741)&gt;0),"MINUTES ON A PT EVENT - not counted (PT counts sessions)",IF(AND($K741="No",N($J741)&gt;0),"SESSIONS ON A CLASSROOM EVENT - not counted (classroom counts minutes)",IF(AND($N741="Yes",$K741="Yes",N($J741)=0),"COUNTED PT EVENT WITH NO SESSIONS - dropped from the PT cap",IF(AND($N741="Yes",$K741="No",N($I741)=0),"COUNTED EVENT WITH NO MINUTES - dropped from the classroom cap","OK"))))))))))</f>
        <v/>
      </c>
    </row>
    <row r="742">
      <c r="B742" s="17">
        <f>IF($D742="","","A"&amp;TEXT(ROW()-5,"000"))</f>
        <v/>
      </c>
      <c r="C742" s="18" t="n"/>
      <c r="D742" s="16" t="n"/>
      <c r="E742" s="17">
        <f>IF($D742="","",IFERROR(INDEX(rngCadetPIDs,MATCH($D742,rngCadetNames,0)),"?"))</f>
        <v/>
      </c>
      <c r="F742" s="17">
        <f>IF($E742="","",IFERROR(INDEX(nrCadetAgency,MATCH($E742,rngCadetPIDs,0)),""))</f>
        <v/>
      </c>
      <c r="G742" s="16" t="n"/>
      <c r="H742" s="16" t="n"/>
      <c r="I742" s="16" t="n"/>
      <c r="J742" s="16" t="n"/>
      <c r="K742" s="17">
        <f>IF($G742="","",IF(OR($G742="PT Missed",$G742="PT Modified",$G742="PT Refused"),"Yes","No"))</f>
        <v/>
      </c>
      <c r="L742" s="16" t="n"/>
      <c r="M742" s="16" t="n"/>
      <c r="N742" s="17">
        <f>IF($D742="","",IF($M742="Excused","No",IF(AND($G742="PT Modified",$L742="Received"),"No","Yes")))</f>
        <v/>
      </c>
      <c r="O742" s="16" t="n"/>
      <c r="P742" s="17">
        <f>IF(OR($B742="",N($I742)=0),"",MIN(N($I742),SUMIFS(nrMK_Min,nrMK_Link,$B742,nrMK_Credit,"Yes",nrMK_PID,$E742,nrMK_Type,"Classroom")))</f>
        <v/>
      </c>
      <c r="Q742" s="17">
        <f>IF(OR($B742="",N($J742)=0),"",MIN(N($J742),SUMIFS(nrMK_Sess,nrMK_Link,$B742,nrMK_Credit,"Yes",nrMK_PID,$E742,nrMK_Type,"PT")))</f>
        <v/>
      </c>
      <c r="R742" s="17">
        <f>IF(OR($B742="",$N742&lt;&gt;"Yes"),"",IF($K742="Yes",IF(N($J742)&gt;0,N($J742)-N($Q742),""),IF(N($I742)&gt;0,N($I742)-N($P742),"")))</f>
        <v/>
      </c>
      <c r="S742" s="17">
        <f>IF(OR($B742="",$R742=""),"",IF($R742&lt;=0,IF(IFERROR(_xlfn.MAXIFS(nrMK_Date,nrMK_Link,$B742,nrMK_Credit,"Yes",nrMK_PID,$E742),0)=0,"CLEARED (makeup date missing)","CLEARED "&amp;TEXT(_xlfn.MAXIFS(nrMK_Date,nrMK_Link,$B742,nrMK_Credit,"Yes",nrMK_PID,$E742),"mm/dd")),"OPEN"))</f>
        <v/>
      </c>
      <c r="T742" s="17">
        <f>IF($D742="","",IF($C742="","NO DATE",IF($G742="","NO EVENT TYPE",IF(AND($I742&lt;&gt;"",NOT(ISNUMBER($I742))),"MINUTES NOT A NUMBER",IF(AND($J742&lt;&gt;"",NOT(ISNUMBER($J742))),"SESSIONS NOT A NUMBER",IF(OR(N($I742)&lt;0,N($J742)&lt;0),"NEGATIVE MINUTES/SESSIONS",IF(AND($K742="Yes",N($I742)&gt;0),"MINUTES ON A PT EVENT - not counted (PT counts sessions)",IF(AND($K742="No",N($J742)&gt;0),"SESSIONS ON A CLASSROOM EVENT - not counted (classroom counts minutes)",IF(AND($N742="Yes",$K742="Yes",N($J742)=0),"COUNTED PT EVENT WITH NO SESSIONS - dropped from the PT cap",IF(AND($N742="Yes",$K742="No",N($I742)=0),"COUNTED EVENT WITH NO MINUTES - dropped from the classroom cap","OK"))))))))))</f>
        <v/>
      </c>
    </row>
    <row r="743">
      <c r="B743" s="17">
        <f>IF($D743="","","A"&amp;TEXT(ROW()-5,"000"))</f>
        <v/>
      </c>
      <c r="C743" s="18" t="n"/>
      <c r="D743" s="16" t="n"/>
      <c r="E743" s="17">
        <f>IF($D743="","",IFERROR(INDEX(rngCadetPIDs,MATCH($D743,rngCadetNames,0)),"?"))</f>
        <v/>
      </c>
      <c r="F743" s="17">
        <f>IF($E743="","",IFERROR(INDEX(nrCadetAgency,MATCH($E743,rngCadetPIDs,0)),""))</f>
        <v/>
      </c>
      <c r="G743" s="16" t="n"/>
      <c r="H743" s="16" t="n"/>
      <c r="I743" s="16" t="n"/>
      <c r="J743" s="16" t="n"/>
      <c r="K743" s="17">
        <f>IF($G743="","",IF(OR($G743="PT Missed",$G743="PT Modified",$G743="PT Refused"),"Yes","No"))</f>
        <v/>
      </c>
      <c r="L743" s="16" t="n"/>
      <c r="M743" s="16" t="n"/>
      <c r="N743" s="17">
        <f>IF($D743="","",IF($M743="Excused","No",IF(AND($G743="PT Modified",$L743="Received"),"No","Yes")))</f>
        <v/>
      </c>
      <c r="O743" s="16" t="n"/>
      <c r="P743" s="17">
        <f>IF(OR($B743="",N($I743)=0),"",MIN(N($I743),SUMIFS(nrMK_Min,nrMK_Link,$B743,nrMK_Credit,"Yes",nrMK_PID,$E743,nrMK_Type,"Classroom")))</f>
        <v/>
      </c>
      <c r="Q743" s="17">
        <f>IF(OR($B743="",N($J743)=0),"",MIN(N($J743),SUMIFS(nrMK_Sess,nrMK_Link,$B743,nrMK_Credit,"Yes",nrMK_PID,$E743,nrMK_Type,"PT")))</f>
        <v/>
      </c>
      <c r="R743" s="17">
        <f>IF(OR($B743="",$N743&lt;&gt;"Yes"),"",IF($K743="Yes",IF(N($J743)&gt;0,N($J743)-N($Q743),""),IF(N($I743)&gt;0,N($I743)-N($P743),"")))</f>
        <v/>
      </c>
      <c r="S743" s="17">
        <f>IF(OR($B743="",$R743=""),"",IF($R743&lt;=0,IF(IFERROR(_xlfn.MAXIFS(nrMK_Date,nrMK_Link,$B743,nrMK_Credit,"Yes",nrMK_PID,$E743),0)=0,"CLEARED (makeup date missing)","CLEARED "&amp;TEXT(_xlfn.MAXIFS(nrMK_Date,nrMK_Link,$B743,nrMK_Credit,"Yes",nrMK_PID,$E743),"mm/dd")),"OPEN"))</f>
        <v/>
      </c>
      <c r="T743" s="17">
        <f>IF($D743="","",IF($C743="","NO DATE",IF($G743="","NO EVENT TYPE",IF(AND($I743&lt;&gt;"",NOT(ISNUMBER($I743))),"MINUTES NOT A NUMBER",IF(AND($J743&lt;&gt;"",NOT(ISNUMBER($J743))),"SESSIONS NOT A NUMBER",IF(OR(N($I743)&lt;0,N($J743)&lt;0),"NEGATIVE MINUTES/SESSIONS",IF(AND($K743="Yes",N($I743)&gt;0),"MINUTES ON A PT EVENT - not counted (PT counts sessions)",IF(AND($K743="No",N($J743)&gt;0),"SESSIONS ON A CLASSROOM EVENT - not counted (classroom counts minutes)",IF(AND($N743="Yes",$K743="Yes",N($J743)=0),"COUNTED PT EVENT WITH NO SESSIONS - dropped from the PT cap",IF(AND($N743="Yes",$K743="No",N($I743)=0),"COUNTED EVENT WITH NO MINUTES - dropped from the classroom cap","OK"))))))))))</f>
        <v/>
      </c>
    </row>
    <row r="744">
      <c r="B744" s="17">
        <f>IF($D744="","","A"&amp;TEXT(ROW()-5,"000"))</f>
        <v/>
      </c>
      <c r="C744" s="18" t="n"/>
      <c r="D744" s="16" t="n"/>
      <c r="E744" s="17">
        <f>IF($D744="","",IFERROR(INDEX(rngCadetPIDs,MATCH($D744,rngCadetNames,0)),"?"))</f>
        <v/>
      </c>
      <c r="F744" s="17">
        <f>IF($E744="","",IFERROR(INDEX(nrCadetAgency,MATCH($E744,rngCadetPIDs,0)),""))</f>
        <v/>
      </c>
      <c r="G744" s="16" t="n"/>
      <c r="H744" s="16" t="n"/>
      <c r="I744" s="16" t="n"/>
      <c r="J744" s="16" t="n"/>
      <c r="K744" s="17">
        <f>IF($G744="","",IF(OR($G744="PT Missed",$G744="PT Modified",$G744="PT Refused"),"Yes","No"))</f>
        <v/>
      </c>
      <c r="L744" s="16" t="n"/>
      <c r="M744" s="16" t="n"/>
      <c r="N744" s="17">
        <f>IF($D744="","",IF($M744="Excused","No",IF(AND($G744="PT Modified",$L744="Received"),"No","Yes")))</f>
        <v/>
      </c>
      <c r="O744" s="16" t="n"/>
      <c r="P744" s="17">
        <f>IF(OR($B744="",N($I744)=0),"",MIN(N($I744),SUMIFS(nrMK_Min,nrMK_Link,$B744,nrMK_Credit,"Yes",nrMK_PID,$E744,nrMK_Type,"Classroom")))</f>
        <v/>
      </c>
      <c r="Q744" s="17">
        <f>IF(OR($B744="",N($J744)=0),"",MIN(N($J744),SUMIFS(nrMK_Sess,nrMK_Link,$B744,nrMK_Credit,"Yes",nrMK_PID,$E744,nrMK_Type,"PT")))</f>
        <v/>
      </c>
      <c r="R744" s="17">
        <f>IF(OR($B744="",$N744&lt;&gt;"Yes"),"",IF($K744="Yes",IF(N($J744)&gt;0,N($J744)-N($Q744),""),IF(N($I744)&gt;0,N($I744)-N($P744),"")))</f>
        <v/>
      </c>
      <c r="S744" s="17">
        <f>IF(OR($B744="",$R744=""),"",IF($R744&lt;=0,IF(IFERROR(_xlfn.MAXIFS(nrMK_Date,nrMK_Link,$B744,nrMK_Credit,"Yes",nrMK_PID,$E744),0)=0,"CLEARED (makeup date missing)","CLEARED "&amp;TEXT(_xlfn.MAXIFS(nrMK_Date,nrMK_Link,$B744,nrMK_Credit,"Yes",nrMK_PID,$E744),"mm/dd")),"OPEN"))</f>
        <v/>
      </c>
      <c r="T744" s="17">
        <f>IF($D744="","",IF($C744="","NO DATE",IF($G744="","NO EVENT TYPE",IF(AND($I744&lt;&gt;"",NOT(ISNUMBER($I744))),"MINUTES NOT A NUMBER",IF(AND($J744&lt;&gt;"",NOT(ISNUMBER($J744))),"SESSIONS NOT A NUMBER",IF(OR(N($I744)&lt;0,N($J744)&lt;0),"NEGATIVE MINUTES/SESSIONS",IF(AND($K744="Yes",N($I744)&gt;0),"MINUTES ON A PT EVENT - not counted (PT counts sessions)",IF(AND($K744="No",N($J744)&gt;0),"SESSIONS ON A CLASSROOM EVENT - not counted (classroom counts minutes)",IF(AND($N744="Yes",$K744="Yes",N($J744)=0),"COUNTED PT EVENT WITH NO SESSIONS - dropped from the PT cap",IF(AND($N744="Yes",$K744="No",N($I744)=0),"COUNTED EVENT WITH NO MINUTES - dropped from the classroom cap","OK"))))))))))</f>
        <v/>
      </c>
    </row>
    <row r="745">
      <c r="B745" s="17">
        <f>IF($D745="","","A"&amp;TEXT(ROW()-5,"000"))</f>
        <v/>
      </c>
      <c r="C745" s="18" t="n"/>
      <c r="D745" s="16" t="n"/>
      <c r="E745" s="17">
        <f>IF($D745="","",IFERROR(INDEX(rngCadetPIDs,MATCH($D745,rngCadetNames,0)),"?"))</f>
        <v/>
      </c>
      <c r="F745" s="17">
        <f>IF($E745="","",IFERROR(INDEX(nrCadetAgency,MATCH($E745,rngCadetPIDs,0)),""))</f>
        <v/>
      </c>
      <c r="G745" s="16" t="n"/>
      <c r="H745" s="16" t="n"/>
      <c r="I745" s="16" t="n"/>
      <c r="J745" s="16" t="n"/>
      <c r="K745" s="17">
        <f>IF($G745="","",IF(OR($G745="PT Missed",$G745="PT Modified",$G745="PT Refused"),"Yes","No"))</f>
        <v/>
      </c>
      <c r="L745" s="16" t="n"/>
      <c r="M745" s="16" t="n"/>
      <c r="N745" s="17">
        <f>IF($D745="","",IF($M745="Excused","No",IF(AND($G745="PT Modified",$L745="Received"),"No","Yes")))</f>
        <v/>
      </c>
      <c r="O745" s="16" t="n"/>
      <c r="P745" s="17">
        <f>IF(OR($B745="",N($I745)=0),"",MIN(N($I745),SUMIFS(nrMK_Min,nrMK_Link,$B745,nrMK_Credit,"Yes",nrMK_PID,$E745,nrMK_Type,"Classroom")))</f>
        <v/>
      </c>
      <c r="Q745" s="17">
        <f>IF(OR($B745="",N($J745)=0),"",MIN(N($J745),SUMIFS(nrMK_Sess,nrMK_Link,$B745,nrMK_Credit,"Yes",nrMK_PID,$E745,nrMK_Type,"PT")))</f>
        <v/>
      </c>
      <c r="R745" s="17">
        <f>IF(OR($B745="",$N745&lt;&gt;"Yes"),"",IF($K745="Yes",IF(N($J745)&gt;0,N($J745)-N($Q745),""),IF(N($I745)&gt;0,N($I745)-N($P745),"")))</f>
        <v/>
      </c>
      <c r="S745" s="17">
        <f>IF(OR($B745="",$R745=""),"",IF($R745&lt;=0,IF(IFERROR(_xlfn.MAXIFS(nrMK_Date,nrMK_Link,$B745,nrMK_Credit,"Yes",nrMK_PID,$E745),0)=0,"CLEARED (makeup date missing)","CLEARED "&amp;TEXT(_xlfn.MAXIFS(nrMK_Date,nrMK_Link,$B745,nrMK_Credit,"Yes",nrMK_PID,$E745),"mm/dd")),"OPEN"))</f>
        <v/>
      </c>
      <c r="T745" s="17">
        <f>IF($D745="","",IF($C745="","NO DATE",IF($G745="","NO EVENT TYPE",IF(AND($I745&lt;&gt;"",NOT(ISNUMBER($I745))),"MINUTES NOT A NUMBER",IF(AND($J745&lt;&gt;"",NOT(ISNUMBER($J745))),"SESSIONS NOT A NUMBER",IF(OR(N($I745)&lt;0,N($J745)&lt;0),"NEGATIVE MINUTES/SESSIONS",IF(AND($K745="Yes",N($I745)&gt;0),"MINUTES ON A PT EVENT - not counted (PT counts sessions)",IF(AND($K745="No",N($J745)&gt;0),"SESSIONS ON A CLASSROOM EVENT - not counted (classroom counts minutes)",IF(AND($N745="Yes",$K745="Yes",N($J745)=0),"COUNTED PT EVENT WITH NO SESSIONS - dropped from the PT cap",IF(AND($N745="Yes",$K745="No",N($I745)=0),"COUNTED EVENT WITH NO MINUTES - dropped from the classroom cap","OK"))))))))))</f>
        <v/>
      </c>
    </row>
    <row r="746">
      <c r="B746" s="17">
        <f>IF($D746="","","A"&amp;TEXT(ROW()-5,"000"))</f>
        <v/>
      </c>
      <c r="C746" s="18" t="n"/>
      <c r="D746" s="16" t="n"/>
      <c r="E746" s="17">
        <f>IF($D746="","",IFERROR(INDEX(rngCadetPIDs,MATCH($D746,rngCadetNames,0)),"?"))</f>
        <v/>
      </c>
      <c r="F746" s="17">
        <f>IF($E746="","",IFERROR(INDEX(nrCadetAgency,MATCH($E746,rngCadetPIDs,0)),""))</f>
        <v/>
      </c>
      <c r="G746" s="16" t="n"/>
      <c r="H746" s="16" t="n"/>
      <c r="I746" s="16" t="n"/>
      <c r="J746" s="16" t="n"/>
      <c r="K746" s="17">
        <f>IF($G746="","",IF(OR($G746="PT Missed",$G746="PT Modified",$G746="PT Refused"),"Yes","No"))</f>
        <v/>
      </c>
      <c r="L746" s="16" t="n"/>
      <c r="M746" s="16" t="n"/>
      <c r="N746" s="17">
        <f>IF($D746="","",IF($M746="Excused","No",IF(AND($G746="PT Modified",$L746="Received"),"No","Yes")))</f>
        <v/>
      </c>
      <c r="O746" s="16" t="n"/>
      <c r="P746" s="17">
        <f>IF(OR($B746="",N($I746)=0),"",MIN(N($I746),SUMIFS(nrMK_Min,nrMK_Link,$B746,nrMK_Credit,"Yes",nrMK_PID,$E746,nrMK_Type,"Classroom")))</f>
        <v/>
      </c>
      <c r="Q746" s="17">
        <f>IF(OR($B746="",N($J746)=0),"",MIN(N($J746),SUMIFS(nrMK_Sess,nrMK_Link,$B746,nrMK_Credit,"Yes",nrMK_PID,$E746,nrMK_Type,"PT")))</f>
        <v/>
      </c>
      <c r="R746" s="17">
        <f>IF(OR($B746="",$N746&lt;&gt;"Yes"),"",IF($K746="Yes",IF(N($J746)&gt;0,N($J746)-N($Q746),""),IF(N($I746)&gt;0,N($I746)-N($P746),"")))</f>
        <v/>
      </c>
      <c r="S746" s="17">
        <f>IF(OR($B746="",$R746=""),"",IF($R746&lt;=0,IF(IFERROR(_xlfn.MAXIFS(nrMK_Date,nrMK_Link,$B746,nrMK_Credit,"Yes",nrMK_PID,$E746),0)=0,"CLEARED (makeup date missing)","CLEARED "&amp;TEXT(_xlfn.MAXIFS(nrMK_Date,nrMK_Link,$B746,nrMK_Credit,"Yes",nrMK_PID,$E746),"mm/dd")),"OPEN"))</f>
        <v/>
      </c>
      <c r="T746" s="17">
        <f>IF($D746="","",IF($C746="","NO DATE",IF($G746="","NO EVENT TYPE",IF(AND($I746&lt;&gt;"",NOT(ISNUMBER($I746))),"MINUTES NOT A NUMBER",IF(AND($J746&lt;&gt;"",NOT(ISNUMBER($J746))),"SESSIONS NOT A NUMBER",IF(OR(N($I746)&lt;0,N($J746)&lt;0),"NEGATIVE MINUTES/SESSIONS",IF(AND($K746="Yes",N($I746)&gt;0),"MINUTES ON A PT EVENT - not counted (PT counts sessions)",IF(AND($K746="No",N($J746)&gt;0),"SESSIONS ON A CLASSROOM EVENT - not counted (classroom counts minutes)",IF(AND($N746="Yes",$K746="Yes",N($J746)=0),"COUNTED PT EVENT WITH NO SESSIONS - dropped from the PT cap",IF(AND($N746="Yes",$K746="No",N($I746)=0),"COUNTED EVENT WITH NO MINUTES - dropped from the classroom cap","OK"))))))))))</f>
        <v/>
      </c>
    </row>
    <row r="747">
      <c r="B747" s="17">
        <f>IF($D747="","","A"&amp;TEXT(ROW()-5,"000"))</f>
        <v/>
      </c>
      <c r="C747" s="18" t="n"/>
      <c r="D747" s="16" t="n"/>
      <c r="E747" s="17">
        <f>IF($D747="","",IFERROR(INDEX(rngCadetPIDs,MATCH($D747,rngCadetNames,0)),"?"))</f>
        <v/>
      </c>
      <c r="F747" s="17">
        <f>IF($E747="","",IFERROR(INDEX(nrCadetAgency,MATCH($E747,rngCadetPIDs,0)),""))</f>
        <v/>
      </c>
      <c r="G747" s="16" t="n"/>
      <c r="H747" s="16" t="n"/>
      <c r="I747" s="16" t="n"/>
      <c r="J747" s="16" t="n"/>
      <c r="K747" s="17">
        <f>IF($G747="","",IF(OR($G747="PT Missed",$G747="PT Modified",$G747="PT Refused"),"Yes","No"))</f>
        <v/>
      </c>
      <c r="L747" s="16" t="n"/>
      <c r="M747" s="16" t="n"/>
      <c r="N747" s="17">
        <f>IF($D747="","",IF($M747="Excused","No",IF(AND($G747="PT Modified",$L747="Received"),"No","Yes")))</f>
        <v/>
      </c>
      <c r="O747" s="16" t="n"/>
      <c r="P747" s="17">
        <f>IF(OR($B747="",N($I747)=0),"",MIN(N($I747),SUMIFS(nrMK_Min,nrMK_Link,$B747,nrMK_Credit,"Yes",nrMK_PID,$E747,nrMK_Type,"Classroom")))</f>
        <v/>
      </c>
      <c r="Q747" s="17">
        <f>IF(OR($B747="",N($J747)=0),"",MIN(N($J747),SUMIFS(nrMK_Sess,nrMK_Link,$B747,nrMK_Credit,"Yes",nrMK_PID,$E747,nrMK_Type,"PT")))</f>
        <v/>
      </c>
      <c r="R747" s="17">
        <f>IF(OR($B747="",$N747&lt;&gt;"Yes"),"",IF($K747="Yes",IF(N($J747)&gt;0,N($J747)-N($Q747),""),IF(N($I747)&gt;0,N($I747)-N($P747),"")))</f>
        <v/>
      </c>
      <c r="S747" s="17">
        <f>IF(OR($B747="",$R747=""),"",IF($R747&lt;=0,IF(IFERROR(_xlfn.MAXIFS(nrMK_Date,nrMK_Link,$B747,nrMK_Credit,"Yes",nrMK_PID,$E747),0)=0,"CLEARED (makeup date missing)","CLEARED "&amp;TEXT(_xlfn.MAXIFS(nrMK_Date,nrMK_Link,$B747,nrMK_Credit,"Yes",nrMK_PID,$E747),"mm/dd")),"OPEN"))</f>
        <v/>
      </c>
      <c r="T747" s="17">
        <f>IF($D747="","",IF($C747="","NO DATE",IF($G747="","NO EVENT TYPE",IF(AND($I747&lt;&gt;"",NOT(ISNUMBER($I747))),"MINUTES NOT A NUMBER",IF(AND($J747&lt;&gt;"",NOT(ISNUMBER($J747))),"SESSIONS NOT A NUMBER",IF(OR(N($I747)&lt;0,N($J747)&lt;0),"NEGATIVE MINUTES/SESSIONS",IF(AND($K747="Yes",N($I747)&gt;0),"MINUTES ON A PT EVENT - not counted (PT counts sessions)",IF(AND($K747="No",N($J747)&gt;0),"SESSIONS ON A CLASSROOM EVENT - not counted (classroom counts minutes)",IF(AND($N747="Yes",$K747="Yes",N($J747)=0),"COUNTED PT EVENT WITH NO SESSIONS - dropped from the PT cap",IF(AND($N747="Yes",$K747="No",N($I747)=0),"COUNTED EVENT WITH NO MINUTES - dropped from the classroom cap","OK"))))))))))</f>
        <v/>
      </c>
    </row>
    <row r="748">
      <c r="B748" s="17">
        <f>IF($D748="","","A"&amp;TEXT(ROW()-5,"000"))</f>
        <v/>
      </c>
      <c r="C748" s="18" t="n"/>
      <c r="D748" s="16" t="n"/>
      <c r="E748" s="17">
        <f>IF($D748="","",IFERROR(INDEX(rngCadetPIDs,MATCH($D748,rngCadetNames,0)),"?"))</f>
        <v/>
      </c>
      <c r="F748" s="17">
        <f>IF($E748="","",IFERROR(INDEX(nrCadetAgency,MATCH($E748,rngCadetPIDs,0)),""))</f>
        <v/>
      </c>
      <c r="G748" s="16" t="n"/>
      <c r="H748" s="16" t="n"/>
      <c r="I748" s="16" t="n"/>
      <c r="J748" s="16" t="n"/>
      <c r="K748" s="17">
        <f>IF($G748="","",IF(OR($G748="PT Missed",$G748="PT Modified",$G748="PT Refused"),"Yes","No"))</f>
        <v/>
      </c>
      <c r="L748" s="16" t="n"/>
      <c r="M748" s="16" t="n"/>
      <c r="N748" s="17">
        <f>IF($D748="","",IF($M748="Excused","No",IF(AND($G748="PT Modified",$L748="Received"),"No","Yes")))</f>
        <v/>
      </c>
      <c r="O748" s="16" t="n"/>
      <c r="P748" s="17">
        <f>IF(OR($B748="",N($I748)=0),"",MIN(N($I748),SUMIFS(nrMK_Min,nrMK_Link,$B748,nrMK_Credit,"Yes",nrMK_PID,$E748,nrMK_Type,"Classroom")))</f>
        <v/>
      </c>
      <c r="Q748" s="17">
        <f>IF(OR($B748="",N($J748)=0),"",MIN(N($J748),SUMIFS(nrMK_Sess,nrMK_Link,$B748,nrMK_Credit,"Yes",nrMK_PID,$E748,nrMK_Type,"PT")))</f>
        <v/>
      </c>
      <c r="R748" s="17">
        <f>IF(OR($B748="",$N748&lt;&gt;"Yes"),"",IF($K748="Yes",IF(N($J748)&gt;0,N($J748)-N($Q748),""),IF(N($I748)&gt;0,N($I748)-N($P748),"")))</f>
        <v/>
      </c>
      <c r="S748" s="17">
        <f>IF(OR($B748="",$R748=""),"",IF($R748&lt;=0,IF(IFERROR(_xlfn.MAXIFS(nrMK_Date,nrMK_Link,$B748,nrMK_Credit,"Yes",nrMK_PID,$E748),0)=0,"CLEARED (makeup date missing)","CLEARED "&amp;TEXT(_xlfn.MAXIFS(nrMK_Date,nrMK_Link,$B748,nrMK_Credit,"Yes",nrMK_PID,$E748),"mm/dd")),"OPEN"))</f>
        <v/>
      </c>
      <c r="T748" s="17">
        <f>IF($D748="","",IF($C748="","NO DATE",IF($G748="","NO EVENT TYPE",IF(AND($I748&lt;&gt;"",NOT(ISNUMBER($I748))),"MINUTES NOT A NUMBER",IF(AND($J748&lt;&gt;"",NOT(ISNUMBER($J748))),"SESSIONS NOT A NUMBER",IF(OR(N($I748)&lt;0,N($J748)&lt;0),"NEGATIVE MINUTES/SESSIONS",IF(AND($K748="Yes",N($I748)&gt;0),"MINUTES ON A PT EVENT - not counted (PT counts sessions)",IF(AND($K748="No",N($J748)&gt;0),"SESSIONS ON A CLASSROOM EVENT - not counted (classroom counts minutes)",IF(AND($N748="Yes",$K748="Yes",N($J748)=0),"COUNTED PT EVENT WITH NO SESSIONS - dropped from the PT cap",IF(AND($N748="Yes",$K748="No",N($I748)=0),"COUNTED EVENT WITH NO MINUTES - dropped from the classroom cap","OK"))))))))))</f>
        <v/>
      </c>
    </row>
    <row r="749">
      <c r="B749" s="17">
        <f>IF($D749="","","A"&amp;TEXT(ROW()-5,"000"))</f>
        <v/>
      </c>
      <c r="C749" s="18" t="n"/>
      <c r="D749" s="16" t="n"/>
      <c r="E749" s="17">
        <f>IF($D749="","",IFERROR(INDEX(rngCadetPIDs,MATCH($D749,rngCadetNames,0)),"?"))</f>
        <v/>
      </c>
      <c r="F749" s="17">
        <f>IF($E749="","",IFERROR(INDEX(nrCadetAgency,MATCH($E749,rngCadetPIDs,0)),""))</f>
        <v/>
      </c>
      <c r="G749" s="16" t="n"/>
      <c r="H749" s="16" t="n"/>
      <c r="I749" s="16" t="n"/>
      <c r="J749" s="16" t="n"/>
      <c r="K749" s="17">
        <f>IF($G749="","",IF(OR($G749="PT Missed",$G749="PT Modified",$G749="PT Refused"),"Yes","No"))</f>
        <v/>
      </c>
      <c r="L749" s="16" t="n"/>
      <c r="M749" s="16" t="n"/>
      <c r="N749" s="17">
        <f>IF($D749="","",IF($M749="Excused","No",IF(AND($G749="PT Modified",$L749="Received"),"No","Yes")))</f>
        <v/>
      </c>
      <c r="O749" s="16" t="n"/>
      <c r="P749" s="17">
        <f>IF(OR($B749="",N($I749)=0),"",MIN(N($I749),SUMIFS(nrMK_Min,nrMK_Link,$B749,nrMK_Credit,"Yes",nrMK_PID,$E749,nrMK_Type,"Classroom")))</f>
        <v/>
      </c>
      <c r="Q749" s="17">
        <f>IF(OR($B749="",N($J749)=0),"",MIN(N($J749),SUMIFS(nrMK_Sess,nrMK_Link,$B749,nrMK_Credit,"Yes",nrMK_PID,$E749,nrMK_Type,"PT")))</f>
        <v/>
      </c>
      <c r="R749" s="17">
        <f>IF(OR($B749="",$N749&lt;&gt;"Yes"),"",IF($K749="Yes",IF(N($J749)&gt;0,N($J749)-N($Q749),""),IF(N($I749)&gt;0,N($I749)-N($P749),"")))</f>
        <v/>
      </c>
      <c r="S749" s="17">
        <f>IF(OR($B749="",$R749=""),"",IF($R749&lt;=0,IF(IFERROR(_xlfn.MAXIFS(nrMK_Date,nrMK_Link,$B749,nrMK_Credit,"Yes",nrMK_PID,$E749),0)=0,"CLEARED (makeup date missing)","CLEARED "&amp;TEXT(_xlfn.MAXIFS(nrMK_Date,nrMK_Link,$B749,nrMK_Credit,"Yes",nrMK_PID,$E749),"mm/dd")),"OPEN"))</f>
        <v/>
      </c>
      <c r="T749" s="17">
        <f>IF($D749="","",IF($C749="","NO DATE",IF($G749="","NO EVENT TYPE",IF(AND($I749&lt;&gt;"",NOT(ISNUMBER($I749))),"MINUTES NOT A NUMBER",IF(AND($J749&lt;&gt;"",NOT(ISNUMBER($J749))),"SESSIONS NOT A NUMBER",IF(OR(N($I749)&lt;0,N($J749)&lt;0),"NEGATIVE MINUTES/SESSIONS",IF(AND($K749="Yes",N($I749)&gt;0),"MINUTES ON A PT EVENT - not counted (PT counts sessions)",IF(AND($K749="No",N($J749)&gt;0),"SESSIONS ON A CLASSROOM EVENT - not counted (classroom counts minutes)",IF(AND($N749="Yes",$K749="Yes",N($J749)=0),"COUNTED PT EVENT WITH NO SESSIONS - dropped from the PT cap",IF(AND($N749="Yes",$K749="No",N($I749)=0),"COUNTED EVENT WITH NO MINUTES - dropped from the classroom cap","OK"))))))))))</f>
        <v/>
      </c>
    </row>
    <row r="750">
      <c r="B750" s="17">
        <f>IF($D750="","","A"&amp;TEXT(ROW()-5,"000"))</f>
        <v/>
      </c>
      <c r="C750" s="18" t="n"/>
      <c r="D750" s="16" t="n"/>
      <c r="E750" s="17">
        <f>IF($D750="","",IFERROR(INDEX(rngCadetPIDs,MATCH($D750,rngCadetNames,0)),"?"))</f>
        <v/>
      </c>
      <c r="F750" s="17">
        <f>IF($E750="","",IFERROR(INDEX(nrCadetAgency,MATCH($E750,rngCadetPIDs,0)),""))</f>
        <v/>
      </c>
      <c r="G750" s="16" t="n"/>
      <c r="H750" s="16" t="n"/>
      <c r="I750" s="16" t="n"/>
      <c r="J750" s="16" t="n"/>
      <c r="K750" s="17">
        <f>IF($G750="","",IF(OR($G750="PT Missed",$G750="PT Modified",$G750="PT Refused"),"Yes","No"))</f>
        <v/>
      </c>
      <c r="L750" s="16" t="n"/>
      <c r="M750" s="16" t="n"/>
      <c r="N750" s="17">
        <f>IF($D750="","",IF($M750="Excused","No",IF(AND($G750="PT Modified",$L750="Received"),"No","Yes")))</f>
        <v/>
      </c>
      <c r="O750" s="16" t="n"/>
      <c r="P750" s="17">
        <f>IF(OR($B750="",N($I750)=0),"",MIN(N($I750),SUMIFS(nrMK_Min,nrMK_Link,$B750,nrMK_Credit,"Yes",nrMK_PID,$E750,nrMK_Type,"Classroom")))</f>
        <v/>
      </c>
      <c r="Q750" s="17">
        <f>IF(OR($B750="",N($J750)=0),"",MIN(N($J750),SUMIFS(nrMK_Sess,nrMK_Link,$B750,nrMK_Credit,"Yes",nrMK_PID,$E750,nrMK_Type,"PT")))</f>
        <v/>
      </c>
      <c r="R750" s="17">
        <f>IF(OR($B750="",$N750&lt;&gt;"Yes"),"",IF($K750="Yes",IF(N($J750)&gt;0,N($J750)-N($Q750),""),IF(N($I750)&gt;0,N($I750)-N($P750),"")))</f>
        <v/>
      </c>
      <c r="S750" s="17">
        <f>IF(OR($B750="",$R750=""),"",IF($R750&lt;=0,IF(IFERROR(_xlfn.MAXIFS(nrMK_Date,nrMK_Link,$B750,nrMK_Credit,"Yes",nrMK_PID,$E750),0)=0,"CLEARED (makeup date missing)","CLEARED "&amp;TEXT(_xlfn.MAXIFS(nrMK_Date,nrMK_Link,$B750,nrMK_Credit,"Yes",nrMK_PID,$E750),"mm/dd")),"OPEN"))</f>
        <v/>
      </c>
      <c r="T750" s="17">
        <f>IF($D750="","",IF($C750="","NO DATE",IF($G750="","NO EVENT TYPE",IF(AND($I750&lt;&gt;"",NOT(ISNUMBER($I750))),"MINUTES NOT A NUMBER",IF(AND($J750&lt;&gt;"",NOT(ISNUMBER($J750))),"SESSIONS NOT A NUMBER",IF(OR(N($I750)&lt;0,N($J750)&lt;0),"NEGATIVE MINUTES/SESSIONS",IF(AND($K750="Yes",N($I750)&gt;0),"MINUTES ON A PT EVENT - not counted (PT counts sessions)",IF(AND($K750="No",N($J750)&gt;0),"SESSIONS ON A CLASSROOM EVENT - not counted (classroom counts minutes)",IF(AND($N750="Yes",$K750="Yes",N($J750)=0),"COUNTED PT EVENT WITH NO SESSIONS - dropped from the PT cap",IF(AND($N750="Yes",$K750="No",N($I750)=0),"COUNTED EVENT WITH NO MINUTES - dropped from the classroom cap","OK"))))))))))</f>
        <v/>
      </c>
    </row>
    <row r="751">
      <c r="B751" s="17">
        <f>IF($D751="","","A"&amp;TEXT(ROW()-5,"000"))</f>
        <v/>
      </c>
      <c r="C751" s="18" t="n"/>
      <c r="D751" s="16" t="n"/>
      <c r="E751" s="17">
        <f>IF($D751="","",IFERROR(INDEX(rngCadetPIDs,MATCH($D751,rngCadetNames,0)),"?"))</f>
        <v/>
      </c>
      <c r="F751" s="17">
        <f>IF($E751="","",IFERROR(INDEX(nrCadetAgency,MATCH($E751,rngCadetPIDs,0)),""))</f>
        <v/>
      </c>
      <c r="G751" s="16" t="n"/>
      <c r="H751" s="16" t="n"/>
      <c r="I751" s="16" t="n"/>
      <c r="J751" s="16" t="n"/>
      <c r="K751" s="17">
        <f>IF($G751="","",IF(OR($G751="PT Missed",$G751="PT Modified",$G751="PT Refused"),"Yes","No"))</f>
        <v/>
      </c>
      <c r="L751" s="16" t="n"/>
      <c r="M751" s="16" t="n"/>
      <c r="N751" s="17">
        <f>IF($D751="","",IF($M751="Excused","No",IF(AND($G751="PT Modified",$L751="Received"),"No","Yes")))</f>
        <v/>
      </c>
      <c r="O751" s="16" t="n"/>
      <c r="P751" s="17">
        <f>IF(OR($B751="",N($I751)=0),"",MIN(N($I751),SUMIFS(nrMK_Min,nrMK_Link,$B751,nrMK_Credit,"Yes",nrMK_PID,$E751,nrMK_Type,"Classroom")))</f>
        <v/>
      </c>
      <c r="Q751" s="17">
        <f>IF(OR($B751="",N($J751)=0),"",MIN(N($J751),SUMIFS(nrMK_Sess,nrMK_Link,$B751,nrMK_Credit,"Yes",nrMK_PID,$E751,nrMK_Type,"PT")))</f>
        <v/>
      </c>
      <c r="R751" s="17">
        <f>IF(OR($B751="",$N751&lt;&gt;"Yes"),"",IF($K751="Yes",IF(N($J751)&gt;0,N($J751)-N($Q751),""),IF(N($I751)&gt;0,N($I751)-N($P751),"")))</f>
        <v/>
      </c>
      <c r="S751" s="17">
        <f>IF(OR($B751="",$R751=""),"",IF($R751&lt;=0,IF(IFERROR(_xlfn.MAXIFS(nrMK_Date,nrMK_Link,$B751,nrMK_Credit,"Yes",nrMK_PID,$E751),0)=0,"CLEARED (makeup date missing)","CLEARED "&amp;TEXT(_xlfn.MAXIFS(nrMK_Date,nrMK_Link,$B751,nrMK_Credit,"Yes",nrMK_PID,$E751),"mm/dd")),"OPEN"))</f>
        <v/>
      </c>
      <c r="T751" s="17">
        <f>IF($D751="","",IF($C751="","NO DATE",IF($G751="","NO EVENT TYPE",IF(AND($I751&lt;&gt;"",NOT(ISNUMBER($I751))),"MINUTES NOT A NUMBER",IF(AND($J751&lt;&gt;"",NOT(ISNUMBER($J751))),"SESSIONS NOT A NUMBER",IF(OR(N($I751)&lt;0,N($J751)&lt;0),"NEGATIVE MINUTES/SESSIONS",IF(AND($K751="Yes",N($I751)&gt;0),"MINUTES ON A PT EVENT - not counted (PT counts sessions)",IF(AND($K751="No",N($J751)&gt;0),"SESSIONS ON A CLASSROOM EVENT - not counted (classroom counts minutes)",IF(AND($N751="Yes",$K751="Yes",N($J751)=0),"COUNTED PT EVENT WITH NO SESSIONS - dropped from the PT cap",IF(AND($N751="Yes",$K751="No",N($I751)=0),"COUNTED EVENT WITH NO MINUTES - dropped from the classroom cap","OK"))))))))))</f>
        <v/>
      </c>
    </row>
    <row r="752">
      <c r="B752" s="17">
        <f>IF($D752="","","A"&amp;TEXT(ROW()-5,"000"))</f>
        <v/>
      </c>
      <c r="C752" s="18" t="n"/>
      <c r="D752" s="16" t="n"/>
      <c r="E752" s="17">
        <f>IF($D752="","",IFERROR(INDEX(rngCadetPIDs,MATCH($D752,rngCadetNames,0)),"?"))</f>
        <v/>
      </c>
      <c r="F752" s="17">
        <f>IF($E752="","",IFERROR(INDEX(nrCadetAgency,MATCH($E752,rngCadetPIDs,0)),""))</f>
        <v/>
      </c>
      <c r="G752" s="16" t="n"/>
      <c r="H752" s="16" t="n"/>
      <c r="I752" s="16" t="n"/>
      <c r="J752" s="16" t="n"/>
      <c r="K752" s="17">
        <f>IF($G752="","",IF(OR($G752="PT Missed",$G752="PT Modified",$G752="PT Refused"),"Yes","No"))</f>
        <v/>
      </c>
      <c r="L752" s="16" t="n"/>
      <c r="M752" s="16" t="n"/>
      <c r="N752" s="17">
        <f>IF($D752="","",IF($M752="Excused","No",IF(AND($G752="PT Modified",$L752="Received"),"No","Yes")))</f>
        <v/>
      </c>
      <c r="O752" s="16" t="n"/>
      <c r="P752" s="17">
        <f>IF(OR($B752="",N($I752)=0),"",MIN(N($I752),SUMIFS(nrMK_Min,nrMK_Link,$B752,nrMK_Credit,"Yes",nrMK_PID,$E752,nrMK_Type,"Classroom")))</f>
        <v/>
      </c>
      <c r="Q752" s="17">
        <f>IF(OR($B752="",N($J752)=0),"",MIN(N($J752),SUMIFS(nrMK_Sess,nrMK_Link,$B752,nrMK_Credit,"Yes",nrMK_PID,$E752,nrMK_Type,"PT")))</f>
        <v/>
      </c>
      <c r="R752" s="17">
        <f>IF(OR($B752="",$N752&lt;&gt;"Yes"),"",IF($K752="Yes",IF(N($J752)&gt;0,N($J752)-N($Q752),""),IF(N($I752)&gt;0,N($I752)-N($P752),"")))</f>
        <v/>
      </c>
      <c r="S752" s="17">
        <f>IF(OR($B752="",$R752=""),"",IF($R752&lt;=0,IF(IFERROR(_xlfn.MAXIFS(nrMK_Date,nrMK_Link,$B752,nrMK_Credit,"Yes",nrMK_PID,$E752),0)=0,"CLEARED (makeup date missing)","CLEARED "&amp;TEXT(_xlfn.MAXIFS(nrMK_Date,nrMK_Link,$B752,nrMK_Credit,"Yes",nrMK_PID,$E752),"mm/dd")),"OPEN"))</f>
        <v/>
      </c>
      <c r="T752" s="17">
        <f>IF($D752="","",IF($C752="","NO DATE",IF($G752="","NO EVENT TYPE",IF(AND($I752&lt;&gt;"",NOT(ISNUMBER($I752))),"MINUTES NOT A NUMBER",IF(AND($J752&lt;&gt;"",NOT(ISNUMBER($J752))),"SESSIONS NOT A NUMBER",IF(OR(N($I752)&lt;0,N($J752)&lt;0),"NEGATIVE MINUTES/SESSIONS",IF(AND($K752="Yes",N($I752)&gt;0),"MINUTES ON A PT EVENT - not counted (PT counts sessions)",IF(AND($K752="No",N($J752)&gt;0),"SESSIONS ON A CLASSROOM EVENT - not counted (classroom counts minutes)",IF(AND($N752="Yes",$K752="Yes",N($J752)=0),"COUNTED PT EVENT WITH NO SESSIONS - dropped from the PT cap",IF(AND($N752="Yes",$K752="No",N($I752)=0),"COUNTED EVENT WITH NO MINUTES - dropped from the classroom cap","OK"))))))))))</f>
        <v/>
      </c>
    </row>
    <row r="753">
      <c r="B753" s="17">
        <f>IF($D753="","","A"&amp;TEXT(ROW()-5,"000"))</f>
        <v/>
      </c>
      <c r="C753" s="18" t="n"/>
      <c r="D753" s="16" t="n"/>
      <c r="E753" s="17">
        <f>IF($D753="","",IFERROR(INDEX(rngCadetPIDs,MATCH($D753,rngCadetNames,0)),"?"))</f>
        <v/>
      </c>
      <c r="F753" s="17">
        <f>IF($E753="","",IFERROR(INDEX(nrCadetAgency,MATCH($E753,rngCadetPIDs,0)),""))</f>
        <v/>
      </c>
      <c r="G753" s="16" t="n"/>
      <c r="H753" s="16" t="n"/>
      <c r="I753" s="16" t="n"/>
      <c r="J753" s="16" t="n"/>
      <c r="K753" s="17">
        <f>IF($G753="","",IF(OR($G753="PT Missed",$G753="PT Modified",$G753="PT Refused"),"Yes","No"))</f>
        <v/>
      </c>
      <c r="L753" s="16" t="n"/>
      <c r="M753" s="16" t="n"/>
      <c r="N753" s="17">
        <f>IF($D753="","",IF($M753="Excused","No",IF(AND($G753="PT Modified",$L753="Received"),"No","Yes")))</f>
        <v/>
      </c>
      <c r="O753" s="16" t="n"/>
      <c r="P753" s="17">
        <f>IF(OR($B753="",N($I753)=0),"",MIN(N($I753),SUMIFS(nrMK_Min,nrMK_Link,$B753,nrMK_Credit,"Yes",nrMK_PID,$E753,nrMK_Type,"Classroom")))</f>
        <v/>
      </c>
      <c r="Q753" s="17">
        <f>IF(OR($B753="",N($J753)=0),"",MIN(N($J753),SUMIFS(nrMK_Sess,nrMK_Link,$B753,nrMK_Credit,"Yes",nrMK_PID,$E753,nrMK_Type,"PT")))</f>
        <v/>
      </c>
      <c r="R753" s="17">
        <f>IF(OR($B753="",$N753&lt;&gt;"Yes"),"",IF($K753="Yes",IF(N($J753)&gt;0,N($J753)-N($Q753),""),IF(N($I753)&gt;0,N($I753)-N($P753),"")))</f>
        <v/>
      </c>
      <c r="S753" s="17">
        <f>IF(OR($B753="",$R753=""),"",IF($R753&lt;=0,IF(IFERROR(_xlfn.MAXIFS(nrMK_Date,nrMK_Link,$B753,nrMK_Credit,"Yes",nrMK_PID,$E753),0)=0,"CLEARED (makeup date missing)","CLEARED "&amp;TEXT(_xlfn.MAXIFS(nrMK_Date,nrMK_Link,$B753,nrMK_Credit,"Yes",nrMK_PID,$E753),"mm/dd")),"OPEN"))</f>
        <v/>
      </c>
      <c r="T753" s="17">
        <f>IF($D753="","",IF($C753="","NO DATE",IF($G753="","NO EVENT TYPE",IF(AND($I753&lt;&gt;"",NOT(ISNUMBER($I753))),"MINUTES NOT A NUMBER",IF(AND($J753&lt;&gt;"",NOT(ISNUMBER($J753))),"SESSIONS NOT A NUMBER",IF(OR(N($I753)&lt;0,N($J753)&lt;0),"NEGATIVE MINUTES/SESSIONS",IF(AND($K753="Yes",N($I753)&gt;0),"MINUTES ON A PT EVENT - not counted (PT counts sessions)",IF(AND($K753="No",N($J753)&gt;0),"SESSIONS ON A CLASSROOM EVENT - not counted (classroom counts minutes)",IF(AND($N753="Yes",$K753="Yes",N($J753)=0),"COUNTED PT EVENT WITH NO SESSIONS - dropped from the PT cap",IF(AND($N753="Yes",$K753="No",N($I753)=0),"COUNTED EVENT WITH NO MINUTES - dropped from the classroom cap","OK"))))))))))</f>
        <v/>
      </c>
    </row>
    <row r="754">
      <c r="B754" s="17">
        <f>IF($D754="","","A"&amp;TEXT(ROW()-5,"000"))</f>
        <v/>
      </c>
      <c r="C754" s="18" t="n"/>
      <c r="D754" s="16" t="n"/>
      <c r="E754" s="17">
        <f>IF($D754="","",IFERROR(INDEX(rngCadetPIDs,MATCH($D754,rngCadetNames,0)),"?"))</f>
        <v/>
      </c>
      <c r="F754" s="17">
        <f>IF($E754="","",IFERROR(INDEX(nrCadetAgency,MATCH($E754,rngCadetPIDs,0)),""))</f>
        <v/>
      </c>
      <c r="G754" s="16" t="n"/>
      <c r="H754" s="16" t="n"/>
      <c r="I754" s="16" t="n"/>
      <c r="J754" s="16" t="n"/>
      <c r="K754" s="17">
        <f>IF($G754="","",IF(OR($G754="PT Missed",$G754="PT Modified",$G754="PT Refused"),"Yes","No"))</f>
        <v/>
      </c>
      <c r="L754" s="16" t="n"/>
      <c r="M754" s="16" t="n"/>
      <c r="N754" s="17">
        <f>IF($D754="","",IF($M754="Excused","No",IF(AND($G754="PT Modified",$L754="Received"),"No","Yes")))</f>
        <v/>
      </c>
      <c r="O754" s="16" t="n"/>
      <c r="P754" s="17">
        <f>IF(OR($B754="",N($I754)=0),"",MIN(N($I754),SUMIFS(nrMK_Min,nrMK_Link,$B754,nrMK_Credit,"Yes",nrMK_PID,$E754,nrMK_Type,"Classroom")))</f>
        <v/>
      </c>
      <c r="Q754" s="17">
        <f>IF(OR($B754="",N($J754)=0),"",MIN(N($J754),SUMIFS(nrMK_Sess,nrMK_Link,$B754,nrMK_Credit,"Yes",nrMK_PID,$E754,nrMK_Type,"PT")))</f>
        <v/>
      </c>
      <c r="R754" s="17">
        <f>IF(OR($B754="",$N754&lt;&gt;"Yes"),"",IF($K754="Yes",IF(N($J754)&gt;0,N($J754)-N($Q754),""),IF(N($I754)&gt;0,N($I754)-N($P754),"")))</f>
        <v/>
      </c>
      <c r="S754" s="17">
        <f>IF(OR($B754="",$R754=""),"",IF($R754&lt;=0,IF(IFERROR(_xlfn.MAXIFS(nrMK_Date,nrMK_Link,$B754,nrMK_Credit,"Yes",nrMK_PID,$E754),0)=0,"CLEARED (makeup date missing)","CLEARED "&amp;TEXT(_xlfn.MAXIFS(nrMK_Date,nrMK_Link,$B754,nrMK_Credit,"Yes",nrMK_PID,$E754),"mm/dd")),"OPEN"))</f>
        <v/>
      </c>
      <c r="T754" s="17">
        <f>IF($D754="","",IF($C754="","NO DATE",IF($G754="","NO EVENT TYPE",IF(AND($I754&lt;&gt;"",NOT(ISNUMBER($I754))),"MINUTES NOT A NUMBER",IF(AND($J754&lt;&gt;"",NOT(ISNUMBER($J754))),"SESSIONS NOT A NUMBER",IF(OR(N($I754)&lt;0,N($J754)&lt;0),"NEGATIVE MINUTES/SESSIONS",IF(AND($K754="Yes",N($I754)&gt;0),"MINUTES ON A PT EVENT - not counted (PT counts sessions)",IF(AND($K754="No",N($J754)&gt;0),"SESSIONS ON A CLASSROOM EVENT - not counted (classroom counts minutes)",IF(AND($N754="Yes",$K754="Yes",N($J754)=0),"COUNTED PT EVENT WITH NO SESSIONS - dropped from the PT cap",IF(AND($N754="Yes",$K754="No",N($I754)=0),"COUNTED EVENT WITH NO MINUTES - dropped from the classroom cap","OK"))))))))))</f>
        <v/>
      </c>
    </row>
    <row r="755">
      <c r="B755" s="17">
        <f>IF($D755="","","A"&amp;TEXT(ROW()-5,"000"))</f>
        <v/>
      </c>
      <c r="C755" s="18" t="n"/>
      <c r="D755" s="16" t="n"/>
      <c r="E755" s="17">
        <f>IF($D755="","",IFERROR(INDEX(rngCadetPIDs,MATCH($D755,rngCadetNames,0)),"?"))</f>
        <v/>
      </c>
      <c r="F755" s="17">
        <f>IF($E755="","",IFERROR(INDEX(nrCadetAgency,MATCH($E755,rngCadetPIDs,0)),""))</f>
        <v/>
      </c>
      <c r="G755" s="16" t="n"/>
      <c r="H755" s="16" t="n"/>
      <c r="I755" s="16" t="n"/>
      <c r="J755" s="16" t="n"/>
      <c r="K755" s="17">
        <f>IF($G755="","",IF(OR($G755="PT Missed",$G755="PT Modified",$G755="PT Refused"),"Yes","No"))</f>
        <v/>
      </c>
      <c r="L755" s="16" t="n"/>
      <c r="M755" s="16" t="n"/>
      <c r="N755" s="17">
        <f>IF($D755="","",IF($M755="Excused","No",IF(AND($G755="PT Modified",$L755="Received"),"No","Yes")))</f>
        <v/>
      </c>
      <c r="O755" s="16" t="n"/>
      <c r="P755" s="17">
        <f>IF(OR($B755="",N($I755)=0),"",MIN(N($I755),SUMIFS(nrMK_Min,nrMK_Link,$B755,nrMK_Credit,"Yes",nrMK_PID,$E755,nrMK_Type,"Classroom")))</f>
        <v/>
      </c>
      <c r="Q755" s="17">
        <f>IF(OR($B755="",N($J755)=0),"",MIN(N($J755),SUMIFS(nrMK_Sess,nrMK_Link,$B755,nrMK_Credit,"Yes",nrMK_PID,$E755,nrMK_Type,"PT")))</f>
        <v/>
      </c>
      <c r="R755" s="17">
        <f>IF(OR($B755="",$N755&lt;&gt;"Yes"),"",IF($K755="Yes",IF(N($J755)&gt;0,N($J755)-N($Q755),""),IF(N($I755)&gt;0,N($I755)-N($P755),"")))</f>
        <v/>
      </c>
      <c r="S755" s="17">
        <f>IF(OR($B755="",$R755=""),"",IF($R755&lt;=0,IF(IFERROR(_xlfn.MAXIFS(nrMK_Date,nrMK_Link,$B755,nrMK_Credit,"Yes",nrMK_PID,$E755),0)=0,"CLEARED (makeup date missing)","CLEARED "&amp;TEXT(_xlfn.MAXIFS(nrMK_Date,nrMK_Link,$B755,nrMK_Credit,"Yes",nrMK_PID,$E755),"mm/dd")),"OPEN"))</f>
        <v/>
      </c>
      <c r="T755" s="17">
        <f>IF($D755="","",IF($C755="","NO DATE",IF($G755="","NO EVENT TYPE",IF(AND($I755&lt;&gt;"",NOT(ISNUMBER($I755))),"MINUTES NOT A NUMBER",IF(AND($J755&lt;&gt;"",NOT(ISNUMBER($J755))),"SESSIONS NOT A NUMBER",IF(OR(N($I755)&lt;0,N($J755)&lt;0),"NEGATIVE MINUTES/SESSIONS",IF(AND($K755="Yes",N($I755)&gt;0),"MINUTES ON A PT EVENT - not counted (PT counts sessions)",IF(AND($K755="No",N($J755)&gt;0),"SESSIONS ON A CLASSROOM EVENT - not counted (classroom counts minutes)",IF(AND($N755="Yes",$K755="Yes",N($J755)=0),"COUNTED PT EVENT WITH NO SESSIONS - dropped from the PT cap",IF(AND($N755="Yes",$K755="No",N($I755)=0),"COUNTED EVENT WITH NO MINUTES - dropped from the classroom cap","OK"))))))))))</f>
        <v/>
      </c>
    </row>
    <row r="756">
      <c r="B756" s="17">
        <f>IF($D756="","","A"&amp;TEXT(ROW()-5,"000"))</f>
        <v/>
      </c>
      <c r="C756" s="18" t="n"/>
      <c r="D756" s="16" t="n"/>
      <c r="E756" s="17">
        <f>IF($D756="","",IFERROR(INDEX(rngCadetPIDs,MATCH($D756,rngCadetNames,0)),"?"))</f>
        <v/>
      </c>
      <c r="F756" s="17">
        <f>IF($E756="","",IFERROR(INDEX(nrCadetAgency,MATCH($E756,rngCadetPIDs,0)),""))</f>
        <v/>
      </c>
      <c r="G756" s="16" t="n"/>
      <c r="H756" s="16" t="n"/>
      <c r="I756" s="16" t="n"/>
      <c r="J756" s="16" t="n"/>
      <c r="K756" s="17">
        <f>IF($G756="","",IF(OR($G756="PT Missed",$G756="PT Modified",$G756="PT Refused"),"Yes","No"))</f>
        <v/>
      </c>
      <c r="L756" s="16" t="n"/>
      <c r="M756" s="16" t="n"/>
      <c r="N756" s="17">
        <f>IF($D756="","",IF($M756="Excused","No",IF(AND($G756="PT Modified",$L756="Received"),"No","Yes")))</f>
        <v/>
      </c>
      <c r="O756" s="16" t="n"/>
      <c r="P756" s="17">
        <f>IF(OR($B756="",N($I756)=0),"",MIN(N($I756),SUMIFS(nrMK_Min,nrMK_Link,$B756,nrMK_Credit,"Yes",nrMK_PID,$E756,nrMK_Type,"Classroom")))</f>
        <v/>
      </c>
      <c r="Q756" s="17">
        <f>IF(OR($B756="",N($J756)=0),"",MIN(N($J756),SUMIFS(nrMK_Sess,nrMK_Link,$B756,nrMK_Credit,"Yes",nrMK_PID,$E756,nrMK_Type,"PT")))</f>
        <v/>
      </c>
      <c r="R756" s="17">
        <f>IF(OR($B756="",$N756&lt;&gt;"Yes"),"",IF($K756="Yes",IF(N($J756)&gt;0,N($J756)-N($Q756),""),IF(N($I756)&gt;0,N($I756)-N($P756),"")))</f>
        <v/>
      </c>
      <c r="S756" s="17">
        <f>IF(OR($B756="",$R756=""),"",IF($R756&lt;=0,IF(IFERROR(_xlfn.MAXIFS(nrMK_Date,nrMK_Link,$B756,nrMK_Credit,"Yes",nrMK_PID,$E756),0)=0,"CLEARED (makeup date missing)","CLEARED "&amp;TEXT(_xlfn.MAXIFS(nrMK_Date,nrMK_Link,$B756,nrMK_Credit,"Yes",nrMK_PID,$E756),"mm/dd")),"OPEN"))</f>
        <v/>
      </c>
      <c r="T756" s="17">
        <f>IF($D756="","",IF($C756="","NO DATE",IF($G756="","NO EVENT TYPE",IF(AND($I756&lt;&gt;"",NOT(ISNUMBER($I756))),"MINUTES NOT A NUMBER",IF(AND($J756&lt;&gt;"",NOT(ISNUMBER($J756))),"SESSIONS NOT A NUMBER",IF(OR(N($I756)&lt;0,N($J756)&lt;0),"NEGATIVE MINUTES/SESSIONS",IF(AND($K756="Yes",N($I756)&gt;0),"MINUTES ON A PT EVENT - not counted (PT counts sessions)",IF(AND($K756="No",N($J756)&gt;0),"SESSIONS ON A CLASSROOM EVENT - not counted (classroom counts minutes)",IF(AND($N756="Yes",$K756="Yes",N($J756)=0),"COUNTED PT EVENT WITH NO SESSIONS - dropped from the PT cap",IF(AND($N756="Yes",$K756="No",N($I756)=0),"COUNTED EVENT WITH NO MINUTES - dropped from the classroom cap","OK"))))))))))</f>
        <v/>
      </c>
    </row>
    <row r="757">
      <c r="B757" s="17">
        <f>IF($D757="","","A"&amp;TEXT(ROW()-5,"000"))</f>
        <v/>
      </c>
      <c r="C757" s="18" t="n"/>
      <c r="D757" s="16" t="n"/>
      <c r="E757" s="17">
        <f>IF($D757="","",IFERROR(INDEX(rngCadetPIDs,MATCH($D757,rngCadetNames,0)),"?"))</f>
        <v/>
      </c>
      <c r="F757" s="17">
        <f>IF($E757="","",IFERROR(INDEX(nrCadetAgency,MATCH($E757,rngCadetPIDs,0)),""))</f>
        <v/>
      </c>
      <c r="G757" s="16" t="n"/>
      <c r="H757" s="16" t="n"/>
      <c r="I757" s="16" t="n"/>
      <c r="J757" s="16" t="n"/>
      <c r="K757" s="17">
        <f>IF($G757="","",IF(OR($G757="PT Missed",$G757="PT Modified",$G757="PT Refused"),"Yes","No"))</f>
        <v/>
      </c>
      <c r="L757" s="16" t="n"/>
      <c r="M757" s="16" t="n"/>
      <c r="N757" s="17">
        <f>IF($D757="","",IF($M757="Excused","No",IF(AND($G757="PT Modified",$L757="Received"),"No","Yes")))</f>
        <v/>
      </c>
      <c r="O757" s="16" t="n"/>
      <c r="P757" s="17">
        <f>IF(OR($B757="",N($I757)=0),"",MIN(N($I757),SUMIFS(nrMK_Min,nrMK_Link,$B757,nrMK_Credit,"Yes",nrMK_PID,$E757,nrMK_Type,"Classroom")))</f>
        <v/>
      </c>
      <c r="Q757" s="17">
        <f>IF(OR($B757="",N($J757)=0),"",MIN(N($J757),SUMIFS(nrMK_Sess,nrMK_Link,$B757,nrMK_Credit,"Yes",nrMK_PID,$E757,nrMK_Type,"PT")))</f>
        <v/>
      </c>
      <c r="R757" s="17">
        <f>IF(OR($B757="",$N757&lt;&gt;"Yes"),"",IF($K757="Yes",IF(N($J757)&gt;0,N($J757)-N($Q757),""),IF(N($I757)&gt;0,N($I757)-N($P757),"")))</f>
        <v/>
      </c>
      <c r="S757" s="17">
        <f>IF(OR($B757="",$R757=""),"",IF($R757&lt;=0,IF(IFERROR(_xlfn.MAXIFS(nrMK_Date,nrMK_Link,$B757,nrMK_Credit,"Yes",nrMK_PID,$E757),0)=0,"CLEARED (makeup date missing)","CLEARED "&amp;TEXT(_xlfn.MAXIFS(nrMK_Date,nrMK_Link,$B757,nrMK_Credit,"Yes",nrMK_PID,$E757),"mm/dd")),"OPEN"))</f>
        <v/>
      </c>
      <c r="T757" s="17">
        <f>IF($D757="","",IF($C757="","NO DATE",IF($G757="","NO EVENT TYPE",IF(AND($I757&lt;&gt;"",NOT(ISNUMBER($I757))),"MINUTES NOT A NUMBER",IF(AND($J757&lt;&gt;"",NOT(ISNUMBER($J757))),"SESSIONS NOT A NUMBER",IF(OR(N($I757)&lt;0,N($J757)&lt;0),"NEGATIVE MINUTES/SESSIONS",IF(AND($K757="Yes",N($I757)&gt;0),"MINUTES ON A PT EVENT - not counted (PT counts sessions)",IF(AND($K757="No",N($J757)&gt;0),"SESSIONS ON A CLASSROOM EVENT - not counted (classroom counts minutes)",IF(AND($N757="Yes",$K757="Yes",N($J757)=0),"COUNTED PT EVENT WITH NO SESSIONS - dropped from the PT cap",IF(AND($N757="Yes",$K757="No",N($I757)=0),"COUNTED EVENT WITH NO MINUTES - dropped from the classroom cap","OK"))))))))))</f>
        <v/>
      </c>
    </row>
    <row r="758">
      <c r="B758" s="17">
        <f>IF($D758="","","A"&amp;TEXT(ROW()-5,"000"))</f>
        <v/>
      </c>
      <c r="C758" s="18" t="n"/>
      <c r="D758" s="16" t="n"/>
      <c r="E758" s="17">
        <f>IF($D758="","",IFERROR(INDEX(rngCadetPIDs,MATCH($D758,rngCadetNames,0)),"?"))</f>
        <v/>
      </c>
      <c r="F758" s="17">
        <f>IF($E758="","",IFERROR(INDEX(nrCadetAgency,MATCH($E758,rngCadetPIDs,0)),""))</f>
        <v/>
      </c>
      <c r="G758" s="16" t="n"/>
      <c r="H758" s="16" t="n"/>
      <c r="I758" s="16" t="n"/>
      <c r="J758" s="16" t="n"/>
      <c r="K758" s="17">
        <f>IF($G758="","",IF(OR($G758="PT Missed",$G758="PT Modified",$G758="PT Refused"),"Yes","No"))</f>
        <v/>
      </c>
      <c r="L758" s="16" t="n"/>
      <c r="M758" s="16" t="n"/>
      <c r="N758" s="17">
        <f>IF($D758="","",IF($M758="Excused","No",IF(AND($G758="PT Modified",$L758="Received"),"No","Yes")))</f>
        <v/>
      </c>
      <c r="O758" s="16" t="n"/>
      <c r="P758" s="17">
        <f>IF(OR($B758="",N($I758)=0),"",MIN(N($I758),SUMIFS(nrMK_Min,nrMK_Link,$B758,nrMK_Credit,"Yes",nrMK_PID,$E758,nrMK_Type,"Classroom")))</f>
        <v/>
      </c>
      <c r="Q758" s="17">
        <f>IF(OR($B758="",N($J758)=0),"",MIN(N($J758),SUMIFS(nrMK_Sess,nrMK_Link,$B758,nrMK_Credit,"Yes",nrMK_PID,$E758,nrMK_Type,"PT")))</f>
        <v/>
      </c>
      <c r="R758" s="17">
        <f>IF(OR($B758="",$N758&lt;&gt;"Yes"),"",IF($K758="Yes",IF(N($J758)&gt;0,N($J758)-N($Q758),""),IF(N($I758)&gt;0,N($I758)-N($P758),"")))</f>
        <v/>
      </c>
      <c r="S758" s="17">
        <f>IF(OR($B758="",$R758=""),"",IF($R758&lt;=0,IF(IFERROR(_xlfn.MAXIFS(nrMK_Date,nrMK_Link,$B758,nrMK_Credit,"Yes",nrMK_PID,$E758),0)=0,"CLEARED (makeup date missing)","CLEARED "&amp;TEXT(_xlfn.MAXIFS(nrMK_Date,nrMK_Link,$B758,nrMK_Credit,"Yes",nrMK_PID,$E758),"mm/dd")),"OPEN"))</f>
        <v/>
      </c>
      <c r="T758" s="17">
        <f>IF($D758="","",IF($C758="","NO DATE",IF($G758="","NO EVENT TYPE",IF(AND($I758&lt;&gt;"",NOT(ISNUMBER($I758))),"MINUTES NOT A NUMBER",IF(AND($J758&lt;&gt;"",NOT(ISNUMBER($J758))),"SESSIONS NOT A NUMBER",IF(OR(N($I758)&lt;0,N($J758)&lt;0),"NEGATIVE MINUTES/SESSIONS",IF(AND($K758="Yes",N($I758)&gt;0),"MINUTES ON A PT EVENT - not counted (PT counts sessions)",IF(AND($K758="No",N($J758)&gt;0),"SESSIONS ON A CLASSROOM EVENT - not counted (classroom counts minutes)",IF(AND($N758="Yes",$K758="Yes",N($J758)=0),"COUNTED PT EVENT WITH NO SESSIONS - dropped from the PT cap",IF(AND($N758="Yes",$K758="No",N($I758)=0),"COUNTED EVENT WITH NO MINUTES - dropped from the classroom cap","OK"))))))))))</f>
        <v/>
      </c>
    </row>
    <row r="759">
      <c r="B759" s="17">
        <f>IF($D759="","","A"&amp;TEXT(ROW()-5,"000"))</f>
        <v/>
      </c>
      <c r="C759" s="18" t="n"/>
      <c r="D759" s="16" t="n"/>
      <c r="E759" s="17">
        <f>IF($D759="","",IFERROR(INDEX(rngCadetPIDs,MATCH($D759,rngCadetNames,0)),"?"))</f>
        <v/>
      </c>
      <c r="F759" s="17">
        <f>IF($E759="","",IFERROR(INDEX(nrCadetAgency,MATCH($E759,rngCadetPIDs,0)),""))</f>
        <v/>
      </c>
      <c r="G759" s="16" t="n"/>
      <c r="H759" s="16" t="n"/>
      <c r="I759" s="16" t="n"/>
      <c r="J759" s="16" t="n"/>
      <c r="K759" s="17">
        <f>IF($G759="","",IF(OR($G759="PT Missed",$G759="PT Modified",$G759="PT Refused"),"Yes","No"))</f>
        <v/>
      </c>
      <c r="L759" s="16" t="n"/>
      <c r="M759" s="16" t="n"/>
      <c r="N759" s="17">
        <f>IF($D759="","",IF($M759="Excused","No",IF(AND($G759="PT Modified",$L759="Received"),"No","Yes")))</f>
        <v/>
      </c>
      <c r="O759" s="16" t="n"/>
      <c r="P759" s="17">
        <f>IF(OR($B759="",N($I759)=0),"",MIN(N($I759),SUMIFS(nrMK_Min,nrMK_Link,$B759,nrMK_Credit,"Yes",nrMK_PID,$E759,nrMK_Type,"Classroom")))</f>
        <v/>
      </c>
      <c r="Q759" s="17">
        <f>IF(OR($B759="",N($J759)=0),"",MIN(N($J759),SUMIFS(nrMK_Sess,nrMK_Link,$B759,nrMK_Credit,"Yes",nrMK_PID,$E759,nrMK_Type,"PT")))</f>
        <v/>
      </c>
      <c r="R759" s="17">
        <f>IF(OR($B759="",$N759&lt;&gt;"Yes"),"",IF($K759="Yes",IF(N($J759)&gt;0,N($J759)-N($Q759),""),IF(N($I759)&gt;0,N($I759)-N($P759),"")))</f>
        <v/>
      </c>
      <c r="S759" s="17">
        <f>IF(OR($B759="",$R759=""),"",IF($R759&lt;=0,IF(IFERROR(_xlfn.MAXIFS(nrMK_Date,nrMK_Link,$B759,nrMK_Credit,"Yes",nrMK_PID,$E759),0)=0,"CLEARED (makeup date missing)","CLEARED "&amp;TEXT(_xlfn.MAXIFS(nrMK_Date,nrMK_Link,$B759,nrMK_Credit,"Yes",nrMK_PID,$E759),"mm/dd")),"OPEN"))</f>
        <v/>
      </c>
      <c r="T759" s="17">
        <f>IF($D759="","",IF($C759="","NO DATE",IF($G759="","NO EVENT TYPE",IF(AND($I759&lt;&gt;"",NOT(ISNUMBER($I759))),"MINUTES NOT A NUMBER",IF(AND($J759&lt;&gt;"",NOT(ISNUMBER($J759))),"SESSIONS NOT A NUMBER",IF(OR(N($I759)&lt;0,N($J759)&lt;0),"NEGATIVE MINUTES/SESSIONS",IF(AND($K759="Yes",N($I759)&gt;0),"MINUTES ON A PT EVENT - not counted (PT counts sessions)",IF(AND($K759="No",N($J759)&gt;0),"SESSIONS ON A CLASSROOM EVENT - not counted (classroom counts minutes)",IF(AND($N759="Yes",$K759="Yes",N($J759)=0),"COUNTED PT EVENT WITH NO SESSIONS - dropped from the PT cap",IF(AND($N759="Yes",$K759="No",N($I759)=0),"COUNTED EVENT WITH NO MINUTES - dropped from the classroom cap","OK"))))))))))</f>
        <v/>
      </c>
    </row>
    <row r="760">
      <c r="B760" s="17">
        <f>IF($D760="","","A"&amp;TEXT(ROW()-5,"000"))</f>
        <v/>
      </c>
      <c r="C760" s="18" t="n"/>
      <c r="D760" s="16" t="n"/>
      <c r="E760" s="17">
        <f>IF($D760="","",IFERROR(INDEX(rngCadetPIDs,MATCH($D760,rngCadetNames,0)),"?"))</f>
        <v/>
      </c>
      <c r="F760" s="17">
        <f>IF($E760="","",IFERROR(INDEX(nrCadetAgency,MATCH($E760,rngCadetPIDs,0)),""))</f>
        <v/>
      </c>
      <c r="G760" s="16" t="n"/>
      <c r="H760" s="16" t="n"/>
      <c r="I760" s="16" t="n"/>
      <c r="J760" s="16" t="n"/>
      <c r="K760" s="17">
        <f>IF($G760="","",IF(OR($G760="PT Missed",$G760="PT Modified",$G760="PT Refused"),"Yes","No"))</f>
        <v/>
      </c>
      <c r="L760" s="16" t="n"/>
      <c r="M760" s="16" t="n"/>
      <c r="N760" s="17">
        <f>IF($D760="","",IF($M760="Excused","No",IF(AND($G760="PT Modified",$L760="Received"),"No","Yes")))</f>
        <v/>
      </c>
      <c r="O760" s="16" t="n"/>
      <c r="P760" s="17">
        <f>IF(OR($B760="",N($I760)=0),"",MIN(N($I760),SUMIFS(nrMK_Min,nrMK_Link,$B760,nrMK_Credit,"Yes",nrMK_PID,$E760,nrMK_Type,"Classroom")))</f>
        <v/>
      </c>
      <c r="Q760" s="17">
        <f>IF(OR($B760="",N($J760)=0),"",MIN(N($J760),SUMIFS(nrMK_Sess,nrMK_Link,$B760,nrMK_Credit,"Yes",nrMK_PID,$E760,nrMK_Type,"PT")))</f>
        <v/>
      </c>
      <c r="R760" s="17">
        <f>IF(OR($B760="",$N760&lt;&gt;"Yes"),"",IF($K760="Yes",IF(N($J760)&gt;0,N($J760)-N($Q760),""),IF(N($I760)&gt;0,N($I760)-N($P760),"")))</f>
        <v/>
      </c>
      <c r="S760" s="17">
        <f>IF(OR($B760="",$R760=""),"",IF($R760&lt;=0,IF(IFERROR(_xlfn.MAXIFS(nrMK_Date,nrMK_Link,$B760,nrMK_Credit,"Yes",nrMK_PID,$E760),0)=0,"CLEARED (makeup date missing)","CLEARED "&amp;TEXT(_xlfn.MAXIFS(nrMK_Date,nrMK_Link,$B760,nrMK_Credit,"Yes",nrMK_PID,$E760),"mm/dd")),"OPEN"))</f>
        <v/>
      </c>
      <c r="T760" s="17">
        <f>IF($D760="","",IF($C760="","NO DATE",IF($G760="","NO EVENT TYPE",IF(AND($I760&lt;&gt;"",NOT(ISNUMBER($I760))),"MINUTES NOT A NUMBER",IF(AND($J760&lt;&gt;"",NOT(ISNUMBER($J760))),"SESSIONS NOT A NUMBER",IF(OR(N($I760)&lt;0,N($J760)&lt;0),"NEGATIVE MINUTES/SESSIONS",IF(AND($K760="Yes",N($I760)&gt;0),"MINUTES ON A PT EVENT - not counted (PT counts sessions)",IF(AND($K760="No",N($J760)&gt;0),"SESSIONS ON A CLASSROOM EVENT - not counted (classroom counts minutes)",IF(AND($N760="Yes",$K760="Yes",N($J760)=0),"COUNTED PT EVENT WITH NO SESSIONS - dropped from the PT cap",IF(AND($N760="Yes",$K760="No",N($I760)=0),"COUNTED EVENT WITH NO MINUTES - dropped from the classroom cap","OK"))))))))))</f>
        <v/>
      </c>
    </row>
    <row r="761">
      <c r="B761" s="17">
        <f>IF($D761="","","A"&amp;TEXT(ROW()-5,"000"))</f>
        <v/>
      </c>
      <c r="C761" s="18" t="n"/>
      <c r="D761" s="16" t="n"/>
      <c r="E761" s="17">
        <f>IF($D761="","",IFERROR(INDEX(rngCadetPIDs,MATCH($D761,rngCadetNames,0)),"?"))</f>
        <v/>
      </c>
      <c r="F761" s="17">
        <f>IF($E761="","",IFERROR(INDEX(nrCadetAgency,MATCH($E761,rngCadetPIDs,0)),""))</f>
        <v/>
      </c>
      <c r="G761" s="16" t="n"/>
      <c r="H761" s="16" t="n"/>
      <c r="I761" s="16" t="n"/>
      <c r="J761" s="16" t="n"/>
      <c r="K761" s="17">
        <f>IF($G761="","",IF(OR($G761="PT Missed",$G761="PT Modified",$G761="PT Refused"),"Yes","No"))</f>
        <v/>
      </c>
      <c r="L761" s="16" t="n"/>
      <c r="M761" s="16" t="n"/>
      <c r="N761" s="17">
        <f>IF($D761="","",IF($M761="Excused","No",IF(AND($G761="PT Modified",$L761="Received"),"No","Yes")))</f>
        <v/>
      </c>
      <c r="O761" s="16" t="n"/>
      <c r="P761" s="17">
        <f>IF(OR($B761="",N($I761)=0),"",MIN(N($I761),SUMIFS(nrMK_Min,nrMK_Link,$B761,nrMK_Credit,"Yes",nrMK_PID,$E761,nrMK_Type,"Classroom")))</f>
        <v/>
      </c>
      <c r="Q761" s="17">
        <f>IF(OR($B761="",N($J761)=0),"",MIN(N($J761),SUMIFS(nrMK_Sess,nrMK_Link,$B761,nrMK_Credit,"Yes",nrMK_PID,$E761,nrMK_Type,"PT")))</f>
        <v/>
      </c>
      <c r="R761" s="17">
        <f>IF(OR($B761="",$N761&lt;&gt;"Yes"),"",IF($K761="Yes",IF(N($J761)&gt;0,N($J761)-N($Q761),""),IF(N($I761)&gt;0,N($I761)-N($P761),"")))</f>
        <v/>
      </c>
      <c r="S761" s="17">
        <f>IF(OR($B761="",$R761=""),"",IF($R761&lt;=0,IF(IFERROR(_xlfn.MAXIFS(nrMK_Date,nrMK_Link,$B761,nrMK_Credit,"Yes",nrMK_PID,$E761),0)=0,"CLEARED (makeup date missing)","CLEARED "&amp;TEXT(_xlfn.MAXIFS(nrMK_Date,nrMK_Link,$B761,nrMK_Credit,"Yes",nrMK_PID,$E761),"mm/dd")),"OPEN"))</f>
        <v/>
      </c>
      <c r="T761" s="17">
        <f>IF($D761="","",IF($C761="","NO DATE",IF($G761="","NO EVENT TYPE",IF(AND($I761&lt;&gt;"",NOT(ISNUMBER($I761))),"MINUTES NOT A NUMBER",IF(AND($J761&lt;&gt;"",NOT(ISNUMBER($J761))),"SESSIONS NOT A NUMBER",IF(OR(N($I761)&lt;0,N($J761)&lt;0),"NEGATIVE MINUTES/SESSIONS",IF(AND($K761="Yes",N($I761)&gt;0),"MINUTES ON A PT EVENT - not counted (PT counts sessions)",IF(AND($K761="No",N($J761)&gt;0),"SESSIONS ON A CLASSROOM EVENT - not counted (classroom counts minutes)",IF(AND($N761="Yes",$K761="Yes",N($J761)=0),"COUNTED PT EVENT WITH NO SESSIONS - dropped from the PT cap",IF(AND($N761="Yes",$K761="No",N($I761)=0),"COUNTED EVENT WITH NO MINUTES - dropped from the classroom cap","OK"))))))))))</f>
        <v/>
      </c>
    </row>
    <row r="762">
      <c r="B762" s="17">
        <f>IF($D762="","","A"&amp;TEXT(ROW()-5,"000"))</f>
        <v/>
      </c>
      <c r="C762" s="18" t="n"/>
      <c r="D762" s="16" t="n"/>
      <c r="E762" s="17">
        <f>IF($D762="","",IFERROR(INDEX(rngCadetPIDs,MATCH($D762,rngCadetNames,0)),"?"))</f>
        <v/>
      </c>
      <c r="F762" s="17">
        <f>IF($E762="","",IFERROR(INDEX(nrCadetAgency,MATCH($E762,rngCadetPIDs,0)),""))</f>
        <v/>
      </c>
      <c r="G762" s="16" t="n"/>
      <c r="H762" s="16" t="n"/>
      <c r="I762" s="16" t="n"/>
      <c r="J762" s="16" t="n"/>
      <c r="K762" s="17">
        <f>IF($G762="","",IF(OR($G762="PT Missed",$G762="PT Modified",$G762="PT Refused"),"Yes","No"))</f>
        <v/>
      </c>
      <c r="L762" s="16" t="n"/>
      <c r="M762" s="16" t="n"/>
      <c r="N762" s="17">
        <f>IF($D762="","",IF($M762="Excused","No",IF(AND($G762="PT Modified",$L762="Received"),"No","Yes")))</f>
        <v/>
      </c>
      <c r="O762" s="16" t="n"/>
      <c r="P762" s="17">
        <f>IF(OR($B762="",N($I762)=0),"",MIN(N($I762),SUMIFS(nrMK_Min,nrMK_Link,$B762,nrMK_Credit,"Yes",nrMK_PID,$E762,nrMK_Type,"Classroom")))</f>
        <v/>
      </c>
      <c r="Q762" s="17">
        <f>IF(OR($B762="",N($J762)=0),"",MIN(N($J762),SUMIFS(nrMK_Sess,nrMK_Link,$B762,nrMK_Credit,"Yes",nrMK_PID,$E762,nrMK_Type,"PT")))</f>
        <v/>
      </c>
      <c r="R762" s="17">
        <f>IF(OR($B762="",$N762&lt;&gt;"Yes"),"",IF($K762="Yes",IF(N($J762)&gt;0,N($J762)-N($Q762),""),IF(N($I762)&gt;0,N($I762)-N($P762),"")))</f>
        <v/>
      </c>
      <c r="S762" s="17">
        <f>IF(OR($B762="",$R762=""),"",IF($R762&lt;=0,IF(IFERROR(_xlfn.MAXIFS(nrMK_Date,nrMK_Link,$B762,nrMK_Credit,"Yes",nrMK_PID,$E762),0)=0,"CLEARED (makeup date missing)","CLEARED "&amp;TEXT(_xlfn.MAXIFS(nrMK_Date,nrMK_Link,$B762,nrMK_Credit,"Yes",nrMK_PID,$E762),"mm/dd")),"OPEN"))</f>
        <v/>
      </c>
      <c r="T762" s="17">
        <f>IF($D762="","",IF($C762="","NO DATE",IF($G762="","NO EVENT TYPE",IF(AND($I762&lt;&gt;"",NOT(ISNUMBER($I762))),"MINUTES NOT A NUMBER",IF(AND($J762&lt;&gt;"",NOT(ISNUMBER($J762))),"SESSIONS NOT A NUMBER",IF(OR(N($I762)&lt;0,N($J762)&lt;0),"NEGATIVE MINUTES/SESSIONS",IF(AND($K762="Yes",N($I762)&gt;0),"MINUTES ON A PT EVENT - not counted (PT counts sessions)",IF(AND($K762="No",N($J762)&gt;0),"SESSIONS ON A CLASSROOM EVENT - not counted (classroom counts minutes)",IF(AND($N762="Yes",$K762="Yes",N($J762)=0),"COUNTED PT EVENT WITH NO SESSIONS - dropped from the PT cap",IF(AND($N762="Yes",$K762="No",N($I762)=0),"COUNTED EVENT WITH NO MINUTES - dropped from the classroom cap","OK"))))))))))</f>
        <v/>
      </c>
    </row>
    <row r="763">
      <c r="B763" s="17">
        <f>IF($D763="","","A"&amp;TEXT(ROW()-5,"000"))</f>
        <v/>
      </c>
      <c r="C763" s="18" t="n"/>
      <c r="D763" s="16" t="n"/>
      <c r="E763" s="17">
        <f>IF($D763="","",IFERROR(INDEX(rngCadetPIDs,MATCH($D763,rngCadetNames,0)),"?"))</f>
        <v/>
      </c>
      <c r="F763" s="17">
        <f>IF($E763="","",IFERROR(INDEX(nrCadetAgency,MATCH($E763,rngCadetPIDs,0)),""))</f>
        <v/>
      </c>
      <c r="G763" s="16" t="n"/>
      <c r="H763" s="16" t="n"/>
      <c r="I763" s="16" t="n"/>
      <c r="J763" s="16" t="n"/>
      <c r="K763" s="17">
        <f>IF($G763="","",IF(OR($G763="PT Missed",$G763="PT Modified",$G763="PT Refused"),"Yes","No"))</f>
        <v/>
      </c>
      <c r="L763" s="16" t="n"/>
      <c r="M763" s="16" t="n"/>
      <c r="N763" s="17">
        <f>IF($D763="","",IF($M763="Excused","No",IF(AND($G763="PT Modified",$L763="Received"),"No","Yes")))</f>
        <v/>
      </c>
      <c r="O763" s="16" t="n"/>
      <c r="P763" s="17">
        <f>IF(OR($B763="",N($I763)=0),"",MIN(N($I763),SUMIFS(nrMK_Min,nrMK_Link,$B763,nrMK_Credit,"Yes",nrMK_PID,$E763,nrMK_Type,"Classroom")))</f>
        <v/>
      </c>
      <c r="Q763" s="17">
        <f>IF(OR($B763="",N($J763)=0),"",MIN(N($J763),SUMIFS(nrMK_Sess,nrMK_Link,$B763,nrMK_Credit,"Yes",nrMK_PID,$E763,nrMK_Type,"PT")))</f>
        <v/>
      </c>
      <c r="R763" s="17">
        <f>IF(OR($B763="",$N763&lt;&gt;"Yes"),"",IF($K763="Yes",IF(N($J763)&gt;0,N($J763)-N($Q763),""),IF(N($I763)&gt;0,N($I763)-N($P763),"")))</f>
        <v/>
      </c>
      <c r="S763" s="17">
        <f>IF(OR($B763="",$R763=""),"",IF($R763&lt;=0,IF(IFERROR(_xlfn.MAXIFS(nrMK_Date,nrMK_Link,$B763,nrMK_Credit,"Yes",nrMK_PID,$E763),0)=0,"CLEARED (makeup date missing)","CLEARED "&amp;TEXT(_xlfn.MAXIFS(nrMK_Date,nrMK_Link,$B763,nrMK_Credit,"Yes",nrMK_PID,$E763),"mm/dd")),"OPEN"))</f>
        <v/>
      </c>
      <c r="T763" s="17">
        <f>IF($D763="","",IF($C763="","NO DATE",IF($G763="","NO EVENT TYPE",IF(AND($I763&lt;&gt;"",NOT(ISNUMBER($I763))),"MINUTES NOT A NUMBER",IF(AND($J763&lt;&gt;"",NOT(ISNUMBER($J763))),"SESSIONS NOT A NUMBER",IF(OR(N($I763)&lt;0,N($J763)&lt;0),"NEGATIVE MINUTES/SESSIONS",IF(AND($K763="Yes",N($I763)&gt;0),"MINUTES ON A PT EVENT - not counted (PT counts sessions)",IF(AND($K763="No",N($J763)&gt;0),"SESSIONS ON A CLASSROOM EVENT - not counted (classroom counts minutes)",IF(AND($N763="Yes",$K763="Yes",N($J763)=0),"COUNTED PT EVENT WITH NO SESSIONS - dropped from the PT cap",IF(AND($N763="Yes",$K763="No",N($I763)=0),"COUNTED EVENT WITH NO MINUTES - dropped from the classroom cap","OK"))))))))))</f>
        <v/>
      </c>
    </row>
    <row r="764">
      <c r="B764" s="17">
        <f>IF($D764="","","A"&amp;TEXT(ROW()-5,"000"))</f>
        <v/>
      </c>
      <c r="C764" s="18" t="n"/>
      <c r="D764" s="16" t="n"/>
      <c r="E764" s="17">
        <f>IF($D764="","",IFERROR(INDEX(rngCadetPIDs,MATCH($D764,rngCadetNames,0)),"?"))</f>
        <v/>
      </c>
      <c r="F764" s="17">
        <f>IF($E764="","",IFERROR(INDEX(nrCadetAgency,MATCH($E764,rngCadetPIDs,0)),""))</f>
        <v/>
      </c>
      <c r="G764" s="16" t="n"/>
      <c r="H764" s="16" t="n"/>
      <c r="I764" s="16" t="n"/>
      <c r="J764" s="16" t="n"/>
      <c r="K764" s="17">
        <f>IF($G764="","",IF(OR($G764="PT Missed",$G764="PT Modified",$G764="PT Refused"),"Yes","No"))</f>
        <v/>
      </c>
      <c r="L764" s="16" t="n"/>
      <c r="M764" s="16" t="n"/>
      <c r="N764" s="17">
        <f>IF($D764="","",IF($M764="Excused","No",IF(AND($G764="PT Modified",$L764="Received"),"No","Yes")))</f>
        <v/>
      </c>
      <c r="O764" s="16" t="n"/>
      <c r="P764" s="17">
        <f>IF(OR($B764="",N($I764)=0),"",MIN(N($I764),SUMIFS(nrMK_Min,nrMK_Link,$B764,nrMK_Credit,"Yes",nrMK_PID,$E764,nrMK_Type,"Classroom")))</f>
        <v/>
      </c>
      <c r="Q764" s="17">
        <f>IF(OR($B764="",N($J764)=0),"",MIN(N($J764),SUMIFS(nrMK_Sess,nrMK_Link,$B764,nrMK_Credit,"Yes",nrMK_PID,$E764,nrMK_Type,"PT")))</f>
        <v/>
      </c>
      <c r="R764" s="17">
        <f>IF(OR($B764="",$N764&lt;&gt;"Yes"),"",IF($K764="Yes",IF(N($J764)&gt;0,N($J764)-N($Q764),""),IF(N($I764)&gt;0,N($I764)-N($P764),"")))</f>
        <v/>
      </c>
      <c r="S764" s="17">
        <f>IF(OR($B764="",$R764=""),"",IF($R764&lt;=0,IF(IFERROR(_xlfn.MAXIFS(nrMK_Date,nrMK_Link,$B764,nrMK_Credit,"Yes",nrMK_PID,$E764),0)=0,"CLEARED (makeup date missing)","CLEARED "&amp;TEXT(_xlfn.MAXIFS(nrMK_Date,nrMK_Link,$B764,nrMK_Credit,"Yes",nrMK_PID,$E764),"mm/dd")),"OPEN"))</f>
        <v/>
      </c>
      <c r="T764" s="17">
        <f>IF($D764="","",IF($C764="","NO DATE",IF($G764="","NO EVENT TYPE",IF(AND($I764&lt;&gt;"",NOT(ISNUMBER($I764))),"MINUTES NOT A NUMBER",IF(AND($J764&lt;&gt;"",NOT(ISNUMBER($J764))),"SESSIONS NOT A NUMBER",IF(OR(N($I764)&lt;0,N($J764)&lt;0),"NEGATIVE MINUTES/SESSIONS",IF(AND($K764="Yes",N($I764)&gt;0),"MINUTES ON A PT EVENT - not counted (PT counts sessions)",IF(AND($K764="No",N($J764)&gt;0),"SESSIONS ON A CLASSROOM EVENT - not counted (classroom counts minutes)",IF(AND($N764="Yes",$K764="Yes",N($J764)=0),"COUNTED PT EVENT WITH NO SESSIONS - dropped from the PT cap",IF(AND($N764="Yes",$K764="No",N($I764)=0),"COUNTED EVENT WITH NO MINUTES - dropped from the classroom cap","OK"))))))))))</f>
        <v/>
      </c>
    </row>
    <row r="765">
      <c r="B765" s="17">
        <f>IF($D765="","","A"&amp;TEXT(ROW()-5,"000"))</f>
        <v/>
      </c>
      <c r="C765" s="18" t="n"/>
      <c r="D765" s="16" t="n"/>
      <c r="E765" s="17">
        <f>IF($D765="","",IFERROR(INDEX(rngCadetPIDs,MATCH($D765,rngCadetNames,0)),"?"))</f>
        <v/>
      </c>
      <c r="F765" s="17">
        <f>IF($E765="","",IFERROR(INDEX(nrCadetAgency,MATCH($E765,rngCadetPIDs,0)),""))</f>
        <v/>
      </c>
      <c r="G765" s="16" t="n"/>
      <c r="H765" s="16" t="n"/>
      <c r="I765" s="16" t="n"/>
      <c r="J765" s="16" t="n"/>
      <c r="K765" s="17">
        <f>IF($G765="","",IF(OR($G765="PT Missed",$G765="PT Modified",$G765="PT Refused"),"Yes","No"))</f>
        <v/>
      </c>
      <c r="L765" s="16" t="n"/>
      <c r="M765" s="16" t="n"/>
      <c r="N765" s="17">
        <f>IF($D765="","",IF($M765="Excused","No",IF(AND($G765="PT Modified",$L765="Received"),"No","Yes")))</f>
        <v/>
      </c>
      <c r="O765" s="16" t="n"/>
      <c r="P765" s="17">
        <f>IF(OR($B765="",N($I765)=0),"",MIN(N($I765),SUMIFS(nrMK_Min,nrMK_Link,$B765,nrMK_Credit,"Yes",nrMK_PID,$E765,nrMK_Type,"Classroom")))</f>
        <v/>
      </c>
      <c r="Q765" s="17">
        <f>IF(OR($B765="",N($J765)=0),"",MIN(N($J765),SUMIFS(nrMK_Sess,nrMK_Link,$B765,nrMK_Credit,"Yes",nrMK_PID,$E765,nrMK_Type,"PT")))</f>
        <v/>
      </c>
      <c r="R765" s="17">
        <f>IF(OR($B765="",$N765&lt;&gt;"Yes"),"",IF($K765="Yes",IF(N($J765)&gt;0,N($J765)-N($Q765),""),IF(N($I765)&gt;0,N($I765)-N($P765),"")))</f>
        <v/>
      </c>
      <c r="S765" s="17">
        <f>IF(OR($B765="",$R765=""),"",IF($R765&lt;=0,IF(IFERROR(_xlfn.MAXIFS(nrMK_Date,nrMK_Link,$B765,nrMK_Credit,"Yes",nrMK_PID,$E765),0)=0,"CLEARED (makeup date missing)","CLEARED "&amp;TEXT(_xlfn.MAXIFS(nrMK_Date,nrMK_Link,$B765,nrMK_Credit,"Yes",nrMK_PID,$E765),"mm/dd")),"OPEN"))</f>
        <v/>
      </c>
      <c r="T765" s="17">
        <f>IF($D765="","",IF($C765="","NO DATE",IF($G765="","NO EVENT TYPE",IF(AND($I765&lt;&gt;"",NOT(ISNUMBER($I765))),"MINUTES NOT A NUMBER",IF(AND($J765&lt;&gt;"",NOT(ISNUMBER($J765))),"SESSIONS NOT A NUMBER",IF(OR(N($I765)&lt;0,N($J765)&lt;0),"NEGATIVE MINUTES/SESSIONS",IF(AND($K765="Yes",N($I765)&gt;0),"MINUTES ON A PT EVENT - not counted (PT counts sessions)",IF(AND($K765="No",N($J765)&gt;0),"SESSIONS ON A CLASSROOM EVENT - not counted (classroom counts minutes)",IF(AND($N765="Yes",$K765="Yes",N($J765)=0),"COUNTED PT EVENT WITH NO SESSIONS - dropped from the PT cap",IF(AND($N765="Yes",$K765="No",N($I765)=0),"COUNTED EVENT WITH NO MINUTES - dropped from the classroom cap","OK"))))))))))</f>
        <v/>
      </c>
    </row>
    <row r="766">
      <c r="B766" s="17">
        <f>IF($D766="","","A"&amp;TEXT(ROW()-5,"000"))</f>
        <v/>
      </c>
      <c r="C766" s="18" t="n"/>
      <c r="D766" s="16" t="n"/>
      <c r="E766" s="17">
        <f>IF($D766="","",IFERROR(INDEX(rngCadetPIDs,MATCH($D766,rngCadetNames,0)),"?"))</f>
        <v/>
      </c>
      <c r="F766" s="17">
        <f>IF($E766="","",IFERROR(INDEX(nrCadetAgency,MATCH($E766,rngCadetPIDs,0)),""))</f>
        <v/>
      </c>
      <c r="G766" s="16" t="n"/>
      <c r="H766" s="16" t="n"/>
      <c r="I766" s="16" t="n"/>
      <c r="J766" s="16" t="n"/>
      <c r="K766" s="17">
        <f>IF($G766="","",IF(OR($G766="PT Missed",$G766="PT Modified",$G766="PT Refused"),"Yes","No"))</f>
        <v/>
      </c>
      <c r="L766" s="16" t="n"/>
      <c r="M766" s="16" t="n"/>
      <c r="N766" s="17">
        <f>IF($D766="","",IF($M766="Excused","No",IF(AND($G766="PT Modified",$L766="Received"),"No","Yes")))</f>
        <v/>
      </c>
      <c r="O766" s="16" t="n"/>
      <c r="P766" s="17">
        <f>IF(OR($B766="",N($I766)=0),"",MIN(N($I766),SUMIFS(nrMK_Min,nrMK_Link,$B766,nrMK_Credit,"Yes",nrMK_PID,$E766,nrMK_Type,"Classroom")))</f>
        <v/>
      </c>
      <c r="Q766" s="17">
        <f>IF(OR($B766="",N($J766)=0),"",MIN(N($J766),SUMIFS(nrMK_Sess,nrMK_Link,$B766,nrMK_Credit,"Yes",nrMK_PID,$E766,nrMK_Type,"PT")))</f>
        <v/>
      </c>
      <c r="R766" s="17">
        <f>IF(OR($B766="",$N766&lt;&gt;"Yes"),"",IF($K766="Yes",IF(N($J766)&gt;0,N($J766)-N($Q766),""),IF(N($I766)&gt;0,N($I766)-N($P766),"")))</f>
        <v/>
      </c>
      <c r="S766" s="17">
        <f>IF(OR($B766="",$R766=""),"",IF($R766&lt;=0,IF(IFERROR(_xlfn.MAXIFS(nrMK_Date,nrMK_Link,$B766,nrMK_Credit,"Yes",nrMK_PID,$E766),0)=0,"CLEARED (makeup date missing)","CLEARED "&amp;TEXT(_xlfn.MAXIFS(nrMK_Date,nrMK_Link,$B766,nrMK_Credit,"Yes",nrMK_PID,$E766),"mm/dd")),"OPEN"))</f>
        <v/>
      </c>
      <c r="T766" s="17">
        <f>IF($D766="","",IF($C766="","NO DATE",IF($G766="","NO EVENT TYPE",IF(AND($I766&lt;&gt;"",NOT(ISNUMBER($I766))),"MINUTES NOT A NUMBER",IF(AND($J766&lt;&gt;"",NOT(ISNUMBER($J766))),"SESSIONS NOT A NUMBER",IF(OR(N($I766)&lt;0,N($J766)&lt;0),"NEGATIVE MINUTES/SESSIONS",IF(AND($K766="Yes",N($I766)&gt;0),"MINUTES ON A PT EVENT - not counted (PT counts sessions)",IF(AND($K766="No",N($J766)&gt;0),"SESSIONS ON A CLASSROOM EVENT - not counted (classroom counts minutes)",IF(AND($N766="Yes",$K766="Yes",N($J766)=0),"COUNTED PT EVENT WITH NO SESSIONS - dropped from the PT cap",IF(AND($N766="Yes",$K766="No",N($I766)=0),"COUNTED EVENT WITH NO MINUTES - dropped from the classroom cap","OK"))))))))))</f>
        <v/>
      </c>
    </row>
    <row r="767">
      <c r="B767" s="17">
        <f>IF($D767="","","A"&amp;TEXT(ROW()-5,"000"))</f>
        <v/>
      </c>
      <c r="C767" s="18" t="n"/>
      <c r="D767" s="16" t="n"/>
      <c r="E767" s="17">
        <f>IF($D767="","",IFERROR(INDEX(rngCadetPIDs,MATCH($D767,rngCadetNames,0)),"?"))</f>
        <v/>
      </c>
      <c r="F767" s="17">
        <f>IF($E767="","",IFERROR(INDEX(nrCadetAgency,MATCH($E767,rngCadetPIDs,0)),""))</f>
        <v/>
      </c>
      <c r="G767" s="16" t="n"/>
      <c r="H767" s="16" t="n"/>
      <c r="I767" s="16" t="n"/>
      <c r="J767" s="16" t="n"/>
      <c r="K767" s="17">
        <f>IF($G767="","",IF(OR($G767="PT Missed",$G767="PT Modified",$G767="PT Refused"),"Yes","No"))</f>
        <v/>
      </c>
      <c r="L767" s="16" t="n"/>
      <c r="M767" s="16" t="n"/>
      <c r="N767" s="17">
        <f>IF($D767="","",IF($M767="Excused","No",IF(AND($G767="PT Modified",$L767="Received"),"No","Yes")))</f>
        <v/>
      </c>
      <c r="O767" s="16" t="n"/>
      <c r="P767" s="17">
        <f>IF(OR($B767="",N($I767)=0),"",MIN(N($I767),SUMIFS(nrMK_Min,nrMK_Link,$B767,nrMK_Credit,"Yes",nrMK_PID,$E767,nrMK_Type,"Classroom")))</f>
        <v/>
      </c>
      <c r="Q767" s="17">
        <f>IF(OR($B767="",N($J767)=0),"",MIN(N($J767),SUMIFS(nrMK_Sess,nrMK_Link,$B767,nrMK_Credit,"Yes",nrMK_PID,$E767,nrMK_Type,"PT")))</f>
        <v/>
      </c>
      <c r="R767" s="17">
        <f>IF(OR($B767="",$N767&lt;&gt;"Yes"),"",IF($K767="Yes",IF(N($J767)&gt;0,N($J767)-N($Q767),""),IF(N($I767)&gt;0,N($I767)-N($P767),"")))</f>
        <v/>
      </c>
      <c r="S767" s="17">
        <f>IF(OR($B767="",$R767=""),"",IF($R767&lt;=0,IF(IFERROR(_xlfn.MAXIFS(nrMK_Date,nrMK_Link,$B767,nrMK_Credit,"Yes",nrMK_PID,$E767),0)=0,"CLEARED (makeup date missing)","CLEARED "&amp;TEXT(_xlfn.MAXIFS(nrMK_Date,nrMK_Link,$B767,nrMK_Credit,"Yes",nrMK_PID,$E767),"mm/dd")),"OPEN"))</f>
        <v/>
      </c>
      <c r="T767" s="17">
        <f>IF($D767="","",IF($C767="","NO DATE",IF($G767="","NO EVENT TYPE",IF(AND($I767&lt;&gt;"",NOT(ISNUMBER($I767))),"MINUTES NOT A NUMBER",IF(AND($J767&lt;&gt;"",NOT(ISNUMBER($J767))),"SESSIONS NOT A NUMBER",IF(OR(N($I767)&lt;0,N($J767)&lt;0),"NEGATIVE MINUTES/SESSIONS",IF(AND($K767="Yes",N($I767)&gt;0),"MINUTES ON A PT EVENT - not counted (PT counts sessions)",IF(AND($K767="No",N($J767)&gt;0),"SESSIONS ON A CLASSROOM EVENT - not counted (classroom counts minutes)",IF(AND($N767="Yes",$K767="Yes",N($J767)=0),"COUNTED PT EVENT WITH NO SESSIONS - dropped from the PT cap",IF(AND($N767="Yes",$K767="No",N($I767)=0),"COUNTED EVENT WITH NO MINUTES - dropped from the classroom cap","OK"))))))))))</f>
        <v/>
      </c>
    </row>
    <row r="768">
      <c r="B768" s="17">
        <f>IF($D768="","","A"&amp;TEXT(ROW()-5,"000"))</f>
        <v/>
      </c>
      <c r="C768" s="18" t="n"/>
      <c r="D768" s="16" t="n"/>
      <c r="E768" s="17">
        <f>IF($D768="","",IFERROR(INDEX(rngCadetPIDs,MATCH($D768,rngCadetNames,0)),"?"))</f>
        <v/>
      </c>
      <c r="F768" s="17">
        <f>IF($E768="","",IFERROR(INDEX(nrCadetAgency,MATCH($E768,rngCadetPIDs,0)),""))</f>
        <v/>
      </c>
      <c r="G768" s="16" t="n"/>
      <c r="H768" s="16" t="n"/>
      <c r="I768" s="16" t="n"/>
      <c r="J768" s="16" t="n"/>
      <c r="K768" s="17">
        <f>IF($G768="","",IF(OR($G768="PT Missed",$G768="PT Modified",$G768="PT Refused"),"Yes","No"))</f>
        <v/>
      </c>
      <c r="L768" s="16" t="n"/>
      <c r="M768" s="16" t="n"/>
      <c r="N768" s="17">
        <f>IF($D768="","",IF($M768="Excused","No",IF(AND($G768="PT Modified",$L768="Received"),"No","Yes")))</f>
        <v/>
      </c>
      <c r="O768" s="16" t="n"/>
      <c r="P768" s="17">
        <f>IF(OR($B768="",N($I768)=0),"",MIN(N($I768),SUMIFS(nrMK_Min,nrMK_Link,$B768,nrMK_Credit,"Yes",nrMK_PID,$E768,nrMK_Type,"Classroom")))</f>
        <v/>
      </c>
      <c r="Q768" s="17">
        <f>IF(OR($B768="",N($J768)=0),"",MIN(N($J768),SUMIFS(nrMK_Sess,nrMK_Link,$B768,nrMK_Credit,"Yes",nrMK_PID,$E768,nrMK_Type,"PT")))</f>
        <v/>
      </c>
      <c r="R768" s="17">
        <f>IF(OR($B768="",$N768&lt;&gt;"Yes"),"",IF($K768="Yes",IF(N($J768)&gt;0,N($J768)-N($Q768),""),IF(N($I768)&gt;0,N($I768)-N($P768),"")))</f>
        <v/>
      </c>
      <c r="S768" s="17">
        <f>IF(OR($B768="",$R768=""),"",IF($R768&lt;=0,IF(IFERROR(_xlfn.MAXIFS(nrMK_Date,nrMK_Link,$B768,nrMK_Credit,"Yes",nrMK_PID,$E768),0)=0,"CLEARED (makeup date missing)","CLEARED "&amp;TEXT(_xlfn.MAXIFS(nrMK_Date,nrMK_Link,$B768,nrMK_Credit,"Yes",nrMK_PID,$E768),"mm/dd")),"OPEN"))</f>
        <v/>
      </c>
      <c r="T768" s="17">
        <f>IF($D768="","",IF($C768="","NO DATE",IF($G768="","NO EVENT TYPE",IF(AND($I768&lt;&gt;"",NOT(ISNUMBER($I768))),"MINUTES NOT A NUMBER",IF(AND($J768&lt;&gt;"",NOT(ISNUMBER($J768))),"SESSIONS NOT A NUMBER",IF(OR(N($I768)&lt;0,N($J768)&lt;0),"NEGATIVE MINUTES/SESSIONS",IF(AND($K768="Yes",N($I768)&gt;0),"MINUTES ON A PT EVENT - not counted (PT counts sessions)",IF(AND($K768="No",N($J768)&gt;0),"SESSIONS ON A CLASSROOM EVENT - not counted (classroom counts minutes)",IF(AND($N768="Yes",$K768="Yes",N($J768)=0),"COUNTED PT EVENT WITH NO SESSIONS - dropped from the PT cap",IF(AND($N768="Yes",$K768="No",N($I768)=0),"COUNTED EVENT WITH NO MINUTES - dropped from the classroom cap","OK"))))))))))</f>
        <v/>
      </c>
    </row>
    <row r="769">
      <c r="B769" s="17">
        <f>IF($D769="","","A"&amp;TEXT(ROW()-5,"000"))</f>
        <v/>
      </c>
      <c r="C769" s="18" t="n"/>
      <c r="D769" s="16" t="n"/>
      <c r="E769" s="17">
        <f>IF($D769="","",IFERROR(INDEX(rngCadetPIDs,MATCH($D769,rngCadetNames,0)),"?"))</f>
        <v/>
      </c>
      <c r="F769" s="17">
        <f>IF($E769="","",IFERROR(INDEX(nrCadetAgency,MATCH($E769,rngCadetPIDs,0)),""))</f>
        <v/>
      </c>
      <c r="G769" s="16" t="n"/>
      <c r="H769" s="16" t="n"/>
      <c r="I769" s="16" t="n"/>
      <c r="J769" s="16" t="n"/>
      <c r="K769" s="17">
        <f>IF($G769="","",IF(OR($G769="PT Missed",$G769="PT Modified",$G769="PT Refused"),"Yes","No"))</f>
        <v/>
      </c>
      <c r="L769" s="16" t="n"/>
      <c r="M769" s="16" t="n"/>
      <c r="N769" s="17">
        <f>IF($D769="","",IF($M769="Excused","No",IF(AND($G769="PT Modified",$L769="Received"),"No","Yes")))</f>
        <v/>
      </c>
      <c r="O769" s="16" t="n"/>
      <c r="P769" s="17">
        <f>IF(OR($B769="",N($I769)=0),"",MIN(N($I769),SUMIFS(nrMK_Min,nrMK_Link,$B769,nrMK_Credit,"Yes",nrMK_PID,$E769,nrMK_Type,"Classroom")))</f>
        <v/>
      </c>
      <c r="Q769" s="17">
        <f>IF(OR($B769="",N($J769)=0),"",MIN(N($J769),SUMIFS(nrMK_Sess,nrMK_Link,$B769,nrMK_Credit,"Yes",nrMK_PID,$E769,nrMK_Type,"PT")))</f>
        <v/>
      </c>
      <c r="R769" s="17">
        <f>IF(OR($B769="",$N769&lt;&gt;"Yes"),"",IF($K769="Yes",IF(N($J769)&gt;0,N($J769)-N($Q769),""),IF(N($I769)&gt;0,N($I769)-N($P769),"")))</f>
        <v/>
      </c>
      <c r="S769" s="17">
        <f>IF(OR($B769="",$R769=""),"",IF($R769&lt;=0,IF(IFERROR(_xlfn.MAXIFS(nrMK_Date,nrMK_Link,$B769,nrMK_Credit,"Yes",nrMK_PID,$E769),0)=0,"CLEARED (makeup date missing)","CLEARED "&amp;TEXT(_xlfn.MAXIFS(nrMK_Date,nrMK_Link,$B769,nrMK_Credit,"Yes",nrMK_PID,$E769),"mm/dd")),"OPEN"))</f>
        <v/>
      </c>
      <c r="T769" s="17">
        <f>IF($D769="","",IF($C769="","NO DATE",IF($G769="","NO EVENT TYPE",IF(AND($I769&lt;&gt;"",NOT(ISNUMBER($I769))),"MINUTES NOT A NUMBER",IF(AND($J769&lt;&gt;"",NOT(ISNUMBER($J769))),"SESSIONS NOT A NUMBER",IF(OR(N($I769)&lt;0,N($J769)&lt;0),"NEGATIVE MINUTES/SESSIONS",IF(AND($K769="Yes",N($I769)&gt;0),"MINUTES ON A PT EVENT - not counted (PT counts sessions)",IF(AND($K769="No",N($J769)&gt;0),"SESSIONS ON A CLASSROOM EVENT - not counted (classroom counts minutes)",IF(AND($N769="Yes",$K769="Yes",N($J769)=0),"COUNTED PT EVENT WITH NO SESSIONS - dropped from the PT cap",IF(AND($N769="Yes",$K769="No",N($I769)=0),"COUNTED EVENT WITH NO MINUTES - dropped from the classroom cap","OK"))))))))))</f>
        <v/>
      </c>
    </row>
    <row r="770">
      <c r="B770" s="17">
        <f>IF($D770="","","A"&amp;TEXT(ROW()-5,"000"))</f>
        <v/>
      </c>
      <c r="C770" s="18" t="n"/>
      <c r="D770" s="16" t="n"/>
      <c r="E770" s="17">
        <f>IF($D770="","",IFERROR(INDEX(rngCadetPIDs,MATCH($D770,rngCadetNames,0)),"?"))</f>
        <v/>
      </c>
      <c r="F770" s="17">
        <f>IF($E770="","",IFERROR(INDEX(nrCadetAgency,MATCH($E770,rngCadetPIDs,0)),""))</f>
        <v/>
      </c>
      <c r="G770" s="16" t="n"/>
      <c r="H770" s="16" t="n"/>
      <c r="I770" s="16" t="n"/>
      <c r="J770" s="16" t="n"/>
      <c r="K770" s="17">
        <f>IF($G770="","",IF(OR($G770="PT Missed",$G770="PT Modified",$G770="PT Refused"),"Yes","No"))</f>
        <v/>
      </c>
      <c r="L770" s="16" t="n"/>
      <c r="M770" s="16" t="n"/>
      <c r="N770" s="17">
        <f>IF($D770="","",IF($M770="Excused","No",IF(AND($G770="PT Modified",$L770="Received"),"No","Yes")))</f>
        <v/>
      </c>
      <c r="O770" s="16" t="n"/>
      <c r="P770" s="17">
        <f>IF(OR($B770="",N($I770)=0),"",MIN(N($I770),SUMIFS(nrMK_Min,nrMK_Link,$B770,nrMK_Credit,"Yes",nrMK_PID,$E770,nrMK_Type,"Classroom")))</f>
        <v/>
      </c>
      <c r="Q770" s="17">
        <f>IF(OR($B770="",N($J770)=0),"",MIN(N($J770),SUMIFS(nrMK_Sess,nrMK_Link,$B770,nrMK_Credit,"Yes",nrMK_PID,$E770,nrMK_Type,"PT")))</f>
        <v/>
      </c>
      <c r="R770" s="17">
        <f>IF(OR($B770="",$N770&lt;&gt;"Yes"),"",IF($K770="Yes",IF(N($J770)&gt;0,N($J770)-N($Q770),""),IF(N($I770)&gt;0,N($I770)-N($P770),"")))</f>
        <v/>
      </c>
      <c r="S770" s="17">
        <f>IF(OR($B770="",$R770=""),"",IF($R770&lt;=0,IF(IFERROR(_xlfn.MAXIFS(nrMK_Date,nrMK_Link,$B770,nrMK_Credit,"Yes",nrMK_PID,$E770),0)=0,"CLEARED (makeup date missing)","CLEARED "&amp;TEXT(_xlfn.MAXIFS(nrMK_Date,nrMK_Link,$B770,nrMK_Credit,"Yes",nrMK_PID,$E770),"mm/dd")),"OPEN"))</f>
        <v/>
      </c>
      <c r="T770" s="17">
        <f>IF($D770="","",IF($C770="","NO DATE",IF($G770="","NO EVENT TYPE",IF(AND($I770&lt;&gt;"",NOT(ISNUMBER($I770))),"MINUTES NOT A NUMBER",IF(AND($J770&lt;&gt;"",NOT(ISNUMBER($J770))),"SESSIONS NOT A NUMBER",IF(OR(N($I770)&lt;0,N($J770)&lt;0),"NEGATIVE MINUTES/SESSIONS",IF(AND($K770="Yes",N($I770)&gt;0),"MINUTES ON A PT EVENT - not counted (PT counts sessions)",IF(AND($K770="No",N($J770)&gt;0),"SESSIONS ON A CLASSROOM EVENT - not counted (classroom counts minutes)",IF(AND($N770="Yes",$K770="Yes",N($J770)=0),"COUNTED PT EVENT WITH NO SESSIONS - dropped from the PT cap",IF(AND($N770="Yes",$K770="No",N($I770)=0),"COUNTED EVENT WITH NO MINUTES - dropped from the classroom cap","OK"))))))))))</f>
        <v/>
      </c>
    </row>
    <row r="771">
      <c r="B771" s="17">
        <f>IF($D771="","","A"&amp;TEXT(ROW()-5,"000"))</f>
        <v/>
      </c>
      <c r="C771" s="18" t="n"/>
      <c r="D771" s="16" t="n"/>
      <c r="E771" s="17">
        <f>IF($D771="","",IFERROR(INDEX(rngCadetPIDs,MATCH($D771,rngCadetNames,0)),"?"))</f>
        <v/>
      </c>
      <c r="F771" s="17">
        <f>IF($E771="","",IFERROR(INDEX(nrCadetAgency,MATCH($E771,rngCadetPIDs,0)),""))</f>
        <v/>
      </c>
      <c r="G771" s="16" t="n"/>
      <c r="H771" s="16" t="n"/>
      <c r="I771" s="16" t="n"/>
      <c r="J771" s="16" t="n"/>
      <c r="K771" s="17">
        <f>IF($G771="","",IF(OR($G771="PT Missed",$G771="PT Modified",$G771="PT Refused"),"Yes","No"))</f>
        <v/>
      </c>
      <c r="L771" s="16" t="n"/>
      <c r="M771" s="16" t="n"/>
      <c r="N771" s="17">
        <f>IF($D771="","",IF($M771="Excused","No",IF(AND($G771="PT Modified",$L771="Received"),"No","Yes")))</f>
        <v/>
      </c>
      <c r="O771" s="16" t="n"/>
      <c r="P771" s="17">
        <f>IF(OR($B771="",N($I771)=0),"",MIN(N($I771),SUMIFS(nrMK_Min,nrMK_Link,$B771,nrMK_Credit,"Yes",nrMK_PID,$E771,nrMK_Type,"Classroom")))</f>
        <v/>
      </c>
      <c r="Q771" s="17">
        <f>IF(OR($B771="",N($J771)=0),"",MIN(N($J771),SUMIFS(nrMK_Sess,nrMK_Link,$B771,nrMK_Credit,"Yes",nrMK_PID,$E771,nrMK_Type,"PT")))</f>
        <v/>
      </c>
      <c r="R771" s="17">
        <f>IF(OR($B771="",$N771&lt;&gt;"Yes"),"",IF($K771="Yes",IF(N($J771)&gt;0,N($J771)-N($Q771),""),IF(N($I771)&gt;0,N($I771)-N($P771),"")))</f>
        <v/>
      </c>
      <c r="S771" s="17">
        <f>IF(OR($B771="",$R771=""),"",IF($R771&lt;=0,IF(IFERROR(_xlfn.MAXIFS(nrMK_Date,nrMK_Link,$B771,nrMK_Credit,"Yes",nrMK_PID,$E771),0)=0,"CLEARED (makeup date missing)","CLEARED "&amp;TEXT(_xlfn.MAXIFS(nrMK_Date,nrMK_Link,$B771,nrMK_Credit,"Yes",nrMK_PID,$E771),"mm/dd")),"OPEN"))</f>
        <v/>
      </c>
      <c r="T771" s="17">
        <f>IF($D771="","",IF($C771="","NO DATE",IF($G771="","NO EVENT TYPE",IF(AND($I771&lt;&gt;"",NOT(ISNUMBER($I771))),"MINUTES NOT A NUMBER",IF(AND($J771&lt;&gt;"",NOT(ISNUMBER($J771))),"SESSIONS NOT A NUMBER",IF(OR(N($I771)&lt;0,N($J771)&lt;0),"NEGATIVE MINUTES/SESSIONS",IF(AND($K771="Yes",N($I771)&gt;0),"MINUTES ON A PT EVENT - not counted (PT counts sessions)",IF(AND($K771="No",N($J771)&gt;0),"SESSIONS ON A CLASSROOM EVENT - not counted (classroom counts minutes)",IF(AND($N771="Yes",$K771="Yes",N($J771)=0),"COUNTED PT EVENT WITH NO SESSIONS - dropped from the PT cap",IF(AND($N771="Yes",$K771="No",N($I771)=0),"COUNTED EVENT WITH NO MINUTES - dropped from the classroom cap","OK"))))))))))</f>
        <v/>
      </c>
    </row>
    <row r="772">
      <c r="B772" s="17">
        <f>IF($D772="","","A"&amp;TEXT(ROW()-5,"000"))</f>
        <v/>
      </c>
      <c r="C772" s="18" t="n"/>
      <c r="D772" s="16" t="n"/>
      <c r="E772" s="17">
        <f>IF($D772="","",IFERROR(INDEX(rngCadetPIDs,MATCH($D772,rngCadetNames,0)),"?"))</f>
        <v/>
      </c>
      <c r="F772" s="17">
        <f>IF($E772="","",IFERROR(INDEX(nrCadetAgency,MATCH($E772,rngCadetPIDs,0)),""))</f>
        <v/>
      </c>
      <c r="G772" s="16" t="n"/>
      <c r="H772" s="16" t="n"/>
      <c r="I772" s="16" t="n"/>
      <c r="J772" s="16" t="n"/>
      <c r="K772" s="17">
        <f>IF($G772="","",IF(OR($G772="PT Missed",$G772="PT Modified",$G772="PT Refused"),"Yes","No"))</f>
        <v/>
      </c>
      <c r="L772" s="16" t="n"/>
      <c r="M772" s="16" t="n"/>
      <c r="N772" s="17">
        <f>IF($D772="","",IF($M772="Excused","No",IF(AND($G772="PT Modified",$L772="Received"),"No","Yes")))</f>
        <v/>
      </c>
      <c r="O772" s="16" t="n"/>
      <c r="P772" s="17">
        <f>IF(OR($B772="",N($I772)=0),"",MIN(N($I772),SUMIFS(nrMK_Min,nrMK_Link,$B772,nrMK_Credit,"Yes",nrMK_PID,$E772,nrMK_Type,"Classroom")))</f>
        <v/>
      </c>
      <c r="Q772" s="17">
        <f>IF(OR($B772="",N($J772)=0),"",MIN(N($J772),SUMIFS(nrMK_Sess,nrMK_Link,$B772,nrMK_Credit,"Yes",nrMK_PID,$E772,nrMK_Type,"PT")))</f>
        <v/>
      </c>
      <c r="R772" s="17">
        <f>IF(OR($B772="",$N772&lt;&gt;"Yes"),"",IF($K772="Yes",IF(N($J772)&gt;0,N($J772)-N($Q772),""),IF(N($I772)&gt;0,N($I772)-N($P772),"")))</f>
        <v/>
      </c>
      <c r="S772" s="17">
        <f>IF(OR($B772="",$R772=""),"",IF($R772&lt;=0,IF(IFERROR(_xlfn.MAXIFS(nrMK_Date,nrMK_Link,$B772,nrMK_Credit,"Yes",nrMK_PID,$E772),0)=0,"CLEARED (makeup date missing)","CLEARED "&amp;TEXT(_xlfn.MAXIFS(nrMK_Date,nrMK_Link,$B772,nrMK_Credit,"Yes",nrMK_PID,$E772),"mm/dd")),"OPEN"))</f>
        <v/>
      </c>
      <c r="T772" s="17">
        <f>IF($D772="","",IF($C772="","NO DATE",IF($G772="","NO EVENT TYPE",IF(AND($I772&lt;&gt;"",NOT(ISNUMBER($I772))),"MINUTES NOT A NUMBER",IF(AND($J772&lt;&gt;"",NOT(ISNUMBER($J772))),"SESSIONS NOT A NUMBER",IF(OR(N($I772)&lt;0,N($J772)&lt;0),"NEGATIVE MINUTES/SESSIONS",IF(AND($K772="Yes",N($I772)&gt;0),"MINUTES ON A PT EVENT - not counted (PT counts sessions)",IF(AND($K772="No",N($J772)&gt;0),"SESSIONS ON A CLASSROOM EVENT - not counted (classroom counts minutes)",IF(AND($N772="Yes",$K772="Yes",N($J772)=0),"COUNTED PT EVENT WITH NO SESSIONS - dropped from the PT cap",IF(AND($N772="Yes",$K772="No",N($I772)=0),"COUNTED EVENT WITH NO MINUTES - dropped from the classroom cap","OK"))))))))))</f>
        <v/>
      </c>
    </row>
    <row r="773">
      <c r="B773" s="17">
        <f>IF($D773="","","A"&amp;TEXT(ROW()-5,"000"))</f>
        <v/>
      </c>
      <c r="C773" s="18" t="n"/>
      <c r="D773" s="16" t="n"/>
      <c r="E773" s="17">
        <f>IF($D773="","",IFERROR(INDEX(rngCadetPIDs,MATCH($D773,rngCadetNames,0)),"?"))</f>
        <v/>
      </c>
      <c r="F773" s="17">
        <f>IF($E773="","",IFERROR(INDEX(nrCadetAgency,MATCH($E773,rngCadetPIDs,0)),""))</f>
        <v/>
      </c>
      <c r="G773" s="16" t="n"/>
      <c r="H773" s="16" t="n"/>
      <c r="I773" s="16" t="n"/>
      <c r="J773" s="16" t="n"/>
      <c r="K773" s="17">
        <f>IF($G773="","",IF(OR($G773="PT Missed",$G773="PT Modified",$G773="PT Refused"),"Yes","No"))</f>
        <v/>
      </c>
      <c r="L773" s="16" t="n"/>
      <c r="M773" s="16" t="n"/>
      <c r="N773" s="17">
        <f>IF($D773="","",IF($M773="Excused","No",IF(AND($G773="PT Modified",$L773="Received"),"No","Yes")))</f>
        <v/>
      </c>
      <c r="O773" s="16" t="n"/>
      <c r="P773" s="17">
        <f>IF(OR($B773="",N($I773)=0),"",MIN(N($I773),SUMIFS(nrMK_Min,nrMK_Link,$B773,nrMK_Credit,"Yes",nrMK_PID,$E773,nrMK_Type,"Classroom")))</f>
        <v/>
      </c>
      <c r="Q773" s="17">
        <f>IF(OR($B773="",N($J773)=0),"",MIN(N($J773),SUMIFS(nrMK_Sess,nrMK_Link,$B773,nrMK_Credit,"Yes",nrMK_PID,$E773,nrMK_Type,"PT")))</f>
        <v/>
      </c>
      <c r="R773" s="17">
        <f>IF(OR($B773="",$N773&lt;&gt;"Yes"),"",IF($K773="Yes",IF(N($J773)&gt;0,N($J773)-N($Q773),""),IF(N($I773)&gt;0,N($I773)-N($P773),"")))</f>
        <v/>
      </c>
      <c r="S773" s="17">
        <f>IF(OR($B773="",$R773=""),"",IF($R773&lt;=0,IF(IFERROR(_xlfn.MAXIFS(nrMK_Date,nrMK_Link,$B773,nrMK_Credit,"Yes",nrMK_PID,$E773),0)=0,"CLEARED (makeup date missing)","CLEARED "&amp;TEXT(_xlfn.MAXIFS(nrMK_Date,nrMK_Link,$B773,nrMK_Credit,"Yes",nrMK_PID,$E773),"mm/dd")),"OPEN"))</f>
        <v/>
      </c>
      <c r="T773" s="17">
        <f>IF($D773="","",IF($C773="","NO DATE",IF($G773="","NO EVENT TYPE",IF(AND($I773&lt;&gt;"",NOT(ISNUMBER($I773))),"MINUTES NOT A NUMBER",IF(AND($J773&lt;&gt;"",NOT(ISNUMBER($J773))),"SESSIONS NOT A NUMBER",IF(OR(N($I773)&lt;0,N($J773)&lt;0),"NEGATIVE MINUTES/SESSIONS",IF(AND($K773="Yes",N($I773)&gt;0),"MINUTES ON A PT EVENT - not counted (PT counts sessions)",IF(AND($K773="No",N($J773)&gt;0),"SESSIONS ON A CLASSROOM EVENT - not counted (classroom counts minutes)",IF(AND($N773="Yes",$K773="Yes",N($J773)=0),"COUNTED PT EVENT WITH NO SESSIONS - dropped from the PT cap",IF(AND($N773="Yes",$K773="No",N($I773)=0),"COUNTED EVENT WITH NO MINUTES - dropped from the classroom cap","OK"))))))))))</f>
        <v/>
      </c>
    </row>
    <row r="774">
      <c r="B774" s="17">
        <f>IF($D774="","","A"&amp;TEXT(ROW()-5,"000"))</f>
        <v/>
      </c>
      <c r="C774" s="18" t="n"/>
      <c r="D774" s="16" t="n"/>
      <c r="E774" s="17">
        <f>IF($D774="","",IFERROR(INDEX(rngCadetPIDs,MATCH($D774,rngCadetNames,0)),"?"))</f>
        <v/>
      </c>
      <c r="F774" s="17">
        <f>IF($E774="","",IFERROR(INDEX(nrCadetAgency,MATCH($E774,rngCadetPIDs,0)),""))</f>
        <v/>
      </c>
      <c r="G774" s="16" t="n"/>
      <c r="H774" s="16" t="n"/>
      <c r="I774" s="16" t="n"/>
      <c r="J774" s="16" t="n"/>
      <c r="K774" s="17">
        <f>IF($G774="","",IF(OR($G774="PT Missed",$G774="PT Modified",$G774="PT Refused"),"Yes","No"))</f>
        <v/>
      </c>
      <c r="L774" s="16" t="n"/>
      <c r="M774" s="16" t="n"/>
      <c r="N774" s="17">
        <f>IF($D774="","",IF($M774="Excused","No",IF(AND($G774="PT Modified",$L774="Received"),"No","Yes")))</f>
        <v/>
      </c>
      <c r="O774" s="16" t="n"/>
      <c r="P774" s="17">
        <f>IF(OR($B774="",N($I774)=0),"",MIN(N($I774),SUMIFS(nrMK_Min,nrMK_Link,$B774,nrMK_Credit,"Yes",nrMK_PID,$E774,nrMK_Type,"Classroom")))</f>
        <v/>
      </c>
      <c r="Q774" s="17">
        <f>IF(OR($B774="",N($J774)=0),"",MIN(N($J774),SUMIFS(nrMK_Sess,nrMK_Link,$B774,nrMK_Credit,"Yes",nrMK_PID,$E774,nrMK_Type,"PT")))</f>
        <v/>
      </c>
      <c r="R774" s="17">
        <f>IF(OR($B774="",$N774&lt;&gt;"Yes"),"",IF($K774="Yes",IF(N($J774)&gt;0,N($J774)-N($Q774),""),IF(N($I774)&gt;0,N($I774)-N($P774),"")))</f>
        <v/>
      </c>
      <c r="S774" s="17">
        <f>IF(OR($B774="",$R774=""),"",IF($R774&lt;=0,IF(IFERROR(_xlfn.MAXIFS(nrMK_Date,nrMK_Link,$B774,nrMK_Credit,"Yes",nrMK_PID,$E774),0)=0,"CLEARED (makeup date missing)","CLEARED "&amp;TEXT(_xlfn.MAXIFS(nrMK_Date,nrMK_Link,$B774,nrMK_Credit,"Yes",nrMK_PID,$E774),"mm/dd")),"OPEN"))</f>
        <v/>
      </c>
      <c r="T774" s="17">
        <f>IF($D774="","",IF($C774="","NO DATE",IF($G774="","NO EVENT TYPE",IF(AND($I774&lt;&gt;"",NOT(ISNUMBER($I774))),"MINUTES NOT A NUMBER",IF(AND($J774&lt;&gt;"",NOT(ISNUMBER($J774))),"SESSIONS NOT A NUMBER",IF(OR(N($I774)&lt;0,N($J774)&lt;0),"NEGATIVE MINUTES/SESSIONS",IF(AND($K774="Yes",N($I774)&gt;0),"MINUTES ON A PT EVENT - not counted (PT counts sessions)",IF(AND($K774="No",N($J774)&gt;0),"SESSIONS ON A CLASSROOM EVENT - not counted (classroom counts minutes)",IF(AND($N774="Yes",$K774="Yes",N($J774)=0),"COUNTED PT EVENT WITH NO SESSIONS - dropped from the PT cap",IF(AND($N774="Yes",$K774="No",N($I774)=0),"COUNTED EVENT WITH NO MINUTES - dropped from the classroom cap","OK"))))))))))</f>
        <v/>
      </c>
    </row>
    <row r="775">
      <c r="B775" s="17">
        <f>IF($D775="","","A"&amp;TEXT(ROW()-5,"000"))</f>
        <v/>
      </c>
      <c r="C775" s="18" t="n"/>
      <c r="D775" s="16" t="n"/>
      <c r="E775" s="17">
        <f>IF($D775="","",IFERROR(INDEX(rngCadetPIDs,MATCH($D775,rngCadetNames,0)),"?"))</f>
        <v/>
      </c>
      <c r="F775" s="17">
        <f>IF($E775="","",IFERROR(INDEX(nrCadetAgency,MATCH($E775,rngCadetPIDs,0)),""))</f>
        <v/>
      </c>
      <c r="G775" s="16" t="n"/>
      <c r="H775" s="16" t="n"/>
      <c r="I775" s="16" t="n"/>
      <c r="J775" s="16" t="n"/>
      <c r="K775" s="17">
        <f>IF($G775="","",IF(OR($G775="PT Missed",$G775="PT Modified",$G775="PT Refused"),"Yes","No"))</f>
        <v/>
      </c>
      <c r="L775" s="16" t="n"/>
      <c r="M775" s="16" t="n"/>
      <c r="N775" s="17">
        <f>IF($D775="","",IF($M775="Excused","No",IF(AND($G775="PT Modified",$L775="Received"),"No","Yes")))</f>
        <v/>
      </c>
      <c r="O775" s="16" t="n"/>
      <c r="P775" s="17">
        <f>IF(OR($B775="",N($I775)=0),"",MIN(N($I775),SUMIFS(nrMK_Min,nrMK_Link,$B775,nrMK_Credit,"Yes",nrMK_PID,$E775,nrMK_Type,"Classroom")))</f>
        <v/>
      </c>
      <c r="Q775" s="17">
        <f>IF(OR($B775="",N($J775)=0),"",MIN(N($J775),SUMIFS(nrMK_Sess,nrMK_Link,$B775,nrMK_Credit,"Yes",nrMK_PID,$E775,nrMK_Type,"PT")))</f>
        <v/>
      </c>
      <c r="R775" s="17">
        <f>IF(OR($B775="",$N775&lt;&gt;"Yes"),"",IF($K775="Yes",IF(N($J775)&gt;0,N($J775)-N($Q775),""),IF(N($I775)&gt;0,N($I775)-N($P775),"")))</f>
        <v/>
      </c>
      <c r="S775" s="17">
        <f>IF(OR($B775="",$R775=""),"",IF($R775&lt;=0,IF(IFERROR(_xlfn.MAXIFS(nrMK_Date,nrMK_Link,$B775,nrMK_Credit,"Yes",nrMK_PID,$E775),0)=0,"CLEARED (makeup date missing)","CLEARED "&amp;TEXT(_xlfn.MAXIFS(nrMK_Date,nrMK_Link,$B775,nrMK_Credit,"Yes",nrMK_PID,$E775),"mm/dd")),"OPEN"))</f>
        <v/>
      </c>
      <c r="T775" s="17">
        <f>IF($D775="","",IF($C775="","NO DATE",IF($G775="","NO EVENT TYPE",IF(AND($I775&lt;&gt;"",NOT(ISNUMBER($I775))),"MINUTES NOT A NUMBER",IF(AND($J775&lt;&gt;"",NOT(ISNUMBER($J775))),"SESSIONS NOT A NUMBER",IF(OR(N($I775)&lt;0,N($J775)&lt;0),"NEGATIVE MINUTES/SESSIONS",IF(AND($K775="Yes",N($I775)&gt;0),"MINUTES ON A PT EVENT - not counted (PT counts sessions)",IF(AND($K775="No",N($J775)&gt;0),"SESSIONS ON A CLASSROOM EVENT - not counted (classroom counts minutes)",IF(AND($N775="Yes",$K775="Yes",N($J775)=0),"COUNTED PT EVENT WITH NO SESSIONS - dropped from the PT cap",IF(AND($N775="Yes",$K775="No",N($I775)=0),"COUNTED EVENT WITH NO MINUTES - dropped from the classroom cap","OK"))))))))))</f>
        <v/>
      </c>
    </row>
    <row r="776">
      <c r="B776" s="17">
        <f>IF($D776="","","A"&amp;TEXT(ROW()-5,"000"))</f>
        <v/>
      </c>
      <c r="C776" s="18" t="n"/>
      <c r="D776" s="16" t="n"/>
      <c r="E776" s="17">
        <f>IF($D776="","",IFERROR(INDEX(rngCadetPIDs,MATCH($D776,rngCadetNames,0)),"?"))</f>
        <v/>
      </c>
      <c r="F776" s="17">
        <f>IF($E776="","",IFERROR(INDEX(nrCadetAgency,MATCH($E776,rngCadetPIDs,0)),""))</f>
        <v/>
      </c>
      <c r="G776" s="16" t="n"/>
      <c r="H776" s="16" t="n"/>
      <c r="I776" s="16" t="n"/>
      <c r="J776" s="16" t="n"/>
      <c r="K776" s="17">
        <f>IF($G776="","",IF(OR($G776="PT Missed",$G776="PT Modified",$G776="PT Refused"),"Yes","No"))</f>
        <v/>
      </c>
      <c r="L776" s="16" t="n"/>
      <c r="M776" s="16" t="n"/>
      <c r="N776" s="17">
        <f>IF($D776="","",IF($M776="Excused","No",IF(AND($G776="PT Modified",$L776="Received"),"No","Yes")))</f>
        <v/>
      </c>
      <c r="O776" s="16" t="n"/>
      <c r="P776" s="17">
        <f>IF(OR($B776="",N($I776)=0),"",MIN(N($I776),SUMIFS(nrMK_Min,nrMK_Link,$B776,nrMK_Credit,"Yes",nrMK_PID,$E776,nrMK_Type,"Classroom")))</f>
        <v/>
      </c>
      <c r="Q776" s="17">
        <f>IF(OR($B776="",N($J776)=0),"",MIN(N($J776),SUMIFS(nrMK_Sess,nrMK_Link,$B776,nrMK_Credit,"Yes",nrMK_PID,$E776,nrMK_Type,"PT")))</f>
        <v/>
      </c>
      <c r="R776" s="17">
        <f>IF(OR($B776="",$N776&lt;&gt;"Yes"),"",IF($K776="Yes",IF(N($J776)&gt;0,N($J776)-N($Q776),""),IF(N($I776)&gt;0,N($I776)-N($P776),"")))</f>
        <v/>
      </c>
      <c r="S776" s="17">
        <f>IF(OR($B776="",$R776=""),"",IF($R776&lt;=0,IF(IFERROR(_xlfn.MAXIFS(nrMK_Date,nrMK_Link,$B776,nrMK_Credit,"Yes",nrMK_PID,$E776),0)=0,"CLEARED (makeup date missing)","CLEARED "&amp;TEXT(_xlfn.MAXIFS(nrMK_Date,nrMK_Link,$B776,nrMK_Credit,"Yes",nrMK_PID,$E776),"mm/dd")),"OPEN"))</f>
        <v/>
      </c>
      <c r="T776" s="17">
        <f>IF($D776="","",IF($C776="","NO DATE",IF($G776="","NO EVENT TYPE",IF(AND($I776&lt;&gt;"",NOT(ISNUMBER($I776))),"MINUTES NOT A NUMBER",IF(AND($J776&lt;&gt;"",NOT(ISNUMBER($J776))),"SESSIONS NOT A NUMBER",IF(OR(N($I776)&lt;0,N($J776)&lt;0),"NEGATIVE MINUTES/SESSIONS",IF(AND($K776="Yes",N($I776)&gt;0),"MINUTES ON A PT EVENT - not counted (PT counts sessions)",IF(AND($K776="No",N($J776)&gt;0),"SESSIONS ON A CLASSROOM EVENT - not counted (classroom counts minutes)",IF(AND($N776="Yes",$K776="Yes",N($J776)=0),"COUNTED PT EVENT WITH NO SESSIONS - dropped from the PT cap",IF(AND($N776="Yes",$K776="No",N($I776)=0),"COUNTED EVENT WITH NO MINUTES - dropped from the classroom cap","OK"))))))))))</f>
        <v/>
      </c>
    </row>
    <row r="777">
      <c r="B777" s="17">
        <f>IF($D777="","","A"&amp;TEXT(ROW()-5,"000"))</f>
        <v/>
      </c>
      <c r="C777" s="18" t="n"/>
      <c r="D777" s="16" t="n"/>
      <c r="E777" s="17">
        <f>IF($D777="","",IFERROR(INDEX(rngCadetPIDs,MATCH($D777,rngCadetNames,0)),"?"))</f>
        <v/>
      </c>
      <c r="F777" s="17">
        <f>IF($E777="","",IFERROR(INDEX(nrCadetAgency,MATCH($E777,rngCadetPIDs,0)),""))</f>
        <v/>
      </c>
      <c r="G777" s="16" t="n"/>
      <c r="H777" s="16" t="n"/>
      <c r="I777" s="16" t="n"/>
      <c r="J777" s="16" t="n"/>
      <c r="K777" s="17">
        <f>IF($G777="","",IF(OR($G777="PT Missed",$G777="PT Modified",$G777="PT Refused"),"Yes","No"))</f>
        <v/>
      </c>
      <c r="L777" s="16" t="n"/>
      <c r="M777" s="16" t="n"/>
      <c r="N777" s="17">
        <f>IF($D777="","",IF($M777="Excused","No",IF(AND($G777="PT Modified",$L777="Received"),"No","Yes")))</f>
        <v/>
      </c>
      <c r="O777" s="16" t="n"/>
      <c r="P777" s="17">
        <f>IF(OR($B777="",N($I777)=0),"",MIN(N($I777),SUMIFS(nrMK_Min,nrMK_Link,$B777,nrMK_Credit,"Yes",nrMK_PID,$E777,nrMK_Type,"Classroom")))</f>
        <v/>
      </c>
      <c r="Q777" s="17">
        <f>IF(OR($B777="",N($J777)=0),"",MIN(N($J777),SUMIFS(nrMK_Sess,nrMK_Link,$B777,nrMK_Credit,"Yes",nrMK_PID,$E777,nrMK_Type,"PT")))</f>
        <v/>
      </c>
      <c r="R777" s="17">
        <f>IF(OR($B777="",$N777&lt;&gt;"Yes"),"",IF($K777="Yes",IF(N($J777)&gt;0,N($J777)-N($Q777),""),IF(N($I777)&gt;0,N($I777)-N($P777),"")))</f>
        <v/>
      </c>
      <c r="S777" s="17">
        <f>IF(OR($B777="",$R777=""),"",IF($R777&lt;=0,IF(IFERROR(_xlfn.MAXIFS(nrMK_Date,nrMK_Link,$B777,nrMK_Credit,"Yes",nrMK_PID,$E777),0)=0,"CLEARED (makeup date missing)","CLEARED "&amp;TEXT(_xlfn.MAXIFS(nrMK_Date,nrMK_Link,$B777,nrMK_Credit,"Yes",nrMK_PID,$E777),"mm/dd")),"OPEN"))</f>
        <v/>
      </c>
      <c r="T777" s="17">
        <f>IF($D777="","",IF($C777="","NO DATE",IF($G777="","NO EVENT TYPE",IF(AND($I777&lt;&gt;"",NOT(ISNUMBER($I777))),"MINUTES NOT A NUMBER",IF(AND($J777&lt;&gt;"",NOT(ISNUMBER($J777))),"SESSIONS NOT A NUMBER",IF(OR(N($I777)&lt;0,N($J777)&lt;0),"NEGATIVE MINUTES/SESSIONS",IF(AND($K777="Yes",N($I777)&gt;0),"MINUTES ON A PT EVENT - not counted (PT counts sessions)",IF(AND($K777="No",N($J777)&gt;0),"SESSIONS ON A CLASSROOM EVENT - not counted (classroom counts minutes)",IF(AND($N777="Yes",$K777="Yes",N($J777)=0),"COUNTED PT EVENT WITH NO SESSIONS - dropped from the PT cap",IF(AND($N777="Yes",$K777="No",N($I777)=0),"COUNTED EVENT WITH NO MINUTES - dropped from the classroom cap","OK"))))))))))</f>
        <v/>
      </c>
    </row>
    <row r="778">
      <c r="B778" s="17">
        <f>IF($D778="","","A"&amp;TEXT(ROW()-5,"000"))</f>
        <v/>
      </c>
      <c r="C778" s="18" t="n"/>
      <c r="D778" s="16" t="n"/>
      <c r="E778" s="17">
        <f>IF($D778="","",IFERROR(INDEX(rngCadetPIDs,MATCH($D778,rngCadetNames,0)),"?"))</f>
        <v/>
      </c>
      <c r="F778" s="17">
        <f>IF($E778="","",IFERROR(INDEX(nrCadetAgency,MATCH($E778,rngCadetPIDs,0)),""))</f>
        <v/>
      </c>
      <c r="G778" s="16" t="n"/>
      <c r="H778" s="16" t="n"/>
      <c r="I778" s="16" t="n"/>
      <c r="J778" s="16" t="n"/>
      <c r="K778" s="17">
        <f>IF($G778="","",IF(OR($G778="PT Missed",$G778="PT Modified",$G778="PT Refused"),"Yes","No"))</f>
        <v/>
      </c>
      <c r="L778" s="16" t="n"/>
      <c r="M778" s="16" t="n"/>
      <c r="N778" s="17">
        <f>IF($D778="","",IF($M778="Excused","No",IF(AND($G778="PT Modified",$L778="Received"),"No","Yes")))</f>
        <v/>
      </c>
      <c r="O778" s="16" t="n"/>
      <c r="P778" s="17">
        <f>IF(OR($B778="",N($I778)=0),"",MIN(N($I778),SUMIFS(nrMK_Min,nrMK_Link,$B778,nrMK_Credit,"Yes",nrMK_PID,$E778,nrMK_Type,"Classroom")))</f>
        <v/>
      </c>
      <c r="Q778" s="17">
        <f>IF(OR($B778="",N($J778)=0),"",MIN(N($J778),SUMIFS(nrMK_Sess,nrMK_Link,$B778,nrMK_Credit,"Yes",nrMK_PID,$E778,nrMK_Type,"PT")))</f>
        <v/>
      </c>
      <c r="R778" s="17">
        <f>IF(OR($B778="",$N778&lt;&gt;"Yes"),"",IF($K778="Yes",IF(N($J778)&gt;0,N($J778)-N($Q778),""),IF(N($I778)&gt;0,N($I778)-N($P778),"")))</f>
        <v/>
      </c>
      <c r="S778" s="17">
        <f>IF(OR($B778="",$R778=""),"",IF($R778&lt;=0,IF(IFERROR(_xlfn.MAXIFS(nrMK_Date,nrMK_Link,$B778,nrMK_Credit,"Yes",nrMK_PID,$E778),0)=0,"CLEARED (makeup date missing)","CLEARED "&amp;TEXT(_xlfn.MAXIFS(nrMK_Date,nrMK_Link,$B778,nrMK_Credit,"Yes",nrMK_PID,$E778),"mm/dd")),"OPEN"))</f>
        <v/>
      </c>
      <c r="T778" s="17">
        <f>IF($D778="","",IF($C778="","NO DATE",IF($G778="","NO EVENT TYPE",IF(AND($I778&lt;&gt;"",NOT(ISNUMBER($I778))),"MINUTES NOT A NUMBER",IF(AND($J778&lt;&gt;"",NOT(ISNUMBER($J778))),"SESSIONS NOT A NUMBER",IF(OR(N($I778)&lt;0,N($J778)&lt;0),"NEGATIVE MINUTES/SESSIONS",IF(AND($K778="Yes",N($I778)&gt;0),"MINUTES ON A PT EVENT - not counted (PT counts sessions)",IF(AND($K778="No",N($J778)&gt;0),"SESSIONS ON A CLASSROOM EVENT - not counted (classroom counts minutes)",IF(AND($N778="Yes",$K778="Yes",N($J778)=0),"COUNTED PT EVENT WITH NO SESSIONS - dropped from the PT cap",IF(AND($N778="Yes",$K778="No",N($I778)=0),"COUNTED EVENT WITH NO MINUTES - dropped from the classroom cap","OK"))))))))))</f>
        <v/>
      </c>
    </row>
    <row r="779">
      <c r="B779" s="17">
        <f>IF($D779="","","A"&amp;TEXT(ROW()-5,"000"))</f>
        <v/>
      </c>
      <c r="C779" s="18" t="n"/>
      <c r="D779" s="16" t="n"/>
      <c r="E779" s="17">
        <f>IF($D779="","",IFERROR(INDEX(rngCadetPIDs,MATCH($D779,rngCadetNames,0)),"?"))</f>
        <v/>
      </c>
      <c r="F779" s="17">
        <f>IF($E779="","",IFERROR(INDEX(nrCadetAgency,MATCH($E779,rngCadetPIDs,0)),""))</f>
        <v/>
      </c>
      <c r="G779" s="16" t="n"/>
      <c r="H779" s="16" t="n"/>
      <c r="I779" s="16" t="n"/>
      <c r="J779" s="16" t="n"/>
      <c r="K779" s="17">
        <f>IF($G779="","",IF(OR($G779="PT Missed",$G779="PT Modified",$G779="PT Refused"),"Yes","No"))</f>
        <v/>
      </c>
      <c r="L779" s="16" t="n"/>
      <c r="M779" s="16" t="n"/>
      <c r="N779" s="17">
        <f>IF($D779="","",IF($M779="Excused","No",IF(AND($G779="PT Modified",$L779="Received"),"No","Yes")))</f>
        <v/>
      </c>
      <c r="O779" s="16" t="n"/>
      <c r="P779" s="17">
        <f>IF(OR($B779="",N($I779)=0),"",MIN(N($I779),SUMIFS(nrMK_Min,nrMK_Link,$B779,nrMK_Credit,"Yes",nrMK_PID,$E779,nrMK_Type,"Classroom")))</f>
        <v/>
      </c>
      <c r="Q779" s="17">
        <f>IF(OR($B779="",N($J779)=0),"",MIN(N($J779),SUMIFS(nrMK_Sess,nrMK_Link,$B779,nrMK_Credit,"Yes",nrMK_PID,$E779,nrMK_Type,"PT")))</f>
        <v/>
      </c>
      <c r="R779" s="17">
        <f>IF(OR($B779="",$N779&lt;&gt;"Yes"),"",IF($K779="Yes",IF(N($J779)&gt;0,N($J779)-N($Q779),""),IF(N($I779)&gt;0,N($I779)-N($P779),"")))</f>
        <v/>
      </c>
      <c r="S779" s="17">
        <f>IF(OR($B779="",$R779=""),"",IF($R779&lt;=0,IF(IFERROR(_xlfn.MAXIFS(nrMK_Date,nrMK_Link,$B779,nrMK_Credit,"Yes",nrMK_PID,$E779),0)=0,"CLEARED (makeup date missing)","CLEARED "&amp;TEXT(_xlfn.MAXIFS(nrMK_Date,nrMK_Link,$B779,nrMK_Credit,"Yes",nrMK_PID,$E779),"mm/dd")),"OPEN"))</f>
        <v/>
      </c>
      <c r="T779" s="17">
        <f>IF($D779="","",IF($C779="","NO DATE",IF($G779="","NO EVENT TYPE",IF(AND($I779&lt;&gt;"",NOT(ISNUMBER($I779))),"MINUTES NOT A NUMBER",IF(AND($J779&lt;&gt;"",NOT(ISNUMBER($J779))),"SESSIONS NOT A NUMBER",IF(OR(N($I779)&lt;0,N($J779)&lt;0),"NEGATIVE MINUTES/SESSIONS",IF(AND($K779="Yes",N($I779)&gt;0),"MINUTES ON A PT EVENT - not counted (PT counts sessions)",IF(AND($K779="No",N($J779)&gt;0),"SESSIONS ON A CLASSROOM EVENT - not counted (classroom counts minutes)",IF(AND($N779="Yes",$K779="Yes",N($J779)=0),"COUNTED PT EVENT WITH NO SESSIONS - dropped from the PT cap",IF(AND($N779="Yes",$K779="No",N($I779)=0),"COUNTED EVENT WITH NO MINUTES - dropped from the classroom cap","OK"))))))))))</f>
        <v/>
      </c>
    </row>
    <row r="780">
      <c r="B780" s="17">
        <f>IF($D780="","","A"&amp;TEXT(ROW()-5,"000"))</f>
        <v/>
      </c>
      <c r="C780" s="18" t="n"/>
      <c r="D780" s="16" t="n"/>
      <c r="E780" s="17">
        <f>IF($D780="","",IFERROR(INDEX(rngCadetPIDs,MATCH($D780,rngCadetNames,0)),"?"))</f>
        <v/>
      </c>
      <c r="F780" s="17">
        <f>IF($E780="","",IFERROR(INDEX(nrCadetAgency,MATCH($E780,rngCadetPIDs,0)),""))</f>
        <v/>
      </c>
      <c r="G780" s="16" t="n"/>
      <c r="H780" s="16" t="n"/>
      <c r="I780" s="16" t="n"/>
      <c r="J780" s="16" t="n"/>
      <c r="K780" s="17">
        <f>IF($G780="","",IF(OR($G780="PT Missed",$G780="PT Modified",$G780="PT Refused"),"Yes","No"))</f>
        <v/>
      </c>
      <c r="L780" s="16" t="n"/>
      <c r="M780" s="16" t="n"/>
      <c r="N780" s="17">
        <f>IF($D780="","",IF($M780="Excused","No",IF(AND($G780="PT Modified",$L780="Received"),"No","Yes")))</f>
        <v/>
      </c>
      <c r="O780" s="16" t="n"/>
      <c r="P780" s="17">
        <f>IF(OR($B780="",N($I780)=0),"",MIN(N($I780),SUMIFS(nrMK_Min,nrMK_Link,$B780,nrMK_Credit,"Yes",nrMK_PID,$E780,nrMK_Type,"Classroom")))</f>
        <v/>
      </c>
      <c r="Q780" s="17">
        <f>IF(OR($B780="",N($J780)=0),"",MIN(N($J780),SUMIFS(nrMK_Sess,nrMK_Link,$B780,nrMK_Credit,"Yes",nrMK_PID,$E780,nrMK_Type,"PT")))</f>
        <v/>
      </c>
      <c r="R780" s="17">
        <f>IF(OR($B780="",$N780&lt;&gt;"Yes"),"",IF($K780="Yes",IF(N($J780)&gt;0,N($J780)-N($Q780),""),IF(N($I780)&gt;0,N($I780)-N($P780),"")))</f>
        <v/>
      </c>
      <c r="S780" s="17">
        <f>IF(OR($B780="",$R780=""),"",IF($R780&lt;=0,IF(IFERROR(_xlfn.MAXIFS(nrMK_Date,nrMK_Link,$B780,nrMK_Credit,"Yes",nrMK_PID,$E780),0)=0,"CLEARED (makeup date missing)","CLEARED "&amp;TEXT(_xlfn.MAXIFS(nrMK_Date,nrMK_Link,$B780,nrMK_Credit,"Yes",nrMK_PID,$E780),"mm/dd")),"OPEN"))</f>
        <v/>
      </c>
      <c r="T780" s="17">
        <f>IF($D780="","",IF($C780="","NO DATE",IF($G780="","NO EVENT TYPE",IF(AND($I780&lt;&gt;"",NOT(ISNUMBER($I780))),"MINUTES NOT A NUMBER",IF(AND($J780&lt;&gt;"",NOT(ISNUMBER($J780))),"SESSIONS NOT A NUMBER",IF(OR(N($I780)&lt;0,N($J780)&lt;0),"NEGATIVE MINUTES/SESSIONS",IF(AND($K780="Yes",N($I780)&gt;0),"MINUTES ON A PT EVENT - not counted (PT counts sessions)",IF(AND($K780="No",N($J780)&gt;0),"SESSIONS ON A CLASSROOM EVENT - not counted (classroom counts minutes)",IF(AND($N780="Yes",$K780="Yes",N($J780)=0),"COUNTED PT EVENT WITH NO SESSIONS - dropped from the PT cap",IF(AND($N780="Yes",$K780="No",N($I780)=0),"COUNTED EVENT WITH NO MINUTES - dropped from the classroom cap","OK"))))))))))</f>
        <v/>
      </c>
    </row>
    <row r="781">
      <c r="B781" s="17">
        <f>IF($D781="","","A"&amp;TEXT(ROW()-5,"000"))</f>
        <v/>
      </c>
      <c r="C781" s="18" t="n"/>
      <c r="D781" s="16" t="n"/>
      <c r="E781" s="17">
        <f>IF($D781="","",IFERROR(INDEX(rngCadetPIDs,MATCH($D781,rngCadetNames,0)),"?"))</f>
        <v/>
      </c>
      <c r="F781" s="17">
        <f>IF($E781="","",IFERROR(INDEX(nrCadetAgency,MATCH($E781,rngCadetPIDs,0)),""))</f>
        <v/>
      </c>
      <c r="G781" s="16" t="n"/>
      <c r="H781" s="16" t="n"/>
      <c r="I781" s="16" t="n"/>
      <c r="J781" s="16" t="n"/>
      <c r="K781" s="17">
        <f>IF($G781="","",IF(OR($G781="PT Missed",$G781="PT Modified",$G781="PT Refused"),"Yes","No"))</f>
        <v/>
      </c>
      <c r="L781" s="16" t="n"/>
      <c r="M781" s="16" t="n"/>
      <c r="N781" s="17">
        <f>IF($D781="","",IF($M781="Excused","No",IF(AND($G781="PT Modified",$L781="Received"),"No","Yes")))</f>
        <v/>
      </c>
      <c r="O781" s="16" t="n"/>
      <c r="P781" s="17">
        <f>IF(OR($B781="",N($I781)=0),"",MIN(N($I781),SUMIFS(nrMK_Min,nrMK_Link,$B781,nrMK_Credit,"Yes",nrMK_PID,$E781,nrMK_Type,"Classroom")))</f>
        <v/>
      </c>
      <c r="Q781" s="17">
        <f>IF(OR($B781="",N($J781)=0),"",MIN(N($J781),SUMIFS(nrMK_Sess,nrMK_Link,$B781,nrMK_Credit,"Yes",nrMK_PID,$E781,nrMK_Type,"PT")))</f>
        <v/>
      </c>
      <c r="R781" s="17">
        <f>IF(OR($B781="",$N781&lt;&gt;"Yes"),"",IF($K781="Yes",IF(N($J781)&gt;0,N($J781)-N($Q781),""),IF(N($I781)&gt;0,N($I781)-N($P781),"")))</f>
        <v/>
      </c>
      <c r="S781" s="17">
        <f>IF(OR($B781="",$R781=""),"",IF($R781&lt;=0,IF(IFERROR(_xlfn.MAXIFS(nrMK_Date,nrMK_Link,$B781,nrMK_Credit,"Yes",nrMK_PID,$E781),0)=0,"CLEARED (makeup date missing)","CLEARED "&amp;TEXT(_xlfn.MAXIFS(nrMK_Date,nrMK_Link,$B781,nrMK_Credit,"Yes",nrMK_PID,$E781),"mm/dd")),"OPEN"))</f>
        <v/>
      </c>
      <c r="T781" s="17">
        <f>IF($D781="","",IF($C781="","NO DATE",IF($G781="","NO EVENT TYPE",IF(AND($I781&lt;&gt;"",NOT(ISNUMBER($I781))),"MINUTES NOT A NUMBER",IF(AND($J781&lt;&gt;"",NOT(ISNUMBER($J781))),"SESSIONS NOT A NUMBER",IF(OR(N($I781)&lt;0,N($J781)&lt;0),"NEGATIVE MINUTES/SESSIONS",IF(AND($K781="Yes",N($I781)&gt;0),"MINUTES ON A PT EVENT - not counted (PT counts sessions)",IF(AND($K781="No",N($J781)&gt;0),"SESSIONS ON A CLASSROOM EVENT - not counted (classroom counts minutes)",IF(AND($N781="Yes",$K781="Yes",N($J781)=0),"COUNTED PT EVENT WITH NO SESSIONS - dropped from the PT cap",IF(AND($N781="Yes",$K781="No",N($I781)=0),"COUNTED EVENT WITH NO MINUTES - dropped from the classroom cap","OK"))))))))))</f>
        <v/>
      </c>
    </row>
    <row r="782">
      <c r="B782" s="17">
        <f>IF($D782="","","A"&amp;TEXT(ROW()-5,"000"))</f>
        <v/>
      </c>
      <c r="C782" s="18" t="n"/>
      <c r="D782" s="16" t="n"/>
      <c r="E782" s="17">
        <f>IF($D782="","",IFERROR(INDEX(rngCadetPIDs,MATCH($D782,rngCadetNames,0)),"?"))</f>
        <v/>
      </c>
      <c r="F782" s="17">
        <f>IF($E782="","",IFERROR(INDEX(nrCadetAgency,MATCH($E782,rngCadetPIDs,0)),""))</f>
        <v/>
      </c>
      <c r="G782" s="16" t="n"/>
      <c r="H782" s="16" t="n"/>
      <c r="I782" s="16" t="n"/>
      <c r="J782" s="16" t="n"/>
      <c r="K782" s="17">
        <f>IF($G782="","",IF(OR($G782="PT Missed",$G782="PT Modified",$G782="PT Refused"),"Yes","No"))</f>
        <v/>
      </c>
      <c r="L782" s="16" t="n"/>
      <c r="M782" s="16" t="n"/>
      <c r="N782" s="17">
        <f>IF($D782="","",IF($M782="Excused","No",IF(AND($G782="PT Modified",$L782="Received"),"No","Yes")))</f>
        <v/>
      </c>
      <c r="O782" s="16" t="n"/>
      <c r="P782" s="17">
        <f>IF(OR($B782="",N($I782)=0),"",MIN(N($I782),SUMIFS(nrMK_Min,nrMK_Link,$B782,nrMK_Credit,"Yes",nrMK_PID,$E782,nrMK_Type,"Classroom")))</f>
        <v/>
      </c>
      <c r="Q782" s="17">
        <f>IF(OR($B782="",N($J782)=0),"",MIN(N($J782),SUMIFS(nrMK_Sess,nrMK_Link,$B782,nrMK_Credit,"Yes",nrMK_PID,$E782,nrMK_Type,"PT")))</f>
        <v/>
      </c>
      <c r="R782" s="17">
        <f>IF(OR($B782="",$N782&lt;&gt;"Yes"),"",IF($K782="Yes",IF(N($J782)&gt;0,N($J782)-N($Q782),""),IF(N($I782)&gt;0,N($I782)-N($P782),"")))</f>
        <v/>
      </c>
      <c r="S782" s="17">
        <f>IF(OR($B782="",$R782=""),"",IF($R782&lt;=0,IF(IFERROR(_xlfn.MAXIFS(nrMK_Date,nrMK_Link,$B782,nrMK_Credit,"Yes",nrMK_PID,$E782),0)=0,"CLEARED (makeup date missing)","CLEARED "&amp;TEXT(_xlfn.MAXIFS(nrMK_Date,nrMK_Link,$B782,nrMK_Credit,"Yes",nrMK_PID,$E782),"mm/dd")),"OPEN"))</f>
        <v/>
      </c>
      <c r="T782" s="17">
        <f>IF($D782="","",IF($C782="","NO DATE",IF($G782="","NO EVENT TYPE",IF(AND($I782&lt;&gt;"",NOT(ISNUMBER($I782))),"MINUTES NOT A NUMBER",IF(AND($J782&lt;&gt;"",NOT(ISNUMBER($J782))),"SESSIONS NOT A NUMBER",IF(OR(N($I782)&lt;0,N($J782)&lt;0),"NEGATIVE MINUTES/SESSIONS",IF(AND($K782="Yes",N($I782)&gt;0),"MINUTES ON A PT EVENT - not counted (PT counts sessions)",IF(AND($K782="No",N($J782)&gt;0),"SESSIONS ON A CLASSROOM EVENT - not counted (classroom counts minutes)",IF(AND($N782="Yes",$K782="Yes",N($J782)=0),"COUNTED PT EVENT WITH NO SESSIONS - dropped from the PT cap",IF(AND($N782="Yes",$K782="No",N($I782)=0),"COUNTED EVENT WITH NO MINUTES - dropped from the classroom cap","OK"))))))))))</f>
        <v/>
      </c>
    </row>
    <row r="783">
      <c r="B783" s="17">
        <f>IF($D783="","","A"&amp;TEXT(ROW()-5,"000"))</f>
        <v/>
      </c>
      <c r="C783" s="18" t="n"/>
      <c r="D783" s="16" t="n"/>
      <c r="E783" s="17">
        <f>IF($D783="","",IFERROR(INDEX(rngCadetPIDs,MATCH($D783,rngCadetNames,0)),"?"))</f>
        <v/>
      </c>
      <c r="F783" s="17">
        <f>IF($E783="","",IFERROR(INDEX(nrCadetAgency,MATCH($E783,rngCadetPIDs,0)),""))</f>
        <v/>
      </c>
      <c r="G783" s="16" t="n"/>
      <c r="H783" s="16" t="n"/>
      <c r="I783" s="16" t="n"/>
      <c r="J783" s="16" t="n"/>
      <c r="K783" s="17">
        <f>IF($G783="","",IF(OR($G783="PT Missed",$G783="PT Modified",$G783="PT Refused"),"Yes","No"))</f>
        <v/>
      </c>
      <c r="L783" s="16" t="n"/>
      <c r="M783" s="16" t="n"/>
      <c r="N783" s="17">
        <f>IF($D783="","",IF($M783="Excused","No",IF(AND($G783="PT Modified",$L783="Received"),"No","Yes")))</f>
        <v/>
      </c>
      <c r="O783" s="16" t="n"/>
      <c r="P783" s="17">
        <f>IF(OR($B783="",N($I783)=0),"",MIN(N($I783),SUMIFS(nrMK_Min,nrMK_Link,$B783,nrMK_Credit,"Yes",nrMK_PID,$E783,nrMK_Type,"Classroom")))</f>
        <v/>
      </c>
      <c r="Q783" s="17">
        <f>IF(OR($B783="",N($J783)=0),"",MIN(N($J783),SUMIFS(nrMK_Sess,nrMK_Link,$B783,nrMK_Credit,"Yes",nrMK_PID,$E783,nrMK_Type,"PT")))</f>
        <v/>
      </c>
      <c r="R783" s="17">
        <f>IF(OR($B783="",$N783&lt;&gt;"Yes"),"",IF($K783="Yes",IF(N($J783)&gt;0,N($J783)-N($Q783),""),IF(N($I783)&gt;0,N($I783)-N($P783),"")))</f>
        <v/>
      </c>
      <c r="S783" s="17">
        <f>IF(OR($B783="",$R783=""),"",IF($R783&lt;=0,IF(IFERROR(_xlfn.MAXIFS(nrMK_Date,nrMK_Link,$B783,nrMK_Credit,"Yes",nrMK_PID,$E783),0)=0,"CLEARED (makeup date missing)","CLEARED "&amp;TEXT(_xlfn.MAXIFS(nrMK_Date,nrMK_Link,$B783,nrMK_Credit,"Yes",nrMK_PID,$E783),"mm/dd")),"OPEN"))</f>
        <v/>
      </c>
      <c r="T783" s="17">
        <f>IF($D783="","",IF($C783="","NO DATE",IF($G783="","NO EVENT TYPE",IF(AND($I783&lt;&gt;"",NOT(ISNUMBER($I783))),"MINUTES NOT A NUMBER",IF(AND($J783&lt;&gt;"",NOT(ISNUMBER($J783))),"SESSIONS NOT A NUMBER",IF(OR(N($I783)&lt;0,N($J783)&lt;0),"NEGATIVE MINUTES/SESSIONS",IF(AND($K783="Yes",N($I783)&gt;0),"MINUTES ON A PT EVENT - not counted (PT counts sessions)",IF(AND($K783="No",N($J783)&gt;0),"SESSIONS ON A CLASSROOM EVENT - not counted (classroom counts minutes)",IF(AND($N783="Yes",$K783="Yes",N($J783)=0),"COUNTED PT EVENT WITH NO SESSIONS - dropped from the PT cap",IF(AND($N783="Yes",$K783="No",N($I783)=0),"COUNTED EVENT WITH NO MINUTES - dropped from the classroom cap","OK"))))))))))</f>
        <v/>
      </c>
    </row>
    <row r="784">
      <c r="B784" s="17">
        <f>IF($D784="","","A"&amp;TEXT(ROW()-5,"000"))</f>
        <v/>
      </c>
      <c r="C784" s="18" t="n"/>
      <c r="D784" s="16" t="n"/>
      <c r="E784" s="17">
        <f>IF($D784="","",IFERROR(INDEX(rngCadetPIDs,MATCH($D784,rngCadetNames,0)),"?"))</f>
        <v/>
      </c>
      <c r="F784" s="17">
        <f>IF($E784="","",IFERROR(INDEX(nrCadetAgency,MATCH($E784,rngCadetPIDs,0)),""))</f>
        <v/>
      </c>
      <c r="G784" s="16" t="n"/>
      <c r="H784" s="16" t="n"/>
      <c r="I784" s="16" t="n"/>
      <c r="J784" s="16" t="n"/>
      <c r="K784" s="17">
        <f>IF($G784="","",IF(OR($G784="PT Missed",$G784="PT Modified",$G784="PT Refused"),"Yes","No"))</f>
        <v/>
      </c>
      <c r="L784" s="16" t="n"/>
      <c r="M784" s="16" t="n"/>
      <c r="N784" s="17">
        <f>IF($D784="","",IF($M784="Excused","No",IF(AND($G784="PT Modified",$L784="Received"),"No","Yes")))</f>
        <v/>
      </c>
      <c r="O784" s="16" t="n"/>
      <c r="P784" s="17">
        <f>IF(OR($B784="",N($I784)=0),"",MIN(N($I784),SUMIFS(nrMK_Min,nrMK_Link,$B784,nrMK_Credit,"Yes",nrMK_PID,$E784,nrMK_Type,"Classroom")))</f>
        <v/>
      </c>
      <c r="Q784" s="17">
        <f>IF(OR($B784="",N($J784)=0),"",MIN(N($J784),SUMIFS(nrMK_Sess,nrMK_Link,$B784,nrMK_Credit,"Yes",nrMK_PID,$E784,nrMK_Type,"PT")))</f>
        <v/>
      </c>
      <c r="R784" s="17">
        <f>IF(OR($B784="",$N784&lt;&gt;"Yes"),"",IF($K784="Yes",IF(N($J784)&gt;0,N($J784)-N($Q784),""),IF(N($I784)&gt;0,N($I784)-N($P784),"")))</f>
        <v/>
      </c>
      <c r="S784" s="17">
        <f>IF(OR($B784="",$R784=""),"",IF($R784&lt;=0,IF(IFERROR(_xlfn.MAXIFS(nrMK_Date,nrMK_Link,$B784,nrMK_Credit,"Yes",nrMK_PID,$E784),0)=0,"CLEARED (makeup date missing)","CLEARED "&amp;TEXT(_xlfn.MAXIFS(nrMK_Date,nrMK_Link,$B784,nrMK_Credit,"Yes",nrMK_PID,$E784),"mm/dd")),"OPEN"))</f>
        <v/>
      </c>
      <c r="T784" s="17">
        <f>IF($D784="","",IF($C784="","NO DATE",IF($G784="","NO EVENT TYPE",IF(AND($I784&lt;&gt;"",NOT(ISNUMBER($I784))),"MINUTES NOT A NUMBER",IF(AND($J784&lt;&gt;"",NOT(ISNUMBER($J784))),"SESSIONS NOT A NUMBER",IF(OR(N($I784)&lt;0,N($J784)&lt;0),"NEGATIVE MINUTES/SESSIONS",IF(AND($K784="Yes",N($I784)&gt;0),"MINUTES ON A PT EVENT - not counted (PT counts sessions)",IF(AND($K784="No",N($J784)&gt;0),"SESSIONS ON A CLASSROOM EVENT - not counted (classroom counts minutes)",IF(AND($N784="Yes",$K784="Yes",N($J784)=0),"COUNTED PT EVENT WITH NO SESSIONS - dropped from the PT cap",IF(AND($N784="Yes",$K784="No",N($I784)=0),"COUNTED EVENT WITH NO MINUTES - dropped from the classroom cap","OK"))))))))))</f>
        <v/>
      </c>
    </row>
    <row r="785">
      <c r="B785" s="17">
        <f>IF($D785="","","A"&amp;TEXT(ROW()-5,"000"))</f>
        <v/>
      </c>
      <c r="C785" s="18" t="n"/>
      <c r="D785" s="16" t="n"/>
      <c r="E785" s="17">
        <f>IF($D785="","",IFERROR(INDEX(rngCadetPIDs,MATCH($D785,rngCadetNames,0)),"?"))</f>
        <v/>
      </c>
      <c r="F785" s="17">
        <f>IF($E785="","",IFERROR(INDEX(nrCadetAgency,MATCH($E785,rngCadetPIDs,0)),""))</f>
        <v/>
      </c>
      <c r="G785" s="16" t="n"/>
      <c r="H785" s="16" t="n"/>
      <c r="I785" s="16" t="n"/>
      <c r="J785" s="16" t="n"/>
      <c r="K785" s="17">
        <f>IF($G785="","",IF(OR($G785="PT Missed",$G785="PT Modified",$G785="PT Refused"),"Yes","No"))</f>
        <v/>
      </c>
      <c r="L785" s="16" t="n"/>
      <c r="M785" s="16" t="n"/>
      <c r="N785" s="17">
        <f>IF($D785="","",IF($M785="Excused","No",IF(AND($G785="PT Modified",$L785="Received"),"No","Yes")))</f>
        <v/>
      </c>
      <c r="O785" s="16" t="n"/>
      <c r="P785" s="17">
        <f>IF(OR($B785="",N($I785)=0),"",MIN(N($I785),SUMIFS(nrMK_Min,nrMK_Link,$B785,nrMK_Credit,"Yes",nrMK_PID,$E785,nrMK_Type,"Classroom")))</f>
        <v/>
      </c>
      <c r="Q785" s="17">
        <f>IF(OR($B785="",N($J785)=0),"",MIN(N($J785),SUMIFS(nrMK_Sess,nrMK_Link,$B785,nrMK_Credit,"Yes",nrMK_PID,$E785,nrMK_Type,"PT")))</f>
        <v/>
      </c>
      <c r="R785" s="17">
        <f>IF(OR($B785="",$N785&lt;&gt;"Yes"),"",IF($K785="Yes",IF(N($J785)&gt;0,N($J785)-N($Q785),""),IF(N($I785)&gt;0,N($I785)-N($P785),"")))</f>
        <v/>
      </c>
      <c r="S785" s="17">
        <f>IF(OR($B785="",$R785=""),"",IF($R785&lt;=0,IF(IFERROR(_xlfn.MAXIFS(nrMK_Date,nrMK_Link,$B785,nrMK_Credit,"Yes",nrMK_PID,$E785),0)=0,"CLEARED (makeup date missing)","CLEARED "&amp;TEXT(_xlfn.MAXIFS(nrMK_Date,nrMK_Link,$B785,nrMK_Credit,"Yes",nrMK_PID,$E785),"mm/dd")),"OPEN"))</f>
        <v/>
      </c>
      <c r="T785" s="17">
        <f>IF($D785="","",IF($C785="","NO DATE",IF($G785="","NO EVENT TYPE",IF(AND($I785&lt;&gt;"",NOT(ISNUMBER($I785))),"MINUTES NOT A NUMBER",IF(AND($J785&lt;&gt;"",NOT(ISNUMBER($J785))),"SESSIONS NOT A NUMBER",IF(OR(N($I785)&lt;0,N($J785)&lt;0),"NEGATIVE MINUTES/SESSIONS",IF(AND($K785="Yes",N($I785)&gt;0),"MINUTES ON A PT EVENT - not counted (PT counts sessions)",IF(AND($K785="No",N($J785)&gt;0),"SESSIONS ON A CLASSROOM EVENT - not counted (classroom counts minutes)",IF(AND($N785="Yes",$K785="Yes",N($J785)=0),"COUNTED PT EVENT WITH NO SESSIONS - dropped from the PT cap",IF(AND($N785="Yes",$K785="No",N($I785)=0),"COUNTED EVENT WITH NO MINUTES - dropped from the classroom cap","OK"))))))))))</f>
        <v/>
      </c>
    </row>
    <row r="786">
      <c r="B786" s="17">
        <f>IF($D786="","","A"&amp;TEXT(ROW()-5,"000"))</f>
        <v/>
      </c>
      <c r="C786" s="18" t="n"/>
      <c r="D786" s="16" t="n"/>
      <c r="E786" s="17">
        <f>IF($D786="","",IFERROR(INDEX(rngCadetPIDs,MATCH($D786,rngCadetNames,0)),"?"))</f>
        <v/>
      </c>
      <c r="F786" s="17">
        <f>IF($E786="","",IFERROR(INDEX(nrCadetAgency,MATCH($E786,rngCadetPIDs,0)),""))</f>
        <v/>
      </c>
      <c r="G786" s="16" t="n"/>
      <c r="H786" s="16" t="n"/>
      <c r="I786" s="16" t="n"/>
      <c r="J786" s="16" t="n"/>
      <c r="K786" s="17">
        <f>IF($G786="","",IF(OR($G786="PT Missed",$G786="PT Modified",$G786="PT Refused"),"Yes","No"))</f>
        <v/>
      </c>
      <c r="L786" s="16" t="n"/>
      <c r="M786" s="16" t="n"/>
      <c r="N786" s="17">
        <f>IF($D786="","",IF($M786="Excused","No",IF(AND($G786="PT Modified",$L786="Received"),"No","Yes")))</f>
        <v/>
      </c>
      <c r="O786" s="16" t="n"/>
      <c r="P786" s="17">
        <f>IF(OR($B786="",N($I786)=0),"",MIN(N($I786),SUMIFS(nrMK_Min,nrMK_Link,$B786,nrMK_Credit,"Yes",nrMK_PID,$E786,nrMK_Type,"Classroom")))</f>
        <v/>
      </c>
      <c r="Q786" s="17">
        <f>IF(OR($B786="",N($J786)=0),"",MIN(N($J786),SUMIFS(nrMK_Sess,nrMK_Link,$B786,nrMK_Credit,"Yes",nrMK_PID,$E786,nrMK_Type,"PT")))</f>
        <v/>
      </c>
      <c r="R786" s="17">
        <f>IF(OR($B786="",$N786&lt;&gt;"Yes"),"",IF($K786="Yes",IF(N($J786)&gt;0,N($J786)-N($Q786),""),IF(N($I786)&gt;0,N($I786)-N($P786),"")))</f>
        <v/>
      </c>
      <c r="S786" s="17">
        <f>IF(OR($B786="",$R786=""),"",IF($R786&lt;=0,IF(IFERROR(_xlfn.MAXIFS(nrMK_Date,nrMK_Link,$B786,nrMK_Credit,"Yes",nrMK_PID,$E786),0)=0,"CLEARED (makeup date missing)","CLEARED "&amp;TEXT(_xlfn.MAXIFS(nrMK_Date,nrMK_Link,$B786,nrMK_Credit,"Yes",nrMK_PID,$E786),"mm/dd")),"OPEN"))</f>
        <v/>
      </c>
      <c r="T786" s="17">
        <f>IF($D786="","",IF($C786="","NO DATE",IF($G786="","NO EVENT TYPE",IF(AND($I786&lt;&gt;"",NOT(ISNUMBER($I786))),"MINUTES NOT A NUMBER",IF(AND($J786&lt;&gt;"",NOT(ISNUMBER($J786))),"SESSIONS NOT A NUMBER",IF(OR(N($I786)&lt;0,N($J786)&lt;0),"NEGATIVE MINUTES/SESSIONS",IF(AND($K786="Yes",N($I786)&gt;0),"MINUTES ON A PT EVENT - not counted (PT counts sessions)",IF(AND($K786="No",N($J786)&gt;0),"SESSIONS ON A CLASSROOM EVENT - not counted (classroom counts minutes)",IF(AND($N786="Yes",$K786="Yes",N($J786)=0),"COUNTED PT EVENT WITH NO SESSIONS - dropped from the PT cap",IF(AND($N786="Yes",$K786="No",N($I786)=0),"COUNTED EVENT WITH NO MINUTES - dropped from the classroom cap","OK"))))))))))</f>
        <v/>
      </c>
    </row>
    <row r="787">
      <c r="B787" s="17">
        <f>IF($D787="","","A"&amp;TEXT(ROW()-5,"000"))</f>
        <v/>
      </c>
      <c r="C787" s="18" t="n"/>
      <c r="D787" s="16" t="n"/>
      <c r="E787" s="17">
        <f>IF($D787="","",IFERROR(INDEX(rngCadetPIDs,MATCH($D787,rngCadetNames,0)),"?"))</f>
        <v/>
      </c>
      <c r="F787" s="17">
        <f>IF($E787="","",IFERROR(INDEX(nrCadetAgency,MATCH($E787,rngCadetPIDs,0)),""))</f>
        <v/>
      </c>
      <c r="G787" s="16" t="n"/>
      <c r="H787" s="16" t="n"/>
      <c r="I787" s="16" t="n"/>
      <c r="J787" s="16" t="n"/>
      <c r="K787" s="17">
        <f>IF($G787="","",IF(OR($G787="PT Missed",$G787="PT Modified",$G787="PT Refused"),"Yes","No"))</f>
        <v/>
      </c>
      <c r="L787" s="16" t="n"/>
      <c r="M787" s="16" t="n"/>
      <c r="N787" s="17">
        <f>IF($D787="","",IF($M787="Excused","No",IF(AND($G787="PT Modified",$L787="Received"),"No","Yes")))</f>
        <v/>
      </c>
      <c r="O787" s="16" t="n"/>
      <c r="P787" s="17">
        <f>IF(OR($B787="",N($I787)=0),"",MIN(N($I787),SUMIFS(nrMK_Min,nrMK_Link,$B787,nrMK_Credit,"Yes",nrMK_PID,$E787,nrMK_Type,"Classroom")))</f>
        <v/>
      </c>
      <c r="Q787" s="17">
        <f>IF(OR($B787="",N($J787)=0),"",MIN(N($J787),SUMIFS(nrMK_Sess,nrMK_Link,$B787,nrMK_Credit,"Yes",nrMK_PID,$E787,nrMK_Type,"PT")))</f>
        <v/>
      </c>
      <c r="R787" s="17">
        <f>IF(OR($B787="",$N787&lt;&gt;"Yes"),"",IF($K787="Yes",IF(N($J787)&gt;0,N($J787)-N($Q787),""),IF(N($I787)&gt;0,N($I787)-N($P787),"")))</f>
        <v/>
      </c>
      <c r="S787" s="17">
        <f>IF(OR($B787="",$R787=""),"",IF($R787&lt;=0,IF(IFERROR(_xlfn.MAXIFS(nrMK_Date,nrMK_Link,$B787,nrMK_Credit,"Yes",nrMK_PID,$E787),0)=0,"CLEARED (makeup date missing)","CLEARED "&amp;TEXT(_xlfn.MAXIFS(nrMK_Date,nrMK_Link,$B787,nrMK_Credit,"Yes",nrMK_PID,$E787),"mm/dd")),"OPEN"))</f>
        <v/>
      </c>
      <c r="T787" s="17">
        <f>IF($D787="","",IF($C787="","NO DATE",IF($G787="","NO EVENT TYPE",IF(AND($I787&lt;&gt;"",NOT(ISNUMBER($I787))),"MINUTES NOT A NUMBER",IF(AND($J787&lt;&gt;"",NOT(ISNUMBER($J787))),"SESSIONS NOT A NUMBER",IF(OR(N($I787)&lt;0,N($J787)&lt;0),"NEGATIVE MINUTES/SESSIONS",IF(AND($K787="Yes",N($I787)&gt;0),"MINUTES ON A PT EVENT - not counted (PT counts sessions)",IF(AND($K787="No",N($J787)&gt;0),"SESSIONS ON A CLASSROOM EVENT - not counted (classroom counts minutes)",IF(AND($N787="Yes",$K787="Yes",N($J787)=0),"COUNTED PT EVENT WITH NO SESSIONS - dropped from the PT cap",IF(AND($N787="Yes",$K787="No",N($I787)=0),"COUNTED EVENT WITH NO MINUTES - dropped from the classroom cap","OK"))))))))))</f>
        <v/>
      </c>
    </row>
    <row r="788">
      <c r="B788" s="17">
        <f>IF($D788="","","A"&amp;TEXT(ROW()-5,"000"))</f>
        <v/>
      </c>
      <c r="C788" s="18" t="n"/>
      <c r="D788" s="16" t="n"/>
      <c r="E788" s="17">
        <f>IF($D788="","",IFERROR(INDEX(rngCadetPIDs,MATCH($D788,rngCadetNames,0)),"?"))</f>
        <v/>
      </c>
      <c r="F788" s="17">
        <f>IF($E788="","",IFERROR(INDEX(nrCadetAgency,MATCH($E788,rngCadetPIDs,0)),""))</f>
        <v/>
      </c>
      <c r="G788" s="16" t="n"/>
      <c r="H788" s="16" t="n"/>
      <c r="I788" s="16" t="n"/>
      <c r="J788" s="16" t="n"/>
      <c r="K788" s="17">
        <f>IF($G788="","",IF(OR($G788="PT Missed",$G788="PT Modified",$G788="PT Refused"),"Yes","No"))</f>
        <v/>
      </c>
      <c r="L788" s="16" t="n"/>
      <c r="M788" s="16" t="n"/>
      <c r="N788" s="17">
        <f>IF($D788="","",IF($M788="Excused","No",IF(AND($G788="PT Modified",$L788="Received"),"No","Yes")))</f>
        <v/>
      </c>
      <c r="O788" s="16" t="n"/>
      <c r="P788" s="17">
        <f>IF(OR($B788="",N($I788)=0),"",MIN(N($I788),SUMIFS(nrMK_Min,nrMK_Link,$B788,nrMK_Credit,"Yes",nrMK_PID,$E788,nrMK_Type,"Classroom")))</f>
        <v/>
      </c>
      <c r="Q788" s="17">
        <f>IF(OR($B788="",N($J788)=0),"",MIN(N($J788),SUMIFS(nrMK_Sess,nrMK_Link,$B788,nrMK_Credit,"Yes",nrMK_PID,$E788,nrMK_Type,"PT")))</f>
        <v/>
      </c>
      <c r="R788" s="17">
        <f>IF(OR($B788="",$N788&lt;&gt;"Yes"),"",IF($K788="Yes",IF(N($J788)&gt;0,N($J788)-N($Q788),""),IF(N($I788)&gt;0,N($I788)-N($P788),"")))</f>
        <v/>
      </c>
      <c r="S788" s="17">
        <f>IF(OR($B788="",$R788=""),"",IF($R788&lt;=0,IF(IFERROR(_xlfn.MAXIFS(nrMK_Date,nrMK_Link,$B788,nrMK_Credit,"Yes",nrMK_PID,$E788),0)=0,"CLEARED (makeup date missing)","CLEARED "&amp;TEXT(_xlfn.MAXIFS(nrMK_Date,nrMK_Link,$B788,nrMK_Credit,"Yes",nrMK_PID,$E788),"mm/dd")),"OPEN"))</f>
        <v/>
      </c>
      <c r="T788" s="17">
        <f>IF($D788="","",IF($C788="","NO DATE",IF($G788="","NO EVENT TYPE",IF(AND($I788&lt;&gt;"",NOT(ISNUMBER($I788))),"MINUTES NOT A NUMBER",IF(AND($J788&lt;&gt;"",NOT(ISNUMBER($J788))),"SESSIONS NOT A NUMBER",IF(OR(N($I788)&lt;0,N($J788)&lt;0),"NEGATIVE MINUTES/SESSIONS",IF(AND($K788="Yes",N($I788)&gt;0),"MINUTES ON A PT EVENT - not counted (PT counts sessions)",IF(AND($K788="No",N($J788)&gt;0),"SESSIONS ON A CLASSROOM EVENT - not counted (classroom counts minutes)",IF(AND($N788="Yes",$K788="Yes",N($J788)=0),"COUNTED PT EVENT WITH NO SESSIONS - dropped from the PT cap",IF(AND($N788="Yes",$K788="No",N($I788)=0),"COUNTED EVENT WITH NO MINUTES - dropped from the classroom cap","OK"))))))))))</f>
        <v/>
      </c>
    </row>
    <row r="789">
      <c r="B789" s="17">
        <f>IF($D789="","","A"&amp;TEXT(ROW()-5,"000"))</f>
        <v/>
      </c>
      <c r="C789" s="18" t="n"/>
      <c r="D789" s="16" t="n"/>
      <c r="E789" s="17">
        <f>IF($D789="","",IFERROR(INDEX(rngCadetPIDs,MATCH($D789,rngCadetNames,0)),"?"))</f>
        <v/>
      </c>
      <c r="F789" s="17">
        <f>IF($E789="","",IFERROR(INDEX(nrCadetAgency,MATCH($E789,rngCadetPIDs,0)),""))</f>
        <v/>
      </c>
      <c r="G789" s="16" t="n"/>
      <c r="H789" s="16" t="n"/>
      <c r="I789" s="16" t="n"/>
      <c r="J789" s="16" t="n"/>
      <c r="K789" s="17">
        <f>IF($G789="","",IF(OR($G789="PT Missed",$G789="PT Modified",$G789="PT Refused"),"Yes","No"))</f>
        <v/>
      </c>
      <c r="L789" s="16" t="n"/>
      <c r="M789" s="16" t="n"/>
      <c r="N789" s="17">
        <f>IF($D789="","",IF($M789="Excused","No",IF(AND($G789="PT Modified",$L789="Received"),"No","Yes")))</f>
        <v/>
      </c>
      <c r="O789" s="16" t="n"/>
      <c r="P789" s="17">
        <f>IF(OR($B789="",N($I789)=0),"",MIN(N($I789),SUMIFS(nrMK_Min,nrMK_Link,$B789,nrMK_Credit,"Yes",nrMK_PID,$E789,nrMK_Type,"Classroom")))</f>
        <v/>
      </c>
      <c r="Q789" s="17">
        <f>IF(OR($B789="",N($J789)=0),"",MIN(N($J789),SUMIFS(nrMK_Sess,nrMK_Link,$B789,nrMK_Credit,"Yes",nrMK_PID,$E789,nrMK_Type,"PT")))</f>
        <v/>
      </c>
      <c r="R789" s="17">
        <f>IF(OR($B789="",$N789&lt;&gt;"Yes"),"",IF($K789="Yes",IF(N($J789)&gt;0,N($J789)-N($Q789),""),IF(N($I789)&gt;0,N($I789)-N($P789),"")))</f>
        <v/>
      </c>
      <c r="S789" s="17">
        <f>IF(OR($B789="",$R789=""),"",IF($R789&lt;=0,IF(IFERROR(_xlfn.MAXIFS(nrMK_Date,nrMK_Link,$B789,nrMK_Credit,"Yes",nrMK_PID,$E789),0)=0,"CLEARED (makeup date missing)","CLEARED "&amp;TEXT(_xlfn.MAXIFS(nrMK_Date,nrMK_Link,$B789,nrMK_Credit,"Yes",nrMK_PID,$E789),"mm/dd")),"OPEN"))</f>
        <v/>
      </c>
      <c r="T789" s="17">
        <f>IF($D789="","",IF($C789="","NO DATE",IF($G789="","NO EVENT TYPE",IF(AND($I789&lt;&gt;"",NOT(ISNUMBER($I789))),"MINUTES NOT A NUMBER",IF(AND($J789&lt;&gt;"",NOT(ISNUMBER($J789))),"SESSIONS NOT A NUMBER",IF(OR(N($I789)&lt;0,N($J789)&lt;0),"NEGATIVE MINUTES/SESSIONS",IF(AND($K789="Yes",N($I789)&gt;0),"MINUTES ON A PT EVENT - not counted (PT counts sessions)",IF(AND($K789="No",N($J789)&gt;0),"SESSIONS ON A CLASSROOM EVENT - not counted (classroom counts minutes)",IF(AND($N789="Yes",$K789="Yes",N($J789)=0),"COUNTED PT EVENT WITH NO SESSIONS - dropped from the PT cap",IF(AND($N789="Yes",$K789="No",N($I789)=0),"COUNTED EVENT WITH NO MINUTES - dropped from the classroom cap","OK"))))))))))</f>
        <v/>
      </c>
    </row>
    <row r="790">
      <c r="B790" s="17">
        <f>IF($D790="","","A"&amp;TEXT(ROW()-5,"000"))</f>
        <v/>
      </c>
      <c r="C790" s="18" t="n"/>
      <c r="D790" s="16" t="n"/>
      <c r="E790" s="17">
        <f>IF($D790="","",IFERROR(INDEX(rngCadetPIDs,MATCH($D790,rngCadetNames,0)),"?"))</f>
        <v/>
      </c>
      <c r="F790" s="17">
        <f>IF($E790="","",IFERROR(INDEX(nrCadetAgency,MATCH($E790,rngCadetPIDs,0)),""))</f>
        <v/>
      </c>
      <c r="G790" s="16" t="n"/>
      <c r="H790" s="16" t="n"/>
      <c r="I790" s="16" t="n"/>
      <c r="J790" s="16" t="n"/>
      <c r="K790" s="17">
        <f>IF($G790="","",IF(OR($G790="PT Missed",$G790="PT Modified",$G790="PT Refused"),"Yes","No"))</f>
        <v/>
      </c>
      <c r="L790" s="16" t="n"/>
      <c r="M790" s="16" t="n"/>
      <c r="N790" s="17">
        <f>IF($D790="","",IF($M790="Excused","No",IF(AND($G790="PT Modified",$L790="Received"),"No","Yes")))</f>
        <v/>
      </c>
      <c r="O790" s="16" t="n"/>
      <c r="P790" s="17">
        <f>IF(OR($B790="",N($I790)=0),"",MIN(N($I790),SUMIFS(nrMK_Min,nrMK_Link,$B790,nrMK_Credit,"Yes",nrMK_PID,$E790,nrMK_Type,"Classroom")))</f>
        <v/>
      </c>
      <c r="Q790" s="17">
        <f>IF(OR($B790="",N($J790)=0),"",MIN(N($J790),SUMIFS(nrMK_Sess,nrMK_Link,$B790,nrMK_Credit,"Yes",nrMK_PID,$E790,nrMK_Type,"PT")))</f>
        <v/>
      </c>
      <c r="R790" s="17">
        <f>IF(OR($B790="",$N790&lt;&gt;"Yes"),"",IF($K790="Yes",IF(N($J790)&gt;0,N($J790)-N($Q790),""),IF(N($I790)&gt;0,N($I790)-N($P790),"")))</f>
        <v/>
      </c>
      <c r="S790" s="17">
        <f>IF(OR($B790="",$R790=""),"",IF($R790&lt;=0,IF(IFERROR(_xlfn.MAXIFS(nrMK_Date,nrMK_Link,$B790,nrMK_Credit,"Yes",nrMK_PID,$E790),0)=0,"CLEARED (makeup date missing)","CLEARED "&amp;TEXT(_xlfn.MAXIFS(nrMK_Date,nrMK_Link,$B790,nrMK_Credit,"Yes",nrMK_PID,$E790),"mm/dd")),"OPEN"))</f>
        <v/>
      </c>
      <c r="T790" s="17">
        <f>IF($D790="","",IF($C790="","NO DATE",IF($G790="","NO EVENT TYPE",IF(AND($I790&lt;&gt;"",NOT(ISNUMBER($I790))),"MINUTES NOT A NUMBER",IF(AND($J790&lt;&gt;"",NOT(ISNUMBER($J790))),"SESSIONS NOT A NUMBER",IF(OR(N($I790)&lt;0,N($J790)&lt;0),"NEGATIVE MINUTES/SESSIONS",IF(AND($K790="Yes",N($I790)&gt;0),"MINUTES ON A PT EVENT - not counted (PT counts sessions)",IF(AND($K790="No",N($J790)&gt;0),"SESSIONS ON A CLASSROOM EVENT - not counted (classroom counts minutes)",IF(AND($N790="Yes",$K790="Yes",N($J790)=0),"COUNTED PT EVENT WITH NO SESSIONS - dropped from the PT cap",IF(AND($N790="Yes",$K790="No",N($I790)=0),"COUNTED EVENT WITH NO MINUTES - dropped from the classroom cap","OK"))))))))))</f>
        <v/>
      </c>
    </row>
    <row r="791">
      <c r="B791" s="17">
        <f>IF($D791="","","A"&amp;TEXT(ROW()-5,"000"))</f>
        <v/>
      </c>
      <c r="C791" s="18" t="n"/>
      <c r="D791" s="16" t="n"/>
      <c r="E791" s="17">
        <f>IF($D791="","",IFERROR(INDEX(rngCadetPIDs,MATCH($D791,rngCadetNames,0)),"?"))</f>
        <v/>
      </c>
      <c r="F791" s="17">
        <f>IF($E791="","",IFERROR(INDEX(nrCadetAgency,MATCH($E791,rngCadetPIDs,0)),""))</f>
        <v/>
      </c>
      <c r="G791" s="16" t="n"/>
      <c r="H791" s="16" t="n"/>
      <c r="I791" s="16" t="n"/>
      <c r="J791" s="16" t="n"/>
      <c r="K791" s="17">
        <f>IF($G791="","",IF(OR($G791="PT Missed",$G791="PT Modified",$G791="PT Refused"),"Yes","No"))</f>
        <v/>
      </c>
      <c r="L791" s="16" t="n"/>
      <c r="M791" s="16" t="n"/>
      <c r="N791" s="17">
        <f>IF($D791="","",IF($M791="Excused","No",IF(AND($G791="PT Modified",$L791="Received"),"No","Yes")))</f>
        <v/>
      </c>
      <c r="O791" s="16" t="n"/>
      <c r="P791" s="17">
        <f>IF(OR($B791="",N($I791)=0),"",MIN(N($I791),SUMIFS(nrMK_Min,nrMK_Link,$B791,nrMK_Credit,"Yes",nrMK_PID,$E791,nrMK_Type,"Classroom")))</f>
        <v/>
      </c>
      <c r="Q791" s="17">
        <f>IF(OR($B791="",N($J791)=0),"",MIN(N($J791),SUMIFS(nrMK_Sess,nrMK_Link,$B791,nrMK_Credit,"Yes",nrMK_PID,$E791,nrMK_Type,"PT")))</f>
        <v/>
      </c>
      <c r="R791" s="17">
        <f>IF(OR($B791="",$N791&lt;&gt;"Yes"),"",IF($K791="Yes",IF(N($J791)&gt;0,N($J791)-N($Q791),""),IF(N($I791)&gt;0,N($I791)-N($P791),"")))</f>
        <v/>
      </c>
      <c r="S791" s="17">
        <f>IF(OR($B791="",$R791=""),"",IF($R791&lt;=0,IF(IFERROR(_xlfn.MAXIFS(nrMK_Date,nrMK_Link,$B791,nrMK_Credit,"Yes",nrMK_PID,$E791),0)=0,"CLEARED (makeup date missing)","CLEARED "&amp;TEXT(_xlfn.MAXIFS(nrMK_Date,nrMK_Link,$B791,nrMK_Credit,"Yes",nrMK_PID,$E791),"mm/dd")),"OPEN"))</f>
        <v/>
      </c>
      <c r="T791" s="17">
        <f>IF($D791="","",IF($C791="","NO DATE",IF($G791="","NO EVENT TYPE",IF(AND($I791&lt;&gt;"",NOT(ISNUMBER($I791))),"MINUTES NOT A NUMBER",IF(AND($J791&lt;&gt;"",NOT(ISNUMBER($J791))),"SESSIONS NOT A NUMBER",IF(OR(N($I791)&lt;0,N($J791)&lt;0),"NEGATIVE MINUTES/SESSIONS",IF(AND($K791="Yes",N($I791)&gt;0),"MINUTES ON A PT EVENT - not counted (PT counts sessions)",IF(AND($K791="No",N($J791)&gt;0),"SESSIONS ON A CLASSROOM EVENT - not counted (classroom counts minutes)",IF(AND($N791="Yes",$K791="Yes",N($J791)=0),"COUNTED PT EVENT WITH NO SESSIONS - dropped from the PT cap",IF(AND($N791="Yes",$K791="No",N($I791)=0),"COUNTED EVENT WITH NO MINUTES - dropped from the classroom cap","OK"))))))))))</f>
        <v/>
      </c>
    </row>
    <row r="792">
      <c r="B792" s="17">
        <f>IF($D792="","","A"&amp;TEXT(ROW()-5,"000"))</f>
        <v/>
      </c>
      <c r="C792" s="18" t="n"/>
      <c r="D792" s="16" t="n"/>
      <c r="E792" s="17">
        <f>IF($D792="","",IFERROR(INDEX(rngCadetPIDs,MATCH($D792,rngCadetNames,0)),"?"))</f>
        <v/>
      </c>
      <c r="F792" s="17">
        <f>IF($E792="","",IFERROR(INDEX(nrCadetAgency,MATCH($E792,rngCadetPIDs,0)),""))</f>
        <v/>
      </c>
      <c r="G792" s="16" t="n"/>
      <c r="H792" s="16" t="n"/>
      <c r="I792" s="16" t="n"/>
      <c r="J792" s="16" t="n"/>
      <c r="K792" s="17">
        <f>IF($G792="","",IF(OR($G792="PT Missed",$G792="PT Modified",$G792="PT Refused"),"Yes","No"))</f>
        <v/>
      </c>
      <c r="L792" s="16" t="n"/>
      <c r="M792" s="16" t="n"/>
      <c r="N792" s="17">
        <f>IF($D792="","",IF($M792="Excused","No",IF(AND($G792="PT Modified",$L792="Received"),"No","Yes")))</f>
        <v/>
      </c>
      <c r="O792" s="16" t="n"/>
      <c r="P792" s="17">
        <f>IF(OR($B792="",N($I792)=0),"",MIN(N($I792),SUMIFS(nrMK_Min,nrMK_Link,$B792,nrMK_Credit,"Yes",nrMK_PID,$E792,nrMK_Type,"Classroom")))</f>
        <v/>
      </c>
      <c r="Q792" s="17">
        <f>IF(OR($B792="",N($J792)=0),"",MIN(N($J792),SUMIFS(nrMK_Sess,nrMK_Link,$B792,nrMK_Credit,"Yes",nrMK_PID,$E792,nrMK_Type,"PT")))</f>
        <v/>
      </c>
      <c r="R792" s="17">
        <f>IF(OR($B792="",$N792&lt;&gt;"Yes"),"",IF($K792="Yes",IF(N($J792)&gt;0,N($J792)-N($Q792),""),IF(N($I792)&gt;0,N($I792)-N($P792),"")))</f>
        <v/>
      </c>
      <c r="S792" s="17">
        <f>IF(OR($B792="",$R792=""),"",IF($R792&lt;=0,IF(IFERROR(_xlfn.MAXIFS(nrMK_Date,nrMK_Link,$B792,nrMK_Credit,"Yes",nrMK_PID,$E792),0)=0,"CLEARED (makeup date missing)","CLEARED "&amp;TEXT(_xlfn.MAXIFS(nrMK_Date,nrMK_Link,$B792,nrMK_Credit,"Yes",nrMK_PID,$E792),"mm/dd")),"OPEN"))</f>
        <v/>
      </c>
      <c r="T792" s="17">
        <f>IF($D792="","",IF($C792="","NO DATE",IF($G792="","NO EVENT TYPE",IF(AND($I792&lt;&gt;"",NOT(ISNUMBER($I792))),"MINUTES NOT A NUMBER",IF(AND($J792&lt;&gt;"",NOT(ISNUMBER($J792))),"SESSIONS NOT A NUMBER",IF(OR(N($I792)&lt;0,N($J792)&lt;0),"NEGATIVE MINUTES/SESSIONS",IF(AND($K792="Yes",N($I792)&gt;0),"MINUTES ON A PT EVENT - not counted (PT counts sessions)",IF(AND($K792="No",N($J792)&gt;0),"SESSIONS ON A CLASSROOM EVENT - not counted (classroom counts minutes)",IF(AND($N792="Yes",$K792="Yes",N($J792)=0),"COUNTED PT EVENT WITH NO SESSIONS - dropped from the PT cap",IF(AND($N792="Yes",$K792="No",N($I792)=0),"COUNTED EVENT WITH NO MINUTES - dropped from the classroom cap","OK"))))))))))</f>
        <v/>
      </c>
    </row>
    <row r="793">
      <c r="B793" s="17">
        <f>IF($D793="","","A"&amp;TEXT(ROW()-5,"000"))</f>
        <v/>
      </c>
      <c r="C793" s="18" t="n"/>
      <c r="D793" s="16" t="n"/>
      <c r="E793" s="17">
        <f>IF($D793="","",IFERROR(INDEX(rngCadetPIDs,MATCH($D793,rngCadetNames,0)),"?"))</f>
        <v/>
      </c>
      <c r="F793" s="17">
        <f>IF($E793="","",IFERROR(INDEX(nrCadetAgency,MATCH($E793,rngCadetPIDs,0)),""))</f>
        <v/>
      </c>
      <c r="G793" s="16" t="n"/>
      <c r="H793" s="16" t="n"/>
      <c r="I793" s="16" t="n"/>
      <c r="J793" s="16" t="n"/>
      <c r="K793" s="17">
        <f>IF($G793="","",IF(OR($G793="PT Missed",$G793="PT Modified",$G793="PT Refused"),"Yes","No"))</f>
        <v/>
      </c>
      <c r="L793" s="16" t="n"/>
      <c r="M793" s="16" t="n"/>
      <c r="N793" s="17">
        <f>IF($D793="","",IF($M793="Excused","No",IF(AND($G793="PT Modified",$L793="Received"),"No","Yes")))</f>
        <v/>
      </c>
      <c r="O793" s="16" t="n"/>
      <c r="P793" s="17">
        <f>IF(OR($B793="",N($I793)=0),"",MIN(N($I793),SUMIFS(nrMK_Min,nrMK_Link,$B793,nrMK_Credit,"Yes",nrMK_PID,$E793,nrMK_Type,"Classroom")))</f>
        <v/>
      </c>
      <c r="Q793" s="17">
        <f>IF(OR($B793="",N($J793)=0),"",MIN(N($J793),SUMIFS(nrMK_Sess,nrMK_Link,$B793,nrMK_Credit,"Yes",nrMK_PID,$E793,nrMK_Type,"PT")))</f>
        <v/>
      </c>
      <c r="R793" s="17">
        <f>IF(OR($B793="",$N793&lt;&gt;"Yes"),"",IF($K793="Yes",IF(N($J793)&gt;0,N($J793)-N($Q793),""),IF(N($I793)&gt;0,N($I793)-N($P793),"")))</f>
        <v/>
      </c>
      <c r="S793" s="17">
        <f>IF(OR($B793="",$R793=""),"",IF($R793&lt;=0,IF(IFERROR(_xlfn.MAXIFS(nrMK_Date,nrMK_Link,$B793,nrMK_Credit,"Yes",nrMK_PID,$E793),0)=0,"CLEARED (makeup date missing)","CLEARED "&amp;TEXT(_xlfn.MAXIFS(nrMK_Date,nrMK_Link,$B793,nrMK_Credit,"Yes",nrMK_PID,$E793),"mm/dd")),"OPEN"))</f>
        <v/>
      </c>
      <c r="T793" s="17">
        <f>IF($D793="","",IF($C793="","NO DATE",IF($G793="","NO EVENT TYPE",IF(AND($I793&lt;&gt;"",NOT(ISNUMBER($I793))),"MINUTES NOT A NUMBER",IF(AND($J793&lt;&gt;"",NOT(ISNUMBER($J793))),"SESSIONS NOT A NUMBER",IF(OR(N($I793)&lt;0,N($J793)&lt;0),"NEGATIVE MINUTES/SESSIONS",IF(AND($K793="Yes",N($I793)&gt;0),"MINUTES ON A PT EVENT - not counted (PT counts sessions)",IF(AND($K793="No",N($J793)&gt;0),"SESSIONS ON A CLASSROOM EVENT - not counted (classroom counts minutes)",IF(AND($N793="Yes",$K793="Yes",N($J793)=0),"COUNTED PT EVENT WITH NO SESSIONS - dropped from the PT cap",IF(AND($N793="Yes",$K793="No",N($I793)=0),"COUNTED EVENT WITH NO MINUTES - dropped from the classroom cap","OK"))))))))))</f>
        <v/>
      </c>
    </row>
    <row r="794">
      <c r="B794" s="17">
        <f>IF($D794="","","A"&amp;TEXT(ROW()-5,"000"))</f>
        <v/>
      </c>
      <c r="C794" s="18" t="n"/>
      <c r="D794" s="16" t="n"/>
      <c r="E794" s="17">
        <f>IF($D794="","",IFERROR(INDEX(rngCadetPIDs,MATCH($D794,rngCadetNames,0)),"?"))</f>
        <v/>
      </c>
      <c r="F794" s="17">
        <f>IF($E794="","",IFERROR(INDEX(nrCadetAgency,MATCH($E794,rngCadetPIDs,0)),""))</f>
        <v/>
      </c>
      <c r="G794" s="16" t="n"/>
      <c r="H794" s="16" t="n"/>
      <c r="I794" s="16" t="n"/>
      <c r="J794" s="16" t="n"/>
      <c r="K794" s="17">
        <f>IF($G794="","",IF(OR($G794="PT Missed",$G794="PT Modified",$G794="PT Refused"),"Yes","No"))</f>
        <v/>
      </c>
      <c r="L794" s="16" t="n"/>
      <c r="M794" s="16" t="n"/>
      <c r="N794" s="17">
        <f>IF($D794="","",IF($M794="Excused","No",IF(AND($G794="PT Modified",$L794="Received"),"No","Yes")))</f>
        <v/>
      </c>
      <c r="O794" s="16" t="n"/>
      <c r="P794" s="17">
        <f>IF(OR($B794="",N($I794)=0),"",MIN(N($I794),SUMIFS(nrMK_Min,nrMK_Link,$B794,nrMK_Credit,"Yes",nrMK_PID,$E794,nrMK_Type,"Classroom")))</f>
        <v/>
      </c>
      <c r="Q794" s="17">
        <f>IF(OR($B794="",N($J794)=0),"",MIN(N($J794),SUMIFS(nrMK_Sess,nrMK_Link,$B794,nrMK_Credit,"Yes",nrMK_PID,$E794,nrMK_Type,"PT")))</f>
        <v/>
      </c>
      <c r="R794" s="17">
        <f>IF(OR($B794="",$N794&lt;&gt;"Yes"),"",IF($K794="Yes",IF(N($J794)&gt;0,N($J794)-N($Q794),""),IF(N($I794)&gt;0,N($I794)-N($P794),"")))</f>
        <v/>
      </c>
      <c r="S794" s="17">
        <f>IF(OR($B794="",$R794=""),"",IF($R794&lt;=0,IF(IFERROR(_xlfn.MAXIFS(nrMK_Date,nrMK_Link,$B794,nrMK_Credit,"Yes",nrMK_PID,$E794),0)=0,"CLEARED (makeup date missing)","CLEARED "&amp;TEXT(_xlfn.MAXIFS(nrMK_Date,nrMK_Link,$B794,nrMK_Credit,"Yes",nrMK_PID,$E794),"mm/dd")),"OPEN"))</f>
        <v/>
      </c>
      <c r="T794" s="17">
        <f>IF($D794="","",IF($C794="","NO DATE",IF($G794="","NO EVENT TYPE",IF(AND($I794&lt;&gt;"",NOT(ISNUMBER($I794))),"MINUTES NOT A NUMBER",IF(AND($J794&lt;&gt;"",NOT(ISNUMBER($J794))),"SESSIONS NOT A NUMBER",IF(OR(N($I794)&lt;0,N($J794)&lt;0),"NEGATIVE MINUTES/SESSIONS",IF(AND($K794="Yes",N($I794)&gt;0),"MINUTES ON A PT EVENT - not counted (PT counts sessions)",IF(AND($K794="No",N($J794)&gt;0),"SESSIONS ON A CLASSROOM EVENT - not counted (classroom counts minutes)",IF(AND($N794="Yes",$K794="Yes",N($J794)=0),"COUNTED PT EVENT WITH NO SESSIONS - dropped from the PT cap",IF(AND($N794="Yes",$K794="No",N($I794)=0),"COUNTED EVENT WITH NO MINUTES - dropped from the classroom cap","OK"))))))))))</f>
        <v/>
      </c>
    </row>
    <row r="795">
      <c r="B795" s="17">
        <f>IF($D795="","","A"&amp;TEXT(ROW()-5,"000"))</f>
        <v/>
      </c>
      <c r="C795" s="18" t="n"/>
      <c r="D795" s="16" t="n"/>
      <c r="E795" s="17">
        <f>IF($D795="","",IFERROR(INDEX(rngCadetPIDs,MATCH($D795,rngCadetNames,0)),"?"))</f>
        <v/>
      </c>
      <c r="F795" s="17">
        <f>IF($E795="","",IFERROR(INDEX(nrCadetAgency,MATCH($E795,rngCadetPIDs,0)),""))</f>
        <v/>
      </c>
      <c r="G795" s="16" t="n"/>
      <c r="H795" s="16" t="n"/>
      <c r="I795" s="16" t="n"/>
      <c r="J795" s="16" t="n"/>
      <c r="K795" s="17">
        <f>IF($G795="","",IF(OR($G795="PT Missed",$G795="PT Modified",$G795="PT Refused"),"Yes","No"))</f>
        <v/>
      </c>
      <c r="L795" s="16" t="n"/>
      <c r="M795" s="16" t="n"/>
      <c r="N795" s="17">
        <f>IF($D795="","",IF($M795="Excused","No",IF(AND($G795="PT Modified",$L795="Received"),"No","Yes")))</f>
        <v/>
      </c>
      <c r="O795" s="16" t="n"/>
      <c r="P795" s="17">
        <f>IF(OR($B795="",N($I795)=0),"",MIN(N($I795),SUMIFS(nrMK_Min,nrMK_Link,$B795,nrMK_Credit,"Yes",nrMK_PID,$E795,nrMK_Type,"Classroom")))</f>
        <v/>
      </c>
      <c r="Q795" s="17">
        <f>IF(OR($B795="",N($J795)=0),"",MIN(N($J795),SUMIFS(nrMK_Sess,nrMK_Link,$B795,nrMK_Credit,"Yes",nrMK_PID,$E795,nrMK_Type,"PT")))</f>
        <v/>
      </c>
      <c r="R795" s="17">
        <f>IF(OR($B795="",$N795&lt;&gt;"Yes"),"",IF($K795="Yes",IF(N($J795)&gt;0,N($J795)-N($Q795),""),IF(N($I795)&gt;0,N($I795)-N($P795),"")))</f>
        <v/>
      </c>
      <c r="S795" s="17">
        <f>IF(OR($B795="",$R795=""),"",IF($R795&lt;=0,IF(IFERROR(_xlfn.MAXIFS(nrMK_Date,nrMK_Link,$B795,nrMK_Credit,"Yes",nrMK_PID,$E795),0)=0,"CLEARED (makeup date missing)","CLEARED "&amp;TEXT(_xlfn.MAXIFS(nrMK_Date,nrMK_Link,$B795,nrMK_Credit,"Yes",nrMK_PID,$E795),"mm/dd")),"OPEN"))</f>
        <v/>
      </c>
      <c r="T795" s="17">
        <f>IF($D795="","",IF($C795="","NO DATE",IF($G795="","NO EVENT TYPE",IF(AND($I795&lt;&gt;"",NOT(ISNUMBER($I795))),"MINUTES NOT A NUMBER",IF(AND($J795&lt;&gt;"",NOT(ISNUMBER($J795))),"SESSIONS NOT A NUMBER",IF(OR(N($I795)&lt;0,N($J795)&lt;0),"NEGATIVE MINUTES/SESSIONS",IF(AND($K795="Yes",N($I795)&gt;0),"MINUTES ON A PT EVENT - not counted (PT counts sessions)",IF(AND($K795="No",N($J795)&gt;0),"SESSIONS ON A CLASSROOM EVENT - not counted (classroom counts minutes)",IF(AND($N795="Yes",$K795="Yes",N($J795)=0),"COUNTED PT EVENT WITH NO SESSIONS - dropped from the PT cap",IF(AND($N795="Yes",$K795="No",N($I795)=0),"COUNTED EVENT WITH NO MINUTES - dropped from the classroom cap","OK"))))))))))</f>
        <v/>
      </c>
    </row>
    <row r="796">
      <c r="B796" s="17">
        <f>IF($D796="","","A"&amp;TEXT(ROW()-5,"000"))</f>
        <v/>
      </c>
      <c r="C796" s="18" t="n"/>
      <c r="D796" s="16" t="n"/>
      <c r="E796" s="17">
        <f>IF($D796="","",IFERROR(INDEX(rngCadetPIDs,MATCH($D796,rngCadetNames,0)),"?"))</f>
        <v/>
      </c>
      <c r="F796" s="17">
        <f>IF($E796="","",IFERROR(INDEX(nrCadetAgency,MATCH($E796,rngCadetPIDs,0)),""))</f>
        <v/>
      </c>
      <c r="G796" s="16" t="n"/>
      <c r="H796" s="16" t="n"/>
      <c r="I796" s="16" t="n"/>
      <c r="J796" s="16" t="n"/>
      <c r="K796" s="17">
        <f>IF($G796="","",IF(OR($G796="PT Missed",$G796="PT Modified",$G796="PT Refused"),"Yes","No"))</f>
        <v/>
      </c>
      <c r="L796" s="16" t="n"/>
      <c r="M796" s="16" t="n"/>
      <c r="N796" s="17">
        <f>IF($D796="","",IF($M796="Excused","No",IF(AND($G796="PT Modified",$L796="Received"),"No","Yes")))</f>
        <v/>
      </c>
      <c r="O796" s="16" t="n"/>
      <c r="P796" s="17">
        <f>IF(OR($B796="",N($I796)=0),"",MIN(N($I796),SUMIFS(nrMK_Min,nrMK_Link,$B796,nrMK_Credit,"Yes",nrMK_PID,$E796,nrMK_Type,"Classroom")))</f>
        <v/>
      </c>
      <c r="Q796" s="17">
        <f>IF(OR($B796="",N($J796)=0),"",MIN(N($J796),SUMIFS(nrMK_Sess,nrMK_Link,$B796,nrMK_Credit,"Yes",nrMK_PID,$E796,nrMK_Type,"PT")))</f>
        <v/>
      </c>
      <c r="R796" s="17">
        <f>IF(OR($B796="",$N796&lt;&gt;"Yes"),"",IF($K796="Yes",IF(N($J796)&gt;0,N($J796)-N($Q796),""),IF(N($I796)&gt;0,N($I796)-N($P796),"")))</f>
        <v/>
      </c>
      <c r="S796" s="17">
        <f>IF(OR($B796="",$R796=""),"",IF($R796&lt;=0,IF(IFERROR(_xlfn.MAXIFS(nrMK_Date,nrMK_Link,$B796,nrMK_Credit,"Yes",nrMK_PID,$E796),0)=0,"CLEARED (makeup date missing)","CLEARED "&amp;TEXT(_xlfn.MAXIFS(nrMK_Date,nrMK_Link,$B796,nrMK_Credit,"Yes",nrMK_PID,$E796),"mm/dd")),"OPEN"))</f>
        <v/>
      </c>
      <c r="T796" s="17">
        <f>IF($D796="","",IF($C796="","NO DATE",IF($G796="","NO EVENT TYPE",IF(AND($I796&lt;&gt;"",NOT(ISNUMBER($I796))),"MINUTES NOT A NUMBER",IF(AND($J796&lt;&gt;"",NOT(ISNUMBER($J796))),"SESSIONS NOT A NUMBER",IF(OR(N($I796)&lt;0,N($J796)&lt;0),"NEGATIVE MINUTES/SESSIONS",IF(AND($K796="Yes",N($I796)&gt;0),"MINUTES ON A PT EVENT - not counted (PT counts sessions)",IF(AND($K796="No",N($J796)&gt;0),"SESSIONS ON A CLASSROOM EVENT - not counted (classroom counts minutes)",IF(AND($N796="Yes",$K796="Yes",N($J796)=0),"COUNTED PT EVENT WITH NO SESSIONS - dropped from the PT cap",IF(AND($N796="Yes",$K796="No",N($I796)=0),"COUNTED EVENT WITH NO MINUTES - dropped from the classroom cap","OK"))))))))))</f>
        <v/>
      </c>
    </row>
    <row r="797">
      <c r="B797" s="17">
        <f>IF($D797="","","A"&amp;TEXT(ROW()-5,"000"))</f>
        <v/>
      </c>
      <c r="C797" s="18" t="n"/>
      <c r="D797" s="16" t="n"/>
      <c r="E797" s="17">
        <f>IF($D797="","",IFERROR(INDEX(rngCadetPIDs,MATCH($D797,rngCadetNames,0)),"?"))</f>
        <v/>
      </c>
      <c r="F797" s="17">
        <f>IF($E797="","",IFERROR(INDEX(nrCadetAgency,MATCH($E797,rngCadetPIDs,0)),""))</f>
        <v/>
      </c>
      <c r="G797" s="16" t="n"/>
      <c r="H797" s="16" t="n"/>
      <c r="I797" s="16" t="n"/>
      <c r="J797" s="16" t="n"/>
      <c r="K797" s="17">
        <f>IF($G797="","",IF(OR($G797="PT Missed",$G797="PT Modified",$G797="PT Refused"),"Yes","No"))</f>
        <v/>
      </c>
      <c r="L797" s="16" t="n"/>
      <c r="M797" s="16" t="n"/>
      <c r="N797" s="17">
        <f>IF($D797="","",IF($M797="Excused","No",IF(AND($G797="PT Modified",$L797="Received"),"No","Yes")))</f>
        <v/>
      </c>
      <c r="O797" s="16" t="n"/>
      <c r="P797" s="17">
        <f>IF(OR($B797="",N($I797)=0),"",MIN(N($I797),SUMIFS(nrMK_Min,nrMK_Link,$B797,nrMK_Credit,"Yes",nrMK_PID,$E797,nrMK_Type,"Classroom")))</f>
        <v/>
      </c>
      <c r="Q797" s="17">
        <f>IF(OR($B797="",N($J797)=0),"",MIN(N($J797),SUMIFS(nrMK_Sess,nrMK_Link,$B797,nrMK_Credit,"Yes",nrMK_PID,$E797,nrMK_Type,"PT")))</f>
        <v/>
      </c>
      <c r="R797" s="17">
        <f>IF(OR($B797="",$N797&lt;&gt;"Yes"),"",IF($K797="Yes",IF(N($J797)&gt;0,N($J797)-N($Q797),""),IF(N($I797)&gt;0,N($I797)-N($P797),"")))</f>
        <v/>
      </c>
      <c r="S797" s="17">
        <f>IF(OR($B797="",$R797=""),"",IF($R797&lt;=0,IF(IFERROR(_xlfn.MAXIFS(nrMK_Date,nrMK_Link,$B797,nrMK_Credit,"Yes",nrMK_PID,$E797),0)=0,"CLEARED (makeup date missing)","CLEARED "&amp;TEXT(_xlfn.MAXIFS(nrMK_Date,nrMK_Link,$B797,nrMK_Credit,"Yes",nrMK_PID,$E797),"mm/dd")),"OPEN"))</f>
        <v/>
      </c>
      <c r="T797" s="17">
        <f>IF($D797="","",IF($C797="","NO DATE",IF($G797="","NO EVENT TYPE",IF(AND($I797&lt;&gt;"",NOT(ISNUMBER($I797))),"MINUTES NOT A NUMBER",IF(AND($J797&lt;&gt;"",NOT(ISNUMBER($J797))),"SESSIONS NOT A NUMBER",IF(OR(N($I797)&lt;0,N($J797)&lt;0),"NEGATIVE MINUTES/SESSIONS",IF(AND($K797="Yes",N($I797)&gt;0),"MINUTES ON A PT EVENT - not counted (PT counts sessions)",IF(AND($K797="No",N($J797)&gt;0),"SESSIONS ON A CLASSROOM EVENT - not counted (classroom counts minutes)",IF(AND($N797="Yes",$K797="Yes",N($J797)=0),"COUNTED PT EVENT WITH NO SESSIONS - dropped from the PT cap",IF(AND($N797="Yes",$K797="No",N($I797)=0),"COUNTED EVENT WITH NO MINUTES - dropped from the classroom cap","OK"))))))))))</f>
        <v/>
      </c>
    </row>
    <row r="798">
      <c r="B798" s="17">
        <f>IF($D798="","","A"&amp;TEXT(ROW()-5,"000"))</f>
        <v/>
      </c>
      <c r="C798" s="18" t="n"/>
      <c r="D798" s="16" t="n"/>
      <c r="E798" s="17">
        <f>IF($D798="","",IFERROR(INDEX(rngCadetPIDs,MATCH($D798,rngCadetNames,0)),"?"))</f>
        <v/>
      </c>
      <c r="F798" s="17">
        <f>IF($E798="","",IFERROR(INDEX(nrCadetAgency,MATCH($E798,rngCadetPIDs,0)),""))</f>
        <v/>
      </c>
      <c r="G798" s="16" t="n"/>
      <c r="H798" s="16" t="n"/>
      <c r="I798" s="16" t="n"/>
      <c r="J798" s="16" t="n"/>
      <c r="K798" s="17">
        <f>IF($G798="","",IF(OR($G798="PT Missed",$G798="PT Modified",$G798="PT Refused"),"Yes","No"))</f>
        <v/>
      </c>
      <c r="L798" s="16" t="n"/>
      <c r="M798" s="16" t="n"/>
      <c r="N798" s="17">
        <f>IF($D798="","",IF($M798="Excused","No",IF(AND($G798="PT Modified",$L798="Received"),"No","Yes")))</f>
        <v/>
      </c>
      <c r="O798" s="16" t="n"/>
      <c r="P798" s="17">
        <f>IF(OR($B798="",N($I798)=0),"",MIN(N($I798),SUMIFS(nrMK_Min,nrMK_Link,$B798,nrMK_Credit,"Yes",nrMK_PID,$E798,nrMK_Type,"Classroom")))</f>
        <v/>
      </c>
      <c r="Q798" s="17">
        <f>IF(OR($B798="",N($J798)=0),"",MIN(N($J798),SUMIFS(nrMK_Sess,nrMK_Link,$B798,nrMK_Credit,"Yes",nrMK_PID,$E798,nrMK_Type,"PT")))</f>
        <v/>
      </c>
      <c r="R798" s="17">
        <f>IF(OR($B798="",$N798&lt;&gt;"Yes"),"",IF($K798="Yes",IF(N($J798)&gt;0,N($J798)-N($Q798),""),IF(N($I798)&gt;0,N($I798)-N($P798),"")))</f>
        <v/>
      </c>
      <c r="S798" s="17">
        <f>IF(OR($B798="",$R798=""),"",IF($R798&lt;=0,IF(IFERROR(_xlfn.MAXIFS(nrMK_Date,nrMK_Link,$B798,nrMK_Credit,"Yes",nrMK_PID,$E798),0)=0,"CLEARED (makeup date missing)","CLEARED "&amp;TEXT(_xlfn.MAXIFS(nrMK_Date,nrMK_Link,$B798,nrMK_Credit,"Yes",nrMK_PID,$E798),"mm/dd")),"OPEN"))</f>
        <v/>
      </c>
      <c r="T798" s="17">
        <f>IF($D798="","",IF($C798="","NO DATE",IF($G798="","NO EVENT TYPE",IF(AND($I798&lt;&gt;"",NOT(ISNUMBER($I798))),"MINUTES NOT A NUMBER",IF(AND($J798&lt;&gt;"",NOT(ISNUMBER($J798))),"SESSIONS NOT A NUMBER",IF(OR(N($I798)&lt;0,N($J798)&lt;0),"NEGATIVE MINUTES/SESSIONS",IF(AND($K798="Yes",N($I798)&gt;0),"MINUTES ON A PT EVENT - not counted (PT counts sessions)",IF(AND($K798="No",N($J798)&gt;0),"SESSIONS ON A CLASSROOM EVENT - not counted (classroom counts minutes)",IF(AND($N798="Yes",$K798="Yes",N($J798)=0),"COUNTED PT EVENT WITH NO SESSIONS - dropped from the PT cap",IF(AND($N798="Yes",$K798="No",N($I798)=0),"COUNTED EVENT WITH NO MINUTES - dropped from the classroom cap","OK"))))))))))</f>
        <v/>
      </c>
    </row>
    <row r="799">
      <c r="B799" s="17">
        <f>IF($D799="","","A"&amp;TEXT(ROW()-5,"000"))</f>
        <v/>
      </c>
      <c r="C799" s="18" t="n"/>
      <c r="D799" s="16" t="n"/>
      <c r="E799" s="17">
        <f>IF($D799="","",IFERROR(INDEX(rngCadetPIDs,MATCH($D799,rngCadetNames,0)),"?"))</f>
        <v/>
      </c>
      <c r="F799" s="17">
        <f>IF($E799="","",IFERROR(INDEX(nrCadetAgency,MATCH($E799,rngCadetPIDs,0)),""))</f>
        <v/>
      </c>
      <c r="G799" s="16" t="n"/>
      <c r="H799" s="16" t="n"/>
      <c r="I799" s="16" t="n"/>
      <c r="J799" s="16" t="n"/>
      <c r="K799" s="17">
        <f>IF($G799="","",IF(OR($G799="PT Missed",$G799="PT Modified",$G799="PT Refused"),"Yes","No"))</f>
        <v/>
      </c>
      <c r="L799" s="16" t="n"/>
      <c r="M799" s="16" t="n"/>
      <c r="N799" s="17">
        <f>IF($D799="","",IF($M799="Excused","No",IF(AND($G799="PT Modified",$L799="Received"),"No","Yes")))</f>
        <v/>
      </c>
      <c r="O799" s="16" t="n"/>
      <c r="P799" s="17">
        <f>IF(OR($B799="",N($I799)=0),"",MIN(N($I799),SUMIFS(nrMK_Min,nrMK_Link,$B799,nrMK_Credit,"Yes",nrMK_PID,$E799,nrMK_Type,"Classroom")))</f>
        <v/>
      </c>
      <c r="Q799" s="17">
        <f>IF(OR($B799="",N($J799)=0),"",MIN(N($J799),SUMIFS(nrMK_Sess,nrMK_Link,$B799,nrMK_Credit,"Yes",nrMK_PID,$E799,nrMK_Type,"PT")))</f>
        <v/>
      </c>
      <c r="R799" s="17">
        <f>IF(OR($B799="",$N799&lt;&gt;"Yes"),"",IF($K799="Yes",IF(N($J799)&gt;0,N($J799)-N($Q799),""),IF(N($I799)&gt;0,N($I799)-N($P799),"")))</f>
        <v/>
      </c>
      <c r="S799" s="17">
        <f>IF(OR($B799="",$R799=""),"",IF($R799&lt;=0,IF(IFERROR(_xlfn.MAXIFS(nrMK_Date,nrMK_Link,$B799,nrMK_Credit,"Yes",nrMK_PID,$E799),0)=0,"CLEARED (makeup date missing)","CLEARED "&amp;TEXT(_xlfn.MAXIFS(nrMK_Date,nrMK_Link,$B799,nrMK_Credit,"Yes",nrMK_PID,$E799),"mm/dd")),"OPEN"))</f>
        <v/>
      </c>
      <c r="T799" s="17">
        <f>IF($D799="","",IF($C799="","NO DATE",IF($G799="","NO EVENT TYPE",IF(AND($I799&lt;&gt;"",NOT(ISNUMBER($I799))),"MINUTES NOT A NUMBER",IF(AND($J799&lt;&gt;"",NOT(ISNUMBER($J799))),"SESSIONS NOT A NUMBER",IF(OR(N($I799)&lt;0,N($J799)&lt;0),"NEGATIVE MINUTES/SESSIONS",IF(AND($K799="Yes",N($I799)&gt;0),"MINUTES ON A PT EVENT - not counted (PT counts sessions)",IF(AND($K799="No",N($J799)&gt;0),"SESSIONS ON A CLASSROOM EVENT - not counted (classroom counts minutes)",IF(AND($N799="Yes",$K799="Yes",N($J799)=0),"COUNTED PT EVENT WITH NO SESSIONS - dropped from the PT cap",IF(AND($N799="Yes",$K799="No",N($I799)=0),"COUNTED EVENT WITH NO MINUTES - dropped from the classroom cap","OK"))))))))))</f>
        <v/>
      </c>
    </row>
    <row r="800">
      <c r="B800" s="17">
        <f>IF($D800="","","A"&amp;TEXT(ROW()-5,"000"))</f>
        <v/>
      </c>
      <c r="C800" s="18" t="n"/>
      <c r="D800" s="16" t="n"/>
      <c r="E800" s="17">
        <f>IF($D800="","",IFERROR(INDEX(rngCadetPIDs,MATCH($D800,rngCadetNames,0)),"?"))</f>
        <v/>
      </c>
      <c r="F800" s="17">
        <f>IF($E800="","",IFERROR(INDEX(nrCadetAgency,MATCH($E800,rngCadetPIDs,0)),""))</f>
        <v/>
      </c>
      <c r="G800" s="16" t="n"/>
      <c r="H800" s="16" t="n"/>
      <c r="I800" s="16" t="n"/>
      <c r="J800" s="16" t="n"/>
      <c r="K800" s="17">
        <f>IF($G800="","",IF(OR($G800="PT Missed",$G800="PT Modified",$G800="PT Refused"),"Yes","No"))</f>
        <v/>
      </c>
      <c r="L800" s="16" t="n"/>
      <c r="M800" s="16" t="n"/>
      <c r="N800" s="17">
        <f>IF($D800="","",IF($M800="Excused","No",IF(AND($G800="PT Modified",$L800="Received"),"No","Yes")))</f>
        <v/>
      </c>
      <c r="O800" s="16" t="n"/>
      <c r="P800" s="17">
        <f>IF(OR($B800="",N($I800)=0),"",MIN(N($I800),SUMIFS(nrMK_Min,nrMK_Link,$B800,nrMK_Credit,"Yes",nrMK_PID,$E800,nrMK_Type,"Classroom")))</f>
        <v/>
      </c>
      <c r="Q800" s="17">
        <f>IF(OR($B800="",N($J800)=0),"",MIN(N($J800),SUMIFS(nrMK_Sess,nrMK_Link,$B800,nrMK_Credit,"Yes",nrMK_PID,$E800,nrMK_Type,"PT")))</f>
        <v/>
      </c>
      <c r="R800" s="17">
        <f>IF(OR($B800="",$N800&lt;&gt;"Yes"),"",IF($K800="Yes",IF(N($J800)&gt;0,N($J800)-N($Q800),""),IF(N($I800)&gt;0,N($I800)-N($P800),"")))</f>
        <v/>
      </c>
      <c r="S800" s="17">
        <f>IF(OR($B800="",$R800=""),"",IF($R800&lt;=0,IF(IFERROR(_xlfn.MAXIFS(nrMK_Date,nrMK_Link,$B800,nrMK_Credit,"Yes",nrMK_PID,$E800),0)=0,"CLEARED (makeup date missing)","CLEARED "&amp;TEXT(_xlfn.MAXIFS(nrMK_Date,nrMK_Link,$B800,nrMK_Credit,"Yes",nrMK_PID,$E800),"mm/dd")),"OPEN"))</f>
        <v/>
      </c>
      <c r="T800" s="17">
        <f>IF($D800="","",IF($C800="","NO DATE",IF($G800="","NO EVENT TYPE",IF(AND($I800&lt;&gt;"",NOT(ISNUMBER($I800))),"MINUTES NOT A NUMBER",IF(AND($J800&lt;&gt;"",NOT(ISNUMBER($J800))),"SESSIONS NOT A NUMBER",IF(OR(N($I800)&lt;0,N($J800)&lt;0),"NEGATIVE MINUTES/SESSIONS",IF(AND($K800="Yes",N($I800)&gt;0),"MINUTES ON A PT EVENT - not counted (PT counts sessions)",IF(AND($K800="No",N($J800)&gt;0),"SESSIONS ON A CLASSROOM EVENT - not counted (classroom counts minutes)",IF(AND($N800="Yes",$K800="Yes",N($J800)=0),"COUNTED PT EVENT WITH NO SESSIONS - dropped from the PT cap",IF(AND($N800="Yes",$K800="No",N($I800)=0),"COUNTED EVENT WITH NO MINUTES - dropped from the classroom cap","OK"))))))))))</f>
        <v/>
      </c>
    </row>
    <row r="801">
      <c r="B801" s="17">
        <f>IF($D801="","","A"&amp;TEXT(ROW()-5,"000"))</f>
        <v/>
      </c>
      <c r="C801" s="18" t="n"/>
      <c r="D801" s="16" t="n"/>
      <c r="E801" s="17">
        <f>IF($D801="","",IFERROR(INDEX(rngCadetPIDs,MATCH($D801,rngCadetNames,0)),"?"))</f>
        <v/>
      </c>
      <c r="F801" s="17">
        <f>IF($E801="","",IFERROR(INDEX(nrCadetAgency,MATCH($E801,rngCadetPIDs,0)),""))</f>
        <v/>
      </c>
      <c r="G801" s="16" t="n"/>
      <c r="H801" s="16" t="n"/>
      <c r="I801" s="16" t="n"/>
      <c r="J801" s="16" t="n"/>
      <c r="K801" s="17">
        <f>IF($G801="","",IF(OR($G801="PT Missed",$G801="PT Modified",$G801="PT Refused"),"Yes","No"))</f>
        <v/>
      </c>
      <c r="L801" s="16" t="n"/>
      <c r="M801" s="16" t="n"/>
      <c r="N801" s="17">
        <f>IF($D801="","",IF($M801="Excused","No",IF(AND($G801="PT Modified",$L801="Received"),"No","Yes")))</f>
        <v/>
      </c>
      <c r="O801" s="16" t="n"/>
      <c r="P801" s="17">
        <f>IF(OR($B801="",N($I801)=0),"",MIN(N($I801),SUMIFS(nrMK_Min,nrMK_Link,$B801,nrMK_Credit,"Yes",nrMK_PID,$E801,nrMK_Type,"Classroom")))</f>
        <v/>
      </c>
      <c r="Q801" s="17">
        <f>IF(OR($B801="",N($J801)=0),"",MIN(N($J801),SUMIFS(nrMK_Sess,nrMK_Link,$B801,nrMK_Credit,"Yes",nrMK_PID,$E801,nrMK_Type,"PT")))</f>
        <v/>
      </c>
      <c r="R801" s="17">
        <f>IF(OR($B801="",$N801&lt;&gt;"Yes"),"",IF($K801="Yes",IF(N($J801)&gt;0,N($J801)-N($Q801),""),IF(N($I801)&gt;0,N($I801)-N($P801),"")))</f>
        <v/>
      </c>
      <c r="S801" s="17">
        <f>IF(OR($B801="",$R801=""),"",IF($R801&lt;=0,IF(IFERROR(_xlfn.MAXIFS(nrMK_Date,nrMK_Link,$B801,nrMK_Credit,"Yes",nrMK_PID,$E801),0)=0,"CLEARED (makeup date missing)","CLEARED "&amp;TEXT(_xlfn.MAXIFS(nrMK_Date,nrMK_Link,$B801,nrMK_Credit,"Yes",nrMK_PID,$E801),"mm/dd")),"OPEN"))</f>
        <v/>
      </c>
      <c r="T801" s="17">
        <f>IF($D801="","",IF($C801="","NO DATE",IF($G801="","NO EVENT TYPE",IF(AND($I801&lt;&gt;"",NOT(ISNUMBER($I801))),"MINUTES NOT A NUMBER",IF(AND($J801&lt;&gt;"",NOT(ISNUMBER($J801))),"SESSIONS NOT A NUMBER",IF(OR(N($I801)&lt;0,N($J801)&lt;0),"NEGATIVE MINUTES/SESSIONS",IF(AND($K801="Yes",N($I801)&gt;0),"MINUTES ON A PT EVENT - not counted (PT counts sessions)",IF(AND($K801="No",N($J801)&gt;0),"SESSIONS ON A CLASSROOM EVENT - not counted (classroom counts minutes)",IF(AND($N801="Yes",$K801="Yes",N($J801)=0),"COUNTED PT EVENT WITH NO SESSIONS - dropped from the PT cap",IF(AND($N801="Yes",$K801="No",N($I801)=0),"COUNTED EVENT WITH NO MINUTES - dropped from the classroom cap","OK"))))))))))</f>
        <v/>
      </c>
    </row>
    <row r="802">
      <c r="B802" s="17">
        <f>IF($D802="","","A"&amp;TEXT(ROW()-5,"000"))</f>
        <v/>
      </c>
      <c r="C802" s="18" t="n"/>
      <c r="D802" s="16" t="n"/>
      <c r="E802" s="17">
        <f>IF($D802="","",IFERROR(INDEX(rngCadetPIDs,MATCH($D802,rngCadetNames,0)),"?"))</f>
        <v/>
      </c>
      <c r="F802" s="17">
        <f>IF($E802="","",IFERROR(INDEX(nrCadetAgency,MATCH($E802,rngCadetPIDs,0)),""))</f>
        <v/>
      </c>
      <c r="G802" s="16" t="n"/>
      <c r="H802" s="16" t="n"/>
      <c r="I802" s="16" t="n"/>
      <c r="J802" s="16" t="n"/>
      <c r="K802" s="17">
        <f>IF($G802="","",IF(OR($G802="PT Missed",$G802="PT Modified",$G802="PT Refused"),"Yes","No"))</f>
        <v/>
      </c>
      <c r="L802" s="16" t="n"/>
      <c r="M802" s="16" t="n"/>
      <c r="N802" s="17">
        <f>IF($D802="","",IF($M802="Excused","No",IF(AND($G802="PT Modified",$L802="Received"),"No","Yes")))</f>
        <v/>
      </c>
      <c r="O802" s="16" t="n"/>
      <c r="P802" s="17">
        <f>IF(OR($B802="",N($I802)=0),"",MIN(N($I802),SUMIFS(nrMK_Min,nrMK_Link,$B802,nrMK_Credit,"Yes",nrMK_PID,$E802,nrMK_Type,"Classroom")))</f>
        <v/>
      </c>
      <c r="Q802" s="17">
        <f>IF(OR($B802="",N($J802)=0),"",MIN(N($J802),SUMIFS(nrMK_Sess,nrMK_Link,$B802,nrMK_Credit,"Yes",nrMK_PID,$E802,nrMK_Type,"PT")))</f>
        <v/>
      </c>
      <c r="R802" s="17">
        <f>IF(OR($B802="",$N802&lt;&gt;"Yes"),"",IF($K802="Yes",IF(N($J802)&gt;0,N($J802)-N($Q802),""),IF(N($I802)&gt;0,N($I802)-N($P802),"")))</f>
        <v/>
      </c>
      <c r="S802" s="17">
        <f>IF(OR($B802="",$R802=""),"",IF($R802&lt;=0,IF(IFERROR(_xlfn.MAXIFS(nrMK_Date,nrMK_Link,$B802,nrMK_Credit,"Yes",nrMK_PID,$E802),0)=0,"CLEARED (makeup date missing)","CLEARED "&amp;TEXT(_xlfn.MAXIFS(nrMK_Date,nrMK_Link,$B802,nrMK_Credit,"Yes",nrMK_PID,$E802),"mm/dd")),"OPEN"))</f>
        <v/>
      </c>
      <c r="T802" s="17">
        <f>IF($D802="","",IF($C802="","NO DATE",IF($G802="","NO EVENT TYPE",IF(AND($I802&lt;&gt;"",NOT(ISNUMBER($I802))),"MINUTES NOT A NUMBER",IF(AND($J802&lt;&gt;"",NOT(ISNUMBER($J802))),"SESSIONS NOT A NUMBER",IF(OR(N($I802)&lt;0,N($J802)&lt;0),"NEGATIVE MINUTES/SESSIONS",IF(AND($K802="Yes",N($I802)&gt;0),"MINUTES ON A PT EVENT - not counted (PT counts sessions)",IF(AND($K802="No",N($J802)&gt;0),"SESSIONS ON A CLASSROOM EVENT - not counted (classroom counts minutes)",IF(AND($N802="Yes",$K802="Yes",N($J802)=0),"COUNTED PT EVENT WITH NO SESSIONS - dropped from the PT cap",IF(AND($N802="Yes",$K802="No",N($I802)=0),"COUNTED EVENT WITH NO MINUTES - dropped from the classroom cap","OK"))))))))))</f>
        <v/>
      </c>
    </row>
    <row r="803">
      <c r="B803" s="17">
        <f>IF($D803="","","A"&amp;TEXT(ROW()-5,"000"))</f>
        <v/>
      </c>
      <c r="C803" s="18" t="n"/>
      <c r="D803" s="16" t="n"/>
      <c r="E803" s="17">
        <f>IF($D803="","",IFERROR(INDEX(rngCadetPIDs,MATCH($D803,rngCadetNames,0)),"?"))</f>
        <v/>
      </c>
      <c r="F803" s="17">
        <f>IF($E803="","",IFERROR(INDEX(nrCadetAgency,MATCH($E803,rngCadetPIDs,0)),""))</f>
        <v/>
      </c>
      <c r="G803" s="16" t="n"/>
      <c r="H803" s="16" t="n"/>
      <c r="I803" s="16" t="n"/>
      <c r="J803" s="16" t="n"/>
      <c r="K803" s="17">
        <f>IF($G803="","",IF(OR($G803="PT Missed",$G803="PT Modified",$G803="PT Refused"),"Yes","No"))</f>
        <v/>
      </c>
      <c r="L803" s="16" t="n"/>
      <c r="M803" s="16" t="n"/>
      <c r="N803" s="17">
        <f>IF($D803="","",IF($M803="Excused","No",IF(AND($G803="PT Modified",$L803="Received"),"No","Yes")))</f>
        <v/>
      </c>
      <c r="O803" s="16" t="n"/>
      <c r="P803" s="17">
        <f>IF(OR($B803="",N($I803)=0),"",MIN(N($I803),SUMIFS(nrMK_Min,nrMK_Link,$B803,nrMK_Credit,"Yes",nrMK_PID,$E803,nrMK_Type,"Classroom")))</f>
        <v/>
      </c>
      <c r="Q803" s="17">
        <f>IF(OR($B803="",N($J803)=0),"",MIN(N($J803),SUMIFS(nrMK_Sess,nrMK_Link,$B803,nrMK_Credit,"Yes",nrMK_PID,$E803,nrMK_Type,"PT")))</f>
        <v/>
      </c>
      <c r="R803" s="17">
        <f>IF(OR($B803="",$N803&lt;&gt;"Yes"),"",IF($K803="Yes",IF(N($J803)&gt;0,N($J803)-N($Q803),""),IF(N($I803)&gt;0,N($I803)-N($P803),"")))</f>
        <v/>
      </c>
      <c r="S803" s="17">
        <f>IF(OR($B803="",$R803=""),"",IF($R803&lt;=0,IF(IFERROR(_xlfn.MAXIFS(nrMK_Date,nrMK_Link,$B803,nrMK_Credit,"Yes",nrMK_PID,$E803),0)=0,"CLEARED (makeup date missing)","CLEARED "&amp;TEXT(_xlfn.MAXIFS(nrMK_Date,nrMK_Link,$B803,nrMK_Credit,"Yes",nrMK_PID,$E803),"mm/dd")),"OPEN"))</f>
        <v/>
      </c>
      <c r="T803" s="17">
        <f>IF($D803="","",IF($C803="","NO DATE",IF($G803="","NO EVENT TYPE",IF(AND($I803&lt;&gt;"",NOT(ISNUMBER($I803))),"MINUTES NOT A NUMBER",IF(AND($J803&lt;&gt;"",NOT(ISNUMBER($J803))),"SESSIONS NOT A NUMBER",IF(OR(N($I803)&lt;0,N($J803)&lt;0),"NEGATIVE MINUTES/SESSIONS",IF(AND($K803="Yes",N($I803)&gt;0),"MINUTES ON A PT EVENT - not counted (PT counts sessions)",IF(AND($K803="No",N($J803)&gt;0),"SESSIONS ON A CLASSROOM EVENT - not counted (classroom counts minutes)",IF(AND($N803="Yes",$K803="Yes",N($J803)=0),"COUNTED PT EVENT WITH NO SESSIONS - dropped from the PT cap",IF(AND($N803="Yes",$K803="No",N($I803)=0),"COUNTED EVENT WITH NO MINUTES - dropped from the classroom cap","OK"))))))))))</f>
        <v/>
      </c>
    </row>
    <row r="804">
      <c r="B804" s="17">
        <f>IF($D804="","","A"&amp;TEXT(ROW()-5,"000"))</f>
        <v/>
      </c>
      <c r="C804" s="18" t="n"/>
      <c r="D804" s="16" t="n"/>
      <c r="E804" s="17">
        <f>IF($D804="","",IFERROR(INDEX(rngCadetPIDs,MATCH($D804,rngCadetNames,0)),"?"))</f>
        <v/>
      </c>
      <c r="F804" s="17">
        <f>IF($E804="","",IFERROR(INDEX(nrCadetAgency,MATCH($E804,rngCadetPIDs,0)),""))</f>
        <v/>
      </c>
      <c r="G804" s="16" t="n"/>
      <c r="H804" s="16" t="n"/>
      <c r="I804" s="16" t="n"/>
      <c r="J804" s="16" t="n"/>
      <c r="K804" s="17">
        <f>IF($G804="","",IF(OR($G804="PT Missed",$G804="PT Modified",$G804="PT Refused"),"Yes","No"))</f>
        <v/>
      </c>
      <c r="L804" s="16" t="n"/>
      <c r="M804" s="16" t="n"/>
      <c r="N804" s="17">
        <f>IF($D804="","",IF($M804="Excused","No",IF(AND($G804="PT Modified",$L804="Received"),"No","Yes")))</f>
        <v/>
      </c>
      <c r="O804" s="16" t="n"/>
      <c r="P804" s="17">
        <f>IF(OR($B804="",N($I804)=0),"",MIN(N($I804),SUMIFS(nrMK_Min,nrMK_Link,$B804,nrMK_Credit,"Yes",nrMK_PID,$E804,nrMK_Type,"Classroom")))</f>
        <v/>
      </c>
      <c r="Q804" s="17">
        <f>IF(OR($B804="",N($J804)=0),"",MIN(N($J804),SUMIFS(nrMK_Sess,nrMK_Link,$B804,nrMK_Credit,"Yes",nrMK_PID,$E804,nrMK_Type,"PT")))</f>
        <v/>
      </c>
      <c r="R804" s="17">
        <f>IF(OR($B804="",$N804&lt;&gt;"Yes"),"",IF($K804="Yes",IF(N($J804)&gt;0,N($J804)-N($Q804),""),IF(N($I804)&gt;0,N($I804)-N($P804),"")))</f>
        <v/>
      </c>
      <c r="S804" s="17">
        <f>IF(OR($B804="",$R804=""),"",IF($R804&lt;=0,IF(IFERROR(_xlfn.MAXIFS(nrMK_Date,nrMK_Link,$B804,nrMK_Credit,"Yes",nrMK_PID,$E804),0)=0,"CLEARED (makeup date missing)","CLEARED "&amp;TEXT(_xlfn.MAXIFS(nrMK_Date,nrMK_Link,$B804,nrMK_Credit,"Yes",nrMK_PID,$E804),"mm/dd")),"OPEN"))</f>
        <v/>
      </c>
      <c r="T804" s="17">
        <f>IF($D804="","",IF($C804="","NO DATE",IF($G804="","NO EVENT TYPE",IF(AND($I804&lt;&gt;"",NOT(ISNUMBER($I804))),"MINUTES NOT A NUMBER",IF(AND($J804&lt;&gt;"",NOT(ISNUMBER($J804))),"SESSIONS NOT A NUMBER",IF(OR(N($I804)&lt;0,N($J804)&lt;0),"NEGATIVE MINUTES/SESSIONS",IF(AND($K804="Yes",N($I804)&gt;0),"MINUTES ON A PT EVENT - not counted (PT counts sessions)",IF(AND($K804="No",N($J804)&gt;0),"SESSIONS ON A CLASSROOM EVENT - not counted (classroom counts minutes)",IF(AND($N804="Yes",$K804="Yes",N($J804)=0),"COUNTED PT EVENT WITH NO SESSIONS - dropped from the PT cap",IF(AND($N804="Yes",$K804="No",N($I804)=0),"COUNTED EVENT WITH NO MINUTES - dropped from the classroom cap","OK"))))))))))</f>
        <v/>
      </c>
    </row>
    <row r="805">
      <c r="B805" s="17">
        <f>IF($D805="","","A"&amp;TEXT(ROW()-5,"000"))</f>
        <v/>
      </c>
      <c r="C805" s="18" t="n"/>
      <c r="D805" s="16" t="n"/>
      <c r="E805" s="17">
        <f>IF($D805="","",IFERROR(INDEX(rngCadetPIDs,MATCH($D805,rngCadetNames,0)),"?"))</f>
        <v/>
      </c>
      <c r="F805" s="17">
        <f>IF($E805="","",IFERROR(INDEX(nrCadetAgency,MATCH($E805,rngCadetPIDs,0)),""))</f>
        <v/>
      </c>
      <c r="G805" s="16" t="n"/>
      <c r="H805" s="16" t="n"/>
      <c r="I805" s="16" t="n"/>
      <c r="J805" s="16" t="n"/>
      <c r="K805" s="17">
        <f>IF($G805="","",IF(OR($G805="PT Missed",$G805="PT Modified",$G805="PT Refused"),"Yes","No"))</f>
        <v/>
      </c>
      <c r="L805" s="16" t="n"/>
      <c r="M805" s="16" t="n"/>
      <c r="N805" s="17">
        <f>IF($D805="","",IF($M805="Excused","No",IF(AND($G805="PT Modified",$L805="Received"),"No","Yes")))</f>
        <v/>
      </c>
      <c r="O805" s="16" t="n"/>
      <c r="P805" s="17">
        <f>IF(OR($B805="",N($I805)=0),"",MIN(N($I805),SUMIFS(nrMK_Min,nrMK_Link,$B805,nrMK_Credit,"Yes",nrMK_PID,$E805,nrMK_Type,"Classroom")))</f>
        <v/>
      </c>
      <c r="Q805" s="17">
        <f>IF(OR($B805="",N($J805)=0),"",MIN(N($J805),SUMIFS(nrMK_Sess,nrMK_Link,$B805,nrMK_Credit,"Yes",nrMK_PID,$E805,nrMK_Type,"PT")))</f>
        <v/>
      </c>
      <c r="R805" s="17">
        <f>IF(OR($B805="",$N805&lt;&gt;"Yes"),"",IF($K805="Yes",IF(N($J805)&gt;0,N($J805)-N($Q805),""),IF(N($I805)&gt;0,N($I805)-N($P805),"")))</f>
        <v/>
      </c>
      <c r="S805" s="17">
        <f>IF(OR($B805="",$R805=""),"",IF($R805&lt;=0,IF(IFERROR(_xlfn.MAXIFS(nrMK_Date,nrMK_Link,$B805,nrMK_Credit,"Yes",nrMK_PID,$E805),0)=0,"CLEARED (makeup date missing)","CLEARED "&amp;TEXT(_xlfn.MAXIFS(nrMK_Date,nrMK_Link,$B805,nrMK_Credit,"Yes",nrMK_PID,$E805),"mm/dd")),"OPEN"))</f>
        <v/>
      </c>
      <c r="T805" s="17">
        <f>IF($D805="","",IF($C805="","NO DATE",IF($G805="","NO EVENT TYPE",IF(AND($I805&lt;&gt;"",NOT(ISNUMBER($I805))),"MINUTES NOT A NUMBER",IF(AND($J805&lt;&gt;"",NOT(ISNUMBER($J805))),"SESSIONS NOT A NUMBER",IF(OR(N($I805)&lt;0,N($J805)&lt;0),"NEGATIVE MINUTES/SESSIONS",IF(AND($K805="Yes",N($I805)&gt;0),"MINUTES ON A PT EVENT - not counted (PT counts sessions)",IF(AND($K805="No",N($J805)&gt;0),"SESSIONS ON A CLASSROOM EVENT - not counted (classroom counts minutes)",IF(AND($N805="Yes",$K805="Yes",N($J805)=0),"COUNTED PT EVENT WITH NO SESSIONS - dropped from the PT cap",IF(AND($N805="Yes",$K805="No",N($I805)=0),"COUNTED EVENT WITH NO MINUTES - dropped from the classroom cap","OK"))))))))))</f>
        <v/>
      </c>
    </row>
  </sheetData>
  <sheetProtection selectLockedCells="0" selectUnlockedCells="0" sheet="1" objects="0" insertRows="1" insertHyperlinks="1" autoFilter="0" scenarios="0" formatColumns="1" deleteColumns="1" insertColumns="1" pivotTables="1" deleteRows="1" formatCells="1" formatRows="1" sort="1" password="B4BB"/>
  <autoFilter ref="B5:T5"/>
  <conditionalFormatting sqref="S6:S805">
    <cfRule type="expression" priority="1" dxfId="0">
      <formula>$S6="OPEN"</formula>
    </cfRule>
    <cfRule type="expression" priority="2" dxfId="0">
      <formula>$S6="CLEARED (makeup date missing)"</formula>
    </cfRule>
    <cfRule type="expression" priority="3" dxfId="3">
      <formula>LEFT($S6,7)="CLEARED"</formula>
    </cfRule>
  </conditionalFormatting>
  <conditionalFormatting sqref="T6:T805">
    <cfRule type="expression" priority="4" dxfId="0">
      <formula>AND($T6&lt;&gt;"",$T6&lt;&gt;"OK")</formula>
    </cfRule>
  </conditionalFormatting>
  <dataValidations count="5">
    <dataValidation sqref="D6:D805" showDropDown="0" showInputMessage="0" showErrorMessage="1" allowBlank="1" type="list">
      <formula1>=rngCadetNames</formula1>
    </dataValidation>
    <dataValidation sqref="G6:G805" showDropDown="0" showInputMessage="0" showErrorMessage="1" allowBlank="1" type="list">
      <formula1>=lstAttendanceEvent</formula1>
    </dataValidation>
    <dataValidation sqref="H6:H805" showDropDown="0" showInputMessage="0" showErrorMessage="1" allowBlank="1" type="list">
      <formula1>=lstReason</formula1>
    </dataValidation>
    <dataValidation sqref="L6:L805" showDropDown="0" showInputMessage="0" showErrorMessage="1" allowBlank="1" type="list">
      <formula1>=lstDocumentation</formula1>
    </dataValidation>
    <dataValidation sqref="M6:M805" showDropDown="0" showInputMessage="0" showErrorMessage="1" allowBlank="1" type="list">
      <formula1>=lstExcused</formula1>
    </dataValidation>
  </dataValidations>
  <pageMargins left="0.75" right="0.75" top="1" bottom="1" header="0.5" footer="0.5"/>
</worksheet>
</file>

<file path=xl/worksheets/sheet9.xml><?xml version="1.0" encoding="utf-8"?>
<worksheet xmlns="http://schemas.openxmlformats.org/spreadsheetml/2006/main">
  <sheetPr>
    <tabColor rgb="002E75B6"/>
    <outlinePr summaryBelow="1" summaryRight="1"/>
    <pageSetUpPr/>
  </sheetPr>
  <dimension ref="B1:N505"/>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11" customWidth="1" min="3" max="3"/>
    <col width="22" customWidth="1" min="4" max="4"/>
    <col width="9" customWidth="1" min="5" max="5"/>
    <col width="14" customWidth="1" min="6" max="6"/>
    <col width="13" customWidth="1" min="7" max="7"/>
    <col width="13" customWidth="1" min="8" max="8"/>
    <col width="13" customWidth="1" min="9" max="9"/>
    <col width="12" customWidth="1" min="10" max="10"/>
    <col width="8" customWidth="1" min="11" max="11"/>
    <col width="13" customWidth="1" min="12" max="12"/>
    <col width="30" customWidth="1" min="13" max="13"/>
    <col width="22" customWidth="1" min="14" max="14"/>
  </cols>
  <sheetData>
    <row r="1">
      <c r="B1" s="10">
        <f>HYPERLINK("#Dashboard!B5","◄ Dashboard")</f>
        <v/>
      </c>
    </row>
    <row r="4">
      <c r="B4" s="11" t="inlineStr">
        <is>
          <t>Makeup is minute-for-minute (policy 400.5). Only classroom minutes and PT sessions can be made up — skills time cannot, and there is no administrative waiver, so the Type dropdown offers only Classroom and PT. Credit applies only when documentation is Received, no Hold, and Row Check is OK. Pick the missed event's ID in Linked Event — the Attendance sheet clears that event automatically when its balance hits zero. Every credited row must name the event it makes up — Row Check refuses credit with no Linked Event, for another cadet's event, an EventID that no longer exists, a Type the caps don't credit, or minutes booked against a PT (session-counted) event. It also refuses a row with no makeup Date (which used to stamp a fabricated CLEARED date on the attendance ledger) and a zero or NEGATIVE credit (which used to pass as OK and increase the cadet's owed time). Credit is capped at the linked event's own minutes/sessions; split a long session across rows to cover two events.</t>
        </is>
      </c>
    </row>
    <row r="5" ht="26" customHeight="1">
      <c r="B5" s="12" t="inlineStr">
        <is>
          <t>MakeupID</t>
        </is>
      </c>
      <c r="C5" s="12" t="inlineStr">
        <is>
          <t>Date</t>
        </is>
      </c>
      <c r="D5" s="12" t="inlineStr">
        <is>
          <t>Cadet Name</t>
        </is>
      </c>
      <c r="E5" s="12" t="inlineStr">
        <is>
          <t>PID</t>
        </is>
      </c>
      <c r="F5" s="12" t="inlineStr">
        <is>
          <t>Type</t>
        </is>
      </c>
      <c r="G5" s="12" t="inlineStr">
        <is>
          <t>Minutes Credit</t>
        </is>
      </c>
      <c r="H5" s="12" t="inlineStr">
        <is>
          <t>Sessions Credit</t>
        </is>
      </c>
      <c r="I5" s="12" t="inlineStr">
        <is>
          <t>Linked Event</t>
        </is>
      </c>
      <c r="J5" s="12" t="inlineStr">
        <is>
          <t>Doc Status</t>
        </is>
      </c>
      <c r="K5" s="12" t="inlineStr">
        <is>
          <t>Hold?</t>
        </is>
      </c>
      <c r="L5" s="12" t="inlineStr">
        <is>
          <t>Credit Applies?</t>
        </is>
      </c>
      <c r="M5" s="12" t="inlineStr">
        <is>
          <t>Notes</t>
        </is>
      </c>
      <c r="N5" s="12" t="inlineStr">
        <is>
          <t>Row Check</t>
        </is>
      </c>
    </row>
    <row r="6">
      <c r="B6" s="17">
        <f>IF($D6="","","M"&amp;TEXT(ROW()-5,"000"))</f>
        <v/>
      </c>
      <c r="C6" s="18" t="n"/>
      <c r="D6" s="16" t="n"/>
      <c r="E6" s="17">
        <f>IF($D6="","",IFERROR(INDEX(rngCadetPIDs,MATCH($D6,rngCadetNames,0)),"?"))</f>
        <v/>
      </c>
      <c r="F6" s="16" t="n"/>
      <c r="G6" s="16" t="n"/>
      <c r="H6" s="16" t="n"/>
      <c r="I6" s="16" t="n"/>
      <c r="J6" s="16" t="n"/>
      <c r="K6" s="16" t="n"/>
      <c r="L6" s="17">
        <f>IF($D6="","",IF(AND($J6="Received",$K6&lt;&gt;"Yes",LEFT($N6,2)="OK"),"Yes","No"))</f>
        <v/>
      </c>
      <c r="M6" s="16" t="n"/>
      <c r="N6" s="17">
        <f>IF($D6="","",IF(AND($F6&lt;&gt;"Classroom",$F6&lt;&gt;"PT"),"TYPE NOT CREDITED",IF($C6="","NO MAKEUP DATE",IF(NOT(ISNUMBER($C6)),"MAKEUP DATE NOT A DATE",IF(OR(AND($G6&lt;&gt;"",NOT(ISNUMBER($G6))),AND($H6&lt;&gt;"",NOT(ISNUMBER($H6)))),"CREDIT NOT A NUMBER",IF(OR(N($G6)&lt;0,N($H6)&lt;0),"NEGATIVE CREDIT",IF(AND($F6="Classroom",N($G6)&lt;=0),"NO MINUTES CREDITED",IF(AND($F6="PT",N($H6)&lt;=0),"NO SESSIONS CREDITED",IF($I6="","NO LINKED EVENT",IF(COUNTIF(nrAT_ID,$I6)=0,"NO SUCH EVENT",IF(INDEX(nrAT_PID,MATCH($I6,nrAT_ID,0))&lt;&gt;$E6,"WRONG CADET",IF(INDEX(nrAT_IsPT,MATCH($I6,nrAT_ID,0))&lt;&gt;IF($F6="PT","Yes","No"),"UNIT MISMATCH","OK"))))))))))))</f>
        <v/>
      </c>
    </row>
    <row r="7">
      <c r="B7" s="17">
        <f>IF($D7="","","M"&amp;TEXT(ROW()-5,"000"))</f>
        <v/>
      </c>
      <c r="C7" s="18" t="n"/>
      <c r="D7" s="16" t="n"/>
      <c r="E7" s="17">
        <f>IF($D7="","",IFERROR(INDEX(rngCadetPIDs,MATCH($D7,rngCadetNames,0)),"?"))</f>
        <v/>
      </c>
      <c r="F7" s="16" t="n"/>
      <c r="G7" s="16" t="n"/>
      <c r="H7" s="16" t="n"/>
      <c r="I7" s="16" t="n"/>
      <c r="J7" s="16" t="n"/>
      <c r="K7" s="16" t="n"/>
      <c r="L7" s="17">
        <f>IF($D7="","",IF(AND($J7="Received",$K7&lt;&gt;"Yes",LEFT($N7,2)="OK"),"Yes","No"))</f>
        <v/>
      </c>
      <c r="M7" s="16" t="n"/>
      <c r="N7" s="17">
        <f>IF($D7="","",IF(AND($F7&lt;&gt;"Classroom",$F7&lt;&gt;"PT"),"TYPE NOT CREDITED",IF($C7="","NO MAKEUP DATE",IF(NOT(ISNUMBER($C7)),"MAKEUP DATE NOT A DATE",IF(OR(AND($G7&lt;&gt;"",NOT(ISNUMBER($G7))),AND($H7&lt;&gt;"",NOT(ISNUMBER($H7)))),"CREDIT NOT A NUMBER",IF(OR(N($G7)&lt;0,N($H7)&lt;0),"NEGATIVE CREDIT",IF(AND($F7="Classroom",N($G7)&lt;=0),"NO MINUTES CREDITED",IF(AND($F7="PT",N($H7)&lt;=0),"NO SESSIONS CREDITED",IF($I7="","NO LINKED EVENT",IF(COUNTIF(nrAT_ID,$I7)=0,"NO SUCH EVENT",IF(INDEX(nrAT_PID,MATCH($I7,nrAT_ID,0))&lt;&gt;$E7,"WRONG CADET",IF(INDEX(nrAT_IsPT,MATCH($I7,nrAT_ID,0))&lt;&gt;IF($F7="PT","Yes","No"),"UNIT MISMATCH","OK"))))))))))))</f>
        <v/>
      </c>
    </row>
    <row r="8">
      <c r="B8" s="17">
        <f>IF($D8="","","M"&amp;TEXT(ROW()-5,"000"))</f>
        <v/>
      </c>
      <c r="C8" s="18" t="n"/>
      <c r="D8" s="16" t="n"/>
      <c r="E8" s="17">
        <f>IF($D8="","",IFERROR(INDEX(rngCadetPIDs,MATCH($D8,rngCadetNames,0)),"?"))</f>
        <v/>
      </c>
      <c r="F8" s="16" t="n"/>
      <c r="G8" s="16" t="n"/>
      <c r="H8" s="16" t="n"/>
      <c r="I8" s="16" t="n"/>
      <c r="J8" s="16" t="n"/>
      <c r="K8" s="16" t="n"/>
      <c r="L8" s="17">
        <f>IF($D8="","",IF(AND($J8="Received",$K8&lt;&gt;"Yes",LEFT($N8,2)="OK"),"Yes","No"))</f>
        <v/>
      </c>
      <c r="M8" s="16" t="n"/>
      <c r="N8" s="17">
        <f>IF($D8="","",IF(AND($F8&lt;&gt;"Classroom",$F8&lt;&gt;"PT"),"TYPE NOT CREDITED",IF($C8="","NO MAKEUP DATE",IF(NOT(ISNUMBER($C8)),"MAKEUP DATE NOT A DATE",IF(OR(AND($G8&lt;&gt;"",NOT(ISNUMBER($G8))),AND($H8&lt;&gt;"",NOT(ISNUMBER($H8)))),"CREDIT NOT A NUMBER",IF(OR(N($G8)&lt;0,N($H8)&lt;0),"NEGATIVE CREDIT",IF(AND($F8="Classroom",N($G8)&lt;=0),"NO MINUTES CREDITED",IF(AND($F8="PT",N($H8)&lt;=0),"NO SESSIONS CREDITED",IF($I8="","NO LINKED EVENT",IF(COUNTIF(nrAT_ID,$I8)=0,"NO SUCH EVENT",IF(INDEX(nrAT_PID,MATCH($I8,nrAT_ID,0))&lt;&gt;$E8,"WRONG CADET",IF(INDEX(nrAT_IsPT,MATCH($I8,nrAT_ID,0))&lt;&gt;IF($F8="PT","Yes","No"),"UNIT MISMATCH","OK"))))))))))))</f>
        <v/>
      </c>
    </row>
    <row r="9">
      <c r="B9" s="17">
        <f>IF($D9="","","M"&amp;TEXT(ROW()-5,"000"))</f>
        <v/>
      </c>
      <c r="C9" s="18" t="n"/>
      <c r="D9" s="16" t="n"/>
      <c r="E9" s="17">
        <f>IF($D9="","",IFERROR(INDEX(rngCadetPIDs,MATCH($D9,rngCadetNames,0)),"?"))</f>
        <v/>
      </c>
      <c r="F9" s="16" t="n"/>
      <c r="G9" s="16" t="n"/>
      <c r="H9" s="16" t="n"/>
      <c r="I9" s="16" t="n"/>
      <c r="J9" s="16" t="n"/>
      <c r="K9" s="16" t="n"/>
      <c r="L9" s="17">
        <f>IF($D9="","",IF(AND($J9="Received",$K9&lt;&gt;"Yes",LEFT($N9,2)="OK"),"Yes","No"))</f>
        <v/>
      </c>
      <c r="M9" s="16" t="n"/>
      <c r="N9" s="17">
        <f>IF($D9="","",IF(AND($F9&lt;&gt;"Classroom",$F9&lt;&gt;"PT"),"TYPE NOT CREDITED",IF($C9="","NO MAKEUP DATE",IF(NOT(ISNUMBER($C9)),"MAKEUP DATE NOT A DATE",IF(OR(AND($G9&lt;&gt;"",NOT(ISNUMBER($G9))),AND($H9&lt;&gt;"",NOT(ISNUMBER($H9)))),"CREDIT NOT A NUMBER",IF(OR(N($G9)&lt;0,N($H9)&lt;0),"NEGATIVE CREDIT",IF(AND($F9="Classroom",N($G9)&lt;=0),"NO MINUTES CREDITED",IF(AND($F9="PT",N($H9)&lt;=0),"NO SESSIONS CREDITED",IF($I9="","NO LINKED EVENT",IF(COUNTIF(nrAT_ID,$I9)=0,"NO SUCH EVENT",IF(INDEX(nrAT_PID,MATCH($I9,nrAT_ID,0))&lt;&gt;$E9,"WRONG CADET",IF(INDEX(nrAT_IsPT,MATCH($I9,nrAT_ID,0))&lt;&gt;IF($F9="PT","Yes","No"),"UNIT MISMATCH","OK"))))))))))))</f>
        <v/>
      </c>
    </row>
    <row r="10">
      <c r="B10" s="17">
        <f>IF($D10="","","M"&amp;TEXT(ROW()-5,"000"))</f>
        <v/>
      </c>
      <c r="C10" s="18" t="n"/>
      <c r="D10" s="16" t="n"/>
      <c r="E10" s="17">
        <f>IF($D10="","",IFERROR(INDEX(rngCadetPIDs,MATCH($D10,rngCadetNames,0)),"?"))</f>
        <v/>
      </c>
      <c r="F10" s="16" t="n"/>
      <c r="G10" s="16" t="n"/>
      <c r="H10" s="16" t="n"/>
      <c r="I10" s="16" t="n"/>
      <c r="J10" s="16" t="n"/>
      <c r="K10" s="16" t="n"/>
      <c r="L10" s="17">
        <f>IF($D10="","",IF(AND($J10="Received",$K10&lt;&gt;"Yes",LEFT($N10,2)="OK"),"Yes","No"))</f>
        <v/>
      </c>
      <c r="M10" s="16" t="n"/>
      <c r="N10" s="17">
        <f>IF($D10="","",IF(AND($F10&lt;&gt;"Classroom",$F10&lt;&gt;"PT"),"TYPE NOT CREDITED",IF($C10="","NO MAKEUP DATE",IF(NOT(ISNUMBER($C10)),"MAKEUP DATE NOT A DATE",IF(OR(AND($G10&lt;&gt;"",NOT(ISNUMBER($G10))),AND($H10&lt;&gt;"",NOT(ISNUMBER($H10)))),"CREDIT NOT A NUMBER",IF(OR(N($G10)&lt;0,N($H10)&lt;0),"NEGATIVE CREDIT",IF(AND($F10="Classroom",N($G10)&lt;=0),"NO MINUTES CREDITED",IF(AND($F10="PT",N($H10)&lt;=0),"NO SESSIONS CREDITED",IF($I10="","NO LINKED EVENT",IF(COUNTIF(nrAT_ID,$I10)=0,"NO SUCH EVENT",IF(INDEX(nrAT_PID,MATCH($I10,nrAT_ID,0))&lt;&gt;$E10,"WRONG CADET",IF(INDEX(nrAT_IsPT,MATCH($I10,nrAT_ID,0))&lt;&gt;IF($F10="PT","Yes","No"),"UNIT MISMATCH","OK"))))))))))))</f>
        <v/>
      </c>
    </row>
    <row r="11">
      <c r="B11" s="17">
        <f>IF($D11="","","M"&amp;TEXT(ROW()-5,"000"))</f>
        <v/>
      </c>
      <c r="C11" s="18" t="n"/>
      <c r="D11" s="16" t="n"/>
      <c r="E11" s="17">
        <f>IF($D11="","",IFERROR(INDEX(rngCadetPIDs,MATCH($D11,rngCadetNames,0)),"?"))</f>
        <v/>
      </c>
      <c r="F11" s="16" t="n"/>
      <c r="G11" s="16" t="n"/>
      <c r="H11" s="16" t="n"/>
      <c r="I11" s="16" t="n"/>
      <c r="J11" s="16" t="n"/>
      <c r="K11" s="16" t="n"/>
      <c r="L11" s="17">
        <f>IF($D11="","",IF(AND($J11="Received",$K11&lt;&gt;"Yes",LEFT($N11,2)="OK"),"Yes","No"))</f>
        <v/>
      </c>
      <c r="M11" s="16" t="n"/>
      <c r="N11" s="17">
        <f>IF($D11="","",IF(AND($F11&lt;&gt;"Classroom",$F11&lt;&gt;"PT"),"TYPE NOT CREDITED",IF($C11="","NO MAKEUP DATE",IF(NOT(ISNUMBER($C11)),"MAKEUP DATE NOT A DATE",IF(OR(AND($G11&lt;&gt;"",NOT(ISNUMBER($G11))),AND($H11&lt;&gt;"",NOT(ISNUMBER($H11)))),"CREDIT NOT A NUMBER",IF(OR(N($G11)&lt;0,N($H11)&lt;0),"NEGATIVE CREDIT",IF(AND($F11="Classroom",N($G11)&lt;=0),"NO MINUTES CREDITED",IF(AND($F11="PT",N($H11)&lt;=0),"NO SESSIONS CREDITED",IF($I11="","NO LINKED EVENT",IF(COUNTIF(nrAT_ID,$I11)=0,"NO SUCH EVENT",IF(INDEX(nrAT_PID,MATCH($I11,nrAT_ID,0))&lt;&gt;$E11,"WRONG CADET",IF(INDEX(nrAT_IsPT,MATCH($I11,nrAT_ID,0))&lt;&gt;IF($F11="PT","Yes","No"),"UNIT MISMATCH","OK"))))))))))))</f>
        <v/>
      </c>
    </row>
    <row r="12">
      <c r="B12" s="17">
        <f>IF($D12="","","M"&amp;TEXT(ROW()-5,"000"))</f>
        <v/>
      </c>
      <c r="C12" s="18" t="n"/>
      <c r="D12" s="16" t="n"/>
      <c r="E12" s="17">
        <f>IF($D12="","",IFERROR(INDEX(rngCadetPIDs,MATCH($D12,rngCadetNames,0)),"?"))</f>
        <v/>
      </c>
      <c r="F12" s="16" t="n"/>
      <c r="G12" s="16" t="n"/>
      <c r="H12" s="16" t="n"/>
      <c r="I12" s="16" t="n"/>
      <c r="J12" s="16" t="n"/>
      <c r="K12" s="16" t="n"/>
      <c r="L12" s="17">
        <f>IF($D12="","",IF(AND($J12="Received",$K12&lt;&gt;"Yes",LEFT($N12,2)="OK"),"Yes","No"))</f>
        <v/>
      </c>
      <c r="M12" s="16" t="n"/>
      <c r="N12" s="17">
        <f>IF($D12="","",IF(AND($F12&lt;&gt;"Classroom",$F12&lt;&gt;"PT"),"TYPE NOT CREDITED",IF($C12="","NO MAKEUP DATE",IF(NOT(ISNUMBER($C12)),"MAKEUP DATE NOT A DATE",IF(OR(AND($G12&lt;&gt;"",NOT(ISNUMBER($G12))),AND($H12&lt;&gt;"",NOT(ISNUMBER($H12)))),"CREDIT NOT A NUMBER",IF(OR(N($G12)&lt;0,N($H12)&lt;0),"NEGATIVE CREDIT",IF(AND($F12="Classroom",N($G12)&lt;=0),"NO MINUTES CREDITED",IF(AND($F12="PT",N($H12)&lt;=0),"NO SESSIONS CREDITED",IF($I12="","NO LINKED EVENT",IF(COUNTIF(nrAT_ID,$I12)=0,"NO SUCH EVENT",IF(INDEX(nrAT_PID,MATCH($I12,nrAT_ID,0))&lt;&gt;$E12,"WRONG CADET",IF(INDEX(nrAT_IsPT,MATCH($I12,nrAT_ID,0))&lt;&gt;IF($F12="PT","Yes","No"),"UNIT MISMATCH","OK"))))))))))))</f>
        <v/>
      </c>
    </row>
    <row r="13">
      <c r="B13" s="17">
        <f>IF($D13="","","M"&amp;TEXT(ROW()-5,"000"))</f>
        <v/>
      </c>
      <c r="C13" s="18" t="n"/>
      <c r="D13" s="16" t="n"/>
      <c r="E13" s="17">
        <f>IF($D13="","",IFERROR(INDEX(rngCadetPIDs,MATCH($D13,rngCadetNames,0)),"?"))</f>
        <v/>
      </c>
      <c r="F13" s="16" t="n"/>
      <c r="G13" s="16" t="n"/>
      <c r="H13" s="16" t="n"/>
      <c r="I13" s="16" t="n"/>
      <c r="J13" s="16" t="n"/>
      <c r="K13" s="16" t="n"/>
      <c r="L13" s="17">
        <f>IF($D13="","",IF(AND($J13="Received",$K13&lt;&gt;"Yes",LEFT($N13,2)="OK"),"Yes","No"))</f>
        <v/>
      </c>
      <c r="M13" s="16" t="n"/>
      <c r="N13" s="17">
        <f>IF($D13="","",IF(AND($F13&lt;&gt;"Classroom",$F13&lt;&gt;"PT"),"TYPE NOT CREDITED",IF($C13="","NO MAKEUP DATE",IF(NOT(ISNUMBER($C13)),"MAKEUP DATE NOT A DATE",IF(OR(AND($G13&lt;&gt;"",NOT(ISNUMBER($G13))),AND($H13&lt;&gt;"",NOT(ISNUMBER($H13)))),"CREDIT NOT A NUMBER",IF(OR(N($G13)&lt;0,N($H13)&lt;0),"NEGATIVE CREDIT",IF(AND($F13="Classroom",N($G13)&lt;=0),"NO MINUTES CREDITED",IF(AND($F13="PT",N($H13)&lt;=0),"NO SESSIONS CREDITED",IF($I13="","NO LINKED EVENT",IF(COUNTIF(nrAT_ID,$I13)=0,"NO SUCH EVENT",IF(INDEX(nrAT_PID,MATCH($I13,nrAT_ID,0))&lt;&gt;$E13,"WRONG CADET",IF(INDEX(nrAT_IsPT,MATCH($I13,nrAT_ID,0))&lt;&gt;IF($F13="PT","Yes","No"),"UNIT MISMATCH","OK"))))))))))))</f>
        <v/>
      </c>
    </row>
    <row r="14">
      <c r="B14" s="17">
        <f>IF($D14="","","M"&amp;TEXT(ROW()-5,"000"))</f>
        <v/>
      </c>
      <c r="C14" s="18" t="n"/>
      <c r="D14" s="16" t="n"/>
      <c r="E14" s="17">
        <f>IF($D14="","",IFERROR(INDEX(rngCadetPIDs,MATCH($D14,rngCadetNames,0)),"?"))</f>
        <v/>
      </c>
      <c r="F14" s="16" t="n"/>
      <c r="G14" s="16" t="n"/>
      <c r="H14" s="16" t="n"/>
      <c r="I14" s="16" t="n"/>
      <c r="J14" s="16" t="n"/>
      <c r="K14" s="16" t="n"/>
      <c r="L14" s="17">
        <f>IF($D14="","",IF(AND($J14="Received",$K14&lt;&gt;"Yes",LEFT($N14,2)="OK"),"Yes","No"))</f>
        <v/>
      </c>
      <c r="M14" s="16" t="n"/>
      <c r="N14" s="17">
        <f>IF($D14="","",IF(AND($F14&lt;&gt;"Classroom",$F14&lt;&gt;"PT"),"TYPE NOT CREDITED",IF($C14="","NO MAKEUP DATE",IF(NOT(ISNUMBER($C14)),"MAKEUP DATE NOT A DATE",IF(OR(AND($G14&lt;&gt;"",NOT(ISNUMBER($G14))),AND($H14&lt;&gt;"",NOT(ISNUMBER($H14)))),"CREDIT NOT A NUMBER",IF(OR(N($G14)&lt;0,N($H14)&lt;0),"NEGATIVE CREDIT",IF(AND($F14="Classroom",N($G14)&lt;=0),"NO MINUTES CREDITED",IF(AND($F14="PT",N($H14)&lt;=0),"NO SESSIONS CREDITED",IF($I14="","NO LINKED EVENT",IF(COUNTIF(nrAT_ID,$I14)=0,"NO SUCH EVENT",IF(INDEX(nrAT_PID,MATCH($I14,nrAT_ID,0))&lt;&gt;$E14,"WRONG CADET",IF(INDEX(nrAT_IsPT,MATCH($I14,nrAT_ID,0))&lt;&gt;IF($F14="PT","Yes","No"),"UNIT MISMATCH","OK"))))))))))))</f>
        <v/>
      </c>
    </row>
    <row r="15">
      <c r="B15" s="17">
        <f>IF($D15="","","M"&amp;TEXT(ROW()-5,"000"))</f>
        <v/>
      </c>
      <c r="C15" s="18" t="n"/>
      <c r="D15" s="16" t="n"/>
      <c r="E15" s="17">
        <f>IF($D15="","",IFERROR(INDEX(rngCadetPIDs,MATCH($D15,rngCadetNames,0)),"?"))</f>
        <v/>
      </c>
      <c r="F15" s="16" t="n"/>
      <c r="G15" s="16" t="n"/>
      <c r="H15" s="16" t="n"/>
      <c r="I15" s="16" t="n"/>
      <c r="J15" s="16" t="n"/>
      <c r="K15" s="16" t="n"/>
      <c r="L15" s="17">
        <f>IF($D15="","",IF(AND($J15="Received",$K15&lt;&gt;"Yes",LEFT($N15,2)="OK"),"Yes","No"))</f>
        <v/>
      </c>
      <c r="M15" s="16" t="n"/>
      <c r="N15" s="17">
        <f>IF($D15="","",IF(AND($F15&lt;&gt;"Classroom",$F15&lt;&gt;"PT"),"TYPE NOT CREDITED",IF($C15="","NO MAKEUP DATE",IF(NOT(ISNUMBER($C15)),"MAKEUP DATE NOT A DATE",IF(OR(AND($G15&lt;&gt;"",NOT(ISNUMBER($G15))),AND($H15&lt;&gt;"",NOT(ISNUMBER($H15)))),"CREDIT NOT A NUMBER",IF(OR(N($G15)&lt;0,N($H15)&lt;0),"NEGATIVE CREDIT",IF(AND($F15="Classroom",N($G15)&lt;=0),"NO MINUTES CREDITED",IF(AND($F15="PT",N($H15)&lt;=0),"NO SESSIONS CREDITED",IF($I15="","NO LINKED EVENT",IF(COUNTIF(nrAT_ID,$I15)=0,"NO SUCH EVENT",IF(INDEX(nrAT_PID,MATCH($I15,nrAT_ID,0))&lt;&gt;$E15,"WRONG CADET",IF(INDEX(nrAT_IsPT,MATCH($I15,nrAT_ID,0))&lt;&gt;IF($F15="PT","Yes","No"),"UNIT MISMATCH","OK"))))))))))))</f>
        <v/>
      </c>
    </row>
    <row r="16">
      <c r="B16" s="17">
        <f>IF($D16="","","M"&amp;TEXT(ROW()-5,"000"))</f>
        <v/>
      </c>
      <c r="C16" s="18" t="n"/>
      <c r="D16" s="16" t="n"/>
      <c r="E16" s="17">
        <f>IF($D16="","",IFERROR(INDEX(rngCadetPIDs,MATCH($D16,rngCadetNames,0)),"?"))</f>
        <v/>
      </c>
      <c r="F16" s="16" t="n"/>
      <c r="G16" s="16" t="n"/>
      <c r="H16" s="16" t="n"/>
      <c r="I16" s="16" t="n"/>
      <c r="J16" s="16" t="n"/>
      <c r="K16" s="16" t="n"/>
      <c r="L16" s="17">
        <f>IF($D16="","",IF(AND($J16="Received",$K16&lt;&gt;"Yes",LEFT($N16,2)="OK"),"Yes","No"))</f>
        <v/>
      </c>
      <c r="M16" s="16" t="n"/>
      <c r="N16" s="17">
        <f>IF($D16="","",IF(AND($F16&lt;&gt;"Classroom",$F16&lt;&gt;"PT"),"TYPE NOT CREDITED",IF($C16="","NO MAKEUP DATE",IF(NOT(ISNUMBER($C16)),"MAKEUP DATE NOT A DATE",IF(OR(AND($G16&lt;&gt;"",NOT(ISNUMBER($G16))),AND($H16&lt;&gt;"",NOT(ISNUMBER($H16)))),"CREDIT NOT A NUMBER",IF(OR(N($G16)&lt;0,N($H16)&lt;0),"NEGATIVE CREDIT",IF(AND($F16="Classroom",N($G16)&lt;=0),"NO MINUTES CREDITED",IF(AND($F16="PT",N($H16)&lt;=0),"NO SESSIONS CREDITED",IF($I16="","NO LINKED EVENT",IF(COUNTIF(nrAT_ID,$I16)=0,"NO SUCH EVENT",IF(INDEX(nrAT_PID,MATCH($I16,nrAT_ID,0))&lt;&gt;$E16,"WRONG CADET",IF(INDEX(nrAT_IsPT,MATCH($I16,nrAT_ID,0))&lt;&gt;IF($F16="PT","Yes","No"),"UNIT MISMATCH","OK"))))))))))))</f>
        <v/>
      </c>
    </row>
    <row r="17">
      <c r="B17" s="17">
        <f>IF($D17="","","M"&amp;TEXT(ROW()-5,"000"))</f>
        <v/>
      </c>
      <c r="C17" s="18" t="n"/>
      <c r="D17" s="16" t="n"/>
      <c r="E17" s="17">
        <f>IF($D17="","",IFERROR(INDEX(rngCadetPIDs,MATCH($D17,rngCadetNames,0)),"?"))</f>
        <v/>
      </c>
      <c r="F17" s="16" t="n"/>
      <c r="G17" s="16" t="n"/>
      <c r="H17" s="16" t="n"/>
      <c r="I17" s="16" t="n"/>
      <c r="J17" s="16" t="n"/>
      <c r="K17" s="16" t="n"/>
      <c r="L17" s="17">
        <f>IF($D17="","",IF(AND($J17="Received",$K17&lt;&gt;"Yes",LEFT($N17,2)="OK"),"Yes","No"))</f>
        <v/>
      </c>
      <c r="M17" s="16" t="n"/>
      <c r="N17" s="17">
        <f>IF($D17="","",IF(AND($F17&lt;&gt;"Classroom",$F17&lt;&gt;"PT"),"TYPE NOT CREDITED",IF($C17="","NO MAKEUP DATE",IF(NOT(ISNUMBER($C17)),"MAKEUP DATE NOT A DATE",IF(OR(AND($G17&lt;&gt;"",NOT(ISNUMBER($G17))),AND($H17&lt;&gt;"",NOT(ISNUMBER($H17)))),"CREDIT NOT A NUMBER",IF(OR(N($G17)&lt;0,N($H17)&lt;0),"NEGATIVE CREDIT",IF(AND($F17="Classroom",N($G17)&lt;=0),"NO MINUTES CREDITED",IF(AND($F17="PT",N($H17)&lt;=0),"NO SESSIONS CREDITED",IF($I17="","NO LINKED EVENT",IF(COUNTIF(nrAT_ID,$I17)=0,"NO SUCH EVENT",IF(INDEX(nrAT_PID,MATCH($I17,nrAT_ID,0))&lt;&gt;$E17,"WRONG CADET",IF(INDEX(nrAT_IsPT,MATCH($I17,nrAT_ID,0))&lt;&gt;IF($F17="PT","Yes","No"),"UNIT MISMATCH","OK"))))))))))))</f>
        <v/>
      </c>
    </row>
    <row r="18">
      <c r="B18" s="17">
        <f>IF($D18="","","M"&amp;TEXT(ROW()-5,"000"))</f>
        <v/>
      </c>
      <c r="C18" s="18" t="n"/>
      <c r="D18" s="16" t="n"/>
      <c r="E18" s="17">
        <f>IF($D18="","",IFERROR(INDEX(rngCadetPIDs,MATCH($D18,rngCadetNames,0)),"?"))</f>
        <v/>
      </c>
      <c r="F18" s="16" t="n"/>
      <c r="G18" s="16" t="n"/>
      <c r="H18" s="16" t="n"/>
      <c r="I18" s="16" t="n"/>
      <c r="J18" s="16" t="n"/>
      <c r="K18" s="16" t="n"/>
      <c r="L18" s="17">
        <f>IF($D18="","",IF(AND($J18="Received",$K18&lt;&gt;"Yes",LEFT($N18,2)="OK"),"Yes","No"))</f>
        <v/>
      </c>
      <c r="M18" s="16" t="n"/>
      <c r="N18" s="17">
        <f>IF($D18="","",IF(AND($F18&lt;&gt;"Classroom",$F18&lt;&gt;"PT"),"TYPE NOT CREDITED",IF($C18="","NO MAKEUP DATE",IF(NOT(ISNUMBER($C18)),"MAKEUP DATE NOT A DATE",IF(OR(AND($G18&lt;&gt;"",NOT(ISNUMBER($G18))),AND($H18&lt;&gt;"",NOT(ISNUMBER($H18)))),"CREDIT NOT A NUMBER",IF(OR(N($G18)&lt;0,N($H18)&lt;0),"NEGATIVE CREDIT",IF(AND($F18="Classroom",N($G18)&lt;=0),"NO MINUTES CREDITED",IF(AND($F18="PT",N($H18)&lt;=0),"NO SESSIONS CREDITED",IF($I18="","NO LINKED EVENT",IF(COUNTIF(nrAT_ID,$I18)=0,"NO SUCH EVENT",IF(INDEX(nrAT_PID,MATCH($I18,nrAT_ID,0))&lt;&gt;$E18,"WRONG CADET",IF(INDEX(nrAT_IsPT,MATCH($I18,nrAT_ID,0))&lt;&gt;IF($F18="PT","Yes","No"),"UNIT MISMATCH","OK"))))))))))))</f>
        <v/>
      </c>
    </row>
    <row r="19">
      <c r="B19" s="17">
        <f>IF($D19="","","M"&amp;TEXT(ROW()-5,"000"))</f>
        <v/>
      </c>
      <c r="C19" s="18" t="n"/>
      <c r="D19" s="16" t="n"/>
      <c r="E19" s="17">
        <f>IF($D19="","",IFERROR(INDEX(rngCadetPIDs,MATCH($D19,rngCadetNames,0)),"?"))</f>
        <v/>
      </c>
      <c r="F19" s="16" t="n"/>
      <c r="G19" s="16" t="n"/>
      <c r="H19" s="16" t="n"/>
      <c r="I19" s="16" t="n"/>
      <c r="J19" s="16" t="n"/>
      <c r="K19" s="16" t="n"/>
      <c r="L19" s="17">
        <f>IF($D19="","",IF(AND($J19="Received",$K19&lt;&gt;"Yes",LEFT($N19,2)="OK"),"Yes","No"))</f>
        <v/>
      </c>
      <c r="M19" s="16" t="n"/>
      <c r="N19" s="17">
        <f>IF($D19="","",IF(AND($F19&lt;&gt;"Classroom",$F19&lt;&gt;"PT"),"TYPE NOT CREDITED",IF($C19="","NO MAKEUP DATE",IF(NOT(ISNUMBER($C19)),"MAKEUP DATE NOT A DATE",IF(OR(AND($G19&lt;&gt;"",NOT(ISNUMBER($G19))),AND($H19&lt;&gt;"",NOT(ISNUMBER($H19)))),"CREDIT NOT A NUMBER",IF(OR(N($G19)&lt;0,N($H19)&lt;0),"NEGATIVE CREDIT",IF(AND($F19="Classroom",N($G19)&lt;=0),"NO MINUTES CREDITED",IF(AND($F19="PT",N($H19)&lt;=0),"NO SESSIONS CREDITED",IF($I19="","NO LINKED EVENT",IF(COUNTIF(nrAT_ID,$I19)=0,"NO SUCH EVENT",IF(INDEX(nrAT_PID,MATCH($I19,nrAT_ID,0))&lt;&gt;$E19,"WRONG CADET",IF(INDEX(nrAT_IsPT,MATCH($I19,nrAT_ID,0))&lt;&gt;IF($F19="PT","Yes","No"),"UNIT MISMATCH","OK"))))))))))))</f>
        <v/>
      </c>
    </row>
    <row r="20">
      <c r="B20" s="17">
        <f>IF($D20="","","M"&amp;TEXT(ROW()-5,"000"))</f>
        <v/>
      </c>
      <c r="C20" s="18" t="n"/>
      <c r="D20" s="16" t="n"/>
      <c r="E20" s="17">
        <f>IF($D20="","",IFERROR(INDEX(rngCadetPIDs,MATCH($D20,rngCadetNames,0)),"?"))</f>
        <v/>
      </c>
      <c r="F20" s="16" t="n"/>
      <c r="G20" s="16" t="n"/>
      <c r="H20" s="16" t="n"/>
      <c r="I20" s="16" t="n"/>
      <c r="J20" s="16" t="n"/>
      <c r="K20" s="16" t="n"/>
      <c r="L20" s="17">
        <f>IF($D20="","",IF(AND($J20="Received",$K20&lt;&gt;"Yes",LEFT($N20,2)="OK"),"Yes","No"))</f>
        <v/>
      </c>
      <c r="M20" s="16" t="n"/>
      <c r="N20" s="17">
        <f>IF($D20="","",IF(AND($F20&lt;&gt;"Classroom",$F20&lt;&gt;"PT"),"TYPE NOT CREDITED",IF($C20="","NO MAKEUP DATE",IF(NOT(ISNUMBER($C20)),"MAKEUP DATE NOT A DATE",IF(OR(AND($G20&lt;&gt;"",NOT(ISNUMBER($G20))),AND($H20&lt;&gt;"",NOT(ISNUMBER($H20)))),"CREDIT NOT A NUMBER",IF(OR(N($G20)&lt;0,N($H20)&lt;0),"NEGATIVE CREDIT",IF(AND($F20="Classroom",N($G20)&lt;=0),"NO MINUTES CREDITED",IF(AND($F20="PT",N($H20)&lt;=0),"NO SESSIONS CREDITED",IF($I20="","NO LINKED EVENT",IF(COUNTIF(nrAT_ID,$I20)=0,"NO SUCH EVENT",IF(INDEX(nrAT_PID,MATCH($I20,nrAT_ID,0))&lt;&gt;$E20,"WRONG CADET",IF(INDEX(nrAT_IsPT,MATCH($I20,nrAT_ID,0))&lt;&gt;IF($F20="PT","Yes","No"),"UNIT MISMATCH","OK"))))))))))))</f>
        <v/>
      </c>
    </row>
    <row r="21">
      <c r="B21" s="17">
        <f>IF($D21="","","M"&amp;TEXT(ROW()-5,"000"))</f>
        <v/>
      </c>
      <c r="C21" s="18" t="n"/>
      <c r="D21" s="16" t="n"/>
      <c r="E21" s="17">
        <f>IF($D21="","",IFERROR(INDEX(rngCadetPIDs,MATCH($D21,rngCadetNames,0)),"?"))</f>
        <v/>
      </c>
      <c r="F21" s="16" t="n"/>
      <c r="G21" s="16" t="n"/>
      <c r="H21" s="16" t="n"/>
      <c r="I21" s="16" t="n"/>
      <c r="J21" s="16" t="n"/>
      <c r="K21" s="16" t="n"/>
      <c r="L21" s="17">
        <f>IF($D21="","",IF(AND($J21="Received",$K21&lt;&gt;"Yes",LEFT($N21,2)="OK"),"Yes","No"))</f>
        <v/>
      </c>
      <c r="M21" s="16" t="n"/>
      <c r="N21" s="17">
        <f>IF($D21="","",IF(AND($F21&lt;&gt;"Classroom",$F21&lt;&gt;"PT"),"TYPE NOT CREDITED",IF($C21="","NO MAKEUP DATE",IF(NOT(ISNUMBER($C21)),"MAKEUP DATE NOT A DATE",IF(OR(AND($G21&lt;&gt;"",NOT(ISNUMBER($G21))),AND($H21&lt;&gt;"",NOT(ISNUMBER($H21)))),"CREDIT NOT A NUMBER",IF(OR(N($G21)&lt;0,N($H21)&lt;0),"NEGATIVE CREDIT",IF(AND($F21="Classroom",N($G21)&lt;=0),"NO MINUTES CREDITED",IF(AND($F21="PT",N($H21)&lt;=0),"NO SESSIONS CREDITED",IF($I21="","NO LINKED EVENT",IF(COUNTIF(nrAT_ID,$I21)=0,"NO SUCH EVENT",IF(INDEX(nrAT_PID,MATCH($I21,nrAT_ID,0))&lt;&gt;$E21,"WRONG CADET",IF(INDEX(nrAT_IsPT,MATCH($I21,nrAT_ID,0))&lt;&gt;IF($F21="PT","Yes","No"),"UNIT MISMATCH","OK"))))))))))))</f>
        <v/>
      </c>
    </row>
    <row r="22">
      <c r="B22" s="17">
        <f>IF($D22="","","M"&amp;TEXT(ROW()-5,"000"))</f>
        <v/>
      </c>
      <c r="C22" s="18" t="n"/>
      <c r="D22" s="16" t="n"/>
      <c r="E22" s="17">
        <f>IF($D22="","",IFERROR(INDEX(rngCadetPIDs,MATCH($D22,rngCadetNames,0)),"?"))</f>
        <v/>
      </c>
      <c r="F22" s="16" t="n"/>
      <c r="G22" s="16" t="n"/>
      <c r="H22" s="16" t="n"/>
      <c r="I22" s="16" t="n"/>
      <c r="J22" s="16" t="n"/>
      <c r="K22" s="16" t="n"/>
      <c r="L22" s="17">
        <f>IF($D22="","",IF(AND($J22="Received",$K22&lt;&gt;"Yes",LEFT($N22,2)="OK"),"Yes","No"))</f>
        <v/>
      </c>
      <c r="M22" s="16" t="n"/>
      <c r="N22" s="17">
        <f>IF($D22="","",IF(AND($F22&lt;&gt;"Classroom",$F22&lt;&gt;"PT"),"TYPE NOT CREDITED",IF($C22="","NO MAKEUP DATE",IF(NOT(ISNUMBER($C22)),"MAKEUP DATE NOT A DATE",IF(OR(AND($G22&lt;&gt;"",NOT(ISNUMBER($G22))),AND($H22&lt;&gt;"",NOT(ISNUMBER($H22)))),"CREDIT NOT A NUMBER",IF(OR(N($G22)&lt;0,N($H22)&lt;0),"NEGATIVE CREDIT",IF(AND($F22="Classroom",N($G22)&lt;=0),"NO MINUTES CREDITED",IF(AND($F22="PT",N($H22)&lt;=0),"NO SESSIONS CREDITED",IF($I22="","NO LINKED EVENT",IF(COUNTIF(nrAT_ID,$I22)=0,"NO SUCH EVENT",IF(INDEX(nrAT_PID,MATCH($I22,nrAT_ID,0))&lt;&gt;$E22,"WRONG CADET",IF(INDEX(nrAT_IsPT,MATCH($I22,nrAT_ID,0))&lt;&gt;IF($F22="PT","Yes","No"),"UNIT MISMATCH","OK"))))))))))))</f>
        <v/>
      </c>
    </row>
    <row r="23">
      <c r="B23" s="17">
        <f>IF($D23="","","M"&amp;TEXT(ROW()-5,"000"))</f>
        <v/>
      </c>
      <c r="C23" s="18" t="n"/>
      <c r="D23" s="16" t="n"/>
      <c r="E23" s="17">
        <f>IF($D23="","",IFERROR(INDEX(rngCadetPIDs,MATCH($D23,rngCadetNames,0)),"?"))</f>
        <v/>
      </c>
      <c r="F23" s="16" t="n"/>
      <c r="G23" s="16" t="n"/>
      <c r="H23" s="16" t="n"/>
      <c r="I23" s="16" t="n"/>
      <c r="J23" s="16" t="n"/>
      <c r="K23" s="16" t="n"/>
      <c r="L23" s="17">
        <f>IF($D23="","",IF(AND($J23="Received",$K23&lt;&gt;"Yes",LEFT($N23,2)="OK"),"Yes","No"))</f>
        <v/>
      </c>
      <c r="M23" s="16" t="n"/>
      <c r="N23" s="17">
        <f>IF($D23="","",IF(AND($F23&lt;&gt;"Classroom",$F23&lt;&gt;"PT"),"TYPE NOT CREDITED",IF($C23="","NO MAKEUP DATE",IF(NOT(ISNUMBER($C23)),"MAKEUP DATE NOT A DATE",IF(OR(AND($G23&lt;&gt;"",NOT(ISNUMBER($G23))),AND($H23&lt;&gt;"",NOT(ISNUMBER($H23)))),"CREDIT NOT A NUMBER",IF(OR(N($G23)&lt;0,N($H23)&lt;0),"NEGATIVE CREDIT",IF(AND($F23="Classroom",N($G23)&lt;=0),"NO MINUTES CREDITED",IF(AND($F23="PT",N($H23)&lt;=0),"NO SESSIONS CREDITED",IF($I23="","NO LINKED EVENT",IF(COUNTIF(nrAT_ID,$I23)=0,"NO SUCH EVENT",IF(INDEX(nrAT_PID,MATCH($I23,nrAT_ID,0))&lt;&gt;$E23,"WRONG CADET",IF(INDEX(nrAT_IsPT,MATCH($I23,nrAT_ID,0))&lt;&gt;IF($F23="PT","Yes","No"),"UNIT MISMATCH","OK"))))))))))))</f>
        <v/>
      </c>
    </row>
    <row r="24">
      <c r="B24" s="17">
        <f>IF($D24="","","M"&amp;TEXT(ROW()-5,"000"))</f>
        <v/>
      </c>
      <c r="C24" s="18" t="n"/>
      <c r="D24" s="16" t="n"/>
      <c r="E24" s="17">
        <f>IF($D24="","",IFERROR(INDEX(rngCadetPIDs,MATCH($D24,rngCadetNames,0)),"?"))</f>
        <v/>
      </c>
      <c r="F24" s="16" t="n"/>
      <c r="G24" s="16" t="n"/>
      <c r="H24" s="16" t="n"/>
      <c r="I24" s="16" t="n"/>
      <c r="J24" s="16" t="n"/>
      <c r="K24" s="16" t="n"/>
      <c r="L24" s="17">
        <f>IF($D24="","",IF(AND($J24="Received",$K24&lt;&gt;"Yes",LEFT($N24,2)="OK"),"Yes","No"))</f>
        <v/>
      </c>
      <c r="M24" s="16" t="n"/>
      <c r="N24" s="17">
        <f>IF($D24="","",IF(AND($F24&lt;&gt;"Classroom",$F24&lt;&gt;"PT"),"TYPE NOT CREDITED",IF($C24="","NO MAKEUP DATE",IF(NOT(ISNUMBER($C24)),"MAKEUP DATE NOT A DATE",IF(OR(AND($G24&lt;&gt;"",NOT(ISNUMBER($G24))),AND($H24&lt;&gt;"",NOT(ISNUMBER($H24)))),"CREDIT NOT A NUMBER",IF(OR(N($G24)&lt;0,N($H24)&lt;0),"NEGATIVE CREDIT",IF(AND($F24="Classroom",N($G24)&lt;=0),"NO MINUTES CREDITED",IF(AND($F24="PT",N($H24)&lt;=0),"NO SESSIONS CREDITED",IF($I24="","NO LINKED EVENT",IF(COUNTIF(nrAT_ID,$I24)=0,"NO SUCH EVENT",IF(INDEX(nrAT_PID,MATCH($I24,nrAT_ID,0))&lt;&gt;$E24,"WRONG CADET",IF(INDEX(nrAT_IsPT,MATCH($I24,nrAT_ID,0))&lt;&gt;IF($F24="PT","Yes","No"),"UNIT MISMATCH","OK"))))))))))))</f>
        <v/>
      </c>
    </row>
    <row r="25">
      <c r="B25" s="17">
        <f>IF($D25="","","M"&amp;TEXT(ROW()-5,"000"))</f>
        <v/>
      </c>
      <c r="C25" s="18" t="n"/>
      <c r="D25" s="16" t="n"/>
      <c r="E25" s="17">
        <f>IF($D25="","",IFERROR(INDEX(rngCadetPIDs,MATCH($D25,rngCadetNames,0)),"?"))</f>
        <v/>
      </c>
      <c r="F25" s="16" t="n"/>
      <c r="G25" s="16" t="n"/>
      <c r="H25" s="16" t="n"/>
      <c r="I25" s="16" t="n"/>
      <c r="J25" s="16" t="n"/>
      <c r="K25" s="16" t="n"/>
      <c r="L25" s="17">
        <f>IF($D25="","",IF(AND($J25="Received",$K25&lt;&gt;"Yes",LEFT($N25,2)="OK"),"Yes","No"))</f>
        <v/>
      </c>
      <c r="M25" s="16" t="n"/>
      <c r="N25" s="17">
        <f>IF($D25="","",IF(AND($F25&lt;&gt;"Classroom",$F25&lt;&gt;"PT"),"TYPE NOT CREDITED",IF($C25="","NO MAKEUP DATE",IF(NOT(ISNUMBER($C25)),"MAKEUP DATE NOT A DATE",IF(OR(AND($G25&lt;&gt;"",NOT(ISNUMBER($G25))),AND($H25&lt;&gt;"",NOT(ISNUMBER($H25)))),"CREDIT NOT A NUMBER",IF(OR(N($G25)&lt;0,N($H25)&lt;0),"NEGATIVE CREDIT",IF(AND($F25="Classroom",N($G25)&lt;=0),"NO MINUTES CREDITED",IF(AND($F25="PT",N($H25)&lt;=0),"NO SESSIONS CREDITED",IF($I25="","NO LINKED EVENT",IF(COUNTIF(nrAT_ID,$I25)=0,"NO SUCH EVENT",IF(INDEX(nrAT_PID,MATCH($I25,nrAT_ID,0))&lt;&gt;$E25,"WRONG CADET",IF(INDEX(nrAT_IsPT,MATCH($I25,nrAT_ID,0))&lt;&gt;IF($F25="PT","Yes","No"),"UNIT MISMATCH","OK"))))))))))))</f>
        <v/>
      </c>
    </row>
    <row r="26">
      <c r="B26" s="17">
        <f>IF($D26="","","M"&amp;TEXT(ROW()-5,"000"))</f>
        <v/>
      </c>
      <c r="C26" s="18" t="n"/>
      <c r="D26" s="16" t="n"/>
      <c r="E26" s="17">
        <f>IF($D26="","",IFERROR(INDEX(rngCadetPIDs,MATCH($D26,rngCadetNames,0)),"?"))</f>
        <v/>
      </c>
      <c r="F26" s="16" t="n"/>
      <c r="G26" s="16" t="n"/>
      <c r="H26" s="16" t="n"/>
      <c r="I26" s="16" t="n"/>
      <c r="J26" s="16" t="n"/>
      <c r="K26" s="16" t="n"/>
      <c r="L26" s="17">
        <f>IF($D26="","",IF(AND($J26="Received",$K26&lt;&gt;"Yes",LEFT($N26,2)="OK"),"Yes","No"))</f>
        <v/>
      </c>
      <c r="M26" s="16" t="n"/>
      <c r="N26" s="17">
        <f>IF($D26="","",IF(AND($F26&lt;&gt;"Classroom",$F26&lt;&gt;"PT"),"TYPE NOT CREDITED",IF($C26="","NO MAKEUP DATE",IF(NOT(ISNUMBER($C26)),"MAKEUP DATE NOT A DATE",IF(OR(AND($G26&lt;&gt;"",NOT(ISNUMBER($G26))),AND($H26&lt;&gt;"",NOT(ISNUMBER($H26)))),"CREDIT NOT A NUMBER",IF(OR(N($G26)&lt;0,N($H26)&lt;0),"NEGATIVE CREDIT",IF(AND($F26="Classroom",N($G26)&lt;=0),"NO MINUTES CREDITED",IF(AND($F26="PT",N($H26)&lt;=0),"NO SESSIONS CREDITED",IF($I26="","NO LINKED EVENT",IF(COUNTIF(nrAT_ID,$I26)=0,"NO SUCH EVENT",IF(INDEX(nrAT_PID,MATCH($I26,nrAT_ID,0))&lt;&gt;$E26,"WRONG CADET",IF(INDEX(nrAT_IsPT,MATCH($I26,nrAT_ID,0))&lt;&gt;IF($F26="PT","Yes","No"),"UNIT MISMATCH","OK"))))))))))))</f>
        <v/>
      </c>
    </row>
    <row r="27">
      <c r="B27" s="17">
        <f>IF($D27="","","M"&amp;TEXT(ROW()-5,"000"))</f>
        <v/>
      </c>
      <c r="C27" s="18" t="n"/>
      <c r="D27" s="16" t="n"/>
      <c r="E27" s="17">
        <f>IF($D27="","",IFERROR(INDEX(rngCadetPIDs,MATCH($D27,rngCadetNames,0)),"?"))</f>
        <v/>
      </c>
      <c r="F27" s="16" t="n"/>
      <c r="G27" s="16" t="n"/>
      <c r="H27" s="16" t="n"/>
      <c r="I27" s="16" t="n"/>
      <c r="J27" s="16" t="n"/>
      <c r="K27" s="16" t="n"/>
      <c r="L27" s="17">
        <f>IF($D27="","",IF(AND($J27="Received",$K27&lt;&gt;"Yes",LEFT($N27,2)="OK"),"Yes","No"))</f>
        <v/>
      </c>
      <c r="M27" s="16" t="n"/>
      <c r="N27" s="17">
        <f>IF($D27="","",IF(AND($F27&lt;&gt;"Classroom",$F27&lt;&gt;"PT"),"TYPE NOT CREDITED",IF($C27="","NO MAKEUP DATE",IF(NOT(ISNUMBER($C27)),"MAKEUP DATE NOT A DATE",IF(OR(AND($G27&lt;&gt;"",NOT(ISNUMBER($G27))),AND($H27&lt;&gt;"",NOT(ISNUMBER($H27)))),"CREDIT NOT A NUMBER",IF(OR(N($G27)&lt;0,N($H27)&lt;0),"NEGATIVE CREDIT",IF(AND($F27="Classroom",N($G27)&lt;=0),"NO MINUTES CREDITED",IF(AND($F27="PT",N($H27)&lt;=0),"NO SESSIONS CREDITED",IF($I27="","NO LINKED EVENT",IF(COUNTIF(nrAT_ID,$I27)=0,"NO SUCH EVENT",IF(INDEX(nrAT_PID,MATCH($I27,nrAT_ID,0))&lt;&gt;$E27,"WRONG CADET",IF(INDEX(nrAT_IsPT,MATCH($I27,nrAT_ID,0))&lt;&gt;IF($F27="PT","Yes","No"),"UNIT MISMATCH","OK"))))))))))))</f>
        <v/>
      </c>
    </row>
    <row r="28">
      <c r="B28" s="17">
        <f>IF($D28="","","M"&amp;TEXT(ROW()-5,"000"))</f>
        <v/>
      </c>
      <c r="C28" s="18" t="n"/>
      <c r="D28" s="16" t="n"/>
      <c r="E28" s="17">
        <f>IF($D28="","",IFERROR(INDEX(rngCadetPIDs,MATCH($D28,rngCadetNames,0)),"?"))</f>
        <v/>
      </c>
      <c r="F28" s="16" t="n"/>
      <c r="G28" s="16" t="n"/>
      <c r="H28" s="16" t="n"/>
      <c r="I28" s="16" t="n"/>
      <c r="J28" s="16" t="n"/>
      <c r="K28" s="16" t="n"/>
      <c r="L28" s="17">
        <f>IF($D28="","",IF(AND($J28="Received",$K28&lt;&gt;"Yes",LEFT($N28,2)="OK"),"Yes","No"))</f>
        <v/>
      </c>
      <c r="M28" s="16" t="n"/>
      <c r="N28" s="17">
        <f>IF($D28="","",IF(AND($F28&lt;&gt;"Classroom",$F28&lt;&gt;"PT"),"TYPE NOT CREDITED",IF($C28="","NO MAKEUP DATE",IF(NOT(ISNUMBER($C28)),"MAKEUP DATE NOT A DATE",IF(OR(AND($G28&lt;&gt;"",NOT(ISNUMBER($G28))),AND($H28&lt;&gt;"",NOT(ISNUMBER($H28)))),"CREDIT NOT A NUMBER",IF(OR(N($G28)&lt;0,N($H28)&lt;0),"NEGATIVE CREDIT",IF(AND($F28="Classroom",N($G28)&lt;=0),"NO MINUTES CREDITED",IF(AND($F28="PT",N($H28)&lt;=0),"NO SESSIONS CREDITED",IF($I28="","NO LINKED EVENT",IF(COUNTIF(nrAT_ID,$I28)=0,"NO SUCH EVENT",IF(INDEX(nrAT_PID,MATCH($I28,nrAT_ID,0))&lt;&gt;$E28,"WRONG CADET",IF(INDEX(nrAT_IsPT,MATCH($I28,nrAT_ID,0))&lt;&gt;IF($F28="PT","Yes","No"),"UNIT MISMATCH","OK"))))))))))))</f>
        <v/>
      </c>
    </row>
    <row r="29">
      <c r="B29" s="17">
        <f>IF($D29="","","M"&amp;TEXT(ROW()-5,"000"))</f>
        <v/>
      </c>
      <c r="C29" s="18" t="n"/>
      <c r="D29" s="16" t="n"/>
      <c r="E29" s="17">
        <f>IF($D29="","",IFERROR(INDEX(rngCadetPIDs,MATCH($D29,rngCadetNames,0)),"?"))</f>
        <v/>
      </c>
      <c r="F29" s="16" t="n"/>
      <c r="G29" s="16" t="n"/>
      <c r="H29" s="16" t="n"/>
      <c r="I29" s="16" t="n"/>
      <c r="J29" s="16" t="n"/>
      <c r="K29" s="16" t="n"/>
      <c r="L29" s="17">
        <f>IF($D29="","",IF(AND($J29="Received",$K29&lt;&gt;"Yes",LEFT($N29,2)="OK"),"Yes","No"))</f>
        <v/>
      </c>
      <c r="M29" s="16" t="n"/>
      <c r="N29" s="17">
        <f>IF($D29="","",IF(AND($F29&lt;&gt;"Classroom",$F29&lt;&gt;"PT"),"TYPE NOT CREDITED",IF($C29="","NO MAKEUP DATE",IF(NOT(ISNUMBER($C29)),"MAKEUP DATE NOT A DATE",IF(OR(AND($G29&lt;&gt;"",NOT(ISNUMBER($G29))),AND($H29&lt;&gt;"",NOT(ISNUMBER($H29)))),"CREDIT NOT A NUMBER",IF(OR(N($G29)&lt;0,N($H29)&lt;0),"NEGATIVE CREDIT",IF(AND($F29="Classroom",N($G29)&lt;=0),"NO MINUTES CREDITED",IF(AND($F29="PT",N($H29)&lt;=0),"NO SESSIONS CREDITED",IF($I29="","NO LINKED EVENT",IF(COUNTIF(nrAT_ID,$I29)=0,"NO SUCH EVENT",IF(INDEX(nrAT_PID,MATCH($I29,nrAT_ID,0))&lt;&gt;$E29,"WRONG CADET",IF(INDEX(nrAT_IsPT,MATCH($I29,nrAT_ID,0))&lt;&gt;IF($F29="PT","Yes","No"),"UNIT MISMATCH","OK"))))))))))))</f>
        <v/>
      </c>
    </row>
    <row r="30">
      <c r="B30" s="17">
        <f>IF($D30="","","M"&amp;TEXT(ROW()-5,"000"))</f>
        <v/>
      </c>
      <c r="C30" s="18" t="n"/>
      <c r="D30" s="16" t="n"/>
      <c r="E30" s="17">
        <f>IF($D30="","",IFERROR(INDEX(rngCadetPIDs,MATCH($D30,rngCadetNames,0)),"?"))</f>
        <v/>
      </c>
      <c r="F30" s="16" t="n"/>
      <c r="G30" s="16" t="n"/>
      <c r="H30" s="16" t="n"/>
      <c r="I30" s="16" t="n"/>
      <c r="J30" s="16" t="n"/>
      <c r="K30" s="16" t="n"/>
      <c r="L30" s="17">
        <f>IF($D30="","",IF(AND($J30="Received",$K30&lt;&gt;"Yes",LEFT($N30,2)="OK"),"Yes","No"))</f>
        <v/>
      </c>
      <c r="M30" s="16" t="n"/>
      <c r="N30" s="17">
        <f>IF($D30="","",IF(AND($F30&lt;&gt;"Classroom",$F30&lt;&gt;"PT"),"TYPE NOT CREDITED",IF($C30="","NO MAKEUP DATE",IF(NOT(ISNUMBER($C30)),"MAKEUP DATE NOT A DATE",IF(OR(AND($G30&lt;&gt;"",NOT(ISNUMBER($G30))),AND($H30&lt;&gt;"",NOT(ISNUMBER($H30)))),"CREDIT NOT A NUMBER",IF(OR(N($G30)&lt;0,N($H30)&lt;0),"NEGATIVE CREDIT",IF(AND($F30="Classroom",N($G30)&lt;=0),"NO MINUTES CREDITED",IF(AND($F30="PT",N($H30)&lt;=0),"NO SESSIONS CREDITED",IF($I30="","NO LINKED EVENT",IF(COUNTIF(nrAT_ID,$I30)=0,"NO SUCH EVENT",IF(INDEX(nrAT_PID,MATCH($I30,nrAT_ID,0))&lt;&gt;$E30,"WRONG CADET",IF(INDEX(nrAT_IsPT,MATCH($I30,nrAT_ID,0))&lt;&gt;IF($F30="PT","Yes","No"),"UNIT MISMATCH","OK"))))))))))))</f>
        <v/>
      </c>
    </row>
    <row r="31">
      <c r="B31" s="17">
        <f>IF($D31="","","M"&amp;TEXT(ROW()-5,"000"))</f>
        <v/>
      </c>
      <c r="C31" s="18" t="n"/>
      <c r="D31" s="16" t="n"/>
      <c r="E31" s="17">
        <f>IF($D31="","",IFERROR(INDEX(rngCadetPIDs,MATCH($D31,rngCadetNames,0)),"?"))</f>
        <v/>
      </c>
      <c r="F31" s="16" t="n"/>
      <c r="G31" s="16" t="n"/>
      <c r="H31" s="16" t="n"/>
      <c r="I31" s="16" t="n"/>
      <c r="J31" s="16" t="n"/>
      <c r="K31" s="16" t="n"/>
      <c r="L31" s="17">
        <f>IF($D31="","",IF(AND($J31="Received",$K31&lt;&gt;"Yes",LEFT($N31,2)="OK"),"Yes","No"))</f>
        <v/>
      </c>
      <c r="M31" s="16" t="n"/>
      <c r="N31" s="17">
        <f>IF($D31="","",IF(AND($F31&lt;&gt;"Classroom",$F31&lt;&gt;"PT"),"TYPE NOT CREDITED",IF($C31="","NO MAKEUP DATE",IF(NOT(ISNUMBER($C31)),"MAKEUP DATE NOT A DATE",IF(OR(AND($G31&lt;&gt;"",NOT(ISNUMBER($G31))),AND($H31&lt;&gt;"",NOT(ISNUMBER($H31)))),"CREDIT NOT A NUMBER",IF(OR(N($G31)&lt;0,N($H31)&lt;0),"NEGATIVE CREDIT",IF(AND($F31="Classroom",N($G31)&lt;=0),"NO MINUTES CREDITED",IF(AND($F31="PT",N($H31)&lt;=0),"NO SESSIONS CREDITED",IF($I31="","NO LINKED EVENT",IF(COUNTIF(nrAT_ID,$I31)=0,"NO SUCH EVENT",IF(INDEX(nrAT_PID,MATCH($I31,nrAT_ID,0))&lt;&gt;$E31,"WRONG CADET",IF(INDEX(nrAT_IsPT,MATCH($I31,nrAT_ID,0))&lt;&gt;IF($F31="PT","Yes","No"),"UNIT MISMATCH","OK"))))))))))))</f>
        <v/>
      </c>
    </row>
    <row r="32">
      <c r="B32" s="17">
        <f>IF($D32="","","M"&amp;TEXT(ROW()-5,"000"))</f>
        <v/>
      </c>
      <c r="C32" s="18" t="n"/>
      <c r="D32" s="16" t="n"/>
      <c r="E32" s="17">
        <f>IF($D32="","",IFERROR(INDEX(rngCadetPIDs,MATCH($D32,rngCadetNames,0)),"?"))</f>
        <v/>
      </c>
      <c r="F32" s="16" t="n"/>
      <c r="G32" s="16" t="n"/>
      <c r="H32" s="16" t="n"/>
      <c r="I32" s="16" t="n"/>
      <c r="J32" s="16" t="n"/>
      <c r="K32" s="16" t="n"/>
      <c r="L32" s="17">
        <f>IF($D32="","",IF(AND($J32="Received",$K32&lt;&gt;"Yes",LEFT($N32,2)="OK"),"Yes","No"))</f>
        <v/>
      </c>
      <c r="M32" s="16" t="n"/>
      <c r="N32" s="17">
        <f>IF($D32="","",IF(AND($F32&lt;&gt;"Classroom",$F32&lt;&gt;"PT"),"TYPE NOT CREDITED",IF($C32="","NO MAKEUP DATE",IF(NOT(ISNUMBER($C32)),"MAKEUP DATE NOT A DATE",IF(OR(AND($G32&lt;&gt;"",NOT(ISNUMBER($G32))),AND($H32&lt;&gt;"",NOT(ISNUMBER($H32)))),"CREDIT NOT A NUMBER",IF(OR(N($G32)&lt;0,N($H32)&lt;0),"NEGATIVE CREDIT",IF(AND($F32="Classroom",N($G32)&lt;=0),"NO MINUTES CREDITED",IF(AND($F32="PT",N($H32)&lt;=0),"NO SESSIONS CREDITED",IF($I32="","NO LINKED EVENT",IF(COUNTIF(nrAT_ID,$I32)=0,"NO SUCH EVENT",IF(INDEX(nrAT_PID,MATCH($I32,nrAT_ID,0))&lt;&gt;$E32,"WRONG CADET",IF(INDEX(nrAT_IsPT,MATCH($I32,nrAT_ID,0))&lt;&gt;IF($F32="PT","Yes","No"),"UNIT MISMATCH","OK"))))))))))))</f>
        <v/>
      </c>
    </row>
    <row r="33">
      <c r="B33" s="17">
        <f>IF($D33="","","M"&amp;TEXT(ROW()-5,"000"))</f>
        <v/>
      </c>
      <c r="C33" s="18" t="n"/>
      <c r="D33" s="16" t="n"/>
      <c r="E33" s="17">
        <f>IF($D33="","",IFERROR(INDEX(rngCadetPIDs,MATCH($D33,rngCadetNames,0)),"?"))</f>
        <v/>
      </c>
      <c r="F33" s="16" t="n"/>
      <c r="G33" s="16" t="n"/>
      <c r="H33" s="16" t="n"/>
      <c r="I33" s="16" t="n"/>
      <c r="J33" s="16" t="n"/>
      <c r="K33" s="16" t="n"/>
      <c r="L33" s="17">
        <f>IF($D33="","",IF(AND($J33="Received",$K33&lt;&gt;"Yes",LEFT($N33,2)="OK"),"Yes","No"))</f>
        <v/>
      </c>
      <c r="M33" s="16" t="n"/>
      <c r="N33" s="17">
        <f>IF($D33="","",IF(AND($F33&lt;&gt;"Classroom",$F33&lt;&gt;"PT"),"TYPE NOT CREDITED",IF($C33="","NO MAKEUP DATE",IF(NOT(ISNUMBER($C33)),"MAKEUP DATE NOT A DATE",IF(OR(AND($G33&lt;&gt;"",NOT(ISNUMBER($G33))),AND($H33&lt;&gt;"",NOT(ISNUMBER($H33)))),"CREDIT NOT A NUMBER",IF(OR(N($G33)&lt;0,N($H33)&lt;0),"NEGATIVE CREDIT",IF(AND($F33="Classroom",N($G33)&lt;=0),"NO MINUTES CREDITED",IF(AND($F33="PT",N($H33)&lt;=0),"NO SESSIONS CREDITED",IF($I33="","NO LINKED EVENT",IF(COUNTIF(nrAT_ID,$I33)=0,"NO SUCH EVENT",IF(INDEX(nrAT_PID,MATCH($I33,nrAT_ID,0))&lt;&gt;$E33,"WRONG CADET",IF(INDEX(nrAT_IsPT,MATCH($I33,nrAT_ID,0))&lt;&gt;IF($F33="PT","Yes","No"),"UNIT MISMATCH","OK"))))))))))))</f>
        <v/>
      </c>
    </row>
    <row r="34">
      <c r="B34" s="17">
        <f>IF($D34="","","M"&amp;TEXT(ROW()-5,"000"))</f>
        <v/>
      </c>
      <c r="C34" s="18" t="n"/>
      <c r="D34" s="16" t="n"/>
      <c r="E34" s="17">
        <f>IF($D34="","",IFERROR(INDEX(rngCadetPIDs,MATCH($D34,rngCadetNames,0)),"?"))</f>
        <v/>
      </c>
      <c r="F34" s="16" t="n"/>
      <c r="G34" s="16" t="n"/>
      <c r="H34" s="16" t="n"/>
      <c r="I34" s="16" t="n"/>
      <c r="J34" s="16" t="n"/>
      <c r="K34" s="16" t="n"/>
      <c r="L34" s="17">
        <f>IF($D34="","",IF(AND($J34="Received",$K34&lt;&gt;"Yes",LEFT($N34,2)="OK"),"Yes","No"))</f>
        <v/>
      </c>
      <c r="M34" s="16" t="n"/>
      <c r="N34" s="17">
        <f>IF($D34="","",IF(AND($F34&lt;&gt;"Classroom",$F34&lt;&gt;"PT"),"TYPE NOT CREDITED",IF($C34="","NO MAKEUP DATE",IF(NOT(ISNUMBER($C34)),"MAKEUP DATE NOT A DATE",IF(OR(AND($G34&lt;&gt;"",NOT(ISNUMBER($G34))),AND($H34&lt;&gt;"",NOT(ISNUMBER($H34)))),"CREDIT NOT A NUMBER",IF(OR(N($G34)&lt;0,N($H34)&lt;0),"NEGATIVE CREDIT",IF(AND($F34="Classroom",N($G34)&lt;=0),"NO MINUTES CREDITED",IF(AND($F34="PT",N($H34)&lt;=0),"NO SESSIONS CREDITED",IF($I34="","NO LINKED EVENT",IF(COUNTIF(nrAT_ID,$I34)=0,"NO SUCH EVENT",IF(INDEX(nrAT_PID,MATCH($I34,nrAT_ID,0))&lt;&gt;$E34,"WRONG CADET",IF(INDEX(nrAT_IsPT,MATCH($I34,nrAT_ID,0))&lt;&gt;IF($F34="PT","Yes","No"),"UNIT MISMATCH","OK"))))))))))))</f>
        <v/>
      </c>
    </row>
    <row r="35">
      <c r="B35" s="17">
        <f>IF($D35="","","M"&amp;TEXT(ROW()-5,"000"))</f>
        <v/>
      </c>
      <c r="C35" s="18" t="n"/>
      <c r="D35" s="16" t="n"/>
      <c r="E35" s="17">
        <f>IF($D35="","",IFERROR(INDEX(rngCadetPIDs,MATCH($D35,rngCadetNames,0)),"?"))</f>
        <v/>
      </c>
      <c r="F35" s="16" t="n"/>
      <c r="G35" s="16" t="n"/>
      <c r="H35" s="16" t="n"/>
      <c r="I35" s="16" t="n"/>
      <c r="J35" s="16" t="n"/>
      <c r="K35" s="16" t="n"/>
      <c r="L35" s="17">
        <f>IF($D35="","",IF(AND($J35="Received",$K35&lt;&gt;"Yes",LEFT($N35,2)="OK"),"Yes","No"))</f>
        <v/>
      </c>
      <c r="M35" s="16" t="n"/>
      <c r="N35" s="17">
        <f>IF($D35="","",IF(AND($F35&lt;&gt;"Classroom",$F35&lt;&gt;"PT"),"TYPE NOT CREDITED",IF($C35="","NO MAKEUP DATE",IF(NOT(ISNUMBER($C35)),"MAKEUP DATE NOT A DATE",IF(OR(AND($G35&lt;&gt;"",NOT(ISNUMBER($G35))),AND($H35&lt;&gt;"",NOT(ISNUMBER($H35)))),"CREDIT NOT A NUMBER",IF(OR(N($G35)&lt;0,N($H35)&lt;0),"NEGATIVE CREDIT",IF(AND($F35="Classroom",N($G35)&lt;=0),"NO MINUTES CREDITED",IF(AND($F35="PT",N($H35)&lt;=0),"NO SESSIONS CREDITED",IF($I35="","NO LINKED EVENT",IF(COUNTIF(nrAT_ID,$I35)=0,"NO SUCH EVENT",IF(INDEX(nrAT_PID,MATCH($I35,nrAT_ID,0))&lt;&gt;$E35,"WRONG CADET",IF(INDEX(nrAT_IsPT,MATCH($I35,nrAT_ID,0))&lt;&gt;IF($F35="PT","Yes","No"),"UNIT MISMATCH","OK"))))))))))))</f>
        <v/>
      </c>
    </row>
    <row r="36">
      <c r="B36" s="17">
        <f>IF($D36="","","M"&amp;TEXT(ROW()-5,"000"))</f>
        <v/>
      </c>
      <c r="C36" s="18" t="n"/>
      <c r="D36" s="16" t="n"/>
      <c r="E36" s="17">
        <f>IF($D36="","",IFERROR(INDEX(rngCadetPIDs,MATCH($D36,rngCadetNames,0)),"?"))</f>
        <v/>
      </c>
      <c r="F36" s="16" t="n"/>
      <c r="G36" s="16" t="n"/>
      <c r="H36" s="16" t="n"/>
      <c r="I36" s="16" t="n"/>
      <c r="J36" s="16" t="n"/>
      <c r="K36" s="16" t="n"/>
      <c r="L36" s="17">
        <f>IF($D36="","",IF(AND($J36="Received",$K36&lt;&gt;"Yes",LEFT($N36,2)="OK"),"Yes","No"))</f>
        <v/>
      </c>
      <c r="M36" s="16" t="n"/>
      <c r="N36" s="17">
        <f>IF($D36="","",IF(AND($F36&lt;&gt;"Classroom",$F36&lt;&gt;"PT"),"TYPE NOT CREDITED",IF($C36="","NO MAKEUP DATE",IF(NOT(ISNUMBER($C36)),"MAKEUP DATE NOT A DATE",IF(OR(AND($G36&lt;&gt;"",NOT(ISNUMBER($G36))),AND($H36&lt;&gt;"",NOT(ISNUMBER($H36)))),"CREDIT NOT A NUMBER",IF(OR(N($G36)&lt;0,N($H36)&lt;0),"NEGATIVE CREDIT",IF(AND($F36="Classroom",N($G36)&lt;=0),"NO MINUTES CREDITED",IF(AND($F36="PT",N($H36)&lt;=0),"NO SESSIONS CREDITED",IF($I36="","NO LINKED EVENT",IF(COUNTIF(nrAT_ID,$I36)=0,"NO SUCH EVENT",IF(INDEX(nrAT_PID,MATCH($I36,nrAT_ID,0))&lt;&gt;$E36,"WRONG CADET",IF(INDEX(nrAT_IsPT,MATCH($I36,nrAT_ID,0))&lt;&gt;IF($F36="PT","Yes","No"),"UNIT MISMATCH","OK"))))))))))))</f>
        <v/>
      </c>
    </row>
    <row r="37">
      <c r="B37" s="17">
        <f>IF($D37="","","M"&amp;TEXT(ROW()-5,"000"))</f>
        <v/>
      </c>
      <c r="C37" s="18" t="n"/>
      <c r="D37" s="16" t="n"/>
      <c r="E37" s="17">
        <f>IF($D37="","",IFERROR(INDEX(rngCadetPIDs,MATCH($D37,rngCadetNames,0)),"?"))</f>
        <v/>
      </c>
      <c r="F37" s="16" t="n"/>
      <c r="G37" s="16" t="n"/>
      <c r="H37" s="16" t="n"/>
      <c r="I37" s="16" t="n"/>
      <c r="J37" s="16" t="n"/>
      <c r="K37" s="16" t="n"/>
      <c r="L37" s="17">
        <f>IF($D37="","",IF(AND($J37="Received",$K37&lt;&gt;"Yes",LEFT($N37,2)="OK"),"Yes","No"))</f>
        <v/>
      </c>
      <c r="M37" s="16" t="n"/>
      <c r="N37" s="17">
        <f>IF($D37="","",IF(AND($F37&lt;&gt;"Classroom",$F37&lt;&gt;"PT"),"TYPE NOT CREDITED",IF($C37="","NO MAKEUP DATE",IF(NOT(ISNUMBER($C37)),"MAKEUP DATE NOT A DATE",IF(OR(AND($G37&lt;&gt;"",NOT(ISNUMBER($G37))),AND($H37&lt;&gt;"",NOT(ISNUMBER($H37)))),"CREDIT NOT A NUMBER",IF(OR(N($G37)&lt;0,N($H37)&lt;0),"NEGATIVE CREDIT",IF(AND($F37="Classroom",N($G37)&lt;=0),"NO MINUTES CREDITED",IF(AND($F37="PT",N($H37)&lt;=0),"NO SESSIONS CREDITED",IF($I37="","NO LINKED EVENT",IF(COUNTIF(nrAT_ID,$I37)=0,"NO SUCH EVENT",IF(INDEX(nrAT_PID,MATCH($I37,nrAT_ID,0))&lt;&gt;$E37,"WRONG CADET",IF(INDEX(nrAT_IsPT,MATCH($I37,nrAT_ID,0))&lt;&gt;IF($F37="PT","Yes","No"),"UNIT MISMATCH","OK"))))))))))))</f>
        <v/>
      </c>
    </row>
    <row r="38">
      <c r="B38" s="17">
        <f>IF($D38="","","M"&amp;TEXT(ROW()-5,"000"))</f>
        <v/>
      </c>
      <c r="C38" s="18" t="n"/>
      <c r="D38" s="16" t="n"/>
      <c r="E38" s="17">
        <f>IF($D38="","",IFERROR(INDEX(rngCadetPIDs,MATCH($D38,rngCadetNames,0)),"?"))</f>
        <v/>
      </c>
      <c r="F38" s="16" t="n"/>
      <c r="G38" s="16" t="n"/>
      <c r="H38" s="16" t="n"/>
      <c r="I38" s="16" t="n"/>
      <c r="J38" s="16" t="n"/>
      <c r="K38" s="16" t="n"/>
      <c r="L38" s="17">
        <f>IF($D38="","",IF(AND($J38="Received",$K38&lt;&gt;"Yes",LEFT($N38,2)="OK"),"Yes","No"))</f>
        <v/>
      </c>
      <c r="M38" s="16" t="n"/>
      <c r="N38" s="17">
        <f>IF($D38="","",IF(AND($F38&lt;&gt;"Classroom",$F38&lt;&gt;"PT"),"TYPE NOT CREDITED",IF($C38="","NO MAKEUP DATE",IF(NOT(ISNUMBER($C38)),"MAKEUP DATE NOT A DATE",IF(OR(AND($G38&lt;&gt;"",NOT(ISNUMBER($G38))),AND($H38&lt;&gt;"",NOT(ISNUMBER($H38)))),"CREDIT NOT A NUMBER",IF(OR(N($G38)&lt;0,N($H38)&lt;0),"NEGATIVE CREDIT",IF(AND($F38="Classroom",N($G38)&lt;=0),"NO MINUTES CREDITED",IF(AND($F38="PT",N($H38)&lt;=0),"NO SESSIONS CREDITED",IF($I38="","NO LINKED EVENT",IF(COUNTIF(nrAT_ID,$I38)=0,"NO SUCH EVENT",IF(INDEX(nrAT_PID,MATCH($I38,nrAT_ID,0))&lt;&gt;$E38,"WRONG CADET",IF(INDEX(nrAT_IsPT,MATCH($I38,nrAT_ID,0))&lt;&gt;IF($F38="PT","Yes","No"),"UNIT MISMATCH","OK"))))))))))))</f>
        <v/>
      </c>
    </row>
    <row r="39">
      <c r="B39" s="17">
        <f>IF($D39="","","M"&amp;TEXT(ROW()-5,"000"))</f>
        <v/>
      </c>
      <c r="C39" s="18" t="n"/>
      <c r="D39" s="16" t="n"/>
      <c r="E39" s="17">
        <f>IF($D39="","",IFERROR(INDEX(rngCadetPIDs,MATCH($D39,rngCadetNames,0)),"?"))</f>
        <v/>
      </c>
      <c r="F39" s="16" t="n"/>
      <c r="G39" s="16" t="n"/>
      <c r="H39" s="16" t="n"/>
      <c r="I39" s="16" t="n"/>
      <c r="J39" s="16" t="n"/>
      <c r="K39" s="16" t="n"/>
      <c r="L39" s="17">
        <f>IF($D39="","",IF(AND($J39="Received",$K39&lt;&gt;"Yes",LEFT($N39,2)="OK"),"Yes","No"))</f>
        <v/>
      </c>
      <c r="M39" s="16" t="n"/>
      <c r="N39" s="17">
        <f>IF($D39="","",IF(AND($F39&lt;&gt;"Classroom",$F39&lt;&gt;"PT"),"TYPE NOT CREDITED",IF($C39="","NO MAKEUP DATE",IF(NOT(ISNUMBER($C39)),"MAKEUP DATE NOT A DATE",IF(OR(AND($G39&lt;&gt;"",NOT(ISNUMBER($G39))),AND($H39&lt;&gt;"",NOT(ISNUMBER($H39)))),"CREDIT NOT A NUMBER",IF(OR(N($G39)&lt;0,N($H39)&lt;0),"NEGATIVE CREDIT",IF(AND($F39="Classroom",N($G39)&lt;=0),"NO MINUTES CREDITED",IF(AND($F39="PT",N($H39)&lt;=0),"NO SESSIONS CREDITED",IF($I39="","NO LINKED EVENT",IF(COUNTIF(nrAT_ID,$I39)=0,"NO SUCH EVENT",IF(INDEX(nrAT_PID,MATCH($I39,nrAT_ID,0))&lt;&gt;$E39,"WRONG CADET",IF(INDEX(nrAT_IsPT,MATCH($I39,nrAT_ID,0))&lt;&gt;IF($F39="PT","Yes","No"),"UNIT MISMATCH","OK"))))))))))))</f>
        <v/>
      </c>
    </row>
    <row r="40">
      <c r="B40" s="17">
        <f>IF($D40="","","M"&amp;TEXT(ROW()-5,"000"))</f>
        <v/>
      </c>
      <c r="C40" s="18" t="n"/>
      <c r="D40" s="16" t="n"/>
      <c r="E40" s="17">
        <f>IF($D40="","",IFERROR(INDEX(rngCadetPIDs,MATCH($D40,rngCadetNames,0)),"?"))</f>
        <v/>
      </c>
      <c r="F40" s="16" t="n"/>
      <c r="G40" s="16" t="n"/>
      <c r="H40" s="16" t="n"/>
      <c r="I40" s="16" t="n"/>
      <c r="J40" s="16" t="n"/>
      <c r="K40" s="16" t="n"/>
      <c r="L40" s="17">
        <f>IF($D40="","",IF(AND($J40="Received",$K40&lt;&gt;"Yes",LEFT($N40,2)="OK"),"Yes","No"))</f>
        <v/>
      </c>
      <c r="M40" s="16" t="n"/>
      <c r="N40" s="17">
        <f>IF($D40="","",IF(AND($F40&lt;&gt;"Classroom",$F40&lt;&gt;"PT"),"TYPE NOT CREDITED",IF($C40="","NO MAKEUP DATE",IF(NOT(ISNUMBER($C40)),"MAKEUP DATE NOT A DATE",IF(OR(AND($G40&lt;&gt;"",NOT(ISNUMBER($G40))),AND($H40&lt;&gt;"",NOT(ISNUMBER($H40)))),"CREDIT NOT A NUMBER",IF(OR(N($G40)&lt;0,N($H40)&lt;0),"NEGATIVE CREDIT",IF(AND($F40="Classroom",N($G40)&lt;=0),"NO MINUTES CREDITED",IF(AND($F40="PT",N($H40)&lt;=0),"NO SESSIONS CREDITED",IF($I40="","NO LINKED EVENT",IF(COUNTIF(nrAT_ID,$I40)=0,"NO SUCH EVENT",IF(INDEX(nrAT_PID,MATCH($I40,nrAT_ID,0))&lt;&gt;$E40,"WRONG CADET",IF(INDEX(nrAT_IsPT,MATCH($I40,nrAT_ID,0))&lt;&gt;IF($F40="PT","Yes","No"),"UNIT MISMATCH","OK"))))))))))))</f>
        <v/>
      </c>
    </row>
    <row r="41">
      <c r="B41" s="17">
        <f>IF($D41="","","M"&amp;TEXT(ROW()-5,"000"))</f>
        <v/>
      </c>
      <c r="C41" s="18" t="n"/>
      <c r="D41" s="16" t="n"/>
      <c r="E41" s="17">
        <f>IF($D41="","",IFERROR(INDEX(rngCadetPIDs,MATCH($D41,rngCadetNames,0)),"?"))</f>
        <v/>
      </c>
      <c r="F41" s="16" t="n"/>
      <c r="G41" s="16" t="n"/>
      <c r="H41" s="16" t="n"/>
      <c r="I41" s="16" t="n"/>
      <c r="J41" s="16" t="n"/>
      <c r="K41" s="16" t="n"/>
      <c r="L41" s="17">
        <f>IF($D41="","",IF(AND($J41="Received",$K41&lt;&gt;"Yes",LEFT($N41,2)="OK"),"Yes","No"))</f>
        <v/>
      </c>
      <c r="M41" s="16" t="n"/>
      <c r="N41" s="17">
        <f>IF($D41="","",IF(AND($F41&lt;&gt;"Classroom",$F41&lt;&gt;"PT"),"TYPE NOT CREDITED",IF($C41="","NO MAKEUP DATE",IF(NOT(ISNUMBER($C41)),"MAKEUP DATE NOT A DATE",IF(OR(AND($G41&lt;&gt;"",NOT(ISNUMBER($G41))),AND($H41&lt;&gt;"",NOT(ISNUMBER($H41)))),"CREDIT NOT A NUMBER",IF(OR(N($G41)&lt;0,N($H41)&lt;0),"NEGATIVE CREDIT",IF(AND($F41="Classroom",N($G41)&lt;=0),"NO MINUTES CREDITED",IF(AND($F41="PT",N($H41)&lt;=0),"NO SESSIONS CREDITED",IF($I41="","NO LINKED EVENT",IF(COUNTIF(nrAT_ID,$I41)=0,"NO SUCH EVENT",IF(INDEX(nrAT_PID,MATCH($I41,nrAT_ID,0))&lt;&gt;$E41,"WRONG CADET",IF(INDEX(nrAT_IsPT,MATCH($I41,nrAT_ID,0))&lt;&gt;IF($F41="PT","Yes","No"),"UNIT MISMATCH","OK"))))))))))))</f>
        <v/>
      </c>
    </row>
    <row r="42">
      <c r="B42" s="17">
        <f>IF($D42="","","M"&amp;TEXT(ROW()-5,"000"))</f>
        <v/>
      </c>
      <c r="C42" s="18" t="n"/>
      <c r="D42" s="16" t="n"/>
      <c r="E42" s="17">
        <f>IF($D42="","",IFERROR(INDEX(rngCadetPIDs,MATCH($D42,rngCadetNames,0)),"?"))</f>
        <v/>
      </c>
      <c r="F42" s="16" t="n"/>
      <c r="G42" s="16" t="n"/>
      <c r="H42" s="16" t="n"/>
      <c r="I42" s="16" t="n"/>
      <c r="J42" s="16" t="n"/>
      <c r="K42" s="16" t="n"/>
      <c r="L42" s="17">
        <f>IF($D42="","",IF(AND($J42="Received",$K42&lt;&gt;"Yes",LEFT($N42,2)="OK"),"Yes","No"))</f>
        <v/>
      </c>
      <c r="M42" s="16" t="n"/>
      <c r="N42" s="17">
        <f>IF($D42="","",IF(AND($F42&lt;&gt;"Classroom",$F42&lt;&gt;"PT"),"TYPE NOT CREDITED",IF($C42="","NO MAKEUP DATE",IF(NOT(ISNUMBER($C42)),"MAKEUP DATE NOT A DATE",IF(OR(AND($G42&lt;&gt;"",NOT(ISNUMBER($G42))),AND($H42&lt;&gt;"",NOT(ISNUMBER($H42)))),"CREDIT NOT A NUMBER",IF(OR(N($G42)&lt;0,N($H42)&lt;0),"NEGATIVE CREDIT",IF(AND($F42="Classroom",N($G42)&lt;=0),"NO MINUTES CREDITED",IF(AND($F42="PT",N($H42)&lt;=0),"NO SESSIONS CREDITED",IF($I42="","NO LINKED EVENT",IF(COUNTIF(nrAT_ID,$I42)=0,"NO SUCH EVENT",IF(INDEX(nrAT_PID,MATCH($I42,nrAT_ID,0))&lt;&gt;$E42,"WRONG CADET",IF(INDEX(nrAT_IsPT,MATCH($I42,nrAT_ID,0))&lt;&gt;IF($F42="PT","Yes","No"),"UNIT MISMATCH","OK"))))))))))))</f>
        <v/>
      </c>
    </row>
    <row r="43">
      <c r="B43" s="17">
        <f>IF($D43="","","M"&amp;TEXT(ROW()-5,"000"))</f>
        <v/>
      </c>
      <c r="C43" s="18" t="n"/>
      <c r="D43" s="16" t="n"/>
      <c r="E43" s="17">
        <f>IF($D43="","",IFERROR(INDEX(rngCadetPIDs,MATCH($D43,rngCadetNames,0)),"?"))</f>
        <v/>
      </c>
      <c r="F43" s="16" t="n"/>
      <c r="G43" s="16" t="n"/>
      <c r="H43" s="16" t="n"/>
      <c r="I43" s="16" t="n"/>
      <c r="J43" s="16" t="n"/>
      <c r="K43" s="16" t="n"/>
      <c r="L43" s="17">
        <f>IF($D43="","",IF(AND($J43="Received",$K43&lt;&gt;"Yes",LEFT($N43,2)="OK"),"Yes","No"))</f>
        <v/>
      </c>
      <c r="M43" s="16" t="n"/>
      <c r="N43" s="17">
        <f>IF($D43="","",IF(AND($F43&lt;&gt;"Classroom",$F43&lt;&gt;"PT"),"TYPE NOT CREDITED",IF($C43="","NO MAKEUP DATE",IF(NOT(ISNUMBER($C43)),"MAKEUP DATE NOT A DATE",IF(OR(AND($G43&lt;&gt;"",NOT(ISNUMBER($G43))),AND($H43&lt;&gt;"",NOT(ISNUMBER($H43)))),"CREDIT NOT A NUMBER",IF(OR(N($G43)&lt;0,N($H43)&lt;0),"NEGATIVE CREDIT",IF(AND($F43="Classroom",N($G43)&lt;=0),"NO MINUTES CREDITED",IF(AND($F43="PT",N($H43)&lt;=0),"NO SESSIONS CREDITED",IF($I43="","NO LINKED EVENT",IF(COUNTIF(nrAT_ID,$I43)=0,"NO SUCH EVENT",IF(INDEX(nrAT_PID,MATCH($I43,nrAT_ID,0))&lt;&gt;$E43,"WRONG CADET",IF(INDEX(nrAT_IsPT,MATCH($I43,nrAT_ID,0))&lt;&gt;IF($F43="PT","Yes","No"),"UNIT MISMATCH","OK"))))))))))))</f>
        <v/>
      </c>
    </row>
    <row r="44">
      <c r="B44" s="17">
        <f>IF($D44="","","M"&amp;TEXT(ROW()-5,"000"))</f>
        <v/>
      </c>
      <c r="C44" s="18" t="n"/>
      <c r="D44" s="16" t="n"/>
      <c r="E44" s="17">
        <f>IF($D44="","",IFERROR(INDEX(rngCadetPIDs,MATCH($D44,rngCadetNames,0)),"?"))</f>
        <v/>
      </c>
      <c r="F44" s="16" t="n"/>
      <c r="G44" s="16" t="n"/>
      <c r="H44" s="16" t="n"/>
      <c r="I44" s="16" t="n"/>
      <c r="J44" s="16" t="n"/>
      <c r="K44" s="16" t="n"/>
      <c r="L44" s="17">
        <f>IF($D44="","",IF(AND($J44="Received",$K44&lt;&gt;"Yes",LEFT($N44,2)="OK"),"Yes","No"))</f>
        <v/>
      </c>
      <c r="M44" s="16" t="n"/>
      <c r="N44" s="17">
        <f>IF($D44="","",IF(AND($F44&lt;&gt;"Classroom",$F44&lt;&gt;"PT"),"TYPE NOT CREDITED",IF($C44="","NO MAKEUP DATE",IF(NOT(ISNUMBER($C44)),"MAKEUP DATE NOT A DATE",IF(OR(AND($G44&lt;&gt;"",NOT(ISNUMBER($G44))),AND($H44&lt;&gt;"",NOT(ISNUMBER($H44)))),"CREDIT NOT A NUMBER",IF(OR(N($G44)&lt;0,N($H44)&lt;0),"NEGATIVE CREDIT",IF(AND($F44="Classroom",N($G44)&lt;=0),"NO MINUTES CREDITED",IF(AND($F44="PT",N($H44)&lt;=0),"NO SESSIONS CREDITED",IF($I44="","NO LINKED EVENT",IF(COUNTIF(nrAT_ID,$I44)=0,"NO SUCH EVENT",IF(INDEX(nrAT_PID,MATCH($I44,nrAT_ID,0))&lt;&gt;$E44,"WRONG CADET",IF(INDEX(nrAT_IsPT,MATCH($I44,nrAT_ID,0))&lt;&gt;IF($F44="PT","Yes","No"),"UNIT MISMATCH","OK"))))))))))))</f>
        <v/>
      </c>
    </row>
    <row r="45">
      <c r="B45" s="17">
        <f>IF($D45="","","M"&amp;TEXT(ROW()-5,"000"))</f>
        <v/>
      </c>
      <c r="C45" s="18" t="n"/>
      <c r="D45" s="16" t="n"/>
      <c r="E45" s="17">
        <f>IF($D45="","",IFERROR(INDEX(rngCadetPIDs,MATCH($D45,rngCadetNames,0)),"?"))</f>
        <v/>
      </c>
      <c r="F45" s="16" t="n"/>
      <c r="G45" s="16" t="n"/>
      <c r="H45" s="16" t="n"/>
      <c r="I45" s="16" t="n"/>
      <c r="J45" s="16" t="n"/>
      <c r="K45" s="16" t="n"/>
      <c r="L45" s="17">
        <f>IF($D45="","",IF(AND($J45="Received",$K45&lt;&gt;"Yes",LEFT($N45,2)="OK"),"Yes","No"))</f>
        <v/>
      </c>
      <c r="M45" s="16" t="n"/>
      <c r="N45" s="17">
        <f>IF($D45="","",IF(AND($F45&lt;&gt;"Classroom",$F45&lt;&gt;"PT"),"TYPE NOT CREDITED",IF($C45="","NO MAKEUP DATE",IF(NOT(ISNUMBER($C45)),"MAKEUP DATE NOT A DATE",IF(OR(AND($G45&lt;&gt;"",NOT(ISNUMBER($G45))),AND($H45&lt;&gt;"",NOT(ISNUMBER($H45)))),"CREDIT NOT A NUMBER",IF(OR(N($G45)&lt;0,N($H45)&lt;0),"NEGATIVE CREDIT",IF(AND($F45="Classroom",N($G45)&lt;=0),"NO MINUTES CREDITED",IF(AND($F45="PT",N($H45)&lt;=0),"NO SESSIONS CREDITED",IF($I45="","NO LINKED EVENT",IF(COUNTIF(nrAT_ID,$I45)=0,"NO SUCH EVENT",IF(INDEX(nrAT_PID,MATCH($I45,nrAT_ID,0))&lt;&gt;$E45,"WRONG CADET",IF(INDEX(nrAT_IsPT,MATCH($I45,nrAT_ID,0))&lt;&gt;IF($F45="PT","Yes","No"),"UNIT MISMATCH","OK"))))))))))))</f>
        <v/>
      </c>
    </row>
    <row r="46">
      <c r="B46" s="17">
        <f>IF($D46="","","M"&amp;TEXT(ROW()-5,"000"))</f>
        <v/>
      </c>
      <c r="C46" s="18" t="n"/>
      <c r="D46" s="16" t="n"/>
      <c r="E46" s="17">
        <f>IF($D46="","",IFERROR(INDEX(rngCadetPIDs,MATCH($D46,rngCadetNames,0)),"?"))</f>
        <v/>
      </c>
      <c r="F46" s="16" t="n"/>
      <c r="G46" s="16" t="n"/>
      <c r="H46" s="16" t="n"/>
      <c r="I46" s="16" t="n"/>
      <c r="J46" s="16" t="n"/>
      <c r="K46" s="16" t="n"/>
      <c r="L46" s="17">
        <f>IF($D46="","",IF(AND($J46="Received",$K46&lt;&gt;"Yes",LEFT($N46,2)="OK"),"Yes","No"))</f>
        <v/>
      </c>
      <c r="M46" s="16" t="n"/>
      <c r="N46" s="17">
        <f>IF($D46="","",IF(AND($F46&lt;&gt;"Classroom",$F46&lt;&gt;"PT"),"TYPE NOT CREDITED",IF($C46="","NO MAKEUP DATE",IF(NOT(ISNUMBER($C46)),"MAKEUP DATE NOT A DATE",IF(OR(AND($G46&lt;&gt;"",NOT(ISNUMBER($G46))),AND($H46&lt;&gt;"",NOT(ISNUMBER($H46)))),"CREDIT NOT A NUMBER",IF(OR(N($G46)&lt;0,N($H46)&lt;0),"NEGATIVE CREDIT",IF(AND($F46="Classroom",N($G46)&lt;=0),"NO MINUTES CREDITED",IF(AND($F46="PT",N($H46)&lt;=0),"NO SESSIONS CREDITED",IF($I46="","NO LINKED EVENT",IF(COUNTIF(nrAT_ID,$I46)=0,"NO SUCH EVENT",IF(INDEX(nrAT_PID,MATCH($I46,nrAT_ID,0))&lt;&gt;$E46,"WRONG CADET",IF(INDEX(nrAT_IsPT,MATCH($I46,nrAT_ID,0))&lt;&gt;IF($F46="PT","Yes","No"),"UNIT MISMATCH","OK"))))))))))))</f>
        <v/>
      </c>
    </row>
    <row r="47">
      <c r="B47" s="17">
        <f>IF($D47="","","M"&amp;TEXT(ROW()-5,"000"))</f>
        <v/>
      </c>
      <c r="C47" s="18" t="n"/>
      <c r="D47" s="16" t="n"/>
      <c r="E47" s="17">
        <f>IF($D47="","",IFERROR(INDEX(rngCadetPIDs,MATCH($D47,rngCadetNames,0)),"?"))</f>
        <v/>
      </c>
      <c r="F47" s="16" t="n"/>
      <c r="G47" s="16" t="n"/>
      <c r="H47" s="16" t="n"/>
      <c r="I47" s="16" t="n"/>
      <c r="J47" s="16" t="n"/>
      <c r="K47" s="16" t="n"/>
      <c r="L47" s="17">
        <f>IF($D47="","",IF(AND($J47="Received",$K47&lt;&gt;"Yes",LEFT($N47,2)="OK"),"Yes","No"))</f>
        <v/>
      </c>
      <c r="M47" s="16" t="n"/>
      <c r="N47" s="17">
        <f>IF($D47="","",IF(AND($F47&lt;&gt;"Classroom",$F47&lt;&gt;"PT"),"TYPE NOT CREDITED",IF($C47="","NO MAKEUP DATE",IF(NOT(ISNUMBER($C47)),"MAKEUP DATE NOT A DATE",IF(OR(AND($G47&lt;&gt;"",NOT(ISNUMBER($G47))),AND($H47&lt;&gt;"",NOT(ISNUMBER($H47)))),"CREDIT NOT A NUMBER",IF(OR(N($G47)&lt;0,N($H47)&lt;0),"NEGATIVE CREDIT",IF(AND($F47="Classroom",N($G47)&lt;=0),"NO MINUTES CREDITED",IF(AND($F47="PT",N($H47)&lt;=0),"NO SESSIONS CREDITED",IF($I47="","NO LINKED EVENT",IF(COUNTIF(nrAT_ID,$I47)=0,"NO SUCH EVENT",IF(INDEX(nrAT_PID,MATCH($I47,nrAT_ID,0))&lt;&gt;$E47,"WRONG CADET",IF(INDEX(nrAT_IsPT,MATCH($I47,nrAT_ID,0))&lt;&gt;IF($F47="PT","Yes","No"),"UNIT MISMATCH","OK"))))))))))))</f>
        <v/>
      </c>
    </row>
    <row r="48">
      <c r="B48" s="17">
        <f>IF($D48="","","M"&amp;TEXT(ROW()-5,"000"))</f>
        <v/>
      </c>
      <c r="C48" s="18" t="n"/>
      <c r="D48" s="16" t="n"/>
      <c r="E48" s="17">
        <f>IF($D48="","",IFERROR(INDEX(rngCadetPIDs,MATCH($D48,rngCadetNames,0)),"?"))</f>
        <v/>
      </c>
      <c r="F48" s="16" t="n"/>
      <c r="G48" s="16" t="n"/>
      <c r="H48" s="16" t="n"/>
      <c r="I48" s="16" t="n"/>
      <c r="J48" s="16" t="n"/>
      <c r="K48" s="16" t="n"/>
      <c r="L48" s="17">
        <f>IF($D48="","",IF(AND($J48="Received",$K48&lt;&gt;"Yes",LEFT($N48,2)="OK"),"Yes","No"))</f>
        <v/>
      </c>
      <c r="M48" s="16" t="n"/>
      <c r="N48" s="17">
        <f>IF($D48="","",IF(AND($F48&lt;&gt;"Classroom",$F48&lt;&gt;"PT"),"TYPE NOT CREDITED",IF($C48="","NO MAKEUP DATE",IF(NOT(ISNUMBER($C48)),"MAKEUP DATE NOT A DATE",IF(OR(AND($G48&lt;&gt;"",NOT(ISNUMBER($G48))),AND($H48&lt;&gt;"",NOT(ISNUMBER($H48)))),"CREDIT NOT A NUMBER",IF(OR(N($G48)&lt;0,N($H48)&lt;0),"NEGATIVE CREDIT",IF(AND($F48="Classroom",N($G48)&lt;=0),"NO MINUTES CREDITED",IF(AND($F48="PT",N($H48)&lt;=0),"NO SESSIONS CREDITED",IF($I48="","NO LINKED EVENT",IF(COUNTIF(nrAT_ID,$I48)=0,"NO SUCH EVENT",IF(INDEX(nrAT_PID,MATCH($I48,nrAT_ID,0))&lt;&gt;$E48,"WRONG CADET",IF(INDEX(nrAT_IsPT,MATCH($I48,nrAT_ID,0))&lt;&gt;IF($F48="PT","Yes","No"),"UNIT MISMATCH","OK"))))))))))))</f>
        <v/>
      </c>
    </row>
    <row r="49">
      <c r="B49" s="17">
        <f>IF($D49="","","M"&amp;TEXT(ROW()-5,"000"))</f>
        <v/>
      </c>
      <c r="C49" s="18" t="n"/>
      <c r="D49" s="16" t="n"/>
      <c r="E49" s="17">
        <f>IF($D49="","",IFERROR(INDEX(rngCadetPIDs,MATCH($D49,rngCadetNames,0)),"?"))</f>
        <v/>
      </c>
      <c r="F49" s="16" t="n"/>
      <c r="G49" s="16" t="n"/>
      <c r="H49" s="16" t="n"/>
      <c r="I49" s="16" t="n"/>
      <c r="J49" s="16" t="n"/>
      <c r="K49" s="16" t="n"/>
      <c r="L49" s="17">
        <f>IF($D49="","",IF(AND($J49="Received",$K49&lt;&gt;"Yes",LEFT($N49,2)="OK"),"Yes","No"))</f>
        <v/>
      </c>
      <c r="M49" s="16" t="n"/>
      <c r="N49" s="17">
        <f>IF($D49="","",IF(AND($F49&lt;&gt;"Classroom",$F49&lt;&gt;"PT"),"TYPE NOT CREDITED",IF($C49="","NO MAKEUP DATE",IF(NOT(ISNUMBER($C49)),"MAKEUP DATE NOT A DATE",IF(OR(AND($G49&lt;&gt;"",NOT(ISNUMBER($G49))),AND($H49&lt;&gt;"",NOT(ISNUMBER($H49)))),"CREDIT NOT A NUMBER",IF(OR(N($G49)&lt;0,N($H49)&lt;0),"NEGATIVE CREDIT",IF(AND($F49="Classroom",N($G49)&lt;=0),"NO MINUTES CREDITED",IF(AND($F49="PT",N($H49)&lt;=0),"NO SESSIONS CREDITED",IF($I49="","NO LINKED EVENT",IF(COUNTIF(nrAT_ID,$I49)=0,"NO SUCH EVENT",IF(INDEX(nrAT_PID,MATCH($I49,nrAT_ID,0))&lt;&gt;$E49,"WRONG CADET",IF(INDEX(nrAT_IsPT,MATCH($I49,nrAT_ID,0))&lt;&gt;IF($F49="PT","Yes","No"),"UNIT MISMATCH","OK"))))))))))))</f>
        <v/>
      </c>
    </row>
    <row r="50">
      <c r="B50" s="17">
        <f>IF($D50="","","M"&amp;TEXT(ROW()-5,"000"))</f>
        <v/>
      </c>
      <c r="C50" s="18" t="n"/>
      <c r="D50" s="16" t="n"/>
      <c r="E50" s="17">
        <f>IF($D50="","",IFERROR(INDEX(rngCadetPIDs,MATCH($D50,rngCadetNames,0)),"?"))</f>
        <v/>
      </c>
      <c r="F50" s="16" t="n"/>
      <c r="G50" s="16" t="n"/>
      <c r="H50" s="16" t="n"/>
      <c r="I50" s="16" t="n"/>
      <c r="J50" s="16" t="n"/>
      <c r="K50" s="16" t="n"/>
      <c r="L50" s="17">
        <f>IF($D50="","",IF(AND($J50="Received",$K50&lt;&gt;"Yes",LEFT($N50,2)="OK"),"Yes","No"))</f>
        <v/>
      </c>
      <c r="M50" s="16" t="n"/>
      <c r="N50" s="17">
        <f>IF($D50="","",IF(AND($F50&lt;&gt;"Classroom",$F50&lt;&gt;"PT"),"TYPE NOT CREDITED",IF($C50="","NO MAKEUP DATE",IF(NOT(ISNUMBER($C50)),"MAKEUP DATE NOT A DATE",IF(OR(AND($G50&lt;&gt;"",NOT(ISNUMBER($G50))),AND($H50&lt;&gt;"",NOT(ISNUMBER($H50)))),"CREDIT NOT A NUMBER",IF(OR(N($G50)&lt;0,N($H50)&lt;0),"NEGATIVE CREDIT",IF(AND($F50="Classroom",N($G50)&lt;=0),"NO MINUTES CREDITED",IF(AND($F50="PT",N($H50)&lt;=0),"NO SESSIONS CREDITED",IF($I50="","NO LINKED EVENT",IF(COUNTIF(nrAT_ID,$I50)=0,"NO SUCH EVENT",IF(INDEX(nrAT_PID,MATCH($I50,nrAT_ID,0))&lt;&gt;$E50,"WRONG CADET",IF(INDEX(nrAT_IsPT,MATCH($I50,nrAT_ID,0))&lt;&gt;IF($F50="PT","Yes","No"),"UNIT MISMATCH","OK"))))))))))))</f>
        <v/>
      </c>
    </row>
    <row r="51">
      <c r="B51" s="17">
        <f>IF($D51="","","M"&amp;TEXT(ROW()-5,"000"))</f>
        <v/>
      </c>
      <c r="C51" s="18" t="n"/>
      <c r="D51" s="16" t="n"/>
      <c r="E51" s="17">
        <f>IF($D51="","",IFERROR(INDEX(rngCadetPIDs,MATCH($D51,rngCadetNames,0)),"?"))</f>
        <v/>
      </c>
      <c r="F51" s="16" t="n"/>
      <c r="G51" s="16" t="n"/>
      <c r="H51" s="16" t="n"/>
      <c r="I51" s="16" t="n"/>
      <c r="J51" s="16" t="n"/>
      <c r="K51" s="16" t="n"/>
      <c r="L51" s="17">
        <f>IF($D51="","",IF(AND($J51="Received",$K51&lt;&gt;"Yes",LEFT($N51,2)="OK"),"Yes","No"))</f>
        <v/>
      </c>
      <c r="M51" s="16" t="n"/>
      <c r="N51" s="17">
        <f>IF($D51="","",IF(AND($F51&lt;&gt;"Classroom",$F51&lt;&gt;"PT"),"TYPE NOT CREDITED",IF($C51="","NO MAKEUP DATE",IF(NOT(ISNUMBER($C51)),"MAKEUP DATE NOT A DATE",IF(OR(AND($G51&lt;&gt;"",NOT(ISNUMBER($G51))),AND($H51&lt;&gt;"",NOT(ISNUMBER($H51)))),"CREDIT NOT A NUMBER",IF(OR(N($G51)&lt;0,N($H51)&lt;0),"NEGATIVE CREDIT",IF(AND($F51="Classroom",N($G51)&lt;=0),"NO MINUTES CREDITED",IF(AND($F51="PT",N($H51)&lt;=0),"NO SESSIONS CREDITED",IF($I51="","NO LINKED EVENT",IF(COUNTIF(nrAT_ID,$I51)=0,"NO SUCH EVENT",IF(INDEX(nrAT_PID,MATCH($I51,nrAT_ID,0))&lt;&gt;$E51,"WRONG CADET",IF(INDEX(nrAT_IsPT,MATCH($I51,nrAT_ID,0))&lt;&gt;IF($F51="PT","Yes","No"),"UNIT MISMATCH","OK"))))))))))))</f>
        <v/>
      </c>
    </row>
    <row r="52">
      <c r="B52" s="17">
        <f>IF($D52="","","M"&amp;TEXT(ROW()-5,"000"))</f>
        <v/>
      </c>
      <c r="C52" s="18" t="n"/>
      <c r="D52" s="16" t="n"/>
      <c r="E52" s="17">
        <f>IF($D52="","",IFERROR(INDEX(rngCadetPIDs,MATCH($D52,rngCadetNames,0)),"?"))</f>
        <v/>
      </c>
      <c r="F52" s="16" t="n"/>
      <c r="G52" s="16" t="n"/>
      <c r="H52" s="16" t="n"/>
      <c r="I52" s="16" t="n"/>
      <c r="J52" s="16" t="n"/>
      <c r="K52" s="16" t="n"/>
      <c r="L52" s="17">
        <f>IF($D52="","",IF(AND($J52="Received",$K52&lt;&gt;"Yes",LEFT($N52,2)="OK"),"Yes","No"))</f>
        <v/>
      </c>
      <c r="M52" s="16" t="n"/>
      <c r="N52" s="17">
        <f>IF($D52="","",IF(AND($F52&lt;&gt;"Classroom",$F52&lt;&gt;"PT"),"TYPE NOT CREDITED",IF($C52="","NO MAKEUP DATE",IF(NOT(ISNUMBER($C52)),"MAKEUP DATE NOT A DATE",IF(OR(AND($G52&lt;&gt;"",NOT(ISNUMBER($G52))),AND($H52&lt;&gt;"",NOT(ISNUMBER($H52)))),"CREDIT NOT A NUMBER",IF(OR(N($G52)&lt;0,N($H52)&lt;0),"NEGATIVE CREDIT",IF(AND($F52="Classroom",N($G52)&lt;=0),"NO MINUTES CREDITED",IF(AND($F52="PT",N($H52)&lt;=0),"NO SESSIONS CREDITED",IF($I52="","NO LINKED EVENT",IF(COUNTIF(nrAT_ID,$I52)=0,"NO SUCH EVENT",IF(INDEX(nrAT_PID,MATCH($I52,nrAT_ID,0))&lt;&gt;$E52,"WRONG CADET",IF(INDEX(nrAT_IsPT,MATCH($I52,nrAT_ID,0))&lt;&gt;IF($F52="PT","Yes","No"),"UNIT MISMATCH","OK"))))))))))))</f>
        <v/>
      </c>
    </row>
    <row r="53">
      <c r="B53" s="17">
        <f>IF($D53="","","M"&amp;TEXT(ROW()-5,"000"))</f>
        <v/>
      </c>
      <c r="C53" s="18" t="n"/>
      <c r="D53" s="16" t="n"/>
      <c r="E53" s="17">
        <f>IF($D53="","",IFERROR(INDEX(rngCadetPIDs,MATCH($D53,rngCadetNames,0)),"?"))</f>
        <v/>
      </c>
      <c r="F53" s="16" t="n"/>
      <c r="G53" s="16" t="n"/>
      <c r="H53" s="16" t="n"/>
      <c r="I53" s="16" t="n"/>
      <c r="J53" s="16" t="n"/>
      <c r="K53" s="16" t="n"/>
      <c r="L53" s="17">
        <f>IF($D53="","",IF(AND($J53="Received",$K53&lt;&gt;"Yes",LEFT($N53,2)="OK"),"Yes","No"))</f>
        <v/>
      </c>
      <c r="M53" s="16" t="n"/>
      <c r="N53" s="17">
        <f>IF($D53="","",IF(AND($F53&lt;&gt;"Classroom",$F53&lt;&gt;"PT"),"TYPE NOT CREDITED",IF($C53="","NO MAKEUP DATE",IF(NOT(ISNUMBER($C53)),"MAKEUP DATE NOT A DATE",IF(OR(AND($G53&lt;&gt;"",NOT(ISNUMBER($G53))),AND($H53&lt;&gt;"",NOT(ISNUMBER($H53)))),"CREDIT NOT A NUMBER",IF(OR(N($G53)&lt;0,N($H53)&lt;0),"NEGATIVE CREDIT",IF(AND($F53="Classroom",N($G53)&lt;=0),"NO MINUTES CREDITED",IF(AND($F53="PT",N($H53)&lt;=0),"NO SESSIONS CREDITED",IF($I53="","NO LINKED EVENT",IF(COUNTIF(nrAT_ID,$I53)=0,"NO SUCH EVENT",IF(INDEX(nrAT_PID,MATCH($I53,nrAT_ID,0))&lt;&gt;$E53,"WRONG CADET",IF(INDEX(nrAT_IsPT,MATCH($I53,nrAT_ID,0))&lt;&gt;IF($F53="PT","Yes","No"),"UNIT MISMATCH","OK"))))))))))))</f>
        <v/>
      </c>
    </row>
    <row r="54">
      <c r="B54" s="17">
        <f>IF($D54="","","M"&amp;TEXT(ROW()-5,"000"))</f>
        <v/>
      </c>
      <c r="C54" s="18" t="n"/>
      <c r="D54" s="16" t="n"/>
      <c r="E54" s="17">
        <f>IF($D54="","",IFERROR(INDEX(rngCadetPIDs,MATCH($D54,rngCadetNames,0)),"?"))</f>
        <v/>
      </c>
      <c r="F54" s="16" t="n"/>
      <c r="G54" s="16" t="n"/>
      <c r="H54" s="16" t="n"/>
      <c r="I54" s="16" t="n"/>
      <c r="J54" s="16" t="n"/>
      <c r="K54" s="16" t="n"/>
      <c r="L54" s="17">
        <f>IF($D54="","",IF(AND($J54="Received",$K54&lt;&gt;"Yes",LEFT($N54,2)="OK"),"Yes","No"))</f>
        <v/>
      </c>
      <c r="M54" s="16" t="n"/>
      <c r="N54" s="17">
        <f>IF($D54="","",IF(AND($F54&lt;&gt;"Classroom",$F54&lt;&gt;"PT"),"TYPE NOT CREDITED",IF($C54="","NO MAKEUP DATE",IF(NOT(ISNUMBER($C54)),"MAKEUP DATE NOT A DATE",IF(OR(AND($G54&lt;&gt;"",NOT(ISNUMBER($G54))),AND($H54&lt;&gt;"",NOT(ISNUMBER($H54)))),"CREDIT NOT A NUMBER",IF(OR(N($G54)&lt;0,N($H54)&lt;0),"NEGATIVE CREDIT",IF(AND($F54="Classroom",N($G54)&lt;=0),"NO MINUTES CREDITED",IF(AND($F54="PT",N($H54)&lt;=0),"NO SESSIONS CREDITED",IF($I54="","NO LINKED EVENT",IF(COUNTIF(nrAT_ID,$I54)=0,"NO SUCH EVENT",IF(INDEX(nrAT_PID,MATCH($I54,nrAT_ID,0))&lt;&gt;$E54,"WRONG CADET",IF(INDEX(nrAT_IsPT,MATCH($I54,nrAT_ID,0))&lt;&gt;IF($F54="PT","Yes","No"),"UNIT MISMATCH","OK"))))))))))))</f>
        <v/>
      </c>
    </row>
    <row r="55">
      <c r="B55" s="17">
        <f>IF($D55="","","M"&amp;TEXT(ROW()-5,"000"))</f>
        <v/>
      </c>
      <c r="C55" s="18" t="n"/>
      <c r="D55" s="16" t="n"/>
      <c r="E55" s="17">
        <f>IF($D55="","",IFERROR(INDEX(rngCadetPIDs,MATCH($D55,rngCadetNames,0)),"?"))</f>
        <v/>
      </c>
      <c r="F55" s="16" t="n"/>
      <c r="G55" s="16" t="n"/>
      <c r="H55" s="16" t="n"/>
      <c r="I55" s="16" t="n"/>
      <c r="J55" s="16" t="n"/>
      <c r="K55" s="16" t="n"/>
      <c r="L55" s="17">
        <f>IF($D55="","",IF(AND($J55="Received",$K55&lt;&gt;"Yes",LEFT($N55,2)="OK"),"Yes","No"))</f>
        <v/>
      </c>
      <c r="M55" s="16" t="n"/>
      <c r="N55" s="17">
        <f>IF($D55="","",IF(AND($F55&lt;&gt;"Classroom",$F55&lt;&gt;"PT"),"TYPE NOT CREDITED",IF($C55="","NO MAKEUP DATE",IF(NOT(ISNUMBER($C55)),"MAKEUP DATE NOT A DATE",IF(OR(AND($G55&lt;&gt;"",NOT(ISNUMBER($G55))),AND($H55&lt;&gt;"",NOT(ISNUMBER($H55)))),"CREDIT NOT A NUMBER",IF(OR(N($G55)&lt;0,N($H55)&lt;0),"NEGATIVE CREDIT",IF(AND($F55="Classroom",N($G55)&lt;=0),"NO MINUTES CREDITED",IF(AND($F55="PT",N($H55)&lt;=0),"NO SESSIONS CREDITED",IF($I55="","NO LINKED EVENT",IF(COUNTIF(nrAT_ID,$I55)=0,"NO SUCH EVENT",IF(INDEX(nrAT_PID,MATCH($I55,nrAT_ID,0))&lt;&gt;$E55,"WRONG CADET",IF(INDEX(nrAT_IsPT,MATCH($I55,nrAT_ID,0))&lt;&gt;IF($F55="PT","Yes","No"),"UNIT MISMATCH","OK"))))))))))))</f>
        <v/>
      </c>
    </row>
    <row r="56">
      <c r="B56" s="17">
        <f>IF($D56="","","M"&amp;TEXT(ROW()-5,"000"))</f>
        <v/>
      </c>
      <c r="C56" s="18" t="n"/>
      <c r="D56" s="16" t="n"/>
      <c r="E56" s="17">
        <f>IF($D56="","",IFERROR(INDEX(rngCadetPIDs,MATCH($D56,rngCadetNames,0)),"?"))</f>
        <v/>
      </c>
      <c r="F56" s="16" t="n"/>
      <c r="G56" s="16" t="n"/>
      <c r="H56" s="16" t="n"/>
      <c r="I56" s="16" t="n"/>
      <c r="J56" s="16" t="n"/>
      <c r="K56" s="16" t="n"/>
      <c r="L56" s="17">
        <f>IF($D56="","",IF(AND($J56="Received",$K56&lt;&gt;"Yes",LEFT($N56,2)="OK"),"Yes","No"))</f>
        <v/>
      </c>
      <c r="M56" s="16" t="n"/>
      <c r="N56" s="17">
        <f>IF($D56="","",IF(AND($F56&lt;&gt;"Classroom",$F56&lt;&gt;"PT"),"TYPE NOT CREDITED",IF($C56="","NO MAKEUP DATE",IF(NOT(ISNUMBER($C56)),"MAKEUP DATE NOT A DATE",IF(OR(AND($G56&lt;&gt;"",NOT(ISNUMBER($G56))),AND($H56&lt;&gt;"",NOT(ISNUMBER($H56)))),"CREDIT NOT A NUMBER",IF(OR(N($G56)&lt;0,N($H56)&lt;0),"NEGATIVE CREDIT",IF(AND($F56="Classroom",N($G56)&lt;=0),"NO MINUTES CREDITED",IF(AND($F56="PT",N($H56)&lt;=0),"NO SESSIONS CREDITED",IF($I56="","NO LINKED EVENT",IF(COUNTIF(nrAT_ID,$I56)=0,"NO SUCH EVENT",IF(INDEX(nrAT_PID,MATCH($I56,nrAT_ID,0))&lt;&gt;$E56,"WRONG CADET",IF(INDEX(nrAT_IsPT,MATCH($I56,nrAT_ID,0))&lt;&gt;IF($F56="PT","Yes","No"),"UNIT MISMATCH","OK"))))))))))))</f>
        <v/>
      </c>
    </row>
    <row r="57">
      <c r="B57" s="17">
        <f>IF($D57="","","M"&amp;TEXT(ROW()-5,"000"))</f>
        <v/>
      </c>
      <c r="C57" s="18" t="n"/>
      <c r="D57" s="16" t="n"/>
      <c r="E57" s="17">
        <f>IF($D57="","",IFERROR(INDEX(rngCadetPIDs,MATCH($D57,rngCadetNames,0)),"?"))</f>
        <v/>
      </c>
      <c r="F57" s="16" t="n"/>
      <c r="G57" s="16" t="n"/>
      <c r="H57" s="16" t="n"/>
      <c r="I57" s="16" t="n"/>
      <c r="J57" s="16" t="n"/>
      <c r="K57" s="16" t="n"/>
      <c r="L57" s="17">
        <f>IF($D57="","",IF(AND($J57="Received",$K57&lt;&gt;"Yes",LEFT($N57,2)="OK"),"Yes","No"))</f>
        <v/>
      </c>
      <c r="M57" s="16" t="n"/>
      <c r="N57" s="17">
        <f>IF($D57="","",IF(AND($F57&lt;&gt;"Classroom",$F57&lt;&gt;"PT"),"TYPE NOT CREDITED",IF($C57="","NO MAKEUP DATE",IF(NOT(ISNUMBER($C57)),"MAKEUP DATE NOT A DATE",IF(OR(AND($G57&lt;&gt;"",NOT(ISNUMBER($G57))),AND($H57&lt;&gt;"",NOT(ISNUMBER($H57)))),"CREDIT NOT A NUMBER",IF(OR(N($G57)&lt;0,N($H57)&lt;0),"NEGATIVE CREDIT",IF(AND($F57="Classroom",N($G57)&lt;=0),"NO MINUTES CREDITED",IF(AND($F57="PT",N($H57)&lt;=0),"NO SESSIONS CREDITED",IF($I57="","NO LINKED EVENT",IF(COUNTIF(nrAT_ID,$I57)=0,"NO SUCH EVENT",IF(INDEX(nrAT_PID,MATCH($I57,nrAT_ID,0))&lt;&gt;$E57,"WRONG CADET",IF(INDEX(nrAT_IsPT,MATCH($I57,nrAT_ID,0))&lt;&gt;IF($F57="PT","Yes","No"),"UNIT MISMATCH","OK"))))))))))))</f>
        <v/>
      </c>
    </row>
    <row r="58">
      <c r="B58" s="17">
        <f>IF($D58="","","M"&amp;TEXT(ROW()-5,"000"))</f>
        <v/>
      </c>
      <c r="C58" s="18" t="n"/>
      <c r="D58" s="16" t="n"/>
      <c r="E58" s="17">
        <f>IF($D58="","",IFERROR(INDEX(rngCadetPIDs,MATCH($D58,rngCadetNames,0)),"?"))</f>
        <v/>
      </c>
      <c r="F58" s="16" t="n"/>
      <c r="G58" s="16" t="n"/>
      <c r="H58" s="16" t="n"/>
      <c r="I58" s="16" t="n"/>
      <c r="J58" s="16" t="n"/>
      <c r="K58" s="16" t="n"/>
      <c r="L58" s="17">
        <f>IF($D58="","",IF(AND($J58="Received",$K58&lt;&gt;"Yes",LEFT($N58,2)="OK"),"Yes","No"))</f>
        <v/>
      </c>
      <c r="M58" s="16" t="n"/>
      <c r="N58" s="17">
        <f>IF($D58="","",IF(AND($F58&lt;&gt;"Classroom",$F58&lt;&gt;"PT"),"TYPE NOT CREDITED",IF($C58="","NO MAKEUP DATE",IF(NOT(ISNUMBER($C58)),"MAKEUP DATE NOT A DATE",IF(OR(AND($G58&lt;&gt;"",NOT(ISNUMBER($G58))),AND($H58&lt;&gt;"",NOT(ISNUMBER($H58)))),"CREDIT NOT A NUMBER",IF(OR(N($G58)&lt;0,N($H58)&lt;0),"NEGATIVE CREDIT",IF(AND($F58="Classroom",N($G58)&lt;=0),"NO MINUTES CREDITED",IF(AND($F58="PT",N($H58)&lt;=0),"NO SESSIONS CREDITED",IF($I58="","NO LINKED EVENT",IF(COUNTIF(nrAT_ID,$I58)=0,"NO SUCH EVENT",IF(INDEX(nrAT_PID,MATCH($I58,nrAT_ID,0))&lt;&gt;$E58,"WRONG CADET",IF(INDEX(nrAT_IsPT,MATCH($I58,nrAT_ID,0))&lt;&gt;IF($F58="PT","Yes","No"),"UNIT MISMATCH","OK"))))))))))))</f>
        <v/>
      </c>
    </row>
    <row r="59">
      <c r="B59" s="17">
        <f>IF($D59="","","M"&amp;TEXT(ROW()-5,"000"))</f>
        <v/>
      </c>
      <c r="C59" s="18" t="n"/>
      <c r="D59" s="16" t="n"/>
      <c r="E59" s="17">
        <f>IF($D59="","",IFERROR(INDEX(rngCadetPIDs,MATCH($D59,rngCadetNames,0)),"?"))</f>
        <v/>
      </c>
      <c r="F59" s="16" t="n"/>
      <c r="G59" s="16" t="n"/>
      <c r="H59" s="16" t="n"/>
      <c r="I59" s="16" t="n"/>
      <c r="J59" s="16" t="n"/>
      <c r="K59" s="16" t="n"/>
      <c r="L59" s="17">
        <f>IF($D59="","",IF(AND($J59="Received",$K59&lt;&gt;"Yes",LEFT($N59,2)="OK"),"Yes","No"))</f>
        <v/>
      </c>
      <c r="M59" s="16" t="n"/>
      <c r="N59" s="17">
        <f>IF($D59="","",IF(AND($F59&lt;&gt;"Classroom",$F59&lt;&gt;"PT"),"TYPE NOT CREDITED",IF($C59="","NO MAKEUP DATE",IF(NOT(ISNUMBER($C59)),"MAKEUP DATE NOT A DATE",IF(OR(AND($G59&lt;&gt;"",NOT(ISNUMBER($G59))),AND($H59&lt;&gt;"",NOT(ISNUMBER($H59)))),"CREDIT NOT A NUMBER",IF(OR(N($G59)&lt;0,N($H59)&lt;0),"NEGATIVE CREDIT",IF(AND($F59="Classroom",N($G59)&lt;=0),"NO MINUTES CREDITED",IF(AND($F59="PT",N($H59)&lt;=0),"NO SESSIONS CREDITED",IF($I59="","NO LINKED EVENT",IF(COUNTIF(nrAT_ID,$I59)=0,"NO SUCH EVENT",IF(INDEX(nrAT_PID,MATCH($I59,nrAT_ID,0))&lt;&gt;$E59,"WRONG CADET",IF(INDEX(nrAT_IsPT,MATCH($I59,nrAT_ID,0))&lt;&gt;IF($F59="PT","Yes","No"),"UNIT MISMATCH","OK"))))))))))))</f>
        <v/>
      </c>
    </row>
    <row r="60">
      <c r="B60" s="17">
        <f>IF($D60="","","M"&amp;TEXT(ROW()-5,"000"))</f>
        <v/>
      </c>
      <c r="C60" s="18" t="n"/>
      <c r="D60" s="16" t="n"/>
      <c r="E60" s="17">
        <f>IF($D60="","",IFERROR(INDEX(rngCadetPIDs,MATCH($D60,rngCadetNames,0)),"?"))</f>
        <v/>
      </c>
      <c r="F60" s="16" t="n"/>
      <c r="G60" s="16" t="n"/>
      <c r="H60" s="16" t="n"/>
      <c r="I60" s="16" t="n"/>
      <c r="J60" s="16" t="n"/>
      <c r="K60" s="16" t="n"/>
      <c r="L60" s="17">
        <f>IF($D60="","",IF(AND($J60="Received",$K60&lt;&gt;"Yes",LEFT($N60,2)="OK"),"Yes","No"))</f>
        <v/>
      </c>
      <c r="M60" s="16" t="n"/>
      <c r="N60" s="17">
        <f>IF($D60="","",IF(AND($F60&lt;&gt;"Classroom",$F60&lt;&gt;"PT"),"TYPE NOT CREDITED",IF($C60="","NO MAKEUP DATE",IF(NOT(ISNUMBER($C60)),"MAKEUP DATE NOT A DATE",IF(OR(AND($G60&lt;&gt;"",NOT(ISNUMBER($G60))),AND($H60&lt;&gt;"",NOT(ISNUMBER($H60)))),"CREDIT NOT A NUMBER",IF(OR(N($G60)&lt;0,N($H60)&lt;0),"NEGATIVE CREDIT",IF(AND($F60="Classroom",N($G60)&lt;=0),"NO MINUTES CREDITED",IF(AND($F60="PT",N($H60)&lt;=0),"NO SESSIONS CREDITED",IF($I60="","NO LINKED EVENT",IF(COUNTIF(nrAT_ID,$I60)=0,"NO SUCH EVENT",IF(INDEX(nrAT_PID,MATCH($I60,nrAT_ID,0))&lt;&gt;$E60,"WRONG CADET",IF(INDEX(nrAT_IsPT,MATCH($I60,nrAT_ID,0))&lt;&gt;IF($F60="PT","Yes","No"),"UNIT MISMATCH","OK"))))))))))))</f>
        <v/>
      </c>
    </row>
    <row r="61">
      <c r="B61" s="17">
        <f>IF($D61="","","M"&amp;TEXT(ROW()-5,"000"))</f>
        <v/>
      </c>
      <c r="C61" s="18" t="n"/>
      <c r="D61" s="16" t="n"/>
      <c r="E61" s="17">
        <f>IF($D61="","",IFERROR(INDEX(rngCadetPIDs,MATCH($D61,rngCadetNames,0)),"?"))</f>
        <v/>
      </c>
      <c r="F61" s="16" t="n"/>
      <c r="G61" s="16" t="n"/>
      <c r="H61" s="16" t="n"/>
      <c r="I61" s="16" t="n"/>
      <c r="J61" s="16" t="n"/>
      <c r="K61" s="16" t="n"/>
      <c r="L61" s="17">
        <f>IF($D61="","",IF(AND($J61="Received",$K61&lt;&gt;"Yes",LEFT($N61,2)="OK"),"Yes","No"))</f>
        <v/>
      </c>
      <c r="M61" s="16" t="n"/>
      <c r="N61" s="17">
        <f>IF($D61="","",IF(AND($F61&lt;&gt;"Classroom",$F61&lt;&gt;"PT"),"TYPE NOT CREDITED",IF($C61="","NO MAKEUP DATE",IF(NOT(ISNUMBER($C61)),"MAKEUP DATE NOT A DATE",IF(OR(AND($G61&lt;&gt;"",NOT(ISNUMBER($G61))),AND($H61&lt;&gt;"",NOT(ISNUMBER($H61)))),"CREDIT NOT A NUMBER",IF(OR(N($G61)&lt;0,N($H61)&lt;0),"NEGATIVE CREDIT",IF(AND($F61="Classroom",N($G61)&lt;=0),"NO MINUTES CREDITED",IF(AND($F61="PT",N($H61)&lt;=0),"NO SESSIONS CREDITED",IF($I61="","NO LINKED EVENT",IF(COUNTIF(nrAT_ID,$I61)=0,"NO SUCH EVENT",IF(INDEX(nrAT_PID,MATCH($I61,nrAT_ID,0))&lt;&gt;$E61,"WRONG CADET",IF(INDEX(nrAT_IsPT,MATCH($I61,nrAT_ID,0))&lt;&gt;IF($F61="PT","Yes","No"),"UNIT MISMATCH","OK"))))))))))))</f>
        <v/>
      </c>
    </row>
    <row r="62">
      <c r="B62" s="17">
        <f>IF($D62="","","M"&amp;TEXT(ROW()-5,"000"))</f>
        <v/>
      </c>
      <c r="C62" s="18" t="n"/>
      <c r="D62" s="16" t="n"/>
      <c r="E62" s="17">
        <f>IF($D62="","",IFERROR(INDEX(rngCadetPIDs,MATCH($D62,rngCadetNames,0)),"?"))</f>
        <v/>
      </c>
      <c r="F62" s="16" t="n"/>
      <c r="G62" s="16" t="n"/>
      <c r="H62" s="16" t="n"/>
      <c r="I62" s="16" t="n"/>
      <c r="J62" s="16" t="n"/>
      <c r="K62" s="16" t="n"/>
      <c r="L62" s="17">
        <f>IF($D62="","",IF(AND($J62="Received",$K62&lt;&gt;"Yes",LEFT($N62,2)="OK"),"Yes","No"))</f>
        <v/>
      </c>
      <c r="M62" s="16" t="n"/>
      <c r="N62" s="17">
        <f>IF($D62="","",IF(AND($F62&lt;&gt;"Classroom",$F62&lt;&gt;"PT"),"TYPE NOT CREDITED",IF($C62="","NO MAKEUP DATE",IF(NOT(ISNUMBER($C62)),"MAKEUP DATE NOT A DATE",IF(OR(AND($G62&lt;&gt;"",NOT(ISNUMBER($G62))),AND($H62&lt;&gt;"",NOT(ISNUMBER($H62)))),"CREDIT NOT A NUMBER",IF(OR(N($G62)&lt;0,N($H62)&lt;0),"NEGATIVE CREDIT",IF(AND($F62="Classroom",N($G62)&lt;=0),"NO MINUTES CREDITED",IF(AND($F62="PT",N($H62)&lt;=0),"NO SESSIONS CREDITED",IF($I62="","NO LINKED EVENT",IF(COUNTIF(nrAT_ID,$I62)=0,"NO SUCH EVENT",IF(INDEX(nrAT_PID,MATCH($I62,nrAT_ID,0))&lt;&gt;$E62,"WRONG CADET",IF(INDEX(nrAT_IsPT,MATCH($I62,nrAT_ID,0))&lt;&gt;IF($F62="PT","Yes","No"),"UNIT MISMATCH","OK"))))))))))))</f>
        <v/>
      </c>
    </row>
    <row r="63">
      <c r="B63" s="17">
        <f>IF($D63="","","M"&amp;TEXT(ROW()-5,"000"))</f>
        <v/>
      </c>
      <c r="C63" s="18" t="n"/>
      <c r="D63" s="16" t="n"/>
      <c r="E63" s="17">
        <f>IF($D63="","",IFERROR(INDEX(rngCadetPIDs,MATCH($D63,rngCadetNames,0)),"?"))</f>
        <v/>
      </c>
      <c r="F63" s="16" t="n"/>
      <c r="G63" s="16" t="n"/>
      <c r="H63" s="16" t="n"/>
      <c r="I63" s="16" t="n"/>
      <c r="J63" s="16" t="n"/>
      <c r="K63" s="16" t="n"/>
      <c r="L63" s="17">
        <f>IF($D63="","",IF(AND($J63="Received",$K63&lt;&gt;"Yes",LEFT($N63,2)="OK"),"Yes","No"))</f>
        <v/>
      </c>
      <c r="M63" s="16" t="n"/>
      <c r="N63" s="17">
        <f>IF($D63="","",IF(AND($F63&lt;&gt;"Classroom",$F63&lt;&gt;"PT"),"TYPE NOT CREDITED",IF($C63="","NO MAKEUP DATE",IF(NOT(ISNUMBER($C63)),"MAKEUP DATE NOT A DATE",IF(OR(AND($G63&lt;&gt;"",NOT(ISNUMBER($G63))),AND($H63&lt;&gt;"",NOT(ISNUMBER($H63)))),"CREDIT NOT A NUMBER",IF(OR(N($G63)&lt;0,N($H63)&lt;0),"NEGATIVE CREDIT",IF(AND($F63="Classroom",N($G63)&lt;=0),"NO MINUTES CREDITED",IF(AND($F63="PT",N($H63)&lt;=0),"NO SESSIONS CREDITED",IF($I63="","NO LINKED EVENT",IF(COUNTIF(nrAT_ID,$I63)=0,"NO SUCH EVENT",IF(INDEX(nrAT_PID,MATCH($I63,nrAT_ID,0))&lt;&gt;$E63,"WRONG CADET",IF(INDEX(nrAT_IsPT,MATCH($I63,nrAT_ID,0))&lt;&gt;IF($F63="PT","Yes","No"),"UNIT MISMATCH","OK"))))))))))))</f>
        <v/>
      </c>
    </row>
    <row r="64">
      <c r="B64" s="17">
        <f>IF($D64="","","M"&amp;TEXT(ROW()-5,"000"))</f>
        <v/>
      </c>
      <c r="C64" s="18" t="n"/>
      <c r="D64" s="16" t="n"/>
      <c r="E64" s="17">
        <f>IF($D64="","",IFERROR(INDEX(rngCadetPIDs,MATCH($D64,rngCadetNames,0)),"?"))</f>
        <v/>
      </c>
      <c r="F64" s="16" t="n"/>
      <c r="G64" s="16" t="n"/>
      <c r="H64" s="16" t="n"/>
      <c r="I64" s="16" t="n"/>
      <c r="J64" s="16" t="n"/>
      <c r="K64" s="16" t="n"/>
      <c r="L64" s="17">
        <f>IF($D64="","",IF(AND($J64="Received",$K64&lt;&gt;"Yes",LEFT($N64,2)="OK"),"Yes","No"))</f>
        <v/>
      </c>
      <c r="M64" s="16" t="n"/>
      <c r="N64" s="17">
        <f>IF($D64="","",IF(AND($F64&lt;&gt;"Classroom",$F64&lt;&gt;"PT"),"TYPE NOT CREDITED",IF($C64="","NO MAKEUP DATE",IF(NOT(ISNUMBER($C64)),"MAKEUP DATE NOT A DATE",IF(OR(AND($G64&lt;&gt;"",NOT(ISNUMBER($G64))),AND($H64&lt;&gt;"",NOT(ISNUMBER($H64)))),"CREDIT NOT A NUMBER",IF(OR(N($G64)&lt;0,N($H64)&lt;0),"NEGATIVE CREDIT",IF(AND($F64="Classroom",N($G64)&lt;=0),"NO MINUTES CREDITED",IF(AND($F64="PT",N($H64)&lt;=0),"NO SESSIONS CREDITED",IF($I64="","NO LINKED EVENT",IF(COUNTIF(nrAT_ID,$I64)=0,"NO SUCH EVENT",IF(INDEX(nrAT_PID,MATCH($I64,nrAT_ID,0))&lt;&gt;$E64,"WRONG CADET",IF(INDEX(nrAT_IsPT,MATCH($I64,nrAT_ID,0))&lt;&gt;IF($F64="PT","Yes","No"),"UNIT MISMATCH","OK"))))))))))))</f>
        <v/>
      </c>
    </row>
    <row r="65">
      <c r="B65" s="17">
        <f>IF($D65="","","M"&amp;TEXT(ROW()-5,"000"))</f>
        <v/>
      </c>
      <c r="C65" s="18" t="n"/>
      <c r="D65" s="16" t="n"/>
      <c r="E65" s="17">
        <f>IF($D65="","",IFERROR(INDEX(rngCadetPIDs,MATCH($D65,rngCadetNames,0)),"?"))</f>
        <v/>
      </c>
      <c r="F65" s="16" t="n"/>
      <c r="G65" s="16" t="n"/>
      <c r="H65" s="16" t="n"/>
      <c r="I65" s="16" t="n"/>
      <c r="J65" s="16" t="n"/>
      <c r="K65" s="16" t="n"/>
      <c r="L65" s="17">
        <f>IF($D65="","",IF(AND($J65="Received",$K65&lt;&gt;"Yes",LEFT($N65,2)="OK"),"Yes","No"))</f>
        <v/>
      </c>
      <c r="M65" s="16" t="n"/>
      <c r="N65" s="17">
        <f>IF($D65="","",IF(AND($F65&lt;&gt;"Classroom",$F65&lt;&gt;"PT"),"TYPE NOT CREDITED",IF($C65="","NO MAKEUP DATE",IF(NOT(ISNUMBER($C65)),"MAKEUP DATE NOT A DATE",IF(OR(AND($G65&lt;&gt;"",NOT(ISNUMBER($G65))),AND($H65&lt;&gt;"",NOT(ISNUMBER($H65)))),"CREDIT NOT A NUMBER",IF(OR(N($G65)&lt;0,N($H65)&lt;0),"NEGATIVE CREDIT",IF(AND($F65="Classroom",N($G65)&lt;=0),"NO MINUTES CREDITED",IF(AND($F65="PT",N($H65)&lt;=0),"NO SESSIONS CREDITED",IF($I65="","NO LINKED EVENT",IF(COUNTIF(nrAT_ID,$I65)=0,"NO SUCH EVENT",IF(INDEX(nrAT_PID,MATCH($I65,nrAT_ID,0))&lt;&gt;$E65,"WRONG CADET",IF(INDEX(nrAT_IsPT,MATCH($I65,nrAT_ID,0))&lt;&gt;IF($F65="PT","Yes","No"),"UNIT MISMATCH","OK"))))))))))))</f>
        <v/>
      </c>
    </row>
    <row r="66">
      <c r="B66" s="17">
        <f>IF($D66="","","M"&amp;TEXT(ROW()-5,"000"))</f>
        <v/>
      </c>
      <c r="C66" s="18" t="n"/>
      <c r="D66" s="16" t="n"/>
      <c r="E66" s="17">
        <f>IF($D66="","",IFERROR(INDEX(rngCadetPIDs,MATCH($D66,rngCadetNames,0)),"?"))</f>
        <v/>
      </c>
      <c r="F66" s="16" t="n"/>
      <c r="G66" s="16" t="n"/>
      <c r="H66" s="16" t="n"/>
      <c r="I66" s="16" t="n"/>
      <c r="J66" s="16" t="n"/>
      <c r="K66" s="16" t="n"/>
      <c r="L66" s="17">
        <f>IF($D66="","",IF(AND($J66="Received",$K66&lt;&gt;"Yes",LEFT($N66,2)="OK"),"Yes","No"))</f>
        <v/>
      </c>
      <c r="M66" s="16" t="n"/>
      <c r="N66" s="17">
        <f>IF($D66="","",IF(AND($F66&lt;&gt;"Classroom",$F66&lt;&gt;"PT"),"TYPE NOT CREDITED",IF($C66="","NO MAKEUP DATE",IF(NOT(ISNUMBER($C66)),"MAKEUP DATE NOT A DATE",IF(OR(AND($G66&lt;&gt;"",NOT(ISNUMBER($G66))),AND($H66&lt;&gt;"",NOT(ISNUMBER($H66)))),"CREDIT NOT A NUMBER",IF(OR(N($G66)&lt;0,N($H66)&lt;0),"NEGATIVE CREDIT",IF(AND($F66="Classroom",N($G66)&lt;=0),"NO MINUTES CREDITED",IF(AND($F66="PT",N($H66)&lt;=0),"NO SESSIONS CREDITED",IF($I66="","NO LINKED EVENT",IF(COUNTIF(nrAT_ID,$I66)=0,"NO SUCH EVENT",IF(INDEX(nrAT_PID,MATCH($I66,nrAT_ID,0))&lt;&gt;$E66,"WRONG CADET",IF(INDEX(nrAT_IsPT,MATCH($I66,nrAT_ID,0))&lt;&gt;IF($F66="PT","Yes","No"),"UNIT MISMATCH","OK"))))))))))))</f>
        <v/>
      </c>
    </row>
    <row r="67">
      <c r="B67" s="17">
        <f>IF($D67="","","M"&amp;TEXT(ROW()-5,"000"))</f>
        <v/>
      </c>
      <c r="C67" s="18" t="n"/>
      <c r="D67" s="16" t="n"/>
      <c r="E67" s="17">
        <f>IF($D67="","",IFERROR(INDEX(rngCadetPIDs,MATCH($D67,rngCadetNames,0)),"?"))</f>
        <v/>
      </c>
      <c r="F67" s="16" t="n"/>
      <c r="G67" s="16" t="n"/>
      <c r="H67" s="16" t="n"/>
      <c r="I67" s="16" t="n"/>
      <c r="J67" s="16" t="n"/>
      <c r="K67" s="16" t="n"/>
      <c r="L67" s="17">
        <f>IF($D67="","",IF(AND($J67="Received",$K67&lt;&gt;"Yes",LEFT($N67,2)="OK"),"Yes","No"))</f>
        <v/>
      </c>
      <c r="M67" s="16" t="n"/>
      <c r="N67" s="17">
        <f>IF($D67="","",IF(AND($F67&lt;&gt;"Classroom",$F67&lt;&gt;"PT"),"TYPE NOT CREDITED",IF($C67="","NO MAKEUP DATE",IF(NOT(ISNUMBER($C67)),"MAKEUP DATE NOT A DATE",IF(OR(AND($G67&lt;&gt;"",NOT(ISNUMBER($G67))),AND($H67&lt;&gt;"",NOT(ISNUMBER($H67)))),"CREDIT NOT A NUMBER",IF(OR(N($G67)&lt;0,N($H67)&lt;0),"NEGATIVE CREDIT",IF(AND($F67="Classroom",N($G67)&lt;=0),"NO MINUTES CREDITED",IF(AND($F67="PT",N($H67)&lt;=0),"NO SESSIONS CREDITED",IF($I67="","NO LINKED EVENT",IF(COUNTIF(nrAT_ID,$I67)=0,"NO SUCH EVENT",IF(INDEX(nrAT_PID,MATCH($I67,nrAT_ID,0))&lt;&gt;$E67,"WRONG CADET",IF(INDEX(nrAT_IsPT,MATCH($I67,nrAT_ID,0))&lt;&gt;IF($F67="PT","Yes","No"),"UNIT MISMATCH","OK"))))))))))))</f>
        <v/>
      </c>
    </row>
    <row r="68">
      <c r="B68" s="17">
        <f>IF($D68="","","M"&amp;TEXT(ROW()-5,"000"))</f>
        <v/>
      </c>
      <c r="C68" s="18" t="n"/>
      <c r="D68" s="16" t="n"/>
      <c r="E68" s="17">
        <f>IF($D68="","",IFERROR(INDEX(rngCadetPIDs,MATCH($D68,rngCadetNames,0)),"?"))</f>
        <v/>
      </c>
      <c r="F68" s="16" t="n"/>
      <c r="G68" s="16" t="n"/>
      <c r="H68" s="16" t="n"/>
      <c r="I68" s="16" t="n"/>
      <c r="J68" s="16" t="n"/>
      <c r="K68" s="16" t="n"/>
      <c r="L68" s="17">
        <f>IF($D68="","",IF(AND($J68="Received",$K68&lt;&gt;"Yes",LEFT($N68,2)="OK"),"Yes","No"))</f>
        <v/>
      </c>
      <c r="M68" s="16" t="n"/>
      <c r="N68" s="17">
        <f>IF($D68="","",IF(AND($F68&lt;&gt;"Classroom",$F68&lt;&gt;"PT"),"TYPE NOT CREDITED",IF($C68="","NO MAKEUP DATE",IF(NOT(ISNUMBER($C68)),"MAKEUP DATE NOT A DATE",IF(OR(AND($G68&lt;&gt;"",NOT(ISNUMBER($G68))),AND($H68&lt;&gt;"",NOT(ISNUMBER($H68)))),"CREDIT NOT A NUMBER",IF(OR(N($G68)&lt;0,N($H68)&lt;0),"NEGATIVE CREDIT",IF(AND($F68="Classroom",N($G68)&lt;=0),"NO MINUTES CREDITED",IF(AND($F68="PT",N($H68)&lt;=0),"NO SESSIONS CREDITED",IF($I68="","NO LINKED EVENT",IF(COUNTIF(nrAT_ID,$I68)=0,"NO SUCH EVENT",IF(INDEX(nrAT_PID,MATCH($I68,nrAT_ID,0))&lt;&gt;$E68,"WRONG CADET",IF(INDEX(nrAT_IsPT,MATCH($I68,nrAT_ID,0))&lt;&gt;IF($F68="PT","Yes","No"),"UNIT MISMATCH","OK"))))))))))))</f>
        <v/>
      </c>
    </row>
    <row r="69">
      <c r="B69" s="17">
        <f>IF($D69="","","M"&amp;TEXT(ROW()-5,"000"))</f>
        <v/>
      </c>
      <c r="C69" s="18" t="n"/>
      <c r="D69" s="16" t="n"/>
      <c r="E69" s="17">
        <f>IF($D69="","",IFERROR(INDEX(rngCadetPIDs,MATCH($D69,rngCadetNames,0)),"?"))</f>
        <v/>
      </c>
      <c r="F69" s="16" t="n"/>
      <c r="G69" s="16" t="n"/>
      <c r="H69" s="16" t="n"/>
      <c r="I69" s="16" t="n"/>
      <c r="J69" s="16" t="n"/>
      <c r="K69" s="16" t="n"/>
      <c r="L69" s="17">
        <f>IF($D69="","",IF(AND($J69="Received",$K69&lt;&gt;"Yes",LEFT($N69,2)="OK"),"Yes","No"))</f>
        <v/>
      </c>
      <c r="M69" s="16" t="n"/>
      <c r="N69" s="17">
        <f>IF($D69="","",IF(AND($F69&lt;&gt;"Classroom",$F69&lt;&gt;"PT"),"TYPE NOT CREDITED",IF($C69="","NO MAKEUP DATE",IF(NOT(ISNUMBER($C69)),"MAKEUP DATE NOT A DATE",IF(OR(AND($G69&lt;&gt;"",NOT(ISNUMBER($G69))),AND($H69&lt;&gt;"",NOT(ISNUMBER($H69)))),"CREDIT NOT A NUMBER",IF(OR(N($G69)&lt;0,N($H69)&lt;0),"NEGATIVE CREDIT",IF(AND($F69="Classroom",N($G69)&lt;=0),"NO MINUTES CREDITED",IF(AND($F69="PT",N($H69)&lt;=0),"NO SESSIONS CREDITED",IF($I69="","NO LINKED EVENT",IF(COUNTIF(nrAT_ID,$I69)=0,"NO SUCH EVENT",IF(INDEX(nrAT_PID,MATCH($I69,nrAT_ID,0))&lt;&gt;$E69,"WRONG CADET",IF(INDEX(nrAT_IsPT,MATCH($I69,nrAT_ID,0))&lt;&gt;IF($F69="PT","Yes","No"),"UNIT MISMATCH","OK"))))))))))))</f>
        <v/>
      </c>
    </row>
    <row r="70">
      <c r="B70" s="17">
        <f>IF($D70="","","M"&amp;TEXT(ROW()-5,"000"))</f>
        <v/>
      </c>
      <c r="C70" s="18" t="n"/>
      <c r="D70" s="16" t="n"/>
      <c r="E70" s="17">
        <f>IF($D70="","",IFERROR(INDEX(rngCadetPIDs,MATCH($D70,rngCadetNames,0)),"?"))</f>
        <v/>
      </c>
      <c r="F70" s="16" t="n"/>
      <c r="G70" s="16" t="n"/>
      <c r="H70" s="16" t="n"/>
      <c r="I70" s="16" t="n"/>
      <c r="J70" s="16" t="n"/>
      <c r="K70" s="16" t="n"/>
      <c r="L70" s="17">
        <f>IF($D70="","",IF(AND($J70="Received",$K70&lt;&gt;"Yes",LEFT($N70,2)="OK"),"Yes","No"))</f>
        <v/>
      </c>
      <c r="M70" s="16" t="n"/>
      <c r="N70" s="17">
        <f>IF($D70="","",IF(AND($F70&lt;&gt;"Classroom",$F70&lt;&gt;"PT"),"TYPE NOT CREDITED",IF($C70="","NO MAKEUP DATE",IF(NOT(ISNUMBER($C70)),"MAKEUP DATE NOT A DATE",IF(OR(AND($G70&lt;&gt;"",NOT(ISNUMBER($G70))),AND($H70&lt;&gt;"",NOT(ISNUMBER($H70)))),"CREDIT NOT A NUMBER",IF(OR(N($G70)&lt;0,N($H70)&lt;0),"NEGATIVE CREDIT",IF(AND($F70="Classroom",N($G70)&lt;=0),"NO MINUTES CREDITED",IF(AND($F70="PT",N($H70)&lt;=0),"NO SESSIONS CREDITED",IF($I70="","NO LINKED EVENT",IF(COUNTIF(nrAT_ID,$I70)=0,"NO SUCH EVENT",IF(INDEX(nrAT_PID,MATCH($I70,nrAT_ID,0))&lt;&gt;$E70,"WRONG CADET",IF(INDEX(nrAT_IsPT,MATCH($I70,nrAT_ID,0))&lt;&gt;IF($F70="PT","Yes","No"),"UNIT MISMATCH","OK"))))))))))))</f>
        <v/>
      </c>
    </row>
    <row r="71">
      <c r="B71" s="17">
        <f>IF($D71="","","M"&amp;TEXT(ROW()-5,"000"))</f>
        <v/>
      </c>
      <c r="C71" s="18" t="n"/>
      <c r="D71" s="16" t="n"/>
      <c r="E71" s="17">
        <f>IF($D71="","",IFERROR(INDEX(rngCadetPIDs,MATCH($D71,rngCadetNames,0)),"?"))</f>
        <v/>
      </c>
      <c r="F71" s="16" t="n"/>
      <c r="G71" s="16" t="n"/>
      <c r="H71" s="16" t="n"/>
      <c r="I71" s="16" t="n"/>
      <c r="J71" s="16" t="n"/>
      <c r="K71" s="16" t="n"/>
      <c r="L71" s="17">
        <f>IF($D71="","",IF(AND($J71="Received",$K71&lt;&gt;"Yes",LEFT($N71,2)="OK"),"Yes","No"))</f>
        <v/>
      </c>
      <c r="M71" s="16" t="n"/>
      <c r="N71" s="17">
        <f>IF($D71="","",IF(AND($F71&lt;&gt;"Classroom",$F71&lt;&gt;"PT"),"TYPE NOT CREDITED",IF($C71="","NO MAKEUP DATE",IF(NOT(ISNUMBER($C71)),"MAKEUP DATE NOT A DATE",IF(OR(AND($G71&lt;&gt;"",NOT(ISNUMBER($G71))),AND($H71&lt;&gt;"",NOT(ISNUMBER($H71)))),"CREDIT NOT A NUMBER",IF(OR(N($G71)&lt;0,N($H71)&lt;0),"NEGATIVE CREDIT",IF(AND($F71="Classroom",N($G71)&lt;=0),"NO MINUTES CREDITED",IF(AND($F71="PT",N($H71)&lt;=0),"NO SESSIONS CREDITED",IF($I71="","NO LINKED EVENT",IF(COUNTIF(nrAT_ID,$I71)=0,"NO SUCH EVENT",IF(INDEX(nrAT_PID,MATCH($I71,nrAT_ID,0))&lt;&gt;$E71,"WRONG CADET",IF(INDEX(nrAT_IsPT,MATCH($I71,nrAT_ID,0))&lt;&gt;IF($F71="PT","Yes","No"),"UNIT MISMATCH","OK"))))))))))))</f>
        <v/>
      </c>
    </row>
    <row r="72">
      <c r="B72" s="17">
        <f>IF($D72="","","M"&amp;TEXT(ROW()-5,"000"))</f>
        <v/>
      </c>
      <c r="C72" s="18" t="n"/>
      <c r="D72" s="16" t="n"/>
      <c r="E72" s="17">
        <f>IF($D72="","",IFERROR(INDEX(rngCadetPIDs,MATCH($D72,rngCadetNames,0)),"?"))</f>
        <v/>
      </c>
      <c r="F72" s="16" t="n"/>
      <c r="G72" s="16" t="n"/>
      <c r="H72" s="16" t="n"/>
      <c r="I72" s="16" t="n"/>
      <c r="J72" s="16" t="n"/>
      <c r="K72" s="16" t="n"/>
      <c r="L72" s="17">
        <f>IF($D72="","",IF(AND($J72="Received",$K72&lt;&gt;"Yes",LEFT($N72,2)="OK"),"Yes","No"))</f>
        <v/>
      </c>
      <c r="M72" s="16" t="n"/>
      <c r="N72" s="17">
        <f>IF($D72="","",IF(AND($F72&lt;&gt;"Classroom",$F72&lt;&gt;"PT"),"TYPE NOT CREDITED",IF($C72="","NO MAKEUP DATE",IF(NOT(ISNUMBER($C72)),"MAKEUP DATE NOT A DATE",IF(OR(AND($G72&lt;&gt;"",NOT(ISNUMBER($G72))),AND($H72&lt;&gt;"",NOT(ISNUMBER($H72)))),"CREDIT NOT A NUMBER",IF(OR(N($G72)&lt;0,N($H72)&lt;0),"NEGATIVE CREDIT",IF(AND($F72="Classroom",N($G72)&lt;=0),"NO MINUTES CREDITED",IF(AND($F72="PT",N($H72)&lt;=0),"NO SESSIONS CREDITED",IF($I72="","NO LINKED EVENT",IF(COUNTIF(nrAT_ID,$I72)=0,"NO SUCH EVENT",IF(INDEX(nrAT_PID,MATCH($I72,nrAT_ID,0))&lt;&gt;$E72,"WRONG CADET",IF(INDEX(nrAT_IsPT,MATCH($I72,nrAT_ID,0))&lt;&gt;IF($F72="PT","Yes","No"),"UNIT MISMATCH","OK"))))))))))))</f>
        <v/>
      </c>
    </row>
    <row r="73">
      <c r="B73" s="17">
        <f>IF($D73="","","M"&amp;TEXT(ROW()-5,"000"))</f>
        <v/>
      </c>
      <c r="C73" s="18" t="n"/>
      <c r="D73" s="16" t="n"/>
      <c r="E73" s="17">
        <f>IF($D73="","",IFERROR(INDEX(rngCadetPIDs,MATCH($D73,rngCadetNames,0)),"?"))</f>
        <v/>
      </c>
      <c r="F73" s="16" t="n"/>
      <c r="G73" s="16" t="n"/>
      <c r="H73" s="16" t="n"/>
      <c r="I73" s="16" t="n"/>
      <c r="J73" s="16" t="n"/>
      <c r="K73" s="16" t="n"/>
      <c r="L73" s="17">
        <f>IF($D73="","",IF(AND($J73="Received",$K73&lt;&gt;"Yes",LEFT($N73,2)="OK"),"Yes","No"))</f>
        <v/>
      </c>
      <c r="M73" s="16" t="n"/>
      <c r="N73" s="17">
        <f>IF($D73="","",IF(AND($F73&lt;&gt;"Classroom",$F73&lt;&gt;"PT"),"TYPE NOT CREDITED",IF($C73="","NO MAKEUP DATE",IF(NOT(ISNUMBER($C73)),"MAKEUP DATE NOT A DATE",IF(OR(AND($G73&lt;&gt;"",NOT(ISNUMBER($G73))),AND($H73&lt;&gt;"",NOT(ISNUMBER($H73)))),"CREDIT NOT A NUMBER",IF(OR(N($G73)&lt;0,N($H73)&lt;0),"NEGATIVE CREDIT",IF(AND($F73="Classroom",N($G73)&lt;=0),"NO MINUTES CREDITED",IF(AND($F73="PT",N($H73)&lt;=0),"NO SESSIONS CREDITED",IF($I73="","NO LINKED EVENT",IF(COUNTIF(nrAT_ID,$I73)=0,"NO SUCH EVENT",IF(INDEX(nrAT_PID,MATCH($I73,nrAT_ID,0))&lt;&gt;$E73,"WRONG CADET",IF(INDEX(nrAT_IsPT,MATCH($I73,nrAT_ID,0))&lt;&gt;IF($F73="PT","Yes","No"),"UNIT MISMATCH","OK"))))))))))))</f>
        <v/>
      </c>
    </row>
    <row r="74">
      <c r="B74" s="17">
        <f>IF($D74="","","M"&amp;TEXT(ROW()-5,"000"))</f>
        <v/>
      </c>
      <c r="C74" s="18" t="n"/>
      <c r="D74" s="16" t="n"/>
      <c r="E74" s="17">
        <f>IF($D74="","",IFERROR(INDEX(rngCadetPIDs,MATCH($D74,rngCadetNames,0)),"?"))</f>
        <v/>
      </c>
      <c r="F74" s="16" t="n"/>
      <c r="G74" s="16" t="n"/>
      <c r="H74" s="16" t="n"/>
      <c r="I74" s="16" t="n"/>
      <c r="J74" s="16" t="n"/>
      <c r="K74" s="16" t="n"/>
      <c r="L74" s="17">
        <f>IF($D74="","",IF(AND($J74="Received",$K74&lt;&gt;"Yes",LEFT($N74,2)="OK"),"Yes","No"))</f>
        <v/>
      </c>
      <c r="M74" s="16" t="n"/>
      <c r="N74" s="17">
        <f>IF($D74="","",IF(AND($F74&lt;&gt;"Classroom",$F74&lt;&gt;"PT"),"TYPE NOT CREDITED",IF($C74="","NO MAKEUP DATE",IF(NOT(ISNUMBER($C74)),"MAKEUP DATE NOT A DATE",IF(OR(AND($G74&lt;&gt;"",NOT(ISNUMBER($G74))),AND($H74&lt;&gt;"",NOT(ISNUMBER($H74)))),"CREDIT NOT A NUMBER",IF(OR(N($G74)&lt;0,N($H74)&lt;0),"NEGATIVE CREDIT",IF(AND($F74="Classroom",N($G74)&lt;=0),"NO MINUTES CREDITED",IF(AND($F74="PT",N($H74)&lt;=0),"NO SESSIONS CREDITED",IF($I74="","NO LINKED EVENT",IF(COUNTIF(nrAT_ID,$I74)=0,"NO SUCH EVENT",IF(INDEX(nrAT_PID,MATCH($I74,nrAT_ID,0))&lt;&gt;$E74,"WRONG CADET",IF(INDEX(nrAT_IsPT,MATCH($I74,nrAT_ID,0))&lt;&gt;IF($F74="PT","Yes","No"),"UNIT MISMATCH","OK"))))))))))))</f>
        <v/>
      </c>
    </row>
    <row r="75">
      <c r="B75" s="17">
        <f>IF($D75="","","M"&amp;TEXT(ROW()-5,"000"))</f>
        <v/>
      </c>
      <c r="C75" s="18" t="n"/>
      <c r="D75" s="16" t="n"/>
      <c r="E75" s="17">
        <f>IF($D75="","",IFERROR(INDEX(rngCadetPIDs,MATCH($D75,rngCadetNames,0)),"?"))</f>
        <v/>
      </c>
      <c r="F75" s="16" t="n"/>
      <c r="G75" s="16" t="n"/>
      <c r="H75" s="16" t="n"/>
      <c r="I75" s="16" t="n"/>
      <c r="J75" s="16" t="n"/>
      <c r="K75" s="16" t="n"/>
      <c r="L75" s="17">
        <f>IF($D75="","",IF(AND($J75="Received",$K75&lt;&gt;"Yes",LEFT($N75,2)="OK"),"Yes","No"))</f>
        <v/>
      </c>
      <c r="M75" s="16" t="n"/>
      <c r="N75" s="17">
        <f>IF($D75="","",IF(AND($F75&lt;&gt;"Classroom",$F75&lt;&gt;"PT"),"TYPE NOT CREDITED",IF($C75="","NO MAKEUP DATE",IF(NOT(ISNUMBER($C75)),"MAKEUP DATE NOT A DATE",IF(OR(AND($G75&lt;&gt;"",NOT(ISNUMBER($G75))),AND($H75&lt;&gt;"",NOT(ISNUMBER($H75)))),"CREDIT NOT A NUMBER",IF(OR(N($G75)&lt;0,N($H75)&lt;0),"NEGATIVE CREDIT",IF(AND($F75="Classroom",N($G75)&lt;=0),"NO MINUTES CREDITED",IF(AND($F75="PT",N($H75)&lt;=0),"NO SESSIONS CREDITED",IF($I75="","NO LINKED EVENT",IF(COUNTIF(nrAT_ID,$I75)=0,"NO SUCH EVENT",IF(INDEX(nrAT_PID,MATCH($I75,nrAT_ID,0))&lt;&gt;$E75,"WRONG CADET",IF(INDEX(nrAT_IsPT,MATCH($I75,nrAT_ID,0))&lt;&gt;IF($F75="PT","Yes","No"),"UNIT MISMATCH","OK"))))))))))))</f>
        <v/>
      </c>
    </row>
    <row r="76">
      <c r="B76" s="17">
        <f>IF($D76="","","M"&amp;TEXT(ROW()-5,"000"))</f>
        <v/>
      </c>
      <c r="C76" s="18" t="n"/>
      <c r="D76" s="16" t="n"/>
      <c r="E76" s="17">
        <f>IF($D76="","",IFERROR(INDEX(rngCadetPIDs,MATCH($D76,rngCadetNames,0)),"?"))</f>
        <v/>
      </c>
      <c r="F76" s="16" t="n"/>
      <c r="G76" s="16" t="n"/>
      <c r="H76" s="16" t="n"/>
      <c r="I76" s="16" t="n"/>
      <c r="J76" s="16" t="n"/>
      <c r="K76" s="16" t="n"/>
      <c r="L76" s="17">
        <f>IF($D76="","",IF(AND($J76="Received",$K76&lt;&gt;"Yes",LEFT($N76,2)="OK"),"Yes","No"))</f>
        <v/>
      </c>
      <c r="M76" s="16" t="n"/>
      <c r="N76" s="17">
        <f>IF($D76="","",IF(AND($F76&lt;&gt;"Classroom",$F76&lt;&gt;"PT"),"TYPE NOT CREDITED",IF($C76="","NO MAKEUP DATE",IF(NOT(ISNUMBER($C76)),"MAKEUP DATE NOT A DATE",IF(OR(AND($G76&lt;&gt;"",NOT(ISNUMBER($G76))),AND($H76&lt;&gt;"",NOT(ISNUMBER($H76)))),"CREDIT NOT A NUMBER",IF(OR(N($G76)&lt;0,N($H76)&lt;0),"NEGATIVE CREDIT",IF(AND($F76="Classroom",N($G76)&lt;=0),"NO MINUTES CREDITED",IF(AND($F76="PT",N($H76)&lt;=0),"NO SESSIONS CREDITED",IF($I76="","NO LINKED EVENT",IF(COUNTIF(nrAT_ID,$I76)=0,"NO SUCH EVENT",IF(INDEX(nrAT_PID,MATCH($I76,nrAT_ID,0))&lt;&gt;$E76,"WRONG CADET",IF(INDEX(nrAT_IsPT,MATCH($I76,nrAT_ID,0))&lt;&gt;IF($F76="PT","Yes","No"),"UNIT MISMATCH","OK"))))))))))))</f>
        <v/>
      </c>
    </row>
    <row r="77">
      <c r="B77" s="17">
        <f>IF($D77="","","M"&amp;TEXT(ROW()-5,"000"))</f>
        <v/>
      </c>
      <c r="C77" s="18" t="n"/>
      <c r="D77" s="16" t="n"/>
      <c r="E77" s="17">
        <f>IF($D77="","",IFERROR(INDEX(rngCadetPIDs,MATCH($D77,rngCadetNames,0)),"?"))</f>
        <v/>
      </c>
      <c r="F77" s="16" t="n"/>
      <c r="G77" s="16" t="n"/>
      <c r="H77" s="16" t="n"/>
      <c r="I77" s="16" t="n"/>
      <c r="J77" s="16" t="n"/>
      <c r="K77" s="16" t="n"/>
      <c r="L77" s="17">
        <f>IF($D77="","",IF(AND($J77="Received",$K77&lt;&gt;"Yes",LEFT($N77,2)="OK"),"Yes","No"))</f>
        <v/>
      </c>
      <c r="M77" s="16" t="n"/>
      <c r="N77" s="17">
        <f>IF($D77="","",IF(AND($F77&lt;&gt;"Classroom",$F77&lt;&gt;"PT"),"TYPE NOT CREDITED",IF($C77="","NO MAKEUP DATE",IF(NOT(ISNUMBER($C77)),"MAKEUP DATE NOT A DATE",IF(OR(AND($G77&lt;&gt;"",NOT(ISNUMBER($G77))),AND($H77&lt;&gt;"",NOT(ISNUMBER($H77)))),"CREDIT NOT A NUMBER",IF(OR(N($G77)&lt;0,N($H77)&lt;0),"NEGATIVE CREDIT",IF(AND($F77="Classroom",N($G77)&lt;=0),"NO MINUTES CREDITED",IF(AND($F77="PT",N($H77)&lt;=0),"NO SESSIONS CREDITED",IF($I77="","NO LINKED EVENT",IF(COUNTIF(nrAT_ID,$I77)=0,"NO SUCH EVENT",IF(INDEX(nrAT_PID,MATCH($I77,nrAT_ID,0))&lt;&gt;$E77,"WRONG CADET",IF(INDEX(nrAT_IsPT,MATCH($I77,nrAT_ID,0))&lt;&gt;IF($F77="PT","Yes","No"),"UNIT MISMATCH","OK"))))))))))))</f>
        <v/>
      </c>
    </row>
    <row r="78">
      <c r="B78" s="17">
        <f>IF($D78="","","M"&amp;TEXT(ROW()-5,"000"))</f>
        <v/>
      </c>
      <c r="C78" s="18" t="n"/>
      <c r="D78" s="16" t="n"/>
      <c r="E78" s="17">
        <f>IF($D78="","",IFERROR(INDEX(rngCadetPIDs,MATCH($D78,rngCadetNames,0)),"?"))</f>
        <v/>
      </c>
      <c r="F78" s="16" t="n"/>
      <c r="G78" s="16" t="n"/>
      <c r="H78" s="16" t="n"/>
      <c r="I78" s="16" t="n"/>
      <c r="J78" s="16" t="n"/>
      <c r="K78" s="16" t="n"/>
      <c r="L78" s="17">
        <f>IF($D78="","",IF(AND($J78="Received",$K78&lt;&gt;"Yes",LEFT($N78,2)="OK"),"Yes","No"))</f>
        <v/>
      </c>
      <c r="M78" s="16" t="n"/>
      <c r="N78" s="17">
        <f>IF($D78="","",IF(AND($F78&lt;&gt;"Classroom",$F78&lt;&gt;"PT"),"TYPE NOT CREDITED",IF($C78="","NO MAKEUP DATE",IF(NOT(ISNUMBER($C78)),"MAKEUP DATE NOT A DATE",IF(OR(AND($G78&lt;&gt;"",NOT(ISNUMBER($G78))),AND($H78&lt;&gt;"",NOT(ISNUMBER($H78)))),"CREDIT NOT A NUMBER",IF(OR(N($G78)&lt;0,N($H78)&lt;0),"NEGATIVE CREDIT",IF(AND($F78="Classroom",N($G78)&lt;=0),"NO MINUTES CREDITED",IF(AND($F78="PT",N($H78)&lt;=0),"NO SESSIONS CREDITED",IF($I78="","NO LINKED EVENT",IF(COUNTIF(nrAT_ID,$I78)=0,"NO SUCH EVENT",IF(INDEX(nrAT_PID,MATCH($I78,nrAT_ID,0))&lt;&gt;$E78,"WRONG CADET",IF(INDEX(nrAT_IsPT,MATCH($I78,nrAT_ID,0))&lt;&gt;IF($F78="PT","Yes","No"),"UNIT MISMATCH","OK"))))))))))))</f>
        <v/>
      </c>
    </row>
    <row r="79">
      <c r="B79" s="17">
        <f>IF($D79="","","M"&amp;TEXT(ROW()-5,"000"))</f>
        <v/>
      </c>
      <c r="C79" s="18" t="n"/>
      <c r="D79" s="16" t="n"/>
      <c r="E79" s="17">
        <f>IF($D79="","",IFERROR(INDEX(rngCadetPIDs,MATCH($D79,rngCadetNames,0)),"?"))</f>
        <v/>
      </c>
      <c r="F79" s="16" t="n"/>
      <c r="G79" s="16" t="n"/>
      <c r="H79" s="16" t="n"/>
      <c r="I79" s="16" t="n"/>
      <c r="J79" s="16" t="n"/>
      <c r="K79" s="16" t="n"/>
      <c r="L79" s="17">
        <f>IF($D79="","",IF(AND($J79="Received",$K79&lt;&gt;"Yes",LEFT($N79,2)="OK"),"Yes","No"))</f>
        <v/>
      </c>
      <c r="M79" s="16" t="n"/>
      <c r="N79" s="17">
        <f>IF($D79="","",IF(AND($F79&lt;&gt;"Classroom",$F79&lt;&gt;"PT"),"TYPE NOT CREDITED",IF($C79="","NO MAKEUP DATE",IF(NOT(ISNUMBER($C79)),"MAKEUP DATE NOT A DATE",IF(OR(AND($G79&lt;&gt;"",NOT(ISNUMBER($G79))),AND($H79&lt;&gt;"",NOT(ISNUMBER($H79)))),"CREDIT NOT A NUMBER",IF(OR(N($G79)&lt;0,N($H79)&lt;0),"NEGATIVE CREDIT",IF(AND($F79="Classroom",N($G79)&lt;=0),"NO MINUTES CREDITED",IF(AND($F79="PT",N($H79)&lt;=0),"NO SESSIONS CREDITED",IF($I79="","NO LINKED EVENT",IF(COUNTIF(nrAT_ID,$I79)=0,"NO SUCH EVENT",IF(INDEX(nrAT_PID,MATCH($I79,nrAT_ID,0))&lt;&gt;$E79,"WRONG CADET",IF(INDEX(nrAT_IsPT,MATCH($I79,nrAT_ID,0))&lt;&gt;IF($F79="PT","Yes","No"),"UNIT MISMATCH","OK"))))))))))))</f>
        <v/>
      </c>
    </row>
    <row r="80">
      <c r="B80" s="17">
        <f>IF($D80="","","M"&amp;TEXT(ROW()-5,"000"))</f>
        <v/>
      </c>
      <c r="C80" s="18" t="n"/>
      <c r="D80" s="16" t="n"/>
      <c r="E80" s="17">
        <f>IF($D80="","",IFERROR(INDEX(rngCadetPIDs,MATCH($D80,rngCadetNames,0)),"?"))</f>
        <v/>
      </c>
      <c r="F80" s="16" t="n"/>
      <c r="G80" s="16" t="n"/>
      <c r="H80" s="16" t="n"/>
      <c r="I80" s="16" t="n"/>
      <c r="J80" s="16" t="n"/>
      <c r="K80" s="16" t="n"/>
      <c r="L80" s="17">
        <f>IF($D80="","",IF(AND($J80="Received",$K80&lt;&gt;"Yes",LEFT($N80,2)="OK"),"Yes","No"))</f>
        <v/>
      </c>
      <c r="M80" s="16" t="n"/>
      <c r="N80" s="17">
        <f>IF($D80="","",IF(AND($F80&lt;&gt;"Classroom",$F80&lt;&gt;"PT"),"TYPE NOT CREDITED",IF($C80="","NO MAKEUP DATE",IF(NOT(ISNUMBER($C80)),"MAKEUP DATE NOT A DATE",IF(OR(AND($G80&lt;&gt;"",NOT(ISNUMBER($G80))),AND($H80&lt;&gt;"",NOT(ISNUMBER($H80)))),"CREDIT NOT A NUMBER",IF(OR(N($G80)&lt;0,N($H80)&lt;0),"NEGATIVE CREDIT",IF(AND($F80="Classroom",N($G80)&lt;=0),"NO MINUTES CREDITED",IF(AND($F80="PT",N($H80)&lt;=0),"NO SESSIONS CREDITED",IF($I80="","NO LINKED EVENT",IF(COUNTIF(nrAT_ID,$I80)=0,"NO SUCH EVENT",IF(INDEX(nrAT_PID,MATCH($I80,nrAT_ID,0))&lt;&gt;$E80,"WRONG CADET",IF(INDEX(nrAT_IsPT,MATCH($I80,nrAT_ID,0))&lt;&gt;IF($F80="PT","Yes","No"),"UNIT MISMATCH","OK"))))))))))))</f>
        <v/>
      </c>
    </row>
    <row r="81">
      <c r="B81" s="17">
        <f>IF($D81="","","M"&amp;TEXT(ROW()-5,"000"))</f>
        <v/>
      </c>
      <c r="C81" s="18" t="n"/>
      <c r="D81" s="16" t="n"/>
      <c r="E81" s="17">
        <f>IF($D81="","",IFERROR(INDEX(rngCadetPIDs,MATCH($D81,rngCadetNames,0)),"?"))</f>
        <v/>
      </c>
      <c r="F81" s="16" t="n"/>
      <c r="G81" s="16" t="n"/>
      <c r="H81" s="16" t="n"/>
      <c r="I81" s="16" t="n"/>
      <c r="J81" s="16" t="n"/>
      <c r="K81" s="16" t="n"/>
      <c r="L81" s="17">
        <f>IF($D81="","",IF(AND($J81="Received",$K81&lt;&gt;"Yes",LEFT($N81,2)="OK"),"Yes","No"))</f>
        <v/>
      </c>
      <c r="M81" s="16" t="n"/>
      <c r="N81" s="17">
        <f>IF($D81="","",IF(AND($F81&lt;&gt;"Classroom",$F81&lt;&gt;"PT"),"TYPE NOT CREDITED",IF($C81="","NO MAKEUP DATE",IF(NOT(ISNUMBER($C81)),"MAKEUP DATE NOT A DATE",IF(OR(AND($G81&lt;&gt;"",NOT(ISNUMBER($G81))),AND($H81&lt;&gt;"",NOT(ISNUMBER($H81)))),"CREDIT NOT A NUMBER",IF(OR(N($G81)&lt;0,N($H81)&lt;0),"NEGATIVE CREDIT",IF(AND($F81="Classroom",N($G81)&lt;=0),"NO MINUTES CREDITED",IF(AND($F81="PT",N($H81)&lt;=0),"NO SESSIONS CREDITED",IF($I81="","NO LINKED EVENT",IF(COUNTIF(nrAT_ID,$I81)=0,"NO SUCH EVENT",IF(INDEX(nrAT_PID,MATCH($I81,nrAT_ID,0))&lt;&gt;$E81,"WRONG CADET",IF(INDEX(nrAT_IsPT,MATCH($I81,nrAT_ID,0))&lt;&gt;IF($F81="PT","Yes","No"),"UNIT MISMATCH","OK"))))))))))))</f>
        <v/>
      </c>
    </row>
    <row r="82">
      <c r="B82" s="17">
        <f>IF($D82="","","M"&amp;TEXT(ROW()-5,"000"))</f>
        <v/>
      </c>
      <c r="C82" s="18" t="n"/>
      <c r="D82" s="16" t="n"/>
      <c r="E82" s="17">
        <f>IF($D82="","",IFERROR(INDEX(rngCadetPIDs,MATCH($D82,rngCadetNames,0)),"?"))</f>
        <v/>
      </c>
      <c r="F82" s="16" t="n"/>
      <c r="G82" s="16" t="n"/>
      <c r="H82" s="16" t="n"/>
      <c r="I82" s="16" t="n"/>
      <c r="J82" s="16" t="n"/>
      <c r="K82" s="16" t="n"/>
      <c r="L82" s="17">
        <f>IF($D82="","",IF(AND($J82="Received",$K82&lt;&gt;"Yes",LEFT($N82,2)="OK"),"Yes","No"))</f>
        <v/>
      </c>
      <c r="M82" s="16" t="n"/>
      <c r="N82" s="17">
        <f>IF($D82="","",IF(AND($F82&lt;&gt;"Classroom",$F82&lt;&gt;"PT"),"TYPE NOT CREDITED",IF($C82="","NO MAKEUP DATE",IF(NOT(ISNUMBER($C82)),"MAKEUP DATE NOT A DATE",IF(OR(AND($G82&lt;&gt;"",NOT(ISNUMBER($G82))),AND($H82&lt;&gt;"",NOT(ISNUMBER($H82)))),"CREDIT NOT A NUMBER",IF(OR(N($G82)&lt;0,N($H82)&lt;0),"NEGATIVE CREDIT",IF(AND($F82="Classroom",N($G82)&lt;=0),"NO MINUTES CREDITED",IF(AND($F82="PT",N($H82)&lt;=0),"NO SESSIONS CREDITED",IF($I82="","NO LINKED EVENT",IF(COUNTIF(nrAT_ID,$I82)=0,"NO SUCH EVENT",IF(INDEX(nrAT_PID,MATCH($I82,nrAT_ID,0))&lt;&gt;$E82,"WRONG CADET",IF(INDEX(nrAT_IsPT,MATCH($I82,nrAT_ID,0))&lt;&gt;IF($F82="PT","Yes","No"),"UNIT MISMATCH","OK"))))))))))))</f>
        <v/>
      </c>
    </row>
    <row r="83">
      <c r="B83" s="17">
        <f>IF($D83="","","M"&amp;TEXT(ROW()-5,"000"))</f>
        <v/>
      </c>
      <c r="C83" s="18" t="n"/>
      <c r="D83" s="16" t="n"/>
      <c r="E83" s="17">
        <f>IF($D83="","",IFERROR(INDEX(rngCadetPIDs,MATCH($D83,rngCadetNames,0)),"?"))</f>
        <v/>
      </c>
      <c r="F83" s="16" t="n"/>
      <c r="G83" s="16" t="n"/>
      <c r="H83" s="16" t="n"/>
      <c r="I83" s="16" t="n"/>
      <c r="J83" s="16" t="n"/>
      <c r="K83" s="16" t="n"/>
      <c r="L83" s="17">
        <f>IF($D83="","",IF(AND($J83="Received",$K83&lt;&gt;"Yes",LEFT($N83,2)="OK"),"Yes","No"))</f>
        <v/>
      </c>
      <c r="M83" s="16" t="n"/>
      <c r="N83" s="17">
        <f>IF($D83="","",IF(AND($F83&lt;&gt;"Classroom",$F83&lt;&gt;"PT"),"TYPE NOT CREDITED",IF($C83="","NO MAKEUP DATE",IF(NOT(ISNUMBER($C83)),"MAKEUP DATE NOT A DATE",IF(OR(AND($G83&lt;&gt;"",NOT(ISNUMBER($G83))),AND($H83&lt;&gt;"",NOT(ISNUMBER($H83)))),"CREDIT NOT A NUMBER",IF(OR(N($G83)&lt;0,N($H83)&lt;0),"NEGATIVE CREDIT",IF(AND($F83="Classroom",N($G83)&lt;=0),"NO MINUTES CREDITED",IF(AND($F83="PT",N($H83)&lt;=0),"NO SESSIONS CREDITED",IF($I83="","NO LINKED EVENT",IF(COUNTIF(nrAT_ID,$I83)=0,"NO SUCH EVENT",IF(INDEX(nrAT_PID,MATCH($I83,nrAT_ID,0))&lt;&gt;$E83,"WRONG CADET",IF(INDEX(nrAT_IsPT,MATCH($I83,nrAT_ID,0))&lt;&gt;IF($F83="PT","Yes","No"),"UNIT MISMATCH","OK"))))))))))))</f>
        <v/>
      </c>
    </row>
    <row r="84">
      <c r="B84" s="17">
        <f>IF($D84="","","M"&amp;TEXT(ROW()-5,"000"))</f>
        <v/>
      </c>
      <c r="C84" s="18" t="n"/>
      <c r="D84" s="16" t="n"/>
      <c r="E84" s="17">
        <f>IF($D84="","",IFERROR(INDEX(rngCadetPIDs,MATCH($D84,rngCadetNames,0)),"?"))</f>
        <v/>
      </c>
      <c r="F84" s="16" t="n"/>
      <c r="G84" s="16" t="n"/>
      <c r="H84" s="16" t="n"/>
      <c r="I84" s="16" t="n"/>
      <c r="J84" s="16" t="n"/>
      <c r="K84" s="16" t="n"/>
      <c r="L84" s="17">
        <f>IF($D84="","",IF(AND($J84="Received",$K84&lt;&gt;"Yes",LEFT($N84,2)="OK"),"Yes","No"))</f>
        <v/>
      </c>
      <c r="M84" s="16" t="n"/>
      <c r="N84" s="17">
        <f>IF($D84="","",IF(AND($F84&lt;&gt;"Classroom",$F84&lt;&gt;"PT"),"TYPE NOT CREDITED",IF($C84="","NO MAKEUP DATE",IF(NOT(ISNUMBER($C84)),"MAKEUP DATE NOT A DATE",IF(OR(AND($G84&lt;&gt;"",NOT(ISNUMBER($G84))),AND($H84&lt;&gt;"",NOT(ISNUMBER($H84)))),"CREDIT NOT A NUMBER",IF(OR(N($G84)&lt;0,N($H84)&lt;0),"NEGATIVE CREDIT",IF(AND($F84="Classroom",N($G84)&lt;=0),"NO MINUTES CREDITED",IF(AND($F84="PT",N($H84)&lt;=0),"NO SESSIONS CREDITED",IF($I84="","NO LINKED EVENT",IF(COUNTIF(nrAT_ID,$I84)=0,"NO SUCH EVENT",IF(INDEX(nrAT_PID,MATCH($I84,nrAT_ID,0))&lt;&gt;$E84,"WRONG CADET",IF(INDEX(nrAT_IsPT,MATCH($I84,nrAT_ID,0))&lt;&gt;IF($F84="PT","Yes","No"),"UNIT MISMATCH","OK"))))))))))))</f>
        <v/>
      </c>
    </row>
    <row r="85">
      <c r="B85" s="17">
        <f>IF($D85="","","M"&amp;TEXT(ROW()-5,"000"))</f>
        <v/>
      </c>
      <c r="C85" s="18" t="n"/>
      <c r="D85" s="16" t="n"/>
      <c r="E85" s="17">
        <f>IF($D85="","",IFERROR(INDEX(rngCadetPIDs,MATCH($D85,rngCadetNames,0)),"?"))</f>
        <v/>
      </c>
      <c r="F85" s="16" t="n"/>
      <c r="G85" s="16" t="n"/>
      <c r="H85" s="16" t="n"/>
      <c r="I85" s="16" t="n"/>
      <c r="J85" s="16" t="n"/>
      <c r="K85" s="16" t="n"/>
      <c r="L85" s="17">
        <f>IF($D85="","",IF(AND($J85="Received",$K85&lt;&gt;"Yes",LEFT($N85,2)="OK"),"Yes","No"))</f>
        <v/>
      </c>
      <c r="M85" s="16" t="n"/>
      <c r="N85" s="17">
        <f>IF($D85="","",IF(AND($F85&lt;&gt;"Classroom",$F85&lt;&gt;"PT"),"TYPE NOT CREDITED",IF($C85="","NO MAKEUP DATE",IF(NOT(ISNUMBER($C85)),"MAKEUP DATE NOT A DATE",IF(OR(AND($G85&lt;&gt;"",NOT(ISNUMBER($G85))),AND($H85&lt;&gt;"",NOT(ISNUMBER($H85)))),"CREDIT NOT A NUMBER",IF(OR(N($G85)&lt;0,N($H85)&lt;0),"NEGATIVE CREDIT",IF(AND($F85="Classroom",N($G85)&lt;=0),"NO MINUTES CREDITED",IF(AND($F85="PT",N($H85)&lt;=0),"NO SESSIONS CREDITED",IF($I85="","NO LINKED EVENT",IF(COUNTIF(nrAT_ID,$I85)=0,"NO SUCH EVENT",IF(INDEX(nrAT_PID,MATCH($I85,nrAT_ID,0))&lt;&gt;$E85,"WRONG CADET",IF(INDEX(nrAT_IsPT,MATCH($I85,nrAT_ID,0))&lt;&gt;IF($F85="PT","Yes","No"),"UNIT MISMATCH","OK"))))))))))))</f>
        <v/>
      </c>
    </row>
    <row r="86">
      <c r="B86" s="17">
        <f>IF($D86="","","M"&amp;TEXT(ROW()-5,"000"))</f>
        <v/>
      </c>
      <c r="C86" s="18" t="n"/>
      <c r="D86" s="16" t="n"/>
      <c r="E86" s="17">
        <f>IF($D86="","",IFERROR(INDEX(rngCadetPIDs,MATCH($D86,rngCadetNames,0)),"?"))</f>
        <v/>
      </c>
      <c r="F86" s="16" t="n"/>
      <c r="G86" s="16" t="n"/>
      <c r="H86" s="16" t="n"/>
      <c r="I86" s="16" t="n"/>
      <c r="J86" s="16" t="n"/>
      <c r="K86" s="16" t="n"/>
      <c r="L86" s="17">
        <f>IF($D86="","",IF(AND($J86="Received",$K86&lt;&gt;"Yes",LEFT($N86,2)="OK"),"Yes","No"))</f>
        <v/>
      </c>
      <c r="M86" s="16" t="n"/>
      <c r="N86" s="17">
        <f>IF($D86="","",IF(AND($F86&lt;&gt;"Classroom",$F86&lt;&gt;"PT"),"TYPE NOT CREDITED",IF($C86="","NO MAKEUP DATE",IF(NOT(ISNUMBER($C86)),"MAKEUP DATE NOT A DATE",IF(OR(AND($G86&lt;&gt;"",NOT(ISNUMBER($G86))),AND($H86&lt;&gt;"",NOT(ISNUMBER($H86)))),"CREDIT NOT A NUMBER",IF(OR(N($G86)&lt;0,N($H86)&lt;0),"NEGATIVE CREDIT",IF(AND($F86="Classroom",N($G86)&lt;=0),"NO MINUTES CREDITED",IF(AND($F86="PT",N($H86)&lt;=0),"NO SESSIONS CREDITED",IF($I86="","NO LINKED EVENT",IF(COUNTIF(nrAT_ID,$I86)=0,"NO SUCH EVENT",IF(INDEX(nrAT_PID,MATCH($I86,nrAT_ID,0))&lt;&gt;$E86,"WRONG CADET",IF(INDEX(nrAT_IsPT,MATCH($I86,nrAT_ID,0))&lt;&gt;IF($F86="PT","Yes","No"),"UNIT MISMATCH","OK"))))))))))))</f>
        <v/>
      </c>
    </row>
    <row r="87">
      <c r="B87" s="17">
        <f>IF($D87="","","M"&amp;TEXT(ROW()-5,"000"))</f>
        <v/>
      </c>
      <c r="C87" s="18" t="n"/>
      <c r="D87" s="16" t="n"/>
      <c r="E87" s="17">
        <f>IF($D87="","",IFERROR(INDEX(rngCadetPIDs,MATCH($D87,rngCadetNames,0)),"?"))</f>
        <v/>
      </c>
      <c r="F87" s="16" t="n"/>
      <c r="G87" s="16" t="n"/>
      <c r="H87" s="16" t="n"/>
      <c r="I87" s="16" t="n"/>
      <c r="J87" s="16" t="n"/>
      <c r="K87" s="16" t="n"/>
      <c r="L87" s="17">
        <f>IF($D87="","",IF(AND($J87="Received",$K87&lt;&gt;"Yes",LEFT($N87,2)="OK"),"Yes","No"))</f>
        <v/>
      </c>
      <c r="M87" s="16" t="n"/>
      <c r="N87" s="17">
        <f>IF($D87="","",IF(AND($F87&lt;&gt;"Classroom",$F87&lt;&gt;"PT"),"TYPE NOT CREDITED",IF($C87="","NO MAKEUP DATE",IF(NOT(ISNUMBER($C87)),"MAKEUP DATE NOT A DATE",IF(OR(AND($G87&lt;&gt;"",NOT(ISNUMBER($G87))),AND($H87&lt;&gt;"",NOT(ISNUMBER($H87)))),"CREDIT NOT A NUMBER",IF(OR(N($G87)&lt;0,N($H87)&lt;0),"NEGATIVE CREDIT",IF(AND($F87="Classroom",N($G87)&lt;=0),"NO MINUTES CREDITED",IF(AND($F87="PT",N($H87)&lt;=0),"NO SESSIONS CREDITED",IF($I87="","NO LINKED EVENT",IF(COUNTIF(nrAT_ID,$I87)=0,"NO SUCH EVENT",IF(INDEX(nrAT_PID,MATCH($I87,nrAT_ID,0))&lt;&gt;$E87,"WRONG CADET",IF(INDEX(nrAT_IsPT,MATCH($I87,nrAT_ID,0))&lt;&gt;IF($F87="PT","Yes","No"),"UNIT MISMATCH","OK"))))))))))))</f>
        <v/>
      </c>
    </row>
    <row r="88">
      <c r="B88" s="17">
        <f>IF($D88="","","M"&amp;TEXT(ROW()-5,"000"))</f>
        <v/>
      </c>
      <c r="C88" s="18" t="n"/>
      <c r="D88" s="16" t="n"/>
      <c r="E88" s="17">
        <f>IF($D88="","",IFERROR(INDEX(rngCadetPIDs,MATCH($D88,rngCadetNames,0)),"?"))</f>
        <v/>
      </c>
      <c r="F88" s="16" t="n"/>
      <c r="G88" s="16" t="n"/>
      <c r="H88" s="16" t="n"/>
      <c r="I88" s="16" t="n"/>
      <c r="J88" s="16" t="n"/>
      <c r="K88" s="16" t="n"/>
      <c r="L88" s="17">
        <f>IF($D88="","",IF(AND($J88="Received",$K88&lt;&gt;"Yes",LEFT($N88,2)="OK"),"Yes","No"))</f>
        <v/>
      </c>
      <c r="M88" s="16" t="n"/>
      <c r="N88" s="17">
        <f>IF($D88="","",IF(AND($F88&lt;&gt;"Classroom",$F88&lt;&gt;"PT"),"TYPE NOT CREDITED",IF($C88="","NO MAKEUP DATE",IF(NOT(ISNUMBER($C88)),"MAKEUP DATE NOT A DATE",IF(OR(AND($G88&lt;&gt;"",NOT(ISNUMBER($G88))),AND($H88&lt;&gt;"",NOT(ISNUMBER($H88)))),"CREDIT NOT A NUMBER",IF(OR(N($G88)&lt;0,N($H88)&lt;0),"NEGATIVE CREDIT",IF(AND($F88="Classroom",N($G88)&lt;=0),"NO MINUTES CREDITED",IF(AND($F88="PT",N($H88)&lt;=0),"NO SESSIONS CREDITED",IF($I88="","NO LINKED EVENT",IF(COUNTIF(nrAT_ID,$I88)=0,"NO SUCH EVENT",IF(INDEX(nrAT_PID,MATCH($I88,nrAT_ID,0))&lt;&gt;$E88,"WRONG CADET",IF(INDEX(nrAT_IsPT,MATCH($I88,nrAT_ID,0))&lt;&gt;IF($F88="PT","Yes","No"),"UNIT MISMATCH","OK"))))))))))))</f>
        <v/>
      </c>
    </row>
    <row r="89">
      <c r="B89" s="17">
        <f>IF($D89="","","M"&amp;TEXT(ROW()-5,"000"))</f>
        <v/>
      </c>
      <c r="C89" s="18" t="n"/>
      <c r="D89" s="16" t="n"/>
      <c r="E89" s="17">
        <f>IF($D89="","",IFERROR(INDEX(rngCadetPIDs,MATCH($D89,rngCadetNames,0)),"?"))</f>
        <v/>
      </c>
      <c r="F89" s="16" t="n"/>
      <c r="G89" s="16" t="n"/>
      <c r="H89" s="16" t="n"/>
      <c r="I89" s="16" t="n"/>
      <c r="J89" s="16" t="n"/>
      <c r="K89" s="16" t="n"/>
      <c r="L89" s="17">
        <f>IF($D89="","",IF(AND($J89="Received",$K89&lt;&gt;"Yes",LEFT($N89,2)="OK"),"Yes","No"))</f>
        <v/>
      </c>
      <c r="M89" s="16" t="n"/>
      <c r="N89" s="17">
        <f>IF($D89="","",IF(AND($F89&lt;&gt;"Classroom",$F89&lt;&gt;"PT"),"TYPE NOT CREDITED",IF($C89="","NO MAKEUP DATE",IF(NOT(ISNUMBER($C89)),"MAKEUP DATE NOT A DATE",IF(OR(AND($G89&lt;&gt;"",NOT(ISNUMBER($G89))),AND($H89&lt;&gt;"",NOT(ISNUMBER($H89)))),"CREDIT NOT A NUMBER",IF(OR(N($G89)&lt;0,N($H89)&lt;0),"NEGATIVE CREDIT",IF(AND($F89="Classroom",N($G89)&lt;=0),"NO MINUTES CREDITED",IF(AND($F89="PT",N($H89)&lt;=0),"NO SESSIONS CREDITED",IF($I89="","NO LINKED EVENT",IF(COUNTIF(nrAT_ID,$I89)=0,"NO SUCH EVENT",IF(INDEX(nrAT_PID,MATCH($I89,nrAT_ID,0))&lt;&gt;$E89,"WRONG CADET",IF(INDEX(nrAT_IsPT,MATCH($I89,nrAT_ID,0))&lt;&gt;IF($F89="PT","Yes","No"),"UNIT MISMATCH","OK"))))))))))))</f>
        <v/>
      </c>
    </row>
    <row r="90">
      <c r="B90" s="17">
        <f>IF($D90="","","M"&amp;TEXT(ROW()-5,"000"))</f>
        <v/>
      </c>
      <c r="C90" s="18" t="n"/>
      <c r="D90" s="16" t="n"/>
      <c r="E90" s="17">
        <f>IF($D90="","",IFERROR(INDEX(rngCadetPIDs,MATCH($D90,rngCadetNames,0)),"?"))</f>
        <v/>
      </c>
      <c r="F90" s="16" t="n"/>
      <c r="G90" s="16" t="n"/>
      <c r="H90" s="16" t="n"/>
      <c r="I90" s="16" t="n"/>
      <c r="J90" s="16" t="n"/>
      <c r="K90" s="16" t="n"/>
      <c r="L90" s="17">
        <f>IF($D90="","",IF(AND($J90="Received",$K90&lt;&gt;"Yes",LEFT($N90,2)="OK"),"Yes","No"))</f>
        <v/>
      </c>
      <c r="M90" s="16" t="n"/>
      <c r="N90" s="17">
        <f>IF($D90="","",IF(AND($F90&lt;&gt;"Classroom",$F90&lt;&gt;"PT"),"TYPE NOT CREDITED",IF($C90="","NO MAKEUP DATE",IF(NOT(ISNUMBER($C90)),"MAKEUP DATE NOT A DATE",IF(OR(AND($G90&lt;&gt;"",NOT(ISNUMBER($G90))),AND($H90&lt;&gt;"",NOT(ISNUMBER($H90)))),"CREDIT NOT A NUMBER",IF(OR(N($G90)&lt;0,N($H90)&lt;0),"NEGATIVE CREDIT",IF(AND($F90="Classroom",N($G90)&lt;=0),"NO MINUTES CREDITED",IF(AND($F90="PT",N($H90)&lt;=0),"NO SESSIONS CREDITED",IF($I90="","NO LINKED EVENT",IF(COUNTIF(nrAT_ID,$I90)=0,"NO SUCH EVENT",IF(INDEX(nrAT_PID,MATCH($I90,nrAT_ID,0))&lt;&gt;$E90,"WRONG CADET",IF(INDEX(nrAT_IsPT,MATCH($I90,nrAT_ID,0))&lt;&gt;IF($F90="PT","Yes","No"),"UNIT MISMATCH","OK"))))))))))))</f>
        <v/>
      </c>
    </row>
    <row r="91">
      <c r="B91" s="17">
        <f>IF($D91="","","M"&amp;TEXT(ROW()-5,"000"))</f>
        <v/>
      </c>
      <c r="C91" s="18" t="n"/>
      <c r="D91" s="16" t="n"/>
      <c r="E91" s="17">
        <f>IF($D91="","",IFERROR(INDEX(rngCadetPIDs,MATCH($D91,rngCadetNames,0)),"?"))</f>
        <v/>
      </c>
      <c r="F91" s="16" t="n"/>
      <c r="G91" s="16" t="n"/>
      <c r="H91" s="16" t="n"/>
      <c r="I91" s="16" t="n"/>
      <c r="J91" s="16" t="n"/>
      <c r="K91" s="16" t="n"/>
      <c r="L91" s="17">
        <f>IF($D91="","",IF(AND($J91="Received",$K91&lt;&gt;"Yes",LEFT($N91,2)="OK"),"Yes","No"))</f>
        <v/>
      </c>
      <c r="M91" s="16" t="n"/>
      <c r="N91" s="17">
        <f>IF($D91="","",IF(AND($F91&lt;&gt;"Classroom",$F91&lt;&gt;"PT"),"TYPE NOT CREDITED",IF($C91="","NO MAKEUP DATE",IF(NOT(ISNUMBER($C91)),"MAKEUP DATE NOT A DATE",IF(OR(AND($G91&lt;&gt;"",NOT(ISNUMBER($G91))),AND($H91&lt;&gt;"",NOT(ISNUMBER($H91)))),"CREDIT NOT A NUMBER",IF(OR(N($G91)&lt;0,N($H91)&lt;0),"NEGATIVE CREDIT",IF(AND($F91="Classroom",N($G91)&lt;=0),"NO MINUTES CREDITED",IF(AND($F91="PT",N($H91)&lt;=0),"NO SESSIONS CREDITED",IF($I91="","NO LINKED EVENT",IF(COUNTIF(nrAT_ID,$I91)=0,"NO SUCH EVENT",IF(INDEX(nrAT_PID,MATCH($I91,nrAT_ID,0))&lt;&gt;$E91,"WRONG CADET",IF(INDEX(nrAT_IsPT,MATCH($I91,nrAT_ID,0))&lt;&gt;IF($F91="PT","Yes","No"),"UNIT MISMATCH","OK"))))))))))))</f>
        <v/>
      </c>
    </row>
    <row r="92">
      <c r="B92" s="17">
        <f>IF($D92="","","M"&amp;TEXT(ROW()-5,"000"))</f>
        <v/>
      </c>
      <c r="C92" s="18" t="n"/>
      <c r="D92" s="16" t="n"/>
      <c r="E92" s="17">
        <f>IF($D92="","",IFERROR(INDEX(rngCadetPIDs,MATCH($D92,rngCadetNames,0)),"?"))</f>
        <v/>
      </c>
      <c r="F92" s="16" t="n"/>
      <c r="G92" s="16" t="n"/>
      <c r="H92" s="16" t="n"/>
      <c r="I92" s="16" t="n"/>
      <c r="J92" s="16" t="n"/>
      <c r="K92" s="16" t="n"/>
      <c r="L92" s="17">
        <f>IF($D92="","",IF(AND($J92="Received",$K92&lt;&gt;"Yes",LEFT($N92,2)="OK"),"Yes","No"))</f>
        <v/>
      </c>
      <c r="M92" s="16" t="n"/>
      <c r="N92" s="17">
        <f>IF($D92="","",IF(AND($F92&lt;&gt;"Classroom",$F92&lt;&gt;"PT"),"TYPE NOT CREDITED",IF($C92="","NO MAKEUP DATE",IF(NOT(ISNUMBER($C92)),"MAKEUP DATE NOT A DATE",IF(OR(AND($G92&lt;&gt;"",NOT(ISNUMBER($G92))),AND($H92&lt;&gt;"",NOT(ISNUMBER($H92)))),"CREDIT NOT A NUMBER",IF(OR(N($G92)&lt;0,N($H92)&lt;0),"NEGATIVE CREDIT",IF(AND($F92="Classroom",N($G92)&lt;=0),"NO MINUTES CREDITED",IF(AND($F92="PT",N($H92)&lt;=0),"NO SESSIONS CREDITED",IF($I92="","NO LINKED EVENT",IF(COUNTIF(nrAT_ID,$I92)=0,"NO SUCH EVENT",IF(INDEX(nrAT_PID,MATCH($I92,nrAT_ID,0))&lt;&gt;$E92,"WRONG CADET",IF(INDEX(nrAT_IsPT,MATCH($I92,nrAT_ID,0))&lt;&gt;IF($F92="PT","Yes","No"),"UNIT MISMATCH","OK"))))))))))))</f>
        <v/>
      </c>
    </row>
    <row r="93">
      <c r="B93" s="17">
        <f>IF($D93="","","M"&amp;TEXT(ROW()-5,"000"))</f>
        <v/>
      </c>
      <c r="C93" s="18" t="n"/>
      <c r="D93" s="16" t="n"/>
      <c r="E93" s="17">
        <f>IF($D93="","",IFERROR(INDEX(rngCadetPIDs,MATCH($D93,rngCadetNames,0)),"?"))</f>
        <v/>
      </c>
      <c r="F93" s="16" t="n"/>
      <c r="G93" s="16" t="n"/>
      <c r="H93" s="16" t="n"/>
      <c r="I93" s="16" t="n"/>
      <c r="J93" s="16" t="n"/>
      <c r="K93" s="16" t="n"/>
      <c r="L93" s="17">
        <f>IF($D93="","",IF(AND($J93="Received",$K93&lt;&gt;"Yes",LEFT($N93,2)="OK"),"Yes","No"))</f>
        <v/>
      </c>
      <c r="M93" s="16" t="n"/>
      <c r="N93" s="17">
        <f>IF($D93="","",IF(AND($F93&lt;&gt;"Classroom",$F93&lt;&gt;"PT"),"TYPE NOT CREDITED",IF($C93="","NO MAKEUP DATE",IF(NOT(ISNUMBER($C93)),"MAKEUP DATE NOT A DATE",IF(OR(AND($G93&lt;&gt;"",NOT(ISNUMBER($G93))),AND($H93&lt;&gt;"",NOT(ISNUMBER($H93)))),"CREDIT NOT A NUMBER",IF(OR(N($G93)&lt;0,N($H93)&lt;0),"NEGATIVE CREDIT",IF(AND($F93="Classroom",N($G93)&lt;=0),"NO MINUTES CREDITED",IF(AND($F93="PT",N($H93)&lt;=0),"NO SESSIONS CREDITED",IF($I93="","NO LINKED EVENT",IF(COUNTIF(nrAT_ID,$I93)=0,"NO SUCH EVENT",IF(INDEX(nrAT_PID,MATCH($I93,nrAT_ID,0))&lt;&gt;$E93,"WRONG CADET",IF(INDEX(nrAT_IsPT,MATCH($I93,nrAT_ID,0))&lt;&gt;IF($F93="PT","Yes","No"),"UNIT MISMATCH","OK"))))))))))))</f>
        <v/>
      </c>
    </row>
    <row r="94">
      <c r="B94" s="17">
        <f>IF($D94="","","M"&amp;TEXT(ROW()-5,"000"))</f>
        <v/>
      </c>
      <c r="C94" s="18" t="n"/>
      <c r="D94" s="16" t="n"/>
      <c r="E94" s="17">
        <f>IF($D94="","",IFERROR(INDEX(rngCadetPIDs,MATCH($D94,rngCadetNames,0)),"?"))</f>
        <v/>
      </c>
      <c r="F94" s="16" t="n"/>
      <c r="G94" s="16" t="n"/>
      <c r="H94" s="16" t="n"/>
      <c r="I94" s="16" t="n"/>
      <c r="J94" s="16" t="n"/>
      <c r="K94" s="16" t="n"/>
      <c r="L94" s="17">
        <f>IF($D94="","",IF(AND($J94="Received",$K94&lt;&gt;"Yes",LEFT($N94,2)="OK"),"Yes","No"))</f>
        <v/>
      </c>
      <c r="M94" s="16" t="n"/>
      <c r="N94" s="17">
        <f>IF($D94="","",IF(AND($F94&lt;&gt;"Classroom",$F94&lt;&gt;"PT"),"TYPE NOT CREDITED",IF($C94="","NO MAKEUP DATE",IF(NOT(ISNUMBER($C94)),"MAKEUP DATE NOT A DATE",IF(OR(AND($G94&lt;&gt;"",NOT(ISNUMBER($G94))),AND($H94&lt;&gt;"",NOT(ISNUMBER($H94)))),"CREDIT NOT A NUMBER",IF(OR(N($G94)&lt;0,N($H94)&lt;0),"NEGATIVE CREDIT",IF(AND($F94="Classroom",N($G94)&lt;=0),"NO MINUTES CREDITED",IF(AND($F94="PT",N($H94)&lt;=0),"NO SESSIONS CREDITED",IF($I94="","NO LINKED EVENT",IF(COUNTIF(nrAT_ID,$I94)=0,"NO SUCH EVENT",IF(INDEX(nrAT_PID,MATCH($I94,nrAT_ID,0))&lt;&gt;$E94,"WRONG CADET",IF(INDEX(nrAT_IsPT,MATCH($I94,nrAT_ID,0))&lt;&gt;IF($F94="PT","Yes","No"),"UNIT MISMATCH","OK"))))))))))))</f>
        <v/>
      </c>
    </row>
    <row r="95">
      <c r="B95" s="17">
        <f>IF($D95="","","M"&amp;TEXT(ROW()-5,"000"))</f>
        <v/>
      </c>
      <c r="C95" s="18" t="n"/>
      <c r="D95" s="16" t="n"/>
      <c r="E95" s="17">
        <f>IF($D95="","",IFERROR(INDEX(rngCadetPIDs,MATCH($D95,rngCadetNames,0)),"?"))</f>
        <v/>
      </c>
      <c r="F95" s="16" t="n"/>
      <c r="G95" s="16" t="n"/>
      <c r="H95" s="16" t="n"/>
      <c r="I95" s="16" t="n"/>
      <c r="J95" s="16" t="n"/>
      <c r="K95" s="16" t="n"/>
      <c r="L95" s="17">
        <f>IF($D95="","",IF(AND($J95="Received",$K95&lt;&gt;"Yes",LEFT($N95,2)="OK"),"Yes","No"))</f>
        <v/>
      </c>
      <c r="M95" s="16" t="n"/>
      <c r="N95" s="17">
        <f>IF($D95="","",IF(AND($F95&lt;&gt;"Classroom",$F95&lt;&gt;"PT"),"TYPE NOT CREDITED",IF($C95="","NO MAKEUP DATE",IF(NOT(ISNUMBER($C95)),"MAKEUP DATE NOT A DATE",IF(OR(AND($G95&lt;&gt;"",NOT(ISNUMBER($G95))),AND($H95&lt;&gt;"",NOT(ISNUMBER($H95)))),"CREDIT NOT A NUMBER",IF(OR(N($G95)&lt;0,N($H95)&lt;0),"NEGATIVE CREDIT",IF(AND($F95="Classroom",N($G95)&lt;=0),"NO MINUTES CREDITED",IF(AND($F95="PT",N($H95)&lt;=0),"NO SESSIONS CREDITED",IF($I95="","NO LINKED EVENT",IF(COUNTIF(nrAT_ID,$I95)=0,"NO SUCH EVENT",IF(INDEX(nrAT_PID,MATCH($I95,nrAT_ID,0))&lt;&gt;$E95,"WRONG CADET",IF(INDEX(nrAT_IsPT,MATCH($I95,nrAT_ID,0))&lt;&gt;IF($F95="PT","Yes","No"),"UNIT MISMATCH","OK"))))))))))))</f>
        <v/>
      </c>
    </row>
    <row r="96">
      <c r="B96" s="17">
        <f>IF($D96="","","M"&amp;TEXT(ROW()-5,"000"))</f>
        <v/>
      </c>
      <c r="C96" s="18" t="n"/>
      <c r="D96" s="16" t="n"/>
      <c r="E96" s="17">
        <f>IF($D96="","",IFERROR(INDEX(rngCadetPIDs,MATCH($D96,rngCadetNames,0)),"?"))</f>
        <v/>
      </c>
      <c r="F96" s="16" t="n"/>
      <c r="G96" s="16" t="n"/>
      <c r="H96" s="16" t="n"/>
      <c r="I96" s="16" t="n"/>
      <c r="J96" s="16" t="n"/>
      <c r="K96" s="16" t="n"/>
      <c r="L96" s="17">
        <f>IF($D96="","",IF(AND($J96="Received",$K96&lt;&gt;"Yes",LEFT($N96,2)="OK"),"Yes","No"))</f>
        <v/>
      </c>
      <c r="M96" s="16" t="n"/>
      <c r="N96" s="17">
        <f>IF($D96="","",IF(AND($F96&lt;&gt;"Classroom",$F96&lt;&gt;"PT"),"TYPE NOT CREDITED",IF($C96="","NO MAKEUP DATE",IF(NOT(ISNUMBER($C96)),"MAKEUP DATE NOT A DATE",IF(OR(AND($G96&lt;&gt;"",NOT(ISNUMBER($G96))),AND($H96&lt;&gt;"",NOT(ISNUMBER($H96)))),"CREDIT NOT A NUMBER",IF(OR(N($G96)&lt;0,N($H96)&lt;0),"NEGATIVE CREDIT",IF(AND($F96="Classroom",N($G96)&lt;=0),"NO MINUTES CREDITED",IF(AND($F96="PT",N($H96)&lt;=0),"NO SESSIONS CREDITED",IF($I96="","NO LINKED EVENT",IF(COUNTIF(nrAT_ID,$I96)=0,"NO SUCH EVENT",IF(INDEX(nrAT_PID,MATCH($I96,nrAT_ID,0))&lt;&gt;$E96,"WRONG CADET",IF(INDEX(nrAT_IsPT,MATCH($I96,nrAT_ID,0))&lt;&gt;IF($F96="PT","Yes","No"),"UNIT MISMATCH","OK"))))))))))))</f>
        <v/>
      </c>
    </row>
    <row r="97">
      <c r="B97" s="17">
        <f>IF($D97="","","M"&amp;TEXT(ROW()-5,"000"))</f>
        <v/>
      </c>
      <c r="C97" s="18" t="n"/>
      <c r="D97" s="16" t="n"/>
      <c r="E97" s="17">
        <f>IF($D97="","",IFERROR(INDEX(rngCadetPIDs,MATCH($D97,rngCadetNames,0)),"?"))</f>
        <v/>
      </c>
      <c r="F97" s="16" t="n"/>
      <c r="G97" s="16" t="n"/>
      <c r="H97" s="16" t="n"/>
      <c r="I97" s="16" t="n"/>
      <c r="J97" s="16" t="n"/>
      <c r="K97" s="16" t="n"/>
      <c r="L97" s="17">
        <f>IF($D97="","",IF(AND($J97="Received",$K97&lt;&gt;"Yes",LEFT($N97,2)="OK"),"Yes","No"))</f>
        <v/>
      </c>
      <c r="M97" s="16" t="n"/>
      <c r="N97" s="17">
        <f>IF($D97="","",IF(AND($F97&lt;&gt;"Classroom",$F97&lt;&gt;"PT"),"TYPE NOT CREDITED",IF($C97="","NO MAKEUP DATE",IF(NOT(ISNUMBER($C97)),"MAKEUP DATE NOT A DATE",IF(OR(AND($G97&lt;&gt;"",NOT(ISNUMBER($G97))),AND($H97&lt;&gt;"",NOT(ISNUMBER($H97)))),"CREDIT NOT A NUMBER",IF(OR(N($G97)&lt;0,N($H97)&lt;0),"NEGATIVE CREDIT",IF(AND($F97="Classroom",N($G97)&lt;=0),"NO MINUTES CREDITED",IF(AND($F97="PT",N($H97)&lt;=0),"NO SESSIONS CREDITED",IF($I97="","NO LINKED EVENT",IF(COUNTIF(nrAT_ID,$I97)=0,"NO SUCH EVENT",IF(INDEX(nrAT_PID,MATCH($I97,nrAT_ID,0))&lt;&gt;$E97,"WRONG CADET",IF(INDEX(nrAT_IsPT,MATCH($I97,nrAT_ID,0))&lt;&gt;IF($F97="PT","Yes","No"),"UNIT MISMATCH","OK"))))))))))))</f>
        <v/>
      </c>
    </row>
    <row r="98">
      <c r="B98" s="17">
        <f>IF($D98="","","M"&amp;TEXT(ROW()-5,"000"))</f>
        <v/>
      </c>
      <c r="C98" s="18" t="n"/>
      <c r="D98" s="16" t="n"/>
      <c r="E98" s="17">
        <f>IF($D98="","",IFERROR(INDEX(rngCadetPIDs,MATCH($D98,rngCadetNames,0)),"?"))</f>
        <v/>
      </c>
      <c r="F98" s="16" t="n"/>
      <c r="G98" s="16" t="n"/>
      <c r="H98" s="16" t="n"/>
      <c r="I98" s="16" t="n"/>
      <c r="J98" s="16" t="n"/>
      <c r="K98" s="16" t="n"/>
      <c r="L98" s="17">
        <f>IF($D98="","",IF(AND($J98="Received",$K98&lt;&gt;"Yes",LEFT($N98,2)="OK"),"Yes","No"))</f>
        <v/>
      </c>
      <c r="M98" s="16" t="n"/>
      <c r="N98" s="17">
        <f>IF($D98="","",IF(AND($F98&lt;&gt;"Classroom",$F98&lt;&gt;"PT"),"TYPE NOT CREDITED",IF($C98="","NO MAKEUP DATE",IF(NOT(ISNUMBER($C98)),"MAKEUP DATE NOT A DATE",IF(OR(AND($G98&lt;&gt;"",NOT(ISNUMBER($G98))),AND($H98&lt;&gt;"",NOT(ISNUMBER($H98)))),"CREDIT NOT A NUMBER",IF(OR(N($G98)&lt;0,N($H98)&lt;0),"NEGATIVE CREDIT",IF(AND($F98="Classroom",N($G98)&lt;=0),"NO MINUTES CREDITED",IF(AND($F98="PT",N($H98)&lt;=0),"NO SESSIONS CREDITED",IF($I98="","NO LINKED EVENT",IF(COUNTIF(nrAT_ID,$I98)=0,"NO SUCH EVENT",IF(INDEX(nrAT_PID,MATCH($I98,nrAT_ID,0))&lt;&gt;$E98,"WRONG CADET",IF(INDEX(nrAT_IsPT,MATCH($I98,nrAT_ID,0))&lt;&gt;IF($F98="PT","Yes","No"),"UNIT MISMATCH","OK"))))))))))))</f>
        <v/>
      </c>
    </row>
    <row r="99">
      <c r="B99" s="17">
        <f>IF($D99="","","M"&amp;TEXT(ROW()-5,"000"))</f>
        <v/>
      </c>
      <c r="C99" s="18" t="n"/>
      <c r="D99" s="16" t="n"/>
      <c r="E99" s="17">
        <f>IF($D99="","",IFERROR(INDEX(rngCadetPIDs,MATCH($D99,rngCadetNames,0)),"?"))</f>
        <v/>
      </c>
      <c r="F99" s="16" t="n"/>
      <c r="G99" s="16" t="n"/>
      <c r="H99" s="16" t="n"/>
      <c r="I99" s="16" t="n"/>
      <c r="J99" s="16" t="n"/>
      <c r="K99" s="16" t="n"/>
      <c r="L99" s="17">
        <f>IF($D99="","",IF(AND($J99="Received",$K99&lt;&gt;"Yes",LEFT($N99,2)="OK"),"Yes","No"))</f>
        <v/>
      </c>
      <c r="M99" s="16" t="n"/>
      <c r="N99" s="17">
        <f>IF($D99="","",IF(AND($F99&lt;&gt;"Classroom",$F99&lt;&gt;"PT"),"TYPE NOT CREDITED",IF($C99="","NO MAKEUP DATE",IF(NOT(ISNUMBER($C99)),"MAKEUP DATE NOT A DATE",IF(OR(AND($G99&lt;&gt;"",NOT(ISNUMBER($G99))),AND($H99&lt;&gt;"",NOT(ISNUMBER($H99)))),"CREDIT NOT A NUMBER",IF(OR(N($G99)&lt;0,N($H99)&lt;0),"NEGATIVE CREDIT",IF(AND($F99="Classroom",N($G99)&lt;=0),"NO MINUTES CREDITED",IF(AND($F99="PT",N($H99)&lt;=0),"NO SESSIONS CREDITED",IF($I99="","NO LINKED EVENT",IF(COUNTIF(nrAT_ID,$I99)=0,"NO SUCH EVENT",IF(INDEX(nrAT_PID,MATCH($I99,nrAT_ID,0))&lt;&gt;$E99,"WRONG CADET",IF(INDEX(nrAT_IsPT,MATCH($I99,nrAT_ID,0))&lt;&gt;IF($F99="PT","Yes","No"),"UNIT MISMATCH","OK"))))))))))))</f>
        <v/>
      </c>
    </row>
    <row r="100">
      <c r="B100" s="17">
        <f>IF($D100="","","M"&amp;TEXT(ROW()-5,"000"))</f>
        <v/>
      </c>
      <c r="C100" s="18" t="n"/>
      <c r="D100" s="16" t="n"/>
      <c r="E100" s="17">
        <f>IF($D100="","",IFERROR(INDEX(rngCadetPIDs,MATCH($D100,rngCadetNames,0)),"?"))</f>
        <v/>
      </c>
      <c r="F100" s="16" t="n"/>
      <c r="G100" s="16" t="n"/>
      <c r="H100" s="16" t="n"/>
      <c r="I100" s="16" t="n"/>
      <c r="J100" s="16" t="n"/>
      <c r="K100" s="16" t="n"/>
      <c r="L100" s="17">
        <f>IF($D100="","",IF(AND($J100="Received",$K100&lt;&gt;"Yes",LEFT($N100,2)="OK"),"Yes","No"))</f>
        <v/>
      </c>
      <c r="M100" s="16" t="n"/>
      <c r="N100" s="17">
        <f>IF($D100="","",IF(AND($F100&lt;&gt;"Classroom",$F100&lt;&gt;"PT"),"TYPE NOT CREDITED",IF($C100="","NO MAKEUP DATE",IF(NOT(ISNUMBER($C100)),"MAKEUP DATE NOT A DATE",IF(OR(AND($G100&lt;&gt;"",NOT(ISNUMBER($G100))),AND($H100&lt;&gt;"",NOT(ISNUMBER($H100)))),"CREDIT NOT A NUMBER",IF(OR(N($G100)&lt;0,N($H100)&lt;0),"NEGATIVE CREDIT",IF(AND($F100="Classroom",N($G100)&lt;=0),"NO MINUTES CREDITED",IF(AND($F100="PT",N($H100)&lt;=0),"NO SESSIONS CREDITED",IF($I100="","NO LINKED EVENT",IF(COUNTIF(nrAT_ID,$I100)=0,"NO SUCH EVENT",IF(INDEX(nrAT_PID,MATCH($I100,nrAT_ID,0))&lt;&gt;$E100,"WRONG CADET",IF(INDEX(nrAT_IsPT,MATCH($I100,nrAT_ID,0))&lt;&gt;IF($F100="PT","Yes","No"),"UNIT MISMATCH","OK"))))))))))))</f>
        <v/>
      </c>
    </row>
    <row r="101">
      <c r="B101" s="17">
        <f>IF($D101="","","M"&amp;TEXT(ROW()-5,"000"))</f>
        <v/>
      </c>
      <c r="C101" s="18" t="n"/>
      <c r="D101" s="16" t="n"/>
      <c r="E101" s="17">
        <f>IF($D101="","",IFERROR(INDEX(rngCadetPIDs,MATCH($D101,rngCadetNames,0)),"?"))</f>
        <v/>
      </c>
      <c r="F101" s="16" t="n"/>
      <c r="G101" s="16" t="n"/>
      <c r="H101" s="16" t="n"/>
      <c r="I101" s="16" t="n"/>
      <c r="J101" s="16" t="n"/>
      <c r="K101" s="16" t="n"/>
      <c r="L101" s="17">
        <f>IF($D101="","",IF(AND($J101="Received",$K101&lt;&gt;"Yes",LEFT($N101,2)="OK"),"Yes","No"))</f>
        <v/>
      </c>
      <c r="M101" s="16" t="n"/>
      <c r="N101" s="17">
        <f>IF($D101="","",IF(AND($F101&lt;&gt;"Classroom",$F101&lt;&gt;"PT"),"TYPE NOT CREDITED",IF($C101="","NO MAKEUP DATE",IF(NOT(ISNUMBER($C101)),"MAKEUP DATE NOT A DATE",IF(OR(AND($G101&lt;&gt;"",NOT(ISNUMBER($G101))),AND($H101&lt;&gt;"",NOT(ISNUMBER($H101)))),"CREDIT NOT A NUMBER",IF(OR(N($G101)&lt;0,N($H101)&lt;0),"NEGATIVE CREDIT",IF(AND($F101="Classroom",N($G101)&lt;=0),"NO MINUTES CREDITED",IF(AND($F101="PT",N($H101)&lt;=0),"NO SESSIONS CREDITED",IF($I101="","NO LINKED EVENT",IF(COUNTIF(nrAT_ID,$I101)=0,"NO SUCH EVENT",IF(INDEX(nrAT_PID,MATCH($I101,nrAT_ID,0))&lt;&gt;$E101,"WRONG CADET",IF(INDEX(nrAT_IsPT,MATCH($I101,nrAT_ID,0))&lt;&gt;IF($F101="PT","Yes","No"),"UNIT MISMATCH","OK"))))))))))))</f>
        <v/>
      </c>
    </row>
    <row r="102">
      <c r="B102" s="17">
        <f>IF($D102="","","M"&amp;TEXT(ROW()-5,"000"))</f>
        <v/>
      </c>
      <c r="C102" s="18" t="n"/>
      <c r="D102" s="16" t="n"/>
      <c r="E102" s="17">
        <f>IF($D102="","",IFERROR(INDEX(rngCadetPIDs,MATCH($D102,rngCadetNames,0)),"?"))</f>
        <v/>
      </c>
      <c r="F102" s="16" t="n"/>
      <c r="G102" s="16" t="n"/>
      <c r="H102" s="16" t="n"/>
      <c r="I102" s="16" t="n"/>
      <c r="J102" s="16" t="n"/>
      <c r="K102" s="16" t="n"/>
      <c r="L102" s="17">
        <f>IF($D102="","",IF(AND($J102="Received",$K102&lt;&gt;"Yes",LEFT($N102,2)="OK"),"Yes","No"))</f>
        <v/>
      </c>
      <c r="M102" s="16" t="n"/>
      <c r="N102" s="17">
        <f>IF($D102="","",IF(AND($F102&lt;&gt;"Classroom",$F102&lt;&gt;"PT"),"TYPE NOT CREDITED",IF($C102="","NO MAKEUP DATE",IF(NOT(ISNUMBER($C102)),"MAKEUP DATE NOT A DATE",IF(OR(AND($G102&lt;&gt;"",NOT(ISNUMBER($G102))),AND($H102&lt;&gt;"",NOT(ISNUMBER($H102)))),"CREDIT NOT A NUMBER",IF(OR(N($G102)&lt;0,N($H102)&lt;0),"NEGATIVE CREDIT",IF(AND($F102="Classroom",N($G102)&lt;=0),"NO MINUTES CREDITED",IF(AND($F102="PT",N($H102)&lt;=0),"NO SESSIONS CREDITED",IF($I102="","NO LINKED EVENT",IF(COUNTIF(nrAT_ID,$I102)=0,"NO SUCH EVENT",IF(INDEX(nrAT_PID,MATCH($I102,nrAT_ID,0))&lt;&gt;$E102,"WRONG CADET",IF(INDEX(nrAT_IsPT,MATCH($I102,nrAT_ID,0))&lt;&gt;IF($F102="PT","Yes","No"),"UNIT MISMATCH","OK"))))))))))))</f>
        <v/>
      </c>
    </row>
    <row r="103">
      <c r="B103" s="17">
        <f>IF($D103="","","M"&amp;TEXT(ROW()-5,"000"))</f>
        <v/>
      </c>
      <c r="C103" s="18" t="n"/>
      <c r="D103" s="16" t="n"/>
      <c r="E103" s="17">
        <f>IF($D103="","",IFERROR(INDEX(rngCadetPIDs,MATCH($D103,rngCadetNames,0)),"?"))</f>
        <v/>
      </c>
      <c r="F103" s="16" t="n"/>
      <c r="G103" s="16" t="n"/>
      <c r="H103" s="16" t="n"/>
      <c r="I103" s="16" t="n"/>
      <c r="J103" s="16" t="n"/>
      <c r="K103" s="16" t="n"/>
      <c r="L103" s="17">
        <f>IF($D103="","",IF(AND($J103="Received",$K103&lt;&gt;"Yes",LEFT($N103,2)="OK"),"Yes","No"))</f>
        <v/>
      </c>
      <c r="M103" s="16" t="n"/>
      <c r="N103" s="17">
        <f>IF($D103="","",IF(AND($F103&lt;&gt;"Classroom",$F103&lt;&gt;"PT"),"TYPE NOT CREDITED",IF($C103="","NO MAKEUP DATE",IF(NOT(ISNUMBER($C103)),"MAKEUP DATE NOT A DATE",IF(OR(AND($G103&lt;&gt;"",NOT(ISNUMBER($G103))),AND($H103&lt;&gt;"",NOT(ISNUMBER($H103)))),"CREDIT NOT A NUMBER",IF(OR(N($G103)&lt;0,N($H103)&lt;0),"NEGATIVE CREDIT",IF(AND($F103="Classroom",N($G103)&lt;=0),"NO MINUTES CREDITED",IF(AND($F103="PT",N($H103)&lt;=0),"NO SESSIONS CREDITED",IF($I103="","NO LINKED EVENT",IF(COUNTIF(nrAT_ID,$I103)=0,"NO SUCH EVENT",IF(INDEX(nrAT_PID,MATCH($I103,nrAT_ID,0))&lt;&gt;$E103,"WRONG CADET",IF(INDEX(nrAT_IsPT,MATCH($I103,nrAT_ID,0))&lt;&gt;IF($F103="PT","Yes","No"),"UNIT MISMATCH","OK"))))))))))))</f>
        <v/>
      </c>
    </row>
    <row r="104">
      <c r="B104" s="17">
        <f>IF($D104="","","M"&amp;TEXT(ROW()-5,"000"))</f>
        <v/>
      </c>
      <c r="C104" s="18" t="n"/>
      <c r="D104" s="16" t="n"/>
      <c r="E104" s="17">
        <f>IF($D104="","",IFERROR(INDEX(rngCadetPIDs,MATCH($D104,rngCadetNames,0)),"?"))</f>
        <v/>
      </c>
      <c r="F104" s="16" t="n"/>
      <c r="G104" s="16" t="n"/>
      <c r="H104" s="16" t="n"/>
      <c r="I104" s="16" t="n"/>
      <c r="J104" s="16" t="n"/>
      <c r="K104" s="16" t="n"/>
      <c r="L104" s="17">
        <f>IF($D104="","",IF(AND($J104="Received",$K104&lt;&gt;"Yes",LEFT($N104,2)="OK"),"Yes","No"))</f>
        <v/>
      </c>
      <c r="M104" s="16" t="n"/>
      <c r="N104" s="17">
        <f>IF($D104="","",IF(AND($F104&lt;&gt;"Classroom",$F104&lt;&gt;"PT"),"TYPE NOT CREDITED",IF($C104="","NO MAKEUP DATE",IF(NOT(ISNUMBER($C104)),"MAKEUP DATE NOT A DATE",IF(OR(AND($G104&lt;&gt;"",NOT(ISNUMBER($G104))),AND($H104&lt;&gt;"",NOT(ISNUMBER($H104)))),"CREDIT NOT A NUMBER",IF(OR(N($G104)&lt;0,N($H104)&lt;0),"NEGATIVE CREDIT",IF(AND($F104="Classroom",N($G104)&lt;=0),"NO MINUTES CREDITED",IF(AND($F104="PT",N($H104)&lt;=0),"NO SESSIONS CREDITED",IF($I104="","NO LINKED EVENT",IF(COUNTIF(nrAT_ID,$I104)=0,"NO SUCH EVENT",IF(INDEX(nrAT_PID,MATCH($I104,nrAT_ID,0))&lt;&gt;$E104,"WRONG CADET",IF(INDEX(nrAT_IsPT,MATCH($I104,nrAT_ID,0))&lt;&gt;IF($F104="PT","Yes","No"),"UNIT MISMATCH","OK"))))))))))))</f>
        <v/>
      </c>
    </row>
    <row r="105">
      <c r="B105" s="17">
        <f>IF($D105="","","M"&amp;TEXT(ROW()-5,"000"))</f>
        <v/>
      </c>
      <c r="C105" s="18" t="n"/>
      <c r="D105" s="16" t="n"/>
      <c r="E105" s="17">
        <f>IF($D105="","",IFERROR(INDEX(rngCadetPIDs,MATCH($D105,rngCadetNames,0)),"?"))</f>
        <v/>
      </c>
      <c r="F105" s="16" t="n"/>
      <c r="G105" s="16" t="n"/>
      <c r="H105" s="16" t="n"/>
      <c r="I105" s="16" t="n"/>
      <c r="J105" s="16" t="n"/>
      <c r="K105" s="16" t="n"/>
      <c r="L105" s="17">
        <f>IF($D105="","",IF(AND($J105="Received",$K105&lt;&gt;"Yes",LEFT($N105,2)="OK"),"Yes","No"))</f>
        <v/>
      </c>
      <c r="M105" s="16" t="n"/>
      <c r="N105" s="17">
        <f>IF($D105="","",IF(AND($F105&lt;&gt;"Classroom",$F105&lt;&gt;"PT"),"TYPE NOT CREDITED",IF($C105="","NO MAKEUP DATE",IF(NOT(ISNUMBER($C105)),"MAKEUP DATE NOT A DATE",IF(OR(AND($G105&lt;&gt;"",NOT(ISNUMBER($G105))),AND($H105&lt;&gt;"",NOT(ISNUMBER($H105)))),"CREDIT NOT A NUMBER",IF(OR(N($G105)&lt;0,N($H105)&lt;0),"NEGATIVE CREDIT",IF(AND($F105="Classroom",N($G105)&lt;=0),"NO MINUTES CREDITED",IF(AND($F105="PT",N($H105)&lt;=0),"NO SESSIONS CREDITED",IF($I105="","NO LINKED EVENT",IF(COUNTIF(nrAT_ID,$I105)=0,"NO SUCH EVENT",IF(INDEX(nrAT_PID,MATCH($I105,nrAT_ID,0))&lt;&gt;$E105,"WRONG CADET",IF(INDEX(nrAT_IsPT,MATCH($I105,nrAT_ID,0))&lt;&gt;IF($F105="PT","Yes","No"),"UNIT MISMATCH","OK"))))))))))))</f>
        <v/>
      </c>
    </row>
    <row r="106">
      <c r="B106" s="17">
        <f>IF($D106="","","M"&amp;TEXT(ROW()-5,"000"))</f>
        <v/>
      </c>
      <c r="C106" s="18" t="n"/>
      <c r="D106" s="16" t="n"/>
      <c r="E106" s="17">
        <f>IF($D106="","",IFERROR(INDEX(rngCadetPIDs,MATCH($D106,rngCadetNames,0)),"?"))</f>
        <v/>
      </c>
      <c r="F106" s="16" t="n"/>
      <c r="G106" s="16" t="n"/>
      <c r="H106" s="16" t="n"/>
      <c r="I106" s="16" t="n"/>
      <c r="J106" s="16" t="n"/>
      <c r="K106" s="16" t="n"/>
      <c r="L106" s="17">
        <f>IF($D106="","",IF(AND($J106="Received",$K106&lt;&gt;"Yes",LEFT($N106,2)="OK"),"Yes","No"))</f>
        <v/>
      </c>
      <c r="M106" s="16" t="n"/>
      <c r="N106" s="17">
        <f>IF($D106="","",IF(AND($F106&lt;&gt;"Classroom",$F106&lt;&gt;"PT"),"TYPE NOT CREDITED",IF($C106="","NO MAKEUP DATE",IF(NOT(ISNUMBER($C106)),"MAKEUP DATE NOT A DATE",IF(OR(AND($G106&lt;&gt;"",NOT(ISNUMBER($G106))),AND($H106&lt;&gt;"",NOT(ISNUMBER($H106)))),"CREDIT NOT A NUMBER",IF(OR(N($G106)&lt;0,N($H106)&lt;0),"NEGATIVE CREDIT",IF(AND($F106="Classroom",N($G106)&lt;=0),"NO MINUTES CREDITED",IF(AND($F106="PT",N($H106)&lt;=0),"NO SESSIONS CREDITED",IF($I106="","NO LINKED EVENT",IF(COUNTIF(nrAT_ID,$I106)=0,"NO SUCH EVENT",IF(INDEX(nrAT_PID,MATCH($I106,nrAT_ID,0))&lt;&gt;$E106,"WRONG CADET",IF(INDEX(nrAT_IsPT,MATCH($I106,nrAT_ID,0))&lt;&gt;IF($F106="PT","Yes","No"),"UNIT MISMATCH","OK"))))))))))))</f>
        <v/>
      </c>
    </row>
    <row r="107">
      <c r="B107" s="17">
        <f>IF($D107="","","M"&amp;TEXT(ROW()-5,"000"))</f>
        <v/>
      </c>
      <c r="C107" s="18" t="n"/>
      <c r="D107" s="16" t="n"/>
      <c r="E107" s="17">
        <f>IF($D107="","",IFERROR(INDEX(rngCadetPIDs,MATCH($D107,rngCadetNames,0)),"?"))</f>
        <v/>
      </c>
      <c r="F107" s="16" t="n"/>
      <c r="G107" s="16" t="n"/>
      <c r="H107" s="16" t="n"/>
      <c r="I107" s="16" t="n"/>
      <c r="J107" s="16" t="n"/>
      <c r="K107" s="16" t="n"/>
      <c r="L107" s="17">
        <f>IF($D107="","",IF(AND($J107="Received",$K107&lt;&gt;"Yes",LEFT($N107,2)="OK"),"Yes","No"))</f>
        <v/>
      </c>
      <c r="M107" s="16" t="n"/>
      <c r="N107" s="17">
        <f>IF($D107="","",IF(AND($F107&lt;&gt;"Classroom",$F107&lt;&gt;"PT"),"TYPE NOT CREDITED",IF($C107="","NO MAKEUP DATE",IF(NOT(ISNUMBER($C107)),"MAKEUP DATE NOT A DATE",IF(OR(AND($G107&lt;&gt;"",NOT(ISNUMBER($G107))),AND($H107&lt;&gt;"",NOT(ISNUMBER($H107)))),"CREDIT NOT A NUMBER",IF(OR(N($G107)&lt;0,N($H107)&lt;0),"NEGATIVE CREDIT",IF(AND($F107="Classroom",N($G107)&lt;=0),"NO MINUTES CREDITED",IF(AND($F107="PT",N($H107)&lt;=0),"NO SESSIONS CREDITED",IF($I107="","NO LINKED EVENT",IF(COUNTIF(nrAT_ID,$I107)=0,"NO SUCH EVENT",IF(INDEX(nrAT_PID,MATCH($I107,nrAT_ID,0))&lt;&gt;$E107,"WRONG CADET",IF(INDEX(nrAT_IsPT,MATCH($I107,nrAT_ID,0))&lt;&gt;IF($F107="PT","Yes","No"),"UNIT MISMATCH","OK"))))))))))))</f>
        <v/>
      </c>
    </row>
    <row r="108">
      <c r="B108" s="17">
        <f>IF($D108="","","M"&amp;TEXT(ROW()-5,"000"))</f>
        <v/>
      </c>
      <c r="C108" s="18" t="n"/>
      <c r="D108" s="16" t="n"/>
      <c r="E108" s="17">
        <f>IF($D108="","",IFERROR(INDEX(rngCadetPIDs,MATCH($D108,rngCadetNames,0)),"?"))</f>
        <v/>
      </c>
      <c r="F108" s="16" t="n"/>
      <c r="G108" s="16" t="n"/>
      <c r="H108" s="16" t="n"/>
      <c r="I108" s="16" t="n"/>
      <c r="J108" s="16" t="n"/>
      <c r="K108" s="16" t="n"/>
      <c r="L108" s="17">
        <f>IF($D108="","",IF(AND($J108="Received",$K108&lt;&gt;"Yes",LEFT($N108,2)="OK"),"Yes","No"))</f>
        <v/>
      </c>
      <c r="M108" s="16" t="n"/>
      <c r="N108" s="17">
        <f>IF($D108="","",IF(AND($F108&lt;&gt;"Classroom",$F108&lt;&gt;"PT"),"TYPE NOT CREDITED",IF($C108="","NO MAKEUP DATE",IF(NOT(ISNUMBER($C108)),"MAKEUP DATE NOT A DATE",IF(OR(AND($G108&lt;&gt;"",NOT(ISNUMBER($G108))),AND($H108&lt;&gt;"",NOT(ISNUMBER($H108)))),"CREDIT NOT A NUMBER",IF(OR(N($G108)&lt;0,N($H108)&lt;0),"NEGATIVE CREDIT",IF(AND($F108="Classroom",N($G108)&lt;=0),"NO MINUTES CREDITED",IF(AND($F108="PT",N($H108)&lt;=0),"NO SESSIONS CREDITED",IF($I108="","NO LINKED EVENT",IF(COUNTIF(nrAT_ID,$I108)=0,"NO SUCH EVENT",IF(INDEX(nrAT_PID,MATCH($I108,nrAT_ID,0))&lt;&gt;$E108,"WRONG CADET",IF(INDEX(nrAT_IsPT,MATCH($I108,nrAT_ID,0))&lt;&gt;IF($F108="PT","Yes","No"),"UNIT MISMATCH","OK"))))))))))))</f>
        <v/>
      </c>
    </row>
    <row r="109">
      <c r="B109" s="17">
        <f>IF($D109="","","M"&amp;TEXT(ROW()-5,"000"))</f>
        <v/>
      </c>
      <c r="C109" s="18" t="n"/>
      <c r="D109" s="16" t="n"/>
      <c r="E109" s="17">
        <f>IF($D109="","",IFERROR(INDEX(rngCadetPIDs,MATCH($D109,rngCadetNames,0)),"?"))</f>
        <v/>
      </c>
      <c r="F109" s="16" t="n"/>
      <c r="G109" s="16" t="n"/>
      <c r="H109" s="16" t="n"/>
      <c r="I109" s="16" t="n"/>
      <c r="J109" s="16" t="n"/>
      <c r="K109" s="16" t="n"/>
      <c r="L109" s="17">
        <f>IF($D109="","",IF(AND($J109="Received",$K109&lt;&gt;"Yes",LEFT($N109,2)="OK"),"Yes","No"))</f>
        <v/>
      </c>
      <c r="M109" s="16" t="n"/>
      <c r="N109" s="17">
        <f>IF($D109="","",IF(AND($F109&lt;&gt;"Classroom",$F109&lt;&gt;"PT"),"TYPE NOT CREDITED",IF($C109="","NO MAKEUP DATE",IF(NOT(ISNUMBER($C109)),"MAKEUP DATE NOT A DATE",IF(OR(AND($G109&lt;&gt;"",NOT(ISNUMBER($G109))),AND($H109&lt;&gt;"",NOT(ISNUMBER($H109)))),"CREDIT NOT A NUMBER",IF(OR(N($G109)&lt;0,N($H109)&lt;0),"NEGATIVE CREDIT",IF(AND($F109="Classroom",N($G109)&lt;=0),"NO MINUTES CREDITED",IF(AND($F109="PT",N($H109)&lt;=0),"NO SESSIONS CREDITED",IF($I109="","NO LINKED EVENT",IF(COUNTIF(nrAT_ID,$I109)=0,"NO SUCH EVENT",IF(INDEX(nrAT_PID,MATCH($I109,nrAT_ID,0))&lt;&gt;$E109,"WRONG CADET",IF(INDEX(nrAT_IsPT,MATCH($I109,nrAT_ID,0))&lt;&gt;IF($F109="PT","Yes","No"),"UNIT MISMATCH","OK"))))))))))))</f>
        <v/>
      </c>
    </row>
    <row r="110">
      <c r="B110" s="17">
        <f>IF($D110="","","M"&amp;TEXT(ROW()-5,"000"))</f>
        <v/>
      </c>
      <c r="C110" s="18" t="n"/>
      <c r="D110" s="16" t="n"/>
      <c r="E110" s="17">
        <f>IF($D110="","",IFERROR(INDEX(rngCadetPIDs,MATCH($D110,rngCadetNames,0)),"?"))</f>
        <v/>
      </c>
      <c r="F110" s="16" t="n"/>
      <c r="G110" s="16" t="n"/>
      <c r="H110" s="16" t="n"/>
      <c r="I110" s="16" t="n"/>
      <c r="J110" s="16" t="n"/>
      <c r="K110" s="16" t="n"/>
      <c r="L110" s="17">
        <f>IF($D110="","",IF(AND($J110="Received",$K110&lt;&gt;"Yes",LEFT($N110,2)="OK"),"Yes","No"))</f>
        <v/>
      </c>
      <c r="M110" s="16" t="n"/>
      <c r="N110" s="17">
        <f>IF($D110="","",IF(AND($F110&lt;&gt;"Classroom",$F110&lt;&gt;"PT"),"TYPE NOT CREDITED",IF($C110="","NO MAKEUP DATE",IF(NOT(ISNUMBER($C110)),"MAKEUP DATE NOT A DATE",IF(OR(AND($G110&lt;&gt;"",NOT(ISNUMBER($G110))),AND($H110&lt;&gt;"",NOT(ISNUMBER($H110)))),"CREDIT NOT A NUMBER",IF(OR(N($G110)&lt;0,N($H110)&lt;0),"NEGATIVE CREDIT",IF(AND($F110="Classroom",N($G110)&lt;=0),"NO MINUTES CREDITED",IF(AND($F110="PT",N($H110)&lt;=0),"NO SESSIONS CREDITED",IF($I110="","NO LINKED EVENT",IF(COUNTIF(nrAT_ID,$I110)=0,"NO SUCH EVENT",IF(INDEX(nrAT_PID,MATCH($I110,nrAT_ID,0))&lt;&gt;$E110,"WRONG CADET",IF(INDEX(nrAT_IsPT,MATCH($I110,nrAT_ID,0))&lt;&gt;IF($F110="PT","Yes","No"),"UNIT MISMATCH","OK"))))))))))))</f>
        <v/>
      </c>
    </row>
    <row r="111">
      <c r="B111" s="17">
        <f>IF($D111="","","M"&amp;TEXT(ROW()-5,"000"))</f>
        <v/>
      </c>
      <c r="C111" s="18" t="n"/>
      <c r="D111" s="16" t="n"/>
      <c r="E111" s="17">
        <f>IF($D111="","",IFERROR(INDEX(rngCadetPIDs,MATCH($D111,rngCadetNames,0)),"?"))</f>
        <v/>
      </c>
      <c r="F111" s="16" t="n"/>
      <c r="G111" s="16" t="n"/>
      <c r="H111" s="16" t="n"/>
      <c r="I111" s="16" t="n"/>
      <c r="J111" s="16" t="n"/>
      <c r="K111" s="16" t="n"/>
      <c r="L111" s="17">
        <f>IF($D111="","",IF(AND($J111="Received",$K111&lt;&gt;"Yes",LEFT($N111,2)="OK"),"Yes","No"))</f>
        <v/>
      </c>
      <c r="M111" s="16" t="n"/>
      <c r="N111" s="17">
        <f>IF($D111="","",IF(AND($F111&lt;&gt;"Classroom",$F111&lt;&gt;"PT"),"TYPE NOT CREDITED",IF($C111="","NO MAKEUP DATE",IF(NOT(ISNUMBER($C111)),"MAKEUP DATE NOT A DATE",IF(OR(AND($G111&lt;&gt;"",NOT(ISNUMBER($G111))),AND($H111&lt;&gt;"",NOT(ISNUMBER($H111)))),"CREDIT NOT A NUMBER",IF(OR(N($G111)&lt;0,N($H111)&lt;0),"NEGATIVE CREDIT",IF(AND($F111="Classroom",N($G111)&lt;=0),"NO MINUTES CREDITED",IF(AND($F111="PT",N($H111)&lt;=0),"NO SESSIONS CREDITED",IF($I111="","NO LINKED EVENT",IF(COUNTIF(nrAT_ID,$I111)=0,"NO SUCH EVENT",IF(INDEX(nrAT_PID,MATCH($I111,nrAT_ID,0))&lt;&gt;$E111,"WRONG CADET",IF(INDEX(nrAT_IsPT,MATCH($I111,nrAT_ID,0))&lt;&gt;IF($F111="PT","Yes","No"),"UNIT MISMATCH","OK"))))))))))))</f>
        <v/>
      </c>
    </row>
    <row r="112">
      <c r="B112" s="17">
        <f>IF($D112="","","M"&amp;TEXT(ROW()-5,"000"))</f>
        <v/>
      </c>
      <c r="C112" s="18" t="n"/>
      <c r="D112" s="16" t="n"/>
      <c r="E112" s="17">
        <f>IF($D112="","",IFERROR(INDEX(rngCadetPIDs,MATCH($D112,rngCadetNames,0)),"?"))</f>
        <v/>
      </c>
      <c r="F112" s="16" t="n"/>
      <c r="G112" s="16" t="n"/>
      <c r="H112" s="16" t="n"/>
      <c r="I112" s="16" t="n"/>
      <c r="J112" s="16" t="n"/>
      <c r="K112" s="16" t="n"/>
      <c r="L112" s="17">
        <f>IF($D112="","",IF(AND($J112="Received",$K112&lt;&gt;"Yes",LEFT($N112,2)="OK"),"Yes","No"))</f>
        <v/>
      </c>
      <c r="M112" s="16" t="n"/>
      <c r="N112" s="17">
        <f>IF($D112="","",IF(AND($F112&lt;&gt;"Classroom",$F112&lt;&gt;"PT"),"TYPE NOT CREDITED",IF($C112="","NO MAKEUP DATE",IF(NOT(ISNUMBER($C112)),"MAKEUP DATE NOT A DATE",IF(OR(AND($G112&lt;&gt;"",NOT(ISNUMBER($G112))),AND($H112&lt;&gt;"",NOT(ISNUMBER($H112)))),"CREDIT NOT A NUMBER",IF(OR(N($G112)&lt;0,N($H112)&lt;0),"NEGATIVE CREDIT",IF(AND($F112="Classroom",N($G112)&lt;=0),"NO MINUTES CREDITED",IF(AND($F112="PT",N($H112)&lt;=0),"NO SESSIONS CREDITED",IF($I112="","NO LINKED EVENT",IF(COUNTIF(nrAT_ID,$I112)=0,"NO SUCH EVENT",IF(INDEX(nrAT_PID,MATCH($I112,nrAT_ID,0))&lt;&gt;$E112,"WRONG CADET",IF(INDEX(nrAT_IsPT,MATCH($I112,nrAT_ID,0))&lt;&gt;IF($F112="PT","Yes","No"),"UNIT MISMATCH","OK"))))))))))))</f>
        <v/>
      </c>
    </row>
    <row r="113">
      <c r="B113" s="17">
        <f>IF($D113="","","M"&amp;TEXT(ROW()-5,"000"))</f>
        <v/>
      </c>
      <c r="C113" s="18" t="n"/>
      <c r="D113" s="16" t="n"/>
      <c r="E113" s="17">
        <f>IF($D113="","",IFERROR(INDEX(rngCadetPIDs,MATCH($D113,rngCadetNames,0)),"?"))</f>
        <v/>
      </c>
      <c r="F113" s="16" t="n"/>
      <c r="G113" s="16" t="n"/>
      <c r="H113" s="16" t="n"/>
      <c r="I113" s="16" t="n"/>
      <c r="J113" s="16" t="n"/>
      <c r="K113" s="16" t="n"/>
      <c r="L113" s="17">
        <f>IF($D113="","",IF(AND($J113="Received",$K113&lt;&gt;"Yes",LEFT($N113,2)="OK"),"Yes","No"))</f>
        <v/>
      </c>
      <c r="M113" s="16" t="n"/>
      <c r="N113" s="17">
        <f>IF($D113="","",IF(AND($F113&lt;&gt;"Classroom",$F113&lt;&gt;"PT"),"TYPE NOT CREDITED",IF($C113="","NO MAKEUP DATE",IF(NOT(ISNUMBER($C113)),"MAKEUP DATE NOT A DATE",IF(OR(AND($G113&lt;&gt;"",NOT(ISNUMBER($G113))),AND($H113&lt;&gt;"",NOT(ISNUMBER($H113)))),"CREDIT NOT A NUMBER",IF(OR(N($G113)&lt;0,N($H113)&lt;0),"NEGATIVE CREDIT",IF(AND($F113="Classroom",N($G113)&lt;=0),"NO MINUTES CREDITED",IF(AND($F113="PT",N($H113)&lt;=0),"NO SESSIONS CREDITED",IF($I113="","NO LINKED EVENT",IF(COUNTIF(nrAT_ID,$I113)=0,"NO SUCH EVENT",IF(INDEX(nrAT_PID,MATCH($I113,nrAT_ID,0))&lt;&gt;$E113,"WRONG CADET",IF(INDEX(nrAT_IsPT,MATCH($I113,nrAT_ID,0))&lt;&gt;IF($F113="PT","Yes","No"),"UNIT MISMATCH","OK"))))))))))))</f>
        <v/>
      </c>
    </row>
    <row r="114">
      <c r="B114" s="17">
        <f>IF($D114="","","M"&amp;TEXT(ROW()-5,"000"))</f>
        <v/>
      </c>
      <c r="C114" s="18" t="n"/>
      <c r="D114" s="16" t="n"/>
      <c r="E114" s="17">
        <f>IF($D114="","",IFERROR(INDEX(rngCadetPIDs,MATCH($D114,rngCadetNames,0)),"?"))</f>
        <v/>
      </c>
      <c r="F114" s="16" t="n"/>
      <c r="G114" s="16" t="n"/>
      <c r="H114" s="16" t="n"/>
      <c r="I114" s="16" t="n"/>
      <c r="J114" s="16" t="n"/>
      <c r="K114" s="16" t="n"/>
      <c r="L114" s="17">
        <f>IF($D114="","",IF(AND($J114="Received",$K114&lt;&gt;"Yes",LEFT($N114,2)="OK"),"Yes","No"))</f>
        <v/>
      </c>
      <c r="M114" s="16" t="n"/>
      <c r="N114" s="17">
        <f>IF($D114="","",IF(AND($F114&lt;&gt;"Classroom",$F114&lt;&gt;"PT"),"TYPE NOT CREDITED",IF($C114="","NO MAKEUP DATE",IF(NOT(ISNUMBER($C114)),"MAKEUP DATE NOT A DATE",IF(OR(AND($G114&lt;&gt;"",NOT(ISNUMBER($G114))),AND($H114&lt;&gt;"",NOT(ISNUMBER($H114)))),"CREDIT NOT A NUMBER",IF(OR(N($G114)&lt;0,N($H114)&lt;0),"NEGATIVE CREDIT",IF(AND($F114="Classroom",N($G114)&lt;=0),"NO MINUTES CREDITED",IF(AND($F114="PT",N($H114)&lt;=0),"NO SESSIONS CREDITED",IF($I114="","NO LINKED EVENT",IF(COUNTIF(nrAT_ID,$I114)=0,"NO SUCH EVENT",IF(INDEX(nrAT_PID,MATCH($I114,nrAT_ID,0))&lt;&gt;$E114,"WRONG CADET",IF(INDEX(nrAT_IsPT,MATCH($I114,nrAT_ID,0))&lt;&gt;IF($F114="PT","Yes","No"),"UNIT MISMATCH","OK"))))))))))))</f>
        <v/>
      </c>
    </row>
    <row r="115">
      <c r="B115" s="17">
        <f>IF($D115="","","M"&amp;TEXT(ROW()-5,"000"))</f>
        <v/>
      </c>
      <c r="C115" s="18" t="n"/>
      <c r="D115" s="16" t="n"/>
      <c r="E115" s="17">
        <f>IF($D115="","",IFERROR(INDEX(rngCadetPIDs,MATCH($D115,rngCadetNames,0)),"?"))</f>
        <v/>
      </c>
      <c r="F115" s="16" t="n"/>
      <c r="G115" s="16" t="n"/>
      <c r="H115" s="16" t="n"/>
      <c r="I115" s="16" t="n"/>
      <c r="J115" s="16" t="n"/>
      <c r="K115" s="16" t="n"/>
      <c r="L115" s="17">
        <f>IF($D115="","",IF(AND($J115="Received",$K115&lt;&gt;"Yes",LEFT($N115,2)="OK"),"Yes","No"))</f>
        <v/>
      </c>
      <c r="M115" s="16" t="n"/>
      <c r="N115" s="17">
        <f>IF($D115="","",IF(AND($F115&lt;&gt;"Classroom",$F115&lt;&gt;"PT"),"TYPE NOT CREDITED",IF($C115="","NO MAKEUP DATE",IF(NOT(ISNUMBER($C115)),"MAKEUP DATE NOT A DATE",IF(OR(AND($G115&lt;&gt;"",NOT(ISNUMBER($G115))),AND($H115&lt;&gt;"",NOT(ISNUMBER($H115)))),"CREDIT NOT A NUMBER",IF(OR(N($G115)&lt;0,N($H115)&lt;0),"NEGATIVE CREDIT",IF(AND($F115="Classroom",N($G115)&lt;=0),"NO MINUTES CREDITED",IF(AND($F115="PT",N($H115)&lt;=0),"NO SESSIONS CREDITED",IF($I115="","NO LINKED EVENT",IF(COUNTIF(nrAT_ID,$I115)=0,"NO SUCH EVENT",IF(INDEX(nrAT_PID,MATCH($I115,nrAT_ID,0))&lt;&gt;$E115,"WRONG CADET",IF(INDEX(nrAT_IsPT,MATCH($I115,nrAT_ID,0))&lt;&gt;IF($F115="PT","Yes","No"),"UNIT MISMATCH","OK"))))))))))))</f>
        <v/>
      </c>
    </row>
    <row r="116">
      <c r="B116" s="17">
        <f>IF($D116="","","M"&amp;TEXT(ROW()-5,"000"))</f>
        <v/>
      </c>
      <c r="C116" s="18" t="n"/>
      <c r="D116" s="16" t="n"/>
      <c r="E116" s="17">
        <f>IF($D116="","",IFERROR(INDEX(rngCadetPIDs,MATCH($D116,rngCadetNames,0)),"?"))</f>
        <v/>
      </c>
      <c r="F116" s="16" t="n"/>
      <c r="G116" s="16" t="n"/>
      <c r="H116" s="16" t="n"/>
      <c r="I116" s="16" t="n"/>
      <c r="J116" s="16" t="n"/>
      <c r="K116" s="16" t="n"/>
      <c r="L116" s="17">
        <f>IF($D116="","",IF(AND($J116="Received",$K116&lt;&gt;"Yes",LEFT($N116,2)="OK"),"Yes","No"))</f>
        <v/>
      </c>
      <c r="M116" s="16" t="n"/>
      <c r="N116" s="17">
        <f>IF($D116="","",IF(AND($F116&lt;&gt;"Classroom",$F116&lt;&gt;"PT"),"TYPE NOT CREDITED",IF($C116="","NO MAKEUP DATE",IF(NOT(ISNUMBER($C116)),"MAKEUP DATE NOT A DATE",IF(OR(AND($G116&lt;&gt;"",NOT(ISNUMBER($G116))),AND($H116&lt;&gt;"",NOT(ISNUMBER($H116)))),"CREDIT NOT A NUMBER",IF(OR(N($G116)&lt;0,N($H116)&lt;0),"NEGATIVE CREDIT",IF(AND($F116="Classroom",N($G116)&lt;=0),"NO MINUTES CREDITED",IF(AND($F116="PT",N($H116)&lt;=0),"NO SESSIONS CREDITED",IF($I116="","NO LINKED EVENT",IF(COUNTIF(nrAT_ID,$I116)=0,"NO SUCH EVENT",IF(INDEX(nrAT_PID,MATCH($I116,nrAT_ID,0))&lt;&gt;$E116,"WRONG CADET",IF(INDEX(nrAT_IsPT,MATCH($I116,nrAT_ID,0))&lt;&gt;IF($F116="PT","Yes","No"),"UNIT MISMATCH","OK"))))))))))))</f>
        <v/>
      </c>
    </row>
    <row r="117">
      <c r="B117" s="17">
        <f>IF($D117="","","M"&amp;TEXT(ROW()-5,"000"))</f>
        <v/>
      </c>
      <c r="C117" s="18" t="n"/>
      <c r="D117" s="16" t="n"/>
      <c r="E117" s="17">
        <f>IF($D117="","",IFERROR(INDEX(rngCadetPIDs,MATCH($D117,rngCadetNames,0)),"?"))</f>
        <v/>
      </c>
      <c r="F117" s="16" t="n"/>
      <c r="G117" s="16" t="n"/>
      <c r="H117" s="16" t="n"/>
      <c r="I117" s="16" t="n"/>
      <c r="J117" s="16" t="n"/>
      <c r="K117" s="16" t="n"/>
      <c r="L117" s="17">
        <f>IF($D117="","",IF(AND($J117="Received",$K117&lt;&gt;"Yes",LEFT($N117,2)="OK"),"Yes","No"))</f>
        <v/>
      </c>
      <c r="M117" s="16" t="n"/>
      <c r="N117" s="17">
        <f>IF($D117="","",IF(AND($F117&lt;&gt;"Classroom",$F117&lt;&gt;"PT"),"TYPE NOT CREDITED",IF($C117="","NO MAKEUP DATE",IF(NOT(ISNUMBER($C117)),"MAKEUP DATE NOT A DATE",IF(OR(AND($G117&lt;&gt;"",NOT(ISNUMBER($G117))),AND($H117&lt;&gt;"",NOT(ISNUMBER($H117)))),"CREDIT NOT A NUMBER",IF(OR(N($G117)&lt;0,N($H117)&lt;0),"NEGATIVE CREDIT",IF(AND($F117="Classroom",N($G117)&lt;=0),"NO MINUTES CREDITED",IF(AND($F117="PT",N($H117)&lt;=0),"NO SESSIONS CREDITED",IF($I117="","NO LINKED EVENT",IF(COUNTIF(nrAT_ID,$I117)=0,"NO SUCH EVENT",IF(INDEX(nrAT_PID,MATCH($I117,nrAT_ID,0))&lt;&gt;$E117,"WRONG CADET",IF(INDEX(nrAT_IsPT,MATCH($I117,nrAT_ID,0))&lt;&gt;IF($F117="PT","Yes","No"),"UNIT MISMATCH","OK"))))))))))))</f>
        <v/>
      </c>
    </row>
    <row r="118">
      <c r="B118" s="17">
        <f>IF($D118="","","M"&amp;TEXT(ROW()-5,"000"))</f>
        <v/>
      </c>
      <c r="C118" s="18" t="n"/>
      <c r="D118" s="16" t="n"/>
      <c r="E118" s="17">
        <f>IF($D118="","",IFERROR(INDEX(rngCadetPIDs,MATCH($D118,rngCadetNames,0)),"?"))</f>
        <v/>
      </c>
      <c r="F118" s="16" t="n"/>
      <c r="G118" s="16" t="n"/>
      <c r="H118" s="16" t="n"/>
      <c r="I118" s="16" t="n"/>
      <c r="J118" s="16" t="n"/>
      <c r="K118" s="16" t="n"/>
      <c r="L118" s="17">
        <f>IF($D118="","",IF(AND($J118="Received",$K118&lt;&gt;"Yes",LEFT($N118,2)="OK"),"Yes","No"))</f>
        <v/>
      </c>
      <c r="M118" s="16" t="n"/>
      <c r="N118" s="17">
        <f>IF($D118="","",IF(AND($F118&lt;&gt;"Classroom",$F118&lt;&gt;"PT"),"TYPE NOT CREDITED",IF($C118="","NO MAKEUP DATE",IF(NOT(ISNUMBER($C118)),"MAKEUP DATE NOT A DATE",IF(OR(AND($G118&lt;&gt;"",NOT(ISNUMBER($G118))),AND($H118&lt;&gt;"",NOT(ISNUMBER($H118)))),"CREDIT NOT A NUMBER",IF(OR(N($G118)&lt;0,N($H118)&lt;0),"NEGATIVE CREDIT",IF(AND($F118="Classroom",N($G118)&lt;=0),"NO MINUTES CREDITED",IF(AND($F118="PT",N($H118)&lt;=0),"NO SESSIONS CREDITED",IF($I118="","NO LINKED EVENT",IF(COUNTIF(nrAT_ID,$I118)=0,"NO SUCH EVENT",IF(INDEX(nrAT_PID,MATCH($I118,nrAT_ID,0))&lt;&gt;$E118,"WRONG CADET",IF(INDEX(nrAT_IsPT,MATCH($I118,nrAT_ID,0))&lt;&gt;IF($F118="PT","Yes","No"),"UNIT MISMATCH","OK"))))))))))))</f>
        <v/>
      </c>
    </row>
    <row r="119">
      <c r="B119" s="17">
        <f>IF($D119="","","M"&amp;TEXT(ROW()-5,"000"))</f>
        <v/>
      </c>
      <c r="C119" s="18" t="n"/>
      <c r="D119" s="16" t="n"/>
      <c r="E119" s="17">
        <f>IF($D119="","",IFERROR(INDEX(rngCadetPIDs,MATCH($D119,rngCadetNames,0)),"?"))</f>
        <v/>
      </c>
      <c r="F119" s="16" t="n"/>
      <c r="G119" s="16" t="n"/>
      <c r="H119" s="16" t="n"/>
      <c r="I119" s="16" t="n"/>
      <c r="J119" s="16" t="n"/>
      <c r="K119" s="16" t="n"/>
      <c r="L119" s="17">
        <f>IF($D119="","",IF(AND($J119="Received",$K119&lt;&gt;"Yes",LEFT($N119,2)="OK"),"Yes","No"))</f>
        <v/>
      </c>
      <c r="M119" s="16" t="n"/>
      <c r="N119" s="17">
        <f>IF($D119="","",IF(AND($F119&lt;&gt;"Classroom",$F119&lt;&gt;"PT"),"TYPE NOT CREDITED",IF($C119="","NO MAKEUP DATE",IF(NOT(ISNUMBER($C119)),"MAKEUP DATE NOT A DATE",IF(OR(AND($G119&lt;&gt;"",NOT(ISNUMBER($G119))),AND($H119&lt;&gt;"",NOT(ISNUMBER($H119)))),"CREDIT NOT A NUMBER",IF(OR(N($G119)&lt;0,N($H119)&lt;0),"NEGATIVE CREDIT",IF(AND($F119="Classroom",N($G119)&lt;=0),"NO MINUTES CREDITED",IF(AND($F119="PT",N($H119)&lt;=0),"NO SESSIONS CREDITED",IF($I119="","NO LINKED EVENT",IF(COUNTIF(nrAT_ID,$I119)=0,"NO SUCH EVENT",IF(INDEX(nrAT_PID,MATCH($I119,nrAT_ID,0))&lt;&gt;$E119,"WRONG CADET",IF(INDEX(nrAT_IsPT,MATCH($I119,nrAT_ID,0))&lt;&gt;IF($F119="PT","Yes","No"),"UNIT MISMATCH","OK"))))))))))))</f>
        <v/>
      </c>
    </row>
    <row r="120">
      <c r="B120" s="17">
        <f>IF($D120="","","M"&amp;TEXT(ROW()-5,"000"))</f>
        <v/>
      </c>
      <c r="C120" s="18" t="n"/>
      <c r="D120" s="16" t="n"/>
      <c r="E120" s="17">
        <f>IF($D120="","",IFERROR(INDEX(rngCadetPIDs,MATCH($D120,rngCadetNames,0)),"?"))</f>
        <v/>
      </c>
      <c r="F120" s="16" t="n"/>
      <c r="G120" s="16" t="n"/>
      <c r="H120" s="16" t="n"/>
      <c r="I120" s="16" t="n"/>
      <c r="J120" s="16" t="n"/>
      <c r="K120" s="16" t="n"/>
      <c r="L120" s="17">
        <f>IF($D120="","",IF(AND($J120="Received",$K120&lt;&gt;"Yes",LEFT($N120,2)="OK"),"Yes","No"))</f>
        <v/>
      </c>
      <c r="M120" s="16" t="n"/>
      <c r="N120" s="17">
        <f>IF($D120="","",IF(AND($F120&lt;&gt;"Classroom",$F120&lt;&gt;"PT"),"TYPE NOT CREDITED",IF($C120="","NO MAKEUP DATE",IF(NOT(ISNUMBER($C120)),"MAKEUP DATE NOT A DATE",IF(OR(AND($G120&lt;&gt;"",NOT(ISNUMBER($G120))),AND($H120&lt;&gt;"",NOT(ISNUMBER($H120)))),"CREDIT NOT A NUMBER",IF(OR(N($G120)&lt;0,N($H120)&lt;0),"NEGATIVE CREDIT",IF(AND($F120="Classroom",N($G120)&lt;=0),"NO MINUTES CREDITED",IF(AND($F120="PT",N($H120)&lt;=0),"NO SESSIONS CREDITED",IF($I120="","NO LINKED EVENT",IF(COUNTIF(nrAT_ID,$I120)=0,"NO SUCH EVENT",IF(INDEX(nrAT_PID,MATCH($I120,nrAT_ID,0))&lt;&gt;$E120,"WRONG CADET",IF(INDEX(nrAT_IsPT,MATCH($I120,nrAT_ID,0))&lt;&gt;IF($F120="PT","Yes","No"),"UNIT MISMATCH","OK"))))))))))))</f>
        <v/>
      </c>
    </row>
    <row r="121">
      <c r="B121" s="17">
        <f>IF($D121="","","M"&amp;TEXT(ROW()-5,"000"))</f>
        <v/>
      </c>
      <c r="C121" s="18" t="n"/>
      <c r="D121" s="16" t="n"/>
      <c r="E121" s="17">
        <f>IF($D121="","",IFERROR(INDEX(rngCadetPIDs,MATCH($D121,rngCadetNames,0)),"?"))</f>
        <v/>
      </c>
      <c r="F121" s="16" t="n"/>
      <c r="G121" s="16" t="n"/>
      <c r="H121" s="16" t="n"/>
      <c r="I121" s="16" t="n"/>
      <c r="J121" s="16" t="n"/>
      <c r="K121" s="16" t="n"/>
      <c r="L121" s="17">
        <f>IF($D121="","",IF(AND($J121="Received",$K121&lt;&gt;"Yes",LEFT($N121,2)="OK"),"Yes","No"))</f>
        <v/>
      </c>
      <c r="M121" s="16" t="n"/>
      <c r="N121" s="17">
        <f>IF($D121="","",IF(AND($F121&lt;&gt;"Classroom",$F121&lt;&gt;"PT"),"TYPE NOT CREDITED",IF($C121="","NO MAKEUP DATE",IF(NOT(ISNUMBER($C121)),"MAKEUP DATE NOT A DATE",IF(OR(AND($G121&lt;&gt;"",NOT(ISNUMBER($G121))),AND($H121&lt;&gt;"",NOT(ISNUMBER($H121)))),"CREDIT NOT A NUMBER",IF(OR(N($G121)&lt;0,N($H121)&lt;0),"NEGATIVE CREDIT",IF(AND($F121="Classroom",N($G121)&lt;=0),"NO MINUTES CREDITED",IF(AND($F121="PT",N($H121)&lt;=0),"NO SESSIONS CREDITED",IF($I121="","NO LINKED EVENT",IF(COUNTIF(nrAT_ID,$I121)=0,"NO SUCH EVENT",IF(INDEX(nrAT_PID,MATCH($I121,nrAT_ID,0))&lt;&gt;$E121,"WRONG CADET",IF(INDEX(nrAT_IsPT,MATCH($I121,nrAT_ID,0))&lt;&gt;IF($F121="PT","Yes","No"),"UNIT MISMATCH","OK"))))))))))))</f>
        <v/>
      </c>
    </row>
    <row r="122">
      <c r="B122" s="17">
        <f>IF($D122="","","M"&amp;TEXT(ROW()-5,"000"))</f>
        <v/>
      </c>
      <c r="C122" s="18" t="n"/>
      <c r="D122" s="16" t="n"/>
      <c r="E122" s="17">
        <f>IF($D122="","",IFERROR(INDEX(rngCadetPIDs,MATCH($D122,rngCadetNames,0)),"?"))</f>
        <v/>
      </c>
      <c r="F122" s="16" t="n"/>
      <c r="G122" s="16" t="n"/>
      <c r="H122" s="16" t="n"/>
      <c r="I122" s="16" t="n"/>
      <c r="J122" s="16" t="n"/>
      <c r="K122" s="16" t="n"/>
      <c r="L122" s="17">
        <f>IF($D122="","",IF(AND($J122="Received",$K122&lt;&gt;"Yes",LEFT($N122,2)="OK"),"Yes","No"))</f>
        <v/>
      </c>
      <c r="M122" s="16" t="n"/>
      <c r="N122" s="17">
        <f>IF($D122="","",IF(AND($F122&lt;&gt;"Classroom",$F122&lt;&gt;"PT"),"TYPE NOT CREDITED",IF($C122="","NO MAKEUP DATE",IF(NOT(ISNUMBER($C122)),"MAKEUP DATE NOT A DATE",IF(OR(AND($G122&lt;&gt;"",NOT(ISNUMBER($G122))),AND($H122&lt;&gt;"",NOT(ISNUMBER($H122)))),"CREDIT NOT A NUMBER",IF(OR(N($G122)&lt;0,N($H122)&lt;0),"NEGATIVE CREDIT",IF(AND($F122="Classroom",N($G122)&lt;=0),"NO MINUTES CREDITED",IF(AND($F122="PT",N($H122)&lt;=0),"NO SESSIONS CREDITED",IF($I122="","NO LINKED EVENT",IF(COUNTIF(nrAT_ID,$I122)=0,"NO SUCH EVENT",IF(INDEX(nrAT_PID,MATCH($I122,nrAT_ID,0))&lt;&gt;$E122,"WRONG CADET",IF(INDEX(nrAT_IsPT,MATCH($I122,nrAT_ID,0))&lt;&gt;IF($F122="PT","Yes","No"),"UNIT MISMATCH","OK"))))))))))))</f>
        <v/>
      </c>
    </row>
    <row r="123">
      <c r="B123" s="17">
        <f>IF($D123="","","M"&amp;TEXT(ROW()-5,"000"))</f>
        <v/>
      </c>
      <c r="C123" s="18" t="n"/>
      <c r="D123" s="16" t="n"/>
      <c r="E123" s="17">
        <f>IF($D123="","",IFERROR(INDEX(rngCadetPIDs,MATCH($D123,rngCadetNames,0)),"?"))</f>
        <v/>
      </c>
      <c r="F123" s="16" t="n"/>
      <c r="G123" s="16" t="n"/>
      <c r="H123" s="16" t="n"/>
      <c r="I123" s="16" t="n"/>
      <c r="J123" s="16" t="n"/>
      <c r="K123" s="16" t="n"/>
      <c r="L123" s="17">
        <f>IF($D123="","",IF(AND($J123="Received",$K123&lt;&gt;"Yes",LEFT($N123,2)="OK"),"Yes","No"))</f>
        <v/>
      </c>
      <c r="M123" s="16" t="n"/>
      <c r="N123" s="17">
        <f>IF($D123="","",IF(AND($F123&lt;&gt;"Classroom",$F123&lt;&gt;"PT"),"TYPE NOT CREDITED",IF($C123="","NO MAKEUP DATE",IF(NOT(ISNUMBER($C123)),"MAKEUP DATE NOT A DATE",IF(OR(AND($G123&lt;&gt;"",NOT(ISNUMBER($G123))),AND($H123&lt;&gt;"",NOT(ISNUMBER($H123)))),"CREDIT NOT A NUMBER",IF(OR(N($G123)&lt;0,N($H123)&lt;0),"NEGATIVE CREDIT",IF(AND($F123="Classroom",N($G123)&lt;=0),"NO MINUTES CREDITED",IF(AND($F123="PT",N($H123)&lt;=0),"NO SESSIONS CREDITED",IF($I123="","NO LINKED EVENT",IF(COUNTIF(nrAT_ID,$I123)=0,"NO SUCH EVENT",IF(INDEX(nrAT_PID,MATCH($I123,nrAT_ID,0))&lt;&gt;$E123,"WRONG CADET",IF(INDEX(nrAT_IsPT,MATCH($I123,nrAT_ID,0))&lt;&gt;IF($F123="PT","Yes","No"),"UNIT MISMATCH","OK"))))))))))))</f>
        <v/>
      </c>
    </row>
    <row r="124">
      <c r="B124" s="17">
        <f>IF($D124="","","M"&amp;TEXT(ROW()-5,"000"))</f>
        <v/>
      </c>
      <c r="C124" s="18" t="n"/>
      <c r="D124" s="16" t="n"/>
      <c r="E124" s="17">
        <f>IF($D124="","",IFERROR(INDEX(rngCadetPIDs,MATCH($D124,rngCadetNames,0)),"?"))</f>
        <v/>
      </c>
      <c r="F124" s="16" t="n"/>
      <c r="G124" s="16" t="n"/>
      <c r="H124" s="16" t="n"/>
      <c r="I124" s="16" t="n"/>
      <c r="J124" s="16" t="n"/>
      <c r="K124" s="16" t="n"/>
      <c r="L124" s="17">
        <f>IF($D124="","",IF(AND($J124="Received",$K124&lt;&gt;"Yes",LEFT($N124,2)="OK"),"Yes","No"))</f>
        <v/>
      </c>
      <c r="M124" s="16" t="n"/>
      <c r="N124" s="17">
        <f>IF($D124="","",IF(AND($F124&lt;&gt;"Classroom",$F124&lt;&gt;"PT"),"TYPE NOT CREDITED",IF($C124="","NO MAKEUP DATE",IF(NOT(ISNUMBER($C124)),"MAKEUP DATE NOT A DATE",IF(OR(AND($G124&lt;&gt;"",NOT(ISNUMBER($G124))),AND($H124&lt;&gt;"",NOT(ISNUMBER($H124)))),"CREDIT NOT A NUMBER",IF(OR(N($G124)&lt;0,N($H124)&lt;0),"NEGATIVE CREDIT",IF(AND($F124="Classroom",N($G124)&lt;=0),"NO MINUTES CREDITED",IF(AND($F124="PT",N($H124)&lt;=0),"NO SESSIONS CREDITED",IF($I124="","NO LINKED EVENT",IF(COUNTIF(nrAT_ID,$I124)=0,"NO SUCH EVENT",IF(INDEX(nrAT_PID,MATCH($I124,nrAT_ID,0))&lt;&gt;$E124,"WRONG CADET",IF(INDEX(nrAT_IsPT,MATCH($I124,nrAT_ID,0))&lt;&gt;IF($F124="PT","Yes","No"),"UNIT MISMATCH","OK"))))))))))))</f>
        <v/>
      </c>
    </row>
    <row r="125">
      <c r="B125" s="17">
        <f>IF($D125="","","M"&amp;TEXT(ROW()-5,"000"))</f>
        <v/>
      </c>
      <c r="C125" s="18" t="n"/>
      <c r="D125" s="16" t="n"/>
      <c r="E125" s="17">
        <f>IF($D125="","",IFERROR(INDEX(rngCadetPIDs,MATCH($D125,rngCadetNames,0)),"?"))</f>
        <v/>
      </c>
      <c r="F125" s="16" t="n"/>
      <c r="G125" s="16" t="n"/>
      <c r="H125" s="16" t="n"/>
      <c r="I125" s="16" t="n"/>
      <c r="J125" s="16" t="n"/>
      <c r="K125" s="16" t="n"/>
      <c r="L125" s="17">
        <f>IF($D125="","",IF(AND($J125="Received",$K125&lt;&gt;"Yes",LEFT($N125,2)="OK"),"Yes","No"))</f>
        <v/>
      </c>
      <c r="M125" s="16" t="n"/>
      <c r="N125" s="17">
        <f>IF($D125="","",IF(AND($F125&lt;&gt;"Classroom",$F125&lt;&gt;"PT"),"TYPE NOT CREDITED",IF($C125="","NO MAKEUP DATE",IF(NOT(ISNUMBER($C125)),"MAKEUP DATE NOT A DATE",IF(OR(AND($G125&lt;&gt;"",NOT(ISNUMBER($G125))),AND($H125&lt;&gt;"",NOT(ISNUMBER($H125)))),"CREDIT NOT A NUMBER",IF(OR(N($G125)&lt;0,N($H125)&lt;0),"NEGATIVE CREDIT",IF(AND($F125="Classroom",N($G125)&lt;=0),"NO MINUTES CREDITED",IF(AND($F125="PT",N($H125)&lt;=0),"NO SESSIONS CREDITED",IF($I125="","NO LINKED EVENT",IF(COUNTIF(nrAT_ID,$I125)=0,"NO SUCH EVENT",IF(INDEX(nrAT_PID,MATCH($I125,nrAT_ID,0))&lt;&gt;$E125,"WRONG CADET",IF(INDEX(nrAT_IsPT,MATCH($I125,nrAT_ID,0))&lt;&gt;IF($F125="PT","Yes","No"),"UNIT MISMATCH","OK"))))))))))))</f>
        <v/>
      </c>
    </row>
    <row r="126">
      <c r="B126" s="17">
        <f>IF($D126="","","M"&amp;TEXT(ROW()-5,"000"))</f>
        <v/>
      </c>
      <c r="C126" s="18" t="n"/>
      <c r="D126" s="16" t="n"/>
      <c r="E126" s="17">
        <f>IF($D126="","",IFERROR(INDEX(rngCadetPIDs,MATCH($D126,rngCadetNames,0)),"?"))</f>
        <v/>
      </c>
      <c r="F126" s="16" t="n"/>
      <c r="G126" s="16" t="n"/>
      <c r="H126" s="16" t="n"/>
      <c r="I126" s="16" t="n"/>
      <c r="J126" s="16" t="n"/>
      <c r="K126" s="16" t="n"/>
      <c r="L126" s="17">
        <f>IF($D126="","",IF(AND($J126="Received",$K126&lt;&gt;"Yes",LEFT($N126,2)="OK"),"Yes","No"))</f>
        <v/>
      </c>
      <c r="M126" s="16" t="n"/>
      <c r="N126" s="17">
        <f>IF($D126="","",IF(AND($F126&lt;&gt;"Classroom",$F126&lt;&gt;"PT"),"TYPE NOT CREDITED",IF($C126="","NO MAKEUP DATE",IF(NOT(ISNUMBER($C126)),"MAKEUP DATE NOT A DATE",IF(OR(AND($G126&lt;&gt;"",NOT(ISNUMBER($G126))),AND($H126&lt;&gt;"",NOT(ISNUMBER($H126)))),"CREDIT NOT A NUMBER",IF(OR(N($G126)&lt;0,N($H126)&lt;0),"NEGATIVE CREDIT",IF(AND($F126="Classroom",N($G126)&lt;=0),"NO MINUTES CREDITED",IF(AND($F126="PT",N($H126)&lt;=0),"NO SESSIONS CREDITED",IF($I126="","NO LINKED EVENT",IF(COUNTIF(nrAT_ID,$I126)=0,"NO SUCH EVENT",IF(INDEX(nrAT_PID,MATCH($I126,nrAT_ID,0))&lt;&gt;$E126,"WRONG CADET",IF(INDEX(nrAT_IsPT,MATCH($I126,nrAT_ID,0))&lt;&gt;IF($F126="PT","Yes","No"),"UNIT MISMATCH","OK"))))))))))))</f>
        <v/>
      </c>
    </row>
    <row r="127">
      <c r="B127" s="17">
        <f>IF($D127="","","M"&amp;TEXT(ROW()-5,"000"))</f>
        <v/>
      </c>
      <c r="C127" s="18" t="n"/>
      <c r="D127" s="16" t="n"/>
      <c r="E127" s="17">
        <f>IF($D127="","",IFERROR(INDEX(rngCadetPIDs,MATCH($D127,rngCadetNames,0)),"?"))</f>
        <v/>
      </c>
      <c r="F127" s="16" t="n"/>
      <c r="G127" s="16" t="n"/>
      <c r="H127" s="16" t="n"/>
      <c r="I127" s="16" t="n"/>
      <c r="J127" s="16" t="n"/>
      <c r="K127" s="16" t="n"/>
      <c r="L127" s="17">
        <f>IF($D127="","",IF(AND($J127="Received",$K127&lt;&gt;"Yes",LEFT($N127,2)="OK"),"Yes","No"))</f>
        <v/>
      </c>
      <c r="M127" s="16" t="n"/>
      <c r="N127" s="17">
        <f>IF($D127="","",IF(AND($F127&lt;&gt;"Classroom",$F127&lt;&gt;"PT"),"TYPE NOT CREDITED",IF($C127="","NO MAKEUP DATE",IF(NOT(ISNUMBER($C127)),"MAKEUP DATE NOT A DATE",IF(OR(AND($G127&lt;&gt;"",NOT(ISNUMBER($G127))),AND($H127&lt;&gt;"",NOT(ISNUMBER($H127)))),"CREDIT NOT A NUMBER",IF(OR(N($G127)&lt;0,N($H127)&lt;0),"NEGATIVE CREDIT",IF(AND($F127="Classroom",N($G127)&lt;=0),"NO MINUTES CREDITED",IF(AND($F127="PT",N($H127)&lt;=0),"NO SESSIONS CREDITED",IF($I127="","NO LINKED EVENT",IF(COUNTIF(nrAT_ID,$I127)=0,"NO SUCH EVENT",IF(INDEX(nrAT_PID,MATCH($I127,nrAT_ID,0))&lt;&gt;$E127,"WRONG CADET",IF(INDEX(nrAT_IsPT,MATCH($I127,nrAT_ID,0))&lt;&gt;IF($F127="PT","Yes","No"),"UNIT MISMATCH","OK"))))))))))))</f>
        <v/>
      </c>
    </row>
    <row r="128">
      <c r="B128" s="17">
        <f>IF($D128="","","M"&amp;TEXT(ROW()-5,"000"))</f>
        <v/>
      </c>
      <c r="C128" s="18" t="n"/>
      <c r="D128" s="16" t="n"/>
      <c r="E128" s="17">
        <f>IF($D128="","",IFERROR(INDEX(rngCadetPIDs,MATCH($D128,rngCadetNames,0)),"?"))</f>
        <v/>
      </c>
      <c r="F128" s="16" t="n"/>
      <c r="G128" s="16" t="n"/>
      <c r="H128" s="16" t="n"/>
      <c r="I128" s="16" t="n"/>
      <c r="J128" s="16" t="n"/>
      <c r="K128" s="16" t="n"/>
      <c r="L128" s="17">
        <f>IF($D128="","",IF(AND($J128="Received",$K128&lt;&gt;"Yes",LEFT($N128,2)="OK"),"Yes","No"))</f>
        <v/>
      </c>
      <c r="M128" s="16" t="n"/>
      <c r="N128" s="17">
        <f>IF($D128="","",IF(AND($F128&lt;&gt;"Classroom",$F128&lt;&gt;"PT"),"TYPE NOT CREDITED",IF($C128="","NO MAKEUP DATE",IF(NOT(ISNUMBER($C128)),"MAKEUP DATE NOT A DATE",IF(OR(AND($G128&lt;&gt;"",NOT(ISNUMBER($G128))),AND($H128&lt;&gt;"",NOT(ISNUMBER($H128)))),"CREDIT NOT A NUMBER",IF(OR(N($G128)&lt;0,N($H128)&lt;0),"NEGATIVE CREDIT",IF(AND($F128="Classroom",N($G128)&lt;=0),"NO MINUTES CREDITED",IF(AND($F128="PT",N($H128)&lt;=0),"NO SESSIONS CREDITED",IF($I128="","NO LINKED EVENT",IF(COUNTIF(nrAT_ID,$I128)=0,"NO SUCH EVENT",IF(INDEX(nrAT_PID,MATCH($I128,nrAT_ID,0))&lt;&gt;$E128,"WRONG CADET",IF(INDEX(nrAT_IsPT,MATCH($I128,nrAT_ID,0))&lt;&gt;IF($F128="PT","Yes","No"),"UNIT MISMATCH","OK"))))))))))))</f>
        <v/>
      </c>
    </row>
    <row r="129">
      <c r="B129" s="17">
        <f>IF($D129="","","M"&amp;TEXT(ROW()-5,"000"))</f>
        <v/>
      </c>
      <c r="C129" s="18" t="n"/>
      <c r="D129" s="16" t="n"/>
      <c r="E129" s="17">
        <f>IF($D129="","",IFERROR(INDEX(rngCadetPIDs,MATCH($D129,rngCadetNames,0)),"?"))</f>
        <v/>
      </c>
      <c r="F129" s="16" t="n"/>
      <c r="G129" s="16" t="n"/>
      <c r="H129" s="16" t="n"/>
      <c r="I129" s="16" t="n"/>
      <c r="J129" s="16" t="n"/>
      <c r="K129" s="16" t="n"/>
      <c r="L129" s="17">
        <f>IF($D129="","",IF(AND($J129="Received",$K129&lt;&gt;"Yes",LEFT($N129,2)="OK"),"Yes","No"))</f>
        <v/>
      </c>
      <c r="M129" s="16" t="n"/>
      <c r="N129" s="17">
        <f>IF($D129="","",IF(AND($F129&lt;&gt;"Classroom",$F129&lt;&gt;"PT"),"TYPE NOT CREDITED",IF($C129="","NO MAKEUP DATE",IF(NOT(ISNUMBER($C129)),"MAKEUP DATE NOT A DATE",IF(OR(AND($G129&lt;&gt;"",NOT(ISNUMBER($G129))),AND($H129&lt;&gt;"",NOT(ISNUMBER($H129)))),"CREDIT NOT A NUMBER",IF(OR(N($G129)&lt;0,N($H129)&lt;0),"NEGATIVE CREDIT",IF(AND($F129="Classroom",N($G129)&lt;=0),"NO MINUTES CREDITED",IF(AND($F129="PT",N($H129)&lt;=0),"NO SESSIONS CREDITED",IF($I129="","NO LINKED EVENT",IF(COUNTIF(nrAT_ID,$I129)=0,"NO SUCH EVENT",IF(INDEX(nrAT_PID,MATCH($I129,nrAT_ID,0))&lt;&gt;$E129,"WRONG CADET",IF(INDEX(nrAT_IsPT,MATCH($I129,nrAT_ID,0))&lt;&gt;IF($F129="PT","Yes","No"),"UNIT MISMATCH","OK"))))))))))))</f>
        <v/>
      </c>
    </row>
    <row r="130">
      <c r="B130" s="17">
        <f>IF($D130="","","M"&amp;TEXT(ROW()-5,"000"))</f>
        <v/>
      </c>
      <c r="C130" s="18" t="n"/>
      <c r="D130" s="16" t="n"/>
      <c r="E130" s="17">
        <f>IF($D130="","",IFERROR(INDEX(rngCadetPIDs,MATCH($D130,rngCadetNames,0)),"?"))</f>
        <v/>
      </c>
      <c r="F130" s="16" t="n"/>
      <c r="G130" s="16" t="n"/>
      <c r="H130" s="16" t="n"/>
      <c r="I130" s="16" t="n"/>
      <c r="J130" s="16" t="n"/>
      <c r="K130" s="16" t="n"/>
      <c r="L130" s="17">
        <f>IF($D130="","",IF(AND($J130="Received",$K130&lt;&gt;"Yes",LEFT($N130,2)="OK"),"Yes","No"))</f>
        <v/>
      </c>
      <c r="M130" s="16" t="n"/>
      <c r="N130" s="17">
        <f>IF($D130="","",IF(AND($F130&lt;&gt;"Classroom",$F130&lt;&gt;"PT"),"TYPE NOT CREDITED",IF($C130="","NO MAKEUP DATE",IF(NOT(ISNUMBER($C130)),"MAKEUP DATE NOT A DATE",IF(OR(AND($G130&lt;&gt;"",NOT(ISNUMBER($G130))),AND($H130&lt;&gt;"",NOT(ISNUMBER($H130)))),"CREDIT NOT A NUMBER",IF(OR(N($G130)&lt;0,N($H130)&lt;0),"NEGATIVE CREDIT",IF(AND($F130="Classroom",N($G130)&lt;=0),"NO MINUTES CREDITED",IF(AND($F130="PT",N($H130)&lt;=0),"NO SESSIONS CREDITED",IF($I130="","NO LINKED EVENT",IF(COUNTIF(nrAT_ID,$I130)=0,"NO SUCH EVENT",IF(INDEX(nrAT_PID,MATCH($I130,nrAT_ID,0))&lt;&gt;$E130,"WRONG CADET",IF(INDEX(nrAT_IsPT,MATCH($I130,nrAT_ID,0))&lt;&gt;IF($F130="PT","Yes","No"),"UNIT MISMATCH","OK"))))))))))))</f>
        <v/>
      </c>
    </row>
    <row r="131">
      <c r="B131" s="17">
        <f>IF($D131="","","M"&amp;TEXT(ROW()-5,"000"))</f>
        <v/>
      </c>
      <c r="C131" s="18" t="n"/>
      <c r="D131" s="16" t="n"/>
      <c r="E131" s="17">
        <f>IF($D131="","",IFERROR(INDEX(rngCadetPIDs,MATCH($D131,rngCadetNames,0)),"?"))</f>
        <v/>
      </c>
      <c r="F131" s="16" t="n"/>
      <c r="G131" s="16" t="n"/>
      <c r="H131" s="16" t="n"/>
      <c r="I131" s="16" t="n"/>
      <c r="J131" s="16" t="n"/>
      <c r="K131" s="16" t="n"/>
      <c r="L131" s="17">
        <f>IF($D131="","",IF(AND($J131="Received",$K131&lt;&gt;"Yes",LEFT($N131,2)="OK"),"Yes","No"))</f>
        <v/>
      </c>
      <c r="M131" s="16" t="n"/>
      <c r="N131" s="17">
        <f>IF($D131="","",IF(AND($F131&lt;&gt;"Classroom",$F131&lt;&gt;"PT"),"TYPE NOT CREDITED",IF($C131="","NO MAKEUP DATE",IF(NOT(ISNUMBER($C131)),"MAKEUP DATE NOT A DATE",IF(OR(AND($G131&lt;&gt;"",NOT(ISNUMBER($G131))),AND($H131&lt;&gt;"",NOT(ISNUMBER($H131)))),"CREDIT NOT A NUMBER",IF(OR(N($G131)&lt;0,N($H131)&lt;0),"NEGATIVE CREDIT",IF(AND($F131="Classroom",N($G131)&lt;=0),"NO MINUTES CREDITED",IF(AND($F131="PT",N($H131)&lt;=0),"NO SESSIONS CREDITED",IF($I131="","NO LINKED EVENT",IF(COUNTIF(nrAT_ID,$I131)=0,"NO SUCH EVENT",IF(INDEX(nrAT_PID,MATCH($I131,nrAT_ID,0))&lt;&gt;$E131,"WRONG CADET",IF(INDEX(nrAT_IsPT,MATCH($I131,nrAT_ID,0))&lt;&gt;IF($F131="PT","Yes","No"),"UNIT MISMATCH","OK"))))))))))))</f>
        <v/>
      </c>
    </row>
    <row r="132">
      <c r="B132" s="17">
        <f>IF($D132="","","M"&amp;TEXT(ROW()-5,"000"))</f>
        <v/>
      </c>
      <c r="C132" s="18" t="n"/>
      <c r="D132" s="16" t="n"/>
      <c r="E132" s="17">
        <f>IF($D132="","",IFERROR(INDEX(rngCadetPIDs,MATCH($D132,rngCadetNames,0)),"?"))</f>
        <v/>
      </c>
      <c r="F132" s="16" t="n"/>
      <c r="G132" s="16" t="n"/>
      <c r="H132" s="16" t="n"/>
      <c r="I132" s="16" t="n"/>
      <c r="J132" s="16" t="n"/>
      <c r="K132" s="16" t="n"/>
      <c r="L132" s="17">
        <f>IF($D132="","",IF(AND($J132="Received",$K132&lt;&gt;"Yes",LEFT($N132,2)="OK"),"Yes","No"))</f>
        <v/>
      </c>
      <c r="M132" s="16" t="n"/>
      <c r="N132" s="17">
        <f>IF($D132="","",IF(AND($F132&lt;&gt;"Classroom",$F132&lt;&gt;"PT"),"TYPE NOT CREDITED",IF($C132="","NO MAKEUP DATE",IF(NOT(ISNUMBER($C132)),"MAKEUP DATE NOT A DATE",IF(OR(AND($G132&lt;&gt;"",NOT(ISNUMBER($G132))),AND($H132&lt;&gt;"",NOT(ISNUMBER($H132)))),"CREDIT NOT A NUMBER",IF(OR(N($G132)&lt;0,N($H132)&lt;0),"NEGATIVE CREDIT",IF(AND($F132="Classroom",N($G132)&lt;=0),"NO MINUTES CREDITED",IF(AND($F132="PT",N($H132)&lt;=0),"NO SESSIONS CREDITED",IF($I132="","NO LINKED EVENT",IF(COUNTIF(nrAT_ID,$I132)=0,"NO SUCH EVENT",IF(INDEX(nrAT_PID,MATCH($I132,nrAT_ID,0))&lt;&gt;$E132,"WRONG CADET",IF(INDEX(nrAT_IsPT,MATCH($I132,nrAT_ID,0))&lt;&gt;IF($F132="PT","Yes","No"),"UNIT MISMATCH","OK"))))))))))))</f>
        <v/>
      </c>
    </row>
    <row r="133">
      <c r="B133" s="17">
        <f>IF($D133="","","M"&amp;TEXT(ROW()-5,"000"))</f>
        <v/>
      </c>
      <c r="C133" s="18" t="n"/>
      <c r="D133" s="16" t="n"/>
      <c r="E133" s="17">
        <f>IF($D133="","",IFERROR(INDEX(rngCadetPIDs,MATCH($D133,rngCadetNames,0)),"?"))</f>
        <v/>
      </c>
      <c r="F133" s="16" t="n"/>
      <c r="G133" s="16" t="n"/>
      <c r="H133" s="16" t="n"/>
      <c r="I133" s="16" t="n"/>
      <c r="J133" s="16" t="n"/>
      <c r="K133" s="16" t="n"/>
      <c r="L133" s="17">
        <f>IF($D133="","",IF(AND($J133="Received",$K133&lt;&gt;"Yes",LEFT($N133,2)="OK"),"Yes","No"))</f>
        <v/>
      </c>
      <c r="M133" s="16" t="n"/>
      <c r="N133" s="17">
        <f>IF($D133="","",IF(AND($F133&lt;&gt;"Classroom",$F133&lt;&gt;"PT"),"TYPE NOT CREDITED",IF($C133="","NO MAKEUP DATE",IF(NOT(ISNUMBER($C133)),"MAKEUP DATE NOT A DATE",IF(OR(AND($G133&lt;&gt;"",NOT(ISNUMBER($G133))),AND($H133&lt;&gt;"",NOT(ISNUMBER($H133)))),"CREDIT NOT A NUMBER",IF(OR(N($G133)&lt;0,N($H133)&lt;0),"NEGATIVE CREDIT",IF(AND($F133="Classroom",N($G133)&lt;=0),"NO MINUTES CREDITED",IF(AND($F133="PT",N($H133)&lt;=0),"NO SESSIONS CREDITED",IF($I133="","NO LINKED EVENT",IF(COUNTIF(nrAT_ID,$I133)=0,"NO SUCH EVENT",IF(INDEX(nrAT_PID,MATCH($I133,nrAT_ID,0))&lt;&gt;$E133,"WRONG CADET",IF(INDEX(nrAT_IsPT,MATCH($I133,nrAT_ID,0))&lt;&gt;IF($F133="PT","Yes","No"),"UNIT MISMATCH","OK"))))))))))))</f>
        <v/>
      </c>
    </row>
    <row r="134">
      <c r="B134" s="17">
        <f>IF($D134="","","M"&amp;TEXT(ROW()-5,"000"))</f>
        <v/>
      </c>
      <c r="C134" s="18" t="n"/>
      <c r="D134" s="16" t="n"/>
      <c r="E134" s="17">
        <f>IF($D134="","",IFERROR(INDEX(rngCadetPIDs,MATCH($D134,rngCadetNames,0)),"?"))</f>
        <v/>
      </c>
      <c r="F134" s="16" t="n"/>
      <c r="G134" s="16" t="n"/>
      <c r="H134" s="16" t="n"/>
      <c r="I134" s="16" t="n"/>
      <c r="J134" s="16" t="n"/>
      <c r="K134" s="16" t="n"/>
      <c r="L134" s="17">
        <f>IF($D134="","",IF(AND($J134="Received",$K134&lt;&gt;"Yes",LEFT($N134,2)="OK"),"Yes","No"))</f>
        <v/>
      </c>
      <c r="M134" s="16" t="n"/>
      <c r="N134" s="17">
        <f>IF($D134="","",IF(AND($F134&lt;&gt;"Classroom",$F134&lt;&gt;"PT"),"TYPE NOT CREDITED",IF($C134="","NO MAKEUP DATE",IF(NOT(ISNUMBER($C134)),"MAKEUP DATE NOT A DATE",IF(OR(AND($G134&lt;&gt;"",NOT(ISNUMBER($G134))),AND($H134&lt;&gt;"",NOT(ISNUMBER($H134)))),"CREDIT NOT A NUMBER",IF(OR(N($G134)&lt;0,N($H134)&lt;0),"NEGATIVE CREDIT",IF(AND($F134="Classroom",N($G134)&lt;=0),"NO MINUTES CREDITED",IF(AND($F134="PT",N($H134)&lt;=0),"NO SESSIONS CREDITED",IF($I134="","NO LINKED EVENT",IF(COUNTIF(nrAT_ID,$I134)=0,"NO SUCH EVENT",IF(INDEX(nrAT_PID,MATCH($I134,nrAT_ID,0))&lt;&gt;$E134,"WRONG CADET",IF(INDEX(nrAT_IsPT,MATCH($I134,nrAT_ID,0))&lt;&gt;IF($F134="PT","Yes","No"),"UNIT MISMATCH","OK"))))))))))))</f>
        <v/>
      </c>
    </row>
    <row r="135">
      <c r="B135" s="17">
        <f>IF($D135="","","M"&amp;TEXT(ROW()-5,"000"))</f>
        <v/>
      </c>
      <c r="C135" s="18" t="n"/>
      <c r="D135" s="16" t="n"/>
      <c r="E135" s="17">
        <f>IF($D135="","",IFERROR(INDEX(rngCadetPIDs,MATCH($D135,rngCadetNames,0)),"?"))</f>
        <v/>
      </c>
      <c r="F135" s="16" t="n"/>
      <c r="G135" s="16" t="n"/>
      <c r="H135" s="16" t="n"/>
      <c r="I135" s="16" t="n"/>
      <c r="J135" s="16" t="n"/>
      <c r="K135" s="16" t="n"/>
      <c r="L135" s="17">
        <f>IF($D135="","",IF(AND($J135="Received",$K135&lt;&gt;"Yes",LEFT($N135,2)="OK"),"Yes","No"))</f>
        <v/>
      </c>
      <c r="M135" s="16" t="n"/>
      <c r="N135" s="17">
        <f>IF($D135="","",IF(AND($F135&lt;&gt;"Classroom",$F135&lt;&gt;"PT"),"TYPE NOT CREDITED",IF($C135="","NO MAKEUP DATE",IF(NOT(ISNUMBER($C135)),"MAKEUP DATE NOT A DATE",IF(OR(AND($G135&lt;&gt;"",NOT(ISNUMBER($G135))),AND($H135&lt;&gt;"",NOT(ISNUMBER($H135)))),"CREDIT NOT A NUMBER",IF(OR(N($G135)&lt;0,N($H135)&lt;0),"NEGATIVE CREDIT",IF(AND($F135="Classroom",N($G135)&lt;=0),"NO MINUTES CREDITED",IF(AND($F135="PT",N($H135)&lt;=0),"NO SESSIONS CREDITED",IF($I135="","NO LINKED EVENT",IF(COUNTIF(nrAT_ID,$I135)=0,"NO SUCH EVENT",IF(INDEX(nrAT_PID,MATCH($I135,nrAT_ID,0))&lt;&gt;$E135,"WRONG CADET",IF(INDEX(nrAT_IsPT,MATCH($I135,nrAT_ID,0))&lt;&gt;IF($F135="PT","Yes","No"),"UNIT MISMATCH","OK"))))))))))))</f>
        <v/>
      </c>
    </row>
    <row r="136">
      <c r="B136" s="17">
        <f>IF($D136="","","M"&amp;TEXT(ROW()-5,"000"))</f>
        <v/>
      </c>
      <c r="C136" s="18" t="n"/>
      <c r="D136" s="16" t="n"/>
      <c r="E136" s="17">
        <f>IF($D136="","",IFERROR(INDEX(rngCadetPIDs,MATCH($D136,rngCadetNames,0)),"?"))</f>
        <v/>
      </c>
      <c r="F136" s="16" t="n"/>
      <c r="G136" s="16" t="n"/>
      <c r="H136" s="16" t="n"/>
      <c r="I136" s="16" t="n"/>
      <c r="J136" s="16" t="n"/>
      <c r="K136" s="16" t="n"/>
      <c r="L136" s="17">
        <f>IF($D136="","",IF(AND($J136="Received",$K136&lt;&gt;"Yes",LEFT($N136,2)="OK"),"Yes","No"))</f>
        <v/>
      </c>
      <c r="M136" s="16" t="n"/>
      <c r="N136" s="17">
        <f>IF($D136="","",IF(AND($F136&lt;&gt;"Classroom",$F136&lt;&gt;"PT"),"TYPE NOT CREDITED",IF($C136="","NO MAKEUP DATE",IF(NOT(ISNUMBER($C136)),"MAKEUP DATE NOT A DATE",IF(OR(AND($G136&lt;&gt;"",NOT(ISNUMBER($G136))),AND($H136&lt;&gt;"",NOT(ISNUMBER($H136)))),"CREDIT NOT A NUMBER",IF(OR(N($G136)&lt;0,N($H136)&lt;0),"NEGATIVE CREDIT",IF(AND($F136="Classroom",N($G136)&lt;=0),"NO MINUTES CREDITED",IF(AND($F136="PT",N($H136)&lt;=0),"NO SESSIONS CREDITED",IF($I136="","NO LINKED EVENT",IF(COUNTIF(nrAT_ID,$I136)=0,"NO SUCH EVENT",IF(INDEX(nrAT_PID,MATCH($I136,nrAT_ID,0))&lt;&gt;$E136,"WRONG CADET",IF(INDEX(nrAT_IsPT,MATCH($I136,nrAT_ID,0))&lt;&gt;IF($F136="PT","Yes","No"),"UNIT MISMATCH","OK"))))))))))))</f>
        <v/>
      </c>
    </row>
    <row r="137">
      <c r="B137" s="17">
        <f>IF($D137="","","M"&amp;TEXT(ROW()-5,"000"))</f>
        <v/>
      </c>
      <c r="C137" s="18" t="n"/>
      <c r="D137" s="16" t="n"/>
      <c r="E137" s="17">
        <f>IF($D137="","",IFERROR(INDEX(rngCadetPIDs,MATCH($D137,rngCadetNames,0)),"?"))</f>
        <v/>
      </c>
      <c r="F137" s="16" t="n"/>
      <c r="G137" s="16" t="n"/>
      <c r="H137" s="16" t="n"/>
      <c r="I137" s="16" t="n"/>
      <c r="J137" s="16" t="n"/>
      <c r="K137" s="16" t="n"/>
      <c r="L137" s="17">
        <f>IF($D137="","",IF(AND($J137="Received",$K137&lt;&gt;"Yes",LEFT($N137,2)="OK"),"Yes","No"))</f>
        <v/>
      </c>
      <c r="M137" s="16" t="n"/>
      <c r="N137" s="17">
        <f>IF($D137="","",IF(AND($F137&lt;&gt;"Classroom",$F137&lt;&gt;"PT"),"TYPE NOT CREDITED",IF($C137="","NO MAKEUP DATE",IF(NOT(ISNUMBER($C137)),"MAKEUP DATE NOT A DATE",IF(OR(AND($G137&lt;&gt;"",NOT(ISNUMBER($G137))),AND($H137&lt;&gt;"",NOT(ISNUMBER($H137)))),"CREDIT NOT A NUMBER",IF(OR(N($G137)&lt;0,N($H137)&lt;0),"NEGATIVE CREDIT",IF(AND($F137="Classroom",N($G137)&lt;=0),"NO MINUTES CREDITED",IF(AND($F137="PT",N($H137)&lt;=0),"NO SESSIONS CREDITED",IF($I137="","NO LINKED EVENT",IF(COUNTIF(nrAT_ID,$I137)=0,"NO SUCH EVENT",IF(INDEX(nrAT_PID,MATCH($I137,nrAT_ID,0))&lt;&gt;$E137,"WRONG CADET",IF(INDEX(nrAT_IsPT,MATCH($I137,nrAT_ID,0))&lt;&gt;IF($F137="PT","Yes","No"),"UNIT MISMATCH","OK"))))))))))))</f>
        <v/>
      </c>
    </row>
    <row r="138">
      <c r="B138" s="17">
        <f>IF($D138="","","M"&amp;TEXT(ROW()-5,"000"))</f>
        <v/>
      </c>
      <c r="C138" s="18" t="n"/>
      <c r="D138" s="16" t="n"/>
      <c r="E138" s="17">
        <f>IF($D138="","",IFERROR(INDEX(rngCadetPIDs,MATCH($D138,rngCadetNames,0)),"?"))</f>
        <v/>
      </c>
      <c r="F138" s="16" t="n"/>
      <c r="G138" s="16" t="n"/>
      <c r="H138" s="16" t="n"/>
      <c r="I138" s="16" t="n"/>
      <c r="J138" s="16" t="n"/>
      <c r="K138" s="16" t="n"/>
      <c r="L138" s="17">
        <f>IF($D138="","",IF(AND($J138="Received",$K138&lt;&gt;"Yes",LEFT($N138,2)="OK"),"Yes","No"))</f>
        <v/>
      </c>
      <c r="M138" s="16" t="n"/>
      <c r="N138" s="17">
        <f>IF($D138="","",IF(AND($F138&lt;&gt;"Classroom",$F138&lt;&gt;"PT"),"TYPE NOT CREDITED",IF($C138="","NO MAKEUP DATE",IF(NOT(ISNUMBER($C138)),"MAKEUP DATE NOT A DATE",IF(OR(AND($G138&lt;&gt;"",NOT(ISNUMBER($G138))),AND($H138&lt;&gt;"",NOT(ISNUMBER($H138)))),"CREDIT NOT A NUMBER",IF(OR(N($G138)&lt;0,N($H138)&lt;0),"NEGATIVE CREDIT",IF(AND($F138="Classroom",N($G138)&lt;=0),"NO MINUTES CREDITED",IF(AND($F138="PT",N($H138)&lt;=0),"NO SESSIONS CREDITED",IF($I138="","NO LINKED EVENT",IF(COUNTIF(nrAT_ID,$I138)=0,"NO SUCH EVENT",IF(INDEX(nrAT_PID,MATCH($I138,nrAT_ID,0))&lt;&gt;$E138,"WRONG CADET",IF(INDEX(nrAT_IsPT,MATCH($I138,nrAT_ID,0))&lt;&gt;IF($F138="PT","Yes","No"),"UNIT MISMATCH","OK"))))))))))))</f>
        <v/>
      </c>
    </row>
    <row r="139">
      <c r="B139" s="17">
        <f>IF($D139="","","M"&amp;TEXT(ROW()-5,"000"))</f>
        <v/>
      </c>
      <c r="C139" s="18" t="n"/>
      <c r="D139" s="16" t="n"/>
      <c r="E139" s="17">
        <f>IF($D139="","",IFERROR(INDEX(rngCadetPIDs,MATCH($D139,rngCadetNames,0)),"?"))</f>
        <v/>
      </c>
      <c r="F139" s="16" t="n"/>
      <c r="G139" s="16" t="n"/>
      <c r="H139" s="16" t="n"/>
      <c r="I139" s="16" t="n"/>
      <c r="J139" s="16" t="n"/>
      <c r="K139" s="16" t="n"/>
      <c r="L139" s="17">
        <f>IF($D139="","",IF(AND($J139="Received",$K139&lt;&gt;"Yes",LEFT($N139,2)="OK"),"Yes","No"))</f>
        <v/>
      </c>
      <c r="M139" s="16" t="n"/>
      <c r="N139" s="17">
        <f>IF($D139="","",IF(AND($F139&lt;&gt;"Classroom",$F139&lt;&gt;"PT"),"TYPE NOT CREDITED",IF($C139="","NO MAKEUP DATE",IF(NOT(ISNUMBER($C139)),"MAKEUP DATE NOT A DATE",IF(OR(AND($G139&lt;&gt;"",NOT(ISNUMBER($G139))),AND($H139&lt;&gt;"",NOT(ISNUMBER($H139)))),"CREDIT NOT A NUMBER",IF(OR(N($G139)&lt;0,N($H139)&lt;0),"NEGATIVE CREDIT",IF(AND($F139="Classroom",N($G139)&lt;=0),"NO MINUTES CREDITED",IF(AND($F139="PT",N($H139)&lt;=0),"NO SESSIONS CREDITED",IF($I139="","NO LINKED EVENT",IF(COUNTIF(nrAT_ID,$I139)=0,"NO SUCH EVENT",IF(INDEX(nrAT_PID,MATCH($I139,nrAT_ID,0))&lt;&gt;$E139,"WRONG CADET",IF(INDEX(nrAT_IsPT,MATCH($I139,nrAT_ID,0))&lt;&gt;IF($F139="PT","Yes","No"),"UNIT MISMATCH","OK"))))))))))))</f>
        <v/>
      </c>
    </row>
    <row r="140">
      <c r="B140" s="17">
        <f>IF($D140="","","M"&amp;TEXT(ROW()-5,"000"))</f>
        <v/>
      </c>
      <c r="C140" s="18" t="n"/>
      <c r="D140" s="16" t="n"/>
      <c r="E140" s="17">
        <f>IF($D140="","",IFERROR(INDEX(rngCadetPIDs,MATCH($D140,rngCadetNames,0)),"?"))</f>
        <v/>
      </c>
      <c r="F140" s="16" t="n"/>
      <c r="G140" s="16" t="n"/>
      <c r="H140" s="16" t="n"/>
      <c r="I140" s="16" t="n"/>
      <c r="J140" s="16" t="n"/>
      <c r="K140" s="16" t="n"/>
      <c r="L140" s="17">
        <f>IF($D140="","",IF(AND($J140="Received",$K140&lt;&gt;"Yes",LEFT($N140,2)="OK"),"Yes","No"))</f>
        <v/>
      </c>
      <c r="M140" s="16" t="n"/>
      <c r="N140" s="17">
        <f>IF($D140="","",IF(AND($F140&lt;&gt;"Classroom",$F140&lt;&gt;"PT"),"TYPE NOT CREDITED",IF($C140="","NO MAKEUP DATE",IF(NOT(ISNUMBER($C140)),"MAKEUP DATE NOT A DATE",IF(OR(AND($G140&lt;&gt;"",NOT(ISNUMBER($G140))),AND($H140&lt;&gt;"",NOT(ISNUMBER($H140)))),"CREDIT NOT A NUMBER",IF(OR(N($G140)&lt;0,N($H140)&lt;0),"NEGATIVE CREDIT",IF(AND($F140="Classroom",N($G140)&lt;=0),"NO MINUTES CREDITED",IF(AND($F140="PT",N($H140)&lt;=0),"NO SESSIONS CREDITED",IF($I140="","NO LINKED EVENT",IF(COUNTIF(nrAT_ID,$I140)=0,"NO SUCH EVENT",IF(INDEX(nrAT_PID,MATCH($I140,nrAT_ID,0))&lt;&gt;$E140,"WRONG CADET",IF(INDEX(nrAT_IsPT,MATCH($I140,nrAT_ID,0))&lt;&gt;IF($F140="PT","Yes","No"),"UNIT MISMATCH","OK"))))))))))))</f>
        <v/>
      </c>
    </row>
    <row r="141">
      <c r="B141" s="17">
        <f>IF($D141="","","M"&amp;TEXT(ROW()-5,"000"))</f>
        <v/>
      </c>
      <c r="C141" s="18" t="n"/>
      <c r="D141" s="16" t="n"/>
      <c r="E141" s="17">
        <f>IF($D141="","",IFERROR(INDEX(rngCadetPIDs,MATCH($D141,rngCadetNames,0)),"?"))</f>
        <v/>
      </c>
      <c r="F141" s="16" t="n"/>
      <c r="G141" s="16" t="n"/>
      <c r="H141" s="16" t="n"/>
      <c r="I141" s="16" t="n"/>
      <c r="J141" s="16" t="n"/>
      <c r="K141" s="16" t="n"/>
      <c r="L141" s="17">
        <f>IF($D141="","",IF(AND($J141="Received",$K141&lt;&gt;"Yes",LEFT($N141,2)="OK"),"Yes","No"))</f>
        <v/>
      </c>
      <c r="M141" s="16" t="n"/>
      <c r="N141" s="17">
        <f>IF($D141="","",IF(AND($F141&lt;&gt;"Classroom",$F141&lt;&gt;"PT"),"TYPE NOT CREDITED",IF($C141="","NO MAKEUP DATE",IF(NOT(ISNUMBER($C141)),"MAKEUP DATE NOT A DATE",IF(OR(AND($G141&lt;&gt;"",NOT(ISNUMBER($G141))),AND($H141&lt;&gt;"",NOT(ISNUMBER($H141)))),"CREDIT NOT A NUMBER",IF(OR(N($G141)&lt;0,N($H141)&lt;0),"NEGATIVE CREDIT",IF(AND($F141="Classroom",N($G141)&lt;=0),"NO MINUTES CREDITED",IF(AND($F141="PT",N($H141)&lt;=0),"NO SESSIONS CREDITED",IF($I141="","NO LINKED EVENT",IF(COUNTIF(nrAT_ID,$I141)=0,"NO SUCH EVENT",IF(INDEX(nrAT_PID,MATCH($I141,nrAT_ID,0))&lt;&gt;$E141,"WRONG CADET",IF(INDEX(nrAT_IsPT,MATCH($I141,nrAT_ID,0))&lt;&gt;IF($F141="PT","Yes","No"),"UNIT MISMATCH","OK"))))))))))))</f>
        <v/>
      </c>
    </row>
    <row r="142">
      <c r="B142" s="17">
        <f>IF($D142="","","M"&amp;TEXT(ROW()-5,"000"))</f>
        <v/>
      </c>
      <c r="C142" s="18" t="n"/>
      <c r="D142" s="16" t="n"/>
      <c r="E142" s="17">
        <f>IF($D142="","",IFERROR(INDEX(rngCadetPIDs,MATCH($D142,rngCadetNames,0)),"?"))</f>
        <v/>
      </c>
      <c r="F142" s="16" t="n"/>
      <c r="G142" s="16" t="n"/>
      <c r="H142" s="16" t="n"/>
      <c r="I142" s="16" t="n"/>
      <c r="J142" s="16" t="n"/>
      <c r="K142" s="16" t="n"/>
      <c r="L142" s="17">
        <f>IF($D142="","",IF(AND($J142="Received",$K142&lt;&gt;"Yes",LEFT($N142,2)="OK"),"Yes","No"))</f>
        <v/>
      </c>
      <c r="M142" s="16" t="n"/>
      <c r="N142" s="17">
        <f>IF($D142="","",IF(AND($F142&lt;&gt;"Classroom",$F142&lt;&gt;"PT"),"TYPE NOT CREDITED",IF($C142="","NO MAKEUP DATE",IF(NOT(ISNUMBER($C142)),"MAKEUP DATE NOT A DATE",IF(OR(AND($G142&lt;&gt;"",NOT(ISNUMBER($G142))),AND($H142&lt;&gt;"",NOT(ISNUMBER($H142)))),"CREDIT NOT A NUMBER",IF(OR(N($G142)&lt;0,N($H142)&lt;0),"NEGATIVE CREDIT",IF(AND($F142="Classroom",N($G142)&lt;=0),"NO MINUTES CREDITED",IF(AND($F142="PT",N($H142)&lt;=0),"NO SESSIONS CREDITED",IF($I142="","NO LINKED EVENT",IF(COUNTIF(nrAT_ID,$I142)=0,"NO SUCH EVENT",IF(INDEX(nrAT_PID,MATCH($I142,nrAT_ID,0))&lt;&gt;$E142,"WRONG CADET",IF(INDEX(nrAT_IsPT,MATCH($I142,nrAT_ID,0))&lt;&gt;IF($F142="PT","Yes","No"),"UNIT MISMATCH","OK"))))))))))))</f>
        <v/>
      </c>
    </row>
    <row r="143">
      <c r="B143" s="17">
        <f>IF($D143="","","M"&amp;TEXT(ROW()-5,"000"))</f>
        <v/>
      </c>
      <c r="C143" s="18" t="n"/>
      <c r="D143" s="16" t="n"/>
      <c r="E143" s="17">
        <f>IF($D143="","",IFERROR(INDEX(rngCadetPIDs,MATCH($D143,rngCadetNames,0)),"?"))</f>
        <v/>
      </c>
      <c r="F143" s="16" t="n"/>
      <c r="G143" s="16" t="n"/>
      <c r="H143" s="16" t="n"/>
      <c r="I143" s="16" t="n"/>
      <c r="J143" s="16" t="n"/>
      <c r="K143" s="16" t="n"/>
      <c r="L143" s="17">
        <f>IF($D143="","",IF(AND($J143="Received",$K143&lt;&gt;"Yes",LEFT($N143,2)="OK"),"Yes","No"))</f>
        <v/>
      </c>
      <c r="M143" s="16" t="n"/>
      <c r="N143" s="17">
        <f>IF($D143="","",IF(AND($F143&lt;&gt;"Classroom",$F143&lt;&gt;"PT"),"TYPE NOT CREDITED",IF($C143="","NO MAKEUP DATE",IF(NOT(ISNUMBER($C143)),"MAKEUP DATE NOT A DATE",IF(OR(AND($G143&lt;&gt;"",NOT(ISNUMBER($G143))),AND($H143&lt;&gt;"",NOT(ISNUMBER($H143)))),"CREDIT NOT A NUMBER",IF(OR(N($G143)&lt;0,N($H143)&lt;0),"NEGATIVE CREDIT",IF(AND($F143="Classroom",N($G143)&lt;=0),"NO MINUTES CREDITED",IF(AND($F143="PT",N($H143)&lt;=0),"NO SESSIONS CREDITED",IF($I143="","NO LINKED EVENT",IF(COUNTIF(nrAT_ID,$I143)=0,"NO SUCH EVENT",IF(INDEX(nrAT_PID,MATCH($I143,nrAT_ID,0))&lt;&gt;$E143,"WRONG CADET",IF(INDEX(nrAT_IsPT,MATCH($I143,nrAT_ID,0))&lt;&gt;IF($F143="PT","Yes","No"),"UNIT MISMATCH","OK"))))))))))))</f>
        <v/>
      </c>
    </row>
    <row r="144">
      <c r="B144" s="17">
        <f>IF($D144="","","M"&amp;TEXT(ROW()-5,"000"))</f>
        <v/>
      </c>
      <c r="C144" s="18" t="n"/>
      <c r="D144" s="16" t="n"/>
      <c r="E144" s="17">
        <f>IF($D144="","",IFERROR(INDEX(rngCadetPIDs,MATCH($D144,rngCadetNames,0)),"?"))</f>
        <v/>
      </c>
      <c r="F144" s="16" t="n"/>
      <c r="G144" s="16" t="n"/>
      <c r="H144" s="16" t="n"/>
      <c r="I144" s="16" t="n"/>
      <c r="J144" s="16" t="n"/>
      <c r="K144" s="16" t="n"/>
      <c r="L144" s="17">
        <f>IF($D144="","",IF(AND($J144="Received",$K144&lt;&gt;"Yes",LEFT($N144,2)="OK"),"Yes","No"))</f>
        <v/>
      </c>
      <c r="M144" s="16" t="n"/>
      <c r="N144" s="17">
        <f>IF($D144="","",IF(AND($F144&lt;&gt;"Classroom",$F144&lt;&gt;"PT"),"TYPE NOT CREDITED",IF($C144="","NO MAKEUP DATE",IF(NOT(ISNUMBER($C144)),"MAKEUP DATE NOT A DATE",IF(OR(AND($G144&lt;&gt;"",NOT(ISNUMBER($G144))),AND($H144&lt;&gt;"",NOT(ISNUMBER($H144)))),"CREDIT NOT A NUMBER",IF(OR(N($G144)&lt;0,N($H144)&lt;0),"NEGATIVE CREDIT",IF(AND($F144="Classroom",N($G144)&lt;=0),"NO MINUTES CREDITED",IF(AND($F144="PT",N($H144)&lt;=0),"NO SESSIONS CREDITED",IF($I144="","NO LINKED EVENT",IF(COUNTIF(nrAT_ID,$I144)=0,"NO SUCH EVENT",IF(INDEX(nrAT_PID,MATCH($I144,nrAT_ID,0))&lt;&gt;$E144,"WRONG CADET",IF(INDEX(nrAT_IsPT,MATCH($I144,nrAT_ID,0))&lt;&gt;IF($F144="PT","Yes","No"),"UNIT MISMATCH","OK"))))))))))))</f>
        <v/>
      </c>
    </row>
    <row r="145">
      <c r="B145" s="17">
        <f>IF($D145="","","M"&amp;TEXT(ROW()-5,"000"))</f>
        <v/>
      </c>
      <c r="C145" s="18" t="n"/>
      <c r="D145" s="16" t="n"/>
      <c r="E145" s="17">
        <f>IF($D145="","",IFERROR(INDEX(rngCadetPIDs,MATCH($D145,rngCadetNames,0)),"?"))</f>
        <v/>
      </c>
      <c r="F145" s="16" t="n"/>
      <c r="G145" s="16" t="n"/>
      <c r="H145" s="16" t="n"/>
      <c r="I145" s="16" t="n"/>
      <c r="J145" s="16" t="n"/>
      <c r="K145" s="16" t="n"/>
      <c r="L145" s="17">
        <f>IF($D145="","",IF(AND($J145="Received",$K145&lt;&gt;"Yes",LEFT($N145,2)="OK"),"Yes","No"))</f>
        <v/>
      </c>
      <c r="M145" s="16" t="n"/>
      <c r="N145" s="17">
        <f>IF($D145="","",IF(AND($F145&lt;&gt;"Classroom",$F145&lt;&gt;"PT"),"TYPE NOT CREDITED",IF($C145="","NO MAKEUP DATE",IF(NOT(ISNUMBER($C145)),"MAKEUP DATE NOT A DATE",IF(OR(AND($G145&lt;&gt;"",NOT(ISNUMBER($G145))),AND($H145&lt;&gt;"",NOT(ISNUMBER($H145)))),"CREDIT NOT A NUMBER",IF(OR(N($G145)&lt;0,N($H145)&lt;0),"NEGATIVE CREDIT",IF(AND($F145="Classroom",N($G145)&lt;=0),"NO MINUTES CREDITED",IF(AND($F145="PT",N($H145)&lt;=0),"NO SESSIONS CREDITED",IF($I145="","NO LINKED EVENT",IF(COUNTIF(nrAT_ID,$I145)=0,"NO SUCH EVENT",IF(INDEX(nrAT_PID,MATCH($I145,nrAT_ID,0))&lt;&gt;$E145,"WRONG CADET",IF(INDEX(nrAT_IsPT,MATCH($I145,nrAT_ID,0))&lt;&gt;IF($F145="PT","Yes","No"),"UNIT MISMATCH","OK"))))))))))))</f>
        <v/>
      </c>
    </row>
    <row r="146">
      <c r="B146" s="17">
        <f>IF($D146="","","M"&amp;TEXT(ROW()-5,"000"))</f>
        <v/>
      </c>
      <c r="C146" s="18" t="n"/>
      <c r="D146" s="16" t="n"/>
      <c r="E146" s="17">
        <f>IF($D146="","",IFERROR(INDEX(rngCadetPIDs,MATCH($D146,rngCadetNames,0)),"?"))</f>
        <v/>
      </c>
      <c r="F146" s="16" t="n"/>
      <c r="G146" s="16" t="n"/>
      <c r="H146" s="16" t="n"/>
      <c r="I146" s="16" t="n"/>
      <c r="J146" s="16" t="n"/>
      <c r="K146" s="16" t="n"/>
      <c r="L146" s="17">
        <f>IF($D146="","",IF(AND($J146="Received",$K146&lt;&gt;"Yes",LEFT($N146,2)="OK"),"Yes","No"))</f>
        <v/>
      </c>
      <c r="M146" s="16" t="n"/>
      <c r="N146" s="17">
        <f>IF($D146="","",IF(AND($F146&lt;&gt;"Classroom",$F146&lt;&gt;"PT"),"TYPE NOT CREDITED",IF($C146="","NO MAKEUP DATE",IF(NOT(ISNUMBER($C146)),"MAKEUP DATE NOT A DATE",IF(OR(AND($G146&lt;&gt;"",NOT(ISNUMBER($G146))),AND($H146&lt;&gt;"",NOT(ISNUMBER($H146)))),"CREDIT NOT A NUMBER",IF(OR(N($G146)&lt;0,N($H146)&lt;0),"NEGATIVE CREDIT",IF(AND($F146="Classroom",N($G146)&lt;=0),"NO MINUTES CREDITED",IF(AND($F146="PT",N($H146)&lt;=0),"NO SESSIONS CREDITED",IF($I146="","NO LINKED EVENT",IF(COUNTIF(nrAT_ID,$I146)=0,"NO SUCH EVENT",IF(INDEX(nrAT_PID,MATCH($I146,nrAT_ID,0))&lt;&gt;$E146,"WRONG CADET",IF(INDEX(nrAT_IsPT,MATCH($I146,nrAT_ID,0))&lt;&gt;IF($F146="PT","Yes","No"),"UNIT MISMATCH","OK"))))))))))))</f>
        <v/>
      </c>
    </row>
    <row r="147">
      <c r="B147" s="17">
        <f>IF($D147="","","M"&amp;TEXT(ROW()-5,"000"))</f>
        <v/>
      </c>
      <c r="C147" s="18" t="n"/>
      <c r="D147" s="16" t="n"/>
      <c r="E147" s="17">
        <f>IF($D147="","",IFERROR(INDEX(rngCadetPIDs,MATCH($D147,rngCadetNames,0)),"?"))</f>
        <v/>
      </c>
      <c r="F147" s="16" t="n"/>
      <c r="G147" s="16" t="n"/>
      <c r="H147" s="16" t="n"/>
      <c r="I147" s="16" t="n"/>
      <c r="J147" s="16" t="n"/>
      <c r="K147" s="16" t="n"/>
      <c r="L147" s="17">
        <f>IF($D147="","",IF(AND($J147="Received",$K147&lt;&gt;"Yes",LEFT($N147,2)="OK"),"Yes","No"))</f>
        <v/>
      </c>
      <c r="M147" s="16" t="n"/>
      <c r="N147" s="17">
        <f>IF($D147="","",IF(AND($F147&lt;&gt;"Classroom",$F147&lt;&gt;"PT"),"TYPE NOT CREDITED",IF($C147="","NO MAKEUP DATE",IF(NOT(ISNUMBER($C147)),"MAKEUP DATE NOT A DATE",IF(OR(AND($G147&lt;&gt;"",NOT(ISNUMBER($G147))),AND($H147&lt;&gt;"",NOT(ISNUMBER($H147)))),"CREDIT NOT A NUMBER",IF(OR(N($G147)&lt;0,N($H147)&lt;0),"NEGATIVE CREDIT",IF(AND($F147="Classroom",N($G147)&lt;=0),"NO MINUTES CREDITED",IF(AND($F147="PT",N($H147)&lt;=0),"NO SESSIONS CREDITED",IF($I147="","NO LINKED EVENT",IF(COUNTIF(nrAT_ID,$I147)=0,"NO SUCH EVENT",IF(INDEX(nrAT_PID,MATCH($I147,nrAT_ID,0))&lt;&gt;$E147,"WRONG CADET",IF(INDEX(nrAT_IsPT,MATCH($I147,nrAT_ID,0))&lt;&gt;IF($F147="PT","Yes","No"),"UNIT MISMATCH","OK"))))))))))))</f>
        <v/>
      </c>
    </row>
    <row r="148">
      <c r="B148" s="17">
        <f>IF($D148="","","M"&amp;TEXT(ROW()-5,"000"))</f>
        <v/>
      </c>
      <c r="C148" s="18" t="n"/>
      <c r="D148" s="16" t="n"/>
      <c r="E148" s="17">
        <f>IF($D148="","",IFERROR(INDEX(rngCadetPIDs,MATCH($D148,rngCadetNames,0)),"?"))</f>
        <v/>
      </c>
      <c r="F148" s="16" t="n"/>
      <c r="G148" s="16" t="n"/>
      <c r="H148" s="16" t="n"/>
      <c r="I148" s="16" t="n"/>
      <c r="J148" s="16" t="n"/>
      <c r="K148" s="16" t="n"/>
      <c r="L148" s="17">
        <f>IF($D148="","",IF(AND($J148="Received",$K148&lt;&gt;"Yes",LEFT($N148,2)="OK"),"Yes","No"))</f>
        <v/>
      </c>
      <c r="M148" s="16" t="n"/>
      <c r="N148" s="17">
        <f>IF($D148="","",IF(AND($F148&lt;&gt;"Classroom",$F148&lt;&gt;"PT"),"TYPE NOT CREDITED",IF($C148="","NO MAKEUP DATE",IF(NOT(ISNUMBER($C148)),"MAKEUP DATE NOT A DATE",IF(OR(AND($G148&lt;&gt;"",NOT(ISNUMBER($G148))),AND($H148&lt;&gt;"",NOT(ISNUMBER($H148)))),"CREDIT NOT A NUMBER",IF(OR(N($G148)&lt;0,N($H148)&lt;0),"NEGATIVE CREDIT",IF(AND($F148="Classroom",N($G148)&lt;=0),"NO MINUTES CREDITED",IF(AND($F148="PT",N($H148)&lt;=0),"NO SESSIONS CREDITED",IF($I148="","NO LINKED EVENT",IF(COUNTIF(nrAT_ID,$I148)=0,"NO SUCH EVENT",IF(INDEX(nrAT_PID,MATCH($I148,nrAT_ID,0))&lt;&gt;$E148,"WRONG CADET",IF(INDEX(nrAT_IsPT,MATCH($I148,nrAT_ID,0))&lt;&gt;IF($F148="PT","Yes","No"),"UNIT MISMATCH","OK"))))))))))))</f>
        <v/>
      </c>
    </row>
    <row r="149">
      <c r="B149" s="17">
        <f>IF($D149="","","M"&amp;TEXT(ROW()-5,"000"))</f>
        <v/>
      </c>
      <c r="C149" s="18" t="n"/>
      <c r="D149" s="16" t="n"/>
      <c r="E149" s="17">
        <f>IF($D149="","",IFERROR(INDEX(rngCadetPIDs,MATCH($D149,rngCadetNames,0)),"?"))</f>
        <v/>
      </c>
      <c r="F149" s="16" t="n"/>
      <c r="G149" s="16" t="n"/>
      <c r="H149" s="16" t="n"/>
      <c r="I149" s="16" t="n"/>
      <c r="J149" s="16" t="n"/>
      <c r="K149" s="16" t="n"/>
      <c r="L149" s="17">
        <f>IF($D149="","",IF(AND($J149="Received",$K149&lt;&gt;"Yes",LEFT($N149,2)="OK"),"Yes","No"))</f>
        <v/>
      </c>
      <c r="M149" s="16" t="n"/>
      <c r="N149" s="17">
        <f>IF($D149="","",IF(AND($F149&lt;&gt;"Classroom",$F149&lt;&gt;"PT"),"TYPE NOT CREDITED",IF($C149="","NO MAKEUP DATE",IF(NOT(ISNUMBER($C149)),"MAKEUP DATE NOT A DATE",IF(OR(AND($G149&lt;&gt;"",NOT(ISNUMBER($G149))),AND($H149&lt;&gt;"",NOT(ISNUMBER($H149)))),"CREDIT NOT A NUMBER",IF(OR(N($G149)&lt;0,N($H149)&lt;0),"NEGATIVE CREDIT",IF(AND($F149="Classroom",N($G149)&lt;=0),"NO MINUTES CREDITED",IF(AND($F149="PT",N($H149)&lt;=0),"NO SESSIONS CREDITED",IF($I149="","NO LINKED EVENT",IF(COUNTIF(nrAT_ID,$I149)=0,"NO SUCH EVENT",IF(INDEX(nrAT_PID,MATCH($I149,nrAT_ID,0))&lt;&gt;$E149,"WRONG CADET",IF(INDEX(nrAT_IsPT,MATCH($I149,nrAT_ID,0))&lt;&gt;IF($F149="PT","Yes","No"),"UNIT MISMATCH","OK"))))))))))))</f>
        <v/>
      </c>
    </row>
    <row r="150">
      <c r="B150" s="17">
        <f>IF($D150="","","M"&amp;TEXT(ROW()-5,"000"))</f>
        <v/>
      </c>
      <c r="C150" s="18" t="n"/>
      <c r="D150" s="16" t="n"/>
      <c r="E150" s="17">
        <f>IF($D150="","",IFERROR(INDEX(rngCadetPIDs,MATCH($D150,rngCadetNames,0)),"?"))</f>
        <v/>
      </c>
      <c r="F150" s="16" t="n"/>
      <c r="G150" s="16" t="n"/>
      <c r="H150" s="16" t="n"/>
      <c r="I150" s="16" t="n"/>
      <c r="J150" s="16" t="n"/>
      <c r="K150" s="16" t="n"/>
      <c r="L150" s="17">
        <f>IF($D150="","",IF(AND($J150="Received",$K150&lt;&gt;"Yes",LEFT($N150,2)="OK"),"Yes","No"))</f>
        <v/>
      </c>
      <c r="M150" s="16" t="n"/>
      <c r="N150" s="17">
        <f>IF($D150="","",IF(AND($F150&lt;&gt;"Classroom",$F150&lt;&gt;"PT"),"TYPE NOT CREDITED",IF($C150="","NO MAKEUP DATE",IF(NOT(ISNUMBER($C150)),"MAKEUP DATE NOT A DATE",IF(OR(AND($G150&lt;&gt;"",NOT(ISNUMBER($G150))),AND($H150&lt;&gt;"",NOT(ISNUMBER($H150)))),"CREDIT NOT A NUMBER",IF(OR(N($G150)&lt;0,N($H150)&lt;0),"NEGATIVE CREDIT",IF(AND($F150="Classroom",N($G150)&lt;=0),"NO MINUTES CREDITED",IF(AND($F150="PT",N($H150)&lt;=0),"NO SESSIONS CREDITED",IF($I150="","NO LINKED EVENT",IF(COUNTIF(nrAT_ID,$I150)=0,"NO SUCH EVENT",IF(INDEX(nrAT_PID,MATCH($I150,nrAT_ID,0))&lt;&gt;$E150,"WRONG CADET",IF(INDEX(nrAT_IsPT,MATCH($I150,nrAT_ID,0))&lt;&gt;IF($F150="PT","Yes","No"),"UNIT MISMATCH","OK"))))))))))))</f>
        <v/>
      </c>
    </row>
    <row r="151">
      <c r="B151" s="17">
        <f>IF($D151="","","M"&amp;TEXT(ROW()-5,"000"))</f>
        <v/>
      </c>
      <c r="C151" s="18" t="n"/>
      <c r="D151" s="16" t="n"/>
      <c r="E151" s="17">
        <f>IF($D151="","",IFERROR(INDEX(rngCadetPIDs,MATCH($D151,rngCadetNames,0)),"?"))</f>
        <v/>
      </c>
      <c r="F151" s="16" t="n"/>
      <c r="G151" s="16" t="n"/>
      <c r="H151" s="16" t="n"/>
      <c r="I151" s="16" t="n"/>
      <c r="J151" s="16" t="n"/>
      <c r="K151" s="16" t="n"/>
      <c r="L151" s="17">
        <f>IF($D151="","",IF(AND($J151="Received",$K151&lt;&gt;"Yes",LEFT($N151,2)="OK"),"Yes","No"))</f>
        <v/>
      </c>
      <c r="M151" s="16" t="n"/>
      <c r="N151" s="17">
        <f>IF($D151="","",IF(AND($F151&lt;&gt;"Classroom",$F151&lt;&gt;"PT"),"TYPE NOT CREDITED",IF($C151="","NO MAKEUP DATE",IF(NOT(ISNUMBER($C151)),"MAKEUP DATE NOT A DATE",IF(OR(AND($G151&lt;&gt;"",NOT(ISNUMBER($G151))),AND($H151&lt;&gt;"",NOT(ISNUMBER($H151)))),"CREDIT NOT A NUMBER",IF(OR(N($G151)&lt;0,N($H151)&lt;0),"NEGATIVE CREDIT",IF(AND($F151="Classroom",N($G151)&lt;=0),"NO MINUTES CREDITED",IF(AND($F151="PT",N($H151)&lt;=0),"NO SESSIONS CREDITED",IF($I151="","NO LINKED EVENT",IF(COUNTIF(nrAT_ID,$I151)=0,"NO SUCH EVENT",IF(INDEX(nrAT_PID,MATCH($I151,nrAT_ID,0))&lt;&gt;$E151,"WRONG CADET",IF(INDEX(nrAT_IsPT,MATCH($I151,nrAT_ID,0))&lt;&gt;IF($F151="PT","Yes","No"),"UNIT MISMATCH","OK"))))))))))))</f>
        <v/>
      </c>
    </row>
    <row r="152">
      <c r="B152" s="17">
        <f>IF($D152="","","M"&amp;TEXT(ROW()-5,"000"))</f>
        <v/>
      </c>
      <c r="C152" s="18" t="n"/>
      <c r="D152" s="16" t="n"/>
      <c r="E152" s="17">
        <f>IF($D152="","",IFERROR(INDEX(rngCadetPIDs,MATCH($D152,rngCadetNames,0)),"?"))</f>
        <v/>
      </c>
      <c r="F152" s="16" t="n"/>
      <c r="G152" s="16" t="n"/>
      <c r="H152" s="16" t="n"/>
      <c r="I152" s="16" t="n"/>
      <c r="J152" s="16" t="n"/>
      <c r="K152" s="16" t="n"/>
      <c r="L152" s="17">
        <f>IF($D152="","",IF(AND($J152="Received",$K152&lt;&gt;"Yes",LEFT($N152,2)="OK"),"Yes","No"))</f>
        <v/>
      </c>
      <c r="M152" s="16" t="n"/>
      <c r="N152" s="17">
        <f>IF($D152="","",IF(AND($F152&lt;&gt;"Classroom",$F152&lt;&gt;"PT"),"TYPE NOT CREDITED",IF($C152="","NO MAKEUP DATE",IF(NOT(ISNUMBER($C152)),"MAKEUP DATE NOT A DATE",IF(OR(AND($G152&lt;&gt;"",NOT(ISNUMBER($G152))),AND($H152&lt;&gt;"",NOT(ISNUMBER($H152)))),"CREDIT NOT A NUMBER",IF(OR(N($G152)&lt;0,N($H152)&lt;0),"NEGATIVE CREDIT",IF(AND($F152="Classroom",N($G152)&lt;=0),"NO MINUTES CREDITED",IF(AND($F152="PT",N($H152)&lt;=0),"NO SESSIONS CREDITED",IF($I152="","NO LINKED EVENT",IF(COUNTIF(nrAT_ID,$I152)=0,"NO SUCH EVENT",IF(INDEX(nrAT_PID,MATCH($I152,nrAT_ID,0))&lt;&gt;$E152,"WRONG CADET",IF(INDEX(nrAT_IsPT,MATCH($I152,nrAT_ID,0))&lt;&gt;IF($F152="PT","Yes","No"),"UNIT MISMATCH","OK"))))))))))))</f>
        <v/>
      </c>
    </row>
    <row r="153">
      <c r="B153" s="17">
        <f>IF($D153="","","M"&amp;TEXT(ROW()-5,"000"))</f>
        <v/>
      </c>
      <c r="C153" s="18" t="n"/>
      <c r="D153" s="16" t="n"/>
      <c r="E153" s="17">
        <f>IF($D153="","",IFERROR(INDEX(rngCadetPIDs,MATCH($D153,rngCadetNames,0)),"?"))</f>
        <v/>
      </c>
      <c r="F153" s="16" t="n"/>
      <c r="G153" s="16" t="n"/>
      <c r="H153" s="16" t="n"/>
      <c r="I153" s="16" t="n"/>
      <c r="J153" s="16" t="n"/>
      <c r="K153" s="16" t="n"/>
      <c r="L153" s="17">
        <f>IF($D153="","",IF(AND($J153="Received",$K153&lt;&gt;"Yes",LEFT($N153,2)="OK"),"Yes","No"))</f>
        <v/>
      </c>
      <c r="M153" s="16" t="n"/>
      <c r="N153" s="17">
        <f>IF($D153="","",IF(AND($F153&lt;&gt;"Classroom",$F153&lt;&gt;"PT"),"TYPE NOT CREDITED",IF($C153="","NO MAKEUP DATE",IF(NOT(ISNUMBER($C153)),"MAKEUP DATE NOT A DATE",IF(OR(AND($G153&lt;&gt;"",NOT(ISNUMBER($G153))),AND($H153&lt;&gt;"",NOT(ISNUMBER($H153)))),"CREDIT NOT A NUMBER",IF(OR(N($G153)&lt;0,N($H153)&lt;0),"NEGATIVE CREDIT",IF(AND($F153="Classroom",N($G153)&lt;=0),"NO MINUTES CREDITED",IF(AND($F153="PT",N($H153)&lt;=0),"NO SESSIONS CREDITED",IF($I153="","NO LINKED EVENT",IF(COUNTIF(nrAT_ID,$I153)=0,"NO SUCH EVENT",IF(INDEX(nrAT_PID,MATCH($I153,nrAT_ID,0))&lt;&gt;$E153,"WRONG CADET",IF(INDEX(nrAT_IsPT,MATCH($I153,nrAT_ID,0))&lt;&gt;IF($F153="PT","Yes","No"),"UNIT MISMATCH","OK"))))))))))))</f>
        <v/>
      </c>
    </row>
    <row r="154">
      <c r="B154" s="17">
        <f>IF($D154="","","M"&amp;TEXT(ROW()-5,"000"))</f>
        <v/>
      </c>
      <c r="C154" s="18" t="n"/>
      <c r="D154" s="16" t="n"/>
      <c r="E154" s="17">
        <f>IF($D154="","",IFERROR(INDEX(rngCadetPIDs,MATCH($D154,rngCadetNames,0)),"?"))</f>
        <v/>
      </c>
      <c r="F154" s="16" t="n"/>
      <c r="G154" s="16" t="n"/>
      <c r="H154" s="16" t="n"/>
      <c r="I154" s="16" t="n"/>
      <c r="J154" s="16" t="n"/>
      <c r="K154" s="16" t="n"/>
      <c r="L154" s="17">
        <f>IF($D154="","",IF(AND($J154="Received",$K154&lt;&gt;"Yes",LEFT($N154,2)="OK"),"Yes","No"))</f>
        <v/>
      </c>
      <c r="M154" s="16" t="n"/>
      <c r="N154" s="17">
        <f>IF($D154="","",IF(AND($F154&lt;&gt;"Classroom",$F154&lt;&gt;"PT"),"TYPE NOT CREDITED",IF($C154="","NO MAKEUP DATE",IF(NOT(ISNUMBER($C154)),"MAKEUP DATE NOT A DATE",IF(OR(AND($G154&lt;&gt;"",NOT(ISNUMBER($G154))),AND($H154&lt;&gt;"",NOT(ISNUMBER($H154)))),"CREDIT NOT A NUMBER",IF(OR(N($G154)&lt;0,N($H154)&lt;0),"NEGATIVE CREDIT",IF(AND($F154="Classroom",N($G154)&lt;=0),"NO MINUTES CREDITED",IF(AND($F154="PT",N($H154)&lt;=0),"NO SESSIONS CREDITED",IF($I154="","NO LINKED EVENT",IF(COUNTIF(nrAT_ID,$I154)=0,"NO SUCH EVENT",IF(INDEX(nrAT_PID,MATCH($I154,nrAT_ID,0))&lt;&gt;$E154,"WRONG CADET",IF(INDEX(nrAT_IsPT,MATCH($I154,nrAT_ID,0))&lt;&gt;IF($F154="PT","Yes","No"),"UNIT MISMATCH","OK"))))))))))))</f>
        <v/>
      </c>
    </row>
    <row r="155">
      <c r="B155" s="17">
        <f>IF($D155="","","M"&amp;TEXT(ROW()-5,"000"))</f>
        <v/>
      </c>
      <c r="C155" s="18" t="n"/>
      <c r="D155" s="16" t="n"/>
      <c r="E155" s="17">
        <f>IF($D155="","",IFERROR(INDEX(rngCadetPIDs,MATCH($D155,rngCadetNames,0)),"?"))</f>
        <v/>
      </c>
      <c r="F155" s="16" t="n"/>
      <c r="G155" s="16" t="n"/>
      <c r="H155" s="16" t="n"/>
      <c r="I155" s="16" t="n"/>
      <c r="J155" s="16" t="n"/>
      <c r="K155" s="16" t="n"/>
      <c r="L155" s="17">
        <f>IF($D155="","",IF(AND($J155="Received",$K155&lt;&gt;"Yes",LEFT($N155,2)="OK"),"Yes","No"))</f>
        <v/>
      </c>
      <c r="M155" s="16" t="n"/>
      <c r="N155" s="17">
        <f>IF($D155="","",IF(AND($F155&lt;&gt;"Classroom",$F155&lt;&gt;"PT"),"TYPE NOT CREDITED",IF($C155="","NO MAKEUP DATE",IF(NOT(ISNUMBER($C155)),"MAKEUP DATE NOT A DATE",IF(OR(AND($G155&lt;&gt;"",NOT(ISNUMBER($G155))),AND($H155&lt;&gt;"",NOT(ISNUMBER($H155)))),"CREDIT NOT A NUMBER",IF(OR(N($G155)&lt;0,N($H155)&lt;0),"NEGATIVE CREDIT",IF(AND($F155="Classroom",N($G155)&lt;=0),"NO MINUTES CREDITED",IF(AND($F155="PT",N($H155)&lt;=0),"NO SESSIONS CREDITED",IF($I155="","NO LINKED EVENT",IF(COUNTIF(nrAT_ID,$I155)=0,"NO SUCH EVENT",IF(INDEX(nrAT_PID,MATCH($I155,nrAT_ID,0))&lt;&gt;$E155,"WRONG CADET",IF(INDEX(nrAT_IsPT,MATCH($I155,nrAT_ID,0))&lt;&gt;IF($F155="PT","Yes","No"),"UNIT MISMATCH","OK"))))))))))))</f>
        <v/>
      </c>
    </row>
    <row r="156">
      <c r="B156" s="17">
        <f>IF($D156="","","M"&amp;TEXT(ROW()-5,"000"))</f>
        <v/>
      </c>
      <c r="C156" s="18" t="n"/>
      <c r="D156" s="16" t="n"/>
      <c r="E156" s="17">
        <f>IF($D156="","",IFERROR(INDEX(rngCadetPIDs,MATCH($D156,rngCadetNames,0)),"?"))</f>
        <v/>
      </c>
      <c r="F156" s="16" t="n"/>
      <c r="G156" s="16" t="n"/>
      <c r="H156" s="16" t="n"/>
      <c r="I156" s="16" t="n"/>
      <c r="J156" s="16" t="n"/>
      <c r="K156" s="16" t="n"/>
      <c r="L156" s="17">
        <f>IF($D156="","",IF(AND($J156="Received",$K156&lt;&gt;"Yes",LEFT($N156,2)="OK"),"Yes","No"))</f>
        <v/>
      </c>
      <c r="M156" s="16" t="n"/>
      <c r="N156" s="17">
        <f>IF($D156="","",IF(AND($F156&lt;&gt;"Classroom",$F156&lt;&gt;"PT"),"TYPE NOT CREDITED",IF($C156="","NO MAKEUP DATE",IF(NOT(ISNUMBER($C156)),"MAKEUP DATE NOT A DATE",IF(OR(AND($G156&lt;&gt;"",NOT(ISNUMBER($G156))),AND($H156&lt;&gt;"",NOT(ISNUMBER($H156)))),"CREDIT NOT A NUMBER",IF(OR(N($G156)&lt;0,N($H156)&lt;0),"NEGATIVE CREDIT",IF(AND($F156="Classroom",N($G156)&lt;=0),"NO MINUTES CREDITED",IF(AND($F156="PT",N($H156)&lt;=0),"NO SESSIONS CREDITED",IF($I156="","NO LINKED EVENT",IF(COUNTIF(nrAT_ID,$I156)=0,"NO SUCH EVENT",IF(INDEX(nrAT_PID,MATCH($I156,nrAT_ID,0))&lt;&gt;$E156,"WRONG CADET",IF(INDEX(nrAT_IsPT,MATCH($I156,nrAT_ID,0))&lt;&gt;IF($F156="PT","Yes","No"),"UNIT MISMATCH","OK"))))))))))))</f>
        <v/>
      </c>
    </row>
    <row r="157">
      <c r="B157" s="17">
        <f>IF($D157="","","M"&amp;TEXT(ROW()-5,"000"))</f>
        <v/>
      </c>
      <c r="C157" s="18" t="n"/>
      <c r="D157" s="16" t="n"/>
      <c r="E157" s="17">
        <f>IF($D157="","",IFERROR(INDEX(rngCadetPIDs,MATCH($D157,rngCadetNames,0)),"?"))</f>
        <v/>
      </c>
      <c r="F157" s="16" t="n"/>
      <c r="G157" s="16" t="n"/>
      <c r="H157" s="16" t="n"/>
      <c r="I157" s="16" t="n"/>
      <c r="J157" s="16" t="n"/>
      <c r="K157" s="16" t="n"/>
      <c r="L157" s="17">
        <f>IF($D157="","",IF(AND($J157="Received",$K157&lt;&gt;"Yes",LEFT($N157,2)="OK"),"Yes","No"))</f>
        <v/>
      </c>
      <c r="M157" s="16" t="n"/>
      <c r="N157" s="17">
        <f>IF($D157="","",IF(AND($F157&lt;&gt;"Classroom",$F157&lt;&gt;"PT"),"TYPE NOT CREDITED",IF($C157="","NO MAKEUP DATE",IF(NOT(ISNUMBER($C157)),"MAKEUP DATE NOT A DATE",IF(OR(AND($G157&lt;&gt;"",NOT(ISNUMBER($G157))),AND($H157&lt;&gt;"",NOT(ISNUMBER($H157)))),"CREDIT NOT A NUMBER",IF(OR(N($G157)&lt;0,N($H157)&lt;0),"NEGATIVE CREDIT",IF(AND($F157="Classroom",N($G157)&lt;=0),"NO MINUTES CREDITED",IF(AND($F157="PT",N($H157)&lt;=0),"NO SESSIONS CREDITED",IF($I157="","NO LINKED EVENT",IF(COUNTIF(nrAT_ID,$I157)=0,"NO SUCH EVENT",IF(INDEX(nrAT_PID,MATCH($I157,nrAT_ID,0))&lt;&gt;$E157,"WRONG CADET",IF(INDEX(nrAT_IsPT,MATCH($I157,nrAT_ID,0))&lt;&gt;IF($F157="PT","Yes","No"),"UNIT MISMATCH","OK"))))))))))))</f>
        <v/>
      </c>
    </row>
    <row r="158">
      <c r="B158" s="17">
        <f>IF($D158="","","M"&amp;TEXT(ROW()-5,"000"))</f>
        <v/>
      </c>
      <c r="C158" s="18" t="n"/>
      <c r="D158" s="16" t="n"/>
      <c r="E158" s="17">
        <f>IF($D158="","",IFERROR(INDEX(rngCadetPIDs,MATCH($D158,rngCadetNames,0)),"?"))</f>
        <v/>
      </c>
      <c r="F158" s="16" t="n"/>
      <c r="G158" s="16" t="n"/>
      <c r="H158" s="16" t="n"/>
      <c r="I158" s="16" t="n"/>
      <c r="J158" s="16" t="n"/>
      <c r="K158" s="16" t="n"/>
      <c r="L158" s="17">
        <f>IF($D158="","",IF(AND($J158="Received",$K158&lt;&gt;"Yes",LEFT($N158,2)="OK"),"Yes","No"))</f>
        <v/>
      </c>
      <c r="M158" s="16" t="n"/>
      <c r="N158" s="17">
        <f>IF($D158="","",IF(AND($F158&lt;&gt;"Classroom",$F158&lt;&gt;"PT"),"TYPE NOT CREDITED",IF($C158="","NO MAKEUP DATE",IF(NOT(ISNUMBER($C158)),"MAKEUP DATE NOT A DATE",IF(OR(AND($G158&lt;&gt;"",NOT(ISNUMBER($G158))),AND($H158&lt;&gt;"",NOT(ISNUMBER($H158)))),"CREDIT NOT A NUMBER",IF(OR(N($G158)&lt;0,N($H158)&lt;0),"NEGATIVE CREDIT",IF(AND($F158="Classroom",N($G158)&lt;=0),"NO MINUTES CREDITED",IF(AND($F158="PT",N($H158)&lt;=0),"NO SESSIONS CREDITED",IF($I158="","NO LINKED EVENT",IF(COUNTIF(nrAT_ID,$I158)=0,"NO SUCH EVENT",IF(INDEX(nrAT_PID,MATCH($I158,nrAT_ID,0))&lt;&gt;$E158,"WRONG CADET",IF(INDEX(nrAT_IsPT,MATCH($I158,nrAT_ID,0))&lt;&gt;IF($F158="PT","Yes","No"),"UNIT MISMATCH","OK"))))))))))))</f>
        <v/>
      </c>
    </row>
    <row r="159">
      <c r="B159" s="17">
        <f>IF($D159="","","M"&amp;TEXT(ROW()-5,"000"))</f>
        <v/>
      </c>
      <c r="C159" s="18" t="n"/>
      <c r="D159" s="16" t="n"/>
      <c r="E159" s="17">
        <f>IF($D159="","",IFERROR(INDEX(rngCadetPIDs,MATCH($D159,rngCadetNames,0)),"?"))</f>
        <v/>
      </c>
      <c r="F159" s="16" t="n"/>
      <c r="G159" s="16" t="n"/>
      <c r="H159" s="16" t="n"/>
      <c r="I159" s="16" t="n"/>
      <c r="J159" s="16" t="n"/>
      <c r="K159" s="16" t="n"/>
      <c r="L159" s="17">
        <f>IF($D159="","",IF(AND($J159="Received",$K159&lt;&gt;"Yes",LEFT($N159,2)="OK"),"Yes","No"))</f>
        <v/>
      </c>
      <c r="M159" s="16" t="n"/>
      <c r="N159" s="17">
        <f>IF($D159="","",IF(AND($F159&lt;&gt;"Classroom",$F159&lt;&gt;"PT"),"TYPE NOT CREDITED",IF($C159="","NO MAKEUP DATE",IF(NOT(ISNUMBER($C159)),"MAKEUP DATE NOT A DATE",IF(OR(AND($G159&lt;&gt;"",NOT(ISNUMBER($G159))),AND($H159&lt;&gt;"",NOT(ISNUMBER($H159)))),"CREDIT NOT A NUMBER",IF(OR(N($G159)&lt;0,N($H159)&lt;0),"NEGATIVE CREDIT",IF(AND($F159="Classroom",N($G159)&lt;=0),"NO MINUTES CREDITED",IF(AND($F159="PT",N($H159)&lt;=0),"NO SESSIONS CREDITED",IF($I159="","NO LINKED EVENT",IF(COUNTIF(nrAT_ID,$I159)=0,"NO SUCH EVENT",IF(INDEX(nrAT_PID,MATCH($I159,nrAT_ID,0))&lt;&gt;$E159,"WRONG CADET",IF(INDEX(nrAT_IsPT,MATCH($I159,nrAT_ID,0))&lt;&gt;IF($F159="PT","Yes","No"),"UNIT MISMATCH","OK"))))))))))))</f>
        <v/>
      </c>
    </row>
    <row r="160">
      <c r="B160" s="17">
        <f>IF($D160="","","M"&amp;TEXT(ROW()-5,"000"))</f>
        <v/>
      </c>
      <c r="C160" s="18" t="n"/>
      <c r="D160" s="16" t="n"/>
      <c r="E160" s="17">
        <f>IF($D160="","",IFERROR(INDEX(rngCadetPIDs,MATCH($D160,rngCadetNames,0)),"?"))</f>
        <v/>
      </c>
      <c r="F160" s="16" t="n"/>
      <c r="G160" s="16" t="n"/>
      <c r="H160" s="16" t="n"/>
      <c r="I160" s="16" t="n"/>
      <c r="J160" s="16" t="n"/>
      <c r="K160" s="16" t="n"/>
      <c r="L160" s="17">
        <f>IF($D160="","",IF(AND($J160="Received",$K160&lt;&gt;"Yes",LEFT($N160,2)="OK"),"Yes","No"))</f>
        <v/>
      </c>
      <c r="M160" s="16" t="n"/>
      <c r="N160" s="17">
        <f>IF($D160="","",IF(AND($F160&lt;&gt;"Classroom",$F160&lt;&gt;"PT"),"TYPE NOT CREDITED",IF($C160="","NO MAKEUP DATE",IF(NOT(ISNUMBER($C160)),"MAKEUP DATE NOT A DATE",IF(OR(AND($G160&lt;&gt;"",NOT(ISNUMBER($G160))),AND($H160&lt;&gt;"",NOT(ISNUMBER($H160)))),"CREDIT NOT A NUMBER",IF(OR(N($G160)&lt;0,N($H160)&lt;0),"NEGATIVE CREDIT",IF(AND($F160="Classroom",N($G160)&lt;=0),"NO MINUTES CREDITED",IF(AND($F160="PT",N($H160)&lt;=0),"NO SESSIONS CREDITED",IF($I160="","NO LINKED EVENT",IF(COUNTIF(nrAT_ID,$I160)=0,"NO SUCH EVENT",IF(INDEX(nrAT_PID,MATCH($I160,nrAT_ID,0))&lt;&gt;$E160,"WRONG CADET",IF(INDEX(nrAT_IsPT,MATCH($I160,nrAT_ID,0))&lt;&gt;IF($F160="PT","Yes","No"),"UNIT MISMATCH","OK"))))))))))))</f>
        <v/>
      </c>
    </row>
    <row r="161">
      <c r="B161" s="17">
        <f>IF($D161="","","M"&amp;TEXT(ROW()-5,"000"))</f>
        <v/>
      </c>
      <c r="C161" s="18" t="n"/>
      <c r="D161" s="16" t="n"/>
      <c r="E161" s="17">
        <f>IF($D161="","",IFERROR(INDEX(rngCadetPIDs,MATCH($D161,rngCadetNames,0)),"?"))</f>
        <v/>
      </c>
      <c r="F161" s="16" t="n"/>
      <c r="G161" s="16" t="n"/>
      <c r="H161" s="16" t="n"/>
      <c r="I161" s="16" t="n"/>
      <c r="J161" s="16" t="n"/>
      <c r="K161" s="16" t="n"/>
      <c r="L161" s="17">
        <f>IF($D161="","",IF(AND($J161="Received",$K161&lt;&gt;"Yes",LEFT($N161,2)="OK"),"Yes","No"))</f>
        <v/>
      </c>
      <c r="M161" s="16" t="n"/>
      <c r="N161" s="17">
        <f>IF($D161="","",IF(AND($F161&lt;&gt;"Classroom",$F161&lt;&gt;"PT"),"TYPE NOT CREDITED",IF($C161="","NO MAKEUP DATE",IF(NOT(ISNUMBER($C161)),"MAKEUP DATE NOT A DATE",IF(OR(AND($G161&lt;&gt;"",NOT(ISNUMBER($G161))),AND($H161&lt;&gt;"",NOT(ISNUMBER($H161)))),"CREDIT NOT A NUMBER",IF(OR(N($G161)&lt;0,N($H161)&lt;0),"NEGATIVE CREDIT",IF(AND($F161="Classroom",N($G161)&lt;=0),"NO MINUTES CREDITED",IF(AND($F161="PT",N($H161)&lt;=0),"NO SESSIONS CREDITED",IF($I161="","NO LINKED EVENT",IF(COUNTIF(nrAT_ID,$I161)=0,"NO SUCH EVENT",IF(INDEX(nrAT_PID,MATCH($I161,nrAT_ID,0))&lt;&gt;$E161,"WRONG CADET",IF(INDEX(nrAT_IsPT,MATCH($I161,nrAT_ID,0))&lt;&gt;IF($F161="PT","Yes","No"),"UNIT MISMATCH","OK"))))))))))))</f>
        <v/>
      </c>
    </row>
    <row r="162">
      <c r="B162" s="17">
        <f>IF($D162="","","M"&amp;TEXT(ROW()-5,"000"))</f>
        <v/>
      </c>
      <c r="C162" s="18" t="n"/>
      <c r="D162" s="16" t="n"/>
      <c r="E162" s="17">
        <f>IF($D162="","",IFERROR(INDEX(rngCadetPIDs,MATCH($D162,rngCadetNames,0)),"?"))</f>
        <v/>
      </c>
      <c r="F162" s="16" t="n"/>
      <c r="G162" s="16" t="n"/>
      <c r="H162" s="16" t="n"/>
      <c r="I162" s="16" t="n"/>
      <c r="J162" s="16" t="n"/>
      <c r="K162" s="16" t="n"/>
      <c r="L162" s="17">
        <f>IF($D162="","",IF(AND($J162="Received",$K162&lt;&gt;"Yes",LEFT($N162,2)="OK"),"Yes","No"))</f>
        <v/>
      </c>
      <c r="M162" s="16" t="n"/>
      <c r="N162" s="17">
        <f>IF($D162="","",IF(AND($F162&lt;&gt;"Classroom",$F162&lt;&gt;"PT"),"TYPE NOT CREDITED",IF($C162="","NO MAKEUP DATE",IF(NOT(ISNUMBER($C162)),"MAKEUP DATE NOT A DATE",IF(OR(AND($G162&lt;&gt;"",NOT(ISNUMBER($G162))),AND($H162&lt;&gt;"",NOT(ISNUMBER($H162)))),"CREDIT NOT A NUMBER",IF(OR(N($G162)&lt;0,N($H162)&lt;0),"NEGATIVE CREDIT",IF(AND($F162="Classroom",N($G162)&lt;=0),"NO MINUTES CREDITED",IF(AND($F162="PT",N($H162)&lt;=0),"NO SESSIONS CREDITED",IF($I162="","NO LINKED EVENT",IF(COUNTIF(nrAT_ID,$I162)=0,"NO SUCH EVENT",IF(INDEX(nrAT_PID,MATCH($I162,nrAT_ID,0))&lt;&gt;$E162,"WRONG CADET",IF(INDEX(nrAT_IsPT,MATCH($I162,nrAT_ID,0))&lt;&gt;IF($F162="PT","Yes","No"),"UNIT MISMATCH","OK"))))))))))))</f>
        <v/>
      </c>
    </row>
    <row r="163">
      <c r="B163" s="17">
        <f>IF($D163="","","M"&amp;TEXT(ROW()-5,"000"))</f>
        <v/>
      </c>
      <c r="C163" s="18" t="n"/>
      <c r="D163" s="16" t="n"/>
      <c r="E163" s="17">
        <f>IF($D163="","",IFERROR(INDEX(rngCadetPIDs,MATCH($D163,rngCadetNames,0)),"?"))</f>
        <v/>
      </c>
      <c r="F163" s="16" t="n"/>
      <c r="G163" s="16" t="n"/>
      <c r="H163" s="16" t="n"/>
      <c r="I163" s="16" t="n"/>
      <c r="J163" s="16" t="n"/>
      <c r="K163" s="16" t="n"/>
      <c r="L163" s="17">
        <f>IF($D163="","",IF(AND($J163="Received",$K163&lt;&gt;"Yes",LEFT($N163,2)="OK"),"Yes","No"))</f>
        <v/>
      </c>
      <c r="M163" s="16" t="n"/>
      <c r="N163" s="17">
        <f>IF($D163="","",IF(AND($F163&lt;&gt;"Classroom",$F163&lt;&gt;"PT"),"TYPE NOT CREDITED",IF($C163="","NO MAKEUP DATE",IF(NOT(ISNUMBER($C163)),"MAKEUP DATE NOT A DATE",IF(OR(AND($G163&lt;&gt;"",NOT(ISNUMBER($G163))),AND($H163&lt;&gt;"",NOT(ISNUMBER($H163)))),"CREDIT NOT A NUMBER",IF(OR(N($G163)&lt;0,N($H163)&lt;0),"NEGATIVE CREDIT",IF(AND($F163="Classroom",N($G163)&lt;=0),"NO MINUTES CREDITED",IF(AND($F163="PT",N($H163)&lt;=0),"NO SESSIONS CREDITED",IF($I163="","NO LINKED EVENT",IF(COUNTIF(nrAT_ID,$I163)=0,"NO SUCH EVENT",IF(INDEX(nrAT_PID,MATCH($I163,nrAT_ID,0))&lt;&gt;$E163,"WRONG CADET",IF(INDEX(nrAT_IsPT,MATCH($I163,nrAT_ID,0))&lt;&gt;IF($F163="PT","Yes","No"),"UNIT MISMATCH","OK"))))))))))))</f>
        <v/>
      </c>
    </row>
    <row r="164">
      <c r="B164" s="17">
        <f>IF($D164="","","M"&amp;TEXT(ROW()-5,"000"))</f>
        <v/>
      </c>
      <c r="C164" s="18" t="n"/>
      <c r="D164" s="16" t="n"/>
      <c r="E164" s="17">
        <f>IF($D164="","",IFERROR(INDEX(rngCadetPIDs,MATCH($D164,rngCadetNames,0)),"?"))</f>
        <v/>
      </c>
      <c r="F164" s="16" t="n"/>
      <c r="G164" s="16" t="n"/>
      <c r="H164" s="16" t="n"/>
      <c r="I164" s="16" t="n"/>
      <c r="J164" s="16" t="n"/>
      <c r="K164" s="16" t="n"/>
      <c r="L164" s="17">
        <f>IF($D164="","",IF(AND($J164="Received",$K164&lt;&gt;"Yes",LEFT($N164,2)="OK"),"Yes","No"))</f>
        <v/>
      </c>
      <c r="M164" s="16" t="n"/>
      <c r="N164" s="17">
        <f>IF($D164="","",IF(AND($F164&lt;&gt;"Classroom",$F164&lt;&gt;"PT"),"TYPE NOT CREDITED",IF($C164="","NO MAKEUP DATE",IF(NOT(ISNUMBER($C164)),"MAKEUP DATE NOT A DATE",IF(OR(AND($G164&lt;&gt;"",NOT(ISNUMBER($G164))),AND($H164&lt;&gt;"",NOT(ISNUMBER($H164)))),"CREDIT NOT A NUMBER",IF(OR(N($G164)&lt;0,N($H164)&lt;0),"NEGATIVE CREDIT",IF(AND($F164="Classroom",N($G164)&lt;=0),"NO MINUTES CREDITED",IF(AND($F164="PT",N($H164)&lt;=0),"NO SESSIONS CREDITED",IF($I164="","NO LINKED EVENT",IF(COUNTIF(nrAT_ID,$I164)=0,"NO SUCH EVENT",IF(INDEX(nrAT_PID,MATCH($I164,nrAT_ID,0))&lt;&gt;$E164,"WRONG CADET",IF(INDEX(nrAT_IsPT,MATCH($I164,nrAT_ID,0))&lt;&gt;IF($F164="PT","Yes","No"),"UNIT MISMATCH","OK"))))))))))))</f>
        <v/>
      </c>
    </row>
    <row r="165">
      <c r="B165" s="17">
        <f>IF($D165="","","M"&amp;TEXT(ROW()-5,"000"))</f>
        <v/>
      </c>
      <c r="C165" s="18" t="n"/>
      <c r="D165" s="16" t="n"/>
      <c r="E165" s="17">
        <f>IF($D165="","",IFERROR(INDEX(rngCadetPIDs,MATCH($D165,rngCadetNames,0)),"?"))</f>
        <v/>
      </c>
      <c r="F165" s="16" t="n"/>
      <c r="G165" s="16" t="n"/>
      <c r="H165" s="16" t="n"/>
      <c r="I165" s="16" t="n"/>
      <c r="J165" s="16" t="n"/>
      <c r="K165" s="16" t="n"/>
      <c r="L165" s="17">
        <f>IF($D165="","",IF(AND($J165="Received",$K165&lt;&gt;"Yes",LEFT($N165,2)="OK"),"Yes","No"))</f>
        <v/>
      </c>
      <c r="M165" s="16" t="n"/>
      <c r="N165" s="17">
        <f>IF($D165="","",IF(AND($F165&lt;&gt;"Classroom",$F165&lt;&gt;"PT"),"TYPE NOT CREDITED",IF($C165="","NO MAKEUP DATE",IF(NOT(ISNUMBER($C165)),"MAKEUP DATE NOT A DATE",IF(OR(AND($G165&lt;&gt;"",NOT(ISNUMBER($G165))),AND($H165&lt;&gt;"",NOT(ISNUMBER($H165)))),"CREDIT NOT A NUMBER",IF(OR(N($G165)&lt;0,N($H165)&lt;0),"NEGATIVE CREDIT",IF(AND($F165="Classroom",N($G165)&lt;=0),"NO MINUTES CREDITED",IF(AND($F165="PT",N($H165)&lt;=0),"NO SESSIONS CREDITED",IF($I165="","NO LINKED EVENT",IF(COUNTIF(nrAT_ID,$I165)=0,"NO SUCH EVENT",IF(INDEX(nrAT_PID,MATCH($I165,nrAT_ID,0))&lt;&gt;$E165,"WRONG CADET",IF(INDEX(nrAT_IsPT,MATCH($I165,nrAT_ID,0))&lt;&gt;IF($F165="PT","Yes","No"),"UNIT MISMATCH","OK"))))))))))))</f>
        <v/>
      </c>
    </row>
    <row r="166">
      <c r="B166" s="17">
        <f>IF($D166="","","M"&amp;TEXT(ROW()-5,"000"))</f>
        <v/>
      </c>
      <c r="C166" s="18" t="n"/>
      <c r="D166" s="16" t="n"/>
      <c r="E166" s="17">
        <f>IF($D166="","",IFERROR(INDEX(rngCadetPIDs,MATCH($D166,rngCadetNames,0)),"?"))</f>
        <v/>
      </c>
      <c r="F166" s="16" t="n"/>
      <c r="G166" s="16" t="n"/>
      <c r="H166" s="16" t="n"/>
      <c r="I166" s="16" t="n"/>
      <c r="J166" s="16" t="n"/>
      <c r="K166" s="16" t="n"/>
      <c r="L166" s="17">
        <f>IF($D166="","",IF(AND($J166="Received",$K166&lt;&gt;"Yes",LEFT($N166,2)="OK"),"Yes","No"))</f>
        <v/>
      </c>
      <c r="M166" s="16" t="n"/>
      <c r="N166" s="17">
        <f>IF($D166="","",IF(AND($F166&lt;&gt;"Classroom",$F166&lt;&gt;"PT"),"TYPE NOT CREDITED",IF($C166="","NO MAKEUP DATE",IF(NOT(ISNUMBER($C166)),"MAKEUP DATE NOT A DATE",IF(OR(AND($G166&lt;&gt;"",NOT(ISNUMBER($G166))),AND($H166&lt;&gt;"",NOT(ISNUMBER($H166)))),"CREDIT NOT A NUMBER",IF(OR(N($G166)&lt;0,N($H166)&lt;0),"NEGATIVE CREDIT",IF(AND($F166="Classroom",N($G166)&lt;=0),"NO MINUTES CREDITED",IF(AND($F166="PT",N($H166)&lt;=0),"NO SESSIONS CREDITED",IF($I166="","NO LINKED EVENT",IF(COUNTIF(nrAT_ID,$I166)=0,"NO SUCH EVENT",IF(INDEX(nrAT_PID,MATCH($I166,nrAT_ID,0))&lt;&gt;$E166,"WRONG CADET",IF(INDEX(nrAT_IsPT,MATCH($I166,nrAT_ID,0))&lt;&gt;IF($F166="PT","Yes","No"),"UNIT MISMATCH","OK"))))))))))))</f>
        <v/>
      </c>
    </row>
    <row r="167">
      <c r="B167" s="17">
        <f>IF($D167="","","M"&amp;TEXT(ROW()-5,"000"))</f>
        <v/>
      </c>
      <c r="C167" s="18" t="n"/>
      <c r="D167" s="16" t="n"/>
      <c r="E167" s="17">
        <f>IF($D167="","",IFERROR(INDEX(rngCadetPIDs,MATCH($D167,rngCadetNames,0)),"?"))</f>
        <v/>
      </c>
      <c r="F167" s="16" t="n"/>
      <c r="G167" s="16" t="n"/>
      <c r="H167" s="16" t="n"/>
      <c r="I167" s="16" t="n"/>
      <c r="J167" s="16" t="n"/>
      <c r="K167" s="16" t="n"/>
      <c r="L167" s="17">
        <f>IF($D167="","",IF(AND($J167="Received",$K167&lt;&gt;"Yes",LEFT($N167,2)="OK"),"Yes","No"))</f>
        <v/>
      </c>
      <c r="M167" s="16" t="n"/>
      <c r="N167" s="17">
        <f>IF($D167="","",IF(AND($F167&lt;&gt;"Classroom",$F167&lt;&gt;"PT"),"TYPE NOT CREDITED",IF($C167="","NO MAKEUP DATE",IF(NOT(ISNUMBER($C167)),"MAKEUP DATE NOT A DATE",IF(OR(AND($G167&lt;&gt;"",NOT(ISNUMBER($G167))),AND($H167&lt;&gt;"",NOT(ISNUMBER($H167)))),"CREDIT NOT A NUMBER",IF(OR(N($G167)&lt;0,N($H167)&lt;0),"NEGATIVE CREDIT",IF(AND($F167="Classroom",N($G167)&lt;=0),"NO MINUTES CREDITED",IF(AND($F167="PT",N($H167)&lt;=0),"NO SESSIONS CREDITED",IF($I167="","NO LINKED EVENT",IF(COUNTIF(nrAT_ID,$I167)=0,"NO SUCH EVENT",IF(INDEX(nrAT_PID,MATCH($I167,nrAT_ID,0))&lt;&gt;$E167,"WRONG CADET",IF(INDEX(nrAT_IsPT,MATCH($I167,nrAT_ID,0))&lt;&gt;IF($F167="PT","Yes","No"),"UNIT MISMATCH","OK"))))))))))))</f>
        <v/>
      </c>
    </row>
    <row r="168">
      <c r="B168" s="17">
        <f>IF($D168="","","M"&amp;TEXT(ROW()-5,"000"))</f>
        <v/>
      </c>
      <c r="C168" s="18" t="n"/>
      <c r="D168" s="16" t="n"/>
      <c r="E168" s="17">
        <f>IF($D168="","",IFERROR(INDEX(rngCadetPIDs,MATCH($D168,rngCadetNames,0)),"?"))</f>
        <v/>
      </c>
      <c r="F168" s="16" t="n"/>
      <c r="G168" s="16" t="n"/>
      <c r="H168" s="16" t="n"/>
      <c r="I168" s="16" t="n"/>
      <c r="J168" s="16" t="n"/>
      <c r="K168" s="16" t="n"/>
      <c r="L168" s="17">
        <f>IF($D168="","",IF(AND($J168="Received",$K168&lt;&gt;"Yes",LEFT($N168,2)="OK"),"Yes","No"))</f>
        <v/>
      </c>
      <c r="M168" s="16" t="n"/>
      <c r="N168" s="17">
        <f>IF($D168="","",IF(AND($F168&lt;&gt;"Classroom",$F168&lt;&gt;"PT"),"TYPE NOT CREDITED",IF($C168="","NO MAKEUP DATE",IF(NOT(ISNUMBER($C168)),"MAKEUP DATE NOT A DATE",IF(OR(AND($G168&lt;&gt;"",NOT(ISNUMBER($G168))),AND($H168&lt;&gt;"",NOT(ISNUMBER($H168)))),"CREDIT NOT A NUMBER",IF(OR(N($G168)&lt;0,N($H168)&lt;0),"NEGATIVE CREDIT",IF(AND($F168="Classroom",N($G168)&lt;=0),"NO MINUTES CREDITED",IF(AND($F168="PT",N($H168)&lt;=0),"NO SESSIONS CREDITED",IF($I168="","NO LINKED EVENT",IF(COUNTIF(nrAT_ID,$I168)=0,"NO SUCH EVENT",IF(INDEX(nrAT_PID,MATCH($I168,nrAT_ID,0))&lt;&gt;$E168,"WRONG CADET",IF(INDEX(nrAT_IsPT,MATCH($I168,nrAT_ID,0))&lt;&gt;IF($F168="PT","Yes","No"),"UNIT MISMATCH","OK"))))))))))))</f>
        <v/>
      </c>
    </row>
    <row r="169">
      <c r="B169" s="17">
        <f>IF($D169="","","M"&amp;TEXT(ROW()-5,"000"))</f>
        <v/>
      </c>
      <c r="C169" s="18" t="n"/>
      <c r="D169" s="16" t="n"/>
      <c r="E169" s="17">
        <f>IF($D169="","",IFERROR(INDEX(rngCadetPIDs,MATCH($D169,rngCadetNames,0)),"?"))</f>
        <v/>
      </c>
      <c r="F169" s="16" t="n"/>
      <c r="G169" s="16" t="n"/>
      <c r="H169" s="16" t="n"/>
      <c r="I169" s="16" t="n"/>
      <c r="J169" s="16" t="n"/>
      <c r="K169" s="16" t="n"/>
      <c r="L169" s="17">
        <f>IF($D169="","",IF(AND($J169="Received",$K169&lt;&gt;"Yes",LEFT($N169,2)="OK"),"Yes","No"))</f>
        <v/>
      </c>
      <c r="M169" s="16" t="n"/>
      <c r="N169" s="17">
        <f>IF($D169="","",IF(AND($F169&lt;&gt;"Classroom",$F169&lt;&gt;"PT"),"TYPE NOT CREDITED",IF($C169="","NO MAKEUP DATE",IF(NOT(ISNUMBER($C169)),"MAKEUP DATE NOT A DATE",IF(OR(AND($G169&lt;&gt;"",NOT(ISNUMBER($G169))),AND($H169&lt;&gt;"",NOT(ISNUMBER($H169)))),"CREDIT NOT A NUMBER",IF(OR(N($G169)&lt;0,N($H169)&lt;0),"NEGATIVE CREDIT",IF(AND($F169="Classroom",N($G169)&lt;=0),"NO MINUTES CREDITED",IF(AND($F169="PT",N($H169)&lt;=0),"NO SESSIONS CREDITED",IF($I169="","NO LINKED EVENT",IF(COUNTIF(nrAT_ID,$I169)=0,"NO SUCH EVENT",IF(INDEX(nrAT_PID,MATCH($I169,nrAT_ID,0))&lt;&gt;$E169,"WRONG CADET",IF(INDEX(nrAT_IsPT,MATCH($I169,nrAT_ID,0))&lt;&gt;IF($F169="PT","Yes","No"),"UNIT MISMATCH","OK"))))))))))))</f>
        <v/>
      </c>
    </row>
    <row r="170">
      <c r="B170" s="17">
        <f>IF($D170="","","M"&amp;TEXT(ROW()-5,"000"))</f>
        <v/>
      </c>
      <c r="C170" s="18" t="n"/>
      <c r="D170" s="16" t="n"/>
      <c r="E170" s="17">
        <f>IF($D170="","",IFERROR(INDEX(rngCadetPIDs,MATCH($D170,rngCadetNames,0)),"?"))</f>
        <v/>
      </c>
      <c r="F170" s="16" t="n"/>
      <c r="G170" s="16" t="n"/>
      <c r="H170" s="16" t="n"/>
      <c r="I170" s="16" t="n"/>
      <c r="J170" s="16" t="n"/>
      <c r="K170" s="16" t="n"/>
      <c r="L170" s="17">
        <f>IF($D170="","",IF(AND($J170="Received",$K170&lt;&gt;"Yes",LEFT($N170,2)="OK"),"Yes","No"))</f>
        <v/>
      </c>
      <c r="M170" s="16" t="n"/>
      <c r="N170" s="17">
        <f>IF($D170="","",IF(AND($F170&lt;&gt;"Classroom",$F170&lt;&gt;"PT"),"TYPE NOT CREDITED",IF($C170="","NO MAKEUP DATE",IF(NOT(ISNUMBER($C170)),"MAKEUP DATE NOT A DATE",IF(OR(AND($G170&lt;&gt;"",NOT(ISNUMBER($G170))),AND($H170&lt;&gt;"",NOT(ISNUMBER($H170)))),"CREDIT NOT A NUMBER",IF(OR(N($G170)&lt;0,N($H170)&lt;0),"NEGATIVE CREDIT",IF(AND($F170="Classroom",N($G170)&lt;=0),"NO MINUTES CREDITED",IF(AND($F170="PT",N($H170)&lt;=0),"NO SESSIONS CREDITED",IF($I170="","NO LINKED EVENT",IF(COUNTIF(nrAT_ID,$I170)=0,"NO SUCH EVENT",IF(INDEX(nrAT_PID,MATCH($I170,nrAT_ID,0))&lt;&gt;$E170,"WRONG CADET",IF(INDEX(nrAT_IsPT,MATCH($I170,nrAT_ID,0))&lt;&gt;IF($F170="PT","Yes","No"),"UNIT MISMATCH","OK"))))))))))))</f>
        <v/>
      </c>
    </row>
    <row r="171">
      <c r="B171" s="17">
        <f>IF($D171="","","M"&amp;TEXT(ROW()-5,"000"))</f>
        <v/>
      </c>
      <c r="C171" s="18" t="n"/>
      <c r="D171" s="16" t="n"/>
      <c r="E171" s="17">
        <f>IF($D171="","",IFERROR(INDEX(rngCadetPIDs,MATCH($D171,rngCadetNames,0)),"?"))</f>
        <v/>
      </c>
      <c r="F171" s="16" t="n"/>
      <c r="G171" s="16" t="n"/>
      <c r="H171" s="16" t="n"/>
      <c r="I171" s="16" t="n"/>
      <c r="J171" s="16" t="n"/>
      <c r="K171" s="16" t="n"/>
      <c r="L171" s="17">
        <f>IF($D171="","",IF(AND($J171="Received",$K171&lt;&gt;"Yes",LEFT($N171,2)="OK"),"Yes","No"))</f>
        <v/>
      </c>
      <c r="M171" s="16" t="n"/>
      <c r="N171" s="17">
        <f>IF($D171="","",IF(AND($F171&lt;&gt;"Classroom",$F171&lt;&gt;"PT"),"TYPE NOT CREDITED",IF($C171="","NO MAKEUP DATE",IF(NOT(ISNUMBER($C171)),"MAKEUP DATE NOT A DATE",IF(OR(AND($G171&lt;&gt;"",NOT(ISNUMBER($G171))),AND($H171&lt;&gt;"",NOT(ISNUMBER($H171)))),"CREDIT NOT A NUMBER",IF(OR(N($G171)&lt;0,N($H171)&lt;0),"NEGATIVE CREDIT",IF(AND($F171="Classroom",N($G171)&lt;=0),"NO MINUTES CREDITED",IF(AND($F171="PT",N($H171)&lt;=0),"NO SESSIONS CREDITED",IF($I171="","NO LINKED EVENT",IF(COUNTIF(nrAT_ID,$I171)=0,"NO SUCH EVENT",IF(INDEX(nrAT_PID,MATCH($I171,nrAT_ID,0))&lt;&gt;$E171,"WRONG CADET",IF(INDEX(nrAT_IsPT,MATCH($I171,nrAT_ID,0))&lt;&gt;IF($F171="PT","Yes","No"),"UNIT MISMATCH","OK"))))))))))))</f>
        <v/>
      </c>
    </row>
    <row r="172">
      <c r="B172" s="17">
        <f>IF($D172="","","M"&amp;TEXT(ROW()-5,"000"))</f>
        <v/>
      </c>
      <c r="C172" s="18" t="n"/>
      <c r="D172" s="16" t="n"/>
      <c r="E172" s="17">
        <f>IF($D172="","",IFERROR(INDEX(rngCadetPIDs,MATCH($D172,rngCadetNames,0)),"?"))</f>
        <v/>
      </c>
      <c r="F172" s="16" t="n"/>
      <c r="G172" s="16" t="n"/>
      <c r="H172" s="16" t="n"/>
      <c r="I172" s="16" t="n"/>
      <c r="J172" s="16" t="n"/>
      <c r="K172" s="16" t="n"/>
      <c r="L172" s="17">
        <f>IF($D172="","",IF(AND($J172="Received",$K172&lt;&gt;"Yes",LEFT($N172,2)="OK"),"Yes","No"))</f>
        <v/>
      </c>
      <c r="M172" s="16" t="n"/>
      <c r="N172" s="17">
        <f>IF($D172="","",IF(AND($F172&lt;&gt;"Classroom",$F172&lt;&gt;"PT"),"TYPE NOT CREDITED",IF($C172="","NO MAKEUP DATE",IF(NOT(ISNUMBER($C172)),"MAKEUP DATE NOT A DATE",IF(OR(AND($G172&lt;&gt;"",NOT(ISNUMBER($G172))),AND($H172&lt;&gt;"",NOT(ISNUMBER($H172)))),"CREDIT NOT A NUMBER",IF(OR(N($G172)&lt;0,N($H172)&lt;0),"NEGATIVE CREDIT",IF(AND($F172="Classroom",N($G172)&lt;=0),"NO MINUTES CREDITED",IF(AND($F172="PT",N($H172)&lt;=0),"NO SESSIONS CREDITED",IF($I172="","NO LINKED EVENT",IF(COUNTIF(nrAT_ID,$I172)=0,"NO SUCH EVENT",IF(INDEX(nrAT_PID,MATCH($I172,nrAT_ID,0))&lt;&gt;$E172,"WRONG CADET",IF(INDEX(nrAT_IsPT,MATCH($I172,nrAT_ID,0))&lt;&gt;IF($F172="PT","Yes","No"),"UNIT MISMATCH","OK"))))))))))))</f>
        <v/>
      </c>
    </row>
    <row r="173">
      <c r="B173" s="17">
        <f>IF($D173="","","M"&amp;TEXT(ROW()-5,"000"))</f>
        <v/>
      </c>
      <c r="C173" s="18" t="n"/>
      <c r="D173" s="16" t="n"/>
      <c r="E173" s="17">
        <f>IF($D173="","",IFERROR(INDEX(rngCadetPIDs,MATCH($D173,rngCadetNames,0)),"?"))</f>
        <v/>
      </c>
      <c r="F173" s="16" t="n"/>
      <c r="G173" s="16" t="n"/>
      <c r="H173" s="16" t="n"/>
      <c r="I173" s="16" t="n"/>
      <c r="J173" s="16" t="n"/>
      <c r="K173" s="16" t="n"/>
      <c r="L173" s="17">
        <f>IF($D173="","",IF(AND($J173="Received",$K173&lt;&gt;"Yes",LEFT($N173,2)="OK"),"Yes","No"))</f>
        <v/>
      </c>
      <c r="M173" s="16" t="n"/>
      <c r="N173" s="17">
        <f>IF($D173="","",IF(AND($F173&lt;&gt;"Classroom",$F173&lt;&gt;"PT"),"TYPE NOT CREDITED",IF($C173="","NO MAKEUP DATE",IF(NOT(ISNUMBER($C173)),"MAKEUP DATE NOT A DATE",IF(OR(AND($G173&lt;&gt;"",NOT(ISNUMBER($G173))),AND($H173&lt;&gt;"",NOT(ISNUMBER($H173)))),"CREDIT NOT A NUMBER",IF(OR(N($G173)&lt;0,N($H173)&lt;0),"NEGATIVE CREDIT",IF(AND($F173="Classroom",N($G173)&lt;=0),"NO MINUTES CREDITED",IF(AND($F173="PT",N($H173)&lt;=0),"NO SESSIONS CREDITED",IF($I173="","NO LINKED EVENT",IF(COUNTIF(nrAT_ID,$I173)=0,"NO SUCH EVENT",IF(INDEX(nrAT_PID,MATCH($I173,nrAT_ID,0))&lt;&gt;$E173,"WRONG CADET",IF(INDEX(nrAT_IsPT,MATCH($I173,nrAT_ID,0))&lt;&gt;IF($F173="PT","Yes","No"),"UNIT MISMATCH","OK"))))))))))))</f>
        <v/>
      </c>
    </row>
    <row r="174">
      <c r="B174" s="17">
        <f>IF($D174="","","M"&amp;TEXT(ROW()-5,"000"))</f>
        <v/>
      </c>
      <c r="C174" s="18" t="n"/>
      <c r="D174" s="16" t="n"/>
      <c r="E174" s="17">
        <f>IF($D174="","",IFERROR(INDEX(rngCadetPIDs,MATCH($D174,rngCadetNames,0)),"?"))</f>
        <v/>
      </c>
      <c r="F174" s="16" t="n"/>
      <c r="G174" s="16" t="n"/>
      <c r="H174" s="16" t="n"/>
      <c r="I174" s="16" t="n"/>
      <c r="J174" s="16" t="n"/>
      <c r="K174" s="16" t="n"/>
      <c r="L174" s="17">
        <f>IF($D174="","",IF(AND($J174="Received",$K174&lt;&gt;"Yes",LEFT($N174,2)="OK"),"Yes","No"))</f>
        <v/>
      </c>
      <c r="M174" s="16" t="n"/>
      <c r="N174" s="17">
        <f>IF($D174="","",IF(AND($F174&lt;&gt;"Classroom",$F174&lt;&gt;"PT"),"TYPE NOT CREDITED",IF($C174="","NO MAKEUP DATE",IF(NOT(ISNUMBER($C174)),"MAKEUP DATE NOT A DATE",IF(OR(AND($G174&lt;&gt;"",NOT(ISNUMBER($G174))),AND($H174&lt;&gt;"",NOT(ISNUMBER($H174)))),"CREDIT NOT A NUMBER",IF(OR(N($G174)&lt;0,N($H174)&lt;0),"NEGATIVE CREDIT",IF(AND($F174="Classroom",N($G174)&lt;=0),"NO MINUTES CREDITED",IF(AND($F174="PT",N($H174)&lt;=0),"NO SESSIONS CREDITED",IF($I174="","NO LINKED EVENT",IF(COUNTIF(nrAT_ID,$I174)=0,"NO SUCH EVENT",IF(INDEX(nrAT_PID,MATCH($I174,nrAT_ID,0))&lt;&gt;$E174,"WRONG CADET",IF(INDEX(nrAT_IsPT,MATCH($I174,nrAT_ID,0))&lt;&gt;IF($F174="PT","Yes","No"),"UNIT MISMATCH","OK"))))))))))))</f>
        <v/>
      </c>
    </row>
    <row r="175">
      <c r="B175" s="17">
        <f>IF($D175="","","M"&amp;TEXT(ROW()-5,"000"))</f>
        <v/>
      </c>
      <c r="C175" s="18" t="n"/>
      <c r="D175" s="16" t="n"/>
      <c r="E175" s="17">
        <f>IF($D175="","",IFERROR(INDEX(rngCadetPIDs,MATCH($D175,rngCadetNames,0)),"?"))</f>
        <v/>
      </c>
      <c r="F175" s="16" t="n"/>
      <c r="G175" s="16" t="n"/>
      <c r="H175" s="16" t="n"/>
      <c r="I175" s="16" t="n"/>
      <c r="J175" s="16" t="n"/>
      <c r="K175" s="16" t="n"/>
      <c r="L175" s="17">
        <f>IF($D175="","",IF(AND($J175="Received",$K175&lt;&gt;"Yes",LEFT($N175,2)="OK"),"Yes","No"))</f>
        <v/>
      </c>
      <c r="M175" s="16" t="n"/>
      <c r="N175" s="17">
        <f>IF($D175="","",IF(AND($F175&lt;&gt;"Classroom",$F175&lt;&gt;"PT"),"TYPE NOT CREDITED",IF($C175="","NO MAKEUP DATE",IF(NOT(ISNUMBER($C175)),"MAKEUP DATE NOT A DATE",IF(OR(AND($G175&lt;&gt;"",NOT(ISNUMBER($G175))),AND($H175&lt;&gt;"",NOT(ISNUMBER($H175)))),"CREDIT NOT A NUMBER",IF(OR(N($G175)&lt;0,N($H175)&lt;0),"NEGATIVE CREDIT",IF(AND($F175="Classroom",N($G175)&lt;=0),"NO MINUTES CREDITED",IF(AND($F175="PT",N($H175)&lt;=0),"NO SESSIONS CREDITED",IF($I175="","NO LINKED EVENT",IF(COUNTIF(nrAT_ID,$I175)=0,"NO SUCH EVENT",IF(INDEX(nrAT_PID,MATCH($I175,nrAT_ID,0))&lt;&gt;$E175,"WRONG CADET",IF(INDEX(nrAT_IsPT,MATCH($I175,nrAT_ID,0))&lt;&gt;IF($F175="PT","Yes","No"),"UNIT MISMATCH","OK"))))))))))))</f>
        <v/>
      </c>
    </row>
    <row r="176">
      <c r="B176" s="17">
        <f>IF($D176="","","M"&amp;TEXT(ROW()-5,"000"))</f>
        <v/>
      </c>
      <c r="C176" s="18" t="n"/>
      <c r="D176" s="16" t="n"/>
      <c r="E176" s="17">
        <f>IF($D176="","",IFERROR(INDEX(rngCadetPIDs,MATCH($D176,rngCadetNames,0)),"?"))</f>
        <v/>
      </c>
      <c r="F176" s="16" t="n"/>
      <c r="G176" s="16" t="n"/>
      <c r="H176" s="16" t="n"/>
      <c r="I176" s="16" t="n"/>
      <c r="J176" s="16" t="n"/>
      <c r="K176" s="16" t="n"/>
      <c r="L176" s="17">
        <f>IF($D176="","",IF(AND($J176="Received",$K176&lt;&gt;"Yes",LEFT($N176,2)="OK"),"Yes","No"))</f>
        <v/>
      </c>
      <c r="M176" s="16" t="n"/>
      <c r="N176" s="17">
        <f>IF($D176="","",IF(AND($F176&lt;&gt;"Classroom",$F176&lt;&gt;"PT"),"TYPE NOT CREDITED",IF($C176="","NO MAKEUP DATE",IF(NOT(ISNUMBER($C176)),"MAKEUP DATE NOT A DATE",IF(OR(AND($G176&lt;&gt;"",NOT(ISNUMBER($G176))),AND($H176&lt;&gt;"",NOT(ISNUMBER($H176)))),"CREDIT NOT A NUMBER",IF(OR(N($G176)&lt;0,N($H176)&lt;0),"NEGATIVE CREDIT",IF(AND($F176="Classroom",N($G176)&lt;=0),"NO MINUTES CREDITED",IF(AND($F176="PT",N($H176)&lt;=0),"NO SESSIONS CREDITED",IF($I176="","NO LINKED EVENT",IF(COUNTIF(nrAT_ID,$I176)=0,"NO SUCH EVENT",IF(INDEX(nrAT_PID,MATCH($I176,nrAT_ID,0))&lt;&gt;$E176,"WRONG CADET",IF(INDEX(nrAT_IsPT,MATCH($I176,nrAT_ID,0))&lt;&gt;IF($F176="PT","Yes","No"),"UNIT MISMATCH","OK"))))))))))))</f>
        <v/>
      </c>
    </row>
    <row r="177">
      <c r="B177" s="17">
        <f>IF($D177="","","M"&amp;TEXT(ROW()-5,"000"))</f>
        <v/>
      </c>
      <c r="C177" s="18" t="n"/>
      <c r="D177" s="16" t="n"/>
      <c r="E177" s="17">
        <f>IF($D177="","",IFERROR(INDEX(rngCadetPIDs,MATCH($D177,rngCadetNames,0)),"?"))</f>
        <v/>
      </c>
      <c r="F177" s="16" t="n"/>
      <c r="G177" s="16" t="n"/>
      <c r="H177" s="16" t="n"/>
      <c r="I177" s="16" t="n"/>
      <c r="J177" s="16" t="n"/>
      <c r="K177" s="16" t="n"/>
      <c r="L177" s="17">
        <f>IF($D177="","",IF(AND($J177="Received",$K177&lt;&gt;"Yes",LEFT($N177,2)="OK"),"Yes","No"))</f>
        <v/>
      </c>
      <c r="M177" s="16" t="n"/>
      <c r="N177" s="17">
        <f>IF($D177="","",IF(AND($F177&lt;&gt;"Classroom",$F177&lt;&gt;"PT"),"TYPE NOT CREDITED",IF($C177="","NO MAKEUP DATE",IF(NOT(ISNUMBER($C177)),"MAKEUP DATE NOT A DATE",IF(OR(AND($G177&lt;&gt;"",NOT(ISNUMBER($G177))),AND($H177&lt;&gt;"",NOT(ISNUMBER($H177)))),"CREDIT NOT A NUMBER",IF(OR(N($G177)&lt;0,N($H177)&lt;0),"NEGATIVE CREDIT",IF(AND($F177="Classroom",N($G177)&lt;=0),"NO MINUTES CREDITED",IF(AND($F177="PT",N($H177)&lt;=0),"NO SESSIONS CREDITED",IF($I177="","NO LINKED EVENT",IF(COUNTIF(nrAT_ID,$I177)=0,"NO SUCH EVENT",IF(INDEX(nrAT_PID,MATCH($I177,nrAT_ID,0))&lt;&gt;$E177,"WRONG CADET",IF(INDEX(nrAT_IsPT,MATCH($I177,nrAT_ID,0))&lt;&gt;IF($F177="PT","Yes","No"),"UNIT MISMATCH","OK"))))))))))))</f>
        <v/>
      </c>
    </row>
    <row r="178">
      <c r="B178" s="17">
        <f>IF($D178="","","M"&amp;TEXT(ROW()-5,"000"))</f>
        <v/>
      </c>
      <c r="C178" s="18" t="n"/>
      <c r="D178" s="16" t="n"/>
      <c r="E178" s="17">
        <f>IF($D178="","",IFERROR(INDEX(rngCadetPIDs,MATCH($D178,rngCadetNames,0)),"?"))</f>
        <v/>
      </c>
      <c r="F178" s="16" t="n"/>
      <c r="G178" s="16" t="n"/>
      <c r="H178" s="16" t="n"/>
      <c r="I178" s="16" t="n"/>
      <c r="J178" s="16" t="n"/>
      <c r="K178" s="16" t="n"/>
      <c r="L178" s="17">
        <f>IF($D178="","",IF(AND($J178="Received",$K178&lt;&gt;"Yes",LEFT($N178,2)="OK"),"Yes","No"))</f>
        <v/>
      </c>
      <c r="M178" s="16" t="n"/>
      <c r="N178" s="17">
        <f>IF($D178="","",IF(AND($F178&lt;&gt;"Classroom",$F178&lt;&gt;"PT"),"TYPE NOT CREDITED",IF($C178="","NO MAKEUP DATE",IF(NOT(ISNUMBER($C178)),"MAKEUP DATE NOT A DATE",IF(OR(AND($G178&lt;&gt;"",NOT(ISNUMBER($G178))),AND($H178&lt;&gt;"",NOT(ISNUMBER($H178)))),"CREDIT NOT A NUMBER",IF(OR(N($G178)&lt;0,N($H178)&lt;0),"NEGATIVE CREDIT",IF(AND($F178="Classroom",N($G178)&lt;=0),"NO MINUTES CREDITED",IF(AND($F178="PT",N($H178)&lt;=0),"NO SESSIONS CREDITED",IF($I178="","NO LINKED EVENT",IF(COUNTIF(nrAT_ID,$I178)=0,"NO SUCH EVENT",IF(INDEX(nrAT_PID,MATCH($I178,nrAT_ID,0))&lt;&gt;$E178,"WRONG CADET",IF(INDEX(nrAT_IsPT,MATCH($I178,nrAT_ID,0))&lt;&gt;IF($F178="PT","Yes","No"),"UNIT MISMATCH","OK"))))))))))))</f>
        <v/>
      </c>
    </row>
    <row r="179">
      <c r="B179" s="17">
        <f>IF($D179="","","M"&amp;TEXT(ROW()-5,"000"))</f>
        <v/>
      </c>
      <c r="C179" s="18" t="n"/>
      <c r="D179" s="16" t="n"/>
      <c r="E179" s="17">
        <f>IF($D179="","",IFERROR(INDEX(rngCadetPIDs,MATCH($D179,rngCadetNames,0)),"?"))</f>
        <v/>
      </c>
      <c r="F179" s="16" t="n"/>
      <c r="G179" s="16" t="n"/>
      <c r="H179" s="16" t="n"/>
      <c r="I179" s="16" t="n"/>
      <c r="J179" s="16" t="n"/>
      <c r="K179" s="16" t="n"/>
      <c r="L179" s="17">
        <f>IF($D179="","",IF(AND($J179="Received",$K179&lt;&gt;"Yes",LEFT($N179,2)="OK"),"Yes","No"))</f>
        <v/>
      </c>
      <c r="M179" s="16" t="n"/>
      <c r="N179" s="17">
        <f>IF($D179="","",IF(AND($F179&lt;&gt;"Classroom",$F179&lt;&gt;"PT"),"TYPE NOT CREDITED",IF($C179="","NO MAKEUP DATE",IF(NOT(ISNUMBER($C179)),"MAKEUP DATE NOT A DATE",IF(OR(AND($G179&lt;&gt;"",NOT(ISNUMBER($G179))),AND($H179&lt;&gt;"",NOT(ISNUMBER($H179)))),"CREDIT NOT A NUMBER",IF(OR(N($G179)&lt;0,N($H179)&lt;0),"NEGATIVE CREDIT",IF(AND($F179="Classroom",N($G179)&lt;=0),"NO MINUTES CREDITED",IF(AND($F179="PT",N($H179)&lt;=0),"NO SESSIONS CREDITED",IF($I179="","NO LINKED EVENT",IF(COUNTIF(nrAT_ID,$I179)=0,"NO SUCH EVENT",IF(INDEX(nrAT_PID,MATCH($I179,nrAT_ID,0))&lt;&gt;$E179,"WRONG CADET",IF(INDEX(nrAT_IsPT,MATCH($I179,nrAT_ID,0))&lt;&gt;IF($F179="PT","Yes","No"),"UNIT MISMATCH","OK"))))))))))))</f>
        <v/>
      </c>
    </row>
    <row r="180">
      <c r="B180" s="17">
        <f>IF($D180="","","M"&amp;TEXT(ROW()-5,"000"))</f>
        <v/>
      </c>
      <c r="C180" s="18" t="n"/>
      <c r="D180" s="16" t="n"/>
      <c r="E180" s="17">
        <f>IF($D180="","",IFERROR(INDEX(rngCadetPIDs,MATCH($D180,rngCadetNames,0)),"?"))</f>
        <v/>
      </c>
      <c r="F180" s="16" t="n"/>
      <c r="G180" s="16" t="n"/>
      <c r="H180" s="16" t="n"/>
      <c r="I180" s="16" t="n"/>
      <c r="J180" s="16" t="n"/>
      <c r="K180" s="16" t="n"/>
      <c r="L180" s="17">
        <f>IF($D180="","",IF(AND($J180="Received",$K180&lt;&gt;"Yes",LEFT($N180,2)="OK"),"Yes","No"))</f>
        <v/>
      </c>
      <c r="M180" s="16" t="n"/>
      <c r="N180" s="17">
        <f>IF($D180="","",IF(AND($F180&lt;&gt;"Classroom",$F180&lt;&gt;"PT"),"TYPE NOT CREDITED",IF($C180="","NO MAKEUP DATE",IF(NOT(ISNUMBER($C180)),"MAKEUP DATE NOT A DATE",IF(OR(AND($G180&lt;&gt;"",NOT(ISNUMBER($G180))),AND($H180&lt;&gt;"",NOT(ISNUMBER($H180)))),"CREDIT NOT A NUMBER",IF(OR(N($G180)&lt;0,N($H180)&lt;0),"NEGATIVE CREDIT",IF(AND($F180="Classroom",N($G180)&lt;=0),"NO MINUTES CREDITED",IF(AND($F180="PT",N($H180)&lt;=0),"NO SESSIONS CREDITED",IF($I180="","NO LINKED EVENT",IF(COUNTIF(nrAT_ID,$I180)=0,"NO SUCH EVENT",IF(INDEX(nrAT_PID,MATCH($I180,nrAT_ID,0))&lt;&gt;$E180,"WRONG CADET",IF(INDEX(nrAT_IsPT,MATCH($I180,nrAT_ID,0))&lt;&gt;IF($F180="PT","Yes","No"),"UNIT MISMATCH","OK"))))))))))))</f>
        <v/>
      </c>
    </row>
    <row r="181">
      <c r="B181" s="17">
        <f>IF($D181="","","M"&amp;TEXT(ROW()-5,"000"))</f>
        <v/>
      </c>
      <c r="C181" s="18" t="n"/>
      <c r="D181" s="16" t="n"/>
      <c r="E181" s="17">
        <f>IF($D181="","",IFERROR(INDEX(rngCadetPIDs,MATCH($D181,rngCadetNames,0)),"?"))</f>
        <v/>
      </c>
      <c r="F181" s="16" t="n"/>
      <c r="G181" s="16" t="n"/>
      <c r="H181" s="16" t="n"/>
      <c r="I181" s="16" t="n"/>
      <c r="J181" s="16" t="n"/>
      <c r="K181" s="16" t="n"/>
      <c r="L181" s="17">
        <f>IF($D181="","",IF(AND($J181="Received",$K181&lt;&gt;"Yes",LEFT($N181,2)="OK"),"Yes","No"))</f>
        <v/>
      </c>
      <c r="M181" s="16" t="n"/>
      <c r="N181" s="17">
        <f>IF($D181="","",IF(AND($F181&lt;&gt;"Classroom",$F181&lt;&gt;"PT"),"TYPE NOT CREDITED",IF($C181="","NO MAKEUP DATE",IF(NOT(ISNUMBER($C181)),"MAKEUP DATE NOT A DATE",IF(OR(AND($G181&lt;&gt;"",NOT(ISNUMBER($G181))),AND($H181&lt;&gt;"",NOT(ISNUMBER($H181)))),"CREDIT NOT A NUMBER",IF(OR(N($G181)&lt;0,N($H181)&lt;0),"NEGATIVE CREDIT",IF(AND($F181="Classroom",N($G181)&lt;=0),"NO MINUTES CREDITED",IF(AND($F181="PT",N($H181)&lt;=0),"NO SESSIONS CREDITED",IF($I181="","NO LINKED EVENT",IF(COUNTIF(nrAT_ID,$I181)=0,"NO SUCH EVENT",IF(INDEX(nrAT_PID,MATCH($I181,nrAT_ID,0))&lt;&gt;$E181,"WRONG CADET",IF(INDEX(nrAT_IsPT,MATCH($I181,nrAT_ID,0))&lt;&gt;IF($F181="PT","Yes","No"),"UNIT MISMATCH","OK"))))))))))))</f>
        <v/>
      </c>
    </row>
    <row r="182">
      <c r="B182" s="17">
        <f>IF($D182="","","M"&amp;TEXT(ROW()-5,"000"))</f>
        <v/>
      </c>
      <c r="C182" s="18" t="n"/>
      <c r="D182" s="16" t="n"/>
      <c r="E182" s="17">
        <f>IF($D182="","",IFERROR(INDEX(rngCadetPIDs,MATCH($D182,rngCadetNames,0)),"?"))</f>
        <v/>
      </c>
      <c r="F182" s="16" t="n"/>
      <c r="G182" s="16" t="n"/>
      <c r="H182" s="16" t="n"/>
      <c r="I182" s="16" t="n"/>
      <c r="J182" s="16" t="n"/>
      <c r="K182" s="16" t="n"/>
      <c r="L182" s="17">
        <f>IF($D182="","",IF(AND($J182="Received",$K182&lt;&gt;"Yes",LEFT($N182,2)="OK"),"Yes","No"))</f>
        <v/>
      </c>
      <c r="M182" s="16" t="n"/>
      <c r="N182" s="17">
        <f>IF($D182="","",IF(AND($F182&lt;&gt;"Classroom",$F182&lt;&gt;"PT"),"TYPE NOT CREDITED",IF($C182="","NO MAKEUP DATE",IF(NOT(ISNUMBER($C182)),"MAKEUP DATE NOT A DATE",IF(OR(AND($G182&lt;&gt;"",NOT(ISNUMBER($G182))),AND($H182&lt;&gt;"",NOT(ISNUMBER($H182)))),"CREDIT NOT A NUMBER",IF(OR(N($G182)&lt;0,N($H182)&lt;0),"NEGATIVE CREDIT",IF(AND($F182="Classroom",N($G182)&lt;=0),"NO MINUTES CREDITED",IF(AND($F182="PT",N($H182)&lt;=0),"NO SESSIONS CREDITED",IF($I182="","NO LINKED EVENT",IF(COUNTIF(nrAT_ID,$I182)=0,"NO SUCH EVENT",IF(INDEX(nrAT_PID,MATCH($I182,nrAT_ID,0))&lt;&gt;$E182,"WRONG CADET",IF(INDEX(nrAT_IsPT,MATCH($I182,nrAT_ID,0))&lt;&gt;IF($F182="PT","Yes","No"),"UNIT MISMATCH","OK"))))))))))))</f>
        <v/>
      </c>
    </row>
    <row r="183">
      <c r="B183" s="17">
        <f>IF($D183="","","M"&amp;TEXT(ROW()-5,"000"))</f>
        <v/>
      </c>
      <c r="C183" s="18" t="n"/>
      <c r="D183" s="16" t="n"/>
      <c r="E183" s="17">
        <f>IF($D183="","",IFERROR(INDEX(rngCadetPIDs,MATCH($D183,rngCadetNames,0)),"?"))</f>
        <v/>
      </c>
      <c r="F183" s="16" t="n"/>
      <c r="G183" s="16" t="n"/>
      <c r="H183" s="16" t="n"/>
      <c r="I183" s="16" t="n"/>
      <c r="J183" s="16" t="n"/>
      <c r="K183" s="16" t="n"/>
      <c r="L183" s="17">
        <f>IF($D183="","",IF(AND($J183="Received",$K183&lt;&gt;"Yes",LEFT($N183,2)="OK"),"Yes","No"))</f>
        <v/>
      </c>
      <c r="M183" s="16" t="n"/>
      <c r="N183" s="17">
        <f>IF($D183="","",IF(AND($F183&lt;&gt;"Classroom",$F183&lt;&gt;"PT"),"TYPE NOT CREDITED",IF($C183="","NO MAKEUP DATE",IF(NOT(ISNUMBER($C183)),"MAKEUP DATE NOT A DATE",IF(OR(AND($G183&lt;&gt;"",NOT(ISNUMBER($G183))),AND($H183&lt;&gt;"",NOT(ISNUMBER($H183)))),"CREDIT NOT A NUMBER",IF(OR(N($G183)&lt;0,N($H183)&lt;0),"NEGATIVE CREDIT",IF(AND($F183="Classroom",N($G183)&lt;=0),"NO MINUTES CREDITED",IF(AND($F183="PT",N($H183)&lt;=0),"NO SESSIONS CREDITED",IF($I183="","NO LINKED EVENT",IF(COUNTIF(nrAT_ID,$I183)=0,"NO SUCH EVENT",IF(INDEX(nrAT_PID,MATCH($I183,nrAT_ID,0))&lt;&gt;$E183,"WRONG CADET",IF(INDEX(nrAT_IsPT,MATCH($I183,nrAT_ID,0))&lt;&gt;IF($F183="PT","Yes","No"),"UNIT MISMATCH","OK"))))))))))))</f>
        <v/>
      </c>
    </row>
    <row r="184">
      <c r="B184" s="17">
        <f>IF($D184="","","M"&amp;TEXT(ROW()-5,"000"))</f>
        <v/>
      </c>
      <c r="C184" s="18" t="n"/>
      <c r="D184" s="16" t="n"/>
      <c r="E184" s="17">
        <f>IF($D184="","",IFERROR(INDEX(rngCadetPIDs,MATCH($D184,rngCadetNames,0)),"?"))</f>
        <v/>
      </c>
      <c r="F184" s="16" t="n"/>
      <c r="G184" s="16" t="n"/>
      <c r="H184" s="16" t="n"/>
      <c r="I184" s="16" t="n"/>
      <c r="J184" s="16" t="n"/>
      <c r="K184" s="16" t="n"/>
      <c r="L184" s="17">
        <f>IF($D184="","",IF(AND($J184="Received",$K184&lt;&gt;"Yes",LEFT($N184,2)="OK"),"Yes","No"))</f>
        <v/>
      </c>
      <c r="M184" s="16" t="n"/>
      <c r="N184" s="17">
        <f>IF($D184="","",IF(AND($F184&lt;&gt;"Classroom",$F184&lt;&gt;"PT"),"TYPE NOT CREDITED",IF($C184="","NO MAKEUP DATE",IF(NOT(ISNUMBER($C184)),"MAKEUP DATE NOT A DATE",IF(OR(AND($G184&lt;&gt;"",NOT(ISNUMBER($G184))),AND($H184&lt;&gt;"",NOT(ISNUMBER($H184)))),"CREDIT NOT A NUMBER",IF(OR(N($G184)&lt;0,N($H184)&lt;0),"NEGATIVE CREDIT",IF(AND($F184="Classroom",N($G184)&lt;=0),"NO MINUTES CREDITED",IF(AND($F184="PT",N($H184)&lt;=0),"NO SESSIONS CREDITED",IF($I184="","NO LINKED EVENT",IF(COUNTIF(nrAT_ID,$I184)=0,"NO SUCH EVENT",IF(INDEX(nrAT_PID,MATCH($I184,nrAT_ID,0))&lt;&gt;$E184,"WRONG CADET",IF(INDEX(nrAT_IsPT,MATCH($I184,nrAT_ID,0))&lt;&gt;IF($F184="PT","Yes","No"),"UNIT MISMATCH","OK"))))))))))))</f>
        <v/>
      </c>
    </row>
    <row r="185">
      <c r="B185" s="17">
        <f>IF($D185="","","M"&amp;TEXT(ROW()-5,"000"))</f>
        <v/>
      </c>
      <c r="C185" s="18" t="n"/>
      <c r="D185" s="16" t="n"/>
      <c r="E185" s="17">
        <f>IF($D185="","",IFERROR(INDEX(rngCadetPIDs,MATCH($D185,rngCadetNames,0)),"?"))</f>
        <v/>
      </c>
      <c r="F185" s="16" t="n"/>
      <c r="G185" s="16" t="n"/>
      <c r="H185" s="16" t="n"/>
      <c r="I185" s="16" t="n"/>
      <c r="J185" s="16" t="n"/>
      <c r="K185" s="16" t="n"/>
      <c r="L185" s="17">
        <f>IF($D185="","",IF(AND($J185="Received",$K185&lt;&gt;"Yes",LEFT($N185,2)="OK"),"Yes","No"))</f>
        <v/>
      </c>
      <c r="M185" s="16" t="n"/>
      <c r="N185" s="17">
        <f>IF($D185="","",IF(AND($F185&lt;&gt;"Classroom",$F185&lt;&gt;"PT"),"TYPE NOT CREDITED",IF($C185="","NO MAKEUP DATE",IF(NOT(ISNUMBER($C185)),"MAKEUP DATE NOT A DATE",IF(OR(AND($G185&lt;&gt;"",NOT(ISNUMBER($G185))),AND($H185&lt;&gt;"",NOT(ISNUMBER($H185)))),"CREDIT NOT A NUMBER",IF(OR(N($G185)&lt;0,N($H185)&lt;0),"NEGATIVE CREDIT",IF(AND($F185="Classroom",N($G185)&lt;=0),"NO MINUTES CREDITED",IF(AND($F185="PT",N($H185)&lt;=0),"NO SESSIONS CREDITED",IF($I185="","NO LINKED EVENT",IF(COUNTIF(nrAT_ID,$I185)=0,"NO SUCH EVENT",IF(INDEX(nrAT_PID,MATCH($I185,nrAT_ID,0))&lt;&gt;$E185,"WRONG CADET",IF(INDEX(nrAT_IsPT,MATCH($I185,nrAT_ID,0))&lt;&gt;IF($F185="PT","Yes","No"),"UNIT MISMATCH","OK"))))))))))))</f>
        <v/>
      </c>
    </row>
    <row r="186">
      <c r="B186" s="17">
        <f>IF($D186="","","M"&amp;TEXT(ROW()-5,"000"))</f>
        <v/>
      </c>
      <c r="C186" s="18" t="n"/>
      <c r="D186" s="16" t="n"/>
      <c r="E186" s="17">
        <f>IF($D186="","",IFERROR(INDEX(rngCadetPIDs,MATCH($D186,rngCadetNames,0)),"?"))</f>
        <v/>
      </c>
      <c r="F186" s="16" t="n"/>
      <c r="G186" s="16" t="n"/>
      <c r="H186" s="16" t="n"/>
      <c r="I186" s="16" t="n"/>
      <c r="J186" s="16" t="n"/>
      <c r="K186" s="16" t="n"/>
      <c r="L186" s="17">
        <f>IF($D186="","",IF(AND($J186="Received",$K186&lt;&gt;"Yes",LEFT($N186,2)="OK"),"Yes","No"))</f>
        <v/>
      </c>
      <c r="M186" s="16" t="n"/>
      <c r="N186" s="17">
        <f>IF($D186="","",IF(AND($F186&lt;&gt;"Classroom",$F186&lt;&gt;"PT"),"TYPE NOT CREDITED",IF($C186="","NO MAKEUP DATE",IF(NOT(ISNUMBER($C186)),"MAKEUP DATE NOT A DATE",IF(OR(AND($G186&lt;&gt;"",NOT(ISNUMBER($G186))),AND($H186&lt;&gt;"",NOT(ISNUMBER($H186)))),"CREDIT NOT A NUMBER",IF(OR(N($G186)&lt;0,N($H186)&lt;0),"NEGATIVE CREDIT",IF(AND($F186="Classroom",N($G186)&lt;=0),"NO MINUTES CREDITED",IF(AND($F186="PT",N($H186)&lt;=0),"NO SESSIONS CREDITED",IF($I186="","NO LINKED EVENT",IF(COUNTIF(nrAT_ID,$I186)=0,"NO SUCH EVENT",IF(INDEX(nrAT_PID,MATCH($I186,nrAT_ID,0))&lt;&gt;$E186,"WRONG CADET",IF(INDEX(nrAT_IsPT,MATCH($I186,nrAT_ID,0))&lt;&gt;IF($F186="PT","Yes","No"),"UNIT MISMATCH","OK"))))))))))))</f>
        <v/>
      </c>
    </row>
    <row r="187">
      <c r="B187" s="17">
        <f>IF($D187="","","M"&amp;TEXT(ROW()-5,"000"))</f>
        <v/>
      </c>
      <c r="C187" s="18" t="n"/>
      <c r="D187" s="16" t="n"/>
      <c r="E187" s="17">
        <f>IF($D187="","",IFERROR(INDEX(rngCadetPIDs,MATCH($D187,rngCadetNames,0)),"?"))</f>
        <v/>
      </c>
      <c r="F187" s="16" t="n"/>
      <c r="G187" s="16" t="n"/>
      <c r="H187" s="16" t="n"/>
      <c r="I187" s="16" t="n"/>
      <c r="J187" s="16" t="n"/>
      <c r="K187" s="16" t="n"/>
      <c r="L187" s="17">
        <f>IF($D187="","",IF(AND($J187="Received",$K187&lt;&gt;"Yes",LEFT($N187,2)="OK"),"Yes","No"))</f>
        <v/>
      </c>
      <c r="M187" s="16" t="n"/>
      <c r="N187" s="17">
        <f>IF($D187="","",IF(AND($F187&lt;&gt;"Classroom",$F187&lt;&gt;"PT"),"TYPE NOT CREDITED",IF($C187="","NO MAKEUP DATE",IF(NOT(ISNUMBER($C187)),"MAKEUP DATE NOT A DATE",IF(OR(AND($G187&lt;&gt;"",NOT(ISNUMBER($G187))),AND($H187&lt;&gt;"",NOT(ISNUMBER($H187)))),"CREDIT NOT A NUMBER",IF(OR(N($G187)&lt;0,N($H187)&lt;0),"NEGATIVE CREDIT",IF(AND($F187="Classroom",N($G187)&lt;=0),"NO MINUTES CREDITED",IF(AND($F187="PT",N($H187)&lt;=0),"NO SESSIONS CREDITED",IF($I187="","NO LINKED EVENT",IF(COUNTIF(nrAT_ID,$I187)=0,"NO SUCH EVENT",IF(INDEX(nrAT_PID,MATCH($I187,nrAT_ID,0))&lt;&gt;$E187,"WRONG CADET",IF(INDEX(nrAT_IsPT,MATCH($I187,nrAT_ID,0))&lt;&gt;IF($F187="PT","Yes","No"),"UNIT MISMATCH","OK"))))))))))))</f>
        <v/>
      </c>
    </row>
    <row r="188">
      <c r="B188" s="17">
        <f>IF($D188="","","M"&amp;TEXT(ROW()-5,"000"))</f>
        <v/>
      </c>
      <c r="C188" s="18" t="n"/>
      <c r="D188" s="16" t="n"/>
      <c r="E188" s="17">
        <f>IF($D188="","",IFERROR(INDEX(rngCadetPIDs,MATCH($D188,rngCadetNames,0)),"?"))</f>
        <v/>
      </c>
      <c r="F188" s="16" t="n"/>
      <c r="G188" s="16" t="n"/>
      <c r="H188" s="16" t="n"/>
      <c r="I188" s="16" t="n"/>
      <c r="J188" s="16" t="n"/>
      <c r="K188" s="16" t="n"/>
      <c r="L188" s="17">
        <f>IF($D188="","",IF(AND($J188="Received",$K188&lt;&gt;"Yes",LEFT($N188,2)="OK"),"Yes","No"))</f>
        <v/>
      </c>
      <c r="M188" s="16" t="n"/>
      <c r="N188" s="17">
        <f>IF($D188="","",IF(AND($F188&lt;&gt;"Classroom",$F188&lt;&gt;"PT"),"TYPE NOT CREDITED",IF($C188="","NO MAKEUP DATE",IF(NOT(ISNUMBER($C188)),"MAKEUP DATE NOT A DATE",IF(OR(AND($G188&lt;&gt;"",NOT(ISNUMBER($G188))),AND($H188&lt;&gt;"",NOT(ISNUMBER($H188)))),"CREDIT NOT A NUMBER",IF(OR(N($G188)&lt;0,N($H188)&lt;0),"NEGATIVE CREDIT",IF(AND($F188="Classroom",N($G188)&lt;=0),"NO MINUTES CREDITED",IF(AND($F188="PT",N($H188)&lt;=0),"NO SESSIONS CREDITED",IF($I188="","NO LINKED EVENT",IF(COUNTIF(nrAT_ID,$I188)=0,"NO SUCH EVENT",IF(INDEX(nrAT_PID,MATCH($I188,nrAT_ID,0))&lt;&gt;$E188,"WRONG CADET",IF(INDEX(nrAT_IsPT,MATCH($I188,nrAT_ID,0))&lt;&gt;IF($F188="PT","Yes","No"),"UNIT MISMATCH","OK"))))))))))))</f>
        <v/>
      </c>
    </row>
    <row r="189">
      <c r="B189" s="17">
        <f>IF($D189="","","M"&amp;TEXT(ROW()-5,"000"))</f>
        <v/>
      </c>
      <c r="C189" s="18" t="n"/>
      <c r="D189" s="16" t="n"/>
      <c r="E189" s="17">
        <f>IF($D189="","",IFERROR(INDEX(rngCadetPIDs,MATCH($D189,rngCadetNames,0)),"?"))</f>
        <v/>
      </c>
      <c r="F189" s="16" t="n"/>
      <c r="G189" s="16" t="n"/>
      <c r="H189" s="16" t="n"/>
      <c r="I189" s="16" t="n"/>
      <c r="J189" s="16" t="n"/>
      <c r="K189" s="16" t="n"/>
      <c r="L189" s="17">
        <f>IF($D189="","",IF(AND($J189="Received",$K189&lt;&gt;"Yes",LEFT($N189,2)="OK"),"Yes","No"))</f>
        <v/>
      </c>
      <c r="M189" s="16" t="n"/>
      <c r="N189" s="17">
        <f>IF($D189="","",IF(AND($F189&lt;&gt;"Classroom",$F189&lt;&gt;"PT"),"TYPE NOT CREDITED",IF($C189="","NO MAKEUP DATE",IF(NOT(ISNUMBER($C189)),"MAKEUP DATE NOT A DATE",IF(OR(AND($G189&lt;&gt;"",NOT(ISNUMBER($G189))),AND($H189&lt;&gt;"",NOT(ISNUMBER($H189)))),"CREDIT NOT A NUMBER",IF(OR(N($G189)&lt;0,N($H189)&lt;0),"NEGATIVE CREDIT",IF(AND($F189="Classroom",N($G189)&lt;=0),"NO MINUTES CREDITED",IF(AND($F189="PT",N($H189)&lt;=0),"NO SESSIONS CREDITED",IF($I189="","NO LINKED EVENT",IF(COUNTIF(nrAT_ID,$I189)=0,"NO SUCH EVENT",IF(INDEX(nrAT_PID,MATCH($I189,nrAT_ID,0))&lt;&gt;$E189,"WRONG CADET",IF(INDEX(nrAT_IsPT,MATCH($I189,nrAT_ID,0))&lt;&gt;IF($F189="PT","Yes","No"),"UNIT MISMATCH","OK"))))))))))))</f>
        <v/>
      </c>
    </row>
    <row r="190">
      <c r="B190" s="17">
        <f>IF($D190="","","M"&amp;TEXT(ROW()-5,"000"))</f>
        <v/>
      </c>
      <c r="C190" s="18" t="n"/>
      <c r="D190" s="16" t="n"/>
      <c r="E190" s="17">
        <f>IF($D190="","",IFERROR(INDEX(rngCadetPIDs,MATCH($D190,rngCadetNames,0)),"?"))</f>
        <v/>
      </c>
      <c r="F190" s="16" t="n"/>
      <c r="G190" s="16" t="n"/>
      <c r="H190" s="16" t="n"/>
      <c r="I190" s="16" t="n"/>
      <c r="J190" s="16" t="n"/>
      <c r="K190" s="16" t="n"/>
      <c r="L190" s="17">
        <f>IF($D190="","",IF(AND($J190="Received",$K190&lt;&gt;"Yes",LEFT($N190,2)="OK"),"Yes","No"))</f>
        <v/>
      </c>
      <c r="M190" s="16" t="n"/>
      <c r="N190" s="17">
        <f>IF($D190="","",IF(AND($F190&lt;&gt;"Classroom",$F190&lt;&gt;"PT"),"TYPE NOT CREDITED",IF($C190="","NO MAKEUP DATE",IF(NOT(ISNUMBER($C190)),"MAKEUP DATE NOT A DATE",IF(OR(AND($G190&lt;&gt;"",NOT(ISNUMBER($G190))),AND($H190&lt;&gt;"",NOT(ISNUMBER($H190)))),"CREDIT NOT A NUMBER",IF(OR(N($G190)&lt;0,N($H190)&lt;0),"NEGATIVE CREDIT",IF(AND($F190="Classroom",N($G190)&lt;=0),"NO MINUTES CREDITED",IF(AND($F190="PT",N($H190)&lt;=0),"NO SESSIONS CREDITED",IF($I190="","NO LINKED EVENT",IF(COUNTIF(nrAT_ID,$I190)=0,"NO SUCH EVENT",IF(INDEX(nrAT_PID,MATCH($I190,nrAT_ID,0))&lt;&gt;$E190,"WRONG CADET",IF(INDEX(nrAT_IsPT,MATCH($I190,nrAT_ID,0))&lt;&gt;IF($F190="PT","Yes","No"),"UNIT MISMATCH","OK"))))))))))))</f>
        <v/>
      </c>
    </row>
    <row r="191">
      <c r="B191" s="17">
        <f>IF($D191="","","M"&amp;TEXT(ROW()-5,"000"))</f>
        <v/>
      </c>
      <c r="C191" s="18" t="n"/>
      <c r="D191" s="16" t="n"/>
      <c r="E191" s="17">
        <f>IF($D191="","",IFERROR(INDEX(rngCadetPIDs,MATCH($D191,rngCadetNames,0)),"?"))</f>
        <v/>
      </c>
      <c r="F191" s="16" t="n"/>
      <c r="G191" s="16" t="n"/>
      <c r="H191" s="16" t="n"/>
      <c r="I191" s="16" t="n"/>
      <c r="J191" s="16" t="n"/>
      <c r="K191" s="16" t="n"/>
      <c r="L191" s="17">
        <f>IF($D191="","",IF(AND($J191="Received",$K191&lt;&gt;"Yes",LEFT($N191,2)="OK"),"Yes","No"))</f>
        <v/>
      </c>
      <c r="M191" s="16" t="n"/>
      <c r="N191" s="17">
        <f>IF($D191="","",IF(AND($F191&lt;&gt;"Classroom",$F191&lt;&gt;"PT"),"TYPE NOT CREDITED",IF($C191="","NO MAKEUP DATE",IF(NOT(ISNUMBER($C191)),"MAKEUP DATE NOT A DATE",IF(OR(AND($G191&lt;&gt;"",NOT(ISNUMBER($G191))),AND($H191&lt;&gt;"",NOT(ISNUMBER($H191)))),"CREDIT NOT A NUMBER",IF(OR(N($G191)&lt;0,N($H191)&lt;0),"NEGATIVE CREDIT",IF(AND($F191="Classroom",N($G191)&lt;=0),"NO MINUTES CREDITED",IF(AND($F191="PT",N($H191)&lt;=0),"NO SESSIONS CREDITED",IF($I191="","NO LINKED EVENT",IF(COUNTIF(nrAT_ID,$I191)=0,"NO SUCH EVENT",IF(INDEX(nrAT_PID,MATCH($I191,nrAT_ID,0))&lt;&gt;$E191,"WRONG CADET",IF(INDEX(nrAT_IsPT,MATCH($I191,nrAT_ID,0))&lt;&gt;IF($F191="PT","Yes","No"),"UNIT MISMATCH","OK"))))))))))))</f>
        <v/>
      </c>
    </row>
    <row r="192">
      <c r="B192" s="17">
        <f>IF($D192="","","M"&amp;TEXT(ROW()-5,"000"))</f>
        <v/>
      </c>
      <c r="C192" s="18" t="n"/>
      <c r="D192" s="16" t="n"/>
      <c r="E192" s="17">
        <f>IF($D192="","",IFERROR(INDEX(rngCadetPIDs,MATCH($D192,rngCadetNames,0)),"?"))</f>
        <v/>
      </c>
      <c r="F192" s="16" t="n"/>
      <c r="G192" s="16" t="n"/>
      <c r="H192" s="16" t="n"/>
      <c r="I192" s="16" t="n"/>
      <c r="J192" s="16" t="n"/>
      <c r="K192" s="16" t="n"/>
      <c r="L192" s="17">
        <f>IF($D192="","",IF(AND($J192="Received",$K192&lt;&gt;"Yes",LEFT($N192,2)="OK"),"Yes","No"))</f>
        <v/>
      </c>
      <c r="M192" s="16" t="n"/>
      <c r="N192" s="17">
        <f>IF($D192="","",IF(AND($F192&lt;&gt;"Classroom",$F192&lt;&gt;"PT"),"TYPE NOT CREDITED",IF($C192="","NO MAKEUP DATE",IF(NOT(ISNUMBER($C192)),"MAKEUP DATE NOT A DATE",IF(OR(AND($G192&lt;&gt;"",NOT(ISNUMBER($G192))),AND($H192&lt;&gt;"",NOT(ISNUMBER($H192)))),"CREDIT NOT A NUMBER",IF(OR(N($G192)&lt;0,N($H192)&lt;0),"NEGATIVE CREDIT",IF(AND($F192="Classroom",N($G192)&lt;=0),"NO MINUTES CREDITED",IF(AND($F192="PT",N($H192)&lt;=0),"NO SESSIONS CREDITED",IF($I192="","NO LINKED EVENT",IF(COUNTIF(nrAT_ID,$I192)=0,"NO SUCH EVENT",IF(INDEX(nrAT_PID,MATCH($I192,nrAT_ID,0))&lt;&gt;$E192,"WRONG CADET",IF(INDEX(nrAT_IsPT,MATCH($I192,nrAT_ID,0))&lt;&gt;IF($F192="PT","Yes","No"),"UNIT MISMATCH","OK"))))))))))))</f>
        <v/>
      </c>
    </row>
    <row r="193">
      <c r="B193" s="17">
        <f>IF($D193="","","M"&amp;TEXT(ROW()-5,"000"))</f>
        <v/>
      </c>
      <c r="C193" s="18" t="n"/>
      <c r="D193" s="16" t="n"/>
      <c r="E193" s="17">
        <f>IF($D193="","",IFERROR(INDEX(rngCadetPIDs,MATCH($D193,rngCadetNames,0)),"?"))</f>
        <v/>
      </c>
      <c r="F193" s="16" t="n"/>
      <c r="G193" s="16" t="n"/>
      <c r="H193" s="16" t="n"/>
      <c r="I193" s="16" t="n"/>
      <c r="J193" s="16" t="n"/>
      <c r="K193" s="16" t="n"/>
      <c r="L193" s="17">
        <f>IF($D193="","",IF(AND($J193="Received",$K193&lt;&gt;"Yes",LEFT($N193,2)="OK"),"Yes","No"))</f>
        <v/>
      </c>
      <c r="M193" s="16" t="n"/>
      <c r="N193" s="17">
        <f>IF($D193="","",IF(AND($F193&lt;&gt;"Classroom",$F193&lt;&gt;"PT"),"TYPE NOT CREDITED",IF($C193="","NO MAKEUP DATE",IF(NOT(ISNUMBER($C193)),"MAKEUP DATE NOT A DATE",IF(OR(AND($G193&lt;&gt;"",NOT(ISNUMBER($G193))),AND($H193&lt;&gt;"",NOT(ISNUMBER($H193)))),"CREDIT NOT A NUMBER",IF(OR(N($G193)&lt;0,N($H193)&lt;0),"NEGATIVE CREDIT",IF(AND($F193="Classroom",N($G193)&lt;=0),"NO MINUTES CREDITED",IF(AND($F193="PT",N($H193)&lt;=0),"NO SESSIONS CREDITED",IF($I193="","NO LINKED EVENT",IF(COUNTIF(nrAT_ID,$I193)=0,"NO SUCH EVENT",IF(INDEX(nrAT_PID,MATCH($I193,nrAT_ID,0))&lt;&gt;$E193,"WRONG CADET",IF(INDEX(nrAT_IsPT,MATCH($I193,nrAT_ID,0))&lt;&gt;IF($F193="PT","Yes","No"),"UNIT MISMATCH","OK"))))))))))))</f>
        <v/>
      </c>
    </row>
    <row r="194">
      <c r="B194" s="17">
        <f>IF($D194="","","M"&amp;TEXT(ROW()-5,"000"))</f>
        <v/>
      </c>
      <c r="C194" s="18" t="n"/>
      <c r="D194" s="16" t="n"/>
      <c r="E194" s="17">
        <f>IF($D194="","",IFERROR(INDEX(rngCadetPIDs,MATCH($D194,rngCadetNames,0)),"?"))</f>
        <v/>
      </c>
      <c r="F194" s="16" t="n"/>
      <c r="G194" s="16" t="n"/>
      <c r="H194" s="16" t="n"/>
      <c r="I194" s="16" t="n"/>
      <c r="J194" s="16" t="n"/>
      <c r="K194" s="16" t="n"/>
      <c r="L194" s="17">
        <f>IF($D194="","",IF(AND($J194="Received",$K194&lt;&gt;"Yes",LEFT($N194,2)="OK"),"Yes","No"))</f>
        <v/>
      </c>
      <c r="M194" s="16" t="n"/>
      <c r="N194" s="17">
        <f>IF($D194="","",IF(AND($F194&lt;&gt;"Classroom",$F194&lt;&gt;"PT"),"TYPE NOT CREDITED",IF($C194="","NO MAKEUP DATE",IF(NOT(ISNUMBER($C194)),"MAKEUP DATE NOT A DATE",IF(OR(AND($G194&lt;&gt;"",NOT(ISNUMBER($G194))),AND($H194&lt;&gt;"",NOT(ISNUMBER($H194)))),"CREDIT NOT A NUMBER",IF(OR(N($G194)&lt;0,N($H194)&lt;0),"NEGATIVE CREDIT",IF(AND($F194="Classroom",N($G194)&lt;=0),"NO MINUTES CREDITED",IF(AND($F194="PT",N($H194)&lt;=0),"NO SESSIONS CREDITED",IF($I194="","NO LINKED EVENT",IF(COUNTIF(nrAT_ID,$I194)=0,"NO SUCH EVENT",IF(INDEX(nrAT_PID,MATCH($I194,nrAT_ID,0))&lt;&gt;$E194,"WRONG CADET",IF(INDEX(nrAT_IsPT,MATCH($I194,nrAT_ID,0))&lt;&gt;IF($F194="PT","Yes","No"),"UNIT MISMATCH","OK"))))))))))))</f>
        <v/>
      </c>
    </row>
    <row r="195">
      <c r="B195" s="17">
        <f>IF($D195="","","M"&amp;TEXT(ROW()-5,"000"))</f>
        <v/>
      </c>
      <c r="C195" s="18" t="n"/>
      <c r="D195" s="16" t="n"/>
      <c r="E195" s="17">
        <f>IF($D195="","",IFERROR(INDEX(rngCadetPIDs,MATCH($D195,rngCadetNames,0)),"?"))</f>
        <v/>
      </c>
      <c r="F195" s="16" t="n"/>
      <c r="G195" s="16" t="n"/>
      <c r="H195" s="16" t="n"/>
      <c r="I195" s="16" t="n"/>
      <c r="J195" s="16" t="n"/>
      <c r="K195" s="16" t="n"/>
      <c r="L195" s="17">
        <f>IF($D195="","",IF(AND($J195="Received",$K195&lt;&gt;"Yes",LEFT($N195,2)="OK"),"Yes","No"))</f>
        <v/>
      </c>
      <c r="M195" s="16" t="n"/>
      <c r="N195" s="17">
        <f>IF($D195="","",IF(AND($F195&lt;&gt;"Classroom",$F195&lt;&gt;"PT"),"TYPE NOT CREDITED",IF($C195="","NO MAKEUP DATE",IF(NOT(ISNUMBER($C195)),"MAKEUP DATE NOT A DATE",IF(OR(AND($G195&lt;&gt;"",NOT(ISNUMBER($G195))),AND($H195&lt;&gt;"",NOT(ISNUMBER($H195)))),"CREDIT NOT A NUMBER",IF(OR(N($G195)&lt;0,N($H195)&lt;0),"NEGATIVE CREDIT",IF(AND($F195="Classroom",N($G195)&lt;=0),"NO MINUTES CREDITED",IF(AND($F195="PT",N($H195)&lt;=0),"NO SESSIONS CREDITED",IF($I195="","NO LINKED EVENT",IF(COUNTIF(nrAT_ID,$I195)=0,"NO SUCH EVENT",IF(INDEX(nrAT_PID,MATCH($I195,nrAT_ID,0))&lt;&gt;$E195,"WRONG CADET",IF(INDEX(nrAT_IsPT,MATCH($I195,nrAT_ID,0))&lt;&gt;IF($F195="PT","Yes","No"),"UNIT MISMATCH","OK"))))))))))))</f>
        <v/>
      </c>
    </row>
    <row r="196">
      <c r="B196" s="17">
        <f>IF($D196="","","M"&amp;TEXT(ROW()-5,"000"))</f>
        <v/>
      </c>
      <c r="C196" s="18" t="n"/>
      <c r="D196" s="16" t="n"/>
      <c r="E196" s="17">
        <f>IF($D196="","",IFERROR(INDEX(rngCadetPIDs,MATCH($D196,rngCadetNames,0)),"?"))</f>
        <v/>
      </c>
      <c r="F196" s="16" t="n"/>
      <c r="G196" s="16" t="n"/>
      <c r="H196" s="16" t="n"/>
      <c r="I196" s="16" t="n"/>
      <c r="J196" s="16" t="n"/>
      <c r="K196" s="16" t="n"/>
      <c r="L196" s="17">
        <f>IF($D196="","",IF(AND($J196="Received",$K196&lt;&gt;"Yes",LEFT($N196,2)="OK"),"Yes","No"))</f>
        <v/>
      </c>
      <c r="M196" s="16" t="n"/>
      <c r="N196" s="17">
        <f>IF($D196="","",IF(AND($F196&lt;&gt;"Classroom",$F196&lt;&gt;"PT"),"TYPE NOT CREDITED",IF($C196="","NO MAKEUP DATE",IF(NOT(ISNUMBER($C196)),"MAKEUP DATE NOT A DATE",IF(OR(AND($G196&lt;&gt;"",NOT(ISNUMBER($G196))),AND($H196&lt;&gt;"",NOT(ISNUMBER($H196)))),"CREDIT NOT A NUMBER",IF(OR(N($G196)&lt;0,N($H196)&lt;0),"NEGATIVE CREDIT",IF(AND($F196="Classroom",N($G196)&lt;=0),"NO MINUTES CREDITED",IF(AND($F196="PT",N($H196)&lt;=0),"NO SESSIONS CREDITED",IF($I196="","NO LINKED EVENT",IF(COUNTIF(nrAT_ID,$I196)=0,"NO SUCH EVENT",IF(INDEX(nrAT_PID,MATCH($I196,nrAT_ID,0))&lt;&gt;$E196,"WRONG CADET",IF(INDEX(nrAT_IsPT,MATCH($I196,nrAT_ID,0))&lt;&gt;IF($F196="PT","Yes","No"),"UNIT MISMATCH","OK"))))))))))))</f>
        <v/>
      </c>
    </row>
    <row r="197">
      <c r="B197" s="17">
        <f>IF($D197="","","M"&amp;TEXT(ROW()-5,"000"))</f>
        <v/>
      </c>
      <c r="C197" s="18" t="n"/>
      <c r="D197" s="16" t="n"/>
      <c r="E197" s="17">
        <f>IF($D197="","",IFERROR(INDEX(rngCadetPIDs,MATCH($D197,rngCadetNames,0)),"?"))</f>
        <v/>
      </c>
      <c r="F197" s="16" t="n"/>
      <c r="G197" s="16" t="n"/>
      <c r="H197" s="16" t="n"/>
      <c r="I197" s="16" t="n"/>
      <c r="J197" s="16" t="n"/>
      <c r="K197" s="16" t="n"/>
      <c r="L197" s="17">
        <f>IF($D197="","",IF(AND($J197="Received",$K197&lt;&gt;"Yes",LEFT($N197,2)="OK"),"Yes","No"))</f>
        <v/>
      </c>
      <c r="M197" s="16" t="n"/>
      <c r="N197" s="17">
        <f>IF($D197="","",IF(AND($F197&lt;&gt;"Classroom",$F197&lt;&gt;"PT"),"TYPE NOT CREDITED",IF($C197="","NO MAKEUP DATE",IF(NOT(ISNUMBER($C197)),"MAKEUP DATE NOT A DATE",IF(OR(AND($G197&lt;&gt;"",NOT(ISNUMBER($G197))),AND($H197&lt;&gt;"",NOT(ISNUMBER($H197)))),"CREDIT NOT A NUMBER",IF(OR(N($G197)&lt;0,N($H197)&lt;0),"NEGATIVE CREDIT",IF(AND($F197="Classroom",N($G197)&lt;=0),"NO MINUTES CREDITED",IF(AND($F197="PT",N($H197)&lt;=0),"NO SESSIONS CREDITED",IF($I197="","NO LINKED EVENT",IF(COUNTIF(nrAT_ID,$I197)=0,"NO SUCH EVENT",IF(INDEX(nrAT_PID,MATCH($I197,nrAT_ID,0))&lt;&gt;$E197,"WRONG CADET",IF(INDEX(nrAT_IsPT,MATCH($I197,nrAT_ID,0))&lt;&gt;IF($F197="PT","Yes","No"),"UNIT MISMATCH","OK"))))))))))))</f>
        <v/>
      </c>
    </row>
    <row r="198">
      <c r="B198" s="17">
        <f>IF($D198="","","M"&amp;TEXT(ROW()-5,"000"))</f>
        <v/>
      </c>
      <c r="C198" s="18" t="n"/>
      <c r="D198" s="16" t="n"/>
      <c r="E198" s="17">
        <f>IF($D198="","",IFERROR(INDEX(rngCadetPIDs,MATCH($D198,rngCadetNames,0)),"?"))</f>
        <v/>
      </c>
      <c r="F198" s="16" t="n"/>
      <c r="G198" s="16" t="n"/>
      <c r="H198" s="16" t="n"/>
      <c r="I198" s="16" t="n"/>
      <c r="J198" s="16" t="n"/>
      <c r="K198" s="16" t="n"/>
      <c r="L198" s="17">
        <f>IF($D198="","",IF(AND($J198="Received",$K198&lt;&gt;"Yes",LEFT($N198,2)="OK"),"Yes","No"))</f>
        <v/>
      </c>
      <c r="M198" s="16" t="n"/>
      <c r="N198" s="17">
        <f>IF($D198="","",IF(AND($F198&lt;&gt;"Classroom",$F198&lt;&gt;"PT"),"TYPE NOT CREDITED",IF($C198="","NO MAKEUP DATE",IF(NOT(ISNUMBER($C198)),"MAKEUP DATE NOT A DATE",IF(OR(AND($G198&lt;&gt;"",NOT(ISNUMBER($G198))),AND($H198&lt;&gt;"",NOT(ISNUMBER($H198)))),"CREDIT NOT A NUMBER",IF(OR(N($G198)&lt;0,N($H198)&lt;0),"NEGATIVE CREDIT",IF(AND($F198="Classroom",N($G198)&lt;=0),"NO MINUTES CREDITED",IF(AND($F198="PT",N($H198)&lt;=0),"NO SESSIONS CREDITED",IF($I198="","NO LINKED EVENT",IF(COUNTIF(nrAT_ID,$I198)=0,"NO SUCH EVENT",IF(INDEX(nrAT_PID,MATCH($I198,nrAT_ID,0))&lt;&gt;$E198,"WRONG CADET",IF(INDEX(nrAT_IsPT,MATCH($I198,nrAT_ID,0))&lt;&gt;IF($F198="PT","Yes","No"),"UNIT MISMATCH","OK"))))))))))))</f>
        <v/>
      </c>
    </row>
    <row r="199">
      <c r="B199" s="17">
        <f>IF($D199="","","M"&amp;TEXT(ROW()-5,"000"))</f>
        <v/>
      </c>
      <c r="C199" s="18" t="n"/>
      <c r="D199" s="16" t="n"/>
      <c r="E199" s="17">
        <f>IF($D199="","",IFERROR(INDEX(rngCadetPIDs,MATCH($D199,rngCadetNames,0)),"?"))</f>
        <v/>
      </c>
      <c r="F199" s="16" t="n"/>
      <c r="G199" s="16" t="n"/>
      <c r="H199" s="16" t="n"/>
      <c r="I199" s="16" t="n"/>
      <c r="J199" s="16" t="n"/>
      <c r="K199" s="16" t="n"/>
      <c r="L199" s="17">
        <f>IF($D199="","",IF(AND($J199="Received",$K199&lt;&gt;"Yes",LEFT($N199,2)="OK"),"Yes","No"))</f>
        <v/>
      </c>
      <c r="M199" s="16" t="n"/>
      <c r="N199" s="17">
        <f>IF($D199="","",IF(AND($F199&lt;&gt;"Classroom",$F199&lt;&gt;"PT"),"TYPE NOT CREDITED",IF($C199="","NO MAKEUP DATE",IF(NOT(ISNUMBER($C199)),"MAKEUP DATE NOT A DATE",IF(OR(AND($G199&lt;&gt;"",NOT(ISNUMBER($G199))),AND($H199&lt;&gt;"",NOT(ISNUMBER($H199)))),"CREDIT NOT A NUMBER",IF(OR(N($G199)&lt;0,N($H199)&lt;0),"NEGATIVE CREDIT",IF(AND($F199="Classroom",N($G199)&lt;=0),"NO MINUTES CREDITED",IF(AND($F199="PT",N($H199)&lt;=0),"NO SESSIONS CREDITED",IF($I199="","NO LINKED EVENT",IF(COUNTIF(nrAT_ID,$I199)=0,"NO SUCH EVENT",IF(INDEX(nrAT_PID,MATCH($I199,nrAT_ID,0))&lt;&gt;$E199,"WRONG CADET",IF(INDEX(nrAT_IsPT,MATCH($I199,nrAT_ID,0))&lt;&gt;IF($F199="PT","Yes","No"),"UNIT MISMATCH","OK"))))))))))))</f>
        <v/>
      </c>
    </row>
    <row r="200">
      <c r="B200" s="17">
        <f>IF($D200="","","M"&amp;TEXT(ROW()-5,"000"))</f>
        <v/>
      </c>
      <c r="C200" s="18" t="n"/>
      <c r="D200" s="16" t="n"/>
      <c r="E200" s="17">
        <f>IF($D200="","",IFERROR(INDEX(rngCadetPIDs,MATCH($D200,rngCadetNames,0)),"?"))</f>
        <v/>
      </c>
      <c r="F200" s="16" t="n"/>
      <c r="G200" s="16" t="n"/>
      <c r="H200" s="16" t="n"/>
      <c r="I200" s="16" t="n"/>
      <c r="J200" s="16" t="n"/>
      <c r="K200" s="16" t="n"/>
      <c r="L200" s="17">
        <f>IF($D200="","",IF(AND($J200="Received",$K200&lt;&gt;"Yes",LEFT($N200,2)="OK"),"Yes","No"))</f>
        <v/>
      </c>
      <c r="M200" s="16" t="n"/>
      <c r="N200" s="17">
        <f>IF($D200="","",IF(AND($F200&lt;&gt;"Classroom",$F200&lt;&gt;"PT"),"TYPE NOT CREDITED",IF($C200="","NO MAKEUP DATE",IF(NOT(ISNUMBER($C200)),"MAKEUP DATE NOT A DATE",IF(OR(AND($G200&lt;&gt;"",NOT(ISNUMBER($G200))),AND($H200&lt;&gt;"",NOT(ISNUMBER($H200)))),"CREDIT NOT A NUMBER",IF(OR(N($G200)&lt;0,N($H200)&lt;0),"NEGATIVE CREDIT",IF(AND($F200="Classroom",N($G200)&lt;=0),"NO MINUTES CREDITED",IF(AND($F200="PT",N($H200)&lt;=0),"NO SESSIONS CREDITED",IF($I200="","NO LINKED EVENT",IF(COUNTIF(nrAT_ID,$I200)=0,"NO SUCH EVENT",IF(INDEX(nrAT_PID,MATCH($I200,nrAT_ID,0))&lt;&gt;$E200,"WRONG CADET",IF(INDEX(nrAT_IsPT,MATCH($I200,nrAT_ID,0))&lt;&gt;IF($F200="PT","Yes","No"),"UNIT MISMATCH","OK"))))))))))))</f>
        <v/>
      </c>
    </row>
    <row r="201">
      <c r="B201" s="17">
        <f>IF($D201="","","M"&amp;TEXT(ROW()-5,"000"))</f>
        <v/>
      </c>
      <c r="C201" s="18" t="n"/>
      <c r="D201" s="16" t="n"/>
      <c r="E201" s="17">
        <f>IF($D201="","",IFERROR(INDEX(rngCadetPIDs,MATCH($D201,rngCadetNames,0)),"?"))</f>
        <v/>
      </c>
      <c r="F201" s="16" t="n"/>
      <c r="G201" s="16" t="n"/>
      <c r="H201" s="16" t="n"/>
      <c r="I201" s="16" t="n"/>
      <c r="J201" s="16" t="n"/>
      <c r="K201" s="16" t="n"/>
      <c r="L201" s="17">
        <f>IF($D201="","",IF(AND($J201="Received",$K201&lt;&gt;"Yes",LEFT($N201,2)="OK"),"Yes","No"))</f>
        <v/>
      </c>
      <c r="M201" s="16" t="n"/>
      <c r="N201" s="17">
        <f>IF($D201="","",IF(AND($F201&lt;&gt;"Classroom",$F201&lt;&gt;"PT"),"TYPE NOT CREDITED",IF($C201="","NO MAKEUP DATE",IF(NOT(ISNUMBER($C201)),"MAKEUP DATE NOT A DATE",IF(OR(AND($G201&lt;&gt;"",NOT(ISNUMBER($G201))),AND($H201&lt;&gt;"",NOT(ISNUMBER($H201)))),"CREDIT NOT A NUMBER",IF(OR(N($G201)&lt;0,N($H201)&lt;0),"NEGATIVE CREDIT",IF(AND($F201="Classroom",N($G201)&lt;=0),"NO MINUTES CREDITED",IF(AND($F201="PT",N($H201)&lt;=0),"NO SESSIONS CREDITED",IF($I201="","NO LINKED EVENT",IF(COUNTIF(nrAT_ID,$I201)=0,"NO SUCH EVENT",IF(INDEX(nrAT_PID,MATCH($I201,nrAT_ID,0))&lt;&gt;$E201,"WRONG CADET",IF(INDEX(nrAT_IsPT,MATCH($I201,nrAT_ID,0))&lt;&gt;IF($F201="PT","Yes","No"),"UNIT MISMATCH","OK"))))))))))))</f>
        <v/>
      </c>
    </row>
    <row r="202">
      <c r="B202" s="17">
        <f>IF($D202="","","M"&amp;TEXT(ROW()-5,"000"))</f>
        <v/>
      </c>
      <c r="C202" s="18" t="n"/>
      <c r="D202" s="16" t="n"/>
      <c r="E202" s="17">
        <f>IF($D202="","",IFERROR(INDEX(rngCadetPIDs,MATCH($D202,rngCadetNames,0)),"?"))</f>
        <v/>
      </c>
      <c r="F202" s="16" t="n"/>
      <c r="G202" s="16" t="n"/>
      <c r="H202" s="16" t="n"/>
      <c r="I202" s="16" t="n"/>
      <c r="J202" s="16" t="n"/>
      <c r="K202" s="16" t="n"/>
      <c r="L202" s="17">
        <f>IF($D202="","",IF(AND($J202="Received",$K202&lt;&gt;"Yes",LEFT($N202,2)="OK"),"Yes","No"))</f>
        <v/>
      </c>
      <c r="M202" s="16" t="n"/>
      <c r="N202" s="17">
        <f>IF($D202="","",IF(AND($F202&lt;&gt;"Classroom",$F202&lt;&gt;"PT"),"TYPE NOT CREDITED",IF($C202="","NO MAKEUP DATE",IF(NOT(ISNUMBER($C202)),"MAKEUP DATE NOT A DATE",IF(OR(AND($G202&lt;&gt;"",NOT(ISNUMBER($G202))),AND($H202&lt;&gt;"",NOT(ISNUMBER($H202)))),"CREDIT NOT A NUMBER",IF(OR(N($G202)&lt;0,N($H202)&lt;0),"NEGATIVE CREDIT",IF(AND($F202="Classroom",N($G202)&lt;=0),"NO MINUTES CREDITED",IF(AND($F202="PT",N($H202)&lt;=0),"NO SESSIONS CREDITED",IF($I202="","NO LINKED EVENT",IF(COUNTIF(nrAT_ID,$I202)=0,"NO SUCH EVENT",IF(INDEX(nrAT_PID,MATCH($I202,nrAT_ID,0))&lt;&gt;$E202,"WRONG CADET",IF(INDEX(nrAT_IsPT,MATCH($I202,nrAT_ID,0))&lt;&gt;IF($F202="PT","Yes","No"),"UNIT MISMATCH","OK"))))))))))))</f>
        <v/>
      </c>
    </row>
    <row r="203">
      <c r="B203" s="17">
        <f>IF($D203="","","M"&amp;TEXT(ROW()-5,"000"))</f>
        <v/>
      </c>
      <c r="C203" s="18" t="n"/>
      <c r="D203" s="16" t="n"/>
      <c r="E203" s="17">
        <f>IF($D203="","",IFERROR(INDEX(rngCadetPIDs,MATCH($D203,rngCadetNames,0)),"?"))</f>
        <v/>
      </c>
      <c r="F203" s="16" t="n"/>
      <c r="G203" s="16" t="n"/>
      <c r="H203" s="16" t="n"/>
      <c r="I203" s="16" t="n"/>
      <c r="J203" s="16" t="n"/>
      <c r="K203" s="16" t="n"/>
      <c r="L203" s="17">
        <f>IF($D203="","",IF(AND($J203="Received",$K203&lt;&gt;"Yes",LEFT($N203,2)="OK"),"Yes","No"))</f>
        <v/>
      </c>
      <c r="M203" s="16" t="n"/>
      <c r="N203" s="17">
        <f>IF($D203="","",IF(AND($F203&lt;&gt;"Classroom",$F203&lt;&gt;"PT"),"TYPE NOT CREDITED",IF($C203="","NO MAKEUP DATE",IF(NOT(ISNUMBER($C203)),"MAKEUP DATE NOT A DATE",IF(OR(AND($G203&lt;&gt;"",NOT(ISNUMBER($G203))),AND($H203&lt;&gt;"",NOT(ISNUMBER($H203)))),"CREDIT NOT A NUMBER",IF(OR(N($G203)&lt;0,N($H203)&lt;0),"NEGATIVE CREDIT",IF(AND($F203="Classroom",N($G203)&lt;=0),"NO MINUTES CREDITED",IF(AND($F203="PT",N($H203)&lt;=0),"NO SESSIONS CREDITED",IF($I203="","NO LINKED EVENT",IF(COUNTIF(nrAT_ID,$I203)=0,"NO SUCH EVENT",IF(INDEX(nrAT_PID,MATCH($I203,nrAT_ID,0))&lt;&gt;$E203,"WRONG CADET",IF(INDEX(nrAT_IsPT,MATCH($I203,nrAT_ID,0))&lt;&gt;IF($F203="PT","Yes","No"),"UNIT MISMATCH","OK"))))))))))))</f>
        <v/>
      </c>
    </row>
    <row r="204">
      <c r="B204" s="17">
        <f>IF($D204="","","M"&amp;TEXT(ROW()-5,"000"))</f>
        <v/>
      </c>
      <c r="C204" s="18" t="n"/>
      <c r="D204" s="16" t="n"/>
      <c r="E204" s="17">
        <f>IF($D204="","",IFERROR(INDEX(rngCadetPIDs,MATCH($D204,rngCadetNames,0)),"?"))</f>
        <v/>
      </c>
      <c r="F204" s="16" t="n"/>
      <c r="G204" s="16" t="n"/>
      <c r="H204" s="16" t="n"/>
      <c r="I204" s="16" t="n"/>
      <c r="J204" s="16" t="n"/>
      <c r="K204" s="16" t="n"/>
      <c r="L204" s="17">
        <f>IF($D204="","",IF(AND($J204="Received",$K204&lt;&gt;"Yes",LEFT($N204,2)="OK"),"Yes","No"))</f>
        <v/>
      </c>
      <c r="M204" s="16" t="n"/>
      <c r="N204" s="17">
        <f>IF($D204="","",IF(AND($F204&lt;&gt;"Classroom",$F204&lt;&gt;"PT"),"TYPE NOT CREDITED",IF($C204="","NO MAKEUP DATE",IF(NOT(ISNUMBER($C204)),"MAKEUP DATE NOT A DATE",IF(OR(AND($G204&lt;&gt;"",NOT(ISNUMBER($G204))),AND($H204&lt;&gt;"",NOT(ISNUMBER($H204)))),"CREDIT NOT A NUMBER",IF(OR(N($G204)&lt;0,N($H204)&lt;0),"NEGATIVE CREDIT",IF(AND($F204="Classroom",N($G204)&lt;=0),"NO MINUTES CREDITED",IF(AND($F204="PT",N($H204)&lt;=0),"NO SESSIONS CREDITED",IF($I204="","NO LINKED EVENT",IF(COUNTIF(nrAT_ID,$I204)=0,"NO SUCH EVENT",IF(INDEX(nrAT_PID,MATCH($I204,nrAT_ID,0))&lt;&gt;$E204,"WRONG CADET",IF(INDEX(nrAT_IsPT,MATCH($I204,nrAT_ID,0))&lt;&gt;IF($F204="PT","Yes","No"),"UNIT MISMATCH","OK"))))))))))))</f>
        <v/>
      </c>
    </row>
    <row r="205">
      <c r="B205" s="17">
        <f>IF($D205="","","M"&amp;TEXT(ROW()-5,"000"))</f>
        <v/>
      </c>
      <c r="C205" s="18" t="n"/>
      <c r="D205" s="16" t="n"/>
      <c r="E205" s="17">
        <f>IF($D205="","",IFERROR(INDEX(rngCadetPIDs,MATCH($D205,rngCadetNames,0)),"?"))</f>
        <v/>
      </c>
      <c r="F205" s="16" t="n"/>
      <c r="G205" s="16" t="n"/>
      <c r="H205" s="16" t="n"/>
      <c r="I205" s="16" t="n"/>
      <c r="J205" s="16" t="n"/>
      <c r="K205" s="16" t="n"/>
      <c r="L205" s="17">
        <f>IF($D205="","",IF(AND($J205="Received",$K205&lt;&gt;"Yes",LEFT($N205,2)="OK"),"Yes","No"))</f>
        <v/>
      </c>
      <c r="M205" s="16" t="n"/>
      <c r="N205" s="17">
        <f>IF($D205="","",IF(AND($F205&lt;&gt;"Classroom",$F205&lt;&gt;"PT"),"TYPE NOT CREDITED",IF($C205="","NO MAKEUP DATE",IF(NOT(ISNUMBER($C205)),"MAKEUP DATE NOT A DATE",IF(OR(AND($G205&lt;&gt;"",NOT(ISNUMBER($G205))),AND($H205&lt;&gt;"",NOT(ISNUMBER($H205)))),"CREDIT NOT A NUMBER",IF(OR(N($G205)&lt;0,N($H205)&lt;0),"NEGATIVE CREDIT",IF(AND($F205="Classroom",N($G205)&lt;=0),"NO MINUTES CREDITED",IF(AND($F205="PT",N($H205)&lt;=0),"NO SESSIONS CREDITED",IF($I205="","NO LINKED EVENT",IF(COUNTIF(nrAT_ID,$I205)=0,"NO SUCH EVENT",IF(INDEX(nrAT_PID,MATCH($I205,nrAT_ID,0))&lt;&gt;$E205,"WRONG CADET",IF(INDEX(nrAT_IsPT,MATCH($I205,nrAT_ID,0))&lt;&gt;IF($F205="PT","Yes","No"),"UNIT MISMATCH","OK"))))))))))))</f>
        <v/>
      </c>
    </row>
    <row r="206">
      <c r="B206" s="17">
        <f>IF($D206="","","M"&amp;TEXT(ROW()-5,"000"))</f>
        <v/>
      </c>
      <c r="C206" s="18" t="n"/>
      <c r="D206" s="16" t="n"/>
      <c r="E206" s="17">
        <f>IF($D206="","",IFERROR(INDEX(rngCadetPIDs,MATCH($D206,rngCadetNames,0)),"?"))</f>
        <v/>
      </c>
      <c r="F206" s="16" t="n"/>
      <c r="G206" s="16" t="n"/>
      <c r="H206" s="16" t="n"/>
      <c r="I206" s="16" t="n"/>
      <c r="J206" s="16" t="n"/>
      <c r="K206" s="16" t="n"/>
      <c r="L206" s="17">
        <f>IF($D206="","",IF(AND($J206="Received",$K206&lt;&gt;"Yes",LEFT($N206,2)="OK"),"Yes","No"))</f>
        <v/>
      </c>
      <c r="M206" s="16" t="n"/>
      <c r="N206" s="17">
        <f>IF($D206="","",IF(AND($F206&lt;&gt;"Classroom",$F206&lt;&gt;"PT"),"TYPE NOT CREDITED",IF($C206="","NO MAKEUP DATE",IF(NOT(ISNUMBER($C206)),"MAKEUP DATE NOT A DATE",IF(OR(AND($G206&lt;&gt;"",NOT(ISNUMBER($G206))),AND($H206&lt;&gt;"",NOT(ISNUMBER($H206)))),"CREDIT NOT A NUMBER",IF(OR(N($G206)&lt;0,N($H206)&lt;0),"NEGATIVE CREDIT",IF(AND($F206="Classroom",N($G206)&lt;=0),"NO MINUTES CREDITED",IF(AND($F206="PT",N($H206)&lt;=0),"NO SESSIONS CREDITED",IF($I206="","NO LINKED EVENT",IF(COUNTIF(nrAT_ID,$I206)=0,"NO SUCH EVENT",IF(INDEX(nrAT_PID,MATCH($I206,nrAT_ID,0))&lt;&gt;$E206,"WRONG CADET",IF(INDEX(nrAT_IsPT,MATCH($I206,nrAT_ID,0))&lt;&gt;IF($F206="PT","Yes","No"),"UNIT MISMATCH","OK"))))))))))))</f>
        <v/>
      </c>
    </row>
    <row r="207">
      <c r="B207" s="17">
        <f>IF($D207="","","M"&amp;TEXT(ROW()-5,"000"))</f>
        <v/>
      </c>
      <c r="C207" s="18" t="n"/>
      <c r="D207" s="16" t="n"/>
      <c r="E207" s="17">
        <f>IF($D207="","",IFERROR(INDEX(rngCadetPIDs,MATCH($D207,rngCadetNames,0)),"?"))</f>
        <v/>
      </c>
      <c r="F207" s="16" t="n"/>
      <c r="G207" s="16" t="n"/>
      <c r="H207" s="16" t="n"/>
      <c r="I207" s="16" t="n"/>
      <c r="J207" s="16" t="n"/>
      <c r="K207" s="16" t="n"/>
      <c r="L207" s="17">
        <f>IF($D207="","",IF(AND($J207="Received",$K207&lt;&gt;"Yes",LEFT($N207,2)="OK"),"Yes","No"))</f>
        <v/>
      </c>
      <c r="M207" s="16" t="n"/>
      <c r="N207" s="17">
        <f>IF($D207="","",IF(AND($F207&lt;&gt;"Classroom",$F207&lt;&gt;"PT"),"TYPE NOT CREDITED",IF($C207="","NO MAKEUP DATE",IF(NOT(ISNUMBER($C207)),"MAKEUP DATE NOT A DATE",IF(OR(AND($G207&lt;&gt;"",NOT(ISNUMBER($G207))),AND($H207&lt;&gt;"",NOT(ISNUMBER($H207)))),"CREDIT NOT A NUMBER",IF(OR(N($G207)&lt;0,N($H207)&lt;0),"NEGATIVE CREDIT",IF(AND($F207="Classroom",N($G207)&lt;=0),"NO MINUTES CREDITED",IF(AND($F207="PT",N($H207)&lt;=0),"NO SESSIONS CREDITED",IF($I207="","NO LINKED EVENT",IF(COUNTIF(nrAT_ID,$I207)=0,"NO SUCH EVENT",IF(INDEX(nrAT_PID,MATCH($I207,nrAT_ID,0))&lt;&gt;$E207,"WRONG CADET",IF(INDEX(nrAT_IsPT,MATCH($I207,nrAT_ID,0))&lt;&gt;IF($F207="PT","Yes","No"),"UNIT MISMATCH","OK"))))))))))))</f>
        <v/>
      </c>
    </row>
    <row r="208">
      <c r="B208" s="17">
        <f>IF($D208="","","M"&amp;TEXT(ROW()-5,"000"))</f>
        <v/>
      </c>
      <c r="C208" s="18" t="n"/>
      <c r="D208" s="16" t="n"/>
      <c r="E208" s="17">
        <f>IF($D208="","",IFERROR(INDEX(rngCadetPIDs,MATCH($D208,rngCadetNames,0)),"?"))</f>
        <v/>
      </c>
      <c r="F208" s="16" t="n"/>
      <c r="G208" s="16" t="n"/>
      <c r="H208" s="16" t="n"/>
      <c r="I208" s="16" t="n"/>
      <c r="J208" s="16" t="n"/>
      <c r="K208" s="16" t="n"/>
      <c r="L208" s="17">
        <f>IF($D208="","",IF(AND($J208="Received",$K208&lt;&gt;"Yes",LEFT($N208,2)="OK"),"Yes","No"))</f>
        <v/>
      </c>
      <c r="M208" s="16" t="n"/>
      <c r="N208" s="17">
        <f>IF($D208="","",IF(AND($F208&lt;&gt;"Classroom",$F208&lt;&gt;"PT"),"TYPE NOT CREDITED",IF($C208="","NO MAKEUP DATE",IF(NOT(ISNUMBER($C208)),"MAKEUP DATE NOT A DATE",IF(OR(AND($G208&lt;&gt;"",NOT(ISNUMBER($G208))),AND($H208&lt;&gt;"",NOT(ISNUMBER($H208)))),"CREDIT NOT A NUMBER",IF(OR(N($G208)&lt;0,N($H208)&lt;0),"NEGATIVE CREDIT",IF(AND($F208="Classroom",N($G208)&lt;=0),"NO MINUTES CREDITED",IF(AND($F208="PT",N($H208)&lt;=0),"NO SESSIONS CREDITED",IF($I208="","NO LINKED EVENT",IF(COUNTIF(nrAT_ID,$I208)=0,"NO SUCH EVENT",IF(INDEX(nrAT_PID,MATCH($I208,nrAT_ID,0))&lt;&gt;$E208,"WRONG CADET",IF(INDEX(nrAT_IsPT,MATCH($I208,nrAT_ID,0))&lt;&gt;IF($F208="PT","Yes","No"),"UNIT MISMATCH","OK"))))))))))))</f>
        <v/>
      </c>
    </row>
    <row r="209">
      <c r="B209" s="17">
        <f>IF($D209="","","M"&amp;TEXT(ROW()-5,"000"))</f>
        <v/>
      </c>
      <c r="C209" s="18" t="n"/>
      <c r="D209" s="16" t="n"/>
      <c r="E209" s="17">
        <f>IF($D209="","",IFERROR(INDEX(rngCadetPIDs,MATCH($D209,rngCadetNames,0)),"?"))</f>
        <v/>
      </c>
      <c r="F209" s="16" t="n"/>
      <c r="G209" s="16" t="n"/>
      <c r="H209" s="16" t="n"/>
      <c r="I209" s="16" t="n"/>
      <c r="J209" s="16" t="n"/>
      <c r="K209" s="16" t="n"/>
      <c r="L209" s="17">
        <f>IF($D209="","",IF(AND($J209="Received",$K209&lt;&gt;"Yes",LEFT($N209,2)="OK"),"Yes","No"))</f>
        <v/>
      </c>
      <c r="M209" s="16" t="n"/>
      <c r="N209" s="17">
        <f>IF($D209="","",IF(AND($F209&lt;&gt;"Classroom",$F209&lt;&gt;"PT"),"TYPE NOT CREDITED",IF($C209="","NO MAKEUP DATE",IF(NOT(ISNUMBER($C209)),"MAKEUP DATE NOT A DATE",IF(OR(AND($G209&lt;&gt;"",NOT(ISNUMBER($G209))),AND($H209&lt;&gt;"",NOT(ISNUMBER($H209)))),"CREDIT NOT A NUMBER",IF(OR(N($G209)&lt;0,N($H209)&lt;0),"NEGATIVE CREDIT",IF(AND($F209="Classroom",N($G209)&lt;=0),"NO MINUTES CREDITED",IF(AND($F209="PT",N($H209)&lt;=0),"NO SESSIONS CREDITED",IF($I209="","NO LINKED EVENT",IF(COUNTIF(nrAT_ID,$I209)=0,"NO SUCH EVENT",IF(INDEX(nrAT_PID,MATCH($I209,nrAT_ID,0))&lt;&gt;$E209,"WRONG CADET",IF(INDEX(nrAT_IsPT,MATCH($I209,nrAT_ID,0))&lt;&gt;IF($F209="PT","Yes","No"),"UNIT MISMATCH","OK"))))))))))))</f>
        <v/>
      </c>
    </row>
    <row r="210">
      <c r="B210" s="17">
        <f>IF($D210="","","M"&amp;TEXT(ROW()-5,"000"))</f>
        <v/>
      </c>
      <c r="C210" s="18" t="n"/>
      <c r="D210" s="16" t="n"/>
      <c r="E210" s="17">
        <f>IF($D210="","",IFERROR(INDEX(rngCadetPIDs,MATCH($D210,rngCadetNames,0)),"?"))</f>
        <v/>
      </c>
      <c r="F210" s="16" t="n"/>
      <c r="G210" s="16" t="n"/>
      <c r="H210" s="16" t="n"/>
      <c r="I210" s="16" t="n"/>
      <c r="J210" s="16" t="n"/>
      <c r="K210" s="16" t="n"/>
      <c r="L210" s="17">
        <f>IF($D210="","",IF(AND($J210="Received",$K210&lt;&gt;"Yes",LEFT($N210,2)="OK"),"Yes","No"))</f>
        <v/>
      </c>
      <c r="M210" s="16" t="n"/>
      <c r="N210" s="17">
        <f>IF($D210="","",IF(AND($F210&lt;&gt;"Classroom",$F210&lt;&gt;"PT"),"TYPE NOT CREDITED",IF($C210="","NO MAKEUP DATE",IF(NOT(ISNUMBER($C210)),"MAKEUP DATE NOT A DATE",IF(OR(AND($G210&lt;&gt;"",NOT(ISNUMBER($G210))),AND($H210&lt;&gt;"",NOT(ISNUMBER($H210)))),"CREDIT NOT A NUMBER",IF(OR(N($G210)&lt;0,N($H210)&lt;0),"NEGATIVE CREDIT",IF(AND($F210="Classroom",N($G210)&lt;=0),"NO MINUTES CREDITED",IF(AND($F210="PT",N($H210)&lt;=0),"NO SESSIONS CREDITED",IF($I210="","NO LINKED EVENT",IF(COUNTIF(nrAT_ID,$I210)=0,"NO SUCH EVENT",IF(INDEX(nrAT_PID,MATCH($I210,nrAT_ID,0))&lt;&gt;$E210,"WRONG CADET",IF(INDEX(nrAT_IsPT,MATCH($I210,nrAT_ID,0))&lt;&gt;IF($F210="PT","Yes","No"),"UNIT MISMATCH","OK"))))))))))))</f>
        <v/>
      </c>
    </row>
    <row r="211">
      <c r="B211" s="17">
        <f>IF($D211="","","M"&amp;TEXT(ROW()-5,"000"))</f>
        <v/>
      </c>
      <c r="C211" s="18" t="n"/>
      <c r="D211" s="16" t="n"/>
      <c r="E211" s="17">
        <f>IF($D211="","",IFERROR(INDEX(rngCadetPIDs,MATCH($D211,rngCadetNames,0)),"?"))</f>
        <v/>
      </c>
      <c r="F211" s="16" t="n"/>
      <c r="G211" s="16" t="n"/>
      <c r="H211" s="16" t="n"/>
      <c r="I211" s="16" t="n"/>
      <c r="J211" s="16" t="n"/>
      <c r="K211" s="16" t="n"/>
      <c r="L211" s="17">
        <f>IF($D211="","",IF(AND($J211="Received",$K211&lt;&gt;"Yes",LEFT($N211,2)="OK"),"Yes","No"))</f>
        <v/>
      </c>
      <c r="M211" s="16" t="n"/>
      <c r="N211" s="17">
        <f>IF($D211="","",IF(AND($F211&lt;&gt;"Classroom",$F211&lt;&gt;"PT"),"TYPE NOT CREDITED",IF($C211="","NO MAKEUP DATE",IF(NOT(ISNUMBER($C211)),"MAKEUP DATE NOT A DATE",IF(OR(AND($G211&lt;&gt;"",NOT(ISNUMBER($G211))),AND($H211&lt;&gt;"",NOT(ISNUMBER($H211)))),"CREDIT NOT A NUMBER",IF(OR(N($G211)&lt;0,N($H211)&lt;0),"NEGATIVE CREDIT",IF(AND($F211="Classroom",N($G211)&lt;=0),"NO MINUTES CREDITED",IF(AND($F211="PT",N($H211)&lt;=0),"NO SESSIONS CREDITED",IF($I211="","NO LINKED EVENT",IF(COUNTIF(nrAT_ID,$I211)=0,"NO SUCH EVENT",IF(INDEX(nrAT_PID,MATCH($I211,nrAT_ID,0))&lt;&gt;$E211,"WRONG CADET",IF(INDEX(nrAT_IsPT,MATCH($I211,nrAT_ID,0))&lt;&gt;IF($F211="PT","Yes","No"),"UNIT MISMATCH","OK"))))))))))))</f>
        <v/>
      </c>
    </row>
    <row r="212">
      <c r="B212" s="17">
        <f>IF($D212="","","M"&amp;TEXT(ROW()-5,"000"))</f>
        <v/>
      </c>
      <c r="C212" s="18" t="n"/>
      <c r="D212" s="16" t="n"/>
      <c r="E212" s="17">
        <f>IF($D212="","",IFERROR(INDEX(rngCadetPIDs,MATCH($D212,rngCadetNames,0)),"?"))</f>
        <v/>
      </c>
      <c r="F212" s="16" t="n"/>
      <c r="G212" s="16" t="n"/>
      <c r="H212" s="16" t="n"/>
      <c r="I212" s="16" t="n"/>
      <c r="J212" s="16" t="n"/>
      <c r="K212" s="16" t="n"/>
      <c r="L212" s="17">
        <f>IF($D212="","",IF(AND($J212="Received",$K212&lt;&gt;"Yes",LEFT($N212,2)="OK"),"Yes","No"))</f>
        <v/>
      </c>
      <c r="M212" s="16" t="n"/>
      <c r="N212" s="17">
        <f>IF($D212="","",IF(AND($F212&lt;&gt;"Classroom",$F212&lt;&gt;"PT"),"TYPE NOT CREDITED",IF($C212="","NO MAKEUP DATE",IF(NOT(ISNUMBER($C212)),"MAKEUP DATE NOT A DATE",IF(OR(AND($G212&lt;&gt;"",NOT(ISNUMBER($G212))),AND($H212&lt;&gt;"",NOT(ISNUMBER($H212)))),"CREDIT NOT A NUMBER",IF(OR(N($G212)&lt;0,N($H212)&lt;0),"NEGATIVE CREDIT",IF(AND($F212="Classroom",N($G212)&lt;=0),"NO MINUTES CREDITED",IF(AND($F212="PT",N($H212)&lt;=0),"NO SESSIONS CREDITED",IF($I212="","NO LINKED EVENT",IF(COUNTIF(nrAT_ID,$I212)=0,"NO SUCH EVENT",IF(INDEX(nrAT_PID,MATCH($I212,nrAT_ID,0))&lt;&gt;$E212,"WRONG CADET",IF(INDEX(nrAT_IsPT,MATCH($I212,nrAT_ID,0))&lt;&gt;IF($F212="PT","Yes","No"),"UNIT MISMATCH","OK"))))))))))))</f>
        <v/>
      </c>
    </row>
    <row r="213">
      <c r="B213" s="17">
        <f>IF($D213="","","M"&amp;TEXT(ROW()-5,"000"))</f>
        <v/>
      </c>
      <c r="C213" s="18" t="n"/>
      <c r="D213" s="16" t="n"/>
      <c r="E213" s="17">
        <f>IF($D213="","",IFERROR(INDEX(rngCadetPIDs,MATCH($D213,rngCadetNames,0)),"?"))</f>
        <v/>
      </c>
      <c r="F213" s="16" t="n"/>
      <c r="G213" s="16" t="n"/>
      <c r="H213" s="16" t="n"/>
      <c r="I213" s="16" t="n"/>
      <c r="J213" s="16" t="n"/>
      <c r="K213" s="16" t="n"/>
      <c r="L213" s="17">
        <f>IF($D213="","",IF(AND($J213="Received",$K213&lt;&gt;"Yes",LEFT($N213,2)="OK"),"Yes","No"))</f>
        <v/>
      </c>
      <c r="M213" s="16" t="n"/>
      <c r="N213" s="17">
        <f>IF($D213="","",IF(AND($F213&lt;&gt;"Classroom",$F213&lt;&gt;"PT"),"TYPE NOT CREDITED",IF($C213="","NO MAKEUP DATE",IF(NOT(ISNUMBER($C213)),"MAKEUP DATE NOT A DATE",IF(OR(AND($G213&lt;&gt;"",NOT(ISNUMBER($G213))),AND($H213&lt;&gt;"",NOT(ISNUMBER($H213)))),"CREDIT NOT A NUMBER",IF(OR(N($G213)&lt;0,N($H213)&lt;0),"NEGATIVE CREDIT",IF(AND($F213="Classroom",N($G213)&lt;=0),"NO MINUTES CREDITED",IF(AND($F213="PT",N($H213)&lt;=0),"NO SESSIONS CREDITED",IF($I213="","NO LINKED EVENT",IF(COUNTIF(nrAT_ID,$I213)=0,"NO SUCH EVENT",IF(INDEX(nrAT_PID,MATCH($I213,nrAT_ID,0))&lt;&gt;$E213,"WRONG CADET",IF(INDEX(nrAT_IsPT,MATCH($I213,nrAT_ID,0))&lt;&gt;IF($F213="PT","Yes","No"),"UNIT MISMATCH","OK"))))))))))))</f>
        <v/>
      </c>
    </row>
    <row r="214">
      <c r="B214" s="17">
        <f>IF($D214="","","M"&amp;TEXT(ROW()-5,"000"))</f>
        <v/>
      </c>
      <c r="C214" s="18" t="n"/>
      <c r="D214" s="16" t="n"/>
      <c r="E214" s="17">
        <f>IF($D214="","",IFERROR(INDEX(rngCadetPIDs,MATCH($D214,rngCadetNames,0)),"?"))</f>
        <v/>
      </c>
      <c r="F214" s="16" t="n"/>
      <c r="G214" s="16" t="n"/>
      <c r="H214" s="16" t="n"/>
      <c r="I214" s="16" t="n"/>
      <c r="J214" s="16" t="n"/>
      <c r="K214" s="16" t="n"/>
      <c r="L214" s="17">
        <f>IF($D214="","",IF(AND($J214="Received",$K214&lt;&gt;"Yes",LEFT($N214,2)="OK"),"Yes","No"))</f>
        <v/>
      </c>
      <c r="M214" s="16" t="n"/>
      <c r="N214" s="17">
        <f>IF($D214="","",IF(AND($F214&lt;&gt;"Classroom",$F214&lt;&gt;"PT"),"TYPE NOT CREDITED",IF($C214="","NO MAKEUP DATE",IF(NOT(ISNUMBER($C214)),"MAKEUP DATE NOT A DATE",IF(OR(AND($G214&lt;&gt;"",NOT(ISNUMBER($G214))),AND($H214&lt;&gt;"",NOT(ISNUMBER($H214)))),"CREDIT NOT A NUMBER",IF(OR(N($G214)&lt;0,N($H214)&lt;0),"NEGATIVE CREDIT",IF(AND($F214="Classroom",N($G214)&lt;=0),"NO MINUTES CREDITED",IF(AND($F214="PT",N($H214)&lt;=0),"NO SESSIONS CREDITED",IF($I214="","NO LINKED EVENT",IF(COUNTIF(nrAT_ID,$I214)=0,"NO SUCH EVENT",IF(INDEX(nrAT_PID,MATCH($I214,nrAT_ID,0))&lt;&gt;$E214,"WRONG CADET",IF(INDEX(nrAT_IsPT,MATCH($I214,nrAT_ID,0))&lt;&gt;IF($F214="PT","Yes","No"),"UNIT MISMATCH","OK"))))))))))))</f>
        <v/>
      </c>
    </row>
    <row r="215">
      <c r="B215" s="17">
        <f>IF($D215="","","M"&amp;TEXT(ROW()-5,"000"))</f>
        <v/>
      </c>
      <c r="C215" s="18" t="n"/>
      <c r="D215" s="16" t="n"/>
      <c r="E215" s="17">
        <f>IF($D215="","",IFERROR(INDEX(rngCadetPIDs,MATCH($D215,rngCadetNames,0)),"?"))</f>
        <v/>
      </c>
      <c r="F215" s="16" t="n"/>
      <c r="G215" s="16" t="n"/>
      <c r="H215" s="16" t="n"/>
      <c r="I215" s="16" t="n"/>
      <c r="J215" s="16" t="n"/>
      <c r="K215" s="16" t="n"/>
      <c r="L215" s="17">
        <f>IF($D215="","",IF(AND($J215="Received",$K215&lt;&gt;"Yes",LEFT($N215,2)="OK"),"Yes","No"))</f>
        <v/>
      </c>
      <c r="M215" s="16" t="n"/>
      <c r="N215" s="17">
        <f>IF($D215="","",IF(AND($F215&lt;&gt;"Classroom",$F215&lt;&gt;"PT"),"TYPE NOT CREDITED",IF($C215="","NO MAKEUP DATE",IF(NOT(ISNUMBER($C215)),"MAKEUP DATE NOT A DATE",IF(OR(AND($G215&lt;&gt;"",NOT(ISNUMBER($G215))),AND($H215&lt;&gt;"",NOT(ISNUMBER($H215)))),"CREDIT NOT A NUMBER",IF(OR(N($G215)&lt;0,N($H215)&lt;0),"NEGATIVE CREDIT",IF(AND($F215="Classroom",N($G215)&lt;=0),"NO MINUTES CREDITED",IF(AND($F215="PT",N($H215)&lt;=0),"NO SESSIONS CREDITED",IF($I215="","NO LINKED EVENT",IF(COUNTIF(nrAT_ID,$I215)=0,"NO SUCH EVENT",IF(INDEX(nrAT_PID,MATCH($I215,nrAT_ID,0))&lt;&gt;$E215,"WRONG CADET",IF(INDEX(nrAT_IsPT,MATCH($I215,nrAT_ID,0))&lt;&gt;IF($F215="PT","Yes","No"),"UNIT MISMATCH","OK"))))))))))))</f>
        <v/>
      </c>
    </row>
    <row r="216">
      <c r="B216" s="17">
        <f>IF($D216="","","M"&amp;TEXT(ROW()-5,"000"))</f>
        <v/>
      </c>
      <c r="C216" s="18" t="n"/>
      <c r="D216" s="16" t="n"/>
      <c r="E216" s="17">
        <f>IF($D216="","",IFERROR(INDEX(rngCadetPIDs,MATCH($D216,rngCadetNames,0)),"?"))</f>
        <v/>
      </c>
      <c r="F216" s="16" t="n"/>
      <c r="G216" s="16" t="n"/>
      <c r="H216" s="16" t="n"/>
      <c r="I216" s="16" t="n"/>
      <c r="J216" s="16" t="n"/>
      <c r="K216" s="16" t="n"/>
      <c r="L216" s="17">
        <f>IF($D216="","",IF(AND($J216="Received",$K216&lt;&gt;"Yes",LEFT($N216,2)="OK"),"Yes","No"))</f>
        <v/>
      </c>
      <c r="M216" s="16" t="n"/>
      <c r="N216" s="17">
        <f>IF($D216="","",IF(AND($F216&lt;&gt;"Classroom",$F216&lt;&gt;"PT"),"TYPE NOT CREDITED",IF($C216="","NO MAKEUP DATE",IF(NOT(ISNUMBER($C216)),"MAKEUP DATE NOT A DATE",IF(OR(AND($G216&lt;&gt;"",NOT(ISNUMBER($G216))),AND($H216&lt;&gt;"",NOT(ISNUMBER($H216)))),"CREDIT NOT A NUMBER",IF(OR(N($G216)&lt;0,N($H216)&lt;0),"NEGATIVE CREDIT",IF(AND($F216="Classroom",N($G216)&lt;=0),"NO MINUTES CREDITED",IF(AND($F216="PT",N($H216)&lt;=0),"NO SESSIONS CREDITED",IF($I216="","NO LINKED EVENT",IF(COUNTIF(nrAT_ID,$I216)=0,"NO SUCH EVENT",IF(INDEX(nrAT_PID,MATCH($I216,nrAT_ID,0))&lt;&gt;$E216,"WRONG CADET",IF(INDEX(nrAT_IsPT,MATCH($I216,nrAT_ID,0))&lt;&gt;IF($F216="PT","Yes","No"),"UNIT MISMATCH","OK"))))))))))))</f>
        <v/>
      </c>
    </row>
    <row r="217">
      <c r="B217" s="17">
        <f>IF($D217="","","M"&amp;TEXT(ROW()-5,"000"))</f>
        <v/>
      </c>
      <c r="C217" s="18" t="n"/>
      <c r="D217" s="16" t="n"/>
      <c r="E217" s="17">
        <f>IF($D217="","",IFERROR(INDEX(rngCadetPIDs,MATCH($D217,rngCadetNames,0)),"?"))</f>
        <v/>
      </c>
      <c r="F217" s="16" t="n"/>
      <c r="G217" s="16" t="n"/>
      <c r="H217" s="16" t="n"/>
      <c r="I217" s="16" t="n"/>
      <c r="J217" s="16" t="n"/>
      <c r="K217" s="16" t="n"/>
      <c r="L217" s="17">
        <f>IF($D217="","",IF(AND($J217="Received",$K217&lt;&gt;"Yes",LEFT($N217,2)="OK"),"Yes","No"))</f>
        <v/>
      </c>
      <c r="M217" s="16" t="n"/>
      <c r="N217" s="17">
        <f>IF($D217="","",IF(AND($F217&lt;&gt;"Classroom",$F217&lt;&gt;"PT"),"TYPE NOT CREDITED",IF($C217="","NO MAKEUP DATE",IF(NOT(ISNUMBER($C217)),"MAKEUP DATE NOT A DATE",IF(OR(AND($G217&lt;&gt;"",NOT(ISNUMBER($G217))),AND($H217&lt;&gt;"",NOT(ISNUMBER($H217)))),"CREDIT NOT A NUMBER",IF(OR(N($G217)&lt;0,N($H217)&lt;0),"NEGATIVE CREDIT",IF(AND($F217="Classroom",N($G217)&lt;=0),"NO MINUTES CREDITED",IF(AND($F217="PT",N($H217)&lt;=0),"NO SESSIONS CREDITED",IF($I217="","NO LINKED EVENT",IF(COUNTIF(nrAT_ID,$I217)=0,"NO SUCH EVENT",IF(INDEX(nrAT_PID,MATCH($I217,nrAT_ID,0))&lt;&gt;$E217,"WRONG CADET",IF(INDEX(nrAT_IsPT,MATCH($I217,nrAT_ID,0))&lt;&gt;IF($F217="PT","Yes","No"),"UNIT MISMATCH","OK"))))))))))))</f>
        <v/>
      </c>
    </row>
    <row r="218">
      <c r="B218" s="17">
        <f>IF($D218="","","M"&amp;TEXT(ROW()-5,"000"))</f>
        <v/>
      </c>
      <c r="C218" s="18" t="n"/>
      <c r="D218" s="16" t="n"/>
      <c r="E218" s="17">
        <f>IF($D218="","",IFERROR(INDEX(rngCadetPIDs,MATCH($D218,rngCadetNames,0)),"?"))</f>
        <v/>
      </c>
      <c r="F218" s="16" t="n"/>
      <c r="G218" s="16" t="n"/>
      <c r="H218" s="16" t="n"/>
      <c r="I218" s="16" t="n"/>
      <c r="J218" s="16" t="n"/>
      <c r="K218" s="16" t="n"/>
      <c r="L218" s="17">
        <f>IF($D218="","",IF(AND($J218="Received",$K218&lt;&gt;"Yes",LEFT($N218,2)="OK"),"Yes","No"))</f>
        <v/>
      </c>
      <c r="M218" s="16" t="n"/>
      <c r="N218" s="17">
        <f>IF($D218="","",IF(AND($F218&lt;&gt;"Classroom",$F218&lt;&gt;"PT"),"TYPE NOT CREDITED",IF($C218="","NO MAKEUP DATE",IF(NOT(ISNUMBER($C218)),"MAKEUP DATE NOT A DATE",IF(OR(AND($G218&lt;&gt;"",NOT(ISNUMBER($G218))),AND($H218&lt;&gt;"",NOT(ISNUMBER($H218)))),"CREDIT NOT A NUMBER",IF(OR(N($G218)&lt;0,N($H218)&lt;0),"NEGATIVE CREDIT",IF(AND($F218="Classroom",N($G218)&lt;=0),"NO MINUTES CREDITED",IF(AND($F218="PT",N($H218)&lt;=0),"NO SESSIONS CREDITED",IF($I218="","NO LINKED EVENT",IF(COUNTIF(nrAT_ID,$I218)=0,"NO SUCH EVENT",IF(INDEX(nrAT_PID,MATCH($I218,nrAT_ID,0))&lt;&gt;$E218,"WRONG CADET",IF(INDEX(nrAT_IsPT,MATCH($I218,nrAT_ID,0))&lt;&gt;IF($F218="PT","Yes","No"),"UNIT MISMATCH","OK"))))))))))))</f>
        <v/>
      </c>
    </row>
    <row r="219">
      <c r="B219" s="17">
        <f>IF($D219="","","M"&amp;TEXT(ROW()-5,"000"))</f>
        <v/>
      </c>
      <c r="C219" s="18" t="n"/>
      <c r="D219" s="16" t="n"/>
      <c r="E219" s="17">
        <f>IF($D219="","",IFERROR(INDEX(rngCadetPIDs,MATCH($D219,rngCadetNames,0)),"?"))</f>
        <v/>
      </c>
      <c r="F219" s="16" t="n"/>
      <c r="G219" s="16" t="n"/>
      <c r="H219" s="16" t="n"/>
      <c r="I219" s="16" t="n"/>
      <c r="J219" s="16" t="n"/>
      <c r="K219" s="16" t="n"/>
      <c r="L219" s="17">
        <f>IF($D219="","",IF(AND($J219="Received",$K219&lt;&gt;"Yes",LEFT($N219,2)="OK"),"Yes","No"))</f>
        <v/>
      </c>
      <c r="M219" s="16" t="n"/>
      <c r="N219" s="17">
        <f>IF($D219="","",IF(AND($F219&lt;&gt;"Classroom",$F219&lt;&gt;"PT"),"TYPE NOT CREDITED",IF($C219="","NO MAKEUP DATE",IF(NOT(ISNUMBER($C219)),"MAKEUP DATE NOT A DATE",IF(OR(AND($G219&lt;&gt;"",NOT(ISNUMBER($G219))),AND($H219&lt;&gt;"",NOT(ISNUMBER($H219)))),"CREDIT NOT A NUMBER",IF(OR(N($G219)&lt;0,N($H219)&lt;0),"NEGATIVE CREDIT",IF(AND($F219="Classroom",N($G219)&lt;=0),"NO MINUTES CREDITED",IF(AND($F219="PT",N($H219)&lt;=0),"NO SESSIONS CREDITED",IF($I219="","NO LINKED EVENT",IF(COUNTIF(nrAT_ID,$I219)=0,"NO SUCH EVENT",IF(INDEX(nrAT_PID,MATCH($I219,nrAT_ID,0))&lt;&gt;$E219,"WRONG CADET",IF(INDEX(nrAT_IsPT,MATCH($I219,nrAT_ID,0))&lt;&gt;IF($F219="PT","Yes","No"),"UNIT MISMATCH","OK"))))))))))))</f>
        <v/>
      </c>
    </row>
    <row r="220">
      <c r="B220" s="17">
        <f>IF($D220="","","M"&amp;TEXT(ROW()-5,"000"))</f>
        <v/>
      </c>
      <c r="C220" s="18" t="n"/>
      <c r="D220" s="16" t="n"/>
      <c r="E220" s="17">
        <f>IF($D220="","",IFERROR(INDEX(rngCadetPIDs,MATCH($D220,rngCadetNames,0)),"?"))</f>
        <v/>
      </c>
      <c r="F220" s="16" t="n"/>
      <c r="G220" s="16" t="n"/>
      <c r="H220" s="16" t="n"/>
      <c r="I220" s="16" t="n"/>
      <c r="J220" s="16" t="n"/>
      <c r="K220" s="16" t="n"/>
      <c r="L220" s="17">
        <f>IF($D220="","",IF(AND($J220="Received",$K220&lt;&gt;"Yes",LEFT($N220,2)="OK"),"Yes","No"))</f>
        <v/>
      </c>
      <c r="M220" s="16" t="n"/>
      <c r="N220" s="17">
        <f>IF($D220="","",IF(AND($F220&lt;&gt;"Classroom",$F220&lt;&gt;"PT"),"TYPE NOT CREDITED",IF($C220="","NO MAKEUP DATE",IF(NOT(ISNUMBER($C220)),"MAKEUP DATE NOT A DATE",IF(OR(AND($G220&lt;&gt;"",NOT(ISNUMBER($G220))),AND($H220&lt;&gt;"",NOT(ISNUMBER($H220)))),"CREDIT NOT A NUMBER",IF(OR(N($G220)&lt;0,N($H220)&lt;0),"NEGATIVE CREDIT",IF(AND($F220="Classroom",N($G220)&lt;=0),"NO MINUTES CREDITED",IF(AND($F220="PT",N($H220)&lt;=0),"NO SESSIONS CREDITED",IF($I220="","NO LINKED EVENT",IF(COUNTIF(nrAT_ID,$I220)=0,"NO SUCH EVENT",IF(INDEX(nrAT_PID,MATCH($I220,nrAT_ID,0))&lt;&gt;$E220,"WRONG CADET",IF(INDEX(nrAT_IsPT,MATCH($I220,nrAT_ID,0))&lt;&gt;IF($F220="PT","Yes","No"),"UNIT MISMATCH","OK"))))))))))))</f>
        <v/>
      </c>
    </row>
    <row r="221">
      <c r="B221" s="17">
        <f>IF($D221="","","M"&amp;TEXT(ROW()-5,"000"))</f>
        <v/>
      </c>
      <c r="C221" s="18" t="n"/>
      <c r="D221" s="16" t="n"/>
      <c r="E221" s="17">
        <f>IF($D221="","",IFERROR(INDEX(rngCadetPIDs,MATCH($D221,rngCadetNames,0)),"?"))</f>
        <v/>
      </c>
      <c r="F221" s="16" t="n"/>
      <c r="G221" s="16" t="n"/>
      <c r="H221" s="16" t="n"/>
      <c r="I221" s="16" t="n"/>
      <c r="J221" s="16" t="n"/>
      <c r="K221" s="16" t="n"/>
      <c r="L221" s="17">
        <f>IF($D221="","",IF(AND($J221="Received",$K221&lt;&gt;"Yes",LEFT($N221,2)="OK"),"Yes","No"))</f>
        <v/>
      </c>
      <c r="M221" s="16" t="n"/>
      <c r="N221" s="17">
        <f>IF($D221="","",IF(AND($F221&lt;&gt;"Classroom",$F221&lt;&gt;"PT"),"TYPE NOT CREDITED",IF($C221="","NO MAKEUP DATE",IF(NOT(ISNUMBER($C221)),"MAKEUP DATE NOT A DATE",IF(OR(AND($G221&lt;&gt;"",NOT(ISNUMBER($G221))),AND($H221&lt;&gt;"",NOT(ISNUMBER($H221)))),"CREDIT NOT A NUMBER",IF(OR(N($G221)&lt;0,N($H221)&lt;0),"NEGATIVE CREDIT",IF(AND($F221="Classroom",N($G221)&lt;=0),"NO MINUTES CREDITED",IF(AND($F221="PT",N($H221)&lt;=0),"NO SESSIONS CREDITED",IF($I221="","NO LINKED EVENT",IF(COUNTIF(nrAT_ID,$I221)=0,"NO SUCH EVENT",IF(INDEX(nrAT_PID,MATCH($I221,nrAT_ID,0))&lt;&gt;$E221,"WRONG CADET",IF(INDEX(nrAT_IsPT,MATCH($I221,nrAT_ID,0))&lt;&gt;IF($F221="PT","Yes","No"),"UNIT MISMATCH","OK"))))))))))))</f>
        <v/>
      </c>
    </row>
    <row r="222">
      <c r="B222" s="17">
        <f>IF($D222="","","M"&amp;TEXT(ROW()-5,"000"))</f>
        <v/>
      </c>
      <c r="C222" s="18" t="n"/>
      <c r="D222" s="16" t="n"/>
      <c r="E222" s="17">
        <f>IF($D222="","",IFERROR(INDEX(rngCadetPIDs,MATCH($D222,rngCadetNames,0)),"?"))</f>
        <v/>
      </c>
      <c r="F222" s="16" t="n"/>
      <c r="G222" s="16" t="n"/>
      <c r="H222" s="16" t="n"/>
      <c r="I222" s="16" t="n"/>
      <c r="J222" s="16" t="n"/>
      <c r="K222" s="16" t="n"/>
      <c r="L222" s="17">
        <f>IF($D222="","",IF(AND($J222="Received",$K222&lt;&gt;"Yes",LEFT($N222,2)="OK"),"Yes","No"))</f>
        <v/>
      </c>
      <c r="M222" s="16" t="n"/>
      <c r="N222" s="17">
        <f>IF($D222="","",IF(AND($F222&lt;&gt;"Classroom",$F222&lt;&gt;"PT"),"TYPE NOT CREDITED",IF($C222="","NO MAKEUP DATE",IF(NOT(ISNUMBER($C222)),"MAKEUP DATE NOT A DATE",IF(OR(AND($G222&lt;&gt;"",NOT(ISNUMBER($G222))),AND($H222&lt;&gt;"",NOT(ISNUMBER($H222)))),"CREDIT NOT A NUMBER",IF(OR(N($G222)&lt;0,N($H222)&lt;0),"NEGATIVE CREDIT",IF(AND($F222="Classroom",N($G222)&lt;=0),"NO MINUTES CREDITED",IF(AND($F222="PT",N($H222)&lt;=0),"NO SESSIONS CREDITED",IF($I222="","NO LINKED EVENT",IF(COUNTIF(nrAT_ID,$I222)=0,"NO SUCH EVENT",IF(INDEX(nrAT_PID,MATCH($I222,nrAT_ID,0))&lt;&gt;$E222,"WRONG CADET",IF(INDEX(nrAT_IsPT,MATCH($I222,nrAT_ID,0))&lt;&gt;IF($F222="PT","Yes","No"),"UNIT MISMATCH","OK"))))))))))))</f>
        <v/>
      </c>
    </row>
    <row r="223">
      <c r="B223" s="17">
        <f>IF($D223="","","M"&amp;TEXT(ROW()-5,"000"))</f>
        <v/>
      </c>
      <c r="C223" s="18" t="n"/>
      <c r="D223" s="16" t="n"/>
      <c r="E223" s="17">
        <f>IF($D223="","",IFERROR(INDEX(rngCadetPIDs,MATCH($D223,rngCadetNames,0)),"?"))</f>
        <v/>
      </c>
      <c r="F223" s="16" t="n"/>
      <c r="G223" s="16" t="n"/>
      <c r="H223" s="16" t="n"/>
      <c r="I223" s="16" t="n"/>
      <c r="J223" s="16" t="n"/>
      <c r="K223" s="16" t="n"/>
      <c r="L223" s="17">
        <f>IF($D223="","",IF(AND($J223="Received",$K223&lt;&gt;"Yes",LEFT($N223,2)="OK"),"Yes","No"))</f>
        <v/>
      </c>
      <c r="M223" s="16" t="n"/>
      <c r="N223" s="17">
        <f>IF($D223="","",IF(AND($F223&lt;&gt;"Classroom",$F223&lt;&gt;"PT"),"TYPE NOT CREDITED",IF($C223="","NO MAKEUP DATE",IF(NOT(ISNUMBER($C223)),"MAKEUP DATE NOT A DATE",IF(OR(AND($G223&lt;&gt;"",NOT(ISNUMBER($G223))),AND($H223&lt;&gt;"",NOT(ISNUMBER($H223)))),"CREDIT NOT A NUMBER",IF(OR(N($G223)&lt;0,N($H223)&lt;0),"NEGATIVE CREDIT",IF(AND($F223="Classroom",N($G223)&lt;=0),"NO MINUTES CREDITED",IF(AND($F223="PT",N($H223)&lt;=0),"NO SESSIONS CREDITED",IF($I223="","NO LINKED EVENT",IF(COUNTIF(nrAT_ID,$I223)=0,"NO SUCH EVENT",IF(INDEX(nrAT_PID,MATCH($I223,nrAT_ID,0))&lt;&gt;$E223,"WRONG CADET",IF(INDEX(nrAT_IsPT,MATCH($I223,nrAT_ID,0))&lt;&gt;IF($F223="PT","Yes","No"),"UNIT MISMATCH","OK"))))))))))))</f>
        <v/>
      </c>
    </row>
    <row r="224">
      <c r="B224" s="17">
        <f>IF($D224="","","M"&amp;TEXT(ROW()-5,"000"))</f>
        <v/>
      </c>
      <c r="C224" s="18" t="n"/>
      <c r="D224" s="16" t="n"/>
      <c r="E224" s="17">
        <f>IF($D224="","",IFERROR(INDEX(rngCadetPIDs,MATCH($D224,rngCadetNames,0)),"?"))</f>
        <v/>
      </c>
      <c r="F224" s="16" t="n"/>
      <c r="G224" s="16" t="n"/>
      <c r="H224" s="16" t="n"/>
      <c r="I224" s="16" t="n"/>
      <c r="J224" s="16" t="n"/>
      <c r="K224" s="16" t="n"/>
      <c r="L224" s="17">
        <f>IF($D224="","",IF(AND($J224="Received",$K224&lt;&gt;"Yes",LEFT($N224,2)="OK"),"Yes","No"))</f>
        <v/>
      </c>
      <c r="M224" s="16" t="n"/>
      <c r="N224" s="17">
        <f>IF($D224="","",IF(AND($F224&lt;&gt;"Classroom",$F224&lt;&gt;"PT"),"TYPE NOT CREDITED",IF($C224="","NO MAKEUP DATE",IF(NOT(ISNUMBER($C224)),"MAKEUP DATE NOT A DATE",IF(OR(AND($G224&lt;&gt;"",NOT(ISNUMBER($G224))),AND($H224&lt;&gt;"",NOT(ISNUMBER($H224)))),"CREDIT NOT A NUMBER",IF(OR(N($G224)&lt;0,N($H224)&lt;0),"NEGATIVE CREDIT",IF(AND($F224="Classroom",N($G224)&lt;=0),"NO MINUTES CREDITED",IF(AND($F224="PT",N($H224)&lt;=0),"NO SESSIONS CREDITED",IF($I224="","NO LINKED EVENT",IF(COUNTIF(nrAT_ID,$I224)=0,"NO SUCH EVENT",IF(INDEX(nrAT_PID,MATCH($I224,nrAT_ID,0))&lt;&gt;$E224,"WRONG CADET",IF(INDEX(nrAT_IsPT,MATCH($I224,nrAT_ID,0))&lt;&gt;IF($F224="PT","Yes","No"),"UNIT MISMATCH","OK"))))))))))))</f>
        <v/>
      </c>
    </row>
    <row r="225">
      <c r="B225" s="17">
        <f>IF($D225="","","M"&amp;TEXT(ROW()-5,"000"))</f>
        <v/>
      </c>
      <c r="C225" s="18" t="n"/>
      <c r="D225" s="16" t="n"/>
      <c r="E225" s="17">
        <f>IF($D225="","",IFERROR(INDEX(rngCadetPIDs,MATCH($D225,rngCadetNames,0)),"?"))</f>
        <v/>
      </c>
      <c r="F225" s="16" t="n"/>
      <c r="G225" s="16" t="n"/>
      <c r="H225" s="16" t="n"/>
      <c r="I225" s="16" t="n"/>
      <c r="J225" s="16" t="n"/>
      <c r="K225" s="16" t="n"/>
      <c r="L225" s="17">
        <f>IF($D225="","",IF(AND($J225="Received",$K225&lt;&gt;"Yes",LEFT($N225,2)="OK"),"Yes","No"))</f>
        <v/>
      </c>
      <c r="M225" s="16" t="n"/>
      <c r="N225" s="17">
        <f>IF($D225="","",IF(AND($F225&lt;&gt;"Classroom",$F225&lt;&gt;"PT"),"TYPE NOT CREDITED",IF($C225="","NO MAKEUP DATE",IF(NOT(ISNUMBER($C225)),"MAKEUP DATE NOT A DATE",IF(OR(AND($G225&lt;&gt;"",NOT(ISNUMBER($G225))),AND($H225&lt;&gt;"",NOT(ISNUMBER($H225)))),"CREDIT NOT A NUMBER",IF(OR(N($G225)&lt;0,N($H225)&lt;0),"NEGATIVE CREDIT",IF(AND($F225="Classroom",N($G225)&lt;=0),"NO MINUTES CREDITED",IF(AND($F225="PT",N($H225)&lt;=0),"NO SESSIONS CREDITED",IF($I225="","NO LINKED EVENT",IF(COUNTIF(nrAT_ID,$I225)=0,"NO SUCH EVENT",IF(INDEX(nrAT_PID,MATCH($I225,nrAT_ID,0))&lt;&gt;$E225,"WRONG CADET",IF(INDEX(nrAT_IsPT,MATCH($I225,nrAT_ID,0))&lt;&gt;IF($F225="PT","Yes","No"),"UNIT MISMATCH","OK"))))))))))))</f>
        <v/>
      </c>
    </row>
    <row r="226">
      <c r="B226" s="17">
        <f>IF($D226="","","M"&amp;TEXT(ROW()-5,"000"))</f>
        <v/>
      </c>
      <c r="C226" s="18" t="n"/>
      <c r="D226" s="16" t="n"/>
      <c r="E226" s="17">
        <f>IF($D226="","",IFERROR(INDEX(rngCadetPIDs,MATCH($D226,rngCadetNames,0)),"?"))</f>
        <v/>
      </c>
      <c r="F226" s="16" t="n"/>
      <c r="G226" s="16" t="n"/>
      <c r="H226" s="16" t="n"/>
      <c r="I226" s="16" t="n"/>
      <c r="J226" s="16" t="n"/>
      <c r="K226" s="16" t="n"/>
      <c r="L226" s="17">
        <f>IF($D226="","",IF(AND($J226="Received",$K226&lt;&gt;"Yes",LEFT($N226,2)="OK"),"Yes","No"))</f>
        <v/>
      </c>
      <c r="M226" s="16" t="n"/>
      <c r="N226" s="17">
        <f>IF($D226="","",IF(AND($F226&lt;&gt;"Classroom",$F226&lt;&gt;"PT"),"TYPE NOT CREDITED",IF($C226="","NO MAKEUP DATE",IF(NOT(ISNUMBER($C226)),"MAKEUP DATE NOT A DATE",IF(OR(AND($G226&lt;&gt;"",NOT(ISNUMBER($G226))),AND($H226&lt;&gt;"",NOT(ISNUMBER($H226)))),"CREDIT NOT A NUMBER",IF(OR(N($G226)&lt;0,N($H226)&lt;0),"NEGATIVE CREDIT",IF(AND($F226="Classroom",N($G226)&lt;=0),"NO MINUTES CREDITED",IF(AND($F226="PT",N($H226)&lt;=0),"NO SESSIONS CREDITED",IF($I226="","NO LINKED EVENT",IF(COUNTIF(nrAT_ID,$I226)=0,"NO SUCH EVENT",IF(INDEX(nrAT_PID,MATCH($I226,nrAT_ID,0))&lt;&gt;$E226,"WRONG CADET",IF(INDEX(nrAT_IsPT,MATCH($I226,nrAT_ID,0))&lt;&gt;IF($F226="PT","Yes","No"),"UNIT MISMATCH","OK"))))))))))))</f>
        <v/>
      </c>
    </row>
    <row r="227">
      <c r="B227" s="17">
        <f>IF($D227="","","M"&amp;TEXT(ROW()-5,"000"))</f>
        <v/>
      </c>
      <c r="C227" s="18" t="n"/>
      <c r="D227" s="16" t="n"/>
      <c r="E227" s="17">
        <f>IF($D227="","",IFERROR(INDEX(rngCadetPIDs,MATCH($D227,rngCadetNames,0)),"?"))</f>
        <v/>
      </c>
      <c r="F227" s="16" t="n"/>
      <c r="G227" s="16" t="n"/>
      <c r="H227" s="16" t="n"/>
      <c r="I227" s="16" t="n"/>
      <c r="J227" s="16" t="n"/>
      <c r="K227" s="16" t="n"/>
      <c r="L227" s="17">
        <f>IF($D227="","",IF(AND($J227="Received",$K227&lt;&gt;"Yes",LEFT($N227,2)="OK"),"Yes","No"))</f>
        <v/>
      </c>
      <c r="M227" s="16" t="n"/>
      <c r="N227" s="17">
        <f>IF($D227="","",IF(AND($F227&lt;&gt;"Classroom",$F227&lt;&gt;"PT"),"TYPE NOT CREDITED",IF($C227="","NO MAKEUP DATE",IF(NOT(ISNUMBER($C227)),"MAKEUP DATE NOT A DATE",IF(OR(AND($G227&lt;&gt;"",NOT(ISNUMBER($G227))),AND($H227&lt;&gt;"",NOT(ISNUMBER($H227)))),"CREDIT NOT A NUMBER",IF(OR(N($G227)&lt;0,N($H227)&lt;0),"NEGATIVE CREDIT",IF(AND($F227="Classroom",N($G227)&lt;=0),"NO MINUTES CREDITED",IF(AND($F227="PT",N($H227)&lt;=0),"NO SESSIONS CREDITED",IF($I227="","NO LINKED EVENT",IF(COUNTIF(nrAT_ID,$I227)=0,"NO SUCH EVENT",IF(INDEX(nrAT_PID,MATCH($I227,nrAT_ID,0))&lt;&gt;$E227,"WRONG CADET",IF(INDEX(nrAT_IsPT,MATCH($I227,nrAT_ID,0))&lt;&gt;IF($F227="PT","Yes","No"),"UNIT MISMATCH","OK"))))))))))))</f>
        <v/>
      </c>
    </row>
    <row r="228">
      <c r="B228" s="17">
        <f>IF($D228="","","M"&amp;TEXT(ROW()-5,"000"))</f>
        <v/>
      </c>
      <c r="C228" s="18" t="n"/>
      <c r="D228" s="16" t="n"/>
      <c r="E228" s="17">
        <f>IF($D228="","",IFERROR(INDEX(rngCadetPIDs,MATCH($D228,rngCadetNames,0)),"?"))</f>
        <v/>
      </c>
      <c r="F228" s="16" t="n"/>
      <c r="G228" s="16" t="n"/>
      <c r="H228" s="16" t="n"/>
      <c r="I228" s="16" t="n"/>
      <c r="J228" s="16" t="n"/>
      <c r="K228" s="16" t="n"/>
      <c r="L228" s="17">
        <f>IF($D228="","",IF(AND($J228="Received",$K228&lt;&gt;"Yes",LEFT($N228,2)="OK"),"Yes","No"))</f>
        <v/>
      </c>
      <c r="M228" s="16" t="n"/>
      <c r="N228" s="17">
        <f>IF($D228="","",IF(AND($F228&lt;&gt;"Classroom",$F228&lt;&gt;"PT"),"TYPE NOT CREDITED",IF($C228="","NO MAKEUP DATE",IF(NOT(ISNUMBER($C228)),"MAKEUP DATE NOT A DATE",IF(OR(AND($G228&lt;&gt;"",NOT(ISNUMBER($G228))),AND($H228&lt;&gt;"",NOT(ISNUMBER($H228)))),"CREDIT NOT A NUMBER",IF(OR(N($G228)&lt;0,N($H228)&lt;0),"NEGATIVE CREDIT",IF(AND($F228="Classroom",N($G228)&lt;=0),"NO MINUTES CREDITED",IF(AND($F228="PT",N($H228)&lt;=0),"NO SESSIONS CREDITED",IF($I228="","NO LINKED EVENT",IF(COUNTIF(nrAT_ID,$I228)=0,"NO SUCH EVENT",IF(INDEX(nrAT_PID,MATCH($I228,nrAT_ID,0))&lt;&gt;$E228,"WRONG CADET",IF(INDEX(nrAT_IsPT,MATCH($I228,nrAT_ID,0))&lt;&gt;IF($F228="PT","Yes","No"),"UNIT MISMATCH","OK"))))))))))))</f>
        <v/>
      </c>
    </row>
    <row r="229">
      <c r="B229" s="17">
        <f>IF($D229="","","M"&amp;TEXT(ROW()-5,"000"))</f>
        <v/>
      </c>
      <c r="C229" s="18" t="n"/>
      <c r="D229" s="16" t="n"/>
      <c r="E229" s="17">
        <f>IF($D229="","",IFERROR(INDEX(rngCadetPIDs,MATCH($D229,rngCadetNames,0)),"?"))</f>
        <v/>
      </c>
      <c r="F229" s="16" t="n"/>
      <c r="G229" s="16" t="n"/>
      <c r="H229" s="16" t="n"/>
      <c r="I229" s="16" t="n"/>
      <c r="J229" s="16" t="n"/>
      <c r="K229" s="16" t="n"/>
      <c r="L229" s="17">
        <f>IF($D229="","",IF(AND($J229="Received",$K229&lt;&gt;"Yes",LEFT($N229,2)="OK"),"Yes","No"))</f>
        <v/>
      </c>
      <c r="M229" s="16" t="n"/>
      <c r="N229" s="17">
        <f>IF($D229="","",IF(AND($F229&lt;&gt;"Classroom",$F229&lt;&gt;"PT"),"TYPE NOT CREDITED",IF($C229="","NO MAKEUP DATE",IF(NOT(ISNUMBER($C229)),"MAKEUP DATE NOT A DATE",IF(OR(AND($G229&lt;&gt;"",NOT(ISNUMBER($G229))),AND($H229&lt;&gt;"",NOT(ISNUMBER($H229)))),"CREDIT NOT A NUMBER",IF(OR(N($G229)&lt;0,N($H229)&lt;0),"NEGATIVE CREDIT",IF(AND($F229="Classroom",N($G229)&lt;=0),"NO MINUTES CREDITED",IF(AND($F229="PT",N($H229)&lt;=0),"NO SESSIONS CREDITED",IF($I229="","NO LINKED EVENT",IF(COUNTIF(nrAT_ID,$I229)=0,"NO SUCH EVENT",IF(INDEX(nrAT_PID,MATCH($I229,nrAT_ID,0))&lt;&gt;$E229,"WRONG CADET",IF(INDEX(nrAT_IsPT,MATCH($I229,nrAT_ID,0))&lt;&gt;IF($F229="PT","Yes","No"),"UNIT MISMATCH","OK"))))))))))))</f>
        <v/>
      </c>
    </row>
    <row r="230">
      <c r="B230" s="17">
        <f>IF($D230="","","M"&amp;TEXT(ROW()-5,"000"))</f>
        <v/>
      </c>
      <c r="C230" s="18" t="n"/>
      <c r="D230" s="16" t="n"/>
      <c r="E230" s="17">
        <f>IF($D230="","",IFERROR(INDEX(rngCadetPIDs,MATCH($D230,rngCadetNames,0)),"?"))</f>
        <v/>
      </c>
      <c r="F230" s="16" t="n"/>
      <c r="G230" s="16" t="n"/>
      <c r="H230" s="16" t="n"/>
      <c r="I230" s="16" t="n"/>
      <c r="J230" s="16" t="n"/>
      <c r="K230" s="16" t="n"/>
      <c r="L230" s="17">
        <f>IF($D230="","",IF(AND($J230="Received",$K230&lt;&gt;"Yes",LEFT($N230,2)="OK"),"Yes","No"))</f>
        <v/>
      </c>
      <c r="M230" s="16" t="n"/>
      <c r="N230" s="17">
        <f>IF($D230="","",IF(AND($F230&lt;&gt;"Classroom",$F230&lt;&gt;"PT"),"TYPE NOT CREDITED",IF($C230="","NO MAKEUP DATE",IF(NOT(ISNUMBER($C230)),"MAKEUP DATE NOT A DATE",IF(OR(AND($G230&lt;&gt;"",NOT(ISNUMBER($G230))),AND($H230&lt;&gt;"",NOT(ISNUMBER($H230)))),"CREDIT NOT A NUMBER",IF(OR(N($G230)&lt;0,N($H230)&lt;0),"NEGATIVE CREDIT",IF(AND($F230="Classroom",N($G230)&lt;=0),"NO MINUTES CREDITED",IF(AND($F230="PT",N($H230)&lt;=0),"NO SESSIONS CREDITED",IF($I230="","NO LINKED EVENT",IF(COUNTIF(nrAT_ID,$I230)=0,"NO SUCH EVENT",IF(INDEX(nrAT_PID,MATCH($I230,nrAT_ID,0))&lt;&gt;$E230,"WRONG CADET",IF(INDEX(nrAT_IsPT,MATCH($I230,nrAT_ID,0))&lt;&gt;IF($F230="PT","Yes","No"),"UNIT MISMATCH","OK"))))))))))))</f>
        <v/>
      </c>
    </row>
    <row r="231">
      <c r="B231" s="17">
        <f>IF($D231="","","M"&amp;TEXT(ROW()-5,"000"))</f>
        <v/>
      </c>
      <c r="C231" s="18" t="n"/>
      <c r="D231" s="16" t="n"/>
      <c r="E231" s="17">
        <f>IF($D231="","",IFERROR(INDEX(rngCadetPIDs,MATCH($D231,rngCadetNames,0)),"?"))</f>
        <v/>
      </c>
      <c r="F231" s="16" t="n"/>
      <c r="G231" s="16" t="n"/>
      <c r="H231" s="16" t="n"/>
      <c r="I231" s="16" t="n"/>
      <c r="J231" s="16" t="n"/>
      <c r="K231" s="16" t="n"/>
      <c r="L231" s="17">
        <f>IF($D231="","",IF(AND($J231="Received",$K231&lt;&gt;"Yes",LEFT($N231,2)="OK"),"Yes","No"))</f>
        <v/>
      </c>
      <c r="M231" s="16" t="n"/>
      <c r="N231" s="17">
        <f>IF($D231="","",IF(AND($F231&lt;&gt;"Classroom",$F231&lt;&gt;"PT"),"TYPE NOT CREDITED",IF($C231="","NO MAKEUP DATE",IF(NOT(ISNUMBER($C231)),"MAKEUP DATE NOT A DATE",IF(OR(AND($G231&lt;&gt;"",NOT(ISNUMBER($G231))),AND($H231&lt;&gt;"",NOT(ISNUMBER($H231)))),"CREDIT NOT A NUMBER",IF(OR(N($G231)&lt;0,N($H231)&lt;0),"NEGATIVE CREDIT",IF(AND($F231="Classroom",N($G231)&lt;=0),"NO MINUTES CREDITED",IF(AND($F231="PT",N($H231)&lt;=0),"NO SESSIONS CREDITED",IF($I231="","NO LINKED EVENT",IF(COUNTIF(nrAT_ID,$I231)=0,"NO SUCH EVENT",IF(INDEX(nrAT_PID,MATCH($I231,nrAT_ID,0))&lt;&gt;$E231,"WRONG CADET",IF(INDEX(nrAT_IsPT,MATCH($I231,nrAT_ID,0))&lt;&gt;IF($F231="PT","Yes","No"),"UNIT MISMATCH","OK"))))))))))))</f>
        <v/>
      </c>
    </row>
    <row r="232">
      <c r="B232" s="17">
        <f>IF($D232="","","M"&amp;TEXT(ROW()-5,"000"))</f>
        <v/>
      </c>
      <c r="C232" s="18" t="n"/>
      <c r="D232" s="16" t="n"/>
      <c r="E232" s="17">
        <f>IF($D232="","",IFERROR(INDEX(rngCadetPIDs,MATCH($D232,rngCadetNames,0)),"?"))</f>
        <v/>
      </c>
      <c r="F232" s="16" t="n"/>
      <c r="G232" s="16" t="n"/>
      <c r="H232" s="16" t="n"/>
      <c r="I232" s="16" t="n"/>
      <c r="J232" s="16" t="n"/>
      <c r="K232" s="16" t="n"/>
      <c r="L232" s="17">
        <f>IF($D232="","",IF(AND($J232="Received",$K232&lt;&gt;"Yes",LEFT($N232,2)="OK"),"Yes","No"))</f>
        <v/>
      </c>
      <c r="M232" s="16" t="n"/>
      <c r="N232" s="17">
        <f>IF($D232="","",IF(AND($F232&lt;&gt;"Classroom",$F232&lt;&gt;"PT"),"TYPE NOT CREDITED",IF($C232="","NO MAKEUP DATE",IF(NOT(ISNUMBER($C232)),"MAKEUP DATE NOT A DATE",IF(OR(AND($G232&lt;&gt;"",NOT(ISNUMBER($G232))),AND($H232&lt;&gt;"",NOT(ISNUMBER($H232)))),"CREDIT NOT A NUMBER",IF(OR(N($G232)&lt;0,N($H232)&lt;0),"NEGATIVE CREDIT",IF(AND($F232="Classroom",N($G232)&lt;=0),"NO MINUTES CREDITED",IF(AND($F232="PT",N($H232)&lt;=0),"NO SESSIONS CREDITED",IF($I232="","NO LINKED EVENT",IF(COUNTIF(nrAT_ID,$I232)=0,"NO SUCH EVENT",IF(INDEX(nrAT_PID,MATCH($I232,nrAT_ID,0))&lt;&gt;$E232,"WRONG CADET",IF(INDEX(nrAT_IsPT,MATCH($I232,nrAT_ID,0))&lt;&gt;IF($F232="PT","Yes","No"),"UNIT MISMATCH","OK"))))))))))))</f>
        <v/>
      </c>
    </row>
    <row r="233">
      <c r="B233" s="17">
        <f>IF($D233="","","M"&amp;TEXT(ROW()-5,"000"))</f>
        <v/>
      </c>
      <c r="C233" s="18" t="n"/>
      <c r="D233" s="16" t="n"/>
      <c r="E233" s="17">
        <f>IF($D233="","",IFERROR(INDEX(rngCadetPIDs,MATCH($D233,rngCadetNames,0)),"?"))</f>
        <v/>
      </c>
      <c r="F233" s="16" t="n"/>
      <c r="G233" s="16" t="n"/>
      <c r="H233" s="16" t="n"/>
      <c r="I233" s="16" t="n"/>
      <c r="J233" s="16" t="n"/>
      <c r="K233" s="16" t="n"/>
      <c r="L233" s="17">
        <f>IF($D233="","",IF(AND($J233="Received",$K233&lt;&gt;"Yes",LEFT($N233,2)="OK"),"Yes","No"))</f>
        <v/>
      </c>
      <c r="M233" s="16" t="n"/>
      <c r="N233" s="17">
        <f>IF($D233="","",IF(AND($F233&lt;&gt;"Classroom",$F233&lt;&gt;"PT"),"TYPE NOT CREDITED",IF($C233="","NO MAKEUP DATE",IF(NOT(ISNUMBER($C233)),"MAKEUP DATE NOT A DATE",IF(OR(AND($G233&lt;&gt;"",NOT(ISNUMBER($G233))),AND($H233&lt;&gt;"",NOT(ISNUMBER($H233)))),"CREDIT NOT A NUMBER",IF(OR(N($G233)&lt;0,N($H233)&lt;0),"NEGATIVE CREDIT",IF(AND($F233="Classroom",N($G233)&lt;=0),"NO MINUTES CREDITED",IF(AND($F233="PT",N($H233)&lt;=0),"NO SESSIONS CREDITED",IF($I233="","NO LINKED EVENT",IF(COUNTIF(nrAT_ID,$I233)=0,"NO SUCH EVENT",IF(INDEX(nrAT_PID,MATCH($I233,nrAT_ID,0))&lt;&gt;$E233,"WRONG CADET",IF(INDEX(nrAT_IsPT,MATCH($I233,nrAT_ID,0))&lt;&gt;IF($F233="PT","Yes","No"),"UNIT MISMATCH","OK"))))))))))))</f>
        <v/>
      </c>
    </row>
    <row r="234">
      <c r="B234" s="17">
        <f>IF($D234="","","M"&amp;TEXT(ROW()-5,"000"))</f>
        <v/>
      </c>
      <c r="C234" s="18" t="n"/>
      <c r="D234" s="16" t="n"/>
      <c r="E234" s="17">
        <f>IF($D234="","",IFERROR(INDEX(rngCadetPIDs,MATCH($D234,rngCadetNames,0)),"?"))</f>
        <v/>
      </c>
      <c r="F234" s="16" t="n"/>
      <c r="G234" s="16" t="n"/>
      <c r="H234" s="16" t="n"/>
      <c r="I234" s="16" t="n"/>
      <c r="J234" s="16" t="n"/>
      <c r="K234" s="16" t="n"/>
      <c r="L234" s="17">
        <f>IF($D234="","",IF(AND($J234="Received",$K234&lt;&gt;"Yes",LEFT($N234,2)="OK"),"Yes","No"))</f>
        <v/>
      </c>
      <c r="M234" s="16" t="n"/>
      <c r="N234" s="17">
        <f>IF($D234="","",IF(AND($F234&lt;&gt;"Classroom",$F234&lt;&gt;"PT"),"TYPE NOT CREDITED",IF($C234="","NO MAKEUP DATE",IF(NOT(ISNUMBER($C234)),"MAKEUP DATE NOT A DATE",IF(OR(AND($G234&lt;&gt;"",NOT(ISNUMBER($G234))),AND($H234&lt;&gt;"",NOT(ISNUMBER($H234)))),"CREDIT NOT A NUMBER",IF(OR(N($G234)&lt;0,N($H234)&lt;0),"NEGATIVE CREDIT",IF(AND($F234="Classroom",N($G234)&lt;=0),"NO MINUTES CREDITED",IF(AND($F234="PT",N($H234)&lt;=0),"NO SESSIONS CREDITED",IF($I234="","NO LINKED EVENT",IF(COUNTIF(nrAT_ID,$I234)=0,"NO SUCH EVENT",IF(INDEX(nrAT_PID,MATCH($I234,nrAT_ID,0))&lt;&gt;$E234,"WRONG CADET",IF(INDEX(nrAT_IsPT,MATCH($I234,nrAT_ID,0))&lt;&gt;IF($F234="PT","Yes","No"),"UNIT MISMATCH","OK"))))))))))))</f>
        <v/>
      </c>
    </row>
    <row r="235">
      <c r="B235" s="17">
        <f>IF($D235="","","M"&amp;TEXT(ROW()-5,"000"))</f>
        <v/>
      </c>
      <c r="C235" s="18" t="n"/>
      <c r="D235" s="16" t="n"/>
      <c r="E235" s="17">
        <f>IF($D235="","",IFERROR(INDEX(rngCadetPIDs,MATCH($D235,rngCadetNames,0)),"?"))</f>
        <v/>
      </c>
      <c r="F235" s="16" t="n"/>
      <c r="G235" s="16" t="n"/>
      <c r="H235" s="16" t="n"/>
      <c r="I235" s="16" t="n"/>
      <c r="J235" s="16" t="n"/>
      <c r="K235" s="16" t="n"/>
      <c r="L235" s="17">
        <f>IF($D235="","",IF(AND($J235="Received",$K235&lt;&gt;"Yes",LEFT($N235,2)="OK"),"Yes","No"))</f>
        <v/>
      </c>
      <c r="M235" s="16" t="n"/>
      <c r="N235" s="17">
        <f>IF($D235="","",IF(AND($F235&lt;&gt;"Classroom",$F235&lt;&gt;"PT"),"TYPE NOT CREDITED",IF($C235="","NO MAKEUP DATE",IF(NOT(ISNUMBER($C235)),"MAKEUP DATE NOT A DATE",IF(OR(AND($G235&lt;&gt;"",NOT(ISNUMBER($G235))),AND($H235&lt;&gt;"",NOT(ISNUMBER($H235)))),"CREDIT NOT A NUMBER",IF(OR(N($G235)&lt;0,N($H235)&lt;0),"NEGATIVE CREDIT",IF(AND($F235="Classroom",N($G235)&lt;=0),"NO MINUTES CREDITED",IF(AND($F235="PT",N($H235)&lt;=0),"NO SESSIONS CREDITED",IF($I235="","NO LINKED EVENT",IF(COUNTIF(nrAT_ID,$I235)=0,"NO SUCH EVENT",IF(INDEX(nrAT_PID,MATCH($I235,nrAT_ID,0))&lt;&gt;$E235,"WRONG CADET",IF(INDEX(nrAT_IsPT,MATCH($I235,nrAT_ID,0))&lt;&gt;IF($F235="PT","Yes","No"),"UNIT MISMATCH","OK"))))))))))))</f>
        <v/>
      </c>
    </row>
    <row r="236">
      <c r="B236" s="17">
        <f>IF($D236="","","M"&amp;TEXT(ROW()-5,"000"))</f>
        <v/>
      </c>
      <c r="C236" s="18" t="n"/>
      <c r="D236" s="16" t="n"/>
      <c r="E236" s="17">
        <f>IF($D236="","",IFERROR(INDEX(rngCadetPIDs,MATCH($D236,rngCadetNames,0)),"?"))</f>
        <v/>
      </c>
      <c r="F236" s="16" t="n"/>
      <c r="G236" s="16" t="n"/>
      <c r="H236" s="16" t="n"/>
      <c r="I236" s="16" t="n"/>
      <c r="J236" s="16" t="n"/>
      <c r="K236" s="16" t="n"/>
      <c r="L236" s="17">
        <f>IF($D236="","",IF(AND($J236="Received",$K236&lt;&gt;"Yes",LEFT($N236,2)="OK"),"Yes","No"))</f>
        <v/>
      </c>
      <c r="M236" s="16" t="n"/>
      <c r="N236" s="17">
        <f>IF($D236="","",IF(AND($F236&lt;&gt;"Classroom",$F236&lt;&gt;"PT"),"TYPE NOT CREDITED",IF($C236="","NO MAKEUP DATE",IF(NOT(ISNUMBER($C236)),"MAKEUP DATE NOT A DATE",IF(OR(AND($G236&lt;&gt;"",NOT(ISNUMBER($G236))),AND($H236&lt;&gt;"",NOT(ISNUMBER($H236)))),"CREDIT NOT A NUMBER",IF(OR(N($G236)&lt;0,N($H236)&lt;0),"NEGATIVE CREDIT",IF(AND($F236="Classroom",N($G236)&lt;=0),"NO MINUTES CREDITED",IF(AND($F236="PT",N($H236)&lt;=0),"NO SESSIONS CREDITED",IF($I236="","NO LINKED EVENT",IF(COUNTIF(nrAT_ID,$I236)=0,"NO SUCH EVENT",IF(INDEX(nrAT_PID,MATCH($I236,nrAT_ID,0))&lt;&gt;$E236,"WRONG CADET",IF(INDEX(nrAT_IsPT,MATCH($I236,nrAT_ID,0))&lt;&gt;IF($F236="PT","Yes","No"),"UNIT MISMATCH","OK"))))))))))))</f>
        <v/>
      </c>
    </row>
    <row r="237">
      <c r="B237" s="17">
        <f>IF($D237="","","M"&amp;TEXT(ROW()-5,"000"))</f>
        <v/>
      </c>
      <c r="C237" s="18" t="n"/>
      <c r="D237" s="16" t="n"/>
      <c r="E237" s="17">
        <f>IF($D237="","",IFERROR(INDEX(rngCadetPIDs,MATCH($D237,rngCadetNames,0)),"?"))</f>
        <v/>
      </c>
      <c r="F237" s="16" t="n"/>
      <c r="G237" s="16" t="n"/>
      <c r="H237" s="16" t="n"/>
      <c r="I237" s="16" t="n"/>
      <c r="J237" s="16" t="n"/>
      <c r="K237" s="16" t="n"/>
      <c r="L237" s="17">
        <f>IF($D237="","",IF(AND($J237="Received",$K237&lt;&gt;"Yes",LEFT($N237,2)="OK"),"Yes","No"))</f>
        <v/>
      </c>
      <c r="M237" s="16" t="n"/>
      <c r="N237" s="17">
        <f>IF($D237="","",IF(AND($F237&lt;&gt;"Classroom",$F237&lt;&gt;"PT"),"TYPE NOT CREDITED",IF($C237="","NO MAKEUP DATE",IF(NOT(ISNUMBER($C237)),"MAKEUP DATE NOT A DATE",IF(OR(AND($G237&lt;&gt;"",NOT(ISNUMBER($G237))),AND($H237&lt;&gt;"",NOT(ISNUMBER($H237)))),"CREDIT NOT A NUMBER",IF(OR(N($G237)&lt;0,N($H237)&lt;0),"NEGATIVE CREDIT",IF(AND($F237="Classroom",N($G237)&lt;=0),"NO MINUTES CREDITED",IF(AND($F237="PT",N($H237)&lt;=0),"NO SESSIONS CREDITED",IF($I237="","NO LINKED EVENT",IF(COUNTIF(nrAT_ID,$I237)=0,"NO SUCH EVENT",IF(INDEX(nrAT_PID,MATCH($I237,nrAT_ID,0))&lt;&gt;$E237,"WRONG CADET",IF(INDEX(nrAT_IsPT,MATCH($I237,nrAT_ID,0))&lt;&gt;IF($F237="PT","Yes","No"),"UNIT MISMATCH","OK"))))))))))))</f>
        <v/>
      </c>
    </row>
    <row r="238">
      <c r="B238" s="17">
        <f>IF($D238="","","M"&amp;TEXT(ROW()-5,"000"))</f>
        <v/>
      </c>
      <c r="C238" s="18" t="n"/>
      <c r="D238" s="16" t="n"/>
      <c r="E238" s="17">
        <f>IF($D238="","",IFERROR(INDEX(rngCadetPIDs,MATCH($D238,rngCadetNames,0)),"?"))</f>
        <v/>
      </c>
      <c r="F238" s="16" t="n"/>
      <c r="G238" s="16" t="n"/>
      <c r="H238" s="16" t="n"/>
      <c r="I238" s="16" t="n"/>
      <c r="J238" s="16" t="n"/>
      <c r="K238" s="16" t="n"/>
      <c r="L238" s="17">
        <f>IF($D238="","",IF(AND($J238="Received",$K238&lt;&gt;"Yes",LEFT($N238,2)="OK"),"Yes","No"))</f>
        <v/>
      </c>
      <c r="M238" s="16" t="n"/>
      <c r="N238" s="17">
        <f>IF($D238="","",IF(AND($F238&lt;&gt;"Classroom",$F238&lt;&gt;"PT"),"TYPE NOT CREDITED",IF($C238="","NO MAKEUP DATE",IF(NOT(ISNUMBER($C238)),"MAKEUP DATE NOT A DATE",IF(OR(AND($G238&lt;&gt;"",NOT(ISNUMBER($G238))),AND($H238&lt;&gt;"",NOT(ISNUMBER($H238)))),"CREDIT NOT A NUMBER",IF(OR(N($G238)&lt;0,N($H238)&lt;0),"NEGATIVE CREDIT",IF(AND($F238="Classroom",N($G238)&lt;=0),"NO MINUTES CREDITED",IF(AND($F238="PT",N($H238)&lt;=0),"NO SESSIONS CREDITED",IF($I238="","NO LINKED EVENT",IF(COUNTIF(nrAT_ID,$I238)=0,"NO SUCH EVENT",IF(INDEX(nrAT_PID,MATCH($I238,nrAT_ID,0))&lt;&gt;$E238,"WRONG CADET",IF(INDEX(nrAT_IsPT,MATCH($I238,nrAT_ID,0))&lt;&gt;IF($F238="PT","Yes","No"),"UNIT MISMATCH","OK"))))))))))))</f>
        <v/>
      </c>
    </row>
    <row r="239">
      <c r="B239" s="17">
        <f>IF($D239="","","M"&amp;TEXT(ROW()-5,"000"))</f>
        <v/>
      </c>
      <c r="C239" s="18" t="n"/>
      <c r="D239" s="16" t="n"/>
      <c r="E239" s="17">
        <f>IF($D239="","",IFERROR(INDEX(rngCadetPIDs,MATCH($D239,rngCadetNames,0)),"?"))</f>
        <v/>
      </c>
      <c r="F239" s="16" t="n"/>
      <c r="G239" s="16" t="n"/>
      <c r="H239" s="16" t="n"/>
      <c r="I239" s="16" t="n"/>
      <c r="J239" s="16" t="n"/>
      <c r="K239" s="16" t="n"/>
      <c r="L239" s="17">
        <f>IF($D239="","",IF(AND($J239="Received",$K239&lt;&gt;"Yes",LEFT($N239,2)="OK"),"Yes","No"))</f>
        <v/>
      </c>
      <c r="M239" s="16" t="n"/>
      <c r="N239" s="17">
        <f>IF($D239="","",IF(AND($F239&lt;&gt;"Classroom",$F239&lt;&gt;"PT"),"TYPE NOT CREDITED",IF($C239="","NO MAKEUP DATE",IF(NOT(ISNUMBER($C239)),"MAKEUP DATE NOT A DATE",IF(OR(AND($G239&lt;&gt;"",NOT(ISNUMBER($G239))),AND($H239&lt;&gt;"",NOT(ISNUMBER($H239)))),"CREDIT NOT A NUMBER",IF(OR(N($G239)&lt;0,N($H239)&lt;0),"NEGATIVE CREDIT",IF(AND($F239="Classroom",N($G239)&lt;=0),"NO MINUTES CREDITED",IF(AND($F239="PT",N($H239)&lt;=0),"NO SESSIONS CREDITED",IF($I239="","NO LINKED EVENT",IF(COUNTIF(nrAT_ID,$I239)=0,"NO SUCH EVENT",IF(INDEX(nrAT_PID,MATCH($I239,nrAT_ID,0))&lt;&gt;$E239,"WRONG CADET",IF(INDEX(nrAT_IsPT,MATCH($I239,nrAT_ID,0))&lt;&gt;IF($F239="PT","Yes","No"),"UNIT MISMATCH","OK"))))))))))))</f>
        <v/>
      </c>
    </row>
    <row r="240">
      <c r="B240" s="17">
        <f>IF($D240="","","M"&amp;TEXT(ROW()-5,"000"))</f>
        <v/>
      </c>
      <c r="C240" s="18" t="n"/>
      <c r="D240" s="16" t="n"/>
      <c r="E240" s="17">
        <f>IF($D240="","",IFERROR(INDEX(rngCadetPIDs,MATCH($D240,rngCadetNames,0)),"?"))</f>
        <v/>
      </c>
      <c r="F240" s="16" t="n"/>
      <c r="G240" s="16" t="n"/>
      <c r="H240" s="16" t="n"/>
      <c r="I240" s="16" t="n"/>
      <c r="J240" s="16" t="n"/>
      <c r="K240" s="16" t="n"/>
      <c r="L240" s="17">
        <f>IF($D240="","",IF(AND($J240="Received",$K240&lt;&gt;"Yes",LEFT($N240,2)="OK"),"Yes","No"))</f>
        <v/>
      </c>
      <c r="M240" s="16" t="n"/>
      <c r="N240" s="17">
        <f>IF($D240="","",IF(AND($F240&lt;&gt;"Classroom",$F240&lt;&gt;"PT"),"TYPE NOT CREDITED",IF($C240="","NO MAKEUP DATE",IF(NOT(ISNUMBER($C240)),"MAKEUP DATE NOT A DATE",IF(OR(AND($G240&lt;&gt;"",NOT(ISNUMBER($G240))),AND($H240&lt;&gt;"",NOT(ISNUMBER($H240)))),"CREDIT NOT A NUMBER",IF(OR(N($G240)&lt;0,N($H240)&lt;0),"NEGATIVE CREDIT",IF(AND($F240="Classroom",N($G240)&lt;=0),"NO MINUTES CREDITED",IF(AND($F240="PT",N($H240)&lt;=0),"NO SESSIONS CREDITED",IF($I240="","NO LINKED EVENT",IF(COUNTIF(nrAT_ID,$I240)=0,"NO SUCH EVENT",IF(INDEX(nrAT_PID,MATCH($I240,nrAT_ID,0))&lt;&gt;$E240,"WRONG CADET",IF(INDEX(nrAT_IsPT,MATCH($I240,nrAT_ID,0))&lt;&gt;IF($F240="PT","Yes","No"),"UNIT MISMATCH","OK"))))))))))))</f>
        <v/>
      </c>
    </row>
    <row r="241">
      <c r="B241" s="17">
        <f>IF($D241="","","M"&amp;TEXT(ROW()-5,"000"))</f>
        <v/>
      </c>
      <c r="C241" s="18" t="n"/>
      <c r="D241" s="16" t="n"/>
      <c r="E241" s="17">
        <f>IF($D241="","",IFERROR(INDEX(rngCadetPIDs,MATCH($D241,rngCadetNames,0)),"?"))</f>
        <v/>
      </c>
      <c r="F241" s="16" t="n"/>
      <c r="G241" s="16" t="n"/>
      <c r="H241" s="16" t="n"/>
      <c r="I241" s="16" t="n"/>
      <c r="J241" s="16" t="n"/>
      <c r="K241" s="16" t="n"/>
      <c r="L241" s="17">
        <f>IF($D241="","",IF(AND($J241="Received",$K241&lt;&gt;"Yes",LEFT($N241,2)="OK"),"Yes","No"))</f>
        <v/>
      </c>
      <c r="M241" s="16" t="n"/>
      <c r="N241" s="17">
        <f>IF($D241="","",IF(AND($F241&lt;&gt;"Classroom",$F241&lt;&gt;"PT"),"TYPE NOT CREDITED",IF($C241="","NO MAKEUP DATE",IF(NOT(ISNUMBER($C241)),"MAKEUP DATE NOT A DATE",IF(OR(AND($G241&lt;&gt;"",NOT(ISNUMBER($G241))),AND($H241&lt;&gt;"",NOT(ISNUMBER($H241)))),"CREDIT NOT A NUMBER",IF(OR(N($G241)&lt;0,N($H241)&lt;0),"NEGATIVE CREDIT",IF(AND($F241="Classroom",N($G241)&lt;=0),"NO MINUTES CREDITED",IF(AND($F241="PT",N($H241)&lt;=0),"NO SESSIONS CREDITED",IF($I241="","NO LINKED EVENT",IF(COUNTIF(nrAT_ID,$I241)=0,"NO SUCH EVENT",IF(INDEX(nrAT_PID,MATCH($I241,nrAT_ID,0))&lt;&gt;$E241,"WRONG CADET",IF(INDEX(nrAT_IsPT,MATCH($I241,nrAT_ID,0))&lt;&gt;IF($F241="PT","Yes","No"),"UNIT MISMATCH","OK"))))))))))))</f>
        <v/>
      </c>
    </row>
    <row r="242">
      <c r="B242" s="17">
        <f>IF($D242="","","M"&amp;TEXT(ROW()-5,"000"))</f>
        <v/>
      </c>
      <c r="C242" s="18" t="n"/>
      <c r="D242" s="16" t="n"/>
      <c r="E242" s="17">
        <f>IF($D242="","",IFERROR(INDEX(rngCadetPIDs,MATCH($D242,rngCadetNames,0)),"?"))</f>
        <v/>
      </c>
      <c r="F242" s="16" t="n"/>
      <c r="G242" s="16" t="n"/>
      <c r="H242" s="16" t="n"/>
      <c r="I242" s="16" t="n"/>
      <c r="J242" s="16" t="n"/>
      <c r="K242" s="16" t="n"/>
      <c r="L242" s="17">
        <f>IF($D242="","",IF(AND($J242="Received",$K242&lt;&gt;"Yes",LEFT($N242,2)="OK"),"Yes","No"))</f>
        <v/>
      </c>
      <c r="M242" s="16" t="n"/>
      <c r="N242" s="17">
        <f>IF($D242="","",IF(AND($F242&lt;&gt;"Classroom",$F242&lt;&gt;"PT"),"TYPE NOT CREDITED",IF($C242="","NO MAKEUP DATE",IF(NOT(ISNUMBER($C242)),"MAKEUP DATE NOT A DATE",IF(OR(AND($G242&lt;&gt;"",NOT(ISNUMBER($G242))),AND($H242&lt;&gt;"",NOT(ISNUMBER($H242)))),"CREDIT NOT A NUMBER",IF(OR(N($G242)&lt;0,N($H242)&lt;0),"NEGATIVE CREDIT",IF(AND($F242="Classroom",N($G242)&lt;=0),"NO MINUTES CREDITED",IF(AND($F242="PT",N($H242)&lt;=0),"NO SESSIONS CREDITED",IF($I242="","NO LINKED EVENT",IF(COUNTIF(nrAT_ID,$I242)=0,"NO SUCH EVENT",IF(INDEX(nrAT_PID,MATCH($I242,nrAT_ID,0))&lt;&gt;$E242,"WRONG CADET",IF(INDEX(nrAT_IsPT,MATCH($I242,nrAT_ID,0))&lt;&gt;IF($F242="PT","Yes","No"),"UNIT MISMATCH","OK"))))))))))))</f>
        <v/>
      </c>
    </row>
    <row r="243">
      <c r="B243" s="17">
        <f>IF($D243="","","M"&amp;TEXT(ROW()-5,"000"))</f>
        <v/>
      </c>
      <c r="C243" s="18" t="n"/>
      <c r="D243" s="16" t="n"/>
      <c r="E243" s="17">
        <f>IF($D243="","",IFERROR(INDEX(rngCadetPIDs,MATCH($D243,rngCadetNames,0)),"?"))</f>
        <v/>
      </c>
      <c r="F243" s="16" t="n"/>
      <c r="G243" s="16" t="n"/>
      <c r="H243" s="16" t="n"/>
      <c r="I243" s="16" t="n"/>
      <c r="J243" s="16" t="n"/>
      <c r="K243" s="16" t="n"/>
      <c r="L243" s="17">
        <f>IF($D243="","",IF(AND($J243="Received",$K243&lt;&gt;"Yes",LEFT($N243,2)="OK"),"Yes","No"))</f>
        <v/>
      </c>
      <c r="M243" s="16" t="n"/>
      <c r="N243" s="17">
        <f>IF($D243="","",IF(AND($F243&lt;&gt;"Classroom",$F243&lt;&gt;"PT"),"TYPE NOT CREDITED",IF($C243="","NO MAKEUP DATE",IF(NOT(ISNUMBER($C243)),"MAKEUP DATE NOT A DATE",IF(OR(AND($G243&lt;&gt;"",NOT(ISNUMBER($G243))),AND($H243&lt;&gt;"",NOT(ISNUMBER($H243)))),"CREDIT NOT A NUMBER",IF(OR(N($G243)&lt;0,N($H243)&lt;0),"NEGATIVE CREDIT",IF(AND($F243="Classroom",N($G243)&lt;=0),"NO MINUTES CREDITED",IF(AND($F243="PT",N($H243)&lt;=0),"NO SESSIONS CREDITED",IF($I243="","NO LINKED EVENT",IF(COUNTIF(nrAT_ID,$I243)=0,"NO SUCH EVENT",IF(INDEX(nrAT_PID,MATCH($I243,nrAT_ID,0))&lt;&gt;$E243,"WRONG CADET",IF(INDEX(nrAT_IsPT,MATCH($I243,nrAT_ID,0))&lt;&gt;IF($F243="PT","Yes","No"),"UNIT MISMATCH","OK"))))))))))))</f>
        <v/>
      </c>
    </row>
    <row r="244">
      <c r="B244" s="17">
        <f>IF($D244="","","M"&amp;TEXT(ROW()-5,"000"))</f>
        <v/>
      </c>
      <c r="C244" s="18" t="n"/>
      <c r="D244" s="16" t="n"/>
      <c r="E244" s="17">
        <f>IF($D244="","",IFERROR(INDEX(rngCadetPIDs,MATCH($D244,rngCadetNames,0)),"?"))</f>
        <v/>
      </c>
      <c r="F244" s="16" t="n"/>
      <c r="G244" s="16" t="n"/>
      <c r="H244" s="16" t="n"/>
      <c r="I244" s="16" t="n"/>
      <c r="J244" s="16" t="n"/>
      <c r="K244" s="16" t="n"/>
      <c r="L244" s="17">
        <f>IF($D244="","",IF(AND($J244="Received",$K244&lt;&gt;"Yes",LEFT($N244,2)="OK"),"Yes","No"))</f>
        <v/>
      </c>
      <c r="M244" s="16" t="n"/>
      <c r="N244" s="17">
        <f>IF($D244="","",IF(AND($F244&lt;&gt;"Classroom",$F244&lt;&gt;"PT"),"TYPE NOT CREDITED",IF($C244="","NO MAKEUP DATE",IF(NOT(ISNUMBER($C244)),"MAKEUP DATE NOT A DATE",IF(OR(AND($G244&lt;&gt;"",NOT(ISNUMBER($G244))),AND($H244&lt;&gt;"",NOT(ISNUMBER($H244)))),"CREDIT NOT A NUMBER",IF(OR(N($G244)&lt;0,N($H244)&lt;0),"NEGATIVE CREDIT",IF(AND($F244="Classroom",N($G244)&lt;=0),"NO MINUTES CREDITED",IF(AND($F244="PT",N($H244)&lt;=0),"NO SESSIONS CREDITED",IF($I244="","NO LINKED EVENT",IF(COUNTIF(nrAT_ID,$I244)=0,"NO SUCH EVENT",IF(INDEX(nrAT_PID,MATCH($I244,nrAT_ID,0))&lt;&gt;$E244,"WRONG CADET",IF(INDEX(nrAT_IsPT,MATCH($I244,nrAT_ID,0))&lt;&gt;IF($F244="PT","Yes","No"),"UNIT MISMATCH","OK"))))))))))))</f>
        <v/>
      </c>
    </row>
    <row r="245">
      <c r="B245" s="17">
        <f>IF($D245="","","M"&amp;TEXT(ROW()-5,"000"))</f>
        <v/>
      </c>
      <c r="C245" s="18" t="n"/>
      <c r="D245" s="16" t="n"/>
      <c r="E245" s="17">
        <f>IF($D245="","",IFERROR(INDEX(rngCadetPIDs,MATCH($D245,rngCadetNames,0)),"?"))</f>
        <v/>
      </c>
      <c r="F245" s="16" t="n"/>
      <c r="G245" s="16" t="n"/>
      <c r="H245" s="16" t="n"/>
      <c r="I245" s="16" t="n"/>
      <c r="J245" s="16" t="n"/>
      <c r="K245" s="16" t="n"/>
      <c r="L245" s="17">
        <f>IF($D245="","",IF(AND($J245="Received",$K245&lt;&gt;"Yes",LEFT($N245,2)="OK"),"Yes","No"))</f>
        <v/>
      </c>
      <c r="M245" s="16" t="n"/>
      <c r="N245" s="17">
        <f>IF($D245="","",IF(AND($F245&lt;&gt;"Classroom",$F245&lt;&gt;"PT"),"TYPE NOT CREDITED",IF($C245="","NO MAKEUP DATE",IF(NOT(ISNUMBER($C245)),"MAKEUP DATE NOT A DATE",IF(OR(AND($G245&lt;&gt;"",NOT(ISNUMBER($G245))),AND($H245&lt;&gt;"",NOT(ISNUMBER($H245)))),"CREDIT NOT A NUMBER",IF(OR(N($G245)&lt;0,N($H245)&lt;0),"NEGATIVE CREDIT",IF(AND($F245="Classroom",N($G245)&lt;=0),"NO MINUTES CREDITED",IF(AND($F245="PT",N($H245)&lt;=0),"NO SESSIONS CREDITED",IF($I245="","NO LINKED EVENT",IF(COUNTIF(nrAT_ID,$I245)=0,"NO SUCH EVENT",IF(INDEX(nrAT_PID,MATCH($I245,nrAT_ID,0))&lt;&gt;$E245,"WRONG CADET",IF(INDEX(nrAT_IsPT,MATCH($I245,nrAT_ID,0))&lt;&gt;IF($F245="PT","Yes","No"),"UNIT MISMATCH","OK"))))))))))))</f>
        <v/>
      </c>
    </row>
    <row r="246">
      <c r="B246" s="17">
        <f>IF($D246="","","M"&amp;TEXT(ROW()-5,"000"))</f>
        <v/>
      </c>
      <c r="C246" s="18" t="n"/>
      <c r="D246" s="16" t="n"/>
      <c r="E246" s="17">
        <f>IF($D246="","",IFERROR(INDEX(rngCadetPIDs,MATCH($D246,rngCadetNames,0)),"?"))</f>
        <v/>
      </c>
      <c r="F246" s="16" t="n"/>
      <c r="G246" s="16" t="n"/>
      <c r="H246" s="16" t="n"/>
      <c r="I246" s="16" t="n"/>
      <c r="J246" s="16" t="n"/>
      <c r="K246" s="16" t="n"/>
      <c r="L246" s="17">
        <f>IF($D246="","",IF(AND($J246="Received",$K246&lt;&gt;"Yes",LEFT($N246,2)="OK"),"Yes","No"))</f>
        <v/>
      </c>
      <c r="M246" s="16" t="n"/>
      <c r="N246" s="17">
        <f>IF($D246="","",IF(AND($F246&lt;&gt;"Classroom",$F246&lt;&gt;"PT"),"TYPE NOT CREDITED",IF($C246="","NO MAKEUP DATE",IF(NOT(ISNUMBER($C246)),"MAKEUP DATE NOT A DATE",IF(OR(AND($G246&lt;&gt;"",NOT(ISNUMBER($G246))),AND($H246&lt;&gt;"",NOT(ISNUMBER($H246)))),"CREDIT NOT A NUMBER",IF(OR(N($G246)&lt;0,N($H246)&lt;0),"NEGATIVE CREDIT",IF(AND($F246="Classroom",N($G246)&lt;=0),"NO MINUTES CREDITED",IF(AND($F246="PT",N($H246)&lt;=0),"NO SESSIONS CREDITED",IF($I246="","NO LINKED EVENT",IF(COUNTIF(nrAT_ID,$I246)=0,"NO SUCH EVENT",IF(INDEX(nrAT_PID,MATCH($I246,nrAT_ID,0))&lt;&gt;$E246,"WRONG CADET",IF(INDEX(nrAT_IsPT,MATCH($I246,nrAT_ID,0))&lt;&gt;IF($F246="PT","Yes","No"),"UNIT MISMATCH","OK"))))))))))))</f>
        <v/>
      </c>
    </row>
    <row r="247">
      <c r="B247" s="17">
        <f>IF($D247="","","M"&amp;TEXT(ROW()-5,"000"))</f>
        <v/>
      </c>
      <c r="C247" s="18" t="n"/>
      <c r="D247" s="16" t="n"/>
      <c r="E247" s="17">
        <f>IF($D247="","",IFERROR(INDEX(rngCadetPIDs,MATCH($D247,rngCadetNames,0)),"?"))</f>
        <v/>
      </c>
      <c r="F247" s="16" t="n"/>
      <c r="G247" s="16" t="n"/>
      <c r="H247" s="16" t="n"/>
      <c r="I247" s="16" t="n"/>
      <c r="J247" s="16" t="n"/>
      <c r="K247" s="16" t="n"/>
      <c r="L247" s="17">
        <f>IF($D247="","",IF(AND($J247="Received",$K247&lt;&gt;"Yes",LEFT($N247,2)="OK"),"Yes","No"))</f>
        <v/>
      </c>
      <c r="M247" s="16" t="n"/>
      <c r="N247" s="17">
        <f>IF($D247="","",IF(AND($F247&lt;&gt;"Classroom",$F247&lt;&gt;"PT"),"TYPE NOT CREDITED",IF($C247="","NO MAKEUP DATE",IF(NOT(ISNUMBER($C247)),"MAKEUP DATE NOT A DATE",IF(OR(AND($G247&lt;&gt;"",NOT(ISNUMBER($G247))),AND($H247&lt;&gt;"",NOT(ISNUMBER($H247)))),"CREDIT NOT A NUMBER",IF(OR(N($G247)&lt;0,N($H247)&lt;0),"NEGATIVE CREDIT",IF(AND($F247="Classroom",N($G247)&lt;=0),"NO MINUTES CREDITED",IF(AND($F247="PT",N($H247)&lt;=0),"NO SESSIONS CREDITED",IF($I247="","NO LINKED EVENT",IF(COUNTIF(nrAT_ID,$I247)=0,"NO SUCH EVENT",IF(INDEX(nrAT_PID,MATCH($I247,nrAT_ID,0))&lt;&gt;$E247,"WRONG CADET",IF(INDEX(nrAT_IsPT,MATCH($I247,nrAT_ID,0))&lt;&gt;IF($F247="PT","Yes","No"),"UNIT MISMATCH","OK"))))))))))))</f>
        <v/>
      </c>
    </row>
    <row r="248">
      <c r="B248" s="17">
        <f>IF($D248="","","M"&amp;TEXT(ROW()-5,"000"))</f>
        <v/>
      </c>
      <c r="C248" s="18" t="n"/>
      <c r="D248" s="16" t="n"/>
      <c r="E248" s="17">
        <f>IF($D248="","",IFERROR(INDEX(rngCadetPIDs,MATCH($D248,rngCadetNames,0)),"?"))</f>
        <v/>
      </c>
      <c r="F248" s="16" t="n"/>
      <c r="G248" s="16" t="n"/>
      <c r="H248" s="16" t="n"/>
      <c r="I248" s="16" t="n"/>
      <c r="J248" s="16" t="n"/>
      <c r="K248" s="16" t="n"/>
      <c r="L248" s="17">
        <f>IF($D248="","",IF(AND($J248="Received",$K248&lt;&gt;"Yes",LEFT($N248,2)="OK"),"Yes","No"))</f>
        <v/>
      </c>
      <c r="M248" s="16" t="n"/>
      <c r="N248" s="17">
        <f>IF($D248="","",IF(AND($F248&lt;&gt;"Classroom",$F248&lt;&gt;"PT"),"TYPE NOT CREDITED",IF($C248="","NO MAKEUP DATE",IF(NOT(ISNUMBER($C248)),"MAKEUP DATE NOT A DATE",IF(OR(AND($G248&lt;&gt;"",NOT(ISNUMBER($G248))),AND($H248&lt;&gt;"",NOT(ISNUMBER($H248)))),"CREDIT NOT A NUMBER",IF(OR(N($G248)&lt;0,N($H248)&lt;0),"NEGATIVE CREDIT",IF(AND($F248="Classroom",N($G248)&lt;=0),"NO MINUTES CREDITED",IF(AND($F248="PT",N($H248)&lt;=0),"NO SESSIONS CREDITED",IF($I248="","NO LINKED EVENT",IF(COUNTIF(nrAT_ID,$I248)=0,"NO SUCH EVENT",IF(INDEX(nrAT_PID,MATCH($I248,nrAT_ID,0))&lt;&gt;$E248,"WRONG CADET",IF(INDEX(nrAT_IsPT,MATCH($I248,nrAT_ID,0))&lt;&gt;IF($F248="PT","Yes","No"),"UNIT MISMATCH","OK"))))))))))))</f>
        <v/>
      </c>
    </row>
    <row r="249">
      <c r="B249" s="17">
        <f>IF($D249="","","M"&amp;TEXT(ROW()-5,"000"))</f>
        <v/>
      </c>
      <c r="C249" s="18" t="n"/>
      <c r="D249" s="16" t="n"/>
      <c r="E249" s="17">
        <f>IF($D249="","",IFERROR(INDEX(rngCadetPIDs,MATCH($D249,rngCadetNames,0)),"?"))</f>
        <v/>
      </c>
      <c r="F249" s="16" t="n"/>
      <c r="G249" s="16" t="n"/>
      <c r="H249" s="16" t="n"/>
      <c r="I249" s="16" t="n"/>
      <c r="J249" s="16" t="n"/>
      <c r="K249" s="16" t="n"/>
      <c r="L249" s="17">
        <f>IF($D249="","",IF(AND($J249="Received",$K249&lt;&gt;"Yes",LEFT($N249,2)="OK"),"Yes","No"))</f>
        <v/>
      </c>
      <c r="M249" s="16" t="n"/>
      <c r="N249" s="17">
        <f>IF($D249="","",IF(AND($F249&lt;&gt;"Classroom",$F249&lt;&gt;"PT"),"TYPE NOT CREDITED",IF($C249="","NO MAKEUP DATE",IF(NOT(ISNUMBER($C249)),"MAKEUP DATE NOT A DATE",IF(OR(AND($G249&lt;&gt;"",NOT(ISNUMBER($G249))),AND($H249&lt;&gt;"",NOT(ISNUMBER($H249)))),"CREDIT NOT A NUMBER",IF(OR(N($G249)&lt;0,N($H249)&lt;0),"NEGATIVE CREDIT",IF(AND($F249="Classroom",N($G249)&lt;=0),"NO MINUTES CREDITED",IF(AND($F249="PT",N($H249)&lt;=0),"NO SESSIONS CREDITED",IF($I249="","NO LINKED EVENT",IF(COUNTIF(nrAT_ID,$I249)=0,"NO SUCH EVENT",IF(INDEX(nrAT_PID,MATCH($I249,nrAT_ID,0))&lt;&gt;$E249,"WRONG CADET",IF(INDEX(nrAT_IsPT,MATCH($I249,nrAT_ID,0))&lt;&gt;IF($F249="PT","Yes","No"),"UNIT MISMATCH","OK"))))))))))))</f>
        <v/>
      </c>
    </row>
    <row r="250">
      <c r="B250" s="17">
        <f>IF($D250="","","M"&amp;TEXT(ROW()-5,"000"))</f>
        <v/>
      </c>
      <c r="C250" s="18" t="n"/>
      <c r="D250" s="16" t="n"/>
      <c r="E250" s="17">
        <f>IF($D250="","",IFERROR(INDEX(rngCadetPIDs,MATCH($D250,rngCadetNames,0)),"?"))</f>
        <v/>
      </c>
      <c r="F250" s="16" t="n"/>
      <c r="G250" s="16" t="n"/>
      <c r="H250" s="16" t="n"/>
      <c r="I250" s="16" t="n"/>
      <c r="J250" s="16" t="n"/>
      <c r="K250" s="16" t="n"/>
      <c r="L250" s="17">
        <f>IF($D250="","",IF(AND($J250="Received",$K250&lt;&gt;"Yes",LEFT($N250,2)="OK"),"Yes","No"))</f>
        <v/>
      </c>
      <c r="M250" s="16" t="n"/>
      <c r="N250" s="17">
        <f>IF($D250="","",IF(AND($F250&lt;&gt;"Classroom",$F250&lt;&gt;"PT"),"TYPE NOT CREDITED",IF($C250="","NO MAKEUP DATE",IF(NOT(ISNUMBER($C250)),"MAKEUP DATE NOT A DATE",IF(OR(AND($G250&lt;&gt;"",NOT(ISNUMBER($G250))),AND($H250&lt;&gt;"",NOT(ISNUMBER($H250)))),"CREDIT NOT A NUMBER",IF(OR(N($G250)&lt;0,N($H250)&lt;0),"NEGATIVE CREDIT",IF(AND($F250="Classroom",N($G250)&lt;=0),"NO MINUTES CREDITED",IF(AND($F250="PT",N($H250)&lt;=0),"NO SESSIONS CREDITED",IF($I250="","NO LINKED EVENT",IF(COUNTIF(nrAT_ID,$I250)=0,"NO SUCH EVENT",IF(INDEX(nrAT_PID,MATCH($I250,nrAT_ID,0))&lt;&gt;$E250,"WRONG CADET",IF(INDEX(nrAT_IsPT,MATCH($I250,nrAT_ID,0))&lt;&gt;IF($F250="PT","Yes","No"),"UNIT MISMATCH","OK"))))))))))))</f>
        <v/>
      </c>
    </row>
    <row r="251">
      <c r="B251" s="17">
        <f>IF($D251="","","M"&amp;TEXT(ROW()-5,"000"))</f>
        <v/>
      </c>
      <c r="C251" s="18" t="n"/>
      <c r="D251" s="16" t="n"/>
      <c r="E251" s="17">
        <f>IF($D251="","",IFERROR(INDEX(rngCadetPIDs,MATCH($D251,rngCadetNames,0)),"?"))</f>
        <v/>
      </c>
      <c r="F251" s="16" t="n"/>
      <c r="G251" s="16" t="n"/>
      <c r="H251" s="16" t="n"/>
      <c r="I251" s="16" t="n"/>
      <c r="J251" s="16" t="n"/>
      <c r="K251" s="16" t="n"/>
      <c r="L251" s="17">
        <f>IF($D251="","",IF(AND($J251="Received",$K251&lt;&gt;"Yes",LEFT($N251,2)="OK"),"Yes","No"))</f>
        <v/>
      </c>
      <c r="M251" s="16" t="n"/>
      <c r="N251" s="17">
        <f>IF($D251="","",IF(AND($F251&lt;&gt;"Classroom",$F251&lt;&gt;"PT"),"TYPE NOT CREDITED",IF($C251="","NO MAKEUP DATE",IF(NOT(ISNUMBER($C251)),"MAKEUP DATE NOT A DATE",IF(OR(AND($G251&lt;&gt;"",NOT(ISNUMBER($G251))),AND($H251&lt;&gt;"",NOT(ISNUMBER($H251)))),"CREDIT NOT A NUMBER",IF(OR(N($G251)&lt;0,N($H251)&lt;0),"NEGATIVE CREDIT",IF(AND($F251="Classroom",N($G251)&lt;=0),"NO MINUTES CREDITED",IF(AND($F251="PT",N($H251)&lt;=0),"NO SESSIONS CREDITED",IF($I251="","NO LINKED EVENT",IF(COUNTIF(nrAT_ID,$I251)=0,"NO SUCH EVENT",IF(INDEX(nrAT_PID,MATCH($I251,nrAT_ID,0))&lt;&gt;$E251,"WRONG CADET",IF(INDEX(nrAT_IsPT,MATCH($I251,nrAT_ID,0))&lt;&gt;IF($F251="PT","Yes","No"),"UNIT MISMATCH","OK"))))))))))))</f>
        <v/>
      </c>
    </row>
    <row r="252">
      <c r="B252" s="17">
        <f>IF($D252="","","M"&amp;TEXT(ROW()-5,"000"))</f>
        <v/>
      </c>
      <c r="C252" s="18" t="n"/>
      <c r="D252" s="16" t="n"/>
      <c r="E252" s="17">
        <f>IF($D252="","",IFERROR(INDEX(rngCadetPIDs,MATCH($D252,rngCadetNames,0)),"?"))</f>
        <v/>
      </c>
      <c r="F252" s="16" t="n"/>
      <c r="G252" s="16" t="n"/>
      <c r="H252" s="16" t="n"/>
      <c r="I252" s="16" t="n"/>
      <c r="J252" s="16" t="n"/>
      <c r="K252" s="16" t="n"/>
      <c r="L252" s="17">
        <f>IF($D252="","",IF(AND($J252="Received",$K252&lt;&gt;"Yes",LEFT($N252,2)="OK"),"Yes","No"))</f>
        <v/>
      </c>
      <c r="M252" s="16" t="n"/>
      <c r="N252" s="17">
        <f>IF($D252="","",IF(AND($F252&lt;&gt;"Classroom",$F252&lt;&gt;"PT"),"TYPE NOT CREDITED",IF($C252="","NO MAKEUP DATE",IF(NOT(ISNUMBER($C252)),"MAKEUP DATE NOT A DATE",IF(OR(AND($G252&lt;&gt;"",NOT(ISNUMBER($G252))),AND($H252&lt;&gt;"",NOT(ISNUMBER($H252)))),"CREDIT NOT A NUMBER",IF(OR(N($G252)&lt;0,N($H252)&lt;0),"NEGATIVE CREDIT",IF(AND($F252="Classroom",N($G252)&lt;=0),"NO MINUTES CREDITED",IF(AND($F252="PT",N($H252)&lt;=0),"NO SESSIONS CREDITED",IF($I252="","NO LINKED EVENT",IF(COUNTIF(nrAT_ID,$I252)=0,"NO SUCH EVENT",IF(INDEX(nrAT_PID,MATCH($I252,nrAT_ID,0))&lt;&gt;$E252,"WRONG CADET",IF(INDEX(nrAT_IsPT,MATCH($I252,nrAT_ID,0))&lt;&gt;IF($F252="PT","Yes","No"),"UNIT MISMATCH","OK"))))))))))))</f>
        <v/>
      </c>
    </row>
    <row r="253">
      <c r="B253" s="17">
        <f>IF($D253="","","M"&amp;TEXT(ROW()-5,"000"))</f>
        <v/>
      </c>
      <c r="C253" s="18" t="n"/>
      <c r="D253" s="16" t="n"/>
      <c r="E253" s="17">
        <f>IF($D253="","",IFERROR(INDEX(rngCadetPIDs,MATCH($D253,rngCadetNames,0)),"?"))</f>
        <v/>
      </c>
      <c r="F253" s="16" t="n"/>
      <c r="G253" s="16" t="n"/>
      <c r="H253" s="16" t="n"/>
      <c r="I253" s="16" t="n"/>
      <c r="J253" s="16" t="n"/>
      <c r="K253" s="16" t="n"/>
      <c r="L253" s="17">
        <f>IF($D253="","",IF(AND($J253="Received",$K253&lt;&gt;"Yes",LEFT($N253,2)="OK"),"Yes","No"))</f>
        <v/>
      </c>
      <c r="M253" s="16" t="n"/>
      <c r="N253" s="17">
        <f>IF($D253="","",IF(AND($F253&lt;&gt;"Classroom",$F253&lt;&gt;"PT"),"TYPE NOT CREDITED",IF($C253="","NO MAKEUP DATE",IF(NOT(ISNUMBER($C253)),"MAKEUP DATE NOT A DATE",IF(OR(AND($G253&lt;&gt;"",NOT(ISNUMBER($G253))),AND($H253&lt;&gt;"",NOT(ISNUMBER($H253)))),"CREDIT NOT A NUMBER",IF(OR(N($G253)&lt;0,N($H253)&lt;0),"NEGATIVE CREDIT",IF(AND($F253="Classroom",N($G253)&lt;=0),"NO MINUTES CREDITED",IF(AND($F253="PT",N($H253)&lt;=0),"NO SESSIONS CREDITED",IF($I253="","NO LINKED EVENT",IF(COUNTIF(nrAT_ID,$I253)=0,"NO SUCH EVENT",IF(INDEX(nrAT_PID,MATCH($I253,nrAT_ID,0))&lt;&gt;$E253,"WRONG CADET",IF(INDEX(nrAT_IsPT,MATCH($I253,nrAT_ID,0))&lt;&gt;IF($F253="PT","Yes","No"),"UNIT MISMATCH","OK"))))))))))))</f>
        <v/>
      </c>
    </row>
    <row r="254">
      <c r="B254" s="17">
        <f>IF($D254="","","M"&amp;TEXT(ROW()-5,"000"))</f>
        <v/>
      </c>
      <c r="C254" s="18" t="n"/>
      <c r="D254" s="16" t="n"/>
      <c r="E254" s="17">
        <f>IF($D254="","",IFERROR(INDEX(rngCadetPIDs,MATCH($D254,rngCadetNames,0)),"?"))</f>
        <v/>
      </c>
      <c r="F254" s="16" t="n"/>
      <c r="G254" s="16" t="n"/>
      <c r="H254" s="16" t="n"/>
      <c r="I254" s="16" t="n"/>
      <c r="J254" s="16" t="n"/>
      <c r="K254" s="16" t="n"/>
      <c r="L254" s="17">
        <f>IF($D254="","",IF(AND($J254="Received",$K254&lt;&gt;"Yes",LEFT($N254,2)="OK"),"Yes","No"))</f>
        <v/>
      </c>
      <c r="M254" s="16" t="n"/>
      <c r="N254" s="17">
        <f>IF($D254="","",IF(AND($F254&lt;&gt;"Classroom",$F254&lt;&gt;"PT"),"TYPE NOT CREDITED",IF($C254="","NO MAKEUP DATE",IF(NOT(ISNUMBER($C254)),"MAKEUP DATE NOT A DATE",IF(OR(AND($G254&lt;&gt;"",NOT(ISNUMBER($G254))),AND($H254&lt;&gt;"",NOT(ISNUMBER($H254)))),"CREDIT NOT A NUMBER",IF(OR(N($G254)&lt;0,N($H254)&lt;0),"NEGATIVE CREDIT",IF(AND($F254="Classroom",N($G254)&lt;=0),"NO MINUTES CREDITED",IF(AND($F254="PT",N($H254)&lt;=0),"NO SESSIONS CREDITED",IF($I254="","NO LINKED EVENT",IF(COUNTIF(nrAT_ID,$I254)=0,"NO SUCH EVENT",IF(INDEX(nrAT_PID,MATCH($I254,nrAT_ID,0))&lt;&gt;$E254,"WRONG CADET",IF(INDEX(nrAT_IsPT,MATCH($I254,nrAT_ID,0))&lt;&gt;IF($F254="PT","Yes","No"),"UNIT MISMATCH","OK"))))))))))))</f>
        <v/>
      </c>
    </row>
    <row r="255">
      <c r="B255" s="17">
        <f>IF($D255="","","M"&amp;TEXT(ROW()-5,"000"))</f>
        <v/>
      </c>
      <c r="C255" s="18" t="n"/>
      <c r="D255" s="16" t="n"/>
      <c r="E255" s="17">
        <f>IF($D255="","",IFERROR(INDEX(rngCadetPIDs,MATCH($D255,rngCadetNames,0)),"?"))</f>
        <v/>
      </c>
      <c r="F255" s="16" t="n"/>
      <c r="G255" s="16" t="n"/>
      <c r="H255" s="16" t="n"/>
      <c r="I255" s="16" t="n"/>
      <c r="J255" s="16" t="n"/>
      <c r="K255" s="16" t="n"/>
      <c r="L255" s="17">
        <f>IF($D255="","",IF(AND($J255="Received",$K255&lt;&gt;"Yes",LEFT($N255,2)="OK"),"Yes","No"))</f>
        <v/>
      </c>
      <c r="M255" s="16" t="n"/>
      <c r="N255" s="17">
        <f>IF($D255="","",IF(AND($F255&lt;&gt;"Classroom",$F255&lt;&gt;"PT"),"TYPE NOT CREDITED",IF($C255="","NO MAKEUP DATE",IF(NOT(ISNUMBER($C255)),"MAKEUP DATE NOT A DATE",IF(OR(AND($G255&lt;&gt;"",NOT(ISNUMBER($G255))),AND($H255&lt;&gt;"",NOT(ISNUMBER($H255)))),"CREDIT NOT A NUMBER",IF(OR(N($G255)&lt;0,N($H255)&lt;0),"NEGATIVE CREDIT",IF(AND($F255="Classroom",N($G255)&lt;=0),"NO MINUTES CREDITED",IF(AND($F255="PT",N($H255)&lt;=0),"NO SESSIONS CREDITED",IF($I255="","NO LINKED EVENT",IF(COUNTIF(nrAT_ID,$I255)=0,"NO SUCH EVENT",IF(INDEX(nrAT_PID,MATCH($I255,nrAT_ID,0))&lt;&gt;$E255,"WRONG CADET",IF(INDEX(nrAT_IsPT,MATCH($I255,nrAT_ID,0))&lt;&gt;IF($F255="PT","Yes","No"),"UNIT MISMATCH","OK"))))))))))))</f>
        <v/>
      </c>
    </row>
    <row r="256">
      <c r="B256" s="17">
        <f>IF($D256="","","M"&amp;TEXT(ROW()-5,"000"))</f>
        <v/>
      </c>
      <c r="C256" s="18" t="n"/>
      <c r="D256" s="16" t="n"/>
      <c r="E256" s="17">
        <f>IF($D256="","",IFERROR(INDEX(rngCadetPIDs,MATCH($D256,rngCadetNames,0)),"?"))</f>
        <v/>
      </c>
      <c r="F256" s="16" t="n"/>
      <c r="G256" s="16" t="n"/>
      <c r="H256" s="16" t="n"/>
      <c r="I256" s="16" t="n"/>
      <c r="J256" s="16" t="n"/>
      <c r="K256" s="16" t="n"/>
      <c r="L256" s="17">
        <f>IF($D256="","",IF(AND($J256="Received",$K256&lt;&gt;"Yes",LEFT($N256,2)="OK"),"Yes","No"))</f>
        <v/>
      </c>
      <c r="M256" s="16" t="n"/>
      <c r="N256" s="17">
        <f>IF($D256="","",IF(AND($F256&lt;&gt;"Classroom",$F256&lt;&gt;"PT"),"TYPE NOT CREDITED",IF($C256="","NO MAKEUP DATE",IF(NOT(ISNUMBER($C256)),"MAKEUP DATE NOT A DATE",IF(OR(AND($G256&lt;&gt;"",NOT(ISNUMBER($G256))),AND($H256&lt;&gt;"",NOT(ISNUMBER($H256)))),"CREDIT NOT A NUMBER",IF(OR(N($G256)&lt;0,N($H256)&lt;0),"NEGATIVE CREDIT",IF(AND($F256="Classroom",N($G256)&lt;=0),"NO MINUTES CREDITED",IF(AND($F256="PT",N($H256)&lt;=0),"NO SESSIONS CREDITED",IF($I256="","NO LINKED EVENT",IF(COUNTIF(nrAT_ID,$I256)=0,"NO SUCH EVENT",IF(INDEX(nrAT_PID,MATCH($I256,nrAT_ID,0))&lt;&gt;$E256,"WRONG CADET",IF(INDEX(nrAT_IsPT,MATCH($I256,nrAT_ID,0))&lt;&gt;IF($F256="PT","Yes","No"),"UNIT MISMATCH","OK"))))))))))))</f>
        <v/>
      </c>
    </row>
    <row r="257">
      <c r="B257" s="17">
        <f>IF($D257="","","M"&amp;TEXT(ROW()-5,"000"))</f>
        <v/>
      </c>
      <c r="C257" s="18" t="n"/>
      <c r="D257" s="16" t="n"/>
      <c r="E257" s="17">
        <f>IF($D257="","",IFERROR(INDEX(rngCadetPIDs,MATCH($D257,rngCadetNames,0)),"?"))</f>
        <v/>
      </c>
      <c r="F257" s="16" t="n"/>
      <c r="G257" s="16" t="n"/>
      <c r="H257" s="16" t="n"/>
      <c r="I257" s="16" t="n"/>
      <c r="J257" s="16" t="n"/>
      <c r="K257" s="16" t="n"/>
      <c r="L257" s="17">
        <f>IF($D257="","",IF(AND($J257="Received",$K257&lt;&gt;"Yes",LEFT($N257,2)="OK"),"Yes","No"))</f>
        <v/>
      </c>
      <c r="M257" s="16" t="n"/>
      <c r="N257" s="17">
        <f>IF($D257="","",IF(AND($F257&lt;&gt;"Classroom",$F257&lt;&gt;"PT"),"TYPE NOT CREDITED",IF($C257="","NO MAKEUP DATE",IF(NOT(ISNUMBER($C257)),"MAKEUP DATE NOT A DATE",IF(OR(AND($G257&lt;&gt;"",NOT(ISNUMBER($G257))),AND($H257&lt;&gt;"",NOT(ISNUMBER($H257)))),"CREDIT NOT A NUMBER",IF(OR(N($G257)&lt;0,N($H257)&lt;0),"NEGATIVE CREDIT",IF(AND($F257="Classroom",N($G257)&lt;=0),"NO MINUTES CREDITED",IF(AND($F257="PT",N($H257)&lt;=0),"NO SESSIONS CREDITED",IF($I257="","NO LINKED EVENT",IF(COUNTIF(nrAT_ID,$I257)=0,"NO SUCH EVENT",IF(INDEX(nrAT_PID,MATCH($I257,nrAT_ID,0))&lt;&gt;$E257,"WRONG CADET",IF(INDEX(nrAT_IsPT,MATCH($I257,nrAT_ID,0))&lt;&gt;IF($F257="PT","Yes","No"),"UNIT MISMATCH","OK"))))))))))))</f>
        <v/>
      </c>
    </row>
    <row r="258">
      <c r="B258" s="17">
        <f>IF($D258="","","M"&amp;TEXT(ROW()-5,"000"))</f>
        <v/>
      </c>
      <c r="C258" s="18" t="n"/>
      <c r="D258" s="16" t="n"/>
      <c r="E258" s="17">
        <f>IF($D258="","",IFERROR(INDEX(rngCadetPIDs,MATCH($D258,rngCadetNames,0)),"?"))</f>
        <v/>
      </c>
      <c r="F258" s="16" t="n"/>
      <c r="G258" s="16" t="n"/>
      <c r="H258" s="16" t="n"/>
      <c r="I258" s="16" t="n"/>
      <c r="J258" s="16" t="n"/>
      <c r="K258" s="16" t="n"/>
      <c r="L258" s="17">
        <f>IF($D258="","",IF(AND($J258="Received",$K258&lt;&gt;"Yes",LEFT($N258,2)="OK"),"Yes","No"))</f>
        <v/>
      </c>
      <c r="M258" s="16" t="n"/>
      <c r="N258" s="17">
        <f>IF($D258="","",IF(AND($F258&lt;&gt;"Classroom",$F258&lt;&gt;"PT"),"TYPE NOT CREDITED",IF($C258="","NO MAKEUP DATE",IF(NOT(ISNUMBER($C258)),"MAKEUP DATE NOT A DATE",IF(OR(AND($G258&lt;&gt;"",NOT(ISNUMBER($G258))),AND($H258&lt;&gt;"",NOT(ISNUMBER($H258)))),"CREDIT NOT A NUMBER",IF(OR(N($G258)&lt;0,N($H258)&lt;0),"NEGATIVE CREDIT",IF(AND($F258="Classroom",N($G258)&lt;=0),"NO MINUTES CREDITED",IF(AND($F258="PT",N($H258)&lt;=0),"NO SESSIONS CREDITED",IF($I258="","NO LINKED EVENT",IF(COUNTIF(nrAT_ID,$I258)=0,"NO SUCH EVENT",IF(INDEX(nrAT_PID,MATCH($I258,nrAT_ID,0))&lt;&gt;$E258,"WRONG CADET",IF(INDEX(nrAT_IsPT,MATCH($I258,nrAT_ID,0))&lt;&gt;IF($F258="PT","Yes","No"),"UNIT MISMATCH","OK"))))))))))))</f>
        <v/>
      </c>
    </row>
    <row r="259">
      <c r="B259" s="17">
        <f>IF($D259="","","M"&amp;TEXT(ROW()-5,"000"))</f>
        <v/>
      </c>
      <c r="C259" s="18" t="n"/>
      <c r="D259" s="16" t="n"/>
      <c r="E259" s="17">
        <f>IF($D259="","",IFERROR(INDEX(rngCadetPIDs,MATCH($D259,rngCadetNames,0)),"?"))</f>
        <v/>
      </c>
      <c r="F259" s="16" t="n"/>
      <c r="G259" s="16" t="n"/>
      <c r="H259" s="16" t="n"/>
      <c r="I259" s="16" t="n"/>
      <c r="J259" s="16" t="n"/>
      <c r="K259" s="16" t="n"/>
      <c r="L259" s="17">
        <f>IF($D259="","",IF(AND($J259="Received",$K259&lt;&gt;"Yes",LEFT($N259,2)="OK"),"Yes","No"))</f>
        <v/>
      </c>
      <c r="M259" s="16" t="n"/>
      <c r="N259" s="17">
        <f>IF($D259="","",IF(AND($F259&lt;&gt;"Classroom",$F259&lt;&gt;"PT"),"TYPE NOT CREDITED",IF($C259="","NO MAKEUP DATE",IF(NOT(ISNUMBER($C259)),"MAKEUP DATE NOT A DATE",IF(OR(AND($G259&lt;&gt;"",NOT(ISNUMBER($G259))),AND($H259&lt;&gt;"",NOT(ISNUMBER($H259)))),"CREDIT NOT A NUMBER",IF(OR(N($G259)&lt;0,N($H259)&lt;0),"NEGATIVE CREDIT",IF(AND($F259="Classroom",N($G259)&lt;=0),"NO MINUTES CREDITED",IF(AND($F259="PT",N($H259)&lt;=0),"NO SESSIONS CREDITED",IF($I259="","NO LINKED EVENT",IF(COUNTIF(nrAT_ID,$I259)=0,"NO SUCH EVENT",IF(INDEX(nrAT_PID,MATCH($I259,nrAT_ID,0))&lt;&gt;$E259,"WRONG CADET",IF(INDEX(nrAT_IsPT,MATCH($I259,nrAT_ID,0))&lt;&gt;IF($F259="PT","Yes","No"),"UNIT MISMATCH","OK"))))))))))))</f>
        <v/>
      </c>
    </row>
    <row r="260">
      <c r="B260" s="17">
        <f>IF($D260="","","M"&amp;TEXT(ROW()-5,"000"))</f>
        <v/>
      </c>
      <c r="C260" s="18" t="n"/>
      <c r="D260" s="16" t="n"/>
      <c r="E260" s="17">
        <f>IF($D260="","",IFERROR(INDEX(rngCadetPIDs,MATCH($D260,rngCadetNames,0)),"?"))</f>
        <v/>
      </c>
      <c r="F260" s="16" t="n"/>
      <c r="G260" s="16" t="n"/>
      <c r="H260" s="16" t="n"/>
      <c r="I260" s="16" t="n"/>
      <c r="J260" s="16" t="n"/>
      <c r="K260" s="16" t="n"/>
      <c r="L260" s="17">
        <f>IF($D260="","",IF(AND($J260="Received",$K260&lt;&gt;"Yes",LEFT($N260,2)="OK"),"Yes","No"))</f>
        <v/>
      </c>
      <c r="M260" s="16" t="n"/>
      <c r="N260" s="17">
        <f>IF($D260="","",IF(AND($F260&lt;&gt;"Classroom",$F260&lt;&gt;"PT"),"TYPE NOT CREDITED",IF($C260="","NO MAKEUP DATE",IF(NOT(ISNUMBER($C260)),"MAKEUP DATE NOT A DATE",IF(OR(AND($G260&lt;&gt;"",NOT(ISNUMBER($G260))),AND($H260&lt;&gt;"",NOT(ISNUMBER($H260)))),"CREDIT NOT A NUMBER",IF(OR(N($G260)&lt;0,N($H260)&lt;0),"NEGATIVE CREDIT",IF(AND($F260="Classroom",N($G260)&lt;=0),"NO MINUTES CREDITED",IF(AND($F260="PT",N($H260)&lt;=0),"NO SESSIONS CREDITED",IF($I260="","NO LINKED EVENT",IF(COUNTIF(nrAT_ID,$I260)=0,"NO SUCH EVENT",IF(INDEX(nrAT_PID,MATCH($I260,nrAT_ID,0))&lt;&gt;$E260,"WRONG CADET",IF(INDEX(nrAT_IsPT,MATCH($I260,nrAT_ID,0))&lt;&gt;IF($F260="PT","Yes","No"),"UNIT MISMATCH","OK"))))))))))))</f>
        <v/>
      </c>
    </row>
    <row r="261">
      <c r="B261" s="17">
        <f>IF($D261="","","M"&amp;TEXT(ROW()-5,"000"))</f>
        <v/>
      </c>
      <c r="C261" s="18" t="n"/>
      <c r="D261" s="16" t="n"/>
      <c r="E261" s="17">
        <f>IF($D261="","",IFERROR(INDEX(rngCadetPIDs,MATCH($D261,rngCadetNames,0)),"?"))</f>
        <v/>
      </c>
      <c r="F261" s="16" t="n"/>
      <c r="G261" s="16" t="n"/>
      <c r="H261" s="16" t="n"/>
      <c r="I261" s="16" t="n"/>
      <c r="J261" s="16" t="n"/>
      <c r="K261" s="16" t="n"/>
      <c r="L261" s="17">
        <f>IF($D261="","",IF(AND($J261="Received",$K261&lt;&gt;"Yes",LEFT($N261,2)="OK"),"Yes","No"))</f>
        <v/>
      </c>
      <c r="M261" s="16" t="n"/>
      <c r="N261" s="17">
        <f>IF($D261="","",IF(AND($F261&lt;&gt;"Classroom",$F261&lt;&gt;"PT"),"TYPE NOT CREDITED",IF($C261="","NO MAKEUP DATE",IF(NOT(ISNUMBER($C261)),"MAKEUP DATE NOT A DATE",IF(OR(AND($G261&lt;&gt;"",NOT(ISNUMBER($G261))),AND($H261&lt;&gt;"",NOT(ISNUMBER($H261)))),"CREDIT NOT A NUMBER",IF(OR(N($G261)&lt;0,N($H261)&lt;0),"NEGATIVE CREDIT",IF(AND($F261="Classroom",N($G261)&lt;=0),"NO MINUTES CREDITED",IF(AND($F261="PT",N($H261)&lt;=0),"NO SESSIONS CREDITED",IF($I261="","NO LINKED EVENT",IF(COUNTIF(nrAT_ID,$I261)=0,"NO SUCH EVENT",IF(INDEX(nrAT_PID,MATCH($I261,nrAT_ID,0))&lt;&gt;$E261,"WRONG CADET",IF(INDEX(nrAT_IsPT,MATCH($I261,nrAT_ID,0))&lt;&gt;IF($F261="PT","Yes","No"),"UNIT MISMATCH","OK"))))))))))))</f>
        <v/>
      </c>
    </row>
    <row r="262">
      <c r="B262" s="17">
        <f>IF($D262="","","M"&amp;TEXT(ROW()-5,"000"))</f>
        <v/>
      </c>
      <c r="C262" s="18" t="n"/>
      <c r="D262" s="16" t="n"/>
      <c r="E262" s="17">
        <f>IF($D262="","",IFERROR(INDEX(rngCadetPIDs,MATCH($D262,rngCadetNames,0)),"?"))</f>
        <v/>
      </c>
      <c r="F262" s="16" t="n"/>
      <c r="G262" s="16" t="n"/>
      <c r="H262" s="16" t="n"/>
      <c r="I262" s="16" t="n"/>
      <c r="J262" s="16" t="n"/>
      <c r="K262" s="16" t="n"/>
      <c r="L262" s="17">
        <f>IF($D262="","",IF(AND($J262="Received",$K262&lt;&gt;"Yes",LEFT($N262,2)="OK"),"Yes","No"))</f>
        <v/>
      </c>
      <c r="M262" s="16" t="n"/>
      <c r="N262" s="17">
        <f>IF($D262="","",IF(AND($F262&lt;&gt;"Classroom",$F262&lt;&gt;"PT"),"TYPE NOT CREDITED",IF($C262="","NO MAKEUP DATE",IF(NOT(ISNUMBER($C262)),"MAKEUP DATE NOT A DATE",IF(OR(AND($G262&lt;&gt;"",NOT(ISNUMBER($G262))),AND($H262&lt;&gt;"",NOT(ISNUMBER($H262)))),"CREDIT NOT A NUMBER",IF(OR(N($G262)&lt;0,N($H262)&lt;0),"NEGATIVE CREDIT",IF(AND($F262="Classroom",N($G262)&lt;=0),"NO MINUTES CREDITED",IF(AND($F262="PT",N($H262)&lt;=0),"NO SESSIONS CREDITED",IF($I262="","NO LINKED EVENT",IF(COUNTIF(nrAT_ID,$I262)=0,"NO SUCH EVENT",IF(INDEX(nrAT_PID,MATCH($I262,nrAT_ID,0))&lt;&gt;$E262,"WRONG CADET",IF(INDEX(nrAT_IsPT,MATCH($I262,nrAT_ID,0))&lt;&gt;IF($F262="PT","Yes","No"),"UNIT MISMATCH","OK"))))))))))))</f>
        <v/>
      </c>
    </row>
    <row r="263">
      <c r="B263" s="17">
        <f>IF($D263="","","M"&amp;TEXT(ROW()-5,"000"))</f>
        <v/>
      </c>
      <c r="C263" s="18" t="n"/>
      <c r="D263" s="16" t="n"/>
      <c r="E263" s="17">
        <f>IF($D263="","",IFERROR(INDEX(rngCadetPIDs,MATCH($D263,rngCadetNames,0)),"?"))</f>
        <v/>
      </c>
      <c r="F263" s="16" t="n"/>
      <c r="G263" s="16" t="n"/>
      <c r="H263" s="16" t="n"/>
      <c r="I263" s="16" t="n"/>
      <c r="J263" s="16" t="n"/>
      <c r="K263" s="16" t="n"/>
      <c r="L263" s="17">
        <f>IF($D263="","",IF(AND($J263="Received",$K263&lt;&gt;"Yes",LEFT($N263,2)="OK"),"Yes","No"))</f>
        <v/>
      </c>
      <c r="M263" s="16" t="n"/>
      <c r="N263" s="17">
        <f>IF($D263="","",IF(AND($F263&lt;&gt;"Classroom",$F263&lt;&gt;"PT"),"TYPE NOT CREDITED",IF($C263="","NO MAKEUP DATE",IF(NOT(ISNUMBER($C263)),"MAKEUP DATE NOT A DATE",IF(OR(AND($G263&lt;&gt;"",NOT(ISNUMBER($G263))),AND($H263&lt;&gt;"",NOT(ISNUMBER($H263)))),"CREDIT NOT A NUMBER",IF(OR(N($G263)&lt;0,N($H263)&lt;0),"NEGATIVE CREDIT",IF(AND($F263="Classroom",N($G263)&lt;=0),"NO MINUTES CREDITED",IF(AND($F263="PT",N($H263)&lt;=0),"NO SESSIONS CREDITED",IF($I263="","NO LINKED EVENT",IF(COUNTIF(nrAT_ID,$I263)=0,"NO SUCH EVENT",IF(INDEX(nrAT_PID,MATCH($I263,nrAT_ID,0))&lt;&gt;$E263,"WRONG CADET",IF(INDEX(nrAT_IsPT,MATCH($I263,nrAT_ID,0))&lt;&gt;IF($F263="PT","Yes","No"),"UNIT MISMATCH","OK"))))))))))))</f>
        <v/>
      </c>
    </row>
    <row r="264">
      <c r="B264" s="17">
        <f>IF($D264="","","M"&amp;TEXT(ROW()-5,"000"))</f>
        <v/>
      </c>
      <c r="C264" s="18" t="n"/>
      <c r="D264" s="16" t="n"/>
      <c r="E264" s="17">
        <f>IF($D264="","",IFERROR(INDEX(rngCadetPIDs,MATCH($D264,rngCadetNames,0)),"?"))</f>
        <v/>
      </c>
      <c r="F264" s="16" t="n"/>
      <c r="G264" s="16" t="n"/>
      <c r="H264" s="16" t="n"/>
      <c r="I264" s="16" t="n"/>
      <c r="J264" s="16" t="n"/>
      <c r="K264" s="16" t="n"/>
      <c r="L264" s="17">
        <f>IF($D264="","",IF(AND($J264="Received",$K264&lt;&gt;"Yes",LEFT($N264,2)="OK"),"Yes","No"))</f>
        <v/>
      </c>
      <c r="M264" s="16" t="n"/>
      <c r="N264" s="17">
        <f>IF($D264="","",IF(AND($F264&lt;&gt;"Classroom",$F264&lt;&gt;"PT"),"TYPE NOT CREDITED",IF($C264="","NO MAKEUP DATE",IF(NOT(ISNUMBER($C264)),"MAKEUP DATE NOT A DATE",IF(OR(AND($G264&lt;&gt;"",NOT(ISNUMBER($G264))),AND($H264&lt;&gt;"",NOT(ISNUMBER($H264)))),"CREDIT NOT A NUMBER",IF(OR(N($G264)&lt;0,N($H264)&lt;0),"NEGATIVE CREDIT",IF(AND($F264="Classroom",N($G264)&lt;=0),"NO MINUTES CREDITED",IF(AND($F264="PT",N($H264)&lt;=0),"NO SESSIONS CREDITED",IF($I264="","NO LINKED EVENT",IF(COUNTIF(nrAT_ID,$I264)=0,"NO SUCH EVENT",IF(INDEX(nrAT_PID,MATCH($I264,nrAT_ID,0))&lt;&gt;$E264,"WRONG CADET",IF(INDEX(nrAT_IsPT,MATCH($I264,nrAT_ID,0))&lt;&gt;IF($F264="PT","Yes","No"),"UNIT MISMATCH","OK"))))))))))))</f>
        <v/>
      </c>
    </row>
    <row r="265">
      <c r="B265" s="17">
        <f>IF($D265="","","M"&amp;TEXT(ROW()-5,"000"))</f>
        <v/>
      </c>
      <c r="C265" s="18" t="n"/>
      <c r="D265" s="16" t="n"/>
      <c r="E265" s="17">
        <f>IF($D265="","",IFERROR(INDEX(rngCadetPIDs,MATCH($D265,rngCadetNames,0)),"?"))</f>
        <v/>
      </c>
      <c r="F265" s="16" t="n"/>
      <c r="G265" s="16" t="n"/>
      <c r="H265" s="16" t="n"/>
      <c r="I265" s="16" t="n"/>
      <c r="J265" s="16" t="n"/>
      <c r="K265" s="16" t="n"/>
      <c r="L265" s="17">
        <f>IF($D265="","",IF(AND($J265="Received",$K265&lt;&gt;"Yes",LEFT($N265,2)="OK"),"Yes","No"))</f>
        <v/>
      </c>
      <c r="M265" s="16" t="n"/>
      <c r="N265" s="17">
        <f>IF($D265="","",IF(AND($F265&lt;&gt;"Classroom",$F265&lt;&gt;"PT"),"TYPE NOT CREDITED",IF($C265="","NO MAKEUP DATE",IF(NOT(ISNUMBER($C265)),"MAKEUP DATE NOT A DATE",IF(OR(AND($G265&lt;&gt;"",NOT(ISNUMBER($G265))),AND($H265&lt;&gt;"",NOT(ISNUMBER($H265)))),"CREDIT NOT A NUMBER",IF(OR(N($G265)&lt;0,N($H265)&lt;0),"NEGATIVE CREDIT",IF(AND($F265="Classroom",N($G265)&lt;=0),"NO MINUTES CREDITED",IF(AND($F265="PT",N($H265)&lt;=0),"NO SESSIONS CREDITED",IF($I265="","NO LINKED EVENT",IF(COUNTIF(nrAT_ID,$I265)=0,"NO SUCH EVENT",IF(INDEX(nrAT_PID,MATCH($I265,nrAT_ID,0))&lt;&gt;$E265,"WRONG CADET",IF(INDEX(nrAT_IsPT,MATCH($I265,nrAT_ID,0))&lt;&gt;IF($F265="PT","Yes","No"),"UNIT MISMATCH","OK"))))))))))))</f>
        <v/>
      </c>
    </row>
    <row r="266">
      <c r="B266" s="17">
        <f>IF($D266="","","M"&amp;TEXT(ROW()-5,"000"))</f>
        <v/>
      </c>
      <c r="C266" s="18" t="n"/>
      <c r="D266" s="16" t="n"/>
      <c r="E266" s="17">
        <f>IF($D266="","",IFERROR(INDEX(rngCadetPIDs,MATCH($D266,rngCadetNames,0)),"?"))</f>
        <v/>
      </c>
      <c r="F266" s="16" t="n"/>
      <c r="G266" s="16" t="n"/>
      <c r="H266" s="16" t="n"/>
      <c r="I266" s="16" t="n"/>
      <c r="J266" s="16" t="n"/>
      <c r="K266" s="16" t="n"/>
      <c r="L266" s="17">
        <f>IF($D266="","",IF(AND($J266="Received",$K266&lt;&gt;"Yes",LEFT($N266,2)="OK"),"Yes","No"))</f>
        <v/>
      </c>
      <c r="M266" s="16" t="n"/>
      <c r="N266" s="17">
        <f>IF($D266="","",IF(AND($F266&lt;&gt;"Classroom",$F266&lt;&gt;"PT"),"TYPE NOT CREDITED",IF($C266="","NO MAKEUP DATE",IF(NOT(ISNUMBER($C266)),"MAKEUP DATE NOT A DATE",IF(OR(AND($G266&lt;&gt;"",NOT(ISNUMBER($G266))),AND($H266&lt;&gt;"",NOT(ISNUMBER($H266)))),"CREDIT NOT A NUMBER",IF(OR(N($G266)&lt;0,N($H266)&lt;0),"NEGATIVE CREDIT",IF(AND($F266="Classroom",N($G266)&lt;=0),"NO MINUTES CREDITED",IF(AND($F266="PT",N($H266)&lt;=0),"NO SESSIONS CREDITED",IF($I266="","NO LINKED EVENT",IF(COUNTIF(nrAT_ID,$I266)=0,"NO SUCH EVENT",IF(INDEX(nrAT_PID,MATCH($I266,nrAT_ID,0))&lt;&gt;$E266,"WRONG CADET",IF(INDEX(nrAT_IsPT,MATCH($I266,nrAT_ID,0))&lt;&gt;IF($F266="PT","Yes","No"),"UNIT MISMATCH","OK"))))))))))))</f>
        <v/>
      </c>
    </row>
    <row r="267">
      <c r="B267" s="17">
        <f>IF($D267="","","M"&amp;TEXT(ROW()-5,"000"))</f>
        <v/>
      </c>
      <c r="C267" s="18" t="n"/>
      <c r="D267" s="16" t="n"/>
      <c r="E267" s="17">
        <f>IF($D267="","",IFERROR(INDEX(rngCadetPIDs,MATCH($D267,rngCadetNames,0)),"?"))</f>
        <v/>
      </c>
      <c r="F267" s="16" t="n"/>
      <c r="G267" s="16" t="n"/>
      <c r="H267" s="16" t="n"/>
      <c r="I267" s="16" t="n"/>
      <c r="J267" s="16" t="n"/>
      <c r="K267" s="16" t="n"/>
      <c r="L267" s="17">
        <f>IF($D267="","",IF(AND($J267="Received",$K267&lt;&gt;"Yes",LEFT($N267,2)="OK"),"Yes","No"))</f>
        <v/>
      </c>
      <c r="M267" s="16" t="n"/>
      <c r="N267" s="17">
        <f>IF($D267="","",IF(AND($F267&lt;&gt;"Classroom",$F267&lt;&gt;"PT"),"TYPE NOT CREDITED",IF($C267="","NO MAKEUP DATE",IF(NOT(ISNUMBER($C267)),"MAKEUP DATE NOT A DATE",IF(OR(AND($G267&lt;&gt;"",NOT(ISNUMBER($G267))),AND($H267&lt;&gt;"",NOT(ISNUMBER($H267)))),"CREDIT NOT A NUMBER",IF(OR(N($G267)&lt;0,N($H267)&lt;0),"NEGATIVE CREDIT",IF(AND($F267="Classroom",N($G267)&lt;=0),"NO MINUTES CREDITED",IF(AND($F267="PT",N($H267)&lt;=0),"NO SESSIONS CREDITED",IF($I267="","NO LINKED EVENT",IF(COUNTIF(nrAT_ID,$I267)=0,"NO SUCH EVENT",IF(INDEX(nrAT_PID,MATCH($I267,nrAT_ID,0))&lt;&gt;$E267,"WRONG CADET",IF(INDEX(nrAT_IsPT,MATCH($I267,nrAT_ID,0))&lt;&gt;IF($F267="PT","Yes","No"),"UNIT MISMATCH","OK"))))))))))))</f>
        <v/>
      </c>
    </row>
    <row r="268">
      <c r="B268" s="17">
        <f>IF($D268="","","M"&amp;TEXT(ROW()-5,"000"))</f>
        <v/>
      </c>
      <c r="C268" s="18" t="n"/>
      <c r="D268" s="16" t="n"/>
      <c r="E268" s="17">
        <f>IF($D268="","",IFERROR(INDEX(rngCadetPIDs,MATCH($D268,rngCadetNames,0)),"?"))</f>
        <v/>
      </c>
      <c r="F268" s="16" t="n"/>
      <c r="G268" s="16" t="n"/>
      <c r="H268" s="16" t="n"/>
      <c r="I268" s="16" t="n"/>
      <c r="J268" s="16" t="n"/>
      <c r="K268" s="16" t="n"/>
      <c r="L268" s="17">
        <f>IF($D268="","",IF(AND($J268="Received",$K268&lt;&gt;"Yes",LEFT($N268,2)="OK"),"Yes","No"))</f>
        <v/>
      </c>
      <c r="M268" s="16" t="n"/>
      <c r="N268" s="17">
        <f>IF($D268="","",IF(AND($F268&lt;&gt;"Classroom",$F268&lt;&gt;"PT"),"TYPE NOT CREDITED",IF($C268="","NO MAKEUP DATE",IF(NOT(ISNUMBER($C268)),"MAKEUP DATE NOT A DATE",IF(OR(AND($G268&lt;&gt;"",NOT(ISNUMBER($G268))),AND($H268&lt;&gt;"",NOT(ISNUMBER($H268)))),"CREDIT NOT A NUMBER",IF(OR(N($G268)&lt;0,N($H268)&lt;0),"NEGATIVE CREDIT",IF(AND($F268="Classroom",N($G268)&lt;=0),"NO MINUTES CREDITED",IF(AND($F268="PT",N($H268)&lt;=0),"NO SESSIONS CREDITED",IF($I268="","NO LINKED EVENT",IF(COUNTIF(nrAT_ID,$I268)=0,"NO SUCH EVENT",IF(INDEX(nrAT_PID,MATCH($I268,nrAT_ID,0))&lt;&gt;$E268,"WRONG CADET",IF(INDEX(nrAT_IsPT,MATCH($I268,nrAT_ID,0))&lt;&gt;IF($F268="PT","Yes","No"),"UNIT MISMATCH","OK"))))))))))))</f>
        <v/>
      </c>
    </row>
    <row r="269">
      <c r="B269" s="17">
        <f>IF($D269="","","M"&amp;TEXT(ROW()-5,"000"))</f>
        <v/>
      </c>
      <c r="C269" s="18" t="n"/>
      <c r="D269" s="16" t="n"/>
      <c r="E269" s="17">
        <f>IF($D269="","",IFERROR(INDEX(rngCadetPIDs,MATCH($D269,rngCadetNames,0)),"?"))</f>
        <v/>
      </c>
      <c r="F269" s="16" t="n"/>
      <c r="G269" s="16" t="n"/>
      <c r="H269" s="16" t="n"/>
      <c r="I269" s="16" t="n"/>
      <c r="J269" s="16" t="n"/>
      <c r="K269" s="16" t="n"/>
      <c r="L269" s="17">
        <f>IF($D269="","",IF(AND($J269="Received",$K269&lt;&gt;"Yes",LEFT($N269,2)="OK"),"Yes","No"))</f>
        <v/>
      </c>
      <c r="M269" s="16" t="n"/>
      <c r="N269" s="17">
        <f>IF($D269="","",IF(AND($F269&lt;&gt;"Classroom",$F269&lt;&gt;"PT"),"TYPE NOT CREDITED",IF($C269="","NO MAKEUP DATE",IF(NOT(ISNUMBER($C269)),"MAKEUP DATE NOT A DATE",IF(OR(AND($G269&lt;&gt;"",NOT(ISNUMBER($G269))),AND($H269&lt;&gt;"",NOT(ISNUMBER($H269)))),"CREDIT NOT A NUMBER",IF(OR(N($G269)&lt;0,N($H269)&lt;0),"NEGATIVE CREDIT",IF(AND($F269="Classroom",N($G269)&lt;=0),"NO MINUTES CREDITED",IF(AND($F269="PT",N($H269)&lt;=0),"NO SESSIONS CREDITED",IF($I269="","NO LINKED EVENT",IF(COUNTIF(nrAT_ID,$I269)=0,"NO SUCH EVENT",IF(INDEX(nrAT_PID,MATCH($I269,nrAT_ID,0))&lt;&gt;$E269,"WRONG CADET",IF(INDEX(nrAT_IsPT,MATCH($I269,nrAT_ID,0))&lt;&gt;IF($F269="PT","Yes","No"),"UNIT MISMATCH","OK"))))))))))))</f>
        <v/>
      </c>
    </row>
    <row r="270">
      <c r="B270" s="17">
        <f>IF($D270="","","M"&amp;TEXT(ROW()-5,"000"))</f>
        <v/>
      </c>
      <c r="C270" s="18" t="n"/>
      <c r="D270" s="16" t="n"/>
      <c r="E270" s="17">
        <f>IF($D270="","",IFERROR(INDEX(rngCadetPIDs,MATCH($D270,rngCadetNames,0)),"?"))</f>
        <v/>
      </c>
      <c r="F270" s="16" t="n"/>
      <c r="G270" s="16" t="n"/>
      <c r="H270" s="16" t="n"/>
      <c r="I270" s="16" t="n"/>
      <c r="J270" s="16" t="n"/>
      <c r="K270" s="16" t="n"/>
      <c r="L270" s="17">
        <f>IF($D270="","",IF(AND($J270="Received",$K270&lt;&gt;"Yes",LEFT($N270,2)="OK"),"Yes","No"))</f>
        <v/>
      </c>
      <c r="M270" s="16" t="n"/>
      <c r="N270" s="17">
        <f>IF($D270="","",IF(AND($F270&lt;&gt;"Classroom",$F270&lt;&gt;"PT"),"TYPE NOT CREDITED",IF($C270="","NO MAKEUP DATE",IF(NOT(ISNUMBER($C270)),"MAKEUP DATE NOT A DATE",IF(OR(AND($G270&lt;&gt;"",NOT(ISNUMBER($G270))),AND($H270&lt;&gt;"",NOT(ISNUMBER($H270)))),"CREDIT NOT A NUMBER",IF(OR(N($G270)&lt;0,N($H270)&lt;0),"NEGATIVE CREDIT",IF(AND($F270="Classroom",N($G270)&lt;=0),"NO MINUTES CREDITED",IF(AND($F270="PT",N($H270)&lt;=0),"NO SESSIONS CREDITED",IF($I270="","NO LINKED EVENT",IF(COUNTIF(nrAT_ID,$I270)=0,"NO SUCH EVENT",IF(INDEX(nrAT_PID,MATCH($I270,nrAT_ID,0))&lt;&gt;$E270,"WRONG CADET",IF(INDEX(nrAT_IsPT,MATCH($I270,nrAT_ID,0))&lt;&gt;IF($F270="PT","Yes","No"),"UNIT MISMATCH","OK"))))))))))))</f>
        <v/>
      </c>
    </row>
    <row r="271">
      <c r="B271" s="17">
        <f>IF($D271="","","M"&amp;TEXT(ROW()-5,"000"))</f>
        <v/>
      </c>
      <c r="C271" s="18" t="n"/>
      <c r="D271" s="16" t="n"/>
      <c r="E271" s="17">
        <f>IF($D271="","",IFERROR(INDEX(rngCadetPIDs,MATCH($D271,rngCadetNames,0)),"?"))</f>
        <v/>
      </c>
      <c r="F271" s="16" t="n"/>
      <c r="G271" s="16" t="n"/>
      <c r="H271" s="16" t="n"/>
      <c r="I271" s="16" t="n"/>
      <c r="J271" s="16" t="n"/>
      <c r="K271" s="16" t="n"/>
      <c r="L271" s="17">
        <f>IF($D271="","",IF(AND($J271="Received",$K271&lt;&gt;"Yes",LEFT($N271,2)="OK"),"Yes","No"))</f>
        <v/>
      </c>
      <c r="M271" s="16" t="n"/>
      <c r="N271" s="17">
        <f>IF($D271="","",IF(AND($F271&lt;&gt;"Classroom",$F271&lt;&gt;"PT"),"TYPE NOT CREDITED",IF($C271="","NO MAKEUP DATE",IF(NOT(ISNUMBER($C271)),"MAKEUP DATE NOT A DATE",IF(OR(AND($G271&lt;&gt;"",NOT(ISNUMBER($G271))),AND($H271&lt;&gt;"",NOT(ISNUMBER($H271)))),"CREDIT NOT A NUMBER",IF(OR(N($G271)&lt;0,N($H271)&lt;0),"NEGATIVE CREDIT",IF(AND($F271="Classroom",N($G271)&lt;=0),"NO MINUTES CREDITED",IF(AND($F271="PT",N($H271)&lt;=0),"NO SESSIONS CREDITED",IF($I271="","NO LINKED EVENT",IF(COUNTIF(nrAT_ID,$I271)=0,"NO SUCH EVENT",IF(INDEX(nrAT_PID,MATCH($I271,nrAT_ID,0))&lt;&gt;$E271,"WRONG CADET",IF(INDEX(nrAT_IsPT,MATCH($I271,nrAT_ID,0))&lt;&gt;IF($F271="PT","Yes","No"),"UNIT MISMATCH","OK"))))))))))))</f>
        <v/>
      </c>
    </row>
    <row r="272">
      <c r="B272" s="17">
        <f>IF($D272="","","M"&amp;TEXT(ROW()-5,"000"))</f>
        <v/>
      </c>
      <c r="C272" s="18" t="n"/>
      <c r="D272" s="16" t="n"/>
      <c r="E272" s="17">
        <f>IF($D272="","",IFERROR(INDEX(rngCadetPIDs,MATCH($D272,rngCadetNames,0)),"?"))</f>
        <v/>
      </c>
      <c r="F272" s="16" t="n"/>
      <c r="G272" s="16" t="n"/>
      <c r="H272" s="16" t="n"/>
      <c r="I272" s="16" t="n"/>
      <c r="J272" s="16" t="n"/>
      <c r="K272" s="16" t="n"/>
      <c r="L272" s="17">
        <f>IF($D272="","",IF(AND($J272="Received",$K272&lt;&gt;"Yes",LEFT($N272,2)="OK"),"Yes","No"))</f>
        <v/>
      </c>
      <c r="M272" s="16" t="n"/>
      <c r="N272" s="17">
        <f>IF($D272="","",IF(AND($F272&lt;&gt;"Classroom",$F272&lt;&gt;"PT"),"TYPE NOT CREDITED",IF($C272="","NO MAKEUP DATE",IF(NOT(ISNUMBER($C272)),"MAKEUP DATE NOT A DATE",IF(OR(AND($G272&lt;&gt;"",NOT(ISNUMBER($G272))),AND($H272&lt;&gt;"",NOT(ISNUMBER($H272)))),"CREDIT NOT A NUMBER",IF(OR(N($G272)&lt;0,N($H272)&lt;0),"NEGATIVE CREDIT",IF(AND($F272="Classroom",N($G272)&lt;=0),"NO MINUTES CREDITED",IF(AND($F272="PT",N($H272)&lt;=0),"NO SESSIONS CREDITED",IF($I272="","NO LINKED EVENT",IF(COUNTIF(nrAT_ID,$I272)=0,"NO SUCH EVENT",IF(INDEX(nrAT_PID,MATCH($I272,nrAT_ID,0))&lt;&gt;$E272,"WRONG CADET",IF(INDEX(nrAT_IsPT,MATCH($I272,nrAT_ID,0))&lt;&gt;IF($F272="PT","Yes","No"),"UNIT MISMATCH","OK"))))))))))))</f>
        <v/>
      </c>
    </row>
    <row r="273">
      <c r="B273" s="17">
        <f>IF($D273="","","M"&amp;TEXT(ROW()-5,"000"))</f>
        <v/>
      </c>
      <c r="C273" s="18" t="n"/>
      <c r="D273" s="16" t="n"/>
      <c r="E273" s="17">
        <f>IF($D273="","",IFERROR(INDEX(rngCadetPIDs,MATCH($D273,rngCadetNames,0)),"?"))</f>
        <v/>
      </c>
      <c r="F273" s="16" t="n"/>
      <c r="G273" s="16" t="n"/>
      <c r="H273" s="16" t="n"/>
      <c r="I273" s="16" t="n"/>
      <c r="J273" s="16" t="n"/>
      <c r="K273" s="16" t="n"/>
      <c r="L273" s="17">
        <f>IF($D273="","",IF(AND($J273="Received",$K273&lt;&gt;"Yes",LEFT($N273,2)="OK"),"Yes","No"))</f>
        <v/>
      </c>
      <c r="M273" s="16" t="n"/>
      <c r="N273" s="17">
        <f>IF($D273="","",IF(AND($F273&lt;&gt;"Classroom",$F273&lt;&gt;"PT"),"TYPE NOT CREDITED",IF($C273="","NO MAKEUP DATE",IF(NOT(ISNUMBER($C273)),"MAKEUP DATE NOT A DATE",IF(OR(AND($G273&lt;&gt;"",NOT(ISNUMBER($G273))),AND($H273&lt;&gt;"",NOT(ISNUMBER($H273)))),"CREDIT NOT A NUMBER",IF(OR(N($G273)&lt;0,N($H273)&lt;0),"NEGATIVE CREDIT",IF(AND($F273="Classroom",N($G273)&lt;=0),"NO MINUTES CREDITED",IF(AND($F273="PT",N($H273)&lt;=0),"NO SESSIONS CREDITED",IF($I273="","NO LINKED EVENT",IF(COUNTIF(nrAT_ID,$I273)=0,"NO SUCH EVENT",IF(INDEX(nrAT_PID,MATCH($I273,nrAT_ID,0))&lt;&gt;$E273,"WRONG CADET",IF(INDEX(nrAT_IsPT,MATCH($I273,nrAT_ID,0))&lt;&gt;IF($F273="PT","Yes","No"),"UNIT MISMATCH","OK"))))))))))))</f>
        <v/>
      </c>
    </row>
    <row r="274">
      <c r="B274" s="17">
        <f>IF($D274="","","M"&amp;TEXT(ROW()-5,"000"))</f>
        <v/>
      </c>
      <c r="C274" s="18" t="n"/>
      <c r="D274" s="16" t="n"/>
      <c r="E274" s="17">
        <f>IF($D274="","",IFERROR(INDEX(rngCadetPIDs,MATCH($D274,rngCadetNames,0)),"?"))</f>
        <v/>
      </c>
      <c r="F274" s="16" t="n"/>
      <c r="G274" s="16" t="n"/>
      <c r="H274" s="16" t="n"/>
      <c r="I274" s="16" t="n"/>
      <c r="J274" s="16" t="n"/>
      <c r="K274" s="16" t="n"/>
      <c r="L274" s="17">
        <f>IF($D274="","",IF(AND($J274="Received",$K274&lt;&gt;"Yes",LEFT($N274,2)="OK"),"Yes","No"))</f>
        <v/>
      </c>
      <c r="M274" s="16" t="n"/>
      <c r="N274" s="17">
        <f>IF($D274="","",IF(AND($F274&lt;&gt;"Classroom",$F274&lt;&gt;"PT"),"TYPE NOT CREDITED",IF($C274="","NO MAKEUP DATE",IF(NOT(ISNUMBER($C274)),"MAKEUP DATE NOT A DATE",IF(OR(AND($G274&lt;&gt;"",NOT(ISNUMBER($G274))),AND($H274&lt;&gt;"",NOT(ISNUMBER($H274)))),"CREDIT NOT A NUMBER",IF(OR(N($G274)&lt;0,N($H274)&lt;0),"NEGATIVE CREDIT",IF(AND($F274="Classroom",N($G274)&lt;=0),"NO MINUTES CREDITED",IF(AND($F274="PT",N($H274)&lt;=0),"NO SESSIONS CREDITED",IF($I274="","NO LINKED EVENT",IF(COUNTIF(nrAT_ID,$I274)=0,"NO SUCH EVENT",IF(INDEX(nrAT_PID,MATCH($I274,nrAT_ID,0))&lt;&gt;$E274,"WRONG CADET",IF(INDEX(nrAT_IsPT,MATCH($I274,nrAT_ID,0))&lt;&gt;IF($F274="PT","Yes","No"),"UNIT MISMATCH","OK"))))))))))))</f>
        <v/>
      </c>
    </row>
    <row r="275">
      <c r="B275" s="17">
        <f>IF($D275="","","M"&amp;TEXT(ROW()-5,"000"))</f>
        <v/>
      </c>
      <c r="C275" s="18" t="n"/>
      <c r="D275" s="16" t="n"/>
      <c r="E275" s="17">
        <f>IF($D275="","",IFERROR(INDEX(rngCadetPIDs,MATCH($D275,rngCadetNames,0)),"?"))</f>
        <v/>
      </c>
      <c r="F275" s="16" t="n"/>
      <c r="G275" s="16" t="n"/>
      <c r="H275" s="16" t="n"/>
      <c r="I275" s="16" t="n"/>
      <c r="J275" s="16" t="n"/>
      <c r="K275" s="16" t="n"/>
      <c r="L275" s="17">
        <f>IF($D275="","",IF(AND($J275="Received",$K275&lt;&gt;"Yes",LEFT($N275,2)="OK"),"Yes","No"))</f>
        <v/>
      </c>
      <c r="M275" s="16" t="n"/>
      <c r="N275" s="17">
        <f>IF($D275="","",IF(AND($F275&lt;&gt;"Classroom",$F275&lt;&gt;"PT"),"TYPE NOT CREDITED",IF($C275="","NO MAKEUP DATE",IF(NOT(ISNUMBER($C275)),"MAKEUP DATE NOT A DATE",IF(OR(AND($G275&lt;&gt;"",NOT(ISNUMBER($G275))),AND($H275&lt;&gt;"",NOT(ISNUMBER($H275)))),"CREDIT NOT A NUMBER",IF(OR(N($G275)&lt;0,N($H275)&lt;0),"NEGATIVE CREDIT",IF(AND($F275="Classroom",N($G275)&lt;=0),"NO MINUTES CREDITED",IF(AND($F275="PT",N($H275)&lt;=0),"NO SESSIONS CREDITED",IF($I275="","NO LINKED EVENT",IF(COUNTIF(nrAT_ID,$I275)=0,"NO SUCH EVENT",IF(INDEX(nrAT_PID,MATCH($I275,nrAT_ID,0))&lt;&gt;$E275,"WRONG CADET",IF(INDEX(nrAT_IsPT,MATCH($I275,nrAT_ID,0))&lt;&gt;IF($F275="PT","Yes","No"),"UNIT MISMATCH","OK"))))))))))))</f>
        <v/>
      </c>
    </row>
    <row r="276">
      <c r="B276" s="17">
        <f>IF($D276="","","M"&amp;TEXT(ROW()-5,"000"))</f>
        <v/>
      </c>
      <c r="C276" s="18" t="n"/>
      <c r="D276" s="16" t="n"/>
      <c r="E276" s="17">
        <f>IF($D276="","",IFERROR(INDEX(rngCadetPIDs,MATCH($D276,rngCadetNames,0)),"?"))</f>
        <v/>
      </c>
      <c r="F276" s="16" t="n"/>
      <c r="G276" s="16" t="n"/>
      <c r="H276" s="16" t="n"/>
      <c r="I276" s="16" t="n"/>
      <c r="J276" s="16" t="n"/>
      <c r="K276" s="16" t="n"/>
      <c r="L276" s="17">
        <f>IF($D276="","",IF(AND($J276="Received",$K276&lt;&gt;"Yes",LEFT($N276,2)="OK"),"Yes","No"))</f>
        <v/>
      </c>
      <c r="M276" s="16" t="n"/>
      <c r="N276" s="17">
        <f>IF($D276="","",IF(AND($F276&lt;&gt;"Classroom",$F276&lt;&gt;"PT"),"TYPE NOT CREDITED",IF($C276="","NO MAKEUP DATE",IF(NOT(ISNUMBER($C276)),"MAKEUP DATE NOT A DATE",IF(OR(AND($G276&lt;&gt;"",NOT(ISNUMBER($G276))),AND($H276&lt;&gt;"",NOT(ISNUMBER($H276)))),"CREDIT NOT A NUMBER",IF(OR(N($G276)&lt;0,N($H276)&lt;0),"NEGATIVE CREDIT",IF(AND($F276="Classroom",N($G276)&lt;=0),"NO MINUTES CREDITED",IF(AND($F276="PT",N($H276)&lt;=0),"NO SESSIONS CREDITED",IF($I276="","NO LINKED EVENT",IF(COUNTIF(nrAT_ID,$I276)=0,"NO SUCH EVENT",IF(INDEX(nrAT_PID,MATCH($I276,nrAT_ID,0))&lt;&gt;$E276,"WRONG CADET",IF(INDEX(nrAT_IsPT,MATCH($I276,nrAT_ID,0))&lt;&gt;IF($F276="PT","Yes","No"),"UNIT MISMATCH","OK"))))))))))))</f>
        <v/>
      </c>
    </row>
    <row r="277">
      <c r="B277" s="17">
        <f>IF($D277="","","M"&amp;TEXT(ROW()-5,"000"))</f>
        <v/>
      </c>
      <c r="C277" s="18" t="n"/>
      <c r="D277" s="16" t="n"/>
      <c r="E277" s="17">
        <f>IF($D277="","",IFERROR(INDEX(rngCadetPIDs,MATCH($D277,rngCadetNames,0)),"?"))</f>
        <v/>
      </c>
      <c r="F277" s="16" t="n"/>
      <c r="G277" s="16" t="n"/>
      <c r="H277" s="16" t="n"/>
      <c r="I277" s="16" t="n"/>
      <c r="J277" s="16" t="n"/>
      <c r="K277" s="16" t="n"/>
      <c r="L277" s="17">
        <f>IF($D277="","",IF(AND($J277="Received",$K277&lt;&gt;"Yes",LEFT($N277,2)="OK"),"Yes","No"))</f>
        <v/>
      </c>
      <c r="M277" s="16" t="n"/>
      <c r="N277" s="17">
        <f>IF($D277="","",IF(AND($F277&lt;&gt;"Classroom",$F277&lt;&gt;"PT"),"TYPE NOT CREDITED",IF($C277="","NO MAKEUP DATE",IF(NOT(ISNUMBER($C277)),"MAKEUP DATE NOT A DATE",IF(OR(AND($G277&lt;&gt;"",NOT(ISNUMBER($G277))),AND($H277&lt;&gt;"",NOT(ISNUMBER($H277)))),"CREDIT NOT A NUMBER",IF(OR(N($G277)&lt;0,N($H277)&lt;0),"NEGATIVE CREDIT",IF(AND($F277="Classroom",N($G277)&lt;=0),"NO MINUTES CREDITED",IF(AND($F277="PT",N($H277)&lt;=0),"NO SESSIONS CREDITED",IF($I277="","NO LINKED EVENT",IF(COUNTIF(nrAT_ID,$I277)=0,"NO SUCH EVENT",IF(INDEX(nrAT_PID,MATCH($I277,nrAT_ID,0))&lt;&gt;$E277,"WRONG CADET",IF(INDEX(nrAT_IsPT,MATCH($I277,nrAT_ID,0))&lt;&gt;IF($F277="PT","Yes","No"),"UNIT MISMATCH","OK"))))))))))))</f>
        <v/>
      </c>
    </row>
    <row r="278">
      <c r="B278" s="17">
        <f>IF($D278="","","M"&amp;TEXT(ROW()-5,"000"))</f>
        <v/>
      </c>
      <c r="C278" s="18" t="n"/>
      <c r="D278" s="16" t="n"/>
      <c r="E278" s="17">
        <f>IF($D278="","",IFERROR(INDEX(rngCadetPIDs,MATCH($D278,rngCadetNames,0)),"?"))</f>
        <v/>
      </c>
      <c r="F278" s="16" t="n"/>
      <c r="G278" s="16" t="n"/>
      <c r="H278" s="16" t="n"/>
      <c r="I278" s="16" t="n"/>
      <c r="J278" s="16" t="n"/>
      <c r="K278" s="16" t="n"/>
      <c r="L278" s="17">
        <f>IF($D278="","",IF(AND($J278="Received",$K278&lt;&gt;"Yes",LEFT($N278,2)="OK"),"Yes","No"))</f>
        <v/>
      </c>
      <c r="M278" s="16" t="n"/>
      <c r="N278" s="17">
        <f>IF($D278="","",IF(AND($F278&lt;&gt;"Classroom",$F278&lt;&gt;"PT"),"TYPE NOT CREDITED",IF($C278="","NO MAKEUP DATE",IF(NOT(ISNUMBER($C278)),"MAKEUP DATE NOT A DATE",IF(OR(AND($G278&lt;&gt;"",NOT(ISNUMBER($G278))),AND($H278&lt;&gt;"",NOT(ISNUMBER($H278)))),"CREDIT NOT A NUMBER",IF(OR(N($G278)&lt;0,N($H278)&lt;0),"NEGATIVE CREDIT",IF(AND($F278="Classroom",N($G278)&lt;=0),"NO MINUTES CREDITED",IF(AND($F278="PT",N($H278)&lt;=0),"NO SESSIONS CREDITED",IF($I278="","NO LINKED EVENT",IF(COUNTIF(nrAT_ID,$I278)=0,"NO SUCH EVENT",IF(INDEX(nrAT_PID,MATCH($I278,nrAT_ID,0))&lt;&gt;$E278,"WRONG CADET",IF(INDEX(nrAT_IsPT,MATCH($I278,nrAT_ID,0))&lt;&gt;IF($F278="PT","Yes","No"),"UNIT MISMATCH","OK"))))))))))))</f>
        <v/>
      </c>
    </row>
    <row r="279">
      <c r="B279" s="17">
        <f>IF($D279="","","M"&amp;TEXT(ROW()-5,"000"))</f>
        <v/>
      </c>
      <c r="C279" s="18" t="n"/>
      <c r="D279" s="16" t="n"/>
      <c r="E279" s="17">
        <f>IF($D279="","",IFERROR(INDEX(rngCadetPIDs,MATCH($D279,rngCadetNames,0)),"?"))</f>
        <v/>
      </c>
      <c r="F279" s="16" t="n"/>
      <c r="G279" s="16" t="n"/>
      <c r="H279" s="16" t="n"/>
      <c r="I279" s="16" t="n"/>
      <c r="J279" s="16" t="n"/>
      <c r="K279" s="16" t="n"/>
      <c r="L279" s="17">
        <f>IF($D279="","",IF(AND($J279="Received",$K279&lt;&gt;"Yes",LEFT($N279,2)="OK"),"Yes","No"))</f>
        <v/>
      </c>
      <c r="M279" s="16" t="n"/>
      <c r="N279" s="17">
        <f>IF($D279="","",IF(AND($F279&lt;&gt;"Classroom",$F279&lt;&gt;"PT"),"TYPE NOT CREDITED",IF($C279="","NO MAKEUP DATE",IF(NOT(ISNUMBER($C279)),"MAKEUP DATE NOT A DATE",IF(OR(AND($G279&lt;&gt;"",NOT(ISNUMBER($G279))),AND($H279&lt;&gt;"",NOT(ISNUMBER($H279)))),"CREDIT NOT A NUMBER",IF(OR(N($G279)&lt;0,N($H279)&lt;0),"NEGATIVE CREDIT",IF(AND($F279="Classroom",N($G279)&lt;=0),"NO MINUTES CREDITED",IF(AND($F279="PT",N($H279)&lt;=0),"NO SESSIONS CREDITED",IF($I279="","NO LINKED EVENT",IF(COUNTIF(nrAT_ID,$I279)=0,"NO SUCH EVENT",IF(INDEX(nrAT_PID,MATCH($I279,nrAT_ID,0))&lt;&gt;$E279,"WRONG CADET",IF(INDEX(nrAT_IsPT,MATCH($I279,nrAT_ID,0))&lt;&gt;IF($F279="PT","Yes","No"),"UNIT MISMATCH","OK"))))))))))))</f>
        <v/>
      </c>
    </row>
    <row r="280">
      <c r="B280" s="17">
        <f>IF($D280="","","M"&amp;TEXT(ROW()-5,"000"))</f>
        <v/>
      </c>
      <c r="C280" s="18" t="n"/>
      <c r="D280" s="16" t="n"/>
      <c r="E280" s="17">
        <f>IF($D280="","",IFERROR(INDEX(rngCadetPIDs,MATCH($D280,rngCadetNames,0)),"?"))</f>
        <v/>
      </c>
      <c r="F280" s="16" t="n"/>
      <c r="G280" s="16" t="n"/>
      <c r="H280" s="16" t="n"/>
      <c r="I280" s="16" t="n"/>
      <c r="J280" s="16" t="n"/>
      <c r="K280" s="16" t="n"/>
      <c r="L280" s="17">
        <f>IF($D280="","",IF(AND($J280="Received",$K280&lt;&gt;"Yes",LEFT($N280,2)="OK"),"Yes","No"))</f>
        <v/>
      </c>
      <c r="M280" s="16" t="n"/>
      <c r="N280" s="17">
        <f>IF($D280="","",IF(AND($F280&lt;&gt;"Classroom",$F280&lt;&gt;"PT"),"TYPE NOT CREDITED",IF($C280="","NO MAKEUP DATE",IF(NOT(ISNUMBER($C280)),"MAKEUP DATE NOT A DATE",IF(OR(AND($G280&lt;&gt;"",NOT(ISNUMBER($G280))),AND($H280&lt;&gt;"",NOT(ISNUMBER($H280)))),"CREDIT NOT A NUMBER",IF(OR(N($G280)&lt;0,N($H280)&lt;0),"NEGATIVE CREDIT",IF(AND($F280="Classroom",N($G280)&lt;=0),"NO MINUTES CREDITED",IF(AND($F280="PT",N($H280)&lt;=0),"NO SESSIONS CREDITED",IF($I280="","NO LINKED EVENT",IF(COUNTIF(nrAT_ID,$I280)=0,"NO SUCH EVENT",IF(INDEX(nrAT_PID,MATCH($I280,nrAT_ID,0))&lt;&gt;$E280,"WRONG CADET",IF(INDEX(nrAT_IsPT,MATCH($I280,nrAT_ID,0))&lt;&gt;IF($F280="PT","Yes","No"),"UNIT MISMATCH","OK"))))))))))))</f>
        <v/>
      </c>
    </row>
    <row r="281">
      <c r="B281" s="17">
        <f>IF($D281="","","M"&amp;TEXT(ROW()-5,"000"))</f>
        <v/>
      </c>
      <c r="C281" s="18" t="n"/>
      <c r="D281" s="16" t="n"/>
      <c r="E281" s="17">
        <f>IF($D281="","",IFERROR(INDEX(rngCadetPIDs,MATCH($D281,rngCadetNames,0)),"?"))</f>
        <v/>
      </c>
      <c r="F281" s="16" t="n"/>
      <c r="G281" s="16" t="n"/>
      <c r="H281" s="16" t="n"/>
      <c r="I281" s="16" t="n"/>
      <c r="J281" s="16" t="n"/>
      <c r="K281" s="16" t="n"/>
      <c r="L281" s="17">
        <f>IF($D281="","",IF(AND($J281="Received",$K281&lt;&gt;"Yes",LEFT($N281,2)="OK"),"Yes","No"))</f>
        <v/>
      </c>
      <c r="M281" s="16" t="n"/>
      <c r="N281" s="17">
        <f>IF($D281="","",IF(AND($F281&lt;&gt;"Classroom",$F281&lt;&gt;"PT"),"TYPE NOT CREDITED",IF($C281="","NO MAKEUP DATE",IF(NOT(ISNUMBER($C281)),"MAKEUP DATE NOT A DATE",IF(OR(AND($G281&lt;&gt;"",NOT(ISNUMBER($G281))),AND($H281&lt;&gt;"",NOT(ISNUMBER($H281)))),"CREDIT NOT A NUMBER",IF(OR(N($G281)&lt;0,N($H281)&lt;0),"NEGATIVE CREDIT",IF(AND($F281="Classroom",N($G281)&lt;=0),"NO MINUTES CREDITED",IF(AND($F281="PT",N($H281)&lt;=0),"NO SESSIONS CREDITED",IF($I281="","NO LINKED EVENT",IF(COUNTIF(nrAT_ID,$I281)=0,"NO SUCH EVENT",IF(INDEX(nrAT_PID,MATCH($I281,nrAT_ID,0))&lt;&gt;$E281,"WRONG CADET",IF(INDEX(nrAT_IsPT,MATCH($I281,nrAT_ID,0))&lt;&gt;IF($F281="PT","Yes","No"),"UNIT MISMATCH","OK"))))))))))))</f>
        <v/>
      </c>
    </row>
    <row r="282">
      <c r="B282" s="17">
        <f>IF($D282="","","M"&amp;TEXT(ROW()-5,"000"))</f>
        <v/>
      </c>
      <c r="C282" s="18" t="n"/>
      <c r="D282" s="16" t="n"/>
      <c r="E282" s="17">
        <f>IF($D282="","",IFERROR(INDEX(rngCadetPIDs,MATCH($D282,rngCadetNames,0)),"?"))</f>
        <v/>
      </c>
      <c r="F282" s="16" t="n"/>
      <c r="G282" s="16" t="n"/>
      <c r="H282" s="16" t="n"/>
      <c r="I282" s="16" t="n"/>
      <c r="J282" s="16" t="n"/>
      <c r="K282" s="16" t="n"/>
      <c r="L282" s="17">
        <f>IF($D282="","",IF(AND($J282="Received",$K282&lt;&gt;"Yes",LEFT($N282,2)="OK"),"Yes","No"))</f>
        <v/>
      </c>
      <c r="M282" s="16" t="n"/>
      <c r="N282" s="17">
        <f>IF($D282="","",IF(AND($F282&lt;&gt;"Classroom",$F282&lt;&gt;"PT"),"TYPE NOT CREDITED",IF($C282="","NO MAKEUP DATE",IF(NOT(ISNUMBER($C282)),"MAKEUP DATE NOT A DATE",IF(OR(AND($G282&lt;&gt;"",NOT(ISNUMBER($G282))),AND($H282&lt;&gt;"",NOT(ISNUMBER($H282)))),"CREDIT NOT A NUMBER",IF(OR(N($G282)&lt;0,N($H282)&lt;0),"NEGATIVE CREDIT",IF(AND($F282="Classroom",N($G282)&lt;=0),"NO MINUTES CREDITED",IF(AND($F282="PT",N($H282)&lt;=0),"NO SESSIONS CREDITED",IF($I282="","NO LINKED EVENT",IF(COUNTIF(nrAT_ID,$I282)=0,"NO SUCH EVENT",IF(INDEX(nrAT_PID,MATCH($I282,nrAT_ID,0))&lt;&gt;$E282,"WRONG CADET",IF(INDEX(nrAT_IsPT,MATCH($I282,nrAT_ID,0))&lt;&gt;IF($F282="PT","Yes","No"),"UNIT MISMATCH","OK"))))))))))))</f>
        <v/>
      </c>
    </row>
    <row r="283">
      <c r="B283" s="17">
        <f>IF($D283="","","M"&amp;TEXT(ROW()-5,"000"))</f>
        <v/>
      </c>
      <c r="C283" s="18" t="n"/>
      <c r="D283" s="16" t="n"/>
      <c r="E283" s="17">
        <f>IF($D283="","",IFERROR(INDEX(rngCadetPIDs,MATCH($D283,rngCadetNames,0)),"?"))</f>
        <v/>
      </c>
      <c r="F283" s="16" t="n"/>
      <c r="G283" s="16" t="n"/>
      <c r="H283" s="16" t="n"/>
      <c r="I283" s="16" t="n"/>
      <c r="J283" s="16" t="n"/>
      <c r="K283" s="16" t="n"/>
      <c r="L283" s="17">
        <f>IF($D283="","",IF(AND($J283="Received",$K283&lt;&gt;"Yes",LEFT($N283,2)="OK"),"Yes","No"))</f>
        <v/>
      </c>
      <c r="M283" s="16" t="n"/>
      <c r="N283" s="17">
        <f>IF($D283="","",IF(AND($F283&lt;&gt;"Classroom",$F283&lt;&gt;"PT"),"TYPE NOT CREDITED",IF($C283="","NO MAKEUP DATE",IF(NOT(ISNUMBER($C283)),"MAKEUP DATE NOT A DATE",IF(OR(AND($G283&lt;&gt;"",NOT(ISNUMBER($G283))),AND($H283&lt;&gt;"",NOT(ISNUMBER($H283)))),"CREDIT NOT A NUMBER",IF(OR(N($G283)&lt;0,N($H283)&lt;0),"NEGATIVE CREDIT",IF(AND($F283="Classroom",N($G283)&lt;=0),"NO MINUTES CREDITED",IF(AND($F283="PT",N($H283)&lt;=0),"NO SESSIONS CREDITED",IF($I283="","NO LINKED EVENT",IF(COUNTIF(nrAT_ID,$I283)=0,"NO SUCH EVENT",IF(INDEX(nrAT_PID,MATCH($I283,nrAT_ID,0))&lt;&gt;$E283,"WRONG CADET",IF(INDEX(nrAT_IsPT,MATCH($I283,nrAT_ID,0))&lt;&gt;IF($F283="PT","Yes","No"),"UNIT MISMATCH","OK"))))))))))))</f>
        <v/>
      </c>
    </row>
    <row r="284">
      <c r="B284" s="17">
        <f>IF($D284="","","M"&amp;TEXT(ROW()-5,"000"))</f>
        <v/>
      </c>
      <c r="C284" s="18" t="n"/>
      <c r="D284" s="16" t="n"/>
      <c r="E284" s="17">
        <f>IF($D284="","",IFERROR(INDEX(rngCadetPIDs,MATCH($D284,rngCadetNames,0)),"?"))</f>
        <v/>
      </c>
      <c r="F284" s="16" t="n"/>
      <c r="G284" s="16" t="n"/>
      <c r="H284" s="16" t="n"/>
      <c r="I284" s="16" t="n"/>
      <c r="J284" s="16" t="n"/>
      <c r="K284" s="16" t="n"/>
      <c r="L284" s="17">
        <f>IF($D284="","",IF(AND($J284="Received",$K284&lt;&gt;"Yes",LEFT($N284,2)="OK"),"Yes","No"))</f>
        <v/>
      </c>
      <c r="M284" s="16" t="n"/>
      <c r="N284" s="17">
        <f>IF($D284="","",IF(AND($F284&lt;&gt;"Classroom",$F284&lt;&gt;"PT"),"TYPE NOT CREDITED",IF($C284="","NO MAKEUP DATE",IF(NOT(ISNUMBER($C284)),"MAKEUP DATE NOT A DATE",IF(OR(AND($G284&lt;&gt;"",NOT(ISNUMBER($G284))),AND($H284&lt;&gt;"",NOT(ISNUMBER($H284)))),"CREDIT NOT A NUMBER",IF(OR(N($G284)&lt;0,N($H284)&lt;0),"NEGATIVE CREDIT",IF(AND($F284="Classroom",N($G284)&lt;=0),"NO MINUTES CREDITED",IF(AND($F284="PT",N($H284)&lt;=0),"NO SESSIONS CREDITED",IF($I284="","NO LINKED EVENT",IF(COUNTIF(nrAT_ID,$I284)=0,"NO SUCH EVENT",IF(INDEX(nrAT_PID,MATCH($I284,nrAT_ID,0))&lt;&gt;$E284,"WRONG CADET",IF(INDEX(nrAT_IsPT,MATCH($I284,nrAT_ID,0))&lt;&gt;IF($F284="PT","Yes","No"),"UNIT MISMATCH","OK"))))))))))))</f>
        <v/>
      </c>
    </row>
    <row r="285">
      <c r="B285" s="17">
        <f>IF($D285="","","M"&amp;TEXT(ROW()-5,"000"))</f>
        <v/>
      </c>
      <c r="C285" s="18" t="n"/>
      <c r="D285" s="16" t="n"/>
      <c r="E285" s="17">
        <f>IF($D285="","",IFERROR(INDEX(rngCadetPIDs,MATCH($D285,rngCadetNames,0)),"?"))</f>
        <v/>
      </c>
      <c r="F285" s="16" t="n"/>
      <c r="G285" s="16" t="n"/>
      <c r="H285" s="16" t="n"/>
      <c r="I285" s="16" t="n"/>
      <c r="J285" s="16" t="n"/>
      <c r="K285" s="16" t="n"/>
      <c r="L285" s="17">
        <f>IF($D285="","",IF(AND($J285="Received",$K285&lt;&gt;"Yes",LEFT($N285,2)="OK"),"Yes","No"))</f>
        <v/>
      </c>
      <c r="M285" s="16" t="n"/>
      <c r="N285" s="17">
        <f>IF($D285="","",IF(AND($F285&lt;&gt;"Classroom",$F285&lt;&gt;"PT"),"TYPE NOT CREDITED",IF($C285="","NO MAKEUP DATE",IF(NOT(ISNUMBER($C285)),"MAKEUP DATE NOT A DATE",IF(OR(AND($G285&lt;&gt;"",NOT(ISNUMBER($G285))),AND($H285&lt;&gt;"",NOT(ISNUMBER($H285)))),"CREDIT NOT A NUMBER",IF(OR(N($G285)&lt;0,N($H285)&lt;0),"NEGATIVE CREDIT",IF(AND($F285="Classroom",N($G285)&lt;=0),"NO MINUTES CREDITED",IF(AND($F285="PT",N($H285)&lt;=0),"NO SESSIONS CREDITED",IF($I285="","NO LINKED EVENT",IF(COUNTIF(nrAT_ID,$I285)=0,"NO SUCH EVENT",IF(INDEX(nrAT_PID,MATCH($I285,nrAT_ID,0))&lt;&gt;$E285,"WRONG CADET",IF(INDEX(nrAT_IsPT,MATCH($I285,nrAT_ID,0))&lt;&gt;IF($F285="PT","Yes","No"),"UNIT MISMATCH","OK"))))))))))))</f>
        <v/>
      </c>
    </row>
    <row r="286">
      <c r="B286" s="17">
        <f>IF($D286="","","M"&amp;TEXT(ROW()-5,"000"))</f>
        <v/>
      </c>
      <c r="C286" s="18" t="n"/>
      <c r="D286" s="16" t="n"/>
      <c r="E286" s="17">
        <f>IF($D286="","",IFERROR(INDEX(rngCadetPIDs,MATCH($D286,rngCadetNames,0)),"?"))</f>
        <v/>
      </c>
      <c r="F286" s="16" t="n"/>
      <c r="G286" s="16" t="n"/>
      <c r="H286" s="16" t="n"/>
      <c r="I286" s="16" t="n"/>
      <c r="J286" s="16" t="n"/>
      <c r="K286" s="16" t="n"/>
      <c r="L286" s="17">
        <f>IF($D286="","",IF(AND($J286="Received",$K286&lt;&gt;"Yes",LEFT($N286,2)="OK"),"Yes","No"))</f>
        <v/>
      </c>
      <c r="M286" s="16" t="n"/>
      <c r="N286" s="17">
        <f>IF($D286="","",IF(AND($F286&lt;&gt;"Classroom",$F286&lt;&gt;"PT"),"TYPE NOT CREDITED",IF($C286="","NO MAKEUP DATE",IF(NOT(ISNUMBER($C286)),"MAKEUP DATE NOT A DATE",IF(OR(AND($G286&lt;&gt;"",NOT(ISNUMBER($G286))),AND($H286&lt;&gt;"",NOT(ISNUMBER($H286)))),"CREDIT NOT A NUMBER",IF(OR(N($G286)&lt;0,N($H286)&lt;0),"NEGATIVE CREDIT",IF(AND($F286="Classroom",N($G286)&lt;=0),"NO MINUTES CREDITED",IF(AND($F286="PT",N($H286)&lt;=0),"NO SESSIONS CREDITED",IF($I286="","NO LINKED EVENT",IF(COUNTIF(nrAT_ID,$I286)=0,"NO SUCH EVENT",IF(INDEX(nrAT_PID,MATCH($I286,nrAT_ID,0))&lt;&gt;$E286,"WRONG CADET",IF(INDEX(nrAT_IsPT,MATCH($I286,nrAT_ID,0))&lt;&gt;IF($F286="PT","Yes","No"),"UNIT MISMATCH","OK"))))))))))))</f>
        <v/>
      </c>
    </row>
    <row r="287">
      <c r="B287" s="17">
        <f>IF($D287="","","M"&amp;TEXT(ROW()-5,"000"))</f>
        <v/>
      </c>
      <c r="C287" s="18" t="n"/>
      <c r="D287" s="16" t="n"/>
      <c r="E287" s="17">
        <f>IF($D287="","",IFERROR(INDEX(rngCadetPIDs,MATCH($D287,rngCadetNames,0)),"?"))</f>
        <v/>
      </c>
      <c r="F287" s="16" t="n"/>
      <c r="G287" s="16" t="n"/>
      <c r="H287" s="16" t="n"/>
      <c r="I287" s="16" t="n"/>
      <c r="J287" s="16" t="n"/>
      <c r="K287" s="16" t="n"/>
      <c r="L287" s="17">
        <f>IF($D287="","",IF(AND($J287="Received",$K287&lt;&gt;"Yes",LEFT($N287,2)="OK"),"Yes","No"))</f>
        <v/>
      </c>
      <c r="M287" s="16" t="n"/>
      <c r="N287" s="17">
        <f>IF($D287="","",IF(AND($F287&lt;&gt;"Classroom",$F287&lt;&gt;"PT"),"TYPE NOT CREDITED",IF($C287="","NO MAKEUP DATE",IF(NOT(ISNUMBER($C287)),"MAKEUP DATE NOT A DATE",IF(OR(AND($G287&lt;&gt;"",NOT(ISNUMBER($G287))),AND($H287&lt;&gt;"",NOT(ISNUMBER($H287)))),"CREDIT NOT A NUMBER",IF(OR(N($G287)&lt;0,N($H287)&lt;0),"NEGATIVE CREDIT",IF(AND($F287="Classroom",N($G287)&lt;=0),"NO MINUTES CREDITED",IF(AND($F287="PT",N($H287)&lt;=0),"NO SESSIONS CREDITED",IF($I287="","NO LINKED EVENT",IF(COUNTIF(nrAT_ID,$I287)=0,"NO SUCH EVENT",IF(INDEX(nrAT_PID,MATCH($I287,nrAT_ID,0))&lt;&gt;$E287,"WRONG CADET",IF(INDEX(nrAT_IsPT,MATCH($I287,nrAT_ID,0))&lt;&gt;IF($F287="PT","Yes","No"),"UNIT MISMATCH","OK"))))))))))))</f>
        <v/>
      </c>
    </row>
    <row r="288">
      <c r="B288" s="17">
        <f>IF($D288="","","M"&amp;TEXT(ROW()-5,"000"))</f>
        <v/>
      </c>
      <c r="C288" s="18" t="n"/>
      <c r="D288" s="16" t="n"/>
      <c r="E288" s="17">
        <f>IF($D288="","",IFERROR(INDEX(rngCadetPIDs,MATCH($D288,rngCadetNames,0)),"?"))</f>
        <v/>
      </c>
      <c r="F288" s="16" t="n"/>
      <c r="G288" s="16" t="n"/>
      <c r="H288" s="16" t="n"/>
      <c r="I288" s="16" t="n"/>
      <c r="J288" s="16" t="n"/>
      <c r="K288" s="16" t="n"/>
      <c r="L288" s="17">
        <f>IF($D288="","",IF(AND($J288="Received",$K288&lt;&gt;"Yes",LEFT($N288,2)="OK"),"Yes","No"))</f>
        <v/>
      </c>
      <c r="M288" s="16" t="n"/>
      <c r="N288" s="17">
        <f>IF($D288="","",IF(AND($F288&lt;&gt;"Classroom",$F288&lt;&gt;"PT"),"TYPE NOT CREDITED",IF($C288="","NO MAKEUP DATE",IF(NOT(ISNUMBER($C288)),"MAKEUP DATE NOT A DATE",IF(OR(AND($G288&lt;&gt;"",NOT(ISNUMBER($G288))),AND($H288&lt;&gt;"",NOT(ISNUMBER($H288)))),"CREDIT NOT A NUMBER",IF(OR(N($G288)&lt;0,N($H288)&lt;0),"NEGATIVE CREDIT",IF(AND($F288="Classroom",N($G288)&lt;=0),"NO MINUTES CREDITED",IF(AND($F288="PT",N($H288)&lt;=0),"NO SESSIONS CREDITED",IF($I288="","NO LINKED EVENT",IF(COUNTIF(nrAT_ID,$I288)=0,"NO SUCH EVENT",IF(INDEX(nrAT_PID,MATCH($I288,nrAT_ID,0))&lt;&gt;$E288,"WRONG CADET",IF(INDEX(nrAT_IsPT,MATCH($I288,nrAT_ID,0))&lt;&gt;IF($F288="PT","Yes","No"),"UNIT MISMATCH","OK"))))))))))))</f>
        <v/>
      </c>
    </row>
    <row r="289">
      <c r="B289" s="17">
        <f>IF($D289="","","M"&amp;TEXT(ROW()-5,"000"))</f>
        <v/>
      </c>
      <c r="C289" s="18" t="n"/>
      <c r="D289" s="16" t="n"/>
      <c r="E289" s="17">
        <f>IF($D289="","",IFERROR(INDEX(rngCadetPIDs,MATCH($D289,rngCadetNames,0)),"?"))</f>
        <v/>
      </c>
      <c r="F289" s="16" t="n"/>
      <c r="G289" s="16" t="n"/>
      <c r="H289" s="16" t="n"/>
      <c r="I289" s="16" t="n"/>
      <c r="J289" s="16" t="n"/>
      <c r="K289" s="16" t="n"/>
      <c r="L289" s="17">
        <f>IF($D289="","",IF(AND($J289="Received",$K289&lt;&gt;"Yes",LEFT($N289,2)="OK"),"Yes","No"))</f>
        <v/>
      </c>
      <c r="M289" s="16" t="n"/>
      <c r="N289" s="17">
        <f>IF($D289="","",IF(AND($F289&lt;&gt;"Classroom",$F289&lt;&gt;"PT"),"TYPE NOT CREDITED",IF($C289="","NO MAKEUP DATE",IF(NOT(ISNUMBER($C289)),"MAKEUP DATE NOT A DATE",IF(OR(AND($G289&lt;&gt;"",NOT(ISNUMBER($G289))),AND($H289&lt;&gt;"",NOT(ISNUMBER($H289)))),"CREDIT NOT A NUMBER",IF(OR(N($G289)&lt;0,N($H289)&lt;0),"NEGATIVE CREDIT",IF(AND($F289="Classroom",N($G289)&lt;=0),"NO MINUTES CREDITED",IF(AND($F289="PT",N($H289)&lt;=0),"NO SESSIONS CREDITED",IF($I289="","NO LINKED EVENT",IF(COUNTIF(nrAT_ID,$I289)=0,"NO SUCH EVENT",IF(INDEX(nrAT_PID,MATCH($I289,nrAT_ID,0))&lt;&gt;$E289,"WRONG CADET",IF(INDEX(nrAT_IsPT,MATCH($I289,nrAT_ID,0))&lt;&gt;IF($F289="PT","Yes","No"),"UNIT MISMATCH","OK"))))))))))))</f>
        <v/>
      </c>
    </row>
    <row r="290">
      <c r="B290" s="17">
        <f>IF($D290="","","M"&amp;TEXT(ROW()-5,"000"))</f>
        <v/>
      </c>
      <c r="C290" s="18" t="n"/>
      <c r="D290" s="16" t="n"/>
      <c r="E290" s="17">
        <f>IF($D290="","",IFERROR(INDEX(rngCadetPIDs,MATCH($D290,rngCadetNames,0)),"?"))</f>
        <v/>
      </c>
      <c r="F290" s="16" t="n"/>
      <c r="G290" s="16" t="n"/>
      <c r="H290" s="16" t="n"/>
      <c r="I290" s="16" t="n"/>
      <c r="J290" s="16" t="n"/>
      <c r="K290" s="16" t="n"/>
      <c r="L290" s="17">
        <f>IF($D290="","",IF(AND($J290="Received",$K290&lt;&gt;"Yes",LEFT($N290,2)="OK"),"Yes","No"))</f>
        <v/>
      </c>
      <c r="M290" s="16" t="n"/>
      <c r="N290" s="17">
        <f>IF($D290="","",IF(AND($F290&lt;&gt;"Classroom",$F290&lt;&gt;"PT"),"TYPE NOT CREDITED",IF($C290="","NO MAKEUP DATE",IF(NOT(ISNUMBER($C290)),"MAKEUP DATE NOT A DATE",IF(OR(AND($G290&lt;&gt;"",NOT(ISNUMBER($G290))),AND($H290&lt;&gt;"",NOT(ISNUMBER($H290)))),"CREDIT NOT A NUMBER",IF(OR(N($G290)&lt;0,N($H290)&lt;0),"NEGATIVE CREDIT",IF(AND($F290="Classroom",N($G290)&lt;=0),"NO MINUTES CREDITED",IF(AND($F290="PT",N($H290)&lt;=0),"NO SESSIONS CREDITED",IF($I290="","NO LINKED EVENT",IF(COUNTIF(nrAT_ID,$I290)=0,"NO SUCH EVENT",IF(INDEX(nrAT_PID,MATCH($I290,nrAT_ID,0))&lt;&gt;$E290,"WRONG CADET",IF(INDEX(nrAT_IsPT,MATCH($I290,nrAT_ID,0))&lt;&gt;IF($F290="PT","Yes","No"),"UNIT MISMATCH","OK"))))))))))))</f>
        <v/>
      </c>
    </row>
    <row r="291">
      <c r="B291" s="17">
        <f>IF($D291="","","M"&amp;TEXT(ROW()-5,"000"))</f>
        <v/>
      </c>
      <c r="C291" s="18" t="n"/>
      <c r="D291" s="16" t="n"/>
      <c r="E291" s="17">
        <f>IF($D291="","",IFERROR(INDEX(rngCadetPIDs,MATCH($D291,rngCadetNames,0)),"?"))</f>
        <v/>
      </c>
      <c r="F291" s="16" t="n"/>
      <c r="G291" s="16" t="n"/>
      <c r="H291" s="16" t="n"/>
      <c r="I291" s="16" t="n"/>
      <c r="J291" s="16" t="n"/>
      <c r="K291" s="16" t="n"/>
      <c r="L291" s="17">
        <f>IF($D291="","",IF(AND($J291="Received",$K291&lt;&gt;"Yes",LEFT($N291,2)="OK"),"Yes","No"))</f>
        <v/>
      </c>
      <c r="M291" s="16" t="n"/>
      <c r="N291" s="17">
        <f>IF($D291="","",IF(AND($F291&lt;&gt;"Classroom",$F291&lt;&gt;"PT"),"TYPE NOT CREDITED",IF($C291="","NO MAKEUP DATE",IF(NOT(ISNUMBER($C291)),"MAKEUP DATE NOT A DATE",IF(OR(AND($G291&lt;&gt;"",NOT(ISNUMBER($G291))),AND($H291&lt;&gt;"",NOT(ISNUMBER($H291)))),"CREDIT NOT A NUMBER",IF(OR(N($G291)&lt;0,N($H291)&lt;0),"NEGATIVE CREDIT",IF(AND($F291="Classroom",N($G291)&lt;=0),"NO MINUTES CREDITED",IF(AND($F291="PT",N($H291)&lt;=0),"NO SESSIONS CREDITED",IF($I291="","NO LINKED EVENT",IF(COUNTIF(nrAT_ID,$I291)=0,"NO SUCH EVENT",IF(INDEX(nrAT_PID,MATCH($I291,nrAT_ID,0))&lt;&gt;$E291,"WRONG CADET",IF(INDEX(nrAT_IsPT,MATCH($I291,nrAT_ID,0))&lt;&gt;IF($F291="PT","Yes","No"),"UNIT MISMATCH","OK"))))))))))))</f>
        <v/>
      </c>
    </row>
    <row r="292">
      <c r="B292" s="17">
        <f>IF($D292="","","M"&amp;TEXT(ROW()-5,"000"))</f>
        <v/>
      </c>
      <c r="C292" s="18" t="n"/>
      <c r="D292" s="16" t="n"/>
      <c r="E292" s="17">
        <f>IF($D292="","",IFERROR(INDEX(rngCadetPIDs,MATCH($D292,rngCadetNames,0)),"?"))</f>
        <v/>
      </c>
      <c r="F292" s="16" t="n"/>
      <c r="G292" s="16" t="n"/>
      <c r="H292" s="16" t="n"/>
      <c r="I292" s="16" t="n"/>
      <c r="J292" s="16" t="n"/>
      <c r="K292" s="16" t="n"/>
      <c r="L292" s="17">
        <f>IF($D292="","",IF(AND($J292="Received",$K292&lt;&gt;"Yes",LEFT($N292,2)="OK"),"Yes","No"))</f>
        <v/>
      </c>
      <c r="M292" s="16" t="n"/>
      <c r="N292" s="17">
        <f>IF($D292="","",IF(AND($F292&lt;&gt;"Classroom",$F292&lt;&gt;"PT"),"TYPE NOT CREDITED",IF($C292="","NO MAKEUP DATE",IF(NOT(ISNUMBER($C292)),"MAKEUP DATE NOT A DATE",IF(OR(AND($G292&lt;&gt;"",NOT(ISNUMBER($G292))),AND($H292&lt;&gt;"",NOT(ISNUMBER($H292)))),"CREDIT NOT A NUMBER",IF(OR(N($G292)&lt;0,N($H292)&lt;0),"NEGATIVE CREDIT",IF(AND($F292="Classroom",N($G292)&lt;=0),"NO MINUTES CREDITED",IF(AND($F292="PT",N($H292)&lt;=0),"NO SESSIONS CREDITED",IF($I292="","NO LINKED EVENT",IF(COUNTIF(nrAT_ID,$I292)=0,"NO SUCH EVENT",IF(INDEX(nrAT_PID,MATCH($I292,nrAT_ID,0))&lt;&gt;$E292,"WRONG CADET",IF(INDEX(nrAT_IsPT,MATCH($I292,nrAT_ID,0))&lt;&gt;IF($F292="PT","Yes","No"),"UNIT MISMATCH","OK"))))))))))))</f>
        <v/>
      </c>
    </row>
    <row r="293">
      <c r="B293" s="17">
        <f>IF($D293="","","M"&amp;TEXT(ROW()-5,"000"))</f>
        <v/>
      </c>
      <c r="C293" s="18" t="n"/>
      <c r="D293" s="16" t="n"/>
      <c r="E293" s="17">
        <f>IF($D293="","",IFERROR(INDEX(rngCadetPIDs,MATCH($D293,rngCadetNames,0)),"?"))</f>
        <v/>
      </c>
      <c r="F293" s="16" t="n"/>
      <c r="G293" s="16" t="n"/>
      <c r="H293" s="16" t="n"/>
      <c r="I293" s="16" t="n"/>
      <c r="J293" s="16" t="n"/>
      <c r="K293" s="16" t="n"/>
      <c r="L293" s="17">
        <f>IF($D293="","",IF(AND($J293="Received",$K293&lt;&gt;"Yes",LEFT($N293,2)="OK"),"Yes","No"))</f>
        <v/>
      </c>
      <c r="M293" s="16" t="n"/>
      <c r="N293" s="17">
        <f>IF($D293="","",IF(AND($F293&lt;&gt;"Classroom",$F293&lt;&gt;"PT"),"TYPE NOT CREDITED",IF($C293="","NO MAKEUP DATE",IF(NOT(ISNUMBER($C293)),"MAKEUP DATE NOT A DATE",IF(OR(AND($G293&lt;&gt;"",NOT(ISNUMBER($G293))),AND($H293&lt;&gt;"",NOT(ISNUMBER($H293)))),"CREDIT NOT A NUMBER",IF(OR(N($G293)&lt;0,N($H293)&lt;0),"NEGATIVE CREDIT",IF(AND($F293="Classroom",N($G293)&lt;=0),"NO MINUTES CREDITED",IF(AND($F293="PT",N($H293)&lt;=0),"NO SESSIONS CREDITED",IF($I293="","NO LINKED EVENT",IF(COUNTIF(nrAT_ID,$I293)=0,"NO SUCH EVENT",IF(INDEX(nrAT_PID,MATCH($I293,nrAT_ID,0))&lt;&gt;$E293,"WRONG CADET",IF(INDEX(nrAT_IsPT,MATCH($I293,nrAT_ID,0))&lt;&gt;IF($F293="PT","Yes","No"),"UNIT MISMATCH","OK"))))))))))))</f>
        <v/>
      </c>
    </row>
    <row r="294">
      <c r="B294" s="17">
        <f>IF($D294="","","M"&amp;TEXT(ROW()-5,"000"))</f>
        <v/>
      </c>
      <c r="C294" s="18" t="n"/>
      <c r="D294" s="16" t="n"/>
      <c r="E294" s="17">
        <f>IF($D294="","",IFERROR(INDEX(rngCadetPIDs,MATCH($D294,rngCadetNames,0)),"?"))</f>
        <v/>
      </c>
      <c r="F294" s="16" t="n"/>
      <c r="G294" s="16" t="n"/>
      <c r="H294" s="16" t="n"/>
      <c r="I294" s="16" t="n"/>
      <c r="J294" s="16" t="n"/>
      <c r="K294" s="16" t="n"/>
      <c r="L294" s="17">
        <f>IF($D294="","",IF(AND($J294="Received",$K294&lt;&gt;"Yes",LEFT($N294,2)="OK"),"Yes","No"))</f>
        <v/>
      </c>
      <c r="M294" s="16" t="n"/>
      <c r="N294" s="17">
        <f>IF($D294="","",IF(AND($F294&lt;&gt;"Classroom",$F294&lt;&gt;"PT"),"TYPE NOT CREDITED",IF($C294="","NO MAKEUP DATE",IF(NOT(ISNUMBER($C294)),"MAKEUP DATE NOT A DATE",IF(OR(AND($G294&lt;&gt;"",NOT(ISNUMBER($G294))),AND($H294&lt;&gt;"",NOT(ISNUMBER($H294)))),"CREDIT NOT A NUMBER",IF(OR(N($G294)&lt;0,N($H294)&lt;0),"NEGATIVE CREDIT",IF(AND($F294="Classroom",N($G294)&lt;=0),"NO MINUTES CREDITED",IF(AND($F294="PT",N($H294)&lt;=0),"NO SESSIONS CREDITED",IF($I294="","NO LINKED EVENT",IF(COUNTIF(nrAT_ID,$I294)=0,"NO SUCH EVENT",IF(INDEX(nrAT_PID,MATCH($I294,nrAT_ID,0))&lt;&gt;$E294,"WRONG CADET",IF(INDEX(nrAT_IsPT,MATCH($I294,nrAT_ID,0))&lt;&gt;IF($F294="PT","Yes","No"),"UNIT MISMATCH","OK"))))))))))))</f>
        <v/>
      </c>
    </row>
    <row r="295">
      <c r="B295" s="17">
        <f>IF($D295="","","M"&amp;TEXT(ROW()-5,"000"))</f>
        <v/>
      </c>
      <c r="C295" s="18" t="n"/>
      <c r="D295" s="16" t="n"/>
      <c r="E295" s="17">
        <f>IF($D295="","",IFERROR(INDEX(rngCadetPIDs,MATCH($D295,rngCadetNames,0)),"?"))</f>
        <v/>
      </c>
      <c r="F295" s="16" t="n"/>
      <c r="G295" s="16" t="n"/>
      <c r="H295" s="16" t="n"/>
      <c r="I295" s="16" t="n"/>
      <c r="J295" s="16" t="n"/>
      <c r="K295" s="16" t="n"/>
      <c r="L295" s="17">
        <f>IF($D295="","",IF(AND($J295="Received",$K295&lt;&gt;"Yes",LEFT($N295,2)="OK"),"Yes","No"))</f>
        <v/>
      </c>
      <c r="M295" s="16" t="n"/>
      <c r="N295" s="17">
        <f>IF($D295="","",IF(AND($F295&lt;&gt;"Classroom",$F295&lt;&gt;"PT"),"TYPE NOT CREDITED",IF($C295="","NO MAKEUP DATE",IF(NOT(ISNUMBER($C295)),"MAKEUP DATE NOT A DATE",IF(OR(AND($G295&lt;&gt;"",NOT(ISNUMBER($G295))),AND($H295&lt;&gt;"",NOT(ISNUMBER($H295)))),"CREDIT NOT A NUMBER",IF(OR(N($G295)&lt;0,N($H295)&lt;0),"NEGATIVE CREDIT",IF(AND($F295="Classroom",N($G295)&lt;=0),"NO MINUTES CREDITED",IF(AND($F295="PT",N($H295)&lt;=0),"NO SESSIONS CREDITED",IF($I295="","NO LINKED EVENT",IF(COUNTIF(nrAT_ID,$I295)=0,"NO SUCH EVENT",IF(INDEX(nrAT_PID,MATCH($I295,nrAT_ID,0))&lt;&gt;$E295,"WRONG CADET",IF(INDEX(nrAT_IsPT,MATCH($I295,nrAT_ID,0))&lt;&gt;IF($F295="PT","Yes","No"),"UNIT MISMATCH","OK"))))))))))))</f>
        <v/>
      </c>
    </row>
    <row r="296">
      <c r="B296" s="17">
        <f>IF($D296="","","M"&amp;TEXT(ROW()-5,"000"))</f>
        <v/>
      </c>
      <c r="C296" s="18" t="n"/>
      <c r="D296" s="16" t="n"/>
      <c r="E296" s="17">
        <f>IF($D296="","",IFERROR(INDEX(rngCadetPIDs,MATCH($D296,rngCadetNames,0)),"?"))</f>
        <v/>
      </c>
      <c r="F296" s="16" t="n"/>
      <c r="G296" s="16" t="n"/>
      <c r="H296" s="16" t="n"/>
      <c r="I296" s="16" t="n"/>
      <c r="J296" s="16" t="n"/>
      <c r="K296" s="16" t="n"/>
      <c r="L296" s="17">
        <f>IF($D296="","",IF(AND($J296="Received",$K296&lt;&gt;"Yes",LEFT($N296,2)="OK"),"Yes","No"))</f>
        <v/>
      </c>
      <c r="M296" s="16" t="n"/>
      <c r="N296" s="17">
        <f>IF($D296="","",IF(AND($F296&lt;&gt;"Classroom",$F296&lt;&gt;"PT"),"TYPE NOT CREDITED",IF($C296="","NO MAKEUP DATE",IF(NOT(ISNUMBER($C296)),"MAKEUP DATE NOT A DATE",IF(OR(AND($G296&lt;&gt;"",NOT(ISNUMBER($G296))),AND($H296&lt;&gt;"",NOT(ISNUMBER($H296)))),"CREDIT NOT A NUMBER",IF(OR(N($G296)&lt;0,N($H296)&lt;0),"NEGATIVE CREDIT",IF(AND($F296="Classroom",N($G296)&lt;=0),"NO MINUTES CREDITED",IF(AND($F296="PT",N($H296)&lt;=0),"NO SESSIONS CREDITED",IF($I296="","NO LINKED EVENT",IF(COUNTIF(nrAT_ID,$I296)=0,"NO SUCH EVENT",IF(INDEX(nrAT_PID,MATCH($I296,nrAT_ID,0))&lt;&gt;$E296,"WRONG CADET",IF(INDEX(nrAT_IsPT,MATCH($I296,nrAT_ID,0))&lt;&gt;IF($F296="PT","Yes","No"),"UNIT MISMATCH","OK"))))))))))))</f>
        <v/>
      </c>
    </row>
    <row r="297">
      <c r="B297" s="17">
        <f>IF($D297="","","M"&amp;TEXT(ROW()-5,"000"))</f>
        <v/>
      </c>
      <c r="C297" s="18" t="n"/>
      <c r="D297" s="16" t="n"/>
      <c r="E297" s="17">
        <f>IF($D297="","",IFERROR(INDEX(rngCadetPIDs,MATCH($D297,rngCadetNames,0)),"?"))</f>
        <v/>
      </c>
      <c r="F297" s="16" t="n"/>
      <c r="G297" s="16" t="n"/>
      <c r="H297" s="16" t="n"/>
      <c r="I297" s="16" t="n"/>
      <c r="J297" s="16" t="n"/>
      <c r="K297" s="16" t="n"/>
      <c r="L297" s="17">
        <f>IF($D297="","",IF(AND($J297="Received",$K297&lt;&gt;"Yes",LEFT($N297,2)="OK"),"Yes","No"))</f>
        <v/>
      </c>
      <c r="M297" s="16" t="n"/>
      <c r="N297" s="17">
        <f>IF($D297="","",IF(AND($F297&lt;&gt;"Classroom",$F297&lt;&gt;"PT"),"TYPE NOT CREDITED",IF($C297="","NO MAKEUP DATE",IF(NOT(ISNUMBER($C297)),"MAKEUP DATE NOT A DATE",IF(OR(AND($G297&lt;&gt;"",NOT(ISNUMBER($G297))),AND($H297&lt;&gt;"",NOT(ISNUMBER($H297)))),"CREDIT NOT A NUMBER",IF(OR(N($G297)&lt;0,N($H297)&lt;0),"NEGATIVE CREDIT",IF(AND($F297="Classroom",N($G297)&lt;=0),"NO MINUTES CREDITED",IF(AND($F297="PT",N($H297)&lt;=0),"NO SESSIONS CREDITED",IF($I297="","NO LINKED EVENT",IF(COUNTIF(nrAT_ID,$I297)=0,"NO SUCH EVENT",IF(INDEX(nrAT_PID,MATCH($I297,nrAT_ID,0))&lt;&gt;$E297,"WRONG CADET",IF(INDEX(nrAT_IsPT,MATCH($I297,nrAT_ID,0))&lt;&gt;IF($F297="PT","Yes","No"),"UNIT MISMATCH","OK"))))))))))))</f>
        <v/>
      </c>
    </row>
    <row r="298">
      <c r="B298" s="17">
        <f>IF($D298="","","M"&amp;TEXT(ROW()-5,"000"))</f>
        <v/>
      </c>
      <c r="C298" s="18" t="n"/>
      <c r="D298" s="16" t="n"/>
      <c r="E298" s="17">
        <f>IF($D298="","",IFERROR(INDEX(rngCadetPIDs,MATCH($D298,rngCadetNames,0)),"?"))</f>
        <v/>
      </c>
      <c r="F298" s="16" t="n"/>
      <c r="G298" s="16" t="n"/>
      <c r="H298" s="16" t="n"/>
      <c r="I298" s="16" t="n"/>
      <c r="J298" s="16" t="n"/>
      <c r="K298" s="16" t="n"/>
      <c r="L298" s="17">
        <f>IF($D298="","",IF(AND($J298="Received",$K298&lt;&gt;"Yes",LEFT($N298,2)="OK"),"Yes","No"))</f>
        <v/>
      </c>
      <c r="M298" s="16" t="n"/>
      <c r="N298" s="17">
        <f>IF($D298="","",IF(AND($F298&lt;&gt;"Classroom",$F298&lt;&gt;"PT"),"TYPE NOT CREDITED",IF($C298="","NO MAKEUP DATE",IF(NOT(ISNUMBER($C298)),"MAKEUP DATE NOT A DATE",IF(OR(AND($G298&lt;&gt;"",NOT(ISNUMBER($G298))),AND($H298&lt;&gt;"",NOT(ISNUMBER($H298)))),"CREDIT NOT A NUMBER",IF(OR(N($G298)&lt;0,N($H298)&lt;0),"NEGATIVE CREDIT",IF(AND($F298="Classroom",N($G298)&lt;=0),"NO MINUTES CREDITED",IF(AND($F298="PT",N($H298)&lt;=0),"NO SESSIONS CREDITED",IF($I298="","NO LINKED EVENT",IF(COUNTIF(nrAT_ID,$I298)=0,"NO SUCH EVENT",IF(INDEX(nrAT_PID,MATCH($I298,nrAT_ID,0))&lt;&gt;$E298,"WRONG CADET",IF(INDEX(nrAT_IsPT,MATCH($I298,nrAT_ID,0))&lt;&gt;IF($F298="PT","Yes","No"),"UNIT MISMATCH","OK"))))))))))))</f>
        <v/>
      </c>
    </row>
    <row r="299">
      <c r="B299" s="17">
        <f>IF($D299="","","M"&amp;TEXT(ROW()-5,"000"))</f>
        <v/>
      </c>
      <c r="C299" s="18" t="n"/>
      <c r="D299" s="16" t="n"/>
      <c r="E299" s="17">
        <f>IF($D299="","",IFERROR(INDEX(rngCadetPIDs,MATCH($D299,rngCadetNames,0)),"?"))</f>
        <v/>
      </c>
      <c r="F299" s="16" t="n"/>
      <c r="G299" s="16" t="n"/>
      <c r="H299" s="16" t="n"/>
      <c r="I299" s="16" t="n"/>
      <c r="J299" s="16" t="n"/>
      <c r="K299" s="16" t="n"/>
      <c r="L299" s="17">
        <f>IF($D299="","",IF(AND($J299="Received",$K299&lt;&gt;"Yes",LEFT($N299,2)="OK"),"Yes","No"))</f>
        <v/>
      </c>
      <c r="M299" s="16" t="n"/>
      <c r="N299" s="17">
        <f>IF($D299="","",IF(AND($F299&lt;&gt;"Classroom",$F299&lt;&gt;"PT"),"TYPE NOT CREDITED",IF($C299="","NO MAKEUP DATE",IF(NOT(ISNUMBER($C299)),"MAKEUP DATE NOT A DATE",IF(OR(AND($G299&lt;&gt;"",NOT(ISNUMBER($G299))),AND($H299&lt;&gt;"",NOT(ISNUMBER($H299)))),"CREDIT NOT A NUMBER",IF(OR(N($G299)&lt;0,N($H299)&lt;0),"NEGATIVE CREDIT",IF(AND($F299="Classroom",N($G299)&lt;=0),"NO MINUTES CREDITED",IF(AND($F299="PT",N($H299)&lt;=0),"NO SESSIONS CREDITED",IF($I299="","NO LINKED EVENT",IF(COUNTIF(nrAT_ID,$I299)=0,"NO SUCH EVENT",IF(INDEX(nrAT_PID,MATCH($I299,nrAT_ID,0))&lt;&gt;$E299,"WRONG CADET",IF(INDEX(nrAT_IsPT,MATCH($I299,nrAT_ID,0))&lt;&gt;IF($F299="PT","Yes","No"),"UNIT MISMATCH","OK"))))))))))))</f>
        <v/>
      </c>
    </row>
    <row r="300">
      <c r="B300" s="17">
        <f>IF($D300="","","M"&amp;TEXT(ROW()-5,"000"))</f>
        <v/>
      </c>
      <c r="C300" s="18" t="n"/>
      <c r="D300" s="16" t="n"/>
      <c r="E300" s="17">
        <f>IF($D300="","",IFERROR(INDEX(rngCadetPIDs,MATCH($D300,rngCadetNames,0)),"?"))</f>
        <v/>
      </c>
      <c r="F300" s="16" t="n"/>
      <c r="G300" s="16" t="n"/>
      <c r="H300" s="16" t="n"/>
      <c r="I300" s="16" t="n"/>
      <c r="J300" s="16" t="n"/>
      <c r="K300" s="16" t="n"/>
      <c r="L300" s="17">
        <f>IF($D300="","",IF(AND($J300="Received",$K300&lt;&gt;"Yes",LEFT($N300,2)="OK"),"Yes","No"))</f>
        <v/>
      </c>
      <c r="M300" s="16" t="n"/>
      <c r="N300" s="17">
        <f>IF($D300="","",IF(AND($F300&lt;&gt;"Classroom",$F300&lt;&gt;"PT"),"TYPE NOT CREDITED",IF($C300="","NO MAKEUP DATE",IF(NOT(ISNUMBER($C300)),"MAKEUP DATE NOT A DATE",IF(OR(AND($G300&lt;&gt;"",NOT(ISNUMBER($G300))),AND($H300&lt;&gt;"",NOT(ISNUMBER($H300)))),"CREDIT NOT A NUMBER",IF(OR(N($G300)&lt;0,N($H300)&lt;0),"NEGATIVE CREDIT",IF(AND($F300="Classroom",N($G300)&lt;=0),"NO MINUTES CREDITED",IF(AND($F300="PT",N($H300)&lt;=0),"NO SESSIONS CREDITED",IF($I300="","NO LINKED EVENT",IF(COUNTIF(nrAT_ID,$I300)=0,"NO SUCH EVENT",IF(INDEX(nrAT_PID,MATCH($I300,nrAT_ID,0))&lt;&gt;$E300,"WRONG CADET",IF(INDEX(nrAT_IsPT,MATCH($I300,nrAT_ID,0))&lt;&gt;IF($F300="PT","Yes","No"),"UNIT MISMATCH","OK"))))))))))))</f>
        <v/>
      </c>
    </row>
    <row r="301">
      <c r="B301" s="17">
        <f>IF($D301="","","M"&amp;TEXT(ROW()-5,"000"))</f>
        <v/>
      </c>
      <c r="C301" s="18" t="n"/>
      <c r="D301" s="16" t="n"/>
      <c r="E301" s="17">
        <f>IF($D301="","",IFERROR(INDEX(rngCadetPIDs,MATCH($D301,rngCadetNames,0)),"?"))</f>
        <v/>
      </c>
      <c r="F301" s="16" t="n"/>
      <c r="G301" s="16" t="n"/>
      <c r="H301" s="16" t="n"/>
      <c r="I301" s="16" t="n"/>
      <c r="J301" s="16" t="n"/>
      <c r="K301" s="16" t="n"/>
      <c r="L301" s="17">
        <f>IF($D301="","",IF(AND($J301="Received",$K301&lt;&gt;"Yes",LEFT($N301,2)="OK"),"Yes","No"))</f>
        <v/>
      </c>
      <c r="M301" s="16" t="n"/>
      <c r="N301" s="17">
        <f>IF($D301="","",IF(AND($F301&lt;&gt;"Classroom",$F301&lt;&gt;"PT"),"TYPE NOT CREDITED",IF($C301="","NO MAKEUP DATE",IF(NOT(ISNUMBER($C301)),"MAKEUP DATE NOT A DATE",IF(OR(AND($G301&lt;&gt;"",NOT(ISNUMBER($G301))),AND($H301&lt;&gt;"",NOT(ISNUMBER($H301)))),"CREDIT NOT A NUMBER",IF(OR(N($G301)&lt;0,N($H301)&lt;0),"NEGATIVE CREDIT",IF(AND($F301="Classroom",N($G301)&lt;=0),"NO MINUTES CREDITED",IF(AND($F301="PT",N($H301)&lt;=0),"NO SESSIONS CREDITED",IF($I301="","NO LINKED EVENT",IF(COUNTIF(nrAT_ID,$I301)=0,"NO SUCH EVENT",IF(INDEX(nrAT_PID,MATCH($I301,nrAT_ID,0))&lt;&gt;$E301,"WRONG CADET",IF(INDEX(nrAT_IsPT,MATCH($I301,nrAT_ID,0))&lt;&gt;IF($F301="PT","Yes","No"),"UNIT MISMATCH","OK"))))))))))))</f>
        <v/>
      </c>
    </row>
    <row r="302">
      <c r="B302" s="17">
        <f>IF($D302="","","M"&amp;TEXT(ROW()-5,"000"))</f>
        <v/>
      </c>
      <c r="C302" s="18" t="n"/>
      <c r="D302" s="16" t="n"/>
      <c r="E302" s="17">
        <f>IF($D302="","",IFERROR(INDEX(rngCadetPIDs,MATCH($D302,rngCadetNames,0)),"?"))</f>
        <v/>
      </c>
      <c r="F302" s="16" t="n"/>
      <c r="G302" s="16" t="n"/>
      <c r="H302" s="16" t="n"/>
      <c r="I302" s="16" t="n"/>
      <c r="J302" s="16" t="n"/>
      <c r="K302" s="16" t="n"/>
      <c r="L302" s="17">
        <f>IF($D302="","",IF(AND($J302="Received",$K302&lt;&gt;"Yes",LEFT($N302,2)="OK"),"Yes","No"))</f>
        <v/>
      </c>
      <c r="M302" s="16" t="n"/>
      <c r="N302" s="17">
        <f>IF($D302="","",IF(AND($F302&lt;&gt;"Classroom",$F302&lt;&gt;"PT"),"TYPE NOT CREDITED",IF($C302="","NO MAKEUP DATE",IF(NOT(ISNUMBER($C302)),"MAKEUP DATE NOT A DATE",IF(OR(AND($G302&lt;&gt;"",NOT(ISNUMBER($G302))),AND($H302&lt;&gt;"",NOT(ISNUMBER($H302)))),"CREDIT NOT A NUMBER",IF(OR(N($G302)&lt;0,N($H302)&lt;0),"NEGATIVE CREDIT",IF(AND($F302="Classroom",N($G302)&lt;=0),"NO MINUTES CREDITED",IF(AND($F302="PT",N($H302)&lt;=0),"NO SESSIONS CREDITED",IF($I302="","NO LINKED EVENT",IF(COUNTIF(nrAT_ID,$I302)=0,"NO SUCH EVENT",IF(INDEX(nrAT_PID,MATCH($I302,nrAT_ID,0))&lt;&gt;$E302,"WRONG CADET",IF(INDEX(nrAT_IsPT,MATCH($I302,nrAT_ID,0))&lt;&gt;IF($F302="PT","Yes","No"),"UNIT MISMATCH","OK"))))))))))))</f>
        <v/>
      </c>
    </row>
    <row r="303">
      <c r="B303" s="17">
        <f>IF($D303="","","M"&amp;TEXT(ROW()-5,"000"))</f>
        <v/>
      </c>
      <c r="C303" s="18" t="n"/>
      <c r="D303" s="16" t="n"/>
      <c r="E303" s="17">
        <f>IF($D303="","",IFERROR(INDEX(rngCadetPIDs,MATCH($D303,rngCadetNames,0)),"?"))</f>
        <v/>
      </c>
      <c r="F303" s="16" t="n"/>
      <c r="G303" s="16" t="n"/>
      <c r="H303" s="16" t="n"/>
      <c r="I303" s="16" t="n"/>
      <c r="J303" s="16" t="n"/>
      <c r="K303" s="16" t="n"/>
      <c r="L303" s="17">
        <f>IF($D303="","",IF(AND($J303="Received",$K303&lt;&gt;"Yes",LEFT($N303,2)="OK"),"Yes","No"))</f>
        <v/>
      </c>
      <c r="M303" s="16" t="n"/>
      <c r="N303" s="17">
        <f>IF($D303="","",IF(AND($F303&lt;&gt;"Classroom",$F303&lt;&gt;"PT"),"TYPE NOT CREDITED",IF($C303="","NO MAKEUP DATE",IF(NOT(ISNUMBER($C303)),"MAKEUP DATE NOT A DATE",IF(OR(AND($G303&lt;&gt;"",NOT(ISNUMBER($G303))),AND($H303&lt;&gt;"",NOT(ISNUMBER($H303)))),"CREDIT NOT A NUMBER",IF(OR(N($G303)&lt;0,N($H303)&lt;0),"NEGATIVE CREDIT",IF(AND($F303="Classroom",N($G303)&lt;=0),"NO MINUTES CREDITED",IF(AND($F303="PT",N($H303)&lt;=0),"NO SESSIONS CREDITED",IF($I303="","NO LINKED EVENT",IF(COUNTIF(nrAT_ID,$I303)=0,"NO SUCH EVENT",IF(INDEX(nrAT_PID,MATCH($I303,nrAT_ID,0))&lt;&gt;$E303,"WRONG CADET",IF(INDEX(nrAT_IsPT,MATCH($I303,nrAT_ID,0))&lt;&gt;IF($F303="PT","Yes","No"),"UNIT MISMATCH","OK"))))))))))))</f>
        <v/>
      </c>
    </row>
    <row r="304">
      <c r="B304" s="17">
        <f>IF($D304="","","M"&amp;TEXT(ROW()-5,"000"))</f>
        <v/>
      </c>
      <c r="C304" s="18" t="n"/>
      <c r="D304" s="16" t="n"/>
      <c r="E304" s="17">
        <f>IF($D304="","",IFERROR(INDEX(rngCadetPIDs,MATCH($D304,rngCadetNames,0)),"?"))</f>
        <v/>
      </c>
      <c r="F304" s="16" t="n"/>
      <c r="G304" s="16" t="n"/>
      <c r="H304" s="16" t="n"/>
      <c r="I304" s="16" t="n"/>
      <c r="J304" s="16" t="n"/>
      <c r="K304" s="16" t="n"/>
      <c r="L304" s="17">
        <f>IF($D304="","",IF(AND($J304="Received",$K304&lt;&gt;"Yes",LEFT($N304,2)="OK"),"Yes","No"))</f>
        <v/>
      </c>
      <c r="M304" s="16" t="n"/>
      <c r="N304" s="17">
        <f>IF($D304="","",IF(AND($F304&lt;&gt;"Classroom",$F304&lt;&gt;"PT"),"TYPE NOT CREDITED",IF($C304="","NO MAKEUP DATE",IF(NOT(ISNUMBER($C304)),"MAKEUP DATE NOT A DATE",IF(OR(AND($G304&lt;&gt;"",NOT(ISNUMBER($G304))),AND($H304&lt;&gt;"",NOT(ISNUMBER($H304)))),"CREDIT NOT A NUMBER",IF(OR(N($G304)&lt;0,N($H304)&lt;0),"NEGATIVE CREDIT",IF(AND($F304="Classroom",N($G304)&lt;=0),"NO MINUTES CREDITED",IF(AND($F304="PT",N($H304)&lt;=0),"NO SESSIONS CREDITED",IF($I304="","NO LINKED EVENT",IF(COUNTIF(nrAT_ID,$I304)=0,"NO SUCH EVENT",IF(INDEX(nrAT_PID,MATCH($I304,nrAT_ID,0))&lt;&gt;$E304,"WRONG CADET",IF(INDEX(nrAT_IsPT,MATCH($I304,nrAT_ID,0))&lt;&gt;IF($F304="PT","Yes","No"),"UNIT MISMATCH","OK"))))))))))))</f>
        <v/>
      </c>
    </row>
    <row r="305">
      <c r="B305" s="17">
        <f>IF($D305="","","M"&amp;TEXT(ROW()-5,"000"))</f>
        <v/>
      </c>
      <c r="C305" s="18" t="n"/>
      <c r="D305" s="16" t="n"/>
      <c r="E305" s="17">
        <f>IF($D305="","",IFERROR(INDEX(rngCadetPIDs,MATCH($D305,rngCadetNames,0)),"?"))</f>
        <v/>
      </c>
      <c r="F305" s="16" t="n"/>
      <c r="G305" s="16" t="n"/>
      <c r="H305" s="16" t="n"/>
      <c r="I305" s="16" t="n"/>
      <c r="J305" s="16" t="n"/>
      <c r="K305" s="16" t="n"/>
      <c r="L305" s="17">
        <f>IF($D305="","",IF(AND($J305="Received",$K305&lt;&gt;"Yes",LEFT($N305,2)="OK"),"Yes","No"))</f>
        <v/>
      </c>
      <c r="M305" s="16" t="n"/>
      <c r="N305" s="17">
        <f>IF($D305="","",IF(AND($F305&lt;&gt;"Classroom",$F305&lt;&gt;"PT"),"TYPE NOT CREDITED",IF($C305="","NO MAKEUP DATE",IF(NOT(ISNUMBER($C305)),"MAKEUP DATE NOT A DATE",IF(OR(AND($G305&lt;&gt;"",NOT(ISNUMBER($G305))),AND($H305&lt;&gt;"",NOT(ISNUMBER($H305)))),"CREDIT NOT A NUMBER",IF(OR(N($G305)&lt;0,N($H305)&lt;0),"NEGATIVE CREDIT",IF(AND($F305="Classroom",N($G305)&lt;=0),"NO MINUTES CREDITED",IF(AND($F305="PT",N($H305)&lt;=0),"NO SESSIONS CREDITED",IF($I305="","NO LINKED EVENT",IF(COUNTIF(nrAT_ID,$I305)=0,"NO SUCH EVENT",IF(INDEX(nrAT_PID,MATCH($I305,nrAT_ID,0))&lt;&gt;$E305,"WRONG CADET",IF(INDEX(nrAT_IsPT,MATCH($I305,nrAT_ID,0))&lt;&gt;IF($F305="PT","Yes","No"),"UNIT MISMATCH","OK"))))))))))))</f>
        <v/>
      </c>
    </row>
    <row r="306">
      <c r="B306" s="17">
        <f>IF($D306="","","M"&amp;TEXT(ROW()-5,"000"))</f>
        <v/>
      </c>
      <c r="C306" s="18" t="n"/>
      <c r="D306" s="16" t="n"/>
      <c r="E306" s="17">
        <f>IF($D306="","",IFERROR(INDEX(rngCadetPIDs,MATCH($D306,rngCadetNames,0)),"?"))</f>
        <v/>
      </c>
      <c r="F306" s="16" t="n"/>
      <c r="G306" s="16" t="n"/>
      <c r="H306" s="16" t="n"/>
      <c r="I306" s="16" t="n"/>
      <c r="J306" s="16" t="n"/>
      <c r="K306" s="16" t="n"/>
      <c r="L306" s="17">
        <f>IF($D306="","",IF(AND($J306="Received",$K306&lt;&gt;"Yes",LEFT($N306,2)="OK"),"Yes","No"))</f>
        <v/>
      </c>
      <c r="M306" s="16" t="n"/>
      <c r="N306" s="17">
        <f>IF($D306="","",IF(AND($F306&lt;&gt;"Classroom",$F306&lt;&gt;"PT"),"TYPE NOT CREDITED",IF($C306="","NO MAKEUP DATE",IF(NOT(ISNUMBER($C306)),"MAKEUP DATE NOT A DATE",IF(OR(AND($G306&lt;&gt;"",NOT(ISNUMBER($G306))),AND($H306&lt;&gt;"",NOT(ISNUMBER($H306)))),"CREDIT NOT A NUMBER",IF(OR(N($G306)&lt;0,N($H306)&lt;0),"NEGATIVE CREDIT",IF(AND($F306="Classroom",N($G306)&lt;=0),"NO MINUTES CREDITED",IF(AND($F306="PT",N($H306)&lt;=0),"NO SESSIONS CREDITED",IF($I306="","NO LINKED EVENT",IF(COUNTIF(nrAT_ID,$I306)=0,"NO SUCH EVENT",IF(INDEX(nrAT_PID,MATCH($I306,nrAT_ID,0))&lt;&gt;$E306,"WRONG CADET",IF(INDEX(nrAT_IsPT,MATCH($I306,nrAT_ID,0))&lt;&gt;IF($F306="PT","Yes","No"),"UNIT MISMATCH","OK"))))))))))))</f>
        <v/>
      </c>
    </row>
    <row r="307">
      <c r="B307" s="17">
        <f>IF($D307="","","M"&amp;TEXT(ROW()-5,"000"))</f>
        <v/>
      </c>
      <c r="C307" s="18" t="n"/>
      <c r="D307" s="16" t="n"/>
      <c r="E307" s="17">
        <f>IF($D307="","",IFERROR(INDEX(rngCadetPIDs,MATCH($D307,rngCadetNames,0)),"?"))</f>
        <v/>
      </c>
      <c r="F307" s="16" t="n"/>
      <c r="G307" s="16" t="n"/>
      <c r="H307" s="16" t="n"/>
      <c r="I307" s="16" t="n"/>
      <c r="J307" s="16" t="n"/>
      <c r="K307" s="16" t="n"/>
      <c r="L307" s="17">
        <f>IF($D307="","",IF(AND($J307="Received",$K307&lt;&gt;"Yes",LEFT($N307,2)="OK"),"Yes","No"))</f>
        <v/>
      </c>
      <c r="M307" s="16" t="n"/>
      <c r="N307" s="17">
        <f>IF($D307="","",IF(AND($F307&lt;&gt;"Classroom",$F307&lt;&gt;"PT"),"TYPE NOT CREDITED",IF($C307="","NO MAKEUP DATE",IF(NOT(ISNUMBER($C307)),"MAKEUP DATE NOT A DATE",IF(OR(AND($G307&lt;&gt;"",NOT(ISNUMBER($G307))),AND($H307&lt;&gt;"",NOT(ISNUMBER($H307)))),"CREDIT NOT A NUMBER",IF(OR(N($G307)&lt;0,N($H307)&lt;0),"NEGATIVE CREDIT",IF(AND($F307="Classroom",N($G307)&lt;=0),"NO MINUTES CREDITED",IF(AND($F307="PT",N($H307)&lt;=0),"NO SESSIONS CREDITED",IF($I307="","NO LINKED EVENT",IF(COUNTIF(nrAT_ID,$I307)=0,"NO SUCH EVENT",IF(INDEX(nrAT_PID,MATCH($I307,nrAT_ID,0))&lt;&gt;$E307,"WRONG CADET",IF(INDEX(nrAT_IsPT,MATCH($I307,nrAT_ID,0))&lt;&gt;IF($F307="PT","Yes","No"),"UNIT MISMATCH","OK"))))))))))))</f>
        <v/>
      </c>
    </row>
    <row r="308">
      <c r="B308" s="17">
        <f>IF($D308="","","M"&amp;TEXT(ROW()-5,"000"))</f>
        <v/>
      </c>
      <c r="C308" s="18" t="n"/>
      <c r="D308" s="16" t="n"/>
      <c r="E308" s="17">
        <f>IF($D308="","",IFERROR(INDEX(rngCadetPIDs,MATCH($D308,rngCadetNames,0)),"?"))</f>
        <v/>
      </c>
      <c r="F308" s="16" t="n"/>
      <c r="G308" s="16" t="n"/>
      <c r="H308" s="16" t="n"/>
      <c r="I308" s="16" t="n"/>
      <c r="J308" s="16" t="n"/>
      <c r="K308" s="16" t="n"/>
      <c r="L308" s="17">
        <f>IF($D308="","",IF(AND($J308="Received",$K308&lt;&gt;"Yes",LEFT($N308,2)="OK"),"Yes","No"))</f>
        <v/>
      </c>
      <c r="M308" s="16" t="n"/>
      <c r="N308" s="17">
        <f>IF($D308="","",IF(AND($F308&lt;&gt;"Classroom",$F308&lt;&gt;"PT"),"TYPE NOT CREDITED",IF($C308="","NO MAKEUP DATE",IF(NOT(ISNUMBER($C308)),"MAKEUP DATE NOT A DATE",IF(OR(AND($G308&lt;&gt;"",NOT(ISNUMBER($G308))),AND($H308&lt;&gt;"",NOT(ISNUMBER($H308)))),"CREDIT NOT A NUMBER",IF(OR(N($G308)&lt;0,N($H308)&lt;0),"NEGATIVE CREDIT",IF(AND($F308="Classroom",N($G308)&lt;=0),"NO MINUTES CREDITED",IF(AND($F308="PT",N($H308)&lt;=0),"NO SESSIONS CREDITED",IF($I308="","NO LINKED EVENT",IF(COUNTIF(nrAT_ID,$I308)=0,"NO SUCH EVENT",IF(INDEX(nrAT_PID,MATCH($I308,nrAT_ID,0))&lt;&gt;$E308,"WRONG CADET",IF(INDEX(nrAT_IsPT,MATCH($I308,nrAT_ID,0))&lt;&gt;IF($F308="PT","Yes","No"),"UNIT MISMATCH","OK"))))))))))))</f>
        <v/>
      </c>
    </row>
    <row r="309">
      <c r="B309" s="17">
        <f>IF($D309="","","M"&amp;TEXT(ROW()-5,"000"))</f>
        <v/>
      </c>
      <c r="C309" s="18" t="n"/>
      <c r="D309" s="16" t="n"/>
      <c r="E309" s="17">
        <f>IF($D309="","",IFERROR(INDEX(rngCadetPIDs,MATCH($D309,rngCadetNames,0)),"?"))</f>
        <v/>
      </c>
      <c r="F309" s="16" t="n"/>
      <c r="G309" s="16" t="n"/>
      <c r="H309" s="16" t="n"/>
      <c r="I309" s="16" t="n"/>
      <c r="J309" s="16" t="n"/>
      <c r="K309" s="16" t="n"/>
      <c r="L309" s="17">
        <f>IF($D309="","",IF(AND($J309="Received",$K309&lt;&gt;"Yes",LEFT($N309,2)="OK"),"Yes","No"))</f>
        <v/>
      </c>
      <c r="M309" s="16" t="n"/>
      <c r="N309" s="17">
        <f>IF($D309="","",IF(AND($F309&lt;&gt;"Classroom",$F309&lt;&gt;"PT"),"TYPE NOT CREDITED",IF($C309="","NO MAKEUP DATE",IF(NOT(ISNUMBER($C309)),"MAKEUP DATE NOT A DATE",IF(OR(AND($G309&lt;&gt;"",NOT(ISNUMBER($G309))),AND($H309&lt;&gt;"",NOT(ISNUMBER($H309)))),"CREDIT NOT A NUMBER",IF(OR(N($G309)&lt;0,N($H309)&lt;0),"NEGATIVE CREDIT",IF(AND($F309="Classroom",N($G309)&lt;=0),"NO MINUTES CREDITED",IF(AND($F309="PT",N($H309)&lt;=0),"NO SESSIONS CREDITED",IF($I309="","NO LINKED EVENT",IF(COUNTIF(nrAT_ID,$I309)=0,"NO SUCH EVENT",IF(INDEX(nrAT_PID,MATCH($I309,nrAT_ID,0))&lt;&gt;$E309,"WRONG CADET",IF(INDEX(nrAT_IsPT,MATCH($I309,nrAT_ID,0))&lt;&gt;IF($F309="PT","Yes","No"),"UNIT MISMATCH","OK"))))))))))))</f>
        <v/>
      </c>
    </row>
    <row r="310">
      <c r="B310" s="17">
        <f>IF($D310="","","M"&amp;TEXT(ROW()-5,"000"))</f>
        <v/>
      </c>
      <c r="C310" s="18" t="n"/>
      <c r="D310" s="16" t="n"/>
      <c r="E310" s="17">
        <f>IF($D310="","",IFERROR(INDEX(rngCadetPIDs,MATCH($D310,rngCadetNames,0)),"?"))</f>
        <v/>
      </c>
      <c r="F310" s="16" t="n"/>
      <c r="G310" s="16" t="n"/>
      <c r="H310" s="16" t="n"/>
      <c r="I310" s="16" t="n"/>
      <c r="J310" s="16" t="n"/>
      <c r="K310" s="16" t="n"/>
      <c r="L310" s="17">
        <f>IF($D310="","",IF(AND($J310="Received",$K310&lt;&gt;"Yes",LEFT($N310,2)="OK"),"Yes","No"))</f>
        <v/>
      </c>
      <c r="M310" s="16" t="n"/>
      <c r="N310" s="17">
        <f>IF($D310="","",IF(AND($F310&lt;&gt;"Classroom",$F310&lt;&gt;"PT"),"TYPE NOT CREDITED",IF($C310="","NO MAKEUP DATE",IF(NOT(ISNUMBER($C310)),"MAKEUP DATE NOT A DATE",IF(OR(AND($G310&lt;&gt;"",NOT(ISNUMBER($G310))),AND($H310&lt;&gt;"",NOT(ISNUMBER($H310)))),"CREDIT NOT A NUMBER",IF(OR(N($G310)&lt;0,N($H310)&lt;0),"NEGATIVE CREDIT",IF(AND($F310="Classroom",N($G310)&lt;=0),"NO MINUTES CREDITED",IF(AND($F310="PT",N($H310)&lt;=0),"NO SESSIONS CREDITED",IF($I310="","NO LINKED EVENT",IF(COUNTIF(nrAT_ID,$I310)=0,"NO SUCH EVENT",IF(INDEX(nrAT_PID,MATCH($I310,nrAT_ID,0))&lt;&gt;$E310,"WRONG CADET",IF(INDEX(nrAT_IsPT,MATCH($I310,nrAT_ID,0))&lt;&gt;IF($F310="PT","Yes","No"),"UNIT MISMATCH","OK"))))))))))))</f>
        <v/>
      </c>
    </row>
    <row r="311">
      <c r="B311" s="17">
        <f>IF($D311="","","M"&amp;TEXT(ROW()-5,"000"))</f>
        <v/>
      </c>
      <c r="C311" s="18" t="n"/>
      <c r="D311" s="16" t="n"/>
      <c r="E311" s="17">
        <f>IF($D311="","",IFERROR(INDEX(rngCadetPIDs,MATCH($D311,rngCadetNames,0)),"?"))</f>
        <v/>
      </c>
      <c r="F311" s="16" t="n"/>
      <c r="G311" s="16" t="n"/>
      <c r="H311" s="16" t="n"/>
      <c r="I311" s="16" t="n"/>
      <c r="J311" s="16" t="n"/>
      <c r="K311" s="16" t="n"/>
      <c r="L311" s="17">
        <f>IF($D311="","",IF(AND($J311="Received",$K311&lt;&gt;"Yes",LEFT($N311,2)="OK"),"Yes","No"))</f>
        <v/>
      </c>
      <c r="M311" s="16" t="n"/>
      <c r="N311" s="17">
        <f>IF($D311="","",IF(AND($F311&lt;&gt;"Classroom",$F311&lt;&gt;"PT"),"TYPE NOT CREDITED",IF($C311="","NO MAKEUP DATE",IF(NOT(ISNUMBER($C311)),"MAKEUP DATE NOT A DATE",IF(OR(AND($G311&lt;&gt;"",NOT(ISNUMBER($G311))),AND($H311&lt;&gt;"",NOT(ISNUMBER($H311)))),"CREDIT NOT A NUMBER",IF(OR(N($G311)&lt;0,N($H311)&lt;0),"NEGATIVE CREDIT",IF(AND($F311="Classroom",N($G311)&lt;=0),"NO MINUTES CREDITED",IF(AND($F311="PT",N($H311)&lt;=0),"NO SESSIONS CREDITED",IF($I311="","NO LINKED EVENT",IF(COUNTIF(nrAT_ID,$I311)=0,"NO SUCH EVENT",IF(INDEX(nrAT_PID,MATCH($I311,nrAT_ID,0))&lt;&gt;$E311,"WRONG CADET",IF(INDEX(nrAT_IsPT,MATCH($I311,nrAT_ID,0))&lt;&gt;IF($F311="PT","Yes","No"),"UNIT MISMATCH","OK"))))))))))))</f>
        <v/>
      </c>
    </row>
    <row r="312">
      <c r="B312" s="17">
        <f>IF($D312="","","M"&amp;TEXT(ROW()-5,"000"))</f>
        <v/>
      </c>
      <c r="C312" s="18" t="n"/>
      <c r="D312" s="16" t="n"/>
      <c r="E312" s="17">
        <f>IF($D312="","",IFERROR(INDEX(rngCadetPIDs,MATCH($D312,rngCadetNames,0)),"?"))</f>
        <v/>
      </c>
      <c r="F312" s="16" t="n"/>
      <c r="G312" s="16" t="n"/>
      <c r="H312" s="16" t="n"/>
      <c r="I312" s="16" t="n"/>
      <c r="J312" s="16" t="n"/>
      <c r="K312" s="16" t="n"/>
      <c r="L312" s="17">
        <f>IF($D312="","",IF(AND($J312="Received",$K312&lt;&gt;"Yes",LEFT($N312,2)="OK"),"Yes","No"))</f>
        <v/>
      </c>
      <c r="M312" s="16" t="n"/>
      <c r="N312" s="17">
        <f>IF($D312="","",IF(AND($F312&lt;&gt;"Classroom",$F312&lt;&gt;"PT"),"TYPE NOT CREDITED",IF($C312="","NO MAKEUP DATE",IF(NOT(ISNUMBER($C312)),"MAKEUP DATE NOT A DATE",IF(OR(AND($G312&lt;&gt;"",NOT(ISNUMBER($G312))),AND($H312&lt;&gt;"",NOT(ISNUMBER($H312)))),"CREDIT NOT A NUMBER",IF(OR(N($G312)&lt;0,N($H312)&lt;0),"NEGATIVE CREDIT",IF(AND($F312="Classroom",N($G312)&lt;=0),"NO MINUTES CREDITED",IF(AND($F312="PT",N($H312)&lt;=0),"NO SESSIONS CREDITED",IF($I312="","NO LINKED EVENT",IF(COUNTIF(nrAT_ID,$I312)=0,"NO SUCH EVENT",IF(INDEX(nrAT_PID,MATCH($I312,nrAT_ID,0))&lt;&gt;$E312,"WRONG CADET",IF(INDEX(nrAT_IsPT,MATCH($I312,nrAT_ID,0))&lt;&gt;IF($F312="PT","Yes","No"),"UNIT MISMATCH","OK"))))))))))))</f>
        <v/>
      </c>
    </row>
    <row r="313">
      <c r="B313" s="17">
        <f>IF($D313="","","M"&amp;TEXT(ROW()-5,"000"))</f>
        <v/>
      </c>
      <c r="C313" s="18" t="n"/>
      <c r="D313" s="16" t="n"/>
      <c r="E313" s="17">
        <f>IF($D313="","",IFERROR(INDEX(rngCadetPIDs,MATCH($D313,rngCadetNames,0)),"?"))</f>
        <v/>
      </c>
      <c r="F313" s="16" t="n"/>
      <c r="G313" s="16" t="n"/>
      <c r="H313" s="16" t="n"/>
      <c r="I313" s="16" t="n"/>
      <c r="J313" s="16" t="n"/>
      <c r="K313" s="16" t="n"/>
      <c r="L313" s="17">
        <f>IF($D313="","",IF(AND($J313="Received",$K313&lt;&gt;"Yes",LEFT($N313,2)="OK"),"Yes","No"))</f>
        <v/>
      </c>
      <c r="M313" s="16" t="n"/>
      <c r="N313" s="17">
        <f>IF($D313="","",IF(AND($F313&lt;&gt;"Classroom",$F313&lt;&gt;"PT"),"TYPE NOT CREDITED",IF($C313="","NO MAKEUP DATE",IF(NOT(ISNUMBER($C313)),"MAKEUP DATE NOT A DATE",IF(OR(AND($G313&lt;&gt;"",NOT(ISNUMBER($G313))),AND($H313&lt;&gt;"",NOT(ISNUMBER($H313)))),"CREDIT NOT A NUMBER",IF(OR(N($G313)&lt;0,N($H313)&lt;0),"NEGATIVE CREDIT",IF(AND($F313="Classroom",N($G313)&lt;=0),"NO MINUTES CREDITED",IF(AND($F313="PT",N($H313)&lt;=0),"NO SESSIONS CREDITED",IF($I313="","NO LINKED EVENT",IF(COUNTIF(nrAT_ID,$I313)=0,"NO SUCH EVENT",IF(INDEX(nrAT_PID,MATCH($I313,nrAT_ID,0))&lt;&gt;$E313,"WRONG CADET",IF(INDEX(nrAT_IsPT,MATCH($I313,nrAT_ID,0))&lt;&gt;IF($F313="PT","Yes","No"),"UNIT MISMATCH","OK"))))))))))))</f>
        <v/>
      </c>
    </row>
    <row r="314">
      <c r="B314" s="17">
        <f>IF($D314="","","M"&amp;TEXT(ROW()-5,"000"))</f>
        <v/>
      </c>
      <c r="C314" s="18" t="n"/>
      <c r="D314" s="16" t="n"/>
      <c r="E314" s="17">
        <f>IF($D314="","",IFERROR(INDEX(rngCadetPIDs,MATCH($D314,rngCadetNames,0)),"?"))</f>
        <v/>
      </c>
      <c r="F314" s="16" t="n"/>
      <c r="G314" s="16" t="n"/>
      <c r="H314" s="16" t="n"/>
      <c r="I314" s="16" t="n"/>
      <c r="J314" s="16" t="n"/>
      <c r="K314" s="16" t="n"/>
      <c r="L314" s="17">
        <f>IF($D314="","",IF(AND($J314="Received",$K314&lt;&gt;"Yes",LEFT($N314,2)="OK"),"Yes","No"))</f>
        <v/>
      </c>
      <c r="M314" s="16" t="n"/>
      <c r="N314" s="17">
        <f>IF($D314="","",IF(AND($F314&lt;&gt;"Classroom",$F314&lt;&gt;"PT"),"TYPE NOT CREDITED",IF($C314="","NO MAKEUP DATE",IF(NOT(ISNUMBER($C314)),"MAKEUP DATE NOT A DATE",IF(OR(AND($G314&lt;&gt;"",NOT(ISNUMBER($G314))),AND($H314&lt;&gt;"",NOT(ISNUMBER($H314)))),"CREDIT NOT A NUMBER",IF(OR(N($G314)&lt;0,N($H314)&lt;0),"NEGATIVE CREDIT",IF(AND($F314="Classroom",N($G314)&lt;=0),"NO MINUTES CREDITED",IF(AND($F314="PT",N($H314)&lt;=0),"NO SESSIONS CREDITED",IF($I314="","NO LINKED EVENT",IF(COUNTIF(nrAT_ID,$I314)=0,"NO SUCH EVENT",IF(INDEX(nrAT_PID,MATCH($I314,nrAT_ID,0))&lt;&gt;$E314,"WRONG CADET",IF(INDEX(nrAT_IsPT,MATCH($I314,nrAT_ID,0))&lt;&gt;IF($F314="PT","Yes","No"),"UNIT MISMATCH","OK"))))))))))))</f>
        <v/>
      </c>
    </row>
    <row r="315">
      <c r="B315" s="17">
        <f>IF($D315="","","M"&amp;TEXT(ROW()-5,"000"))</f>
        <v/>
      </c>
      <c r="C315" s="18" t="n"/>
      <c r="D315" s="16" t="n"/>
      <c r="E315" s="17">
        <f>IF($D315="","",IFERROR(INDEX(rngCadetPIDs,MATCH($D315,rngCadetNames,0)),"?"))</f>
        <v/>
      </c>
      <c r="F315" s="16" t="n"/>
      <c r="G315" s="16" t="n"/>
      <c r="H315" s="16" t="n"/>
      <c r="I315" s="16" t="n"/>
      <c r="J315" s="16" t="n"/>
      <c r="K315" s="16" t="n"/>
      <c r="L315" s="17">
        <f>IF($D315="","",IF(AND($J315="Received",$K315&lt;&gt;"Yes",LEFT($N315,2)="OK"),"Yes","No"))</f>
        <v/>
      </c>
      <c r="M315" s="16" t="n"/>
      <c r="N315" s="17">
        <f>IF($D315="","",IF(AND($F315&lt;&gt;"Classroom",$F315&lt;&gt;"PT"),"TYPE NOT CREDITED",IF($C315="","NO MAKEUP DATE",IF(NOT(ISNUMBER($C315)),"MAKEUP DATE NOT A DATE",IF(OR(AND($G315&lt;&gt;"",NOT(ISNUMBER($G315))),AND($H315&lt;&gt;"",NOT(ISNUMBER($H315)))),"CREDIT NOT A NUMBER",IF(OR(N($G315)&lt;0,N($H315)&lt;0),"NEGATIVE CREDIT",IF(AND($F315="Classroom",N($G315)&lt;=0),"NO MINUTES CREDITED",IF(AND($F315="PT",N($H315)&lt;=0),"NO SESSIONS CREDITED",IF($I315="","NO LINKED EVENT",IF(COUNTIF(nrAT_ID,$I315)=0,"NO SUCH EVENT",IF(INDEX(nrAT_PID,MATCH($I315,nrAT_ID,0))&lt;&gt;$E315,"WRONG CADET",IF(INDEX(nrAT_IsPT,MATCH($I315,nrAT_ID,0))&lt;&gt;IF($F315="PT","Yes","No"),"UNIT MISMATCH","OK"))))))))))))</f>
        <v/>
      </c>
    </row>
    <row r="316">
      <c r="B316" s="17">
        <f>IF($D316="","","M"&amp;TEXT(ROW()-5,"000"))</f>
        <v/>
      </c>
      <c r="C316" s="18" t="n"/>
      <c r="D316" s="16" t="n"/>
      <c r="E316" s="17">
        <f>IF($D316="","",IFERROR(INDEX(rngCadetPIDs,MATCH($D316,rngCadetNames,0)),"?"))</f>
        <v/>
      </c>
      <c r="F316" s="16" t="n"/>
      <c r="G316" s="16" t="n"/>
      <c r="H316" s="16" t="n"/>
      <c r="I316" s="16" t="n"/>
      <c r="J316" s="16" t="n"/>
      <c r="K316" s="16" t="n"/>
      <c r="L316" s="17">
        <f>IF($D316="","",IF(AND($J316="Received",$K316&lt;&gt;"Yes",LEFT($N316,2)="OK"),"Yes","No"))</f>
        <v/>
      </c>
      <c r="M316" s="16" t="n"/>
      <c r="N316" s="17">
        <f>IF($D316="","",IF(AND($F316&lt;&gt;"Classroom",$F316&lt;&gt;"PT"),"TYPE NOT CREDITED",IF($C316="","NO MAKEUP DATE",IF(NOT(ISNUMBER($C316)),"MAKEUP DATE NOT A DATE",IF(OR(AND($G316&lt;&gt;"",NOT(ISNUMBER($G316))),AND($H316&lt;&gt;"",NOT(ISNUMBER($H316)))),"CREDIT NOT A NUMBER",IF(OR(N($G316)&lt;0,N($H316)&lt;0),"NEGATIVE CREDIT",IF(AND($F316="Classroom",N($G316)&lt;=0),"NO MINUTES CREDITED",IF(AND($F316="PT",N($H316)&lt;=0),"NO SESSIONS CREDITED",IF($I316="","NO LINKED EVENT",IF(COUNTIF(nrAT_ID,$I316)=0,"NO SUCH EVENT",IF(INDEX(nrAT_PID,MATCH($I316,nrAT_ID,0))&lt;&gt;$E316,"WRONG CADET",IF(INDEX(nrAT_IsPT,MATCH($I316,nrAT_ID,0))&lt;&gt;IF($F316="PT","Yes","No"),"UNIT MISMATCH","OK"))))))))))))</f>
        <v/>
      </c>
    </row>
    <row r="317">
      <c r="B317" s="17">
        <f>IF($D317="","","M"&amp;TEXT(ROW()-5,"000"))</f>
        <v/>
      </c>
      <c r="C317" s="18" t="n"/>
      <c r="D317" s="16" t="n"/>
      <c r="E317" s="17">
        <f>IF($D317="","",IFERROR(INDEX(rngCadetPIDs,MATCH($D317,rngCadetNames,0)),"?"))</f>
        <v/>
      </c>
      <c r="F317" s="16" t="n"/>
      <c r="G317" s="16" t="n"/>
      <c r="H317" s="16" t="n"/>
      <c r="I317" s="16" t="n"/>
      <c r="J317" s="16" t="n"/>
      <c r="K317" s="16" t="n"/>
      <c r="L317" s="17">
        <f>IF($D317="","",IF(AND($J317="Received",$K317&lt;&gt;"Yes",LEFT($N317,2)="OK"),"Yes","No"))</f>
        <v/>
      </c>
      <c r="M317" s="16" t="n"/>
      <c r="N317" s="17">
        <f>IF($D317="","",IF(AND($F317&lt;&gt;"Classroom",$F317&lt;&gt;"PT"),"TYPE NOT CREDITED",IF($C317="","NO MAKEUP DATE",IF(NOT(ISNUMBER($C317)),"MAKEUP DATE NOT A DATE",IF(OR(AND($G317&lt;&gt;"",NOT(ISNUMBER($G317))),AND($H317&lt;&gt;"",NOT(ISNUMBER($H317)))),"CREDIT NOT A NUMBER",IF(OR(N($G317)&lt;0,N($H317)&lt;0),"NEGATIVE CREDIT",IF(AND($F317="Classroom",N($G317)&lt;=0),"NO MINUTES CREDITED",IF(AND($F317="PT",N($H317)&lt;=0),"NO SESSIONS CREDITED",IF($I317="","NO LINKED EVENT",IF(COUNTIF(nrAT_ID,$I317)=0,"NO SUCH EVENT",IF(INDEX(nrAT_PID,MATCH($I317,nrAT_ID,0))&lt;&gt;$E317,"WRONG CADET",IF(INDEX(nrAT_IsPT,MATCH($I317,nrAT_ID,0))&lt;&gt;IF($F317="PT","Yes","No"),"UNIT MISMATCH","OK"))))))))))))</f>
        <v/>
      </c>
    </row>
    <row r="318">
      <c r="B318" s="17">
        <f>IF($D318="","","M"&amp;TEXT(ROW()-5,"000"))</f>
        <v/>
      </c>
      <c r="C318" s="18" t="n"/>
      <c r="D318" s="16" t="n"/>
      <c r="E318" s="17">
        <f>IF($D318="","",IFERROR(INDEX(rngCadetPIDs,MATCH($D318,rngCadetNames,0)),"?"))</f>
        <v/>
      </c>
      <c r="F318" s="16" t="n"/>
      <c r="G318" s="16" t="n"/>
      <c r="H318" s="16" t="n"/>
      <c r="I318" s="16" t="n"/>
      <c r="J318" s="16" t="n"/>
      <c r="K318" s="16" t="n"/>
      <c r="L318" s="17">
        <f>IF($D318="","",IF(AND($J318="Received",$K318&lt;&gt;"Yes",LEFT($N318,2)="OK"),"Yes","No"))</f>
        <v/>
      </c>
      <c r="M318" s="16" t="n"/>
      <c r="N318" s="17">
        <f>IF($D318="","",IF(AND($F318&lt;&gt;"Classroom",$F318&lt;&gt;"PT"),"TYPE NOT CREDITED",IF($C318="","NO MAKEUP DATE",IF(NOT(ISNUMBER($C318)),"MAKEUP DATE NOT A DATE",IF(OR(AND($G318&lt;&gt;"",NOT(ISNUMBER($G318))),AND($H318&lt;&gt;"",NOT(ISNUMBER($H318)))),"CREDIT NOT A NUMBER",IF(OR(N($G318)&lt;0,N($H318)&lt;0),"NEGATIVE CREDIT",IF(AND($F318="Classroom",N($G318)&lt;=0),"NO MINUTES CREDITED",IF(AND($F318="PT",N($H318)&lt;=0),"NO SESSIONS CREDITED",IF($I318="","NO LINKED EVENT",IF(COUNTIF(nrAT_ID,$I318)=0,"NO SUCH EVENT",IF(INDEX(nrAT_PID,MATCH($I318,nrAT_ID,0))&lt;&gt;$E318,"WRONG CADET",IF(INDEX(nrAT_IsPT,MATCH($I318,nrAT_ID,0))&lt;&gt;IF($F318="PT","Yes","No"),"UNIT MISMATCH","OK"))))))))))))</f>
        <v/>
      </c>
    </row>
    <row r="319">
      <c r="B319" s="17">
        <f>IF($D319="","","M"&amp;TEXT(ROW()-5,"000"))</f>
        <v/>
      </c>
      <c r="C319" s="18" t="n"/>
      <c r="D319" s="16" t="n"/>
      <c r="E319" s="17">
        <f>IF($D319="","",IFERROR(INDEX(rngCadetPIDs,MATCH($D319,rngCadetNames,0)),"?"))</f>
        <v/>
      </c>
      <c r="F319" s="16" t="n"/>
      <c r="G319" s="16" t="n"/>
      <c r="H319" s="16" t="n"/>
      <c r="I319" s="16" t="n"/>
      <c r="J319" s="16" t="n"/>
      <c r="K319" s="16" t="n"/>
      <c r="L319" s="17">
        <f>IF($D319="","",IF(AND($J319="Received",$K319&lt;&gt;"Yes",LEFT($N319,2)="OK"),"Yes","No"))</f>
        <v/>
      </c>
      <c r="M319" s="16" t="n"/>
      <c r="N319" s="17">
        <f>IF($D319="","",IF(AND($F319&lt;&gt;"Classroom",$F319&lt;&gt;"PT"),"TYPE NOT CREDITED",IF($C319="","NO MAKEUP DATE",IF(NOT(ISNUMBER($C319)),"MAKEUP DATE NOT A DATE",IF(OR(AND($G319&lt;&gt;"",NOT(ISNUMBER($G319))),AND($H319&lt;&gt;"",NOT(ISNUMBER($H319)))),"CREDIT NOT A NUMBER",IF(OR(N($G319)&lt;0,N($H319)&lt;0),"NEGATIVE CREDIT",IF(AND($F319="Classroom",N($G319)&lt;=0),"NO MINUTES CREDITED",IF(AND($F319="PT",N($H319)&lt;=0),"NO SESSIONS CREDITED",IF($I319="","NO LINKED EVENT",IF(COUNTIF(nrAT_ID,$I319)=0,"NO SUCH EVENT",IF(INDEX(nrAT_PID,MATCH($I319,nrAT_ID,0))&lt;&gt;$E319,"WRONG CADET",IF(INDEX(nrAT_IsPT,MATCH($I319,nrAT_ID,0))&lt;&gt;IF($F319="PT","Yes","No"),"UNIT MISMATCH","OK"))))))))))))</f>
        <v/>
      </c>
    </row>
    <row r="320">
      <c r="B320" s="17">
        <f>IF($D320="","","M"&amp;TEXT(ROW()-5,"000"))</f>
        <v/>
      </c>
      <c r="C320" s="18" t="n"/>
      <c r="D320" s="16" t="n"/>
      <c r="E320" s="17">
        <f>IF($D320="","",IFERROR(INDEX(rngCadetPIDs,MATCH($D320,rngCadetNames,0)),"?"))</f>
        <v/>
      </c>
      <c r="F320" s="16" t="n"/>
      <c r="G320" s="16" t="n"/>
      <c r="H320" s="16" t="n"/>
      <c r="I320" s="16" t="n"/>
      <c r="J320" s="16" t="n"/>
      <c r="K320" s="16" t="n"/>
      <c r="L320" s="17">
        <f>IF($D320="","",IF(AND($J320="Received",$K320&lt;&gt;"Yes",LEFT($N320,2)="OK"),"Yes","No"))</f>
        <v/>
      </c>
      <c r="M320" s="16" t="n"/>
      <c r="N320" s="17">
        <f>IF($D320="","",IF(AND($F320&lt;&gt;"Classroom",$F320&lt;&gt;"PT"),"TYPE NOT CREDITED",IF($C320="","NO MAKEUP DATE",IF(NOT(ISNUMBER($C320)),"MAKEUP DATE NOT A DATE",IF(OR(AND($G320&lt;&gt;"",NOT(ISNUMBER($G320))),AND($H320&lt;&gt;"",NOT(ISNUMBER($H320)))),"CREDIT NOT A NUMBER",IF(OR(N($G320)&lt;0,N($H320)&lt;0),"NEGATIVE CREDIT",IF(AND($F320="Classroom",N($G320)&lt;=0),"NO MINUTES CREDITED",IF(AND($F320="PT",N($H320)&lt;=0),"NO SESSIONS CREDITED",IF($I320="","NO LINKED EVENT",IF(COUNTIF(nrAT_ID,$I320)=0,"NO SUCH EVENT",IF(INDEX(nrAT_PID,MATCH($I320,nrAT_ID,0))&lt;&gt;$E320,"WRONG CADET",IF(INDEX(nrAT_IsPT,MATCH($I320,nrAT_ID,0))&lt;&gt;IF($F320="PT","Yes","No"),"UNIT MISMATCH","OK"))))))))))))</f>
        <v/>
      </c>
    </row>
    <row r="321">
      <c r="B321" s="17">
        <f>IF($D321="","","M"&amp;TEXT(ROW()-5,"000"))</f>
        <v/>
      </c>
      <c r="C321" s="18" t="n"/>
      <c r="D321" s="16" t="n"/>
      <c r="E321" s="17">
        <f>IF($D321="","",IFERROR(INDEX(rngCadetPIDs,MATCH($D321,rngCadetNames,0)),"?"))</f>
        <v/>
      </c>
      <c r="F321" s="16" t="n"/>
      <c r="G321" s="16" t="n"/>
      <c r="H321" s="16" t="n"/>
      <c r="I321" s="16" t="n"/>
      <c r="J321" s="16" t="n"/>
      <c r="K321" s="16" t="n"/>
      <c r="L321" s="17">
        <f>IF($D321="","",IF(AND($J321="Received",$K321&lt;&gt;"Yes",LEFT($N321,2)="OK"),"Yes","No"))</f>
        <v/>
      </c>
      <c r="M321" s="16" t="n"/>
      <c r="N321" s="17">
        <f>IF($D321="","",IF(AND($F321&lt;&gt;"Classroom",$F321&lt;&gt;"PT"),"TYPE NOT CREDITED",IF($C321="","NO MAKEUP DATE",IF(NOT(ISNUMBER($C321)),"MAKEUP DATE NOT A DATE",IF(OR(AND($G321&lt;&gt;"",NOT(ISNUMBER($G321))),AND($H321&lt;&gt;"",NOT(ISNUMBER($H321)))),"CREDIT NOT A NUMBER",IF(OR(N($G321)&lt;0,N($H321)&lt;0),"NEGATIVE CREDIT",IF(AND($F321="Classroom",N($G321)&lt;=0),"NO MINUTES CREDITED",IF(AND($F321="PT",N($H321)&lt;=0),"NO SESSIONS CREDITED",IF($I321="","NO LINKED EVENT",IF(COUNTIF(nrAT_ID,$I321)=0,"NO SUCH EVENT",IF(INDEX(nrAT_PID,MATCH($I321,nrAT_ID,0))&lt;&gt;$E321,"WRONG CADET",IF(INDEX(nrAT_IsPT,MATCH($I321,nrAT_ID,0))&lt;&gt;IF($F321="PT","Yes","No"),"UNIT MISMATCH","OK"))))))))))))</f>
        <v/>
      </c>
    </row>
    <row r="322">
      <c r="B322" s="17">
        <f>IF($D322="","","M"&amp;TEXT(ROW()-5,"000"))</f>
        <v/>
      </c>
      <c r="C322" s="18" t="n"/>
      <c r="D322" s="16" t="n"/>
      <c r="E322" s="17">
        <f>IF($D322="","",IFERROR(INDEX(rngCadetPIDs,MATCH($D322,rngCadetNames,0)),"?"))</f>
        <v/>
      </c>
      <c r="F322" s="16" t="n"/>
      <c r="G322" s="16" t="n"/>
      <c r="H322" s="16" t="n"/>
      <c r="I322" s="16" t="n"/>
      <c r="J322" s="16" t="n"/>
      <c r="K322" s="16" t="n"/>
      <c r="L322" s="17">
        <f>IF($D322="","",IF(AND($J322="Received",$K322&lt;&gt;"Yes",LEFT($N322,2)="OK"),"Yes","No"))</f>
        <v/>
      </c>
      <c r="M322" s="16" t="n"/>
      <c r="N322" s="17">
        <f>IF($D322="","",IF(AND($F322&lt;&gt;"Classroom",$F322&lt;&gt;"PT"),"TYPE NOT CREDITED",IF($C322="","NO MAKEUP DATE",IF(NOT(ISNUMBER($C322)),"MAKEUP DATE NOT A DATE",IF(OR(AND($G322&lt;&gt;"",NOT(ISNUMBER($G322))),AND($H322&lt;&gt;"",NOT(ISNUMBER($H322)))),"CREDIT NOT A NUMBER",IF(OR(N($G322)&lt;0,N($H322)&lt;0),"NEGATIVE CREDIT",IF(AND($F322="Classroom",N($G322)&lt;=0),"NO MINUTES CREDITED",IF(AND($F322="PT",N($H322)&lt;=0),"NO SESSIONS CREDITED",IF($I322="","NO LINKED EVENT",IF(COUNTIF(nrAT_ID,$I322)=0,"NO SUCH EVENT",IF(INDEX(nrAT_PID,MATCH($I322,nrAT_ID,0))&lt;&gt;$E322,"WRONG CADET",IF(INDEX(nrAT_IsPT,MATCH($I322,nrAT_ID,0))&lt;&gt;IF($F322="PT","Yes","No"),"UNIT MISMATCH","OK"))))))))))))</f>
        <v/>
      </c>
    </row>
    <row r="323">
      <c r="B323" s="17">
        <f>IF($D323="","","M"&amp;TEXT(ROW()-5,"000"))</f>
        <v/>
      </c>
      <c r="C323" s="18" t="n"/>
      <c r="D323" s="16" t="n"/>
      <c r="E323" s="17">
        <f>IF($D323="","",IFERROR(INDEX(rngCadetPIDs,MATCH($D323,rngCadetNames,0)),"?"))</f>
        <v/>
      </c>
      <c r="F323" s="16" t="n"/>
      <c r="G323" s="16" t="n"/>
      <c r="H323" s="16" t="n"/>
      <c r="I323" s="16" t="n"/>
      <c r="J323" s="16" t="n"/>
      <c r="K323" s="16" t="n"/>
      <c r="L323" s="17">
        <f>IF($D323="","",IF(AND($J323="Received",$K323&lt;&gt;"Yes",LEFT($N323,2)="OK"),"Yes","No"))</f>
        <v/>
      </c>
      <c r="M323" s="16" t="n"/>
      <c r="N323" s="17">
        <f>IF($D323="","",IF(AND($F323&lt;&gt;"Classroom",$F323&lt;&gt;"PT"),"TYPE NOT CREDITED",IF($C323="","NO MAKEUP DATE",IF(NOT(ISNUMBER($C323)),"MAKEUP DATE NOT A DATE",IF(OR(AND($G323&lt;&gt;"",NOT(ISNUMBER($G323))),AND($H323&lt;&gt;"",NOT(ISNUMBER($H323)))),"CREDIT NOT A NUMBER",IF(OR(N($G323)&lt;0,N($H323)&lt;0),"NEGATIVE CREDIT",IF(AND($F323="Classroom",N($G323)&lt;=0),"NO MINUTES CREDITED",IF(AND($F323="PT",N($H323)&lt;=0),"NO SESSIONS CREDITED",IF($I323="","NO LINKED EVENT",IF(COUNTIF(nrAT_ID,$I323)=0,"NO SUCH EVENT",IF(INDEX(nrAT_PID,MATCH($I323,nrAT_ID,0))&lt;&gt;$E323,"WRONG CADET",IF(INDEX(nrAT_IsPT,MATCH($I323,nrAT_ID,0))&lt;&gt;IF($F323="PT","Yes","No"),"UNIT MISMATCH","OK"))))))))))))</f>
        <v/>
      </c>
    </row>
    <row r="324">
      <c r="B324" s="17">
        <f>IF($D324="","","M"&amp;TEXT(ROW()-5,"000"))</f>
        <v/>
      </c>
      <c r="C324" s="18" t="n"/>
      <c r="D324" s="16" t="n"/>
      <c r="E324" s="17">
        <f>IF($D324="","",IFERROR(INDEX(rngCadetPIDs,MATCH($D324,rngCadetNames,0)),"?"))</f>
        <v/>
      </c>
      <c r="F324" s="16" t="n"/>
      <c r="G324" s="16" t="n"/>
      <c r="H324" s="16" t="n"/>
      <c r="I324" s="16" t="n"/>
      <c r="J324" s="16" t="n"/>
      <c r="K324" s="16" t="n"/>
      <c r="L324" s="17">
        <f>IF($D324="","",IF(AND($J324="Received",$K324&lt;&gt;"Yes",LEFT($N324,2)="OK"),"Yes","No"))</f>
        <v/>
      </c>
      <c r="M324" s="16" t="n"/>
      <c r="N324" s="17">
        <f>IF($D324="","",IF(AND($F324&lt;&gt;"Classroom",$F324&lt;&gt;"PT"),"TYPE NOT CREDITED",IF($C324="","NO MAKEUP DATE",IF(NOT(ISNUMBER($C324)),"MAKEUP DATE NOT A DATE",IF(OR(AND($G324&lt;&gt;"",NOT(ISNUMBER($G324))),AND($H324&lt;&gt;"",NOT(ISNUMBER($H324)))),"CREDIT NOT A NUMBER",IF(OR(N($G324)&lt;0,N($H324)&lt;0),"NEGATIVE CREDIT",IF(AND($F324="Classroom",N($G324)&lt;=0),"NO MINUTES CREDITED",IF(AND($F324="PT",N($H324)&lt;=0),"NO SESSIONS CREDITED",IF($I324="","NO LINKED EVENT",IF(COUNTIF(nrAT_ID,$I324)=0,"NO SUCH EVENT",IF(INDEX(nrAT_PID,MATCH($I324,nrAT_ID,0))&lt;&gt;$E324,"WRONG CADET",IF(INDEX(nrAT_IsPT,MATCH($I324,nrAT_ID,0))&lt;&gt;IF($F324="PT","Yes","No"),"UNIT MISMATCH","OK"))))))))))))</f>
        <v/>
      </c>
    </row>
    <row r="325">
      <c r="B325" s="17">
        <f>IF($D325="","","M"&amp;TEXT(ROW()-5,"000"))</f>
        <v/>
      </c>
      <c r="C325" s="18" t="n"/>
      <c r="D325" s="16" t="n"/>
      <c r="E325" s="17">
        <f>IF($D325="","",IFERROR(INDEX(rngCadetPIDs,MATCH($D325,rngCadetNames,0)),"?"))</f>
        <v/>
      </c>
      <c r="F325" s="16" t="n"/>
      <c r="G325" s="16" t="n"/>
      <c r="H325" s="16" t="n"/>
      <c r="I325" s="16" t="n"/>
      <c r="J325" s="16" t="n"/>
      <c r="K325" s="16" t="n"/>
      <c r="L325" s="17">
        <f>IF($D325="","",IF(AND($J325="Received",$K325&lt;&gt;"Yes",LEFT($N325,2)="OK"),"Yes","No"))</f>
        <v/>
      </c>
      <c r="M325" s="16" t="n"/>
      <c r="N325" s="17">
        <f>IF($D325="","",IF(AND($F325&lt;&gt;"Classroom",$F325&lt;&gt;"PT"),"TYPE NOT CREDITED",IF($C325="","NO MAKEUP DATE",IF(NOT(ISNUMBER($C325)),"MAKEUP DATE NOT A DATE",IF(OR(AND($G325&lt;&gt;"",NOT(ISNUMBER($G325))),AND($H325&lt;&gt;"",NOT(ISNUMBER($H325)))),"CREDIT NOT A NUMBER",IF(OR(N($G325)&lt;0,N($H325)&lt;0),"NEGATIVE CREDIT",IF(AND($F325="Classroom",N($G325)&lt;=0),"NO MINUTES CREDITED",IF(AND($F325="PT",N($H325)&lt;=0),"NO SESSIONS CREDITED",IF($I325="","NO LINKED EVENT",IF(COUNTIF(nrAT_ID,$I325)=0,"NO SUCH EVENT",IF(INDEX(nrAT_PID,MATCH($I325,nrAT_ID,0))&lt;&gt;$E325,"WRONG CADET",IF(INDEX(nrAT_IsPT,MATCH($I325,nrAT_ID,0))&lt;&gt;IF($F325="PT","Yes","No"),"UNIT MISMATCH","OK"))))))))))))</f>
        <v/>
      </c>
    </row>
    <row r="326">
      <c r="B326" s="17">
        <f>IF($D326="","","M"&amp;TEXT(ROW()-5,"000"))</f>
        <v/>
      </c>
      <c r="C326" s="18" t="n"/>
      <c r="D326" s="16" t="n"/>
      <c r="E326" s="17">
        <f>IF($D326="","",IFERROR(INDEX(rngCadetPIDs,MATCH($D326,rngCadetNames,0)),"?"))</f>
        <v/>
      </c>
      <c r="F326" s="16" t="n"/>
      <c r="G326" s="16" t="n"/>
      <c r="H326" s="16" t="n"/>
      <c r="I326" s="16" t="n"/>
      <c r="J326" s="16" t="n"/>
      <c r="K326" s="16" t="n"/>
      <c r="L326" s="17">
        <f>IF($D326="","",IF(AND($J326="Received",$K326&lt;&gt;"Yes",LEFT($N326,2)="OK"),"Yes","No"))</f>
        <v/>
      </c>
      <c r="M326" s="16" t="n"/>
      <c r="N326" s="17">
        <f>IF($D326="","",IF(AND($F326&lt;&gt;"Classroom",$F326&lt;&gt;"PT"),"TYPE NOT CREDITED",IF($C326="","NO MAKEUP DATE",IF(NOT(ISNUMBER($C326)),"MAKEUP DATE NOT A DATE",IF(OR(AND($G326&lt;&gt;"",NOT(ISNUMBER($G326))),AND($H326&lt;&gt;"",NOT(ISNUMBER($H326)))),"CREDIT NOT A NUMBER",IF(OR(N($G326)&lt;0,N($H326)&lt;0),"NEGATIVE CREDIT",IF(AND($F326="Classroom",N($G326)&lt;=0),"NO MINUTES CREDITED",IF(AND($F326="PT",N($H326)&lt;=0),"NO SESSIONS CREDITED",IF($I326="","NO LINKED EVENT",IF(COUNTIF(nrAT_ID,$I326)=0,"NO SUCH EVENT",IF(INDEX(nrAT_PID,MATCH($I326,nrAT_ID,0))&lt;&gt;$E326,"WRONG CADET",IF(INDEX(nrAT_IsPT,MATCH($I326,nrAT_ID,0))&lt;&gt;IF($F326="PT","Yes","No"),"UNIT MISMATCH","OK"))))))))))))</f>
        <v/>
      </c>
    </row>
    <row r="327">
      <c r="B327" s="17">
        <f>IF($D327="","","M"&amp;TEXT(ROW()-5,"000"))</f>
        <v/>
      </c>
      <c r="C327" s="18" t="n"/>
      <c r="D327" s="16" t="n"/>
      <c r="E327" s="17">
        <f>IF($D327="","",IFERROR(INDEX(rngCadetPIDs,MATCH($D327,rngCadetNames,0)),"?"))</f>
        <v/>
      </c>
      <c r="F327" s="16" t="n"/>
      <c r="G327" s="16" t="n"/>
      <c r="H327" s="16" t="n"/>
      <c r="I327" s="16" t="n"/>
      <c r="J327" s="16" t="n"/>
      <c r="K327" s="16" t="n"/>
      <c r="L327" s="17">
        <f>IF($D327="","",IF(AND($J327="Received",$K327&lt;&gt;"Yes",LEFT($N327,2)="OK"),"Yes","No"))</f>
        <v/>
      </c>
      <c r="M327" s="16" t="n"/>
      <c r="N327" s="17">
        <f>IF($D327="","",IF(AND($F327&lt;&gt;"Classroom",$F327&lt;&gt;"PT"),"TYPE NOT CREDITED",IF($C327="","NO MAKEUP DATE",IF(NOT(ISNUMBER($C327)),"MAKEUP DATE NOT A DATE",IF(OR(AND($G327&lt;&gt;"",NOT(ISNUMBER($G327))),AND($H327&lt;&gt;"",NOT(ISNUMBER($H327)))),"CREDIT NOT A NUMBER",IF(OR(N($G327)&lt;0,N($H327)&lt;0),"NEGATIVE CREDIT",IF(AND($F327="Classroom",N($G327)&lt;=0),"NO MINUTES CREDITED",IF(AND($F327="PT",N($H327)&lt;=0),"NO SESSIONS CREDITED",IF($I327="","NO LINKED EVENT",IF(COUNTIF(nrAT_ID,$I327)=0,"NO SUCH EVENT",IF(INDEX(nrAT_PID,MATCH($I327,nrAT_ID,0))&lt;&gt;$E327,"WRONG CADET",IF(INDEX(nrAT_IsPT,MATCH($I327,nrAT_ID,0))&lt;&gt;IF($F327="PT","Yes","No"),"UNIT MISMATCH","OK"))))))))))))</f>
        <v/>
      </c>
    </row>
    <row r="328">
      <c r="B328" s="17">
        <f>IF($D328="","","M"&amp;TEXT(ROW()-5,"000"))</f>
        <v/>
      </c>
      <c r="C328" s="18" t="n"/>
      <c r="D328" s="16" t="n"/>
      <c r="E328" s="17">
        <f>IF($D328="","",IFERROR(INDEX(rngCadetPIDs,MATCH($D328,rngCadetNames,0)),"?"))</f>
        <v/>
      </c>
      <c r="F328" s="16" t="n"/>
      <c r="G328" s="16" t="n"/>
      <c r="H328" s="16" t="n"/>
      <c r="I328" s="16" t="n"/>
      <c r="J328" s="16" t="n"/>
      <c r="K328" s="16" t="n"/>
      <c r="L328" s="17">
        <f>IF($D328="","",IF(AND($J328="Received",$K328&lt;&gt;"Yes",LEFT($N328,2)="OK"),"Yes","No"))</f>
        <v/>
      </c>
      <c r="M328" s="16" t="n"/>
      <c r="N328" s="17">
        <f>IF($D328="","",IF(AND($F328&lt;&gt;"Classroom",$F328&lt;&gt;"PT"),"TYPE NOT CREDITED",IF($C328="","NO MAKEUP DATE",IF(NOT(ISNUMBER($C328)),"MAKEUP DATE NOT A DATE",IF(OR(AND($G328&lt;&gt;"",NOT(ISNUMBER($G328))),AND($H328&lt;&gt;"",NOT(ISNUMBER($H328)))),"CREDIT NOT A NUMBER",IF(OR(N($G328)&lt;0,N($H328)&lt;0),"NEGATIVE CREDIT",IF(AND($F328="Classroom",N($G328)&lt;=0),"NO MINUTES CREDITED",IF(AND($F328="PT",N($H328)&lt;=0),"NO SESSIONS CREDITED",IF($I328="","NO LINKED EVENT",IF(COUNTIF(nrAT_ID,$I328)=0,"NO SUCH EVENT",IF(INDEX(nrAT_PID,MATCH($I328,nrAT_ID,0))&lt;&gt;$E328,"WRONG CADET",IF(INDEX(nrAT_IsPT,MATCH($I328,nrAT_ID,0))&lt;&gt;IF($F328="PT","Yes","No"),"UNIT MISMATCH","OK"))))))))))))</f>
        <v/>
      </c>
    </row>
    <row r="329">
      <c r="B329" s="17">
        <f>IF($D329="","","M"&amp;TEXT(ROW()-5,"000"))</f>
        <v/>
      </c>
      <c r="C329" s="18" t="n"/>
      <c r="D329" s="16" t="n"/>
      <c r="E329" s="17">
        <f>IF($D329="","",IFERROR(INDEX(rngCadetPIDs,MATCH($D329,rngCadetNames,0)),"?"))</f>
        <v/>
      </c>
      <c r="F329" s="16" t="n"/>
      <c r="G329" s="16" t="n"/>
      <c r="H329" s="16" t="n"/>
      <c r="I329" s="16" t="n"/>
      <c r="J329" s="16" t="n"/>
      <c r="K329" s="16" t="n"/>
      <c r="L329" s="17">
        <f>IF($D329="","",IF(AND($J329="Received",$K329&lt;&gt;"Yes",LEFT($N329,2)="OK"),"Yes","No"))</f>
        <v/>
      </c>
      <c r="M329" s="16" t="n"/>
      <c r="N329" s="17">
        <f>IF($D329="","",IF(AND($F329&lt;&gt;"Classroom",$F329&lt;&gt;"PT"),"TYPE NOT CREDITED",IF($C329="","NO MAKEUP DATE",IF(NOT(ISNUMBER($C329)),"MAKEUP DATE NOT A DATE",IF(OR(AND($G329&lt;&gt;"",NOT(ISNUMBER($G329))),AND($H329&lt;&gt;"",NOT(ISNUMBER($H329)))),"CREDIT NOT A NUMBER",IF(OR(N($G329)&lt;0,N($H329)&lt;0),"NEGATIVE CREDIT",IF(AND($F329="Classroom",N($G329)&lt;=0),"NO MINUTES CREDITED",IF(AND($F329="PT",N($H329)&lt;=0),"NO SESSIONS CREDITED",IF($I329="","NO LINKED EVENT",IF(COUNTIF(nrAT_ID,$I329)=0,"NO SUCH EVENT",IF(INDEX(nrAT_PID,MATCH($I329,nrAT_ID,0))&lt;&gt;$E329,"WRONG CADET",IF(INDEX(nrAT_IsPT,MATCH($I329,nrAT_ID,0))&lt;&gt;IF($F329="PT","Yes","No"),"UNIT MISMATCH","OK"))))))))))))</f>
        <v/>
      </c>
    </row>
    <row r="330">
      <c r="B330" s="17">
        <f>IF($D330="","","M"&amp;TEXT(ROW()-5,"000"))</f>
        <v/>
      </c>
      <c r="C330" s="18" t="n"/>
      <c r="D330" s="16" t="n"/>
      <c r="E330" s="17">
        <f>IF($D330="","",IFERROR(INDEX(rngCadetPIDs,MATCH($D330,rngCadetNames,0)),"?"))</f>
        <v/>
      </c>
      <c r="F330" s="16" t="n"/>
      <c r="G330" s="16" t="n"/>
      <c r="H330" s="16" t="n"/>
      <c r="I330" s="16" t="n"/>
      <c r="J330" s="16" t="n"/>
      <c r="K330" s="16" t="n"/>
      <c r="L330" s="17">
        <f>IF($D330="","",IF(AND($J330="Received",$K330&lt;&gt;"Yes",LEFT($N330,2)="OK"),"Yes","No"))</f>
        <v/>
      </c>
      <c r="M330" s="16" t="n"/>
      <c r="N330" s="17">
        <f>IF($D330="","",IF(AND($F330&lt;&gt;"Classroom",$F330&lt;&gt;"PT"),"TYPE NOT CREDITED",IF($C330="","NO MAKEUP DATE",IF(NOT(ISNUMBER($C330)),"MAKEUP DATE NOT A DATE",IF(OR(AND($G330&lt;&gt;"",NOT(ISNUMBER($G330))),AND($H330&lt;&gt;"",NOT(ISNUMBER($H330)))),"CREDIT NOT A NUMBER",IF(OR(N($G330)&lt;0,N($H330)&lt;0),"NEGATIVE CREDIT",IF(AND($F330="Classroom",N($G330)&lt;=0),"NO MINUTES CREDITED",IF(AND($F330="PT",N($H330)&lt;=0),"NO SESSIONS CREDITED",IF($I330="","NO LINKED EVENT",IF(COUNTIF(nrAT_ID,$I330)=0,"NO SUCH EVENT",IF(INDEX(nrAT_PID,MATCH($I330,nrAT_ID,0))&lt;&gt;$E330,"WRONG CADET",IF(INDEX(nrAT_IsPT,MATCH($I330,nrAT_ID,0))&lt;&gt;IF($F330="PT","Yes","No"),"UNIT MISMATCH","OK"))))))))))))</f>
        <v/>
      </c>
    </row>
    <row r="331">
      <c r="B331" s="17">
        <f>IF($D331="","","M"&amp;TEXT(ROW()-5,"000"))</f>
        <v/>
      </c>
      <c r="C331" s="18" t="n"/>
      <c r="D331" s="16" t="n"/>
      <c r="E331" s="17">
        <f>IF($D331="","",IFERROR(INDEX(rngCadetPIDs,MATCH($D331,rngCadetNames,0)),"?"))</f>
        <v/>
      </c>
      <c r="F331" s="16" t="n"/>
      <c r="G331" s="16" t="n"/>
      <c r="H331" s="16" t="n"/>
      <c r="I331" s="16" t="n"/>
      <c r="J331" s="16" t="n"/>
      <c r="K331" s="16" t="n"/>
      <c r="L331" s="17">
        <f>IF($D331="","",IF(AND($J331="Received",$K331&lt;&gt;"Yes",LEFT($N331,2)="OK"),"Yes","No"))</f>
        <v/>
      </c>
      <c r="M331" s="16" t="n"/>
      <c r="N331" s="17">
        <f>IF($D331="","",IF(AND($F331&lt;&gt;"Classroom",$F331&lt;&gt;"PT"),"TYPE NOT CREDITED",IF($C331="","NO MAKEUP DATE",IF(NOT(ISNUMBER($C331)),"MAKEUP DATE NOT A DATE",IF(OR(AND($G331&lt;&gt;"",NOT(ISNUMBER($G331))),AND($H331&lt;&gt;"",NOT(ISNUMBER($H331)))),"CREDIT NOT A NUMBER",IF(OR(N($G331)&lt;0,N($H331)&lt;0),"NEGATIVE CREDIT",IF(AND($F331="Classroom",N($G331)&lt;=0),"NO MINUTES CREDITED",IF(AND($F331="PT",N($H331)&lt;=0),"NO SESSIONS CREDITED",IF($I331="","NO LINKED EVENT",IF(COUNTIF(nrAT_ID,$I331)=0,"NO SUCH EVENT",IF(INDEX(nrAT_PID,MATCH($I331,nrAT_ID,0))&lt;&gt;$E331,"WRONG CADET",IF(INDEX(nrAT_IsPT,MATCH($I331,nrAT_ID,0))&lt;&gt;IF($F331="PT","Yes","No"),"UNIT MISMATCH","OK"))))))))))))</f>
        <v/>
      </c>
    </row>
    <row r="332">
      <c r="B332" s="17">
        <f>IF($D332="","","M"&amp;TEXT(ROW()-5,"000"))</f>
        <v/>
      </c>
      <c r="C332" s="18" t="n"/>
      <c r="D332" s="16" t="n"/>
      <c r="E332" s="17">
        <f>IF($D332="","",IFERROR(INDEX(rngCadetPIDs,MATCH($D332,rngCadetNames,0)),"?"))</f>
        <v/>
      </c>
      <c r="F332" s="16" t="n"/>
      <c r="G332" s="16" t="n"/>
      <c r="H332" s="16" t="n"/>
      <c r="I332" s="16" t="n"/>
      <c r="J332" s="16" t="n"/>
      <c r="K332" s="16" t="n"/>
      <c r="L332" s="17">
        <f>IF($D332="","",IF(AND($J332="Received",$K332&lt;&gt;"Yes",LEFT($N332,2)="OK"),"Yes","No"))</f>
        <v/>
      </c>
      <c r="M332" s="16" t="n"/>
      <c r="N332" s="17">
        <f>IF($D332="","",IF(AND($F332&lt;&gt;"Classroom",$F332&lt;&gt;"PT"),"TYPE NOT CREDITED",IF($C332="","NO MAKEUP DATE",IF(NOT(ISNUMBER($C332)),"MAKEUP DATE NOT A DATE",IF(OR(AND($G332&lt;&gt;"",NOT(ISNUMBER($G332))),AND($H332&lt;&gt;"",NOT(ISNUMBER($H332)))),"CREDIT NOT A NUMBER",IF(OR(N($G332)&lt;0,N($H332)&lt;0),"NEGATIVE CREDIT",IF(AND($F332="Classroom",N($G332)&lt;=0),"NO MINUTES CREDITED",IF(AND($F332="PT",N($H332)&lt;=0),"NO SESSIONS CREDITED",IF($I332="","NO LINKED EVENT",IF(COUNTIF(nrAT_ID,$I332)=0,"NO SUCH EVENT",IF(INDEX(nrAT_PID,MATCH($I332,nrAT_ID,0))&lt;&gt;$E332,"WRONG CADET",IF(INDEX(nrAT_IsPT,MATCH($I332,nrAT_ID,0))&lt;&gt;IF($F332="PT","Yes","No"),"UNIT MISMATCH","OK"))))))))))))</f>
        <v/>
      </c>
    </row>
    <row r="333">
      <c r="B333" s="17">
        <f>IF($D333="","","M"&amp;TEXT(ROW()-5,"000"))</f>
        <v/>
      </c>
      <c r="C333" s="18" t="n"/>
      <c r="D333" s="16" t="n"/>
      <c r="E333" s="17">
        <f>IF($D333="","",IFERROR(INDEX(rngCadetPIDs,MATCH($D333,rngCadetNames,0)),"?"))</f>
        <v/>
      </c>
      <c r="F333" s="16" t="n"/>
      <c r="G333" s="16" t="n"/>
      <c r="H333" s="16" t="n"/>
      <c r="I333" s="16" t="n"/>
      <c r="J333" s="16" t="n"/>
      <c r="K333" s="16" t="n"/>
      <c r="L333" s="17">
        <f>IF($D333="","",IF(AND($J333="Received",$K333&lt;&gt;"Yes",LEFT($N333,2)="OK"),"Yes","No"))</f>
        <v/>
      </c>
      <c r="M333" s="16" t="n"/>
      <c r="N333" s="17">
        <f>IF($D333="","",IF(AND($F333&lt;&gt;"Classroom",$F333&lt;&gt;"PT"),"TYPE NOT CREDITED",IF($C333="","NO MAKEUP DATE",IF(NOT(ISNUMBER($C333)),"MAKEUP DATE NOT A DATE",IF(OR(AND($G333&lt;&gt;"",NOT(ISNUMBER($G333))),AND($H333&lt;&gt;"",NOT(ISNUMBER($H333)))),"CREDIT NOT A NUMBER",IF(OR(N($G333)&lt;0,N($H333)&lt;0),"NEGATIVE CREDIT",IF(AND($F333="Classroom",N($G333)&lt;=0),"NO MINUTES CREDITED",IF(AND($F333="PT",N($H333)&lt;=0),"NO SESSIONS CREDITED",IF($I333="","NO LINKED EVENT",IF(COUNTIF(nrAT_ID,$I333)=0,"NO SUCH EVENT",IF(INDEX(nrAT_PID,MATCH($I333,nrAT_ID,0))&lt;&gt;$E333,"WRONG CADET",IF(INDEX(nrAT_IsPT,MATCH($I333,nrAT_ID,0))&lt;&gt;IF($F333="PT","Yes","No"),"UNIT MISMATCH","OK"))))))))))))</f>
        <v/>
      </c>
    </row>
    <row r="334">
      <c r="B334" s="17">
        <f>IF($D334="","","M"&amp;TEXT(ROW()-5,"000"))</f>
        <v/>
      </c>
      <c r="C334" s="18" t="n"/>
      <c r="D334" s="16" t="n"/>
      <c r="E334" s="17">
        <f>IF($D334="","",IFERROR(INDEX(rngCadetPIDs,MATCH($D334,rngCadetNames,0)),"?"))</f>
        <v/>
      </c>
      <c r="F334" s="16" t="n"/>
      <c r="G334" s="16" t="n"/>
      <c r="H334" s="16" t="n"/>
      <c r="I334" s="16" t="n"/>
      <c r="J334" s="16" t="n"/>
      <c r="K334" s="16" t="n"/>
      <c r="L334" s="17">
        <f>IF($D334="","",IF(AND($J334="Received",$K334&lt;&gt;"Yes",LEFT($N334,2)="OK"),"Yes","No"))</f>
        <v/>
      </c>
      <c r="M334" s="16" t="n"/>
      <c r="N334" s="17">
        <f>IF($D334="","",IF(AND($F334&lt;&gt;"Classroom",$F334&lt;&gt;"PT"),"TYPE NOT CREDITED",IF($C334="","NO MAKEUP DATE",IF(NOT(ISNUMBER($C334)),"MAKEUP DATE NOT A DATE",IF(OR(AND($G334&lt;&gt;"",NOT(ISNUMBER($G334))),AND($H334&lt;&gt;"",NOT(ISNUMBER($H334)))),"CREDIT NOT A NUMBER",IF(OR(N($G334)&lt;0,N($H334)&lt;0),"NEGATIVE CREDIT",IF(AND($F334="Classroom",N($G334)&lt;=0),"NO MINUTES CREDITED",IF(AND($F334="PT",N($H334)&lt;=0),"NO SESSIONS CREDITED",IF($I334="","NO LINKED EVENT",IF(COUNTIF(nrAT_ID,$I334)=0,"NO SUCH EVENT",IF(INDEX(nrAT_PID,MATCH($I334,nrAT_ID,0))&lt;&gt;$E334,"WRONG CADET",IF(INDEX(nrAT_IsPT,MATCH($I334,nrAT_ID,0))&lt;&gt;IF($F334="PT","Yes","No"),"UNIT MISMATCH","OK"))))))))))))</f>
        <v/>
      </c>
    </row>
    <row r="335">
      <c r="B335" s="17">
        <f>IF($D335="","","M"&amp;TEXT(ROW()-5,"000"))</f>
        <v/>
      </c>
      <c r="C335" s="18" t="n"/>
      <c r="D335" s="16" t="n"/>
      <c r="E335" s="17">
        <f>IF($D335="","",IFERROR(INDEX(rngCadetPIDs,MATCH($D335,rngCadetNames,0)),"?"))</f>
        <v/>
      </c>
      <c r="F335" s="16" t="n"/>
      <c r="G335" s="16" t="n"/>
      <c r="H335" s="16" t="n"/>
      <c r="I335" s="16" t="n"/>
      <c r="J335" s="16" t="n"/>
      <c r="K335" s="16" t="n"/>
      <c r="L335" s="17">
        <f>IF($D335="","",IF(AND($J335="Received",$K335&lt;&gt;"Yes",LEFT($N335,2)="OK"),"Yes","No"))</f>
        <v/>
      </c>
      <c r="M335" s="16" t="n"/>
      <c r="N335" s="17">
        <f>IF($D335="","",IF(AND($F335&lt;&gt;"Classroom",$F335&lt;&gt;"PT"),"TYPE NOT CREDITED",IF($C335="","NO MAKEUP DATE",IF(NOT(ISNUMBER($C335)),"MAKEUP DATE NOT A DATE",IF(OR(AND($G335&lt;&gt;"",NOT(ISNUMBER($G335))),AND($H335&lt;&gt;"",NOT(ISNUMBER($H335)))),"CREDIT NOT A NUMBER",IF(OR(N($G335)&lt;0,N($H335)&lt;0),"NEGATIVE CREDIT",IF(AND($F335="Classroom",N($G335)&lt;=0),"NO MINUTES CREDITED",IF(AND($F335="PT",N($H335)&lt;=0),"NO SESSIONS CREDITED",IF($I335="","NO LINKED EVENT",IF(COUNTIF(nrAT_ID,$I335)=0,"NO SUCH EVENT",IF(INDEX(nrAT_PID,MATCH($I335,nrAT_ID,0))&lt;&gt;$E335,"WRONG CADET",IF(INDEX(nrAT_IsPT,MATCH($I335,nrAT_ID,0))&lt;&gt;IF($F335="PT","Yes","No"),"UNIT MISMATCH","OK"))))))))))))</f>
        <v/>
      </c>
    </row>
    <row r="336">
      <c r="B336" s="17">
        <f>IF($D336="","","M"&amp;TEXT(ROW()-5,"000"))</f>
        <v/>
      </c>
      <c r="C336" s="18" t="n"/>
      <c r="D336" s="16" t="n"/>
      <c r="E336" s="17">
        <f>IF($D336="","",IFERROR(INDEX(rngCadetPIDs,MATCH($D336,rngCadetNames,0)),"?"))</f>
        <v/>
      </c>
      <c r="F336" s="16" t="n"/>
      <c r="G336" s="16" t="n"/>
      <c r="H336" s="16" t="n"/>
      <c r="I336" s="16" t="n"/>
      <c r="J336" s="16" t="n"/>
      <c r="K336" s="16" t="n"/>
      <c r="L336" s="17">
        <f>IF($D336="","",IF(AND($J336="Received",$K336&lt;&gt;"Yes",LEFT($N336,2)="OK"),"Yes","No"))</f>
        <v/>
      </c>
      <c r="M336" s="16" t="n"/>
      <c r="N336" s="17">
        <f>IF($D336="","",IF(AND($F336&lt;&gt;"Classroom",$F336&lt;&gt;"PT"),"TYPE NOT CREDITED",IF($C336="","NO MAKEUP DATE",IF(NOT(ISNUMBER($C336)),"MAKEUP DATE NOT A DATE",IF(OR(AND($G336&lt;&gt;"",NOT(ISNUMBER($G336))),AND($H336&lt;&gt;"",NOT(ISNUMBER($H336)))),"CREDIT NOT A NUMBER",IF(OR(N($G336)&lt;0,N($H336)&lt;0),"NEGATIVE CREDIT",IF(AND($F336="Classroom",N($G336)&lt;=0),"NO MINUTES CREDITED",IF(AND($F336="PT",N($H336)&lt;=0),"NO SESSIONS CREDITED",IF($I336="","NO LINKED EVENT",IF(COUNTIF(nrAT_ID,$I336)=0,"NO SUCH EVENT",IF(INDEX(nrAT_PID,MATCH($I336,nrAT_ID,0))&lt;&gt;$E336,"WRONG CADET",IF(INDEX(nrAT_IsPT,MATCH($I336,nrAT_ID,0))&lt;&gt;IF($F336="PT","Yes","No"),"UNIT MISMATCH","OK"))))))))))))</f>
        <v/>
      </c>
    </row>
    <row r="337">
      <c r="B337" s="17">
        <f>IF($D337="","","M"&amp;TEXT(ROW()-5,"000"))</f>
        <v/>
      </c>
      <c r="C337" s="18" t="n"/>
      <c r="D337" s="16" t="n"/>
      <c r="E337" s="17">
        <f>IF($D337="","",IFERROR(INDEX(rngCadetPIDs,MATCH($D337,rngCadetNames,0)),"?"))</f>
        <v/>
      </c>
      <c r="F337" s="16" t="n"/>
      <c r="G337" s="16" t="n"/>
      <c r="H337" s="16" t="n"/>
      <c r="I337" s="16" t="n"/>
      <c r="J337" s="16" t="n"/>
      <c r="K337" s="16" t="n"/>
      <c r="L337" s="17">
        <f>IF($D337="","",IF(AND($J337="Received",$K337&lt;&gt;"Yes",LEFT($N337,2)="OK"),"Yes","No"))</f>
        <v/>
      </c>
      <c r="M337" s="16" t="n"/>
      <c r="N337" s="17">
        <f>IF($D337="","",IF(AND($F337&lt;&gt;"Classroom",$F337&lt;&gt;"PT"),"TYPE NOT CREDITED",IF($C337="","NO MAKEUP DATE",IF(NOT(ISNUMBER($C337)),"MAKEUP DATE NOT A DATE",IF(OR(AND($G337&lt;&gt;"",NOT(ISNUMBER($G337))),AND($H337&lt;&gt;"",NOT(ISNUMBER($H337)))),"CREDIT NOT A NUMBER",IF(OR(N($G337)&lt;0,N($H337)&lt;0),"NEGATIVE CREDIT",IF(AND($F337="Classroom",N($G337)&lt;=0),"NO MINUTES CREDITED",IF(AND($F337="PT",N($H337)&lt;=0),"NO SESSIONS CREDITED",IF($I337="","NO LINKED EVENT",IF(COUNTIF(nrAT_ID,$I337)=0,"NO SUCH EVENT",IF(INDEX(nrAT_PID,MATCH($I337,nrAT_ID,0))&lt;&gt;$E337,"WRONG CADET",IF(INDEX(nrAT_IsPT,MATCH($I337,nrAT_ID,0))&lt;&gt;IF($F337="PT","Yes","No"),"UNIT MISMATCH","OK"))))))))))))</f>
        <v/>
      </c>
    </row>
    <row r="338">
      <c r="B338" s="17">
        <f>IF($D338="","","M"&amp;TEXT(ROW()-5,"000"))</f>
        <v/>
      </c>
      <c r="C338" s="18" t="n"/>
      <c r="D338" s="16" t="n"/>
      <c r="E338" s="17">
        <f>IF($D338="","",IFERROR(INDEX(rngCadetPIDs,MATCH($D338,rngCadetNames,0)),"?"))</f>
        <v/>
      </c>
      <c r="F338" s="16" t="n"/>
      <c r="G338" s="16" t="n"/>
      <c r="H338" s="16" t="n"/>
      <c r="I338" s="16" t="n"/>
      <c r="J338" s="16" t="n"/>
      <c r="K338" s="16" t="n"/>
      <c r="L338" s="17">
        <f>IF($D338="","",IF(AND($J338="Received",$K338&lt;&gt;"Yes",LEFT($N338,2)="OK"),"Yes","No"))</f>
        <v/>
      </c>
      <c r="M338" s="16" t="n"/>
      <c r="N338" s="17">
        <f>IF($D338="","",IF(AND($F338&lt;&gt;"Classroom",$F338&lt;&gt;"PT"),"TYPE NOT CREDITED",IF($C338="","NO MAKEUP DATE",IF(NOT(ISNUMBER($C338)),"MAKEUP DATE NOT A DATE",IF(OR(AND($G338&lt;&gt;"",NOT(ISNUMBER($G338))),AND($H338&lt;&gt;"",NOT(ISNUMBER($H338)))),"CREDIT NOT A NUMBER",IF(OR(N($G338)&lt;0,N($H338)&lt;0),"NEGATIVE CREDIT",IF(AND($F338="Classroom",N($G338)&lt;=0),"NO MINUTES CREDITED",IF(AND($F338="PT",N($H338)&lt;=0),"NO SESSIONS CREDITED",IF($I338="","NO LINKED EVENT",IF(COUNTIF(nrAT_ID,$I338)=0,"NO SUCH EVENT",IF(INDEX(nrAT_PID,MATCH($I338,nrAT_ID,0))&lt;&gt;$E338,"WRONG CADET",IF(INDEX(nrAT_IsPT,MATCH($I338,nrAT_ID,0))&lt;&gt;IF($F338="PT","Yes","No"),"UNIT MISMATCH","OK"))))))))))))</f>
        <v/>
      </c>
    </row>
    <row r="339">
      <c r="B339" s="17">
        <f>IF($D339="","","M"&amp;TEXT(ROW()-5,"000"))</f>
        <v/>
      </c>
      <c r="C339" s="18" t="n"/>
      <c r="D339" s="16" t="n"/>
      <c r="E339" s="17">
        <f>IF($D339="","",IFERROR(INDEX(rngCadetPIDs,MATCH($D339,rngCadetNames,0)),"?"))</f>
        <v/>
      </c>
      <c r="F339" s="16" t="n"/>
      <c r="G339" s="16" t="n"/>
      <c r="H339" s="16" t="n"/>
      <c r="I339" s="16" t="n"/>
      <c r="J339" s="16" t="n"/>
      <c r="K339" s="16" t="n"/>
      <c r="L339" s="17">
        <f>IF($D339="","",IF(AND($J339="Received",$K339&lt;&gt;"Yes",LEFT($N339,2)="OK"),"Yes","No"))</f>
        <v/>
      </c>
      <c r="M339" s="16" t="n"/>
      <c r="N339" s="17">
        <f>IF($D339="","",IF(AND($F339&lt;&gt;"Classroom",$F339&lt;&gt;"PT"),"TYPE NOT CREDITED",IF($C339="","NO MAKEUP DATE",IF(NOT(ISNUMBER($C339)),"MAKEUP DATE NOT A DATE",IF(OR(AND($G339&lt;&gt;"",NOT(ISNUMBER($G339))),AND($H339&lt;&gt;"",NOT(ISNUMBER($H339)))),"CREDIT NOT A NUMBER",IF(OR(N($G339)&lt;0,N($H339)&lt;0),"NEGATIVE CREDIT",IF(AND($F339="Classroom",N($G339)&lt;=0),"NO MINUTES CREDITED",IF(AND($F339="PT",N($H339)&lt;=0),"NO SESSIONS CREDITED",IF($I339="","NO LINKED EVENT",IF(COUNTIF(nrAT_ID,$I339)=0,"NO SUCH EVENT",IF(INDEX(nrAT_PID,MATCH($I339,nrAT_ID,0))&lt;&gt;$E339,"WRONG CADET",IF(INDEX(nrAT_IsPT,MATCH($I339,nrAT_ID,0))&lt;&gt;IF($F339="PT","Yes","No"),"UNIT MISMATCH","OK"))))))))))))</f>
        <v/>
      </c>
    </row>
    <row r="340">
      <c r="B340" s="17">
        <f>IF($D340="","","M"&amp;TEXT(ROW()-5,"000"))</f>
        <v/>
      </c>
      <c r="C340" s="18" t="n"/>
      <c r="D340" s="16" t="n"/>
      <c r="E340" s="17">
        <f>IF($D340="","",IFERROR(INDEX(rngCadetPIDs,MATCH($D340,rngCadetNames,0)),"?"))</f>
        <v/>
      </c>
      <c r="F340" s="16" t="n"/>
      <c r="G340" s="16" t="n"/>
      <c r="H340" s="16" t="n"/>
      <c r="I340" s="16" t="n"/>
      <c r="J340" s="16" t="n"/>
      <c r="K340" s="16" t="n"/>
      <c r="L340" s="17">
        <f>IF($D340="","",IF(AND($J340="Received",$K340&lt;&gt;"Yes",LEFT($N340,2)="OK"),"Yes","No"))</f>
        <v/>
      </c>
      <c r="M340" s="16" t="n"/>
      <c r="N340" s="17">
        <f>IF($D340="","",IF(AND($F340&lt;&gt;"Classroom",$F340&lt;&gt;"PT"),"TYPE NOT CREDITED",IF($C340="","NO MAKEUP DATE",IF(NOT(ISNUMBER($C340)),"MAKEUP DATE NOT A DATE",IF(OR(AND($G340&lt;&gt;"",NOT(ISNUMBER($G340))),AND($H340&lt;&gt;"",NOT(ISNUMBER($H340)))),"CREDIT NOT A NUMBER",IF(OR(N($G340)&lt;0,N($H340)&lt;0),"NEGATIVE CREDIT",IF(AND($F340="Classroom",N($G340)&lt;=0),"NO MINUTES CREDITED",IF(AND($F340="PT",N($H340)&lt;=0),"NO SESSIONS CREDITED",IF($I340="","NO LINKED EVENT",IF(COUNTIF(nrAT_ID,$I340)=0,"NO SUCH EVENT",IF(INDEX(nrAT_PID,MATCH($I340,nrAT_ID,0))&lt;&gt;$E340,"WRONG CADET",IF(INDEX(nrAT_IsPT,MATCH($I340,nrAT_ID,0))&lt;&gt;IF($F340="PT","Yes","No"),"UNIT MISMATCH","OK"))))))))))))</f>
        <v/>
      </c>
    </row>
    <row r="341">
      <c r="B341" s="17">
        <f>IF($D341="","","M"&amp;TEXT(ROW()-5,"000"))</f>
        <v/>
      </c>
      <c r="C341" s="18" t="n"/>
      <c r="D341" s="16" t="n"/>
      <c r="E341" s="17">
        <f>IF($D341="","",IFERROR(INDEX(rngCadetPIDs,MATCH($D341,rngCadetNames,0)),"?"))</f>
        <v/>
      </c>
      <c r="F341" s="16" t="n"/>
      <c r="G341" s="16" t="n"/>
      <c r="H341" s="16" t="n"/>
      <c r="I341" s="16" t="n"/>
      <c r="J341" s="16" t="n"/>
      <c r="K341" s="16" t="n"/>
      <c r="L341" s="17">
        <f>IF($D341="","",IF(AND($J341="Received",$K341&lt;&gt;"Yes",LEFT($N341,2)="OK"),"Yes","No"))</f>
        <v/>
      </c>
      <c r="M341" s="16" t="n"/>
      <c r="N341" s="17">
        <f>IF($D341="","",IF(AND($F341&lt;&gt;"Classroom",$F341&lt;&gt;"PT"),"TYPE NOT CREDITED",IF($C341="","NO MAKEUP DATE",IF(NOT(ISNUMBER($C341)),"MAKEUP DATE NOT A DATE",IF(OR(AND($G341&lt;&gt;"",NOT(ISNUMBER($G341))),AND($H341&lt;&gt;"",NOT(ISNUMBER($H341)))),"CREDIT NOT A NUMBER",IF(OR(N($G341)&lt;0,N($H341)&lt;0),"NEGATIVE CREDIT",IF(AND($F341="Classroom",N($G341)&lt;=0),"NO MINUTES CREDITED",IF(AND($F341="PT",N($H341)&lt;=0),"NO SESSIONS CREDITED",IF($I341="","NO LINKED EVENT",IF(COUNTIF(nrAT_ID,$I341)=0,"NO SUCH EVENT",IF(INDEX(nrAT_PID,MATCH($I341,nrAT_ID,0))&lt;&gt;$E341,"WRONG CADET",IF(INDEX(nrAT_IsPT,MATCH($I341,nrAT_ID,0))&lt;&gt;IF($F341="PT","Yes","No"),"UNIT MISMATCH","OK"))))))))))))</f>
        <v/>
      </c>
    </row>
    <row r="342">
      <c r="B342" s="17">
        <f>IF($D342="","","M"&amp;TEXT(ROW()-5,"000"))</f>
        <v/>
      </c>
      <c r="C342" s="18" t="n"/>
      <c r="D342" s="16" t="n"/>
      <c r="E342" s="17">
        <f>IF($D342="","",IFERROR(INDEX(rngCadetPIDs,MATCH($D342,rngCadetNames,0)),"?"))</f>
        <v/>
      </c>
      <c r="F342" s="16" t="n"/>
      <c r="G342" s="16" t="n"/>
      <c r="H342" s="16" t="n"/>
      <c r="I342" s="16" t="n"/>
      <c r="J342" s="16" t="n"/>
      <c r="K342" s="16" t="n"/>
      <c r="L342" s="17">
        <f>IF($D342="","",IF(AND($J342="Received",$K342&lt;&gt;"Yes",LEFT($N342,2)="OK"),"Yes","No"))</f>
        <v/>
      </c>
      <c r="M342" s="16" t="n"/>
      <c r="N342" s="17">
        <f>IF($D342="","",IF(AND($F342&lt;&gt;"Classroom",$F342&lt;&gt;"PT"),"TYPE NOT CREDITED",IF($C342="","NO MAKEUP DATE",IF(NOT(ISNUMBER($C342)),"MAKEUP DATE NOT A DATE",IF(OR(AND($G342&lt;&gt;"",NOT(ISNUMBER($G342))),AND($H342&lt;&gt;"",NOT(ISNUMBER($H342)))),"CREDIT NOT A NUMBER",IF(OR(N($G342)&lt;0,N($H342)&lt;0),"NEGATIVE CREDIT",IF(AND($F342="Classroom",N($G342)&lt;=0),"NO MINUTES CREDITED",IF(AND($F342="PT",N($H342)&lt;=0),"NO SESSIONS CREDITED",IF($I342="","NO LINKED EVENT",IF(COUNTIF(nrAT_ID,$I342)=0,"NO SUCH EVENT",IF(INDEX(nrAT_PID,MATCH($I342,nrAT_ID,0))&lt;&gt;$E342,"WRONG CADET",IF(INDEX(nrAT_IsPT,MATCH($I342,nrAT_ID,0))&lt;&gt;IF($F342="PT","Yes","No"),"UNIT MISMATCH","OK"))))))))))))</f>
        <v/>
      </c>
    </row>
    <row r="343">
      <c r="B343" s="17">
        <f>IF($D343="","","M"&amp;TEXT(ROW()-5,"000"))</f>
        <v/>
      </c>
      <c r="C343" s="18" t="n"/>
      <c r="D343" s="16" t="n"/>
      <c r="E343" s="17">
        <f>IF($D343="","",IFERROR(INDEX(rngCadetPIDs,MATCH($D343,rngCadetNames,0)),"?"))</f>
        <v/>
      </c>
      <c r="F343" s="16" t="n"/>
      <c r="G343" s="16" t="n"/>
      <c r="H343" s="16" t="n"/>
      <c r="I343" s="16" t="n"/>
      <c r="J343" s="16" t="n"/>
      <c r="K343" s="16" t="n"/>
      <c r="L343" s="17">
        <f>IF($D343="","",IF(AND($J343="Received",$K343&lt;&gt;"Yes",LEFT($N343,2)="OK"),"Yes","No"))</f>
        <v/>
      </c>
      <c r="M343" s="16" t="n"/>
      <c r="N343" s="17">
        <f>IF($D343="","",IF(AND($F343&lt;&gt;"Classroom",$F343&lt;&gt;"PT"),"TYPE NOT CREDITED",IF($C343="","NO MAKEUP DATE",IF(NOT(ISNUMBER($C343)),"MAKEUP DATE NOT A DATE",IF(OR(AND($G343&lt;&gt;"",NOT(ISNUMBER($G343))),AND($H343&lt;&gt;"",NOT(ISNUMBER($H343)))),"CREDIT NOT A NUMBER",IF(OR(N($G343)&lt;0,N($H343)&lt;0),"NEGATIVE CREDIT",IF(AND($F343="Classroom",N($G343)&lt;=0),"NO MINUTES CREDITED",IF(AND($F343="PT",N($H343)&lt;=0),"NO SESSIONS CREDITED",IF($I343="","NO LINKED EVENT",IF(COUNTIF(nrAT_ID,$I343)=0,"NO SUCH EVENT",IF(INDEX(nrAT_PID,MATCH($I343,nrAT_ID,0))&lt;&gt;$E343,"WRONG CADET",IF(INDEX(nrAT_IsPT,MATCH($I343,nrAT_ID,0))&lt;&gt;IF($F343="PT","Yes","No"),"UNIT MISMATCH","OK"))))))))))))</f>
        <v/>
      </c>
    </row>
    <row r="344">
      <c r="B344" s="17">
        <f>IF($D344="","","M"&amp;TEXT(ROW()-5,"000"))</f>
        <v/>
      </c>
      <c r="C344" s="18" t="n"/>
      <c r="D344" s="16" t="n"/>
      <c r="E344" s="17">
        <f>IF($D344="","",IFERROR(INDEX(rngCadetPIDs,MATCH($D344,rngCadetNames,0)),"?"))</f>
        <v/>
      </c>
      <c r="F344" s="16" t="n"/>
      <c r="G344" s="16" t="n"/>
      <c r="H344" s="16" t="n"/>
      <c r="I344" s="16" t="n"/>
      <c r="J344" s="16" t="n"/>
      <c r="K344" s="16" t="n"/>
      <c r="L344" s="17">
        <f>IF($D344="","",IF(AND($J344="Received",$K344&lt;&gt;"Yes",LEFT($N344,2)="OK"),"Yes","No"))</f>
        <v/>
      </c>
      <c r="M344" s="16" t="n"/>
      <c r="N344" s="17">
        <f>IF($D344="","",IF(AND($F344&lt;&gt;"Classroom",$F344&lt;&gt;"PT"),"TYPE NOT CREDITED",IF($C344="","NO MAKEUP DATE",IF(NOT(ISNUMBER($C344)),"MAKEUP DATE NOT A DATE",IF(OR(AND($G344&lt;&gt;"",NOT(ISNUMBER($G344))),AND($H344&lt;&gt;"",NOT(ISNUMBER($H344)))),"CREDIT NOT A NUMBER",IF(OR(N($G344)&lt;0,N($H344)&lt;0),"NEGATIVE CREDIT",IF(AND($F344="Classroom",N($G344)&lt;=0),"NO MINUTES CREDITED",IF(AND($F344="PT",N($H344)&lt;=0),"NO SESSIONS CREDITED",IF($I344="","NO LINKED EVENT",IF(COUNTIF(nrAT_ID,$I344)=0,"NO SUCH EVENT",IF(INDEX(nrAT_PID,MATCH($I344,nrAT_ID,0))&lt;&gt;$E344,"WRONG CADET",IF(INDEX(nrAT_IsPT,MATCH($I344,nrAT_ID,0))&lt;&gt;IF($F344="PT","Yes","No"),"UNIT MISMATCH","OK"))))))))))))</f>
        <v/>
      </c>
    </row>
    <row r="345">
      <c r="B345" s="17">
        <f>IF($D345="","","M"&amp;TEXT(ROW()-5,"000"))</f>
        <v/>
      </c>
      <c r="C345" s="18" t="n"/>
      <c r="D345" s="16" t="n"/>
      <c r="E345" s="17">
        <f>IF($D345="","",IFERROR(INDEX(rngCadetPIDs,MATCH($D345,rngCadetNames,0)),"?"))</f>
        <v/>
      </c>
      <c r="F345" s="16" t="n"/>
      <c r="G345" s="16" t="n"/>
      <c r="H345" s="16" t="n"/>
      <c r="I345" s="16" t="n"/>
      <c r="J345" s="16" t="n"/>
      <c r="K345" s="16" t="n"/>
      <c r="L345" s="17">
        <f>IF($D345="","",IF(AND($J345="Received",$K345&lt;&gt;"Yes",LEFT($N345,2)="OK"),"Yes","No"))</f>
        <v/>
      </c>
      <c r="M345" s="16" t="n"/>
      <c r="N345" s="17">
        <f>IF($D345="","",IF(AND($F345&lt;&gt;"Classroom",$F345&lt;&gt;"PT"),"TYPE NOT CREDITED",IF($C345="","NO MAKEUP DATE",IF(NOT(ISNUMBER($C345)),"MAKEUP DATE NOT A DATE",IF(OR(AND($G345&lt;&gt;"",NOT(ISNUMBER($G345))),AND($H345&lt;&gt;"",NOT(ISNUMBER($H345)))),"CREDIT NOT A NUMBER",IF(OR(N($G345)&lt;0,N($H345)&lt;0),"NEGATIVE CREDIT",IF(AND($F345="Classroom",N($G345)&lt;=0),"NO MINUTES CREDITED",IF(AND($F345="PT",N($H345)&lt;=0),"NO SESSIONS CREDITED",IF($I345="","NO LINKED EVENT",IF(COUNTIF(nrAT_ID,$I345)=0,"NO SUCH EVENT",IF(INDEX(nrAT_PID,MATCH($I345,nrAT_ID,0))&lt;&gt;$E345,"WRONG CADET",IF(INDEX(nrAT_IsPT,MATCH($I345,nrAT_ID,0))&lt;&gt;IF($F345="PT","Yes","No"),"UNIT MISMATCH","OK"))))))))))))</f>
        <v/>
      </c>
    </row>
    <row r="346">
      <c r="B346" s="17">
        <f>IF($D346="","","M"&amp;TEXT(ROW()-5,"000"))</f>
        <v/>
      </c>
      <c r="C346" s="18" t="n"/>
      <c r="D346" s="16" t="n"/>
      <c r="E346" s="17">
        <f>IF($D346="","",IFERROR(INDEX(rngCadetPIDs,MATCH($D346,rngCadetNames,0)),"?"))</f>
        <v/>
      </c>
      <c r="F346" s="16" t="n"/>
      <c r="G346" s="16" t="n"/>
      <c r="H346" s="16" t="n"/>
      <c r="I346" s="16" t="n"/>
      <c r="J346" s="16" t="n"/>
      <c r="K346" s="16" t="n"/>
      <c r="L346" s="17">
        <f>IF($D346="","",IF(AND($J346="Received",$K346&lt;&gt;"Yes",LEFT($N346,2)="OK"),"Yes","No"))</f>
        <v/>
      </c>
      <c r="M346" s="16" t="n"/>
      <c r="N346" s="17">
        <f>IF($D346="","",IF(AND($F346&lt;&gt;"Classroom",$F346&lt;&gt;"PT"),"TYPE NOT CREDITED",IF($C346="","NO MAKEUP DATE",IF(NOT(ISNUMBER($C346)),"MAKEUP DATE NOT A DATE",IF(OR(AND($G346&lt;&gt;"",NOT(ISNUMBER($G346))),AND($H346&lt;&gt;"",NOT(ISNUMBER($H346)))),"CREDIT NOT A NUMBER",IF(OR(N($G346)&lt;0,N($H346)&lt;0),"NEGATIVE CREDIT",IF(AND($F346="Classroom",N($G346)&lt;=0),"NO MINUTES CREDITED",IF(AND($F346="PT",N($H346)&lt;=0),"NO SESSIONS CREDITED",IF($I346="","NO LINKED EVENT",IF(COUNTIF(nrAT_ID,$I346)=0,"NO SUCH EVENT",IF(INDEX(nrAT_PID,MATCH($I346,nrAT_ID,0))&lt;&gt;$E346,"WRONG CADET",IF(INDEX(nrAT_IsPT,MATCH($I346,nrAT_ID,0))&lt;&gt;IF($F346="PT","Yes","No"),"UNIT MISMATCH","OK"))))))))))))</f>
        <v/>
      </c>
    </row>
    <row r="347">
      <c r="B347" s="17">
        <f>IF($D347="","","M"&amp;TEXT(ROW()-5,"000"))</f>
        <v/>
      </c>
      <c r="C347" s="18" t="n"/>
      <c r="D347" s="16" t="n"/>
      <c r="E347" s="17">
        <f>IF($D347="","",IFERROR(INDEX(rngCadetPIDs,MATCH($D347,rngCadetNames,0)),"?"))</f>
        <v/>
      </c>
      <c r="F347" s="16" t="n"/>
      <c r="G347" s="16" t="n"/>
      <c r="H347" s="16" t="n"/>
      <c r="I347" s="16" t="n"/>
      <c r="J347" s="16" t="n"/>
      <c r="K347" s="16" t="n"/>
      <c r="L347" s="17">
        <f>IF($D347="","",IF(AND($J347="Received",$K347&lt;&gt;"Yes",LEFT($N347,2)="OK"),"Yes","No"))</f>
        <v/>
      </c>
      <c r="M347" s="16" t="n"/>
      <c r="N347" s="17">
        <f>IF($D347="","",IF(AND($F347&lt;&gt;"Classroom",$F347&lt;&gt;"PT"),"TYPE NOT CREDITED",IF($C347="","NO MAKEUP DATE",IF(NOT(ISNUMBER($C347)),"MAKEUP DATE NOT A DATE",IF(OR(AND($G347&lt;&gt;"",NOT(ISNUMBER($G347))),AND($H347&lt;&gt;"",NOT(ISNUMBER($H347)))),"CREDIT NOT A NUMBER",IF(OR(N($G347)&lt;0,N($H347)&lt;0),"NEGATIVE CREDIT",IF(AND($F347="Classroom",N($G347)&lt;=0),"NO MINUTES CREDITED",IF(AND($F347="PT",N($H347)&lt;=0),"NO SESSIONS CREDITED",IF($I347="","NO LINKED EVENT",IF(COUNTIF(nrAT_ID,$I347)=0,"NO SUCH EVENT",IF(INDEX(nrAT_PID,MATCH($I347,nrAT_ID,0))&lt;&gt;$E347,"WRONG CADET",IF(INDEX(nrAT_IsPT,MATCH($I347,nrAT_ID,0))&lt;&gt;IF($F347="PT","Yes","No"),"UNIT MISMATCH","OK"))))))))))))</f>
        <v/>
      </c>
    </row>
    <row r="348">
      <c r="B348" s="17">
        <f>IF($D348="","","M"&amp;TEXT(ROW()-5,"000"))</f>
        <v/>
      </c>
      <c r="C348" s="18" t="n"/>
      <c r="D348" s="16" t="n"/>
      <c r="E348" s="17">
        <f>IF($D348="","",IFERROR(INDEX(rngCadetPIDs,MATCH($D348,rngCadetNames,0)),"?"))</f>
        <v/>
      </c>
      <c r="F348" s="16" t="n"/>
      <c r="G348" s="16" t="n"/>
      <c r="H348" s="16" t="n"/>
      <c r="I348" s="16" t="n"/>
      <c r="J348" s="16" t="n"/>
      <c r="K348" s="16" t="n"/>
      <c r="L348" s="17">
        <f>IF($D348="","",IF(AND($J348="Received",$K348&lt;&gt;"Yes",LEFT($N348,2)="OK"),"Yes","No"))</f>
        <v/>
      </c>
      <c r="M348" s="16" t="n"/>
      <c r="N348" s="17">
        <f>IF($D348="","",IF(AND($F348&lt;&gt;"Classroom",$F348&lt;&gt;"PT"),"TYPE NOT CREDITED",IF($C348="","NO MAKEUP DATE",IF(NOT(ISNUMBER($C348)),"MAKEUP DATE NOT A DATE",IF(OR(AND($G348&lt;&gt;"",NOT(ISNUMBER($G348))),AND($H348&lt;&gt;"",NOT(ISNUMBER($H348)))),"CREDIT NOT A NUMBER",IF(OR(N($G348)&lt;0,N($H348)&lt;0),"NEGATIVE CREDIT",IF(AND($F348="Classroom",N($G348)&lt;=0),"NO MINUTES CREDITED",IF(AND($F348="PT",N($H348)&lt;=0),"NO SESSIONS CREDITED",IF($I348="","NO LINKED EVENT",IF(COUNTIF(nrAT_ID,$I348)=0,"NO SUCH EVENT",IF(INDEX(nrAT_PID,MATCH($I348,nrAT_ID,0))&lt;&gt;$E348,"WRONG CADET",IF(INDEX(nrAT_IsPT,MATCH($I348,nrAT_ID,0))&lt;&gt;IF($F348="PT","Yes","No"),"UNIT MISMATCH","OK"))))))))))))</f>
        <v/>
      </c>
    </row>
    <row r="349">
      <c r="B349" s="17">
        <f>IF($D349="","","M"&amp;TEXT(ROW()-5,"000"))</f>
        <v/>
      </c>
      <c r="C349" s="18" t="n"/>
      <c r="D349" s="16" t="n"/>
      <c r="E349" s="17">
        <f>IF($D349="","",IFERROR(INDEX(rngCadetPIDs,MATCH($D349,rngCadetNames,0)),"?"))</f>
        <v/>
      </c>
      <c r="F349" s="16" t="n"/>
      <c r="G349" s="16" t="n"/>
      <c r="H349" s="16" t="n"/>
      <c r="I349" s="16" t="n"/>
      <c r="J349" s="16" t="n"/>
      <c r="K349" s="16" t="n"/>
      <c r="L349" s="17">
        <f>IF($D349="","",IF(AND($J349="Received",$K349&lt;&gt;"Yes",LEFT($N349,2)="OK"),"Yes","No"))</f>
        <v/>
      </c>
      <c r="M349" s="16" t="n"/>
      <c r="N349" s="17">
        <f>IF($D349="","",IF(AND($F349&lt;&gt;"Classroom",$F349&lt;&gt;"PT"),"TYPE NOT CREDITED",IF($C349="","NO MAKEUP DATE",IF(NOT(ISNUMBER($C349)),"MAKEUP DATE NOT A DATE",IF(OR(AND($G349&lt;&gt;"",NOT(ISNUMBER($G349))),AND($H349&lt;&gt;"",NOT(ISNUMBER($H349)))),"CREDIT NOT A NUMBER",IF(OR(N($G349)&lt;0,N($H349)&lt;0),"NEGATIVE CREDIT",IF(AND($F349="Classroom",N($G349)&lt;=0),"NO MINUTES CREDITED",IF(AND($F349="PT",N($H349)&lt;=0),"NO SESSIONS CREDITED",IF($I349="","NO LINKED EVENT",IF(COUNTIF(nrAT_ID,$I349)=0,"NO SUCH EVENT",IF(INDEX(nrAT_PID,MATCH($I349,nrAT_ID,0))&lt;&gt;$E349,"WRONG CADET",IF(INDEX(nrAT_IsPT,MATCH($I349,nrAT_ID,0))&lt;&gt;IF($F349="PT","Yes","No"),"UNIT MISMATCH","OK"))))))))))))</f>
        <v/>
      </c>
    </row>
    <row r="350">
      <c r="B350" s="17">
        <f>IF($D350="","","M"&amp;TEXT(ROW()-5,"000"))</f>
        <v/>
      </c>
      <c r="C350" s="18" t="n"/>
      <c r="D350" s="16" t="n"/>
      <c r="E350" s="17">
        <f>IF($D350="","",IFERROR(INDEX(rngCadetPIDs,MATCH($D350,rngCadetNames,0)),"?"))</f>
        <v/>
      </c>
      <c r="F350" s="16" t="n"/>
      <c r="G350" s="16" t="n"/>
      <c r="H350" s="16" t="n"/>
      <c r="I350" s="16" t="n"/>
      <c r="J350" s="16" t="n"/>
      <c r="K350" s="16" t="n"/>
      <c r="L350" s="17">
        <f>IF($D350="","",IF(AND($J350="Received",$K350&lt;&gt;"Yes",LEFT($N350,2)="OK"),"Yes","No"))</f>
        <v/>
      </c>
      <c r="M350" s="16" t="n"/>
      <c r="N350" s="17">
        <f>IF($D350="","",IF(AND($F350&lt;&gt;"Classroom",$F350&lt;&gt;"PT"),"TYPE NOT CREDITED",IF($C350="","NO MAKEUP DATE",IF(NOT(ISNUMBER($C350)),"MAKEUP DATE NOT A DATE",IF(OR(AND($G350&lt;&gt;"",NOT(ISNUMBER($G350))),AND($H350&lt;&gt;"",NOT(ISNUMBER($H350)))),"CREDIT NOT A NUMBER",IF(OR(N($G350)&lt;0,N($H350)&lt;0),"NEGATIVE CREDIT",IF(AND($F350="Classroom",N($G350)&lt;=0),"NO MINUTES CREDITED",IF(AND($F350="PT",N($H350)&lt;=0),"NO SESSIONS CREDITED",IF($I350="","NO LINKED EVENT",IF(COUNTIF(nrAT_ID,$I350)=0,"NO SUCH EVENT",IF(INDEX(nrAT_PID,MATCH($I350,nrAT_ID,0))&lt;&gt;$E350,"WRONG CADET",IF(INDEX(nrAT_IsPT,MATCH($I350,nrAT_ID,0))&lt;&gt;IF($F350="PT","Yes","No"),"UNIT MISMATCH","OK"))))))))))))</f>
        <v/>
      </c>
    </row>
    <row r="351">
      <c r="B351" s="17">
        <f>IF($D351="","","M"&amp;TEXT(ROW()-5,"000"))</f>
        <v/>
      </c>
      <c r="C351" s="18" t="n"/>
      <c r="D351" s="16" t="n"/>
      <c r="E351" s="17">
        <f>IF($D351="","",IFERROR(INDEX(rngCadetPIDs,MATCH($D351,rngCadetNames,0)),"?"))</f>
        <v/>
      </c>
      <c r="F351" s="16" t="n"/>
      <c r="G351" s="16" t="n"/>
      <c r="H351" s="16" t="n"/>
      <c r="I351" s="16" t="n"/>
      <c r="J351" s="16" t="n"/>
      <c r="K351" s="16" t="n"/>
      <c r="L351" s="17">
        <f>IF($D351="","",IF(AND($J351="Received",$K351&lt;&gt;"Yes",LEFT($N351,2)="OK"),"Yes","No"))</f>
        <v/>
      </c>
      <c r="M351" s="16" t="n"/>
      <c r="N351" s="17">
        <f>IF($D351="","",IF(AND($F351&lt;&gt;"Classroom",$F351&lt;&gt;"PT"),"TYPE NOT CREDITED",IF($C351="","NO MAKEUP DATE",IF(NOT(ISNUMBER($C351)),"MAKEUP DATE NOT A DATE",IF(OR(AND($G351&lt;&gt;"",NOT(ISNUMBER($G351))),AND($H351&lt;&gt;"",NOT(ISNUMBER($H351)))),"CREDIT NOT A NUMBER",IF(OR(N($G351)&lt;0,N($H351)&lt;0),"NEGATIVE CREDIT",IF(AND($F351="Classroom",N($G351)&lt;=0),"NO MINUTES CREDITED",IF(AND($F351="PT",N($H351)&lt;=0),"NO SESSIONS CREDITED",IF($I351="","NO LINKED EVENT",IF(COUNTIF(nrAT_ID,$I351)=0,"NO SUCH EVENT",IF(INDEX(nrAT_PID,MATCH($I351,nrAT_ID,0))&lt;&gt;$E351,"WRONG CADET",IF(INDEX(nrAT_IsPT,MATCH($I351,nrAT_ID,0))&lt;&gt;IF($F351="PT","Yes","No"),"UNIT MISMATCH","OK"))))))))))))</f>
        <v/>
      </c>
    </row>
    <row r="352">
      <c r="B352" s="17">
        <f>IF($D352="","","M"&amp;TEXT(ROW()-5,"000"))</f>
        <v/>
      </c>
      <c r="C352" s="18" t="n"/>
      <c r="D352" s="16" t="n"/>
      <c r="E352" s="17">
        <f>IF($D352="","",IFERROR(INDEX(rngCadetPIDs,MATCH($D352,rngCadetNames,0)),"?"))</f>
        <v/>
      </c>
      <c r="F352" s="16" t="n"/>
      <c r="G352" s="16" t="n"/>
      <c r="H352" s="16" t="n"/>
      <c r="I352" s="16" t="n"/>
      <c r="J352" s="16" t="n"/>
      <c r="K352" s="16" t="n"/>
      <c r="L352" s="17">
        <f>IF($D352="","",IF(AND($J352="Received",$K352&lt;&gt;"Yes",LEFT($N352,2)="OK"),"Yes","No"))</f>
        <v/>
      </c>
      <c r="M352" s="16" t="n"/>
      <c r="N352" s="17">
        <f>IF($D352="","",IF(AND($F352&lt;&gt;"Classroom",$F352&lt;&gt;"PT"),"TYPE NOT CREDITED",IF($C352="","NO MAKEUP DATE",IF(NOT(ISNUMBER($C352)),"MAKEUP DATE NOT A DATE",IF(OR(AND($G352&lt;&gt;"",NOT(ISNUMBER($G352))),AND($H352&lt;&gt;"",NOT(ISNUMBER($H352)))),"CREDIT NOT A NUMBER",IF(OR(N($G352)&lt;0,N($H352)&lt;0),"NEGATIVE CREDIT",IF(AND($F352="Classroom",N($G352)&lt;=0),"NO MINUTES CREDITED",IF(AND($F352="PT",N($H352)&lt;=0),"NO SESSIONS CREDITED",IF($I352="","NO LINKED EVENT",IF(COUNTIF(nrAT_ID,$I352)=0,"NO SUCH EVENT",IF(INDEX(nrAT_PID,MATCH($I352,nrAT_ID,0))&lt;&gt;$E352,"WRONG CADET",IF(INDEX(nrAT_IsPT,MATCH($I352,nrAT_ID,0))&lt;&gt;IF($F352="PT","Yes","No"),"UNIT MISMATCH","OK"))))))))))))</f>
        <v/>
      </c>
    </row>
    <row r="353">
      <c r="B353" s="17">
        <f>IF($D353="","","M"&amp;TEXT(ROW()-5,"000"))</f>
        <v/>
      </c>
      <c r="C353" s="18" t="n"/>
      <c r="D353" s="16" t="n"/>
      <c r="E353" s="17">
        <f>IF($D353="","",IFERROR(INDEX(rngCadetPIDs,MATCH($D353,rngCadetNames,0)),"?"))</f>
        <v/>
      </c>
      <c r="F353" s="16" t="n"/>
      <c r="G353" s="16" t="n"/>
      <c r="H353" s="16" t="n"/>
      <c r="I353" s="16" t="n"/>
      <c r="J353" s="16" t="n"/>
      <c r="K353" s="16" t="n"/>
      <c r="L353" s="17">
        <f>IF($D353="","",IF(AND($J353="Received",$K353&lt;&gt;"Yes",LEFT($N353,2)="OK"),"Yes","No"))</f>
        <v/>
      </c>
      <c r="M353" s="16" t="n"/>
      <c r="N353" s="17">
        <f>IF($D353="","",IF(AND($F353&lt;&gt;"Classroom",$F353&lt;&gt;"PT"),"TYPE NOT CREDITED",IF($C353="","NO MAKEUP DATE",IF(NOT(ISNUMBER($C353)),"MAKEUP DATE NOT A DATE",IF(OR(AND($G353&lt;&gt;"",NOT(ISNUMBER($G353))),AND($H353&lt;&gt;"",NOT(ISNUMBER($H353)))),"CREDIT NOT A NUMBER",IF(OR(N($G353)&lt;0,N($H353)&lt;0),"NEGATIVE CREDIT",IF(AND($F353="Classroom",N($G353)&lt;=0),"NO MINUTES CREDITED",IF(AND($F353="PT",N($H353)&lt;=0),"NO SESSIONS CREDITED",IF($I353="","NO LINKED EVENT",IF(COUNTIF(nrAT_ID,$I353)=0,"NO SUCH EVENT",IF(INDEX(nrAT_PID,MATCH($I353,nrAT_ID,0))&lt;&gt;$E353,"WRONG CADET",IF(INDEX(nrAT_IsPT,MATCH($I353,nrAT_ID,0))&lt;&gt;IF($F353="PT","Yes","No"),"UNIT MISMATCH","OK"))))))))))))</f>
        <v/>
      </c>
    </row>
    <row r="354">
      <c r="B354" s="17">
        <f>IF($D354="","","M"&amp;TEXT(ROW()-5,"000"))</f>
        <v/>
      </c>
      <c r="C354" s="18" t="n"/>
      <c r="D354" s="16" t="n"/>
      <c r="E354" s="17">
        <f>IF($D354="","",IFERROR(INDEX(rngCadetPIDs,MATCH($D354,rngCadetNames,0)),"?"))</f>
        <v/>
      </c>
      <c r="F354" s="16" t="n"/>
      <c r="G354" s="16" t="n"/>
      <c r="H354" s="16" t="n"/>
      <c r="I354" s="16" t="n"/>
      <c r="J354" s="16" t="n"/>
      <c r="K354" s="16" t="n"/>
      <c r="L354" s="17">
        <f>IF($D354="","",IF(AND($J354="Received",$K354&lt;&gt;"Yes",LEFT($N354,2)="OK"),"Yes","No"))</f>
        <v/>
      </c>
      <c r="M354" s="16" t="n"/>
      <c r="N354" s="17">
        <f>IF($D354="","",IF(AND($F354&lt;&gt;"Classroom",$F354&lt;&gt;"PT"),"TYPE NOT CREDITED",IF($C354="","NO MAKEUP DATE",IF(NOT(ISNUMBER($C354)),"MAKEUP DATE NOT A DATE",IF(OR(AND($G354&lt;&gt;"",NOT(ISNUMBER($G354))),AND($H354&lt;&gt;"",NOT(ISNUMBER($H354)))),"CREDIT NOT A NUMBER",IF(OR(N($G354)&lt;0,N($H354)&lt;0),"NEGATIVE CREDIT",IF(AND($F354="Classroom",N($G354)&lt;=0),"NO MINUTES CREDITED",IF(AND($F354="PT",N($H354)&lt;=0),"NO SESSIONS CREDITED",IF($I354="","NO LINKED EVENT",IF(COUNTIF(nrAT_ID,$I354)=0,"NO SUCH EVENT",IF(INDEX(nrAT_PID,MATCH($I354,nrAT_ID,0))&lt;&gt;$E354,"WRONG CADET",IF(INDEX(nrAT_IsPT,MATCH($I354,nrAT_ID,0))&lt;&gt;IF($F354="PT","Yes","No"),"UNIT MISMATCH","OK"))))))))))))</f>
        <v/>
      </c>
    </row>
    <row r="355">
      <c r="B355" s="17">
        <f>IF($D355="","","M"&amp;TEXT(ROW()-5,"000"))</f>
        <v/>
      </c>
      <c r="C355" s="18" t="n"/>
      <c r="D355" s="16" t="n"/>
      <c r="E355" s="17">
        <f>IF($D355="","",IFERROR(INDEX(rngCadetPIDs,MATCH($D355,rngCadetNames,0)),"?"))</f>
        <v/>
      </c>
      <c r="F355" s="16" t="n"/>
      <c r="G355" s="16" t="n"/>
      <c r="H355" s="16" t="n"/>
      <c r="I355" s="16" t="n"/>
      <c r="J355" s="16" t="n"/>
      <c r="K355" s="16" t="n"/>
      <c r="L355" s="17">
        <f>IF($D355="","",IF(AND($J355="Received",$K355&lt;&gt;"Yes",LEFT($N355,2)="OK"),"Yes","No"))</f>
        <v/>
      </c>
      <c r="M355" s="16" t="n"/>
      <c r="N355" s="17">
        <f>IF($D355="","",IF(AND($F355&lt;&gt;"Classroom",$F355&lt;&gt;"PT"),"TYPE NOT CREDITED",IF($C355="","NO MAKEUP DATE",IF(NOT(ISNUMBER($C355)),"MAKEUP DATE NOT A DATE",IF(OR(AND($G355&lt;&gt;"",NOT(ISNUMBER($G355))),AND($H355&lt;&gt;"",NOT(ISNUMBER($H355)))),"CREDIT NOT A NUMBER",IF(OR(N($G355)&lt;0,N($H355)&lt;0),"NEGATIVE CREDIT",IF(AND($F355="Classroom",N($G355)&lt;=0),"NO MINUTES CREDITED",IF(AND($F355="PT",N($H355)&lt;=0),"NO SESSIONS CREDITED",IF($I355="","NO LINKED EVENT",IF(COUNTIF(nrAT_ID,$I355)=0,"NO SUCH EVENT",IF(INDEX(nrAT_PID,MATCH($I355,nrAT_ID,0))&lt;&gt;$E355,"WRONG CADET",IF(INDEX(nrAT_IsPT,MATCH($I355,nrAT_ID,0))&lt;&gt;IF($F355="PT","Yes","No"),"UNIT MISMATCH","OK"))))))))))))</f>
        <v/>
      </c>
    </row>
    <row r="356">
      <c r="B356" s="17">
        <f>IF($D356="","","M"&amp;TEXT(ROW()-5,"000"))</f>
        <v/>
      </c>
      <c r="C356" s="18" t="n"/>
      <c r="D356" s="16" t="n"/>
      <c r="E356" s="17">
        <f>IF($D356="","",IFERROR(INDEX(rngCadetPIDs,MATCH($D356,rngCadetNames,0)),"?"))</f>
        <v/>
      </c>
      <c r="F356" s="16" t="n"/>
      <c r="G356" s="16" t="n"/>
      <c r="H356" s="16" t="n"/>
      <c r="I356" s="16" t="n"/>
      <c r="J356" s="16" t="n"/>
      <c r="K356" s="16" t="n"/>
      <c r="L356" s="17">
        <f>IF($D356="","",IF(AND($J356="Received",$K356&lt;&gt;"Yes",LEFT($N356,2)="OK"),"Yes","No"))</f>
        <v/>
      </c>
      <c r="M356" s="16" t="n"/>
      <c r="N356" s="17">
        <f>IF($D356="","",IF(AND($F356&lt;&gt;"Classroom",$F356&lt;&gt;"PT"),"TYPE NOT CREDITED",IF($C356="","NO MAKEUP DATE",IF(NOT(ISNUMBER($C356)),"MAKEUP DATE NOT A DATE",IF(OR(AND($G356&lt;&gt;"",NOT(ISNUMBER($G356))),AND($H356&lt;&gt;"",NOT(ISNUMBER($H356)))),"CREDIT NOT A NUMBER",IF(OR(N($G356)&lt;0,N($H356)&lt;0),"NEGATIVE CREDIT",IF(AND($F356="Classroom",N($G356)&lt;=0),"NO MINUTES CREDITED",IF(AND($F356="PT",N($H356)&lt;=0),"NO SESSIONS CREDITED",IF($I356="","NO LINKED EVENT",IF(COUNTIF(nrAT_ID,$I356)=0,"NO SUCH EVENT",IF(INDEX(nrAT_PID,MATCH($I356,nrAT_ID,0))&lt;&gt;$E356,"WRONG CADET",IF(INDEX(nrAT_IsPT,MATCH($I356,nrAT_ID,0))&lt;&gt;IF($F356="PT","Yes","No"),"UNIT MISMATCH","OK"))))))))))))</f>
        <v/>
      </c>
    </row>
    <row r="357">
      <c r="B357" s="17">
        <f>IF($D357="","","M"&amp;TEXT(ROW()-5,"000"))</f>
        <v/>
      </c>
      <c r="C357" s="18" t="n"/>
      <c r="D357" s="16" t="n"/>
      <c r="E357" s="17">
        <f>IF($D357="","",IFERROR(INDEX(rngCadetPIDs,MATCH($D357,rngCadetNames,0)),"?"))</f>
        <v/>
      </c>
      <c r="F357" s="16" t="n"/>
      <c r="G357" s="16" t="n"/>
      <c r="H357" s="16" t="n"/>
      <c r="I357" s="16" t="n"/>
      <c r="J357" s="16" t="n"/>
      <c r="K357" s="16" t="n"/>
      <c r="L357" s="17">
        <f>IF($D357="","",IF(AND($J357="Received",$K357&lt;&gt;"Yes",LEFT($N357,2)="OK"),"Yes","No"))</f>
        <v/>
      </c>
      <c r="M357" s="16" t="n"/>
      <c r="N357" s="17">
        <f>IF($D357="","",IF(AND($F357&lt;&gt;"Classroom",$F357&lt;&gt;"PT"),"TYPE NOT CREDITED",IF($C357="","NO MAKEUP DATE",IF(NOT(ISNUMBER($C357)),"MAKEUP DATE NOT A DATE",IF(OR(AND($G357&lt;&gt;"",NOT(ISNUMBER($G357))),AND($H357&lt;&gt;"",NOT(ISNUMBER($H357)))),"CREDIT NOT A NUMBER",IF(OR(N($G357)&lt;0,N($H357)&lt;0),"NEGATIVE CREDIT",IF(AND($F357="Classroom",N($G357)&lt;=0),"NO MINUTES CREDITED",IF(AND($F357="PT",N($H357)&lt;=0),"NO SESSIONS CREDITED",IF($I357="","NO LINKED EVENT",IF(COUNTIF(nrAT_ID,$I357)=0,"NO SUCH EVENT",IF(INDEX(nrAT_PID,MATCH($I357,nrAT_ID,0))&lt;&gt;$E357,"WRONG CADET",IF(INDEX(nrAT_IsPT,MATCH($I357,nrAT_ID,0))&lt;&gt;IF($F357="PT","Yes","No"),"UNIT MISMATCH","OK"))))))))))))</f>
        <v/>
      </c>
    </row>
    <row r="358">
      <c r="B358" s="17">
        <f>IF($D358="","","M"&amp;TEXT(ROW()-5,"000"))</f>
        <v/>
      </c>
      <c r="C358" s="18" t="n"/>
      <c r="D358" s="16" t="n"/>
      <c r="E358" s="17">
        <f>IF($D358="","",IFERROR(INDEX(rngCadetPIDs,MATCH($D358,rngCadetNames,0)),"?"))</f>
        <v/>
      </c>
      <c r="F358" s="16" t="n"/>
      <c r="G358" s="16" t="n"/>
      <c r="H358" s="16" t="n"/>
      <c r="I358" s="16" t="n"/>
      <c r="J358" s="16" t="n"/>
      <c r="K358" s="16" t="n"/>
      <c r="L358" s="17">
        <f>IF($D358="","",IF(AND($J358="Received",$K358&lt;&gt;"Yes",LEFT($N358,2)="OK"),"Yes","No"))</f>
        <v/>
      </c>
      <c r="M358" s="16" t="n"/>
      <c r="N358" s="17">
        <f>IF($D358="","",IF(AND($F358&lt;&gt;"Classroom",$F358&lt;&gt;"PT"),"TYPE NOT CREDITED",IF($C358="","NO MAKEUP DATE",IF(NOT(ISNUMBER($C358)),"MAKEUP DATE NOT A DATE",IF(OR(AND($G358&lt;&gt;"",NOT(ISNUMBER($G358))),AND($H358&lt;&gt;"",NOT(ISNUMBER($H358)))),"CREDIT NOT A NUMBER",IF(OR(N($G358)&lt;0,N($H358)&lt;0),"NEGATIVE CREDIT",IF(AND($F358="Classroom",N($G358)&lt;=0),"NO MINUTES CREDITED",IF(AND($F358="PT",N($H358)&lt;=0),"NO SESSIONS CREDITED",IF($I358="","NO LINKED EVENT",IF(COUNTIF(nrAT_ID,$I358)=0,"NO SUCH EVENT",IF(INDEX(nrAT_PID,MATCH($I358,nrAT_ID,0))&lt;&gt;$E358,"WRONG CADET",IF(INDEX(nrAT_IsPT,MATCH($I358,nrAT_ID,0))&lt;&gt;IF($F358="PT","Yes","No"),"UNIT MISMATCH","OK"))))))))))))</f>
        <v/>
      </c>
    </row>
    <row r="359">
      <c r="B359" s="17">
        <f>IF($D359="","","M"&amp;TEXT(ROW()-5,"000"))</f>
        <v/>
      </c>
      <c r="C359" s="18" t="n"/>
      <c r="D359" s="16" t="n"/>
      <c r="E359" s="17">
        <f>IF($D359="","",IFERROR(INDEX(rngCadetPIDs,MATCH($D359,rngCadetNames,0)),"?"))</f>
        <v/>
      </c>
      <c r="F359" s="16" t="n"/>
      <c r="G359" s="16" t="n"/>
      <c r="H359" s="16" t="n"/>
      <c r="I359" s="16" t="n"/>
      <c r="J359" s="16" t="n"/>
      <c r="K359" s="16" t="n"/>
      <c r="L359" s="17">
        <f>IF($D359="","",IF(AND($J359="Received",$K359&lt;&gt;"Yes",LEFT($N359,2)="OK"),"Yes","No"))</f>
        <v/>
      </c>
      <c r="M359" s="16" t="n"/>
      <c r="N359" s="17">
        <f>IF($D359="","",IF(AND($F359&lt;&gt;"Classroom",$F359&lt;&gt;"PT"),"TYPE NOT CREDITED",IF($C359="","NO MAKEUP DATE",IF(NOT(ISNUMBER($C359)),"MAKEUP DATE NOT A DATE",IF(OR(AND($G359&lt;&gt;"",NOT(ISNUMBER($G359))),AND($H359&lt;&gt;"",NOT(ISNUMBER($H359)))),"CREDIT NOT A NUMBER",IF(OR(N($G359)&lt;0,N($H359)&lt;0),"NEGATIVE CREDIT",IF(AND($F359="Classroom",N($G359)&lt;=0),"NO MINUTES CREDITED",IF(AND($F359="PT",N($H359)&lt;=0),"NO SESSIONS CREDITED",IF($I359="","NO LINKED EVENT",IF(COUNTIF(nrAT_ID,$I359)=0,"NO SUCH EVENT",IF(INDEX(nrAT_PID,MATCH($I359,nrAT_ID,0))&lt;&gt;$E359,"WRONG CADET",IF(INDEX(nrAT_IsPT,MATCH($I359,nrAT_ID,0))&lt;&gt;IF($F359="PT","Yes","No"),"UNIT MISMATCH","OK"))))))))))))</f>
        <v/>
      </c>
    </row>
    <row r="360">
      <c r="B360" s="17">
        <f>IF($D360="","","M"&amp;TEXT(ROW()-5,"000"))</f>
        <v/>
      </c>
      <c r="C360" s="18" t="n"/>
      <c r="D360" s="16" t="n"/>
      <c r="E360" s="17">
        <f>IF($D360="","",IFERROR(INDEX(rngCadetPIDs,MATCH($D360,rngCadetNames,0)),"?"))</f>
        <v/>
      </c>
      <c r="F360" s="16" t="n"/>
      <c r="G360" s="16" t="n"/>
      <c r="H360" s="16" t="n"/>
      <c r="I360" s="16" t="n"/>
      <c r="J360" s="16" t="n"/>
      <c r="K360" s="16" t="n"/>
      <c r="L360" s="17">
        <f>IF($D360="","",IF(AND($J360="Received",$K360&lt;&gt;"Yes",LEFT($N360,2)="OK"),"Yes","No"))</f>
        <v/>
      </c>
      <c r="M360" s="16" t="n"/>
      <c r="N360" s="17">
        <f>IF($D360="","",IF(AND($F360&lt;&gt;"Classroom",$F360&lt;&gt;"PT"),"TYPE NOT CREDITED",IF($C360="","NO MAKEUP DATE",IF(NOT(ISNUMBER($C360)),"MAKEUP DATE NOT A DATE",IF(OR(AND($G360&lt;&gt;"",NOT(ISNUMBER($G360))),AND($H360&lt;&gt;"",NOT(ISNUMBER($H360)))),"CREDIT NOT A NUMBER",IF(OR(N($G360)&lt;0,N($H360)&lt;0),"NEGATIVE CREDIT",IF(AND($F360="Classroom",N($G360)&lt;=0),"NO MINUTES CREDITED",IF(AND($F360="PT",N($H360)&lt;=0),"NO SESSIONS CREDITED",IF($I360="","NO LINKED EVENT",IF(COUNTIF(nrAT_ID,$I360)=0,"NO SUCH EVENT",IF(INDEX(nrAT_PID,MATCH($I360,nrAT_ID,0))&lt;&gt;$E360,"WRONG CADET",IF(INDEX(nrAT_IsPT,MATCH($I360,nrAT_ID,0))&lt;&gt;IF($F360="PT","Yes","No"),"UNIT MISMATCH","OK"))))))))))))</f>
        <v/>
      </c>
    </row>
    <row r="361">
      <c r="B361" s="17">
        <f>IF($D361="","","M"&amp;TEXT(ROW()-5,"000"))</f>
        <v/>
      </c>
      <c r="C361" s="18" t="n"/>
      <c r="D361" s="16" t="n"/>
      <c r="E361" s="17">
        <f>IF($D361="","",IFERROR(INDEX(rngCadetPIDs,MATCH($D361,rngCadetNames,0)),"?"))</f>
        <v/>
      </c>
      <c r="F361" s="16" t="n"/>
      <c r="G361" s="16" t="n"/>
      <c r="H361" s="16" t="n"/>
      <c r="I361" s="16" t="n"/>
      <c r="J361" s="16" t="n"/>
      <c r="K361" s="16" t="n"/>
      <c r="L361" s="17">
        <f>IF($D361="","",IF(AND($J361="Received",$K361&lt;&gt;"Yes",LEFT($N361,2)="OK"),"Yes","No"))</f>
        <v/>
      </c>
      <c r="M361" s="16" t="n"/>
      <c r="N361" s="17">
        <f>IF($D361="","",IF(AND($F361&lt;&gt;"Classroom",$F361&lt;&gt;"PT"),"TYPE NOT CREDITED",IF($C361="","NO MAKEUP DATE",IF(NOT(ISNUMBER($C361)),"MAKEUP DATE NOT A DATE",IF(OR(AND($G361&lt;&gt;"",NOT(ISNUMBER($G361))),AND($H361&lt;&gt;"",NOT(ISNUMBER($H361)))),"CREDIT NOT A NUMBER",IF(OR(N($G361)&lt;0,N($H361)&lt;0),"NEGATIVE CREDIT",IF(AND($F361="Classroom",N($G361)&lt;=0),"NO MINUTES CREDITED",IF(AND($F361="PT",N($H361)&lt;=0),"NO SESSIONS CREDITED",IF($I361="","NO LINKED EVENT",IF(COUNTIF(nrAT_ID,$I361)=0,"NO SUCH EVENT",IF(INDEX(nrAT_PID,MATCH($I361,nrAT_ID,0))&lt;&gt;$E361,"WRONG CADET",IF(INDEX(nrAT_IsPT,MATCH($I361,nrAT_ID,0))&lt;&gt;IF($F361="PT","Yes","No"),"UNIT MISMATCH","OK"))))))))))))</f>
        <v/>
      </c>
    </row>
    <row r="362">
      <c r="B362" s="17">
        <f>IF($D362="","","M"&amp;TEXT(ROW()-5,"000"))</f>
        <v/>
      </c>
      <c r="C362" s="18" t="n"/>
      <c r="D362" s="16" t="n"/>
      <c r="E362" s="17">
        <f>IF($D362="","",IFERROR(INDEX(rngCadetPIDs,MATCH($D362,rngCadetNames,0)),"?"))</f>
        <v/>
      </c>
      <c r="F362" s="16" t="n"/>
      <c r="G362" s="16" t="n"/>
      <c r="H362" s="16" t="n"/>
      <c r="I362" s="16" t="n"/>
      <c r="J362" s="16" t="n"/>
      <c r="K362" s="16" t="n"/>
      <c r="L362" s="17">
        <f>IF($D362="","",IF(AND($J362="Received",$K362&lt;&gt;"Yes",LEFT($N362,2)="OK"),"Yes","No"))</f>
        <v/>
      </c>
      <c r="M362" s="16" t="n"/>
      <c r="N362" s="17">
        <f>IF($D362="","",IF(AND($F362&lt;&gt;"Classroom",$F362&lt;&gt;"PT"),"TYPE NOT CREDITED",IF($C362="","NO MAKEUP DATE",IF(NOT(ISNUMBER($C362)),"MAKEUP DATE NOT A DATE",IF(OR(AND($G362&lt;&gt;"",NOT(ISNUMBER($G362))),AND($H362&lt;&gt;"",NOT(ISNUMBER($H362)))),"CREDIT NOT A NUMBER",IF(OR(N($G362)&lt;0,N($H362)&lt;0),"NEGATIVE CREDIT",IF(AND($F362="Classroom",N($G362)&lt;=0),"NO MINUTES CREDITED",IF(AND($F362="PT",N($H362)&lt;=0),"NO SESSIONS CREDITED",IF($I362="","NO LINKED EVENT",IF(COUNTIF(nrAT_ID,$I362)=0,"NO SUCH EVENT",IF(INDEX(nrAT_PID,MATCH($I362,nrAT_ID,0))&lt;&gt;$E362,"WRONG CADET",IF(INDEX(nrAT_IsPT,MATCH($I362,nrAT_ID,0))&lt;&gt;IF($F362="PT","Yes","No"),"UNIT MISMATCH","OK"))))))))))))</f>
        <v/>
      </c>
    </row>
    <row r="363">
      <c r="B363" s="17">
        <f>IF($D363="","","M"&amp;TEXT(ROW()-5,"000"))</f>
        <v/>
      </c>
      <c r="C363" s="18" t="n"/>
      <c r="D363" s="16" t="n"/>
      <c r="E363" s="17">
        <f>IF($D363="","",IFERROR(INDEX(rngCadetPIDs,MATCH($D363,rngCadetNames,0)),"?"))</f>
        <v/>
      </c>
      <c r="F363" s="16" t="n"/>
      <c r="G363" s="16" t="n"/>
      <c r="H363" s="16" t="n"/>
      <c r="I363" s="16" t="n"/>
      <c r="J363" s="16" t="n"/>
      <c r="K363" s="16" t="n"/>
      <c r="L363" s="17">
        <f>IF($D363="","",IF(AND($J363="Received",$K363&lt;&gt;"Yes",LEFT($N363,2)="OK"),"Yes","No"))</f>
        <v/>
      </c>
      <c r="M363" s="16" t="n"/>
      <c r="N363" s="17">
        <f>IF($D363="","",IF(AND($F363&lt;&gt;"Classroom",$F363&lt;&gt;"PT"),"TYPE NOT CREDITED",IF($C363="","NO MAKEUP DATE",IF(NOT(ISNUMBER($C363)),"MAKEUP DATE NOT A DATE",IF(OR(AND($G363&lt;&gt;"",NOT(ISNUMBER($G363))),AND($H363&lt;&gt;"",NOT(ISNUMBER($H363)))),"CREDIT NOT A NUMBER",IF(OR(N($G363)&lt;0,N($H363)&lt;0),"NEGATIVE CREDIT",IF(AND($F363="Classroom",N($G363)&lt;=0),"NO MINUTES CREDITED",IF(AND($F363="PT",N($H363)&lt;=0),"NO SESSIONS CREDITED",IF($I363="","NO LINKED EVENT",IF(COUNTIF(nrAT_ID,$I363)=0,"NO SUCH EVENT",IF(INDEX(nrAT_PID,MATCH($I363,nrAT_ID,0))&lt;&gt;$E363,"WRONG CADET",IF(INDEX(nrAT_IsPT,MATCH($I363,nrAT_ID,0))&lt;&gt;IF($F363="PT","Yes","No"),"UNIT MISMATCH","OK"))))))))))))</f>
        <v/>
      </c>
    </row>
    <row r="364">
      <c r="B364" s="17">
        <f>IF($D364="","","M"&amp;TEXT(ROW()-5,"000"))</f>
        <v/>
      </c>
      <c r="C364" s="18" t="n"/>
      <c r="D364" s="16" t="n"/>
      <c r="E364" s="17">
        <f>IF($D364="","",IFERROR(INDEX(rngCadetPIDs,MATCH($D364,rngCadetNames,0)),"?"))</f>
        <v/>
      </c>
      <c r="F364" s="16" t="n"/>
      <c r="G364" s="16" t="n"/>
      <c r="H364" s="16" t="n"/>
      <c r="I364" s="16" t="n"/>
      <c r="J364" s="16" t="n"/>
      <c r="K364" s="16" t="n"/>
      <c r="L364" s="17">
        <f>IF($D364="","",IF(AND($J364="Received",$K364&lt;&gt;"Yes",LEFT($N364,2)="OK"),"Yes","No"))</f>
        <v/>
      </c>
      <c r="M364" s="16" t="n"/>
      <c r="N364" s="17">
        <f>IF($D364="","",IF(AND($F364&lt;&gt;"Classroom",$F364&lt;&gt;"PT"),"TYPE NOT CREDITED",IF($C364="","NO MAKEUP DATE",IF(NOT(ISNUMBER($C364)),"MAKEUP DATE NOT A DATE",IF(OR(AND($G364&lt;&gt;"",NOT(ISNUMBER($G364))),AND($H364&lt;&gt;"",NOT(ISNUMBER($H364)))),"CREDIT NOT A NUMBER",IF(OR(N($G364)&lt;0,N($H364)&lt;0),"NEGATIVE CREDIT",IF(AND($F364="Classroom",N($G364)&lt;=0),"NO MINUTES CREDITED",IF(AND($F364="PT",N($H364)&lt;=0),"NO SESSIONS CREDITED",IF($I364="","NO LINKED EVENT",IF(COUNTIF(nrAT_ID,$I364)=0,"NO SUCH EVENT",IF(INDEX(nrAT_PID,MATCH($I364,nrAT_ID,0))&lt;&gt;$E364,"WRONG CADET",IF(INDEX(nrAT_IsPT,MATCH($I364,nrAT_ID,0))&lt;&gt;IF($F364="PT","Yes","No"),"UNIT MISMATCH","OK"))))))))))))</f>
        <v/>
      </c>
    </row>
    <row r="365">
      <c r="B365" s="17">
        <f>IF($D365="","","M"&amp;TEXT(ROW()-5,"000"))</f>
        <v/>
      </c>
      <c r="C365" s="18" t="n"/>
      <c r="D365" s="16" t="n"/>
      <c r="E365" s="17">
        <f>IF($D365="","",IFERROR(INDEX(rngCadetPIDs,MATCH($D365,rngCadetNames,0)),"?"))</f>
        <v/>
      </c>
      <c r="F365" s="16" t="n"/>
      <c r="G365" s="16" t="n"/>
      <c r="H365" s="16" t="n"/>
      <c r="I365" s="16" t="n"/>
      <c r="J365" s="16" t="n"/>
      <c r="K365" s="16" t="n"/>
      <c r="L365" s="17">
        <f>IF($D365="","",IF(AND($J365="Received",$K365&lt;&gt;"Yes",LEFT($N365,2)="OK"),"Yes","No"))</f>
        <v/>
      </c>
      <c r="M365" s="16" t="n"/>
      <c r="N365" s="17">
        <f>IF($D365="","",IF(AND($F365&lt;&gt;"Classroom",$F365&lt;&gt;"PT"),"TYPE NOT CREDITED",IF($C365="","NO MAKEUP DATE",IF(NOT(ISNUMBER($C365)),"MAKEUP DATE NOT A DATE",IF(OR(AND($G365&lt;&gt;"",NOT(ISNUMBER($G365))),AND($H365&lt;&gt;"",NOT(ISNUMBER($H365)))),"CREDIT NOT A NUMBER",IF(OR(N($G365)&lt;0,N($H365)&lt;0),"NEGATIVE CREDIT",IF(AND($F365="Classroom",N($G365)&lt;=0),"NO MINUTES CREDITED",IF(AND($F365="PT",N($H365)&lt;=0),"NO SESSIONS CREDITED",IF($I365="","NO LINKED EVENT",IF(COUNTIF(nrAT_ID,$I365)=0,"NO SUCH EVENT",IF(INDEX(nrAT_PID,MATCH($I365,nrAT_ID,0))&lt;&gt;$E365,"WRONG CADET",IF(INDEX(nrAT_IsPT,MATCH($I365,nrAT_ID,0))&lt;&gt;IF($F365="PT","Yes","No"),"UNIT MISMATCH","OK"))))))))))))</f>
        <v/>
      </c>
    </row>
    <row r="366">
      <c r="B366" s="17">
        <f>IF($D366="","","M"&amp;TEXT(ROW()-5,"000"))</f>
        <v/>
      </c>
      <c r="C366" s="18" t="n"/>
      <c r="D366" s="16" t="n"/>
      <c r="E366" s="17">
        <f>IF($D366="","",IFERROR(INDEX(rngCadetPIDs,MATCH($D366,rngCadetNames,0)),"?"))</f>
        <v/>
      </c>
      <c r="F366" s="16" t="n"/>
      <c r="G366" s="16" t="n"/>
      <c r="H366" s="16" t="n"/>
      <c r="I366" s="16" t="n"/>
      <c r="J366" s="16" t="n"/>
      <c r="K366" s="16" t="n"/>
      <c r="L366" s="17">
        <f>IF($D366="","",IF(AND($J366="Received",$K366&lt;&gt;"Yes",LEFT($N366,2)="OK"),"Yes","No"))</f>
        <v/>
      </c>
      <c r="M366" s="16" t="n"/>
      <c r="N366" s="17">
        <f>IF($D366="","",IF(AND($F366&lt;&gt;"Classroom",$F366&lt;&gt;"PT"),"TYPE NOT CREDITED",IF($C366="","NO MAKEUP DATE",IF(NOT(ISNUMBER($C366)),"MAKEUP DATE NOT A DATE",IF(OR(AND($G366&lt;&gt;"",NOT(ISNUMBER($G366))),AND($H366&lt;&gt;"",NOT(ISNUMBER($H366)))),"CREDIT NOT A NUMBER",IF(OR(N($G366)&lt;0,N($H366)&lt;0),"NEGATIVE CREDIT",IF(AND($F366="Classroom",N($G366)&lt;=0),"NO MINUTES CREDITED",IF(AND($F366="PT",N($H366)&lt;=0),"NO SESSIONS CREDITED",IF($I366="","NO LINKED EVENT",IF(COUNTIF(nrAT_ID,$I366)=0,"NO SUCH EVENT",IF(INDEX(nrAT_PID,MATCH($I366,nrAT_ID,0))&lt;&gt;$E366,"WRONG CADET",IF(INDEX(nrAT_IsPT,MATCH($I366,nrAT_ID,0))&lt;&gt;IF($F366="PT","Yes","No"),"UNIT MISMATCH","OK"))))))))))))</f>
        <v/>
      </c>
    </row>
    <row r="367">
      <c r="B367" s="17">
        <f>IF($D367="","","M"&amp;TEXT(ROW()-5,"000"))</f>
        <v/>
      </c>
      <c r="C367" s="18" t="n"/>
      <c r="D367" s="16" t="n"/>
      <c r="E367" s="17">
        <f>IF($D367="","",IFERROR(INDEX(rngCadetPIDs,MATCH($D367,rngCadetNames,0)),"?"))</f>
        <v/>
      </c>
      <c r="F367" s="16" t="n"/>
      <c r="G367" s="16" t="n"/>
      <c r="H367" s="16" t="n"/>
      <c r="I367" s="16" t="n"/>
      <c r="J367" s="16" t="n"/>
      <c r="K367" s="16" t="n"/>
      <c r="L367" s="17">
        <f>IF($D367="","",IF(AND($J367="Received",$K367&lt;&gt;"Yes",LEFT($N367,2)="OK"),"Yes","No"))</f>
        <v/>
      </c>
      <c r="M367" s="16" t="n"/>
      <c r="N367" s="17">
        <f>IF($D367="","",IF(AND($F367&lt;&gt;"Classroom",$F367&lt;&gt;"PT"),"TYPE NOT CREDITED",IF($C367="","NO MAKEUP DATE",IF(NOT(ISNUMBER($C367)),"MAKEUP DATE NOT A DATE",IF(OR(AND($G367&lt;&gt;"",NOT(ISNUMBER($G367))),AND($H367&lt;&gt;"",NOT(ISNUMBER($H367)))),"CREDIT NOT A NUMBER",IF(OR(N($G367)&lt;0,N($H367)&lt;0),"NEGATIVE CREDIT",IF(AND($F367="Classroom",N($G367)&lt;=0),"NO MINUTES CREDITED",IF(AND($F367="PT",N($H367)&lt;=0),"NO SESSIONS CREDITED",IF($I367="","NO LINKED EVENT",IF(COUNTIF(nrAT_ID,$I367)=0,"NO SUCH EVENT",IF(INDEX(nrAT_PID,MATCH($I367,nrAT_ID,0))&lt;&gt;$E367,"WRONG CADET",IF(INDEX(nrAT_IsPT,MATCH($I367,nrAT_ID,0))&lt;&gt;IF($F367="PT","Yes","No"),"UNIT MISMATCH","OK"))))))))))))</f>
        <v/>
      </c>
    </row>
    <row r="368">
      <c r="B368" s="17">
        <f>IF($D368="","","M"&amp;TEXT(ROW()-5,"000"))</f>
        <v/>
      </c>
      <c r="C368" s="18" t="n"/>
      <c r="D368" s="16" t="n"/>
      <c r="E368" s="17">
        <f>IF($D368="","",IFERROR(INDEX(rngCadetPIDs,MATCH($D368,rngCadetNames,0)),"?"))</f>
        <v/>
      </c>
      <c r="F368" s="16" t="n"/>
      <c r="G368" s="16" t="n"/>
      <c r="H368" s="16" t="n"/>
      <c r="I368" s="16" t="n"/>
      <c r="J368" s="16" t="n"/>
      <c r="K368" s="16" t="n"/>
      <c r="L368" s="17">
        <f>IF($D368="","",IF(AND($J368="Received",$K368&lt;&gt;"Yes",LEFT($N368,2)="OK"),"Yes","No"))</f>
        <v/>
      </c>
      <c r="M368" s="16" t="n"/>
      <c r="N368" s="17">
        <f>IF($D368="","",IF(AND($F368&lt;&gt;"Classroom",$F368&lt;&gt;"PT"),"TYPE NOT CREDITED",IF($C368="","NO MAKEUP DATE",IF(NOT(ISNUMBER($C368)),"MAKEUP DATE NOT A DATE",IF(OR(AND($G368&lt;&gt;"",NOT(ISNUMBER($G368))),AND($H368&lt;&gt;"",NOT(ISNUMBER($H368)))),"CREDIT NOT A NUMBER",IF(OR(N($G368)&lt;0,N($H368)&lt;0),"NEGATIVE CREDIT",IF(AND($F368="Classroom",N($G368)&lt;=0),"NO MINUTES CREDITED",IF(AND($F368="PT",N($H368)&lt;=0),"NO SESSIONS CREDITED",IF($I368="","NO LINKED EVENT",IF(COUNTIF(nrAT_ID,$I368)=0,"NO SUCH EVENT",IF(INDEX(nrAT_PID,MATCH($I368,nrAT_ID,0))&lt;&gt;$E368,"WRONG CADET",IF(INDEX(nrAT_IsPT,MATCH($I368,nrAT_ID,0))&lt;&gt;IF($F368="PT","Yes","No"),"UNIT MISMATCH","OK"))))))))))))</f>
        <v/>
      </c>
    </row>
    <row r="369">
      <c r="B369" s="17">
        <f>IF($D369="","","M"&amp;TEXT(ROW()-5,"000"))</f>
        <v/>
      </c>
      <c r="C369" s="18" t="n"/>
      <c r="D369" s="16" t="n"/>
      <c r="E369" s="17">
        <f>IF($D369="","",IFERROR(INDEX(rngCadetPIDs,MATCH($D369,rngCadetNames,0)),"?"))</f>
        <v/>
      </c>
      <c r="F369" s="16" t="n"/>
      <c r="G369" s="16" t="n"/>
      <c r="H369" s="16" t="n"/>
      <c r="I369" s="16" t="n"/>
      <c r="J369" s="16" t="n"/>
      <c r="K369" s="16" t="n"/>
      <c r="L369" s="17">
        <f>IF($D369="","",IF(AND($J369="Received",$K369&lt;&gt;"Yes",LEFT($N369,2)="OK"),"Yes","No"))</f>
        <v/>
      </c>
      <c r="M369" s="16" t="n"/>
      <c r="N369" s="17">
        <f>IF($D369="","",IF(AND($F369&lt;&gt;"Classroom",$F369&lt;&gt;"PT"),"TYPE NOT CREDITED",IF($C369="","NO MAKEUP DATE",IF(NOT(ISNUMBER($C369)),"MAKEUP DATE NOT A DATE",IF(OR(AND($G369&lt;&gt;"",NOT(ISNUMBER($G369))),AND($H369&lt;&gt;"",NOT(ISNUMBER($H369)))),"CREDIT NOT A NUMBER",IF(OR(N($G369)&lt;0,N($H369)&lt;0),"NEGATIVE CREDIT",IF(AND($F369="Classroom",N($G369)&lt;=0),"NO MINUTES CREDITED",IF(AND($F369="PT",N($H369)&lt;=0),"NO SESSIONS CREDITED",IF($I369="","NO LINKED EVENT",IF(COUNTIF(nrAT_ID,$I369)=0,"NO SUCH EVENT",IF(INDEX(nrAT_PID,MATCH($I369,nrAT_ID,0))&lt;&gt;$E369,"WRONG CADET",IF(INDEX(nrAT_IsPT,MATCH($I369,nrAT_ID,0))&lt;&gt;IF($F369="PT","Yes","No"),"UNIT MISMATCH","OK"))))))))))))</f>
        <v/>
      </c>
    </row>
    <row r="370">
      <c r="B370" s="17">
        <f>IF($D370="","","M"&amp;TEXT(ROW()-5,"000"))</f>
        <v/>
      </c>
      <c r="C370" s="18" t="n"/>
      <c r="D370" s="16" t="n"/>
      <c r="E370" s="17">
        <f>IF($D370="","",IFERROR(INDEX(rngCadetPIDs,MATCH($D370,rngCadetNames,0)),"?"))</f>
        <v/>
      </c>
      <c r="F370" s="16" t="n"/>
      <c r="G370" s="16" t="n"/>
      <c r="H370" s="16" t="n"/>
      <c r="I370" s="16" t="n"/>
      <c r="J370" s="16" t="n"/>
      <c r="K370" s="16" t="n"/>
      <c r="L370" s="17">
        <f>IF($D370="","",IF(AND($J370="Received",$K370&lt;&gt;"Yes",LEFT($N370,2)="OK"),"Yes","No"))</f>
        <v/>
      </c>
      <c r="M370" s="16" t="n"/>
      <c r="N370" s="17">
        <f>IF($D370="","",IF(AND($F370&lt;&gt;"Classroom",$F370&lt;&gt;"PT"),"TYPE NOT CREDITED",IF($C370="","NO MAKEUP DATE",IF(NOT(ISNUMBER($C370)),"MAKEUP DATE NOT A DATE",IF(OR(AND($G370&lt;&gt;"",NOT(ISNUMBER($G370))),AND($H370&lt;&gt;"",NOT(ISNUMBER($H370)))),"CREDIT NOT A NUMBER",IF(OR(N($G370)&lt;0,N($H370)&lt;0),"NEGATIVE CREDIT",IF(AND($F370="Classroom",N($G370)&lt;=0),"NO MINUTES CREDITED",IF(AND($F370="PT",N($H370)&lt;=0),"NO SESSIONS CREDITED",IF($I370="","NO LINKED EVENT",IF(COUNTIF(nrAT_ID,$I370)=0,"NO SUCH EVENT",IF(INDEX(nrAT_PID,MATCH($I370,nrAT_ID,0))&lt;&gt;$E370,"WRONG CADET",IF(INDEX(nrAT_IsPT,MATCH($I370,nrAT_ID,0))&lt;&gt;IF($F370="PT","Yes","No"),"UNIT MISMATCH","OK"))))))))))))</f>
        <v/>
      </c>
    </row>
    <row r="371">
      <c r="B371" s="17">
        <f>IF($D371="","","M"&amp;TEXT(ROW()-5,"000"))</f>
        <v/>
      </c>
      <c r="C371" s="18" t="n"/>
      <c r="D371" s="16" t="n"/>
      <c r="E371" s="17">
        <f>IF($D371="","",IFERROR(INDEX(rngCadetPIDs,MATCH($D371,rngCadetNames,0)),"?"))</f>
        <v/>
      </c>
      <c r="F371" s="16" t="n"/>
      <c r="G371" s="16" t="n"/>
      <c r="H371" s="16" t="n"/>
      <c r="I371" s="16" t="n"/>
      <c r="J371" s="16" t="n"/>
      <c r="K371" s="16" t="n"/>
      <c r="L371" s="17">
        <f>IF($D371="","",IF(AND($J371="Received",$K371&lt;&gt;"Yes",LEFT($N371,2)="OK"),"Yes","No"))</f>
        <v/>
      </c>
      <c r="M371" s="16" t="n"/>
      <c r="N371" s="17">
        <f>IF($D371="","",IF(AND($F371&lt;&gt;"Classroom",$F371&lt;&gt;"PT"),"TYPE NOT CREDITED",IF($C371="","NO MAKEUP DATE",IF(NOT(ISNUMBER($C371)),"MAKEUP DATE NOT A DATE",IF(OR(AND($G371&lt;&gt;"",NOT(ISNUMBER($G371))),AND($H371&lt;&gt;"",NOT(ISNUMBER($H371)))),"CREDIT NOT A NUMBER",IF(OR(N($G371)&lt;0,N($H371)&lt;0),"NEGATIVE CREDIT",IF(AND($F371="Classroom",N($G371)&lt;=0),"NO MINUTES CREDITED",IF(AND($F371="PT",N($H371)&lt;=0),"NO SESSIONS CREDITED",IF($I371="","NO LINKED EVENT",IF(COUNTIF(nrAT_ID,$I371)=0,"NO SUCH EVENT",IF(INDEX(nrAT_PID,MATCH($I371,nrAT_ID,0))&lt;&gt;$E371,"WRONG CADET",IF(INDEX(nrAT_IsPT,MATCH($I371,nrAT_ID,0))&lt;&gt;IF($F371="PT","Yes","No"),"UNIT MISMATCH","OK"))))))))))))</f>
        <v/>
      </c>
    </row>
    <row r="372">
      <c r="B372" s="17">
        <f>IF($D372="","","M"&amp;TEXT(ROW()-5,"000"))</f>
        <v/>
      </c>
      <c r="C372" s="18" t="n"/>
      <c r="D372" s="16" t="n"/>
      <c r="E372" s="17">
        <f>IF($D372="","",IFERROR(INDEX(rngCadetPIDs,MATCH($D372,rngCadetNames,0)),"?"))</f>
        <v/>
      </c>
      <c r="F372" s="16" t="n"/>
      <c r="G372" s="16" t="n"/>
      <c r="H372" s="16" t="n"/>
      <c r="I372" s="16" t="n"/>
      <c r="J372" s="16" t="n"/>
      <c r="K372" s="16" t="n"/>
      <c r="L372" s="17">
        <f>IF($D372="","",IF(AND($J372="Received",$K372&lt;&gt;"Yes",LEFT($N372,2)="OK"),"Yes","No"))</f>
        <v/>
      </c>
      <c r="M372" s="16" t="n"/>
      <c r="N372" s="17">
        <f>IF($D372="","",IF(AND($F372&lt;&gt;"Classroom",$F372&lt;&gt;"PT"),"TYPE NOT CREDITED",IF($C372="","NO MAKEUP DATE",IF(NOT(ISNUMBER($C372)),"MAKEUP DATE NOT A DATE",IF(OR(AND($G372&lt;&gt;"",NOT(ISNUMBER($G372))),AND($H372&lt;&gt;"",NOT(ISNUMBER($H372)))),"CREDIT NOT A NUMBER",IF(OR(N($G372)&lt;0,N($H372)&lt;0),"NEGATIVE CREDIT",IF(AND($F372="Classroom",N($G372)&lt;=0),"NO MINUTES CREDITED",IF(AND($F372="PT",N($H372)&lt;=0),"NO SESSIONS CREDITED",IF($I372="","NO LINKED EVENT",IF(COUNTIF(nrAT_ID,$I372)=0,"NO SUCH EVENT",IF(INDEX(nrAT_PID,MATCH($I372,nrAT_ID,0))&lt;&gt;$E372,"WRONG CADET",IF(INDEX(nrAT_IsPT,MATCH($I372,nrAT_ID,0))&lt;&gt;IF($F372="PT","Yes","No"),"UNIT MISMATCH","OK"))))))))))))</f>
        <v/>
      </c>
    </row>
    <row r="373">
      <c r="B373" s="17">
        <f>IF($D373="","","M"&amp;TEXT(ROW()-5,"000"))</f>
        <v/>
      </c>
      <c r="C373" s="18" t="n"/>
      <c r="D373" s="16" t="n"/>
      <c r="E373" s="17">
        <f>IF($D373="","",IFERROR(INDEX(rngCadetPIDs,MATCH($D373,rngCadetNames,0)),"?"))</f>
        <v/>
      </c>
      <c r="F373" s="16" t="n"/>
      <c r="G373" s="16" t="n"/>
      <c r="H373" s="16" t="n"/>
      <c r="I373" s="16" t="n"/>
      <c r="J373" s="16" t="n"/>
      <c r="K373" s="16" t="n"/>
      <c r="L373" s="17">
        <f>IF($D373="","",IF(AND($J373="Received",$K373&lt;&gt;"Yes",LEFT($N373,2)="OK"),"Yes","No"))</f>
        <v/>
      </c>
      <c r="M373" s="16" t="n"/>
      <c r="N373" s="17">
        <f>IF($D373="","",IF(AND($F373&lt;&gt;"Classroom",$F373&lt;&gt;"PT"),"TYPE NOT CREDITED",IF($C373="","NO MAKEUP DATE",IF(NOT(ISNUMBER($C373)),"MAKEUP DATE NOT A DATE",IF(OR(AND($G373&lt;&gt;"",NOT(ISNUMBER($G373))),AND($H373&lt;&gt;"",NOT(ISNUMBER($H373)))),"CREDIT NOT A NUMBER",IF(OR(N($G373)&lt;0,N($H373)&lt;0),"NEGATIVE CREDIT",IF(AND($F373="Classroom",N($G373)&lt;=0),"NO MINUTES CREDITED",IF(AND($F373="PT",N($H373)&lt;=0),"NO SESSIONS CREDITED",IF($I373="","NO LINKED EVENT",IF(COUNTIF(nrAT_ID,$I373)=0,"NO SUCH EVENT",IF(INDEX(nrAT_PID,MATCH($I373,nrAT_ID,0))&lt;&gt;$E373,"WRONG CADET",IF(INDEX(nrAT_IsPT,MATCH($I373,nrAT_ID,0))&lt;&gt;IF($F373="PT","Yes","No"),"UNIT MISMATCH","OK"))))))))))))</f>
        <v/>
      </c>
    </row>
    <row r="374">
      <c r="B374" s="17">
        <f>IF($D374="","","M"&amp;TEXT(ROW()-5,"000"))</f>
        <v/>
      </c>
      <c r="C374" s="18" t="n"/>
      <c r="D374" s="16" t="n"/>
      <c r="E374" s="17">
        <f>IF($D374="","",IFERROR(INDEX(rngCadetPIDs,MATCH($D374,rngCadetNames,0)),"?"))</f>
        <v/>
      </c>
      <c r="F374" s="16" t="n"/>
      <c r="G374" s="16" t="n"/>
      <c r="H374" s="16" t="n"/>
      <c r="I374" s="16" t="n"/>
      <c r="J374" s="16" t="n"/>
      <c r="K374" s="16" t="n"/>
      <c r="L374" s="17">
        <f>IF($D374="","",IF(AND($J374="Received",$K374&lt;&gt;"Yes",LEFT($N374,2)="OK"),"Yes","No"))</f>
        <v/>
      </c>
      <c r="M374" s="16" t="n"/>
      <c r="N374" s="17">
        <f>IF($D374="","",IF(AND($F374&lt;&gt;"Classroom",$F374&lt;&gt;"PT"),"TYPE NOT CREDITED",IF($C374="","NO MAKEUP DATE",IF(NOT(ISNUMBER($C374)),"MAKEUP DATE NOT A DATE",IF(OR(AND($G374&lt;&gt;"",NOT(ISNUMBER($G374))),AND($H374&lt;&gt;"",NOT(ISNUMBER($H374)))),"CREDIT NOT A NUMBER",IF(OR(N($G374)&lt;0,N($H374)&lt;0),"NEGATIVE CREDIT",IF(AND($F374="Classroom",N($G374)&lt;=0),"NO MINUTES CREDITED",IF(AND($F374="PT",N($H374)&lt;=0),"NO SESSIONS CREDITED",IF($I374="","NO LINKED EVENT",IF(COUNTIF(nrAT_ID,$I374)=0,"NO SUCH EVENT",IF(INDEX(nrAT_PID,MATCH($I374,nrAT_ID,0))&lt;&gt;$E374,"WRONG CADET",IF(INDEX(nrAT_IsPT,MATCH($I374,nrAT_ID,0))&lt;&gt;IF($F374="PT","Yes","No"),"UNIT MISMATCH","OK"))))))))))))</f>
        <v/>
      </c>
    </row>
    <row r="375">
      <c r="B375" s="17">
        <f>IF($D375="","","M"&amp;TEXT(ROW()-5,"000"))</f>
        <v/>
      </c>
      <c r="C375" s="18" t="n"/>
      <c r="D375" s="16" t="n"/>
      <c r="E375" s="17">
        <f>IF($D375="","",IFERROR(INDEX(rngCadetPIDs,MATCH($D375,rngCadetNames,0)),"?"))</f>
        <v/>
      </c>
      <c r="F375" s="16" t="n"/>
      <c r="G375" s="16" t="n"/>
      <c r="H375" s="16" t="n"/>
      <c r="I375" s="16" t="n"/>
      <c r="J375" s="16" t="n"/>
      <c r="K375" s="16" t="n"/>
      <c r="L375" s="17">
        <f>IF($D375="","",IF(AND($J375="Received",$K375&lt;&gt;"Yes",LEFT($N375,2)="OK"),"Yes","No"))</f>
        <v/>
      </c>
      <c r="M375" s="16" t="n"/>
      <c r="N375" s="17">
        <f>IF($D375="","",IF(AND($F375&lt;&gt;"Classroom",$F375&lt;&gt;"PT"),"TYPE NOT CREDITED",IF($C375="","NO MAKEUP DATE",IF(NOT(ISNUMBER($C375)),"MAKEUP DATE NOT A DATE",IF(OR(AND($G375&lt;&gt;"",NOT(ISNUMBER($G375))),AND($H375&lt;&gt;"",NOT(ISNUMBER($H375)))),"CREDIT NOT A NUMBER",IF(OR(N($G375)&lt;0,N($H375)&lt;0),"NEGATIVE CREDIT",IF(AND($F375="Classroom",N($G375)&lt;=0),"NO MINUTES CREDITED",IF(AND($F375="PT",N($H375)&lt;=0),"NO SESSIONS CREDITED",IF($I375="","NO LINKED EVENT",IF(COUNTIF(nrAT_ID,$I375)=0,"NO SUCH EVENT",IF(INDEX(nrAT_PID,MATCH($I375,nrAT_ID,0))&lt;&gt;$E375,"WRONG CADET",IF(INDEX(nrAT_IsPT,MATCH($I375,nrAT_ID,0))&lt;&gt;IF($F375="PT","Yes","No"),"UNIT MISMATCH","OK"))))))))))))</f>
        <v/>
      </c>
    </row>
    <row r="376">
      <c r="B376" s="17">
        <f>IF($D376="","","M"&amp;TEXT(ROW()-5,"000"))</f>
        <v/>
      </c>
      <c r="C376" s="18" t="n"/>
      <c r="D376" s="16" t="n"/>
      <c r="E376" s="17">
        <f>IF($D376="","",IFERROR(INDEX(rngCadetPIDs,MATCH($D376,rngCadetNames,0)),"?"))</f>
        <v/>
      </c>
      <c r="F376" s="16" t="n"/>
      <c r="G376" s="16" t="n"/>
      <c r="H376" s="16" t="n"/>
      <c r="I376" s="16" t="n"/>
      <c r="J376" s="16" t="n"/>
      <c r="K376" s="16" t="n"/>
      <c r="L376" s="17">
        <f>IF($D376="","",IF(AND($J376="Received",$K376&lt;&gt;"Yes",LEFT($N376,2)="OK"),"Yes","No"))</f>
        <v/>
      </c>
      <c r="M376" s="16" t="n"/>
      <c r="N376" s="17">
        <f>IF($D376="","",IF(AND($F376&lt;&gt;"Classroom",$F376&lt;&gt;"PT"),"TYPE NOT CREDITED",IF($C376="","NO MAKEUP DATE",IF(NOT(ISNUMBER($C376)),"MAKEUP DATE NOT A DATE",IF(OR(AND($G376&lt;&gt;"",NOT(ISNUMBER($G376))),AND($H376&lt;&gt;"",NOT(ISNUMBER($H376)))),"CREDIT NOT A NUMBER",IF(OR(N($G376)&lt;0,N($H376)&lt;0),"NEGATIVE CREDIT",IF(AND($F376="Classroom",N($G376)&lt;=0),"NO MINUTES CREDITED",IF(AND($F376="PT",N($H376)&lt;=0),"NO SESSIONS CREDITED",IF($I376="","NO LINKED EVENT",IF(COUNTIF(nrAT_ID,$I376)=0,"NO SUCH EVENT",IF(INDEX(nrAT_PID,MATCH($I376,nrAT_ID,0))&lt;&gt;$E376,"WRONG CADET",IF(INDEX(nrAT_IsPT,MATCH($I376,nrAT_ID,0))&lt;&gt;IF($F376="PT","Yes","No"),"UNIT MISMATCH","OK"))))))))))))</f>
        <v/>
      </c>
    </row>
    <row r="377">
      <c r="B377" s="17">
        <f>IF($D377="","","M"&amp;TEXT(ROW()-5,"000"))</f>
        <v/>
      </c>
      <c r="C377" s="18" t="n"/>
      <c r="D377" s="16" t="n"/>
      <c r="E377" s="17">
        <f>IF($D377="","",IFERROR(INDEX(rngCadetPIDs,MATCH($D377,rngCadetNames,0)),"?"))</f>
        <v/>
      </c>
      <c r="F377" s="16" t="n"/>
      <c r="G377" s="16" t="n"/>
      <c r="H377" s="16" t="n"/>
      <c r="I377" s="16" t="n"/>
      <c r="J377" s="16" t="n"/>
      <c r="K377" s="16" t="n"/>
      <c r="L377" s="17">
        <f>IF($D377="","",IF(AND($J377="Received",$K377&lt;&gt;"Yes",LEFT($N377,2)="OK"),"Yes","No"))</f>
        <v/>
      </c>
      <c r="M377" s="16" t="n"/>
      <c r="N377" s="17">
        <f>IF($D377="","",IF(AND($F377&lt;&gt;"Classroom",$F377&lt;&gt;"PT"),"TYPE NOT CREDITED",IF($C377="","NO MAKEUP DATE",IF(NOT(ISNUMBER($C377)),"MAKEUP DATE NOT A DATE",IF(OR(AND($G377&lt;&gt;"",NOT(ISNUMBER($G377))),AND($H377&lt;&gt;"",NOT(ISNUMBER($H377)))),"CREDIT NOT A NUMBER",IF(OR(N($G377)&lt;0,N($H377)&lt;0),"NEGATIVE CREDIT",IF(AND($F377="Classroom",N($G377)&lt;=0),"NO MINUTES CREDITED",IF(AND($F377="PT",N($H377)&lt;=0),"NO SESSIONS CREDITED",IF($I377="","NO LINKED EVENT",IF(COUNTIF(nrAT_ID,$I377)=0,"NO SUCH EVENT",IF(INDEX(nrAT_PID,MATCH($I377,nrAT_ID,0))&lt;&gt;$E377,"WRONG CADET",IF(INDEX(nrAT_IsPT,MATCH($I377,nrAT_ID,0))&lt;&gt;IF($F377="PT","Yes","No"),"UNIT MISMATCH","OK"))))))))))))</f>
        <v/>
      </c>
    </row>
    <row r="378">
      <c r="B378" s="17">
        <f>IF($D378="","","M"&amp;TEXT(ROW()-5,"000"))</f>
        <v/>
      </c>
      <c r="C378" s="18" t="n"/>
      <c r="D378" s="16" t="n"/>
      <c r="E378" s="17">
        <f>IF($D378="","",IFERROR(INDEX(rngCadetPIDs,MATCH($D378,rngCadetNames,0)),"?"))</f>
        <v/>
      </c>
      <c r="F378" s="16" t="n"/>
      <c r="G378" s="16" t="n"/>
      <c r="H378" s="16" t="n"/>
      <c r="I378" s="16" t="n"/>
      <c r="J378" s="16" t="n"/>
      <c r="K378" s="16" t="n"/>
      <c r="L378" s="17">
        <f>IF($D378="","",IF(AND($J378="Received",$K378&lt;&gt;"Yes",LEFT($N378,2)="OK"),"Yes","No"))</f>
        <v/>
      </c>
      <c r="M378" s="16" t="n"/>
      <c r="N378" s="17">
        <f>IF($D378="","",IF(AND($F378&lt;&gt;"Classroom",$F378&lt;&gt;"PT"),"TYPE NOT CREDITED",IF($C378="","NO MAKEUP DATE",IF(NOT(ISNUMBER($C378)),"MAKEUP DATE NOT A DATE",IF(OR(AND($G378&lt;&gt;"",NOT(ISNUMBER($G378))),AND($H378&lt;&gt;"",NOT(ISNUMBER($H378)))),"CREDIT NOT A NUMBER",IF(OR(N($G378)&lt;0,N($H378)&lt;0),"NEGATIVE CREDIT",IF(AND($F378="Classroom",N($G378)&lt;=0),"NO MINUTES CREDITED",IF(AND($F378="PT",N($H378)&lt;=0),"NO SESSIONS CREDITED",IF($I378="","NO LINKED EVENT",IF(COUNTIF(nrAT_ID,$I378)=0,"NO SUCH EVENT",IF(INDEX(nrAT_PID,MATCH($I378,nrAT_ID,0))&lt;&gt;$E378,"WRONG CADET",IF(INDEX(nrAT_IsPT,MATCH($I378,nrAT_ID,0))&lt;&gt;IF($F378="PT","Yes","No"),"UNIT MISMATCH","OK"))))))))))))</f>
        <v/>
      </c>
    </row>
    <row r="379">
      <c r="B379" s="17">
        <f>IF($D379="","","M"&amp;TEXT(ROW()-5,"000"))</f>
        <v/>
      </c>
      <c r="C379" s="18" t="n"/>
      <c r="D379" s="16" t="n"/>
      <c r="E379" s="17">
        <f>IF($D379="","",IFERROR(INDEX(rngCadetPIDs,MATCH($D379,rngCadetNames,0)),"?"))</f>
        <v/>
      </c>
      <c r="F379" s="16" t="n"/>
      <c r="G379" s="16" t="n"/>
      <c r="H379" s="16" t="n"/>
      <c r="I379" s="16" t="n"/>
      <c r="J379" s="16" t="n"/>
      <c r="K379" s="16" t="n"/>
      <c r="L379" s="17">
        <f>IF($D379="","",IF(AND($J379="Received",$K379&lt;&gt;"Yes",LEFT($N379,2)="OK"),"Yes","No"))</f>
        <v/>
      </c>
      <c r="M379" s="16" t="n"/>
      <c r="N379" s="17">
        <f>IF($D379="","",IF(AND($F379&lt;&gt;"Classroom",$F379&lt;&gt;"PT"),"TYPE NOT CREDITED",IF($C379="","NO MAKEUP DATE",IF(NOT(ISNUMBER($C379)),"MAKEUP DATE NOT A DATE",IF(OR(AND($G379&lt;&gt;"",NOT(ISNUMBER($G379))),AND($H379&lt;&gt;"",NOT(ISNUMBER($H379)))),"CREDIT NOT A NUMBER",IF(OR(N($G379)&lt;0,N($H379)&lt;0),"NEGATIVE CREDIT",IF(AND($F379="Classroom",N($G379)&lt;=0),"NO MINUTES CREDITED",IF(AND($F379="PT",N($H379)&lt;=0),"NO SESSIONS CREDITED",IF($I379="","NO LINKED EVENT",IF(COUNTIF(nrAT_ID,$I379)=0,"NO SUCH EVENT",IF(INDEX(nrAT_PID,MATCH($I379,nrAT_ID,0))&lt;&gt;$E379,"WRONG CADET",IF(INDEX(nrAT_IsPT,MATCH($I379,nrAT_ID,0))&lt;&gt;IF($F379="PT","Yes","No"),"UNIT MISMATCH","OK"))))))))))))</f>
        <v/>
      </c>
    </row>
    <row r="380">
      <c r="B380" s="17">
        <f>IF($D380="","","M"&amp;TEXT(ROW()-5,"000"))</f>
        <v/>
      </c>
      <c r="C380" s="18" t="n"/>
      <c r="D380" s="16" t="n"/>
      <c r="E380" s="17">
        <f>IF($D380="","",IFERROR(INDEX(rngCadetPIDs,MATCH($D380,rngCadetNames,0)),"?"))</f>
        <v/>
      </c>
      <c r="F380" s="16" t="n"/>
      <c r="G380" s="16" t="n"/>
      <c r="H380" s="16" t="n"/>
      <c r="I380" s="16" t="n"/>
      <c r="J380" s="16" t="n"/>
      <c r="K380" s="16" t="n"/>
      <c r="L380" s="17">
        <f>IF($D380="","",IF(AND($J380="Received",$K380&lt;&gt;"Yes",LEFT($N380,2)="OK"),"Yes","No"))</f>
        <v/>
      </c>
      <c r="M380" s="16" t="n"/>
      <c r="N380" s="17">
        <f>IF($D380="","",IF(AND($F380&lt;&gt;"Classroom",$F380&lt;&gt;"PT"),"TYPE NOT CREDITED",IF($C380="","NO MAKEUP DATE",IF(NOT(ISNUMBER($C380)),"MAKEUP DATE NOT A DATE",IF(OR(AND($G380&lt;&gt;"",NOT(ISNUMBER($G380))),AND($H380&lt;&gt;"",NOT(ISNUMBER($H380)))),"CREDIT NOT A NUMBER",IF(OR(N($G380)&lt;0,N($H380)&lt;0),"NEGATIVE CREDIT",IF(AND($F380="Classroom",N($G380)&lt;=0),"NO MINUTES CREDITED",IF(AND($F380="PT",N($H380)&lt;=0),"NO SESSIONS CREDITED",IF($I380="","NO LINKED EVENT",IF(COUNTIF(nrAT_ID,$I380)=0,"NO SUCH EVENT",IF(INDEX(nrAT_PID,MATCH($I380,nrAT_ID,0))&lt;&gt;$E380,"WRONG CADET",IF(INDEX(nrAT_IsPT,MATCH($I380,nrAT_ID,0))&lt;&gt;IF($F380="PT","Yes","No"),"UNIT MISMATCH","OK"))))))))))))</f>
        <v/>
      </c>
    </row>
    <row r="381">
      <c r="B381" s="17">
        <f>IF($D381="","","M"&amp;TEXT(ROW()-5,"000"))</f>
        <v/>
      </c>
      <c r="C381" s="18" t="n"/>
      <c r="D381" s="16" t="n"/>
      <c r="E381" s="17">
        <f>IF($D381="","",IFERROR(INDEX(rngCadetPIDs,MATCH($D381,rngCadetNames,0)),"?"))</f>
        <v/>
      </c>
      <c r="F381" s="16" t="n"/>
      <c r="G381" s="16" t="n"/>
      <c r="H381" s="16" t="n"/>
      <c r="I381" s="16" t="n"/>
      <c r="J381" s="16" t="n"/>
      <c r="K381" s="16" t="n"/>
      <c r="L381" s="17">
        <f>IF($D381="","",IF(AND($J381="Received",$K381&lt;&gt;"Yes",LEFT($N381,2)="OK"),"Yes","No"))</f>
        <v/>
      </c>
      <c r="M381" s="16" t="n"/>
      <c r="N381" s="17">
        <f>IF($D381="","",IF(AND($F381&lt;&gt;"Classroom",$F381&lt;&gt;"PT"),"TYPE NOT CREDITED",IF($C381="","NO MAKEUP DATE",IF(NOT(ISNUMBER($C381)),"MAKEUP DATE NOT A DATE",IF(OR(AND($G381&lt;&gt;"",NOT(ISNUMBER($G381))),AND($H381&lt;&gt;"",NOT(ISNUMBER($H381)))),"CREDIT NOT A NUMBER",IF(OR(N($G381)&lt;0,N($H381)&lt;0),"NEGATIVE CREDIT",IF(AND($F381="Classroom",N($G381)&lt;=0),"NO MINUTES CREDITED",IF(AND($F381="PT",N($H381)&lt;=0),"NO SESSIONS CREDITED",IF($I381="","NO LINKED EVENT",IF(COUNTIF(nrAT_ID,$I381)=0,"NO SUCH EVENT",IF(INDEX(nrAT_PID,MATCH($I381,nrAT_ID,0))&lt;&gt;$E381,"WRONG CADET",IF(INDEX(nrAT_IsPT,MATCH($I381,nrAT_ID,0))&lt;&gt;IF($F381="PT","Yes","No"),"UNIT MISMATCH","OK"))))))))))))</f>
        <v/>
      </c>
    </row>
    <row r="382">
      <c r="B382" s="17">
        <f>IF($D382="","","M"&amp;TEXT(ROW()-5,"000"))</f>
        <v/>
      </c>
      <c r="C382" s="18" t="n"/>
      <c r="D382" s="16" t="n"/>
      <c r="E382" s="17">
        <f>IF($D382="","",IFERROR(INDEX(rngCadetPIDs,MATCH($D382,rngCadetNames,0)),"?"))</f>
        <v/>
      </c>
      <c r="F382" s="16" t="n"/>
      <c r="G382" s="16" t="n"/>
      <c r="H382" s="16" t="n"/>
      <c r="I382" s="16" t="n"/>
      <c r="J382" s="16" t="n"/>
      <c r="K382" s="16" t="n"/>
      <c r="L382" s="17">
        <f>IF($D382="","",IF(AND($J382="Received",$K382&lt;&gt;"Yes",LEFT($N382,2)="OK"),"Yes","No"))</f>
        <v/>
      </c>
      <c r="M382" s="16" t="n"/>
      <c r="N382" s="17">
        <f>IF($D382="","",IF(AND($F382&lt;&gt;"Classroom",$F382&lt;&gt;"PT"),"TYPE NOT CREDITED",IF($C382="","NO MAKEUP DATE",IF(NOT(ISNUMBER($C382)),"MAKEUP DATE NOT A DATE",IF(OR(AND($G382&lt;&gt;"",NOT(ISNUMBER($G382))),AND($H382&lt;&gt;"",NOT(ISNUMBER($H382)))),"CREDIT NOT A NUMBER",IF(OR(N($G382)&lt;0,N($H382)&lt;0),"NEGATIVE CREDIT",IF(AND($F382="Classroom",N($G382)&lt;=0),"NO MINUTES CREDITED",IF(AND($F382="PT",N($H382)&lt;=0),"NO SESSIONS CREDITED",IF($I382="","NO LINKED EVENT",IF(COUNTIF(nrAT_ID,$I382)=0,"NO SUCH EVENT",IF(INDEX(nrAT_PID,MATCH($I382,nrAT_ID,0))&lt;&gt;$E382,"WRONG CADET",IF(INDEX(nrAT_IsPT,MATCH($I382,nrAT_ID,0))&lt;&gt;IF($F382="PT","Yes","No"),"UNIT MISMATCH","OK"))))))))))))</f>
        <v/>
      </c>
    </row>
    <row r="383">
      <c r="B383" s="17">
        <f>IF($D383="","","M"&amp;TEXT(ROW()-5,"000"))</f>
        <v/>
      </c>
      <c r="C383" s="18" t="n"/>
      <c r="D383" s="16" t="n"/>
      <c r="E383" s="17">
        <f>IF($D383="","",IFERROR(INDEX(rngCadetPIDs,MATCH($D383,rngCadetNames,0)),"?"))</f>
        <v/>
      </c>
      <c r="F383" s="16" t="n"/>
      <c r="G383" s="16" t="n"/>
      <c r="H383" s="16" t="n"/>
      <c r="I383" s="16" t="n"/>
      <c r="J383" s="16" t="n"/>
      <c r="K383" s="16" t="n"/>
      <c r="L383" s="17">
        <f>IF($D383="","",IF(AND($J383="Received",$K383&lt;&gt;"Yes",LEFT($N383,2)="OK"),"Yes","No"))</f>
        <v/>
      </c>
      <c r="M383" s="16" t="n"/>
      <c r="N383" s="17">
        <f>IF($D383="","",IF(AND($F383&lt;&gt;"Classroom",$F383&lt;&gt;"PT"),"TYPE NOT CREDITED",IF($C383="","NO MAKEUP DATE",IF(NOT(ISNUMBER($C383)),"MAKEUP DATE NOT A DATE",IF(OR(AND($G383&lt;&gt;"",NOT(ISNUMBER($G383))),AND($H383&lt;&gt;"",NOT(ISNUMBER($H383)))),"CREDIT NOT A NUMBER",IF(OR(N($G383)&lt;0,N($H383)&lt;0),"NEGATIVE CREDIT",IF(AND($F383="Classroom",N($G383)&lt;=0),"NO MINUTES CREDITED",IF(AND($F383="PT",N($H383)&lt;=0),"NO SESSIONS CREDITED",IF($I383="","NO LINKED EVENT",IF(COUNTIF(nrAT_ID,$I383)=0,"NO SUCH EVENT",IF(INDEX(nrAT_PID,MATCH($I383,nrAT_ID,0))&lt;&gt;$E383,"WRONG CADET",IF(INDEX(nrAT_IsPT,MATCH($I383,nrAT_ID,0))&lt;&gt;IF($F383="PT","Yes","No"),"UNIT MISMATCH","OK"))))))))))))</f>
        <v/>
      </c>
    </row>
    <row r="384">
      <c r="B384" s="17">
        <f>IF($D384="","","M"&amp;TEXT(ROW()-5,"000"))</f>
        <v/>
      </c>
      <c r="C384" s="18" t="n"/>
      <c r="D384" s="16" t="n"/>
      <c r="E384" s="17">
        <f>IF($D384="","",IFERROR(INDEX(rngCadetPIDs,MATCH($D384,rngCadetNames,0)),"?"))</f>
        <v/>
      </c>
      <c r="F384" s="16" t="n"/>
      <c r="G384" s="16" t="n"/>
      <c r="H384" s="16" t="n"/>
      <c r="I384" s="16" t="n"/>
      <c r="J384" s="16" t="n"/>
      <c r="K384" s="16" t="n"/>
      <c r="L384" s="17">
        <f>IF($D384="","",IF(AND($J384="Received",$K384&lt;&gt;"Yes",LEFT($N384,2)="OK"),"Yes","No"))</f>
        <v/>
      </c>
      <c r="M384" s="16" t="n"/>
      <c r="N384" s="17">
        <f>IF($D384="","",IF(AND($F384&lt;&gt;"Classroom",$F384&lt;&gt;"PT"),"TYPE NOT CREDITED",IF($C384="","NO MAKEUP DATE",IF(NOT(ISNUMBER($C384)),"MAKEUP DATE NOT A DATE",IF(OR(AND($G384&lt;&gt;"",NOT(ISNUMBER($G384))),AND($H384&lt;&gt;"",NOT(ISNUMBER($H384)))),"CREDIT NOT A NUMBER",IF(OR(N($G384)&lt;0,N($H384)&lt;0),"NEGATIVE CREDIT",IF(AND($F384="Classroom",N($G384)&lt;=0),"NO MINUTES CREDITED",IF(AND($F384="PT",N($H384)&lt;=0),"NO SESSIONS CREDITED",IF($I384="","NO LINKED EVENT",IF(COUNTIF(nrAT_ID,$I384)=0,"NO SUCH EVENT",IF(INDEX(nrAT_PID,MATCH($I384,nrAT_ID,0))&lt;&gt;$E384,"WRONG CADET",IF(INDEX(nrAT_IsPT,MATCH($I384,nrAT_ID,0))&lt;&gt;IF($F384="PT","Yes","No"),"UNIT MISMATCH","OK"))))))))))))</f>
        <v/>
      </c>
    </row>
    <row r="385">
      <c r="B385" s="17">
        <f>IF($D385="","","M"&amp;TEXT(ROW()-5,"000"))</f>
        <v/>
      </c>
      <c r="C385" s="18" t="n"/>
      <c r="D385" s="16" t="n"/>
      <c r="E385" s="17">
        <f>IF($D385="","",IFERROR(INDEX(rngCadetPIDs,MATCH($D385,rngCadetNames,0)),"?"))</f>
        <v/>
      </c>
      <c r="F385" s="16" t="n"/>
      <c r="G385" s="16" t="n"/>
      <c r="H385" s="16" t="n"/>
      <c r="I385" s="16" t="n"/>
      <c r="J385" s="16" t="n"/>
      <c r="K385" s="16" t="n"/>
      <c r="L385" s="17">
        <f>IF($D385="","",IF(AND($J385="Received",$K385&lt;&gt;"Yes",LEFT($N385,2)="OK"),"Yes","No"))</f>
        <v/>
      </c>
      <c r="M385" s="16" t="n"/>
      <c r="N385" s="17">
        <f>IF($D385="","",IF(AND($F385&lt;&gt;"Classroom",$F385&lt;&gt;"PT"),"TYPE NOT CREDITED",IF($C385="","NO MAKEUP DATE",IF(NOT(ISNUMBER($C385)),"MAKEUP DATE NOT A DATE",IF(OR(AND($G385&lt;&gt;"",NOT(ISNUMBER($G385))),AND($H385&lt;&gt;"",NOT(ISNUMBER($H385)))),"CREDIT NOT A NUMBER",IF(OR(N($G385)&lt;0,N($H385)&lt;0),"NEGATIVE CREDIT",IF(AND($F385="Classroom",N($G385)&lt;=0),"NO MINUTES CREDITED",IF(AND($F385="PT",N($H385)&lt;=0),"NO SESSIONS CREDITED",IF($I385="","NO LINKED EVENT",IF(COUNTIF(nrAT_ID,$I385)=0,"NO SUCH EVENT",IF(INDEX(nrAT_PID,MATCH($I385,nrAT_ID,0))&lt;&gt;$E385,"WRONG CADET",IF(INDEX(nrAT_IsPT,MATCH($I385,nrAT_ID,0))&lt;&gt;IF($F385="PT","Yes","No"),"UNIT MISMATCH","OK"))))))))))))</f>
        <v/>
      </c>
    </row>
    <row r="386">
      <c r="B386" s="17">
        <f>IF($D386="","","M"&amp;TEXT(ROW()-5,"000"))</f>
        <v/>
      </c>
      <c r="C386" s="18" t="n"/>
      <c r="D386" s="16" t="n"/>
      <c r="E386" s="17">
        <f>IF($D386="","",IFERROR(INDEX(rngCadetPIDs,MATCH($D386,rngCadetNames,0)),"?"))</f>
        <v/>
      </c>
      <c r="F386" s="16" t="n"/>
      <c r="G386" s="16" t="n"/>
      <c r="H386" s="16" t="n"/>
      <c r="I386" s="16" t="n"/>
      <c r="J386" s="16" t="n"/>
      <c r="K386" s="16" t="n"/>
      <c r="L386" s="17">
        <f>IF($D386="","",IF(AND($J386="Received",$K386&lt;&gt;"Yes",LEFT($N386,2)="OK"),"Yes","No"))</f>
        <v/>
      </c>
      <c r="M386" s="16" t="n"/>
      <c r="N386" s="17">
        <f>IF($D386="","",IF(AND($F386&lt;&gt;"Classroom",$F386&lt;&gt;"PT"),"TYPE NOT CREDITED",IF($C386="","NO MAKEUP DATE",IF(NOT(ISNUMBER($C386)),"MAKEUP DATE NOT A DATE",IF(OR(AND($G386&lt;&gt;"",NOT(ISNUMBER($G386))),AND($H386&lt;&gt;"",NOT(ISNUMBER($H386)))),"CREDIT NOT A NUMBER",IF(OR(N($G386)&lt;0,N($H386)&lt;0),"NEGATIVE CREDIT",IF(AND($F386="Classroom",N($G386)&lt;=0),"NO MINUTES CREDITED",IF(AND($F386="PT",N($H386)&lt;=0),"NO SESSIONS CREDITED",IF($I386="","NO LINKED EVENT",IF(COUNTIF(nrAT_ID,$I386)=0,"NO SUCH EVENT",IF(INDEX(nrAT_PID,MATCH($I386,nrAT_ID,0))&lt;&gt;$E386,"WRONG CADET",IF(INDEX(nrAT_IsPT,MATCH($I386,nrAT_ID,0))&lt;&gt;IF($F386="PT","Yes","No"),"UNIT MISMATCH","OK"))))))))))))</f>
        <v/>
      </c>
    </row>
    <row r="387">
      <c r="B387" s="17">
        <f>IF($D387="","","M"&amp;TEXT(ROW()-5,"000"))</f>
        <v/>
      </c>
      <c r="C387" s="18" t="n"/>
      <c r="D387" s="16" t="n"/>
      <c r="E387" s="17">
        <f>IF($D387="","",IFERROR(INDEX(rngCadetPIDs,MATCH($D387,rngCadetNames,0)),"?"))</f>
        <v/>
      </c>
      <c r="F387" s="16" t="n"/>
      <c r="G387" s="16" t="n"/>
      <c r="H387" s="16" t="n"/>
      <c r="I387" s="16" t="n"/>
      <c r="J387" s="16" t="n"/>
      <c r="K387" s="16" t="n"/>
      <c r="L387" s="17">
        <f>IF($D387="","",IF(AND($J387="Received",$K387&lt;&gt;"Yes",LEFT($N387,2)="OK"),"Yes","No"))</f>
        <v/>
      </c>
      <c r="M387" s="16" t="n"/>
      <c r="N387" s="17">
        <f>IF($D387="","",IF(AND($F387&lt;&gt;"Classroom",$F387&lt;&gt;"PT"),"TYPE NOT CREDITED",IF($C387="","NO MAKEUP DATE",IF(NOT(ISNUMBER($C387)),"MAKEUP DATE NOT A DATE",IF(OR(AND($G387&lt;&gt;"",NOT(ISNUMBER($G387))),AND($H387&lt;&gt;"",NOT(ISNUMBER($H387)))),"CREDIT NOT A NUMBER",IF(OR(N($G387)&lt;0,N($H387)&lt;0),"NEGATIVE CREDIT",IF(AND($F387="Classroom",N($G387)&lt;=0),"NO MINUTES CREDITED",IF(AND($F387="PT",N($H387)&lt;=0),"NO SESSIONS CREDITED",IF($I387="","NO LINKED EVENT",IF(COUNTIF(nrAT_ID,$I387)=0,"NO SUCH EVENT",IF(INDEX(nrAT_PID,MATCH($I387,nrAT_ID,0))&lt;&gt;$E387,"WRONG CADET",IF(INDEX(nrAT_IsPT,MATCH($I387,nrAT_ID,0))&lt;&gt;IF($F387="PT","Yes","No"),"UNIT MISMATCH","OK"))))))))))))</f>
        <v/>
      </c>
    </row>
    <row r="388">
      <c r="B388" s="17">
        <f>IF($D388="","","M"&amp;TEXT(ROW()-5,"000"))</f>
        <v/>
      </c>
      <c r="C388" s="18" t="n"/>
      <c r="D388" s="16" t="n"/>
      <c r="E388" s="17">
        <f>IF($D388="","",IFERROR(INDEX(rngCadetPIDs,MATCH($D388,rngCadetNames,0)),"?"))</f>
        <v/>
      </c>
      <c r="F388" s="16" t="n"/>
      <c r="G388" s="16" t="n"/>
      <c r="H388" s="16" t="n"/>
      <c r="I388" s="16" t="n"/>
      <c r="J388" s="16" t="n"/>
      <c r="K388" s="16" t="n"/>
      <c r="L388" s="17">
        <f>IF($D388="","",IF(AND($J388="Received",$K388&lt;&gt;"Yes",LEFT($N388,2)="OK"),"Yes","No"))</f>
        <v/>
      </c>
      <c r="M388" s="16" t="n"/>
      <c r="N388" s="17">
        <f>IF($D388="","",IF(AND($F388&lt;&gt;"Classroom",$F388&lt;&gt;"PT"),"TYPE NOT CREDITED",IF($C388="","NO MAKEUP DATE",IF(NOT(ISNUMBER($C388)),"MAKEUP DATE NOT A DATE",IF(OR(AND($G388&lt;&gt;"",NOT(ISNUMBER($G388))),AND($H388&lt;&gt;"",NOT(ISNUMBER($H388)))),"CREDIT NOT A NUMBER",IF(OR(N($G388)&lt;0,N($H388)&lt;0),"NEGATIVE CREDIT",IF(AND($F388="Classroom",N($G388)&lt;=0),"NO MINUTES CREDITED",IF(AND($F388="PT",N($H388)&lt;=0),"NO SESSIONS CREDITED",IF($I388="","NO LINKED EVENT",IF(COUNTIF(nrAT_ID,$I388)=0,"NO SUCH EVENT",IF(INDEX(nrAT_PID,MATCH($I388,nrAT_ID,0))&lt;&gt;$E388,"WRONG CADET",IF(INDEX(nrAT_IsPT,MATCH($I388,nrAT_ID,0))&lt;&gt;IF($F388="PT","Yes","No"),"UNIT MISMATCH","OK"))))))))))))</f>
        <v/>
      </c>
    </row>
    <row r="389">
      <c r="B389" s="17">
        <f>IF($D389="","","M"&amp;TEXT(ROW()-5,"000"))</f>
        <v/>
      </c>
      <c r="C389" s="18" t="n"/>
      <c r="D389" s="16" t="n"/>
      <c r="E389" s="17">
        <f>IF($D389="","",IFERROR(INDEX(rngCadetPIDs,MATCH($D389,rngCadetNames,0)),"?"))</f>
        <v/>
      </c>
      <c r="F389" s="16" t="n"/>
      <c r="G389" s="16" t="n"/>
      <c r="H389" s="16" t="n"/>
      <c r="I389" s="16" t="n"/>
      <c r="J389" s="16" t="n"/>
      <c r="K389" s="16" t="n"/>
      <c r="L389" s="17">
        <f>IF($D389="","",IF(AND($J389="Received",$K389&lt;&gt;"Yes",LEFT($N389,2)="OK"),"Yes","No"))</f>
        <v/>
      </c>
      <c r="M389" s="16" t="n"/>
      <c r="N389" s="17">
        <f>IF($D389="","",IF(AND($F389&lt;&gt;"Classroom",$F389&lt;&gt;"PT"),"TYPE NOT CREDITED",IF($C389="","NO MAKEUP DATE",IF(NOT(ISNUMBER($C389)),"MAKEUP DATE NOT A DATE",IF(OR(AND($G389&lt;&gt;"",NOT(ISNUMBER($G389))),AND($H389&lt;&gt;"",NOT(ISNUMBER($H389)))),"CREDIT NOT A NUMBER",IF(OR(N($G389)&lt;0,N($H389)&lt;0),"NEGATIVE CREDIT",IF(AND($F389="Classroom",N($G389)&lt;=0),"NO MINUTES CREDITED",IF(AND($F389="PT",N($H389)&lt;=0),"NO SESSIONS CREDITED",IF($I389="","NO LINKED EVENT",IF(COUNTIF(nrAT_ID,$I389)=0,"NO SUCH EVENT",IF(INDEX(nrAT_PID,MATCH($I389,nrAT_ID,0))&lt;&gt;$E389,"WRONG CADET",IF(INDEX(nrAT_IsPT,MATCH($I389,nrAT_ID,0))&lt;&gt;IF($F389="PT","Yes","No"),"UNIT MISMATCH","OK"))))))))))))</f>
        <v/>
      </c>
    </row>
    <row r="390">
      <c r="B390" s="17">
        <f>IF($D390="","","M"&amp;TEXT(ROW()-5,"000"))</f>
        <v/>
      </c>
      <c r="C390" s="18" t="n"/>
      <c r="D390" s="16" t="n"/>
      <c r="E390" s="17">
        <f>IF($D390="","",IFERROR(INDEX(rngCadetPIDs,MATCH($D390,rngCadetNames,0)),"?"))</f>
        <v/>
      </c>
      <c r="F390" s="16" t="n"/>
      <c r="G390" s="16" t="n"/>
      <c r="H390" s="16" t="n"/>
      <c r="I390" s="16" t="n"/>
      <c r="J390" s="16" t="n"/>
      <c r="K390" s="16" t="n"/>
      <c r="L390" s="17">
        <f>IF($D390="","",IF(AND($J390="Received",$K390&lt;&gt;"Yes",LEFT($N390,2)="OK"),"Yes","No"))</f>
        <v/>
      </c>
      <c r="M390" s="16" t="n"/>
      <c r="N390" s="17">
        <f>IF($D390="","",IF(AND($F390&lt;&gt;"Classroom",$F390&lt;&gt;"PT"),"TYPE NOT CREDITED",IF($C390="","NO MAKEUP DATE",IF(NOT(ISNUMBER($C390)),"MAKEUP DATE NOT A DATE",IF(OR(AND($G390&lt;&gt;"",NOT(ISNUMBER($G390))),AND($H390&lt;&gt;"",NOT(ISNUMBER($H390)))),"CREDIT NOT A NUMBER",IF(OR(N($G390)&lt;0,N($H390)&lt;0),"NEGATIVE CREDIT",IF(AND($F390="Classroom",N($G390)&lt;=0),"NO MINUTES CREDITED",IF(AND($F390="PT",N($H390)&lt;=0),"NO SESSIONS CREDITED",IF($I390="","NO LINKED EVENT",IF(COUNTIF(nrAT_ID,$I390)=0,"NO SUCH EVENT",IF(INDEX(nrAT_PID,MATCH($I390,nrAT_ID,0))&lt;&gt;$E390,"WRONG CADET",IF(INDEX(nrAT_IsPT,MATCH($I390,nrAT_ID,0))&lt;&gt;IF($F390="PT","Yes","No"),"UNIT MISMATCH","OK"))))))))))))</f>
        <v/>
      </c>
    </row>
    <row r="391">
      <c r="B391" s="17">
        <f>IF($D391="","","M"&amp;TEXT(ROW()-5,"000"))</f>
        <v/>
      </c>
      <c r="C391" s="18" t="n"/>
      <c r="D391" s="16" t="n"/>
      <c r="E391" s="17">
        <f>IF($D391="","",IFERROR(INDEX(rngCadetPIDs,MATCH($D391,rngCadetNames,0)),"?"))</f>
        <v/>
      </c>
      <c r="F391" s="16" t="n"/>
      <c r="G391" s="16" t="n"/>
      <c r="H391" s="16" t="n"/>
      <c r="I391" s="16" t="n"/>
      <c r="J391" s="16" t="n"/>
      <c r="K391" s="16" t="n"/>
      <c r="L391" s="17">
        <f>IF($D391="","",IF(AND($J391="Received",$K391&lt;&gt;"Yes",LEFT($N391,2)="OK"),"Yes","No"))</f>
        <v/>
      </c>
      <c r="M391" s="16" t="n"/>
      <c r="N391" s="17">
        <f>IF($D391="","",IF(AND($F391&lt;&gt;"Classroom",$F391&lt;&gt;"PT"),"TYPE NOT CREDITED",IF($C391="","NO MAKEUP DATE",IF(NOT(ISNUMBER($C391)),"MAKEUP DATE NOT A DATE",IF(OR(AND($G391&lt;&gt;"",NOT(ISNUMBER($G391))),AND($H391&lt;&gt;"",NOT(ISNUMBER($H391)))),"CREDIT NOT A NUMBER",IF(OR(N($G391)&lt;0,N($H391)&lt;0),"NEGATIVE CREDIT",IF(AND($F391="Classroom",N($G391)&lt;=0),"NO MINUTES CREDITED",IF(AND($F391="PT",N($H391)&lt;=0),"NO SESSIONS CREDITED",IF($I391="","NO LINKED EVENT",IF(COUNTIF(nrAT_ID,$I391)=0,"NO SUCH EVENT",IF(INDEX(nrAT_PID,MATCH($I391,nrAT_ID,0))&lt;&gt;$E391,"WRONG CADET",IF(INDEX(nrAT_IsPT,MATCH($I391,nrAT_ID,0))&lt;&gt;IF($F391="PT","Yes","No"),"UNIT MISMATCH","OK"))))))))))))</f>
        <v/>
      </c>
    </row>
    <row r="392">
      <c r="B392" s="17">
        <f>IF($D392="","","M"&amp;TEXT(ROW()-5,"000"))</f>
        <v/>
      </c>
      <c r="C392" s="18" t="n"/>
      <c r="D392" s="16" t="n"/>
      <c r="E392" s="17">
        <f>IF($D392="","",IFERROR(INDEX(rngCadetPIDs,MATCH($D392,rngCadetNames,0)),"?"))</f>
        <v/>
      </c>
      <c r="F392" s="16" t="n"/>
      <c r="G392" s="16" t="n"/>
      <c r="H392" s="16" t="n"/>
      <c r="I392" s="16" t="n"/>
      <c r="J392" s="16" t="n"/>
      <c r="K392" s="16" t="n"/>
      <c r="L392" s="17">
        <f>IF($D392="","",IF(AND($J392="Received",$K392&lt;&gt;"Yes",LEFT($N392,2)="OK"),"Yes","No"))</f>
        <v/>
      </c>
      <c r="M392" s="16" t="n"/>
      <c r="N392" s="17">
        <f>IF($D392="","",IF(AND($F392&lt;&gt;"Classroom",$F392&lt;&gt;"PT"),"TYPE NOT CREDITED",IF($C392="","NO MAKEUP DATE",IF(NOT(ISNUMBER($C392)),"MAKEUP DATE NOT A DATE",IF(OR(AND($G392&lt;&gt;"",NOT(ISNUMBER($G392))),AND($H392&lt;&gt;"",NOT(ISNUMBER($H392)))),"CREDIT NOT A NUMBER",IF(OR(N($G392)&lt;0,N($H392)&lt;0),"NEGATIVE CREDIT",IF(AND($F392="Classroom",N($G392)&lt;=0),"NO MINUTES CREDITED",IF(AND($F392="PT",N($H392)&lt;=0),"NO SESSIONS CREDITED",IF($I392="","NO LINKED EVENT",IF(COUNTIF(nrAT_ID,$I392)=0,"NO SUCH EVENT",IF(INDEX(nrAT_PID,MATCH($I392,nrAT_ID,0))&lt;&gt;$E392,"WRONG CADET",IF(INDEX(nrAT_IsPT,MATCH($I392,nrAT_ID,0))&lt;&gt;IF($F392="PT","Yes","No"),"UNIT MISMATCH","OK"))))))))))))</f>
        <v/>
      </c>
    </row>
    <row r="393">
      <c r="B393" s="17">
        <f>IF($D393="","","M"&amp;TEXT(ROW()-5,"000"))</f>
        <v/>
      </c>
      <c r="C393" s="18" t="n"/>
      <c r="D393" s="16" t="n"/>
      <c r="E393" s="17">
        <f>IF($D393="","",IFERROR(INDEX(rngCadetPIDs,MATCH($D393,rngCadetNames,0)),"?"))</f>
        <v/>
      </c>
      <c r="F393" s="16" t="n"/>
      <c r="G393" s="16" t="n"/>
      <c r="H393" s="16" t="n"/>
      <c r="I393" s="16" t="n"/>
      <c r="J393" s="16" t="n"/>
      <c r="K393" s="16" t="n"/>
      <c r="L393" s="17">
        <f>IF($D393="","",IF(AND($J393="Received",$K393&lt;&gt;"Yes",LEFT($N393,2)="OK"),"Yes","No"))</f>
        <v/>
      </c>
      <c r="M393" s="16" t="n"/>
      <c r="N393" s="17">
        <f>IF($D393="","",IF(AND($F393&lt;&gt;"Classroom",$F393&lt;&gt;"PT"),"TYPE NOT CREDITED",IF($C393="","NO MAKEUP DATE",IF(NOT(ISNUMBER($C393)),"MAKEUP DATE NOT A DATE",IF(OR(AND($G393&lt;&gt;"",NOT(ISNUMBER($G393))),AND($H393&lt;&gt;"",NOT(ISNUMBER($H393)))),"CREDIT NOT A NUMBER",IF(OR(N($G393)&lt;0,N($H393)&lt;0),"NEGATIVE CREDIT",IF(AND($F393="Classroom",N($G393)&lt;=0),"NO MINUTES CREDITED",IF(AND($F393="PT",N($H393)&lt;=0),"NO SESSIONS CREDITED",IF($I393="","NO LINKED EVENT",IF(COUNTIF(nrAT_ID,$I393)=0,"NO SUCH EVENT",IF(INDEX(nrAT_PID,MATCH($I393,nrAT_ID,0))&lt;&gt;$E393,"WRONG CADET",IF(INDEX(nrAT_IsPT,MATCH($I393,nrAT_ID,0))&lt;&gt;IF($F393="PT","Yes","No"),"UNIT MISMATCH","OK"))))))))))))</f>
        <v/>
      </c>
    </row>
    <row r="394">
      <c r="B394" s="17">
        <f>IF($D394="","","M"&amp;TEXT(ROW()-5,"000"))</f>
        <v/>
      </c>
      <c r="C394" s="18" t="n"/>
      <c r="D394" s="16" t="n"/>
      <c r="E394" s="17">
        <f>IF($D394="","",IFERROR(INDEX(rngCadetPIDs,MATCH($D394,rngCadetNames,0)),"?"))</f>
        <v/>
      </c>
      <c r="F394" s="16" t="n"/>
      <c r="G394" s="16" t="n"/>
      <c r="H394" s="16" t="n"/>
      <c r="I394" s="16" t="n"/>
      <c r="J394" s="16" t="n"/>
      <c r="K394" s="16" t="n"/>
      <c r="L394" s="17">
        <f>IF($D394="","",IF(AND($J394="Received",$K394&lt;&gt;"Yes",LEFT($N394,2)="OK"),"Yes","No"))</f>
        <v/>
      </c>
      <c r="M394" s="16" t="n"/>
      <c r="N394" s="17">
        <f>IF($D394="","",IF(AND($F394&lt;&gt;"Classroom",$F394&lt;&gt;"PT"),"TYPE NOT CREDITED",IF($C394="","NO MAKEUP DATE",IF(NOT(ISNUMBER($C394)),"MAKEUP DATE NOT A DATE",IF(OR(AND($G394&lt;&gt;"",NOT(ISNUMBER($G394))),AND($H394&lt;&gt;"",NOT(ISNUMBER($H394)))),"CREDIT NOT A NUMBER",IF(OR(N($G394)&lt;0,N($H394)&lt;0),"NEGATIVE CREDIT",IF(AND($F394="Classroom",N($G394)&lt;=0),"NO MINUTES CREDITED",IF(AND($F394="PT",N($H394)&lt;=0),"NO SESSIONS CREDITED",IF($I394="","NO LINKED EVENT",IF(COUNTIF(nrAT_ID,$I394)=0,"NO SUCH EVENT",IF(INDEX(nrAT_PID,MATCH($I394,nrAT_ID,0))&lt;&gt;$E394,"WRONG CADET",IF(INDEX(nrAT_IsPT,MATCH($I394,nrAT_ID,0))&lt;&gt;IF($F394="PT","Yes","No"),"UNIT MISMATCH","OK"))))))))))))</f>
        <v/>
      </c>
    </row>
    <row r="395">
      <c r="B395" s="17">
        <f>IF($D395="","","M"&amp;TEXT(ROW()-5,"000"))</f>
        <v/>
      </c>
      <c r="C395" s="18" t="n"/>
      <c r="D395" s="16" t="n"/>
      <c r="E395" s="17">
        <f>IF($D395="","",IFERROR(INDEX(rngCadetPIDs,MATCH($D395,rngCadetNames,0)),"?"))</f>
        <v/>
      </c>
      <c r="F395" s="16" t="n"/>
      <c r="G395" s="16" t="n"/>
      <c r="H395" s="16" t="n"/>
      <c r="I395" s="16" t="n"/>
      <c r="J395" s="16" t="n"/>
      <c r="K395" s="16" t="n"/>
      <c r="L395" s="17">
        <f>IF($D395="","",IF(AND($J395="Received",$K395&lt;&gt;"Yes",LEFT($N395,2)="OK"),"Yes","No"))</f>
        <v/>
      </c>
      <c r="M395" s="16" t="n"/>
      <c r="N395" s="17">
        <f>IF($D395="","",IF(AND($F395&lt;&gt;"Classroom",$F395&lt;&gt;"PT"),"TYPE NOT CREDITED",IF($C395="","NO MAKEUP DATE",IF(NOT(ISNUMBER($C395)),"MAKEUP DATE NOT A DATE",IF(OR(AND($G395&lt;&gt;"",NOT(ISNUMBER($G395))),AND($H395&lt;&gt;"",NOT(ISNUMBER($H395)))),"CREDIT NOT A NUMBER",IF(OR(N($G395)&lt;0,N($H395)&lt;0),"NEGATIVE CREDIT",IF(AND($F395="Classroom",N($G395)&lt;=0),"NO MINUTES CREDITED",IF(AND($F395="PT",N($H395)&lt;=0),"NO SESSIONS CREDITED",IF($I395="","NO LINKED EVENT",IF(COUNTIF(nrAT_ID,$I395)=0,"NO SUCH EVENT",IF(INDEX(nrAT_PID,MATCH($I395,nrAT_ID,0))&lt;&gt;$E395,"WRONG CADET",IF(INDEX(nrAT_IsPT,MATCH($I395,nrAT_ID,0))&lt;&gt;IF($F395="PT","Yes","No"),"UNIT MISMATCH","OK"))))))))))))</f>
        <v/>
      </c>
    </row>
    <row r="396">
      <c r="B396" s="17">
        <f>IF($D396="","","M"&amp;TEXT(ROW()-5,"000"))</f>
        <v/>
      </c>
      <c r="C396" s="18" t="n"/>
      <c r="D396" s="16" t="n"/>
      <c r="E396" s="17">
        <f>IF($D396="","",IFERROR(INDEX(rngCadetPIDs,MATCH($D396,rngCadetNames,0)),"?"))</f>
        <v/>
      </c>
      <c r="F396" s="16" t="n"/>
      <c r="G396" s="16" t="n"/>
      <c r="H396" s="16" t="n"/>
      <c r="I396" s="16" t="n"/>
      <c r="J396" s="16" t="n"/>
      <c r="K396" s="16" t="n"/>
      <c r="L396" s="17">
        <f>IF($D396="","",IF(AND($J396="Received",$K396&lt;&gt;"Yes",LEFT($N396,2)="OK"),"Yes","No"))</f>
        <v/>
      </c>
      <c r="M396" s="16" t="n"/>
      <c r="N396" s="17">
        <f>IF($D396="","",IF(AND($F396&lt;&gt;"Classroom",$F396&lt;&gt;"PT"),"TYPE NOT CREDITED",IF($C396="","NO MAKEUP DATE",IF(NOT(ISNUMBER($C396)),"MAKEUP DATE NOT A DATE",IF(OR(AND($G396&lt;&gt;"",NOT(ISNUMBER($G396))),AND($H396&lt;&gt;"",NOT(ISNUMBER($H396)))),"CREDIT NOT A NUMBER",IF(OR(N($G396)&lt;0,N($H396)&lt;0),"NEGATIVE CREDIT",IF(AND($F396="Classroom",N($G396)&lt;=0),"NO MINUTES CREDITED",IF(AND($F396="PT",N($H396)&lt;=0),"NO SESSIONS CREDITED",IF($I396="","NO LINKED EVENT",IF(COUNTIF(nrAT_ID,$I396)=0,"NO SUCH EVENT",IF(INDEX(nrAT_PID,MATCH($I396,nrAT_ID,0))&lt;&gt;$E396,"WRONG CADET",IF(INDEX(nrAT_IsPT,MATCH($I396,nrAT_ID,0))&lt;&gt;IF($F396="PT","Yes","No"),"UNIT MISMATCH","OK"))))))))))))</f>
        <v/>
      </c>
    </row>
    <row r="397">
      <c r="B397" s="17">
        <f>IF($D397="","","M"&amp;TEXT(ROW()-5,"000"))</f>
        <v/>
      </c>
      <c r="C397" s="18" t="n"/>
      <c r="D397" s="16" t="n"/>
      <c r="E397" s="17">
        <f>IF($D397="","",IFERROR(INDEX(rngCadetPIDs,MATCH($D397,rngCadetNames,0)),"?"))</f>
        <v/>
      </c>
      <c r="F397" s="16" t="n"/>
      <c r="G397" s="16" t="n"/>
      <c r="H397" s="16" t="n"/>
      <c r="I397" s="16" t="n"/>
      <c r="J397" s="16" t="n"/>
      <c r="K397" s="16" t="n"/>
      <c r="L397" s="17">
        <f>IF($D397="","",IF(AND($J397="Received",$K397&lt;&gt;"Yes",LEFT($N397,2)="OK"),"Yes","No"))</f>
        <v/>
      </c>
      <c r="M397" s="16" t="n"/>
      <c r="N397" s="17">
        <f>IF($D397="","",IF(AND($F397&lt;&gt;"Classroom",$F397&lt;&gt;"PT"),"TYPE NOT CREDITED",IF($C397="","NO MAKEUP DATE",IF(NOT(ISNUMBER($C397)),"MAKEUP DATE NOT A DATE",IF(OR(AND($G397&lt;&gt;"",NOT(ISNUMBER($G397))),AND($H397&lt;&gt;"",NOT(ISNUMBER($H397)))),"CREDIT NOT A NUMBER",IF(OR(N($G397)&lt;0,N($H397)&lt;0),"NEGATIVE CREDIT",IF(AND($F397="Classroom",N($G397)&lt;=0),"NO MINUTES CREDITED",IF(AND($F397="PT",N($H397)&lt;=0),"NO SESSIONS CREDITED",IF($I397="","NO LINKED EVENT",IF(COUNTIF(nrAT_ID,$I397)=0,"NO SUCH EVENT",IF(INDEX(nrAT_PID,MATCH($I397,nrAT_ID,0))&lt;&gt;$E397,"WRONG CADET",IF(INDEX(nrAT_IsPT,MATCH($I397,nrAT_ID,0))&lt;&gt;IF($F397="PT","Yes","No"),"UNIT MISMATCH","OK"))))))))))))</f>
        <v/>
      </c>
    </row>
    <row r="398">
      <c r="B398" s="17">
        <f>IF($D398="","","M"&amp;TEXT(ROW()-5,"000"))</f>
        <v/>
      </c>
      <c r="C398" s="18" t="n"/>
      <c r="D398" s="16" t="n"/>
      <c r="E398" s="17">
        <f>IF($D398="","",IFERROR(INDEX(rngCadetPIDs,MATCH($D398,rngCadetNames,0)),"?"))</f>
        <v/>
      </c>
      <c r="F398" s="16" t="n"/>
      <c r="G398" s="16" t="n"/>
      <c r="H398" s="16" t="n"/>
      <c r="I398" s="16" t="n"/>
      <c r="J398" s="16" t="n"/>
      <c r="K398" s="16" t="n"/>
      <c r="L398" s="17">
        <f>IF($D398="","",IF(AND($J398="Received",$K398&lt;&gt;"Yes",LEFT($N398,2)="OK"),"Yes","No"))</f>
        <v/>
      </c>
      <c r="M398" s="16" t="n"/>
      <c r="N398" s="17">
        <f>IF($D398="","",IF(AND($F398&lt;&gt;"Classroom",$F398&lt;&gt;"PT"),"TYPE NOT CREDITED",IF($C398="","NO MAKEUP DATE",IF(NOT(ISNUMBER($C398)),"MAKEUP DATE NOT A DATE",IF(OR(AND($G398&lt;&gt;"",NOT(ISNUMBER($G398))),AND($H398&lt;&gt;"",NOT(ISNUMBER($H398)))),"CREDIT NOT A NUMBER",IF(OR(N($G398)&lt;0,N($H398)&lt;0),"NEGATIVE CREDIT",IF(AND($F398="Classroom",N($G398)&lt;=0),"NO MINUTES CREDITED",IF(AND($F398="PT",N($H398)&lt;=0),"NO SESSIONS CREDITED",IF($I398="","NO LINKED EVENT",IF(COUNTIF(nrAT_ID,$I398)=0,"NO SUCH EVENT",IF(INDEX(nrAT_PID,MATCH($I398,nrAT_ID,0))&lt;&gt;$E398,"WRONG CADET",IF(INDEX(nrAT_IsPT,MATCH($I398,nrAT_ID,0))&lt;&gt;IF($F398="PT","Yes","No"),"UNIT MISMATCH","OK"))))))))))))</f>
        <v/>
      </c>
    </row>
    <row r="399">
      <c r="B399" s="17">
        <f>IF($D399="","","M"&amp;TEXT(ROW()-5,"000"))</f>
        <v/>
      </c>
      <c r="C399" s="18" t="n"/>
      <c r="D399" s="16" t="n"/>
      <c r="E399" s="17">
        <f>IF($D399="","",IFERROR(INDEX(rngCadetPIDs,MATCH($D399,rngCadetNames,0)),"?"))</f>
        <v/>
      </c>
      <c r="F399" s="16" t="n"/>
      <c r="G399" s="16" t="n"/>
      <c r="H399" s="16" t="n"/>
      <c r="I399" s="16" t="n"/>
      <c r="J399" s="16" t="n"/>
      <c r="K399" s="16" t="n"/>
      <c r="L399" s="17">
        <f>IF($D399="","",IF(AND($J399="Received",$K399&lt;&gt;"Yes",LEFT($N399,2)="OK"),"Yes","No"))</f>
        <v/>
      </c>
      <c r="M399" s="16" t="n"/>
      <c r="N399" s="17">
        <f>IF($D399="","",IF(AND($F399&lt;&gt;"Classroom",$F399&lt;&gt;"PT"),"TYPE NOT CREDITED",IF($C399="","NO MAKEUP DATE",IF(NOT(ISNUMBER($C399)),"MAKEUP DATE NOT A DATE",IF(OR(AND($G399&lt;&gt;"",NOT(ISNUMBER($G399))),AND($H399&lt;&gt;"",NOT(ISNUMBER($H399)))),"CREDIT NOT A NUMBER",IF(OR(N($G399)&lt;0,N($H399)&lt;0),"NEGATIVE CREDIT",IF(AND($F399="Classroom",N($G399)&lt;=0),"NO MINUTES CREDITED",IF(AND($F399="PT",N($H399)&lt;=0),"NO SESSIONS CREDITED",IF($I399="","NO LINKED EVENT",IF(COUNTIF(nrAT_ID,$I399)=0,"NO SUCH EVENT",IF(INDEX(nrAT_PID,MATCH($I399,nrAT_ID,0))&lt;&gt;$E399,"WRONG CADET",IF(INDEX(nrAT_IsPT,MATCH($I399,nrAT_ID,0))&lt;&gt;IF($F399="PT","Yes","No"),"UNIT MISMATCH","OK"))))))))))))</f>
        <v/>
      </c>
    </row>
    <row r="400">
      <c r="B400" s="17">
        <f>IF($D400="","","M"&amp;TEXT(ROW()-5,"000"))</f>
        <v/>
      </c>
      <c r="C400" s="18" t="n"/>
      <c r="D400" s="16" t="n"/>
      <c r="E400" s="17">
        <f>IF($D400="","",IFERROR(INDEX(rngCadetPIDs,MATCH($D400,rngCadetNames,0)),"?"))</f>
        <v/>
      </c>
      <c r="F400" s="16" t="n"/>
      <c r="G400" s="16" t="n"/>
      <c r="H400" s="16" t="n"/>
      <c r="I400" s="16" t="n"/>
      <c r="J400" s="16" t="n"/>
      <c r="K400" s="16" t="n"/>
      <c r="L400" s="17">
        <f>IF($D400="","",IF(AND($J400="Received",$K400&lt;&gt;"Yes",LEFT($N400,2)="OK"),"Yes","No"))</f>
        <v/>
      </c>
      <c r="M400" s="16" t="n"/>
      <c r="N400" s="17">
        <f>IF($D400="","",IF(AND($F400&lt;&gt;"Classroom",$F400&lt;&gt;"PT"),"TYPE NOT CREDITED",IF($C400="","NO MAKEUP DATE",IF(NOT(ISNUMBER($C400)),"MAKEUP DATE NOT A DATE",IF(OR(AND($G400&lt;&gt;"",NOT(ISNUMBER($G400))),AND($H400&lt;&gt;"",NOT(ISNUMBER($H400)))),"CREDIT NOT A NUMBER",IF(OR(N($G400)&lt;0,N($H400)&lt;0),"NEGATIVE CREDIT",IF(AND($F400="Classroom",N($G400)&lt;=0),"NO MINUTES CREDITED",IF(AND($F400="PT",N($H400)&lt;=0),"NO SESSIONS CREDITED",IF($I400="","NO LINKED EVENT",IF(COUNTIF(nrAT_ID,$I400)=0,"NO SUCH EVENT",IF(INDEX(nrAT_PID,MATCH($I400,nrAT_ID,0))&lt;&gt;$E400,"WRONG CADET",IF(INDEX(nrAT_IsPT,MATCH($I400,nrAT_ID,0))&lt;&gt;IF($F400="PT","Yes","No"),"UNIT MISMATCH","OK"))))))))))))</f>
        <v/>
      </c>
    </row>
    <row r="401">
      <c r="B401" s="17">
        <f>IF($D401="","","M"&amp;TEXT(ROW()-5,"000"))</f>
        <v/>
      </c>
      <c r="C401" s="18" t="n"/>
      <c r="D401" s="16" t="n"/>
      <c r="E401" s="17">
        <f>IF($D401="","",IFERROR(INDEX(rngCadetPIDs,MATCH($D401,rngCadetNames,0)),"?"))</f>
        <v/>
      </c>
      <c r="F401" s="16" t="n"/>
      <c r="G401" s="16" t="n"/>
      <c r="H401" s="16" t="n"/>
      <c r="I401" s="16" t="n"/>
      <c r="J401" s="16" t="n"/>
      <c r="K401" s="16" t="n"/>
      <c r="L401" s="17">
        <f>IF($D401="","",IF(AND($J401="Received",$K401&lt;&gt;"Yes",LEFT($N401,2)="OK"),"Yes","No"))</f>
        <v/>
      </c>
      <c r="M401" s="16" t="n"/>
      <c r="N401" s="17">
        <f>IF($D401="","",IF(AND($F401&lt;&gt;"Classroom",$F401&lt;&gt;"PT"),"TYPE NOT CREDITED",IF($C401="","NO MAKEUP DATE",IF(NOT(ISNUMBER($C401)),"MAKEUP DATE NOT A DATE",IF(OR(AND($G401&lt;&gt;"",NOT(ISNUMBER($G401))),AND($H401&lt;&gt;"",NOT(ISNUMBER($H401)))),"CREDIT NOT A NUMBER",IF(OR(N($G401)&lt;0,N($H401)&lt;0),"NEGATIVE CREDIT",IF(AND($F401="Classroom",N($G401)&lt;=0),"NO MINUTES CREDITED",IF(AND($F401="PT",N($H401)&lt;=0),"NO SESSIONS CREDITED",IF($I401="","NO LINKED EVENT",IF(COUNTIF(nrAT_ID,$I401)=0,"NO SUCH EVENT",IF(INDEX(nrAT_PID,MATCH($I401,nrAT_ID,0))&lt;&gt;$E401,"WRONG CADET",IF(INDEX(nrAT_IsPT,MATCH($I401,nrAT_ID,0))&lt;&gt;IF($F401="PT","Yes","No"),"UNIT MISMATCH","OK"))))))))))))</f>
        <v/>
      </c>
    </row>
    <row r="402">
      <c r="B402" s="17">
        <f>IF($D402="","","M"&amp;TEXT(ROW()-5,"000"))</f>
        <v/>
      </c>
      <c r="C402" s="18" t="n"/>
      <c r="D402" s="16" t="n"/>
      <c r="E402" s="17">
        <f>IF($D402="","",IFERROR(INDEX(rngCadetPIDs,MATCH($D402,rngCadetNames,0)),"?"))</f>
        <v/>
      </c>
      <c r="F402" s="16" t="n"/>
      <c r="G402" s="16" t="n"/>
      <c r="H402" s="16" t="n"/>
      <c r="I402" s="16" t="n"/>
      <c r="J402" s="16" t="n"/>
      <c r="K402" s="16" t="n"/>
      <c r="L402" s="17">
        <f>IF($D402="","",IF(AND($J402="Received",$K402&lt;&gt;"Yes",LEFT($N402,2)="OK"),"Yes","No"))</f>
        <v/>
      </c>
      <c r="M402" s="16" t="n"/>
      <c r="N402" s="17">
        <f>IF($D402="","",IF(AND($F402&lt;&gt;"Classroom",$F402&lt;&gt;"PT"),"TYPE NOT CREDITED",IF($C402="","NO MAKEUP DATE",IF(NOT(ISNUMBER($C402)),"MAKEUP DATE NOT A DATE",IF(OR(AND($G402&lt;&gt;"",NOT(ISNUMBER($G402))),AND($H402&lt;&gt;"",NOT(ISNUMBER($H402)))),"CREDIT NOT A NUMBER",IF(OR(N($G402)&lt;0,N($H402)&lt;0),"NEGATIVE CREDIT",IF(AND($F402="Classroom",N($G402)&lt;=0),"NO MINUTES CREDITED",IF(AND($F402="PT",N($H402)&lt;=0),"NO SESSIONS CREDITED",IF($I402="","NO LINKED EVENT",IF(COUNTIF(nrAT_ID,$I402)=0,"NO SUCH EVENT",IF(INDEX(nrAT_PID,MATCH($I402,nrAT_ID,0))&lt;&gt;$E402,"WRONG CADET",IF(INDEX(nrAT_IsPT,MATCH($I402,nrAT_ID,0))&lt;&gt;IF($F402="PT","Yes","No"),"UNIT MISMATCH","OK"))))))))))))</f>
        <v/>
      </c>
    </row>
    <row r="403">
      <c r="B403" s="17">
        <f>IF($D403="","","M"&amp;TEXT(ROW()-5,"000"))</f>
        <v/>
      </c>
      <c r="C403" s="18" t="n"/>
      <c r="D403" s="16" t="n"/>
      <c r="E403" s="17">
        <f>IF($D403="","",IFERROR(INDEX(rngCadetPIDs,MATCH($D403,rngCadetNames,0)),"?"))</f>
        <v/>
      </c>
      <c r="F403" s="16" t="n"/>
      <c r="G403" s="16" t="n"/>
      <c r="H403" s="16" t="n"/>
      <c r="I403" s="16" t="n"/>
      <c r="J403" s="16" t="n"/>
      <c r="K403" s="16" t="n"/>
      <c r="L403" s="17">
        <f>IF($D403="","",IF(AND($J403="Received",$K403&lt;&gt;"Yes",LEFT($N403,2)="OK"),"Yes","No"))</f>
        <v/>
      </c>
      <c r="M403" s="16" t="n"/>
      <c r="N403" s="17">
        <f>IF($D403="","",IF(AND($F403&lt;&gt;"Classroom",$F403&lt;&gt;"PT"),"TYPE NOT CREDITED",IF($C403="","NO MAKEUP DATE",IF(NOT(ISNUMBER($C403)),"MAKEUP DATE NOT A DATE",IF(OR(AND($G403&lt;&gt;"",NOT(ISNUMBER($G403))),AND($H403&lt;&gt;"",NOT(ISNUMBER($H403)))),"CREDIT NOT A NUMBER",IF(OR(N($G403)&lt;0,N($H403)&lt;0),"NEGATIVE CREDIT",IF(AND($F403="Classroom",N($G403)&lt;=0),"NO MINUTES CREDITED",IF(AND($F403="PT",N($H403)&lt;=0),"NO SESSIONS CREDITED",IF($I403="","NO LINKED EVENT",IF(COUNTIF(nrAT_ID,$I403)=0,"NO SUCH EVENT",IF(INDEX(nrAT_PID,MATCH($I403,nrAT_ID,0))&lt;&gt;$E403,"WRONG CADET",IF(INDEX(nrAT_IsPT,MATCH($I403,nrAT_ID,0))&lt;&gt;IF($F403="PT","Yes","No"),"UNIT MISMATCH","OK"))))))))))))</f>
        <v/>
      </c>
    </row>
    <row r="404">
      <c r="B404" s="17">
        <f>IF($D404="","","M"&amp;TEXT(ROW()-5,"000"))</f>
        <v/>
      </c>
      <c r="C404" s="18" t="n"/>
      <c r="D404" s="16" t="n"/>
      <c r="E404" s="17">
        <f>IF($D404="","",IFERROR(INDEX(rngCadetPIDs,MATCH($D404,rngCadetNames,0)),"?"))</f>
        <v/>
      </c>
      <c r="F404" s="16" t="n"/>
      <c r="G404" s="16" t="n"/>
      <c r="H404" s="16" t="n"/>
      <c r="I404" s="16" t="n"/>
      <c r="J404" s="16" t="n"/>
      <c r="K404" s="16" t="n"/>
      <c r="L404" s="17">
        <f>IF($D404="","",IF(AND($J404="Received",$K404&lt;&gt;"Yes",LEFT($N404,2)="OK"),"Yes","No"))</f>
        <v/>
      </c>
      <c r="M404" s="16" t="n"/>
      <c r="N404" s="17">
        <f>IF($D404="","",IF(AND($F404&lt;&gt;"Classroom",$F404&lt;&gt;"PT"),"TYPE NOT CREDITED",IF($C404="","NO MAKEUP DATE",IF(NOT(ISNUMBER($C404)),"MAKEUP DATE NOT A DATE",IF(OR(AND($G404&lt;&gt;"",NOT(ISNUMBER($G404))),AND($H404&lt;&gt;"",NOT(ISNUMBER($H404)))),"CREDIT NOT A NUMBER",IF(OR(N($G404)&lt;0,N($H404)&lt;0),"NEGATIVE CREDIT",IF(AND($F404="Classroom",N($G404)&lt;=0),"NO MINUTES CREDITED",IF(AND($F404="PT",N($H404)&lt;=0),"NO SESSIONS CREDITED",IF($I404="","NO LINKED EVENT",IF(COUNTIF(nrAT_ID,$I404)=0,"NO SUCH EVENT",IF(INDEX(nrAT_PID,MATCH($I404,nrAT_ID,0))&lt;&gt;$E404,"WRONG CADET",IF(INDEX(nrAT_IsPT,MATCH($I404,nrAT_ID,0))&lt;&gt;IF($F404="PT","Yes","No"),"UNIT MISMATCH","OK"))))))))))))</f>
        <v/>
      </c>
    </row>
    <row r="405">
      <c r="B405" s="17">
        <f>IF($D405="","","M"&amp;TEXT(ROW()-5,"000"))</f>
        <v/>
      </c>
      <c r="C405" s="18" t="n"/>
      <c r="D405" s="16" t="n"/>
      <c r="E405" s="17">
        <f>IF($D405="","",IFERROR(INDEX(rngCadetPIDs,MATCH($D405,rngCadetNames,0)),"?"))</f>
        <v/>
      </c>
      <c r="F405" s="16" t="n"/>
      <c r="G405" s="16" t="n"/>
      <c r="H405" s="16" t="n"/>
      <c r="I405" s="16" t="n"/>
      <c r="J405" s="16" t="n"/>
      <c r="K405" s="16" t="n"/>
      <c r="L405" s="17">
        <f>IF($D405="","",IF(AND($J405="Received",$K405&lt;&gt;"Yes",LEFT($N405,2)="OK"),"Yes","No"))</f>
        <v/>
      </c>
      <c r="M405" s="16" t="n"/>
      <c r="N405" s="17">
        <f>IF($D405="","",IF(AND($F405&lt;&gt;"Classroom",$F405&lt;&gt;"PT"),"TYPE NOT CREDITED",IF($C405="","NO MAKEUP DATE",IF(NOT(ISNUMBER($C405)),"MAKEUP DATE NOT A DATE",IF(OR(AND($G405&lt;&gt;"",NOT(ISNUMBER($G405))),AND($H405&lt;&gt;"",NOT(ISNUMBER($H405)))),"CREDIT NOT A NUMBER",IF(OR(N($G405)&lt;0,N($H405)&lt;0),"NEGATIVE CREDIT",IF(AND($F405="Classroom",N($G405)&lt;=0),"NO MINUTES CREDITED",IF(AND($F405="PT",N($H405)&lt;=0),"NO SESSIONS CREDITED",IF($I405="","NO LINKED EVENT",IF(COUNTIF(nrAT_ID,$I405)=0,"NO SUCH EVENT",IF(INDEX(nrAT_PID,MATCH($I405,nrAT_ID,0))&lt;&gt;$E405,"WRONG CADET",IF(INDEX(nrAT_IsPT,MATCH($I405,nrAT_ID,0))&lt;&gt;IF($F405="PT","Yes","No"),"UNIT MISMATCH","OK"))))))))))))</f>
        <v/>
      </c>
    </row>
    <row r="406">
      <c r="B406" s="17">
        <f>IF($D406="","","M"&amp;TEXT(ROW()-5,"000"))</f>
        <v/>
      </c>
      <c r="C406" s="18" t="n"/>
      <c r="D406" s="16" t="n"/>
      <c r="E406" s="17">
        <f>IF($D406="","",IFERROR(INDEX(rngCadetPIDs,MATCH($D406,rngCadetNames,0)),"?"))</f>
        <v/>
      </c>
      <c r="F406" s="16" t="n"/>
      <c r="G406" s="16" t="n"/>
      <c r="H406" s="16" t="n"/>
      <c r="I406" s="16" t="n"/>
      <c r="J406" s="16" t="n"/>
      <c r="K406" s="16" t="n"/>
      <c r="L406" s="17">
        <f>IF($D406="","",IF(AND($J406="Received",$K406&lt;&gt;"Yes",LEFT($N406,2)="OK"),"Yes","No"))</f>
        <v/>
      </c>
      <c r="M406" s="16" t="n"/>
      <c r="N406" s="17">
        <f>IF($D406="","",IF(AND($F406&lt;&gt;"Classroom",$F406&lt;&gt;"PT"),"TYPE NOT CREDITED",IF($C406="","NO MAKEUP DATE",IF(NOT(ISNUMBER($C406)),"MAKEUP DATE NOT A DATE",IF(OR(AND($G406&lt;&gt;"",NOT(ISNUMBER($G406))),AND($H406&lt;&gt;"",NOT(ISNUMBER($H406)))),"CREDIT NOT A NUMBER",IF(OR(N($G406)&lt;0,N($H406)&lt;0),"NEGATIVE CREDIT",IF(AND($F406="Classroom",N($G406)&lt;=0),"NO MINUTES CREDITED",IF(AND($F406="PT",N($H406)&lt;=0),"NO SESSIONS CREDITED",IF($I406="","NO LINKED EVENT",IF(COUNTIF(nrAT_ID,$I406)=0,"NO SUCH EVENT",IF(INDEX(nrAT_PID,MATCH($I406,nrAT_ID,0))&lt;&gt;$E406,"WRONG CADET",IF(INDEX(nrAT_IsPT,MATCH($I406,nrAT_ID,0))&lt;&gt;IF($F406="PT","Yes","No"),"UNIT MISMATCH","OK"))))))))))))</f>
        <v/>
      </c>
    </row>
    <row r="407">
      <c r="B407" s="17">
        <f>IF($D407="","","M"&amp;TEXT(ROW()-5,"000"))</f>
        <v/>
      </c>
      <c r="C407" s="18" t="n"/>
      <c r="D407" s="16" t="n"/>
      <c r="E407" s="17">
        <f>IF($D407="","",IFERROR(INDEX(rngCadetPIDs,MATCH($D407,rngCadetNames,0)),"?"))</f>
        <v/>
      </c>
      <c r="F407" s="16" t="n"/>
      <c r="G407" s="16" t="n"/>
      <c r="H407" s="16" t="n"/>
      <c r="I407" s="16" t="n"/>
      <c r="J407" s="16" t="n"/>
      <c r="K407" s="16" t="n"/>
      <c r="L407" s="17">
        <f>IF($D407="","",IF(AND($J407="Received",$K407&lt;&gt;"Yes",LEFT($N407,2)="OK"),"Yes","No"))</f>
        <v/>
      </c>
      <c r="M407" s="16" t="n"/>
      <c r="N407" s="17">
        <f>IF($D407="","",IF(AND($F407&lt;&gt;"Classroom",$F407&lt;&gt;"PT"),"TYPE NOT CREDITED",IF($C407="","NO MAKEUP DATE",IF(NOT(ISNUMBER($C407)),"MAKEUP DATE NOT A DATE",IF(OR(AND($G407&lt;&gt;"",NOT(ISNUMBER($G407))),AND($H407&lt;&gt;"",NOT(ISNUMBER($H407)))),"CREDIT NOT A NUMBER",IF(OR(N($G407)&lt;0,N($H407)&lt;0),"NEGATIVE CREDIT",IF(AND($F407="Classroom",N($G407)&lt;=0),"NO MINUTES CREDITED",IF(AND($F407="PT",N($H407)&lt;=0),"NO SESSIONS CREDITED",IF($I407="","NO LINKED EVENT",IF(COUNTIF(nrAT_ID,$I407)=0,"NO SUCH EVENT",IF(INDEX(nrAT_PID,MATCH($I407,nrAT_ID,0))&lt;&gt;$E407,"WRONG CADET",IF(INDEX(nrAT_IsPT,MATCH($I407,nrAT_ID,0))&lt;&gt;IF($F407="PT","Yes","No"),"UNIT MISMATCH","OK"))))))))))))</f>
        <v/>
      </c>
    </row>
    <row r="408">
      <c r="B408" s="17">
        <f>IF($D408="","","M"&amp;TEXT(ROW()-5,"000"))</f>
        <v/>
      </c>
      <c r="C408" s="18" t="n"/>
      <c r="D408" s="16" t="n"/>
      <c r="E408" s="17">
        <f>IF($D408="","",IFERROR(INDEX(rngCadetPIDs,MATCH($D408,rngCadetNames,0)),"?"))</f>
        <v/>
      </c>
      <c r="F408" s="16" t="n"/>
      <c r="G408" s="16" t="n"/>
      <c r="H408" s="16" t="n"/>
      <c r="I408" s="16" t="n"/>
      <c r="J408" s="16" t="n"/>
      <c r="K408" s="16" t="n"/>
      <c r="L408" s="17">
        <f>IF($D408="","",IF(AND($J408="Received",$K408&lt;&gt;"Yes",LEFT($N408,2)="OK"),"Yes","No"))</f>
        <v/>
      </c>
      <c r="M408" s="16" t="n"/>
      <c r="N408" s="17">
        <f>IF($D408="","",IF(AND($F408&lt;&gt;"Classroom",$F408&lt;&gt;"PT"),"TYPE NOT CREDITED",IF($C408="","NO MAKEUP DATE",IF(NOT(ISNUMBER($C408)),"MAKEUP DATE NOT A DATE",IF(OR(AND($G408&lt;&gt;"",NOT(ISNUMBER($G408))),AND($H408&lt;&gt;"",NOT(ISNUMBER($H408)))),"CREDIT NOT A NUMBER",IF(OR(N($G408)&lt;0,N($H408)&lt;0),"NEGATIVE CREDIT",IF(AND($F408="Classroom",N($G408)&lt;=0),"NO MINUTES CREDITED",IF(AND($F408="PT",N($H408)&lt;=0),"NO SESSIONS CREDITED",IF($I408="","NO LINKED EVENT",IF(COUNTIF(nrAT_ID,$I408)=0,"NO SUCH EVENT",IF(INDEX(nrAT_PID,MATCH($I408,nrAT_ID,0))&lt;&gt;$E408,"WRONG CADET",IF(INDEX(nrAT_IsPT,MATCH($I408,nrAT_ID,0))&lt;&gt;IF($F408="PT","Yes","No"),"UNIT MISMATCH","OK"))))))))))))</f>
        <v/>
      </c>
    </row>
    <row r="409">
      <c r="B409" s="17">
        <f>IF($D409="","","M"&amp;TEXT(ROW()-5,"000"))</f>
        <v/>
      </c>
      <c r="C409" s="18" t="n"/>
      <c r="D409" s="16" t="n"/>
      <c r="E409" s="17">
        <f>IF($D409="","",IFERROR(INDEX(rngCadetPIDs,MATCH($D409,rngCadetNames,0)),"?"))</f>
        <v/>
      </c>
      <c r="F409" s="16" t="n"/>
      <c r="G409" s="16" t="n"/>
      <c r="H409" s="16" t="n"/>
      <c r="I409" s="16" t="n"/>
      <c r="J409" s="16" t="n"/>
      <c r="K409" s="16" t="n"/>
      <c r="L409" s="17">
        <f>IF($D409="","",IF(AND($J409="Received",$K409&lt;&gt;"Yes",LEFT($N409,2)="OK"),"Yes","No"))</f>
        <v/>
      </c>
      <c r="M409" s="16" t="n"/>
      <c r="N409" s="17">
        <f>IF($D409="","",IF(AND($F409&lt;&gt;"Classroom",$F409&lt;&gt;"PT"),"TYPE NOT CREDITED",IF($C409="","NO MAKEUP DATE",IF(NOT(ISNUMBER($C409)),"MAKEUP DATE NOT A DATE",IF(OR(AND($G409&lt;&gt;"",NOT(ISNUMBER($G409))),AND($H409&lt;&gt;"",NOT(ISNUMBER($H409)))),"CREDIT NOT A NUMBER",IF(OR(N($G409)&lt;0,N($H409)&lt;0),"NEGATIVE CREDIT",IF(AND($F409="Classroom",N($G409)&lt;=0),"NO MINUTES CREDITED",IF(AND($F409="PT",N($H409)&lt;=0),"NO SESSIONS CREDITED",IF($I409="","NO LINKED EVENT",IF(COUNTIF(nrAT_ID,$I409)=0,"NO SUCH EVENT",IF(INDEX(nrAT_PID,MATCH($I409,nrAT_ID,0))&lt;&gt;$E409,"WRONG CADET",IF(INDEX(nrAT_IsPT,MATCH($I409,nrAT_ID,0))&lt;&gt;IF($F409="PT","Yes","No"),"UNIT MISMATCH","OK"))))))))))))</f>
        <v/>
      </c>
    </row>
    <row r="410">
      <c r="B410" s="17">
        <f>IF($D410="","","M"&amp;TEXT(ROW()-5,"000"))</f>
        <v/>
      </c>
      <c r="C410" s="18" t="n"/>
      <c r="D410" s="16" t="n"/>
      <c r="E410" s="17">
        <f>IF($D410="","",IFERROR(INDEX(rngCadetPIDs,MATCH($D410,rngCadetNames,0)),"?"))</f>
        <v/>
      </c>
      <c r="F410" s="16" t="n"/>
      <c r="G410" s="16" t="n"/>
      <c r="H410" s="16" t="n"/>
      <c r="I410" s="16" t="n"/>
      <c r="J410" s="16" t="n"/>
      <c r="K410" s="16" t="n"/>
      <c r="L410" s="17">
        <f>IF($D410="","",IF(AND($J410="Received",$K410&lt;&gt;"Yes",LEFT($N410,2)="OK"),"Yes","No"))</f>
        <v/>
      </c>
      <c r="M410" s="16" t="n"/>
      <c r="N410" s="17">
        <f>IF($D410="","",IF(AND($F410&lt;&gt;"Classroom",$F410&lt;&gt;"PT"),"TYPE NOT CREDITED",IF($C410="","NO MAKEUP DATE",IF(NOT(ISNUMBER($C410)),"MAKEUP DATE NOT A DATE",IF(OR(AND($G410&lt;&gt;"",NOT(ISNUMBER($G410))),AND($H410&lt;&gt;"",NOT(ISNUMBER($H410)))),"CREDIT NOT A NUMBER",IF(OR(N($G410)&lt;0,N($H410)&lt;0),"NEGATIVE CREDIT",IF(AND($F410="Classroom",N($G410)&lt;=0),"NO MINUTES CREDITED",IF(AND($F410="PT",N($H410)&lt;=0),"NO SESSIONS CREDITED",IF($I410="","NO LINKED EVENT",IF(COUNTIF(nrAT_ID,$I410)=0,"NO SUCH EVENT",IF(INDEX(nrAT_PID,MATCH($I410,nrAT_ID,0))&lt;&gt;$E410,"WRONG CADET",IF(INDEX(nrAT_IsPT,MATCH($I410,nrAT_ID,0))&lt;&gt;IF($F410="PT","Yes","No"),"UNIT MISMATCH","OK"))))))))))))</f>
        <v/>
      </c>
    </row>
    <row r="411">
      <c r="B411" s="17">
        <f>IF($D411="","","M"&amp;TEXT(ROW()-5,"000"))</f>
        <v/>
      </c>
      <c r="C411" s="18" t="n"/>
      <c r="D411" s="16" t="n"/>
      <c r="E411" s="17">
        <f>IF($D411="","",IFERROR(INDEX(rngCadetPIDs,MATCH($D411,rngCadetNames,0)),"?"))</f>
        <v/>
      </c>
      <c r="F411" s="16" t="n"/>
      <c r="G411" s="16" t="n"/>
      <c r="H411" s="16" t="n"/>
      <c r="I411" s="16" t="n"/>
      <c r="J411" s="16" t="n"/>
      <c r="K411" s="16" t="n"/>
      <c r="L411" s="17">
        <f>IF($D411="","",IF(AND($J411="Received",$K411&lt;&gt;"Yes",LEFT($N411,2)="OK"),"Yes","No"))</f>
        <v/>
      </c>
      <c r="M411" s="16" t="n"/>
      <c r="N411" s="17">
        <f>IF($D411="","",IF(AND($F411&lt;&gt;"Classroom",$F411&lt;&gt;"PT"),"TYPE NOT CREDITED",IF($C411="","NO MAKEUP DATE",IF(NOT(ISNUMBER($C411)),"MAKEUP DATE NOT A DATE",IF(OR(AND($G411&lt;&gt;"",NOT(ISNUMBER($G411))),AND($H411&lt;&gt;"",NOT(ISNUMBER($H411)))),"CREDIT NOT A NUMBER",IF(OR(N($G411)&lt;0,N($H411)&lt;0),"NEGATIVE CREDIT",IF(AND($F411="Classroom",N($G411)&lt;=0),"NO MINUTES CREDITED",IF(AND($F411="PT",N($H411)&lt;=0),"NO SESSIONS CREDITED",IF($I411="","NO LINKED EVENT",IF(COUNTIF(nrAT_ID,$I411)=0,"NO SUCH EVENT",IF(INDEX(nrAT_PID,MATCH($I411,nrAT_ID,0))&lt;&gt;$E411,"WRONG CADET",IF(INDEX(nrAT_IsPT,MATCH($I411,nrAT_ID,0))&lt;&gt;IF($F411="PT","Yes","No"),"UNIT MISMATCH","OK"))))))))))))</f>
        <v/>
      </c>
    </row>
    <row r="412">
      <c r="B412" s="17">
        <f>IF($D412="","","M"&amp;TEXT(ROW()-5,"000"))</f>
        <v/>
      </c>
      <c r="C412" s="18" t="n"/>
      <c r="D412" s="16" t="n"/>
      <c r="E412" s="17">
        <f>IF($D412="","",IFERROR(INDEX(rngCadetPIDs,MATCH($D412,rngCadetNames,0)),"?"))</f>
        <v/>
      </c>
      <c r="F412" s="16" t="n"/>
      <c r="G412" s="16" t="n"/>
      <c r="H412" s="16" t="n"/>
      <c r="I412" s="16" t="n"/>
      <c r="J412" s="16" t="n"/>
      <c r="K412" s="16" t="n"/>
      <c r="L412" s="17">
        <f>IF($D412="","",IF(AND($J412="Received",$K412&lt;&gt;"Yes",LEFT($N412,2)="OK"),"Yes","No"))</f>
        <v/>
      </c>
      <c r="M412" s="16" t="n"/>
      <c r="N412" s="17">
        <f>IF($D412="","",IF(AND($F412&lt;&gt;"Classroom",$F412&lt;&gt;"PT"),"TYPE NOT CREDITED",IF($C412="","NO MAKEUP DATE",IF(NOT(ISNUMBER($C412)),"MAKEUP DATE NOT A DATE",IF(OR(AND($G412&lt;&gt;"",NOT(ISNUMBER($G412))),AND($H412&lt;&gt;"",NOT(ISNUMBER($H412)))),"CREDIT NOT A NUMBER",IF(OR(N($G412)&lt;0,N($H412)&lt;0),"NEGATIVE CREDIT",IF(AND($F412="Classroom",N($G412)&lt;=0),"NO MINUTES CREDITED",IF(AND($F412="PT",N($H412)&lt;=0),"NO SESSIONS CREDITED",IF($I412="","NO LINKED EVENT",IF(COUNTIF(nrAT_ID,$I412)=0,"NO SUCH EVENT",IF(INDEX(nrAT_PID,MATCH($I412,nrAT_ID,0))&lt;&gt;$E412,"WRONG CADET",IF(INDEX(nrAT_IsPT,MATCH($I412,nrAT_ID,0))&lt;&gt;IF($F412="PT","Yes","No"),"UNIT MISMATCH","OK"))))))))))))</f>
        <v/>
      </c>
    </row>
    <row r="413">
      <c r="B413" s="17">
        <f>IF($D413="","","M"&amp;TEXT(ROW()-5,"000"))</f>
        <v/>
      </c>
      <c r="C413" s="18" t="n"/>
      <c r="D413" s="16" t="n"/>
      <c r="E413" s="17">
        <f>IF($D413="","",IFERROR(INDEX(rngCadetPIDs,MATCH($D413,rngCadetNames,0)),"?"))</f>
        <v/>
      </c>
      <c r="F413" s="16" t="n"/>
      <c r="G413" s="16" t="n"/>
      <c r="H413" s="16" t="n"/>
      <c r="I413" s="16" t="n"/>
      <c r="J413" s="16" t="n"/>
      <c r="K413" s="16" t="n"/>
      <c r="L413" s="17">
        <f>IF($D413="","",IF(AND($J413="Received",$K413&lt;&gt;"Yes",LEFT($N413,2)="OK"),"Yes","No"))</f>
        <v/>
      </c>
      <c r="M413" s="16" t="n"/>
      <c r="N413" s="17">
        <f>IF($D413="","",IF(AND($F413&lt;&gt;"Classroom",$F413&lt;&gt;"PT"),"TYPE NOT CREDITED",IF($C413="","NO MAKEUP DATE",IF(NOT(ISNUMBER($C413)),"MAKEUP DATE NOT A DATE",IF(OR(AND($G413&lt;&gt;"",NOT(ISNUMBER($G413))),AND($H413&lt;&gt;"",NOT(ISNUMBER($H413)))),"CREDIT NOT A NUMBER",IF(OR(N($G413)&lt;0,N($H413)&lt;0),"NEGATIVE CREDIT",IF(AND($F413="Classroom",N($G413)&lt;=0),"NO MINUTES CREDITED",IF(AND($F413="PT",N($H413)&lt;=0),"NO SESSIONS CREDITED",IF($I413="","NO LINKED EVENT",IF(COUNTIF(nrAT_ID,$I413)=0,"NO SUCH EVENT",IF(INDEX(nrAT_PID,MATCH($I413,nrAT_ID,0))&lt;&gt;$E413,"WRONG CADET",IF(INDEX(nrAT_IsPT,MATCH($I413,nrAT_ID,0))&lt;&gt;IF($F413="PT","Yes","No"),"UNIT MISMATCH","OK"))))))))))))</f>
        <v/>
      </c>
    </row>
    <row r="414">
      <c r="B414" s="17">
        <f>IF($D414="","","M"&amp;TEXT(ROW()-5,"000"))</f>
        <v/>
      </c>
      <c r="C414" s="18" t="n"/>
      <c r="D414" s="16" t="n"/>
      <c r="E414" s="17">
        <f>IF($D414="","",IFERROR(INDEX(rngCadetPIDs,MATCH($D414,rngCadetNames,0)),"?"))</f>
        <v/>
      </c>
      <c r="F414" s="16" t="n"/>
      <c r="G414" s="16" t="n"/>
      <c r="H414" s="16" t="n"/>
      <c r="I414" s="16" t="n"/>
      <c r="J414" s="16" t="n"/>
      <c r="K414" s="16" t="n"/>
      <c r="L414" s="17">
        <f>IF($D414="","",IF(AND($J414="Received",$K414&lt;&gt;"Yes",LEFT($N414,2)="OK"),"Yes","No"))</f>
        <v/>
      </c>
      <c r="M414" s="16" t="n"/>
      <c r="N414" s="17">
        <f>IF($D414="","",IF(AND($F414&lt;&gt;"Classroom",$F414&lt;&gt;"PT"),"TYPE NOT CREDITED",IF($C414="","NO MAKEUP DATE",IF(NOT(ISNUMBER($C414)),"MAKEUP DATE NOT A DATE",IF(OR(AND($G414&lt;&gt;"",NOT(ISNUMBER($G414))),AND($H414&lt;&gt;"",NOT(ISNUMBER($H414)))),"CREDIT NOT A NUMBER",IF(OR(N($G414)&lt;0,N($H414)&lt;0),"NEGATIVE CREDIT",IF(AND($F414="Classroom",N($G414)&lt;=0),"NO MINUTES CREDITED",IF(AND($F414="PT",N($H414)&lt;=0),"NO SESSIONS CREDITED",IF($I414="","NO LINKED EVENT",IF(COUNTIF(nrAT_ID,$I414)=0,"NO SUCH EVENT",IF(INDEX(nrAT_PID,MATCH($I414,nrAT_ID,0))&lt;&gt;$E414,"WRONG CADET",IF(INDEX(nrAT_IsPT,MATCH($I414,nrAT_ID,0))&lt;&gt;IF($F414="PT","Yes","No"),"UNIT MISMATCH","OK"))))))))))))</f>
        <v/>
      </c>
    </row>
    <row r="415">
      <c r="B415" s="17">
        <f>IF($D415="","","M"&amp;TEXT(ROW()-5,"000"))</f>
        <v/>
      </c>
      <c r="C415" s="18" t="n"/>
      <c r="D415" s="16" t="n"/>
      <c r="E415" s="17">
        <f>IF($D415="","",IFERROR(INDEX(rngCadetPIDs,MATCH($D415,rngCadetNames,0)),"?"))</f>
        <v/>
      </c>
      <c r="F415" s="16" t="n"/>
      <c r="G415" s="16" t="n"/>
      <c r="H415" s="16" t="n"/>
      <c r="I415" s="16" t="n"/>
      <c r="J415" s="16" t="n"/>
      <c r="K415" s="16" t="n"/>
      <c r="L415" s="17">
        <f>IF($D415="","",IF(AND($J415="Received",$K415&lt;&gt;"Yes",LEFT($N415,2)="OK"),"Yes","No"))</f>
        <v/>
      </c>
      <c r="M415" s="16" t="n"/>
      <c r="N415" s="17">
        <f>IF($D415="","",IF(AND($F415&lt;&gt;"Classroom",$F415&lt;&gt;"PT"),"TYPE NOT CREDITED",IF($C415="","NO MAKEUP DATE",IF(NOT(ISNUMBER($C415)),"MAKEUP DATE NOT A DATE",IF(OR(AND($G415&lt;&gt;"",NOT(ISNUMBER($G415))),AND($H415&lt;&gt;"",NOT(ISNUMBER($H415)))),"CREDIT NOT A NUMBER",IF(OR(N($G415)&lt;0,N($H415)&lt;0),"NEGATIVE CREDIT",IF(AND($F415="Classroom",N($G415)&lt;=0),"NO MINUTES CREDITED",IF(AND($F415="PT",N($H415)&lt;=0),"NO SESSIONS CREDITED",IF($I415="","NO LINKED EVENT",IF(COUNTIF(nrAT_ID,$I415)=0,"NO SUCH EVENT",IF(INDEX(nrAT_PID,MATCH($I415,nrAT_ID,0))&lt;&gt;$E415,"WRONG CADET",IF(INDEX(nrAT_IsPT,MATCH($I415,nrAT_ID,0))&lt;&gt;IF($F415="PT","Yes","No"),"UNIT MISMATCH","OK"))))))))))))</f>
        <v/>
      </c>
    </row>
    <row r="416">
      <c r="B416" s="17">
        <f>IF($D416="","","M"&amp;TEXT(ROW()-5,"000"))</f>
        <v/>
      </c>
      <c r="C416" s="18" t="n"/>
      <c r="D416" s="16" t="n"/>
      <c r="E416" s="17">
        <f>IF($D416="","",IFERROR(INDEX(rngCadetPIDs,MATCH($D416,rngCadetNames,0)),"?"))</f>
        <v/>
      </c>
      <c r="F416" s="16" t="n"/>
      <c r="G416" s="16" t="n"/>
      <c r="H416" s="16" t="n"/>
      <c r="I416" s="16" t="n"/>
      <c r="J416" s="16" t="n"/>
      <c r="K416" s="16" t="n"/>
      <c r="L416" s="17">
        <f>IF($D416="","",IF(AND($J416="Received",$K416&lt;&gt;"Yes",LEFT($N416,2)="OK"),"Yes","No"))</f>
        <v/>
      </c>
      <c r="M416" s="16" t="n"/>
      <c r="N416" s="17">
        <f>IF($D416="","",IF(AND($F416&lt;&gt;"Classroom",$F416&lt;&gt;"PT"),"TYPE NOT CREDITED",IF($C416="","NO MAKEUP DATE",IF(NOT(ISNUMBER($C416)),"MAKEUP DATE NOT A DATE",IF(OR(AND($G416&lt;&gt;"",NOT(ISNUMBER($G416))),AND($H416&lt;&gt;"",NOT(ISNUMBER($H416)))),"CREDIT NOT A NUMBER",IF(OR(N($G416)&lt;0,N($H416)&lt;0),"NEGATIVE CREDIT",IF(AND($F416="Classroom",N($G416)&lt;=0),"NO MINUTES CREDITED",IF(AND($F416="PT",N($H416)&lt;=0),"NO SESSIONS CREDITED",IF($I416="","NO LINKED EVENT",IF(COUNTIF(nrAT_ID,$I416)=0,"NO SUCH EVENT",IF(INDEX(nrAT_PID,MATCH($I416,nrAT_ID,0))&lt;&gt;$E416,"WRONG CADET",IF(INDEX(nrAT_IsPT,MATCH($I416,nrAT_ID,0))&lt;&gt;IF($F416="PT","Yes","No"),"UNIT MISMATCH","OK"))))))))))))</f>
        <v/>
      </c>
    </row>
    <row r="417">
      <c r="B417" s="17">
        <f>IF($D417="","","M"&amp;TEXT(ROW()-5,"000"))</f>
        <v/>
      </c>
      <c r="C417" s="18" t="n"/>
      <c r="D417" s="16" t="n"/>
      <c r="E417" s="17">
        <f>IF($D417="","",IFERROR(INDEX(rngCadetPIDs,MATCH($D417,rngCadetNames,0)),"?"))</f>
        <v/>
      </c>
      <c r="F417" s="16" t="n"/>
      <c r="G417" s="16" t="n"/>
      <c r="H417" s="16" t="n"/>
      <c r="I417" s="16" t="n"/>
      <c r="J417" s="16" t="n"/>
      <c r="K417" s="16" t="n"/>
      <c r="L417" s="17">
        <f>IF($D417="","",IF(AND($J417="Received",$K417&lt;&gt;"Yes",LEFT($N417,2)="OK"),"Yes","No"))</f>
        <v/>
      </c>
      <c r="M417" s="16" t="n"/>
      <c r="N417" s="17">
        <f>IF($D417="","",IF(AND($F417&lt;&gt;"Classroom",$F417&lt;&gt;"PT"),"TYPE NOT CREDITED",IF($C417="","NO MAKEUP DATE",IF(NOT(ISNUMBER($C417)),"MAKEUP DATE NOT A DATE",IF(OR(AND($G417&lt;&gt;"",NOT(ISNUMBER($G417))),AND($H417&lt;&gt;"",NOT(ISNUMBER($H417)))),"CREDIT NOT A NUMBER",IF(OR(N($G417)&lt;0,N($H417)&lt;0),"NEGATIVE CREDIT",IF(AND($F417="Classroom",N($G417)&lt;=0),"NO MINUTES CREDITED",IF(AND($F417="PT",N($H417)&lt;=0),"NO SESSIONS CREDITED",IF($I417="","NO LINKED EVENT",IF(COUNTIF(nrAT_ID,$I417)=0,"NO SUCH EVENT",IF(INDEX(nrAT_PID,MATCH($I417,nrAT_ID,0))&lt;&gt;$E417,"WRONG CADET",IF(INDEX(nrAT_IsPT,MATCH($I417,nrAT_ID,0))&lt;&gt;IF($F417="PT","Yes","No"),"UNIT MISMATCH","OK"))))))))))))</f>
        <v/>
      </c>
    </row>
    <row r="418">
      <c r="B418" s="17">
        <f>IF($D418="","","M"&amp;TEXT(ROW()-5,"000"))</f>
        <v/>
      </c>
      <c r="C418" s="18" t="n"/>
      <c r="D418" s="16" t="n"/>
      <c r="E418" s="17">
        <f>IF($D418="","",IFERROR(INDEX(rngCadetPIDs,MATCH($D418,rngCadetNames,0)),"?"))</f>
        <v/>
      </c>
      <c r="F418" s="16" t="n"/>
      <c r="G418" s="16" t="n"/>
      <c r="H418" s="16" t="n"/>
      <c r="I418" s="16" t="n"/>
      <c r="J418" s="16" t="n"/>
      <c r="K418" s="16" t="n"/>
      <c r="L418" s="17">
        <f>IF($D418="","",IF(AND($J418="Received",$K418&lt;&gt;"Yes",LEFT($N418,2)="OK"),"Yes","No"))</f>
        <v/>
      </c>
      <c r="M418" s="16" t="n"/>
      <c r="N418" s="17">
        <f>IF($D418="","",IF(AND($F418&lt;&gt;"Classroom",$F418&lt;&gt;"PT"),"TYPE NOT CREDITED",IF($C418="","NO MAKEUP DATE",IF(NOT(ISNUMBER($C418)),"MAKEUP DATE NOT A DATE",IF(OR(AND($G418&lt;&gt;"",NOT(ISNUMBER($G418))),AND($H418&lt;&gt;"",NOT(ISNUMBER($H418)))),"CREDIT NOT A NUMBER",IF(OR(N($G418)&lt;0,N($H418)&lt;0),"NEGATIVE CREDIT",IF(AND($F418="Classroom",N($G418)&lt;=0),"NO MINUTES CREDITED",IF(AND($F418="PT",N($H418)&lt;=0),"NO SESSIONS CREDITED",IF($I418="","NO LINKED EVENT",IF(COUNTIF(nrAT_ID,$I418)=0,"NO SUCH EVENT",IF(INDEX(nrAT_PID,MATCH($I418,nrAT_ID,0))&lt;&gt;$E418,"WRONG CADET",IF(INDEX(nrAT_IsPT,MATCH($I418,nrAT_ID,0))&lt;&gt;IF($F418="PT","Yes","No"),"UNIT MISMATCH","OK"))))))))))))</f>
        <v/>
      </c>
    </row>
    <row r="419">
      <c r="B419" s="17">
        <f>IF($D419="","","M"&amp;TEXT(ROW()-5,"000"))</f>
        <v/>
      </c>
      <c r="C419" s="18" t="n"/>
      <c r="D419" s="16" t="n"/>
      <c r="E419" s="17">
        <f>IF($D419="","",IFERROR(INDEX(rngCadetPIDs,MATCH($D419,rngCadetNames,0)),"?"))</f>
        <v/>
      </c>
      <c r="F419" s="16" t="n"/>
      <c r="G419" s="16" t="n"/>
      <c r="H419" s="16" t="n"/>
      <c r="I419" s="16" t="n"/>
      <c r="J419" s="16" t="n"/>
      <c r="K419" s="16" t="n"/>
      <c r="L419" s="17">
        <f>IF($D419="","",IF(AND($J419="Received",$K419&lt;&gt;"Yes",LEFT($N419,2)="OK"),"Yes","No"))</f>
        <v/>
      </c>
      <c r="M419" s="16" t="n"/>
      <c r="N419" s="17">
        <f>IF($D419="","",IF(AND($F419&lt;&gt;"Classroom",$F419&lt;&gt;"PT"),"TYPE NOT CREDITED",IF($C419="","NO MAKEUP DATE",IF(NOT(ISNUMBER($C419)),"MAKEUP DATE NOT A DATE",IF(OR(AND($G419&lt;&gt;"",NOT(ISNUMBER($G419))),AND($H419&lt;&gt;"",NOT(ISNUMBER($H419)))),"CREDIT NOT A NUMBER",IF(OR(N($G419)&lt;0,N($H419)&lt;0),"NEGATIVE CREDIT",IF(AND($F419="Classroom",N($G419)&lt;=0),"NO MINUTES CREDITED",IF(AND($F419="PT",N($H419)&lt;=0),"NO SESSIONS CREDITED",IF($I419="","NO LINKED EVENT",IF(COUNTIF(nrAT_ID,$I419)=0,"NO SUCH EVENT",IF(INDEX(nrAT_PID,MATCH($I419,nrAT_ID,0))&lt;&gt;$E419,"WRONG CADET",IF(INDEX(nrAT_IsPT,MATCH($I419,nrAT_ID,0))&lt;&gt;IF($F419="PT","Yes","No"),"UNIT MISMATCH","OK"))))))))))))</f>
        <v/>
      </c>
    </row>
    <row r="420">
      <c r="B420" s="17">
        <f>IF($D420="","","M"&amp;TEXT(ROW()-5,"000"))</f>
        <v/>
      </c>
      <c r="C420" s="18" t="n"/>
      <c r="D420" s="16" t="n"/>
      <c r="E420" s="17">
        <f>IF($D420="","",IFERROR(INDEX(rngCadetPIDs,MATCH($D420,rngCadetNames,0)),"?"))</f>
        <v/>
      </c>
      <c r="F420" s="16" t="n"/>
      <c r="G420" s="16" t="n"/>
      <c r="H420" s="16" t="n"/>
      <c r="I420" s="16" t="n"/>
      <c r="J420" s="16" t="n"/>
      <c r="K420" s="16" t="n"/>
      <c r="L420" s="17">
        <f>IF($D420="","",IF(AND($J420="Received",$K420&lt;&gt;"Yes",LEFT($N420,2)="OK"),"Yes","No"))</f>
        <v/>
      </c>
      <c r="M420" s="16" t="n"/>
      <c r="N420" s="17">
        <f>IF($D420="","",IF(AND($F420&lt;&gt;"Classroom",$F420&lt;&gt;"PT"),"TYPE NOT CREDITED",IF($C420="","NO MAKEUP DATE",IF(NOT(ISNUMBER($C420)),"MAKEUP DATE NOT A DATE",IF(OR(AND($G420&lt;&gt;"",NOT(ISNUMBER($G420))),AND($H420&lt;&gt;"",NOT(ISNUMBER($H420)))),"CREDIT NOT A NUMBER",IF(OR(N($G420)&lt;0,N($H420)&lt;0),"NEGATIVE CREDIT",IF(AND($F420="Classroom",N($G420)&lt;=0),"NO MINUTES CREDITED",IF(AND($F420="PT",N($H420)&lt;=0),"NO SESSIONS CREDITED",IF($I420="","NO LINKED EVENT",IF(COUNTIF(nrAT_ID,$I420)=0,"NO SUCH EVENT",IF(INDEX(nrAT_PID,MATCH($I420,nrAT_ID,0))&lt;&gt;$E420,"WRONG CADET",IF(INDEX(nrAT_IsPT,MATCH($I420,nrAT_ID,0))&lt;&gt;IF($F420="PT","Yes","No"),"UNIT MISMATCH","OK"))))))))))))</f>
        <v/>
      </c>
    </row>
    <row r="421">
      <c r="B421" s="17">
        <f>IF($D421="","","M"&amp;TEXT(ROW()-5,"000"))</f>
        <v/>
      </c>
      <c r="C421" s="18" t="n"/>
      <c r="D421" s="16" t="n"/>
      <c r="E421" s="17">
        <f>IF($D421="","",IFERROR(INDEX(rngCadetPIDs,MATCH($D421,rngCadetNames,0)),"?"))</f>
        <v/>
      </c>
      <c r="F421" s="16" t="n"/>
      <c r="G421" s="16" t="n"/>
      <c r="H421" s="16" t="n"/>
      <c r="I421" s="16" t="n"/>
      <c r="J421" s="16" t="n"/>
      <c r="K421" s="16" t="n"/>
      <c r="L421" s="17">
        <f>IF($D421="","",IF(AND($J421="Received",$K421&lt;&gt;"Yes",LEFT($N421,2)="OK"),"Yes","No"))</f>
        <v/>
      </c>
      <c r="M421" s="16" t="n"/>
      <c r="N421" s="17">
        <f>IF($D421="","",IF(AND($F421&lt;&gt;"Classroom",$F421&lt;&gt;"PT"),"TYPE NOT CREDITED",IF($C421="","NO MAKEUP DATE",IF(NOT(ISNUMBER($C421)),"MAKEUP DATE NOT A DATE",IF(OR(AND($G421&lt;&gt;"",NOT(ISNUMBER($G421))),AND($H421&lt;&gt;"",NOT(ISNUMBER($H421)))),"CREDIT NOT A NUMBER",IF(OR(N($G421)&lt;0,N($H421)&lt;0),"NEGATIVE CREDIT",IF(AND($F421="Classroom",N($G421)&lt;=0),"NO MINUTES CREDITED",IF(AND($F421="PT",N($H421)&lt;=0),"NO SESSIONS CREDITED",IF($I421="","NO LINKED EVENT",IF(COUNTIF(nrAT_ID,$I421)=0,"NO SUCH EVENT",IF(INDEX(nrAT_PID,MATCH($I421,nrAT_ID,0))&lt;&gt;$E421,"WRONG CADET",IF(INDEX(nrAT_IsPT,MATCH($I421,nrAT_ID,0))&lt;&gt;IF($F421="PT","Yes","No"),"UNIT MISMATCH","OK"))))))))))))</f>
        <v/>
      </c>
    </row>
    <row r="422">
      <c r="B422" s="17">
        <f>IF($D422="","","M"&amp;TEXT(ROW()-5,"000"))</f>
        <v/>
      </c>
      <c r="C422" s="18" t="n"/>
      <c r="D422" s="16" t="n"/>
      <c r="E422" s="17">
        <f>IF($D422="","",IFERROR(INDEX(rngCadetPIDs,MATCH($D422,rngCadetNames,0)),"?"))</f>
        <v/>
      </c>
      <c r="F422" s="16" t="n"/>
      <c r="G422" s="16" t="n"/>
      <c r="H422" s="16" t="n"/>
      <c r="I422" s="16" t="n"/>
      <c r="J422" s="16" t="n"/>
      <c r="K422" s="16" t="n"/>
      <c r="L422" s="17">
        <f>IF($D422="","",IF(AND($J422="Received",$K422&lt;&gt;"Yes",LEFT($N422,2)="OK"),"Yes","No"))</f>
        <v/>
      </c>
      <c r="M422" s="16" t="n"/>
      <c r="N422" s="17">
        <f>IF($D422="","",IF(AND($F422&lt;&gt;"Classroom",$F422&lt;&gt;"PT"),"TYPE NOT CREDITED",IF($C422="","NO MAKEUP DATE",IF(NOT(ISNUMBER($C422)),"MAKEUP DATE NOT A DATE",IF(OR(AND($G422&lt;&gt;"",NOT(ISNUMBER($G422))),AND($H422&lt;&gt;"",NOT(ISNUMBER($H422)))),"CREDIT NOT A NUMBER",IF(OR(N($G422)&lt;0,N($H422)&lt;0),"NEGATIVE CREDIT",IF(AND($F422="Classroom",N($G422)&lt;=0),"NO MINUTES CREDITED",IF(AND($F422="PT",N($H422)&lt;=0),"NO SESSIONS CREDITED",IF($I422="","NO LINKED EVENT",IF(COUNTIF(nrAT_ID,$I422)=0,"NO SUCH EVENT",IF(INDEX(nrAT_PID,MATCH($I422,nrAT_ID,0))&lt;&gt;$E422,"WRONG CADET",IF(INDEX(nrAT_IsPT,MATCH($I422,nrAT_ID,0))&lt;&gt;IF($F422="PT","Yes","No"),"UNIT MISMATCH","OK"))))))))))))</f>
        <v/>
      </c>
    </row>
    <row r="423">
      <c r="B423" s="17">
        <f>IF($D423="","","M"&amp;TEXT(ROW()-5,"000"))</f>
        <v/>
      </c>
      <c r="C423" s="18" t="n"/>
      <c r="D423" s="16" t="n"/>
      <c r="E423" s="17">
        <f>IF($D423="","",IFERROR(INDEX(rngCadetPIDs,MATCH($D423,rngCadetNames,0)),"?"))</f>
        <v/>
      </c>
      <c r="F423" s="16" t="n"/>
      <c r="G423" s="16" t="n"/>
      <c r="H423" s="16" t="n"/>
      <c r="I423" s="16" t="n"/>
      <c r="J423" s="16" t="n"/>
      <c r="K423" s="16" t="n"/>
      <c r="L423" s="17">
        <f>IF($D423="","",IF(AND($J423="Received",$K423&lt;&gt;"Yes",LEFT($N423,2)="OK"),"Yes","No"))</f>
        <v/>
      </c>
      <c r="M423" s="16" t="n"/>
      <c r="N423" s="17">
        <f>IF($D423="","",IF(AND($F423&lt;&gt;"Classroom",$F423&lt;&gt;"PT"),"TYPE NOT CREDITED",IF($C423="","NO MAKEUP DATE",IF(NOT(ISNUMBER($C423)),"MAKEUP DATE NOT A DATE",IF(OR(AND($G423&lt;&gt;"",NOT(ISNUMBER($G423))),AND($H423&lt;&gt;"",NOT(ISNUMBER($H423)))),"CREDIT NOT A NUMBER",IF(OR(N($G423)&lt;0,N($H423)&lt;0),"NEGATIVE CREDIT",IF(AND($F423="Classroom",N($G423)&lt;=0),"NO MINUTES CREDITED",IF(AND($F423="PT",N($H423)&lt;=0),"NO SESSIONS CREDITED",IF($I423="","NO LINKED EVENT",IF(COUNTIF(nrAT_ID,$I423)=0,"NO SUCH EVENT",IF(INDEX(nrAT_PID,MATCH($I423,nrAT_ID,0))&lt;&gt;$E423,"WRONG CADET",IF(INDEX(nrAT_IsPT,MATCH($I423,nrAT_ID,0))&lt;&gt;IF($F423="PT","Yes","No"),"UNIT MISMATCH","OK"))))))))))))</f>
        <v/>
      </c>
    </row>
    <row r="424">
      <c r="B424" s="17">
        <f>IF($D424="","","M"&amp;TEXT(ROW()-5,"000"))</f>
        <v/>
      </c>
      <c r="C424" s="18" t="n"/>
      <c r="D424" s="16" t="n"/>
      <c r="E424" s="17">
        <f>IF($D424="","",IFERROR(INDEX(rngCadetPIDs,MATCH($D424,rngCadetNames,0)),"?"))</f>
        <v/>
      </c>
      <c r="F424" s="16" t="n"/>
      <c r="G424" s="16" t="n"/>
      <c r="H424" s="16" t="n"/>
      <c r="I424" s="16" t="n"/>
      <c r="J424" s="16" t="n"/>
      <c r="K424" s="16" t="n"/>
      <c r="L424" s="17">
        <f>IF($D424="","",IF(AND($J424="Received",$K424&lt;&gt;"Yes",LEFT($N424,2)="OK"),"Yes","No"))</f>
        <v/>
      </c>
      <c r="M424" s="16" t="n"/>
      <c r="N424" s="17">
        <f>IF($D424="","",IF(AND($F424&lt;&gt;"Classroom",$F424&lt;&gt;"PT"),"TYPE NOT CREDITED",IF($C424="","NO MAKEUP DATE",IF(NOT(ISNUMBER($C424)),"MAKEUP DATE NOT A DATE",IF(OR(AND($G424&lt;&gt;"",NOT(ISNUMBER($G424))),AND($H424&lt;&gt;"",NOT(ISNUMBER($H424)))),"CREDIT NOT A NUMBER",IF(OR(N($G424)&lt;0,N($H424)&lt;0),"NEGATIVE CREDIT",IF(AND($F424="Classroom",N($G424)&lt;=0),"NO MINUTES CREDITED",IF(AND($F424="PT",N($H424)&lt;=0),"NO SESSIONS CREDITED",IF($I424="","NO LINKED EVENT",IF(COUNTIF(nrAT_ID,$I424)=0,"NO SUCH EVENT",IF(INDEX(nrAT_PID,MATCH($I424,nrAT_ID,0))&lt;&gt;$E424,"WRONG CADET",IF(INDEX(nrAT_IsPT,MATCH($I424,nrAT_ID,0))&lt;&gt;IF($F424="PT","Yes","No"),"UNIT MISMATCH","OK"))))))))))))</f>
        <v/>
      </c>
    </row>
    <row r="425">
      <c r="B425" s="17">
        <f>IF($D425="","","M"&amp;TEXT(ROW()-5,"000"))</f>
        <v/>
      </c>
      <c r="C425" s="18" t="n"/>
      <c r="D425" s="16" t="n"/>
      <c r="E425" s="17">
        <f>IF($D425="","",IFERROR(INDEX(rngCadetPIDs,MATCH($D425,rngCadetNames,0)),"?"))</f>
        <v/>
      </c>
      <c r="F425" s="16" t="n"/>
      <c r="G425" s="16" t="n"/>
      <c r="H425" s="16" t="n"/>
      <c r="I425" s="16" t="n"/>
      <c r="J425" s="16" t="n"/>
      <c r="K425" s="16" t="n"/>
      <c r="L425" s="17">
        <f>IF($D425="","",IF(AND($J425="Received",$K425&lt;&gt;"Yes",LEFT($N425,2)="OK"),"Yes","No"))</f>
        <v/>
      </c>
      <c r="M425" s="16" t="n"/>
      <c r="N425" s="17">
        <f>IF($D425="","",IF(AND($F425&lt;&gt;"Classroom",$F425&lt;&gt;"PT"),"TYPE NOT CREDITED",IF($C425="","NO MAKEUP DATE",IF(NOT(ISNUMBER($C425)),"MAKEUP DATE NOT A DATE",IF(OR(AND($G425&lt;&gt;"",NOT(ISNUMBER($G425))),AND($H425&lt;&gt;"",NOT(ISNUMBER($H425)))),"CREDIT NOT A NUMBER",IF(OR(N($G425)&lt;0,N($H425)&lt;0),"NEGATIVE CREDIT",IF(AND($F425="Classroom",N($G425)&lt;=0),"NO MINUTES CREDITED",IF(AND($F425="PT",N($H425)&lt;=0),"NO SESSIONS CREDITED",IF($I425="","NO LINKED EVENT",IF(COUNTIF(nrAT_ID,$I425)=0,"NO SUCH EVENT",IF(INDEX(nrAT_PID,MATCH($I425,nrAT_ID,0))&lt;&gt;$E425,"WRONG CADET",IF(INDEX(nrAT_IsPT,MATCH($I425,nrAT_ID,0))&lt;&gt;IF($F425="PT","Yes","No"),"UNIT MISMATCH","OK"))))))))))))</f>
        <v/>
      </c>
    </row>
    <row r="426">
      <c r="B426" s="17">
        <f>IF($D426="","","M"&amp;TEXT(ROW()-5,"000"))</f>
        <v/>
      </c>
      <c r="C426" s="18" t="n"/>
      <c r="D426" s="16" t="n"/>
      <c r="E426" s="17">
        <f>IF($D426="","",IFERROR(INDEX(rngCadetPIDs,MATCH($D426,rngCadetNames,0)),"?"))</f>
        <v/>
      </c>
      <c r="F426" s="16" t="n"/>
      <c r="G426" s="16" t="n"/>
      <c r="H426" s="16" t="n"/>
      <c r="I426" s="16" t="n"/>
      <c r="J426" s="16" t="n"/>
      <c r="K426" s="16" t="n"/>
      <c r="L426" s="17">
        <f>IF($D426="","",IF(AND($J426="Received",$K426&lt;&gt;"Yes",LEFT($N426,2)="OK"),"Yes","No"))</f>
        <v/>
      </c>
      <c r="M426" s="16" t="n"/>
      <c r="N426" s="17">
        <f>IF($D426="","",IF(AND($F426&lt;&gt;"Classroom",$F426&lt;&gt;"PT"),"TYPE NOT CREDITED",IF($C426="","NO MAKEUP DATE",IF(NOT(ISNUMBER($C426)),"MAKEUP DATE NOT A DATE",IF(OR(AND($G426&lt;&gt;"",NOT(ISNUMBER($G426))),AND($H426&lt;&gt;"",NOT(ISNUMBER($H426)))),"CREDIT NOT A NUMBER",IF(OR(N($G426)&lt;0,N($H426)&lt;0),"NEGATIVE CREDIT",IF(AND($F426="Classroom",N($G426)&lt;=0),"NO MINUTES CREDITED",IF(AND($F426="PT",N($H426)&lt;=0),"NO SESSIONS CREDITED",IF($I426="","NO LINKED EVENT",IF(COUNTIF(nrAT_ID,$I426)=0,"NO SUCH EVENT",IF(INDEX(nrAT_PID,MATCH($I426,nrAT_ID,0))&lt;&gt;$E426,"WRONG CADET",IF(INDEX(nrAT_IsPT,MATCH($I426,nrAT_ID,0))&lt;&gt;IF($F426="PT","Yes","No"),"UNIT MISMATCH","OK"))))))))))))</f>
        <v/>
      </c>
    </row>
    <row r="427">
      <c r="B427" s="17">
        <f>IF($D427="","","M"&amp;TEXT(ROW()-5,"000"))</f>
        <v/>
      </c>
      <c r="C427" s="18" t="n"/>
      <c r="D427" s="16" t="n"/>
      <c r="E427" s="17">
        <f>IF($D427="","",IFERROR(INDEX(rngCadetPIDs,MATCH($D427,rngCadetNames,0)),"?"))</f>
        <v/>
      </c>
      <c r="F427" s="16" t="n"/>
      <c r="G427" s="16" t="n"/>
      <c r="H427" s="16" t="n"/>
      <c r="I427" s="16" t="n"/>
      <c r="J427" s="16" t="n"/>
      <c r="K427" s="16" t="n"/>
      <c r="L427" s="17">
        <f>IF($D427="","",IF(AND($J427="Received",$K427&lt;&gt;"Yes",LEFT($N427,2)="OK"),"Yes","No"))</f>
        <v/>
      </c>
      <c r="M427" s="16" t="n"/>
      <c r="N427" s="17">
        <f>IF($D427="","",IF(AND($F427&lt;&gt;"Classroom",$F427&lt;&gt;"PT"),"TYPE NOT CREDITED",IF($C427="","NO MAKEUP DATE",IF(NOT(ISNUMBER($C427)),"MAKEUP DATE NOT A DATE",IF(OR(AND($G427&lt;&gt;"",NOT(ISNUMBER($G427))),AND($H427&lt;&gt;"",NOT(ISNUMBER($H427)))),"CREDIT NOT A NUMBER",IF(OR(N($G427)&lt;0,N($H427)&lt;0),"NEGATIVE CREDIT",IF(AND($F427="Classroom",N($G427)&lt;=0),"NO MINUTES CREDITED",IF(AND($F427="PT",N($H427)&lt;=0),"NO SESSIONS CREDITED",IF($I427="","NO LINKED EVENT",IF(COUNTIF(nrAT_ID,$I427)=0,"NO SUCH EVENT",IF(INDEX(nrAT_PID,MATCH($I427,nrAT_ID,0))&lt;&gt;$E427,"WRONG CADET",IF(INDEX(nrAT_IsPT,MATCH($I427,nrAT_ID,0))&lt;&gt;IF($F427="PT","Yes","No"),"UNIT MISMATCH","OK"))))))))))))</f>
        <v/>
      </c>
    </row>
    <row r="428">
      <c r="B428" s="17">
        <f>IF($D428="","","M"&amp;TEXT(ROW()-5,"000"))</f>
        <v/>
      </c>
      <c r="C428" s="18" t="n"/>
      <c r="D428" s="16" t="n"/>
      <c r="E428" s="17">
        <f>IF($D428="","",IFERROR(INDEX(rngCadetPIDs,MATCH($D428,rngCadetNames,0)),"?"))</f>
        <v/>
      </c>
      <c r="F428" s="16" t="n"/>
      <c r="G428" s="16" t="n"/>
      <c r="H428" s="16" t="n"/>
      <c r="I428" s="16" t="n"/>
      <c r="J428" s="16" t="n"/>
      <c r="K428" s="16" t="n"/>
      <c r="L428" s="17">
        <f>IF($D428="","",IF(AND($J428="Received",$K428&lt;&gt;"Yes",LEFT($N428,2)="OK"),"Yes","No"))</f>
        <v/>
      </c>
      <c r="M428" s="16" t="n"/>
      <c r="N428" s="17">
        <f>IF($D428="","",IF(AND($F428&lt;&gt;"Classroom",$F428&lt;&gt;"PT"),"TYPE NOT CREDITED",IF($C428="","NO MAKEUP DATE",IF(NOT(ISNUMBER($C428)),"MAKEUP DATE NOT A DATE",IF(OR(AND($G428&lt;&gt;"",NOT(ISNUMBER($G428))),AND($H428&lt;&gt;"",NOT(ISNUMBER($H428)))),"CREDIT NOT A NUMBER",IF(OR(N($G428)&lt;0,N($H428)&lt;0),"NEGATIVE CREDIT",IF(AND($F428="Classroom",N($G428)&lt;=0),"NO MINUTES CREDITED",IF(AND($F428="PT",N($H428)&lt;=0),"NO SESSIONS CREDITED",IF($I428="","NO LINKED EVENT",IF(COUNTIF(nrAT_ID,$I428)=0,"NO SUCH EVENT",IF(INDEX(nrAT_PID,MATCH($I428,nrAT_ID,0))&lt;&gt;$E428,"WRONG CADET",IF(INDEX(nrAT_IsPT,MATCH($I428,nrAT_ID,0))&lt;&gt;IF($F428="PT","Yes","No"),"UNIT MISMATCH","OK"))))))))))))</f>
        <v/>
      </c>
    </row>
    <row r="429">
      <c r="B429" s="17">
        <f>IF($D429="","","M"&amp;TEXT(ROW()-5,"000"))</f>
        <v/>
      </c>
      <c r="C429" s="18" t="n"/>
      <c r="D429" s="16" t="n"/>
      <c r="E429" s="17">
        <f>IF($D429="","",IFERROR(INDEX(rngCadetPIDs,MATCH($D429,rngCadetNames,0)),"?"))</f>
        <v/>
      </c>
      <c r="F429" s="16" t="n"/>
      <c r="G429" s="16" t="n"/>
      <c r="H429" s="16" t="n"/>
      <c r="I429" s="16" t="n"/>
      <c r="J429" s="16" t="n"/>
      <c r="K429" s="16" t="n"/>
      <c r="L429" s="17">
        <f>IF($D429="","",IF(AND($J429="Received",$K429&lt;&gt;"Yes",LEFT($N429,2)="OK"),"Yes","No"))</f>
        <v/>
      </c>
      <c r="M429" s="16" t="n"/>
      <c r="N429" s="17">
        <f>IF($D429="","",IF(AND($F429&lt;&gt;"Classroom",$F429&lt;&gt;"PT"),"TYPE NOT CREDITED",IF($C429="","NO MAKEUP DATE",IF(NOT(ISNUMBER($C429)),"MAKEUP DATE NOT A DATE",IF(OR(AND($G429&lt;&gt;"",NOT(ISNUMBER($G429))),AND($H429&lt;&gt;"",NOT(ISNUMBER($H429)))),"CREDIT NOT A NUMBER",IF(OR(N($G429)&lt;0,N($H429)&lt;0),"NEGATIVE CREDIT",IF(AND($F429="Classroom",N($G429)&lt;=0),"NO MINUTES CREDITED",IF(AND($F429="PT",N($H429)&lt;=0),"NO SESSIONS CREDITED",IF($I429="","NO LINKED EVENT",IF(COUNTIF(nrAT_ID,$I429)=0,"NO SUCH EVENT",IF(INDEX(nrAT_PID,MATCH($I429,nrAT_ID,0))&lt;&gt;$E429,"WRONG CADET",IF(INDEX(nrAT_IsPT,MATCH($I429,nrAT_ID,0))&lt;&gt;IF($F429="PT","Yes","No"),"UNIT MISMATCH","OK"))))))))))))</f>
        <v/>
      </c>
    </row>
    <row r="430">
      <c r="B430" s="17">
        <f>IF($D430="","","M"&amp;TEXT(ROW()-5,"000"))</f>
        <v/>
      </c>
      <c r="C430" s="18" t="n"/>
      <c r="D430" s="16" t="n"/>
      <c r="E430" s="17">
        <f>IF($D430="","",IFERROR(INDEX(rngCadetPIDs,MATCH($D430,rngCadetNames,0)),"?"))</f>
        <v/>
      </c>
      <c r="F430" s="16" t="n"/>
      <c r="G430" s="16" t="n"/>
      <c r="H430" s="16" t="n"/>
      <c r="I430" s="16" t="n"/>
      <c r="J430" s="16" t="n"/>
      <c r="K430" s="16" t="n"/>
      <c r="L430" s="17">
        <f>IF($D430="","",IF(AND($J430="Received",$K430&lt;&gt;"Yes",LEFT($N430,2)="OK"),"Yes","No"))</f>
        <v/>
      </c>
      <c r="M430" s="16" t="n"/>
      <c r="N430" s="17">
        <f>IF($D430="","",IF(AND($F430&lt;&gt;"Classroom",$F430&lt;&gt;"PT"),"TYPE NOT CREDITED",IF($C430="","NO MAKEUP DATE",IF(NOT(ISNUMBER($C430)),"MAKEUP DATE NOT A DATE",IF(OR(AND($G430&lt;&gt;"",NOT(ISNUMBER($G430))),AND($H430&lt;&gt;"",NOT(ISNUMBER($H430)))),"CREDIT NOT A NUMBER",IF(OR(N($G430)&lt;0,N($H430)&lt;0),"NEGATIVE CREDIT",IF(AND($F430="Classroom",N($G430)&lt;=0),"NO MINUTES CREDITED",IF(AND($F430="PT",N($H430)&lt;=0),"NO SESSIONS CREDITED",IF($I430="","NO LINKED EVENT",IF(COUNTIF(nrAT_ID,$I430)=0,"NO SUCH EVENT",IF(INDEX(nrAT_PID,MATCH($I430,nrAT_ID,0))&lt;&gt;$E430,"WRONG CADET",IF(INDEX(nrAT_IsPT,MATCH($I430,nrAT_ID,0))&lt;&gt;IF($F430="PT","Yes","No"),"UNIT MISMATCH","OK"))))))))))))</f>
        <v/>
      </c>
    </row>
    <row r="431">
      <c r="B431" s="17">
        <f>IF($D431="","","M"&amp;TEXT(ROW()-5,"000"))</f>
        <v/>
      </c>
      <c r="C431" s="18" t="n"/>
      <c r="D431" s="16" t="n"/>
      <c r="E431" s="17">
        <f>IF($D431="","",IFERROR(INDEX(rngCadetPIDs,MATCH($D431,rngCadetNames,0)),"?"))</f>
        <v/>
      </c>
      <c r="F431" s="16" t="n"/>
      <c r="G431" s="16" t="n"/>
      <c r="H431" s="16" t="n"/>
      <c r="I431" s="16" t="n"/>
      <c r="J431" s="16" t="n"/>
      <c r="K431" s="16" t="n"/>
      <c r="L431" s="17">
        <f>IF($D431="","",IF(AND($J431="Received",$K431&lt;&gt;"Yes",LEFT($N431,2)="OK"),"Yes","No"))</f>
        <v/>
      </c>
      <c r="M431" s="16" t="n"/>
      <c r="N431" s="17">
        <f>IF($D431="","",IF(AND($F431&lt;&gt;"Classroom",$F431&lt;&gt;"PT"),"TYPE NOT CREDITED",IF($C431="","NO MAKEUP DATE",IF(NOT(ISNUMBER($C431)),"MAKEUP DATE NOT A DATE",IF(OR(AND($G431&lt;&gt;"",NOT(ISNUMBER($G431))),AND($H431&lt;&gt;"",NOT(ISNUMBER($H431)))),"CREDIT NOT A NUMBER",IF(OR(N($G431)&lt;0,N($H431)&lt;0),"NEGATIVE CREDIT",IF(AND($F431="Classroom",N($G431)&lt;=0),"NO MINUTES CREDITED",IF(AND($F431="PT",N($H431)&lt;=0),"NO SESSIONS CREDITED",IF($I431="","NO LINKED EVENT",IF(COUNTIF(nrAT_ID,$I431)=0,"NO SUCH EVENT",IF(INDEX(nrAT_PID,MATCH($I431,nrAT_ID,0))&lt;&gt;$E431,"WRONG CADET",IF(INDEX(nrAT_IsPT,MATCH($I431,nrAT_ID,0))&lt;&gt;IF($F431="PT","Yes","No"),"UNIT MISMATCH","OK"))))))))))))</f>
        <v/>
      </c>
    </row>
    <row r="432">
      <c r="B432" s="17">
        <f>IF($D432="","","M"&amp;TEXT(ROW()-5,"000"))</f>
        <v/>
      </c>
      <c r="C432" s="18" t="n"/>
      <c r="D432" s="16" t="n"/>
      <c r="E432" s="17">
        <f>IF($D432="","",IFERROR(INDEX(rngCadetPIDs,MATCH($D432,rngCadetNames,0)),"?"))</f>
        <v/>
      </c>
      <c r="F432" s="16" t="n"/>
      <c r="G432" s="16" t="n"/>
      <c r="H432" s="16" t="n"/>
      <c r="I432" s="16" t="n"/>
      <c r="J432" s="16" t="n"/>
      <c r="K432" s="16" t="n"/>
      <c r="L432" s="17">
        <f>IF($D432="","",IF(AND($J432="Received",$K432&lt;&gt;"Yes",LEFT($N432,2)="OK"),"Yes","No"))</f>
        <v/>
      </c>
      <c r="M432" s="16" t="n"/>
      <c r="N432" s="17">
        <f>IF($D432="","",IF(AND($F432&lt;&gt;"Classroom",$F432&lt;&gt;"PT"),"TYPE NOT CREDITED",IF($C432="","NO MAKEUP DATE",IF(NOT(ISNUMBER($C432)),"MAKEUP DATE NOT A DATE",IF(OR(AND($G432&lt;&gt;"",NOT(ISNUMBER($G432))),AND($H432&lt;&gt;"",NOT(ISNUMBER($H432)))),"CREDIT NOT A NUMBER",IF(OR(N($G432)&lt;0,N($H432)&lt;0),"NEGATIVE CREDIT",IF(AND($F432="Classroom",N($G432)&lt;=0),"NO MINUTES CREDITED",IF(AND($F432="PT",N($H432)&lt;=0),"NO SESSIONS CREDITED",IF($I432="","NO LINKED EVENT",IF(COUNTIF(nrAT_ID,$I432)=0,"NO SUCH EVENT",IF(INDEX(nrAT_PID,MATCH($I432,nrAT_ID,0))&lt;&gt;$E432,"WRONG CADET",IF(INDEX(nrAT_IsPT,MATCH($I432,nrAT_ID,0))&lt;&gt;IF($F432="PT","Yes","No"),"UNIT MISMATCH","OK"))))))))))))</f>
        <v/>
      </c>
    </row>
    <row r="433">
      <c r="B433" s="17">
        <f>IF($D433="","","M"&amp;TEXT(ROW()-5,"000"))</f>
        <v/>
      </c>
      <c r="C433" s="18" t="n"/>
      <c r="D433" s="16" t="n"/>
      <c r="E433" s="17">
        <f>IF($D433="","",IFERROR(INDEX(rngCadetPIDs,MATCH($D433,rngCadetNames,0)),"?"))</f>
        <v/>
      </c>
      <c r="F433" s="16" t="n"/>
      <c r="G433" s="16" t="n"/>
      <c r="H433" s="16" t="n"/>
      <c r="I433" s="16" t="n"/>
      <c r="J433" s="16" t="n"/>
      <c r="K433" s="16" t="n"/>
      <c r="L433" s="17">
        <f>IF($D433="","",IF(AND($J433="Received",$K433&lt;&gt;"Yes",LEFT($N433,2)="OK"),"Yes","No"))</f>
        <v/>
      </c>
      <c r="M433" s="16" t="n"/>
      <c r="N433" s="17">
        <f>IF($D433="","",IF(AND($F433&lt;&gt;"Classroom",$F433&lt;&gt;"PT"),"TYPE NOT CREDITED",IF($C433="","NO MAKEUP DATE",IF(NOT(ISNUMBER($C433)),"MAKEUP DATE NOT A DATE",IF(OR(AND($G433&lt;&gt;"",NOT(ISNUMBER($G433))),AND($H433&lt;&gt;"",NOT(ISNUMBER($H433)))),"CREDIT NOT A NUMBER",IF(OR(N($G433)&lt;0,N($H433)&lt;0),"NEGATIVE CREDIT",IF(AND($F433="Classroom",N($G433)&lt;=0),"NO MINUTES CREDITED",IF(AND($F433="PT",N($H433)&lt;=0),"NO SESSIONS CREDITED",IF($I433="","NO LINKED EVENT",IF(COUNTIF(nrAT_ID,$I433)=0,"NO SUCH EVENT",IF(INDEX(nrAT_PID,MATCH($I433,nrAT_ID,0))&lt;&gt;$E433,"WRONG CADET",IF(INDEX(nrAT_IsPT,MATCH($I433,nrAT_ID,0))&lt;&gt;IF($F433="PT","Yes","No"),"UNIT MISMATCH","OK"))))))))))))</f>
        <v/>
      </c>
    </row>
    <row r="434">
      <c r="B434" s="17">
        <f>IF($D434="","","M"&amp;TEXT(ROW()-5,"000"))</f>
        <v/>
      </c>
      <c r="C434" s="18" t="n"/>
      <c r="D434" s="16" t="n"/>
      <c r="E434" s="17">
        <f>IF($D434="","",IFERROR(INDEX(rngCadetPIDs,MATCH($D434,rngCadetNames,0)),"?"))</f>
        <v/>
      </c>
      <c r="F434" s="16" t="n"/>
      <c r="G434" s="16" t="n"/>
      <c r="H434" s="16" t="n"/>
      <c r="I434" s="16" t="n"/>
      <c r="J434" s="16" t="n"/>
      <c r="K434" s="16" t="n"/>
      <c r="L434" s="17">
        <f>IF($D434="","",IF(AND($J434="Received",$K434&lt;&gt;"Yes",LEFT($N434,2)="OK"),"Yes","No"))</f>
        <v/>
      </c>
      <c r="M434" s="16" t="n"/>
      <c r="N434" s="17">
        <f>IF($D434="","",IF(AND($F434&lt;&gt;"Classroom",$F434&lt;&gt;"PT"),"TYPE NOT CREDITED",IF($C434="","NO MAKEUP DATE",IF(NOT(ISNUMBER($C434)),"MAKEUP DATE NOT A DATE",IF(OR(AND($G434&lt;&gt;"",NOT(ISNUMBER($G434))),AND($H434&lt;&gt;"",NOT(ISNUMBER($H434)))),"CREDIT NOT A NUMBER",IF(OR(N($G434)&lt;0,N($H434)&lt;0),"NEGATIVE CREDIT",IF(AND($F434="Classroom",N($G434)&lt;=0),"NO MINUTES CREDITED",IF(AND($F434="PT",N($H434)&lt;=0),"NO SESSIONS CREDITED",IF($I434="","NO LINKED EVENT",IF(COUNTIF(nrAT_ID,$I434)=0,"NO SUCH EVENT",IF(INDEX(nrAT_PID,MATCH($I434,nrAT_ID,0))&lt;&gt;$E434,"WRONG CADET",IF(INDEX(nrAT_IsPT,MATCH($I434,nrAT_ID,0))&lt;&gt;IF($F434="PT","Yes","No"),"UNIT MISMATCH","OK"))))))))))))</f>
        <v/>
      </c>
    </row>
    <row r="435">
      <c r="B435" s="17">
        <f>IF($D435="","","M"&amp;TEXT(ROW()-5,"000"))</f>
        <v/>
      </c>
      <c r="C435" s="18" t="n"/>
      <c r="D435" s="16" t="n"/>
      <c r="E435" s="17">
        <f>IF($D435="","",IFERROR(INDEX(rngCadetPIDs,MATCH($D435,rngCadetNames,0)),"?"))</f>
        <v/>
      </c>
      <c r="F435" s="16" t="n"/>
      <c r="G435" s="16" t="n"/>
      <c r="H435" s="16" t="n"/>
      <c r="I435" s="16" t="n"/>
      <c r="J435" s="16" t="n"/>
      <c r="K435" s="16" t="n"/>
      <c r="L435" s="17">
        <f>IF($D435="","",IF(AND($J435="Received",$K435&lt;&gt;"Yes",LEFT($N435,2)="OK"),"Yes","No"))</f>
        <v/>
      </c>
      <c r="M435" s="16" t="n"/>
      <c r="N435" s="17">
        <f>IF($D435="","",IF(AND($F435&lt;&gt;"Classroom",$F435&lt;&gt;"PT"),"TYPE NOT CREDITED",IF($C435="","NO MAKEUP DATE",IF(NOT(ISNUMBER($C435)),"MAKEUP DATE NOT A DATE",IF(OR(AND($G435&lt;&gt;"",NOT(ISNUMBER($G435))),AND($H435&lt;&gt;"",NOT(ISNUMBER($H435)))),"CREDIT NOT A NUMBER",IF(OR(N($G435)&lt;0,N($H435)&lt;0),"NEGATIVE CREDIT",IF(AND($F435="Classroom",N($G435)&lt;=0),"NO MINUTES CREDITED",IF(AND($F435="PT",N($H435)&lt;=0),"NO SESSIONS CREDITED",IF($I435="","NO LINKED EVENT",IF(COUNTIF(nrAT_ID,$I435)=0,"NO SUCH EVENT",IF(INDEX(nrAT_PID,MATCH($I435,nrAT_ID,0))&lt;&gt;$E435,"WRONG CADET",IF(INDEX(nrAT_IsPT,MATCH($I435,nrAT_ID,0))&lt;&gt;IF($F435="PT","Yes","No"),"UNIT MISMATCH","OK"))))))))))))</f>
        <v/>
      </c>
    </row>
    <row r="436">
      <c r="B436" s="17">
        <f>IF($D436="","","M"&amp;TEXT(ROW()-5,"000"))</f>
        <v/>
      </c>
      <c r="C436" s="18" t="n"/>
      <c r="D436" s="16" t="n"/>
      <c r="E436" s="17">
        <f>IF($D436="","",IFERROR(INDEX(rngCadetPIDs,MATCH($D436,rngCadetNames,0)),"?"))</f>
        <v/>
      </c>
      <c r="F436" s="16" t="n"/>
      <c r="G436" s="16" t="n"/>
      <c r="H436" s="16" t="n"/>
      <c r="I436" s="16" t="n"/>
      <c r="J436" s="16" t="n"/>
      <c r="K436" s="16" t="n"/>
      <c r="L436" s="17">
        <f>IF($D436="","",IF(AND($J436="Received",$K436&lt;&gt;"Yes",LEFT($N436,2)="OK"),"Yes","No"))</f>
        <v/>
      </c>
      <c r="M436" s="16" t="n"/>
      <c r="N436" s="17">
        <f>IF($D436="","",IF(AND($F436&lt;&gt;"Classroom",$F436&lt;&gt;"PT"),"TYPE NOT CREDITED",IF($C436="","NO MAKEUP DATE",IF(NOT(ISNUMBER($C436)),"MAKEUP DATE NOT A DATE",IF(OR(AND($G436&lt;&gt;"",NOT(ISNUMBER($G436))),AND($H436&lt;&gt;"",NOT(ISNUMBER($H436)))),"CREDIT NOT A NUMBER",IF(OR(N($G436)&lt;0,N($H436)&lt;0),"NEGATIVE CREDIT",IF(AND($F436="Classroom",N($G436)&lt;=0),"NO MINUTES CREDITED",IF(AND($F436="PT",N($H436)&lt;=0),"NO SESSIONS CREDITED",IF($I436="","NO LINKED EVENT",IF(COUNTIF(nrAT_ID,$I436)=0,"NO SUCH EVENT",IF(INDEX(nrAT_PID,MATCH($I436,nrAT_ID,0))&lt;&gt;$E436,"WRONG CADET",IF(INDEX(nrAT_IsPT,MATCH($I436,nrAT_ID,0))&lt;&gt;IF($F436="PT","Yes","No"),"UNIT MISMATCH","OK"))))))))))))</f>
        <v/>
      </c>
    </row>
    <row r="437">
      <c r="B437" s="17">
        <f>IF($D437="","","M"&amp;TEXT(ROW()-5,"000"))</f>
        <v/>
      </c>
      <c r="C437" s="18" t="n"/>
      <c r="D437" s="16" t="n"/>
      <c r="E437" s="17">
        <f>IF($D437="","",IFERROR(INDEX(rngCadetPIDs,MATCH($D437,rngCadetNames,0)),"?"))</f>
        <v/>
      </c>
      <c r="F437" s="16" t="n"/>
      <c r="G437" s="16" t="n"/>
      <c r="H437" s="16" t="n"/>
      <c r="I437" s="16" t="n"/>
      <c r="J437" s="16" t="n"/>
      <c r="K437" s="16" t="n"/>
      <c r="L437" s="17">
        <f>IF($D437="","",IF(AND($J437="Received",$K437&lt;&gt;"Yes",LEFT($N437,2)="OK"),"Yes","No"))</f>
        <v/>
      </c>
      <c r="M437" s="16" t="n"/>
      <c r="N437" s="17">
        <f>IF($D437="","",IF(AND($F437&lt;&gt;"Classroom",$F437&lt;&gt;"PT"),"TYPE NOT CREDITED",IF($C437="","NO MAKEUP DATE",IF(NOT(ISNUMBER($C437)),"MAKEUP DATE NOT A DATE",IF(OR(AND($G437&lt;&gt;"",NOT(ISNUMBER($G437))),AND($H437&lt;&gt;"",NOT(ISNUMBER($H437)))),"CREDIT NOT A NUMBER",IF(OR(N($G437)&lt;0,N($H437)&lt;0),"NEGATIVE CREDIT",IF(AND($F437="Classroom",N($G437)&lt;=0),"NO MINUTES CREDITED",IF(AND($F437="PT",N($H437)&lt;=0),"NO SESSIONS CREDITED",IF($I437="","NO LINKED EVENT",IF(COUNTIF(nrAT_ID,$I437)=0,"NO SUCH EVENT",IF(INDEX(nrAT_PID,MATCH($I437,nrAT_ID,0))&lt;&gt;$E437,"WRONG CADET",IF(INDEX(nrAT_IsPT,MATCH($I437,nrAT_ID,0))&lt;&gt;IF($F437="PT","Yes","No"),"UNIT MISMATCH","OK"))))))))))))</f>
        <v/>
      </c>
    </row>
    <row r="438">
      <c r="B438" s="17">
        <f>IF($D438="","","M"&amp;TEXT(ROW()-5,"000"))</f>
        <v/>
      </c>
      <c r="C438" s="18" t="n"/>
      <c r="D438" s="16" t="n"/>
      <c r="E438" s="17">
        <f>IF($D438="","",IFERROR(INDEX(rngCadetPIDs,MATCH($D438,rngCadetNames,0)),"?"))</f>
        <v/>
      </c>
      <c r="F438" s="16" t="n"/>
      <c r="G438" s="16" t="n"/>
      <c r="H438" s="16" t="n"/>
      <c r="I438" s="16" t="n"/>
      <c r="J438" s="16" t="n"/>
      <c r="K438" s="16" t="n"/>
      <c r="L438" s="17">
        <f>IF($D438="","",IF(AND($J438="Received",$K438&lt;&gt;"Yes",LEFT($N438,2)="OK"),"Yes","No"))</f>
        <v/>
      </c>
      <c r="M438" s="16" t="n"/>
      <c r="N438" s="17">
        <f>IF($D438="","",IF(AND($F438&lt;&gt;"Classroom",$F438&lt;&gt;"PT"),"TYPE NOT CREDITED",IF($C438="","NO MAKEUP DATE",IF(NOT(ISNUMBER($C438)),"MAKEUP DATE NOT A DATE",IF(OR(AND($G438&lt;&gt;"",NOT(ISNUMBER($G438))),AND($H438&lt;&gt;"",NOT(ISNUMBER($H438)))),"CREDIT NOT A NUMBER",IF(OR(N($G438)&lt;0,N($H438)&lt;0),"NEGATIVE CREDIT",IF(AND($F438="Classroom",N($G438)&lt;=0),"NO MINUTES CREDITED",IF(AND($F438="PT",N($H438)&lt;=0),"NO SESSIONS CREDITED",IF($I438="","NO LINKED EVENT",IF(COUNTIF(nrAT_ID,$I438)=0,"NO SUCH EVENT",IF(INDEX(nrAT_PID,MATCH($I438,nrAT_ID,0))&lt;&gt;$E438,"WRONG CADET",IF(INDEX(nrAT_IsPT,MATCH($I438,nrAT_ID,0))&lt;&gt;IF($F438="PT","Yes","No"),"UNIT MISMATCH","OK"))))))))))))</f>
        <v/>
      </c>
    </row>
    <row r="439">
      <c r="B439" s="17">
        <f>IF($D439="","","M"&amp;TEXT(ROW()-5,"000"))</f>
        <v/>
      </c>
      <c r="C439" s="18" t="n"/>
      <c r="D439" s="16" t="n"/>
      <c r="E439" s="17">
        <f>IF($D439="","",IFERROR(INDEX(rngCadetPIDs,MATCH($D439,rngCadetNames,0)),"?"))</f>
        <v/>
      </c>
      <c r="F439" s="16" t="n"/>
      <c r="G439" s="16" t="n"/>
      <c r="H439" s="16" t="n"/>
      <c r="I439" s="16" t="n"/>
      <c r="J439" s="16" t="n"/>
      <c r="K439" s="16" t="n"/>
      <c r="L439" s="17">
        <f>IF($D439="","",IF(AND($J439="Received",$K439&lt;&gt;"Yes",LEFT($N439,2)="OK"),"Yes","No"))</f>
        <v/>
      </c>
      <c r="M439" s="16" t="n"/>
      <c r="N439" s="17">
        <f>IF($D439="","",IF(AND($F439&lt;&gt;"Classroom",$F439&lt;&gt;"PT"),"TYPE NOT CREDITED",IF($C439="","NO MAKEUP DATE",IF(NOT(ISNUMBER($C439)),"MAKEUP DATE NOT A DATE",IF(OR(AND($G439&lt;&gt;"",NOT(ISNUMBER($G439))),AND($H439&lt;&gt;"",NOT(ISNUMBER($H439)))),"CREDIT NOT A NUMBER",IF(OR(N($G439)&lt;0,N($H439)&lt;0),"NEGATIVE CREDIT",IF(AND($F439="Classroom",N($G439)&lt;=0),"NO MINUTES CREDITED",IF(AND($F439="PT",N($H439)&lt;=0),"NO SESSIONS CREDITED",IF($I439="","NO LINKED EVENT",IF(COUNTIF(nrAT_ID,$I439)=0,"NO SUCH EVENT",IF(INDEX(nrAT_PID,MATCH($I439,nrAT_ID,0))&lt;&gt;$E439,"WRONG CADET",IF(INDEX(nrAT_IsPT,MATCH($I439,nrAT_ID,0))&lt;&gt;IF($F439="PT","Yes","No"),"UNIT MISMATCH","OK"))))))))))))</f>
        <v/>
      </c>
    </row>
    <row r="440">
      <c r="B440" s="17">
        <f>IF($D440="","","M"&amp;TEXT(ROW()-5,"000"))</f>
        <v/>
      </c>
      <c r="C440" s="18" t="n"/>
      <c r="D440" s="16" t="n"/>
      <c r="E440" s="17">
        <f>IF($D440="","",IFERROR(INDEX(rngCadetPIDs,MATCH($D440,rngCadetNames,0)),"?"))</f>
        <v/>
      </c>
      <c r="F440" s="16" t="n"/>
      <c r="G440" s="16" t="n"/>
      <c r="H440" s="16" t="n"/>
      <c r="I440" s="16" t="n"/>
      <c r="J440" s="16" t="n"/>
      <c r="K440" s="16" t="n"/>
      <c r="L440" s="17">
        <f>IF($D440="","",IF(AND($J440="Received",$K440&lt;&gt;"Yes",LEFT($N440,2)="OK"),"Yes","No"))</f>
        <v/>
      </c>
      <c r="M440" s="16" t="n"/>
      <c r="N440" s="17">
        <f>IF($D440="","",IF(AND($F440&lt;&gt;"Classroom",$F440&lt;&gt;"PT"),"TYPE NOT CREDITED",IF($C440="","NO MAKEUP DATE",IF(NOT(ISNUMBER($C440)),"MAKEUP DATE NOT A DATE",IF(OR(AND($G440&lt;&gt;"",NOT(ISNUMBER($G440))),AND($H440&lt;&gt;"",NOT(ISNUMBER($H440)))),"CREDIT NOT A NUMBER",IF(OR(N($G440)&lt;0,N($H440)&lt;0),"NEGATIVE CREDIT",IF(AND($F440="Classroom",N($G440)&lt;=0),"NO MINUTES CREDITED",IF(AND($F440="PT",N($H440)&lt;=0),"NO SESSIONS CREDITED",IF($I440="","NO LINKED EVENT",IF(COUNTIF(nrAT_ID,$I440)=0,"NO SUCH EVENT",IF(INDEX(nrAT_PID,MATCH($I440,nrAT_ID,0))&lt;&gt;$E440,"WRONG CADET",IF(INDEX(nrAT_IsPT,MATCH($I440,nrAT_ID,0))&lt;&gt;IF($F440="PT","Yes","No"),"UNIT MISMATCH","OK"))))))))))))</f>
        <v/>
      </c>
    </row>
    <row r="441">
      <c r="B441" s="17">
        <f>IF($D441="","","M"&amp;TEXT(ROW()-5,"000"))</f>
        <v/>
      </c>
      <c r="C441" s="18" t="n"/>
      <c r="D441" s="16" t="n"/>
      <c r="E441" s="17">
        <f>IF($D441="","",IFERROR(INDEX(rngCadetPIDs,MATCH($D441,rngCadetNames,0)),"?"))</f>
        <v/>
      </c>
      <c r="F441" s="16" t="n"/>
      <c r="G441" s="16" t="n"/>
      <c r="H441" s="16" t="n"/>
      <c r="I441" s="16" t="n"/>
      <c r="J441" s="16" t="n"/>
      <c r="K441" s="16" t="n"/>
      <c r="L441" s="17">
        <f>IF($D441="","",IF(AND($J441="Received",$K441&lt;&gt;"Yes",LEFT($N441,2)="OK"),"Yes","No"))</f>
        <v/>
      </c>
      <c r="M441" s="16" t="n"/>
      <c r="N441" s="17">
        <f>IF($D441="","",IF(AND($F441&lt;&gt;"Classroom",$F441&lt;&gt;"PT"),"TYPE NOT CREDITED",IF($C441="","NO MAKEUP DATE",IF(NOT(ISNUMBER($C441)),"MAKEUP DATE NOT A DATE",IF(OR(AND($G441&lt;&gt;"",NOT(ISNUMBER($G441))),AND($H441&lt;&gt;"",NOT(ISNUMBER($H441)))),"CREDIT NOT A NUMBER",IF(OR(N($G441)&lt;0,N($H441)&lt;0),"NEGATIVE CREDIT",IF(AND($F441="Classroom",N($G441)&lt;=0),"NO MINUTES CREDITED",IF(AND($F441="PT",N($H441)&lt;=0),"NO SESSIONS CREDITED",IF($I441="","NO LINKED EVENT",IF(COUNTIF(nrAT_ID,$I441)=0,"NO SUCH EVENT",IF(INDEX(nrAT_PID,MATCH($I441,nrAT_ID,0))&lt;&gt;$E441,"WRONG CADET",IF(INDEX(nrAT_IsPT,MATCH($I441,nrAT_ID,0))&lt;&gt;IF($F441="PT","Yes","No"),"UNIT MISMATCH","OK"))))))))))))</f>
        <v/>
      </c>
    </row>
    <row r="442">
      <c r="B442" s="17">
        <f>IF($D442="","","M"&amp;TEXT(ROW()-5,"000"))</f>
        <v/>
      </c>
      <c r="C442" s="18" t="n"/>
      <c r="D442" s="16" t="n"/>
      <c r="E442" s="17">
        <f>IF($D442="","",IFERROR(INDEX(rngCadetPIDs,MATCH($D442,rngCadetNames,0)),"?"))</f>
        <v/>
      </c>
      <c r="F442" s="16" t="n"/>
      <c r="G442" s="16" t="n"/>
      <c r="H442" s="16" t="n"/>
      <c r="I442" s="16" t="n"/>
      <c r="J442" s="16" t="n"/>
      <c r="K442" s="16" t="n"/>
      <c r="L442" s="17">
        <f>IF($D442="","",IF(AND($J442="Received",$K442&lt;&gt;"Yes",LEFT($N442,2)="OK"),"Yes","No"))</f>
        <v/>
      </c>
      <c r="M442" s="16" t="n"/>
      <c r="N442" s="17">
        <f>IF($D442="","",IF(AND($F442&lt;&gt;"Classroom",$F442&lt;&gt;"PT"),"TYPE NOT CREDITED",IF($C442="","NO MAKEUP DATE",IF(NOT(ISNUMBER($C442)),"MAKEUP DATE NOT A DATE",IF(OR(AND($G442&lt;&gt;"",NOT(ISNUMBER($G442))),AND($H442&lt;&gt;"",NOT(ISNUMBER($H442)))),"CREDIT NOT A NUMBER",IF(OR(N($G442)&lt;0,N($H442)&lt;0),"NEGATIVE CREDIT",IF(AND($F442="Classroom",N($G442)&lt;=0),"NO MINUTES CREDITED",IF(AND($F442="PT",N($H442)&lt;=0),"NO SESSIONS CREDITED",IF($I442="","NO LINKED EVENT",IF(COUNTIF(nrAT_ID,$I442)=0,"NO SUCH EVENT",IF(INDEX(nrAT_PID,MATCH($I442,nrAT_ID,0))&lt;&gt;$E442,"WRONG CADET",IF(INDEX(nrAT_IsPT,MATCH($I442,nrAT_ID,0))&lt;&gt;IF($F442="PT","Yes","No"),"UNIT MISMATCH","OK"))))))))))))</f>
        <v/>
      </c>
    </row>
    <row r="443">
      <c r="B443" s="17">
        <f>IF($D443="","","M"&amp;TEXT(ROW()-5,"000"))</f>
        <v/>
      </c>
      <c r="C443" s="18" t="n"/>
      <c r="D443" s="16" t="n"/>
      <c r="E443" s="17">
        <f>IF($D443="","",IFERROR(INDEX(rngCadetPIDs,MATCH($D443,rngCadetNames,0)),"?"))</f>
        <v/>
      </c>
      <c r="F443" s="16" t="n"/>
      <c r="G443" s="16" t="n"/>
      <c r="H443" s="16" t="n"/>
      <c r="I443" s="16" t="n"/>
      <c r="J443" s="16" t="n"/>
      <c r="K443" s="16" t="n"/>
      <c r="L443" s="17">
        <f>IF($D443="","",IF(AND($J443="Received",$K443&lt;&gt;"Yes",LEFT($N443,2)="OK"),"Yes","No"))</f>
        <v/>
      </c>
      <c r="M443" s="16" t="n"/>
      <c r="N443" s="17">
        <f>IF($D443="","",IF(AND($F443&lt;&gt;"Classroom",$F443&lt;&gt;"PT"),"TYPE NOT CREDITED",IF($C443="","NO MAKEUP DATE",IF(NOT(ISNUMBER($C443)),"MAKEUP DATE NOT A DATE",IF(OR(AND($G443&lt;&gt;"",NOT(ISNUMBER($G443))),AND($H443&lt;&gt;"",NOT(ISNUMBER($H443)))),"CREDIT NOT A NUMBER",IF(OR(N($G443)&lt;0,N($H443)&lt;0),"NEGATIVE CREDIT",IF(AND($F443="Classroom",N($G443)&lt;=0),"NO MINUTES CREDITED",IF(AND($F443="PT",N($H443)&lt;=0),"NO SESSIONS CREDITED",IF($I443="","NO LINKED EVENT",IF(COUNTIF(nrAT_ID,$I443)=0,"NO SUCH EVENT",IF(INDEX(nrAT_PID,MATCH($I443,nrAT_ID,0))&lt;&gt;$E443,"WRONG CADET",IF(INDEX(nrAT_IsPT,MATCH($I443,nrAT_ID,0))&lt;&gt;IF($F443="PT","Yes","No"),"UNIT MISMATCH","OK"))))))))))))</f>
        <v/>
      </c>
    </row>
    <row r="444">
      <c r="B444" s="17">
        <f>IF($D444="","","M"&amp;TEXT(ROW()-5,"000"))</f>
        <v/>
      </c>
      <c r="C444" s="18" t="n"/>
      <c r="D444" s="16" t="n"/>
      <c r="E444" s="17">
        <f>IF($D444="","",IFERROR(INDEX(rngCadetPIDs,MATCH($D444,rngCadetNames,0)),"?"))</f>
        <v/>
      </c>
      <c r="F444" s="16" t="n"/>
      <c r="G444" s="16" t="n"/>
      <c r="H444" s="16" t="n"/>
      <c r="I444" s="16" t="n"/>
      <c r="J444" s="16" t="n"/>
      <c r="K444" s="16" t="n"/>
      <c r="L444" s="17">
        <f>IF($D444="","",IF(AND($J444="Received",$K444&lt;&gt;"Yes",LEFT($N444,2)="OK"),"Yes","No"))</f>
        <v/>
      </c>
      <c r="M444" s="16" t="n"/>
      <c r="N444" s="17">
        <f>IF($D444="","",IF(AND($F444&lt;&gt;"Classroom",$F444&lt;&gt;"PT"),"TYPE NOT CREDITED",IF($C444="","NO MAKEUP DATE",IF(NOT(ISNUMBER($C444)),"MAKEUP DATE NOT A DATE",IF(OR(AND($G444&lt;&gt;"",NOT(ISNUMBER($G444))),AND($H444&lt;&gt;"",NOT(ISNUMBER($H444)))),"CREDIT NOT A NUMBER",IF(OR(N($G444)&lt;0,N($H444)&lt;0),"NEGATIVE CREDIT",IF(AND($F444="Classroom",N($G444)&lt;=0),"NO MINUTES CREDITED",IF(AND($F444="PT",N($H444)&lt;=0),"NO SESSIONS CREDITED",IF($I444="","NO LINKED EVENT",IF(COUNTIF(nrAT_ID,$I444)=0,"NO SUCH EVENT",IF(INDEX(nrAT_PID,MATCH($I444,nrAT_ID,0))&lt;&gt;$E444,"WRONG CADET",IF(INDEX(nrAT_IsPT,MATCH($I444,nrAT_ID,0))&lt;&gt;IF($F444="PT","Yes","No"),"UNIT MISMATCH","OK"))))))))))))</f>
        <v/>
      </c>
    </row>
    <row r="445">
      <c r="B445" s="17">
        <f>IF($D445="","","M"&amp;TEXT(ROW()-5,"000"))</f>
        <v/>
      </c>
      <c r="C445" s="18" t="n"/>
      <c r="D445" s="16" t="n"/>
      <c r="E445" s="17">
        <f>IF($D445="","",IFERROR(INDEX(rngCadetPIDs,MATCH($D445,rngCadetNames,0)),"?"))</f>
        <v/>
      </c>
      <c r="F445" s="16" t="n"/>
      <c r="G445" s="16" t="n"/>
      <c r="H445" s="16" t="n"/>
      <c r="I445" s="16" t="n"/>
      <c r="J445" s="16" t="n"/>
      <c r="K445" s="16" t="n"/>
      <c r="L445" s="17">
        <f>IF($D445="","",IF(AND($J445="Received",$K445&lt;&gt;"Yes",LEFT($N445,2)="OK"),"Yes","No"))</f>
        <v/>
      </c>
      <c r="M445" s="16" t="n"/>
      <c r="N445" s="17">
        <f>IF($D445="","",IF(AND($F445&lt;&gt;"Classroom",$F445&lt;&gt;"PT"),"TYPE NOT CREDITED",IF($C445="","NO MAKEUP DATE",IF(NOT(ISNUMBER($C445)),"MAKEUP DATE NOT A DATE",IF(OR(AND($G445&lt;&gt;"",NOT(ISNUMBER($G445))),AND($H445&lt;&gt;"",NOT(ISNUMBER($H445)))),"CREDIT NOT A NUMBER",IF(OR(N($G445)&lt;0,N($H445)&lt;0),"NEGATIVE CREDIT",IF(AND($F445="Classroom",N($G445)&lt;=0),"NO MINUTES CREDITED",IF(AND($F445="PT",N($H445)&lt;=0),"NO SESSIONS CREDITED",IF($I445="","NO LINKED EVENT",IF(COUNTIF(nrAT_ID,$I445)=0,"NO SUCH EVENT",IF(INDEX(nrAT_PID,MATCH($I445,nrAT_ID,0))&lt;&gt;$E445,"WRONG CADET",IF(INDEX(nrAT_IsPT,MATCH($I445,nrAT_ID,0))&lt;&gt;IF($F445="PT","Yes","No"),"UNIT MISMATCH","OK"))))))))))))</f>
        <v/>
      </c>
    </row>
    <row r="446">
      <c r="B446" s="17">
        <f>IF($D446="","","M"&amp;TEXT(ROW()-5,"000"))</f>
        <v/>
      </c>
      <c r="C446" s="18" t="n"/>
      <c r="D446" s="16" t="n"/>
      <c r="E446" s="17">
        <f>IF($D446="","",IFERROR(INDEX(rngCadetPIDs,MATCH($D446,rngCadetNames,0)),"?"))</f>
        <v/>
      </c>
      <c r="F446" s="16" t="n"/>
      <c r="G446" s="16" t="n"/>
      <c r="H446" s="16" t="n"/>
      <c r="I446" s="16" t="n"/>
      <c r="J446" s="16" t="n"/>
      <c r="K446" s="16" t="n"/>
      <c r="L446" s="17">
        <f>IF($D446="","",IF(AND($J446="Received",$K446&lt;&gt;"Yes",LEFT($N446,2)="OK"),"Yes","No"))</f>
        <v/>
      </c>
      <c r="M446" s="16" t="n"/>
      <c r="N446" s="17">
        <f>IF($D446="","",IF(AND($F446&lt;&gt;"Classroom",$F446&lt;&gt;"PT"),"TYPE NOT CREDITED",IF($C446="","NO MAKEUP DATE",IF(NOT(ISNUMBER($C446)),"MAKEUP DATE NOT A DATE",IF(OR(AND($G446&lt;&gt;"",NOT(ISNUMBER($G446))),AND($H446&lt;&gt;"",NOT(ISNUMBER($H446)))),"CREDIT NOT A NUMBER",IF(OR(N($G446)&lt;0,N($H446)&lt;0),"NEGATIVE CREDIT",IF(AND($F446="Classroom",N($G446)&lt;=0),"NO MINUTES CREDITED",IF(AND($F446="PT",N($H446)&lt;=0),"NO SESSIONS CREDITED",IF($I446="","NO LINKED EVENT",IF(COUNTIF(nrAT_ID,$I446)=0,"NO SUCH EVENT",IF(INDEX(nrAT_PID,MATCH($I446,nrAT_ID,0))&lt;&gt;$E446,"WRONG CADET",IF(INDEX(nrAT_IsPT,MATCH($I446,nrAT_ID,0))&lt;&gt;IF($F446="PT","Yes","No"),"UNIT MISMATCH","OK"))))))))))))</f>
        <v/>
      </c>
    </row>
    <row r="447">
      <c r="B447" s="17">
        <f>IF($D447="","","M"&amp;TEXT(ROW()-5,"000"))</f>
        <v/>
      </c>
      <c r="C447" s="18" t="n"/>
      <c r="D447" s="16" t="n"/>
      <c r="E447" s="17">
        <f>IF($D447="","",IFERROR(INDEX(rngCadetPIDs,MATCH($D447,rngCadetNames,0)),"?"))</f>
        <v/>
      </c>
      <c r="F447" s="16" t="n"/>
      <c r="G447" s="16" t="n"/>
      <c r="H447" s="16" t="n"/>
      <c r="I447" s="16" t="n"/>
      <c r="J447" s="16" t="n"/>
      <c r="K447" s="16" t="n"/>
      <c r="L447" s="17">
        <f>IF($D447="","",IF(AND($J447="Received",$K447&lt;&gt;"Yes",LEFT($N447,2)="OK"),"Yes","No"))</f>
        <v/>
      </c>
      <c r="M447" s="16" t="n"/>
      <c r="N447" s="17">
        <f>IF($D447="","",IF(AND($F447&lt;&gt;"Classroom",$F447&lt;&gt;"PT"),"TYPE NOT CREDITED",IF($C447="","NO MAKEUP DATE",IF(NOT(ISNUMBER($C447)),"MAKEUP DATE NOT A DATE",IF(OR(AND($G447&lt;&gt;"",NOT(ISNUMBER($G447))),AND($H447&lt;&gt;"",NOT(ISNUMBER($H447)))),"CREDIT NOT A NUMBER",IF(OR(N($G447)&lt;0,N($H447)&lt;0),"NEGATIVE CREDIT",IF(AND($F447="Classroom",N($G447)&lt;=0),"NO MINUTES CREDITED",IF(AND($F447="PT",N($H447)&lt;=0),"NO SESSIONS CREDITED",IF($I447="","NO LINKED EVENT",IF(COUNTIF(nrAT_ID,$I447)=0,"NO SUCH EVENT",IF(INDEX(nrAT_PID,MATCH($I447,nrAT_ID,0))&lt;&gt;$E447,"WRONG CADET",IF(INDEX(nrAT_IsPT,MATCH($I447,nrAT_ID,0))&lt;&gt;IF($F447="PT","Yes","No"),"UNIT MISMATCH","OK"))))))))))))</f>
        <v/>
      </c>
    </row>
    <row r="448">
      <c r="B448" s="17">
        <f>IF($D448="","","M"&amp;TEXT(ROW()-5,"000"))</f>
        <v/>
      </c>
      <c r="C448" s="18" t="n"/>
      <c r="D448" s="16" t="n"/>
      <c r="E448" s="17">
        <f>IF($D448="","",IFERROR(INDEX(rngCadetPIDs,MATCH($D448,rngCadetNames,0)),"?"))</f>
        <v/>
      </c>
      <c r="F448" s="16" t="n"/>
      <c r="G448" s="16" t="n"/>
      <c r="H448" s="16" t="n"/>
      <c r="I448" s="16" t="n"/>
      <c r="J448" s="16" t="n"/>
      <c r="K448" s="16" t="n"/>
      <c r="L448" s="17">
        <f>IF($D448="","",IF(AND($J448="Received",$K448&lt;&gt;"Yes",LEFT($N448,2)="OK"),"Yes","No"))</f>
        <v/>
      </c>
      <c r="M448" s="16" t="n"/>
      <c r="N448" s="17">
        <f>IF($D448="","",IF(AND($F448&lt;&gt;"Classroom",$F448&lt;&gt;"PT"),"TYPE NOT CREDITED",IF($C448="","NO MAKEUP DATE",IF(NOT(ISNUMBER($C448)),"MAKEUP DATE NOT A DATE",IF(OR(AND($G448&lt;&gt;"",NOT(ISNUMBER($G448))),AND($H448&lt;&gt;"",NOT(ISNUMBER($H448)))),"CREDIT NOT A NUMBER",IF(OR(N($G448)&lt;0,N($H448)&lt;0),"NEGATIVE CREDIT",IF(AND($F448="Classroom",N($G448)&lt;=0),"NO MINUTES CREDITED",IF(AND($F448="PT",N($H448)&lt;=0),"NO SESSIONS CREDITED",IF($I448="","NO LINKED EVENT",IF(COUNTIF(nrAT_ID,$I448)=0,"NO SUCH EVENT",IF(INDEX(nrAT_PID,MATCH($I448,nrAT_ID,0))&lt;&gt;$E448,"WRONG CADET",IF(INDEX(nrAT_IsPT,MATCH($I448,nrAT_ID,0))&lt;&gt;IF($F448="PT","Yes","No"),"UNIT MISMATCH","OK"))))))))))))</f>
        <v/>
      </c>
    </row>
    <row r="449">
      <c r="B449" s="17">
        <f>IF($D449="","","M"&amp;TEXT(ROW()-5,"000"))</f>
        <v/>
      </c>
      <c r="C449" s="18" t="n"/>
      <c r="D449" s="16" t="n"/>
      <c r="E449" s="17">
        <f>IF($D449="","",IFERROR(INDEX(rngCadetPIDs,MATCH($D449,rngCadetNames,0)),"?"))</f>
        <v/>
      </c>
      <c r="F449" s="16" t="n"/>
      <c r="G449" s="16" t="n"/>
      <c r="H449" s="16" t="n"/>
      <c r="I449" s="16" t="n"/>
      <c r="J449" s="16" t="n"/>
      <c r="K449" s="16" t="n"/>
      <c r="L449" s="17">
        <f>IF($D449="","",IF(AND($J449="Received",$K449&lt;&gt;"Yes",LEFT($N449,2)="OK"),"Yes","No"))</f>
        <v/>
      </c>
      <c r="M449" s="16" t="n"/>
      <c r="N449" s="17">
        <f>IF($D449="","",IF(AND($F449&lt;&gt;"Classroom",$F449&lt;&gt;"PT"),"TYPE NOT CREDITED",IF($C449="","NO MAKEUP DATE",IF(NOT(ISNUMBER($C449)),"MAKEUP DATE NOT A DATE",IF(OR(AND($G449&lt;&gt;"",NOT(ISNUMBER($G449))),AND($H449&lt;&gt;"",NOT(ISNUMBER($H449)))),"CREDIT NOT A NUMBER",IF(OR(N($G449)&lt;0,N($H449)&lt;0),"NEGATIVE CREDIT",IF(AND($F449="Classroom",N($G449)&lt;=0),"NO MINUTES CREDITED",IF(AND($F449="PT",N($H449)&lt;=0),"NO SESSIONS CREDITED",IF($I449="","NO LINKED EVENT",IF(COUNTIF(nrAT_ID,$I449)=0,"NO SUCH EVENT",IF(INDEX(nrAT_PID,MATCH($I449,nrAT_ID,0))&lt;&gt;$E449,"WRONG CADET",IF(INDEX(nrAT_IsPT,MATCH($I449,nrAT_ID,0))&lt;&gt;IF($F449="PT","Yes","No"),"UNIT MISMATCH","OK"))))))))))))</f>
        <v/>
      </c>
    </row>
    <row r="450">
      <c r="B450" s="17">
        <f>IF($D450="","","M"&amp;TEXT(ROW()-5,"000"))</f>
        <v/>
      </c>
      <c r="C450" s="18" t="n"/>
      <c r="D450" s="16" t="n"/>
      <c r="E450" s="17">
        <f>IF($D450="","",IFERROR(INDEX(rngCadetPIDs,MATCH($D450,rngCadetNames,0)),"?"))</f>
        <v/>
      </c>
      <c r="F450" s="16" t="n"/>
      <c r="G450" s="16" t="n"/>
      <c r="H450" s="16" t="n"/>
      <c r="I450" s="16" t="n"/>
      <c r="J450" s="16" t="n"/>
      <c r="K450" s="16" t="n"/>
      <c r="L450" s="17">
        <f>IF($D450="","",IF(AND($J450="Received",$K450&lt;&gt;"Yes",LEFT($N450,2)="OK"),"Yes","No"))</f>
        <v/>
      </c>
      <c r="M450" s="16" t="n"/>
      <c r="N450" s="17">
        <f>IF($D450="","",IF(AND($F450&lt;&gt;"Classroom",$F450&lt;&gt;"PT"),"TYPE NOT CREDITED",IF($C450="","NO MAKEUP DATE",IF(NOT(ISNUMBER($C450)),"MAKEUP DATE NOT A DATE",IF(OR(AND($G450&lt;&gt;"",NOT(ISNUMBER($G450))),AND($H450&lt;&gt;"",NOT(ISNUMBER($H450)))),"CREDIT NOT A NUMBER",IF(OR(N($G450)&lt;0,N($H450)&lt;0),"NEGATIVE CREDIT",IF(AND($F450="Classroom",N($G450)&lt;=0),"NO MINUTES CREDITED",IF(AND($F450="PT",N($H450)&lt;=0),"NO SESSIONS CREDITED",IF($I450="","NO LINKED EVENT",IF(COUNTIF(nrAT_ID,$I450)=0,"NO SUCH EVENT",IF(INDEX(nrAT_PID,MATCH($I450,nrAT_ID,0))&lt;&gt;$E450,"WRONG CADET",IF(INDEX(nrAT_IsPT,MATCH($I450,nrAT_ID,0))&lt;&gt;IF($F450="PT","Yes","No"),"UNIT MISMATCH","OK"))))))))))))</f>
        <v/>
      </c>
    </row>
    <row r="451">
      <c r="B451" s="17">
        <f>IF($D451="","","M"&amp;TEXT(ROW()-5,"000"))</f>
        <v/>
      </c>
      <c r="C451" s="18" t="n"/>
      <c r="D451" s="16" t="n"/>
      <c r="E451" s="17">
        <f>IF($D451="","",IFERROR(INDEX(rngCadetPIDs,MATCH($D451,rngCadetNames,0)),"?"))</f>
        <v/>
      </c>
      <c r="F451" s="16" t="n"/>
      <c r="G451" s="16" t="n"/>
      <c r="H451" s="16" t="n"/>
      <c r="I451" s="16" t="n"/>
      <c r="J451" s="16" t="n"/>
      <c r="K451" s="16" t="n"/>
      <c r="L451" s="17">
        <f>IF($D451="","",IF(AND($J451="Received",$K451&lt;&gt;"Yes",LEFT($N451,2)="OK"),"Yes","No"))</f>
        <v/>
      </c>
      <c r="M451" s="16" t="n"/>
      <c r="N451" s="17">
        <f>IF($D451="","",IF(AND($F451&lt;&gt;"Classroom",$F451&lt;&gt;"PT"),"TYPE NOT CREDITED",IF($C451="","NO MAKEUP DATE",IF(NOT(ISNUMBER($C451)),"MAKEUP DATE NOT A DATE",IF(OR(AND($G451&lt;&gt;"",NOT(ISNUMBER($G451))),AND($H451&lt;&gt;"",NOT(ISNUMBER($H451)))),"CREDIT NOT A NUMBER",IF(OR(N($G451)&lt;0,N($H451)&lt;0),"NEGATIVE CREDIT",IF(AND($F451="Classroom",N($G451)&lt;=0),"NO MINUTES CREDITED",IF(AND($F451="PT",N($H451)&lt;=0),"NO SESSIONS CREDITED",IF($I451="","NO LINKED EVENT",IF(COUNTIF(nrAT_ID,$I451)=0,"NO SUCH EVENT",IF(INDEX(nrAT_PID,MATCH($I451,nrAT_ID,0))&lt;&gt;$E451,"WRONG CADET",IF(INDEX(nrAT_IsPT,MATCH($I451,nrAT_ID,0))&lt;&gt;IF($F451="PT","Yes","No"),"UNIT MISMATCH","OK"))))))))))))</f>
        <v/>
      </c>
    </row>
    <row r="452">
      <c r="B452" s="17">
        <f>IF($D452="","","M"&amp;TEXT(ROW()-5,"000"))</f>
        <v/>
      </c>
      <c r="C452" s="18" t="n"/>
      <c r="D452" s="16" t="n"/>
      <c r="E452" s="17">
        <f>IF($D452="","",IFERROR(INDEX(rngCadetPIDs,MATCH($D452,rngCadetNames,0)),"?"))</f>
        <v/>
      </c>
      <c r="F452" s="16" t="n"/>
      <c r="G452" s="16" t="n"/>
      <c r="H452" s="16" t="n"/>
      <c r="I452" s="16" t="n"/>
      <c r="J452" s="16" t="n"/>
      <c r="K452" s="16" t="n"/>
      <c r="L452" s="17">
        <f>IF($D452="","",IF(AND($J452="Received",$K452&lt;&gt;"Yes",LEFT($N452,2)="OK"),"Yes","No"))</f>
        <v/>
      </c>
      <c r="M452" s="16" t="n"/>
      <c r="N452" s="17">
        <f>IF($D452="","",IF(AND($F452&lt;&gt;"Classroom",$F452&lt;&gt;"PT"),"TYPE NOT CREDITED",IF($C452="","NO MAKEUP DATE",IF(NOT(ISNUMBER($C452)),"MAKEUP DATE NOT A DATE",IF(OR(AND($G452&lt;&gt;"",NOT(ISNUMBER($G452))),AND($H452&lt;&gt;"",NOT(ISNUMBER($H452)))),"CREDIT NOT A NUMBER",IF(OR(N($G452)&lt;0,N($H452)&lt;0),"NEGATIVE CREDIT",IF(AND($F452="Classroom",N($G452)&lt;=0),"NO MINUTES CREDITED",IF(AND($F452="PT",N($H452)&lt;=0),"NO SESSIONS CREDITED",IF($I452="","NO LINKED EVENT",IF(COUNTIF(nrAT_ID,$I452)=0,"NO SUCH EVENT",IF(INDEX(nrAT_PID,MATCH($I452,nrAT_ID,0))&lt;&gt;$E452,"WRONG CADET",IF(INDEX(nrAT_IsPT,MATCH($I452,nrAT_ID,0))&lt;&gt;IF($F452="PT","Yes","No"),"UNIT MISMATCH","OK"))))))))))))</f>
        <v/>
      </c>
    </row>
    <row r="453">
      <c r="B453" s="17">
        <f>IF($D453="","","M"&amp;TEXT(ROW()-5,"000"))</f>
        <v/>
      </c>
      <c r="C453" s="18" t="n"/>
      <c r="D453" s="16" t="n"/>
      <c r="E453" s="17">
        <f>IF($D453="","",IFERROR(INDEX(rngCadetPIDs,MATCH($D453,rngCadetNames,0)),"?"))</f>
        <v/>
      </c>
      <c r="F453" s="16" t="n"/>
      <c r="G453" s="16" t="n"/>
      <c r="H453" s="16" t="n"/>
      <c r="I453" s="16" t="n"/>
      <c r="J453" s="16" t="n"/>
      <c r="K453" s="16" t="n"/>
      <c r="L453" s="17">
        <f>IF($D453="","",IF(AND($J453="Received",$K453&lt;&gt;"Yes",LEFT($N453,2)="OK"),"Yes","No"))</f>
        <v/>
      </c>
      <c r="M453" s="16" t="n"/>
      <c r="N453" s="17">
        <f>IF($D453="","",IF(AND($F453&lt;&gt;"Classroom",$F453&lt;&gt;"PT"),"TYPE NOT CREDITED",IF($C453="","NO MAKEUP DATE",IF(NOT(ISNUMBER($C453)),"MAKEUP DATE NOT A DATE",IF(OR(AND($G453&lt;&gt;"",NOT(ISNUMBER($G453))),AND($H453&lt;&gt;"",NOT(ISNUMBER($H453)))),"CREDIT NOT A NUMBER",IF(OR(N($G453)&lt;0,N($H453)&lt;0),"NEGATIVE CREDIT",IF(AND($F453="Classroom",N($G453)&lt;=0),"NO MINUTES CREDITED",IF(AND($F453="PT",N($H453)&lt;=0),"NO SESSIONS CREDITED",IF($I453="","NO LINKED EVENT",IF(COUNTIF(nrAT_ID,$I453)=0,"NO SUCH EVENT",IF(INDEX(nrAT_PID,MATCH($I453,nrAT_ID,0))&lt;&gt;$E453,"WRONG CADET",IF(INDEX(nrAT_IsPT,MATCH($I453,nrAT_ID,0))&lt;&gt;IF($F453="PT","Yes","No"),"UNIT MISMATCH","OK"))))))))))))</f>
        <v/>
      </c>
    </row>
    <row r="454">
      <c r="B454" s="17">
        <f>IF($D454="","","M"&amp;TEXT(ROW()-5,"000"))</f>
        <v/>
      </c>
      <c r="C454" s="18" t="n"/>
      <c r="D454" s="16" t="n"/>
      <c r="E454" s="17">
        <f>IF($D454="","",IFERROR(INDEX(rngCadetPIDs,MATCH($D454,rngCadetNames,0)),"?"))</f>
        <v/>
      </c>
      <c r="F454" s="16" t="n"/>
      <c r="G454" s="16" t="n"/>
      <c r="H454" s="16" t="n"/>
      <c r="I454" s="16" t="n"/>
      <c r="J454" s="16" t="n"/>
      <c r="K454" s="16" t="n"/>
      <c r="L454" s="17">
        <f>IF($D454="","",IF(AND($J454="Received",$K454&lt;&gt;"Yes",LEFT($N454,2)="OK"),"Yes","No"))</f>
        <v/>
      </c>
      <c r="M454" s="16" t="n"/>
      <c r="N454" s="17">
        <f>IF($D454="","",IF(AND($F454&lt;&gt;"Classroom",$F454&lt;&gt;"PT"),"TYPE NOT CREDITED",IF($C454="","NO MAKEUP DATE",IF(NOT(ISNUMBER($C454)),"MAKEUP DATE NOT A DATE",IF(OR(AND($G454&lt;&gt;"",NOT(ISNUMBER($G454))),AND($H454&lt;&gt;"",NOT(ISNUMBER($H454)))),"CREDIT NOT A NUMBER",IF(OR(N($G454)&lt;0,N($H454)&lt;0),"NEGATIVE CREDIT",IF(AND($F454="Classroom",N($G454)&lt;=0),"NO MINUTES CREDITED",IF(AND($F454="PT",N($H454)&lt;=0),"NO SESSIONS CREDITED",IF($I454="","NO LINKED EVENT",IF(COUNTIF(nrAT_ID,$I454)=0,"NO SUCH EVENT",IF(INDEX(nrAT_PID,MATCH($I454,nrAT_ID,0))&lt;&gt;$E454,"WRONG CADET",IF(INDEX(nrAT_IsPT,MATCH($I454,nrAT_ID,0))&lt;&gt;IF($F454="PT","Yes","No"),"UNIT MISMATCH","OK"))))))))))))</f>
        <v/>
      </c>
    </row>
    <row r="455">
      <c r="B455" s="17">
        <f>IF($D455="","","M"&amp;TEXT(ROW()-5,"000"))</f>
        <v/>
      </c>
      <c r="C455" s="18" t="n"/>
      <c r="D455" s="16" t="n"/>
      <c r="E455" s="17">
        <f>IF($D455="","",IFERROR(INDEX(rngCadetPIDs,MATCH($D455,rngCadetNames,0)),"?"))</f>
        <v/>
      </c>
      <c r="F455" s="16" t="n"/>
      <c r="G455" s="16" t="n"/>
      <c r="H455" s="16" t="n"/>
      <c r="I455" s="16" t="n"/>
      <c r="J455" s="16" t="n"/>
      <c r="K455" s="16" t="n"/>
      <c r="L455" s="17">
        <f>IF($D455="","",IF(AND($J455="Received",$K455&lt;&gt;"Yes",LEFT($N455,2)="OK"),"Yes","No"))</f>
        <v/>
      </c>
      <c r="M455" s="16" t="n"/>
      <c r="N455" s="17">
        <f>IF($D455="","",IF(AND($F455&lt;&gt;"Classroom",$F455&lt;&gt;"PT"),"TYPE NOT CREDITED",IF($C455="","NO MAKEUP DATE",IF(NOT(ISNUMBER($C455)),"MAKEUP DATE NOT A DATE",IF(OR(AND($G455&lt;&gt;"",NOT(ISNUMBER($G455))),AND($H455&lt;&gt;"",NOT(ISNUMBER($H455)))),"CREDIT NOT A NUMBER",IF(OR(N($G455)&lt;0,N($H455)&lt;0),"NEGATIVE CREDIT",IF(AND($F455="Classroom",N($G455)&lt;=0),"NO MINUTES CREDITED",IF(AND($F455="PT",N($H455)&lt;=0),"NO SESSIONS CREDITED",IF($I455="","NO LINKED EVENT",IF(COUNTIF(nrAT_ID,$I455)=0,"NO SUCH EVENT",IF(INDEX(nrAT_PID,MATCH($I455,nrAT_ID,0))&lt;&gt;$E455,"WRONG CADET",IF(INDEX(nrAT_IsPT,MATCH($I455,nrAT_ID,0))&lt;&gt;IF($F455="PT","Yes","No"),"UNIT MISMATCH","OK"))))))))))))</f>
        <v/>
      </c>
    </row>
    <row r="456">
      <c r="B456" s="17">
        <f>IF($D456="","","M"&amp;TEXT(ROW()-5,"000"))</f>
        <v/>
      </c>
      <c r="C456" s="18" t="n"/>
      <c r="D456" s="16" t="n"/>
      <c r="E456" s="17">
        <f>IF($D456="","",IFERROR(INDEX(rngCadetPIDs,MATCH($D456,rngCadetNames,0)),"?"))</f>
        <v/>
      </c>
      <c r="F456" s="16" t="n"/>
      <c r="G456" s="16" t="n"/>
      <c r="H456" s="16" t="n"/>
      <c r="I456" s="16" t="n"/>
      <c r="J456" s="16" t="n"/>
      <c r="K456" s="16" t="n"/>
      <c r="L456" s="17">
        <f>IF($D456="","",IF(AND($J456="Received",$K456&lt;&gt;"Yes",LEFT($N456,2)="OK"),"Yes","No"))</f>
        <v/>
      </c>
      <c r="M456" s="16" t="n"/>
      <c r="N456" s="17">
        <f>IF($D456="","",IF(AND($F456&lt;&gt;"Classroom",$F456&lt;&gt;"PT"),"TYPE NOT CREDITED",IF($C456="","NO MAKEUP DATE",IF(NOT(ISNUMBER($C456)),"MAKEUP DATE NOT A DATE",IF(OR(AND($G456&lt;&gt;"",NOT(ISNUMBER($G456))),AND($H456&lt;&gt;"",NOT(ISNUMBER($H456)))),"CREDIT NOT A NUMBER",IF(OR(N($G456)&lt;0,N($H456)&lt;0),"NEGATIVE CREDIT",IF(AND($F456="Classroom",N($G456)&lt;=0),"NO MINUTES CREDITED",IF(AND($F456="PT",N($H456)&lt;=0),"NO SESSIONS CREDITED",IF($I456="","NO LINKED EVENT",IF(COUNTIF(nrAT_ID,$I456)=0,"NO SUCH EVENT",IF(INDEX(nrAT_PID,MATCH($I456,nrAT_ID,0))&lt;&gt;$E456,"WRONG CADET",IF(INDEX(nrAT_IsPT,MATCH($I456,nrAT_ID,0))&lt;&gt;IF($F456="PT","Yes","No"),"UNIT MISMATCH","OK"))))))))))))</f>
        <v/>
      </c>
    </row>
    <row r="457">
      <c r="B457" s="17">
        <f>IF($D457="","","M"&amp;TEXT(ROW()-5,"000"))</f>
        <v/>
      </c>
      <c r="C457" s="18" t="n"/>
      <c r="D457" s="16" t="n"/>
      <c r="E457" s="17">
        <f>IF($D457="","",IFERROR(INDEX(rngCadetPIDs,MATCH($D457,rngCadetNames,0)),"?"))</f>
        <v/>
      </c>
      <c r="F457" s="16" t="n"/>
      <c r="G457" s="16" t="n"/>
      <c r="H457" s="16" t="n"/>
      <c r="I457" s="16" t="n"/>
      <c r="J457" s="16" t="n"/>
      <c r="K457" s="16" t="n"/>
      <c r="L457" s="17">
        <f>IF($D457="","",IF(AND($J457="Received",$K457&lt;&gt;"Yes",LEFT($N457,2)="OK"),"Yes","No"))</f>
        <v/>
      </c>
      <c r="M457" s="16" t="n"/>
      <c r="N457" s="17">
        <f>IF($D457="","",IF(AND($F457&lt;&gt;"Classroom",$F457&lt;&gt;"PT"),"TYPE NOT CREDITED",IF($C457="","NO MAKEUP DATE",IF(NOT(ISNUMBER($C457)),"MAKEUP DATE NOT A DATE",IF(OR(AND($G457&lt;&gt;"",NOT(ISNUMBER($G457))),AND($H457&lt;&gt;"",NOT(ISNUMBER($H457)))),"CREDIT NOT A NUMBER",IF(OR(N($G457)&lt;0,N($H457)&lt;0),"NEGATIVE CREDIT",IF(AND($F457="Classroom",N($G457)&lt;=0),"NO MINUTES CREDITED",IF(AND($F457="PT",N($H457)&lt;=0),"NO SESSIONS CREDITED",IF($I457="","NO LINKED EVENT",IF(COUNTIF(nrAT_ID,$I457)=0,"NO SUCH EVENT",IF(INDEX(nrAT_PID,MATCH($I457,nrAT_ID,0))&lt;&gt;$E457,"WRONG CADET",IF(INDEX(nrAT_IsPT,MATCH($I457,nrAT_ID,0))&lt;&gt;IF($F457="PT","Yes","No"),"UNIT MISMATCH","OK"))))))))))))</f>
        <v/>
      </c>
    </row>
    <row r="458">
      <c r="B458" s="17">
        <f>IF($D458="","","M"&amp;TEXT(ROW()-5,"000"))</f>
        <v/>
      </c>
      <c r="C458" s="18" t="n"/>
      <c r="D458" s="16" t="n"/>
      <c r="E458" s="17">
        <f>IF($D458="","",IFERROR(INDEX(rngCadetPIDs,MATCH($D458,rngCadetNames,0)),"?"))</f>
        <v/>
      </c>
      <c r="F458" s="16" t="n"/>
      <c r="G458" s="16" t="n"/>
      <c r="H458" s="16" t="n"/>
      <c r="I458" s="16" t="n"/>
      <c r="J458" s="16" t="n"/>
      <c r="K458" s="16" t="n"/>
      <c r="L458" s="17">
        <f>IF($D458="","",IF(AND($J458="Received",$K458&lt;&gt;"Yes",LEFT($N458,2)="OK"),"Yes","No"))</f>
        <v/>
      </c>
      <c r="M458" s="16" t="n"/>
      <c r="N458" s="17">
        <f>IF($D458="","",IF(AND($F458&lt;&gt;"Classroom",$F458&lt;&gt;"PT"),"TYPE NOT CREDITED",IF($C458="","NO MAKEUP DATE",IF(NOT(ISNUMBER($C458)),"MAKEUP DATE NOT A DATE",IF(OR(AND($G458&lt;&gt;"",NOT(ISNUMBER($G458))),AND($H458&lt;&gt;"",NOT(ISNUMBER($H458)))),"CREDIT NOT A NUMBER",IF(OR(N($G458)&lt;0,N($H458)&lt;0),"NEGATIVE CREDIT",IF(AND($F458="Classroom",N($G458)&lt;=0),"NO MINUTES CREDITED",IF(AND($F458="PT",N($H458)&lt;=0),"NO SESSIONS CREDITED",IF($I458="","NO LINKED EVENT",IF(COUNTIF(nrAT_ID,$I458)=0,"NO SUCH EVENT",IF(INDEX(nrAT_PID,MATCH($I458,nrAT_ID,0))&lt;&gt;$E458,"WRONG CADET",IF(INDEX(nrAT_IsPT,MATCH($I458,nrAT_ID,0))&lt;&gt;IF($F458="PT","Yes","No"),"UNIT MISMATCH","OK"))))))))))))</f>
        <v/>
      </c>
    </row>
    <row r="459">
      <c r="B459" s="17">
        <f>IF($D459="","","M"&amp;TEXT(ROW()-5,"000"))</f>
        <v/>
      </c>
      <c r="C459" s="18" t="n"/>
      <c r="D459" s="16" t="n"/>
      <c r="E459" s="17">
        <f>IF($D459="","",IFERROR(INDEX(rngCadetPIDs,MATCH($D459,rngCadetNames,0)),"?"))</f>
        <v/>
      </c>
      <c r="F459" s="16" t="n"/>
      <c r="G459" s="16" t="n"/>
      <c r="H459" s="16" t="n"/>
      <c r="I459" s="16" t="n"/>
      <c r="J459" s="16" t="n"/>
      <c r="K459" s="16" t="n"/>
      <c r="L459" s="17">
        <f>IF($D459="","",IF(AND($J459="Received",$K459&lt;&gt;"Yes",LEFT($N459,2)="OK"),"Yes","No"))</f>
        <v/>
      </c>
      <c r="M459" s="16" t="n"/>
      <c r="N459" s="17">
        <f>IF($D459="","",IF(AND($F459&lt;&gt;"Classroom",$F459&lt;&gt;"PT"),"TYPE NOT CREDITED",IF($C459="","NO MAKEUP DATE",IF(NOT(ISNUMBER($C459)),"MAKEUP DATE NOT A DATE",IF(OR(AND($G459&lt;&gt;"",NOT(ISNUMBER($G459))),AND($H459&lt;&gt;"",NOT(ISNUMBER($H459)))),"CREDIT NOT A NUMBER",IF(OR(N($G459)&lt;0,N($H459)&lt;0),"NEGATIVE CREDIT",IF(AND($F459="Classroom",N($G459)&lt;=0),"NO MINUTES CREDITED",IF(AND($F459="PT",N($H459)&lt;=0),"NO SESSIONS CREDITED",IF($I459="","NO LINKED EVENT",IF(COUNTIF(nrAT_ID,$I459)=0,"NO SUCH EVENT",IF(INDEX(nrAT_PID,MATCH($I459,nrAT_ID,0))&lt;&gt;$E459,"WRONG CADET",IF(INDEX(nrAT_IsPT,MATCH($I459,nrAT_ID,0))&lt;&gt;IF($F459="PT","Yes","No"),"UNIT MISMATCH","OK"))))))))))))</f>
        <v/>
      </c>
    </row>
    <row r="460">
      <c r="B460" s="17">
        <f>IF($D460="","","M"&amp;TEXT(ROW()-5,"000"))</f>
        <v/>
      </c>
      <c r="C460" s="18" t="n"/>
      <c r="D460" s="16" t="n"/>
      <c r="E460" s="17">
        <f>IF($D460="","",IFERROR(INDEX(rngCadetPIDs,MATCH($D460,rngCadetNames,0)),"?"))</f>
        <v/>
      </c>
      <c r="F460" s="16" t="n"/>
      <c r="G460" s="16" t="n"/>
      <c r="H460" s="16" t="n"/>
      <c r="I460" s="16" t="n"/>
      <c r="J460" s="16" t="n"/>
      <c r="K460" s="16" t="n"/>
      <c r="L460" s="17">
        <f>IF($D460="","",IF(AND($J460="Received",$K460&lt;&gt;"Yes",LEFT($N460,2)="OK"),"Yes","No"))</f>
        <v/>
      </c>
      <c r="M460" s="16" t="n"/>
      <c r="N460" s="17">
        <f>IF($D460="","",IF(AND($F460&lt;&gt;"Classroom",$F460&lt;&gt;"PT"),"TYPE NOT CREDITED",IF($C460="","NO MAKEUP DATE",IF(NOT(ISNUMBER($C460)),"MAKEUP DATE NOT A DATE",IF(OR(AND($G460&lt;&gt;"",NOT(ISNUMBER($G460))),AND($H460&lt;&gt;"",NOT(ISNUMBER($H460)))),"CREDIT NOT A NUMBER",IF(OR(N($G460)&lt;0,N($H460)&lt;0),"NEGATIVE CREDIT",IF(AND($F460="Classroom",N($G460)&lt;=0),"NO MINUTES CREDITED",IF(AND($F460="PT",N($H460)&lt;=0),"NO SESSIONS CREDITED",IF($I460="","NO LINKED EVENT",IF(COUNTIF(nrAT_ID,$I460)=0,"NO SUCH EVENT",IF(INDEX(nrAT_PID,MATCH($I460,nrAT_ID,0))&lt;&gt;$E460,"WRONG CADET",IF(INDEX(nrAT_IsPT,MATCH($I460,nrAT_ID,0))&lt;&gt;IF($F460="PT","Yes","No"),"UNIT MISMATCH","OK"))))))))))))</f>
        <v/>
      </c>
    </row>
    <row r="461">
      <c r="B461" s="17">
        <f>IF($D461="","","M"&amp;TEXT(ROW()-5,"000"))</f>
        <v/>
      </c>
      <c r="C461" s="18" t="n"/>
      <c r="D461" s="16" t="n"/>
      <c r="E461" s="17">
        <f>IF($D461="","",IFERROR(INDEX(rngCadetPIDs,MATCH($D461,rngCadetNames,0)),"?"))</f>
        <v/>
      </c>
      <c r="F461" s="16" t="n"/>
      <c r="G461" s="16" t="n"/>
      <c r="H461" s="16" t="n"/>
      <c r="I461" s="16" t="n"/>
      <c r="J461" s="16" t="n"/>
      <c r="K461" s="16" t="n"/>
      <c r="L461" s="17">
        <f>IF($D461="","",IF(AND($J461="Received",$K461&lt;&gt;"Yes",LEFT($N461,2)="OK"),"Yes","No"))</f>
        <v/>
      </c>
      <c r="M461" s="16" t="n"/>
      <c r="N461" s="17">
        <f>IF($D461="","",IF(AND($F461&lt;&gt;"Classroom",$F461&lt;&gt;"PT"),"TYPE NOT CREDITED",IF($C461="","NO MAKEUP DATE",IF(NOT(ISNUMBER($C461)),"MAKEUP DATE NOT A DATE",IF(OR(AND($G461&lt;&gt;"",NOT(ISNUMBER($G461))),AND($H461&lt;&gt;"",NOT(ISNUMBER($H461)))),"CREDIT NOT A NUMBER",IF(OR(N($G461)&lt;0,N($H461)&lt;0),"NEGATIVE CREDIT",IF(AND($F461="Classroom",N($G461)&lt;=0),"NO MINUTES CREDITED",IF(AND($F461="PT",N($H461)&lt;=0),"NO SESSIONS CREDITED",IF($I461="","NO LINKED EVENT",IF(COUNTIF(nrAT_ID,$I461)=0,"NO SUCH EVENT",IF(INDEX(nrAT_PID,MATCH($I461,nrAT_ID,0))&lt;&gt;$E461,"WRONG CADET",IF(INDEX(nrAT_IsPT,MATCH($I461,nrAT_ID,0))&lt;&gt;IF($F461="PT","Yes","No"),"UNIT MISMATCH","OK"))))))))))))</f>
        <v/>
      </c>
    </row>
    <row r="462">
      <c r="B462" s="17">
        <f>IF($D462="","","M"&amp;TEXT(ROW()-5,"000"))</f>
        <v/>
      </c>
      <c r="C462" s="18" t="n"/>
      <c r="D462" s="16" t="n"/>
      <c r="E462" s="17">
        <f>IF($D462="","",IFERROR(INDEX(rngCadetPIDs,MATCH($D462,rngCadetNames,0)),"?"))</f>
        <v/>
      </c>
      <c r="F462" s="16" t="n"/>
      <c r="G462" s="16" t="n"/>
      <c r="H462" s="16" t="n"/>
      <c r="I462" s="16" t="n"/>
      <c r="J462" s="16" t="n"/>
      <c r="K462" s="16" t="n"/>
      <c r="L462" s="17">
        <f>IF($D462="","",IF(AND($J462="Received",$K462&lt;&gt;"Yes",LEFT($N462,2)="OK"),"Yes","No"))</f>
        <v/>
      </c>
      <c r="M462" s="16" t="n"/>
      <c r="N462" s="17">
        <f>IF($D462="","",IF(AND($F462&lt;&gt;"Classroom",$F462&lt;&gt;"PT"),"TYPE NOT CREDITED",IF($C462="","NO MAKEUP DATE",IF(NOT(ISNUMBER($C462)),"MAKEUP DATE NOT A DATE",IF(OR(AND($G462&lt;&gt;"",NOT(ISNUMBER($G462))),AND($H462&lt;&gt;"",NOT(ISNUMBER($H462)))),"CREDIT NOT A NUMBER",IF(OR(N($G462)&lt;0,N($H462)&lt;0),"NEGATIVE CREDIT",IF(AND($F462="Classroom",N($G462)&lt;=0),"NO MINUTES CREDITED",IF(AND($F462="PT",N($H462)&lt;=0),"NO SESSIONS CREDITED",IF($I462="","NO LINKED EVENT",IF(COUNTIF(nrAT_ID,$I462)=0,"NO SUCH EVENT",IF(INDEX(nrAT_PID,MATCH($I462,nrAT_ID,0))&lt;&gt;$E462,"WRONG CADET",IF(INDEX(nrAT_IsPT,MATCH($I462,nrAT_ID,0))&lt;&gt;IF($F462="PT","Yes","No"),"UNIT MISMATCH","OK"))))))))))))</f>
        <v/>
      </c>
    </row>
    <row r="463">
      <c r="B463" s="17">
        <f>IF($D463="","","M"&amp;TEXT(ROW()-5,"000"))</f>
        <v/>
      </c>
      <c r="C463" s="18" t="n"/>
      <c r="D463" s="16" t="n"/>
      <c r="E463" s="17">
        <f>IF($D463="","",IFERROR(INDEX(rngCadetPIDs,MATCH($D463,rngCadetNames,0)),"?"))</f>
        <v/>
      </c>
      <c r="F463" s="16" t="n"/>
      <c r="G463" s="16" t="n"/>
      <c r="H463" s="16" t="n"/>
      <c r="I463" s="16" t="n"/>
      <c r="J463" s="16" t="n"/>
      <c r="K463" s="16" t="n"/>
      <c r="L463" s="17">
        <f>IF($D463="","",IF(AND($J463="Received",$K463&lt;&gt;"Yes",LEFT($N463,2)="OK"),"Yes","No"))</f>
        <v/>
      </c>
      <c r="M463" s="16" t="n"/>
      <c r="N463" s="17">
        <f>IF($D463="","",IF(AND($F463&lt;&gt;"Classroom",$F463&lt;&gt;"PT"),"TYPE NOT CREDITED",IF($C463="","NO MAKEUP DATE",IF(NOT(ISNUMBER($C463)),"MAKEUP DATE NOT A DATE",IF(OR(AND($G463&lt;&gt;"",NOT(ISNUMBER($G463))),AND($H463&lt;&gt;"",NOT(ISNUMBER($H463)))),"CREDIT NOT A NUMBER",IF(OR(N($G463)&lt;0,N($H463)&lt;0),"NEGATIVE CREDIT",IF(AND($F463="Classroom",N($G463)&lt;=0),"NO MINUTES CREDITED",IF(AND($F463="PT",N($H463)&lt;=0),"NO SESSIONS CREDITED",IF($I463="","NO LINKED EVENT",IF(COUNTIF(nrAT_ID,$I463)=0,"NO SUCH EVENT",IF(INDEX(nrAT_PID,MATCH($I463,nrAT_ID,0))&lt;&gt;$E463,"WRONG CADET",IF(INDEX(nrAT_IsPT,MATCH($I463,nrAT_ID,0))&lt;&gt;IF($F463="PT","Yes","No"),"UNIT MISMATCH","OK"))))))))))))</f>
        <v/>
      </c>
    </row>
    <row r="464">
      <c r="B464" s="17">
        <f>IF($D464="","","M"&amp;TEXT(ROW()-5,"000"))</f>
        <v/>
      </c>
      <c r="C464" s="18" t="n"/>
      <c r="D464" s="16" t="n"/>
      <c r="E464" s="17">
        <f>IF($D464="","",IFERROR(INDEX(rngCadetPIDs,MATCH($D464,rngCadetNames,0)),"?"))</f>
        <v/>
      </c>
      <c r="F464" s="16" t="n"/>
      <c r="G464" s="16" t="n"/>
      <c r="H464" s="16" t="n"/>
      <c r="I464" s="16" t="n"/>
      <c r="J464" s="16" t="n"/>
      <c r="K464" s="16" t="n"/>
      <c r="L464" s="17">
        <f>IF($D464="","",IF(AND($J464="Received",$K464&lt;&gt;"Yes",LEFT($N464,2)="OK"),"Yes","No"))</f>
        <v/>
      </c>
      <c r="M464" s="16" t="n"/>
      <c r="N464" s="17">
        <f>IF($D464="","",IF(AND($F464&lt;&gt;"Classroom",$F464&lt;&gt;"PT"),"TYPE NOT CREDITED",IF($C464="","NO MAKEUP DATE",IF(NOT(ISNUMBER($C464)),"MAKEUP DATE NOT A DATE",IF(OR(AND($G464&lt;&gt;"",NOT(ISNUMBER($G464))),AND($H464&lt;&gt;"",NOT(ISNUMBER($H464)))),"CREDIT NOT A NUMBER",IF(OR(N($G464)&lt;0,N($H464)&lt;0),"NEGATIVE CREDIT",IF(AND($F464="Classroom",N($G464)&lt;=0),"NO MINUTES CREDITED",IF(AND($F464="PT",N($H464)&lt;=0),"NO SESSIONS CREDITED",IF($I464="","NO LINKED EVENT",IF(COUNTIF(nrAT_ID,$I464)=0,"NO SUCH EVENT",IF(INDEX(nrAT_PID,MATCH($I464,nrAT_ID,0))&lt;&gt;$E464,"WRONG CADET",IF(INDEX(nrAT_IsPT,MATCH($I464,nrAT_ID,0))&lt;&gt;IF($F464="PT","Yes","No"),"UNIT MISMATCH","OK"))))))))))))</f>
        <v/>
      </c>
    </row>
    <row r="465">
      <c r="B465" s="17">
        <f>IF($D465="","","M"&amp;TEXT(ROW()-5,"000"))</f>
        <v/>
      </c>
      <c r="C465" s="18" t="n"/>
      <c r="D465" s="16" t="n"/>
      <c r="E465" s="17">
        <f>IF($D465="","",IFERROR(INDEX(rngCadetPIDs,MATCH($D465,rngCadetNames,0)),"?"))</f>
        <v/>
      </c>
      <c r="F465" s="16" t="n"/>
      <c r="G465" s="16" t="n"/>
      <c r="H465" s="16" t="n"/>
      <c r="I465" s="16" t="n"/>
      <c r="J465" s="16" t="n"/>
      <c r="K465" s="16" t="n"/>
      <c r="L465" s="17">
        <f>IF($D465="","",IF(AND($J465="Received",$K465&lt;&gt;"Yes",LEFT($N465,2)="OK"),"Yes","No"))</f>
        <v/>
      </c>
      <c r="M465" s="16" t="n"/>
      <c r="N465" s="17">
        <f>IF($D465="","",IF(AND($F465&lt;&gt;"Classroom",$F465&lt;&gt;"PT"),"TYPE NOT CREDITED",IF($C465="","NO MAKEUP DATE",IF(NOT(ISNUMBER($C465)),"MAKEUP DATE NOT A DATE",IF(OR(AND($G465&lt;&gt;"",NOT(ISNUMBER($G465))),AND($H465&lt;&gt;"",NOT(ISNUMBER($H465)))),"CREDIT NOT A NUMBER",IF(OR(N($G465)&lt;0,N($H465)&lt;0),"NEGATIVE CREDIT",IF(AND($F465="Classroom",N($G465)&lt;=0),"NO MINUTES CREDITED",IF(AND($F465="PT",N($H465)&lt;=0),"NO SESSIONS CREDITED",IF($I465="","NO LINKED EVENT",IF(COUNTIF(nrAT_ID,$I465)=0,"NO SUCH EVENT",IF(INDEX(nrAT_PID,MATCH($I465,nrAT_ID,0))&lt;&gt;$E465,"WRONG CADET",IF(INDEX(nrAT_IsPT,MATCH($I465,nrAT_ID,0))&lt;&gt;IF($F465="PT","Yes","No"),"UNIT MISMATCH","OK"))))))))))))</f>
        <v/>
      </c>
    </row>
    <row r="466">
      <c r="B466" s="17">
        <f>IF($D466="","","M"&amp;TEXT(ROW()-5,"000"))</f>
        <v/>
      </c>
      <c r="C466" s="18" t="n"/>
      <c r="D466" s="16" t="n"/>
      <c r="E466" s="17">
        <f>IF($D466="","",IFERROR(INDEX(rngCadetPIDs,MATCH($D466,rngCadetNames,0)),"?"))</f>
        <v/>
      </c>
      <c r="F466" s="16" t="n"/>
      <c r="G466" s="16" t="n"/>
      <c r="H466" s="16" t="n"/>
      <c r="I466" s="16" t="n"/>
      <c r="J466" s="16" t="n"/>
      <c r="K466" s="16" t="n"/>
      <c r="L466" s="17">
        <f>IF($D466="","",IF(AND($J466="Received",$K466&lt;&gt;"Yes",LEFT($N466,2)="OK"),"Yes","No"))</f>
        <v/>
      </c>
      <c r="M466" s="16" t="n"/>
      <c r="N466" s="17">
        <f>IF($D466="","",IF(AND($F466&lt;&gt;"Classroom",$F466&lt;&gt;"PT"),"TYPE NOT CREDITED",IF($C466="","NO MAKEUP DATE",IF(NOT(ISNUMBER($C466)),"MAKEUP DATE NOT A DATE",IF(OR(AND($G466&lt;&gt;"",NOT(ISNUMBER($G466))),AND($H466&lt;&gt;"",NOT(ISNUMBER($H466)))),"CREDIT NOT A NUMBER",IF(OR(N($G466)&lt;0,N($H466)&lt;0),"NEGATIVE CREDIT",IF(AND($F466="Classroom",N($G466)&lt;=0),"NO MINUTES CREDITED",IF(AND($F466="PT",N($H466)&lt;=0),"NO SESSIONS CREDITED",IF($I466="","NO LINKED EVENT",IF(COUNTIF(nrAT_ID,$I466)=0,"NO SUCH EVENT",IF(INDEX(nrAT_PID,MATCH($I466,nrAT_ID,0))&lt;&gt;$E466,"WRONG CADET",IF(INDEX(nrAT_IsPT,MATCH($I466,nrAT_ID,0))&lt;&gt;IF($F466="PT","Yes","No"),"UNIT MISMATCH","OK"))))))))))))</f>
        <v/>
      </c>
    </row>
    <row r="467">
      <c r="B467" s="17">
        <f>IF($D467="","","M"&amp;TEXT(ROW()-5,"000"))</f>
        <v/>
      </c>
      <c r="C467" s="18" t="n"/>
      <c r="D467" s="16" t="n"/>
      <c r="E467" s="17">
        <f>IF($D467="","",IFERROR(INDEX(rngCadetPIDs,MATCH($D467,rngCadetNames,0)),"?"))</f>
        <v/>
      </c>
      <c r="F467" s="16" t="n"/>
      <c r="G467" s="16" t="n"/>
      <c r="H467" s="16" t="n"/>
      <c r="I467" s="16" t="n"/>
      <c r="J467" s="16" t="n"/>
      <c r="K467" s="16" t="n"/>
      <c r="L467" s="17">
        <f>IF($D467="","",IF(AND($J467="Received",$K467&lt;&gt;"Yes",LEFT($N467,2)="OK"),"Yes","No"))</f>
        <v/>
      </c>
      <c r="M467" s="16" t="n"/>
      <c r="N467" s="17">
        <f>IF($D467="","",IF(AND($F467&lt;&gt;"Classroom",$F467&lt;&gt;"PT"),"TYPE NOT CREDITED",IF($C467="","NO MAKEUP DATE",IF(NOT(ISNUMBER($C467)),"MAKEUP DATE NOT A DATE",IF(OR(AND($G467&lt;&gt;"",NOT(ISNUMBER($G467))),AND($H467&lt;&gt;"",NOT(ISNUMBER($H467)))),"CREDIT NOT A NUMBER",IF(OR(N($G467)&lt;0,N($H467)&lt;0),"NEGATIVE CREDIT",IF(AND($F467="Classroom",N($G467)&lt;=0),"NO MINUTES CREDITED",IF(AND($F467="PT",N($H467)&lt;=0),"NO SESSIONS CREDITED",IF($I467="","NO LINKED EVENT",IF(COUNTIF(nrAT_ID,$I467)=0,"NO SUCH EVENT",IF(INDEX(nrAT_PID,MATCH($I467,nrAT_ID,0))&lt;&gt;$E467,"WRONG CADET",IF(INDEX(nrAT_IsPT,MATCH($I467,nrAT_ID,0))&lt;&gt;IF($F467="PT","Yes","No"),"UNIT MISMATCH","OK"))))))))))))</f>
        <v/>
      </c>
    </row>
    <row r="468">
      <c r="B468" s="17">
        <f>IF($D468="","","M"&amp;TEXT(ROW()-5,"000"))</f>
        <v/>
      </c>
      <c r="C468" s="18" t="n"/>
      <c r="D468" s="16" t="n"/>
      <c r="E468" s="17">
        <f>IF($D468="","",IFERROR(INDEX(rngCadetPIDs,MATCH($D468,rngCadetNames,0)),"?"))</f>
        <v/>
      </c>
      <c r="F468" s="16" t="n"/>
      <c r="G468" s="16" t="n"/>
      <c r="H468" s="16" t="n"/>
      <c r="I468" s="16" t="n"/>
      <c r="J468" s="16" t="n"/>
      <c r="K468" s="16" t="n"/>
      <c r="L468" s="17">
        <f>IF($D468="","",IF(AND($J468="Received",$K468&lt;&gt;"Yes",LEFT($N468,2)="OK"),"Yes","No"))</f>
        <v/>
      </c>
      <c r="M468" s="16" t="n"/>
      <c r="N468" s="17">
        <f>IF($D468="","",IF(AND($F468&lt;&gt;"Classroom",$F468&lt;&gt;"PT"),"TYPE NOT CREDITED",IF($C468="","NO MAKEUP DATE",IF(NOT(ISNUMBER($C468)),"MAKEUP DATE NOT A DATE",IF(OR(AND($G468&lt;&gt;"",NOT(ISNUMBER($G468))),AND($H468&lt;&gt;"",NOT(ISNUMBER($H468)))),"CREDIT NOT A NUMBER",IF(OR(N($G468)&lt;0,N($H468)&lt;0),"NEGATIVE CREDIT",IF(AND($F468="Classroom",N($G468)&lt;=0),"NO MINUTES CREDITED",IF(AND($F468="PT",N($H468)&lt;=0),"NO SESSIONS CREDITED",IF($I468="","NO LINKED EVENT",IF(COUNTIF(nrAT_ID,$I468)=0,"NO SUCH EVENT",IF(INDEX(nrAT_PID,MATCH($I468,nrAT_ID,0))&lt;&gt;$E468,"WRONG CADET",IF(INDEX(nrAT_IsPT,MATCH($I468,nrAT_ID,0))&lt;&gt;IF($F468="PT","Yes","No"),"UNIT MISMATCH","OK"))))))))))))</f>
        <v/>
      </c>
    </row>
    <row r="469">
      <c r="B469" s="17">
        <f>IF($D469="","","M"&amp;TEXT(ROW()-5,"000"))</f>
        <v/>
      </c>
      <c r="C469" s="18" t="n"/>
      <c r="D469" s="16" t="n"/>
      <c r="E469" s="17">
        <f>IF($D469="","",IFERROR(INDEX(rngCadetPIDs,MATCH($D469,rngCadetNames,0)),"?"))</f>
        <v/>
      </c>
      <c r="F469" s="16" t="n"/>
      <c r="G469" s="16" t="n"/>
      <c r="H469" s="16" t="n"/>
      <c r="I469" s="16" t="n"/>
      <c r="J469" s="16" t="n"/>
      <c r="K469" s="16" t="n"/>
      <c r="L469" s="17">
        <f>IF($D469="","",IF(AND($J469="Received",$K469&lt;&gt;"Yes",LEFT($N469,2)="OK"),"Yes","No"))</f>
        <v/>
      </c>
      <c r="M469" s="16" t="n"/>
      <c r="N469" s="17">
        <f>IF($D469="","",IF(AND($F469&lt;&gt;"Classroom",$F469&lt;&gt;"PT"),"TYPE NOT CREDITED",IF($C469="","NO MAKEUP DATE",IF(NOT(ISNUMBER($C469)),"MAKEUP DATE NOT A DATE",IF(OR(AND($G469&lt;&gt;"",NOT(ISNUMBER($G469))),AND($H469&lt;&gt;"",NOT(ISNUMBER($H469)))),"CREDIT NOT A NUMBER",IF(OR(N($G469)&lt;0,N($H469)&lt;0),"NEGATIVE CREDIT",IF(AND($F469="Classroom",N($G469)&lt;=0),"NO MINUTES CREDITED",IF(AND($F469="PT",N($H469)&lt;=0),"NO SESSIONS CREDITED",IF($I469="","NO LINKED EVENT",IF(COUNTIF(nrAT_ID,$I469)=0,"NO SUCH EVENT",IF(INDEX(nrAT_PID,MATCH($I469,nrAT_ID,0))&lt;&gt;$E469,"WRONG CADET",IF(INDEX(nrAT_IsPT,MATCH($I469,nrAT_ID,0))&lt;&gt;IF($F469="PT","Yes","No"),"UNIT MISMATCH","OK"))))))))))))</f>
        <v/>
      </c>
    </row>
    <row r="470">
      <c r="B470" s="17">
        <f>IF($D470="","","M"&amp;TEXT(ROW()-5,"000"))</f>
        <v/>
      </c>
      <c r="C470" s="18" t="n"/>
      <c r="D470" s="16" t="n"/>
      <c r="E470" s="17">
        <f>IF($D470="","",IFERROR(INDEX(rngCadetPIDs,MATCH($D470,rngCadetNames,0)),"?"))</f>
        <v/>
      </c>
      <c r="F470" s="16" t="n"/>
      <c r="G470" s="16" t="n"/>
      <c r="H470" s="16" t="n"/>
      <c r="I470" s="16" t="n"/>
      <c r="J470" s="16" t="n"/>
      <c r="K470" s="16" t="n"/>
      <c r="L470" s="17">
        <f>IF($D470="","",IF(AND($J470="Received",$K470&lt;&gt;"Yes",LEFT($N470,2)="OK"),"Yes","No"))</f>
        <v/>
      </c>
      <c r="M470" s="16" t="n"/>
      <c r="N470" s="17">
        <f>IF($D470="","",IF(AND($F470&lt;&gt;"Classroom",$F470&lt;&gt;"PT"),"TYPE NOT CREDITED",IF($C470="","NO MAKEUP DATE",IF(NOT(ISNUMBER($C470)),"MAKEUP DATE NOT A DATE",IF(OR(AND($G470&lt;&gt;"",NOT(ISNUMBER($G470))),AND($H470&lt;&gt;"",NOT(ISNUMBER($H470)))),"CREDIT NOT A NUMBER",IF(OR(N($G470)&lt;0,N($H470)&lt;0),"NEGATIVE CREDIT",IF(AND($F470="Classroom",N($G470)&lt;=0),"NO MINUTES CREDITED",IF(AND($F470="PT",N($H470)&lt;=0),"NO SESSIONS CREDITED",IF($I470="","NO LINKED EVENT",IF(COUNTIF(nrAT_ID,$I470)=0,"NO SUCH EVENT",IF(INDEX(nrAT_PID,MATCH($I470,nrAT_ID,0))&lt;&gt;$E470,"WRONG CADET",IF(INDEX(nrAT_IsPT,MATCH($I470,nrAT_ID,0))&lt;&gt;IF($F470="PT","Yes","No"),"UNIT MISMATCH","OK"))))))))))))</f>
        <v/>
      </c>
    </row>
    <row r="471">
      <c r="B471" s="17">
        <f>IF($D471="","","M"&amp;TEXT(ROW()-5,"000"))</f>
        <v/>
      </c>
      <c r="C471" s="18" t="n"/>
      <c r="D471" s="16" t="n"/>
      <c r="E471" s="17">
        <f>IF($D471="","",IFERROR(INDEX(rngCadetPIDs,MATCH($D471,rngCadetNames,0)),"?"))</f>
        <v/>
      </c>
      <c r="F471" s="16" t="n"/>
      <c r="G471" s="16" t="n"/>
      <c r="H471" s="16" t="n"/>
      <c r="I471" s="16" t="n"/>
      <c r="J471" s="16" t="n"/>
      <c r="K471" s="16" t="n"/>
      <c r="L471" s="17">
        <f>IF($D471="","",IF(AND($J471="Received",$K471&lt;&gt;"Yes",LEFT($N471,2)="OK"),"Yes","No"))</f>
        <v/>
      </c>
      <c r="M471" s="16" t="n"/>
      <c r="N471" s="17">
        <f>IF($D471="","",IF(AND($F471&lt;&gt;"Classroom",$F471&lt;&gt;"PT"),"TYPE NOT CREDITED",IF($C471="","NO MAKEUP DATE",IF(NOT(ISNUMBER($C471)),"MAKEUP DATE NOT A DATE",IF(OR(AND($G471&lt;&gt;"",NOT(ISNUMBER($G471))),AND($H471&lt;&gt;"",NOT(ISNUMBER($H471)))),"CREDIT NOT A NUMBER",IF(OR(N($G471)&lt;0,N($H471)&lt;0),"NEGATIVE CREDIT",IF(AND($F471="Classroom",N($G471)&lt;=0),"NO MINUTES CREDITED",IF(AND($F471="PT",N($H471)&lt;=0),"NO SESSIONS CREDITED",IF($I471="","NO LINKED EVENT",IF(COUNTIF(nrAT_ID,$I471)=0,"NO SUCH EVENT",IF(INDEX(nrAT_PID,MATCH($I471,nrAT_ID,0))&lt;&gt;$E471,"WRONG CADET",IF(INDEX(nrAT_IsPT,MATCH($I471,nrAT_ID,0))&lt;&gt;IF($F471="PT","Yes","No"),"UNIT MISMATCH","OK"))))))))))))</f>
        <v/>
      </c>
    </row>
    <row r="472">
      <c r="B472" s="17">
        <f>IF($D472="","","M"&amp;TEXT(ROW()-5,"000"))</f>
        <v/>
      </c>
      <c r="C472" s="18" t="n"/>
      <c r="D472" s="16" t="n"/>
      <c r="E472" s="17">
        <f>IF($D472="","",IFERROR(INDEX(rngCadetPIDs,MATCH($D472,rngCadetNames,0)),"?"))</f>
        <v/>
      </c>
      <c r="F472" s="16" t="n"/>
      <c r="G472" s="16" t="n"/>
      <c r="H472" s="16" t="n"/>
      <c r="I472" s="16" t="n"/>
      <c r="J472" s="16" t="n"/>
      <c r="K472" s="16" t="n"/>
      <c r="L472" s="17">
        <f>IF($D472="","",IF(AND($J472="Received",$K472&lt;&gt;"Yes",LEFT($N472,2)="OK"),"Yes","No"))</f>
        <v/>
      </c>
      <c r="M472" s="16" t="n"/>
      <c r="N472" s="17">
        <f>IF($D472="","",IF(AND($F472&lt;&gt;"Classroom",$F472&lt;&gt;"PT"),"TYPE NOT CREDITED",IF($C472="","NO MAKEUP DATE",IF(NOT(ISNUMBER($C472)),"MAKEUP DATE NOT A DATE",IF(OR(AND($G472&lt;&gt;"",NOT(ISNUMBER($G472))),AND($H472&lt;&gt;"",NOT(ISNUMBER($H472)))),"CREDIT NOT A NUMBER",IF(OR(N($G472)&lt;0,N($H472)&lt;0),"NEGATIVE CREDIT",IF(AND($F472="Classroom",N($G472)&lt;=0),"NO MINUTES CREDITED",IF(AND($F472="PT",N($H472)&lt;=0),"NO SESSIONS CREDITED",IF($I472="","NO LINKED EVENT",IF(COUNTIF(nrAT_ID,$I472)=0,"NO SUCH EVENT",IF(INDEX(nrAT_PID,MATCH($I472,nrAT_ID,0))&lt;&gt;$E472,"WRONG CADET",IF(INDEX(nrAT_IsPT,MATCH($I472,nrAT_ID,0))&lt;&gt;IF($F472="PT","Yes","No"),"UNIT MISMATCH","OK"))))))))))))</f>
        <v/>
      </c>
    </row>
    <row r="473">
      <c r="B473" s="17">
        <f>IF($D473="","","M"&amp;TEXT(ROW()-5,"000"))</f>
        <v/>
      </c>
      <c r="C473" s="18" t="n"/>
      <c r="D473" s="16" t="n"/>
      <c r="E473" s="17">
        <f>IF($D473="","",IFERROR(INDEX(rngCadetPIDs,MATCH($D473,rngCadetNames,0)),"?"))</f>
        <v/>
      </c>
      <c r="F473" s="16" t="n"/>
      <c r="G473" s="16" t="n"/>
      <c r="H473" s="16" t="n"/>
      <c r="I473" s="16" t="n"/>
      <c r="J473" s="16" t="n"/>
      <c r="K473" s="16" t="n"/>
      <c r="L473" s="17">
        <f>IF($D473="","",IF(AND($J473="Received",$K473&lt;&gt;"Yes",LEFT($N473,2)="OK"),"Yes","No"))</f>
        <v/>
      </c>
      <c r="M473" s="16" t="n"/>
      <c r="N473" s="17">
        <f>IF($D473="","",IF(AND($F473&lt;&gt;"Classroom",$F473&lt;&gt;"PT"),"TYPE NOT CREDITED",IF($C473="","NO MAKEUP DATE",IF(NOT(ISNUMBER($C473)),"MAKEUP DATE NOT A DATE",IF(OR(AND($G473&lt;&gt;"",NOT(ISNUMBER($G473))),AND($H473&lt;&gt;"",NOT(ISNUMBER($H473)))),"CREDIT NOT A NUMBER",IF(OR(N($G473)&lt;0,N($H473)&lt;0),"NEGATIVE CREDIT",IF(AND($F473="Classroom",N($G473)&lt;=0),"NO MINUTES CREDITED",IF(AND($F473="PT",N($H473)&lt;=0),"NO SESSIONS CREDITED",IF($I473="","NO LINKED EVENT",IF(COUNTIF(nrAT_ID,$I473)=0,"NO SUCH EVENT",IF(INDEX(nrAT_PID,MATCH($I473,nrAT_ID,0))&lt;&gt;$E473,"WRONG CADET",IF(INDEX(nrAT_IsPT,MATCH($I473,nrAT_ID,0))&lt;&gt;IF($F473="PT","Yes","No"),"UNIT MISMATCH","OK"))))))))))))</f>
        <v/>
      </c>
    </row>
    <row r="474">
      <c r="B474" s="17">
        <f>IF($D474="","","M"&amp;TEXT(ROW()-5,"000"))</f>
        <v/>
      </c>
      <c r="C474" s="18" t="n"/>
      <c r="D474" s="16" t="n"/>
      <c r="E474" s="17">
        <f>IF($D474="","",IFERROR(INDEX(rngCadetPIDs,MATCH($D474,rngCadetNames,0)),"?"))</f>
        <v/>
      </c>
      <c r="F474" s="16" t="n"/>
      <c r="G474" s="16" t="n"/>
      <c r="H474" s="16" t="n"/>
      <c r="I474" s="16" t="n"/>
      <c r="J474" s="16" t="n"/>
      <c r="K474" s="16" t="n"/>
      <c r="L474" s="17">
        <f>IF($D474="","",IF(AND($J474="Received",$K474&lt;&gt;"Yes",LEFT($N474,2)="OK"),"Yes","No"))</f>
        <v/>
      </c>
      <c r="M474" s="16" t="n"/>
      <c r="N474" s="17">
        <f>IF($D474="","",IF(AND($F474&lt;&gt;"Classroom",$F474&lt;&gt;"PT"),"TYPE NOT CREDITED",IF($C474="","NO MAKEUP DATE",IF(NOT(ISNUMBER($C474)),"MAKEUP DATE NOT A DATE",IF(OR(AND($G474&lt;&gt;"",NOT(ISNUMBER($G474))),AND($H474&lt;&gt;"",NOT(ISNUMBER($H474)))),"CREDIT NOT A NUMBER",IF(OR(N($G474)&lt;0,N($H474)&lt;0),"NEGATIVE CREDIT",IF(AND($F474="Classroom",N($G474)&lt;=0),"NO MINUTES CREDITED",IF(AND($F474="PT",N($H474)&lt;=0),"NO SESSIONS CREDITED",IF($I474="","NO LINKED EVENT",IF(COUNTIF(nrAT_ID,$I474)=0,"NO SUCH EVENT",IF(INDEX(nrAT_PID,MATCH($I474,nrAT_ID,0))&lt;&gt;$E474,"WRONG CADET",IF(INDEX(nrAT_IsPT,MATCH($I474,nrAT_ID,0))&lt;&gt;IF($F474="PT","Yes","No"),"UNIT MISMATCH","OK"))))))))))))</f>
        <v/>
      </c>
    </row>
    <row r="475">
      <c r="B475" s="17">
        <f>IF($D475="","","M"&amp;TEXT(ROW()-5,"000"))</f>
        <v/>
      </c>
      <c r="C475" s="18" t="n"/>
      <c r="D475" s="16" t="n"/>
      <c r="E475" s="17">
        <f>IF($D475="","",IFERROR(INDEX(rngCadetPIDs,MATCH($D475,rngCadetNames,0)),"?"))</f>
        <v/>
      </c>
      <c r="F475" s="16" t="n"/>
      <c r="G475" s="16" t="n"/>
      <c r="H475" s="16" t="n"/>
      <c r="I475" s="16" t="n"/>
      <c r="J475" s="16" t="n"/>
      <c r="K475" s="16" t="n"/>
      <c r="L475" s="17">
        <f>IF($D475="","",IF(AND($J475="Received",$K475&lt;&gt;"Yes",LEFT($N475,2)="OK"),"Yes","No"))</f>
        <v/>
      </c>
      <c r="M475" s="16" t="n"/>
      <c r="N475" s="17">
        <f>IF($D475="","",IF(AND($F475&lt;&gt;"Classroom",$F475&lt;&gt;"PT"),"TYPE NOT CREDITED",IF($C475="","NO MAKEUP DATE",IF(NOT(ISNUMBER($C475)),"MAKEUP DATE NOT A DATE",IF(OR(AND($G475&lt;&gt;"",NOT(ISNUMBER($G475))),AND($H475&lt;&gt;"",NOT(ISNUMBER($H475)))),"CREDIT NOT A NUMBER",IF(OR(N($G475)&lt;0,N($H475)&lt;0),"NEGATIVE CREDIT",IF(AND($F475="Classroom",N($G475)&lt;=0),"NO MINUTES CREDITED",IF(AND($F475="PT",N($H475)&lt;=0),"NO SESSIONS CREDITED",IF($I475="","NO LINKED EVENT",IF(COUNTIF(nrAT_ID,$I475)=0,"NO SUCH EVENT",IF(INDEX(nrAT_PID,MATCH($I475,nrAT_ID,0))&lt;&gt;$E475,"WRONG CADET",IF(INDEX(nrAT_IsPT,MATCH($I475,nrAT_ID,0))&lt;&gt;IF($F475="PT","Yes","No"),"UNIT MISMATCH","OK"))))))))))))</f>
        <v/>
      </c>
    </row>
    <row r="476">
      <c r="B476" s="17">
        <f>IF($D476="","","M"&amp;TEXT(ROW()-5,"000"))</f>
        <v/>
      </c>
      <c r="C476" s="18" t="n"/>
      <c r="D476" s="16" t="n"/>
      <c r="E476" s="17">
        <f>IF($D476="","",IFERROR(INDEX(rngCadetPIDs,MATCH($D476,rngCadetNames,0)),"?"))</f>
        <v/>
      </c>
      <c r="F476" s="16" t="n"/>
      <c r="G476" s="16" t="n"/>
      <c r="H476" s="16" t="n"/>
      <c r="I476" s="16" t="n"/>
      <c r="J476" s="16" t="n"/>
      <c r="K476" s="16" t="n"/>
      <c r="L476" s="17">
        <f>IF($D476="","",IF(AND($J476="Received",$K476&lt;&gt;"Yes",LEFT($N476,2)="OK"),"Yes","No"))</f>
        <v/>
      </c>
      <c r="M476" s="16" t="n"/>
      <c r="N476" s="17">
        <f>IF($D476="","",IF(AND($F476&lt;&gt;"Classroom",$F476&lt;&gt;"PT"),"TYPE NOT CREDITED",IF($C476="","NO MAKEUP DATE",IF(NOT(ISNUMBER($C476)),"MAKEUP DATE NOT A DATE",IF(OR(AND($G476&lt;&gt;"",NOT(ISNUMBER($G476))),AND($H476&lt;&gt;"",NOT(ISNUMBER($H476)))),"CREDIT NOT A NUMBER",IF(OR(N($G476)&lt;0,N($H476)&lt;0),"NEGATIVE CREDIT",IF(AND($F476="Classroom",N($G476)&lt;=0),"NO MINUTES CREDITED",IF(AND($F476="PT",N($H476)&lt;=0),"NO SESSIONS CREDITED",IF($I476="","NO LINKED EVENT",IF(COUNTIF(nrAT_ID,$I476)=0,"NO SUCH EVENT",IF(INDEX(nrAT_PID,MATCH($I476,nrAT_ID,0))&lt;&gt;$E476,"WRONG CADET",IF(INDEX(nrAT_IsPT,MATCH($I476,nrAT_ID,0))&lt;&gt;IF($F476="PT","Yes","No"),"UNIT MISMATCH","OK"))))))))))))</f>
        <v/>
      </c>
    </row>
    <row r="477">
      <c r="B477" s="17">
        <f>IF($D477="","","M"&amp;TEXT(ROW()-5,"000"))</f>
        <v/>
      </c>
      <c r="C477" s="18" t="n"/>
      <c r="D477" s="16" t="n"/>
      <c r="E477" s="17">
        <f>IF($D477="","",IFERROR(INDEX(rngCadetPIDs,MATCH($D477,rngCadetNames,0)),"?"))</f>
        <v/>
      </c>
      <c r="F477" s="16" t="n"/>
      <c r="G477" s="16" t="n"/>
      <c r="H477" s="16" t="n"/>
      <c r="I477" s="16" t="n"/>
      <c r="J477" s="16" t="n"/>
      <c r="K477" s="16" t="n"/>
      <c r="L477" s="17">
        <f>IF($D477="","",IF(AND($J477="Received",$K477&lt;&gt;"Yes",LEFT($N477,2)="OK"),"Yes","No"))</f>
        <v/>
      </c>
      <c r="M477" s="16" t="n"/>
      <c r="N477" s="17">
        <f>IF($D477="","",IF(AND($F477&lt;&gt;"Classroom",$F477&lt;&gt;"PT"),"TYPE NOT CREDITED",IF($C477="","NO MAKEUP DATE",IF(NOT(ISNUMBER($C477)),"MAKEUP DATE NOT A DATE",IF(OR(AND($G477&lt;&gt;"",NOT(ISNUMBER($G477))),AND($H477&lt;&gt;"",NOT(ISNUMBER($H477)))),"CREDIT NOT A NUMBER",IF(OR(N($G477)&lt;0,N($H477)&lt;0),"NEGATIVE CREDIT",IF(AND($F477="Classroom",N($G477)&lt;=0),"NO MINUTES CREDITED",IF(AND($F477="PT",N($H477)&lt;=0),"NO SESSIONS CREDITED",IF($I477="","NO LINKED EVENT",IF(COUNTIF(nrAT_ID,$I477)=0,"NO SUCH EVENT",IF(INDEX(nrAT_PID,MATCH($I477,nrAT_ID,0))&lt;&gt;$E477,"WRONG CADET",IF(INDEX(nrAT_IsPT,MATCH($I477,nrAT_ID,0))&lt;&gt;IF($F477="PT","Yes","No"),"UNIT MISMATCH","OK"))))))))))))</f>
        <v/>
      </c>
    </row>
    <row r="478">
      <c r="B478" s="17">
        <f>IF($D478="","","M"&amp;TEXT(ROW()-5,"000"))</f>
        <v/>
      </c>
      <c r="C478" s="18" t="n"/>
      <c r="D478" s="16" t="n"/>
      <c r="E478" s="17">
        <f>IF($D478="","",IFERROR(INDEX(rngCadetPIDs,MATCH($D478,rngCadetNames,0)),"?"))</f>
        <v/>
      </c>
      <c r="F478" s="16" t="n"/>
      <c r="G478" s="16" t="n"/>
      <c r="H478" s="16" t="n"/>
      <c r="I478" s="16" t="n"/>
      <c r="J478" s="16" t="n"/>
      <c r="K478" s="16" t="n"/>
      <c r="L478" s="17">
        <f>IF($D478="","",IF(AND($J478="Received",$K478&lt;&gt;"Yes",LEFT($N478,2)="OK"),"Yes","No"))</f>
        <v/>
      </c>
      <c r="M478" s="16" t="n"/>
      <c r="N478" s="17">
        <f>IF($D478="","",IF(AND($F478&lt;&gt;"Classroom",$F478&lt;&gt;"PT"),"TYPE NOT CREDITED",IF($C478="","NO MAKEUP DATE",IF(NOT(ISNUMBER($C478)),"MAKEUP DATE NOT A DATE",IF(OR(AND($G478&lt;&gt;"",NOT(ISNUMBER($G478))),AND($H478&lt;&gt;"",NOT(ISNUMBER($H478)))),"CREDIT NOT A NUMBER",IF(OR(N($G478)&lt;0,N($H478)&lt;0),"NEGATIVE CREDIT",IF(AND($F478="Classroom",N($G478)&lt;=0),"NO MINUTES CREDITED",IF(AND($F478="PT",N($H478)&lt;=0),"NO SESSIONS CREDITED",IF($I478="","NO LINKED EVENT",IF(COUNTIF(nrAT_ID,$I478)=0,"NO SUCH EVENT",IF(INDEX(nrAT_PID,MATCH($I478,nrAT_ID,0))&lt;&gt;$E478,"WRONG CADET",IF(INDEX(nrAT_IsPT,MATCH($I478,nrAT_ID,0))&lt;&gt;IF($F478="PT","Yes","No"),"UNIT MISMATCH","OK"))))))))))))</f>
        <v/>
      </c>
    </row>
    <row r="479">
      <c r="B479" s="17">
        <f>IF($D479="","","M"&amp;TEXT(ROW()-5,"000"))</f>
        <v/>
      </c>
      <c r="C479" s="18" t="n"/>
      <c r="D479" s="16" t="n"/>
      <c r="E479" s="17">
        <f>IF($D479="","",IFERROR(INDEX(rngCadetPIDs,MATCH($D479,rngCadetNames,0)),"?"))</f>
        <v/>
      </c>
      <c r="F479" s="16" t="n"/>
      <c r="G479" s="16" t="n"/>
      <c r="H479" s="16" t="n"/>
      <c r="I479" s="16" t="n"/>
      <c r="J479" s="16" t="n"/>
      <c r="K479" s="16" t="n"/>
      <c r="L479" s="17">
        <f>IF($D479="","",IF(AND($J479="Received",$K479&lt;&gt;"Yes",LEFT($N479,2)="OK"),"Yes","No"))</f>
        <v/>
      </c>
      <c r="M479" s="16" t="n"/>
      <c r="N479" s="17">
        <f>IF($D479="","",IF(AND($F479&lt;&gt;"Classroom",$F479&lt;&gt;"PT"),"TYPE NOT CREDITED",IF($C479="","NO MAKEUP DATE",IF(NOT(ISNUMBER($C479)),"MAKEUP DATE NOT A DATE",IF(OR(AND($G479&lt;&gt;"",NOT(ISNUMBER($G479))),AND($H479&lt;&gt;"",NOT(ISNUMBER($H479)))),"CREDIT NOT A NUMBER",IF(OR(N($G479)&lt;0,N($H479)&lt;0),"NEGATIVE CREDIT",IF(AND($F479="Classroom",N($G479)&lt;=0),"NO MINUTES CREDITED",IF(AND($F479="PT",N($H479)&lt;=0),"NO SESSIONS CREDITED",IF($I479="","NO LINKED EVENT",IF(COUNTIF(nrAT_ID,$I479)=0,"NO SUCH EVENT",IF(INDEX(nrAT_PID,MATCH($I479,nrAT_ID,0))&lt;&gt;$E479,"WRONG CADET",IF(INDEX(nrAT_IsPT,MATCH($I479,nrAT_ID,0))&lt;&gt;IF($F479="PT","Yes","No"),"UNIT MISMATCH","OK"))))))))))))</f>
        <v/>
      </c>
    </row>
    <row r="480">
      <c r="B480" s="17">
        <f>IF($D480="","","M"&amp;TEXT(ROW()-5,"000"))</f>
        <v/>
      </c>
      <c r="C480" s="18" t="n"/>
      <c r="D480" s="16" t="n"/>
      <c r="E480" s="17">
        <f>IF($D480="","",IFERROR(INDEX(rngCadetPIDs,MATCH($D480,rngCadetNames,0)),"?"))</f>
        <v/>
      </c>
      <c r="F480" s="16" t="n"/>
      <c r="G480" s="16" t="n"/>
      <c r="H480" s="16" t="n"/>
      <c r="I480" s="16" t="n"/>
      <c r="J480" s="16" t="n"/>
      <c r="K480" s="16" t="n"/>
      <c r="L480" s="17">
        <f>IF($D480="","",IF(AND($J480="Received",$K480&lt;&gt;"Yes",LEFT($N480,2)="OK"),"Yes","No"))</f>
        <v/>
      </c>
      <c r="M480" s="16" t="n"/>
      <c r="N480" s="17">
        <f>IF($D480="","",IF(AND($F480&lt;&gt;"Classroom",$F480&lt;&gt;"PT"),"TYPE NOT CREDITED",IF($C480="","NO MAKEUP DATE",IF(NOT(ISNUMBER($C480)),"MAKEUP DATE NOT A DATE",IF(OR(AND($G480&lt;&gt;"",NOT(ISNUMBER($G480))),AND($H480&lt;&gt;"",NOT(ISNUMBER($H480)))),"CREDIT NOT A NUMBER",IF(OR(N($G480)&lt;0,N($H480)&lt;0),"NEGATIVE CREDIT",IF(AND($F480="Classroom",N($G480)&lt;=0),"NO MINUTES CREDITED",IF(AND($F480="PT",N($H480)&lt;=0),"NO SESSIONS CREDITED",IF($I480="","NO LINKED EVENT",IF(COUNTIF(nrAT_ID,$I480)=0,"NO SUCH EVENT",IF(INDEX(nrAT_PID,MATCH($I480,nrAT_ID,0))&lt;&gt;$E480,"WRONG CADET",IF(INDEX(nrAT_IsPT,MATCH($I480,nrAT_ID,0))&lt;&gt;IF($F480="PT","Yes","No"),"UNIT MISMATCH","OK"))))))))))))</f>
        <v/>
      </c>
    </row>
    <row r="481">
      <c r="B481" s="17">
        <f>IF($D481="","","M"&amp;TEXT(ROW()-5,"000"))</f>
        <v/>
      </c>
      <c r="C481" s="18" t="n"/>
      <c r="D481" s="16" t="n"/>
      <c r="E481" s="17">
        <f>IF($D481="","",IFERROR(INDEX(rngCadetPIDs,MATCH($D481,rngCadetNames,0)),"?"))</f>
        <v/>
      </c>
      <c r="F481" s="16" t="n"/>
      <c r="G481" s="16" t="n"/>
      <c r="H481" s="16" t="n"/>
      <c r="I481" s="16" t="n"/>
      <c r="J481" s="16" t="n"/>
      <c r="K481" s="16" t="n"/>
      <c r="L481" s="17">
        <f>IF($D481="","",IF(AND($J481="Received",$K481&lt;&gt;"Yes",LEFT($N481,2)="OK"),"Yes","No"))</f>
        <v/>
      </c>
      <c r="M481" s="16" t="n"/>
      <c r="N481" s="17">
        <f>IF($D481="","",IF(AND($F481&lt;&gt;"Classroom",$F481&lt;&gt;"PT"),"TYPE NOT CREDITED",IF($C481="","NO MAKEUP DATE",IF(NOT(ISNUMBER($C481)),"MAKEUP DATE NOT A DATE",IF(OR(AND($G481&lt;&gt;"",NOT(ISNUMBER($G481))),AND($H481&lt;&gt;"",NOT(ISNUMBER($H481)))),"CREDIT NOT A NUMBER",IF(OR(N($G481)&lt;0,N($H481)&lt;0),"NEGATIVE CREDIT",IF(AND($F481="Classroom",N($G481)&lt;=0),"NO MINUTES CREDITED",IF(AND($F481="PT",N($H481)&lt;=0),"NO SESSIONS CREDITED",IF($I481="","NO LINKED EVENT",IF(COUNTIF(nrAT_ID,$I481)=0,"NO SUCH EVENT",IF(INDEX(nrAT_PID,MATCH($I481,nrAT_ID,0))&lt;&gt;$E481,"WRONG CADET",IF(INDEX(nrAT_IsPT,MATCH($I481,nrAT_ID,0))&lt;&gt;IF($F481="PT","Yes","No"),"UNIT MISMATCH","OK"))))))))))))</f>
        <v/>
      </c>
    </row>
    <row r="482">
      <c r="B482" s="17">
        <f>IF($D482="","","M"&amp;TEXT(ROW()-5,"000"))</f>
        <v/>
      </c>
      <c r="C482" s="18" t="n"/>
      <c r="D482" s="16" t="n"/>
      <c r="E482" s="17">
        <f>IF($D482="","",IFERROR(INDEX(rngCadetPIDs,MATCH($D482,rngCadetNames,0)),"?"))</f>
        <v/>
      </c>
      <c r="F482" s="16" t="n"/>
      <c r="G482" s="16" t="n"/>
      <c r="H482" s="16" t="n"/>
      <c r="I482" s="16" t="n"/>
      <c r="J482" s="16" t="n"/>
      <c r="K482" s="16" t="n"/>
      <c r="L482" s="17">
        <f>IF($D482="","",IF(AND($J482="Received",$K482&lt;&gt;"Yes",LEFT($N482,2)="OK"),"Yes","No"))</f>
        <v/>
      </c>
      <c r="M482" s="16" t="n"/>
      <c r="N482" s="17">
        <f>IF($D482="","",IF(AND($F482&lt;&gt;"Classroom",$F482&lt;&gt;"PT"),"TYPE NOT CREDITED",IF($C482="","NO MAKEUP DATE",IF(NOT(ISNUMBER($C482)),"MAKEUP DATE NOT A DATE",IF(OR(AND($G482&lt;&gt;"",NOT(ISNUMBER($G482))),AND($H482&lt;&gt;"",NOT(ISNUMBER($H482)))),"CREDIT NOT A NUMBER",IF(OR(N($G482)&lt;0,N($H482)&lt;0),"NEGATIVE CREDIT",IF(AND($F482="Classroom",N($G482)&lt;=0),"NO MINUTES CREDITED",IF(AND($F482="PT",N($H482)&lt;=0),"NO SESSIONS CREDITED",IF($I482="","NO LINKED EVENT",IF(COUNTIF(nrAT_ID,$I482)=0,"NO SUCH EVENT",IF(INDEX(nrAT_PID,MATCH($I482,nrAT_ID,0))&lt;&gt;$E482,"WRONG CADET",IF(INDEX(nrAT_IsPT,MATCH($I482,nrAT_ID,0))&lt;&gt;IF($F482="PT","Yes","No"),"UNIT MISMATCH","OK"))))))))))))</f>
        <v/>
      </c>
    </row>
    <row r="483">
      <c r="B483" s="17">
        <f>IF($D483="","","M"&amp;TEXT(ROW()-5,"000"))</f>
        <v/>
      </c>
      <c r="C483" s="18" t="n"/>
      <c r="D483" s="16" t="n"/>
      <c r="E483" s="17">
        <f>IF($D483="","",IFERROR(INDEX(rngCadetPIDs,MATCH($D483,rngCadetNames,0)),"?"))</f>
        <v/>
      </c>
      <c r="F483" s="16" t="n"/>
      <c r="G483" s="16" t="n"/>
      <c r="H483" s="16" t="n"/>
      <c r="I483" s="16" t="n"/>
      <c r="J483" s="16" t="n"/>
      <c r="K483" s="16" t="n"/>
      <c r="L483" s="17">
        <f>IF($D483="","",IF(AND($J483="Received",$K483&lt;&gt;"Yes",LEFT($N483,2)="OK"),"Yes","No"))</f>
        <v/>
      </c>
      <c r="M483" s="16" t="n"/>
      <c r="N483" s="17">
        <f>IF($D483="","",IF(AND($F483&lt;&gt;"Classroom",$F483&lt;&gt;"PT"),"TYPE NOT CREDITED",IF($C483="","NO MAKEUP DATE",IF(NOT(ISNUMBER($C483)),"MAKEUP DATE NOT A DATE",IF(OR(AND($G483&lt;&gt;"",NOT(ISNUMBER($G483))),AND($H483&lt;&gt;"",NOT(ISNUMBER($H483)))),"CREDIT NOT A NUMBER",IF(OR(N($G483)&lt;0,N($H483)&lt;0),"NEGATIVE CREDIT",IF(AND($F483="Classroom",N($G483)&lt;=0),"NO MINUTES CREDITED",IF(AND($F483="PT",N($H483)&lt;=0),"NO SESSIONS CREDITED",IF($I483="","NO LINKED EVENT",IF(COUNTIF(nrAT_ID,$I483)=0,"NO SUCH EVENT",IF(INDEX(nrAT_PID,MATCH($I483,nrAT_ID,0))&lt;&gt;$E483,"WRONG CADET",IF(INDEX(nrAT_IsPT,MATCH($I483,nrAT_ID,0))&lt;&gt;IF($F483="PT","Yes","No"),"UNIT MISMATCH","OK"))))))))))))</f>
        <v/>
      </c>
    </row>
    <row r="484">
      <c r="B484" s="17">
        <f>IF($D484="","","M"&amp;TEXT(ROW()-5,"000"))</f>
        <v/>
      </c>
      <c r="C484" s="18" t="n"/>
      <c r="D484" s="16" t="n"/>
      <c r="E484" s="17">
        <f>IF($D484="","",IFERROR(INDEX(rngCadetPIDs,MATCH($D484,rngCadetNames,0)),"?"))</f>
        <v/>
      </c>
      <c r="F484" s="16" t="n"/>
      <c r="G484" s="16" t="n"/>
      <c r="H484" s="16" t="n"/>
      <c r="I484" s="16" t="n"/>
      <c r="J484" s="16" t="n"/>
      <c r="K484" s="16" t="n"/>
      <c r="L484" s="17">
        <f>IF($D484="","",IF(AND($J484="Received",$K484&lt;&gt;"Yes",LEFT($N484,2)="OK"),"Yes","No"))</f>
        <v/>
      </c>
      <c r="M484" s="16" t="n"/>
      <c r="N484" s="17">
        <f>IF($D484="","",IF(AND($F484&lt;&gt;"Classroom",$F484&lt;&gt;"PT"),"TYPE NOT CREDITED",IF($C484="","NO MAKEUP DATE",IF(NOT(ISNUMBER($C484)),"MAKEUP DATE NOT A DATE",IF(OR(AND($G484&lt;&gt;"",NOT(ISNUMBER($G484))),AND($H484&lt;&gt;"",NOT(ISNUMBER($H484)))),"CREDIT NOT A NUMBER",IF(OR(N($G484)&lt;0,N($H484)&lt;0),"NEGATIVE CREDIT",IF(AND($F484="Classroom",N($G484)&lt;=0),"NO MINUTES CREDITED",IF(AND($F484="PT",N($H484)&lt;=0),"NO SESSIONS CREDITED",IF($I484="","NO LINKED EVENT",IF(COUNTIF(nrAT_ID,$I484)=0,"NO SUCH EVENT",IF(INDEX(nrAT_PID,MATCH($I484,nrAT_ID,0))&lt;&gt;$E484,"WRONG CADET",IF(INDEX(nrAT_IsPT,MATCH($I484,nrAT_ID,0))&lt;&gt;IF($F484="PT","Yes","No"),"UNIT MISMATCH","OK"))))))))))))</f>
        <v/>
      </c>
    </row>
    <row r="485">
      <c r="B485" s="17">
        <f>IF($D485="","","M"&amp;TEXT(ROW()-5,"000"))</f>
        <v/>
      </c>
      <c r="C485" s="18" t="n"/>
      <c r="D485" s="16" t="n"/>
      <c r="E485" s="17">
        <f>IF($D485="","",IFERROR(INDEX(rngCadetPIDs,MATCH($D485,rngCadetNames,0)),"?"))</f>
        <v/>
      </c>
      <c r="F485" s="16" t="n"/>
      <c r="G485" s="16" t="n"/>
      <c r="H485" s="16" t="n"/>
      <c r="I485" s="16" t="n"/>
      <c r="J485" s="16" t="n"/>
      <c r="K485" s="16" t="n"/>
      <c r="L485" s="17">
        <f>IF($D485="","",IF(AND($J485="Received",$K485&lt;&gt;"Yes",LEFT($N485,2)="OK"),"Yes","No"))</f>
        <v/>
      </c>
      <c r="M485" s="16" t="n"/>
      <c r="N485" s="17">
        <f>IF($D485="","",IF(AND($F485&lt;&gt;"Classroom",$F485&lt;&gt;"PT"),"TYPE NOT CREDITED",IF($C485="","NO MAKEUP DATE",IF(NOT(ISNUMBER($C485)),"MAKEUP DATE NOT A DATE",IF(OR(AND($G485&lt;&gt;"",NOT(ISNUMBER($G485))),AND($H485&lt;&gt;"",NOT(ISNUMBER($H485)))),"CREDIT NOT A NUMBER",IF(OR(N($G485)&lt;0,N($H485)&lt;0),"NEGATIVE CREDIT",IF(AND($F485="Classroom",N($G485)&lt;=0),"NO MINUTES CREDITED",IF(AND($F485="PT",N($H485)&lt;=0),"NO SESSIONS CREDITED",IF($I485="","NO LINKED EVENT",IF(COUNTIF(nrAT_ID,$I485)=0,"NO SUCH EVENT",IF(INDEX(nrAT_PID,MATCH($I485,nrAT_ID,0))&lt;&gt;$E485,"WRONG CADET",IF(INDEX(nrAT_IsPT,MATCH($I485,nrAT_ID,0))&lt;&gt;IF($F485="PT","Yes","No"),"UNIT MISMATCH","OK"))))))))))))</f>
        <v/>
      </c>
    </row>
    <row r="486">
      <c r="B486" s="17">
        <f>IF($D486="","","M"&amp;TEXT(ROW()-5,"000"))</f>
        <v/>
      </c>
      <c r="C486" s="18" t="n"/>
      <c r="D486" s="16" t="n"/>
      <c r="E486" s="17">
        <f>IF($D486="","",IFERROR(INDEX(rngCadetPIDs,MATCH($D486,rngCadetNames,0)),"?"))</f>
        <v/>
      </c>
      <c r="F486" s="16" t="n"/>
      <c r="G486" s="16" t="n"/>
      <c r="H486" s="16" t="n"/>
      <c r="I486" s="16" t="n"/>
      <c r="J486" s="16" t="n"/>
      <c r="K486" s="16" t="n"/>
      <c r="L486" s="17">
        <f>IF($D486="","",IF(AND($J486="Received",$K486&lt;&gt;"Yes",LEFT($N486,2)="OK"),"Yes","No"))</f>
        <v/>
      </c>
      <c r="M486" s="16" t="n"/>
      <c r="N486" s="17">
        <f>IF($D486="","",IF(AND($F486&lt;&gt;"Classroom",$F486&lt;&gt;"PT"),"TYPE NOT CREDITED",IF($C486="","NO MAKEUP DATE",IF(NOT(ISNUMBER($C486)),"MAKEUP DATE NOT A DATE",IF(OR(AND($G486&lt;&gt;"",NOT(ISNUMBER($G486))),AND($H486&lt;&gt;"",NOT(ISNUMBER($H486)))),"CREDIT NOT A NUMBER",IF(OR(N($G486)&lt;0,N($H486)&lt;0),"NEGATIVE CREDIT",IF(AND($F486="Classroom",N($G486)&lt;=0),"NO MINUTES CREDITED",IF(AND($F486="PT",N($H486)&lt;=0),"NO SESSIONS CREDITED",IF($I486="","NO LINKED EVENT",IF(COUNTIF(nrAT_ID,$I486)=0,"NO SUCH EVENT",IF(INDEX(nrAT_PID,MATCH($I486,nrAT_ID,0))&lt;&gt;$E486,"WRONG CADET",IF(INDEX(nrAT_IsPT,MATCH($I486,nrAT_ID,0))&lt;&gt;IF($F486="PT","Yes","No"),"UNIT MISMATCH","OK"))))))))))))</f>
        <v/>
      </c>
    </row>
    <row r="487">
      <c r="B487" s="17">
        <f>IF($D487="","","M"&amp;TEXT(ROW()-5,"000"))</f>
        <v/>
      </c>
      <c r="C487" s="18" t="n"/>
      <c r="D487" s="16" t="n"/>
      <c r="E487" s="17">
        <f>IF($D487="","",IFERROR(INDEX(rngCadetPIDs,MATCH($D487,rngCadetNames,0)),"?"))</f>
        <v/>
      </c>
      <c r="F487" s="16" t="n"/>
      <c r="G487" s="16" t="n"/>
      <c r="H487" s="16" t="n"/>
      <c r="I487" s="16" t="n"/>
      <c r="J487" s="16" t="n"/>
      <c r="K487" s="16" t="n"/>
      <c r="L487" s="17">
        <f>IF($D487="","",IF(AND($J487="Received",$K487&lt;&gt;"Yes",LEFT($N487,2)="OK"),"Yes","No"))</f>
        <v/>
      </c>
      <c r="M487" s="16" t="n"/>
      <c r="N487" s="17">
        <f>IF($D487="","",IF(AND($F487&lt;&gt;"Classroom",$F487&lt;&gt;"PT"),"TYPE NOT CREDITED",IF($C487="","NO MAKEUP DATE",IF(NOT(ISNUMBER($C487)),"MAKEUP DATE NOT A DATE",IF(OR(AND($G487&lt;&gt;"",NOT(ISNUMBER($G487))),AND($H487&lt;&gt;"",NOT(ISNUMBER($H487)))),"CREDIT NOT A NUMBER",IF(OR(N($G487)&lt;0,N($H487)&lt;0),"NEGATIVE CREDIT",IF(AND($F487="Classroom",N($G487)&lt;=0),"NO MINUTES CREDITED",IF(AND($F487="PT",N($H487)&lt;=0),"NO SESSIONS CREDITED",IF($I487="","NO LINKED EVENT",IF(COUNTIF(nrAT_ID,$I487)=0,"NO SUCH EVENT",IF(INDEX(nrAT_PID,MATCH($I487,nrAT_ID,0))&lt;&gt;$E487,"WRONG CADET",IF(INDEX(nrAT_IsPT,MATCH($I487,nrAT_ID,0))&lt;&gt;IF($F487="PT","Yes","No"),"UNIT MISMATCH","OK"))))))))))))</f>
        <v/>
      </c>
    </row>
    <row r="488">
      <c r="B488" s="17">
        <f>IF($D488="","","M"&amp;TEXT(ROW()-5,"000"))</f>
        <v/>
      </c>
      <c r="C488" s="18" t="n"/>
      <c r="D488" s="16" t="n"/>
      <c r="E488" s="17">
        <f>IF($D488="","",IFERROR(INDEX(rngCadetPIDs,MATCH($D488,rngCadetNames,0)),"?"))</f>
        <v/>
      </c>
      <c r="F488" s="16" t="n"/>
      <c r="G488" s="16" t="n"/>
      <c r="H488" s="16" t="n"/>
      <c r="I488" s="16" t="n"/>
      <c r="J488" s="16" t="n"/>
      <c r="K488" s="16" t="n"/>
      <c r="L488" s="17">
        <f>IF($D488="","",IF(AND($J488="Received",$K488&lt;&gt;"Yes",LEFT($N488,2)="OK"),"Yes","No"))</f>
        <v/>
      </c>
      <c r="M488" s="16" t="n"/>
      <c r="N488" s="17">
        <f>IF($D488="","",IF(AND($F488&lt;&gt;"Classroom",$F488&lt;&gt;"PT"),"TYPE NOT CREDITED",IF($C488="","NO MAKEUP DATE",IF(NOT(ISNUMBER($C488)),"MAKEUP DATE NOT A DATE",IF(OR(AND($G488&lt;&gt;"",NOT(ISNUMBER($G488))),AND($H488&lt;&gt;"",NOT(ISNUMBER($H488)))),"CREDIT NOT A NUMBER",IF(OR(N($G488)&lt;0,N($H488)&lt;0),"NEGATIVE CREDIT",IF(AND($F488="Classroom",N($G488)&lt;=0),"NO MINUTES CREDITED",IF(AND($F488="PT",N($H488)&lt;=0),"NO SESSIONS CREDITED",IF($I488="","NO LINKED EVENT",IF(COUNTIF(nrAT_ID,$I488)=0,"NO SUCH EVENT",IF(INDEX(nrAT_PID,MATCH($I488,nrAT_ID,0))&lt;&gt;$E488,"WRONG CADET",IF(INDEX(nrAT_IsPT,MATCH($I488,nrAT_ID,0))&lt;&gt;IF($F488="PT","Yes","No"),"UNIT MISMATCH","OK"))))))))))))</f>
        <v/>
      </c>
    </row>
    <row r="489">
      <c r="B489" s="17">
        <f>IF($D489="","","M"&amp;TEXT(ROW()-5,"000"))</f>
        <v/>
      </c>
      <c r="C489" s="18" t="n"/>
      <c r="D489" s="16" t="n"/>
      <c r="E489" s="17">
        <f>IF($D489="","",IFERROR(INDEX(rngCadetPIDs,MATCH($D489,rngCadetNames,0)),"?"))</f>
        <v/>
      </c>
      <c r="F489" s="16" t="n"/>
      <c r="G489" s="16" t="n"/>
      <c r="H489" s="16" t="n"/>
      <c r="I489" s="16" t="n"/>
      <c r="J489" s="16" t="n"/>
      <c r="K489" s="16" t="n"/>
      <c r="L489" s="17">
        <f>IF($D489="","",IF(AND($J489="Received",$K489&lt;&gt;"Yes",LEFT($N489,2)="OK"),"Yes","No"))</f>
        <v/>
      </c>
      <c r="M489" s="16" t="n"/>
      <c r="N489" s="17">
        <f>IF($D489="","",IF(AND($F489&lt;&gt;"Classroom",$F489&lt;&gt;"PT"),"TYPE NOT CREDITED",IF($C489="","NO MAKEUP DATE",IF(NOT(ISNUMBER($C489)),"MAKEUP DATE NOT A DATE",IF(OR(AND($G489&lt;&gt;"",NOT(ISNUMBER($G489))),AND($H489&lt;&gt;"",NOT(ISNUMBER($H489)))),"CREDIT NOT A NUMBER",IF(OR(N($G489)&lt;0,N($H489)&lt;0),"NEGATIVE CREDIT",IF(AND($F489="Classroom",N($G489)&lt;=0),"NO MINUTES CREDITED",IF(AND($F489="PT",N($H489)&lt;=0),"NO SESSIONS CREDITED",IF($I489="","NO LINKED EVENT",IF(COUNTIF(nrAT_ID,$I489)=0,"NO SUCH EVENT",IF(INDEX(nrAT_PID,MATCH($I489,nrAT_ID,0))&lt;&gt;$E489,"WRONG CADET",IF(INDEX(nrAT_IsPT,MATCH($I489,nrAT_ID,0))&lt;&gt;IF($F489="PT","Yes","No"),"UNIT MISMATCH","OK"))))))))))))</f>
        <v/>
      </c>
    </row>
    <row r="490">
      <c r="B490" s="17">
        <f>IF($D490="","","M"&amp;TEXT(ROW()-5,"000"))</f>
        <v/>
      </c>
      <c r="C490" s="18" t="n"/>
      <c r="D490" s="16" t="n"/>
      <c r="E490" s="17">
        <f>IF($D490="","",IFERROR(INDEX(rngCadetPIDs,MATCH($D490,rngCadetNames,0)),"?"))</f>
        <v/>
      </c>
      <c r="F490" s="16" t="n"/>
      <c r="G490" s="16" t="n"/>
      <c r="H490" s="16" t="n"/>
      <c r="I490" s="16" t="n"/>
      <c r="J490" s="16" t="n"/>
      <c r="K490" s="16" t="n"/>
      <c r="L490" s="17">
        <f>IF($D490="","",IF(AND($J490="Received",$K490&lt;&gt;"Yes",LEFT($N490,2)="OK"),"Yes","No"))</f>
        <v/>
      </c>
      <c r="M490" s="16" t="n"/>
      <c r="N490" s="17">
        <f>IF($D490="","",IF(AND($F490&lt;&gt;"Classroom",$F490&lt;&gt;"PT"),"TYPE NOT CREDITED",IF($C490="","NO MAKEUP DATE",IF(NOT(ISNUMBER($C490)),"MAKEUP DATE NOT A DATE",IF(OR(AND($G490&lt;&gt;"",NOT(ISNUMBER($G490))),AND($H490&lt;&gt;"",NOT(ISNUMBER($H490)))),"CREDIT NOT A NUMBER",IF(OR(N($G490)&lt;0,N($H490)&lt;0),"NEGATIVE CREDIT",IF(AND($F490="Classroom",N($G490)&lt;=0),"NO MINUTES CREDITED",IF(AND($F490="PT",N($H490)&lt;=0),"NO SESSIONS CREDITED",IF($I490="","NO LINKED EVENT",IF(COUNTIF(nrAT_ID,$I490)=0,"NO SUCH EVENT",IF(INDEX(nrAT_PID,MATCH($I490,nrAT_ID,0))&lt;&gt;$E490,"WRONG CADET",IF(INDEX(nrAT_IsPT,MATCH($I490,nrAT_ID,0))&lt;&gt;IF($F490="PT","Yes","No"),"UNIT MISMATCH","OK"))))))))))))</f>
        <v/>
      </c>
    </row>
    <row r="491">
      <c r="B491" s="17">
        <f>IF($D491="","","M"&amp;TEXT(ROW()-5,"000"))</f>
        <v/>
      </c>
      <c r="C491" s="18" t="n"/>
      <c r="D491" s="16" t="n"/>
      <c r="E491" s="17">
        <f>IF($D491="","",IFERROR(INDEX(rngCadetPIDs,MATCH($D491,rngCadetNames,0)),"?"))</f>
        <v/>
      </c>
      <c r="F491" s="16" t="n"/>
      <c r="G491" s="16" t="n"/>
      <c r="H491" s="16" t="n"/>
      <c r="I491" s="16" t="n"/>
      <c r="J491" s="16" t="n"/>
      <c r="K491" s="16" t="n"/>
      <c r="L491" s="17">
        <f>IF($D491="","",IF(AND($J491="Received",$K491&lt;&gt;"Yes",LEFT($N491,2)="OK"),"Yes","No"))</f>
        <v/>
      </c>
      <c r="M491" s="16" t="n"/>
      <c r="N491" s="17">
        <f>IF($D491="","",IF(AND($F491&lt;&gt;"Classroom",$F491&lt;&gt;"PT"),"TYPE NOT CREDITED",IF($C491="","NO MAKEUP DATE",IF(NOT(ISNUMBER($C491)),"MAKEUP DATE NOT A DATE",IF(OR(AND($G491&lt;&gt;"",NOT(ISNUMBER($G491))),AND($H491&lt;&gt;"",NOT(ISNUMBER($H491)))),"CREDIT NOT A NUMBER",IF(OR(N($G491)&lt;0,N($H491)&lt;0),"NEGATIVE CREDIT",IF(AND($F491="Classroom",N($G491)&lt;=0),"NO MINUTES CREDITED",IF(AND($F491="PT",N($H491)&lt;=0),"NO SESSIONS CREDITED",IF($I491="","NO LINKED EVENT",IF(COUNTIF(nrAT_ID,$I491)=0,"NO SUCH EVENT",IF(INDEX(nrAT_PID,MATCH($I491,nrAT_ID,0))&lt;&gt;$E491,"WRONG CADET",IF(INDEX(nrAT_IsPT,MATCH($I491,nrAT_ID,0))&lt;&gt;IF($F491="PT","Yes","No"),"UNIT MISMATCH","OK"))))))))))))</f>
        <v/>
      </c>
    </row>
    <row r="492">
      <c r="B492" s="17">
        <f>IF($D492="","","M"&amp;TEXT(ROW()-5,"000"))</f>
        <v/>
      </c>
      <c r="C492" s="18" t="n"/>
      <c r="D492" s="16" t="n"/>
      <c r="E492" s="17">
        <f>IF($D492="","",IFERROR(INDEX(rngCadetPIDs,MATCH($D492,rngCadetNames,0)),"?"))</f>
        <v/>
      </c>
      <c r="F492" s="16" t="n"/>
      <c r="G492" s="16" t="n"/>
      <c r="H492" s="16" t="n"/>
      <c r="I492" s="16" t="n"/>
      <c r="J492" s="16" t="n"/>
      <c r="K492" s="16" t="n"/>
      <c r="L492" s="17">
        <f>IF($D492="","",IF(AND($J492="Received",$K492&lt;&gt;"Yes",LEFT($N492,2)="OK"),"Yes","No"))</f>
        <v/>
      </c>
      <c r="M492" s="16" t="n"/>
      <c r="N492" s="17">
        <f>IF($D492="","",IF(AND($F492&lt;&gt;"Classroom",$F492&lt;&gt;"PT"),"TYPE NOT CREDITED",IF($C492="","NO MAKEUP DATE",IF(NOT(ISNUMBER($C492)),"MAKEUP DATE NOT A DATE",IF(OR(AND($G492&lt;&gt;"",NOT(ISNUMBER($G492))),AND($H492&lt;&gt;"",NOT(ISNUMBER($H492)))),"CREDIT NOT A NUMBER",IF(OR(N($G492)&lt;0,N($H492)&lt;0),"NEGATIVE CREDIT",IF(AND($F492="Classroom",N($G492)&lt;=0),"NO MINUTES CREDITED",IF(AND($F492="PT",N($H492)&lt;=0),"NO SESSIONS CREDITED",IF($I492="","NO LINKED EVENT",IF(COUNTIF(nrAT_ID,$I492)=0,"NO SUCH EVENT",IF(INDEX(nrAT_PID,MATCH($I492,nrAT_ID,0))&lt;&gt;$E492,"WRONG CADET",IF(INDEX(nrAT_IsPT,MATCH($I492,nrAT_ID,0))&lt;&gt;IF($F492="PT","Yes","No"),"UNIT MISMATCH","OK"))))))))))))</f>
        <v/>
      </c>
    </row>
    <row r="493">
      <c r="B493" s="17">
        <f>IF($D493="","","M"&amp;TEXT(ROW()-5,"000"))</f>
        <v/>
      </c>
      <c r="C493" s="18" t="n"/>
      <c r="D493" s="16" t="n"/>
      <c r="E493" s="17">
        <f>IF($D493="","",IFERROR(INDEX(rngCadetPIDs,MATCH($D493,rngCadetNames,0)),"?"))</f>
        <v/>
      </c>
      <c r="F493" s="16" t="n"/>
      <c r="G493" s="16" t="n"/>
      <c r="H493" s="16" t="n"/>
      <c r="I493" s="16" t="n"/>
      <c r="J493" s="16" t="n"/>
      <c r="K493" s="16" t="n"/>
      <c r="L493" s="17">
        <f>IF($D493="","",IF(AND($J493="Received",$K493&lt;&gt;"Yes",LEFT($N493,2)="OK"),"Yes","No"))</f>
        <v/>
      </c>
      <c r="M493" s="16" t="n"/>
      <c r="N493" s="17">
        <f>IF($D493="","",IF(AND($F493&lt;&gt;"Classroom",$F493&lt;&gt;"PT"),"TYPE NOT CREDITED",IF($C493="","NO MAKEUP DATE",IF(NOT(ISNUMBER($C493)),"MAKEUP DATE NOT A DATE",IF(OR(AND($G493&lt;&gt;"",NOT(ISNUMBER($G493))),AND($H493&lt;&gt;"",NOT(ISNUMBER($H493)))),"CREDIT NOT A NUMBER",IF(OR(N($G493)&lt;0,N($H493)&lt;0),"NEGATIVE CREDIT",IF(AND($F493="Classroom",N($G493)&lt;=0),"NO MINUTES CREDITED",IF(AND($F493="PT",N($H493)&lt;=0),"NO SESSIONS CREDITED",IF($I493="","NO LINKED EVENT",IF(COUNTIF(nrAT_ID,$I493)=0,"NO SUCH EVENT",IF(INDEX(nrAT_PID,MATCH($I493,nrAT_ID,0))&lt;&gt;$E493,"WRONG CADET",IF(INDEX(nrAT_IsPT,MATCH($I493,nrAT_ID,0))&lt;&gt;IF($F493="PT","Yes","No"),"UNIT MISMATCH","OK"))))))))))))</f>
        <v/>
      </c>
    </row>
    <row r="494">
      <c r="B494" s="17">
        <f>IF($D494="","","M"&amp;TEXT(ROW()-5,"000"))</f>
        <v/>
      </c>
      <c r="C494" s="18" t="n"/>
      <c r="D494" s="16" t="n"/>
      <c r="E494" s="17">
        <f>IF($D494="","",IFERROR(INDEX(rngCadetPIDs,MATCH($D494,rngCadetNames,0)),"?"))</f>
        <v/>
      </c>
      <c r="F494" s="16" t="n"/>
      <c r="G494" s="16" t="n"/>
      <c r="H494" s="16" t="n"/>
      <c r="I494" s="16" t="n"/>
      <c r="J494" s="16" t="n"/>
      <c r="K494" s="16" t="n"/>
      <c r="L494" s="17">
        <f>IF($D494="","",IF(AND($J494="Received",$K494&lt;&gt;"Yes",LEFT($N494,2)="OK"),"Yes","No"))</f>
        <v/>
      </c>
      <c r="M494" s="16" t="n"/>
      <c r="N494" s="17">
        <f>IF($D494="","",IF(AND($F494&lt;&gt;"Classroom",$F494&lt;&gt;"PT"),"TYPE NOT CREDITED",IF($C494="","NO MAKEUP DATE",IF(NOT(ISNUMBER($C494)),"MAKEUP DATE NOT A DATE",IF(OR(AND($G494&lt;&gt;"",NOT(ISNUMBER($G494))),AND($H494&lt;&gt;"",NOT(ISNUMBER($H494)))),"CREDIT NOT A NUMBER",IF(OR(N($G494)&lt;0,N($H494)&lt;0),"NEGATIVE CREDIT",IF(AND($F494="Classroom",N($G494)&lt;=0),"NO MINUTES CREDITED",IF(AND($F494="PT",N($H494)&lt;=0),"NO SESSIONS CREDITED",IF($I494="","NO LINKED EVENT",IF(COUNTIF(nrAT_ID,$I494)=0,"NO SUCH EVENT",IF(INDEX(nrAT_PID,MATCH($I494,nrAT_ID,0))&lt;&gt;$E494,"WRONG CADET",IF(INDEX(nrAT_IsPT,MATCH($I494,nrAT_ID,0))&lt;&gt;IF($F494="PT","Yes","No"),"UNIT MISMATCH","OK"))))))))))))</f>
        <v/>
      </c>
    </row>
    <row r="495">
      <c r="B495" s="17">
        <f>IF($D495="","","M"&amp;TEXT(ROW()-5,"000"))</f>
        <v/>
      </c>
      <c r="C495" s="18" t="n"/>
      <c r="D495" s="16" t="n"/>
      <c r="E495" s="17">
        <f>IF($D495="","",IFERROR(INDEX(rngCadetPIDs,MATCH($D495,rngCadetNames,0)),"?"))</f>
        <v/>
      </c>
      <c r="F495" s="16" t="n"/>
      <c r="G495" s="16" t="n"/>
      <c r="H495" s="16" t="n"/>
      <c r="I495" s="16" t="n"/>
      <c r="J495" s="16" t="n"/>
      <c r="K495" s="16" t="n"/>
      <c r="L495" s="17">
        <f>IF($D495="","",IF(AND($J495="Received",$K495&lt;&gt;"Yes",LEFT($N495,2)="OK"),"Yes","No"))</f>
        <v/>
      </c>
      <c r="M495" s="16" t="n"/>
      <c r="N495" s="17">
        <f>IF($D495="","",IF(AND($F495&lt;&gt;"Classroom",$F495&lt;&gt;"PT"),"TYPE NOT CREDITED",IF($C495="","NO MAKEUP DATE",IF(NOT(ISNUMBER($C495)),"MAKEUP DATE NOT A DATE",IF(OR(AND($G495&lt;&gt;"",NOT(ISNUMBER($G495))),AND($H495&lt;&gt;"",NOT(ISNUMBER($H495)))),"CREDIT NOT A NUMBER",IF(OR(N($G495)&lt;0,N($H495)&lt;0),"NEGATIVE CREDIT",IF(AND($F495="Classroom",N($G495)&lt;=0),"NO MINUTES CREDITED",IF(AND($F495="PT",N($H495)&lt;=0),"NO SESSIONS CREDITED",IF($I495="","NO LINKED EVENT",IF(COUNTIF(nrAT_ID,$I495)=0,"NO SUCH EVENT",IF(INDEX(nrAT_PID,MATCH($I495,nrAT_ID,0))&lt;&gt;$E495,"WRONG CADET",IF(INDEX(nrAT_IsPT,MATCH($I495,nrAT_ID,0))&lt;&gt;IF($F495="PT","Yes","No"),"UNIT MISMATCH","OK"))))))))))))</f>
        <v/>
      </c>
    </row>
    <row r="496">
      <c r="B496" s="17">
        <f>IF($D496="","","M"&amp;TEXT(ROW()-5,"000"))</f>
        <v/>
      </c>
      <c r="C496" s="18" t="n"/>
      <c r="D496" s="16" t="n"/>
      <c r="E496" s="17">
        <f>IF($D496="","",IFERROR(INDEX(rngCadetPIDs,MATCH($D496,rngCadetNames,0)),"?"))</f>
        <v/>
      </c>
      <c r="F496" s="16" t="n"/>
      <c r="G496" s="16" t="n"/>
      <c r="H496" s="16" t="n"/>
      <c r="I496" s="16" t="n"/>
      <c r="J496" s="16" t="n"/>
      <c r="K496" s="16" t="n"/>
      <c r="L496" s="17">
        <f>IF($D496="","",IF(AND($J496="Received",$K496&lt;&gt;"Yes",LEFT($N496,2)="OK"),"Yes","No"))</f>
        <v/>
      </c>
      <c r="M496" s="16" t="n"/>
      <c r="N496" s="17">
        <f>IF($D496="","",IF(AND($F496&lt;&gt;"Classroom",$F496&lt;&gt;"PT"),"TYPE NOT CREDITED",IF($C496="","NO MAKEUP DATE",IF(NOT(ISNUMBER($C496)),"MAKEUP DATE NOT A DATE",IF(OR(AND($G496&lt;&gt;"",NOT(ISNUMBER($G496))),AND($H496&lt;&gt;"",NOT(ISNUMBER($H496)))),"CREDIT NOT A NUMBER",IF(OR(N($G496)&lt;0,N($H496)&lt;0),"NEGATIVE CREDIT",IF(AND($F496="Classroom",N($G496)&lt;=0),"NO MINUTES CREDITED",IF(AND($F496="PT",N($H496)&lt;=0),"NO SESSIONS CREDITED",IF($I496="","NO LINKED EVENT",IF(COUNTIF(nrAT_ID,$I496)=0,"NO SUCH EVENT",IF(INDEX(nrAT_PID,MATCH($I496,nrAT_ID,0))&lt;&gt;$E496,"WRONG CADET",IF(INDEX(nrAT_IsPT,MATCH($I496,nrAT_ID,0))&lt;&gt;IF($F496="PT","Yes","No"),"UNIT MISMATCH","OK"))))))))))))</f>
        <v/>
      </c>
    </row>
    <row r="497">
      <c r="B497" s="17">
        <f>IF($D497="","","M"&amp;TEXT(ROW()-5,"000"))</f>
        <v/>
      </c>
      <c r="C497" s="18" t="n"/>
      <c r="D497" s="16" t="n"/>
      <c r="E497" s="17">
        <f>IF($D497="","",IFERROR(INDEX(rngCadetPIDs,MATCH($D497,rngCadetNames,0)),"?"))</f>
        <v/>
      </c>
      <c r="F497" s="16" t="n"/>
      <c r="G497" s="16" t="n"/>
      <c r="H497" s="16" t="n"/>
      <c r="I497" s="16" t="n"/>
      <c r="J497" s="16" t="n"/>
      <c r="K497" s="16" t="n"/>
      <c r="L497" s="17">
        <f>IF($D497="","",IF(AND($J497="Received",$K497&lt;&gt;"Yes",LEFT($N497,2)="OK"),"Yes","No"))</f>
        <v/>
      </c>
      <c r="M497" s="16" t="n"/>
      <c r="N497" s="17">
        <f>IF($D497="","",IF(AND($F497&lt;&gt;"Classroom",$F497&lt;&gt;"PT"),"TYPE NOT CREDITED",IF($C497="","NO MAKEUP DATE",IF(NOT(ISNUMBER($C497)),"MAKEUP DATE NOT A DATE",IF(OR(AND($G497&lt;&gt;"",NOT(ISNUMBER($G497))),AND($H497&lt;&gt;"",NOT(ISNUMBER($H497)))),"CREDIT NOT A NUMBER",IF(OR(N($G497)&lt;0,N($H497)&lt;0),"NEGATIVE CREDIT",IF(AND($F497="Classroom",N($G497)&lt;=0),"NO MINUTES CREDITED",IF(AND($F497="PT",N($H497)&lt;=0),"NO SESSIONS CREDITED",IF($I497="","NO LINKED EVENT",IF(COUNTIF(nrAT_ID,$I497)=0,"NO SUCH EVENT",IF(INDEX(nrAT_PID,MATCH($I497,nrAT_ID,0))&lt;&gt;$E497,"WRONG CADET",IF(INDEX(nrAT_IsPT,MATCH($I497,nrAT_ID,0))&lt;&gt;IF($F497="PT","Yes","No"),"UNIT MISMATCH","OK"))))))))))))</f>
        <v/>
      </c>
    </row>
    <row r="498">
      <c r="B498" s="17">
        <f>IF($D498="","","M"&amp;TEXT(ROW()-5,"000"))</f>
        <v/>
      </c>
      <c r="C498" s="18" t="n"/>
      <c r="D498" s="16" t="n"/>
      <c r="E498" s="17">
        <f>IF($D498="","",IFERROR(INDEX(rngCadetPIDs,MATCH($D498,rngCadetNames,0)),"?"))</f>
        <v/>
      </c>
      <c r="F498" s="16" t="n"/>
      <c r="G498" s="16" t="n"/>
      <c r="H498" s="16" t="n"/>
      <c r="I498" s="16" t="n"/>
      <c r="J498" s="16" t="n"/>
      <c r="K498" s="16" t="n"/>
      <c r="L498" s="17">
        <f>IF($D498="","",IF(AND($J498="Received",$K498&lt;&gt;"Yes",LEFT($N498,2)="OK"),"Yes","No"))</f>
        <v/>
      </c>
      <c r="M498" s="16" t="n"/>
      <c r="N498" s="17">
        <f>IF($D498="","",IF(AND($F498&lt;&gt;"Classroom",$F498&lt;&gt;"PT"),"TYPE NOT CREDITED",IF($C498="","NO MAKEUP DATE",IF(NOT(ISNUMBER($C498)),"MAKEUP DATE NOT A DATE",IF(OR(AND($G498&lt;&gt;"",NOT(ISNUMBER($G498))),AND($H498&lt;&gt;"",NOT(ISNUMBER($H498)))),"CREDIT NOT A NUMBER",IF(OR(N($G498)&lt;0,N($H498)&lt;0),"NEGATIVE CREDIT",IF(AND($F498="Classroom",N($G498)&lt;=0),"NO MINUTES CREDITED",IF(AND($F498="PT",N($H498)&lt;=0),"NO SESSIONS CREDITED",IF($I498="","NO LINKED EVENT",IF(COUNTIF(nrAT_ID,$I498)=0,"NO SUCH EVENT",IF(INDEX(nrAT_PID,MATCH($I498,nrAT_ID,0))&lt;&gt;$E498,"WRONG CADET",IF(INDEX(nrAT_IsPT,MATCH($I498,nrAT_ID,0))&lt;&gt;IF($F498="PT","Yes","No"),"UNIT MISMATCH","OK"))))))))))))</f>
        <v/>
      </c>
    </row>
    <row r="499">
      <c r="B499" s="17">
        <f>IF($D499="","","M"&amp;TEXT(ROW()-5,"000"))</f>
        <v/>
      </c>
      <c r="C499" s="18" t="n"/>
      <c r="D499" s="16" t="n"/>
      <c r="E499" s="17">
        <f>IF($D499="","",IFERROR(INDEX(rngCadetPIDs,MATCH($D499,rngCadetNames,0)),"?"))</f>
        <v/>
      </c>
      <c r="F499" s="16" t="n"/>
      <c r="G499" s="16" t="n"/>
      <c r="H499" s="16" t="n"/>
      <c r="I499" s="16" t="n"/>
      <c r="J499" s="16" t="n"/>
      <c r="K499" s="16" t="n"/>
      <c r="L499" s="17">
        <f>IF($D499="","",IF(AND($J499="Received",$K499&lt;&gt;"Yes",LEFT($N499,2)="OK"),"Yes","No"))</f>
        <v/>
      </c>
      <c r="M499" s="16" t="n"/>
      <c r="N499" s="17">
        <f>IF($D499="","",IF(AND($F499&lt;&gt;"Classroom",$F499&lt;&gt;"PT"),"TYPE NOT CREDITED",IF($C499="","NO MAKEUP DATE",IF(NOT(ISNUMBER($C499)),"MAKEUP DATE NOT A DATE",IF(OR(AND($G499&lt;&gt;"",NOT(ISNUMBER($G499))),AND($H499&lt;&gt;"",NOT(ISNUMBER($H499)))),"CREDIT NOT A NUMBER",IF(OR(N($G499)&lt;0,N($H499)&lt;0),"NEGATIVE CREDIT",IF(AND($F499="Classroom",N($G499)&lt;=0),"NO MINUTES CREDITED",IF(AND($F499="PT",N($H499)&lt;=0),"NO SESSIONS CREDITED",IF($I499="","NO LINKED EVENT",IF(COUNTIF(nrAT_ID,$I499)=0,"NO SUCH EVENT",IF(INDEX(nrAT_PID,MATCH($I499,nrAT_ID,0))&lt;&gt;$E499,"WRONG CADET",IF(INDEX(nrAT_IsPT,MATCH($I499,nrAT_ID,0))&lt;&gt;IF($F499="PT","Yes","No"),"UNIT MISMATCH","OK"))))))))))))</f>
        <v/>
      </c>
    </row>
    <row r="500">
      <c r="B500" s="17">
        <f>IF($D500="","","M"&amp;TEXT(ROW()-5,"000"))</f>
        <v/>
      </c>
      <c r="C500" s="18" t="n"/>
      <c r="D500" s="16" t="n"/>
      <c r="E500" s="17">
        <f>IF($D500="","",IFERROR(INDEX(rngCadetPIDs,MATCH($D500,rngCadetNames,0)),"?"))</f>
        <v/>
      </c>
      <c r="F500" s="16" t="n"/>
      <c r="G500" s="16" t="n"/>
      <c r="H500" s="16" t="n"/>
      <c r="I500" s="16" t="n"/>
      <c r="J500" s="16" t="n"/>
      <c r="K500" s="16" t="n"/>
      <c r="L500" s="17">
        <f>IF($D500="","",IF(AND($J500="Received",$K500&lt;&gt;"Yes",LEFT($N500,2)="OK"),"Yes","No"))</f>
        <v/>
      </c>
      <c r="M500" s="16" t="n"/>
      <c r="N500" s="17">
        <f>IF($D500="","",IF(AND($F500&lt;&gt;"Classroom",$F500&lt;&gt;"PT"),"TYPE NOT CREDITED",IF($C500="","NO MAKEUP DATE",IF(NOT(ISNUMBER($C500)),"MAKEUP DATE NOT A DATE",IF(OR(AND($G500&lt;&gt;"",NOT(ISNUMBER($G500))),AND($H500&lt;&gt;"",NOT(ISNUMBER($H500)))),"CREDIT NOT A NUMBER",IF(OR(N($G500)&lt;0,N($H500)&lt;0),"NEGATIVE CREDIT",IF(AND($F500="Classroom",N($G500)&lt;=0),"NO MINUTES CREDITED",IF(AND($F500="PT",N($H500)&lt;=0),"NO SESSIONS CREDITED",IF($I500="","NO LINKED EVENT",IF(COUNTIF(nrAT_ID,$I500)=0,"NO SUCH EVENT",IF(INDEX(nrAT_PID,MATCH($I500,nrAT_ID,0))&lt;&gt;$E500,"WRONG CADET",IF(INDEX(nrAT_IsPT,MATCH($I500,nrAT_ID,0))&lt;&gt;IF($F500="PT","Yes","No"),"UNIT MISMATCH","OK"))))))))))))</f>
        <v/>
      </c>
    </row>
    <row r="501">
      <c r="B501" s="17">
        <f>IF($D501="","","M"&amp;TEXT(ROW()-5,"000"))</f>
        <v/>
      </c>
      <c r="C501" s="18" t="n"/>
      <c r="D501" s="16" t="n"/>
      <c r="E501" s="17">
        <f>IF($D501="","",IFERROR(INDEX(rngCadetPIDs,MATCH($D501,rngCadetNames,0)),"?"))</f>
        <v/>
      </c>
      <c r="F501" s="16" t="n"/>
      <c r="G501" s="16" t="n"/>
      <c r="H501" s="16" t="n"/>
      <c r="I501" s="16" t="n"/>
      <c r="J501" s="16" t="n"/>
      <c r="K501" s="16" t="n"/>
      <c r="L501" s="17">
        <f>IF($D501="","",IF(AND($J501="Received",$K501&lt;&gt;"Yes",LEFT($N501,2)="OK"),"Yes","No"))</f>
        <v/>
      </c>
      <c r="M501" s="16" t="n"/>
      <c r="N501" s="17">
        <f>IF($D501="","",IF(AND($F501&lt;&gt;"Classroom",$F501&lt;&gt;"PT"),"TYPE NOT CREDITED",IF($C501="","NO MAKEUP DATE",IF(NOT(ISNUMBER($C501)),"MAKEUP DATE NOT A DATE",IF(OR(AND($G501&lt;&gt;"",NOT(ISNUMBER($G501))),AND($H501&lt;&gt;"",NOT(ISNUMBER($H501)))),"CREDIT NOT A NUMBER",IF(OR(N($G501)&lt;0,N($H501)&lt;0),"NEGATIVE CREDIT",IF(AND($F501="Classroom",N($G501)&lt;=0),"NO MINUTES CREDITED",IF(AND($F501="PT",N($H501)&lt;=0),"NO SESSIONS CREDITED",IF($I501="","NO LINKED EVENT",IF(COUNTIF(nrAT_ID,$I501)=0,"NO SUCH EVENT",IF(INDEX(nrAT_PID,MATCH($I501,nrAT_ID,0))&lt;&gt;$E501,"WRONG CADET",IF(INDEX(nrAT_IsPT,MATCH($I501,nrAT_ID,0))&lt;&gt;IF($F501="PT","Yes","No"),"UNIT MISMATCH","OK"))))))))))))</f>
        <v/>
      </c>
    </row>
    <row r="502">
      <c r="B502" s="17">
        <f>IF($D502="","","M"&amp;TEXT(ROW()-5,"000"))</f>
        <v/>
      </c>
      <c r="C502" s="18" t="n"/>
      <c r="D502" s="16" t="n"/>
      <c r="E502" s="17">
        <f>IF($D502="","",IFERROR(INDEX(rngCadetPIDs,MATCH($D502,rngCadetNames,0)),"?"))</f>
        <v/>
      </c>
      <c r="F502" s="16" t="n"/>
      <c r="G502" s="16" t="n"/>
      <c r="H502" s="16" t="n"/>
      <c r="I502" s="16" t="n"/>
      <c r="J502" s="16" t="n"/>
      <c r="K502" s="16" t="n"/>
      <c r="L502" s="17">
        <f>IF($D502="","",IF(AND($J502="Received",$K502&lt;&gt;"Yes",LEFT($N502,2)="OK"),"Yes","No"))</f>
        <v/>
      </c>
      <c r="M502" s="16" t="n"/>
      <c r="N502" s="17">
        <f>IF($D502="","",IF(AND($F502&lt;&gt;"Classroom",$F502&lt;&gt;"PT"),"TYPE NOT CREDITED",IF($C502="","NO MAKEUP DATE",IF(NOT(ISNUMBER($C502)),"MAKEUP DATE NOT A DATE",IF(OR(AND($G502&lt;&gt;"",NOT(ISNUMBER($G502))),AND($H502&lt;&gt;"",NOT(ISNUMBER($H502)))),"CREDIT NOT A NUMBER",IF(OR(N($G502)&lt;0,N($H502)&lt;0),"NEGATIVE CREDIT",IF(AND($F502="Classroom",N($G502)&lt;=0),"NO MINUTES CREDITED",IF(AND($F502="PT",N($H502)&lt;=0),"NO SESSIONS CREDITED",IF($I502="","NO LINKED EVENT",IF(COUNTIF(nrAT_ID,$I502)=0,"NO SUCH EVENT",IF(INDEX(nrAT_PID,MATCH($I502,nrAT_ID,0))&lt;&gt;$E502,"WRONG CADET",IF(INDEX(nrAT_IsPT,MATCH($I502,nrAT_ID,0))&lt;&gt;IF($F502="PT","Yes","No"),"UNIT MISMATCH","OK"))))))))))))</f>
        <v/>
      </c>
    </row>
    <row r="503">
      <c r="B503" s="17">
        <f>IF($D503="","","M"&amp;TEXT(ROW()-5,"000"))</f>
        <v/>
      </c>
      <c r="C503" s="18" t="n"/>
      <c r="D503" s="16" t="n"/>
      <c r="E503" s="17">
        <f>IF($D503="","",IFERROR(INDEX(rngCadetPIDs,MATCH($D503,rngCadetNames,0)),"?"))</f>
        <v/>
      </c>
      <c r="F503" s="16" t="n"/>
      <c r="G503" s="16" t="n"/>
      <c r="H503" s="16" t="n"/>
      <c r="I503" s="16" t="n"/>
      <c r="J503" s="16" t="n"/>
      <c r="K503" s="16" t="n"/>
      <c r="L503" s="17">
        <f>IF($D503="","",IF(AND($J503="Received",$K503&lt;&gt;"Yes",LEFT($N503,2)="OK"),"Yes","No"))</f>
        <v/>
      </c>
      <c r="M503" s="16" t="n"/>
      <c r="N503" s="17">
        <f>IF($D503="","",IF(AND($F503&lt;&gt;"Classroom",$F503&lt;&gt;"PT"),"TYPE NOT CREDITED",IF($C503="","NO MAKEUP DATE",IF(NOT(ISNUMBER($C503)),"MAKEUP DATE NOT A DATE",IF(OR(AND($G503&lt;&gt;"",NOT(ISNUMBER($G503))),AND($H503&lt;&gt;"",NOT(ISNUMBER($H503)))),"CREDIT NOT A NUMBER",IF(OR(N($G503)&lt;0,N($H503)&lt;0),"NEGATIVE CREDIT",IF(AND($F503="Classroom",N($G503)&lt;=0),"NO MINUTES CREDITED",IF(AND($F503="PT",N($H503)&lt;=0),"NO SESSIONS CREDITED",IF($I503="","NO LINKED EVENT",IF(COUNTIF(nrAT_ID,$I503)=0,"NO SUCH EVENT",IF(INDEX(nrAT_PID,MATCH($I503,nrAT_ID,0))&lt;&gt;$E503,"WRONG CADET",IF(INDEX(nrAT_IsPT,MATCH($I503,nrAT_ID,0))&lt;&gt;IF($F503="PT","Yes","No"),"UNIT MISMATCH","OK"))))))))))))</f>
        <v/>
      </c>
    </row>
    <row r="504">
      <c r="B504" s="17">
        <f>IF($D504="","","M"&amp;TEXT(ROW()-5,"000"))</f>
        <v/>
      </c>
      <c r="C504" s="18" t="n"/>
      <c r="D504" s="16" t="n"/>
      <c r="E504" s="17">
        <f>IF($D504="","",IFERROR(INDEX(rngCadetPIDs,MATCH($D504,rngCadetNames,0)),"?"))</f>
        <v/>
      </c>
      <c r="F504" s="16" t="n"/>
      <c r="G504" s="16" t="n"/>
      <c r="H504" s="16" t="n"/>
      <c r="I504" s="16" t="n"/>
      <c r="J504" s="16" t="n"/>
      <c r="K504" s="16" t="n"/>
      <c r="L504" s="17">
        <f>IF($D504="","",IF(AND($J504="Received",$K504&lt;&gt;"Yes",LEFT($N504,2)="OK"),"Yes","No"))</f>
        <v/>
      </c>
      <c r="M504" s="16" t="n"/>
      <c r="N504" s="17">
        <f>IF($D504="","",IF(AND($F504&lt;&gt;"Classroom",$F504&lt;&gt;"PT"),"TYPE NOT CREDITED",IF($C504="","NO MAKEUP DATE",IF(NOT(ISNUMBER($C504)),"MAKEUP DATE NOT A DATE",IF(OR(AND($G504&lt;&gt;"",NOT(ISNUMBER($G504))),AND($H504&lt;&gt;"",NOT(ISNUMBER($H504)))),"CREDIT NOT A NUMBER",IF(OR(N($G504)&lt;0,N($H504)&lt;0),"NEGATIVE CREDIT",IF(AND($F504="Classroom",N($G504)&lt;=0),"NO MINUTES CREDITED",IF(AND($F504="PT",N($H504)&lt;=0),"NO SESSIONS CREDITED",IF($I504="","NO LINKED EVENT",IF(COUNTIF(nrAT_ID,$I504)=0,"NO SUCH EVENT",IF(INDEX(nrAT_PID,MATCH($I504,nrAT_ID,0))&lt;&gt;$E504,"WRONG CADET",IF(INDEX(nrAT_IsPT,MATCH($I504,nrAT_ID,0))&lt;&gt;IF($F504="PT","Yes","No"),"UNIT MISMATCH","OK"))))))))))))</f>
        <v/>
      </c>
    </row>
    <row r="505">
      <c r="B505" s="17">
        <f>IF($D505="","","M"&amp;TEXT(ROW()-5,"000"))</f>
        <v/>
      </c>
      <c r="C505" s="18" t="n"/>
      <c r="D505" s="16" t="n"/>
      <c r="E505" s="17">
        <f>IF($D505="","",IFERROR(INDEX(rngCadetPIDs,MATCH($D505,rngCadetNames,0)),"?"))</f>
        <v/>
      </c>
      <c r="F505" s="16" t="n"/>
      <c r="G505" s="16" t="n"/>
      <c r="H505" s="16" t="n"/>
      <c r="I505" s="16" t="n"/>
      <c r="J505" s="16" t="n"/>
      <c r="K505" s="16" t="n"/>
      <c r="L505" s="17">
        <f>IF($D505="","",IF(AND($J505="Received",$K505&lt;&gt;"Yes",LEFT($N505,2)="OK"),"Yes","No"))</f>
        <v/>
      </c>
      <c r="M505" s="16" t="n"/>
      <c r="N505" s="17">
        <f>IF($D505="","",IF(AND($F505&lt;&gt;"Classroom",$F505&lt;&gt;"PT"),"TYPE NOT CREDITED",IF($C505="","NO MAKEUP DATE",IF(NOT(ISNUMBER($C505)),"MAKEUP DATE NOT A DATE",IF(OR(AND($G505&lt;&gt;"",NOT(ISNUMBER($G505))),AND($H505&lt;&gt;"",NOT(ISNUMBER($H505)))),"CREDIT NOT A NUMBER",IF(OR(N($G505)&lt;0,N($H505)&lt;0),"NEGATIVE CREDIT",IF(AND($F505="Classroom",N($G505)&lt;=0),"NO MINUTES CREDITED",IF(AND($F505="PT",N($H505)&lt;=0),"NO SESSIONS CREDITED",IF($I505="","NO LINKED EVENT",IF(COUNTIF(nrAT_ID,$I505)=0,"NO SUCH EVENT",IF(INDEX(nrAT_PID,MATCH($I505,nrAT_ID,0))&lt;&gt;$E505,"WRONG CADET",IF(INDEX(nrAT_IsPT,MATCH($I505,nrAT_ID,0))&lt;&gt;IF($F505="PT","Yes","No"),"UNIT MISMATCH","OK"))))))))))))</f>
        <v/>
      </c>
    </row>
  </sheetData>
  <sheetProtection selectLockedCells="0" selectUnlockedCells="0" sheet="1" objects="0" insertRows="1" insertHyperlinks="1" autoFilter="0" scenarios="0" formatColumns="1" deleteColumns="1" insertColumns="1" pivotTables="1" deleteRows="1" formatCells="1" formatRows="1" sort="1" password="B4BB"/>
  <autoFilter ref="B5:N5"/>
  <conditionalFormatting sqref="N6:N505">
    <cfRule type="expression" priority="1" dxfId="0">
      <formula>AND($N6&lt;&gt;"",LEFT($N6,2)&lt;&gt;"OK")</formula>
    </cfRule>
  </conditionalFormatting>
  <dataValidations count="5">
    <dataValidation sqref="D6:D505" showDropDown="0" showInputMessage="0" showErrorMessage="1" allowBlank="1" type="list">
      <formula1>=rngCadetNames</formula1>
    </dataValidation>
    <dataValidation sqref="F6:F505" showDropDown="0" showInputMessage="0" showErrorMessage="1" allowBlank="1" type="list">
      <formula1>=lstMakeupType</formula1>
    </dataValidation>
    <dataValidation sqref="I6:I505" showDropDown="0" showInputMessage="0" showErrorMessage="0" allowBlank="1" type="list">
      <formula1>=nrAT_IDlist</formula1>
    </dataValidation>
    <dataValidation sqref="J6:J505" showDropDown="0" showInputMessage="0" showErrorMessage="1" allowBlank="1" type="list">
      <formula1>=lstDocumentation</formula1>
    </dataValidation>
    <dataValidation sqref="K6:K505" showDropDown="0" showInputMessage="0" showErrorMessage="1" allowBlank="1" type="list">
      <formula1>=lstYesNo</formula1>
    </dataValidation>
  </dataValidations>
  <pageMargins left="0.75" right="0.75" top="1" bottom="1" header="0.5" footer="0.5"/>
</worksheet>
</file>

<file path=xl/worksheets/sheet10.xml><?xml version="1.0" encoding="utf-8"?>
<worksheet xmlns="http://schemas.openxmlformats.org/spreadsheetml/2006/main">
  <sheetPr>
    <tabColor rgb="002E75B6"/>
    <outlinePr summaryBelow="1" summaryRight="1"/>
    <pageSetUpPr/>
  </sheetPr>
  <dimension ref="B1:S605"/>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4" customWidth="1" min="2" max="2"/>
    <col width="22" customWidth="1" min="3" max="3"/>
    <col width="9" customWidth="1" min="4" max="4"/>
    <col width="12" customWidth="1" min="5" max="5"/>
    <col hidden="1" outlineLevel="1" width="6" customWidth="1" min="6" max="8"/>
    <col width="9" customWidth="1" min="9" max="9"/>
    <col width="9" customWidth="1" min="10" max="10"/>
    <col width="8" customWidth="1" min="11" max="11"/>
    <col width="11" customWidth="1" min="12" max="12"/>
    <col width="16" customWidth="1" min="13" max="13"/>
    <col width="12" customWidth="1" min="14" max="14"/>
    <col width="16" customWidth="1" min="15" max="15"/>
    <col width="12" customWidth="1" min="16" max="16"/>
    <col width="26" customWidth="1" min="17" max="17"/>
    <col width="12" customWidth="1" min="18" max="18"/>
    <col width="30" customWidth="1" min="19" max="19"/>
  </cols>
  <sheetData>
    <row r="1">
      <c r="B1" s="10">
        <f>HYPERLINK("#Dashboard!B5","◄ Dashboard")</f>
        <v/>
      </c>
    </row>
    <row r="4">
      <c r="B4" s="11" t="inlineStr">
        <is>
          <t>One row per attempt (firearms scores recorded; Top Gun uses the firearms Score column). Firearms rows: set Course of Fire 1 or 2 — TCOLE requires 70%+ on BOTH. Exhausting max attempts = separation review (300.7). A next-attempt row logged before it is scored does NOT supersede the previous result and does not consume an attempt: Status stays 'Pending' on the new row and the real result keeps driving Skills eligibility until a Pass or Fail is entered. Watch Row Check (last column): a Score outside 0-100 counts toward NOTHING - not the firearms average, not Top Gun and not the both-courses-of-fire graduation gate - until it is corrected.</t>
        </is>
      </c>
    </row>
    <row r="5" ht="26" customHeight="1">
      <c r="B5" s="12" t="inlineStr">
        <is>
          <t>RecordID</t>
        </is>
      </c>
      <c r="C5" s="12" t="inlineStr">
        <is>
          <t>Cadet Name</t>
        </is>
      </c>
      <c r="D5" s="12" t="inlineStr">
        <is>
          <t>PID</t>
        </is>
      </c>
      <c r="E5" s="12" t="inlineStr">
        <is>
          <t>Category</t>
        </is>
      </c>
      <c r="F5" s="12" t="inlineStr">
        <is>
          <t>Max</t>
        </is>
      </c>
      <c r="G5" s="12" t="inlineStr">
        <is>
          <t>Mode</t>
        </is>
      </c>
      <c r="H5" s="12" t="inlineStr">
        <is>
          <t>Passing</t>
        </is>
      </c>
      <c r="I5" s="12" t="inlineStr">
        <is>
          <t>Attempt #</t>
        </is>
      </c>
      <c r="J5" s="12" t="inlineStr">
        <is>
          <t>Result</t>
        </is>
      </c>
      <c r="K5" s="12" t="inlineStr">
        <is>
          <t>Score</t>
        </is>
      </c>
      <c r="L5" s="12" t="inlineStr">
        <is>
          <t>Date</t>
        </is>
      </c>
      <c r="M5" s="12" t="inlineStr">
        <is>
          <t>Assessed By</t>
        </is>
      </c>
      <c r="N5" s="12" t="inlineStr">
        <is>
          <t>Attempts Used</t>
        </is>
      </c>
      <c r="O5" s="12" t="inlineStr">
        <is>
          <t>Status</t>
        </is>
      </c>
      <c r="P5" s="12" t="inlineStr">
        <is>
          <t>DismissReview</t>
        </is>
      </c>
      <c r="Q5" s="12" t="inlineStr">
        <is>
          <t>Notes</t>
        </is>
      </c>
      <c r="R5" s="12" t="inlineStr">
        <is>
          <t>Course of Fire</t>
        </is>
      </c>
      <c r="S5" s="12" t="inlineStr">
        <is>
          <t>Row Check</t>
        </is>
      </c>
    </row>
    <row r="6">
      <c r="B6" s="17">
        <f>IF($C6="","",$D6&amp;"-"&amp;$E6&amp;"-"&amp;$I6)</f>
        <v/>
      </c>
      <c r="C6" s="16" t="n"/>
      <c r="D6" s="17">
        <f>IF($C6="","",IFERROR(INDEX(rngCadetPIDs,MATCH($C6,rngCadetNames,0)),"?"))</f>
        <v/>
      </c>
      <c r="E6" s="16" t="n"/>
      <c r="F6" s="17">
        <f>IF($E6="","",IFERROR(INDEX(rngSM_max,MATCH($E6,rngSM_cat,0)),""))</f>
        <v/>
      </c>
      <c r="G6" s="17">
        <f>IF($E6="","",IFERROR(INDEX(rngSM_mode,MATCH($E6,rngSM_cat,0)),""))</f>
        <v/>
      </c>
      <c r="H6" s="17">
        <f>IF($E6="","",IFERROR(INDEX(rngSM_pass,MATCH($E6,rngSM_cat,0)),""))</f>
        <v/>
      </c>
      <c r="I6" s="16" t="n"/>
      <c r="J6" s="16" t="n"/>
      <c r="K6" s="16" t="n"/>
      <c r="L6" s="18" t="n"/>
      <c r="M6" s="16" t="n"/>
      <c r="N6" s="17">
        <f>IF($C6="","",MAX(_xlfn.MAXIFS(nrSK_Att,nrSK_PID,$D6,nrSK_Cat,$E6,nrSK_Res,"Pass"),_xlfn.MAXIFS(nrSK_Att,nrSK_PID,$D6,nrSK_Cat,$E6,nrSK_Res,"Fail")))</f>
        <v/>
      </c>
      <c r="O6" s="17">
        <f>IF($C6="","",IF(AND(MAX(_xlfn.MAXIFS(nrSK_Att,nrSK_PID,$D6,nrSK_Cat,$E6,nrSK_Res,"Pass"),_xlfn.MAXIFS(nrSK_Att,nrSK_PID,$D6,nrSK_Cat,$E6,nrSK_Res,"Fail"))&gt;0,N($I6)&lt;MAX(_xlfn.MAXIFS(nrSK_Att,nrSK_PID,$D6,nrSK_Cat,$E6,nrSK_Res,"Pass"),_xlfn.MAXIFS(nrSK_Att,nrSK_PID,$D6,nrSK_Cat,$E6,nrSK_Res,"Fail"))),"(superseded)",IF(OR($J6="",$J6="Pending"),"Pending",IF($J6="Pass","Qualified",IF(AND($J6="Fail",$N6&gt;=$F6),"FAILED OUT","Needs Remediation")))))</f>
        <v/>
      </c>
      <c r="P6" s="17">
        <f>IF($C6="","",IF($O6="FAILED OUT","Yes","No"))</f>
        <v/>
      </c>
      <c r="Q6" s="16" t="n"/>
      <c r="R6" s="16" t="n"/>
      <c r="S6" s="17">
        <f>IF($C6="","",IF(AND($K6&lt;&gt;"",NOT(ISNUMBER($K6))),"SCORE NOT A NUMBER",IF(AND(ISNUMBER($K6),OR($K6&lt;0,$K6&gt;100)),"SCORE OUT OF RANGE - this score counts toward nothing",IF(AND($G6="Score",$K6="",$J6&lt;&gt;"",$J6&lt;&gt;"Pending"),"RESULT WITHOUT A SCORE",IF(AND($G6="Pass/Fail",$K6&lt;&gt;""),"SCORE ON A PASS-FAIL CATEGORY - it is ignored",IF(AND($E6="Firearms",$J6&lt;&gt;"",$J6&lt;&gt;"Pending",$R6=""),"FIREARMS ROW WITH NO COURSE OF FIRE","OK"))))))</f>
        <v/>
      </c>
    </row>
    <row r="7">
      <c r="B7" s="17">
        <f>IF($C7="","",$D7&amp;"-"&amp;$E7&amp;"-"&amp;$I7)</f>
        <v/>
      </c>
      <c r="C7" s="16" t="n"/>
      <c r="D7" s="17">
        <f>IF($C7="","",IFERROR(INDEX(rngCadetPIDs,MATCH($C7,rngCadetNames,0)),"?"))</f>
        <v/>
      </c>
      <c r="E7" s="16" t="n"/>
      <c r="F7" s="17">
        <f>IF($E7="","",IFERROR(INDEX(rngSM_max,MATCH($E7,rngSM_cat,0)),""))</f>
        <v/>
      </c>
      <c r="G7" s="17">
        <f>IF($E7="","",IFERROR(INDEX(rngSM_mode,MATCH($E7,rngSM_cat,0)),""))</f>
        <v/>
      </c>
      <c r="H7" s="17">
        <f>IF($E7="","",IFERROR(INDEX(rngSM_pass,MATCH($E7,rngSM_cat,0)),""))</f>
        <v/>
      </c>
      <c r="I7" s="16" t="n"/>
      <c r="J7" s="16" t="n"/>
      <c r="K7" s="16" t="n"/>
      <c r="L7" s="18" t="n"/>
      <c r="M7" s="16" t="n"/>
      <c r="N7" s="17">
        <f>IF($C7="","",MAX(_xlfn.MAXIFS(nrSK_Att,nrSK_PID,$D7,nrSK_Cat,$E7,nrSK_Res,"Pass"),_xlfn.MAXIFS(nrSK_Att,nrSK_PID,$D7,nrSK_Cat,$E7,nrSK_Res,"Fail")))</f>
        <v/>
      </c>
      <c r="O7" s="17">
        <f>IF($C7="","",IF(AND(MAX(_xlfn.MAXIFS(nrSK_Att,nrSK_PID,$D7,nrSK_Cat,$E7,nrSK_Res,"Pass"),_xlfn.MAXIFS(nrSK_Att,nrSK_PID,$D7,nrSK_Cat,$E7,nrSK_Res,"Fail"))&gt;0,N($I7)&lt;MAX(_xlfn.MAXIFS(nrSK_Att,nrSK_PID,$D7,nrSK_Cat,$E7,nrSK_Res,"Pass"),_xlfn.MAXIFS(nrSK_Att,nrSK_PID,$D7,nrSK_Cat,$E7,nrSK_Res,"Fail"))),"(superseded)",IF(OR($J7="",$J7="Pending"),"Pending",IF($J7="Pass","Qualified",IF(AND($J7="Fail",$N7&gt;=$F7),"FAILED OUT","Needs Remediation")))))</f>
        <v/>
      </c>
      <c r="P7" s="17">
        <f>IF($C7="","",IF($O7="FAILED OUT","Yes","No"))</f>
        <v/>
      </c>
      <c r="Q7" s="16" t="n"/>
      <c r="R7" s="16" t="n"/>
      <c r="S7" s="17">
        <f>IF($C7="","",IF(AND($K7&lt;&gt;"",NOT(ISNUMBER($K7))),"SCORE NOT A NUMBER",IF(AND(ISNUMBER($K7),OR($K7&lt;0,$K7&gt;100)),"SCORE OUT OF RANGE - this score counts toward nothing",IF(AND($G7="Score",$K7="",$J7&lt;&gt;"",$J7&lt;&gt;"Pending"),"RESULT WITHOUT A SCORE",IF(AND($G7="Pass/Fail",$K7&lt;&gt;""),"SCORE ON A PASS-FAIL CATEGORY - it is ignored",IF(AND($E7="Firearms",$J7&lt;&gt;"",$J7&lt;&gt;"Pending",$R7=""),"FIREARMS ROW WITH NO COURSE OF FIRE","OK"))))))</f>
        <v/>
      </c>
    </row>
    <row r="8">
      <c r="B8" s="17">
        <f>IF($C8="","",$D8&amp;"-"&amp;$E8&amp;"-"&amp;$I8)</f>
        <v/>
      </c>
      <c r="C8" s="16" t="n"/>
      <c r="D8" s="17">
        <f>IF($C8="","",IFERROR(INDEX(rngCadetPIDs,MATCH($C8,rngCadetNames,0)),"?"))</f>
        <v/>
      </c>
      <c r="E8" s="16" t="n"/>
      <c r="F8" s="17">
        <f>IF($E8="","",IFERROR(INDEX(rngSM_max,MATCH($E8,rngSM_cat,0)),""))</f>
        <v/>
      </c>
      <c r="G8" s="17">
        <f>IF($E8="","",IFERROR(INDEX(rngSM_mode,MATCH($E8,rngSM_cat,0)),""))</f>
        <v/>
      </c>
      <c r="H8" s="17">
        <f>IF($E8="","",IFERROR(INDEX(rngSM_pass,MATCH($E8,rngSM_cat,0)),""))</f>
        <v/>
      </c>
      <c r="I8" s="16" t="n"/>
      <c r="J8" s="16" t="n"/>
      <c r="K8" s="16" t="n"/>
      <c r="L8" s="18" t="n"/>
      <c r="M8" s="16" t="n"/>
      <c r="N8" s="17">
        <f>IF($C8="","",MAX(_xlfn.MAXIFS(nrSK_Att,nrSK_PID,$D8,nrSK_Cat,$E8,nrSK_Res,"Pass"),_xlfn.MAXIFS(nrSK_Att,nrSK_PID,$D8,nrSK_Cat,$E8,nrSK_Res,"Fail")))</f>
        <v/>
      </c>
      <c r="O8" s="17">
        <f>IF($C8="","",IF(AND(MAX(_xlfn.MAXIFS(nrSK_Att,nrSK_PID,$D8,nrSK_Cat,$E8,nrSK_Res,"Pass"),_xlfn.MAXIFS(nrSK_Att,nrSK_PID,$D8,nrSK_Cat,$E8,nrSK_Res,"Fail"))&gt;0,N($I8)&lt;MAX(_xlfn.MAXIFS(nrSK_Att,nrSK_PID,$D8,nrSK_Cat,$E8,nrSK_Res,"Pass"),_xlfn.MAXIFS(nrSK_Att,nrSK_PID,$D8,nrSK_Cat,$E8,nrSK_Res,"Fail"))),"(superseded)",IF(OR($J8="",$J8="Pending"),"Pending",IF($J8="Pass","Qualified",IF(AND($J8="Fail",$N8&gt;=$F8),"FAILED OUT","Needs Remediation")))))</f>
        <v/>
      </c>
      <c r="P8" s="17">
        <f>IF($C8="","",IF($O8="FAILED OUT","Yes","No"))</f>
        <v/>
      </c>
      <c r="Q8" s="16" t="n"/>
      <c r="R8" s="16" t="n"/>
      <c r="S8" s="17">
        <f>IF($C8="","",IF(AND($K8&lt;&gt;"",NOT(ISNUMBER($K8))),"SCORE NOT A NUMBER",IF(AND(ISNUMBER($K8),OR($K8&lt;0,$K8&gt;100)),"SCORE OUT OF RANGE - this score counts toward nothing",IF(AND($G8="Score",$K8="",$J8&lt;&gt;"",$J8&lt;&gt;"Pending"),"RESULT WITHOUT A SCORE",IF(AND($G8="Pass/Fail",$K8&lt;&gt;""),"SCORE ON A PASS-FAIL CATEGORY - it is ignored",IF(AND($E8="Firearms",$J8&lt;&gt;"",$J8&lt;&gt;"Pending",$R8=""),"FIREARMS ROW WITH NO COURSE OF FIRE","OK"))))))</f>
        <v/>
      </c>
    </row>
    <row r="9">
      <c r="B9" s="17">
        <f>IF($C9="","",$D9&amp;"-"&amp;$E9&amp;"-"&amp;$I9)</f>
        <v/>
      </c>
      <c r="C9" s="16" t="n"/>
      <c r="D9" s="17">
        <f>IF($C9="","",IFERROR(INDEX(rngCadetPIDs,MATCH($C9,rngCadetNames,0)),"?"))</f>
        <v/>
      </c>
      <c r="E9" s="16" t="n"/>
      <c r="F9" s="17">
        <f>IF($E9="","",IFERROR(INDEX(rngSM_max,MATCH($E9,rngSM_cat,0)),""))</f>
        <v/>
      </c>
      <c r="G9" s="17">
        <f>IF($E9="","",IFERROR(INDEX(rngSM_mode,MATCH($E9,rngSM_cat,0)),""))</f>
        <v/>
      </c>
      <c r="H9" s="17">
        <f>IF($E9="","",IFERROR(INDEX(rngSM_pass,MATCH($E9,rngSM_cat,0)),""))</f>
        <v/>
      </c>
      <c r="I9" s="16" t="n"/>
      <c r="J9" s="16" t="n"/>
      <c r="K9" s="16" t="n"/>
      <c r="L9" s="18" t="n"/>
      <c r="M9" s="16" t="n"/>
      <c r="N9" s="17">
        <f>IF($C9="","",MAX(_xlfn.MAXIFS(nrSK_Att,nrSK_PID,$D9,nrSK_Cat,$E9,nrSK_Res,"Pass"),_xlfn.MAXIFS(nrSK_Att,nrSK_PID,$D9,nrSK_Cat,$E9,nrSK_Res,"Fail")))</f>
        <v/>
      </c>
      <c r="O9" s="17">
        <f>IF($C9="","",IF(AND(MAX(_xlfn.MAXIFS(nrSK_Att,nrSK_PID,$D9,nrSK_Cat,$E9,nrSK_Res,"Pass"),_xlfn.MAXIFS(nrSK_Att,nrSK_PID,$D9,nrSK_Cat,$E9,nrSK_Res,"Fail"))&gt;0,N($I9)&lt;MAX(_xlfn.MAXIFS(nrSK_Att,nrSK_PID,$D9,nrSK_Cat,$E9,nrSK_Res,"Pass"),_xlfn.MAXIFS(nrSK_Att,nrSK_PID,$D9,nrSK_Cat,$E9,nrSK_Res,"Fail"))),"(superseded)",IF(OR($J9="",$J9="Pending"),"Pending",IF($J9="Pass","Qualified",IF(AND($J9="Fail",$N9&gt;=$F9),"FAILED OUT","Needs Remediation")))))</f>
        <v/>
      </c>
      <c r="P9" s="17">
        <f>IF($C9="","",IF($O9="FAILED OUT","Yes","No"))</f>
        <v/>
      </c>
      <c r="Q9" s="16" t="n"/>
      <c r="R9" s="16" t="n"/>
      <c r="S9" s="17">
        <f>IF($C9="","",IF(AND($K9&lt;&gt;"",NOT(ISNUMBER($K9))),"SCORE NOT A NUMBER",IF(AND(ISNUMBER($K9),OR($K9&lt;0,$K9&gt;100)),"SCORE OUT OF RANGE - this score counts toward nothing",IF(AND($G9="Score",$K9="",$J9&lt;&gt;"",$J9&lt;&gt;"Pending"),"RESULT WITHOUT A SCORE",IF(AND($G9="Pass/Fail",$K9&lt;&gt;""),"SCORE ON A PASS-FAIL CATEGORY - it is ignored",IF(AND($E9="Firearms",$J9&lt;&gt;"",$J9&lt;&gt;"Pending",$R9=""),"FIREARMS ROW WITH NO COURSE OF FIRE","OK"))))))</f>
        <v/>
      </c>
    </row>
    <row r="10">
      <c r="B10" s="17">
        <f>IF($C10="","",$D10&amp;"-"&amp;$E10&amp;"-"&amp;$I10)</f>
        <v/>
      </c>
      <c r="C10" s="16" t="n"/>
      <c r="D10" s="17">
        <f>IF($C10="","",IFERROR(INDEX(rngCadetPIDs,MATCH($C10,rngCadetNames,0)),"?"))</f>
        <v/>
      </c>
      <c r="E10" s="16" t="n"/>
      <c r="F10" s="17">
        <f>IF($E10="","",IFERROR(INDEX(rngSM_max,MATCH($E10,rngSM_cat,0)),""))</f>
        <v/>
      </c>
      <c r="G10" s="17">
        <f>IF($E10="","",IFERROR(INDEX(rngSM_mode,MATCH($E10,rngSM_cat,0)),""))</f>
        <v/>
      </c>
      <c r="H10" s="17">
        <f>IF($E10="","",IFERROR(INDEX(rngSM_pass,MATCH($E10,rngSM_cat,0)),""))</f>
        <v/>
      </c>
      <c r="I10" s="16" t="n"/>
      <c r="J10" s="16" t="n"/>
      <c r="K10" s="16" t="n"/>
      <c r="L10" s="18" t="n"/>
      <c r="M10" s="16" t="n"/>
      <c r="N10" s="17">
        <f>IF($C10="","",MAX(_xlfn.MAXIFS(nrSK_Att,nrSK_PID,$D10,nrSK_Cat,$E10,nrSK_Res,"Pass"),_xlfn.MAXIFS(nrSK_Att,nrSK_PID,$D10,nrSK_Cat,$E10,nrSK_Res,"Fail")))</f>
        <v/>
      </c>
      <c r="O10" s="17">
        <f>IF($C10="","",IF(AND(MAX(_xlfn.MAXIFS(nrSK_Att,nrSK_PID,$D10,nrSK_Cat,$E10,nrSK_Res,"Pass"),_xlfn.MAXIFS(nrSK_Att,nrSK_PID,$D10,nrSK_Cat,$E10,nrSK_Res,"Fail"))&gt;0,N($I10)&lt;MAX(_xlfn.MAXIFS(nrSK_Att,nrSK_PID,$D10,nrSK_Cat,$E10,nrSK_Res,"Pass"),_xlfn.MAXIFS(nrSK_Att,nrSK_PID,$D10,nrSK_Cat,$E10,nrSK_Res,"Fail"))),"(superseded)",IF(OR($J10="",$J10="Pending"),"Pending",IF($J10="Pass","Qualified",IF(AND($J10="Fail",$N10&gt;=$F10),"FAILED OUT","Needs Remediation")))))</f>
        <v/>
      </c>
      <c r="P10" s="17">
        <f>IF($C10="","",IF($O10="FAILED OUT","Yes","No"))</f>
        <v/>
      </c>
      <c r="Q10" s="16" t="n"/>
      <c r="R10" s="16" t="n"/>
      <c r="S10" s="17">
        <f>IF($C10="","",IF(AND($K10&lt;&gt;"",NOT(ISNUMBER($K10))),"SCORE NOT A NUMBER",IF(AND(ISNUMBER($K10),OR($K10&lt;0,$K10&gt;100)),"SCORE OUT OF RANGE - this score counts toward nothing",IF(AND($G10="Score",$K10="",$J10&lt;&gt;"",$J10&lt;&gt;"Pending"),"RESULT WITHOUT A SCORE",IF(AND($G10="Pass/Fail",$K10&lt;&gt;""),"SCORE ON A PASS-FAIL CATEGORY - it is ignored",IF(AND($E10="Firearms",$J10&lt;&gt;"",$J10&lt;&gt;"Pending",$R10=""),"FIREARMS ROW WITH NO COURSE OF FIRE","OK"))))))</f>
        <v/>
      </c>
    </row>
    <row r="11">
      <c r="B11" s="17">
        <f>IF($C11="","",$D11&amp;"-"&amp;$E11&amp;"-"&amp;$I11)</f>
        <v/>
      </c>
      <c r="C11" s="16" t="n"/>
      <c r="D11" s="17">
        <f>IF($C11="","",IFERROR(INDEX(rngCadetPIDs,MATCH($C11,rngCadetNames,0)),"?"))</f>
        <v/>
      </c>
      <c r="E11" s="16" t="n"/>
      <c r="F11" s="17">
        <f>IF($E11="","",IFERROR(INDEX(rngSM_max,MATCH($E11,rngSM_cat,0)),""))</f>
        <v/>
      </c>
      <c r="G11" s="17">
        <f>IF($E11="","",IFERROR(INDEX(rngSM_mode,MATCH($E11,rngSM_cat,0)),""))</f>
        <v/>
      </c>
      <c r="H11" s="17">
        <f>IF($E11="","",IFERROR(INDEX(rngSM_pass,MATCH($E11,rngSM_cat,0)),""))</f>
        <v/>
      </c>
      <c r="I11" s="16" t="n"/>
      <c r="J11" s="16" t="n"/>
      <c r="K11" s="16" t="n"/>
      <c r="L11" s="18" t="n"/>
      <c r="M11" s="16" t="n"/>
      <c r="N11" s="17">
        <f>IF($C11="","",MAX(_xlfn.MAXIFS(nrSK_Att,nrSK_PID,$D11,nrSK_Cat,$E11,nrSK_Res,"Pass"),_xlfn.MAXIFS(nrSK_Att,nrSK_PID,$D11,nrSK_Cat,$E11,nrSK_Res,"Fail")))</f>
        <v/>
      </c>
      <c r="O11" s="17">
        <f>IF($C11="","",IF(AND(MAX(_xlfn.MAXIFS(nrSK_Att,nrSK_PID,$D11,nrSK_Cat,$E11,nrSK_Res,"Pass"),_xlfn.MAXIFS(nrSK_Att,nrSK_PID,$D11,nrSK_Cat,$E11,nrSK_Res,"Fail"))&gt;0,N($I11)&lt;MAX(_xlfn.MAXIFS(nrSK_Att,nrSK_PID,$D11,nrSK_Cat,$E11,nrSK_Res,"Pass"),_xlfn.MAXIFS(nrSK_Att,nrSK_PID,$D11,nrSK_Cat,$E11,nrSK_Res,"Fail"))),"(superseded)",IF(OR($J11="",$J11="Pending"),"Pending",IF($J11="Pass","Qualified",IF(AND($J11="Fail",$N11&gt;=$F11),"FAILED OUT","Needs Remediation")))))</f>
        <v/>
      </c>
      <c r="P11" s="17">
        <f>IF($C11="","",IF($O11="FAILED OUT","Yes","No"))</f>
        <v/>
      </c>
      <c r="Q11" s="16" t="n"/>
      <c r="R11" s="16" t="n"/>
      <c r="S11" s="17">
        <f>IF($C11="","",IF(AND($K11&lt;&gt;"",NOT(ISNUMBER($K11))),"SCORE NOT A NUMBER",IF(AND(ISNUMBER($K11),OR($K11&lt;0,$K11&gt;100)),"SCORE OUT OF RANGE - this score counts toward nothing",IF(AND($G11="Score",$K11="",$J11&lt;&gt;"",$J11&lt;&gt;"Pending"),"RESULT WITHOUT A SCORE",IF(AND($G11="Pass/Fail",$K11&lt;&gt;""),"SCORE ON A PASS-FAIL CATEGORY - it is ignored",IF(AND($E11="Firearms",$J11&lt;&gt;"",$J11&lt;&gt;"Pending",$R11=""),"FIREARMS ROW WITH NO COURSE OF FIRE","OK"))))))</f>
        <v/>
      </c>
    </row>
    <row r="12">
      <c r="B12" s="17">
        <f>IF($C12="","",$D12&amp;"-"&amp;$E12&amp;"-"&amp;$I12)</f>
        <v/>
      </c>
      <c r="C12" s="16" t="n"/>
      <c r="D12" s="17">
        <f>IF($C12="","",IFERROR(INDEX(rngCadetPIDs,MATCH($C12,rngCadetNames,0)),"?"))</f>
        <v/>
      </c>
      <c r="E12" s="16" t="n"/>
      <c r="F12" s="17">
        <f>IF($E12="","",IFERROR(INDEX(rngSM_max,MATCH($E12,rngSM_cat,0)),""))</f>
        <v/>
      </c>
      <c r="G12" s="17">
        <f>IF($E12="","",IFERROR(INDEX(rngSM_mode,MATCH($E12,rngSM_cat,0)),""))</f>
        <v/>
      </c>
      <c r="H12" s="17">
        <f>IF($E12="","",IFERROR(INDEX(rngSM_pass,MATCH($E12,rngSM_cat,0)),""))</f>
        <v/>
      </c>
      <c r="I12" s="16" t="n"/>
      <c r="J12" s="16" t="n"/>
      <c r="K12" s="16" t="n"/>
      <c r="L12" s="18" t="n"/>
      <c r="M12" s="16" t="n"/>
      <c r="N12" s="17">
        <f>IF($C12="","",MAX(_xlfn.MAXIFS(nrSK_Att,nrSK_PID,$D12,nrSK_Cat,$E12,nrSK_Res,"Pass"),_xlfn.MAXIFS(nrSK_Att,nrSK_PID,$D12,nrSK_Cat,$E12,nrSK_Res,"Fail")))</f>
        <v/>
      </c>
      <c r="O12" s="17">
        <f>IF($C12="","",IF(AND(MAX(_xlfn.MAXIFS(nrSK_Att,nrSK_PID,$D12,nrSK_Cat,$E12,nrSK_Res,"Pass"),_xlfn.MAXIFS(nrSK_Att,nrSK_PID,$D12,nrSK_Cat,$E12,nrSK_Res,"Fail"))&gt;0,N($I12)&lt;MAX(_xlfn.MAXIFS(nrSK_Att,nrSK_PID,$D12,nrSK_Cat,$E12,nrSK_Res,"Pass"),_xlfn.MAXIFS(nrSK_Att,nrSK_PID,$D12,nrSK_Cat,$E12,nrSK_Res,"Fail"))),"(superseded)",IF(OR($J12="",$J12="Pending"),"Pending",IF($J12="Pass","Qualified",IF(AND($J12="Fail",$N12&gt;=$F12),"FAILED OUT","Needs Remediation")))))</f>
        <v/>
      </c>
      <c r="P12" s="17">
        <f>IF($C12="","",IF($O12="FAILED OUT","Yes","No"))</f>
        <v/>
      </c>
      <c r="Q12" s="16" t="n"/>
      <c r="R12" s="16" t="n"/>
      <c r="S12" s="17">
        <f>IF($C12="","",IF(AND($K12&lt;&gt;"",NOT(ISNUMBER($K12))),"SCORE NOT A NUMBER",IF(AND(ISNUMBER($K12),OR($K12&lt;0,$K12&gt;100)),"SCORE OUT OF RANGE - this score counts toward nothing",IF(AND($G12="Score",$K12="",$J12&lt;&gt;"",$J12&lt;&gt;"Pending"),"RESULT WITHOUT A SCORE",IF(AND($G12="Pass/Fail",$K12&lt;&gt;""),"SCORE ON A PASS-FAIL CATEGORY - it is ignored",IF(AND($E12="Firearms",$J12&lt;&gt;"",$J12&lt;&gt;"Pending",$R12=""),"FIREARMS ROW WITH NO COURSE OF FIRE","OK"))))))</f>
        <v/>
      </c>
    </row>
    <row r="13">
      <c r="B13" s="17">
        <f>IF($C13="","",$D13&amp;"-"&amp;$E13&amp;"-"&amp;$I13)</f>
        <v/>
      </c>
      <c r="C13" s="16" t="n"/>
      <c r="D13" s="17">
        <f>IF($C13="","",IFERROR(INDEX(rngCadetPIDs,MATCH($C13,rngCadetNames,0)),"?"))</f>
        <v/>
      </c>
      <c r="E13" s="16" t="n"/>
      <c r="F13" s="17">
        <f>IF($E13="","",IFERROR(INDEX(rngSM_max,MATCH($E13,rngSM_cat,0)),""))</f>
        <v/>
      </c>
      <c r="G13" s="17">
        <f>IF($E13="","",IFERROR(INDEX(rngSM_mode,MATCH($E13,rngSM_cat,0)),""))</f>
        <v/>
      </c>
      <c r="H13" s="17">
        <f>IF($E13="","",IFERROR(INDEX(rngSM_pass,MATCH($E13,rngSM_cat,0)),""))</f>
        <v/>
      </c>
      <c r="I13" s="16" t="n"/>
      <c r="J13" s="16" t="n"/>
      <c r="K13" s="16" t="n"/>
      <c r="L13" s="18" t="n"/>
      <c r="M13" s="16" t="n"/>
      <c r="N13" s="17">
        <f>IF($C13="","",MAX(_xlfn.MAXIFS(nrSK_Att,nrSK_PID,$D13,nrSK_Cat,$E13,nrSK_Res,"Pass"),_xlfn.MAXIFS(nrSK_Att,nrSK_PID,$D13,nrSK_Cat,$E13,nrSK_Res,"Fail")))</f>
        <v/>
      </c>
      <c r="O13" s="17">
        <f>IF($C13="","",IF(AND(MAX(_xlfn.MAXIFS(nrSK_Att,nrSK_PID,$D13,nrSK_Cat,$E13,nrSK_Res,"Pass"),_xlfn.MAXIFS(nrSK_Att,nrSK_PID,$D13,nrSK_Cat,$E13,nrSK_Res,"Fail"))&gt;0,N($I13)&lt;MAX(_xlfn.MAXIFS(nrSK_Att,nrSK_PID,$D13,nrSK_Cat,$E13,nrSK_Res,"Pass"),_xlfn.MAXIFS(nrSK_Att,nrSK_PID,$D13,nrSK_Cat,$E13,nrSK_Res,"Fail"))),"(superseded)",IF(OR($J13="",$J13="Pending"),"Pending",IF($J13="Pass","Qualified",IF(AND($J13="Fail",$N13&gt;=$F13),"FAILED OUT","Needs Remediation")))))</f>
        <v/>
      </c>
      <c r="P13" s="17">
        <f>IF($C13="","",IF($O13="FAILED OUT","Yes","No"))</f>
        <v/>
      </c>
      <c r="Q13" s="16" t="n"/>
      <c r="R13" s="16" t="n"/>
      <c r="S13" s="17">
        <f>IF($C13="","",IF(AND($K13&lt;&gt;"",NOT(ISNUMBER($K13))),"SCORE NOT A NUMBER",IF(AND(ISNUMBER($K13),OR($K13&lt;0,$K13&gt;100)),"SCORE OUT OF RANGE - this score counts toward nothing",IF(AND($G13="Score",$K13="",$J13&lt;&gt;"",$J13&lt;&gt;"Pending"),"RESULT WITHOUT A SCORE",IF(AND($G13="Pass/Fail",$K13&lt;&gt;""),"SCORE ON A PASS-FAIL CATEGORY - it is ignored",IF(AND($E13="Firearms",$J13&lt;&gt;"",$J13&lt;&gt;"Pending",$R13=""),"FIREARMS ROW WITH NO COURSE OF FIRE","OK"))))))</f>
        <v/>
      </c>
    </row>
    <row r="14">
      <c r="B14" s="17">
        <f>IF($C14="","",$D14&amp;"-"&amp;$E14&amp;"-"&amp;$I14)</f>
        <v/>
      </c>
      <c r="C14" s="16" t="n"/>
      <c r="D14" s="17">
        <f>IF($C14="","",IFERROR(INDEX(rngCadetPIDs,MATCH($C14,rngCadetNames,0)),"?"))</f>
        <v/>
      </c>
      <c r="E14" s="16" t="n"/>
      <c r="F14" s="17">
        <f>IF($E14="","",IFERROR(INDEX(rngSM_max,MATCH($E14,rngSM_cat,0)),""))</f>
        <v/>
      </c>
      <c r="G14" s="17">
        <f>IF($E14="","",IFERROR(INDEX(rngSM_mode,MATCH($E14,rngSM_cat,0)),""))</f>
        <v/>
      </c>
      <c r="H14" s="17">
        <f>IF($E14="","",IFERROR(INDEX(rngSM_pass,MATCH($E14,rngSM_cat,0)),""))</f>
        <v/>
      </c>
      <c r="I14" s="16" t="n"/>
      <c r="J14" s="16" t="n"/>
      <c r="K14" s="16" t="n"/>
      <c r="L14" s="18" t="n"/>
      <c r="M14" s="16" t="n"/>
      <c r="N14" s="17">
        <f>IF($C14="","",MAX(_xlfn.MAXIFS(nrSK_Att,nrSK_PID,$D14,nrSK_Cat,$E14,nrSK_Res,"Pass"),_xlfn.MAXIFS(nrSK_Att,nrSK_PID,$D14,nrSK_Cat,$E14,nrSK_Res,"Fail")))</f>
        <v/>
      </c>
      <c r="O14" s="17">
        <f>IF($C14="","",IF(AND(MAX(_xlfn.MAXIFS(nrSK_Att,nrSK_PID,$D14,nrSK_Cat,$E14,nrSK_Res,"Pass"),_xlfn.MAXIFS(nrSK_Att,nrSK_PID,$D14,nrSK_Cat,$E14,nrSK_Res,"Fail"))&gt;0,N($I14)&lt;MAX(_xlfn.MAXIFS(nrSK_Att,nrSK_PID,$D14,nrSK_Cat,$E14,nrSK_Res,"Pass"),_xlfn.MAXIFS(nrSK_Att,nrSK_PID,$D14,nrSK_Cat,$E14,nrSK_Res,"Fail"))),"(superseded)",IF(OR($J14="",$J14="Pending"),"Pending",IF($J14="Pass","Qualified",IF(AND($J14="Fail",$N14&gt;=$F14),"FAILED OUT","Needs Remediation")))))</f>
        <v/>
      </c>
      <c r="P14" s="17">
        <f>IF($C14="","",IF($O14="FAILED OUT","Yes","No"))</f>
        <v/>
      </c>
      <c r="Q14" s="16" t="n"/>
      <c r="R14" s="16" t="n"/>
      <c r="S14" s="17">
        <f>IF($C14="","",IF(AND($K14&lt;&gt;"",NOT(ISNUMBER($K14))),"SCORE NOT A NUMBER",IF(AND(ISNUMBER($K14),OR($K14&lt;0,$K14&gt;100)),"SCORE OUT OF RANGE - this score counts toward nothing",IF(AND($G14="Score",$K14="",$J14&lt;&gt;"",$J14&lt;&gt;"Pending"),"RESULT WITHOUT A SCORE",IF(AND($G14="Pass/Fail",$K14&lt;&gt;""),"SCORE ON A PASS-FAIL CATEGORY - it is ignored",IF(AND($E14="Firearms",$J14&lt;&gt;"",$J14&lt;&gt;"Pending",$R14=""),"FIREARMS ROW WITH NO COURSE OF FIRE","OK"))))))</f>
        <v/>
      </c>
    </row>
    <row r="15">
      <c r="B15" s="17">
        <f>IF($C15="","",$D15&amp;"-"&amp;$E15&amp;"-"&amp;$I15)</f>
        <v/>
      </c>
      <c r="C15" s="16" t="n"/>
      <c r="D15" s="17">
        <f>IF($C15="","",IFERROR(INDEX(rngCadetPIDs,MATCH($C15,rngCadetNames,0)),"?"))</f>
        <v/>
      </c>
      <c r="E15" s="16" t="n"/>
      <c r="F15" s="17">
        <f>IF($E15="","",IFERROR(INDEX(rngSM_max,MATCH($E15,rngSM_cat,0)),""))</f>
        <v/>
      </c>
      <c r="G15" s="17">
        <f>IF($E15="","",IFERROR(INDEX(rngSM_mode,MATCH($E15,rngSM_cat,0)),""))</f>
        <v/>
      </c>
      <c r="H15" s="17">
        <f>IF($E15="","",IFERROR(INDEX(rngSM_pass,MATCH($E15,rngSM_cat,0)),""))</f>
        <v/>
      </c>
      <c r="I15" s="16" t="n"/>
      <c r="J15" s="16" t="n"/>
      <c r="K15" s="16" t="n"/>
      <c r="L15" s="18" t="n"/>
      <c r="M15" s="16" t="n"/>
      <c r="N15" s="17">
        <f>IF($C15="","",MAX(_xlfn.MAXIFS(nrSK_Att,nrSK_PID,$D15,nrSK_Cat,$E15,nrSK_Res,"Pass"),_xlfn.MAXIFS(nrSK_Att,nrSK_PID,$D15,nrSK_Cat,$E15,nrSK_Res,"Fail")))</f>
        <v/>
      </c>
      <c r="O15" s="17">
        <f>IF($C15="","",IF(AND(MAX(_xlfn.MAXIFS(nrSK_Att,nrSK_PID,$D15,nrSK_Cat,$E15,nrSK_Res,"Pass"),_xlfn.MAXIFS(nrSK_Att,nrSK_PID,$D15,nrSK_Cat,$E15,nrSK_Res,"Fail"))&gt;0,N($I15)&lt;MAX(_xlfn.MAXIFS(nrSK_Att,nrSK_PID,$D15,nrSK_Cat,$E15,nrSK_Res,"Pass"),_xlfn.MAXIFS(nrSK_Att,nrSK_PID,$D15,nrSK_Cat,$E15,nrSK_Res,"Fail"))),"(superseded)",IF(OR($J15="",$J15="Pending"),"Pending",IF($J15="Pass","Qualified",IF(AND($J15="Fail",$N15&gt;=$F15),"FAILED OUT","Needs Remediation")))))</f>
        <v/>
      </c>
      <c r="P15" s="17">
        <f>IF($C15="","",IF($O15="FAILED OUT","Yes","No"))</f>
        <v/>
      </c>
      <c r="Q15" s="16" t="n"/>
      <c r="R15" s="16" t="n"/>
      <c r="S15" s="17">
        <f>IF($C15="","",IF(AND($K15&lt;&gt;"",NOT(ISNUMBER($K15))),"SCORE NOT A NUMBER",IF(AND(ISNUMBER($K15),OR($K15&lt;0,$K15&gt;100)),"SCORE OUT OF RANGE - this score counts toward nothing",IF(AND($G15="Score",$K15="",$J15&lt;&gt;"",$J15&lt;&gt;"Pending"),"RESULT WITHOUT A SCORE",IF(AND($G15="Pass/Fail",$K15&lt;&gt;""),"SCORE ON A PASS-FAIL CATEGORY - it is ignored",IF(AND($E15="Firearms",$J15&lt;&gt;"",$J15&lt;&gt;"Pending",$R15=""),"FIREARMS ROW WITH NO COURSE OF FIRE","OK"))))))</f>
        <v/>
      </c>
    </row>
    <row r="16">
      <c r="B16" s="17">
        <f>IF($C16="","",$D16&amp;"-"&amp;$E16&amp;"-"&amp;$I16)</f>
        <v/>
      </c>
      <c r="C16" s="16" t="n"/>
      <c r="D16" s="17">
        <f>IF($C16="","",IFERROR(INDEX(rngCadetPIDs,MATCH($C16,rngCadetNames,0)),"?"))</f>
        <v/>
      </c>
      <c r="E16" s="16" t="n"/>
      <c r="F16" s="17">
        <f>IF($E16="","",IFERROR(INDEX(rngSM_max,MATCH($E16,rngSM_cat,0)),""))</f>
        <v/>
      </c>
      <c r="G16" s="17">
        <f>IF($E16="","",IFERROR(INDEX(rngSM_mode,MATCH($E16,rngSM_cat,0)),""))</f>
        <v/>
      </c>
      <c r="H16" s="17">
        <f>IF($E16="","",IFERROR(INDEX(rngSM_pass,MATCH($E16,rngSM_cat,0)),""))</f>
        <v/>
      </c>
      <c r="I16" s="16" t="n"/>
      <c r="J16" s="16" t="n"/>
      <c r="K16" s="16" t="n"/>
      <c r="L16" s="18" t="n"/>
      <c r="M16" s="16" t="n"/>
      <c r="N16" s="17">
        <f>IF($C16="","",MAX(_xlfn.MAXIFS(nrSK_Att,nrSK_PID,$D16,nrSK_Cat,$E16,nrSK_Res,"Pass"),_xlfn.MAXIFS(nrSK_Att,nrSK_PID,$D16,nrSK_Cat,$E16,nrSK_Res,"Fail")))</f>
        <v/>
      </c>
      <c r="O16" s="17">
        <f>IF($C16="","",IF(AND(MAX(_xlfn.MAXIFS(nrSK_Att,nrSK_PID,$D16,nrSK_Cat,$E16,nrSK_Res,"Pass"),_xlfn.MAXIFS(nrSK_Att,nrSK_PID,$D16,nrSK_Cat,$E16,nrSK_Res,"Fail"))&gt;0,N($I16)&lt;MAX(_xlfn.MAXIFS(nrSK_Att,nrSK_PID,$D16,nrSK_Cat,$E16,nrSK_Res,"Pass"),_xlfn.MAXIFS(nrSK_Att,nrSK_PID,$D16,nrSK_Cat,$E16,nrSK_Res,"Fail"))),"(superseded)",IF(OR($J16="",$J16="Pending"),"Pending",IF($J16="Pass","Qualified",IF(AND($J16="Fail",$N16&gt;=$F16),"FAILED OUT","Needs Remediation")))))</f>
        <v/>
      </c>
      <c r="P16" s="17">
        <f>IF($C16="","",IF($O16="FAILED OUT","Yes","No"))</f>
        <v/>
      </c>
      <c r="Q16" s="16" t="n"/>
      <c r="R16" s="16" t="n"/>
      <c r="S16" s="17">
        <f>IF($C16="","",IF(AND($K16&lt;&gt;"",NOT(ISNUMBER($K16))),"SCORE NOT A NUMBER",IF(AND(ISNUMBER($K16),OR($K16&lt;0,$K16&gt;100)),"SCORE OUT OF RANGE - this score counts toward nothing",IF(AND($G16="Score",$K16="",$J16&lt;&gt;"",$J16&lt;&gt;"Pending"),"RESULT WITHOUT A SCORE",IF(AND($G16="Pass/Fail",$K16&lt;&gt;""),"SCORE ON A PASS-FAIL CATEGORY - it is ignored",IF(AND($E16="Firearms",$J16&lt;&gt;"",$J16&lt;&gt;"Pending",$R16=""),"FIREARMS ROW WITH NO COURSE OF FIRE","OK"))))))</f>
        <v/>
      </c>
    </row>
    <row r="17">
      <c r="B17" s="17">
        <f>IF($C17="","",$D17&amp;"-"&amp;$E17&amp;"-"&amp;$I17)</f>
        <v/>
      </c>
      <c r="C17" s="16" t="n"/>
      <c r="D17" s="17">
        <f>IF($C17="","",IFERROR(INDEX(rngCadetPIDs,MATCH($C17,rngCadetNames,0)),"?"))</f>
        <v/>
      </c>
      <c r="E17" s="16" t="n"/>
      <c r="F17" s="17">
        <f>IF($E17="","",IFERROR(INDEX(rngSM_max,MATCH($E17,rngSM_cat,0)),""))</f>
        <v/>
      </c>
      <c r="G17" s="17">
        <f>IF($E17="","",IFERROR(INDEX(rngSM_mode,MATCH($E17,rngSM_cat,0)),""))</f>
        <v/>
      </c>
      <c r="H17" s="17">
        <f>IF($E17="","",IFERROR(INDEX(rngSM_pass,MATCH($E17,rngSM_cat,0)),""))</f>
        <v/>
      </c>
      <c r="I17" s="16" t="n"/>
      <c r="J17" s="16" t="n"/>
      <c r="K17" s="16" t="n"/>
      <c r="L17" s="18" t="n"/>
      <c r="M17" s="16" t="n"/>
      <c r="N17" s="17">
        <f>IF($C17="","",MAX(_xlfn.MAXIFS(nrSK_Att,nrSK_PID,$D17,nrSK_Cat,$E17,nrSK_Res,"Pass"),_xlfn.MAXIFS(nrSK_Att,nrSK_PID,$D17,nrSK_Cat,$E17,nrSK_Res,"Fail")))</f>
        <v/>
      </c>
      <c r="O17" s="17">
        <f>IF($C17="","",IF(AND(MAX(_xlfn.MAXIFS(nrSK_Att,nrSK_PID,$D17,nrSK_Cat,$E17,nrSK_Res,"Pass"),_xlfn.MAXIFS(nrSK_Att,nrSK_PID,$D17,nrSK_Cat,$E17,nrSK_Res,"Fail"))&gt;0,N($I17)&lt;MAX(_xlfn.MAXIFS(nrSK_Att,nrSK_PID,$D17,nrSK_Cat,$E17,nrSK_Res,"Pass"),_xlfn.MAXIFS(nrSK_Att,nrSK_PID,$D17,nrSK_Cat,$E17,nrSK_Res,"Fail"))),"(superseded)",IF(OR($J17="",$J17="Pending"),"Pending",IF($J17="Pass","Qualified",IF(AND($J17="Fail",$N17&gt;=$F17),"FAILED OUT","Needs Remediation")))))</f>
        <v/>
      </c>
      <c r="P17" s="17">
        <f>IF($C17="","",IF($O17="FAILED OUT","Yes","No"))</f>
        <v/>
      </c>
      <c r="Q17" s="16" t="n"/>
      <c r="R17" s="16" t="n"/>
      <c r="S17" s="17">
        <f>IF($C17="","",IF(AND($K17&lt;&gt;"",NOT(ISNUMBER($K17))),"SCORE NOT A NUMBER",IF(AND(ISNUMBER($K17),OR($K17&lt;0,$K17&gt;100)),"SCORE OUT OF RANGE - this score counts toward nothing",IF(AND($G17="Score",$K17="",$J17&lt;&gt;"",$J17&lt;&gt;"Pending"),"RESULT WITHOUT A SCORE",IF(AND($G17="Pass/Fail",$K17&lt;&gt;""),"SCORE ON A PASS-FAIL CATEGORY - it is ignored",IF(AND($E17="Firearms",$J17&lt;&gt;"",$J17&lt;&gt;"Pending",$R17=""),"FIREARMS ROW WITH NO COURSE OF FIRE","OK"))))))</f>
        <v/>
      </c>
    </row>
    <row r="18">
      <c r="B18" s="17">
        <f>IF($C18="","",$D18&amp;"-"&amp;$E18&amp;"-"&amp;$I18)</f>
        <v/>
      </c>
      <c r="C18" s="16" t="n"/>
      <c r="D18" s="17">
        <f>IF($C18="","",IFERROR(INDEX(rngCadetPIDs,MATCH($C18,rngCadetNames,0)),"?"))</f>
        <v/>
      </c>
      <c r="E18" s="16" t="n"/>
      <c r="F18" s="17">
        <f>IF($E18="","",IFERROR(INDEX(rngSM_max,MATCH($E18,rngSM_cat,0)),""))</f>
        <v/>
      </c>
      <c r="G18" s="17">
        <f>IF($E18="","",IFERROR(INDEX(rngSM_mode,MATCH($E18,rngSM_cat,0)),""))</f>
        <v/>
      </c>
      <c r="H18" s="17">
        <f>IF($E18="","",IFERROR(INDEX(rngSM_pass,MATCH($E18,rngSM_cat,0)),""))</f>
        <v/>
      </c>
      <c r="I18" s="16" t="n"/>
      <c r="J18" s="16" t="n"/>
      <c r="K18" s="16" t="n"/>
      <c r="L18" s="18" t="n"/>
      <c r="M18" s="16" t="n"/>
      <c r="N18" s="17">
        <f>IF($C18="","",MAX(_xlfn.MAXIFS(nrSK_Att,nrSK_PID,$D18,nrSK_Cat,$E18,nrSK_Res,"Pass"),_xlfn.MAXIFS(nrSK_Att,nrSK_PID,$D18,nrSK_Cat,$E18,nrSK_Res,"Fail")))</f>
        <v/>
      </c>
      <c r="O18" s="17">
        <f>IF($C18="","",IF(AND(MAX(_xlfn.MAXIFS(nrSK_Att,nrSK_PID,$D18,nrSK_Cat,$E18,nrSK_Res,"Pass"),_xlfn.MAXIFS(nrSK_Att,nrSK_PID,$D18,nrSK_Cat,$E18,nrSK_Res,"Fail"))&gt;0,N($I18)&lt;MAX(_xlfn.MAXIFS(nrSK_Att,nrSK_PID,$D18,nrSK_Cat,$E18,nrSK_Res,"Pass"),_xlfn.MAXIFS(nrSK_Att,nrSK_PID,$D18,nrSK_Cat,$E18,nrSK_Res,"Fail"))),"(superseded)",IF(OR($J18="",$J18="Pending"),"Pending",IF($J18="Pass","Qualified",IF(AND($J18="Fail",$N18&gt;=$F18),"FAILED OUT","Needs Remediation")))))</f>
        <v/>
      </c>
      <c r="P18" s="17">
        <f>IF($C18="","",IF($O18="FAILED OUT","Yes","No"))</f>
        <v/>
      </c>
      <c r="Q18" s="16" t="n"/>
      <c r="R18" s="16" t="n"/>
      <c r="S18" s="17">
        <f>IF($C18="","",IF(AND($K18&lt;&gt;"",NOT(ISNUMBER($K18))),"SCORE NOT A NUMBER",IF(AND(ISNUMBER($K18),OR($K18&lt;0,$K18&gt;100)),"SCORE OUT OF RANGE - this score counts toward nothing",IF(AND($G18="Score",$K18="",$J18&lt;&gt;"",$J18&lt;&gt;"Pending"),"RESULT WITHOUT A SCORE",IF(AND($G18="Pass/Fail",$K18&lt;&gt;""),"SCORE ON A PASS-FAIL CATEGORY - it is ignored",IF(AND($E18="Firearms",$J18&lt;&gt;"",$J18&lt;&gt;"Pending",$R18=""),"FIREARMS ROW WITH NO COURSE OF FIRE","OK"))))))</f>
        <v/>
      </c>
    </row>
    <row r="19">
      <c r="B19" s="17">
        <f>IF($C19="","",$D19&amp;"-"&amp;$E19&amp;"-"&amp;$I19)</f>
        <v/>
      </c>
      <c r="C19" s="16" t="n"/>
      <c r="D19" s="17">
        <f>IF($C19="","",IFERROR(INDEX(rngCadetPIDs,MATCH($C19,rngCadetNames,0)),"?"))</f>
        <v/>
      </c>
      <c r="E19" s="16" t="n"/>
      <c r="F19" s="17">
        <f>IF($E19="","",IFERROR(INDEX(rngSM_max,MATCH($E19,rngSM_cat,0)),""))</f>
        <v/>
      </c>
      <c r="G19" s="17">
        <f>IF($E19="","",IFERROR(INDEX(rngSM_mode,MATCH($E19,rngSM_cat,0)),""))</f>
        <v/>
      </c>
      <c r="H19" s="17">
        <f>IF($E19="","",IFERROR(INDEX(rngSM_pass,MATCH($E19,rngSM_cat,0)),""))</f>
        <v/>
      </c>
      <c r="I19" s="16" t="n"/>
      <c r="J19" s="16" t="n"/>
      <c r="K19" s="16" t="n"/>
      <c r="L19" s="18" t="n"/>
      <c r="M19" s="16" t="n"/>
      <c r="N19" s="17">
        <f>IF($C19="","",MAX(_xlfn.MAXIFS(nrSK_Att,nrSK_PID,$D19,nrSK_Cat,$E19,nrSK_Res,"Pass"),_xlfn.MAXIFS(nrSK_Att,nrSK_PID,$D19,nrSK_Cat,$E19,nrSK_Res,"Fail")))</f>
        <v/>
      </c>
      <c r="O19" s="17">
        <f>IF($C19="","",IF(AND(MAX(_xlfn.MAXIFS(nrSK_Att,nrSK_PID,$D19,nrSK_Cat,$E19,nrSK_Res,"Pass"),_xlfn.MAXIFS(nrSK_Att,nrSK_PID,$D19,nrSK_Cat,$E19,nrSK_Res,"Fail"))&gt;0,N($I19)&lt;MAX(_xlfn.MAXIFS(nrSK_Att,nrSK_PID,$D19,nrSK_Cat,$E19,nrSK_Res,"Pass"),_xlfn.MAXIFS(nrSK_Att,nrSK_PID,$D19,nrSK_Cat,$E19,nrSK_Res,"Fail"))),"(superseded)",IF(OR($J19="",$J19="Pending"),"Pending",IF($J19="Pass","Qualified",IF(AND($J19="Fail",$N19&gt;=$F19),"FAILED OUT","Needs Remediation")))))</f>
        <v/>
      </c>
      <c r="P19" s="17">
        <f>IF($C19="","",IF($O19="FAILED OUT","Yes","No"))</f>
        <v/>
      </c>
      <c r="Q19" s="16" t="n"/>
      <c r="R19" s="16" t="n"/>
      <c r="S19" s="17">
        <f>IF($C19="","",IF(AND($K19&lt;&gt;"",NOT(ISNUMBER($K19))),"SCORE NOT A NUMBER",IF(AND(ISNUMBER($K19),OR($K19&lt;0,$K19&gt;100)),"SCORE OUT OF RANGE - this score counts toward nothing",IF(AND($G19="Score",$K19="",$J19&lt;&gt;"",$J19&lt;&gt;"Pending"),"RESULT WITHOUT A SCORE",IF(AND($G19="Pass/Fail",$K19&lt;&gt;""),"SCORE ON A PASS-FAIL CATEGORY - it is ignored",IF(AND($E19="Firearms",$J19&lt;&gt;"",$J19&lt;&gt;"Pending",$R19=""),"FIREARMS ROW WITH NO COURSE OF FIRE","OK"))))))</f>
        <v/>
      </c>
    </row>
    <row r="20">
      <c r="B20" s="17">
        <f>IF($C20="","",$D20&amp;"-"&amp;$E20&amp;"-"&amp;$I20)</f>
        <v/>
      </c>
      <c r="C20" s="16" t="n"/>
      <c r="D20" s="17">
        <f>IF($C20="","",IFERROR(INDEX(rngCadetPIDs,MATCH($C20,rngCadetNames,0)),"?"))</f>
        <v/>
      </c>
      <c r="E20" s="16" t="n"/>
      <c r="F20" s="17">
        <f>IF($E20="","",IFERROR(INDEX(rngSM_max,MATCH($E20,rngSM_cat,0)),""))</f>
        <v/>
      </c>
      <c r="G20" s="17">
        <f>IF($E20="","",IFERROR(INDEX(rngSM_mode,MATCH($E20,rngSM_cat,0)),""))</f>
        <v/>
      </c>
      <c r="H20" s="17">
        <f>IF($E20="","",IFERROR(INDEX(rngSM_pass,MATCH($E20,rngSM_cat,0)),""))</f>
        <v/>
      </c>
      <c r="I20" s="16" t="n"/>
      <c r="J20" s="16" t="n"/>
      <c r="K20" s="16" t="n"/>
      <c r="L20" s="18" t="n"/>
      <c r="M20" s="16" t="n"/>
      <c r="N20" s="17">
        <f>IF($C20="","",MAX(_xlfn.MAXIFS(nrSK_Att,nrSK_PID,$D20,nrSK_Cat,$E20,nrSK_Res,"Pass"),_xlfn.MAXIFS(nrSK_Att,nrSK_PID,$D20,nrSK_Cat,$E20,nrSK_Res,"Fail")))</f>
        <v/>
      </c>
      <c r="O20" s="17">
        <f>IF($C20="","",IF(AND(MAX(_xlfn.MAXIFS(nrSK_Att,nrSK_PID,$D20,nrSK_Cat,$E20,nrSK_Res,"Pass"),_xlfn.MAXIFS(nrSK_Att,nrSK_PID,$D20,nrSK_Cat,$E20,nrSK_Res,"Fail"))&gt;0,N($I20)&lt;MAX(_xlfn.MAXIFS(nrSK_Att,nrSK_PID,$D20,nrSK_Cat,$E20,nrSK_Res,"Pass"),_xlfn.MAXIFS(nrSK_Att,nrSK_PID,$D20,nrSK_Cat,$E20,nrSK_Res,"Fail"))),"(superseded)",IF(OR($J20="",$J20="Pending"),"Pending",IF($J20="Pass","Qualified",IF(AND($J20="Fail",$N20&gt;=$F20),"FAILED OUT","Needs Remediation")))))</f>
        <v/>
      </c>
      <c r="P20" s="17">
        <f>IF($C20="","",IF($O20="FAILED OUT","Yes","No"))</f>
        <v/>
      </c>
      <c r="Q20" s="16" t="n"/>
      <c r="R20" s="16" t="n"/>
      <c r="S20" s="17">
        <f>IF($C20="","",IF(AND($K20&lt;&gt;"",NOT(ISNUMBER($K20))),"SCORE NOT A NUMBER",IF(AND(ISNUMBER($K20),OR($K20&lt;0,$K20&gt;100)),"SCORE OUT OF RANGE - this score counts toward nothing",IF(AND($G20="Score",$K20="",$J20&lt;&gt;"",$J20&lt;&gt;"Pending"),"RESULT WITHOUT A SCORE",IF(AND($G20="Pass/Fail",$K20&lt;&gt;""),"SCORE ON A PASS-FAIL CATEGORY - it is ignored",IF(AND($E20="Firearms",$J20&lt;&gt;"",$J20&lt;&gt;"Pending",$R20=""),"FIREARMS ROW WITH NO COURSE OF FIRE","OK"))))))</f>
        <v/>
      </c>
    </row>
    <row r="21">
      <c r="B21" s="17">
        <f>IF($C21="","",$D21&amp;"-"&amp;$E21&amp;"-"&amp;$I21)</f>
        <v/>
      </c>
      <c r="C21" s="16" t="n"/>
      <c r="D21" s="17">
        <f>IF($C21="","",IFERROR(INDEX(rngCadetPIDs,MATCH($C21,rngCadetNames,0)),"?"))</f>
        <v/>
      </c>
      <c r="E21" s="16" t="n"/>
      <c r="F21" s="17">
        <f>IF($E21="","",IFERROR(INDEX(rngSM_max,MATCH($E21,rngSM_cat,0)),""))</f>
        <v/>
      </c>
      <c r="G21" s="17">
        <f>IF($E21="","",IFERROR(INDEX(rngSM_mode,MATCH($E21,rngSM_cat,0)),""))</f>
        <v/>
      </c>
      <c r="H21" s="17">
        <f>IF($E21="","",IFERROR(INDEX(rngSM_pass,MATCH($E21,rngSM_cat,0)),""))</f>
        <v/>
      </c>
      <c r="I21" s="16" t="n"/>
      <c r="J21" s="16" t="n"/>
      <c r="K21" s="16" t="n"/>
      <c r="L21" s="18" t="n"/>
      <c r="M21" s="16" t="n"/>
      <c r="N21" s="17">
        <f>IF($C21="","",MAX(_xlfn.MAXIFS(nrSK_Att,nrSK_PID,$D21,nrSK_Cat,$E21,nrSK_Res,"Pass"),_xlfn.MAXIFS(nrSK_Att,nrSK_PID,$D21,nrSK_Cat,$E21,nrSK_Res,"Fail")))</f>
        <v/>
      </c>
      <c r="O21" s="17">
        <f>IF($C21="","",IF(AND(MAX(_xlfn.MAXIFS(nrSK_Att,nrSK_PID,$D21,nrSK_Cat,$E21,nrSK_Res,"Pass"),_xlfn.MAXIFS(nrSK_Att,nrSK_PID,$D21,nrSK_Cat,$E21,nrSK_Res,"Fail"))&gt;0,N($I21)&lt;MAX(_xlfn.MAXIFS(nrSK_Att,nrSK_PID,$D21,nrSK_Cat,$E21,nrSK_Res,"Pass"),_xlfn.MAXIFS(nrSK_Att,nrSK_PID,$D21,nrSK_Cat,$E21,nrSK_Res,"Fail"))),"(superseded)",IF(OR($J21="",$J21="Pending"),"Pending",IF($J21="Pass","Qualified",IF(AND($J21="Fail",$N21&gt;=$F21),"FAILED OUT","Needs Remediation")))))</f>
        <v/>
      </c>
      <c r="P21" s="17">
        <f>IF($C21="","",IF($O21="FAILED OUT","Yes","No"))</f>
        <v/>
      </c>
      <c r="Q21" s="16" t="n"/>
      <c r="R21" s="16" t="n"/>
      <c r="S21" s="17">
        <f>IF($C21="","",IF(AND($K21&lt;&gt;"",NOT(ISNUMBER($K21))),"SCORE NOT A NUMBER",IF(AND(ISNUMBER($K21),OR($K21&lt;0,$K21&gt;100)),"SCORE OUT OF RANGE - this score counts toward nothing",IF(AND($G21="Score",$K21="",$J21&lt;&gt;"",$J21&lt;&gt;"Pending"),"RESULT WITHOUT A SCORE",IF(AND($G21="Pass/Fail",$K21&lt;&gt;""),"SCORE ON A PASS-FAIL CATEGORY - it is ignored",IF(AND($E21="Firearms",$J21&lt;&gt;"",$J21&lt;&gt;"Pending",$R21=""),"FIREARMS ROW WITH NO COURSE OF FIRE","OK"))))))</f>
        <v/>
      </c>
    </row>
    <row r="22">
      <c r="B22" s="17">
        <f>IF($C22="","",$D22&amp;"-"&amp;$E22&amp;"-"&amp;$I22)</f>
        <v/>
      </c>
      <c r="C22" s="16" t="n"/>
      <c r="D22" s="17">
        <f>IF($C22="","",IFERROR(INDEX(rngCadetPIDs,MATCH($C22,rngCadetNames,0)),"?"))</f>
        <v/>
      </c>
      <c r="E22" s="16" t="n"/>
      <c r="F22" s="17">
        <f>IF($E22="","",IFERROR(INDEX(rngSM_max,MATCH($E22,rngSM_cat,0)),""))</f>
        <v/>
      </c>
      <c r="G22" s="17">
        <f>IF($E22="","",IFERROR(INDEX(rngSM_mode,MATCH($E22,rngSM_cat,0)),""))</f>
        <v/>
      </c>
      <c r="H22" s="17">
        <f>IF($E22="","",IFERROR(INDEX(rngSM_pass,MATCH($E22,rngSM_cat,0)),""))</f>
        <v/>
      </c>
      <c r="I22" s="16" t="n"/>
      <c r="J22" s="16" t="n"/>
      <c r="K22" s="16" t="n"/>
      <c r="L22" s="18" t="n"/>
      <c r="M22" s="16" t="n"/>
      <c r="N22" s="17">
        <f>IF($C22="","",MAX(_xlfn.MAXIFS(nrSK_Att,nrSK_PID,$D22,nrSK_Cat,$E22,nrSK_Res,"Pass"),_xlfn.MAXIFS(nrSK_Att,nrSK_PID,$D22,nrSK_Cat,$E22,nrSK_Res,"Fail")))</f>
        <v/>
      </c>
      <c r="O22" s="17">
        <f>IF($C22="","",IF(AND(MAX(_xlfn.MAXIFS(nrSK_Att,nrSK_PID,$D22,nrSK_Cat,$E22,nrSK_Res,"Pass"),_xlfn.MAXIFS(nrSK_Att,nrSK_PID,$D22,nrSK_Cat,$E22,nrSK_Res,"Fail"))&gt;0,N($I22)&lt;MAX(_xlfn.MAXIFS(nrSK_Att,nrSK_PID,$D22,nrSK_Cat,$E22,nrSK_Res,"Pass"),_xlfn.MAXIFS(nrSK_Att,nrSK_PID,$D22,nrSK_Cat,$E22,nrSK_Res,"Fail"))),"(superseded)",IF(OR($J22="",$J22="Pending"),"Pending",IF($J22="Pass","Qualified",IF(AND($J22="Fail",$N22&gt;=$F22),"FAILED OUT","Needs Remediation")))))</f>
        <v/>
      </c>
      <c r="P22" s="17">
        <f>IF($C22="","",IF($O22="FAILED OUT","Yes","No"))</f>
        <v/>
      </c>
      <c r="Q22" s="16" t="n"/>
      <c r="R22" s="16" t="n"/>
      <c r="S22" s="17">
        <f>IF($C22="","",IF(AND($K22&lt;&gt;"",NOT(ISNUMBER($K22))),"SCORE NOT A NUMBER",IF(AND(ISNUMBER($K22),OR($K22&lt;0,$K22&gt;100)),"SCORE OUT OF RANGE - this score counts toward nothing",IF(AND($G22="Score",$K22="",$J22&lt;&gt;"",$J22&lt;&gt;"Pending"),"RESULT WITHOUT A SCORE",IF(AND($G22="Pass/Fail",$K22&lt;&gt;""),"SCORE ON A PASS-FAIL CATEGORY - it is ignored",IF(AND($E22="Firearms",$J22&lt;&gt;"",$J22&lt;&gt;"Pending",$R22=""),"FIREARMS ROW WITH NO COURSE OF FIRE","OK"))))))</f>
        <v/>
      </c>
    </row>
    <row r="23">
      <c r="B23" s="17">
        <f>IF($C23="","",$D23&amp;"-"&amp;$E23&amp;"-"&amp;$I23)</f>
        <v/>
      </c>
      <c r="C23" s="16" t="n"/>
      <c r="D23" s="17">
        <f>IF($C23="","",IFERROR(INDEX(rngCadetPIDs,MATCH($C23,rngCadetNames,0)),"?"))</f>
        <v/>
      </c>
      <c r="E23" s="16" t="n"/>
      <c r="F23" s="17">
        <f>IF($E23="","",IFERROR(INDEX(rngSM_max,MATCH($E23,rngSM_cat,0)),""))</f>
        <v/>
      </c>
      <c r="G23" s="17">
        <f>IF($E23="","",IFERROR(INDEX(rngSM_mode,MATCH($E23,rngSM_cat,0)),""))</f>
        <v/>
      </c>
      <c r="H23" s="17">
        <f>IF($E23="","",IFERROR(INDEX(rngSM_pass,MATCH($E23,rngSM_cat,0)),""))</f>
        <v/>
      </c>
      <c r="I23" s="16" t="n"/>
      <c r="J23" s="16" t="n"/>
      <c r="K23" s="16" t="n"/>
      <c r="L23" s="18" t="n"/>
      <c r="M23" s="16" t="n"/>
      <c r="N23" s="17">
        <f>IF($C23="","",MAX(_xlfn.MAXIFS(nrSK_Att,nrSK_PID,$D23,nrSK_Cat,$E23,nrSK_Res,"Pass"),_xlfn.MAXIFS(nrSK_Att,nrSK_PID,$D23,nrSK_Cat,$E23,nrSK_Res,"Fail")))</f>
        <v/>
      </c>
      <c r="O23" s="17">
        <f>IF($C23="","",IF(AND(MAX(_xlfn.MAXIFS(nrSK_Att,nrSK_PID,$D23,nrSK_Cat,$E23,nrSK_Res,"Pass"),_xlfn.MAXIFS(nrSK_Att,nrSK_PID,$D23,nrSK_Cat,$E23,nrSK_Res,"Fail"))&gt;0,N($I23)&lt;MAX(_xlfn.MAXIFS(nrSK_Att,nrSK_PID,$D23,nrSK_Cat,$E23,nrSK_Res,"Pass"),_xlfn.MAXIFS(nrSK_Att,nrSK_PID,$D23,nrSK_Cat,$E23,nrSK_Res,"Fail"))),"(superseded)",IF(OR($J23="",$J23="Pending"),"Pending",IF($J23="Pass","Qualified",IF(AND($J23="Fail",$N23&gt;=$F23),"FAILED OUT","Needs Remediation")))))</f>
        <v/>
      </c>
      <c r="P23" s="17">
        <f>IF($C23="","",IF($O23="FAILED OUT","Yes","No"))</f>
        <v/>
      </c>
      <c r="Q23" s="16" t="n"/>
      <c r="R23" s="16" t="n"/>
      <c r="S23" s="17">
        <f>IF($C23="","",IF(AND($K23&lt;&gt;"",NOT(ISNUMBER($K23))),"SCORE NOT A NUMBER",IF(AND(ISNUMBER($K23),OR($K23&lt;0,$K23&gt;100)),"SCORE OUT OF RANGE - this score counts toward nothing",IF(AND($G23="Score",$K23="",$J23&lt;&gt;"",$J23&lt;&gt;"Pending"),"RESULT WITHOUT A SCORE",IF(AND($G23="Pass/Fail",$K23&lt;&gt;""),"SCORE ON A PASS-FAIL CATEGORY - it is ignored",IF(AND($E23="Firearms",$J23&lt;&gt;"",$J23&lt;&gt;"Pending",$R23=""),"FIREARMS ROW WITH NO COURSE OF FIRE","OK"))))))</f>
        <v/>
      </c>
    </row>
    <row r="24">
      <c r="B24" s="17">
        <f>IF($C24="","",$D24&amp;"-"&amp;$E24&amp;"-"&amp;$I24)</f>
        <v/>
      </c>
      <c r="C24" s="16" t="n"/>
      <c r="D24" s="17">
        <f>IF($C24="","",IFERROR(INDEX(rngCadetPIDs,MATCH($C24,rngCadetNames,0)),"?"))</f>
        <v/>
      </c>
      <c r="E24" s="16" t="n"/>
      <c r="F24" s="17">
        <f>IF($E24="","",IFERROR(INDEX(rngSM_max,MATCH($E24,rngSM_cat,0)),""))</f>
        <v/>
      </c>
      <c r="G24" s="17">
        <f>IF($E24="","",IFERROR(INDEX(rngSM_mode,MATCH($E24,rngSM_cat,0)),""))</f>
        <v/>
      </c>
      <c r="H24" s="17">
        <f>IF($E24="","",IFERROR(INDEX(rngSM_pass,MATCH($E24,rngSM_cat,0)),""))</f>
        <v/>
      </c>
      <c r="I24" s="16" t="n"/>
      <c r="J24" s="16" t="n"/>
      <c r="K24" s="16" t="n"/>
      <c r="L24" s="18" t="n"/>
      <c r="M24" s="16" t="n"/>
      <c r="N24" s="17">
        <f>IF($C24="","",MAX(_xlfn.MAXIFS(nrSK_Att,nrSK_PID,$D24,nrSK_Cat,$E24,nrSK_Res,"Pass"),_xlfn.MAXIFS(nrSK_Att,nrSK_PID,$D24,nrSK_Cat,$E24,nrSK_Res,"Fail")))</f>
        <v/>
      </c>
      <c r="O24" s="17">
        <f>IF($C24="","",IF(AND(MAX(_xlfn.MAXIFS(nrSK_Att,nrSK_PID,$D24,nrSK_Cat,$E24,nrSK_Res,"Pass"),_xlfn.MAXIFS(nrSK_Att,nrSK_PID,$D24,nrSK_Cat,$E24,nrSK_Res,"Fail"))&gt;0,N($I24)&lt;MAX(_xlfn.MAXIFS(nrSK_Att,nrSK_PID,$D24,nrSK_Cat,$E24,nrSK_Res,"Pass"),_xlfn.MAXIFS(nrSK_Att,nrSK_PID,$D24,nrSK_Cat,$E24,nrSK_Res,"Fail"))),"(superseded)",IF(OR($J24="",$J24="Pending"),"Pending",IF($J24="Pass","Qualified",IF(AND($J24="Fail",$N24&gt;=$F24),"FAILED OUT","Needs Remediation")))))</f>
        <v/>
      </c>
      <c r="P24" s="17">
        <f>IF($C24="","",IF($O24="FAILED OUT","Yes","No"))</f>
        <v/>
      </c>
      <c r="Q24" s="16" t="n"/>
      <c r="R24" s="16" t="n"/>
      <c r="S24" s="17">
        <f>IF($C24="","",IF(AND($K24&lt;&gt;"",NOT(ISNUMBER($K24))),"SCORE NOT A NUMBER",IF(AND(ISNUMBER($K24),OR($K24&lt;0,$K24&gt;100)),"SCORE OUT OF RANGE - this score counts toward nothing",IF(AND($G24="Score",$K24="",$J24&lt;&gt;"",$J24&lt;&gt;"Pending"),"RESULT WITHOUT A SCORE",IF(AND($G24="Pass/Fail",$K24&lt;&gt;""),"SCORE ON A PASS-FAIL CATEGORY - it is ignored",IF(AND($E24="Firearms",$J24&lt;&gt;"",$J24&lt;&gt;"Pending",$R24=""),"FIREARMS ROW WITH NO COURSE OF FIRE","OK"))))))</f>
        <v/>
      </c>
    </row>
    <row r="25">
      <c r="B25" s="17">
        <f>IF($C25="","",$D25&amp;"-"&amp;$E25&amp;"-"&amp;$I25)</f>
        <v/>
      </c>
      <c r="C25" s="16" t="n"/>
      <c r="D25" s="17">
        <f>IF($C25="","",IFERROR(INDEX(rngCadetPIDs,MATCH($C25,rngCadetNames,0)),"?"))</f>
        <v/>
      </c>
      <c r="E25" s="16" t="n"/>
      <c r="F25" s="17">
        <f>IF($E25="","",IFERROR(INDEX(rngSM_max,MATCH($E25,rngSM_cat,0)),""))</f>
        <v/>
      </c>
      <c r="G25" s="17">
        <f>IF($E25="","",IFERROR(INDEX(rngSM_mode,MATCH($E25,rngSM_cat,0)),""))</f>
        <v/>
      </c>
      <c r="H25" s="17">
        <f>IF($E25="","",IFERROR(INDEX(rngSM_pass,MATCH($E25,rngSM_cat,0)),""))</f>
        <v/>
      </c>
      <c r="I25" s="16" t="n"/>
      <c r="J25" s="16" t="n"/>
      <c r="K25" s="16" t="n"/>
      <c r="L25" s="18" t="n"/>
      <c r="M25" s="16" t="n"/>
      <c r="N25" s="17">
        <f>IF($C25="","",MAX(_xlfn.MAXIFS(nrSK_Att,nrSK_PID,$D25,nrSK_Cat,$E25,nrSK_Res,"Pass"),_xlfn.MAXIFS(nrSK_Att,nrSK_PID,$D25,nrSK_Cat,$E25,nrSK_Res,"Fail")))</f>
        <v/>
      </c>
      <c r="O25" s="17">
        <f>IF($C25="","",IF(AND(MAX(_xlfn.MAXIFS(nrSK_Att,nrSK_PID,$D25,nrSK_Cat,$E25,nrSK_Res,"Pass"),_xlfn.MAXIFS(nrSK_Att,nrSK_PID,$D25,nrSK_Cat,$E25,nrSK_Res,"Fail"))&gt;0,N($I25)&lt;MAX(_xlfn.MAXIFS(nrSK_Att,nrSK_PID,$D25,nrSK_Cat,$E25,nrSK_Res,"Pass"),_xlfn.MAXIFS(nrSK_Att,nrSK_PID,$D25,nrSK_Cat,$E25,nrSK_Res,"Fail"))),"(superseded)",IF(OR($J25="",$J25="Pending"),"Pending",IF($J25="Pass","Qualified",IF(AND($J25="Fail",$N25&gt;=$F25),"FAILED OUT","Needs Remediation")))))</f>
        <v/>
      </c>
      <c r="P25" s="17">
        <f>IF($C25="","",IF($O25="FAILED OUT","Yes","No"))</f>
        <v/>
      </c>
      <c r="Q25" s="16" t="n"/>
      <c r="R25" s="16" t="n"/>
      <c r="S25" s="17">
        <f>IF($C25="","",IF(AND($K25&lt;&gt;"",NOT(ISNUMBER($K25))),"SCORE NOT A NUMBER",IF(AND(ISNUMBER($K25),OR($K25&lt;0,$K25&gt;100)),"SCORE OUT OF RANGE - this score counts toward nothing",IF(AND($G25="Score",$K25="",$J25&lt;&gt;"",$J25&lt;&gt;"Pending"),"RESULT WITHOUT A SCORE",IF(AND($G25="Pass/Fail",$K25&lt;&gt;""),"SCORE ON A PASS-FAIL CATEGORY - it is ignored",IF(AND($E25="Firearms",$J25&lt;&gt;"",$J25&lt;&gt;"Pending",$R25=""),"FIREARMS ROW WITH NO COURSE OF FIRE","OK"))))))</f>
        <v/>
      </c>
    </row>
    <row r="26">
      <c r="B26" s="17">
        <f>IF($C26="","",$D26&amp;"-"&amp;$E26&amp;"-"&amp;$I26)</f>
        <v/>
      </c>
      <c r="C26" s="16" t="n"/>
      <c r="D26" s="17">
        <f>IF($C26="","",IFERROR(INDEX(rngCadetPIDs,MATCH($C26,rngCadetNames,0)),"?"))</f>
        <v/>
      </c>
      <c r="E26" s="16" t="n"/>
      <c r="F26" s="17">
        <f>IF($E26="","",IFERROR(INDEX(rngSM_max,MATCH($E26,rngSM_cat,0)),""))</f>
        <v/>
      </c>
      <c r="G26" s="17">
        <f>IF($E26="","",IFERROR(INDEX(rngSM_mode,MATCH($E26,rngSM_cat,0)),""))</f>
        <v/>
      </c>
      <c r="H26" s="17">
        <f>IF($E26="","",IFERROR(INDEX(rngSM_pass,MATCH($E26,rngSM_cat,0)),""))</f>
        <v/>
      </c>
      <c r="I26" s="16" t="n"/>
      <c r="J26" s="16" t="n"/>
      <c r="K26" s="16" t="n"/>
      <c r="L26" s="18" t="n"/>
      <c r="M26" s="16" t="n"/>
      <c r="N26" s="17">
        <f>IF($C26="","",MAX(_xlfn.MAXIFS(nrSK_Att,nrSK_PID,$D26,nrSK_Cat,$E26,nrSK_Res,"Pass"),_xlfn.MAXIFS(nrSK_Att,nrSK_PID,$D26,nrSK_Cat,$E26,nrSK_Res,"Fail")))</f>
        <v/>
      </c>
      <c r="O26" s="17">
        <f>IF($C26="","",IF(AND(MAX(_xlfn.MAXIFS(nrSK_Att,nrSK_PID,$D26,nrSK_Cat,$E26,nrSK_Res,"Pass"),_xlfn.MAXIFS(nrSK_Att,nrSK_PID,$D26,nrSK_Cat,$E26,nrSK_Res,"Fail"))&gt;0,N($I26)&lt;MAX(_xlfn.MAXIFS(nrSK_Att,nrSK_PID,$D26,nrSK_Cat,$E26,nrSK_Res,"Pass"),_xlfn.MAXIFS(nrSK_Att,nrSK_PID,$D26,nrSK_Cat,$E26,nrSK_Res,"Fail"))),"(superseded)",IF(OR($J26="",$J26="Pending"),"Pending",IF($J26="Pass","Qualified",IF(AND($J26="Fail",$N26&gt;=$F26),"FAILED OUT","Needs Remediation")))))</f>
        <v/>
      </c>
      <c r="P26" s="17">
        <f>IF($C26="","",IF($O26="FAILED OUT","Yes","No"))</f>
        <v/>
      </c>
      <c r="Q26" s="16" t="n"/>
      <c r="R26" s="16" t="n"/>
      <c r="S26" s="17">
        <f>IF($C26="","",IF(AND($K26&lt;&gt;"",NOT(ISNUMBER($K26))),"SCORE NOT A NUMBER",IF(AND(ISNUMBER($K26),OR($K26&lt;0,$K26&gt;100)),"SCORE OUT OF RANGE - this score counts toward nothing",IF(AND($G26="Score",$K26="",$J26&lt;&gt;"",$J26&lt;&gt;"Pending"),"RESULT WITHOUT A SCORE",IF(AND($G26="Pass/Fail",$K26&lt;&gt;""),"SCORE ON A PASS-FAIL CATEGORY - it is ignored",IF(AND($E26="Firearms",$J26&lt;&gt;"",$J26&lt;&gt;"Pending",$R26=""),"FIREARMS ROW WITH NO COURSE OF FIRE","OK"))))))</f>
        <v/>
      </c>
    </row>
    <row r="27">
      <c r="B27" s="17">
        <f>IF($C27="","",$D27&amp;"-"&amp;$E27&amp;"-"&amp;$I27)</f>
        <v/>
      </c>
      <c r="C27" s="16" t="n"/>
      <c r="D27" s="17">
        <f>IF($C27="","",IFERROR(INDEX(rngCadetPIDs,MATCH($C27,rngCadetNames,0)),"?"))</f>
        <v/>
      </c>
      <c r="E27" s="16" t="n"/>
      <c r="F27" s="17">
        <f>IF($E27="","",IFERROR(INDEX(rngSM_max,MATCH($E27,rngSM_cat,0)),""))</f>
        <v/>
      </c>
      <c r="G27" s="17">
        <f>IF($E27="","",IFERROR(INDEX(rngSM_mode,MATCH($E27,rngSM_cat,0)),""))</f>
        <v/>
      </c>
      <c r="H27" s="17">
        <f>IF($E27="","",IFERROR(INDEX(rngSM_pass,MATCH($E27,rngSM_cat,0)),""))</f>
        <v/>
      </c>
      <c r="I27" s="16" t="n"/>
      <c r="J27" s="16" t="n"/>
      <c r="K27" s="16" t="n"/>
      <c r="L27" s="18" t="n"/>
      <c r="M27" s="16" t="n"/>
      <c r="N27" s="17">
        <f>IF($C27="","",MAX(_xlfn.MAXIFS(nrSK_Att,nrSK_PID,$D27,nrSK_Cat,$E27,nrSK_Res,"Pass"),_xlfn.MAXIFS(nrSK_Att,nrSK_PID,$D27,nrSK_Cat,$E27,nrSK_Res,"Fail")))</f>
        <v/>
      </c>
      <c r="O27" s="17">
        <f>IF($C27="","",IF(AND(MAX(_xlfn.MAXIFS(nrSK_Att,nrSK_PID,$D27,nrSK_Cat,$E27,nrSK_Res,"Pass"),_xlfn.MAXIFS(nrSK_Att,nrSK_PID,$D27,nrSK_Cat,$E27,nrSK_Res,"Fail"))&gt;0,N($I27)&lt;MAX(_xlfn.MAXIFS(nrSK_Att,nrSK_PID,$D27,nrSK_Cat,$E27,nrSK_Res,"Pass"),_xlfn.MAXIFS(nrSK_Att,nrSK_PID,$D27,nrSK_Cat,$E27,nrSK_Res,"Fail"))),"(superseded)",IF(OR($J27="",$J27="Pending"),"Pending",IF($J27="Pass","Qualified",IF(AND($J27="Fail",$N27&gt;=$F27),"FAILED OUT","Needs Remediation")))))</f>
        <v/>
      </c>
      <c r="P27" s="17">
        <f>IF($C27="","",IF($O27="FAILED OUT","Yes","No"))</f>
        <v/>
      </c>
      <c r="Q27" s="16" t="n"/>
      <c r="R27" s="16" t="n"/>
      <c r="S27" s="17">
        <f>IF($C27="","",IF(AND($K27&lt;&gt;"",NOT(ISNUMBER($K27))),"SCORE NOT A NUMBER",IF(AND(ISNUMBER($K27),OR($K27&lt;0,$K27&gt;100)),"SCORE OUT OF RANGE - this score counts toward nothing",IF(AND($G27="Score",$K27="",$J27&lt;&gt;"",$J27&lt;&gt;"Pending"),"RESULT WITHOUT A SCORE",IF(AND($G27="Pass/Fail",$K27&lt;&gt;""),"SCORE ON A PASS-FAIL CATEGORY - it is ignored",IF(AND($E27="Firearms",$J27&lt;&gt;"",$J27&lt;&gt;"Pending",$R27=""),"FIREARMS ROW WITH NO COURSE OF FIRE","OK"))))))</f>
        <v/>
      </c>
    </row>
    <row r="28">
      <c r="B28" s="17">
        <f>IF($C28="","",$D28&amp;"-"&amp;$E28&amp;"-"&amp;$I28)</f>
        <v/>
      </c>
      <c r="C28" s="16" t="n"/>
      <c r="D28" s="17">
        <f>IF($C28="","",IFERROR(INDEX(rngCadetPIDs,MATCH($C28,rngCadetNames,0)),"?"))</f>
        <v/>
      </c>
      <c r="E28" s="16" t="n"/>
      <c r="F28" s="17">
        <f>IF($E28="","",IFERROR(INDEX(rngSM_max,MATCH($E28,rngSM_cat,0)),""))</f>
        <v/>
      </c>
      <c r="G28" s="17">
        <f>IF($E28="","",IFERROR(INDEX(rngSM_mode,MATCH($E28,rngSM_cat,0)),""))</f>
        <v/>
      </c>
      <c r="H28" s="17">
        <f>IF($E28="","",IFERROR(INDEX(rngSM_pass,MATCH($E28,rngSM_cat,0)),""))</f>
        <v/>
      </c>
      <c r="I28" s="16" t="n"/>
      <c r="J28" s="16" t="n"/>
      <c r="K28" s="16" t="n"/>
      <c r="L28" s="18" t="n"/>
      <c r="M28" s="16" t="n"/>
      <c r="N28" s="17">
        <f>IF($C28="","",MAX(_xlfn.MAXIFS(nrSK_Att,nrSK_PID,$D28,nrSK_Cat,$E28,nrSK_Res,"Pass"),_xlfn.MAXIFS(nrSK_Att,nrSK_PID,$D28,nrSK_Cat,$E28,nrSK_Res,"Fail")))</f>
        <v/>
      </c>
      <c r="O28" s="17">
        <f>IF($C28="","",IF(AND(MAX(_xlfn.MAXIFS(nrSK_Att,nrSK_PID,$D28,nrSK_Cat,$E28,nrSK_Res,"Pass"),_xlfn.MAXIFS(nrSK_Att,nrSK_PID,$D28,nrSK_Cat,$E28,nrSK_Res,"Fail"))&gt;0,N($I28)&lt;MAX(_xlfn.MAXIFS(nrSK_Att,nrSK_PID,$D28,nrSK_Cat,$E28,nrSK_Res,"Pass"),_xlfn.MAXIFS(nrSK_Att,nrSK_PID,$D28,nrSK_Cat,$E28,nrSK_Res,"Fail"))),"(superseded)",IF(OR($J28="",$J28="Pending"),"Pending",IF($J28="Pass","Qualified",IF(AND($J28="Fail",$N28&gt;=$F28),"FAILED OUT","Needs Remediation")))))</f>
        <v/>
      </c>
      <c r="P28" s="17">
        <f>IF($C28="","",IF($O28="FAILED OUT","Yes","No"))</f>
        <v/>
      </c>
      <c r="Q28" s="16" t="n"/>
      <c r="R28" s="16" t="n"/>
      <c r="S28" s="17">
        <f>IF($C28="","",IF(AND($K28&lt;&gt;"",NOT(ISNUMBER($K28))),"SCORE NOT A NUMBER",IF(AND(ISNUMBER($K28),OR($K28&lt;0,$K28&gt;100)),"SCORE OUT OF RANGE - this score counts toward nothing",IF(AND($G28="Score",$K28="",$J28&lt;&gt;"",$J28&lt;&gt;"Pending"),"RESULT WITHOUT A SCORE",IF(AND($G28="Pass/Fail",$K28&lt;&gt;""),"SCORE ON A PASS-FAIL CATEGORY - it is ignored",IF(AND($E28="Firearms",$J28&lt;&gt;"",$J28&lt;&gt;"Pending",$R28=""),"FIREARMS ROW WITH NO COURSE OF FIRE","OK"))))))</f>
        <v/>
      </c>
    </row>
    <row r="29">
      <c r="B29" s="17">
        <f>IF($C29="","",$D29&amp;"-"&amp;$E29&amp;"-"&amp;$I29)</f>
        <v/>
      </c>
      <c r="C29" s="16" t="n"/>
      <c r="D29" s="17">
        <f>IF($C29="","",IFERROR(INDEX(rngCadetPIDs,MATCH($C29,rngCadetNames,0)),"?"))</f>
        <v/>
      </c>
      <c r="E29" s="16" t="n"/>
      <c r="F29" s="17">
        <f>IF($E29="","",IFERROR(INDEX(rngSM_max,MATCH($E29,rngSM_cat,0)),""))</f>
        <v/>
      </c>
      <c r="G29" s="17">
        <f>IF($E29="","",IFERROR(INDEX(rngSM_mode,MATCH($E29,rngSM_cat,0)),""))</f>
        <v/>
      </c>
      <c r="H29" s="17">
        <f>IF($E29="","",IFERROR(INDEX(rngSM_pass,MATCH($E29,rngSM_cat,0)),""))</f>
        <v/>
      </c>
      <c r="I29" s="16" t="n"/>
      <c r="J29" s="16" t="n"/>
      <c r="K29" s="16" t="n"/>
      <c r="L29" s="18" t="n"/>
      <c r="M29" s="16" t="n"/>
      <c r="N29" s="17">
        <f>IF($C29="","",MAX(_xlfn.MAXIFS(nrSK_Att,nrSK_PID,$D29,nrSK_Cat,$E29,nrSK_Res,"Pass"),_xlfn.MAXIFS(nrSK_Att,nrSK_PID,$D29,nrSK_Cat,$E29,nrSK_Res,"Fail")))</f>
        <v/>
      </c>
      <c r="O29" s="17">
        <f>IF($C29="","",IF(AND(MAX(_xlfn.MAXIFS(nrSK_Att,nrSK_PID,$D29,nrSK_Cat,$E29,nrSK_Res,"Pass"),_xlfn.MAXIFS(nrSK_Att,nrSK_PID,$D29,nrSK_Cat,$E29,nrSK_Res,"Fail"))&gt;0,N($I29)&lt;MAX(_xlfn.MAXIFS(nrSK_Att,nrSK_PID,$D29,nrSK_Cat,$E29,nrSK_Res,"Pass"),_xlfn.MAXIFS(nrSK_Att,nrSK_PID,$D29,nrSK_Cat,$E29,nrSK_Res,"Fail"))),"(superseded)",IF(OR($J29="",$J29="Pending"),"Pending",IF($J29="Pass","Qualified",IF(AND($J29="Fail",$N29&gt;=$F29),"FAILED OUT","Needs Remediation")))))</f>
        <v/>
      </c>
      <c r="P29" s="17">
        <f>IF($C29="","",IF($O29="FAILED OUT","Yes","No"))</f>
        <v/>
      </c>
      <c r="Q29" s="16" t="n"/>
      <c r="R29" s="16" t="n"/>
      <c r="S29" s="17">
        <f>IF($C29="","",IF(AND($K29&lt;&gt;"",NOT(ISNUMBER($K29))),"SCORE NOT A NUMBER",IF(AND(ISNUMBER($K29),OR($K29&lt;0,$K29&gt;100)),"SCORE OUT OF RANGE - this score counts toward nothing",IF(AND($G29="Score",$K29="",$J29&lt;&gt;"",$J29&lt;&gt;"Pending"),"RESULT WITHOUT A SCORE",IF(AND($G29="Pass/Fail",$K29&lt;&gt;""),"SCORE ON A PASS-FAIL CATEGORY - it is ignored",IF(AND($E29="Firearms",$J29&lt;&gt;"",$J29&lt;&gt;"Pending",$R29=""),"FIREARMS ROW WITH NO COURSE OF FIRE","OK"))))))</f>
        <v/>
      </c>
    </row>
    <row r="30">
      <c r="B30" s="17">
        <f>IF($C30="","",$D30&amp;"-"&amp;$E30&amp;"-"&amp;$I30)</f>
        <v/>
      </c>
      <c r="C30" s="16" t="n"/>
      <c r="D30" s="17">
        <f>IF($C30="","",IFERROR(INDEX(rngCadetPIDs,MATCH($C30,rngCadetNames,0)),"?"))</f>
        <v/>
      </c>
      <c r="E30" s="16" t="n"/>
      <c r="F30" s="17">
        <f>IF($E30="","",IFERROR(INDEX(rngSM_max,MATCH($E30,rngSM_cat,0)),""))</f>
        <v/>
      </c>
      <c r="G30" s="17">
        <f>IF($E30="","",IFERROR(INDEX(rngSM_mode,MATCH($E30,rngSM_cat,0)),""))</f>
        <v/>
      </c>
      <c r="H30" s="17">
        <f>IF($E30="","",IFERROR(INDEX(rngSM_pass,MATCH($E30,rngSM_cat,0)),""))</f>
        <v/>
      </c>
      <c r="I30" s="16" t="n"/>
      <c r="J30" s="16" t="n"/>
      <c r="K30" s="16" t="n"/>
      <c r="L30" s="18" t="n"/>
      <c r="M30" s="16" t="n"/>
      <c r="N30" s="17">
        <f>IF($C30="","",MAX(_xlfn.MAXIFS(nrSK_Att,nrSK_PID,$D30,nrSK_Cat,$E30,nrSK_Res,"Pass"),_xlfn.MAXIFS(nrSK_Att,nrSK_PID,$D30,nrSK_Cat,$E30,nrSK_Res,"Fail")))</f>
        <v/>
      </c>
      <c r="O30" s="17">
        <f>IF($C30="","",IF(AND(MAX(_xlfn.MAXIFS(nrSK_Att,nrSK_PID,$D30,nrSK_Cat,$E30,nrSK_Res,"Pass"),_xlfn.MAXIFS(nrSK_Att,nrSK_PID,$D30,nrSK_Cat,$E30,nrSK_Res,"Fail"))&gt;0,N($I30)&lt;MAX(_xlfn.MAXIFS(nrSK_Att,nrSK_PID,$D30,nrSK_Cat,$E30,nrSK_Res,"Pass"),_xlfn.MAXIFS(nrSK_Att,nrSK_PID,$D30,nrSK_Cat,$E30,nrSK_Res,"Fail"))),"(superseded)",IF(OR($J30="",$J30="Pending"),"Pending",IF($J30="Pass","Qualified",IF(AND($J30="Fail",$N30&gt;=$F30),"FAILED OUT","Needs Remediation")))))</f>
        <v/>
      </c>
      <c r="P30" s="17">
        <f>IF($C30="","",IF($O30="FAILED OUT","Yes","No"))</f>
        <v/>
      </c>
      <c r="Q30" s="16" t="n"/>
      <c r="R30" s="16" t="n"/>
      <c r="S30" s="17">
        <f>IF($C30="","",IF(AND($K30&lt;&gt;"",NOT(ISNUMBER($K30))),"SCORE NOT A NUMBER",IF(AND(ISNUMBER($K30),OR($K30&lt;0,$K30&gt;100)),"SCORE OUT OF RANGE - this score counts toward nothing",IF(AND($G30="Score",$K30="",$J30&lt;&gt;"",$J30&lt;&gt;"Pending"),"RESULT WITHOUT A SCORE",IF(AND($G30="Pass/Fail",$K30&lt;&gt;""),"SCORE ON A PASS-FAIL CATEGORY - it is ignored",IF(AND($E30="Firearms",$J30&lt;&gt;"",$J30&lt;&gt;"Pending",$R30=""),"FIREARMS ROW WITH NO COURSE OF FIRE","OK"))))))</f>
        <v/>
      </c>
    </row>
    <row r="31">
      <c r="B31" s="17">
        <f>IF($C31="","",$D31&amp;"-"&amp;$E31&amp;"-"&amp;$I31)</f>
        <v/>
      </c>
      <c r="C31" s="16" t="n"/>
      <c r="D31" s="17">
        <f>IF($C31="","",IFERROR(INDEX(rngCadetPIDs,MATCH($C31,rngCadetNames,0)),"?"))</f>
        <v/>
      </c>
      <c r="E31" s="16" t="n"/>
      <c r="F31" s="17">
        <f>IF($E31="","",IFERROR(INDEX(rngSM_max,MATCH($E31,rngSM_cat,0)),""))</f>
        <v/>
      </c>
      <c r="G31" s="17">
        <f>IF($E31="","",IFERROR(INDEX(rngSM_mode,MATCH($E31,rngSM_cat,0)),""))</f>
        <v/>
      </c>
      <c r="H31" s="17">
        <f>IF($E31="","",IFERROR(INDEX(rngSM_pass,MATCH($E31,rngSM_cat,0)),""))</f>
        <v/>
      </c>
      <c r="I31" s="16" t="n"/>
      <c r="J31" s="16" t="n"/>
      <c r="K31" s="16" t="n"/>
      <c r="L31" s="18" t="n"/>
      <c r="M31" s="16" t="n"/>
      <c r="N31" s="17">
        <f>IF($C31="","",MAX(_xlfn.MAXIFS(nrSK_Att,nrSK_PID,$D31,nrSK_Cat,$E31,nrSK_Res,"Pass"),_xlfn.MAXIFS(nrSK_Att,nrSK_PID,$D31,nrSK_Cat,$E31,nrSK_Res,"Fail")))</f>
        <v/>
      </c>
      <c r="O31" s="17">
        <f>IF($C31="","",IF(AND(MAX(_xlfn.MAXIFS(nrSK_Att,nrSK_PID,$D31,nrSK_Cat,$E31,nrSK_Res,"Pass"),_xlfn.MAXIFS(nrSK_Att,nrSK_PID,$D31,nrSK_Cat,$E31,nrSK_Res,"Fail"))&gt;0,N($I31)&lt;MAX(_xlfn.MAXIFS(nrSK_Att,nrSK_PID,$D31,nrSK_Cat,$E31,nrSK_Res,"Pass"),_xlfn.MAXIFS(nrSK_Att,nrSK_PID,$D31,nrSK_Cat,$E31,nrSK_Res,"Fail"))),"(superseded)",IF(OR($J31="",$J31="Pending"),"Pending",IF($J31="Pass","Qualified",IF(AND($J31="Fail",$N31&gt;=$F31),"FAILED OUT","Needs Remediation")))))</f>
        <v/>
      </c>
      <c r="P31" s="17">
        <f>IF($C31="","",IF($O31="FAILED OUT","Yes","No"))</f>
        <v/>
      </c>
      <c r="Q31" s="16" t="n"/>
      <c r="R31" s="16" t="n"/>
      <c r="S31" s="17">
        <f>IF($C31="","",IF(AND($K31&lt;&gt;"",NOT(ISNUMBER($K31))),"SCORE NOT A NUMBER",IF(AND(ISNUMBER($K31),OR($K31&lt;0,$K31&gt;100)),"SCORE OUT OF RANGE - this score counts toward nothing",IF(AND($G31="Score",$K31="",$J31&lt;&gt;"",$J31&lt;&gt;"Pending"),"RESULT WITHOUT A SCORE",IF(AND($G31="Pass/Fail",$K31&lt;&gt;""),"SCORE ON A PASS-FAIL CATEGORY - it is ignored",IF(AND($E31="Firearms",$J31&lt;&gt;"",$J31&lt;&gt;"Pending",$R31=""),"FIREARMS ROW WITH NO COURSE OF FIRE","OK"))))))</f>
        <v/>
      </c>
    </row>
    <row r="32">
      <c r="B32" s="17">
        <f>IF($C32="","",$D32&amp;"-"&amp;$E32&amp;"-"&amp;$I32)</f>
        <v/>
      </c>
      <c r="C32" s="16" t="n"/>
      <c r="D32" s="17">
        <f>IF($C32="","",IFERROR(INDEX(rngCadetPIDs,MATCH($C32,rngCadetNames,0)),"?"))</f>
        <v/>
      </c>
      <c r="E32" s="16" t="n"/>
      <c r="F32" s="17">
        <f>IF($E32="","",IFERROR(INDEX(rngSM_max,MATCH($E32,rngSM_cat,0)),""))</f>
        <v/>
      </c>
      <c r="G32" s="17">
        <f>IF($E32="","",IFERROR(INDEX(rngSM_mode,MATCH($E32,rngSM_cat,0)),""))</f>
        <v/>
      </c>
      <c r="H32" s="17">
        <f>IF($E32="","",IFERROR(INDEX(rngSM_pass,MATCH($E32,rngSM_cat,0)),""))</f>
        <v/>
      </c>
      <c r="I32" s="16" t="n"/>
      <c r="J32" s="16" t="n"/>
      <c r="K32" s="16" t="n"/>
      <c r="L32" s="18" t="n"/>
      <c r="M32" s="16" t="n"/>
      <c r="N32" s="17">
        <f>IF($C32="","",MAX(_xlfn.MAXIFS(nrSK_Att,nrSK_PID,$D32,nrSK_Cat,$E32,nrSK_Res,"Pass"),_xlfn.MAXIFS(nrSK_Att,nrSK_PID,$D32,nrSK_Cat,$E32,nrSK_Res,"Fail")))</f>
        <v/>
      </c>
      <c r="O32" s="17">
        <f>IF($C32="","",IF(AND(MAX(_xlfn.MAXIFS(nrSK_Att,nrSK_PID,$D32,nrSK_Cat,$E32,nrSK_Res,"Pass"),_xlfn.MAXIFS(nrSK_Att,nrSK_PID,$D32,nrSK_Cat,$E32,nrSK_Res,"Fail"))&gt;0,N($I32)&lt;MAX(_xlfn.MAXIFS(nrSK_Att,nrSK_PID,$D32,nrSK_Cat,$E32,nrSK_Res,"Pass"),_xlfn.MAXIFS(nrSK_Att,nrSK_PID,$D32,nrSK_Cat,$E32,nrSK_Res,"Fail"))),"(superseded)",IF(OR($J32="",$J32="Pending"),"Pending",IF($J32="Pass","Qualified",IF(AND($J32="Fail",$N32&gt;=$F32),"FAILED OUT","Needs Remediation")))))</f>
        <v/>
      </c>
      <c r="P32" s="17">
        <f>IF($C32="","",IF($O32="FAILED OUT","Yes","No"))</f>
        <v/>
      </c>
      <c r="Q32" s="16" t="n"/>
      <c r="R32" s="16" t="n"/>
      <c r="S32" s="17">
        <f>IF($C32="","",IF(AND($K32&lt;&gt;"",NOT(ISNUMBER($K32))),"SCORE NOT A NUMBER",IF(AND(ISNUMBER($K32),OR($K32&lt;0,$K32&gt;100)),"SCORE OUT OF RANGE - this score counts toward nothing",IF(AND($G32="Score",$K32="",$J32&lt;&gt;"",$J32&lt;&gt;"Pending"),"RESULT WITHOUT A SCORE",IF(AND($G32="Pass/Fail",$K32&lt;&gt;""),"SCORE ON A PASS-FAIL CATEGORY - it is ignored",IF(AND($E32="Firearms",$J32&lt;&gt;"",$J32&lt;&gt;"Pending",$R32=""),"FIREARMS ROW WITH NO COURSE OF FIRE","OK"))))))</f>
        <v/>
      </c>
    </row>
    <row r="33">
      <c r="B33" s="17">
        <f>IF($C33="","",$D33&amp;"-"&amp;$E33&amp;"-"&amp;$I33)</f>
        <v/>
      </c>
      <c r="C33" s="16" t="n"/>
      <c r="D33" s="17">
        <f>IF($C33="","",IFERROR(INDEX(rngCadetPIDs,MATCH($C33,rngCadetNames,0)),"?"))</f>
        <v/>
      </c>
      <c r="E33" s="16" t="n"/>
      <c r="F33" s="17">
        <f>IF($E33="","",IFERROR(INDEX(rngSM_max,MATCH($E33,rngSM_cat,0)),""))</f>
        <v/>
      </c>
      <c r="G33" s="17">
        <f>IF($E33="","",IFERROR(INDEX(rngSM_mode,MATCH($E33,rngSM_cat,0)),""))</f>
        <v/>
      </c>
      <c r="H33" s="17">
        <f>IF($E33="","",IFERROR(INDEX(rngSM_pass,MATCH($E33,rngSM_cat,0)),""))</f>
        <v/>
      </c>
      <c r="I33" s="16" t="n"/>
      <c r="J33" s="16" t="n"/>
      <c r="K33" s="16" t="n"/>
      <c r="L33" s="18" t="n"/>
      <c r="M33" s="16" t="n"/>
      <c r="N33" s="17">
        <f>IF($C33="","",MAX(_xlfn.MAXIFS(nrSK_Att,nrSK_PID,$D33,nrSK_Cat,$E33,nrSK_Res,"Pass"),_xlfn.MAXIFS(nrSK_Att,nrSK_PID,$D33,nrSK_Cat,$E33,nrSK_Res,"Fail")))</f>
        <v/>
      </c>
      <c r="O33" s="17">
        <f>IF($C33="","",IF(AND(MAX(_xlfn.MAXIFS(nrSK_Att,nrSK_PID,$D33,nrSK_Cat,$E33,nrSK_Res,"Pass"),_xlfn.MAXIFS(nrSK_Att,nrSK_PID,$D33,nrSK_Cat,$E33,nrSK_Res,"Fail"))&gt;0,N($I33)&lt;MAX(_xlfn.MAXIFS(nrSK_Att,nrSK_PID,$D33,nrSK_Cat,$E33,nrSK_Res,"Pass"),_xlfn.MAXIFS(nrSK_Att,nrSK_PID,$D33,nrSK_Cat,$E33,nrSK_Res,"Fail"))),"(superseded)",IF(OR($J33="",$J33="Pending"),"Pending",IF($J33="Pass","Qualified",IF(AND($J33="Fail",$N33&gt;=$F33),"FAILED OUT","Needs Remediation")))))</f>
        <v/>
      </c>
      <c r="P33" s="17">
        <f>IF($C33="","",IF($O33="FAILED OUT","Yes","No"))</f>
        <v/>
      </c>
      <c r="Q33" s="16" t="n"/>
      <c r="R33" s="16" t="n"/>
      <c r="S33" s="17">
        <f>IF($C33="","",IF(AND($K33&lt;&gt;"",NOT(ISNUMBER($K33))),"SCORE NOT A NUMBER",IF(AND(ISNUMBER($K33),OR($K33&lt;0,$K33&gt;100)),"SCORE OUT OF RANGE - this score counts toward nothing",IF(AND($G33="Score",$K33="",$J33&lt;&gt;"",$J33&lt;&gt;"Pending"),"RESULT WITHOUT A SCORE",IF(AND($G33="Pass/Fail",$K33&lt;&gt;""),"SCORE ON A PASS-FAIL CATEGORY - it is ignored",IF(AND($E33="Firearms",$J33&lt;&gt;"",$J33&lt;&gt;"Pending",$R33=""),"FIREARMS ROW WITH NO COURSE OF FIRE","OK"))))))</f>
        <v/>
      </c>
    </row>
    <row r="34">
      <c r="B34" s="17">
        <f>IF($C34="","",$D34&amp;"-"&amp;$E34&amp;"-"&amp;$I34)</f>
        <v/>
      </c>
      <c r="C34" s="16" t="n"/>
      <c r="D34" s="17">
        <f>IF($C34="","",IFERROR(INDEX(rngCadetPIDs,MATCH($C34,rngCadetNames,0)),"?"))</f>
        <v/>
      </c>
      <c r="E34" s="16" t="n"/>
      <c r="F34" s="17">
        <f>IF($E34="","",IFERROR(INDEX(rngSM_max,MATCH($E34,rngSM_cat,0)),""))</f>
        <v/>
      </c>
      <c r="G34" s="17">
        <f>IF($E34="","",IFERROR(INDEX(rngSM_mode,MATCH($E34,rngSM_cat,0)),""))</f>
        <v/>
      </c>
      <c r="H34" s="17">
        <f>IF($E34="","",IFERROR(INDEX(rngSM_pass,MATCH($E34,rngSM_cat,0)),""))</f>
        <v/>
      </c>
      <c r="I34" s="16" t="n"/>
      <c r="J34" s="16" t="n"/>
      <c r="K34" s="16" t="n"/>
      <c r="L34" s="18" t="n"/>
      <c r="M34" s="16" t="n"/>
      <c r="N34" s="17">
        <f>IF($C34="","",MAX(_xlfn.MAXIFS(nrSK_Att,nrSK_PID,$D34,nrSK_Cat,$E34,nrSK_Res,"Pass"),_xlfn.MAXIFS(nrSK_Att,nrSK_PID,$D34,nrSK_Cat,$E34,nrSK_Res,"Fail")))</f>
        <v/>
      </c>
      <c r="O34" s="17">
        <f>IF($C34="","",IF(AND(MAX(_xlfn.MAXIFS(nrSK_Att,nrSK_PID,$D34,nrSK_Cat,$E34,nrSK_Res,"Pass"),_xlfn.MAXIFS(nrSK_Att,nrSK_PID,$D34,nrSK_Cat,$E34,nrSK_Res,"Fail"))&gt;0,N($I34)&lt;MAX(_xlfn.MAXIFS(nrSK_Att,nrSK_PID,$D34,nrSK_Cat,$E34,nrSK_Res,"Pass"),_xlfn.MAXIFS(nrSK_Att,nrSK_PID,$D34,nrSK_Cat,$E34,nrSK_Res,"Fail"))),"(superseded)",IF(OR($J34="",$J34="Pending"),"Pending",IF($J34="Pass","Qualified",IF(AND($J34="Fail",$N34&gt;=$F34),"FAILED OUT","Needs Remediation")))))</f>
        <v/>
      </c>
      <c r="P34" s="17">
        <f>IF($C34="","",IF($O34="FAILED OUT","Yes","No"))</f>
        <v/>
      </c>
      <c r="Q34" s="16" t="n"/>
      <c r="R34" s="16" t="n"/>
      <c r="S34" s="17">
        <f>IF($C34="","",IF(AND($K34&lt;&gt;"",NOT(ISNUMBER($K34))),"SCORE NOT A NUMBER",IF(AND(ISNUMBER($K34),OR($K34&lt;0,$K34&gt;100)),"SCORE OUT OF RANGE - this score counts toward nothing",IF(AND($G34="Score",$K34="",$J34&lt;&gt;"",$J34&lt;&gt;"Pending"),"RESULT WITHOUT A SCORE",IF(AND($G34="Pass/Fail",$K34&lt;&gt;""),"SCORE ON A PASS-FAIL CATEGORY - it is ignored",IF(AND($E34="Firearms",$J34&lt;&gt;"",$J34&lt;&gt;"Pending",$R34=""),"FIREARMS ROW WITH NO COURSE OF FIRE","OK"))))))</f>
        <v/>
      </c>
    </row>
    <row r="35">
      <c r="B35" s="17">
        <f>IF($C35="","",$D35&amp;"-"&amp;$E35&amp;"-"&amp;$I35)</f>
        <v/>
      </c>
      <c r="C35" s="16" t="n"/>
      <c r="D35" s="17">
        <f>IF($C35="","",IFERROR(INDEX(rngCadetPIDs,MATCH($C35,rngCadetNames,0)),"?"))</f>
        <v/>
      </c>
      <c r="E35" s="16" t="n"/>
      <c r="F35" s="17">
        <f>IF($E35="","",IFERROR(INDEX(rngSM_max,MATCH($E35,rngSM_cat,0)),""))</f>
        <v/>
      </c>
      <c r="G35" s="17">
        <f>IF($E35="","",IFERROR(INDEX(rngSM_mode,MATCH($E35,rngSM_cat,0)),""))</f>
        <v/>
      </c>
      <c r="H35" s="17">
        <f>IF($E35="","",IFERROR(INDEX(rngSM_pass,MATCH($E35,rngSM_cat,0)),""))</f>
        <v/>
      </c>
      <c r="I35" s="16" t="n"/>
      <c r="J35" s="16" t="n"/>
      <c r="K35" s="16" t="n"/>
      <c r="L35" s="18" t="n"/>
      <c r="M35" s="16" t="n"/>
      <c r="N35" s="17">
        <f>IF($C35="","",MAX(_xlfn.MAXIFS(nrSK_Att,nrSK_PID,$D35,nrSK_Cat,$E35,nrSK_Res,"Pass"),_xlfn.MAXIFS(nrSK_Att,nrSK_PID,$D35,nrSK_Cat,$E35,nrSK_Res,"Fail")))</f>
        <v/>
      </c>
      <c r="O35" s="17">
        <f>IF($C35="","",IF(AND(MAX(_xlfn.MAXIFS(nrSK_Att,nrSK_PID,$D35,nrSK_Cat,$E35,nrSK_Res,"Pass"),_xlfn.MAXIFS(nrSK_Att,nrSK_PID,$D35,nrSK_Cat,$E35,nrSK_Res,"Fail"))&gt;0,N($I35)&lt;MAX(_xlfn.MAXIFS(nrSK_Att,nrSK_PID,$D35,nrSK_Cat,$E35,nrSK_Res,"Pass"),_xlfn.MAXIFS(nrSK_Att,nrSK_PID,$D35,nrSK_Cat,$E35,nrSK_Res,"Fail"))),"(superseded)",IF(OR($J35="",$J35="Pending"),"Pending",IF($J35="Pass","Qualified",IF(AND($J35="Fail",$N35&gt;=$F35),"FAILED OUT","Needs Remediation")))))</f>
        <v/>
      </c>
      <c r="P35" s="17">
        <f>IF($C35="","",IF($O35="FAILED OUT","Yes","No"))</f>
        <v/>
      </c>
      <c r="Q35" s="16" t="n"/>
      <c r="R35" s="16" t="n"/>
      <c r="S35" s="17">
        <f>IF($C35="","",IF(AND($K35&lt;&gt;"",NOT(ISNUMBER($K35))),"SCORE NOT A NUMBER",IF(AND(ISNUMBER($K35),OR($K35&lt;0,$K35&gt;100)),"SCORE OUT OF RANGE - this score counts toward nothing",IF(AND($G35="Score",$K35="",$J35&lt;&gt;"",$J35&lt;&gt;"Pending"),"RESULT WITHOUT A SCORE",IF(AND($G35="Pass/Fail",$K35&lt;&gt;""),"SCORE ON A PASS-FAIL CATEGORY - it is ignored",IF(AND($E35="Firearms",$J35&lt;&gt;"",$J35&lt;&gt;"Pending",$R35=""),"FIREARMS ROW WITH NO COURSE OF FIRE","OK"))))))</f>
        <v/>
      </c>
    </row>
    <row r="36">
      <c r="B36" s="17">
        <f>IF($C36="","",$D36&amp;"-"&amp;$E36&amp;"-"&amp;$I36)</f>
        <v/>
      </c>
      <c r="C36" s="16" t="n"/>
      <c r="D36" s="17">
        <f>IF($C36="","",IFERROR(INDEX(rngCadetPIDs,MATCH($C36,rngCadetNames,0)),"?"))</f>
        <v/>
      </c>
      <c r="E36" s="16" t="n"/>
      <c r="F36" s="17">
        <f>IF($E36="","",IFERROR(INDEX(rngSM_max,MATCH($E36,rngSM_cat,0)),""))</f>
        <v/>
      </c>
      <c r="G36" s="17">
        <f>IF($E36="","",IFERROR(INDEX(rngSM_mode,MATCH($E36,rngSM_cat,0)),""))</f>
        <v/>
      </c>
      <c r="H36" s="17">
        <f>IF($E36="","",IFERROR(INDEX(rngSM_pass,MATCH($E36,rngSM_cat,0)),""))</f>
        <v/>
      </c>
      <c r="I36" s="16" t="n"/>
      <c r="J36" s="16" t="n"/>
      <c r="K36" s="16" t="n"/>
      <c r="L36" s="18" t="n"/>
      <c r="M36" s="16" t="n"/>
      <c r="N36" s="17">
        <f>IF($C36="","",MAX(_xlfn.MAXIFS(nrSK_Att,nrSK_PID,$D36,nrSK_Cat,$E36,nrSK_Res,"Pass"),_xlfn.MAXIFS(nrSK_Att,nrSK_PID,$D36,nrSK_Cat,$E36,nrSK_Res,"Fail")))</f>
        <v/>
      </c>
      <c r="O36" s="17">
        <f>IF($C36="","",IF(AND(MAX(_xlfn.MAXIFS(nrSK_Att,nrSK_PID,$D36,nrSK_Cat,$E36,nrSK_Res,"Pass"),_xlfn.MAXIFS(nrSK_Att,nrSK_PID,$D36,nrSK_Cat,$E36,nrSK_Res,"Fail"))&gt;0,N($I36)&lt;MAX(_xlfn.MAXIFS(nrSK_Att,nrSK_PID,$D36,nrSK_Cat,$E36,nrSK_Res,"Pass"),_xlfn.MAXIFS(nrSK_Att,nrSK_PID,$D36,nrSK_Cat,$E36,nrSK_Res,"Fail"))),"(superseded)",IF(OR($J36="",$J36="Pending"),"Pending",IF($J36="Pass","Qualified",IF(AND($J36="Fail",$N36&gt;=$F36),"FAILED OUT","Needs Remediation")))))</f>
        <v/>
      </c>
      <c r="P36" s="17">
        <f>IF($C36="","",IF($O36="FAILED OUT","Yes","No"))</f>
        <v/>
      </c>
      <c r="Q36" s="16" t="n"/>
      <c r="R36" s="16" t="n"/>
      <c r="S36" s="17">
        <f>IF($C36="","",IF(AND($K36&lt;&gt;"",NOT(ISNUMBER($K36))),"SCORE NOT A NUMBER",IF(AND(ISNUMBER($K36),OR($K36&lt;0,$K36&gt;100)),"SCORE OUT OF RANGE - this score counts toward nothing",IF(AND($G36="Score",$K36="",$J36&lt;&gt;"",$J36&lt;&gt;"Pending"),"RESULT WITHOUT A SCORE",IF(AND($G36="Pass/Fail",$K36&lt;&gt;""),"SCORE ON A PASS-FAIL CATEGORY - it is ignored",IF(AND($E36="Firearms",$J36&lt;&gt;"",$J36&lt;&gt;"Pending",$R36=""),"FIREARMS ROW WITH NO COURSE OF FIRE","OK"))))))</f>
        <v/>
      </c>
    </row>
    <row r="37">
      <c r="B37" s="17">
        <f>IF($C37="","",$D37&amp;"-"&amp;$E37&amp;"-"&amp;$I37)</f>
        <v/>
      </c>
      <c r="C37" s="16" t="n"/>
      <c r="D37" s="17">
        <f>IF($C37="","",IFERROR(INDEX(rngCadetPIDs,MATCH($C37,rngCadetNames,0)),"?"))</f>
        <v/>
      </c>
      <c r="E37" s="16" t="n"/>
      <c r="F37" s="17">
        <f>IF($E37="","",IFERROR(INDEX(rngSM_max,MATCH($E37,rngSM_cat,0)),""))</f>
        <v/>
      </c>
      <c r="G37" s="17">
        <f>IF($E37="","",IFERROR(INDEX(rngSM_mode,MATCH($E37,rngSM_cat,0)),""))</f>
        <v/>
      </c>
      <c r="H37" s="17">
        <f>IF($E37="","",IFERROR(INDEX(rngSM_pass,MATCH($E37,rngSM_cat,0)),""))</f>
        <v/>
      </c>
      <c r="I37" s="16" t="n"/>
      <c r="J37" s="16" t="n"/>
      <c r="K37" s="16" t="n"/>
      <c r="L37" s="18" t="n"/>
      <c r="M37" s="16" t="n"/>
      <c r="N37" s="17">
        <f>IF($C37="","",MAX(_xlfn.MAXIFS(nrSK_Att,nrSK_PID,$D37,nrSK_Cat,$E37,nrSK_Res,"Pass"),_xlfn.MAXIFS(nrSK_Att,nrSK_PID,$D37,nrSK_Cat,$E37,nrSK_Res,"Fail")))</f>
        <v/>
      </c>
      <c r="O37" s="17">
        <f>IF($C37="","",IF(AND(MAX(_xlfn.MAXIFS(nrSK_Att,nrSK_PID,$D37,nrSK_Cat,$E37,nrSK_Res,"Pass"),_xlfn.MAXIFS(nrSK_Att,nrSK_PID,$D37,nrSK_Cat,$E37,nrSK_Res,"Fail"))&gt;0,N($I37)&lt;MAX(_xlfn.MAXIFS(nrSK_Att,nrSK_PID,$D37,nrSK_Cat,$E37,nrSK_Res,"Pass"),_xlfn.MAXIFS(nrSK_Att,nrSK_PID,$D37,nrSK_Cat,$E37,nrSK_Res,"Fail"))),"(superseded)",IF(OR($J37="",$J37="Pending"),"Pending",IF($J37="Pass","Qualified",IF(AND($J37="Fail",$N37&gt;=$F37),"FAILED OUT","Needs Remediation")))))</f>
        <v/>
      </c>
      <c r="P37" s="17">
        <f>IF($C37="","",IF($O37="FAILED OUT","Yes","No"))</f>
        <v/>
      </c>
      <c r="Q37" s="16" t="n"/>
      <c r="R37" s="16" t="n"/>
      <c r="S37" s="17">
        <f>IF($C37="","",IF(AND($K37&lt;&gt;"",NOT(ISNUMBER($K37))),"SCORE NOT A NUMBER",IF(AND(ISNUMBER($K37),OR($K37&lt;0,$K37&gt;100)),"SCORE OUT OF RANGE - this score counts toward nothing",IF(AND($G37="Score",$K37="",$J37&lt;&gt;"",$J37&lt;&gt;"Pending"),"RESULT WITHOUT A SCORE",IF(AND($G37="Pass/Fail",$K37&lt;&gt;""),"SCORE ON A PASS-FAIL CATEGORY - it is ignored",IF(AND($E37="Firearms",$J37&lt;&gt;"",$J37&lt;&gt;"Pending",$R37=""),"FIREARMS ROW WITH NO COURSE OF FIRE","OK"))))))</f>
        <v/>
      </c>
    </row>
    <row r="38">
      <c r="B38" s="17">
        <f>IF($C38="","",$D38&amp;"-"&amp;$E38&amp;"-"&amp;$I38)</f>
        <v/>
      </c>
      <c r="C38" s="16" t="n"/>
      <c r="D38" s="17">
        <f>IF($C38="","",IFERROR(INDEX(rngCadetPIDs,MATCH($C38,rngCadetNames,0)),"?"))</f>
        <v/>
      </c>
      <c r="E38" s="16" t="n"/>
      <c r="F38" s="17">
        <f>IF($E38="","",IFERROR(INDEX(rngSM_max,MATCH($E38,rngSM_cat,0)),""))</f>
        <v/>
      </c>
      <c r="G38" s="17">
        <f>IF($E38="","",IFERROR(INDEX(rngSM_mode,MATCH($E38,rngSM_cat,0)),""))</f>
        <v/>
      </c>
      <c r="H38" s="17">
        <f>IF($E38="","",IFERROR(INDEX(rngSM_pass,MATCH($E38,rngSM_cat,0)),""))</f>
        <v/>
      </c>
      <c r="I38" s="16" t="n"/>
      <c r="J38" s="16" t="n"/>
      <c r="K38" s="16" t="n"/>
      <c r="L38" s="18" t="n"/>
      <c r="M38" s="16" t="n"/>
      <c r="N38" s="17">
        <f>IF($C38="","",MAX(_xlfn.MAXIFS(nrSK_Att,nrSK_PID,$D38,nrSK_Cat,$E38,nrSK_Res,"Pass"),_xlfn.MAXIFS(nrSK_Att,nrSK_PID,$D38,nrSK_Cat,$E38,nrSK_Res,"Fail")))</f>
        <v/>
      </c>
      <c r="O38" s="17">
        <f>IF($C38="","",IF(AND(MAX(_xlfn.MAXIFS(nrSK_Att,nrSK_PID,$D38,nrSK_Cat,$E38,nrSK_Res,"Pass"),_xlfn.MAXIFS(nrSK_Att,nrSK_PID,$D38,nrSK_Cat,$E38,nrSK_Res,"Fail"))&gt;0,N($I38)&lt;MAX(_xlfn.MAXIFS(nrSK_Att,nrSK_PID,$D38,nrSK_Cat,$E38,nrSK_Res,"Pass"),_xlfn.MAXIFS(nrSK_Att,nrSK_PID,$D38,nrSK_Cat,$E38,nrSK_Res,"Fail"))),"(superseded)",IF(OR($J38="",$J38="Pending"),"Pending",IF($J38="Pass","Qualified",IF(AND($J38="Fail",$N38&gt;=$F38),"FAILED OUT","Needs Remediation")))))</f>
        <v/>
      </c>
      <c r="P38" s="17">
        <f>IF($C38="","",IF($O38="FAILED OUT","Yes","No"))</f>
        <v/>
      </c>
      <c r="Q38" s="16" t="n"/>
      <c r="R38" s="16" t="n"/>
      <c r="S38" s="17">
        <f>IF($C38="","",IF(AND($K38&lt;&gt;"",NOT(ISNUMBER($K38))),"SCORE NOT A NUMBER",IF(AND(ISNUMBER($K38),OR($K38&lt;0,$K38&gt;100)),"SCORE OUT OF RANGE - this score counts toward nothing",IF(AND($G38="Score",$K38="",$J38&lt;&gt;"",$J38&lt;&gt;"Pending"),"RESULT WITHOUT A SCORE",IF(AND($G38="Pass/Fail",$K38&lt;&gt;""),"SCORE ON A PASS-FAIL CATEGORY - it is ignored",IF(AND($E38="Firearms",$J38&lt;&gt;"",$J38&lt;&gt;"Pending",$R38=""),"FIREARMS ROW WITH NO COURSE OF FIRE","OK"))))))</f>
        <v/>
      </c>
    </row>
    <row r="39">
      <c r="B39" s="17">
        <f>IF($C39="","",$D39&amp;"-"&amp;$E39&amp;"-"&amp;$I39)</f>
        <v/>
      </c>
      <c r="C39" s="16" t="n"/>
      <c r="D39" s="17">
        <f>IF($C39="","",IFERROR(INDEX(rngCadetPIDs,MATCH($C39,rngCadetNames,0)),"?"))</f>
        <v/>
      </c>
      <c r="E39" s="16" t="n"/>
      <c r="F39" s="17">
        <f>IF($E39="","",IFERROR(INDEX(rngSM_max,MATCH($E39,rngSM_cat,0)),""))</f>
        <v/>
      </c>
      <c r="G39" s="17">
        <f>IF($E39="","",IFERROR(INDEX(rngSM_mode,MATCH($E39,rngSM_cat,0)),""))</f>
        <v/>
      </c>
      <c r="H39" s="17">
        <f>IF($E39="","",IFERROR(INDEX(rngSM_pass,MATCH($E39,rngSM_cat,0)),""))</f>
        <v/>
      </c>
      <c r="I39" s="16" t="n"/>
      <c r="J39" s="16" t="n"/>
      <c r="K39" s="16" t="n"/>
      <c r="L39" s="18" t="n"/>
      <c r="M39" s="16" t="n"/>
      <c r="N39" s="17">
        <f>IF($C39="","",MAX(_xlfn.MAXIFS(nrSK_Att,nrSK_PID,$D39,nrSK_Cat,$E39,nrSK_Res,"Pass"),_xlfn.MAXIFS(nrSK_Att,nrSK_PID,$D39,nrSK_Cat,$E39,nrSK_Res,"Fail")))</f>
        <v/>
      </c>
      <c r="O39" s="17">
        <f>IF($C39="","",IF(AND(MAX(_xlfn.MAXIFS(nrSK_Att,nrSK_PID,$D39,nrSK_Cat,$E39,nrSK_Res,"Pass"),_xlfn.MAXIFS(nrSK_Att,nrSK_PID,$D39,nrSK_Cat,$E39,nrSK_Res,"Fail"))&gt;0,N($I39)&lt;MAX(_xlfn.MAXIFS(nrSK_Att,nrSK_PID,$D39,nrSK_Cat,$E39,nrSK_Res,"Pass"),_xlfn.MAXIFS(nrSK_Att,nrSK_PID,$D39,nrSK_Cat,$E39,nrSK_Res,"Fail"))),"(superseded)",IF(OR($J39="",$J39="Pending"),"Pending",IF($J39="Pass","Qualified",IF(AND($J39="Fail",$N39&gt;=$F39),"FAILED OUT","Needs Remediation")))))</f>
        <v/>
      </c>
      <c r="P39" s="17">
        <f>IF($C39="","",IF($O39="FAILED OUT","Yes","No"))</f>
        <v/>
      </c>
      <c r="Q39" s="16" t="n"/>
      <c r="R39" s="16" t="n"/>
      <c r="S39" s="17">
        <f>IF($C39="","",IF(AND($K39&lt;&gt;"",NOT(ISNUMBER($K39))),"SCORE NOT A NUMBER",IF(AND(ISNUMBER($K39),OR($K39&lt;0,$K39&gt;100)),"SCORE OUT OF RANGE - this score counts toward nothing",IF(AND($G39="Score",$K39="",$J39&lt;&gt;"",$J39&lt;&gt;"Pending"),"RESULT WITHOUT A SCORE",IF(AND($G39="Pass/Fail",$K39&lt;&gt;""),"SCORE ON A PASS-FAIL CATEGORY - it is ignored",IF(AND($E39="Firearms",$J39&lt;&gt;"",$J39&lt;&gt;"Pending",$R39=""),"FIREARMS ROW WITH NO COURSE OF FIRE","OK"))))))</f>
        <v/>
      </c>
    </row>
    <row r="40">
      <c r="B40" s="17">
        <f>IF($C40="","",$D40&amp;"-"&amp;$E40&amp;"-"&amp;$I40)</f>
        <v/>
      </c>
      <c r="C40" s="16" t="n"/>
      <c r="D40" s="17">
        <f>IF($C40="","",IFERROR(INDEX(rngCadetPIDs,MATCH($C40,rngCadetNames,0)),"?"))</f>
        <v/>
      </c>
      <c r="E40" s="16" t="n"/>
      <c r="F40" s="17">
        <f>IF($E40="","",IFERROR(INDEX(rngSM_max,MATCH($E40,rngSM_cat,0)),""))</f>
        <v/>
      </c>
      <c r="G40" s="17">
        <f>IF($E40="","",IFERROR(INDEX(rngSM_mode,MATCH($E40,rngSM_cat,0)),""))</f>
        <v/>
      </c>
      <c r="H40" s="17">
        <f>IF($E40="","",IFERROR(INDEX(rngSM_pass,MATCH($E40,rngSM_cat,0)),""))</f>
        <v/>
      </c>
      <c r="I40" s="16" t="n"/>
      <c r="J40" s="16" t="n"/>
      <c r="K40" s="16" t="n"/>
      <c r="L40" s="18" t="n"/>
      <c r="M40" s="16" t="n"/>
      <c r="N40" s="17">
        <f>IF($C40="","",MAX(_xlfn.MAXIFS(nrSK_Att,nrSK_PID,$D40,nrSK_Cat,$E40,nrSK_Res,"Pass"),_xlfn.MAXIFS(nrSK_Att,nrSK_PID,$D40,nrSK_Cat,$E40,nrSK_Res,"Fail")))</f>
        <v/>
      </c>
      <c r="O40" s="17">
        <f>IF($C40="","",IF(AND(MAX(_xlfn.MAXIFS(nrSK_Att,nrSK_PID,$D40,nrSK_Cat,$E40,nrSK_Res,"Pass"),_xlfn.MAXIFS(nrSK_Att,nrSK_PID,$D40,nrSK_Cat,$E40,nrSK_Res,"Fail"))&gt;0,N($I40)&lt;MAX(_xlfn.MAXIFS(nrSK_Att,nrSK_PID,$D40,nrSK_Cat,$E40,nrSK_Res,"Pass"),_xlfn.MAXIFS(nrSK_Att,nrSK_PID,$D40,nrSK_Cat,$E40,nrSK_Res,"Fail"))),"(superseded)",IF(OR($J40="",$J40="Pending"),"Pending",IF($J40="Pass","Qualified",IF(AND($J40="Fail",$N40&gt;=$F40),"FAILED OUT","Needs Remediation")))))</f>
        <v/>
      </c>
      <c r="P40" s="17">
        <f>IF($C40="","",IF($O40="FAILED OUT","Yes","No"))</f>
        <v/>
      </c>
      <c r="Q40" s="16" t="n"/>
      <c r="R40" s="16" t="n"/>
      <c r="S40" s="17">
        <f>IF($C40="","",IF(AND($K40&lt;&gt;"",NOT(ISNUMBER($K40))),"SCORE NOT A NUMBER",IF(AND(ISNUMBER($K40),OR($K40&lt;0,$K40&gt;100)),"SCORE OUT OF RANGE - this score counts toward nothing",IF(AND($G40="Score",$K40="",$J40&lt;&gt;"",$J40&lt;&gt;"Pending"),"RESULT WITHOUT A SCORE",IF(AND($G40="Pass/Fail",$K40&lt;&gt;""),"SCORE ON A PASS-FAIL CATEGORY - it is ignored",IF(AND($E40="Firearms",$J40&lt;&gt;"",$J40&lt;&gt;"Pending",$R40=""),"FIREARMS ROW WITH NO COURSE OF FIRE","OK"))))))</f>
        <v/>
      </c>
    </row>
    <row r="41">
      <c r="B41" s="17">
        <f>IF($C41="","",$D41&amp;"-"&amp;$E41&amp;"-"&amp;$I41)</f>
        <v/>
      </c>
      <c r="C41" s="16" t="n"/>
      <c r="D41" s="17">
        <f>IF($C41="","",IFERROR(INDEX(rngCadetPIDs,MATCH($C41,rngCadetNames,0)),"?"))</f>
        <v/>
      </c>
      <c r="E41" s="16" t="n"/>
      <c r="F41" s="17">
        <f>IF($E41="","",IFERROR(INDEX(rngSM_max,MATCH($E41,rngSM_cat,0)),""))</f>
        <v/>
      </c>
      <c r="G41" s="17">
        <f>IF($E41="","",IFERROR(INDEX(rngSM_mode,MATCH($E41,rngSM_cat,0)),""))</f>
        <v/>
      </c>
      <c r="H41" s="17">
        <f>IF($E41="","",IFERROR(INDEX(rngSM_pass,MATCH($E41,rngSM_cat,0)),""))</f>
        <v/>
      </c>
      <c r="I41" s="16" t="n"/>
      <c r="J41" s="16" t="n"/>
      <c r="K41" s="16" t="n"/>
      <c r="L41" s="18" t="n"/>
      <c r="M41" s="16" t="n"/>
      <c r="N41" s="17">
        <f>IF($C41="","",MAX(_xlfn.MAXIFS(nrSK_Att,nrSK_PID,$D41,nrSK_Cat,$E41,nrSK_Res,"Pass"),_xlfn.MAXIFS(nrSK_Att,nrSK_PID,$D41,nrSK_Cat,$E41,nrSK_Res,"Fail")))</f>
        <v/>
      </c>
      <c r="O41" s="17">
        <f>IF($C41="","",IF(AND(MAX(_xlfn.MAXIFS(nrSK_Att,nrSK_PID,$D41,nrSK_Cat,$E41,nrSK_Res,"Pass"),_xlfn.MAXIFS(nrSK_Att,nrSK_PID,$D41,nrSK_Cat,$E41,nrSK_Res,"Fail"))&gt;0,N($I41)&lt;MAX(_xlfn.MAXIFS(nrSK_Att,nrSK_PID,$D41,nrSK_Cat,$E41,nrSK_Res,"Pass"),_xlfn.MAXIFS(nrSK_Att,nrSK_PID,$D41,nrSK_Cat,$E41,nrSK_Res,"Fail"))),"(superseded)",IF(OR($J41="",$J41="Pending"),"Pending",IF($J41="Pass","Qualified",IF(AND($J41="Fail",$N41&gt;=$F41),"FAILED OUT","Needs Remediation")))))</f>
        <v/>
      </c>
      <c r="P41" s="17">
        <f>IF($C41="","",IF($O41="FAILED OUT","Yes","No"))</f>
        <v/>
      </c>
      <c r="Q41" s="16" t="n"/>
      <c r="R41" s="16" t="n"/>
      <c r="S41" s="17">
        <f>IF($C41="","",IF(AND($K41&lt;&gt;"",NOT(ISNUMBER($K41))),"SCORE NOT A NUMBER",IF(AND(ISNUMBER($K41),OR($K41&lt;0,$K41&gt;100)),"SCORE OUT OF RANGE - this score counts toward nothing",IF(AND($G41="Score",$K41="",$J41&lt;&gt;"",$J41&lt;&gt;"Pending"),"RESULT WITHOUT A SCORE",IF(AND($G41="Pass/Fail",$K41&lt;&gt;""),"SCORE ON A PASS-FAIL CATEGORY - it is ignored",IF(AND($E41="Firearms",$J41&lt;&gt;"",$J41&lt;&gt;"Pending",$R41=""),"FIREARMS ROW WITH NO COURSE OF FIRE","OK"))))))</f>
        <v/>
      </c>
    </row>
    <row r="42">
      <c r="B42" s="17">
        <f>IF($C42="","",$D42&amp;"-"&amp;$E42&amp;"-"&amp;$I42)</f>
        <v/>
      </c>
      <c r="C42" s="16" t="n"/>
      <c r="D42" s="17">
        <f>IF($C42="","",IFERROR(INDEX(rngCadetPIDs,MATCH($C42,rngCadetNames,0)),"?"))</f>
        <v/>
      </c>
      <c r="E42" s="16" t="n"/>
      <c r="F42" s="17">
        <f>IF($E42="","",IFERROR(INDEX(rngSM_max,MATCH($E42,rngSM_cat,0)),""))</f>
        <v/>
      </c>
      <c r="G42" s="17">
        <f>IF($E42="","",IFERROR(INDEX(rngSM_mode,MATCH($E42,rngSM_cat,0)),""))</f>
        <v/>
      </c>
      <c r="H42" s="17">
        <f>IF($E42="","",IFERROR(INDEX(rngSM_pass,MATCH($E42,rngSM_cat,0)),""))</f>
        <v/>
      </c>
      <c r="I42" s="16" t="n"/>
      <c r="J42" s="16" t="n"/>
      <c r="K42" s="16" t="n"/>
      <c r="L42" s="18" t="n"/>
      <c r="M42" s="16" t="n"/>
      <c r="N42" s="17">
        <f>IF($C42="","",MAX(_xlfn.MAXIFS(nrSK_Att,nrSK_PID,$D42,nrSK_Cat,$E42,nrSK_Res,"Pass"),_xlfn.MAXIFS(nrSK_Att,nrSK_PID,$D42,nrSK_Cat,$E42,nrSK_Res,"Fail")))</f>
        <v/>
      </c>
      <c r="O42" s="17">
        <f>IF($C42="","",IF(AND(MAX(_xlfn.MAXIFS(nrSK_Att,nrSK_PID,$D42,nrSK_Cat,$E42,nrSK_Res,"Pass"),_xlfn.MAXIFS(nrSK_Att,nrSK_PID,$D42,nrSK_Cat,$E42,nrSK_Res,"Fail"))&gt;0,N($I42)&lt;MAX(_xlfn.MAXIFS(nrSK_Att,nrSK_PID,$D42,nrSK_Cat,$E42,nrSK_Res,"Pass"),_xlfn.MAXIFS(nrSK_Att,nrSK_PID,$D42,nrSK_Cat,$E42,nrSK_Res,"Fail"))),"(superseded)",IF(OR($J42="",$J42="Pending"),"Pending",IF($J42="Pass","Qualified",IF(AND($J42="Fail",$N42&gt;=$F42),"FAILED OUT","Needs Remediation")))))</f>
        <v/>
      </c>
      <c r="P42" s="17">
        <f>IF($C42="","",IF($O42="FAILED OUT","Yes","No"))</f>
        <v/>
      </c>
      <c r="Q42" s="16" t="n"/>
      <c r="R42" s="16" t="n"/>
      <c r="S42" s="17">
        <f>IF($C42="","",IF(AND($K42&lt;&gt;"",NOT(ISNUMBER($K42))),"SCORE NOT A NUMBER",IF(AND(ISNUMBER($K42),OR($K42&lt;0,$K42&gt;100)),"SCORE OUT OF RANGE - this score counts toward nothing",IF(AND($G42="Score",$K42="",$J42&lt;&gt;"",$J42&lt;&gt;"Pending"),"RESULT WITHOUT A SCORE",IF(AND($G42="Pass/Fail",$K42&lt;&gt;""),"SCORE ON A PASS-FAIL CATEGORY - it is ignored",IF(AND($E42="Firearms",$J42&lt;&gt;"",$J42&lt;&gt;"Pending",$R42=""),"FIREARMS ROW WITH NO COURSE OF FIRE","OK"))))))</f>
        <v/>
      </c>
    </row>
    <row r="43">
      <c r="B43" s="17">
        <f>IF($C43="","",$D43&amp;"-"&amp;$E43&amp;"-"&amp;$I43)</f>
        <v/>
      </c>
      <c r="C43" s="16" t="n"/>
      <c r="D43" s="17">
        <f>IF($C43="","",IFERROR(INDEX(rngCadetPIDs,MATCH($C43,rngCadetNames,0)),"?"))</f>
        <v/>
      </c>
      <c r="E43" s="16" t="n"/>
      <c r="F43" s="17">
        <f>IF($E43="","",IFERROR(INDEX(rngSM_max,MATCH($E43,rngSM_cat,0)),""))</f>
        <v/>
      </c>
      <c r="G43" s="17">
        <f>IF($E43="","",IFERROR(INDEX(rngSM_mode,MATCH($E43,rngSM_cat,0)),""))</f>
        <v/>
      </c>
      <c r="H43" s="17">
        <f>IF($E43="","",IFERROR(INDEX(rngSM_pass,MATCH($E43,rngSM_cat,0)),""))</f>
        <v/>
      </c>
      <c r="I43" s="16" t="n"/>
      <c r="J43" s="16" t="n"/>
      <c r="K43" s="16" t="n"/>
      <c r="L43" s="18" t="n"/>
      <c r="M43" s="16" t="n"/>
      <c r="N43" s="17">
        <f>IF($C43="","",MAX(_xlfn.MAXIFS(nrSK_Att,nrSK_PID,$D43,nrSK_Cat,$E43,nrSK_Res,"Pass"),_xlfn.MAXIFS(nrSK_Att,nrSK_PID,$D43,nrSK_Cat,$E43,nrSK_Res,"Fail")))</f>
        <v/>
      </c>
      <c r="O43" s="17">
        <f>IF($C43="","",IF(AND(MAX(_xlfn.MAXIFS(nrSK_Att,nrSK_PID,$D43,nrSK_Cat,$E43,nrSK_Res,"Pass"),_xlfn.MAXIFS(nrSK_Att,nrSK_PID,$D43,nrSK_Cat,$E43,nrSK_Res,"Fail"))&gt;0,N($I43)&lt;MAX(_xlfn.MAXIFS(nrSK_Att,nrSK_PID,$D43,nrSK_Cat,$E43,nrSK_Res,"Pass"),_xlfn.MAXIFS(nrSK_Att,nrSK_PID,$D43,nrSK_Cat,$E43,nrSK_Res,"Fail"))),"(superseded)",IF(OR($J43="",$J43="Pending"),"Pending",IF($J43="Pass","Qualified",IF(AND($J43="Fail",$N43&gt;=$F43),"FAILED OUT","Needs Remediation")))))</f>
        <v/>
      </c>
      <c r="P43" s="17">
        <f>IF($C43="","",IF($O43="FAILED OUT","Yes","No"))</f>
        <v/>
      </c>
      <c r="Q43" s="16" t="n"/>
      <c r="R43" s="16" t="n"/>
      <c r="S43" s="17">
        <f>IF($C43="","",IF(AND($K43&lt;&gt;"",NOT(ISNUMBER($K43))),"SCORE NOT A NUMBER",IF(AND(ISNUMBER($K43),OR($K43&lt;0,$K43&gt;100)),"SCORE OUT OF RANGE - this score counts toward nothing",IF(AND($G43="Score",$K43="",$J43&lt;&gt;"",$J43&lt;&gt;"Pending"),"RESULT WITHOUT A SCORE",IF(AND($G43="Pass/Fail",$K43&lt;&gt;""),"SCORE ON A PASS-FAIL CATEGORY - it is ignored",IF(AND($E43="Firearms",$J43&lt;&gt;"",$J43&lt;&gt;"Pending",$R43=""),"FIREARMS ROW WITH NO COURSE OF FIRE","OK"))))))</f>
        <v/>
      </c>
    </row>
    <row r="44">
      <c r="B44" s="17">
        <f>IF($C44="","",$D44&amp;"-"&amp;$E44&amp;"-"&amp;$I44)</f>
        <v/>
      </c>
      <c r="C44" s="16" t="n"/>
      <c r="D44" s="17">
        <f>IF($C44="","",IFERROR(INDEX(rngCadetPIDs,MATCH($C44,rngCadetNames,0)),"?"))</f>
        <v/>
      </c>
      <c r="E44" s="16" t="n"/>
      <c r="F44" s="17">
        <f>IF($E44="","",IFERROR(INDEX(rngSM_max,MATCH($E44,rngSM_cat,0)),""))</f>
        <v/>
      </c>
      <c r="G44" s="17">
        <f>IF($E44="","",IFERROR(INDEX(rngSM_mode,MATCH($E44,rngSM_cat,0)),""))</f>
        <v/>
      </c>
      <c r="H44" s="17">
        <f>IF($E44="","",IFERROR(INDEX(rngSM_pass,MATCH($E44,rngSM_cat,0)),""))</f>
        <v/>
      </c>
      <c r="I44" s="16" t="n"/>
      <c r="J44" s="16" t="n"/>
      <c r="K44" s="16" t="n"/>
      <c r="L44" s="18" t="n"/>
      <c r="M44" s="16" t="n"/>
      <c r="N44" s="17">
        <f>IF($C44="","",MAX(_xlfn.MAXIFS(nrSK_Att,nrSK_PID,$D44,nrSK_Cat,$E44,nrSK_Res,"Pass"),_xlfn.MAXIFS(nrSK_Att,nrSK_PID,$D44,nrSK_Cat,$E44,nrSK_Res,"Fail")))</f>
        <v/>
      </c>
      <c r="O44" s="17">
        <f>IF($C44="","",IF(AND(MAX(_xlfn.MAXIFS(nrSK_Att,nrSK_PID,$D44,nrSK_Cat,$E44,nrSK_Res,"Pass"),_xlfn.MAXIFS(nrSK_Att,nrSK_PID,$D44,nrSK_Cat,$E44,nrSK_Res,"Fail"))&gt;0,N($I44)&lt;MAX(_xlfn.MAXIFS(nrSK_Att,nrSK_PID,$D44,nrSK_Cat,$E44,nrSK_Res,"Pass"),_xlfn.MAXIFS(nrSK_Att,nrSK_PID,$D44,nrSK_Cat,$E44,nrSK_Res,"Fail"))),"(superseded)",IF(OR($J44="",$J44="Pending"),"Pending",IF($J44="Pass","Qualified",IF(AND($J44="Fail",$N44&gt;=$F44),"FAILED OUT","Needs Remediation")))))</f>
        <v/>
      </c>
      <c r="P44" s="17">
        <f>IF($C44="","",IF($O44="FAILED OUT","Yes","No"))</f>
        <v/>
      </c>
      <c r="Q44" s="16" t="n"/>
      <c r="R44" s="16" t="n"/>
      <c r="S44" s="17">
        <f>IF($C44="","",IF(AND($K44&lt;&gt;"",NOT(ISNUMBER($K44))),"SCORE NOT A NUMBER",IF(AND(ISNUMBER($K44),OR($K44&lt;0,$K44&gt;100)),"SCORE OUT OF RANGE - this score counts toward nothing",IF(AND($G44="Score",$K44="",$J44&lt;&gt;"",$J44&lt;&gt;"Pending"),"RESULT WITHOUT A SCORE",IF(AND($G44="Pass/Fail",$K44&lt;&gt;""),"SCORE ON A PASS-FAIL CATEGORY - it is ignored",IF(AND($E44="Firearms",$J44&lt;&gt;"",$J44&lt;&gt;"Pending",$R44=""),"FIREARMS ROW WITH NO COURSE OF FIRE","OK"))))))</f>
        <v/>
      </c>
    </row>
    <row r="45">
      <c r="B45" s="17">
        <f>IF($C45="","",$D45&amp;"-"&amp;$E45&amp;"-"&amp;$I45)</f>
        <v/>
      </c>
      <c r="C45" s="16" t="n"/>
      <c r="D45" s="17">
        <f>IF($C45="","",IFERROR(INDEX(rngCadetPIDs,MATCH($C45,rngCadetNames,0)),"?"))</f>
        <v/>
      </c>
      <c r="E45" s="16" t="n"/>
      <c r="F45" s="17">
        <f>IF($E45="","",IFERROR(INDEX(rngSM_max,MATCH($E45,rngSM_cat,0)),""))</f>
        <v/>
      </c>
      <c r="G45" s="17">
        <f>IF($E45="","",IFERROR(INDEX(rngSM_mode,MATCH($E45,rngSM_cat,0)),""))</f>
        <v/>
      </c>
      <c r="H45" s="17">
        <f>IF($E45="","",IFERROR(INDEX(rngSM_pass,MATCH($E45,rngSM_cat,0)),""))</f>
        <v/>
      </c>
      <c r="I45" s="16" t="n"/>
      <c r="J45" s="16" t="n"/>
      <c r="K45" s="16" t="n"/>
      <c r="L45" s="18" t="n"/>
      <c r="M45" s="16" t="n"/>
      <c r="N45" s="17">
        <f>IF($C45="","",MAX(_xlfn.MAXIFS(nrSK_Att,nrSK_PID,$D45,nrSK_Cat,$E45,nrSK_Res,"Pass"),_xlfn.MAXIFS(nrSK_Att,nrSK_PID,$D45,nrSK_Cat,$E45,nrSK_Res,"Fail")))</f>
        <v/>
      </c>
      <c r="O45" s="17">
        <f>IF($C45="","",IF(AND(MAX(_xlfn.MAXIFS(nrSK_Att,nrSK_PID,$D45,nrSK_Cat,$E45,nrSK_Res,"Pass"),_xlfn.MAXIFS(nrSK_Att,nrSK_PID,$D45,nrSK_Cat,$E45,nrSK_Res,"Fail"))&gt;0,N($I45)&lt;MAX(_xlfn.MAXIFS(nrSK_Att,nrSK_PID,$D45,nrSK_Cat,$E45,nrSK_Res,"Pass"),_xlfn.MAXIFS(nrSK_Att,nrSK_PID,$D45,nrSK_Cat,$E45,nrSK_Res,"Fail"))),"(superseded)",IF(OR($J45="",$J45="Pending"),"Pending",IF($J45="Pass","Qualified",IF(AND($J45="Fail",$N45&gt;=$F45),"FAILED OUT","Needs Remediation")))))</f>
        <v/>
      </c>
      <c r="P45" s="17">
        <f>IF($C45="","",IF($O45="FAILED OUT","Yes","No"))</f>
        <v/>
      </c>
      <c r="Q45" s="16" t="n"/>
      <c r="R45" s="16" t="n"/>
      <c r="S45" s="17">
        <f>IF($C45="","",IF(AND($K45&lt;&gt;"",NOT(ISNUMBER($K45))),"SCORE NOT A NUMBER",IF(AND(ISNUMBER($K45),OR($K45&lt;0,$K45&gt;100)),"SCORE OUT OF RANGE - this score counts toward nothing",IF(AND($G45="Score",$K45="",$J45&lt;&gt;"",$J45&lt;&gt;"Pending"),"RESULT WITHOUT A SCORE",IF(AND($G45="Pass/Fail",$K45&lt;&gt;""),"SCORE ON A PASS-FAIL CATEGORY - it is ignored",IF(AND($E45="Firearms",$J45&lt;&gt;"",$J45&lt;&gt;"Pending",$R45=""),"FIREARMS ROW WITH NO COURSE OF FIRE","OK"))))))</f>
        <v/>
      </c>
    </row>
    <row r="46">
      <c r="B46" s="17">
        <f>IF($C46="","",$D46&amp;"-"&amp;$E46&amp;"-"&amp;$I46)</f>
        <v/>
      </c>
      <c r="C46" s="16" t="n"/>
      <c r="D46" s="17">
        <f>IF($C46="","",IFERROR(INDEX(rngCadetPIDs,MATCH($C46,rngCadetNames,0)),"?"))</f>
        <v/>
      </c>
      <c r="E46" s="16" t="n"/>
      <c r="F46" s="17">
        <f>IF($E46="","",IFERROR(INDEX(rngSM_max,MATCH($E46,rngSM_cat,0)),""))</f>
        <v/>
      </c>
      <c r="G46" s="17">
        <f>IF($E46="","",IFERROR(INDEX(rngSM_mode,MATCH($E46,rngSM_cat,0)),""))</f>
        <v/>
      </c>
      <c r="H46" s="17">
        <f>IF($E46="","",IFERROR(INDEX(rngSM_pass,MATCH($E46,rngSM_cat,0)),""))</f>
        <v/>
      </c>
      <c r="I46" s="16" t="n"/>
      <c r="J46" s="16" t="n"/>
      <c r="K46" s="16" t="n"/>
      <c r="L46" s="18" t="n"/>
      <c r="M46" s="16" t="n"/>
      <c r="N46" s="17">
        <f>IF($C46="","",MAX(_xlfn.MAXIFS(nrSK_Att,nrSK_PID,$D46,nrSK_Cat,$E46,nrSK_Res,"Pass"),_xlfn.MAXIFS(nrSK_Att,nrSK_PID,$D46,nrSK_Cat,$E46,nrSK_Res,"Fail")))</f>
        <v/>
      </c>
      <c r="O46" s="17">
        <f>IF($C46="","",IF(AND(MAX(_xlfn.MAXIFS(nrSK_Att,nrSK_PID,$D46,nrSK_Cat,$E46,nrSK_Res,"Pass"),_xlfn.MAXIFS(nrSK_Att,nrSK_PID,$D46,nrSK_Cat,$E46,nrSK_Res,"Fail"))&gt;0,N($I46)&lt;MAX(_xlfn.MAXIFS(nrSK_Att,nrSK_PID,$D46,nrSK_Cat,$E46,nrSK_Res,"Pass"),_xlfn.MAXIFS(nrSK_Att,nrSK_PID,$D46,nrSK_Cat,$E46,nrSK_Res,"Fail"))),"(superseded)",IF(OR($J46="",$J46="Pending"),"Pending",IF($J46="Pass","Qualified",IF(AND($J46="Fail",$N46&gt;=$F46),"FAILED OUT","Needs Remediation")))))</f>
        <v/>
      </c>
      <c r="P46" s="17">
        <f>IF($C46="","",IF($O46="FAILED OUT","Yes","No"))</f>
        <v/>
      </c>
      <c r="Q46" s="16" t="n"/>
      <c r="R46" s="16" t="n"/>
      <c r="S46" s="17">
        <f>IF($C46="","",IF(AND($K46&lt;&gt;"",NOT(ISNUMBER($K46))),"SCORE NOT A NUMBER",IF(AND(ISNUMBER($K46),OR($K46&lt;0,$K46&gt;100)),"SCORE OUT OF RANGE - this score counts toward nothing",IF(AND($G46="Score",$K46="",$J46&lt;&gt;"",$J46&lt;&gt;"Pending"),"RESULT WITHOUT A SCORE",IF(AND($G46="Pass/Fail",$K46&lt;&gt;""),"SCORE ON A PASS-FAIL CATEGORY - it is ignored",IF(AND($E46="Firearms",$J46&lt;&gt;"",$J46&lt;&gt;"Pending",$R46=""),"FIREARMS ROW WITH NO COURSE OF FIRE","OK"))))))</f>
        <v/>
      </c>
    </row>
    <row r="47">
      <c r="B47" s="17">
        <f>IF($C47="","",$D47&amp;"-"&amp;$E47&amp;"-"&amp;$I47)</f>
        <v/>
      </c>
      <c r="C47" s="16" t="n"/>
      <c r="D47" s="17">
        <f>IF($C47="","",IFERROR(INDEX(rngCadetPIDs,MATCH($C47,rngCadetNames,0)),"?"))</f>
        <v/>
      </c>
      <c r="E47" s="16" t="n"/>
      <c r="F47" s="17">
        <f>IF($E47="","",IFERROR(INDEX(rngSM_max,MATCH($E47,rngSM_cat,0)),""))</f>
        <v/>
      </c>
      <c r="G47" s="17">
        <f>IF($E47="","",IFERROR(INDEX(rngSM_mode,MATCH($E47,rngSM_cat,0)),""))</f>
        <v/>
      </c>
      <c r="H47" s="17">
        <f>IF($E47="","",IFERROR(INDEX(rngSM_pass,MATCH($E47,rngSM_cat,0)),""))</f>
        <v/>
      </c>
      <c r="I47" s="16" t="n"/>
      <c r="J47" s="16" t="n"/>
      <c r="K47" s="16" t="n"/>
      <c r="L47" s="18" t="n"/>
      <c r="M47" s="16" t="n"/>
      <c r="N47" s="17">
        <f>IF($C47="","",MAX(_xlfn.MAXIFS(nrSK_Att,nrSK_PID,$D47,nrSK_Cat,$E47,nrSK_Res,"Pass"),_xlfn.MAXIFS(nrSK_Att,nrSK_PID,$D47,nrSK_Cat,$E47,nrSK_Res,"Fail")))</f>
        <v/>
      </c>
      <c r="O47" s="17">
        <f>IF($C47="","",IF(AND(MAX(_xlfn.MAXIFS(nrSK_Att,nrSK_PID,$D47,nrSK_Cat,$E47,nrSK_Res,"Pass"),_xlfn.MAXIFS(nrSK_Att,nrSK_PID,$D47,nrSK_Cat,$E47,nrSK_Res,"Fail"))&gt;0,N($I47)&lt;MAX(_xlfn.MAXIFS(nrSK_Att,nrSK_PID,$D47,nrSK_Cat,$E47,nrSK_Res,"Pass"),_xlfn.MAXIFS(nrSK_Att,nrSK_PID,$D47,nrSK_Cat,$E47,nrSK_Res,"Fail"))),"(superseded)",IF(OR($J47="",$J47="Pending"),"Pending",IF($J47="Pass","Qualified",IF(AND($J47="Fail",$N47&gt;=$F47),"FAILED OUT","Needs Remediation")))))</f>
        <v/>
      </c>
      <c r="P47" s="17">
        <f>IF($C47="","",IF($O47="FAILED OUT","Yes","No"))</f>
        <v/>
      </c>
      <c r="Q47" s="16" t="n"/>
      <c r="R47" s="16" t="n"/>
      <c r="S47" s="17">
        <f>IF($C47="","",IF(AND($K47&lt;&gt;"",NOT(ISNUMBER($K47))),"SCORE NOT A NUMBER",IF(AND(ISNUMBER($K47),OR($K47&lt;0,$K47&gt;100)),"SCORE OUT OF RANGE - this score counts toward nothing",IF(AND($G47="Score",$K47="",$J47&lt;&gt;"",$J47&lt;&gt;"Pending"),"RESULT WITHOUT A SCORE",IF(AND($G47="Pass/Fail",$K47&lt;&gt;""),"SCORE ON A PASS-FAIL CATEGORY - it is ignored",IF(AND($E47="Firearms",$J47&lt;&gt;"",$J47&lt;&gt;"Pending",$R47=""),"FIREARMS ROW WITH NO COURSE OF FIRE","OK"))))))</f>
        <v/>
      </c>
    </row>
    <row r="48">
      <c r="B48" s="17">
        <f>IF($C48="","",$D48&amp;"-"&amp;$E48&amp;"-"&amp;$I48)</f>
        <v/>
      </c>
      <c r="C48" s="16" t="n"/>
      <c r="D48" s="17">
        <f>IF($C48="","",IFERROR(INDEX(rngCadetPIDs,MATCH($C48,rngCadetNames,0)),"?"))</f>
        <v/>
      </c>
      <c r="E48" s="16" t="n"/>
      <c r="F48" s="17">
        <f>IF($E48="","",IFERROR(INDEX(rngSM_max,MATCH($E48,rngSM_cat,0)),""))</f>
        <v/>
      </c>
      <c r="G48" s="17">
        <f>IF($E48="","",IFERROR(INDEX(rngSM_mode,MATCH($E48,rngSM_cat,0)),""))</f>
        <v/>
      </c>
      <c r="H48" s="17">
        <f>IF($E48="","",IFERROR(INDEX(rngSM_pass,MATCH($E48,rngSM_cat,0)),""))</f>
        <v/>
      </c>
      <c r="I48" s="16" t="n"/>
      <c r="J48" s="16" t="n"/>
      <c r="K48" s="16" t="n"/>
      <c r="L48" s="18" t="n"/>
      <c r="M48" s="16" t="n"/>
      <c r="N48" s="17">
        <f>IF($C48="","",MAX(_xlfn.MAXIFS(nrSK_Att,nrSK_PID,$D48,nrSK_Cat,$E48,nrSK_Res,"Pass"),_xlfn.MAXIFS(nrSK_Att,nrSK_PID,$D48,nrSK_Cat,$E48,nrSK_Res,"Fail")))</f>
        <v/>
      </c>
      <c r="O48" s="17">
        <f>IF($C48="","",IF(AND(MAX(_xlfn.MAXIFS(nrSK_Att,nrSK_PID,$D48,nrSK_Cat,$E48,nrSK_Res,"Pass"),_xlfn.MAXIFS(nrSK_Att,nrSK_PID,$D48,nrSK_Cat,$E48,nrSK_Res,"Fail"))&gt;0,N($I48)&lt;MAX(_xlfn.MAXIFS(nrSK_Att,nrSK_PID,$D48,nrSK_Cat,$E48,nrSK_Res,"Pass"),_xlfn.MAXIFS(nrSK_Att,nrSK_PID,$D48,nrSK_Cat,$E48,nrSK_Res,"Fail"))),"(superseded)",IF(OR($J48="",$J48="Pending"),"Pending",IF($J48="Pass","Qualified",IF(AND($J48="Fail",$N48&gt;=$F48),"FAILED OUT","Needs Remediation")))))</f>
        <v/>
      </c>
      <c r="P48" s="17">
        <f>IF($C48="","",IF($O48="FAILED OUT","Yes","No"))</f>
        <v/>
      </c>
      <c r="Q48" s="16" t="n"/>
      <c r="R48" s="16" t="n"/>
      <c r="S48" s="17">
        <f>IF($C48="","",IF(AND($K48&lt;&gt;"",NOT(ISNUMBER($K48))),"SCORE NOT A NUMBER",IF(AND(ISNUMBER($K48),OR($K48&lt;0,$K48&gt;100)),"SCORE OUT OF RANGE - this score counts toward nothing",IF(AND($G48="Score",$K48="",$J48&lt;&gt;"",$J48&lt;&gt;"Pending"),"RESULT WITHOUT A SCORE",IF(AND($G48="Pass/Fail",$K48&lt;&gt;""),"SCORE ON A PASS-FAIL CATEGORY - it is ignored",IF(AND($E48="Firearms",$J48&lt;&gt;"",$J48&lt;&gt;"Pending",$R48=""),"FIREARMS ROW WITH NO COURSE OF FIRE","OK"))))))</f>
        <v/>
      </c>
    </row>
    <row r="49">
      <c r="B49" s="17">
        <f>IF($C49="","",$D49&amp;"-"&amp;$E49&amp;"-"&amp;$I49)</f>
        <v/>
      </c>
      <c r="C49" s="16" t="n"/>
      <c r="D49" s="17">
        <f>IF($C49="","",IFERROR(INDEX(rngCadetPIDs,MATCH($C49,rngCadetNames,0)),"?"))</f>
        <v/>
      </c>
      <c r="E49" s="16" t="n"/>
      <c r="F49" s="17">
        <f>IF($E49="","",IFERROR(INDEX(rngSM_max,MATCH($E49,rngSM_cat,0)),""))</f>
        <v/>
      </c>
      <c r="G49" s="17">
        <f>IF($E49="","",IFERROR(INDEX(rngSM_mode,MATCH($E49,rngSM_cat,0)),""))</f>
        <v/>
      </c>
      <c r="H49" s="17">
        <f>IF($E49="","",IFERROR(INDEX(rngSM_pass,MATCH($E49,rngSM_cat,0)),""))</f>
        <v/>
      </c>
      <c r="I49" s="16" t="n"/>
      <c r="J49" s="16" t="n"/>
      <c r="K49" s="16" t="n"/>
      <c r="L49" s="18" t="n"/>
      <c r="M49" s="16" t="n"/>
      <c r="N49" s="17">
        <f>IF($C49="","",MAX(_xlfn.MAXIFS(nrSK_Att,nrSK_PID,$D49,nrSK_Cat,$E49,nrSK_Res,"Pass"),_xlfn.MAXIFS(nrSK_Att,nrSK_PID,$D49,nrSK_Cat,$E49,nrSK_Res,"Fail")))</f>
        <v/>
      </c>
      <c r="O49" s="17">
        <f>IF($C49="","",IF(AND(MAX(_xlfn.MAXIFS(nrSK_Att,nrSK_PID,$D49,nrSK_Cat,$E49,nrSK_Res,"Pass"),_xlfn.MAXIFS(nrSK_Att,nrSK_PID,$D49,nrSK_Cat,$E49,nrSK_Res,"Fail"))&gt;0,N($I49)&lt;MAX(_xlfn.MAXIFS(nrSK_Att,nrSK_PID,$D49,nrSK_Cat,$E49,nrSK_Res,"Pass"),_xlfn.MAXIFS(nrSK_Att,nrSK_PID,$D49,nrSK_Cat,$E49,nrSK_Res,"Fail"))),"(superseded)",IF(OR($J49="",$J49="Pending"),"Pending",IF($J49="Pass","Qualified",IF(AND($J49="Fail",$N49&gt;=$F49),"FAILED OUT","Needs Remediation")))))</f>
        <v/>
      </c>
      <c r="P49" s="17">
        <f>IF($C49="","",IF($O49="FAILED OUT","Yes","No"))</f>
        <v/>
      </c>
      <c r="Q49" s="16" t="n"/>
      <c r="R49" s="16" t="n"/>
      <c r="S49" s="17">
        <f>IF($C49="","",IF(AND($K49&lt;&gt;"",NOT(ISNUMBER($K49))),"SCORE NOT A NUMBER",IF(AND(ISNUMBER($K49),OR($K49&lt;0,$K49&gt;100)),"SCORE OUT OF RANGE - this score counts toward nothing",IF(AND($G49="Score",$K49="",$J49&lt;&gt;"",$J49&lt;&gt;"Pending"),"RESULT WITHOUT A SCORE",IF(AND($G49="Pass/Fail",$K49&lt;&gt;""),"SCORE ON A PASS-FAIL CATEGORY - it is ignored",IF(AND($E49="Firearms",$J49&lt;&gt;"",$J49&lt;&gt;"Pending",$R49=""),"FIREARMS ROW WITH NO COURSE OF FIRE","OK"))))))</f>
        <v/>
      </c>
    </row>
    <row r="50">
      <c r="B50" s="17">
        <f>IF($C50="","",$D50&amp;"-"&amp;$E50&amp;"-"&amp;$I50)</f>
        <v/>
      </c>
      <c r="C50" s="16" t="n"/>
      <c r="D50" s="17">
        <f>IF($C50="","",IFERROR(INDEX(rngCadetPIDs,MATCH($C50,rngCadetNames,0)),"?"))</f>
        <v/>
      </c>
      <c r="E50" s="16" t="n"/>
      <c r="F50" s="17">
        <f>IF($E50="","",IFERROR(INDEX(rngSM_max,MATCH($E50,rngSM_cat,0)),""))</f>
        <v/>
      </c>
      <c r="G50" s="17">
        <f>IF($E50="","",IFERROR(INDEX(rngSM_mode,MATCH($E50,rngSM_cat,0)),""))</f>
        <v/>
      </c>
      <c r="H50" s="17">
        <f>IF($E50="","",IFERROR(INDEX(rngSM_pass,MATCH($E50,rngSM_cat,0)),""))</f>
        <v/>
      </c>
      <c r="I50" s="16" t="n"/>
      <c r="J50" s="16" t="n"/>
      <c r="K50" s="16" t="n"/>
      <c r="L50" s="18" t="n"/>
      <c r="M50" s="16" t="n"/>
      <c r="N50" s="17">
        <f>IF($C50="","",MAX(_xlfn.MAXIFS(nrSK_Att,nrSK_PID,$D50,nrSK_Cat,$E50,nrSK_Res,"Pass"),_xlfn.MAXIFS(nrSK_Att,nrSK_PID,$D50,nrSK_Cat,$E50,nrSK_Res,"Fail")))</f>
        <v/>
      </c>
      <c r="O50" s="17">
        <f>IF($C50="","",IF(AND(MAX(_xlfn.MAXIFS(nrSK_Att,nrSK_PID,$D50,nrSK_Cat,$E50,nrSK_Res,"Pass"),_xlfn.MAXIFS(nrSK_Att,nrSK_PID,$D50,nrSK_Cat,$E50,nrSK_Res,"Fail"))&gt;0,N($I50)&lt;MAX(_xlfn.MAXIFS(nrSK_Att,nrSK_PID,$D50,nrSK_Cat,$E50,nrSK_Res,"Pass"),_xlfn.MAXIFS(nrSK_Att,nrSK_PID,$D50,nrSK_Cat,$E50,nrSK_Res,"Fail"))),"(superseded)",IF(OR($J50="",$J50="Pending"),"Pending",IF($J50="Pass","Qualified",IF(AND($J50="Fail",$N50&gt;=$F50),"FAILED OUT","Needs Remediation")))))</f>
        <v/>
      </c>
      <c r="P50" s="17">
        <f>IF($C50="","",IF($O50="FAILED OUT","Yes","No"))</f>
        <v/>
      </c>
      <c r="Q50" s="16" t="n"/>
      <c r="R50" s="16" t="n"/>
      <c r="S50" s="17">
        <f>IF($C50="","",IF(AND($K50&lt;&gt;"",NOT(ISNUMBER($K50))),"SCORE NOT A NUMBER",IF(AND(ISNUMBER($K50),OR($K50&lt;0,$K50&gt;100)),"SCORE OUT OF RANGE - this score counts toward nothing",IF(AND($G50="Score",$K50="",$J50&lt;&gt;"",$J50&lt;&gt;"Pending"),"RESULT WITHOUT A SCORE",IF(AND($G50="Pass/Fail",$K50&lt;&gt;""),"SCORE ON A PASS-FAIL CATEGORY - it is ignored",IF(AND($E50="Firearms",$J50&lt;&gt;"",$J50&lt;&gt;"Pending",$R50=""),"FIREARMS ROW WITH NO COURSE OF FIRE","OK"))))))</f>
        <v/>
      </c>
    </row>
    <row r="51">
      <c r="B51" s="17">
        <f>IF($C51="","",$D51&amp;"-"&amp;$E51&amp;"-"&amp;$I51)</f>
        <v/>
      </c>
      <c r="C51" s="16" t="n"/>
      <c r="D51" s="17">
        <f>IF($C51="","",IFERROR(INDEX(rngCadetPIDs,MATCH($C51,rngCadetNames,0)),"?"))</f>
        <v/>
      </c>
      <c r="E51" s="16" t="n"/>
      <c r="F51" s="17">
        <f>IF($E51="","",IFERROR(INDEX(rngSM_max,MATCH($E51,rngSM_cat,0)),""))</f>
        <v/>
      </c>
      <c r="G51" s="17">
        <f>IF($E51="","",IFERROR(INDEX(rngSM_mode,MATCH($E51,rngSM_cat,0)),""))</f>
        <v/>
      </c>
      <c r="H51" s="17">
        <f>IF($E51="","",IFERROR(INDEX(rngSM_pass,MATCH($E51,rngSM_cat,0)),""))</f>
        <v/>
      </c>
      <c r="I51" s="16" t="n"/>
      <c r="J51" s="16" t="n"/>
      <c r="K51" s="16" t="n"/>
      <c r="L51" s="18" t="n"/>
      <c r="M51" s="16" t="n"/>
      <c r="N51" s="17">
        <f>IF($C51="","",MAX(_xlfn.MAXIFS(nrSK_Att,nrSK_PID,$D51,nrSK_Cat,$E51,nrSK_Res,"Pass"),_xlfn.MAXIFS(nrSK_Att,nrSK_PID,$D51,nrSK_Cat,$E51,nrSK_Res,"Fail")))</f>
        <v/>
      </c>
      <c r="O51" s="17">
        <f>IF($C51="","",IF(AND(MAX(_xlfn.MAXIFS(nrSK_Att,nrSK_PID,$D51,nrSK_Cat,$E51,nrSK_Res,"Pass"),_xlfn.MAXIFS(nrSK_Att,nrSK_PID,$D51,nrSK_Cat,$E51,nrSK_Res,"Fail"))&gt;0,N($I51)&lt;MAX(_xlfn.MAXIFS(nrSK_Att,nrSK_PID,$D51,nrSK_Cat,$E51,nrSK_Res,"Pass"),_xlfn.MAXIFS(nrSK_Att,nrSK_PID,$D51,nrSK_Cat,$E51,nrSK_Res,"Fail"))),"(superseded)",IF(OR($J51="",$J51="Pending"),"Pending",IF($J51="Pass","Qualified",IF(AND($J51="Fail",$N51&gt;=$F51),"FAILED OUT","Needs Remediation")))))</f>
        <v/>
      </c>
      <c r="P51" s="17">
        <f>IF($C51="","",IF($O51="FAILED OUT","Yes","No"))</f>
        <v/>
      </c>
      <c r="Q51" s="16" t="n"/>
      <c r="R51" s="16" t="n"/>
      <c r="S51" s="17">
        <f>IF($C51="","",IF(AND($K51&lt;&gt;"",NOT(ISNUMBER($K51))),"SCORE NOT A NUMBER",IF(AND(ISNUMBER($K51),OR($K51&lt;0,$K51&gt;100)),"SCORE OUT OF RANGE - this score counts toward nothing",IF(AND($G51="Score",$K51="",$J51&lt;&gt;"",$J51&lt;&gt;"Pending"),"RESULT WITHOUT A SCORE",IF(AND($G51="Pass/Fail",$K51&lt;&gt;""),"SCORE ON A PASS-FAIL CATEGORY - it is ignored",IF(AND($E51="Firearms",$J51&lt;&gt;"",$J51&lt;&gt;"Pending",$R51=""),"FIREARMS ROW WITH NO COURSE OF FIRE","OK"))))))</f>
        <v/>
      </c>
    </row>
    <row r="52">
      <c r="B52" s="17">
        <f>IF($C52="","",$D52&amp;"-"&amp;$E52&amp;"-"&amp;$I52)</f>
        <v/>
      </c>
      <c r="C52" s="16" t="n"/>
      <c r="D52" s="17">
        <f>IF($C52="","",IFERROR(INDEX(rngCadetPIDs,MATCH($C52,rngCadetNames,0)),"?"))</f>
        <v/>
      </c>
      <c r="E52" s="16" t="n"/>
      <c r="F52" s="17">
        <f>IF($E52="","",IFERROR(INDEX(rngSM_max,MATCH($E52,rngSM_cat,0)),""))</f>
        <v/>
      </c>
      <c r="G52" s="17">
        <f>IF($E52="","",IFERROR(INDEX(rngSM_mode,MATCH($E52,rngSM_cat,0)),""))</f>
        <v/>
      </c>
      <c r="H52" s="17">
        <f>IF($E52="","",IFERROR(INDEX(rngSM_pass,MATCH($E52,rngSM_cat,0)),""))</f>
        <v/>
      </c>
      <c r="I52" s="16" t="n"/>
      <c r="J52" s="16" t="n"/>
      <c r="K52" s="16" t="n"/>
      <c r="L52" s="18" t="n"/>
      <c r="M52" s="16" t="n"/>
      <c r="N52" s="17">
        <f>IF($C52="","",MAX(_xlfn.MAXIFS(nrSK_Att,nrSK_PID,$D52,nrSK_Cat,$E52,nrSK_Res,"Pass"),_xlfn.MAXIFS(nrSK_Att,nrSK_PID,$D52,nrSK_Cat,$E52,nrSK_Res,"Fail")))</f>
        <v/>
      </c>
      <c r="O52" s="17">
        <f>IF($C52="","",IF(AND(MAX(_xlfn.MAXIFS(nrSK_Att,nrSK_PID,$D52,nrSK_Cat,$E52,nrSK_Res,"Pass"),_xlfn.MAXIFS(nrSK_Att,nrSK_PID,$D52,nrSK_Cat,$E52,nrSK_Res,"Fail"))&gt;0,N($I52)&lt;MAX(_xlfn.MAXIFS(nrSK_Att,nrSK_PID,$D52,nrSK_Cat,$E52,nrSK_Res,"Pass"),_xlfn.MAXIFS(nrSK_Att,nrSK_PID,$D52,nrSK_Cat,$E52,nrSK_Res,"Fail"))),"(superseded)",IF(OR($J52="",$J52="Pending"),"Pending",IF($J52="Pass","Qualified",IF(AND($J52="Fail",$N52&gt;=$F52),"FAILED OUT","Needs Remediation")))))</f>
        <v/>
      </c>
      <c r="P52" s="17">
        <f>IF($C52="","",IF($O52="FAILED OUT","Yes","No"))</f>
        <v/>
      </c>
      <c r="Q52" s="16" t="n"/>
      <c r="R52" s="16" t="n"/>
      <c r="S52" s="17">
        <f>IF($C52="","",IF(AND($K52&lt;&gt;"",NOT(ISNUMBER($K52))),"SCORE NOT A NUMBER",IF(AND(ISNUMBER($K52),OR($K52&lt;0,$K52&gt;100)),"SCORE OUT OF RANGE - this score counts toward nothing",IF(AND($G52="Score",$K52="",$J52&lt;&gt;"",$J52&lt;&gt;"Pending"),"RESULT WITHOUT A SCORE",IF(AND($G52="Pass/Fail",$K52&lt;&gt;""),"SCORE ON A PASS-FAIL CATEGORY - it is ignored",IF(AND($E52="Firearms",$J52&lt;&gt;"",$J52&lt;&gt;"Pending",$R52=""),"FIREARMS ROW WITH NO COURSE OF FIRE","OK"))))))</f>
        <v/>
      </c>
    </row>
    <row r="53">
      <c r="B53" s="17">
        <f>IF($C53="","",$D53&amp;"-"&amp;$E53&amp;"-"&amp;$I53)</f>
        <v/>
      </c>
      <c r="C53" s="16" t="n"/>
      <c r="D53" s="17">
        <f>IF($C53="","",IFERROR(INDEX(rngCadetPIDs,MATCH($C53,rngCadetNames,0)),"?"))</f>
        <v/>
      </c>
      <c r="E53" s="16" t="n"/>
      <c r="F53" s="17">
        <f>IF($E53="","",IFERROR(INDEX(rngSM_max,MATCH($E53,rngSM_cat,0)),""))</f>
        <v/>
      </c>
      <c r="G53" s="17">
        <f>IF($E53="","",IFERROR(INDEX(rngSM_mode,MATCH($E53,rngSM_cat,0)),""))</f>
        <v/>
      </c>
      <c r="H53" s="17">
        <f>IF($E53="","",IFERROR(INDEX(rngSM_pass,MATCH($E53,rngSM_cat,0)),""))</f>
        <v/>
      </c>
      <c r="I53" s="16" t="n"/>
      <c r="J53" s="16" t="n"/>
      <c r="K53" s="16" t="n"/>
      <c r="L53" s="18" t="n"/>
      <c r="M53" s="16" t="n"/>
      <c r="N53" s="17">
        <f>IF($C53="","",MAX(_xlfn.MAXIFS(nrSK_Att,nrSK_PID,$D53,nrSK_Cat,$E53,nrSK_Res,"Pass"),_xlfn.MAXIFS(nrSK_Att,nrSK_PID,$D53,nrSK_Cat,$E53,nrSK_Res,"Fail")))</f>
        <v/>
      </c>
      <c r="O53" s="17">
        <f>IF($C53="","",IF(AND(MAX(_xlfn.MAXIFS(nrSK_Att,nrSK_PID,$D53,nrSK_Cat,$E53,nrSK_Res,"Pass"),_xlfn.MAXIFS(nrSK_Att,nrSK_PID,$D53,nrSK_Cat,$E53,nrSK_Res,"Fail"))&gt;0,N($I53)&lt;MAX(_xlfn.MAXIFS(nrSK_Att,nrSK_PID,$D53,nrSK_Cat,$E53,nrSK_Res,"Pass"),_xlfn.MAXIFS(nrSK_Att,nrSK_PID,$D53,nrSK_Cat,$E53,nrSK_Res,"Fail"))),"(superseded)",IF(OR($J53="",$J53="Pending"),"Pending",IF($J53="Pass","Qualified",IF(AND($J53="Fail",$N53&gt;=$F53),"FAILED OUT","Needs Remediation")))))</f>
        <v/>
      </c>
      <c r="P53" s="17">
        <f>IF($C53="","",IF($O53="FAILED OUT","Yes","No"))</f>
        <v/>
      </c>
      <c r="Q53" s="16" t="n"/>
      <c r="R53" s="16" t="n"/>
      <c r="S53" s="17">
        <f>IF($C53="","",IF(AND($K53&lt;&gt;"",NOT(ISNUMBER($K53))),"SCORE NOT A NUMBER",IF(AND(ISNUMBER($K53),OR($K53&lt;0,$K53&gt;100)),"SCORE OUT OF RANGE - this score counts toward nothing",IF(AND($G53="Score",$K53="",$J53&lt;&gt;"",$J53&lt;&gt;"Pending"),"RESULT WITHOUT A SCORE",IF(AND($G53="Pass/Fail",$K53&lt;&gt;""),"SCORE ON A PASS-FAIL CATEGORY - it is ignored",IF(AND($E53="Firearms",$J53&lt;&gt;"",$J53&lt;&gt;"Pending",$R53=""),"FIREARMS ROW WITH NO COURSE OF FIRE","OK"))))))</f>
        <v/>
      </c>
    </row>
    <row r="54">
      <c r="B54" s="17">
        <f>IF($C54="","",$D54&amp;"-"&amp;$E54&amp;"-"&amp;$I54)</f>
        <v/>
      </c>
      <c r="C54" s="16" t="n"/>
      <c r="D54" s="17">
        <f>IF($C54="","",IFERROR(INDEX(rngCadetPIDs,MATCH($C54,rngCadetNames,0)),"?"))</f>
        <v/>
      </c>
      <c r="E54" s="16" t="n"/>
      <c r="F54" s="17">
        <f>IF($E54="","",IFERROR(INDEX(rngSM_max,MATCH($E54,rngSM_cat,0)),""))</f>
        <v/>
      </c>
      <c r="G54" s="17">
        <f>IF($E54="","",IFERROR(INDEX(rngSM_mode,MATCH($E54,rngSM_cat,0)),""))</f>
        <v/>
      </c>
      <c r="H54" s="17">
        <f>IF($E54="","",IFERROR(INDEX(rngSM_pass,MATCH($E54,rngSM_cat,0)),""))</f>
        <v/>
      </c>
      <c r="I54" s="16" t="n"/>
      <c r="J54" s="16" t="n"/>
      <c r="K54" s="16" t="n"/>
      <c r="L54" s="18" t="n"/>
      <c r="M54" s="16" t="n"/>
      <c r="N54" s="17">
        <f>IF($C54="","",MAX(_xlfn.MAXIFS(nrSK_Att,nrSK_PID,$D54,nrSK_Cat,$E54,nrSK_Res,"Pass"),_xlfn.MAXIFS(nrSK_Att,nrSK_PID,$D54,nrSK_Cat,$E54,nrSK_Res,"Fail")))</f>
        <v/>
      </c>
      <c r="O54" s="17">
        <f>IF($C54="","",IF(AND(MAX(_xlfn.MAXIFS(nrSK_Att,nrSK_PID,$D54,nrSK_Cat,$E54,nrSK_Res,"Pass"),_xlfn.MAXIFS(nrSK_Att,nrSK_PID,$D54,nrSK_Cat,$E54,nrSK_Res,"Fail"))&gt;0,N($I54)&lt;MAX(_xlfn.MAXIFS(nrSK_Att,nrSK_PID,$D54,nrSK_Cat,$E54,nrSK_Res,"Pass"),_xlfn.MAXIFS(nrSK_Att,nrSK_PID,$D54,nrSK_Cat,$E54,nrSK_Res,"Fail"))),"(superseded)",IF(OR($J54="",$J54="Pending"),"Pending",IF($J54="Pass","Qualified",IF(AND($J54="Fail",$N54&gt;=$F54),"FAILED OUT","Needs Remediation")))))</f>
        <v/>
      </c>
      <c r="P54" s="17">
        <f>IF($C54="","",IF($O54="FAILED OUT","Yes","No"))</f>
        <v/>
      </c>
      <c r="Q54" s="16" t="n"/>
      <c r="R54" s="16" t="n"/>
      <c r="S54" s="17">
        <f>IF($C54="","",IF(AND($K54&lt;&gt;"",NOT(ISNUMBER($K54))),"SCORE NOT A NUMBER",IF(AND(ISNUMBER($K54),OR($K54&lt;0,$K54&gt;100)),"SCORE OUT OF RANGE - this score counts toward nothing",IF(AND($G54="Score",$K54="",$J54&lt;&gt;"",$J54&lt;&gt;"Pending"),"RESULT WITHOUT A SCORE",IF(AND($G54="Pass/Fail",$K54&lt;&gt;""),"SCORE ON A PASS-FAIL CATEGORY - it is ignored",IF(AND($E54="Firearms",$J54&lt;&gt;"",$J54&lt;&gt;"Pending",$R54=""),"FIREARMS ROW WITH NO COURSE OF FIRE","OK"))))))</f>
        <v/>
      </c>
    </row>
    <row r="55">
      <c r="B55" s="17">
        <f>IF($C55="","",$D55&amp;"-"&amp;$E55&amp;"-"&amp;$I55)</f>
        <v/>
      </c>
      <c r="C55" s="16" t="n"/>
      <c r="D55" s="17">
        <f>IF($C55="","",IFERROR(INDEX(rngCadetPIDs,MATCH($C55,rngCadetNames,0)),"?"))</f>
        <v/>
      </c>
      <c r="E55" s="16" t="n"/>
      <c r="F55" s="17">
        <f>IF($E55="","",IFERROR(INDEX(rngSM_max,MATCH($E55,rngSM_cat,0)),""))</f>
        <v/>
      </c>
      <c r="G55" s="17">
        <f>IF($E55="","",IFERROR(INDEX(rngSM_mode,MATCH($E55,rngSM_cat,0)),""))</f>
        <v/>
      </c>
      <c r="H55" s="17">
        <f>IF($E55="","",IFERROR(INDEX(rngSM_pass,MATCH($E55,rngSM_cat,0)),""))</f>
        <v/>
      </c>
      <c r="I55" s="16" t="n"/>
      <c r="J55" s="16" t="n"/>
      <c r="K55" s="16" t="n"/>
      <c r="L55" s="18" t="n"/>
      <c r="M55" s="16" t="n"/>
      <c r="N55" s="17">
        <f>IF($C55="","",MAX(_xlfn.MAXIFS(nrSK_Att,nrSK_PID,$D55,nrSK_Cat,$E55,nrSK_Res,"Pass"),_xlfn.MAXIFS(nrSK_Att,nrSK_PID,$D55,nrSK_Cat,$E55,nrSK_Res,"Fail")))</f>
        <v/>
      </c>
      <c r="O55" s="17">
        <f>IF($C55="","",IF(AND(MAX(_xlfn.MAXIFS(nrSK_Att,nrSK_PID,$D55,nrSK_Cat,$E55,nrSK_Res,"Pass"),_xlfn.MAXIFS(nrSK_Att,nrSK_PID,$D55,nrSK_Cat,$E55,nrSK_Res,"Fail"))&gt;0,N($I55)&lt;MAX(_xlfn.MAXIFS(nrSK_Att,nrSK_PID,$D55,nrSK_Cat,$E55,nrSK_Res,"Pass"),_xlfn.MAXIFS(nrSK_Att,nrSK_PID,$D55,nrSK_Cat,$E55,nrSK_Res,"Fail"))),"(superseded)",IF(OR($J55="",$J55="Pending"),"Pending",IF($J55="Pass","Qualified",IF(AND($J55="Fail",$N55&gt;=$F55),"FAILED OUT","Needs Remediation")))))</f>
        <v/>
      </c>
      <c r="P55" s="17">
        <f>IF($C55="","",IF($O55="FAILED OUT","Yes","No"))</f>
        <v/>
      </c>
      <c r="Q55" s="16" t="n"/>
      <c r="R55" s="16" t="n"/>
      <c r="S55" s="17">
        <f>IF($C55="","",IF(AND($K55&lt;&gt;"",NOT(ISNUMBER($K55))),"SCORE NOT A NUMBER",IF(AND(ISNUMBER($K55),OR($K55&lt;0,$K55&gt;100)),"SCORE OUT OF RANGE - this score counts toward nothing",IF(AND($G55="Score",$K55="",$J55&lt;&gt;"",$J55&lt;&gt;"Pending"),"RESULT WITHOUT A SCORE",IF(AND($G55="Pass/Fail",$K55&lt;&gt;""),"SCORE ON A PASS-FAIL CATEGORY - it is ignored",IF(AND($E55="Firearms",$J55&lt;&gt;"",$J55&lt;&gt;"Pending",$R55=""),"FIREARMS ROW WITH NO COURSE OF FIRE","OK"))))))</f>
        <v/>
      </c>
    </row>
    <row r="56">
      <c r="B56" s="17">
        <f>IF($C56="","",$D56&amp;"-"&amp;$E56&amp;"-"&amp;$I56)</f>
        <v/>
      </c>
      <c r="C56" s="16" t="n"/>
      <c r="D56" s="17">
        <f>IF($C56="","",IFERROR(INDEX(rngCadetPIDs,MATCH($C56,rngCadetNames,0)),"?"))</f>
        <v/>
      </c>
      <c r="E56" s="16" t="n"/>
      <c r="F56" s="17">
        <f>IF($E56="","",IFERROR(INDEX(rngSM_max,MATCH($E56,rngSM_cat,0)),""))</f>
        <v/>
      </c>
      <c r="G56" s="17">
        <f>IF($E56="","",IFERROR(INDEX(rngSM_mode,MATCH($E56,rngSM_cat,0)),""))</f>
        <v/>
      </c>
      <c r="H56" s="17">
        <f>IF($E56="","",IFERROR(INDEX(rngSM_pass,MATCH($E56,rngSM_cat,0)),""))</f>
        <v/>
      </c>
      <c r="I56" s="16" t="n"/>
      <c r="J56" s="16" t="n"/>
      <c r="K56" s="16" t="n"/>
      <c r="L56" s="18" t="n"/>
      <c r="M56" s="16" t="n"/>
      <c r="N56" s="17">
        <f>IF($C56="","",MAX(_xlfn.MAXIFS(nrSK_Att,nrSK_PID,$D56,nrSK_Cat,$E56,nrSK_Res,"Pass"),_xlfn.MAXIFS(nrSK_Att,nrSK_PID,$D56,nrSK_Cat,$E56,nrSK_Res,"Fail")))</f>
        <v/>
      </c>
      <c r="O56" s="17">
        <f>IF($C56="","",IF(AND(MAX(_xlfn.MAXIFS(nrSK_Att,nrSK_PID,$D56,nrSK_Cat,$E56,nrSK_Res,"Pass"),_xlfn.MAXIFS(nrSK_Att,nrSK_PID,$D56,nrSK_Cat,$E56,nrSK_Res,"Fail"))&gt;0,N($I56)&lt;MAX(_xlfn.MAXIFS(nrSK_Att,nrSK_PID,$D56,nrSK_Cat,$E56,nrSK_Res,"Pass"),_xlfn.MAXIFS(nrSK_Att,nrSK_PID,$D56,nrSK_Cat,$E56,nrSK_Res,"Fail"))),"(superseded)",IF(OR($J56="",$J56="Pending"),"Pending",IF($J56="Pass","Qualified",IF(AND($J56="Fail",$N56&gt;=$F56),"FAILED OUT","Needs Remediation")))))</f>
        <v/>
      </c>
      <c r="P56" s="17">
        <f>IF($C56="","",IF($O56="FAILED OUT","Yes","No"))</f>
        <v/>
      </c>
      <c r="Q56" s="16" t="n"/>
      <c r="R56" s="16" t="n"/>
      <c r="S56" s="17">
        <f>IF($C56="","",IF(AND($K56&lt;&gt;"",NOT(ISNUMBER($K56))),"SCORE NOT A NUMBER",IF(AND(ISNUMBER($K56),OR($K56&lt;0,$K56&gt;100)),"SCORE OUT OF RANGE - this score counts toward nothing",IF(AND($G56="Score",$K56="",$J56&lt;&gt;"",$J56&lt;&gt;"Pending"),"RESULT WITHOUT A SCORE",IF(AND($G56="Pass/Fail",$K56&lt;&gt;""),"SCORE ON A PASS-FAIL CATEGORY - it is ignored",IF(AND($E56="Firearms",$J56&lt;&gt;"",$J56&lt;&gt;"Pending",$R56=""),"FIREARMS ROW WITH NO COURSE OF FIRE","OK"))))))</f>
        <v/>
      </c>
    </row>
    <row r="57">
      <c r="B57" s="17">
        <f>IF($C57="","",$D57&amp;"-"&amp;$E57&amp;"-"&amp;$I57)</f>
        <v/>
      </c>
      <c r="C57" s="16" t="n"/>
      <c r="D57" s="17">
        <f>IF($C57="","",IFERROR(INDEX(rngCadetPIDs,MATCH($C57,rngCadetNames,0)),"?"))</f>
        <v/>
      </c>
      <c r="E57" s="16" t="n"/>
      <c r="F57" s="17">
        <f>IF($E57="","",IFERROR(INDEX(rngSM_max,MATCH($E57,rngSM_cat,0)),""))</f>
        <v/>
      </c>
      <c r="G57" s="17">
        <f>IF($E57="","",IFERROR(INDEX(rngSM_mode,MATCH($E57,rngSM_cat,0)),""))</f>
        <v/>
      </c>
      <c r="H57" s="17">
        <f>IF($E57="","",IFERROR(INDEX(rngSM_pass,MATCH($E57,rngSM_cat,0)),""))</f>
        <v/>
      </c>
      <c r="I57" s="16" t="n"/>
      <c r="J57" s="16" t="n"/>
      <c r="K57" s="16" t="n"/>
      <c r="L57" s="18" t="n"/>
      <c r="M57" s="16" t="n"/>
      <c r="N57" s="17">
        <f>IF($C57="","",MAX(_xlfn.MAXIFS(nrSK_Att,nrSK_PID,$D57,nrSK_Cat,$E57,nrSK_Res,"Pass"),_xlfn.MAXIFS(nrSK_Att,nrSK_PID,$D57,nrSK_Cat,$E57,nrSK_Res,"Fail")))</f>
        <v/>
      </c>
      <c r="O57" s="17">
        <f>IF($C57="","",IF(AND(MAX(_xlfn.MAXIFS(nrSK_Att,nrSK_PID,$D57,nrSK_Cat,$E57,nrSK_Res,"Pass"),_xlfn.MAXIFS(nrSK_Att,nrSK_PID,$D57,nrSK_Cat,$E57,nrSK_Res,"Fail"))&gt;0,N($I57)&lt;MAX(_xlfn.MAXIFS(nrSK_Att,nrSK_PID,$D57,nrSK_Cat,$E57,nrSK_Res,"Pass"),_xlfn.MAXIFS(nrSK_Att,nrSK_PID,$D57,nrSK_Cat,$E57,nrSK_Res,"Fail"))),"(superseded)",IF(OR($J57="",$J57="Pending"),"Pending",IF($J57="Pass","Qualified",IF(AND($J57="Fail",$N57&gt;=$F57),"FAILED OUT","Needs Remediation")))))</f>
        <v/>
      </c>
      <c r="P57" s="17">
        <f>IF($C57="","",IF($O57="FAILED OUT","Yes","No"))</f>
        <v/>
      </c>
      <c r="Q57" s="16" t="n"/>
      <c r="R57" s="16" t="n"/>
      <c r="S57" s="17">
        <f>IF($C57="","",IF(AND($K57&lt;&gt;"",NOT(ISNUMBER($K57))),"SCORE NOT A NUMBER",IF(AND(ISNUMBER($K57),OR($K57&lt;0,$K57&gt;100)),"SCORE OUT OF RANGE - this score counts toward nothing",IF(AND($G57="Score",$K57="",$J57&lt;&gt;"",$J57&lt;&gt;"Pending"),"RESULT WITHOUT A SCORE",IF(AND($G57="Pass/Fail",$K57&lt;&gt;""),"SCORE ON A PASS-FAIL CATEGORY - it is ignored",IF(AND($E57="Firearms",$J57&lt;&gt;"",$J57&lt;&gt;"Pending",$R57=""),"FIREARMS ROW WITH NO COURSE OF FIRE","OK"))))))</f>
        <v/>
      </c>
    </row>
    <row r="58">
      <c r="B58" s="17">
        <f>IF($C58="","",$D58&amp;"-"&amp;$E58&amp;"-"&amp;$I58)</f>
        <v/>
      </c>
      <c r="C58" s="16" t="n"/>
      <c r="D58" s="17">
        <f>IF($C58="","",IFERROR(INDEX(rngCadetPIDs,MATCH($C58,rngCadetNames,0)),"?"))</f>
        <v/>
      </c>
      <c r="E58" s="16" t="n"/>
      <c r="F58" s="17">
        <f>IF($E58="","",IFERROR(INDEX(rngSM_max,MATCH($E58,rngSM_cat,0)),""))</f>
        <v/>
      </c>
      <c r="G58" s="17">
        <f>IF($E58="","",IFERROR(INDEX(rngSM_mode,MATCH($E58,rngSM_cat,0)),""))</f>
        <v/>
      </c>
      <c r="H58" s="17">
        <f>IF($E58="","",IFERROR(INDEX(rngSM_pass,MATCH($E58,rngSM_cat,0)),""))</f>
        <v/>
      </c>
      <c r="I58" s="16" t="n"/>
      <c r="J58" s="16" t="n"/>
      <c r="K58" s="16" t="n"/>
      <c r="L58" s="18" t="n"/>
      <c r="M58" s="16" t="n"/>
      <c r="N58" s="17">
        <f>IF($C58="","",MAX(_xlfn.MAXIFS(nrSK_Att,nrSK_PID,$D58,nrSK_Cat,$E58,nrSK_Res,"Pass"),_xlfn.MAXIFS(nrSK_Att,nrSK_PID,$D58,nrSK_Cat,$E58,nrSK_Res,"Fail")))</f>
        <v/>
      </c>
      <c r="O58" s="17">
        <f>IF($C58="","",IF(AND(MAX(_xlfn.MAXIFS(nrSK_Att,nrSK_PID,$D58,nrSK_Cat,$E58,nrSK_Res,"Pass"),_xlfn.MAXIFS(nrSK_Att,nrSK_PID,$D58,nrSK_Cat,$E58,nrSK_Res,"Fail"))&gt;0,N($I58)&lt;MAX(_xlfn.MAXIFS(nrSK_Att,nrSK_PID,$D58,nrSK_Cat,$E58,nrSK_Res,"Pass"),_xlfn.MAXIFS(nrSK_Att,nrSK_PID,$D58,nrSK_Cat,$E58,nrSK_Res,"Fail"))),"(superseded)",IF(OR($J58="",$J58="Pending"),"Pending",IF($J58="Pass","Qualified",IF(AND($J58="Fail",$N58&gt;=$F58),"FAILED OUT","Needs Remediation")))))</f>
        <v/>
      </c>
      <c r="P58" s="17">
        <f>IF($C58="","",IF($O58="FAILED OUT","Yes","No"))</f>
        <v/>
      </c>
      <c r="Q58" s="16" t="n"/>
      <c r="R58" s="16" t="n"/>
      <c r="S58" s="17">
        <f>IF($C58="","",IF(AND($K58&lt;&gt;"",NOT(ISNUMBER($K58))),"SCORE NOT A NUMBER",IF(AND(ISNUMBER($K58),OR($K58&lt;0,$K58&gt;100)),"SCORE OUT OF RANGE - this score counts toward nothing",IF(AND($G58="Score",$K58="",$J58&lt;&gt;"",$J58&lt;&gt;"Pending"),"RESULT WITHOUT A SCORE",IF(AND($G58="Pass/Fail",$K58&lt;&gt;""),"SCORE ON A PASS-FAIL CATEGORY - it is ignored",IF(AND($E58="Firearms",$J58&lt;&gt;"",$J58&lt;&gt;"Pending",$R58=""),"FIREARMS ROW WITH NO COURSE OF FIRE","OK"))))))</f>
        <v/>
      </c>
    </row>
    <row r="59">
      <c r="B59" s="17">
        <f>IF($C59="","",$D59&amp;"-"&amp;$E59&amp;"-"&amp;$I59)</f>
        <v/>
      </c>
      <c r="C59" s="16" t="n"/>
      <c r="D59" s="17">
        <f>IF($C59="","",IFERROR(INDEX(rngCadetPIDs,MATCH($C59,rngCadetNames,0)),"?"))</f>
        <v/>
      </c>
      <c r="E59" s="16" t="n"/>
      <c r="F59" s="17">
        <f>IF($E59="","",IFERROR(INDEX(rngSM_max,MATCH($E59,rngSM_cat,0)),""))</f>
        <v/>
      </c>
      <c r="G59" s="17">
        <f>IF($E59="","",IFERROR(INDEX(rngSM_mode,MATCH($E59,rngSM_cat,0)),""))</f>
        <v/>
      </c>
      <c r="H59" s="17">
        <f>IF($E59="","",IFERROR(INDEX(rngSM_pass,MATCH($E59,rngSM_cat,0)),""))</f>
        <v/>
      </c>
      <c r="I59" s="16" t="n"/>
      <c r="J59" s="16" t="n"/>
      <c r="K59" s="16" t="n"/>
      <c r="L59" s="18" t="n"/>
      <c r="M59" s="16" t="n"/>
      <c r="N59" s="17">
        <f>IF($C59="","",MAX(_xlfn.MAXIFS(nrSK_Att,nrSK_PID,$D59,nrSK_Cat,$E59,nrSK_Res,"Pass"),_xlfn.MAXIFS(nrSK_Att,nrSK_PID,$D59,nrSK_Cat,$E59,nrSK_Res,"Fail")))</f>
        <v/>
      </c>
      <c r="O59" s="17">
        <f>IF($C59="","",IF(AND(MAX(_xlfn.MAXIFS(nrSK_Att,nrSK_PID,$D59,nrSK_Cat,$E59,nrSK_Res,"Pass"),_xlfn.MAXIFS(nrSK_Att,nrSK_PID,$D59,nrSK_Cat,$E59,nrSK_Res,"Fail"))&gt;0,N($I59)&lt;MAX(_xlfn.MAXIFS(nrSK_Att,nrSK_PID,$D59,nrSK_Cat,$E59,nrSK_Res,"Pass"),_xlfn.MAXIFS(nrSK_Att,nrSK_PID,$D59,nrSK_Cat,$E59,nrSK_Res,"Fail"))),"(superseded)",IF(OR($J59="",$J59="Pending"),"Pending",IF($J59="Pass","Qualified",IF(AND($J59="Fail",$N59&gt;=$F59),"FAILED OUT","Needs Remediation")))))</f>
        <v/>
      </c>
      <c r="P59" s="17">
        <f>IF($C59="","",IF($O59="FAILED OUT","Yes","No"))</f>
        <v/>
      </c>
      <c r="Q59" s="16" t="n"/>
      <c r="R59" s="16" t="n"/>
      <c r="S59" s="17">
        <f>IF($C59="","",IF(AND($K59&lt;&gt;"",NOT(ISNUMBER($K59))),"SCORE NOT A NUMBER",IF(AND(ISNUMBER($K59),OR($K59&lt;0,$K59&gt;100)),"SCORE OUT OF RANGE - this score counts toward nothing",IF(AND($G59="Score",$K59="",$J59&lt;&gt;"",$J59&lt;&gt;"Pending"),"RESULT WITHOUT A SCORE",IF(AND($G59="Pass/Fail",$K59&lt;&gt;""),"SCORE ON A PASS-FAIL CATEGORY - it is ignored",IF(AND($E59="Firearms",$J59&lt;&gt;"",$J59&lt;&gt;"Pending",$R59=""),"FIREARMS ROW WITH NO COURSE OF FIRE","OK"))))))</f>
        <v/>
      </c>
    </row>
    <row r="60">
      <c r="B60" s="17">
        <f>IF($C60="","",$D60&amp;"-"&amp;$E60&amp;"-"&amp;$I60)</f>
        <v/>
      </c>
      <c r="C60" s="16" t="n"/>
      <c r="D60" s="17">
        <f>IF($C60="","",IFERROR(INDEX(rngCadetPIDs,MATCH($C60,rngCadetNames,0)),"?"))</f>
        <v/>
      </c>
      <c r="E60" s="16" t="n"/>
      <c r="F60" s="17">
        <f>IF($E60="","",IFERROR(INDEX(rngSM_max,MATCH($E60,rngSM_cat,0)),""))</f>
        <v/>
      </c>
      <c r="G60" s="17">
        <f>IF($E60="","",IFERROR(INDEX(rngSM_mode,MATCH($E60,rngSM_cat,0)),""))</f>
        <v/>
      </c>
      <c r="H60" s="17">
        <f>IF($E60="","",IFERROR(INDEX(rngSM_pass,MATCH($E60,rngSM_cat,0)),""))</f>
        <v/>
      </c>
      <c r="I60" s="16" t="n"/>
      <c r="J60" s="16" t="n"/>
      <c r="K60" s="16" t="n"/>
      <c r="L60" s="18" t="n"/>
      <c r="M60" s="16" t="n"/>
      <c r="N60" s="17">
        <f>IF($C60="","",MAX(_xlfn.MAXIFS(nrSK_Att,nrSK_PID,$D60,nrSK_Cat,$E60,nrSK_Res,"Pass"),_xlfn.MAXIFS(nrSK_Att,nrSK_PID,$D60,nrSK_Cat,$E60,nrSK_Res,"Fail")))</f>
        <v/>
      </c>
      <c r="O60" s="17">
        <f>IF($C60="","",IF(AND(MAX(_xlfn.MAXIFS(nrSK_Att,nrSK_PID,$D60,nrSK_Cat,$E60,nrSK_Res,"Pass"),_xlfn.MAXIFS(nrSK_Att,nrSK_PID,$D60,nrSK_Cat,$E60,nrSK_Res,"Fail"))&gt;0,N($I60)&lt;MAX(_xlfn.MAXIFS(nrSK_Att,nrSK_PID,$D60,nrSK_Cat,$E60,nrSK_Res,"Pass"),_xlfn.MAXIFS(nrSK_Att,nrSK_PID,$D60,nrSK_Cat,$E60,nrSK_Res,"Fail"))),"(superseded)",IF(OR($J60="",$J60="Pending"),"Pending",IF($J60="Pass","Qualified",IF(AND($J60="Fail",$N60&gt;=$F60),"FAILED OUT","Needs Remediation")))))</f>
        <v/>
      </c>
      <c r="P60" s="17">
        <f>IF($C60="","",IF($O60="FAILED OUT","Yes","No"))</f>
        <v/>
      </c>
      <c r="Q60" s="16" t="n"/>
      <c r="R60" s="16" t="n"/>
      <c r="S60" s="17">
        <f>IF($C60="","",IF(AND($K60&lt;&gt;"",NOT(ISNUMBER($K60))),"SCORE NOT A NUMBER",IF(AND(ISNUMBER($K60),OR($K60&lt;0,$K60&gt;100)),"SCORE OUT OF RANGE - this score counts toward nothing",IF(AND($G60="Score",$K60="",$J60&lt;&gt;"",$J60&lt;&gt;"Pending"),"RESULT WITHOUT A SCORE",IF(AND($G60="Pass/Fail",$K60&lt;&gt;""),"SCORE ON A PASS-FAIL CATEGORY - it is ignored",IF(AND($E60="Firearms",$J60&lt;&gt;"",$J60&lt;&gt;"Pending",$R60=""),"FIREARMS ROW WITH NO COURSE OF FIRE","OK"))))))</f>
        <v/>
      </c>
    </row>
    <row r="61">
      <c r="B61" s="17">
        <f>IF($C61="","",$D61&amp;"-"&amp;$E61&amp;"-"&amp;$I61)</f>
        <v/>
      </c>
      <c r="C61" s="16" t="n"/>
      <c r="D61" s="17">
        <f>IF($C61="","",IFERROR(INDEX(rngCadetPIDs,MATCH($C61,rngCadetNames,0)),"?"))</f>
        <v/>
      </c>
      <c r="E61" s="16" t="n"/>
      <c r="F61" s="17">
        <f>IF($E61="","",IFERROR(INDEX(rngSM_max,MATCH($E61,rngSM_cat,0)),""))</f>
        <v/>
      </c>
      <c r="G61" s="17">
        <f>IF($E61="","",IFERROR(INDEX(rngSM_mode,MATCH($E61,rngSM_cat,0)),""))</f>
        <v/>
      </c>
      <c r="H61" s="17">
        <f>IF($E61="","",IFERROR(INDEX(rngSM_pass,MATCH($E61,rngSM_cat,0)),""))</f>
        <v/>
      </c>
      <c r="I61" s="16" t="n"/>
      <c r="J61" s="16" t="n"/>
      <c r="K61" s="16" t="n"/>
      <c r="L61" s="18" t="n"/>
      <c r="M61" s="16" t="n"/>
      <c r="N61" s="17">
        <f>IF($C61="","",MAX(_xlfn.MAXIFS(nrSK_Att,nrSK_PID,$D61,nrSK_Cat,$E61,nrSK_Res,"Pass"),_xlfn.MAXIFS(nrSK_Att,nrSK_PID,$D61,nrSK_Cat,$E61,nrSK_Res,"Fail")))</f>
        <v/>
      </c>
      <c r="O61" s="17">
        <f>IF($C61="","",IF(AND(MAX(_xlfn.MAXIFS(nrSK_Att,nrSK_PID,$D61,nrSK_Cat,$E61,nrSK_Res,"Pass"),_xlfn.MAXIFS(nrSK_Att,nrSK_PID,$D61,nrSK_Cat,$E61,nrSK_Res,"Fail"))&gt;0,N($I61)&lt;MAX(_xlfn.MAXIFS(nrSK_Att,nrSK_PID,$D61,nrSK_Cat,$E61,nrSK_Res,"Pass"),_xlfn.MAXIFS(nrSK_Att,nrSK_PID,$D61,nrSK_Cat,$E61,nrSK_Res,"Fail"))),"(superseded)",IF(OR($J61="",$J61="Pending"),"Pending",IF($J61="Pass","Qualified",IF(AND($J61="Fail",$N61&gt;=$F61),"FAILED OUT","Needs Remediation")))))</f>
        <v/>
      </c>
      <c r="P61" s="17">
        <f>IF($C61="","",IF($O61="FAILED OUT","Yes","No"))</f>
        <v/>
      </c>
      <c r="Q61" s="16" t="n"/>
      <c r="R61" s="16" t="n"/>
      <c r="S61" s="17">
        <f>IF($C61="","",IF(AND($K61&lt;&gt;"",NOT(ISNUMBER($K61))),"SCORE NOT A NUMBER",IF(AND(ISNUMBER($K61),OR($K61&lt;0,$K61&gt;100)),"SCORE OUT OF RANGE - this score counts toward nothing",IF(AND($G61="Score",$K61="",$J61&lt;&gt;"",$J61&lt;&gt;"Pending"),"RESULT WITHOUT A SCORE",IF(AND($G61="Pass/Fail",$K61&lt;&gt;""),"SCORE ON A PASS-FAIL CATEGORY - it is ignored",IF(AND($E61="Firearms",$J61&lt;&gt;"",$J61&lt;&gt;"Pending",$R61=""),"FIREARMS ROW WITH NO COURSE OF FIRE","OK"))))))</f>
        <v/>
      </c>
    </row>
    <row r="62">
      <c r="B62" s="17">
        <f>IF($C62="","",$D62&amp;"-"&amp;$E62&amp;"-"&amp;$I62)</f>
        <v/>
      </c>
      <c r="C62" s="16" t="n"/>
      <c r="D62" s="17">
        <f>IF($C62="","",IFERROR(INDEX(rngCadetPIDs,MATCH($C62,rngCadetNames,0)),"?"))</f>
        <v/>
      </c>
      <c r="E62" s="16" t="n"/>
      <c r="F62" s="17">
        <f>IF($E62="","",IFERROR(INDEX(rngSM_max,MATCH($E62,rngSM_cat,0)),""))</f>
        <v/>
      </c>
      <c r="G62" s="17">
        <f>IF($E62="","",IFERROR(INDEX(rngSM_mode,MATCH($E62,rngSM_cat,0)),""))</f>
        <v/>
      </c>
      <c r="H62" s="17">
        <f>IF($E62="","",IFERROR(INDEX(rngSM_pass,MATCH($E62,rngSM_cat,0)),""))</f>
        <v/>
      </c>
      <c r="I62" s="16" t="n"/>
      <c r="J62" s="16" t="n"/>
      <c r="K62" s="16" t="n"/>
      <c r="L62" s="18" t="n"/>
      <c r="M62" s="16" t="n"/>
      <c r="N62" s="17">
        <f>IF($C62="","",MAX(_xlfn.MAXIFS(nrSK_Att,nrSK_PID,$D62,nrSK_Cat,$E62,nrSK_Res,"Pass"),_xlfn.MAXIFS(nrSK_Att,nrSK_PID,$D62,nrSK_Cat,$E62,nrSK_Res,"Fail")))</f>
        <v/>
      </c>
      <c r="O62" s="17">
        <f>IF($C62="","",IF(AND(MAX(_xlfn.MAXIFS(nrSK_Att,nrSK_PID,$D62,nrSK_Cat,$E62,nrSK_Res,"Pass"),_xlfn.MAXIFS(nrSK_Att,nrSK_PID,$D62,nrSK_Cat,$E62,nrSK_Res,"Fail"))&gt;0,N($I62)&lt;MAX(_xlfn.MAXIFS(nrSK_Att,nrSK_PID,$D62,nrSK_Cat,$E62,nrSK_Res,"Pass"),_xlfn.MAXIFS(nrSK_Att,nrSK_PID,$D62,nrSK_Cat,$E62,nrSK_Res,"Fail"))),"(superseded)",IF(OR($J62="",$J62="Pending"),"Pending",IF($J62="Pass","Qualified",IF(AND($J62="Fail",$N62&gt;=$F62),"FAILED OUT","Needs Remediation")))))</f>
        <v/>
      </c>
      <c r="P62" s="17">
        <f>IF($C62="","",IF($O62="FAILED OUT","Yes","No"))</f>
        <v/>
      </c>
      <c r="Q62" s="16" t="n"/>
      <c r="R62" s="16" t="n"/>
      <c r="S62" s="17">
        <f>IF($C62="","",IF(AND($K62&lt;&gt;"",NOT(ISNUMBER($K62))),"SCORE NOT A NUMBER",IF(AND(ISNUMBER($K62),OR($K62&lt;0,$K62&gt;100)),"SCORE OUT OF RANGE - this score counts toward nothing",IF(AND($G62="Score",$K62="",$J62&lt;&gt;"",$J62&lt;&gt;"Pending"),"RESULT WITHOUT A SCORE",IF(AND($G62="Pass/Fail",$K62&lt;&gt;""),"SCORE ON A PASS-FAIL CATEGORY - it is ignored",IF(AND($E62="Firearms",$J62&lt;&gt;"",$J62&lt;&gt;"Pending",$R62=""),"FIREARMS ROW WITH NO COURSE OF FIRE","OK"))))))</f>
        <v/>
      </c>
    </row>
    <row r="63">
      <c r="B63" s="17">
        <f>IF($C63="","",$D63&amp;"-"&amp;$E63&amp;"-"&amp;$I63)</f>
        <v/>
      </c>
      <c r="C63" s="16" t="n"/>
      <c r="D63" s="17">
        <f>IF($C63="","",IFERROR(INDEX(rngCadetPIDs,MATCH($C63,rngCadetNames,0)),"?"))</f>
        <v/>
      </c>
      <c r="E63" s="16" t="n"/>
      <c r="F63" s="17">
        <f>IF($E63="","",IFERROR(INDEX(rngSM_max,MATCH($E63,rngSM_cat,0)),""))</f>
        <v/>
      </c>
      <c r="G63" s="17">
        <f>IF($E63="","",IFERROR(INDEX(rngSM_mode,MATCH($E63,rngSM_cat,0)),""))</f>
        <v/>
      </c>
      <c r="H63" s="17">
        <f>IF($E63="","",IFERROR(INDEX(rngSM_pass,MATCH($E63,rngSM_cat,0)),""))</f>
        <v/>
      </c>
      <c r="I63" s="16" t="n"/>
      <c r="J63" s="16" t="n"/>
      <c r="K63" s="16" t="n"/>
      <c r="L63" s="18" t="n"/>
      <c r="M63" s="16" t="n"/>
      <c r="N63" s="17">
        <f>IF($C63="","",MAX(_xlfn.MAXIFS(nrSK_Att,nrSK_PID,$D63,nrSK_Cat,$E63,nrSK_Res,"Pass"),_xlfn.MAXIFS(nrSK_Att,nrSK_PID,$D63,nrSK_Cat,$E63,nrSK_Res,"Fail")))</f>
        <v/>
      </c>
      <c r="O63" s="17">
        <f>IF($C63="","",IF(AND(MAX(_xlfn.MAXIFS(nrSK_Att,nrSK_PID,$D63,nrSK_Cat,$E63,nrSK_Res,"Pass"),_xlfn.MAXIFS(nrSK_Att,nrSK_PID,$D63,nrSK_Cat,$E63,nrSK_Res,"Fail"))&gt;0,N($I63)&lt;MAX(_xlfn.MAXIFS(nrSK_Att,nrSK_PID,$D63,nrSK_Cat,$E63,nrSK_Res,"Pass"),_xlfn.MAXIFS(nrSK_Att,nrSK_PID,$D63,nrSK_Cat,$E63,nrSK_Res,"Fail"))),"(superseded)",IF(OR($J63="",$J63="Pending"),"Pending",IF($J63="Pass","Qualified",IF(AND($J63="Fail",$N63&gt;=$F63),"FAILED OUT","Needs Remediation")))))</f>
        <v/>
      </c>
      <c r="P63" s="17">
        <f>IF($C63="","",IF($O63="FAILED OUT","Yes","No"))</f>
        <v/>
      </c>
      <c r="Q63" s="16" t="n"/>
      <c r="R63" s="16" t="n"/>
      <c r="S63" s="17">
        <f>IF($C63="","",IF(AND($K63&lt;&gt;"",NOT(ISNUMBER($K63))),"SCORE NOT A NUMBER",IF(AND(ISNUMBER($K63),OR($K63&lt;0,$K63&gt;100)),"SCORE OUT OF RANGE - this score counts toward nothing",IF(AND($G63="Score",$K63="",$J63&lt;&gt;"",$J63&lt;&gt;"Pending"),"RESULT WITHOUT A SCORE",IF(AND($G63="Pass/Fail",$K63&lt;&gt;""),"SCORE ON A PASS-FAIL CATEGORY - it is ignored",IF(AND($E63="Firearms",$J63&lt;&gt;"",$J63&lt;&gt;"Pending",$R63=""),"FIREARMS ROW WITH NO COURSE OF FIRE","OK"))))))</f>
        <v/>
      </c>
    </row>
    <row r="64">
      <c r="B64" s="17">
        <f>IF($C64="","",$D64&amp;"-"&amp;$E64&amp;"-"&amp;$I64)</f>
        <v/>
      </c>
      <c r="C64" s="16" t="n"/>
      <c r="D64" s="17">
        <f>IF($C64="","",IFERROR(INDEX(rngCadetPIDs,MATCH($C64,rngCadetNames,0)),"?"))</f>
        <v/>
      </c>
      <c r="E64" s="16" t="n"/>
      <c r="F64" s="17">
        <f>IF($E64="","",IFERROR(INDEX(rngSM_max,MATCH($E64,rngSM_cat,0)),""))</f>
        <v/>
      </c>
      <c r="G64" s="17">
        <f>IF($E64="","",IFERROR(INDEX(rngSM_mode,MATCH($E64,rngSM_cat,0)),""))</f>
        <v/>
      </c>
      <c r="H64" s="17">
        <f>IF($E64="","",IFERROR(INDEX(rngSM_pass,MATCH($E64,rngSM_cat,0)),""))</f>
        <v/>
      </c>
      <c r="I64" s="16" t="n"/>
      <c r="J64" s="16" t="n"/>
      <c r="K64" s="16" t="n"/>
      <c r="L64" s="18" t="n"/>
      <c r="M64" s="16" t="n"/>
      <c r="N64" s="17">
        <f>IF($C64="","",MAX(_xlfn.MAXIFS(nrSK_Att,nrSK_PID,$D64,nrSK_Cat,$E64,nrSK_Res,"Pass"),_xlfn.MAXIFS(nrSK_Att,nrSK_PID,$D64,nrSK_Cat,$E64,nrSK_Res,"Fail")))</f>
        <v/>
      </c>
      <c r="O64" s="17">
        <f>IF($C64="","",IF(AND(MAX(_xlfn.MAXIFS(nrSK_Att,nrSK_PID,$D64,nrSK_Cat,$E64,nrSK_Res,"Pass"),_xlfn.MAXIFS(nrSK_Att,nrSK_PID,$D64,nrSK_Cat,$E64,nrSK_Res,"Fail"))&gt;0,N($I64)&lt;MAX(_xlfn.MAXIFS(nrSK_Att,nrSK_PID,$D64,nrSK_Cat,$E64,nrSK_Res,"Pass"),_xlfn.MAXIFS(nrSK_Att,nrSK_PID,$D64,nrSK_Cat,$E64,nrSK_Res,"Fail"))),"(superseded)",IF(OR($J64="",$J64="Pending"),"Pending",IF($J64="Pass","Qualified",IF(AND($J64="Fail",$N64&gt;=$F64),"FAILED OUT","Needs Remediation")))))</f>
        <v/>
      </c>
      <c r="P64" s="17">
        <f>IF($C64="","",IF($O64="FAILED OUT","Yes","No"))</f>
        <v/>
      </c>
      <c r="Q64" s="16" t="n"/>
      <c r="R64" s="16" t="n"/>
      <c r="S64" s="17">
        <f>IF($C64="","",IF(AND($K64&lt;&gt;"",NOT(ISNUMBER($K64))),"SCORE NOT A NUMBER",IF(AND(ISNUMBER($K64),OR($K64&lt;0,$K64&gt;100)),"SCORE OUT OF RANGE - this score counts toward nothing",IF(AND($G64="Score",$K64="",$J64&lt;&gt;"",$J64&lt;&gt;"Pending"),"RESULT WITHOUT A SCORE",IF(AND($G64="Pass/Fail",$K64&lt;&gt;""),"SCORE ON A PASS-FAIL CATEGORY - it is ignored",IF(AND($E64="Firearms",$J64&lt;&gt;"",$J64&lt;&gt;"Pending",$R64=""),"FIREARMS ROW WITH NO COURSE OF FIRE","OK"))))))</f>
        <v/>
      </c>
    </row>
    <row r="65">
      <c r="B65" s="17">
        <f>IF($C65="","",$D65&amp;"-"&amp;$E65&amp;"-"&amp;$I65)</f>
        <v/>
      </c>
      <c r="C65" s="16" t="n"/>
      <c r="D65" s="17">
        <f>IF($C65="","",IFERROR(INDEX(rngCadetPIDs,MATCH($C65,rngCadetNames,0)),"?"))</f>
        <v/>
      </c>
      <c r="E65" s="16" t="n"/>
      <c r="F65" s="17">
        <f>IF($E65="","",IFERROR(INDEX(rngSM_max,MATCH($E65,rngSM_cat,0)),""))</f>
        <v/>
      </c>
      <c r="G65" s="17">
        <f>IF($E65="","",IFERROR(INDEX(rngSM_mode,MATCH($E65,rngSM_cat,0)),""))</f>
        <v/>
      </c>
      <c r="H65" s="17">
        <f>IF($E65="","",IFERROR(INDEX(rngSM_pass,MATCH($E65,rngSM_cat,0)),""))</f>
        <v/>
      </c>
      <c r="I65" s="16" t="n"/>
      <c r="J65" s="16" t="n"/>
      <c r="K65" s="16" t="n"/>
      <c r="L65" s="18" t="n"/>
      <c r="M65" s="16" t="n"/>
      <c r="N65" s="17">
        <f>IF($C65="","",MAX(_xlfn.MAXIFS(nrSK_Att,nrSK_PID,$D65,nrSK_Cat,$E65,nrSK_Res,"Pass"),_xlfn.MAXIFS(nrSK_Att,nrSK_PID,$D65,nrSK_Cat,$E65,nrSK_Res,"Fail")))</f>
        <v/>
      </c>
      <c r="O65" s="17">
        <f>IF($C65="","",IF(AND(MAX(_xlfn.MAXIFS(nrSK_Att,nrSK_PID,$D65,nrSK_Cat,$E65,nrSK_Res,"Pass"),_xlfn.MAXIFS(nrSK_Att,nrSK_PID,$D65,nrSK_Cat,$E65,nrSK_Res,"Fail"))&gt;0,N($I65)&lt;MAX(_xlfn.MAXIFS(nrSK_Att,nrSK_PID,$D65,nrSK_Cat,$E65,nrSK_Res,"Pass"),_xlfn.MAXIFS(nrSK_Att,nrSK_PID,$D65,nrSK_Cat,$E65,nrSK_Res,"Fail"))),"(superseded)",IF(OR($J65="",$J65="Pending"),"Pending",IF($J65="Pass","Qualified",IF(AND($J65="Fail",$N65&gt;=$F65),"FAILED OUT","Needs Remediation")))))</f>
        <v/>
      </c>
      <c r="P65" s="17">
        <f>IF($C65="","",IF($O65="FAILED OUT","Yes","No"))</f>
        <v/>
      </c>
      <c r="Q65" s="16" t="n"/>
      <c r="R65" s="16" t="n"/>
      <c r="S65" s="17">
        <f>IF($C65="","",IF(AND($K65&lt;&gt;"",NOT(ISNUMBER($K65))),"SCORE NOT A NUMBER",IF(AND(ISNUMBER($K65),OR($K65&lt;0,$K65&gt;100)),"SCORE OUT OF RANGE - this score counts toward nothing",IF(AND($G65="Score",$K65="",$J65&lt;&gt;"",$J65&lt;&gt;"Pending"),"RESULT WITHOUT A SCORE",IF(AND($G65="Pass/Fail",$K65&lt;&gt;""),"SCORE ON A PASS-FAIL CATEGORY - it is ignored",IF(AND($E65="Firearms",$J65&lt;&gt;"",$J65&lt;&gt;"Pending",$R65=""),"FIREARMS ROW WITH NO COURSE OF FIRE","OK"))))))</f>
        <v/>
      </c>
    </row>
    <row r="66">
      <c r="B66" s="17">
        <f>IF($C66="","",$D66&amp;"-"&amp;$E66&amp;"-"&amp;$I66)</f>
        <v/>
      </c>
      <c r="C66" s="16" t="n"/>
      <c r="D66" s="17">
        <f>IF($C66="","",IFERROR(INDEX(rngCadetPIDs,MATCH($C66,rngCadetNames,0)),"?"))</f>
        <v/>
      </c>
      <c r="E66" s="16" t="n"/>
      <c r="F66" s="17">
        <f>IF($E66="","",IFERROR(INDEX(rngSM_max,MATCH($E66,rngSM_cat,0)),""))</f>
        <v/>
      </c>
      <c r="G66" s="17">
        <f>IF($E66="","",IFERROR(INDEX(rngSM_mode,MATCH($E66,rngSM_cat,0)),""))</f>
        <v/>
      </c>
      <c r="H66" s="17">
        <f>IF($E66="","",IFERROR(INDEX(rngSM_pass,MATCH($E66,rngSM_cat,0)),""))</f>
        <v/>
      </c>
      <c r="I66" s="16" t="n"/>
      <c r="J66" s="16" t="n"/>
      <c r="K66" s="16" t="n"/>
      <c r="L66" s="18" t="n"/>
      <c r="M66" s="16" t="n"/>
      <c r="N66" s="17">
        <f>IF($C66="","",MAX(_xlfn.MAXIFS(nrSK_Att,nrSK_PID,$D66,nrSK_Cat,$E66,nrSK_Res,"Pass"),_xlfn.MAXIFS(nrSK_Att,nrSK_PID,$D66,nrSK_Cat,$E66,nrSK_Res,"Fail")))</f>
        <v/>
      </c>
      <c r="O66" s="17">
        <f>IF($C66="","",IF(AND(MAX(_xlfn.MAXIFS(nrSK_Att,nrSK_PID,$D66,nrSK_Cat,$E66,nrSK_Res,"Pass"),_xlfn.MAXIFS(nrSK_Att,nrSK_PID,$D66,nrSK_Cat,$E66,nrSK_Res,"Fail"))&gt;0,N($I66)&lt;MAX(_xlfn.MAXIFS(nrSK_Att,nrSK_PID,$D66,nrSK_Cat,$E66,nrSK_Res,"Pass"),_xlfn.MAXIFS(nrSK_Att,nrSK_PID,$D66,nrSK_Cat,$E66,nrSK_Res,"Fail"))),"(superseded)",IF(OR($J66="",$J66="Pending"),"Pending",IF($J66="Pass","Qualified",IF(AND($J66="Fail",$N66&gt;=$F66),"FAILED OUT","Needs Remediation")))))</f>
        <v/>
      </c>
      <c r="P66" s="17">
        <f>IF($C66="","",IF($O66="FAILED OUT","Yes","No"))</f>
        <v/>
      </c>
      <c r="Q66" s="16" t="n"/>
      <c r="R66" s="16" t="n"/>
      <c r="S66" s="17">
        <f>IF($C66="","",IF(AND($K66&lt;&gt;"",NOT(ISNUMBER($K66))),"SCORE NOT A NUMBER",IF(AND(ISNUMBER($K66),OR($K66&lt;0,$K66&gt;100)),"SCORE OUT OF RANGE - this score counts toward nothing",IF(AND($G66="Score",$K66="",$J66&lt;&gt;"",$J66&lt;&gt;"Pending"),"RESULT WITHOUT A SCORE",IF(AND($G66="Pass/Fail",$K66&lt;&gt;""),"SCORE ON A PASS-FAIL CATEGORY - it is ignored",IF(AND($E66="Firearms",$J66&lt;&gt;"",$J66&lt;&gt;"Pending",$R66=""),"FIREARMS ROW WITH NO COURSE OF FIRE","OK"))))))</f>
        <v/>
      </c>
    </row>
    <row r="67">
      <c r="B67" s="17">
        <f>IF($C67="","",$D67&amp;"-"&amp;$E67&amp;"-"&amp;$I67)</f>
        <v/>
      </c>
      <c r="C67" s="16" t="n"/>
      <c r="D67" s="17">
        <f>IF($C67="","",IFERROR(INDEX(rngCadetPIDs,MATCH($C67,rngCadetNames,0)),"?"))</f>
        <v/>
      </c>
      <c r="E67" s="16" t="n"/>
      <c r="F67" s="17">
        <f>IF($E67="","",IFERROR(INDEX(rngSM_max,MATCH($E67,rngSM_cat,0)),""))</f>
        <v/>
      </c>
      <c r="G67" s="17">
        <f>IF($E67="","",IFERROR(INDEX(rngSM_mode,MATCH($E67,rngSM_cat,0)),""))</f>
        <v/>
      </c>
      <c r="H67" s="17">
        <f>IF($E67="","",IFERROR(INDEX(rngSM_pass,MATCH($E67,rngSM_cat,0)),""))</f>
        <v/>
      </c>
      <c r="I67" s="16" t="n"/>
      <c r="J67" s="16" t="n"/>
      <c r="K67" s="16" t="n"/>
      <c r="L67" s="18" t="n"/>
      <c r="M67" s="16" t="n"/>
      <c r="N67" s="17">
        <f>IF($C67="","",MAX(_xlfn.MAXIFS(nrSK_Att,nrSK_PID,$D67,nrSK_Cat,$E67,nrSK_Res,"Pass"),_xlfn.MAXIFS(nrSK_Att,nrSK_PID,$D67,nrSK_Cat,$E67,nrSK_Res,"Fail")))</f>
        <v/>
      </c>
      <c r="O67" s="17">
        <f>IF($C67="","",IF(AND(MAX(_xlfn.MAXIFS(nrSK_Att,nrSK_PID,$D67,nrSK_Cat,$E67,nrSK_Res,"Pass"),_xlfn.MAXIFS(nrSK_Att,nrSK_PID,$D67,nrSK_Cat,$E67,nrSK_Res,"Fail"))&gt;0,N($I67)&lt;MAX(_xlfn.MAXIFS(nrSK_Att,nrSK_PID,$D67,nrSK_Cat,$E67,nrSK_Res,"Pass"),_xlfn.MAXIFS(nrSK_Att,nrSK_PID,$D67,nrSK_Cat,$E67,nrSK_Res,"Fail"))),"(superseded)",IF(OR($J67="",$J67="Pending"),"Pending",IF($J67="Pass","Qualified",IF(AND($J67="Fail",$N67&gt;=$F67),"FAILED OUT","Needs Remediation")))))</f>
        <v/>
      </c>
      <c r="P67" s="17">
        <f>IF($C67="","",IF($O67="FAILED OUT","Yes","No"))</f>
        <v/>
      </c>
      <c r="Q67" s="16" t="n"/>
      <c r="R67" s="16" t="n"/>
      <c r="S67" s="17">
        <f>IF($C67="","",IF(AND($K67&lt;&gt;"",NOT(ISNUMBER($K67))),"SCORE NOT A NUMBER",IF(AND(ISNUMBER($K67),OR($K67&lt;0,$K67&gt;100)),"SCORE OUT OF RANGE - this score counts toward nothing",IF(AND($G67="Score",$K67="",$J67&lt;&gt;"",$J67&lt;&gt;"Pending"),"RESULT WITHOUT A SCORE",IF(AND($G67="Pass/Fail",$K67&lt;&gt;""),"SCORE ON A PASS-FAIL CATEGORY - it is ignored",IF(AND($E67="Firearms",$J67&lt;&gt;"",$J67&lt;&gt;"Pending",$R67=""),"FIREARMS ROW WITH NO COURSE OF FIRE","OK"))))))</f>
        <v/>
      </c>
    </row>
    <row r="68">
      <c r="B68" s="17">
        <f>IF($C68="","",$D68&amp;"-"&amp;$E68&amp;"-"&amp;$I68)</f>
        <v/>
      </c>
      <c r="C68" s="16" t="n"/>
      <c r="D68" s="17">
        <f>IF($C68="","",IFERROR(INDEX(rngCadetPIDs,MATCH($C68,rngCadetNames,0)),"?"))</f>
        <v/>
      </c>
      <c r="E68" s="16" t="n"/>
      <c r="F68" s="17">
        <f>IF($E68="","",IFERROR(INDEX(rngSM_max,MATCH($E68,rngSM_cat,0)),""))</f>
        <v/>
      </c>
      <c r="G68" s="17">
        <f>IF($E68="","",IFERROR(INDEX(rngSM_mode,MATCH($E68,rngSM_cat,0)),""))</f>
        <v/>
      </c>
      <c r="H68" s="17">
        <f>IF($E68="","",IFERROR(INDEX(rngSM_pass,MATCH($E68,rngSM_cat,0)),""))</f>
        <v/>
      </c>
      <c r="I68" s="16" t="n"/>
      <c r="J68" s="16" t="n"/>
      <c r="K68" s="16" t="n"/>
      <c r="L68" s="18" t="n"/>
      <c r="M68" s="16" t="n"/>
      <c r="N68" s="17">
        <f>IF($C68="","",MAX(_xlfn.MAXIFS(nrSK_Att,nrSK_PID,$D68,nrSK_Cat,$E68,nrSK_Res,"Pass"),_xlfn.MAXIFS(nrSK_Att,nrSK_PID,$D68,nrSK_Cat,$E68,nrSK_Res,"Fail")))</f>
        <v/>
      </c>
      <c r="O68" s="17">
        <f>IF($C68="","",IF(AND(MAX(_xlfn.MAXIFS(nrSK_Att,nrSK_PID,$D68,nrSK_Cat,$E68,nrSK_Res,"Pass"),_xlfn.MAXIFS(nrSK_Att,nrSK_PID,$D68,nrSK_Cat,$E68,nrSK_Res,"Fail"))&gt;0,N($I68)&lt;MAX(_xlfn.MAXIFS(nrSK_Att,nrSK_PID,$D68,nrSK_Cat,$E68,nrSK_Res,"Pass"),_xlfn.MAXIFS(nrSK_Att,nrSK_PID,$D68,nrSK_Cat,$E68,nrSK_Res,"Fail"))),"(superseded)",IF(OR($J68="",$J68="Pending"),"Pending",IF($J68="Pass","Qualified",IF(AND($J68="Fail",$N68&gt;=$F68),"FAILED OUT","Needs Remediation")))))</f>
        <v/>
      </c>
      <c r="P68" s="17">
        <f>IF($C68="","",IF($O68="FAILED OUT","Yes","No"))</f>
        <v/>
      </c>
      <c r="Q68" s="16" t="n"/>
      <c r="R68" s="16" t="n"/>
      <c r="S68" s="17">
        <f>IF($C68="","",IF(AND($K68&lt;&gt;"",NOT(ISNUMBER($K68))),"SCORE NOT A NUMBER",IF(AND(ISNUMBER($K68),OR($K68&lt;0,$K68&gt;100)),"SCORE OUT OF RANGE - this score counts toward nothing",IF(AND($G68="Score",$K68="",$J68&lt;&gt;"",$J68&lt;&gt;"Pending"),"RESULT WITHOUT A SCORE",IF(AND($G68="Pass/Fail",$K68&lt;&gt;""),"SCORE ON A PASS-FAIL CATEGORY - it is ignored",IF(AND($E68="Firearms",$J68&lt;&gt;"",$J68&lt;&gt;"Pending",$R68=""),"FIREARMS ROW WITH NO COURSE OF FIRE","OK"))))))</f>
        <v/>
      </c>
    </row>
    <row r="69">
      <c r="B69" s="17">
        <f>IF($C69="","",$D69&amp;"-"&amp;$E69&amp;"-"&amp;$I69)</f>
        <v/>
      </c>
      <c r="C69" s="16" t="n"/>
      <c r="D69" s="17">
        <f>IF($C69="","",IFERROR(INDEX(rngCadetPIDs,MATCH($C69,rngCadetNames,0)),"?"))</f>
        <v/>
      </c>
      <c r="E69" s="16" t="n"/>
      <c r="F69" s="17">
        <f>IF($E69="","",IFERROR(INDEX(rngSM_max,MATCH($E69,rngSM_cat,0)),""))</f>
        <v/>
      </c>
      <c r="G69" s="17">
        <f>IF($E69="","",IFERROR(INDEX(rngSM_mode,MATCH($E69,rngSM_cat,0)),""))</f>
        <v/>
      </c>
      <c r="H69" s="17">
        <f>IF($E69="","",IFERROR(INDEX(rngSM_pass,MATCH($E69,rngSM_cat,0)),""))</f>
        <v/>
      </c>
      <c r="I69" s="16" t="n"/>
      <c r="J69" s="16" t="n"/>
      <c r="K69" s="16" t="n"/>
      <c r="L69" s="18" t="n"/>
      <c r="M69" s="16" t="n"/>
      <c r="N69" s="17">
        <f>IF($C69="","",MAX(_xlfn.MAXIFS(nrSK_Att,nrSK_PID,$D69,nrSK_Cat,$E69,nrSK_Res,"Pass"),_xlfn.MAXIFS(nrSK_Att,nrSK_PID,$D69,nrSK_Cat,$E69,nrSK_Res,"Fail")))</f>
        <v/>
      </c>
      <c r="O69" s="17">
        <f>IF($C69="","",IF(AND(MAX(_xlfn.MAXIFS(nrSK_Att,nrSK_PID,$D69,nrSK_Cat,$E69,nrSK_Res,"Pass"),_xlfn.MAXIFS(nrSK_Att,nrSK_PID,$D69,nrSK_Cat,$E69,nrSK_Res,"Fail"))&gt;0,N($I69)&lt;MAX(_xlfn.MAXIFS(nrSK_Att,nrSK_PID,$D69,nrSK_Cat,$E69,nrSK_Res,"Pass"),_xlfn.MAXIFS(nrSK_Att,nrSK_PID,$D69,nrSK_Cat,$E69,nrSK_Res,"Fail"))),"(superseded)",IF(OR($J69="",$J69="Pending"),"Pending",IF($J69="Pass","Qualified",IF(AND($J69="Fail",$N69&gt;=$F69),"FAILED OUT","Needs Remediation")))))</f>
        <v/>
      </c>
      <c r="P69" s="17">
        <f>IF($C69="","",IF($O69="FAILED OUT","Yes","No"))</f>
        <v/>
      </c>
      <c r="Q69" s="16" t="n"/>
      <c r="R69" s="16" t="n"/>
      <c r="S69" s="17">
        <f>IF($C69="","",IF(AND($K69&lt;&gt;"",NOT(ISNUMBER($K69))),"SCORE NOT A NUMBER",IF(AND(ISNUMBER($K69),OR($K69&lt;0,$K69&gt;100)),"SCORE OUT OF RANGE - this score counts toward nothing",IF(AND($G69="Score",$K69="",$J69&lt;&gt;"",$J69&lt;&gt;"Pending"),"RESULT WITHOUT A SCORE",IF(AND($G69="Pass/Fail",$K69&lt;&gt;""),"SCORE ON A PASS-FAIL CATEGORY - it is ignored",IF(AND($E69="Firearms",$J69&lt;&gt;"",$J69&lt;&gt;"Pending",$R69=""),"FIREARMS ROW WITH NO COURSE OF FIRE","OK"))))))</f>
        <v/>
      </c>
    </row>
    <row r="70">
      <c r="B70" s="17">
        <f>IF($C70="","",$D70&amp;"-"&amp;$E70&amp;"-"&amp;$I70)</f>
        <v/>
      </c>
      <c r="C70" s="16" t="n"/>
      <c r="D70" s="17">
        <f>IF($C70="","",IFERROR(INDEX(rngCadetPIDs,MATCH($C70,rngCadetNames,0)),"?"))</f>
        <v/>
      </c>
      <c r="E70" s="16" t="n"/>
      <c r="F70" s="17">
        <f>IF($E70="","",IFERROR(INDEX(rngSM_max,MATCH($E70,rngSM_cat,0)),""))</f>
        <v/>
      </c>
      <c r="G70" s="17">
        <f>IF($E70="","",IFERROR(INDEX(rngSM_mode,MATCH($E70,rngSM_cat,0)),""))</f>
        <v/>
      </c>
      <c r="H70" s="17">
        <f>IF($E70="","",IFERROR(INDEX(rngSM_pass,MATCH($E70,rngSM_cat,0)),""))</f>
        <v/>
      </c>
      <c r="I70" s="16" t="n"/>
      <c r="J70" s="16" t="n"/>
      <c r="K70" s="16" t="n"/>
      <c r="L70" s="18" t="n"/>
      <c r="M70" s="16" t="n"/>
      <c r="N70" s="17">
        <f>IF($C70="","",MAX(_xlfn.MAXIFS(nrSK_Att,nrSK_PID,$D70,nrSK_Cat,$E70,nrSK_Res,"Pass"),_xlfn.MAXIFS(nrSK_Att,nrSK_PID,$D70,nrSK_Cat,$E70,nrSK_Res,"Fail")))</f>
        <v/>
      </c>
      <c r="O70" s="17">
        <f>IF($C70="","",IF(AND(MAX(_xlfn.MAXIFS(nrSK_Att,nrSK_PID,$D70,nrSK_Cat,$E70,nrSK_Res,"Pass"),_xlfn.MAXIFS(nrSK_Att,nrSK_PID,$D70,nrSK_Cat,$E70,nrSK_Res,"Fail"))&gt;0,N($I70)&lt;MAX(_xlfn.MAXIFS(nrSK_Att,nrSK_PID,$D70,nrSK_Cat,$E70,nrSK_Res,"Pass"),_xlfn.MAXIFS(nrSK_Att,nrSK_PID,$D70,nrSK_Cat,$E70,nrSK_Res,"Fail"))),"(superseded)",IF(OR($J70="",$J70="Pending"),"Pending",IF($J70="Pass","Qualified",IF(AND($J70="Fail",$N70&gt;=$F70),"FAILED OUT","Needs Remediation")))))</f>
        <v/>
      </c>
      <c r="P70" s="17">
        <f>IF($C70="","",IF($O70="FAILED OUT","Yes","No"))</f>
        <v/>
      </c>
      <c r="Q70" s="16" t="n"/>
      <c r="R70" s="16" t="n"/>
      <c r="S70" s="17">
        <f>IF($C70="","",IF(AND($K70&lt;&gt;"",NOT(ISNUMBER($K70))),"SCORE NOT A NUMBER",IF(AND(ISNUMBER($K70),OR($K70&lt;0,$K70&gt;100)),"SCORE OUT OF RANGE - this score counts toward nothing",IF(AND($G70="Score",$K70="",$J70&lt;&gt;"",$J70&lt;&gt;"Pending"),"RESULT WITHOUT A SCORE",IF(AND($G70="Pass/Fail",$K70&lt;&gt;""),"SCORE ON A PASS-FAIL CATEGORY - it is ignored",IF(AND($E70="Firearms",$J70&lt;&gt;"",$J70&lt;&gt;"Pending",$R70=""),"FIREARMS ROW WITH NO COURSE OF FIRE","OK"))))))</f>
        <v/>
      </c>
    </row>
    <row r="71">
      <c r="B71" s="17">
        <f>IF($C71="","",$D71&amp;"-"&amp;$E71&amp;"-"&amp;$I71)</f>
        <v/>
      </c>
      <c r="C71" s="16" t="n"/>
      <c r="D71" s="17">
        <f>IF($C71="","",IFERROR(INDEX(rngCadetPIDs,MATCH($C71,rngCadetNames,0)),"?"))</f>
        <v/>
      </c>
      <c r="E71" s="16" t="n"/>
      <c r="F71" s="17">
        <f>IF($E71="","",IFERROR(INDEX(rngSM_max,MATCH($E71,rngSM_cat,0)),""))</f>
        <v/>
      </c>
      <c r="G71" s="17">
        <f>IF($E71="","",IFERROR(INDEX(rngSM_mode,MATCH($E71,rngSM_cat,0)),""))</f>
        <v/>
      </c>
      <c r="H71" s="17">
        <f>IF($E71="","",IFERROR(INDEX(rngSM_pass,MATCH($E71,rngSM_cat,0)),""))</f>
        <v/>
      </c>
      <c r="I71" s="16" t="n"/>
      <c r="J71" s="16" t="n"/>
      <c r="K71" s="16" t="n"/>
      <c r="L71" s="18" t="n"/>
      <c r="M71" s="16" t="n"/>
      <c r="N71" s="17">
        <f>IF($C71="","",MAX(_xlfn.MAXIFS(nrSK_Att,nrSK_PID,$D71,nrSK_Cat,$E71,nrSK_Res,"Pass"),_xlfn.MAXIFS(nrSK_Att,nrSK_PID,$D71,nrSK_Cat,$E71,nrSK_Res,"Fail")))</f>
        <v/>
      </c>
      <c r="O71" s="17">
        <f>IF($C71="","",IF(AND(MAX(_xlfn.MAXIFS(nrSK_Att,nrSK_PID,$D71,nrSK_Cat,$E71,nrSK_Res,"Pass"),_xlfn.MAXIFS(nrSK_Att,nrSK_PID,$D71,nrSK_Cat,$E71,nrSK_Res,"Fail"))&gt;0,N($I71)&lt;MAX(_xlfn.MAXIFS(nrSK_Att,nrSK_PID,$D71,nrSK_Cat,$E71,nrSK_Res,"Pass"),_xlfn.MAXIFS(nrSK_Att,nrSK_PID,$D71,nrSK_Cat,$E71,nrSK_Res,"Fail"))),"(superseded)",IF(OR($J71="",$J71="Pending"),"Pending",IF($J71="Pass","Qualified",IF(AND($J71="Fail",$N71&gt;=$F71),"FAILED OUT","Needs Remediation")))))</f>
        <v/>
      </c>
      <c r="P71" s="17">
        <f>IF($C71="","",IF($O71="FAILED OUT","Yes","No"))</f>
        <v/>
      </c>
      <c r="Q71" s="16" t="n"/>
      <c r="R71" s="16" t="n"/>
      <c r="S71" s="17">
        <f>IF($C71="","",IF(AND($K71&lt;&gt;"",NOT(ISNUMBER($K71))),"SCORE NOT A NUMBER",IF(AND(ISNUMBER($K71),OR($K71&lt;0,$K71&gt;100)),"SCORE OUT OF RANGE - this score counts toward nothing",IF(AND($G71="Score",$K71="",$J71&lt;&gt;"",$J71&lt;&gt;"Pending"),"RESULT WITHOUT A SCORE",IF(AND($G71="Pass/Fail",$K71&lt;&gt;""),"SCORE ON A PASS-FAIL CATEGORY - it is ignored",IF(AND($E71="Firearms",$J71&lt;&gt;"",$J71&lt;&gt;"Pending",$R71=""),"FIREARMS ROW WITH NO COURSE OF FIRE","OK"))))))</f>
        <v/>
      </c>
    </row>
    <row r="72">
      <c r="B72" s="17">
        <f>IF($C72="","",$D72&amp;"-"&amp;$E72&amp;"-"&amp;$I72)</f>
        <v/>
      </c>
      <c r="C72" s="16" t="n"/>
      <c r="D72" s="17">
        <f>IF($C72="","",IFERROR(INDEX(rngCadetPIDs,MATCH($C72,rngCadetNames,0)),"?"))</f>
        <v/>
      </c>
      <c r="E72" s="16" t="n"/>
      <c r="F72" s="17">
        <f>IF($E72="","",IFERROR(INDEX(rngSM_max,MATCH($E72,rngSM_cat,0)),""))</f>
        <v/>
      </c>
      <c r="G72" s="17">
        <f>IF($E72="","",IFERROR(INDEX(rngSM_mode,MATCH($E72,rngSM_cat,0)),""))</f>
        <v/>
      </c>
      <c r="H72" s="17">
        <f>IF($E72="","",IFERROR(INDEX(rngSM_pass,MATCH($E72,rngSM_cat,0)),""))</f>
        <v/>
      </c>
      <c r="I72" s="16" t="n"/>
      <c r="J72" s="16" t="n"/>
      <c r="K72" s="16" t="n"/>
      <c r="L72" s="18" t="n"/>
      <c r="M72" s="16" t="n"/>
      <c r="N72" s="17">
        <f>IF($C72="","",MAX(_xlfn.MAXIFS(nrSK_Att,nrSK_PID,$D72,nrSK_Cat,$E72,nrSK_Res,"Pass"),_xlfn.MAXIFS(nrSK_Att,nrSK_PID,$D72,nrSK_Cat,$E72,nrSK_Res,"Fail")))</f>
        <v/>
      </c>
      <c r="O72" s="17">
        <f>IF($C72="","",IF(AND(MAX(_xlfn.MAXIFS(nrSK_Att,nrSK_PID,$D72,nrSK_Cat,$E72,nrSK_Res,"Pass"),_xlfn.MAXIFS(nrSK_Att,nrSK_PID,$D72,nrSK_Cat,$E72,nrSK_Res,"Fail"))&gt;0,N($I72)&lt;MAX(_xlfn.MAXIFS(nrSK_Att,nrSK_PID,$D72,nrSK_Cat,$E72,nrSK_Res,"Pass"),_xlfn.MAXIFS(nrSK_Att,nrSK_PID,$D72,nrSK_Cat,$E72,nrSK_Res,"Fail"))),"(superseded)",IF(OR($J72="",$J72="Pending"),"Pending",IF($J72="Pass","Qualified",IF(AND($J72="Fail",$N72&gt;=$F72),"FAILED OUT","Needs Remediation")))))</f>
        <v/>
      </c>
      <c r="P72" s="17">
        <f>IF($C72="","",IF($O72="FAILED OUT","Yes","No"))</f>
        <v/>
      </c>
      <c r="Q72" s="16" t="n"/>
      <c r="R72" s="16" t="n"/>
      <c r="S72" s="17">
        <f>IF($C72="","",IF(AND($K72&lt;&gt;"",NOT(ISNUMBER($K72))),"SCORE NOT A NUMBER",IF(AND(ISNUMBER($K72),OR($K72&lt;0,$K72&gt;100)),"SCORE OUT OF RANGE - this score counts toward nothing",IF(AND($G72="Score",$K72="",$J72&lt;&gt;"",$J72&lt;&gt;"Pending"),"RESULT WITHOUT A SCORE",IF(AND($G72="Pass/Fail",$K72&lt;&gt;""),"SCORE ON A PASS-FAIL CATEGORY - it is ignored",IF(AND($E72="Firearms",$J72&lt;&gt;"",$J72&lt;&gt;"Pending",$R72=""),"FIREARMS ROW WITH NO COURSE OF FIRE","OK"))))))</f>
        <v/>
      </c>
    </row>
    <row r="73">
      <c r="B73" s="17">
        <f>IF($C73="","",$D73&amp;"-"&amp;$E73&amp;"-"&amp;$I73)</f>
        <v/>
      </c>
      <c r="C73" s="16" t="n"/>
      <c r="D73" s="17">
        <f>IF($C73="","",IFERROR(INDEX(rngCadetPIDs,MATCH($C73,rngCadetNames,0)),"?"))</f>
        <v/>
      </c>
      <c r="E73" s="16" t="n"/>
      <c r="F73" s="17">
        <f>IF($E73="","",IFERROR(INDEX(rngSM_max,MATCH($E73,rngSM_cat,0)),""))</f>
        <v/>
      </c>
      <c r="G73" s="17">
        <f>IF($E73="","",IFERROR(INDEX(rngSM_mode,MATCH($E73,rngSM_cat,0)),""))</f>
        <v/>
      </c>
      <c r="H73" s="17">
        <f>IF($E73="","",IFERROR(INDEX(rngSM_pass,MATCH($E73,rngSM_cat,0)),""))</f>
        <v/>
      </c>
      <c r="I73" s="16" t="n"/>
      <c r="J73" s="16" t="n"/>
      <c r="K73" s="16" t="n"/>
      <c r="L73" s="18" t="n"/>
      <c r="M73" s="16" t="n"/>
      <c r="N73" s="17">
        <f>IF($C73="","",MAX(_xlfn.MAXIFS(nrSK_Att,nrSK_PID,$D73,nrSK_Cat,$E73,nrSK_Res,"Pass"),_xlfn.MAXIFS(nrSK_Att,nrSK_PID,$D73,nrSK_Cat,$E73,nrSK_Res,"Fail")))</f>
        <v/>
      </c>
      <c r="O73" s="17">
        <f>IF($C73="","",IF(AND(MAX(_xlfn.MAXIFS(nrSK_Att,nrSK_PID,$D73,nrSK_Cat,$E73,nrSK_Res,"Pass"),_xlfn.MAXIFS(nrSK_Att,nrSK_PID,$D73,nrSK_Cat,$E73,nrSK_Res,"Fail"))&gt;0,N($I73)&lt;MAX(_xlfn.MAXIFS(nrSK_Att,nrSK_PID,$D73,nrSK_Cat,$E73,nrSK_Res,"Pass"),_xlfn.MAXIFS(nrSK_Att,nrSK_PID,$D73,nrSK_Cat,$E73,nrSK_Res,"Fail"))),"(superseded)",IF(OR($J73="",$J73="Pending"),"Pending",IF($J73="Pass","Qualified",IF(AND($J73="Fail",$N73&gt;=$F73),"FAILED OUT","Needs Remediation")))))</f>
        <v/>
      </c>
      <c r="P73" s="17">
        <f>IF($C73="","",IF($O73="FAILED OUT","Yes","No"))</f>
        <v/>
      </c>
      <c r="Q73" s="16" t="n"/>
      <c r="R73" s="16" t="n"/>
      <c r="S73" s="17">
        <f>IF($C73="","",IF(AND($K73&lt;&gt;"",NOT(ISNUMBER($K73))),"SCORE NOT A NUMBER",IF(AND(ISNUMBER($K73),OR($K73&lt;0,$K73&gt;100)),"SCORE OUT OF RANGE - this score counts toward nothing",IF(AND($G73="Score",$K73="",$J73&lt;&gt;"",$J73&lt;&gt;"Pending"),"RESULT WITHOUT A SCORE",IF(AND($G73="Pass/Fail",$K73&lt;&gt;""),"SCORE ON A PASS-FAIL CATEGORY - it is ignored",IF(AND($E73="Firearms",$J73&lt;&gt;"",$J73&lt;&gt;"Pending",$R73=""),"FIREARMS ROW WITH NO COURSE OF FIRE","OK"))))))</f>
        <v/>
      </c>
    </row>
    <row r="74">
      <c r="B74" s="17">
        <f>IF($C74="","",$D74&amp;"-"&amp;$E74&amp;"-"&amp;$I74)</f>
        <v/>
      </c>
      <c r="C74" s="16" t="n"/>
      <c r="D74" s="17">
        <f>IF($C74="","",IFERROR(INDEX(rngCadetPIDs,MATCH($C74,rngCadetNames,0)),"?"))</f>
        <v/>
      </c>
      <c r="E74" s="16" t="n"/>
      <c r="F74" s="17">
        <f>IF($E74="","",IFERROR(INDEX(rngSM_max,MATCH($E74,rngSM_cat,0)),""))</f>
        <v/>
      </c>
      <c r="G74" s="17">
        <f>IF($E74="","",IFERROR(INDEX(rngSM_mode,MATCH($E74,rngSM_cat,0)),""))</f>
        <v/>
      </c>
      <c r="H74" s="17">
        <f>IF($E74="","",IFERROR(INDEX(rngSM_pass,MATCH($E74,rngSM_cat,0)),""))</f>
        <v/>
      </c>
      <c r="I74" s="16" t="n"/>
      <c r="J74" s="16" t="n"/>
      <c r="K74" s="16" t="n"/>
      <c r="L74" s="18" t="n"/>
      <c r="M74" s="16" t="n"/>
      <c r="N74" s="17">
        <f>IF($C74="","",MAX(_xlfn.MAXIFS(nrSK_Att,nrSK_PID,$D74,nrSK_Cat,$E74,nrSK_Res,"Pass"),_xlfn.MAXIFS(nrSK_Att,nrSK_PID,$D74,nrSK_Cat,$E74,nrSK_Res,"Fail")))</f>
        <v/>
      </c>
      <c r="O74" s="17">
        <f>IF($C74="","",IF(AND(MAX(_xlfn.MAXIFS(nrSK_Att,nrSK_PID,$D74,nrSK_Cat,$E74,nrSK_Res,"Pass"),_xlfn.MAXIFS(nrSK_Att,nrSK_PID,$D74,nrSK_Cat,$E74,nrSK_Res,"Fail"))&gt;0,N($I74)&lt;MAX(_xlfn.MAXIFS(nrSK_Att,nrSK_PID,$D74,nrSK_Cat,$E74,nrSK_Res,"Pass"),_xlfn.MAXIFS(nrSK_Att,nrSK_PID,$D74,nrSK_Cat,$E74,nrSK_Res,"Fail"))),"(superseded)",IF(OR($J74="",$J74="Pending"),"Pending",IF($J74="Pass","Qualified",IF(AND($J74="Fail",$N74&gt;=$F74),"FAILED OUT","Needs Remediation")))))</f>
        <v/>
      </c>
      <c r="P74" s="17">
        <f>IF($C74="","",IF($O74="FAILED OUT","Yes","No"))</f>
        <v/>
      </c>
      <c r="Q74" s="16" t="n"/>
      <c r="R74" s="16" t="n"/>
      <c r="S74" s="17">
        <f>IF($C74="","",IF(AND($K74&lt;&gt;"",NOT(ISNUMBER($K74))),"SCORE NOT A NUMBER",IF(AND(ISNUMBER($K74),OR($K74&lt;0,$K74&gt;100)),"SCORE OUT OF RANGE - this score counts toward nothing",IF(AND($G74="Score",$K74="",$J74&lt;&gt;"",$J74&lt;&gt;"Pending"),"RESULT WITHOUT A SCORE",IF(AND($G74="Pass/Fail",$K74&lt;&gt;""),"SCORE ON A PASS-FAIL CATEGORY - it is ignored",IF(AND($E74="Firearms",$J74&lt;&gt;"",$J74&lt;&gt;"Pending",$R74=""),"FIREARMS ROW WITH NO COURSE OF FIRE","OK"))))))</f>
        <v/>
      </c>
    </row>
    <row r="75">
      <c r="B75" s="17">
        <f>IF($C75="","",$D75&amp;"-"&amp;$E75&amp;"-"&amp;$I75)</f>
        <v/>
      </c>
      <c r="C75" s="16" t="n"/>
      <c r="D75" s="17">
        <f>IF($C75="","",IFERROR(INDEX(rngCadetPIDs,MATCH($C75,rngCadetNames,0)),"?"))</f>
        <v/>
      </c>
      <c r="E75" s="16" t="n"/>
      <c r="F75" s="17">
        <f>IF($E75="","",IFERROR(INDEX(rngSM_max,MATCH($E75,rngSM_cat,0)),""))</f>
        <v/>
      </c>
      <c r="G75" s="17">
        <f>IF($E75="","",IFERROR(INDEX(rngSM_mode,MATCH($E75,rngSM_cat,0)),""))</f>
        <v/>
      </c>
      <c r="H75" s="17">
        <f>IF($E75="","",IFERROR(INDEX(rngSM_pass,MATCH($E75,rngSM_cat,0)),""))</f>
        <v/>
      </c>
      <c r="I75" s="16" t="n"/>
      <c r="J75" s="16" t="n"/>
      <c r="K75" s="16" t="n"/>
      <c r="L75" s="18" t="n"/>
      <c r="M75" s="16" t="n"/>
      <c r="N75" s="17">
        <f>IF($C75="","",MAX(_xlfn.MAXIFS(nrSK_Att,nrSK_PID,$D75,nrSK_Cat,$E75,nrSK_Res,"Pass"),_xlfn.MAXIFS(nrSK_Att,nrSK_PID,$D75,nrSK_Cat,$E75,nrSK_Res,"Fail")))</f>
        <v/>
      </c>
      <c r="O75" s="17">
        <f>IF($C75="","",IF(AND(MAX(_xlfn.MAXIFS(nrSK_Att,nrSK_PID,$D75,nrSK_Cat,$E75,nrSK_Res,"Pass"),_xlfn.MAXIFS(nrSK_Att,nrSK_PID,$D75,nrSK_Cat,$E75,nrSK_Res,"Fail"))&gt;0,N($I75)&lt;MAX(_xlfn.MAXIFS(nrSK_Att,nrSK_PID,$D75,nrSK_Cat,$E75,nrSK_Res,"Pass"),_xlfn.MAXIFS(nrSK_Att,nrSK_PID,$D75,nrSK_Cat,$E75,nrSK_Res,"Fail"))),"(superseded)",IF(OR($J75="",$J75="Pending"),"Pending",IF($J75="Pass","Qualified",IF(AND($J75="Fail",$N75&gt;=$F75),"FAILED OUT","Needs Remediation")))))</f>
        <v/>
      </c>
      <c r="P75" s="17">
        <f>IF($C75="","",IF($O75="FAILED OUT","Yes","No"))</f>
        <v/>
      </c>
      <c r="Q75" s="16" t="n"/>
      <c r="R75" s="16" t="n"/>
      <c r="S75" s="17">
        <f>IF($C75="","",IF(AND($K75&lt;&gt;"",NOT(ISNUMBER($K75))),"SCORE NOT A NUMBER",IF(AND(ISNUMBER($K75),OR($K75&lt;0,$K75&gt;100)),"SCORE OUT OF RANGE - this score counts toward nothing",IF(AND($G75="Score",$K75="",$J75&lt;&gt;"",$J75&lt;&gt;"Pending"),"RESULT WITHOUT A SCORE",IF(AND($G75="Pass/Fail",$K75&lt;&gt;""),"SCORE ON A PASS-FAIL CATEGORY - it is ignored",IF(AND($E75="Firearms",$J75&lt;&gt;"",$J75&lt;&gt;"Pending",$R75=""),"FIREARMS ROW WITH NO COURSE OF FIRE","OK"))))))</f>
        <v/>
      </c>
    </row>
    <row r="76">
      <c r="B76" s="17">
        <f>IF($C76="","",$D76&amp;"-"&amp;$E76&amp;"-"&amp;$I76)</f>
        <v/>
      </c>
      <c r="C76" s="16" t="n"/>
      <c r="D76" s="17">
        <f>IF($C76="","",IFERROR(INDEX(rngCadetPIDs,MATCH($C76,rngCadetNames,0)),"?"))</f>
        <v/>
      </c>
      <c r="E76" s="16" t="n"/>
      <c r="F76" s="17">
        <f>IF($E76="","",IFERROR(INDEX(rngSM_max,MATCH($E76,rngSM_cat,0)),""))</f>
        <v/>
      </c>
      <c r="G76" s="17">
        <f>IF($E76="","",IFERROR(INDEX(rngSM_mode,MATCH($E76,rngSM_cat,0)),""))</f>
        <v/>
      </c>
      <c r="H76" s="17">
        <f>IF($E76="","",IFERROR(INDEX(rngSM_pass,MATCH($E76,rngSM_cat,0)),""))</f>
        <v/>
      </c>
      <c r="I76" s="16" t="n"/>
      <c r="J76" s="16" t="n"/>
      <c r="K76" s="16" t="n"/>
      <c r="L76" s="18" t="n"/>
      <c r="M76" s="16" t="n"/>
      <c r="N76" s="17">
        <f>IF($C76="","",MAX(_xlfn.MAXIFS(nrSK_Att,nrSK_PID,$D76,nrSK_Cat,$E76,nrSK_Res,"Pass"),_xlfn.MAXIFS(nrSK_Att,nrSK_PID,$D76,nrSK_Cat,$E76,nrSK_Res,"Fail")))</f>
        <v/>
      </c>
      <c r="O76" s="17">
        <f>IF($C76="","",IF(AND(MAX(_xlfn.MAXIFS(nrSK_Att,nrSK_PID,$D76,nrSK_Cat,$E76,nrSK_Res,"Pass"),_xlfn.MAXIFS(nrSK_Att,nrSK_PID,$D76,nrSK_Cat,$E76,nrSK_Res,"Fail"))&gt;0,N($I76)&lt;MAX(_xlfn.MAXIFS(nrSK_Att,nrSK_PID,$D76,nrSK_Cat,$E76,nrSK_Res,"Pass"),_xlfn.MAXIFS(nrSK_Att,nrSK_PID,$D76,nrSK_Cat,$E76,nrSK_Res,"Fail"))),"(superseded)",IF(OR($J76="",$J76="Pending"),"Pending",IF($J76="Pass","Qualified",IF(AND($J76="Fail",$N76&gt;=$F76),"FAILED OUT","Needs Remediation")))))</f>
        <v/>
      </c>
      <c r="P76" s="17">
        <f>IF($C76="","",IF($O76="FAILED OUT","Yes","No"))</f>
        <v/>
      </c>
      <c r="Q76" s="16" t="n"/>
      <c r="R76" s="16" t="n"/>
      <c r="S76" s="17">
        <f>IF($C76="","",IF(AND($K76&lt;&gt;"",NOT(ISNUMBER($K76))),"SCORE NOT A NUMBER",IF(AND(ISNUMBER($K76),OR($K76&lt;0,$K76&gt;100)),"SCORE OUT OF RANGE - this score counts toward nothing",IF(AND($G76="Score",$K76="",$J76&lt;&gt;"",$J76&lt;&gt;"Pending"),"RESULT WITHOUT A SCORE",IF(AND($G76="Pass/Fail",$K76&lt;&gt;""),"SCORE ON A PASS-FAIL CATEGORY - it is ignored",IF(AND($E76="Firearms",$J76&lt;&gt;"",$J76&lt;&gt;"Pending",$R76=""),"FIREARMS ROW WITH NO COURSE OF FIRE","OK"))))))</f>
        <v/>
      </c>
    </row>
    <row r="77">
      <c r="B77" s="17">
        <f>IF($C77="","",$D77&amp;"-"&amp;$E77&amp;"-"&amp;$I77)</f>
        <v/>
      </c>
      <c r="C77" s="16" t="n"/>
      <c r="D77" s="17">
        <f>IF($C77="","",IFERROR(INDEX(rngCadetPIDs,MATCH($C77,rngCadetNames,0)),"?"))</f>
        <v/>
      </c>
      <c r="E77" s="16" t="n"/>
      <c r="F77" s="17">
        <f>IF($E77="","",IFERROR(INDEX(rngSM_max,MATCH($E77,rngSM_cat,0)),""))</f>
        <v/>
      </c>
      <c r="G77" s="17">
        <f>IF($E77="","",IFERROR(INDEX(rngSM_mode,MATCH($E77,rngSM_cat,0)),""))</f>
        <v/>
      </c>
      <c r="H77" s="17">
        <f>IF($E77="","",IFERROR(INDEX(rngSM_pass,MATCH($E77,rngSM_cat,0)),""))</f>
        <v/>
      </c>
      <c r="I77" s="16" t="n"/>
      <c r="J77" s="16" t="n"/>
      <c r="K77" s="16" t="n"/>
      <c r="L77" s="18" t="n"/>
      <c r="M77" s="16" t="n"/>
      <c r="N77" s="17">
        <f>IF($C77="","",MAX(_xlfn.MAXIFS(nrSK_Att,nrSK_PID,$D77,nrSK_Cat,$E77,nrSK_Res,"Pass"),_xlfn.MAXIFS(nrSK_Att,nrSK_PID,$D77,nrSK_Cat,$E77,nrSK_Res,"Fail")))</f>
        <v/>
      </c>
      <c r="O77" s="17">
        <f>IF($C77="","",IF(AND(MAX(_xlfn.MAXIFS(nrSK_Att,nrSK_PID,$D77,nrSK_Cat,$E77,nrSK_Res,"Pass"),_xlfn.MAXIFS(nrSK_Att,nrSK_PID,$D77,nrSK_Cat,$E77,nrSK_Res,"Fail"))&gt;0,N($I77)&lt;MAX(_xlfn.MAXIFS(nrSK_Att,nrSK_PID,$D77,nrSK_Cat,$E77,nrSK_Res,"Pass"),_xlfn.MAXIFS(nrSK_Att,nrSK_PID,$D77,nrSK_Cat,$E77,nrSK_Res,"Fail"))),"(superseded)",IF(OR($J77="",$J77="Pending"),"Pending",IF($J77="Pass","Qualified",IF(AND($J77="Fail",$N77&gt;=$F77),"FAILED OUT","Needs Remediation")))))</f>
        <v/>
      </c>
      <c r="P77" s="17">
        <f>IF($C77="","",IF($O77="FAILED OUT","Yes","No"))</f>
        <v/>
      </c>
      <c r="Q77" s="16" t="n"/>
      <c r="R77" s="16" t="n"/>
      <c r="S77" s="17">
        <f>IF($C77="","",IF(AND($K77&lt;&gt;"",NOT(ISNUMBER($K77))),"SCORE NOT A NUMBER",IF(AND(ISNUMBER($K77),OR($K77&lt;0,$K77&gt;100)),"SCORE OUT OF RANGE - this score counts toward nothing",IF(AND($G77="Score",$K77="",$J77&lt;&gt;"",$J77&lt;&gt;"Pending"),"RESULT WITHOUT A SCORE",IF(AND($G77="Pass/Fail",$K77&lt;&gt;""),"SCORE ON A PASS-FAIL CATEGORY - it is ignored",IF(AND($E77="Firearms",$J77&lt;&gt;"",$J77&lt;&gt;"Pending",$R77=""),"FIREARMS ROW WITH NO COURSE OF FIRE","OK"))))))</f>
        <v/>
      </c>
    </row>
    <row r="78">
      <c r="B78" s="17">
        <f>IF($C78="","",$D78&amp;"-"&amp;$E78&amp;"-"&amp;$I78)</f>
        <v/>
      </c>
      <c r="C78" s="16" t="n"/>
      <c r="D78" s="17">
        <f>IF($C78="","",IFERROR(INDEX(rngCadetPIDs,MATCH($C78,rngCadetNames,0)),"?"))</f>
        <v/>
      </c>
      <c r="E78" s="16" t="n"/>
      <c r="F78" s="17">
        <f>IF($E78="","",IFERROR(INDEX(rngSM_max,MATCH($E78,rngSM_cat,0)),""))</f>
        <v/>
      </c>
      <c r="G78" s="17">
        <f>IF($E78="","",IFERROR(INDEX(rngSM_mode,MATCH($E78,rngSM_cat,0)),""))</f>
        <v/>
      </c>
      <c r="H78" s="17">
        <f>IF($E78="","",IFERROR(INDEX(rngSM_pass,MATCH($E78,rngSM_cat,0)),""))</f>
        <v/>
      </c>
      <c r="I78" s="16" t="n"/>
      <c r="J78" s="16" t="n"/>
      <c r="K78" s="16" t="n"/>
      <c r="L78" s="18" t="n"/>
      <c r="M78" s="16" t="n"/>
      <c r="N78" s="17">
        <f>IF($C78="","",MAX(_xlfn.MAXIFS(nrSK_Att,nrSK_PID,$D78,nrSK_Cat,$E78,nrSK_Res,"Pass"),_xlfn.MAXIFS(nrSK_Att,nrSK_PID,$D78,nrSK_Cat,$E78,nrSK_Res,"Fail")))</f>
        <v/>
      </c>
      <c r="O78" s="17">
        <f>IF($C78="","",IF(AND(MAX(_xlfn.MAXIFS(nrSK_Att,nrSK_PID,$D78,nrSK_Cat,$E78,nrSK_Res,"Pass"),_xlfn.MAXIFS(nrSK_Att,nrSK_PID,$D78,nrSK_Cat,$E78,nrSK_Res,"Fail"))&gt;0,N($I78)&lt;MAX(_xlfn.MAXIFS(nrSK_Att,nrSK_PID,$D78,nrSK_Cat,$E78,nrSK_Res,"Pass"),_xlfn.MAXIFS(nrSK_Att,nrSK_PID,$D78,nrSK_Cat,$E78,nrSK_Res,"Fail"))),"(superseded)",IF(OR($J78="",$J78="Pending"),"Pending",IF($J78="Pass","Qualified",IF(AND($J78="Fail",$N78&gt;=$F78),"FAILED OUT","Needs Remediation")))))</f>
        <v/>
      </c>
      <c r="P78" s="17">
        <f>IF($C78="","",IF($O78="FAILED OUT","Yes","No"))</f>
        <v/>
      </c>
      <c r="Q78" s="16" t="n"/>
      <c r="R78" s="16" t="n"/>
      <c r="S78" s="17">
        <f>IF($C78="","",IF(AND($K78&lt;&gt;"",NOT(ISNUMBER($K78))),"SCORE NOT A NUMBER",IF(AND(ISNUMBER($K78),OR($K78&lt;0,$K78&gt;100)),"SCORE OUT OF RANGE - this score counts toward nothing",IF(AND($G78="Score",$K78="",$J78&lt;&gt;"",$J78&lt;&gt;"Pending"),"RESULT WITHOUT A SCORE",IF(AND($G78="Pass/Fail",$K78&lt;&gt;""),"SCORE ON A PASS-FAIL CATEGORY - it is ignored",IF(AND($E78="Firearms",$J78&lt;&gt;"",$J78&lt;&gt;"Pending",$R78=""),"FIREARMS ROW WITH NO COURSE OF FIRE","OK"))))))</f>
        <v/>
      </c>
    </row>
    <row r="79">
      <c r="B79" s="17">
        <f>IF($C79="","",$D79&amp;"-"&amp;$E79&amp;"-"&amp;$I79)</f>
        <v/>
      </c>
      <c r="C79" s="16" t="n"/>
      <c r="D79" s="17">
        <f>IF($C79="","",IFERROR(INDEX(rngCadetPIDs,MATCH($C79,rngCadetNames,0)),"?"))</f>
        <v/>
      </c>
      <c r="E79" s="16" t="n"/>
      <c r="F79" s="17">
        <f>IF($E79="","",IFERROR(INDEX(rngSM_max,MATCH($E79,rngSM_cat,0)),""))</f>
        <v/>
      </c>
      <c r="G79" s="17">
        <f>IF($E79="","",IFERROR(INDEX(rngSM_mode,MATCH($E79,rngSM_cat,0)),""))</f>
        <v/>
      </c>
      <c r="H79" s="17">
        <f>IF($E79="","",IFERROR(INDEX(rngSM_pass,MATCH($E79,rngSM_cat,0)),""))</f>
        <v/>
      </c>
      <c r="I79" s="16" t="n"/>
      <c r="J79" s="16" t="n"/>
      <c r="K79" s="16" t="n"/>
      <c r="L79" s="18" t="n"/>
      <c r="M79" s="16" t="n"/>
      <c r="N79" s="17">
        <f>IF($C79="","",MAX(_xlfn.MAXIFS(nrSK_Att,nrSK_PID,$D79,nrSK_Cat,$E79,nrSK_Res,"Pass"),_xlfn.MAXIFS(nrSK_Att,nrSK_PID,$D79,nrSK_Cat,$E79,nrSK_Res,"Fail")))</f>
        <v/>
      </c>
      <c r="O79" s="17">
        <f>IF($C79="","",IF(AND(MAX(_xlfn.MAXIFS(nrSK_Att,nrSK_PID,$D79,nrSK_Cat,$E79,nrSK_Res,"Pass"),_xlfn.MAXIFS(nrSK_Att,nrSK_PID,$D79,nrSK_Cat,$E79,nrSK_Res,"Fail"))&gt;0,N($I79)&lt;MAX(_xlfn.MAXIFS(nrSK_Att,nrSK_PID,$D79,nrSK_Cat,$E79,nrSK_Res,"Pass"),_xlfn.MAXIFS(nrSK_Att,nrSK_PID,$D79,nrSK_Cat,$E79,nrSK_Res,"Fail"))),"(superseded)",IF(OR($J79="",$J79="Pending"),"Pending",IF($J79="Pass","Qualified",IF(AND($J79="Fail",$N79&gt;=$F79),"FAILED OUT","Needs Remediation")))))</f>
        <v/>
      </c>
      <c r="P79" s="17">
        <f>IF($C79="","",IF($O79="FAILED OUT","Yes","No"))</f>
        <v/>
      </c>
      <c r="Q79" s="16" t="n"/>
      <c r="R79" s="16" t="n"/>
      <c r="S79" s="17">
        <f>IF($C79="","",IF(AND($K79&lt;&gt;"",NOT(ISNUMBER($K79))),"SCORE NOT A NUMBER",IF(AND(ISNUMBER($K79),OR($K79&lt;0,$K79&gt;100)),"SCORE OUT OF RANGE - this score counts toward nothing",IF(AND($G79="Score",$K79="",$J79&lt;&gt;"",$J79&lt;&gt;"Pending"),"RESULT WITHOUT A SCORE",IF(AND($G79="Pass/Fail",$K79&lt;&gt;""),"SCORE ON A PASS-FAIL CATEGORY - it is ignored",IF(AND($E79="Firearms",$J79&lt;&gt;"",$J79&lt;&gt;"Pending",$R79=""),"FIREARMS ROW WITH NO COURSE OF FIRE","OK"))))))</f>
        <v/>
      </c>
    </row>
    <row r="80">
      <c r="B80" s="17">
        <f>IF($C80="","",$D80&amp;"-"&amp;$E80&amp;"-"&amp;$I80)</f>
        <v/>
      </c>
      <c r="C80" s="16" t="n"/>
      <c r="D80" s="17">
        <f>IF($C80="","",IFERROR(INDEX(rngCadetPIDs,MATCH($C80,rngCadetNames,0)),"?"))</f>
        <v/>
      </c>
      <c r="E80" s="16" t="n"/>
      <c r="F80" s="17">
        <f>IF($E80="","",IFERROR(INDEX(rngSM_max,MATCH($E80,rngSM_cat,0)),""))</f>
        <v/>
      </c>
      <c r="G80" s="17">
        <f>IF($E80="","",IFERROR(INDEX(rngSM_mode,MATCH($E80,rngSM_cat,0)),""))</f>
        <v/>
      </c>
      <c r="H80" s="17">
        <f>IF($E80="","",IFERROR(INDEX(rngSM_pass,MATCH($E80,rngSM_cat,0)),""))</f>
        <v/>
      </c>
      <c r="I80" s="16" t="n"/>
      <c r="J80" s="16" t="n"/>
      <c r="K80" s="16" t="n"/>
      <c r="L80" s="18" t="n"/>
      <c r="M80" s="16" t="n"/>
      <c r="N80" s="17">
        <f>IF($C80="","",MAX(_xlfn.MAXIFS(nrSK_Att,nrSK_PID,$D80,nrSK_Cat,$E80,nrSK_Res,"Pass"),_xlfn.MAXIFS(nrSK_Att,nrSK_PID,$D80,nrSK_Cat,$E80,nrSK_Res,"Fail")))</f>
        <v/>
      </c>
      <c r="O80" s="17">
        <f>IF($C80="","",IF(AND(MAX(_xlfn.MAXIFS(nrSK_Att,nrSK_PID,$D80,nrSK_Cat,$E80,nrSK_Res,"Pass"),_xlfn.MAXIFS(nrSK_Att,nrSK_PID,$D80,nrSK_Cat,$E80,nrSK_Res,"Fail"))&gt;0,N($I80)&lt;MAX(_xlfn.MAXIFS(nrSK_Att,nrSK_PID,$D80,nrSK_Cat,$E80,nrSK_Res,"Pass"),_xlfn.MAXIFS(nrSK_Att,nrSK_PID,$D80,nrSK_Cat,$E80,nrSK_Res,"Fail"))),"(superseded)",IF(OR($J80="",$J80="Pending"),"Pending",IF($J80="Pass","Qualified",IF(AND($J80="Fail",$N80&gt;=$F80),"FAILED OUT","Needs Remediation")))))</f>
        <v/>
      </c>
      <c r="P80" s="17">
        <f>IF($C80="","",IF($O80="FAILED OUT","Yes","No"))</f>
        <v/>
      </c>
      <c r="Q80" s="16" t="n"/>
      <c r="R80" s="16" t="n"/>
      <c r="S80" s="17">
        <f>IF($C80="","",IF(AND($K80&lt;&gt;"",NOT(ISNUMBER($K80))),"SCORE NOT A NUMBER",IF(AND(ISNUMBER($K80),OR($K80&lt;0,$K80&gt;100)),"SCORE OUT OF RANGE - this score counts toward nothing",IF(AND($G80="Score",$K80="",$J80&lt;&gt;"",$J80&lt;&gt;"Pending"),"RESULT WITHOUT A SCORE",IF(AND($G80="Pass/Fail",$K80&lt;&gt;""),"SCORE ON A PASS-FAIL CATEGORY - it is ignored",IF(AND($E80="Firearms",$J80&lt;&gt;"",$J80&lt;&gt;"Pending",$R80=""),"FIREARMS ROW WITH NO COURSE OF FIRE","OK"))))))</f>
        <v/>
      </c>
    </row>
    <row r="81">
      <c r="B81" s="17">
        <f>IF($C81="","",$D81&amp;"-"&amp;$E81&amp;"-"&amp;$I81)</f>
        <v/>
      </c>
      <c r="C81" s="16" t="n"/>
      <c r="D81" s="17">
        <f>IF($C81="","",IFERROR(INDEX(rngCadetPIDs,MATCH($C81,rngCadetNames,0)),"?"))</f>
        <v/>
      </c>
      <c r="E81" s="16" t="n"/>
      <c r="F81" s="17">
        <f>IF($E81="","",IFERROR(INDEX(rngSM_max,MATCH($E81,rngSM_cat,0)),""))</f>
        <v/>
      </c>
      <c r="G81" s="17">
        <f>IF($E81="","",IFERROR(INDEX(rngSM_mode,MATCH($E81,rngSM_cat,0)),""))</f>
        <v/>
      </c>
      <c r="H81" s="17">
        <f>IF($E81="","",IFERROR(INDEX(rngSM_pass,MATCH($E81,rngSM_cat,0)),""))</f>
        <v/>
      </c>
      <c r="I81" s="16" t="n"/>
      <c r="J81" s="16" t="n"/>
      <c r="K81" s="16" t="n"/>
      <c r="L81" s="18" t="n"/>
      <c r="M81" s="16" t="n"/>
      <c r="N81" s="17">
        <f>IF($C81="","",MAX(_xlfn.MAXIFS(nrSK_Att,nrSK_PID,$D81,nrSK_Cat,$E81,nrSK_Res,"Pass"),_xlfn.MAXIFS(nrSK_Att,nrSK_PID,$D81,nrSK_Cat,$E81,nrSK_Res,"Fail")))</f>
        <v/>
      </c>
      <c r="O81" s="17">
        <f>IF($C81="","",IF(AND(MAX(_xlfn.MAXIFS(nrSK_Att,nrSK_PID,$D81,nrSK_Cat,$E81,nrSK_Res,"Pass"),_xlfn.MAXIFS(nrSK_Att,nrSK_PID,$D81,nrSK_Cat,$E81,nrSK_Res,"Fail"))&gt;0,N($I81)&lt;MAX(_xlfn.MAXIFS(nrSK_Att,nrSK_PID,$D81,nrSK_Cat,$E81,nrSK_Res,"Pass"),_xlfn.MAXIFS(nrSK_Att,nrSK_PID,$D81,nrSK_Cat,$E81,nrSK_Res,"Fail"))),"(superseded)",IF(OR($J81="",$J81="Pending"),"Pending",IF($J81="Pass","Qualified",IF(AND($J81="Fail",$N81&gt;=$F81),"FAILED OUT","Needs Remediation")))))</f>
        <v/>
      </c>
      <c r="P81" s="17">
        <f>IF($C81="","",IF($O81="FAILED OUT","Yes","No"))</f>
        <v/>
      </c>
      <c r="Q81" s="16" t="n"/>
      <c r="R81" s="16" t="n"/>
      <c r="S81" s="17">
        <f>IF($C81="","",IF(AND($K81&lt;&gt;"",NOT(ISNUMBER($K81))),"SCORE NOT A NUMBER",IF(AND(ISNUMBER($K81),OR($K81&lt;0,$K81&gt;100)),"SCORE OUT OF RANGE - this score counts toward nothing",IF(AND($G81="Score",$K81="",$J81&lt;&gt;"",$J81&lt;&gt;"Pending"),"RESULT WITHOUT A SCORE",IF(AND($G81="Pass/Fail",$K81&lt;&gt;""),"SCORE ON A PASS-FAIL CATEGORY - it is ignored",IF(AND($E81="Firearms",$J81&lt;&gt;"",$J81&lt;&gt;"Pending",$R81=""),"FIREARMS ROW WITH NO COURSE OF FIRE","OK"))))))</f>
        <v/>
      </c>
    </row>
    <row r="82">
      <c r="B82" s="17">
        <f>IF($C82="","",$D82&amp;"-"&amp;$E82&amp;"-"&amp;$I82)</f>
        <v/>
      </c>
      <c r="C82" s="16" t="n"/>
      <c r="D82" s="17">
        <f>IF($C82="","",IFERROR(INDEX(rngCadetPIDs,MATCH($C82,rngCadetNames,0)),"?"))</f>
        <v/>
      </c>
      <c r="E82" s="16" t="n"/>
      <c r="F82" s="17">
        <f>IF($E82="","",IFERROR(INDEX(rngSM_max,MATCH($E82,rngSM_cat,0)),""))</f>
        <v/>
      </c>
      <c r="G82" s="17">
        <f>IF($E82="","",IFERROR(INDEX(rngSM_mode,MATCH($E82,rngSM_cat,0)),""))</f>
        <v/>
      </c>
      <c r="H82" s="17">
        <f>IF($E82="","",IFERROR(INDEX(rngSM_pass,MATCH($E82,rngSM_cat,0)),""))</f>
        <v/>
      </c>
      <c r="I82" s="16" t="n"/>
      <c r="J82" s="16" t="n"/>
      <c r="K82" s="16" t="n"/>
      <c r="L82" s="18" t="n"/>
      <c r="M82" s="16" t="n"/>
      <c r="N82" s="17">
        <f>IF($C82="","",MAX(_xlfn.MAXIFS(nrSK_Att,nrSK_PID,$D82,nrSK_Cat,$E82,nrSK_Res,"Pass"),_xlfn.MAXIFS(nrSK_Att,nrSK_PID,$D82,nrSK_Cat,$E82,nrSK_Res,"Fail")))</f>
        <v/>
      </c>
      <c r="O82" s="17">
        <f>IF($C82="","",IF(AND(MAX(_xlfn.MAXIFS(nrSK_Att,nrSK_PID,$D82,nrSK_Cat,$E82,nrSK_Res,"Pass"),_xlfn.MAXIFS(nrSK_Att,nrSK_PID,$D82,nrSK_Cat,$E82,nrSK_Res,"Fail"))&gt;0,N($I82)&lt;MAX(_xlfn.MAXIFS(nrSK_Att,nrSK_PID,$D82,nrSK_Cat,$E82,nrSK_Res,"Pass"),_xlfn.MAXIFS(nrSK_Att,nrSK_PID,$D82,nrSK_Cat,$E82,nrSK_Res,"Fail"))),"(superseded)",IF(OR($J82="",$J82="Pending"),"Pending",IF($J82="Pass","Qualified",IF(AND($J82="Fail",$N82&gt;=$F82),"FAILED OUT","Needs Remediation")))))</f>
        <v/>
      </c>
      <c r="P82" s="17">
        <f>IF($C82="","",IF($O82="FAILED OUT","Yes","No"))</f>
        <v/>
      </c>
      <c r="Q82" s="16" t="n"/>
      <c r="R82" s="16" t="n"/>
      <c r="S82" s="17">
        <f>IF($C82="","",IF(AND($K82&lt;&gt;"",NOT(ISNUMBER($K82))),"SCORE NOT A NUMBER",IF(AND(ISNUMBER($K82),OR($K82&lt;0,$K82&gt;100)),"SCORE OUT OF RANGE - this score counts toward nothing",IF(AND($G82="Score",$K82="",$J82&lt;&gt;"",$J82&lt;&gt;"Pending"),"RESULT WITHOUT A SCORE",IF(AND($G82="Pass/Fail",$K82&lt;&gt;""),"SCORE ON A PASS-FAIL CATEGORY - it is ignored",IF(AND($E82="Firearms",$J82&lt;&gt;"",$J82&lt;&gt;"Pending",$R82=""),"FIREARMS ROW WITH NO COURSE OF FIRE","OK"))))))</f>
        <v/>
      </c>
    </row>
    <row r="83">
      <c r="B83" s="17">
        <f>IF($C83="","",$D83&amp;"-"&amp;$E83&amp;"-"&amp;$I83)</f>
        <v/>
      </c>
      <c r="C83" s="16" t="n"/>
      <c r="D83" s="17">
        <f>IF($C83="","",IFERROR(INDEX(rngCadetPIDs,MATCH($C83,rngCadetNames,0)),"?"))</f>
        <v/>
      </c>
      <c r="E83" s="16" t="n"/>
      <c r="F83" s="17">
        <f>IF($E83="","",IFERROR(INDEX(rngSM_max,MATCH($E83,rngSM_cat,0)),""))</f>
        <v/>
      </c>
      <c r="G83" s="17">
        <f>IF($E83="","",IFERROR(INDEX(rngSM_mode,MATCH($E83,rngSM_cat,0)),""))</f>
        <v/>
      </c>
      <c r="H83" s="17">
        <f>IF($E83="","",IFERROR(INDEX(rngSM_pass,MATCH($E83,rngSM_cat,0)),""))</f>
        <v/>
      </c>
      <c r="I83" s="16" t="n"/>
      <c r="J83" s="16" t="n"/>
      <c r="K83" s="16" t="n"/>
      <c r="L83" s="18" t="n"/>
      <c r="M83" s="16" t="n"/>
      <c r="N83" s="17">
        <f>IF($C83="","",MAX(_xlfn.MAXIFS(nrSK_Att,nrSK_PID,$D83,nrSK_Cat,$E83,nrSK_Res,"Pass"),_xlfn.MAXIFS(nrSK_Att,nrSK_PID,$D83,nrSK_Cat,$E83,nrSK_Res,"Fail")))</f>
        <v/>
      </c>
      <c r="O83" s="17">
        <f>IF($C83="","",IF(AND(MAX(_xlfn.MAXIFS(nrSK_Att,nrSK_PID,$D83,nrSK_Cat,$E83,nrSK_Res,"Pass"),_xlfn.MAXIFS(nrSK_Att,nrSK_PID,$D83,nrSK_Cat,$E83,nrSK_Res,"Fail"))&gt;0,N($I83)&lt;MAX(_xlfn.MAXIFS(nrSK_Att,nrSK_PID,$D83,nrSK_Cat,$E83,nrSK_Res,"Pass"),_xlfn.MAXIFS(nrSK_Att,nrSK_PID,$D83,nrSK_Cat,$E83,nrSK_Res,"Fail"))),"(superseded)",IF(OR($J83="",$J83="Pending"),"Pending",IF($J83="Pass","Qualified",IF(AND($J83="Fail",$N83&gt;=$F83),"FAILED OUT","Needs Remediation")))))</f>
        <v/>
      </c>
      <c r="P83" s="17">
        <f>IF($C83="","",IF($O83="FAILED OUT","Yes","No"))</f>
        <v/>
      </c>
      <c r="Q83" s="16" t="n"/>
      <c r="R83" s="16" t="n"/>
      <c r="S83" s="17">
        <f>IF($C83="","",IF(AND($K83&lt;&gt;"",NOT(ISNUMBER($K83))),"SCORE NOT A NUMBER",IF(AND(ISNUMBER($K83),OR($K83&lt;0,$K83&gt;100)),"SCORE OUT OF RANGE - this score counts toward nothing",IF(AND($G83="Score",$K83="",$J83&lt;&gt;"",$J83&lt;&gt;"Pending"),"RESULT WITHOUT A SCORE",IF(AND($G83="Pass/Fail",$K83&lt;&gt;""),"SCORE ON A PASS-FAIL CATEGORY - it is ignored",IF(AND($E83="Firearms",$J83&lt;&gt;"",$J83&lt;&gt;"Pending",$R83=""),"FIREARMS ROW WITH NO COURSE OF FIRE","OK"))))))</f>
        <v/>
      </c>
    </row>
    <row r="84">
      <c r="B84" s="17">
        <f>IF($C84="","",$D84&amp;"-"&amp;$E84&amp;"-"&amp;$I84)</f>
        <v/>
      </c>
      <c r="C84" s="16" t="n"/>
      <c r="D84" s="17">
        <f>IF($C84="","",IFERROR(INDEX(rngCadetPIDs,MATCH($C84,rngCadetNames,0)),"?"))</f>
        <v/>
      </c>
      <c r="E84" s="16" t="n"/>
      <c r="F84" s="17">
        <f>IF($E84="","",IFERROR(INDEX(rngSM_max,MATCH($E84,rngSM_cat,0)),""))</f>
        <v/>
      </c>
      <c r="G84" s="17">
        <f>IF($E84="","",IFERROR(INDEX(rngSM_mode,MATCH($E84,rngSM_cat,0)),""))</f>
        <v/>
      </c>
      <c r="H84" s="17">
        <f>IF($E84="","",IFERROR(INDEX(rngSM_pass,MATCH($E84,rngSM_cat,0)),""))</f>
        <v/>
      </c>
      <c r="I84" s="16" t="n"/>
      <c r="J84" s="16" t="n"/>
      <c r="K84" s="16" t="n"/>
      <c r="L84" s="18" t="n"/>
      <c r="M84" s="16" t="n"/>
      <c r="N84" s="17">
        <f>IF($C84="","",MAX(_xlfn.MAXIFS(nrSK_Att,nrSK_PID,$D84,nrSK_Cat,$E84,nrSK_Res,"Pass"),_xlfn.MAXIFS(nrSK_Att,nrSK_PID,$D84,nrSK_Cat,$E84,nrSK_Res,"Fail")))</f>
        <v/>
      </c>
      <c r="O84" s="17">
        <f>IF($C84="","",IF(AND(MAX(_xlfn.MAXIFS(nrSK_Att,nrSK_PID,$D84,nrSK_Cat,$E84,nrSK_Res,"Pass"),_xlfn.MAXIFS(nrSK_Att,nrSK_PID,$D84,nrSK_Cat,$E84,nrSK_Res,"Fail"))&gt;0,N($I84)&lt;MAX(_xlfn.MAXIFS(nrSK_Att,nrSK_PID,$D84,nrSK_Cat,$E84,nrSK_Res,"Pass"),_xlfn.MAXIFS(nrSK_Att,nrSK_PID,$D84,nrSK_Cat,$E84,nrSK_Res,"Fail"))),"(superseded)",IF(OR($J84="",$J84="Pending"),"Pending",IF($J84="Pass","Qualified",IF(AND($J84="Fail",$N84&gt;=$F84),"FAILED OUT","Needs Remediation")))))</f>
        <v/>
      </c>
      <c r="P84" s="17">
        <f>IF($C84="","",IF($O84="FAILED OUT","Yes","No"))</f>
        <v/>
      </c>
      <c r="Q84" s="16" t="n"/>
      <c r="R84" s="16" t="n"/>
      <c r="S84" s="17">
        <f>IF($C84="","",IF(AND($K84&lt;&gt;"",NOT(ISNUMBER($K84))),"SCORE NOT A NUMBER",IF(AND(ISNUMBER($K84),OR($K84&lt;0,$K84&gt;100)),"SCORE OUT OF RANGE - this score counts toward nothing",IF(AND($G84="Score",$K84="",$J84&lt;&gt;"",$J84&lt;&gt;"Pending"),"RESULT WITHOUT A SCORE",IF(AND($G84="Pass/Fail",$K84&lt;&gt;""),"SCORE ON A PASS-FAIL CATEGORY - it is ignored",IF(AND($E84="Firearms",$J84&lt;&gt;"",$J84&lt;&gt;"Pending",$R84=""),"FIREARMS ROW WITH NO COURSE OF FIRE","OK"))))))</f>
        <v/>
      </c>
    </row>
    <row r="85">
      <c r="B85" s="17">
        <f>IF($C85="","",$D85&amp;"-"&amp;$E85&amp;"-"&amp;$I85)</f>
        <v/>
      </c>
      <c r="C85" s="16" t="n"/>
      <c r="D85" s="17">
        <f>IF($C85="","",IFERROR(INDEX(rngCadetPIDs,MATCH($C85,rngCadetNames,0)),"?"))</f>
        <v/>
      </c>
      <c r="E85" s="16" t="n"/>
      <c r="F85" s="17">
        <f>IF($E85="","",IFERROR(INDEX(rngSM_max,MATCH($E85,rngSM_cat,0)),""))</f>
        <v/>
      </c>
      <c r="G85" s="17">
        <f>IF($E85="","",IFERROR(INDEX(rngSM_mode,MATCH($E85,rngSM_cat,0)),""))</f>
        <v/>
      </c>
      <c r="H85" s="17">
        <f>IF($E85="","",IFERROR(INDEX(rngSM_pass,MATCH($E85,rngSM_cat,0)),""))</f>
        <v/>
      </c>
      <c r="I85" s="16" t="n"/>
      <c r="J85" s="16" t="n"/>
      <c r="K85" s="16" t="n"/>
      <c r="L85" s="18" t="n"/>
      <c r="M85" s="16" t="n"/>
      <c r="N85" s="17">
        <f>IF($C85="","",MAX(_xlfn.MAXIFS(nrSK_Att,nrSK_PID,$D85,nrSK_Cat,$E85,nrSK_Res,"Pass"),_xlfn.MAXIFS(nrSK_Att,nrSK_PID,$D85,nrSK_Cat,$E85,nrSK_Res,"Fail")))</f>
        <v/>
      </c>
      <c r="O85" s="17">
        <f>IF($C85="","",IF(AND(MAX(_xlfn.MAXIFS(nrSK_Att,nrSK_PID,$D85,nrSK_Cat,$E85,nrSK_Res,"Pass"),_xlfn.MAXIFS(nrSK_Att,nrSK_PID,$D85,nrSK_Cat,$E85,nrSK_Res,"Fail"))&gt;0,N($I85)&lt;MAX(_xlfn.MAXIFS(nrSK_Att,nrSK_PID,$D85,nrSK_Cat,$E85,nrSK_Res,"Pass"),_xlfn.MAXIFS(nrSK_Att,nrSK_PID,$D85,nrSK_Cat,$E85,nrSK_Res,"Fail"))),"(superseded)",IF(OR($J85="",$J85="Pending"),"Pending",IF($J85="Pass","Qualified",IF(AND($J85="Fail",$N85&gt;=$F85),"FAILED OUT","Needs Remediation")))))</f>
        <v/>
      </c>
      <c r="P85" s="17">
        <f>IF($C85="","",IF($O85="FAILED OUT","Yes","No"))</f>
        <v/>
      </c>
      <c r="Q85" s="16" t="n"/>
      <c r="R85" s="16" t="n"/>
      <c r="S85" s="17">
        <f>IF($C85="","",IF(AND($K85&lt;&gt;"",NOT(ISNUMBER($K85))),"SCORE NOT A NUMBER",IF(AND(ISNUMBER($K85),OR($K85&lt;0,$K85&gt;100)),"SCORE OUT OF RANGE - this score counts toward nothing",IF(AND($G85="Score",$K85="",$J85&lt;&gt;"",$J85&lt;&gt;"Pending"),"RESULT WITHOUT A SCORE",IF(AND($G85="Pass/Fail",$K85&lt;&gt;""),"SCORE ON A PASS-FAIL CATEGORY - it is ignored",IF(AND($E85="Firearms",$J85&lt;&gt;"",$J85&lt;&gt;"Pending",$R85=""),"FIREARMS ROW WITH NO COURSE OF FIRE","OK"))))))</f>
        <v/>
      </c>
    </row>
    <row r="86">
      <c r="B86" s="17">
        <f>IF($C86="","",$D86&amp;"-"&amp;$E86&amp;"-"&amp;$I86)</f>
        <v/>
      </c>
      <c r="C86" s="16" t="n"/>
      <c r="D86" s="17">
        <f>IF($C86="","",IFERROR(INDEX(rngCadetPIDs,MATCH($C86,rngCadetNames,0)),"?"))</f>
        <v/>
      </c>
      <c r="E86" s="16" t="n"/>
      <c r="F86" s="17">
        <f>IF($E86="","",IFERROR(INDEX(rngSM_max,MATCH($E86,rngSM_cat,0)),""))</f>
        <v/>
      </c>
      <c r="G86" s="17">
        <f>IF($E86="","",IFERROR(INDEX(rngSM_mode,MATCH($E86,rngSM_cat,0)),""))</f>
        <v/>
      </c>
      <c r="H86" s="17">
        <f>IF($E86="","",IFERROR(INDEX(rngSM_pass,MATCH($E86,rngSM_cat,0)),""))</f>
        <v/>
      </c>
      <c r="I86" s="16" t="n"/>
      <c r="J86" s="16" t="n"/>
      <c r="K86" s="16" t="n"/>
      <c r="L86" s="18" t="n"/>
      <c r="M86" s="16" t="n"/>
      <c r="N86" s="17">
        <f>IF($C86="","",MAX(_xlfn.MAXIFS(nrSK_Att,nrSK_PID,$D86,nrSK_Cat,$E86,nrSK_Res,"Pass"),_xlfn.MAXIFS(nrSK_Att,nrSK_PID,$D86,nrSK_Cat,$E86,nrSK_Res,"Fail")))</f>
        <v/>
      </c>
      <c r="O86" s="17">
        <f>IF($C86="","",IF(AND(MAX(_xlfn.MAXIFS(nrSK_Att,nrSK_PID,$D86,nrSK_Cat,$E86,nrSK_Res,"Pass"),_xlfn.MAXIFS(nrSK_Att,nrSK_PID,$D86,nrSK_Cat,$E86,nrSK_Res,"Fail"))&gt;0,N($I86)&lt;MAX(_xlfn.MAXIFS(nrSK_Att,nrSK_PID,$D86,nrSK_Cat,$E86,nrSK_Res,"Pass"),_xlfn.MAXIFS(nrSK_Att,nrSK_PID,$D86,nrSK_Cat,$E86,nrSK_Res,"Fail"))),"(superseded)",IF(OR($J86="",$J86="Pending"),"Pending",IF($J86="Pass","Qualified",IF(AND($J86="Fail",$N86&gt;=$F86),"FAILED OUT","Needs Remediation")))))</f>
        <v/>
      </c>
      <c r="P86" s="17">
        <f>IF($C86="","",IF($O86="FAILED OUT","Yes","No"))</f>
        <v/>
      </c>
      <c r="Q86" s="16" t="n"/>
      <c r="R86" s="16" t="n"/>
      <c r="S86" s="17">
        <f>IF($C86="","",IF(AND($K86&lt;&gt;"",NOT(ISNUMBER($K86))),"SCORE NOT A NUMBER",IF(AND(ISNUMBER($K86),OR($K86&lt;0,$K86&gt;100)),"SCORE OUT OF RANGE - this score counts toward nothing",IF(AND($G86="Score",$K86="",$J86&lt;&gt;"",$J86&lt;&gt;"Pending"),"RESULT WITHOUT A SCORE",IF(AND($G86="Pass/Fail",$K86&lt;&gt;""),"SCORE ON A PASS-FAIL CATEGORY - it is ignored",IF(AND($E86="Firearms",$J86&lt;&gt;"",$J86&lt;&gt;"Pending",$R86=""),"FIREARMS ROW WITH NO COURSE OF FIRE","OK"))))))</f>
        <v/>
      </c>
    </row>
    <row r="87">
      <c r="B87" s="17">
        <f>IF($C87="","",$D87&amp;"-"&amp;$E87&amp;"-"&amp;$I87)</f>
        <v/>
      </c>
      <c r="C87" s="16" t="n"/>
      <c r="D87" s="17">
        <f>IF($C87="","",IFERROR(INDEX(rngCadetPIDs,MATCH($C87,rngCadetNames,0)),"?"))</f>
        <v/>
      </c>
      <c r="E87" s="16" t="n"/>
      <c r="F87" s="17">
        <f>IF($E87="","",IFERROR(INDEX(rngSM_max,MATCH($E87,rngSM_cat,0)),""))</f>
        <v/>
      </c>
      <c r="G87" s="17">
        <f>IF($E87="","",IFERROR(INDEX(rngSM_mode,MATCH($E87,rngSM_cat,0)),""))</f>
        <v/>
      </c>
      <c r="H87" s="17">
        <f>IF($E87="","",IFERROR(INDEX(rngSM_pass,MATCH($E87,rngSM_cat,0)),""))</f>
        <v/>
      </c>
      <c r="I87" s="16" t="n"/>
      <c r="J87" s="16" t="n"/>
      <c r="K87" s="16" t="n"/>
      <c r="L87" s="18" t="n"/>
      <c r="M87" s="16" t="n"/>
      <c r="N87" s="17">
        <f>IF($C87="","",MAX(_xlfn.MAXIFS(nrSK_Att,nrSK_PID,$D87,nrSK_Cat,$E87,nrSK_Res,"Pass"),_xlfn.MAXIFS(nrSK_Att,nrSK_PID,$D87,nrSK_Cat,$E87,nrSK_Res,"Fail")))</f>
        <v/>
      </c>
      <c r="O87" s="17">
        <f>IF($C87="","",IF(AND(MAX(_xlfn.MAXIFS(nrSK_Att,nrSK_PID,$D87,nrSK_Cat,$E87,nrSK_Res,"Pass"),_xlfn.MAXIFS(nrSK_Att,nrSK_PID,$D87,nrSK_Cat,$E87,nrSK_Res,"Fail"))&gt;0,N($I87)&lt;MAX(_xlfn.MAXIFS(nrSK_Att,nrSK_PID,$D87,nrSK_Cat,$E87,nrSK_Res,"Pass"),_xlfn.MAXIFS(nrSK_Att,nrSK_PID,$D87,nrSK_Cat,$E87,nrSK_Res,"Fail"))),"(superseded)",IF(OR($J87="",$J87="Pending"),"Pending",IF($J87="Pass","Qualified",IF(AND($J87="Fail",$N87&gt;=$F87),"FAILED OUT","Needs Remediation")))))</f>
        <v/>
      </c>
      <c r="P87" s="17">
        <f>IF($C87="","",IF($O87="FAILED OUT","Yes","No"))</f>
        <v/>
      </c>
      <c r="Q87" s="16" t="n"/>
      <c r="R87" s="16" t="n"/>
      <c r="S87" s="17">
        <f>IF($C87="","",IF(AND($K87&lt;&gt;"",NOT(ISNUMBER($K87))),"SCORE NOT A NUMBER",IF(AND(ISNUMBER($K87),OR($K87&lt;0,$K87&gt;100)),"SCORE OUT OF RANGE - this score counts toward nothing",IF(AND($G87="Score",$K87="",$J87&lt;&gt;"",$J87&lt;&gt;"Pending"),"RESULT WITHOUT A SCORE",IF(AND($G87="Pass/Fail",$K87&lt;&gt;""),"SCORE ON A PASS-FAIL CATEGORY - it is ignored",IF(AND($E87="Firearms",$J87&lt;&gt;"",$J87&lt;&gt;"Pending",$R87=""),"FIREARMS ROW WITH NO COURSE OF FIRE","OK"))))))</f>
        <v/>
      </c>
    </row>
    <row r="88">
      <c r="B88" s="17">
        <f>IF($C88="","",$D88&amp;"-"&amp;$E88&amp;"-"&amp;$I88)</f>
        <v/>
      </c>
      <c r="C88" s="16" t="n"/>
      <c r="D88" s="17">
        <f>IF($C88="","",IFERROR(INDEX(rngCadetPIDs,MATCH($C88,rngCadetNames,0)),"?"))</f>
        <v/>
      </c>
      <c r="E88" s="16" t="n"/>
      <c r="F88" s="17">
        <f>IF($E88="","",IFERROR(INDEX(rngSM_max,MATCH($E88,rngSM_cat,0)),""))</f>
        <v/>
      </c>
      <c r="G88" s="17">
        <f>IF($E88="","",IFERROR(INDEX(rngSM_mode,MATCH($E88,rngSM_cat,0)),""))</f>
        <v/>
      </c>
      <c r="H88" s="17">
        <f>IF($E88="","",IFERROR(INDEX(rngSM_pass,MATCH($E88,rngSM_cat,0)),""))</f>
        <v/>
      </c>
      <c r="I88" s="16" t="n"/>
      <c r="J88" s="16" t="n"/>
      <c r="K88" s="16" t="n"/>
      <c r="L88" s="18" t="n"/>
      <c r="M88" s="16" t="n"/>
      <c r="N88" s="17">
        <f>IF($C88="","",MAX(_xlfn.MAXIFS(nrSK_Att,nrSK_PID,$D88,nrSK_Cat,$E88,nrSK_Res,"Pass"),_xlfn.MAXIFS(nrSK_Att,nrSK_PID,$D88,nrSK_Cat,$E88,nrSK_Res,"Fail")))</f>
        <v/>
      </c>
      <c r="O88" s="17">
        <f>IF($C88="","",IF(AND(MAX(_xlfn.MAXIFS(nrSK_Att,nrSK_PID,$D88,nrSK_Cat,$E88,nrSK_Res,"Pass"),_xlfn.MAXIFS(nrSK_Att,nrSK_PID,$D88,nrSK_Cat,$E88,nrSK_Res,"Fail"))&gt;0,N($I88)&lt;MAX(_xlfn.MAXIFS(nrSK_Att,nrSK_PID,$D88,nrSK_Cat,$E88,nrSK_Res,"Pass"),_xlfn.MAXIFS(nrSK_Att,nrSK_PID,$D88,nrSK_Cat,$E88,nrSK_Res,"Fail"))),"(superseded)",IF(OR($J88="",$J88="Pending"),"Pending",IF($J88="Pass","Qualified",IF(AND($J88="Fail",$N88&gt;=$F88),"FAILED OUT","Needs Remediation")))))</f>
        <v/>
      </c>
      <c r="P88" s="17">
        <f>IF($C88="","",IF($O88="FAILED OUT","Yes","No"))</f>
        <v/>
      </c>
      <c r="Q88" s="16" t="n"/>
      <c r="R88" s="16" t="n"/>
      <c r="S88" s="17">
        <f>IF($C88="","",IF(AND($K88&lt;&gt;"",NOT(ISNUMBER($K88))),"SCORE NOT A NUMBER",IF(AND(ISNUMBER($K88),OR($K88&lt;0,$K88&gt;100)),"SCORE OUT OF RANGE - this score counts toward nothing",IF(AND($G88="Score",$K88="",$J88&lt;&gt;"",$J88&lt;&gt;"Pending"),"RESULT WITHOUT A SCORE",IF(AND($G88="Pass/Fail",$K88&lt;&gt;""),"SCORE ON A PASS-FAIL CATEGORY - it is ignored",IF(AND($E88="Firearms",$J88&lt;&gt;"",$J88&lt;&gt;"Pending",$R88=""),"FIREARMS ROW WITH NO COURSE OF FIRE","OK"))))))</f>
        <v/>
      </c>
    </row>
    <row r="89">
      <c r="B89" s="17">
        <f>IF($C89="","",$D89&amp;"-"&amp;$E89&amp;"-"&amp;$I89)</f>
        <v/>
      </c>
      <c r="C89" s="16" t="n"/>
      <c r="D89" s="17">
        <f>IF($C89="","",IFERROR(INDEX(rngCadetPIDs,MATCH($C89,rngCadetNames,0)),"?"))</f>
        <v/>
      </c>
      <c r="E89" s="16" t="n"/>
      <c r="F89" s="17">
        <f>IF($E89="","",IFERROR(INDEX(rngSM_max,MATCH($E89,rngSM_cat,0)),""))</f>
        <v/>
      </c>
      <c r="G89" s="17">
        <f>IF($E89="","",IFERROR(INDEX(rngSM_mode,MATCH($E89,rngSM_cat,0)),""))</f>
        <v/>
      </c>
      <c r="H89" s="17">
        <f>IF($E89="","",IFERROR(INDEX(rngSM_pass,MATCH($E89,rngSM_cat,0)),""))</f>
        <v/>
      </c>
      <c r="I89" s="16" t="n"/>
      <c r="J89" s="16" t="n"/>
      <c r="K89" s="16" t="n"/>
      <c r="L89" s="18" t="n"/>
      <c r="M89" s="16" t="n"/>
      <c r="N89" s="17">
        <f>IF($C89="","",MAX(_xlfn.MAXIFS(nrSK_Att,nrSK_PID,$D89,nrSK_Cat,$E89,nrSK_Res,"Pass"),_xlfn.MAXIFS(nrSK_Att,nrSK_PID,$D89,nrSK_Cat,$E89,nrSK_Res,"Fail")))</f>
        <v/>
      </c>
      <c r="O89" s="17">
        <f>IF($C89="","",IF(AND(MAX(_xlfn.MAXIFS(nrSK_Att,nrSK_PID,$D89,nrSK_Cat,$E89,nrSK_Res,"Pass"),_xlfn.MAXIFS(nrSK_Att,nrSK_PID,$D89,nrSK_Cat,$E89,nrSK_Res,"Fail"))&gt;0,N($I89)&lt;MAX(_xlfn.MAXIFS(nrSK_Att,nrSK_PID,$D89,nrSK_Cat,$E89,nrSK_Res,"Pass"),_xlfn.MAXIFS(nrSK_Att,nrSK_PID,$D89,nrSK_Cat,$E89,nrSK_Res,"Fail"))),"(superseded)",IF(OR($J89="",$J89="Pending"),"Pending",IF($J89="Pass","Qualified",IF(AND($J89="Fail",$N89&gt;=$F89),"FAILED OUT","Needs Remediation")))))</f>
        <v/>
      </c>
      <c r="P89" s="17">
        <f>IF($C89="","",IF($O89="FAILED OUT","Yes","No"))</f>
        <v/>
      </c>
      <c r="Q89" s="16" t="n"/>
      <c r="R89" s="16" t="n"/>
      <c r="S89" s="17">
        <f>IF($C89="","",IF(AND($K89&lt;&gt;"",NOT(ISNUMBER($K89))),"SCORE NOT A NUMBER",IF(AND(ISNUMBER($K89),OR($K89&lt;0,$K89&gt;100)),"SCORE OUT OF RANGE - this score counts toward nothing",IF(AND($G89="Score",$K89="",$J89&lt;&gt;"",$J89&lt;&gt;"Pending"),"RESULT WITHOUT A SCORE",IF(AND($G89="Pass/Fail",$K89&lt;&gt;""),"SCORE ON A PASS-FAIL CATEGORY - it is ignored",IF(AND($E89="Firearms",$J89&lt;&gt;"",$J89&lt;&gt;"Pending",$R89=""),"FIREARMS ROW WITH NO COURSE OF FIRE","OK"))))))</f>
        <v/>
      </c>
    </row>
    <row r="90">
      <c r="B90" s="17">
        <f>IF($C90="","",$D90&amp;"-"&amp;$E90&amp;"-"&amp;$I90)</f>
        <v/>
      </c>
      <c r="C90" s="16" t="n"/>
      <c r="D90" s="17">
        <f>IF($C90="","",IFERROR(INDEX(rngCadetPIDs,MATCH($C90,rngCadetNames,0)),"?"))</f>
        <v/>
      </c>
      <c r="E90" s="16" t="n"/>
      <c r="F90" s="17">
        <f>IF($E90="","",IFERROR(INDEX(rngSM_max,MATCH($E90,rngSM_cat,0)),""))</f>
        <v/>
      </c>
      <c r="G90" s="17">
        <f>IF($E90="","",IFERROR(INDEX(rngSM_mode,MATCH($E90,rngSM_cat,0)),""))</f>
        <v/>
      </c>
      <c r="H90" s="17">
        <f>IF($E90="","",IFERROR(INDEX(rngSM_pass,MATCH($E90,rngSM_cat,0)),""))</f>
        <v/>
      </c>
      <c r="I90" s="16" t="n"/>
      <c r="J90" s="16" t="n"/>
      <c r="K90" s="16" t="n"/>
      <c r="L90" s="18" t="n"/>
      <c r="M90" s="16" t="n"/>
      <c r="N90" s="17">
        <f>IF($C90="","",MAX(_xlfn.MAXIFS(nrSK_Att,nrSK_PID,$D90,nrSK_Cat,$E90,nrSK_Res,"Pass"),_xlfn.MAXIFS(nrSK_Att,nrSK_PID,$D90,nrSK_Cat,$E90,nrSK_Res,"Fail")))</f>
        <v/>
      </c>
      <c r="O90" s="17">
        <f>IF($C90="","",IF(AND(MAX(_xlfn.MAXIFS(nrSK_Att,nrSK_PID,$D90,nrSK_Cat,$E90,nrSK_Res,"Pass"),_xlfn.MAXIFS(nrSK_Att,nrSK_PID,$D90,nrSK_Cat,$E90,nrSK_Res,"Fail"))&gt;0,N($I90)&lt;MAX(_xlfn.MAXIFS(nrSK_Att,nrSK_PID,$D90,nrSK_Cat,$E90,nrSK_Res,"Pass"),_xlfn.MAXIFS(nrSK_Att,nrSK_PID,$D90,nrSK_Cat,$E90,nrSK_Res,"Fail"))),"(superseded)",IF(OR($J90="",$J90="Pending"),"Pending",IF($J90="Pass","Qualified",IF(AND($J90="Fail",$N90&gt;=$F90),"FAILED OUT","Needs Remediation")))))</f>
        <v/>
      </c>
      <c r="P90" s="17">
        <f>IF($C90="","",IF($O90="FAILED OUT","Yes","No"))</f>
        <v/>
      </c>
      <c r="Q90" s="16" t="n"/>
      <c r="R90" s="16" t="n"/>
      <c r="S90" s="17">
        <f>IF($C90="","",IF(AND($K90&lt;&gt;"",NOT(ISNUMBER($K90))),"SCORE NOT A NUMBER",IF(AND(ISNUMBER($K90),OR($K90&lt;0,$K90&gt;100)),"SCORE OUT OF RANGE - this score counts toward nothing",IF(AND($G90="Score",$K90="",$J90&lt;&gt;"",$J90&lt;&gt;"Pending"),"RESULT WITHOUT A SCORE",IF(AND($G90="Pass/Fail",$K90&lt;&gt;""),"SCORE ON A PASS-FAIL CATEGORY - it is ignored",IF(AND($E90="Firearms",$J90&lt;&gt;"",$J90&lt;&gt;"Pending",$R90=""),"FIREARMS ROW WITH NO COURSE OF FIRE","OK"))))))</f>
        <v/>
      </c>
    </row>
    <row r="91">
      <c r="B91" s="17">
        <f>IF($C91="","",$D91&amp;"-"&amp;$E91&amp;"-"&amp;$I91)</f>
        <v/>
      </c>
      <c r="C91" s="16" t="n"/>
      <c r="D91" s="17">
        <f>IF($C91="","",IFERROR(INDEX(rngCadetPIDs,MATCH($C91,rngCadetNames,0)),"?"))</f>
        <v/>
      </c>
      <c r="E91" s="16" t="n"/>
      <c r="F91" s="17">
        <f>IF($E91="","",IFERROR(INDEX(rngSM_max,MATCH($E91,rngSM_cat,0)),""))</f>
        <v/>
      </c>
      <c r="G91" s="17">
        <f>IF($E91="","",IFERROR(INDEX(rngSM_mode,MATCH($E91,rngSM_cat,0)),""))</f>
        <v/>
      </c>
      <c r="H91" s="17">
        <f>IF($E91="","",IFERROR(INDEX(rngSM_pass,MATCH($E91,rngSM_cat,0)),""))</f>
        <v/>
      </c>
      <c r="I91" s="16" t="n"/>
      <c r="J91" s="16" t="n"/>
      <c r="K91" s="16" t="n"/>
      <c r="L91" s="18" t="n"/>
      <c r="M91" s="16" t="n"/>
      <c r="N91" s="17">
        <f>IF($C91="","",MAX(_xlfn.MAXIFS(nrSK_Att,nrSK_PID,$D91,nrSK_Cat,$E91,nrSK_Res,"Pass"),_xlfn.MAXIFS(nrSK_Att,nrSK_PID,$D91,nrSK_Cat,$E91,nrSK_Res,"Fail")))</f>
        <v/>
      </c>
      <c r="O91" s="17">
        <f>IF($C91="","",IF(AND(MAX(_xlfn.MAXIFS(nrSK_Att,nrSK_PID,$D91,nrSK_Cat,$E91,nrSK_Res,"Pass"),_xlfn.MAXIFS(nrSK_Att,nrSK_PID,$D91,nrSK_Cat,$E91,nrSK_Res,"Fail"))&gt;0,N($I91)&lt;MAX(_xlfn.MAXIFS(nrSK_Att,nrSK_PID,$D91,nrSK_Cat,$E91,nrSK_Res,"Pass"),_xlfn.MAXIFS(nrSK_Att,nrSK_PID,$D91,nrSK_Cat,$E91,nrSK_Res,"Fail"))),"(superseded)",IF(OR($J91="",$J91="Pending"),"Pending",IF($J91="Pass","Qualified",IF(AND($J91="Fail",$N91&gt;=$F91),"FAILED OUT","Needs Remediation")))))</f>
        <v/>
      </c>
      <c r="P91" s="17">
        <f>IF($C91="","",IF($O91="FAILED OUT","Yes","No"))</f>
        <v/>
      </c>
      <c r="Q91" s="16" t="n"/>
      <c r="R91" s="16" t="n"/>
      <c r="S91" s="17">
        <f>IF($C91="","",IF(AND($K91&lt;&gt;"",NOT(ISNUMBER($K91))),"SCORE NOT A NUMBER",IF(AND(ISNUMBER($K91),OR($K91&lt;0,$K91&gt;100)),"SCORE OUT OF RANGE - this score counts toward nothing",IF(AND($G91="Score",$K91="",$J91&lt;&gt;"",$J91&lt;&gt;"Pending"),"RESULT WITHOUT A SCORE",IF(AND($G91="Pass/Fail",$K91&lt;&gt;""),"SCORE ON A PASS-FAIL CATEGORY - it is ignored",IF(AND($E91="Firearms",$J91&lt;&gt;"",$J91&lt;&gt;"Pending",$R91=""),"FIREARMS ROW WITH NO COURSE OF FIRE","OK"))))))</f>
        <v/>
      </c>
    </row>
    <row r="92">
      <c r="B92" s="17">
        <f>IF($C92="","",$D92&amp;"-"&amp;$E92&amp;"-"&amp;$I92)</f>
        <v/>
      </c>
      <c r="C92" s="16" t="n"/>
      <c r="D92" s="17">
        <f>IF($C92="","",IFERROR(INDEX(rngCadetPIDs,MATCH($C92,rngCadetNames,0)),"?"))</f>
        <v/>
      </c>
      <c r="E92" s="16" t="n"/>
      <c r="F92" s="17">
        <f>IF($E92="","",IFERROR(INDEX(rngSM_max,MATCH($E92,rngSM_cat,0)),""))</f>
        <v/>
      </c>
      <c r="G92" s="17">
        <f>IF($E92="","",IFERROR(INDEX(rngSM_mode,MATCH($E92,rngSM_cat,0)),""))</f>
        <v/>
      </c>
      <c r="H92" s="17">
        <f>IF($E92="","",IFERROR(INDEX(rngSM_pass,MATCH($E92,rngSM_cat,0)),""))</f>
        <v/>
      </c>
      <c r="I92" s="16" t="n"/>
      <c r="J92" s="16" t="n"/>
      <c r="K92" s="16" t="n"/>
      <c r="L92" s="18" t="n"/>
      <c r="M92" s="16" t="n"/>
      <c r="N92" s="17">
        <f>IF($C92="","",MAX(_xlfn.MAXIFS(nrSK_Att,nrSK_PID,$D92,nrSK_Cat,$E92,nrSK_Res,"Pass"),_xlfn.MAXIFS(nrSK_Att,nrSK_PID,$D92,nrSK_Cat,$E92,nrSK_Res,"Fail")))</f>
        <v/>
      </c>
      <c r="O92" s="17">
        <f>IF($C92="","",IF(AND(MAX(_xlfn.MAXIFS(nrSK_Att,nrSK_PID,$D92,nrSK_Cat,$E92,nrSK_Res,"Pass"),_xlfn.MAXIFS(nrSK_Att,nrSK_PID,$D92,nrSK_Cat,$E92,nrSK_Res,"Fail"))&gt;0,N($I92)&lt;MAX(_xlfn.MAXIFS(nrSK_Att,nrSK_PID,$D92,nrSK_Cat,$E92,nrSK_Res,"Pass"),_xlfn.MAXIFS(nrSK_Att,nrSK_PID,$D92,nrSK_Cat,$E92,nrSK_Res,"Fail"))),"(superseded)",IF(OR($J92="",$J92="Pending"),"Pending",IF($J92="Pass","Qualified",IF(AND($J92="Fail",$N92&gt;=$F92),"FAILED OUT","Needs Remediation")))))</f>
        <v/>
      </c>
      <c r="P92" s="17">
        <f>IF($C92="","",IF($O92="FAILED OUT","Yes","No"))</f>
        <v/>
      </c>
      <c r="Q92" s="16" t="n"/>
      <c r="R92" s="16" t="n"/>
      <c r="S92" s="17">
        <f>IF($C92="","",IF(AND($K92&lt;&gt;"",NOT(ISNUMBER($K92))),"SCORE NOT A NUMBER",IF(AND(ISNUMBER($K92),OR($K92&lt;0,$K92&gt;100)),"SCORE OUT OF RANGE - this score counts toward nothing",IF(AND($G92="Score",$K92="",$J92&lt;&gt;"",$J92&lt;&gt;"Pending"),"RESULT WITHOUT A SCORE",IF(AND($G92="Pass/Fail",$K92&lt;&gt;""),"SCORE ON A PASS-FAIL CATEGORY - it is ignored",IF(AND($E92="Firearms",$J92&lt;&gt;"",$J92&lt;&gt;"Pending",$R92=""),"FIREARMS ROW WITH NO COURSE OF FIRE","OK"))))))</f>
        <v/>
      </c>
    </row>
    <row r="93">
      <c r="B93" s="17">
        <f>IF($C93="","",$D93&amp;"-"&amp;$E93&amp;"-"&amp;$I93)</f>
        <v/>
      </c>
      <c r="C93" s="16" t="n"/>
      <c r="D93" s="17">
        <f>IF($C93="","",IFERROR(INDEX(rngCadetPIDs,MATCH($C93,rngCadetNames,0)),"?"))</f>
        <v/>
      </c>
      <c r="E93" s="16" t="n"/>
      <c r="F93" s="17">
        <f>IF($E93="","",IFERROR(INDEX(rngSM_max,MATCH($E93,rngSM_cat,0)),""))</f>
        <v/>
      </c>
      <c r="G93" s="17">
        <f>IF($E93="","",IFERROR(INDEX(rngSM_mode,MATCH($E93,rngSM_cat,0)),""))</f>
        <v/>
      </c>
      <c r="H93" s="17">
        <f>IF($E93="","",IFERROR(INDEX(rngSM_pass,MATCH($E93,rngSM_cat,0)),""))</f>
        <v/>
      </c>
      <c r="I93" s="16" t="n"/>
      <c r="J93" s="16" t="n"/>
      <c r="K93" s="16" t="n"/>
      <c r="L93" s="18" t="n"/>
      <c r="M93" s="16" t="n"/>
      <c r="N93" s="17">
        <f>IF($C93="","",MAX(_xlfn.MAXIFS(nrSK_Att,nrSK_PID,$D93,nrSK_Cat,$E93,nrSK_Res,"Pass"),_xlfn.MAXIFS(nrSK_Att,nrSK_PID,$D93,nrSK_Cat,$E93,nrSK_Res,"Fail")))</f>
        <v/>
      </c>
      <c r="O93" s="17">
        <f>IF($C93="","",IF(AND(MAX(_xlfn.MAXIFS(nrSK_Att,nrSK_PID,$D93,nrSK_Cat,$E93,nrSK_Res,"Pass"),_xlfn.MAXIFS(nrSK_Att,nrSK_PID,$D93,nrSK_Cat,$E93,nrSK_Res,"Fail"))&gt;0,N($I93)&lt;MAX(_xlfn.MAXIFS(nrSK_Att,nrSK_PID,$D93,nrSK_Cat,$E93,nrSK_Res,"Pass"),_xlfn.MAXIFS(nrSK_Att,nrSK_PID,$D93,nrSK_Cat,$E93,nrSK_Res,"Fail"))),"(superseded)",IF(OR($J93="",$J93="Pending"),"Pending",IF($J93="Pass","Qualified",IF(AND($J93="Fail",$N93&gt;=$F93),"FAILED OUT","Needs Remediation")))))</f>
        <v/>
      </c>
      <c r="P93" s="17">
        <f>IF($C93="","",IF($O93="FAILED OUT","Yes","No"))</f>
        <v/>
      </c>
      <c r="Q93" s="16" t="n"/>
      <c r="R93" s="16" t="n"/>
      <c r="S93" s="17">
        <f>IF($C93="","",IF(AND($K93&lt;&gt;"",NOT(ISNUMBER($K93))),"SCORE NOT A NUMBER",IF(AND(ISNUMBER($K93),OR($K93&lt;0,$K93&gt;100)),"SCORE OUT OF RANGE - this score counts toward nothing",IF(AND($G93="Score",$K93="",$J93&lt;&gt;"",$J93&lt;&gt;"Pending"),"RESULT WITHOUT A SCORE",IF(AND($G93="Pass/Fail",$K93&lt;&gt;""),"SCORE ON A PASS-FAIL CATEGORY - it is ignored",IF(AND($E93="Firearms",$J93&lt;&gt;"",$J93&lt;&gt;"Pending",$R93=""),"FIREARMS ROW WITH NO COURSE OF FIRE","OK"))))))</f>
        <v/>
      </c>
    </row>
    <row r="94">
      <c r="B94" s="17">
        <f>IF($C94="","",$D94&amp;"-"&amp;$E94&amp;"-"&amp;$I94)</f>
        <v/>
      </c>
      <c r="C94" s="16" t="n"/>
      <c r="D94" s="17">
        <f>IF($C94="","",IFERROR(INDEX(rngCadetPIDs,MATCH($C94,rngCadetNames,0)),"?"))</f>
        <v/>
      </c>
      <c r="E94" s="16" t="n"/>
      <c r="F94" s="17">
        <f>IF($E94="","",IFERROR(INDEX(rngSM_max,MATCH($E94,rngSM_cat,0)),""))</f>
        <v/>
      </c>
      <c r="G94" s="17">
        <f>IF($E94="","",IFERROR(INDEX(rngSM_mode,MATCH($E94,rngSM_cat,0)),""))</f>
        <v/>
      </c>
      <c r="H94" s="17">
        <f>IF($E94="","",IFERROR(INDEX(rngSM_pass,MATCH($E94,rngSM_cat,0)),""))</f>
        <v/>
      </c>
      <c r="I94" s="16" t="n"/>
      <c r="J94" s="16" t="n"/>
      <c r="K94" s="16" t="n"/>
      <c r="L94" s="18" t="n"/>
      <c r="M94" s="16" t="n"/>
      <c r="N94" s="17">
        <f>IF($C94="","",MAX(_xlfn.MAXIFS(nrSK_Att,nrSK_PID,$D94,nrSK_Cat,$E94,nrSK_Res,"Pass"),_xlfn.MAXIFS(nrSK_Att,nrSK_PID,$D94,nrSK_Cat,$E94,nrSK_Res,"Fail")))</f>
        <v/>
      </c>
      <c r="O94" s="17">
        <f>IF($C94="","",IF(AND(MAX(_xlfn.MAXIFS(nrSK_Att,nrSK_PID,$D94,nrSK_Cat,$E94,nrSK_Res,"Pass"),_xlfn.MAXIFS(nrSK_Att,nrSK_PID,$D94,nrSK_Cat,$E94,nrSK_Res,"Fail"))&gt;0,N($I94)&lt;MAX(_xlfn.MAXIFS(nrSK_Att,nrSK_PID,$D94,nrSK_Cat,$E94,nrSK_Res,"Pass"),_xlfn.MAXIFS(nrSK_Att,nrSK_PID,$D94,nrSK_Cat,$E94,nrSK_Res,"Fail"))),"(superseded)",IF(OR($J94="",$J94="Pending"),"Pending",IF($J94="Pass","Qualified",IF(AND($J94="Fail",$N94&gt;=$F94),"FAILED OUT","Needs Remediation")))))</f>
        <v/>
      </c>
      <c r="P94" s="17">
        <f>IF($C94="","",IF($O94="FAILED OUT","Yes","No"))</f>
        <v/>
      </c>
      <c r="Q94" s="16" t="n"/>
      <c r="R94" s="16" t="n"/>
      <c r="S94" s="17">
        <f>IF($C94="","",IF(AND($K94&lt;&gt;"",NOT(ISNUMBER($K94))),"SCORE NOT A NUMBER",IF(AND(ISNUMBER($K94),OR($K94&lt;0,$K94&gt;100)),"SCORE OUT OF RANGE - this score counts toward nothing",IF(AND($G94="Score",$K94="",$J94&lt;&gt;"",$J94&lt;&gt;"Pending"),"RESULT WITHOUT A SCORE",IF(AND($G94="Pass/Fail",$K94&lt;&gt;""),"SCORE ON A PASS-FAIL CATEGORY - it is ignored",IF(AND($E94="Firearms",$J94&lt;&gt;"",$J94&lt;&gt;"Pending",$R94=""),"FIREARMS ROW WITH NO COURSE OF FIRE","OK"))))))</f>
        <v/>
      </c>
    </row>
    <row r="95">
      <c r="B95" s="17">
        <f>IF($C95="","",$D95&amp;"-"&amp;$E95&amp;"-"&amp;$I95)</f>
        <v/>
      </c>
      <c r="C95" s="16" t="n"/>
      <c r="D95" s="17">
        <f>IF($C95="","",IFERROR(INDEX(rngCadetPIDs,MATCH($C95,rngCadetNames,0)),"?"))</f>
        <v/>
      </c>
      <c r="E95" s="16" t="n"/>
      <c r="F95" s="17">
        <f>IF($E95="","",IFERROR(INDEX(rngSM_max,MATCH($E95,rngSM_cat,0)),""))</f>
        <v/>
      </c>
      <c r="G95" s="17">
        <f>IF($E95="","",IFERROR(INDEX(rngSM_mode,MATCH($E95,rngSM_cat,0)),""))</f>
        <v/>
      </c>
      <c r="H95" s="17">
        <f>IF($E95="","",IFERROR(INDEX(rngSM_pass,MATCH($E95,rngSM_cat,0)),""))</f>
        <v/>
      </c>
      <c r="I95" s="16" t="n"/>
      <c r="J95" s="16" t="n"/>
      <c r="K95" s="16" t="n"/>
      <c r="L95" s="18" t="n"/>
      <c r="M95" s="16" t="n"/>
      <c r="N95" s="17">
        <f>IF($C95="","",MAX(_xlfn.MAXIFS(nrSK_Att,nrSK_PID,$D95,nrSK_Cat,$E95,nrSK_Res,"Pass"),_xlfn.MAXIFS(nrSK_Att,nrSK_PID,$D95,nrSK_Cat,$E95,nrSK_Res,"Fail")))</f>
        <v/>
      </c>
      <c r="O95" s="17">
        <f>IF($C95="","",IF(AND(MAX(_xlfn.MAXIFS(nrSK_Att,nrSK_PID,$D95,nrSK_Cat,$E95,nrSK_Res,"Pass"),_xlfn.MAXIFS(nrSK_Att,nrSK_PID,$D95,nrSK_Cat,$E95,nrSK_Res,"Fail"))&gt;0,N($I95)&lt;MAX(_xlfn.MAXIFS(nrSK_Att,nrSK_PID,$D95,nrSK_Cat,$E95,nrSK_Res,"Pass"),_xlfn.MAXIFS(nrSK_Att,nrSK_PID,$D95,nrSK_Cat,$E95,nrSK_Res,"Fail"))),"(superseded)",IF(OR($J95="",$J95="Pending"),"Pending",IF($J95="Pass","Qualified",IF(AND($J95="Fail",$N95&gt;=$F95),"FAILED OUT","Needs Remediation")))))</f>
        <v/>
      </c>
      <c r="P95" s="17">
        <f>IF($C95="","",IF($O95="FAILED OUT","Yes","No"))</f>
        <v/>
      </c>
      <c r="Q95" s="16" t="n"/>
      <c r="R95" s="16" t="n"/>
      <c r="S95" s="17">
        <f>IF($C95="","",IF(AND($K95&lt;&gt;"",NOT(ISNUMBER($K95))),"SCORE NOT A NUMBER",IF(AND(ISNUMBER($K95),OR($K95&lt;0,$K95&gt;100)),"SCORE OUT OF RANGE - this score counts toward nothing",IF(AND($G95="Score",$K95="",$J95&lt;&gt;"",$J95&lt;&gt;"Pending"),"RESULT WITHOUT A SCORE",IF(AND($G95="Pass/Fail",$K95&lt;&gt;""),"SCORE ON A PASS-FAIL CATEGORY - it is ignored",IF(AND($E95="Firearms",$J95&lt;&gt;"",$J95&lt;&gt;"Pending",$R95=""),"FIREARMS ROW WITH NO COURSE OF FIRE","OK"))))))</f>
        <v/>
      </c>
    </row>
    <row r="96">
      <c r="B96" s="17">
        <f>IF($C96="","",$D96&amp;"-"&amp;$E96&amp;"-"&amp;$I96)</f>
        <v/>
      </c>
      <c r="C96" s="16" t="n"/>
      <c r="D96" s="17">
        <f>IF($C96="","",IFERROR(INDEX(rngCadetPIDs,MATCH($C96,rngCadetNames,0)),"?"))</f>
        <v/>
      </c>
      <c r="E96" s="16" t="n"/>
      <c r="F96" s="17">
        <f>IF($E96="","",IFERROR(INDEX(rngSM_max,MATCH($E96,rngSM_cat,0)),""))</f>
        <v/>
      </c>
      <c r="G96" s="17">
        <f>IF($E96="","",IFERROR(INDEX(rngSM_mode,MATCH($E96,rngSM_cat,0)),""))</f>
        <v/>
      </c>
      <c r="H96" s="17">
        <f>IF($E96="","",IFERROR(INDEX(rngSM_pass,MATCH($E96,rngSM_cat,0)),""))</f>
        <v/>
      </c>
      <c r="I96" s="16" t="n"/>
      <c r="J96" s="16" t="n"/>
      <c r="K96" s="16" t="n"/>
      <c r="L96" s="18" t="n"/>
      <c r="M96" s="16" t="n"/>
      <c r="N96" s="17">
        <f>IF($C96="","",MAX(_xlfn.MAXIFS(nrSK_Att,nrSK_PID,$D96,nrSK_Cat,$E96,nrSK_Res,"Pass"),_xlfn.MAXIFS(nrSK_Att,nrSK_PID,$D96,nrSK_Cat,$E96,nrSK_Res,"Fail")))</f>
        <v/>
      </c>
      <c r="O96" s="17">
        <f>IF($C96="","",IF(AND(MAX(_xlfn.MAXIFS(nrSK_Att,nrSK_PID,$D96,nrSK_Cat,$E96,nrSK_Res,"Pass"),_xlfn.MAXIFS(nrSK_Att,nrSK_PID,$D96,nrSK_Cat,$E96,nrSK_Res,"Fail"))&gt;0,N($I96)&lt;MAX(_xlfn.MAXIFS(nrSK_Att,nrSK_PID,$D96,nrSK_Cat,$E96,nrSK_Res,"Pass"),_xlfn.MAXIFS(nrSK_Att,nrSK_PID,$D96,nrSK_Cat,$E96,nrSK_Res,"Fail"))),"(superseded)",IF(OR($J96="",$J96="Pending"),"Pending",IF($J96="Pass","Qualified",IF(AND($J96="Fail",$N96&gt;=$F96),"FAILED OUT","Needs Remediation")))))</f>
        <v/>
      </c>
      <c r="P96" s="17">
        <f>IF($C96="","",IF($O96="FAILED OUT","Yes","No"))</f>
        <v/>
      </c>
      <c r="Q96" s="16" t="n"/>
      <c r="R96" s="16" t="n"/>
      <c r="S96" s="17">
        <f>IF($C96="","",IF(AND($K96&lt;&gt;"",NOT(ISNUMBER($K96))),"SCORE NOT A NUMBER",IF(AND(ISNUMBER($K96),OR($K96&lt;0,$K96&gt;100)),"SCORE OUT OF RANGE - this score counts toward nothing",IF(AND($G96="Score",$K96="",$J96&lt;&gt;"",$J96&lt;&gt;"Pending"),"RESULT WITHOUT A SCORE",IF(AND($G96="Pass/Fail",$K96&lt;&gt;""),"SCORE ON A PASS-FAIL CATEGORY - it is ignored",IF(AND($E96="Firearms",$J96&lt;&gt;"",$J96&lt;&gt;"Pending",$R96=""),"FIREARMS ROW WITH NO COURSE OF FIRE","OK"))))))</f>
        <v/>
      </c>
    </row>
    <row r="97">
      <c r="B97" s="17">
        <f>IF($C97="","",$D97&amp;"-"&amp;$E97&amp;"-"&amp;$I97)</f>
        <v/>
      </c>
      <c r="C97" s="16" t="n"/>
      <c r="D97" s="17">
        <f>IF($C97="","",IFERROR(INDEX(rngCadetPIDs,MATCH($C97,rngCadetNames,0)),"?"))</f>
        <v/>
      </c>
      <c r="E97" s="16" t="n"/>
      <c r="F97" s="17">
        <f>IF($E97="","",IFERROR(INDEX(rngSM_max,MATCH($E97,rngSM_cat,0)),""))</f>
        <v/>
      </c>
      <c r="G97" s="17">
        <f>IF($E97="","",IFERROR(INDEX(rngSM_mode,MATCH($E97,rngSM_cat,0)),""))</f>
        <v/>
      </c>
      <c r="H97" s="17">
        <f>IF($E97="","",IFERROR(INDEX(rngSM_pass,MATCH($E97,rngSM_cat,0)),""))</f>
        <v/>
      </c>
      <c r="I97" s="16" t="n"/>
      <c r="J97" s="16" t="n"/>
      <c r="K97" s="16" t="n"/>
      <c r="L97" s="18" t="n"/>
      <c r="M97" s="16" t="n"/>
      <c r="N97" s="17">
        <f>IF($C97="","",MAX(_xlfn.MAXIFS(nrSK_Att,nrSK_PID,$D97,nrSK_Cat,$E97,nrSK_Res,"Pass"),_xlfn.MAXIFS(nrSK_Att,nrSK_PID,$D97,nrSK_Cat,$E97,nrSK_Res,"Fail")))</f>
        <v/>
      </c>
      <c r="O97" s="17">
        <f>IF($C97="","",IF(AND(MAX(_xlfn.MAXIFS(nrSK_Att,nrSK_PID,$D97,nrSK_Cat,$E97,nrSK_Res,"Pass"),_xlfn.MAXIFS(nrSK_Att,nrSK_PID,$D97,nrSK_Cat,$E97,nrSK_Res,"Fail"))&gt;0,N($I97)&lt;MAX(_xlfn.MAXIFS(nrSK_Att,nrSK_PID,$D97,nrSK_Cat,$E97,nrSK_Res,"Pass"),_xlfn.MAXIFS(nrSK_Att,nrSK_PID,$D97,nrSK_Cat,$E97,nrSK_Res,"Fail"))),"(superseded)",IF(OR($J97="",$J97="Pending"),"Pending",IF($J97="Pass","Qualified",IF(AND($J97="Fail",$N97&gt;=$F97),"FAILED OUT","Needs Remediation")))))</f>
        <v/>
      </c>
      <c r="P97" s="17">
        <f>IF($C97="","",IF($O97="FAILED OUT","Yes","No"))</f>
        <v/>
      </c>
      <c r="Q97" s="16" t="n"/>
      <c r="R97" s="16" t="n"/>
      <c r="S97" s="17">
        <f>IF($C97="","",IF(AND($K97&lt;&gt;"",NOT(ISNUMBER($K97))),"SCORE NOT A NUMBER",IF(AND(ISNUMBER($K97),OR($K97&lt;0,$K97&gt;100)),"SCORE OUT OF RANGE - this score counts toward nothing",IF(AND($G97="Score",$K97="",$J97&lt;&gt;"",$J97&lt;&gt;"Pending"),"RESULT WITHOUT A SCORE",IF(AND($G97="Pass/Fail",$K97&lt;&gt;""),"SCORE ON A PASS-FAIL CATEGORY - it is ignored",IF(AND($E97="Firearms",$J97&lt;&gt;"",$J97&lt;&gt;"Pending",$R97=""),"FIREARMS ROW WITH NO COURSE OF FIRE","OK"))))))</f>
        <v/>
      </c>
    </row>
    <row r="98">
      <c r="B98" s="17">
        <f>IF($C98="","",$D98&amp;"-"&amp;$E98&amp;"-"&amp;$I98)</f>
        <v/>
      </c>
      <c r="C98" s="16" t="n"/>
      <c r="D98" s="17">
        <f>IF($C98="","",IFERROR(INDEX(rngCadetPIDs,MATCH($C98,rngCadetNames,0)),"?"))</f>
        <v/>
      </c>
      <c r="E98" s="16" t="n"/>
      <c r="F98" s="17">
        <f>IF($E98="","",IFERROR(INDEX(rngSM_max,MATCH($E98,rngSM_cat,0)),""))</f>
        <v/>
      </c>
      <c r="G98" s="17">
        <f>IF($E98="","",IFERROR(INDEX(rngSM_mode,MATCH($E98,rngSM_cat,0)),""))</f>
        <v/>
      </c>
      <c r="H98" s="17">
        <f>IF($E98="","",IFERROR(INDEX(rngSM_pass,MATCH($E98,rngSM_cat,0)),""))</f>
        <v/>
      </c>
      <c r="I98" s="16" t="n"/>
      <c r="J98" s="16" t="n"/>
      <c r="K98" s="16" t="n"/>
      <c r="L98" s="18" t="n"/>
      <c r="M98" s="16" t="n"/>
      <c r="N98" s="17">
        <f>IF($C98="","",MAX(_xlfn.MAXIFS(nrSK_Att,nrSK_PID,$D98,nrSK_Cat,$E98,nrSK_Res,"Pass"),_xlfn.MAXIFS(nrSK_Att,nrSK_PID,$D98,nrSK_Cat,$E98,nrSK_Res,"Fail")))</f>
        <v/>
      </c>
      <c r="O98" s="17">
        <f>IF($C98="","",IF(AND(MAX(_xlfn.MAXIFS(nrSK_Att,nrSK_PID,$D98,nrSK_Cat,$E98,nrSK_Res,"Pass"),_xlfn.MAXIFS(nrSK_Att,nrSK_PID,$D98,nrSK_Cat,$E98,nrSK_Res,"Fail"))&gt;0,N($I98)&lt;MAX(_xlfn.MAXIFS(nrSK_Att,nrSK_PID,$D98,nrSK_Cat,$E98,nrSK_Res,"Pass"),_xlfn.MAXIFS(nrSK_Att,nrSK_PID,$D98,nrSK_Cat,$E98,nrSK_Res,"Fail"))),"(superseded)",IF(OR($J98="",$J98="Pending"),"Pending",IF($J98="Pass","Qualified",IF(AND($J98="Fail",$N98&gt;=$F98),"FAILED OUT","Needs Remediation")))))</f>
        <v/>
      </c>
      <c r="P98" s="17">
        <f>IF($C98="","",IF($O98="FAILED OUT","Yes","No"))</f>
        <v/>
      </c>
      <c r="Q98" s="16" t="n"/>
      <c r="R98" s="16" t="n"/>
      <c r="S98" s="17">
        <f>IF($C98="","",IF(AND($K98&lt;&gt;"",NOT(ISNUMBER($K98))),"SCORE NOT A NUMBER",IF(AND(ISNUMBER($K98),OR($K98&lt;0,$K98&gt;100)),"SCORE OUT OF RANGE - this score counts toward nothing",IF(AND($G98="Score",$K98="",$J98&lt;&gt;"",$J98&lt;&gt;"Pending"),"RESULT WITHOUT A SCORE",IF(AND($G98="Pass/Fail",$K98&lt;&gt;""),"SCORE ON A PASS-FAIL CATEGORY - it is ignored",IF(AND($E98="Firearms",$J98&lt;&gt;"",$J98&lt;&gt;"Pending",$R98=""),"FIREARMS ROW WITH NO COURSE OF FIRE","OK"))))))</f>
        <v/>
      </c>
    </row>
    <row r="99">
      <c r="B99" s="17">
        <f>IF($C99="","",$D99&amp;"-"&amp;$E99&amp;"-"&amp;$I99)</f>
        <v/>
      </c>
      <c r="C99" s="16" t="n"/>
      <c r="D99" s="17">
        <f>IF($C99="","",IFERROR(INDEX(rngCadetPIDs,MATCH($C99,rngCadetNames,0)),"?"))</f>
        <v/>
      </c>
      <c r="E99" s="16" t="n"/>
      <c r="F99" s="17">
        <f>IF($E99="","",IFERROR(INDEX(rngSM_max,MATCH($E99,rngSM_cat,0)),""))</f>
        <v/>
      </c>
      <c r="G99" s="17">
        <f>IF($E99="","",IFERROR(INDEX(rngSM_mode,MATCH($E99,rngSM_cat,0)),""))</f>
        <v/>
      </c>
      <c r="H99" s="17">
        <f>IF($E99="","",IFERROR(INDEX(rngSM_pass,MATCH($E99,rngSM_cat,0)),""))</f>
        <v/>
      </c>
      <c r="I99" s="16" t="n"/>
      <c r="J99" s="16" t="n"/>
      <c r="K99" s="16" t="n"/>
      <c r="L99" s="18" t="n"/>
      <c r="M99" s="16" t="n"/>
      <c r="N99" s="17">
        <f>IF($C99="","",MAX(_xlfn.MAXIFS(nrSK_Att,nrSK_PID,$D99,nrSK_Cat,$E99,nrSK_Res,"Pass"),_xlfn.MAXIFS(nrSK_Att,nrSK_PID,$D99,nrSK_Cat,$E99,nrSK_Res,"Fail")))</f>
        <v/>
      </c>
      <c r="O99" s="17">
        <f>IF($C99="","",IF(AND(MAX(_xlfn.MAXIFS(nrSK_Att,nrSK_PID,$D99,nrSK_Cat,$E99,nrSK_Res,"Pass"),_xlfn.MAXIFS(nrSK_Att,nrSK_PID,$D99,nrSK_Cat,$E99,nrSK_Res,"Fail"))&gt;0,N($I99)&lt;MAX(_xlfn.MAXIFS(nrSK_Att,nrSK_PID,$D99,nrSK_Cat,$E99,nrSK_Res,"Pass"),_xlfn.MAXIFS(nrSK_Att,nrSK_PID,$D99,nrSK_Cat,$E99,nrSK_Res,"Fail"))),"(superseded)",IF(OR($J99="",$J99="Pending"),"Pending",IF($J99="Pass","Qualified",IF(AND($J99="Fail",$N99&gt;=$F99),"FAILED OUT","Needs Remediation")))))</f>
        <v/>
      </c>
      <c r="P99" s="17">
        <f>IF($C99="","",IF($O99="FAILED OUT","Yes","No"))</f>
        <v/>
      </c>
      <c r="Q99" s="16" t="n"/>
      <c r="R99" s="16" t="n"/>
      <c r="S99" s="17">
        <f>IF($C99="","",IF(AND($K99&lt;&gt;"",NOT(ISNUMBER($K99))),"SCORE NOT A NUMBER",IF(AND(ISNUMBER($K99),OR($K99&lt;0,$K99&gt;100)),"SCORE OUT OF RANGE - this score counts toward nothing",IF(AND($G99="Score",$K99="",$J99&lt;&gt;"",$J99&lt;&gt;"Pending"),"RESULT WITHOUT A SCORE",IF(AND($G99="Pass/Fail",$K99&lt;&gt;""),"SCORE ON A PASS-FAIL CATEGORY - it is ignored",IF(AND($E99="Firearms",$J99&lt;&gt;"",$J99&lt;&gt;"Pending",$R99=""),"FIREARMS ROW WITH NO COURSE OF FIRE","OK"))))))</f>
        <v/>
      </c>
    </row>
    <row r="100">
      <c r="B100" s="17">
        <f>IF($C100="","",$D100&amp;"-"&amp;$E100&amp;"-"&amp;$I100)</f>
        <v/>
      </c>
      <c r="C100" s="16" t="n"/>
      <c r="D100" s="17">
        <f>IF($C100="","",IFERROR(INDEX(rngCadetPIDs,MATCH($C100,rngCadetNames,0)),"?"))</f>
        <v/>
      </c>
      <c r="E100" s="16" t="n"/>
      <c r="F100" s="17">
        <f>IF($E100="","",IFERROR(INDEX(rngSM_max,MATCH($E100,rngSM_cat,0)),""))</f>
        <v/>
      </c>
      <c r="G100" s="17">
        <f>IF($E100="","",IFERROR(INDEX(rngSM_mode,MATCH($E100,rngSM_cat,0)),""))</f>
        <v/>
      </c>
      <c r="H100" s="17">
        <f>IF($E100="","",IFERROR(INDEX(rngSM_pass,MATCH($E100,rngSM_cat,0)),""))</f>
        <v/>
      </c>
      <c r="I100" s="16" t="n"/>
      <c r="J100" s="16" t="n"/>
      <c r="K100" s="16" t="n"/>
      <c r="L100" s="18" t="n"/>
      <c r="M100" s="16" t="n"/>
      <c r="N100" s="17">
        <f>IF($C100="","",MAX(_xlfn.MAXIFS(nrSK_Att,nrSK_PID,$D100,nrSK_Cat,$E100,nrSK_Res,"Pass"),_xlfn.MAXIFS(nrSK_Att,nrSK_PID,$D100,nrSK_Cat,$E100,nrSK_Res,"Fail")))</f>
        <v/>
      </c>
      <c r="O100" s="17">
        <f>IF($C100="","",IF(AND(MAX(_xlfn.MAXIFS(nrSK_Att,nrSK_PID,$D100,nrSK_Cat,$E100,nrSK_Res,"Pass"),_xlfn.MAXIFS(nrSK_Att,nrSK_PID,$D100,nrSK_Cat,$E100,nrSK_Res,"Fail"))&gt;0,N($I100)&lt;MAX(_xlfn.MAXIFS(nrSK_Att,nrSK_PID,$D100,nrSK_Cat,$E100,nrSK_Res,"Pass"),_xlfn.MAXIFS(nrSK_Att,nrSK_PID,$D100,nrSK_Cat,$E100,nrSK_Res,"Fail"))),"(superseded)",IF(OR($J100="",$J100="Pending"),"Pending",IF($J100="Pass","Qualified",IF(AND($J100="Fail",$N100&gt;=$F100),"FAILED OUT","Needs Remediation")))))</f>
        <v/>
      </c>
      <c r="P100" s="17">
        <f>IF($C100="","",IF($O100="FAILED OUT","Yes","No"))</f>
        <v/>
      </c>
      <c r="Q100" s="16" t="n"/>
      <c r="R100" s="16" t="n"/>
      <c r="S100" s="17">
        <f>IF($C100="","",IF(AND($K100&lt;&gt;"",NOT(ISNUMBER($K100))),"SCORE NOT A NUMBER",IF(AND(ISNUMBER($K100),OR($K100&lt;0,$K100&gt;100)),"SCORE OUT OF RANGE - this score counts toward nothing",IF(AND($G100="Score",$K100="",$J100&lt;&gt;"",$J100&lt;&gt;"Pending"),"RESULT WITHOUT A SCORE",IF(AND($G100="Pass/Fail",$K100&lt;&gt;""),"SCORE ON A PASS-FAIL CATEGORY - it is ignored",IF(AND($E100="Firearms",$J100&lt;&gt;"",$J100&lt;&gt;"Pending",$R100=""),"FIREARMS ROW WITH NO COURSE OF FIRE","OK"))))))</f>
        <v/>
      </c>
    </row>
    <row r="101">
      <c r="B101" s="17">
        <f>IF($C101="","",$D101&amp;"-"&amp;$E101&amp;"-"&amp;$I101)</f>
        <v/>
      </c>
      <c r="C101" s="16" t="n"/>
      <c r="D101" s="17">
        <f>IF($C101="","",IFERROR(INDEX(rngCadetPIDs,MATCH($C101,rngCadetNames,0)),"?"))</f>
        <v/>
      </c>
      <c r="E101" s="16" t="n"/>
      <c r="F101" s="17">
        <f>IF($E101="","",IFERROR(INDEX(rngSM_max,MATCH($E101,rngSM_cat,0)),""))</f>
        <v/>
      </c>
      <c r="G101" s="17">
        <f>IF($E101="","",IFERROR(INDEX(rngSM_mode,MATCH($E101,rngSM_cat,0)),""))</f>
        <v/>
      </c>
      <c r="H101" s="17">
        <f>IF($E101="","",IFERROR(INDEX(rngSM_pass,MATCH($E101,rngSM_cat,0)),""))</f>
        <v/>
      </c>
      <c r="I101" s="16" t="n"/>
      <c r="J101" s="16" t="n"/>
      <c r="K101" s="16" t="n"/>
      <c r="L101" s="18" t="n"/>
      <c r="M101" s="16" t="n"/>
      <c r="N101" s="17">
        <f>IF($C101="","",MAX(_xlfn.MAXIFS(nrSK_Att,nrSK_PID,$D101,nrSK_Cat,$E101,nrSK_Res,"Pass"),_xlfn.MAXIFS(nrSK_Att,nrSK_PID,$D101,nrSK_Cat,$E101,nrSK_Res,"Fail")))</f>
        <v/>
      </c>
      <c r="O101" s="17">
        <f>IF($C101="","",IF(AND(MAX(_xlfn.MAXIFS(nrSK_Att,nrSK_PID,$D101,nrSK_Cat,$E101,nrSK_Res,"Pass"),_xlfn.MAXIFS(nrSK_Att,nrSK_PID,$D101,nrSK_Cat,$E101,nrSK_Res,"Fail"))&gt;0,N($I101)&lt;MAX(_xlfn.MAXIFS(nrSK_Att,nrSK_PID,$D101,nrSK_Cat,$E101,nrSK_Res,"Pass"),_xlfn.MAXIFS(nrSK_Att,nrSK_PID,$D101,nrSK_Cat,$E101,nrSK_Res,"Fail"))),"(superseded)",IF(OR($J101="",$J101="Pending"),"Pending",IF($J101="Pass","Qualified",IF(AND($J101="Fail",$N101&gt;=$F101),"FAILED OUT","Needs Remediation")))))</f>
        <v/>
      </c>
      <c r="P101" s="17">
        <f>IF($C101="","",IF($O101="FAILED OUT","Yes","No"))</f>
        <v/>
      </c>
      <c r="Q101" s="16" t="n"/>
      <c r="R101" s="16" t="n"/>
      <c r="S101" s="17">
        <f>IF($C101="","",IF(AND($K101&lt;&gt;"",NOT(ISNUMBER($K101))),"SCORE NOT A NUMBER",IF(AND(ISNUMBER($K101),OR($K101&lt;0,$K101&gt;100)),"SCORE OUT OF RANGE - this score counts toward nothing",IF(AND($G101="Score",$K101="",$J101&lt;&gt;"",$J101&lt;&gt;"Pending"),"RESULT WITHOUT A SCORE",IF(AND($G101="Pass/Fail",$K101&lt;&gt;""),"SCORE ON A PASS-FAIL CATEGORY - it is ignored",IF(AND($E101="Firearms",$J101&lt;&gt;"",$J101&lt;&gt;"Pending",$R101=""),"FIREARMS ROW WITH NO COURSE OF FIRE","OK"))))))</f>
        <v/>
      </c>
    </row>
    <row r="102">
      <c r="B102" s="17">
        <f>IF($C102="","",$D102&amp;"-"&amp;$E102&amp;"-"&amp;$I102)</f>
        <v/>
      </c>
      <c r="C102" s="16" t="n"/>
      <c r="D102" s="17">
        <f>IF($C102="","",IFERROR(INDEX(rngCadetPIDs,MATCH($C102,rngCadetNames,0)),"?"))</f>
        <v/>
      </c>
      <c r="E102" s="16" t="n"/>
      <c r="F102" s="17">
        <f>IF($E102="","",IFERROR(INDEX(rngSM_max,MATCH($E102,rngSM_cat,0)),""))</f>
        <v/>
      </c>
      <c r="G102" s="17">
        <f>IF($E102="","",IFERROR(INDEX(rngSM_mode,MATCH($E102,rngSM_cat,0)),""))</f>
        <v/>
      </c>
      <c r="H102" s="17">
        <f>IF($E102="","",IFERROR(INDEX(rngSM_pass,MATCH($E102,rngSM_cat,0)),""))</f>
        <v/>
      </c>
      <c r="I102" s="16" t="n"/>
      <c r="J102" s="16" t="n"/>
      <c r="K102" s="16" t="n"/>
      <c r="L102" s="18" t="n"/>
      <c r="M102" s="16" t="n"/>
      <c r="N102" s="17">
        <f>IF($C102="","",MAX(_xlfn.MAXIFS(nrSK_Att,nrSK_PID,$D102,nrSK_Cat,$E102,nrSK_Res,"Pass"),_xlfn.MAXIFS(nrSK_Att,nrSK_PID,$D102,nrSK_Cat,$E102,nrSK_Res,"Fail")))</f>
        <v/>
      </c>
      <c r="O102" s="17">
        <f>IF($C102="","",IF(AND(MAX(_xlfn.MAXIFS(nrSK_Att,nrSK_PID,$D102,nrSK_Cat,$E102,nrSK_Res,"Pass"),_xlfn.MAXIFS(nrSK_Att,nrSK_PID,$D102,nrSK_Cat,$E102,nrSK_Res,"Fail"))&gt;0,N($I102)&lt;MAX(_xlfn.MAXIFS(nrSK_Att,nrSK_PID,$D102,nrSK_Cat,$E102,nrSK_Res,"Pass"),_xlfn.MAXIFS(nrSK_Att,nrSK_PID,$D102,nrSK_Cat,$E102,nrSK_Res,"Fail"))),"(superseded)",IF(OR($J102="",$J102="Pending"),"Pending",IF($J102="Pass","Qualified",IF(AND($J102="Fail",$N102&gt;=$F102),"FAILED OUT","Needs Remediation")))))</f>
        <v/>
      </c>
      <c r="P102" s="17">
        <f>IF($C102="","",IF($O102="FAILED OUT","Yes","No"))</f>
        <v/>
      </c>
      <c r="Q102" s="16" t="n"/>
      <c r="R102" s="16" t="n"/>
      <c r="S102" s="17">
        <f>IF($C102="","",IF(AND($K102&lt;&gt;"",NOT(ISNUMBER($K102))),"SCORE NOT A NUMBER",IF(AND(ISNUMBER($K102),OR($K102&lt;0,$K102&gt;100)),"SCORE OUT OF RANGE - this score counts toward nothing",IF(AND($G102="Score",$K102="",$J102&lt;&gt;"",$J102&lt;&gt;"Pending"),"RESULT WITHOUT A SCORE",IF(AND($G102="Pass/Fail",$K102&lt;&gt;""),"SCORE ON A PASS-FAIL CATEGORY - it is ignored",IF(AND($E102="Firearms",$J102&lt;&gt;"",$J102&lt;&gt;"Pending",$R102=""),"FIREARMS ROW WITH NO COURSE OF FIRE","OK"))))))</f>
        <v/>
      </c>
    </row>
    <row r="103">
      <c r="B103" s="17">
        <f>IF($C103="","",$D103&amp;"-"&amp;$E103&amp;"-"&amp;$I103)</f>
        <v/>
      </c>
      <c r="C103" s="16" t="n"/>
      <c r="D103" s="17">
        <f>IF($C103="","",IFERROR(INDEX(rngCadetPIDs,MATCH($C103,rngCadetNames,0)),"?"))</f>
        <v/>
      </c>
      <c r="E103" s="16" t="n"/>
      <c r="F103" s="17">
        <f>IF($E103="","",IFERROR(INDEX(rngSM_max,MATCH($E103,rngSM_cat,0)),""))</f>
        <v/>
      </c>
      <c r="G103" s="17">
        <f>IF($E103="","",IFERROR(INDEX(rngSM_mode,MATCH($E103,rngSM_cat,0)),""))</f>
        <v/>
      </c>
      <c r="H103" s="17">
        <f>IF($E103="","",IFERROR(INDEX(rngSM_pass,MATCH($E103,rngSM_cat,0)),""))</f>
        <v/>
      </c>
      <c r="I103" s="16" t="n"/>
      <c r="J103" s="16" t="n"/>
      <c r="K103" s="16" t="n"/>
      <c r="L103" s="18" t="n"/>
      <c r="M103" s="16" t="n"/>
      <c r="N103" s="17">
        <f>IF($C103="","",MAX(_xlfn.MAXIFS(nrSK_Att,nrSK_PID,$D103,nrSK_Cat,$E103,nrSK_Res,"Pass"),_xlfn.MAXIFS(nrSK_Att,nrSK_PID,$D103,nrSK_Cat,$E103,nrSK_Res,"Fail")))</f>
        <v/>
      </c>
      <c r="O103" s="17">
        <f>IF($C103="","",IF(AND(MAX(_xlfn.MAXIFS(nrSK_Att,nrSK_PID,$D103,nrSK_Cat,$E103,nrSK_Res,"Pass"),_xlfn.MAXIFS(nrSK_Att,nrSK_PID,$D103,nrSK_Cat,$E103,nrSK_Res,"Fail"))&gt;0,N($I103)&lt;MAX(_xlfn.MAXIFS(nrSK_Att,nrSK_PID,$D103,nrSK_Cat,$E103,nrSK_Res,"Pass"),_xlfn.MAXIFS(nrSK_Att,nrSK_PID,$D103,nrSK_Cat,$E103,nrSK_Res,"Fail"))),"(superseded)",IF(OR($J103="",$J103="Pending"),"Pending",IF($J103="Pass","Qualified",IF(AND($J103="Fail",$N103&gt;=$F103),"FAILED OUT","Needs Remediation")))))</f>
        <v/>
      </c>
      <c r="P103" s="17">
        <f>IF($C103="","",IF($O103="FAILED OUT","Yes","No"))</f>
        <v/>
      </c>
      <c r="Q103" s="16" t="n"/>
      <c r="R103" s="16" t="n"/>
      <c r="S103" s="17">
        <f>IF($C103="","",IF(AND($K103&lt;&gt;"",NOT(ISNUMBER($K103))),"SCORE NOT A NUMBER",IF(AND(ISNUMBER($K103),OR($K103&lt;0,$K103&gt;100)),"SCORE OUT OF RANGE - this score counts toward nothing",IF(AND($G103="Score",$K103="",$J103&lt;&gt;"",$J103&lt;&gt;"Pending"),"RESULT WITHOUT A SCORE",IF(AND($G103="Pass/Fail",$K103&lt;&gt;""),"SCORE ON A PASS-FAIL CATEGORY - it is ignored",IF(AND($E103="Firearms",$J103&lt;&gt;"",$J103&lt;&gt;"Pending",$R103=""),"FIREARMS ROW WITH NO COURSE OF FIRE","OK"))))))</f>
        <v/>
      </c>
    </row>
    <row r="104">
      <c r="B104" s="17">
        <f>IF($C104="","",$D104&amp;"-"&amp;$E104&amp;"-"&amp;$I104)</f>
        <v/>
      </c>
      <c r="C104" s="16" t="n"/>
      <c r="D104" s="17">
        <f>IF($C104="","",IFERROR(INDEX(rngCadetPIDs,MATCH($C104,rngCadetNames,0)),"?"))</f>
        <v/>
      </c>
      <c r="E104" s="16" t="n"/>
      <c r="F104" s="17">
        <f>IF($E104="","",IFERROR(INDEX(rngSM_max,MATCH($E104,rngSM_cat,0)),""))</f>
        <v/>
      </c>
      <c r="G104" s="17">
        <f>IF($E104="","",IFERROR(INDEX(rngSM_mode,MATCH($E104,rngSM_cat,0)),""))</f>
        <v/>
      </c>
      <c r="H104" s="17">
        <f>IF($E104="","",IFERROR(INDEX(rngSM_pass,MATCH($E104,rngSM_cat,0)),""))</f>
        <v/>
      </c>
      <c r="I104" s="16" t="n"/>
      <c r="J104" s="16" t="n"/>
      <c r="K104" s="16" t="n"/>
      <c r="L104" s="18" t="n"/>
      <c r="M104" s="16" t="n"/>
      <c r="N104" s="17">
        <f>IF($C104="","",MAX(_xlfn.MAXIFS(nrSK_Att,nrSK_PID,$D104,nrSK_Cat,$E104,nrSK_Res,"Pass"),_xlfn.MAXIFS(nrSK_Att,nrSK_PID,$D104,nrSK_Cat,$E104,nrSK_Res,"Fail")))</f>
        <v/>
      </c>
      <c r="O104" s="17">
        <f>IF($C104="","",IF(AND(MAX(_xlfn.MAXIFS(nrSK_Att,nrSK_PID,$D104,nrSK_Cat,$E104,nrSK_Res,"Pass"),_xlfn.MAXIFS(nrSK_Att,nrSK_PID,$D104,nrSK_Cat,$E104,nrSK_Res,"Fail"))&gt;0,N($I104)&lt;MAX(_xlfn.MAXIFS(nrSK_Att,nrSK_PID,$D104,nrSK_Cat,$E104,nrSK_Res,"Pass"),_xlfn.MAXIFS(nrSK_Att,nrSK_PID,$D104,nrSK_Cat,$E104,nrSK_Res,"Fail"))),"(superseded)",IF(OR($J104="",$J104="Pending"),"Pending",IF($J104="Pass","Qualified",IF(AND($J104="Fail",$N104&gt;=$F104),"FAILED OUT","Needs Remediation")))))</f>
        <v/>
      </c>
      <c r="P104" s="17">
        <f>IF($C104="","",IF($O104="FAILED OUT","Yes","No"))</f>
        <v/>
      </c>
      <c r="Q104" s="16" t="n"/>
      <c r="R104" s="16" t="n"/>
      <c r="S104" s="17">
        <f>IF($C104="","",IF(AND($K104&lt;&gt;"",NOT(ISNUMBER($K104))),"SCORE NOT A NUMBER",IF(AND(ISNUMBER($K104),OR($K104&lt;0,$K104&gt;100)),"SCORE OUT OF RANGE - this score counts toward nothing",IF(AND($G104="Score",$K104="",$J104&lt;&gt;"",$J104&lt;&gt;"Pending"),"RESULT WITHOUT A SCORE",IF(AND($G104="Pass/Fail",$K104&lt;&gt;""),"SCORE ON A PASS-FAIL CATEGORY - it is ignored",IF(AND($E104="Firearms",$J104&lt;&gt;"",$J104&lt;&gt;"Pending",$R104=""),"FIREARMS ROW WITH NO COURSE OF FIRE","OK"))))))</f>
        <v/>
      </c>
    </row>
    <row r="105">
      <c r="B105" s="17">
        <f>IF($C105="","",$D105&amp;"-"&amp;$E105&amp;"-"&amp;$I105)</f>
        <v/>
      </c>
      <c r="C105" s="16" t="n"/>
      <c r="D105" s="17">
        <f>IF($C105="","",IFERROR(INDEX(rngCadetPIDs,MATCH($C105,rngCadetNames,0)),"?"))</f>
        <v/>
      </c>
      <c r="E105" s="16" t="n"/>
      <c r="F105" s="17">
        <f>IF($E105="","",IFERROR(INDEX(rngSM_max,MATCH($E105,rngSM_cat,0)),""))</f>
        <v/>
      </c>
      <c r="G105" s="17">
        <f>IF($E105="","",IFERROR(INDEX(rngSM_mode,MATCH($E105,rngSM_cat,0)),""))</f>
        <v/>
      </c>
      <c r="H105" s="17">
        <f>IF($E105="","",IFERROR(INDEX(rngSM_pass,MATCH($E105,rngSM_cat,0)),""))</f>
        <v/>
      </c>
      <c r="I105" s="16" t="n"/>
      <c r="J105" s="16" t="n"/>
      <c r="K105" s="16" t="n"/>
      <c r="L105" s="18" t="n"/>
      <c r="M105" s="16" t="n"/>
      <c r="N105" s="17">
        <f>IF($C105="","",MAX(_xlfn.MAXIFS(nrSK_Att,nrSK_PID,$D105,nrSK_Cat,$E105,nrSK_Res,"Pass"),_xlfn.MAXIFS(nrSK_Att,nrSK_PID,$D105,nrSK_Cat,$E105,nrSK_Res,"Fail")))</f>
        <v/>
      </c>
      <c r="O105" s="17">
        <f>IF($C105="","",IF(AND(MAX(_xlfn.MAXIFS(nrSK_Att,nrSK_PID,$D105,nrSK_Cat,$E105,nrSK_Res,"Pass"),_xlfn.MAXIFS(nrSK_Att,nrSK_PID,$D105,nrSK_Cat,$E105,nrSK_Res,"Fail"))&gt;0,N($I105)&lt;MAX(_xlfn.MAXIFS(nrSK_Att,nrSK_PID,$D105,nrSK_Cat,$E105,nrSK_Res,"Pass"),_xlfn.MAXIFS(nrSK_Att,nrSK_PID,$D105,nrSK_Cat,$E105,nrSK_Res,"Fail"))),"(superseded)",IF(OR($J105="",$J105="Pending"),"Pending",IF($J105="Pass","Qualified",IF(AND($J105="Fail",$N105&gt;=$F105),"FAILED OUT","Needs Remediation")))))</f>
        <v/>
      </c>
      <c r="P105" s="17">
        <f>IF($C105="","",IF($O105="FAILED OUT","Yes","No"))</f>
        <v/>
      </c>
      <c r="Q105" s="16" t="n"/>
      <c r="R105" s="16" t="n"/>
      <c r="S105" s="17">
        <f>IF($C105="","",IF(AND($K105&lt;&gt;"",NOT(ISNUMBER($K105))),"SCORE NOT A NUMBER",IF(AND(ISNUMBER($K105),OR($K105&lt;0,$K105&gt;100)),"SCORE OUT OF RANGE - this score counts toward nothing",IF(AND($G105="Score",$K105="",$J105&lt;&gt;"",$J105&lt;&gt;"Pending"),"RESULT WITHOUT A SCORE",IF(AND($G105="Pass/Fail",$K105&lt;&gt;""),"SCORE ON A PASS-FAIL CATEGORY - it is ignored",IF(AND($E105="Firearms",$J105&lt;&gt;"",$J105&lt;&gt;"Pending",$R105=""),"FIREARMS ROW WITH NO COURSE OF FIRE","OK"))))))</f>
        <v/>
      </c>
    </row>
    <row r="106">
      <c r="B106" s="17">
        <f>IF($C106="","",$D106&amp;"-"&amp;$E106&amp;"-"&amp;$I106)</f>
        <v/>
      </c>
      <c r="C106" s="16" t="n"/>
      <c r="D106" s="17">
        <f>IF($C106="","",IFERROR(INDEX(rngCadetPIDs,MATCH($C106,rngCadetNames,0)),"?"))</f>
        <v/>
      </c>
      <c r="E106" s="16" t="n"/>
      <c r="F106" s="17">
        <f>IF($E106="","",IFERROR(INDEX(rngSM_max,MATCH($E106,rngSM_cat,0)),""))</f>
        <v/>
      </c>
      <c r="G106" s="17">
        <f>IF($E106="","",IFERROR(INDEX(rngSM_mode,MATCH($E106,rngSM_cat,0)),""))</f>
        <v/>
      </c>
      <c r="H106" s="17">
        <f>IF($E106="","",IFERROR(INDEX(rngSM_pass,MATCH($E106,rngSM_cat,0)),""))</f>
        <v/>
      </c>
      <c r="I106" s="16" t="n"/>
      <c r="J106" s="16" t="n"/>
      <c r="K106" s="16" t="n"/>
      <c r="L106" s="18" t="n"/>
      <c r="M106" s="16" t="n"/>
      <c r="N106" s="17">
        <f>IF($C106="","",MAX(_xlfn.MAXIFS(nrSK_Att,nrSK_PID,$D106,nrSK_Cat,$E106,nrSK_Res,"Pass"),_xlfn.MAXIFS(nrSK_Att,nrSK_PID,$D106,nrSK_Cat,$E106,nrSK_Res,"Fail")))</f>
        <v/>
      </c>
      <c r="O106" s="17">
        <f>IF($C106="","",IF(AND(MAX(_xlfn.MAXIFS(nrSK_Att,nrSK_PID,$D106,nrSK_Cat,$E106,nrSK_Res,"Pass"),_xlfn.MAXIFS(nrSK_Att,nrSK_PID,$D106,nrSK_Cat,$E106,nrSK_Res,"Fail"))&gt;0,N($I106)&lt;MAX(_xlfn.MAXIFS(nrSK_Att,nrSK_PID,$D106,nrSK_Cat,$E106,nrSK_Res,"Pass"),_xlfn.MAXIFS(nrSK_Att,nrSK_PID,$D106,nrSK_Cat,$E106,nrSK_Res,"Fail"))),"(superseded)",IF(OR($J106="",$J106="Pending"),"Pending",IF($J106="Pass","Qualified",IF(AND($J106="Fail",$N106&gt;=$F106),"FAILED OUT","Needs Remediation")))))</f>
        <v/>
      </c>
      <c r="P106" s="17">
        <f>IF($C106="","",IF($O106="FAILED OUT","Yes","No"))</f>
        <v/>
      </c>
      <c r="Q106" s="16" t="n"/>
      <c r="R106" s="16" t="n"/>
      <c r="S106" s="17">
        <f>IF($C106="","",IF(AND($K106&lt;&gt;"",NOT(ISNUMBER($K106))),"SCORE NOT A NUMBER",IF(AND(ISNUMBER($K106),OR($K106&lt;0,$K106&gt;100)),"SCORE OUT OF RANGE - this score counts toward nothing",IF(AND($G106="Score",$K106="",$J106&lt;&gt;"",$J106&lt;&gt;"Pending"),"RESULT WITHOUT A SCORE",IF(AND($G106="Pass/Fail",$K106&lt;&gt;""),"SCORE ON A PASS-FAIL CATEGORY - it is ignored",IF(AND($E106="Firearms",$J106&lt;&gt;"",$J106&lt;&gt;"Pending",$R106=""),"FIREARMS ROW WITH NO COURSE OF FIRE","OK"))))))</f>
        <v/>
      </c>
    </row>
    <row r="107">
      <c r="B107" s="17">
        <f>IF($C107="","",$D107&amp;"-"&amp;$E107&amp;"-"&amp;$I107)</f>
        <v/>
      </c>
      <c r="C107" s="16" t="n"/>
      <c r="D107" s="17">
        <f>IF($C107="","",IFERROR(INDEX(rngCadetPIDs,MATCH($C107,rngCadetNames,0)),"?"))</f>
        <v/>
      </c>
      <c r="E107" s="16" t="n"/>
      <c r="F107" s="17">
        <f>IF($E107="","",IFERROR(INDEX(rngSM_max,MATCH($E107,rngSM_cat,0)),""))</f>
        <v/>
      </c>
      <c r="G107" s="17">
        <f>IF($E107="","",IFERROR(INDEX(rngSM_mode,MATCH($E107,rngSM_cat,0)),""))</f>
        <v/>
      </c>
      <c r="H107" s="17">
        <f>IF($E107="","",IFERROR(INDEX(rngSM_pass,MATCH($E107,rngSM_cat,0)),""))</f>
        <v/>
      </c>
      <c r="I107" s="16" t="n"/>
      <c r="J107" s="16" t="n"/>
      <c r="K107" s="16" t="n"/>
      <c r="L107" s="18" t="n"/>
      <c r="M107" s="16" t="n"/>
      <c r="N107" s="17">
        <f>IF($C107="","",MAX(_xlfn.MAXIFS(nrSK_Att,nrSK_PID,$D107,nrSK_Cat,$E107,nrSK_Res,"Pass"),_xlfn.MAXIFS(nrSK_Att,nrSK_PID,$D107,nrSK_Cat,$E107,nrSK_Res,"Fail")))</f>
        <v/>
      </c>
      <c r="O107" s="17">
        <f>IF($C107="","",IF(AND(MAX(_xlfn.MAXIFS(nrSK_Att,nrSK_PID,$D107,nrSK_Cat,$E107,nrSK_Res,"Pass"),_xlfn.MAXIFS(nrSK_Att,nrSK_PID,$D107,nrSK_Cat,$E107,nrSK_Res,"Fail"))&gt;0,N($I107)&lt;MAX(_xlfn.MAXIFS(nrSK_Att,nrSK_PID,$D107,nrSK_Cat,$E107,nrSK_Res,"Pass"),_xlfn.MAXIFS(nrSK_Att,nrSK_PID,$D107,nrSK_Cat,$E107,nrSK_Res,"Fail"))),"(superseded)",IF(OR($J107="",$J107="Pending"),"Pending",IF($J107="Pass","Qualified",IF(AND($J107="Fail",$N107&gt;=$F107),"FAILED OUT","Needs Remediation")))))</f>
        <v/>
      </c>
      <c r="P107" s="17">
        <f>IF($C107="","",IF($O107="FAILED OUT","Yes","No"))</f>
        <v/>
      </c>
      <c r="Q107" s="16" t="n"/>
      <c r="R107" s="16" t="n"/>
      <c r="S107" s="17">
        <f>IF($C107="","",IF(AND($K107&lt;&gt;"",NOT(ISNUMBER($K107))),"SCORE NOT A NUMBER",IF(AND(ISNUMBER($K107),OR($K107&lt;0,$K107&gt;100)),"SCORE OUT OF RANGE - this score counts toward nothing",IF(AND($G107="Score",$K107="",$J107&lt;&gt;"",$J107&lt;&gt;"Pending"),"RESULT WITHOUT A SCORE",IF(AND($G107="Pass/Fail",$K107&lt;&gt;""),"SCORE ON A PASS-FAIL CATEGORY - it is ignored",IF(AND($E107="Firearms",$J107&lt;&gt;"",$J107&lt;&gt;"Pending",$R107=""),"FIREARMS ROW WITH NO COURSE OF FIRE","OK"))))))</f>
        <v/>
      </c>
    </row>
    <row r="108">
      <c r="B108" s="17">
        <f>IF($C108="","",$D108&amp;"-"&amp;$E108&amp;"-"&amp;$I108)</f>
        <v/>
      </c>
      <c r="C108" s="16" t="n"/>
      <c r="D108" s="17">
        <f>IF($C108="","",IFERROR(INDEX(rngCadetPIDs,MATCH($C108,rngCadetNames,0)),"?"))</f>
        <v/>
      </c>
      <c r="E108" s="16" t="n"/>
      <c r="F108" s="17">
        <f>IF($E108="","",IFERROR(INDEX(rngSM_max,MATCH($E108,rngSM_cat,0)),""))</f>
        <v/>
      </c>
      <c r="G108" s="17">
        <f>IF($E108="","",IFERROR(INDEX(rngSM_mode,MATCH($E108,rngSM_cat,0)),""))</f>
        <v/>
      </c>
      <c r="H108" s="17">
        <f>IF($E108="","",IFERROR(INDEX(rngSM_pass,MATCH($E108,rngSM_cat,0)),""))</f>
        <v/>
      </c>
      <c r="I108" s="16" t="n"/>
      <c r="J108" s="16" t="n"/>
      <c r="K108" s="16" t="n"/>
      <c r="L108" s="18" t="n"/>
      <c r="M108" s="16" t="n"/>
      <c r="N108" s="17">
        <f>IF($C108="","",MAX(_xlfn.MAXIFS(nrSK_Att,nrSK_PID,$D108,nrSK_Cat,$E108,nrSK_Res,"Pass"),_xlfn.MAXIFS(nrSK_Att,nrSK_PID,$D108,nrSK_Cat,$E108,nrSK_Res,"Fail")))</f>
        <v/>
      </c>
      <c r="O108" s="17">
        <f>IF($C108="","",IF(AND(MAX(_xlfn.MAXIFS(nrSK_Att,nrSK_PID,$D108,nrSK_Cat,$E108,nrSK_Res,"Pass"),_xlfn.MAXIFS(nrSK_Att,nrSK_PID,$D108,nrSK_Cat,$E108,nrSK_Res,"Fail"))&gt;0,N($I108)&lt;MAX(_xlfn.MAXIFS(nrSK_Att,nrSK_PID,$D108,nrSK_Cat,$E108,nrSK_Res,"Pass"),_xlfn.MAXIFS(nrSK_Att,nrSK_PID,$D108,nrSK_Cat,$E108,nrSK_Res,"Fail"))),"(superseded)",IF(OR($J108="",$J108="Pending"),"Pending",IF($J108="Pass","Qualified",IF(AND($J108="Fail",$N108&gt;=$F108),"FAILED OUT","Needs Remediation")))))</f>
        <v/>
      </c>
      <c r="P108" s="17">
        <f>IF($C108="","",IF($O108="FAILED OUT","Yes","No"))</f>
        <v/>
      </c>
      <c r="Q108" s="16" t="n"/>
      <c r="R108" s="16" t="n"/>
      <c r="S108" s="17">
        <f>IF($C108="","",IF(AND($K108&lt;&gt;"",NOT(ISNUMBER($K108))),"SCORE NOT A NUMBER",IF(AND(ISNUMBER($K108),OR($K108&lt;0,$K108&gt;100)),"SCORE OUT OF RANGE - this score counts toward nothing",IF(AND($G108="Score",$K108="",$J108&lt;&gt;"",$J108&lt;&gt;"Pending"),"RESULT WITHOUT A SCORE",IF(AND($G108="Pass/Fail",$K108&lt;&gt;""),"SCORE ON A PASS-FAIL CATEGORY - it is ignored",IF(AND($E108="Firearms",$J108&lt;&gt;"",$J108&lt;&gt;"Pending",$R108=""),"FIREARMS ROW WITH NO COURSE OF FIRE","OK"))))))</f>
        <v/>
      </c>
    </row>
    <row r="109">
      <c r="B109" s="17">
        <f>IF($C109="","",$D109&amp;"-"&amp;$E109&amp;"-"&amp;$I109)</f>
        <v/>
      </c>
      <c r="C109" s="16" t="n"/>
      <c r="D109" s="17">
        <f>IF($C109="","",IFERROR(INDEX(rngCadetPIDs,MATCH($C109,rngCadetNames,0)),"?"))</f>
        <v/>
      </c>
      <c r="E109" s="16" t="n"/>
      <c r="F109" s="17">
        <f>IF($E109="","",IFERROR(INDEX(rngSM_max,MATCH($E109,rngSM_cat,0)),""))</f>
        <v/>
      </c>
      <c r="G109" s="17">
        <f>IF($E109="","",IFERROR(INDEX(rngSM_mode,MATCH($E109,rngSM_cat,0)),""))</f>
        <v/>
      </c>
      <c r="H109" s="17">
        <f>IF($E109="","",IFERROR(INDEX(rngSM_pass,MATCH($E109,rngSM_cat,0)),""))</f>
        <v/>
      </c>
      <c r="I109" s="16" t="n"/>
      <c r="J109" s="16" t="n"/>
      <c r="K109" s="16" t="n"/>
      <c r="L109" s="18" t="n"/>
      <c r="M109" s="16" t="n"/>
      <c r="N109" s="17">
        <f>IF($C109="","",MAX(_xlfn.MAXIFS(nrSK_Att,nrSK_PID,$D109,nrSK_Cat,$E109,nrSK_Res,"Pass"),_xlfn.MAXIFS(nrSK_Att,nrSK_PID,$D109,nrSK_Cat,$E109,nrSK_Res,"Fail")))</f>
        <v/>
      </c>
      <c r="O109" s="17">
        <f>IF($C109="","",IF(AND(MAX(_xlfn.MAXIFS(nrSK_Att,nrSK_PID,$D109,nrSK_Cat,$E109,nrSK_Res,"Pass"),_xlfn.MAXIFS(nrSK_Att,nrSK_PID,$D109,nrSK_Cat,$E109,nrSK_Res,"Fail"))&gt;0,N($I109)&lt;MAX(_xlfn.MAXIFS(nrSK_Att,nrSK_PID,$D109,nrSK_Cat,$E109,nrSK_Res,"Pass"),_xlfn.MAXIFS(nrSK_Att,nrSK_PID,$D109,nrSK_Cat,$E109,nrSK_Res,"Fail"))),"(superseded)",IF(OR($J109="",$J109="Pending"),"Pending",IF($J109="Pass","Qualified",IF(AND($J109="Fail",$N109&gt;=$F109),"FAILED OUT","Needs Remediation")))))</f>
        <v/>
      </c>
      <c r="P109" s="17">
        <f>IF($C109="","",IF($O109="FAILED OUT","Yes","No"))</f>
        <v/>
      </c>
      <c r="Q109" s="16" t="n"/>
      <c r="R109" s="16" t="n"/>
      <c r="S109" s="17">
        <f>IF($C109="","",IF(AND($K109&lt;&gt;"",NOT(ISNUMBER($K109))),"SCORE NOT A NUMBER",IF(AND(ISNUMBER($K109),OR($K109&lt;0,$K109&gt;100)),"SCORE OUT OF RANGE - this score counts toward nothing",IF(AND($G109="Score",$K109="",$J109&lt;&gt;"",$J109&lt;&gt;"Pending"),"RESULT WITHOUT A SCORE",IF(AND($G109="Pass/Fail",$K109&lt;&gt;""),"SCORE ON A PASS-FAIL CATEGORY - it is ignored",IF(AND($E109="Firearms",$J109&lt;&gt;"",$J109&lt;&gt;"Pending",$R109=""),"FIREARMS ROW WITH NO COURSE OF FIRE","OK"))))))</f>
        <v/>
      </c>
    </row>
    <row r="110">
      <c r="B110" s="17">
        <f>IF($C110="","",$D110&amp;"-"&amp;$E110&amp;"-"&amp;$I110)</f>
        <v/>
      </c>
      <c r="C110" s="16" t="n"/>
      <c r="D110" s="17">
        <f>IF($C110="","",IFERROR(INDEX(rngCadetPIDs,MATCH($C110,rngCadetNames,0)),"?"))</f>
        <v/>
      </c>
      <c r="E110" s="16" t="n"/>
      <c r="F110" s="17">
        <f>IF($E110="","",IFERROR(INDEX(rngSM_max,MATCH($E110,rngSM_cat,0)),""))</f>
        <v/>
      </c>
      <c r="G110" s="17">
        <f>IF($E110="","",IFERROR(INDEX(rngSM_mode,MATCH($E110,rngSM_cat,0)),""))</f>
        <v/>
      </c>
      <c r="H110" s="17">
        <f>IF($E110="","",IFERROR(INDEX(rngSM_pass,MATCH($E110,rngSM_cat,0)),""))</f>
        <v/>
      </c>
      <c r="I110" s="16" t="n"/>
      <c r="J110" s="16" t="n"/>
      <c r="K110" s="16" t="n"/>
      <c r="L110" s="18" t="n"/>
      <c r="M110" s="16" t="n"/>
      <c r="N110" s="17">
        <f>IF($C110="","",MAX(_xlfn.MAXIFS(nrSK_Att,nrSK_PID,$D110,nrSK_Cat,$E110,nrSK_Res,"Pass"),_xlfn.MAXIFS(nrSK_Att,nrSK_PID,$D110,nrSK_Cat,$E110,nrSK_Res,"Fail")))</f>
        <v/>
      </c>
      <c r="O110" s="17">
        <f>IF($C110="","",IF(AND(MAX(_xlfn.MAXIFS(nrSK_Att,nrSK_PID,$D110,nrSK_Cat,$E110,nrSK_Res,"Pass"),_xlfn.MAXIFS(nrSK_Att,nrSK_PID,$D110,nrSK_Cat,$E110,nrSK_Res,"Fail"))&gt;0,N($I110)&lt;MAX(_xlfn.MAXIFS(nrSK_Att,nrSK_PID,$D110,nrSK_Cat,$E110,nrSK_Res,"Pass"),_xlfn.MAXIFS(nrSK_Att,nrSK_PID,$D110,nrSK_Cat,$E110,nrSK_Res,"Fail"))),"(superseded)",IF(OR($J110="",$J110="Pending"),"Pending",IF($J110="Pass","Qualified",IF(AND($J110="Fail",$N110&gt;=$F110),"FAILED OUT","Needs Remediation")))))</f>
        <v/>
      </c>
      <c r="P110" s="17">
        <f>IF($C110="","",IF($O110="FAILED OUT","Yes","No"))</f>
        <v/>
      </c>
      <c r="Q110" s="16" t="n"/>
      <c r="R110" s="16" t="n"/>
      <c r="S110" s="17">
        <f>IF($C110="","",IF(AND($K110&lt;&gt;"",NOT(ISNUMBER($K110))),"SCORE NOT A NUMBER",IF(AND(ISNUMBER($K110),OR($K110&lt;0,$K110&gt;100)),"SCORE OUT OF RANGE - this score counts toward nothing",IF(AND($G110="Score",$K110="",$J110&lt;&gt;"",$J110&lt;&gt;"Pending"),"RESULT WITHOUT A SCORE",IF(AND($G110="Pass/Fail",$K110&lt;&gt;""),"SCORE ON A PASS-FAIL CATEGORY - it is ignored",IF(AND($E110="Firearms",$J110&lt;&gt;"",$J110&lt;&gt;"Pending",$R110=""),"FIREARMS ROW WITH NO COURSE OF FIRE","OK"))))))</f>
        <v/>
      </c>
    </row>
    <row r="111">
      <c r="B111" s="17">
        <f>IF($C111="","",$D111&amp;"-"&amp;$E111&amp;"-"&amp;$I111)</f>
        <v/>
      </c>
      <c r="C111" s="16" t="n"/>
      <c r="D111" s="17">
        <f>IF($C111="","",IFERROR(INDEX(rngCadetPIDs,MATCH($C111,rngCadetNames,0)),"?"))</f>
        <v/>
      </c>
      <c r="E111" s="16" t="n"/>
      <c r="F111" s="17">
        <f>IF($E111="","",IFERROR(INDEX(rngSM_max,MATCH($E111,rngSM_cat,0)),""))</f>
        <v/>
      </c>
      <c r="G111" s="17">
        <f>IF($E111="","",IFERROR(INDEX(rngSM_mode,MATCH($E111,rngSM_cat,0)),""))</f>
        <v/>
      </c>
      <c r="H111" s="17">
        <f>IF($E111="","",IFERROR(INDEX(rngSM_pass,MATCH($E111,rngSM_cat,0)),""))</f>
        <v/>
      </c>
      <c r="I111" s="16" t="n"/>
      <c r="J111" s="16" t="n"/>
      <c r="K111" s="16" t="n"/>
      <c r="L111" s="18" t="n"/>
      <c r="M111" s="16" t="n"/>
      <c r="N111" s="17">
        <f>IF($C111="","",MAX(_xlfn.MAXIFS(nrSK_Att,nrSK_PID,$D111,nrSK_Cat,$E111,nrSK_Res,"Pass"),_xlfn.MAXIFS(nrSK_Att,nrSK_PID,$D111,nrSK_Cat,$E111,nrSK_Res,"Fail")))</f>
        <v/>
      </c>
      <c r="O111" s="17">
        <f>IF($C111="","",IF(AND(MAX(_xlfn.MAXIFS(nrSK_Att,nrSK_PID,$D111,nrSK_Cat,$E111,nrSK_Res,"Pass"),_xlfn.MAXIFS(nrSK_Att,nrSK_PID,$D111,nrSK_Cat,$E111,nrSK_Res,"Fail"))&gt;0,N($I111)&lt;MAX(_xlfn.MAXIFS(nrSK_Att,nrSK_PID,$D111,nrSK_Cat,$E111,nrSK_Res,"Pass"),_xlfn.MAXIFS(nrSK_Att,nrSK_PID,$D111,nrSK_Cat,$E111,nrSK_Res,"Fail"))),"(superseded)",IF(OR($J111="",$J111="Pending"),"Pending",IF($J111="Pass","Qualified",IF(AND($J111="Fail",$N111&gt;=$F111),"FAILED OUT","Needs Remediation")))))</f>
        <v/>
      </c>
      <c r="P111" s="17">
        <f>IF($C111="","",IF($O111="FAILED OUT","Yes","No"))</f>
        <v/>
      </c>
      <c r="Q111" s="16" t="n"/>
      <c r="R111" s="16" t="n"/>
      <c r="S111" s="17">
        <f>IF($C111="","",IF(AND($K111&lt;&gt;"",NOT(ISNUMBER($K111))),"SCORE NOT A NUMBER",IF(AND(ISNUMBER($K111),OR($K111&lt;0,$K111&gt;100)),"SCORE OUT OF RANGE - this score counts toward nothing",IF(AND($G111="Score",$K111="",$J111&lt;&gt;"",$J111&lt;&gt;"Pending"),"RESULT WITHOUT A SCORE",IF(AND($G111="Pass/Fail",$K111&lt;&gt;""),"SCORE ON A PASS-FAIL CATEGORY - it is ignored",IF(AND($E111="Firearms",$J111&lt;&gt;"",$J111&lt;&gt;"Pending",$R111=""),"FIREARMS ROW WITH NO COURSE OF FIRE","OK"))))))</f>
        <v/>
      </c>
    </row>
    <row r="112">
      <c r="B112" s="17">
        <f>IF($C112="","",$D112&amp;"-"&amp;$E112&amp;"-"&amp;$I112)</f>
        <v/>
      </c>
      <c r="C112" s="16" t="n"/>
      <c r="D112" s="17">
        <f>IF($C112="","",IFERROR(INDEX(rngCadetPIDs,MATCH($C112,rngCadetNames,0)),"?"))</f>
        <v/>
      </c>
      <c r="E112" s="16" t="n"/>
      <c r="F112" s="17">
        <f>IF($E112="","",IFERROR(INDEX(rngSM_max,MATCH($E112,rngSM_cat,0)),""))</f>
        <v/>
      </c>
      <c r="G112" s="17">
        <f>IF($E112="","",IFERROR(INDEX(rngSM_mode,MATCH($E112,rngSM_cat,0)),""))</f>
        <v/>
      </c>
      <c r="H112" s="17">
        <f>IF($E112="","",IFERROR(INDEX(rngSM_pass,MATCH($E112,rngSM_cat,0)),""))</f>
        <v/>
      </c>
      <c r="I112" s="16" t="n"/>
      <c r="J112" s="16" t="n"/>
      <c r="K112" s="16" t="n"/>
      <c r="L112" s="18" t="n"/>
      <c r="M112" s="16" t="n"/>
      <c r="N112" s="17">
        <f>IF($C112="","",MAX(_xlfn.MAXIFS(nrSK_Att,nrSK_PID,$D112,nrSK_Cat,$E112,nrSK_Res,"Pass"),_xlfn.MAXIFS(nrSK_Att,nrSK_PID,$D112,nrSK_Cat,$E112,nrSK_Res,"Fail")))</f>
        <v/>
      </c>
      <c r="O112" s="17">
        <f>IF($C112="","",IF(AND(MAX(_xlfn.MAXIFS(nrSK_Att,nrSK_PID,$D112,nrSK_Cat,$E112,nrSK_Res,"Pass"),_xlfn.MAXIFS(nrSK_Att,nrSK_PID,$D112,nrSK_Cat,$E112,nrSK_Res,"Fail"))&gt;0,N($I112)&lt;MAX(_xlfn.MAXIFS(nrSK_Att,nrSK_PID,$D112,nrSK_Cat,$E112,nrSK_Res,"Pass"),_xlfn.MAXIFS(nrSK_Att,nrSK_PID,$D112,nrSK_Cat,$E112,nrSK_Res,"Fail"))),"(superseded)",IF(OR($J112="",$J112="Pending"),"Pending",IF($J112="Pass","Qualified",IF(AND($J112="Fail",$N112&gt;=$F112),"FAILED OUT","Needs Remediation")))))</f>
        <v/>
      </c>
      <c r="P112" s="17">
        <f>IF($C112="","",IF($O112="FAILED OUT","Yes","No"))</f>
        <v/>
      </c>
      <c r="Q112" s="16" t="n"/>
      <c r="R112" s="16" t="n"/>
      <c r="S112" s="17">
        <f>IF($C112="","",IF(AND($K112&lt;&gt;"",NOT(ISNUMBER($K112))),"SCORE NOT A NUMBER",IF(AND(ISNUMBER($K112),OR($K112&lt;0,$K112&gt;100)),"SCORE OUT OF RANGE - this score counts toward nothing",IF(AND($G112="Score",$K112="",$J112&lt;&gt;"",$J112&lt;&gt;"Pending"),"RESULT WITHOUT A SCORE",IF(AND($G112="Pass/Fail",$K112&lt;&gt;""),"SCORE ON A PASS-FAIL CATEGORY - it is ignored",IF(AND($E112="Firearms",$J112&lt;&gt;"",$J112&lt;&gt;"Pending",$R112=""),"FIREARMS ROW WITH NO COURSE OF FIRE","OK"))))))</f>
        <v/>
      </c>
    </row>
    <row r="113">
      <c r="B113" s="17">
        <f>IF($C113="","",$D113&amp;"-"&amp;$E113&amp;"-"&amp;$I113)</f>
        <v/>
      </c>
      <c r="C113" s="16" t="n"/>
      <c r="D113" s="17">
        <f>IF($C113="","",IFERROR(INDEX(rngCadetPIDs,MATCH($C113,rngCadetNames,0)),"?"))</f>
        <v/>
      </c>
      <c r="E113" s="16" t="n"/>
      <c r="F113" s="17">
        <f>IF($E113="","",IFERROR(INDEX(rngSM_max,MATCH($E113,rngSM_cat,0)),""))</f>
        <v/>
      </c>
      <c r="G113" s="17">
        <f>IF($E113="","",IFERROR(INDEX(rngSM_mode,MATCH($E113,rngSM_cat,0)),""))</f>
        <v/>
      </c>
      <c r="H113" s="17">
        <f>IF($E113="","",IFERROR(INDEX(rngSM_pass,MATCH($E113,rngSM_cat,0)),""))</f>
        <v/>
      </c>
      <c r="I113" s="16" t="n"/>
      <c r="J113" s="16" t="n"/>
      <c r="K113" s="16" t="n"/>
      <c r="L113" s="18" t="n"/>
      <c r="M113" s="16" t="n"/>
      <c r="N113" s="17">
        <f>IF($C113="","",MAX(_xlfn.MAXIFS(nrSK_Att,nrSK_PID,$D113,nrSK_Cat,$E113,nrSK_Res,"Pass"),_xlfn.MAXIFS(nrSK_Att,nrSK_PID,$D113,nrSK_Cat,$E113,nrSK_Res,"Fail")))</f>
        <v/>
      </c>
      <c r="O113" s="17">
        <f>IF($C113="","",IF(AND(MAX(_xlfn.MAXIFS(nrSK_Att,nrSK_PID,$D113,nrSK_Cat,$E113,nrSK_Res,"Pass"),_xlfn.MAXIFS(nrSK_Att,nrSK_PID,$D113,nrSK_Cat,$E113,nrSK_Res,"Fail"))&gt;0,N($I113)&lt;MAX(_xlfn.MAXIFS(nrSK_Att,nrSK_PID,$D113,nrSK_Cat,$E113,nrSK_Res,"Pass"),_xlfn.MAXIFS(nrSK_Att,nrSK_PID,$D113,nrSK_Cat,$E113,nrSK_Res,"Fail"))),"(superseded)",IF(OR($J113="",$J113="Pending"),"Pending",IF($J113="Pass","Qualified",IF(AND($J113="Fail",$N113&gt;=$F113),"FAILED OUT","Needs Remediation")))))</f>
        <v/>
      </c>
      <c r="P113" s="17">
        <f>IF($C113="","",IF($O113="FAILED OUT","Yes","No"))</f>
        <v/>
      </c>
      <c r="Q113" s="16" t="n"/>
      <c r="R113" s="16" t="n"/>
      <c r="S113" s="17">
        <f>IF($C113="","",IF(AND($K113&lt;&gt;"",NOT(ISNUMBER($K113))),"SCORE NOT A NUMBER",IF(AND(ISNUMBER($K113),OR($K113&lt;0,$K113&gt;100)),"SCORE OUT OF RANGE - this score counts toward nothing",IF(AND($G113="Score",$K113="",$J113&lt;&gt;"",$J113&lt;&gt;"Pending"),"RESULT WITHOUT A SCORE",IF(AND($G113="Pass/Fail",$K113&lt;&gt;""),"SCORE ON A PASS-FAIL CATEGORY - it is ignored",IF(AND($E113="Firearms",$J113&lt;&gt;"",$J113&lt;&gt;"Pending",$R113=""),"FIREARMS ROW WITH NO COURSE OF FIRE","OK"))))))</f>
        <v/>
      </c>
    </row>
    <row r="114">
      <c r="B114" s="17">
        <f>IF($C114="","",$D114&amp;"-"&amp;$E114&amp;"-"&amp;$I114)</f>
        <v/>
      </c>
      <c r="C114" s="16" t="n"/>
      <c r="D114" s="17">
        <f>IF($C114="","",IFERROR(INDEX(rngCadetPIDs,MATCH($C114,rngCadetNames,0)),"?"))</f>
        <v/>
      </c>
      <c r="E114" s="16" t="n"/>
      <c r="F114" s="17">
        <f>IF($E114="","",IFERROR(INDEX(rngSM_max,MATCH($E114,rngSM_cat,0)),""))</f>
        <v/>
      </c>
      <c r="G114" s="17">
        <f>IF($E114="","",IFERROR(INDEX(rngSM_mode,MATCH($E114,rngSM_cat,0)),""))</f>
        <v/>
      </c>
      <c r="H114" s="17">
        <f>IF($E114="","",IFERROR(INDEX(rngSM_pass,MATCH($E114,rngSM_cat,0)),""))</f>
        <v/>
      </c>
      <c r="I114" s="16" t="n"/>
      <c r="J114" s="16" t="n"/>
      <c r="K114" s="16" t="n"/>
      <c r="L114" s="18" t="n"/>
      <c r="M114" s="16" t="n"/>
      <c r="N114" s="17">
        <f>IF($C114="","",MAX(_xlfn.MAXIFS(nrSK_Att,nrSK_PID,$D114,nrSK_Cat,$E114,nrSK_Res,"Pass"),_xlfn.MAXIFS(nrSK_Att,nrSK_PID,$D114,nrSK_Cat,$E114,nrSK_Res,"Fail")))</f>
        <v/>
      </c>
      <c r="O114" s="17">
        <f>IF($C114="","",IF(AND(MAX(_xlfn.MAXIFS(nrSK_Att,nrSK_PID,$D114,nrSK_Cat,$E114,nrSK_Res,"Pass"),_xlfn.MAXIFS(nrSK_Att,nrSK_PID,$D114,nrSK_Cat,$E114,nrSK_Res,"Fail"))&gt;0,N($I114)&lt;MAX(_xlfn.MAXIFS(nrSK_Att,nrSK_PID,$D114,nrSK_Cat,$E114,nrSK_Res,"Pass"),_xlfn.MAXIFS(nrSK_Att,nrSK_PID,$D114,nrSK_Cat,$E114,nrSK_Res,"Fail"))),"(superseded)",IF(OR($J114="",$J114="Pending"),"Pending",IF($J114="Pass","Qualified",IF(AND($J114="Fail",$N114&gt;=$F114),"FAILED OUT","Needs Remediation")))))</f>
        <v/>
      </c>
      <c r="P114" s="17">
        <f>IF($C114="","",IF($O114="FAILED OUT","Yes","No"))</f>
        <v/>
      </c>
      <c r="Q114" s="16" t="n"/>
      <c r="R114" s="16" t="n"/>
      <c r="S114" s="17">
        <f>IF($C114="","",IF(AND($K114&lt;&gt;"",NOT(ISNUMBER($K114))),"SCORE NOT A NUMBER",IF(AND(ISNUMBER($K114),OR($K114&lt;0,$K114&gt;100)),"SCORE OUT OF RANGE - this score counts toward nothing",IF(AND($G114="Score",$K114="",$J114&lt;&gt;"",$J114&lt;&gt;"Pending"),"RESULT WITHOUT A SCORE",IF(AND($G114="Pass/Fail",$K114&lt;&gt;""),"SCORE ON A PASS-FAIL CATEGORY - it is ignored",IF(AND($E114="Firearms",$J114&lt;&gt;"",$J114&lt;&gt;"Pending",$R114=""),"FIREARMS ROW WITH NO COURSE OF FIRE","OK"))))))</f>
        <v/>
      </c>
    </row>
    <row r="115">
      <c r="B115" s="17">
        <f>IF($C115="","",$D115&amp;"-"&amp;$E115&amp;"-"&amp;$I115)</f>
        <v/>
      </c>
      <c r="C115" s="16" t="n"/>
      <c r="D115" s="17">
        <f>IF($C115="","",IFERROR(INDEX(rngCadetPIDs,MATCH($C115,rngCadetNames,0)),"?"))</f>
        <v/>
      </c>
      <c r="E115" s="16" t="n"/>
      <c r="F115" s="17">
        <f>IF($E115="","",IFERROR(INDEX(rngSM_max,MATCH($E115,rngSM_cat,0)),""))</f>
        <v/>
      </c>
      <c r="G115" s="17">
        <f>IF($E115="","",IFERROR(INDEX(rngSM_mode,MATCH($E115,rngSM_cat,0)),""))</f>
        <v/>
      </c>
      <c r="H115" s="17">
        <f>IF($E115="","",IFERROR(INDEX(rngSM_pass,MATCH($E115,rngSM_cat,0)),""))</f>
        <v/>
      </c>
      <c r="I115" s="16" t="n"/>
      <c r="J115" s="16" t="n"/>
      <c r="K115" s="16" t="n"/>
      <c r="L115" s="18" t="n"/>
      <c r="M115" s="16" t="n"/>
      <c r="N115" s="17">
        <f>IF($C115="","",MAX(_xlfn.MAXIFS(nrSK_Att,nrSK_PID,$D115,nrSK_Cat,$E115,nrSK_Res,"Pass"),_xlfn.MAXIFS(nrSK_Att,nrSK_PID,$D115,nrSK_Cat,$E115,nrSK_Res,"Fail")))</f>
        <v/>
      </c>
      <c r="O115" s="17">
        <f>IF($C115="","",IF(AND(MAX(_xlfn.MAXIFS(nrSK_Att,nrSK_PID,$D115,nrSK_Cat,$E115,nrSK_Res,"Pass"),_xlfn.MAXIFS(nrSK_Att,nrSK_PID,$D115,nrSK_Cat,$E115,nrSK_Res,"Fail"))&gt;0,N($I115)&lt;MAX(_xlfn.MAXIFS(nrSK_Att,nrSK_PID,$D115,nrSK_Cat,$E115,nrSK_Res,"Pass"),_xlfn.MAXIFS(nrSK_Att,nrSK_PID,$D115,nrSK_Cat,$E115,nrSK_Res,"Fail"))),"(superseded)",IF(OR($J115="",$J115="Pending"),"Pending",IF($J115="Pass","Qualified",IF(AND($J115="Fail",$N115&gt;=$F115),"FAILED OUT","Needs Remediation")))))</f>
        <v/>
      </c>
      <c r="P115" s="17">
        <f>IF($C115="","",IF($O115="FAILED OUT","Yes","No"))</f>
        <v/>
      </c>
      <c r="Q115" s="16" t="n"/>
      <c r="R115" s="16" t="n"/>
      <c r="S115" s="17">
        <f>IF($C115="","",IF(AND($K115&lt;&gt;"",NOT(ISNUMBER($K115))),"SCORE NOT A NUMBER",IF(AND(ISNUMBER($K115),OR($K115&lt;0,$K115&gt;100)),"SCORE OUT OF RANGE - this score counts toward nothing",IF(AND($G115="Score",$K115="",$J115&lt;&gt;"",$J115&lt;&gt;"Pending"),"RESULT WITHOUT A SCORE",IF(AND($G115="Pass/Fail",$K115&lt;&gt;""),"SCORE ON A PASS-FAIL CATEGORY - it is ignored",IF(AND($E115="Firearms",$J115&lt;&gt;"",$J115&lt;&gt;"Pending",$R115=""),"FIREARMS ROW WITH NO COURSE OF FIRE","OK"))))))</f>
        <v/>
      </c>
    </row>
    <row r="116">
      <c r="B116" s="17">
        <f>IF($C116="","",$D116&amp;"-"&amp;$E116&amp;"-"&amp;$I116)</f>
        <v/>
      </c>
      <c r="C116" s="16" t="n"/>
      <c r="D116" s="17">
        <f>IF($C116="","",IFERROR(INDEX(rngCadetPIDs,MATCH($C116,rngCadetNames,0)),"?"))</f>
        <v/>
      </c>
      <c r="E116" s="16" t="n"/>
      <c r="F116" s="17">
        <f>IF($E116="","",IFERROR(INDEX(rngSM_max,MATCH($E116,rngSM_cat,0)),""))</f>
        <v/>
      </c>
      <c r="G116" s="17">
        <f>IF($E116="","",IFERROR(INDEX(rngSM_mode,MATCH($E116,rngSM_cat,0)),""))</f>
        <v/>
      </c>
      <c r="H116" s="17">
        <f>IF($E116="","",IFERROR(INDEX(rngSM_pass,MATCH($E116,rngSM_cat,0)),""))</f>
        <v/>
      </c>
      <c r="I116" s="16" t="n"/>
      <c r="J116" s="16" t="n"/>
      <c r="K116" s="16" t="n"/>
      <c r="L116" s="18" t="n"/>
      <c r="M116" s="16" t="n"/>
      <c r="N116" s="17">
        <f>IF($C116="","",MAX(_xlfn.MAXIFS(nrSK_Att,nrSK_PID,$D116,nrSK_Cat,$E116,nrSK_Res,"Pass"),_xlfn.MAXIFS(nrSK_Att,nrSK_PID,$D116,nrSK_Cat,$E116,nrSK_Res,"Fail")))</f>
        <v/>
      </c>
      <c r="O116" s="17">
        <f>IF($C116="","",IF(AND(MAX(_xlfn.MAXIFS(nrSK_Att,nrSK_PID,$D116,nrSK_Cat,$E116,nrSK_Res,"Pass"),_xlfn.MAXIFS(nrSK_Att,nrSK_PID,$D116,nrSK_Cat,$E116,nrSK_Res,"Fail"))&gt;0,N($I116)&lt;MAX(_xlfn.MAXIFS(nrSK_Att,nrSK_PID,$D116,nrSK_Cat,$E116,nrSK_Res,"Pass"),_xlfn.MAXIFS(nrSK_Att,nrSK_PID,$D116,nrSK_Cat,$E116,nrSK_Res,"Fail"))),"(superseded)",IF(OR($J116="",$J116="Pending"),"Pending",IF($J116="Pass","Qualified",IF(AND($J116="Fail",$N116&gt;=$F116),"FAILED OUT","Needs Remediation")))))</f>
        <v/>
      </c>
      <c r="P116" s="17">
        <f>IF($C116="","",IF($O116="FAILED OUT","Yes","No"))</f>
        <v/>
      </c>
      <c r="Q116" s="16" t="n"/>
      <c r="R116" s="16" t="n"/>
      <c r="S116" s="17">
        <f>IF($C116="","",IF(AND($K116&lt;&gt;"",NOT(ISNUMBER($K116))),"SCORE NOT A NUMBER",IF(AND(ISNUMBER($K116),OR($K116&lt;0,$K116&gt;100)),"SCORE OUT OF RANGE - this score counts toward nothing",IF(AND($G116="Score",$K116="",$J116&lt;&gt;"",$J116&lt;&gt;"Pending"),"RESULT WITHOUT A SCORE",IF(AND($G116="Pass/Fail",$K116&lt;&gt;""),"SCORE ON A PASS-FAIL CATEGORY - it is ignored",IF(AND($E116="Firearms",$J116&lt;&gt;"",$J116&lt;&gt;"Pending",$R116=""),"FIREARMS ROW WITH NO COURSE OF FIRE","OK"))))))</f>
        <v/>
      </c>
    </row>
    <row r="117">
      <c r="B117" s="17">
        <f>IF($C117="","",$D117&amp;"-"&amp;$E117&amp;"-"&amp;$I117)</f>
        <v/>
      </c>
      <c r="C117" s="16" t="n"/>
      <c r="D117" s="17">
        <f>IF($C117="","",IFERROR(INDEX(rngCadetPIDs,MATCH($C117,rngCadetNames,0)),"?"))</f>
        <v/>
      </c>
      <c r="E117" s="16" t="n"/>
      <c r="F117" s="17">
        <f>IF($E117="","",IFERROR(INDEX(rngSM_max,MATCH($E117,rngSM_cat,0)),""))</f>
        <v/>
      </c>
      <c r="G117" s="17">
        <f>IF($E117="","",IFERROR(INDEX(rngSM_mode,MATCH($E117,rngSM_cat,0)),""))</f>
        <v/>
      </c>
      <c r="H117" s="17">
        <f>IF($E117="","",IFERROR(INDEX(rngSM_pass,MATCH($E117,rngSM_cat,0)),""))</f>
        <v/>
      </c>
      <c r="I117" s="16" t="n"/>
      <c r="J117" s="16" t="n"/>
      <c r="K117" s="16" t="n"/>
      <c r="L117" s="18" t="n"/>
      <c r="M117" s="16" t="n"/>
      <c r="N117" s="17">
        <f>IF($C117="","",MAX(_xlfn.MAXIFS(nrSK_Att,nrSK_PID,$D117,nrSK_Cat,$E117,nrSK_Res,"Pass"),_xlfn.MAXIFS(nrSK_Att,nrSK_PID,$D117,nrSK_Cat,$E117,nrSK_Res,"Fail")))</f>
        <v/>
      </c>
      <c r="O117" s="17">
        <f>IF($C117="","",IF(AND(MAX(_xlfn.MAXIFS(nrSK_Att,nrSK_PID,$D117,nrSK_Cat,$E117,nrSK_Res,"Pass"),_xlfn.MAXIFS(nrSK_Att,nrSK_PID,$D117,nrSK_Cat,$E117,nrSK_Res,"Fail"))&gt;0,N($I117)&lt;MAX(_xlfn.MAXIFS(nrSK_Att,nrSK_PID,$D117,nrSK_Cat,$E117,nrSK_Res,"Pass"),_xlfn.MAXIFS(nrSK_Att,nrSK_PID,$D117,nrSK_Cat,$E117,nrSK_Res,"Fail"))),"(superseded)",IF(OR($J117="",$J117="Pending"),"Pending",IF($J117="Pass","Qualified",IF(AND($J117="Fail",$N117&gt;=$F117),"FAILED OUT","Needs Remediation")))))</f>
        <v/>
      </c>
      <c r="P117" s="17">
        <f>IF($C117="","",IF($O117="FAILED OUT","Yes","No"))</f>
        <v/>
      </c>
      <c r="Q117" s="16" t="n"/>
      <c r="R117" s="16" t="n"/>
      <c r="S117" s="17">
        <f>IF($C117="","",IF(AND($K117&lt;&gt;"",NOT(ISNUMBER($K117))),"SCORE NOT A NUMBER",IF(AND(ISNUMBER($K117),OR($K117&lt;0,$K117&gt;100)),"SCORE OUT OF RANGE - this score counts toward nothing",IF(AND($G117="Score",$K117="",$J117&lt;&gt;"",$J117&lt;&gt;"Pending"),"RESULT WITHOUT A SCORE",IF(AND($G117="Pass/Fail",$K117&lt;&gt;""),"SCORE ON A PASS-FAIL CATEGORY - it is ignored",IF(AND($E117="Firearms",$J117&lt;&gt;"",$J117&lt;&gt;"Pending",$R117=""),"FIREARMS ROW WITH NO COURSE OF FIRE","OK"))))))</f>
        <v/>
      </c>
    </row>
    <row r="118">
      <c r="B118" s="17">
        <f>IF($C118="","",$D118&amp;"-"&amp;$E118&amp;"-"&amp;$I118)</f>
        <v/>
      </c>
      <c r="C118" s="16" t="n"/>
      <c r="D118" s="17">
        <f>IF($C118="","",IFERROR(INDEX(rngCadetPIDs,MATCH($C118,rngCadetNames,0)),"?"))</f>
        <v/>
      </c>
      <c r="E118" s="16" t="n"/>
      <c r="F118" s="17">
        <f>IF($E118="","",IFERROR(INDEX(rngSM_max,MATCH($E118,rngSM_cat,0)),""))</f>
        <v/>
      </c>
      <c r="G118" s="17">
        <f>IF($E118="","",IFERROR(INDEX(rngSM_mode,MATCH($E118,rngSM_cat,0)),""))</f>
        <v/>
      </c>
      <c r="H118" s="17">
        <f>IF($E118="","",IFERROR(INDEX(rngSM_pass,MATCH($E118,rngSM_cat,0)),""))</f>
        <v/>
      </c>
      <c r="I118" s="16" t="n"/>
      <c r="J118" s="16" t="n"/>
      <c r="K118" s="16" t="n"/>
      <c r="L118" s="18" t="n"/>
      <c r="M118" s="16" t="n"/>
      <c r="N118" s="17">
        <f>IF($C118="","",MAX(_xlfn.MAXIFS(nrSK_Att,nrSK_PID,$D118,nrSK_Cat,$E118,nrSK_Res,"Pass"),_xlfn.MAXIFS(nrSK_Att,nrSK_PID,$D118,nrSK_Cat,$E118,nrSK_Res,"Fail")))</f>
        <v/>
      </c>
      <c r="O118" s="17">
        <f>IF($C118="","",IF(AND(MAX(_xlfn.MAXIFS(nrSK_Att,nrSK_PID,$D118,nrSK_Cat,$E118,nrSK_Res,"Pass"),_xlfn.MAXIFS(nrSK_Att,nrSK_PID,$D118,nrSK_Cat,$E118,nrSK_Res,"Fail"))&gt;0,N($I118)&lt;MAX(_xlfn.MAXIFS(nrSK_Att,nrSK_PID,$D118,nrSK_Cat,$E118,nrSK_Res,"Pass"),_xlfn.MAXIFS(nrSK_Att,nrSK_PID,$D118,nrSK_Cat,$E118,nrSK_Res,"Fail"))),"(superseded)",IF(OR($J118="",$J118="Pending"),"Pending",IF($J118="Pass","Qualified",IF(AND($J118="Fail",$N118&gt;=$F118),"FAILED OUT","Needs Remediation")))))</f>
        <v/>
      </c>
      <c r="P118" s="17">
        <f>IF($C118="","",IF($O118="FAILED OUT","Yes","No"))</f>
        <v/>
      </c>
      <c r="Q118" s="16" t="n"/>
      <c r="R118" s="16" t="n"/>
      <c r="S118" s="17">
        <f>IF($C118="","",IF(AND($K118&lt;&gt;"",NOT(ISNUMBER($K118))),"SCORE NOT A NUMBER",IF(AND(ISNUMBER($K118),OR($K118&lt;0,$K118&gt;100)),"SCORE OUT OF RANGE - this score counts toward nothing",IF(AND($G118="Score",$K118="",$J118&lt;&gt;"",$J118&lt;&gt;"Pending"),"RESULT WITHOUT A SCORE",IF(AND($G118="Pass/Fail",$K118&lt;&gt;""),"SCORE ON A PASS-FAIL CATEGORY - it is ignored",IF(AND($E118="Firearms",$J118&lt;&gt;"",$J118&lt;&gt;"Pending",$R118=""),"FIREARMS ROW WITH NO COURSE OF FIRE","OK"))))))</f>
        <v/>
      </c>
    </row>
    <row r="119">
      <c r="B119" s="17">
        <f>IF($C119="","",$D119&amp;"-"&amp;$E119&amp;"-"&amp;$I119)</f>
        <v/>
      </c>
      <c r="C119" s="16" t="n"/>
      <c r="D119" s="17">
        <f>IF($C119="","",IFERROR(INDEX(rngCadetPIDs,MATCH($C119,rngCadetNames,0)),"?"))</f>
        <v/>
      </c>
      <c r="E119" s="16" t="n"/>
      <c r="F119" s="17">
        <f>IF($E119="","",IFERROR(INDEX(rngSM_max,MATCH($E119,rngSM_cat,0)),""))</f>
        <v/>
      </c>
      <c r="G119" s="17">
        <f>IF($E119="","",IFERROR(INDEX(rngSM_mode,MATCH($E119,rngSM_cat,0)),""))</f>
        <v/>
      </c>
      <c r="H119" s="17">
        <f>IF($E119="","",IFERROR(INDEX(rngSM_pass,MATCH($E119,rngSM_cat,0)),""))</f>
        <v/>
      </c>
      <c r="I119" s="16" t="n"/>
      <c r="J119" s="16" t="n"/>
      <c r="K119" s="16" t="n"/>
      <c r="L119" s="18" t="n"/>
      <c r="M119" s="16" t="n"/>
      <c r="N119" s="17">
        <f>IF($C119="","",MAX(_xlfn.MAXIFS(nrSK_Att,nrSK_PID,$D119,nrSK_Cat,$E119,nrSK_Res,"Pass"),_xlfn.MAXIFS(nrSK_Att,nrSK_PID,$D119,nrSK_Cat,$E119,nrSK_Res,"Fail")))</f>
        <v/>
      </c>
      <c r="O119" s="17">
        <f>IF($C119="","",IF(AND(MAX(_xlfn.MAXIFS(nrSK_Att,nrSK_PID,$D119,nrSK_Cat,$E119,nrSK_Res,"Pass"),_xlfn.MAXIFS(nrSK_Att,nrSK_PID,$D119,nrSK_Cat,$E119,nrSK_Res,"Fail"))&gt;0,N($I119)&lt;MAX(_xlfn.MAXIFS(nrSK_Att,nrSK_PID,$D119,nrSK_Cat,$E119,nrSK_Res,"Pass"),_xlfn.MAXIFS(nrSK_Att,nrSK_PID,$D119,nrSK_Cat,$E119,nrSK_Res,"Fail"))),"(superseded)",IF(OR($J119="",$J119="Pending"),"Pending",IF($J119="Pass","Qualified",IF(AND($J119="Fail",$N119&gt;=$F119),"FAILED OUT","Needs Remediation")))))</f>
        <v/>
      </c>
      <c r="P119" s="17">
        <f>IF($C119="","",IF($O119="FAILED OUT","Yes","No"))</f>
        <v/>
      </c>
      <c r="Q119" s="16" t="n"/>
      <c r="R119" s="16" t="n"/>
      <c r="S119" s="17">
        <f>IF($C119="","",IF(AND($K119&lt;&gt;"",NOT(ISNUMBER($K119))),"SCORE NOT A NUMBER",IF(AND(ISNUMBER($K119),OR($K119&lt;0,$K119&gt;100)),"SCORE OUT OF RANGE - this score counts toward nothing",IF(AND($G119="Score",$K119="",$J119&lt;&gt;"",$J119&lt;&gt;"Pending"),"RESULT WITHOUT A SCORE",IF(AND($G119="Pass/Fail",$K119&lt;&gt;""),"SCORE ON A PASS-FAIL CATEGORY - it is ignored",IF(AND($E119="Firearms",$J119&lt;&gt;"",$J119&lt;&gt;"Pending",$R119=""),"FIREARMS ROW WITH NO COURSE OF FIRE","OK"))))))</f>
        <v/>
      </c>
    </row>
    <row r="120">
      <c r="B120" s="17">
        <f>IF($C120="","",$D120&amp;"-"&amp;$E120&amp;"-"&amp;$I120)</f>
        <v/>
      </c>
      <c r="C120" s="16" t="n"/>
      <c r="D120" s="17">
        <f>IF($C120="","",IFERROR(INDEX(rngCadetPIDs,MATCH($C120,rngCadetNames,0)),"?"))</f>
        <v/>
      </c>
      <c r="E120" s="16" t="n"/>
      <c r="F120" s="17">
        <f>IF($E120="","",IFERROR(INDEX(rngSM_max,MATCH($E120,rngSM_cat,0)),""))</f>
        <v/>
      </c>
      <c r="G120" s="17">
        <f>IF($E120="","",IFERROR(INDEX(rngSM_mode,MATCH($E120,rngSM_cat,0)),""))</f>
        <v/>
      </c>
      <c r="H120" s="17">
        <f>IF($E120="","",IFERROR(INDEX(rngSM_pass,MATCH($E120,rngSM_cat,0)),""))</f>
        <v/>
      </c>
      <c r="I120" s="16" t="n"/>
      <c r="J120" s="16" t="n"/>
      <c r="K120" s="16" t="n"/>
      <c r="L120" s="18" t="n"/>
      <c r="M120" s="16" t="n"/>
      <c r="N120" s="17">
        <f>IF($C120="","",MAX(_xlfn.MAXIFS(nrSK_Att,nrSK_PID,$D120,nrSK_Cat,$E120,nrSK_Res,"Pass"),_xlfn.MAXIFS(nrSK_Att,nrSK_PID,$D120,nrSK_Cat,$E120,nrSK_Res,"Fail")))</f>
        <v/>
      </c>
      <c r="O120" s="17">
        <f>IF($C120="","",IF(AND(MAX(_xlfn.MAXIFS(nrSK_Att,nrSK_PID,$D120,nrSK_Cat,$E120,nrSK_Res,"Pass"),_xlfn.MAXIFS(nrSK_Att,nrSK_PID,$D120,nrSK_Cat,$E120,nrSK_Res,"Fail"))&gt;0,N($I120)&lt;MAX(_xlfn.MAXIFS(nrSK_Att,nrSK_PID,$D120,nrSK_Cat,$E120,nrSK_Res,"Pass"),_xlfn.MAXIFS(nrSK_Att,nrSK_PID,$D120,nrSK_Cat,$E120,nrSK_Res,"Fail"))),"(superseded)",IF(OR($J120="",$J120="Pending"),"Pending",IF($J120="Pass","Qualified",IF(AND($J120="Fail",$N120&gt;=$F120),"FAILED OUT","Needs Remediation")))))</f>
        <v/>
      </c>
      <c r="P120" s="17">
        <f>IF($C120="","",IF($O120="FAILED OUT","Yes","No"))</f>
        <v/>
      </c>
      <c r="Q120" s="16" t="n"/>
      <c r="R120" s="16" t="n"/>
      <c r="S120" s="17">
        <f>IF($C120="","",IF(AND($K120&lt;&gt;"",NOT(ISNUMBER($K120))),"SCORE NOT A NUMBER",IF(AND(ISNUMBER($K120),OR($K120&lt;0,$K120&gt;100)),"SCORE OUT OF RANGE - this score counts toward nothing",IF(AND($G120="Score",$K120="",$J120&lt;&gt;"",$J120&lt;&gt;"Pending"),"RESULT WITHOUT A SCORE",IF(AND($G120="Pass/Fail",$K120&lt;&gt;""),"SCORE ON A PASS-FAIL CATEGORY - it is ignored",IF(AND($E120="Firearms",$J120&lt;&gt;"",$J120&lt;&gt;"Pending",$R120=""),"FIREARMS ROW WITH NO COURSE OF FIRE","OK"))))))</f>
        <v/>
      </c>
    </row>
    <row r="121">
      <c r="B121" s="17">
        <f>IF($C121="","",$D121&amp;"-"&amp;$E121&amp;"-"&amp;$I121)</f>
        <v/>
      </c>
      <c r="C121" s="16" t="n"/>
      <c r="D121" s="17">
        <f>IF($C121="","",IFERROR(INDEX(rngCadetPIDs,MATCH($C121,rngCadetNames,0)),"?"))</f>
        <v/>
      </c>
      <c r="E121" s="16" t="n"/>
      <c r="F121" s="17">
        <f>IF($E121="","",IFERROR(INDEX(rngSM_max,MATCH($E121,rngSM_cat,0)),""))</f>
        <v/>
      </c>
      <c r="G121" s="17">
        <f>IF($E121="","",IFERROR(INDEX(rngSM_mode,MATCH($E121,rngSM_cat,0)),""))</f>
        <v/>
      </c>
      <c r="H121" s="17">
        <f>IF($E121="","",IFERROR(INDEX(rngSM_pass,MATCH($E121,rngSM_cat,0)),""))</f>
        <v/>
      </c>
      <c r="I121" s="16" t="n"/>
      <c r="J121" s="16" t="n"/>
      <c r="K121" s="16" t="n"/>
      <c r="L121" s="18" t="n"/>
      <c r="M121" s="16" t="n"/>
      <c r="N121" s="17">
        <f>IF($C121="","",MAX(_xlfn.MAXIFS(nrSK_Att,nrSK_PID,$D121,nrSK_Cat,$E121,nrSK_Res,"Pass"),_xlfn.MAXIFS(nrSK_Att,nrSK_PID,$D121,nrSK_Cat,$E121,nrSK_Res,"Fail")))</f>
        <v/>
      </c>
      <c r="O121" s="17">
        <f>IF($C121="","",IF(AND(MAX(_xlfn.MAXIFS(nrSK_Att,nrSK_PID,$D121,nrSK_Cat,$E121,nrSK_Res,"Pass"),_xlfn.MAXIFS(nrSK_Att,nrSK_PID,$D121,nrSK_Cat,$E121,nrSK_Res,"Fail"))&gt;0,N($I121)&lt;MAX(_xlfn.MAXIFS(nrSK_Att,nrSK_PID,$D121,nrSK_Cat,$E121,nrSK_Res,"Pass"),_xlfn.MAXIFS(nrSK_Att,nrSK_PID,$D121,nrSK_Cat,$E121,nrSK_Res,"Fail"))),"(superseded)",IF(OR($J121="",$J121="Pending"),"Pending",IF($J121="Pass","Qualified",IF(AND($J121="Fail",$N121&gt;=$F121),"FAILED OUT","Needs Remediation")))))</f>
        <v/>
      </c>
      <c r="P121" s="17">
        <f>IF($C121="","",IF($O121="FAILED OUT","Yes","No"))</f>
        <v/>
      </c>
      <c r="Q121" s="16" t="n"/>
      <c r="R121" s="16" t="n"/>
      <c r="S121" s="17">
        <f>IF($C121="","",IF(AND($K121&lt;&gt;"",NOT(ISNUMBER($K121))),"SCORE NOT A NUMBER",IF(AND(ISNUMBER($K121),OR($K121&lt;0,$K121&gt;100)),"SCORE OUT OF RANGE - this score counts toward nothing",IF(AND($G121="Score",$K121="",$J121&lt;&gt;"",$J121&lt;&gt;"Pending"),"RESULT WITHOUT A SCORE",IF(AND($G121="Pass/Fail",$K121&lt;&gt;""),"SCORE ON A PASS-FAIL CATEGORY - it is ignored",IF(AND($E121="Firearms",$J121&lt;&gt;"",$J121&lt;&gt;"Pending",$R121=""),"FIREARMS ROW WITH NO COURSE OF FIRE","OK"))))))</f>
        <v/>
      </c>
    </row>
    <row r="122">
      <c r="B122" s="17">
        <f>IF($C122="","",$D122&amp;"-"&amp;$E122&amp;"-"&amp;$I122)</f>
        <v/>
      </c>
      <c r="C122" s="16" t="n"/>
      <c r="D122" s="17">
        <f>IF($C122="","",IFERROR(INDEX(rngCadetPIDs,MATCH($C122,rngCadetNames,0)),"?"))</f>
        <v/>
      </c>
      <c r="E122" s="16" t="n"/>
      <c r="F122" s="17">
        <f>IF($E122="","",IFERROR(INDEX(rngSM_max,MATCH($E122,rngSM_cat,0)),""))</f>
        <v/>
      </c>
      <c r="G122" s="17">
        <f>IF($E122="","",IFERROR(INDEX(rngSM_mode,MATCH($E122,rngSM_cat,0)),""))</f>
        <v/>
      </c>
      <c r="H122" s="17">
        <f>IF($E122="","",IFERROR(INDEX(rngSM_pass,MATCH($E122,rngSM_cat,0)),""))</f>
        <v/>
      </c>
      <c r="I122" s="16" t="n"/>
      <c r="J122" s="16" t="n"/>
      <c r="K122" s="16" t="n"/>
      <c r="L122" s="18" t="n"/>
      <c r="M122" s="16" t="n"/>
      <c r="N122" s="17">
        <f>IF($C122="","",MAX(_xlfn.MAXIFS(nrSK_Att,nrSK_PID,$D122,nrSK_Cat,$E122,nrSK_Res,"Pass"),_xlfn.MAXIFS(nrSK_Att,nrSK_PID,$D122,nrSK_Cat,$E122,nrSK_Res,"Fail")))</f>
        <v/>
      </c>
      <c r="O122" s="17">
        <f>IF($C122="","",IF(AND(MAX(_xlfn.MAXIFS(nrSK_Att,nrSK_PID,$D122,nrSK_Cat,$E122,nrSK_Res,"Pass"),_xlfn.MAXIFS(nrSK_Att,nrSK_PID,$D122,nrSK_Cat,$E122,nrSK_Res,"Fail"))&gt;0,N($I122)&lt;MAX(_xlfn.MAXIFS(nrSK_Att,nrSK_PID,$D122,nrSK_Cat,$E122,nrSK_Res,"Pass"),_xlfn.MAXIFS(nrSK_Att,nrSK_PID,$D122,nrSK_Cat,$E122,nrSK_Res,"Fail"))),"(superseded)",IF(OR($J122="",$J122="Pending"),"Pending",IF($J122="Pass","Qualified",IF(AND($J122="Fail",$N122&gt;=$F122),"FAILED OUT","Needs Remediation")))))</f>
        <v/>
      </c>
      <c r="P122" s="17">
        <f>IF($C122="","",IF($O122="FAILED OUT","Yes","No"))</f>
        <v/>
      </c>
      <c r="Q122" s="16" t="n"/>
      <c r="R122" s="16" t="n"/>
      <c r="S122" s="17">
        <f>IF($C122="","",IF(AND($K122&lt;&gt;"",NOT(ISNUMBER($K122))),"SCORE NOT A NUMBER",IF(AND(ISNUMBER($K122),OR($K122&lt;0,$K122&gt;100)),"SCORE OUT OF RANGE - this score counts toward nothing",IF(AND($G122="Score",$K122="",$J122&lt;&gt;"",$J122&lt;&gt;"Pending"),"RESULT WITHOUT A SCORE",IF(AND($G122="Pass/Fail",$K122&lt;&gt;""),"SCORE ON A PASS-FAIL CATEGORY - it is ignored",IF(AND($E122="Firearms",$J122&lt;&gt;"",$J122&lt;&gt;"Pending",$R122=""),"FIREARMS ROW WITH NO COURSE OF FIRE","OK"))))))</f>
        <v/>
      </c>
    </row>
    <row r="123">
      <c r="B123" s="17">
        <f>IF($C123="","",$D123&amp;"-"&amp;$E123&amp;"-"&amp;$I123)</f>
        <v/>
      </c>
      <c r="C123" s="16" t="n"/>
      <c r="D123" s="17">
        <f>IF($C123="","",IFERROR(INDEX(rngCadetPIDs,MATCH($C123,rngCadetNames,0)),"?"))</f>
        <v/>
      </c>
      <c r="E123" s="16" t="n"/>
      <c r="F123" s="17">
        <f>IF($E123="","",IFERROR(INDEX(rngSM_max,MATCH($E123,rngSM_cat,0)),""))</f>
        <v/>
      </c>
      <c r="G123" s="17">
        <f>IF($E123="","",IFERROR(INDEX(rngSM_mode,MATCH($E123,rngSM_cat,0)),""))</f>
        <v/>
      </c>
      <c r="H123" s="17">
        <f>IF($E123="","",IFERROR(INDEX(rngSM_pass,MATCH($E123,rngSM_cat,0)),""))</f>
        <v/>
      </c>
      <c r="I123" s="16" t="n"/>
      <c r="J123" s="16" t="n"/>
      <c r="K123" s="16" t="n"/>
      <c r="L123" s="18" t="n"/>
      <c r="M123" s="16" t="n"/>
      <c r="N123" s="17">
        <f>IF($C123="","",MAX(_xlfn.MAXIFS(nrSK_Att,nrSK_PID,$D123,nrSK_Cat,$E123,nrSK_Res,"Pass"),_xlfn.MAXIFS(nrSK_Att,nrSK_PID,$D123,nrSK_Cat,$E123,nrSK_Res,"Fail")))</f>
        <v/>
      </c>
      <c r="O123" s="17">
        <f>IF($C123="","",IF(AND(MAX(_xlfn.MAXIFS(nrSK_Att,nrSK_PID,$D123,nrSK_Cat,$E123,nrSK_Res,"Pass"),_xlfn.MAXIFS(nrSK_Att,nrSK_PID,$D123,nrSK_Cat,$E123,nrSK_Res,"Fail"))&gt;0,N($I123)&lt;MAX(_xlfn.MAXIFS(nrSK_Att,nrSK_PID,$D123,nrSK_Cat,$E123,nrSK_Res,"Pass"),_xlfn.MAXIFS(nrSK_Att,nrSK_PID,$D123,nrSK_Cat,$E123,nrSK_Res,"Fail"))),"(superseded)",IF(OR($J123="",$J123="Pending"),"Pending",IF($J123="Pass","Qualified",IF(AND($J123="Fail",$N123&gt;=$F123),"FAILED OUT","Needs Remediation")))))</f>
        <v/>
      </c>
      <c r="P123" s="17">
        <f>IF($C123="","",IF($O123="FAILED OUT","Yes","No"))</f>
        <v/>
      </c>
      <c r="Q123" s="16" t="n"/>
      <c r="R123" s="16" t="n"/>
      <c r="S123" s="17">
        <f>IF($C123="","",IF(AND($K123&lt;&gt;"",NOT(ISNUMBER($K123))),"SCORE NOT A NUMBER",IF(AND(ISNUMBER($K123),OR($K123&lt;0,$K123&gt;100)),"SCORE OUT OF RANGE - this score counts toward nothing",IF(AND($G123="Score",$K123="",$J123&lt;&gt;"",$J123&lt;&gt;"Pending"),"RESULT WITHOUT A SCORE",IF(AND($G123="Pass/Fail",$K123&lt;&gt;""),"SCORE ON A PASS-FAIL CATEGORY - it is ignored",IF(AND($E123="Firearms",$J123&lt;&gt;"",$J123&lt;&gt;"Pending",$R123=""),"FIREARMS ROW WITH NO COURSE OF FIRE","OK"))))))</f>
        <v/>
      </c>
    </row>
    <row r="124">
      <c r="B124" s="17">
        <f>IF($C124="","",$D124&amp;"-"&amp;$E124&amp;"-"&amp;$I124)</f>
        <v/>
      </c>
      <c r="C124" s="16" t="n"/>
      <c r="D124" s="17">
        <f>IF($C124="","",IFERROR(INDEX(rngCadetPIDs,MATCH($C124,rngCadetNames,0)),"?"))</f>
        <v/>
      </c>
      <c r="E124" s="16" t="n"/>
      <c r="F124" s="17">
        <f>IF($E124="","",IFERROR(INDEX(rngSM_max,MATCH($E124,rngSM_cat,0)),""))</f>
        <v/>
      </c>
      <c r="G124" s="17">
        <f>IF($E124="","",IFERROR(INDEX(rngSM_mode,MATCH($E124,rngSM_cat,0)),""))</f>
        <v/>
      </c>
      <c r="H124" s="17">
        <f>IF($E124="","",IFERROR(INDEX(rngSM_pass,MATCH($E124,rngSM_cat,0)),""))</f>
        <v/>
      </c>
      <c r="I124" s="16" t="n"/>
      <c r="J124" s="16" t="n"/>
      <c r="K124" s="16" t="n"/>
      <c r="L124" s="18" t="n"/>
      <c r="M124" s="16" t="n"/>
      <c r="N124" s="17">
        <f>IF($C124="","",MAX(_xlfn.MAXIFS(nrSK_Att,nrSK_PID,$D124,nrSK_Cat,$E124,nrSK_Res,"Pass"),_xlfn.MAXIFS(nrSK_Att,nrSK_PID,$D124,nrSK_Cat,$E124,nrSK_Res,"Fail")))</f>
        <v/>
      </c>
      <c r="O124" s="17">
        <f>IF($C124="","",IF(AND(MAX(_xlfn.MAXIFS(nrSK_Att,nrSK_PID,$D124,nrSK_Cat,$E124,nrSK_Res,"Pass"),_xlfn.MAXIFS(nrSK_Att,nrSK_PID,$D124,nrSK_Cat,$E124,nrSK_Res,"Fail"))&gt;0,N($I124)&lt;MAX(_xlfn.MAXIFS(nrSK_Att,nrSK_PID,$D124,nrSK_Cat,$E124,nrSK_Res,"Pass"),_xlfn.MAXIFS(nrSK_Att,nrSK_PID,$D124,nrSK_Cat,$E124,nrSK_Res,"Fail"))),"(superseded)",IF(OR($J124="",$J124="Pending"),"Pending",IF($J124="Pass","Qualified",IF(AND($J124="Fail",$N124&gt;=$F124),"FAILED OUT","Needs Remediation")))))</f>
        <v/>
      </c>
      <c r="P124" s="17">
        <f>IF($C124="","",IF($O124="FAILED OUT","Yes","No"))</f>
        <v/>
      </c>
      <c r="Q124" s="16" t="n"/>
      <c r="R124" s="16" t="n"/>
      <c r="S124" s="17">
        <f>IF($C124="","",IF(AND($K124&lt;&gt;"",NOT(ISNUMBER($K124))),"SCORE NOT A NUMBER",IF(AND(ISNUMBER($K124),OR($K124&lt;0,$K124&gt;100)),"SCORE OUT OF RANGE - this score counts toward nothing",IF(AND($G124="Score",$K124="",$J124&lt;&gt;"",$J124&lt;&gt;"Pending"),"RESULT WITHOUT A SCORE",IF(AND($G124="Pass/Fail",$K124&lt;&gt;""),"SCORE ON A PASS-FAIL CATEGORY - it is ignored",IF(AND($E124="Firearms",$J124&lt;&gt;"",$J124&lt;&gt;"Pending",$R124=""),"FIREARMS ROW WITH NO COURSE OF FIRE","OK"))))))</f>
        <v/>
      </c>
    </row>
    <row r="125">
      <c r="B125" s="17">
        <f>IF($C125="","",$D125&amp;"-"&amp;$E125&amp;"-"&amp;$I125)</f>
        <v/>
      </c>
      <c r="C125" s="16" t="n"/>
      <c r="D125" s="17">
        <f>IF($C125="","",IFERROR(INDEX(rngCadetPIDs,MATCH($C125,rngCadetNames,0)),"?"))</f>
        <v/>
      </c>
      <c r="E125" s="16" t="n"/>
      <c r="F125" s="17">
        <f>IF($E125="","",IFERROR(INDEX(rngSM_max,MATCH($E125,rngSM_cat,0)),""))</f>
        <v/>
      </c>
      <c r="G125" s="17">
        <f>IF($E125="","",IFERROR(INDEX(rngSM_mode,MATCH($E125,rngSM_cat,0)),""))</f>
        <v/>
      </c>
      <c r="H125" s="17">
        <f>IF($E125="","",IFERROR(INDEX(rngSM_pass,MATCH($E125,rngSM_cat,0)),""))</f>
        <v/>
      </c>
      <c r="I125" s="16" t="n"/>
      <c r="J125" s="16" t="n"/>
      <c r="K125" s="16" t="n"/>
      <c r="L125" s="18" t="n"/>
      <c r="M125" s="16" t="n"/>
      <c r="N125" s="17">
        <f>IF($C125="","",MAX(_xlfn.MAXIFS(nrSK_Att,nrSK_PID,$D125,nrSK_Cat,$E125,nrSK_Res,"Pass"),_xlfn.MAXIFS(nrSK_Att,nrSK_PID,$D125,nrSK_Cat,$E125,nrSK_Res,"Fail")))</f>
        <v/>
      </c>
      <c r="O125" s="17">
        <f>IF($C125="","",IF(AND(MAX(_xlfn.MAXIFS(nrSK_Att,nrSK_PID,$D125,nrSK_Cat,$E125,nrSK_Res,"Pass"),_xlfn.MAXIFS(nrSK_Att,nrSK_PID,$D125,nrSK_Cat,$E125,nrSK_Res,"Fail"))&gt;0,N($I125)&lt;MAX(_xlfn.MAXIFS(nrSK_Att,nrSK_PID,$D125,nrSK_Cat,$E125,nrSK_Res,"Pass"),_xlfn.MAXIFS(nrSK_Att,nrSK_PID,$D125,nrSK_Cat,$E125,nrSK_Res,"Fail"))),"(superseded)",IF(OR($J125="",$J125="Pending"),"Pending",IF($J125="Pass","Qualified",IF(AND($J125="Fail",$N125&gt;=$F125),"FAILED OUT","Needs Remediation")))))</f>
        <v/>
      </c>
      <c r="P125" s="17">
        <f>IF($C125="","",IF($O125="FAILED OUT","Yes","No"))</f>
        <v/>
      </c>
      <c r="Q125" s="16" t="n"/>
      <c r="R125" s="16" t="n"/>
      <c r="S125" s="17">
        <f>IF($C125="","",IF(AND($K125&lt;&gt;"",NOT(ISNUMBER($K125))),"SCORE NOT A NUMBER",IF(AND(ISNUMBER($K125),OR($K125&lt;0,$K125&gt;100)),"SCORE OUT OF RANGE - this score counts toward nothing",IF(AND($G125="Score",$K125="",$J125&lt;&gt;"",$J125&lt;&gt;"Pending"),"RESULT WITHOUT A SCORE",IF(AND($G125="Pass/Fail",$K125&lt;&gt;""),"SCORE ON A PASS-FAIL CATEGORY - it is ignored",IF(AND($E125="Firearms",$J125&lt;&gt;"",$J125&lt;&gt;"Pending",$R125=""),"FIREARMS ROW WITH NO COURSE OF FIRE","OK"))))))</f>
        <v/>
      </c>
    </row>
    <row r="126">
      <c r="B126" s="17">
        <f>IF($C126="","",$D126&amp;"-"&amp;$E126&amp;"-"&amp;$I126)</f>
        <v/>
      </c>
      <c r="C126" s="16" t="n"/>
      <c r="D126" s="17">
        <f>IF($C126="","",IFERROR(INDEX(rngCadetPIDs,MATCH($C126,rngCadetNames,0)),"?"))</f>
        <v/>
      </c>
      <c r="E126" s="16" t="n"/>
      <c r="F126" s="17">
        <f>IF($E126="","",IFERROR(INDEX(rngSM_max,MATCH($E126,rngSM_cat,0)),""))</f>
        <v/>
      </c>
      <c r="G126" s="17">
        <f>IF($E126="","",IFERROR(INDEX(rngSM_mode,MATCH($E126,rngSM_cat,0)),""))</f>
        <v/>
      </c>
      <c r="H126" s="17">
        <f>IF($E126="","",IFERROR(INDEX(rngSM_pass,MATCH($E126,rngSM_cat,0)),""))</f>
        <v/>
      </c>
      <c r="I126" s="16" t="n"/>
      <c r="J126" s="16" t="n"/>
      <c r="K126" s="16" t="n"/>
      <c r="L126" s="18" t="n"/>
      <c r="M126" s="16" t="n"/>
      <c r="N126" s="17">
        <f>IF($C126="","",MAX(_xlfn.MAXIFS(nrSK_Att,nrSK_PID,$D126,nrSK_Cat,$E126,nrSK_Res,"Pass"),_xlfn.MAXIFS(nrSK_Att,nrSK_PID,$D126,nrSK_Cat,$E126,nrSK_Res,"Fail")))</f>
        <v/>
      </c>
      <c r="O126" s="17">
        <f>IF($C126="","",IF(AND(MAX(_xlfn.MAXIFS(nrSK_Att,nrSK_PID,$D126,nrSK_Cat,$E126,nrSK_Res,"Pass"),_xlfn.MAXIFS(nrSK_Att,nrSK_PID,$D126,nrSK_Cat,$E126,nrSK_Res,"Fail"))&gt;0,N($I126)&lt;MAX(_xlfn.MAXIFS(nrSK_Att,nrSK_PID,$D126,nrSK_Cat,$E126,nrSK_Res,"Pass"),_xlfn.MAXIFS(nrSK_Att,nrSK_PID,$D126,nrSK_Cat,$E126,nrSK_Res,"Fail"))),"(superseded)",IF(OR($J126="",$J126="Pending"),"Pending",IF($J126="Pass","Qualified",IF(AND($J126="Fail",$N126&gt;=$F126),"FAILED OUT","Needs Remediation")))))</f>
        <v/>
      </c>
      <c r="P126" s="17">
        <f>IF($C126="","",IF($O126="FAILED OUT","Yes","No"))</f>
        <v/>
      </c>
      <c r="Q126" s="16" t="n"/>
      <c r="R126" s="16" t="n"/>
      <c r="S126" s="17">
        <f>IF($C126="","",IF(AND($K126&lt;&gt;"",NOT(ISNUMBER($K126))),"SCORE NOT A NUMBER",IF(AND(ISNUMBER($K126),OR($K126&lt;0,$K126&gt;100)),"SCORE OUT OF RANGE - this score counts toward nothing",IF(AND($G126="Score",$K126="",$J126&lt;&gt;"",$J126&lt;&gt;"Pending"),"RESULT WITHOUT A SCORE",IF(AND($G126="Pass/Fail",$K126&lt;&gt;""),"SCORE ON A PASS-FAIL CATEGORY - it is ignored",IF(AND($E126="Firearms",$J126&lt;&gt;"",$J126&lt;&gt;"Pending",$R126=""),"FIREARMS ROW WITH NO COURSE OF FIRE","OK"))))))</f>
        <v/>
      </c>
    </row>
    <row r="127">
      <c r="B127" s="17">
        <f>IF($C127="","",$D127&amp;"-"&amp;$E127&amp;"-"&amp;$I127)</f>
        <v/>
      </c>
      <c r="C127" s="16" t="n"/>
      <c r="D127" s="17">
        <f>IF($C127="","",IFERROR(INDEX(rngCadetPIDs,MATCH($C127,rngCadetNames,0)),"?"))</f>
        <v/>
      </c>
      <c r="E127" s="16" t="n"/>
      <c r="F127" s="17">
        <f>IF($E127="","",IFERROR(INDEX(rngSM_max,MATCH($E127,rngSM_cat,0)),""))</f>
        <v/>
      </c>
      <c r="G127" s="17">
        <f>IF($E127="","",IFERROR(INDEX(rngSM_mode,MATCH($E127,rngSM_cat,0)),""))</f>
        <v/>
      </c>
      <c r="H127" s="17">
        <f>IF($E127="","",IFERROR(INDEX(rngSM_pass,MATCH($E127,rngSM_cat,0)),""))</f>
        <v/>
      </c>
      <c r="I127" s="16" t="n"/>
      <c r="J127" s="16" t="n"/>
      <c r="K127" s="16" t="n"/>
      <c r="L127" s="18" t="n"/>
      <c r="M127" s="16" t="n"/>
      <c r="N127" s="17">
        <f>IF($C127="","",MAX(_xlfn.MAXIFS(nrSK_Att,nrSK_PID,$D127,nrSK_Cat,$E127,nrSK_Res,"Pass"),_xlfn.MAXIFS(nrSK_Att,nrSK_PID,$D127,nrSK_Cat,$E127,nrSK_Res,"Fail")))</f>
        <v/>
      </c>
      <c r="O127" s="17">
        <f>IF($C127="","",IF(AND(MAX(_xlfn.MAXIFS(nrSK_Att,nrSK_PID,$D127,nrSK_Cat,$E127,nrSK_Res,"Pass"),_xlfn.MAXIFS(nrSK_Att,nrSK_PID,$D127,nrSK_Cat,$E127,nrSK_Res,"Fail"))&gt;0,N($I127)&lt;MAX(_xlfn.MAXIFS(nrSK_Att,nrSK_PID,$D127,nrSK_Cat,$E127,nrSK_Res,"Pass"),_xlfn.MAXIFS(nrSK_Att,nrSK_PID,$D127,nrSK_Cat,$E127,nrSK_Res,"Fail"))),"(superseded)",IF(OR($J127="",$J127="Pending"),"Pending",IF($J127="Pass","Qualified",IF(AND($J127="Fail",$N127&gt;=$F127),"FAILED OUT","Needs Remediation")))))</f>
        <v/>
      </c>
      <c r="P127" s="17">
        <f>IF($C127="","",IF($O127="FAILED OUT","Yes","No"))</f>
        <v/>
      </c>
      <c r="Q127" s="16" t="n"/>
      <c r="R127" s="16" t="n"/>
      <c r="S127" s="17">
        <f>IF($C127="","",IF(AND($K127&lt;&gt;"",NOT(ISNUMBER($K127))),"SCORE NOT A NUMBER",IF(AND(ISNUMBER($K127),OR($K127&lt;0,$K127&gt;100)),"SCORE OUT OF RANGE - this score counts toward nothing",IF(AND($G127="Score",$K127="",$J127&lt;&gt;"",$J127&lt;&gt;"Pending"),"RESULT WITHOUT A SCORE",IF(AND($G127="Pass/Fail",$K127&lt;&gt;""),"SCORE ON A PASS-FAIL CATEGORY - it is ignored",IF(AND($E127="Firearms",$J127&lt;&gt;"",$J127&lt;&gt;"Pending",$R127=""),"FIREARMS ROW WITH NO COURSE OF FIRE","OK"))))))</f>
        <v/>
      </c>
    </row>
    <row r="128">
      <c r="B128" s="17">
        <f>IF($C128="","",$D128&amp;"-"&amp;$E128&amp;"-"&amp;$I128)</f>
        <v/>
      </c>
      <c r="C128" s="16" t="n"/>
      <c r="D128" s="17">
        <f>IF($C128="","",IFERROR(INDEX(rngCadetPIDs,MATCH($C128,rngCadetNames,0)),"?"))</f>
        <v/>
      </c>
      <c r="E128" s="16" t="n"/>
      <c r="F128" s="17">
        <f>IF($E128="","",IFERROR(INDEX(rngSM_max,MATCH($E128,rngSM_cat,0)),""))</f>
        <v/>
      </c>
      <c r="G128" s="17">
        <f>IF($E128="","",IFERROR(INDEX(rngSM_mode,MATCH($E128,rngSM_cat,0)),""))</f>
        <v/>
      </c>
      <c r="H128" s="17">
        <f>IF($E128="","",IFERROR(INDEX(rngSM_pass,MATCH($E128,rngSM_cat,0)),""))</f>
        <v/>
      </c>
      <c r="I128" s="16" t="n"/>
      <c r="J128" s="16" t="n"/>
      <c r="K128" s="16" t="n"/>
      <c r="L128" s="18" t="n"/>
      <c r="M128" s="16" t="n"/>
      <c r="N128" s="17">
        <f>IF($C128="","",MAX(_xlfn.MAXIFS(nrSK_Att,nrSK_PID,$D128,nrSK_Cat,$E128,nrSK_Res,"Pass"),_xlfn.MAXIFS(nrSK_Att,nrSK_PID,$D128,nrSK_Cat,$E128,nrSK_Res,"Fail")))</f>
        <v/>
      </c>
      <c r="O128" s="17">
        <f>IF($C128="","",IF(AND(MAX(_xlfn.MAXIFS(nrSK_Att,nrSK_PID,$D128,nrSK_Cat,$E128,nrSK_Res,"Pass"),_xlfn.MAXIFS(nrSK_Att,nrSK_PID,$D128,nrSK_Cat,$E128,nrSK_Res,"Fail"))&gt;0,N($I128)&lt;MAX(_xlfn.MAXIFS(nrSK_Att,nrSK_PID,$D128,nrSK_Cat,$E128,nrSK_Res,"Pass"),_xlfn.MAXIFS(nrSK_Att,nrSK_PID,$D128,nrSK_Cat,$E128,nrSK_Res,"Fail"))),"(superseded)",IF(OR($J128="",$J128="Pending"),"Pending",IF($J128="Pass","Qualified",IF(AND($J128="Fail",$N128&gt;=$F128),"FAILED OUT","Needs Remediation")))))</f>
        <v/>
      </c>
      <c r="P128" s="17">
        <f>IF($C128="","",IF($O128="FAILED OUT","Yes","No"))</f>
        <v/>
      </c>
      <c r="Q128" s="16" t="n"/>
      <c r="R128" s="16" t="n"/>
      <c r="S128" s="17">
        <f>IF($C128="","",IF(AND($K128&lt;&gt;"",NOT(ISNUMBER($K128))),"SCORE NOT A NUMBER",IF(AND(ISNUMBER($K128),OR($K128&lt;0,$K128&gt;100)),"SCORE OUT OF RANGE - this score counts toward nothing",IF(AND($G128="Score",$K128="",$J128&lt;&gt;"",$J128&lt;&gt;"Pending"),"RESULT WITHOUT A SCORE",IF(AND($G128="Pass/Fail",$K128&lt;&gt;""),"SCORE ON A PASS-FAIL CATEGORY - it is ignored",IF(AND($E128="Firearms",$J128&lt;&gt;"",$J128&lt;&gt;"Pending",$R128=""),"FIREARMS ROW WITH NO COURSE OF FIRE","OK"))))))</f>
        <v/>
      </c>
    </row>
    <row r="129">
      <c r="B129" s="17">
        <f>IF($C129="","",$D129&amp;"-"&amp;$E129&amp;"-"&amp;$I129)</f>
        <v/>
      </c>
      <c r="C129" s="16" t="n"/>
      <c r="D129" s="17">
        <f>IF($C129="","",IFERROR(INDEX(rngCadetPIDs,MATCH($C129,rngCadetNames,0)),"?"))</f>
        <v/>
      </c>
      <c r="E129" s="16" t="n"/>
      <c r="F129" s="17">
        <f>IF($E129="","",IFERROR(INDEX(rngSM_max,MATCH($E129,rngSM_cat,0)),""))</f>
        <v/>
      </c>
      <c r="G129" s="17">
        <f>IF($E129="","",IFERROR(INDEX(rngSM_mode,MATCH($E129,rngSM_cat,0)),""))</f>
        <v/>
      </c>
      <c r="H129" s="17">
        <f>IF($E129="","",IFERROR(INDEX(rngSM_pass,MATCH($E129,rngSM_cat,0)),""))</f>
        <v/>
      </c>
      <c r="I129" s="16" t="n"/>
      <c r="J129" s="16" t="n"/>
      <c r="K129" s="16" t="n"/>
      <c r="L129" s="18" t="n"/>
      <c r="M129" s="16" t="n"/>
      <c r="N129" s="17">
        <f>IF($C129="","",MAX(_xlfn.MAXIFS(nrSK_Att,nrSK_PID,$D129,nrSK_Cat,$E129,nrSK_Res,"Pass"),_xlfn.MAXIFS(nrSK_Att,nrSK_PID,$D129,nrSK_Cat,$E129,nrSK_Res,"Fail")))</f>
        <v/>
      </c>
      <c r="O129" s="17">
        <f>IF($C129="","",IF(AND(MAX(_xlfn.MAXIFS(nrSK_Att,nrSK_PID,$D129,nrSK_Cat,$E129,nrSK_Res,"Pass"),_xlfn.MAXIFS(nrSK_Att,nrSK_PID,$D129,nrSK_Cat,$E129,nrSK_Res,"Fail"))&gt;0,N($I129)&lt;MAX(_xlfn.MAXIFS(nrSK_Att,nrSK_PID,$D129,nrSK_Cat,$E129,nrSK_Res,"Pass"),_xlfn.MAXIFS(nrSK_Att,nrSK_PID,$D129,nrSK_Cat,$E129,nrSK_Res,"Fail"))),"(superseded)",IF(OR($J129="",$J129="Pending"),"Pending",IF($J129="Pass","Qualified",IF(AND($J129="Fail",$N129&gt;=$F129),"FAILED OUT","Needs Remediation")))))</f>
        <v/>
      </c>
      <c r="P129" s="17">
        <f>IF($C129="","",IF($O129="FAILED OUT","Yes","No"))</f>
        <v/>
      </c>
      <c r="Q129" s="16" t="n"/>
      <c r="R129" s="16" t="n"/>
      <c r="S129" s="17">
        <f>IF($C129="","",IF(AND($K129&lt;&gt;"",NOT(ISNUMBER($K129))),"SCORE NOT A NUMBER",IF(AND(ISNUMBER($K129),OR($K129&lt;0,$K129&gt;100)),"SCORE OUT OF RANGE - this score counts toward nothing",IF(AND($G129="Score",$K129="",$J129&lt;&gt;"",$J129&lt;&gt;"Pending"),"RESULT WITHOUT A SCORE",IF(AND($G129="Pass/Fail",$K129&lt;&gt;""),"SCORE ON A PASS-FAIL CATEGORY - it is ignored",IF(AND($E129="Firearms",$J129&lt;&gt;"",$J129&lt;&gt;"Pending",$R129=""),"FIREARMS ROW WITH NO COURSE OF FIRE","OK"))))))</f>
        <v/>
      </c>
    </row>
    <row r="130">
      <c r="B130" s="17">
        <f>IF($C130="","",$D130&amp;"-"&amp;$E130&amp;"-"&amp;$I130)</f>
        <v/>
      </c>
      <c r="C130" s="16" t="n"/>
      <c r="D130" s="17">
        <f>IF($C130="","",IFERROR(INDEX(rngCadetPIDs,MATCH($C130,rngCadetNames,0)),"?"))</f>
        <v/>
      </c>
      <c r="E130" s="16" t="n"/>
      <c r="F130" s="17">
        <f>IF($E130="","",IFERROR(INDEX(rngSM_max,MATCH($E130,rngSM_cat,0)),""))</f>
        <v/>
      </c>
      <c r="G130" s="17">
        <f>IF($E130="","",IFERROR(INDEX(rngSM_mode,MATCH($E130,rngSM_cat,0)),""))</f>
        <v/>
      </c>
      <c r="H130" s="17">
        <f>IF($E130="","",IFERROR(INDEX(rngSM_pass,MATCH($E130,rngSM_cat,0)),""))</f>
        <v/>
      </c>
      <c r="I130" s="16" t="n"/>
      <c r="J130" s="16" t="n"/>
      <c r="K130" s="16" t="n"/>
      <c r="L130" s="18" t="n"/>
      <c r="M130" s="16" t="n"/>
      <c r="N130" s="17">
        <f>IF($C130="","",MAX(_xlfn.MAXIFS(nrSK_Att,nrSK_PID,$D130,nrSK_Cat,$E130,nrSK_Res,"Pass"),_xlfn.MAXIFS(nrSK_Att,nrSK_PID,$D130,nrSK_Cat,$E130,nrSK_Res,"Fail")))</f>
        <v/>
      </c>
      <c r="O130" s="17">
        <f>IF($C130="","",IF(AND(MAX(_xlfn.MAXIFS(nrSK_Att,nrSK_PID,$D130,nrSK_Cat,$E130,nrSK_Res,"Pass"),_xlfn.MAXIFS(nrSK_Att,nrSK_PID,$D130,nrSK_Cat,$E130,nrSK_Res,"Fail"))&gt;0,N($I130)&lt;MAX(_xlfn.MAXIFS(nrSK_Att,nrSK_PID,$D130,nrSK_Cat,$E130,nrSK_Res,"Pass"),_xlfn.MAXIFS(nrSK_Att,nrSK_PID,$D130,nrSK_Cat,$E130,nrSK_Res,"Fail"))),"(superseded)",IF(OR($J130="",$J130="Pending"),"Pending",IF($J130="Pass","Qualified",IF(AND($J130="Fail",$N130&gt;=$F130),"FAILED OUT","Needs Remediation")))))</f>
        <v/>
      </c>
      <c r="P130" s="17">
        <f>IF($C130="","",IF($O130="FAILED OUT","Yes","No"))</f>
        <v/>
      </c>
      <c r="Q130" s="16" t="n"/>
      <c r="R130" s="16" t="n"/>
      <c r="S130" s="17">
        <f>IF($C130="","",IF(AND($K130&lt;&gt;"",NOT(ISNUMBER($K130))),"SCORE NOT A NUMBER",IF(AND(ISNUMBER($K130),OR($K130&lt;0,$K130&gt;100)),"SCORE OUT OF RANGE - this score counts toward nothing",IF(AND($G130="Score",$K130="",$J130&lt;&gt;"",$J130&lt;&gt;"Pending"),"RESULT WITHOUT A SCORE",IF(AND($G130="Pass/Fail",$K130&lt;&gt;""),"SCORE ON A PASS-FAIL CATEGORY - it is ignored",IF(AND($E130="Firearms",$J130&lt;&gt;"",$J130&lt;&gt;"Pending",$R130=""),"FIREARMS ROW WITH NO COURSE OF FIRE","OK"))))))</f>
        <v/>
      </c>
    </row>
    <row r="131">
      <c r="B131" s="17">
        <f>IF($C131="","",$D131&amp;"-"&amp;$E131&amp;"-"&amp;$I131)</f>
        <v/>
      </c>
      <c r="C131" s="16" t="n"/>
      <c r="D131" s="17">
        <f>IF($C131="","",IFERROR(INDEX(rngCadetPIDs,MATCH($C131,rngCadetNames,0)),"?"))</f>
        <v/>
      </c>
      <c r="E131" s="16" t="n"/>
      <c r="F131" s="17">
        <f>IF($E131="","",IFERROR(INDEX(rngSM_max,MATCH($E131,rngSM_cat,0)),""))</f>
        <v/>
      </c>
      <c r="G131" s="17">
        <f>IF($E131="","",IFERROR(INDEX(rngSM_mode,MATCH($E131,rngSM_cat,0)),""))</f>
        <v/>
      </c>
      <c r="H131" s="17">
        <f>IF($E131="","",IFERROR(INDEX(rngSM_pass,MATCH($E131,rngSM_cat,0)),""))</f>
        <v/>
      </c>
      <c r="I131" s="16" t="n"/>
      <c r="J131" s="16" t="n"/>
      <c r="K131" s="16" t="n"/>
      <c r="L131" s="18" t="n"/>
      <c r="M131" s="16" t="n"/>
      <c r="N131" s="17">
        <f>IF($C131="","",MAX(_xlfn.MAXIFS(nrSK_Att,nrSK_PID,$D131,nrSK_Cat,$E131,nrSK_Res,"Pass"),_xlfn.MAXIFS(nrSK_Att,nrSK_PID,$D131,nrSK_Cat,$E131,nrSK_Res,"Fail")))</f>
        <v/>
      </c>
      <c r="O131" s="17">
        <f>IF($C131="","",IF(AND(MAX(_xlfn.MAXIFS(nrSK_Att,nrSK_PID,$D131,nrSK_Cat,$E131,nrSK_Res,"Pass"),_xlfn.MAXIFS(nrSK_Att,nrSK_PID,$D131,nrSK_Cat,$E131,nrSK_Res,"Fail"))&gt;0,N($I131)&lt;MAX(_xlfn.MAXIFS(nrSK_Att,nrSK_PID,$D131,nrSK_Cat,$E131,nrSK_Res,"Pass"),_xlfn.MAXIFS(nrSK_Att,nrSK_PID,$D131,nrSK_Cat,$E131,nrSK_Res,"Fail"))),"(superseded)",IF(OR($J131="",$J131="Pending"),"Pending",IF($J131="Pass","Qualified",IF(AND($J131="Fail",$N131&gt;=$F131),"FAILED OUT","Needs Remediation")))))</f>
        <v/>
      </c>
      <c r="P131" s="17">
        <f>IF($C131="","",IF($O131="FAILED OUT","Yes","No"))</f>
        <v/>
      </c>
      <c r="Q131" s="16" t="n"/>
      <c r="R131" s="16" t="n"/>
      <c r="S131" s="17">
        <f>IF($C131="","",IF(AND($K131&lt;&gt;"",NOT(ISNUMBER($K131))),"SCORE NOT A NUMBER",IF(AND(ISNUMBER($K131),OR($K131&lt;0,$K131&gt;100)),"SCORE OUT OF RANGE - this score counts toward nothing",IF(AND($G131="Score",$K131="",$J131&lt;&gt;"",$J131&lt;&gt;"Pending"),"RESULT WITHOUT A SCORE",IF(AND($G131="Pass/Fail",$K131&lt;&gt;""),"SCORE ON A PASS-FAIL CATEGORY - it is ignored",IF(AND($E131="Firearms",$J131&lt;&gt;"",$J131&lt;&gt;"Pending",$R131=""),"FIREARMS ROW WITH NO COURSE OF FIRE","OK"))))))</f>
        <v/>
      </c>
    </row>
    <row r="132">
      <c r="B132" s="17">
        <f>IF($C132="","",$D132&amp;"-"&amp;$E132&amp;"-"&amp;$I132)</f>
        <v/>
      </c>
      <c r="C132" s="16" t="n"/>
      <c r="D132" s="17">
        <f>IF($C132="","",IFERROR(INDEX(rngCadetPIDs,MATCH($C132,rngCadetNames,0)),"?"))</f>
        <v/>
      </c>
      <c r="E132" s="16" t="n"/>
      <c r="F132" s="17">
        <f>IF($E132="","",IFERROR(INDEX(rngSM_max,MATCH($E132,rngSM_cat,0)),""))</f>
        <v/>
      </c>
      <c r="G132" s="17">
        <f>IF($E132="","",IFERROR(INDEX(rngSM_mode,MATCH($E132,rngSM_cat,0)),""))</f>
        <v/>
      </c>
      <c r="H132" s="17">
        <f>IF($E132="","",IFERROR(INDEX(rngSM_pass,MATCH($E132,rngSM_cat,0)),""))</f>
        <v/>
      </c>
      <c r="I132" s="16" t="n"/>
      <c r="J132" s="16" t="n"/>
      <c r="K132" s="16" t="n"/>
      <c r="L132" s="18" t="n"/>
      <c r="M132" s="16" t="n"/>
      <c r="N132" s="17">
        <f>IF($C132="","",MAX(_xlfn.MAXIFS(nrSK_Att,nrSK_PID,$D132,nrSK_Cat,$E132,nrSK_Res,"Pass"),_xlfn.MAXIFS(nrSK_Att,nrSK_PID,$D132,nrSK_Cat,$E132,nrSK_Res,"Fail")))</f>
        <v/>
      </c>
      <c r="O132" s="17">
        <f>IF($C132="","",IF(AND(MAX(_xlfn.MAXIFS(nrSK_Att,nrSK_PID,$D132,nrSK_Cat,$E132,nrSK_Res,"Pass"),_xlfn.MAXIFS(nrSK_Att,nrSK_PID,$D132,nrSK_Cat,$E132,nrSK_Res,"Fail"))&gt;0,N($I132)&lt;MAX(_xlfn.MAXIFS(nrSK_Att,nrSK_PID,$D132,nrSK_Cat,$E132,nrSK_Res,"Pass"),_xlfn.MAXIFS(nrSK_Att,nrSK_PID,$D132,nrSK_Cat,$E132,nrSK_Res,"Fail"))),"(superseded)",IF(OR($J132="",$J132="Pending"),"Pending",IF($J132="Pass","Qualified",IF(AND($J132="Fail",$N132&gt;=$F132),"FAILED OUT","Needs Remediation")))))</f>
        <v/>
      </c>
      <c r="P132" s="17">
        <f>IF($C132="","",IF($O132="FAILED OUT","Yes","No"))</f>
        <v/>
      </c>
      <c r="Q132" s="16" t="n"/>
      <c r="R132" s="16" t="n"/>
      <c r="S132" s="17">
        <f>IF($C132="","",IF(AND($K132&lt;&gt;"",NOT(ISNUMBER($K132))),"SCORE NOT A NUMBER",IF(AND(ISNUMBER($K132),OR($K132&lt;0,$K132&gt;100)),"SCORE OUT OF RANGE - this score counts toward nothing",IF(AND($G132="Score",$K132="",$J132&lt;&gt;"",$J132&lt;&gt;"Pending"),"RESULT WITHOUT A SCORE",IF(AND($G132="Pass/Fail",$K132&lt;&gt;""),"SCORE ON A PASS-FAIL CATEGORY - it is ignored",IF(AND($E132="Firearms",$J132&lt;&gt;"",$J132&lt;&gt;"Pending",$R132=""),"FIREARMS ROW WITH NO COURSE OF FIRE","OK"))))))</f>
        <v/>
      </c>
    </row>
    <row r="133">
      <c r="B133" s="17">
        <f>IF($C133="","",$D133&amp;"-"&amp;$E133&amp;"-"&amp;$I133)</f>
        <v/>
      </c>
      <c r="C133" s="16" t="n"/>
      <c r="D133" s="17">
        <f>IF($C133="","",IFERROR(INDEX(rngCadetPIDs,MATCH($C133,rngCadetNames,0)),"?"))</f>
        <v/>
      </c>
      <c r="E133" s="16" t="n"/>
      <c r="F133" s="17">
        <f>IF($E133="","",IFERROR(INDEX(rngSM_max,MATCH($E133,rngSM_cat,0)),""))</f>
        <v/>
      </c>
      <c r="G133" s="17">
        <f>IF($E133="","",IFERROR(INDEX(rngSM_mode,MATCH($E133,rngSM_cat,0)),""))</f>
        <v/>
      </c>
      <c r="H133" s="17">
        <f>IF($E133="","",IFERROR(INDEX(rngSM_pass,MATCH($E133,rngSM_cat,0)),""))</f>
        <v/>
      </c>
      <c r="I133" s="16" t="n"/>
      <c r="J133" s="16" t="n"/>
      <c r="K133" s="16" t="n"/>
      <c r="L133" s="18" t="n"/>
      <c r="M133" s="16" t="n"/>
      <c r="N133" s="17">
        <f>IF($C133="","",MAX(_xlfn.MAXIFS(nrSK_Att,nrSK_PID,$D133,nrSK_Cat,$E133,nrSK_Res,"Pass"),_xlfn.MAXIFS(nrSK_Att,nrSK_PID,$D133,nrSK_Cat,$E133,nrSK_Res,"Fail")))</f>
        <v/>
      </c>
      <c r="O133" s="17">
        <f>IF($C133="","",IF(AND(MAX(_xlfn.MAXIFS(nrSK_Att,nrSK_PID,$D133,nrSK_Cat,$E133,nrSK_Res,"Pass"),_xlfn.MAXIFS(nrSK_Att,nrSK_PID,$D133,nrSK_Cat,$E133,nrSK_Res,"Fail"))&gt;0,N($I133)&lt;MAX(_xlfn.MAXIFS(nrSK_Att,nrSK_PID,$D133,nrSK_Cat,$E133,nrSK_Res,"Pass"),_xlfn.MAXIFS(nrSK_Att,nrSK_PID,$D133,nrSK_Cat,$E133,nrSK_Res,"Fail"))),"(superseded)",IF(OR($J133="",$J133="Pending"),"Pending",IF($J133="Pass","Qualified",IF(AND($J133="Fail",$N133&gt;=$F133),"FAILED OUT","Needs Remediation")))))</f>
        <v/>
      </c>
      <c r="P133" s="17">
        <f>IF($C133="","",IF($O133="FAILED OUT","Yes","No"))</f>
        <v/>
      </c>
      <c r="Q133" s="16" t="n"/>
      <c r="R133" s="16" t="n"/>
      <c r="S133" s="17">
        <f>IF($C133="","",IF(AND($K133&lt;&gt;"",NOT(ISNUMBER($K133))),"SCORE NOT A NUMBER",IF(AND(ISNUMBER($K133),OR($K133&lt;0,$K133&gt;100)),"SCORE OUT OF RANGE - this score counts toward nothing",IF(AND($G133="Score",$K133="",$J133&lt;&gt;"",$J133&lt;&gt;"Pending"),"RESULT WITHOUT A SCORE",IF(AND($G133="Pass/Fail",$K133&lt;&gt;""),"SCORE ON A PASS-FAIL CATEGORY - it is ignored",IF(AND($E133="Firearms",$J133&lt;&gt;"",$J133&lt;&gt;"Pending",$R133=""),"FIREARMS ROW WITH NO COURSE OF FIRE","OK"))))))</f>
        <v/>
      </c>
    </row>
    <row r="134">
      <c r="B134" s="17">
        <f>IF($C134="","",$D134&amp;"-"&amp;$E134&amp;"-"&amp;$I134)</f>
        <v/>
      </c>
      <c r="C134" s="16" t="n"/>
      <c r="D134" s="17">
        <f>IF($C134="","",IFERROR(INDEX(rngCadetPIDs,MATCH($C134,rngCadetNames,0)),"?"))</f>
        <v/>
      </c>
      <c r="E134" s="16" t="n"/>
      <c r="F134" s="17">
        <f>IF($E134="","",IFERROR(INDEX(rngSM_max,MATCH($E134,rngSM_cat,0)),""))</f>
        <v/>
      </c>
      <c r="G134" s="17">
        <f>IF($E134="","",IFERROR(INDEX(rngSM_mode,MATCH($E134,rngSM_cat,0)),""))</f>
        <v/>
      </c>
      <c r="H134" s="17">
        <f>IF($E134="","",IFERROR(INDEX(rngSM_pass,MATCH($E134,rngSM_cat,0)),""))</f>
        <v/>
      </c>
      <c r="I134" s="16" t="n"/>
      <c r="J134" s="16" t="n"/>
      <c r="K134" s="16" t="n"/>
      <c r="L134" s="18" t="n"/>
      <c r="M134" s="16" t="n"/>
      <c r="N134" s="17">
        <f>IF($C134="","",MAX(_xlfn.MAXIFS(nrSK_Att,nrSK_PID,$D134,nrSK_Cat,$E134,nrSK_Res,"Pass"),_xlfn.MAXIFS(nrSK_Att,nrSK_PID,$D134,nrSK_Cat,$E134,nrSK_Res,"Fail")))</f>
        <v/>
      </c>
      <c r="O134" s="17">
        <f>IF($C134="","",IF(AND(MAX(_xlfn.MAXIFS(nrSK_Att,nrSK_PID,$D134,nrSK_Cat,$E134,nrSK_Res,"Pass"),_xlfn.MAXIFS(nrSK_Att,nrSK_PID,$D134,nrSK_Cat,$E134,nrSK_Res,"Fail"))&gt;0,N($I134)&lt;MAX(_xlfn.MAXIFS(nrSK_Att,nrSK_PID,$D134,nrSK_Cat,$E134,nrSK_Res,"Pass"),_xlfn.MAXIFS(nrSK_Att,nrSK_PID,$D134,nrSK_Cat,$E134,nrSK_Res,"Fail"))),"(superseded)",IF(OR($J134="",$J134="Pending"),"Pending",IF($J134="Pass","Qualified",IF(AND($J134="Fail",$N134&gt;=$F134),"FAILED OUT","Needs Remediation")))))</f>
        <v/>
      </c>
      <c r="P134" s="17">
        <f>IF($C134="","",IF($O134="FAILED OUT","Yes","No"))</f>
        <v/>
      </c>
      <c r="Q134" s="16" t="n"/>
      <c r="R134" s="16" t="n"/>
      <c r="S134" s="17">
        <f>IF($C134="","",IF(AND($K134&lt;&gt;"",NOT(ISNUMBER($K134))),"SCORE NOT A NUMBER",IF(AND(ISNUMBER($K134),OR($K134&lt;0,$K134&gt;100)),"SCORE OUT OF RANGE - this score counts toward nothing",IF(AND($G134="Score",$K134="",$J134&lt;&gt;"",$J134&lt;&gt;"Pending"),"RESULT WITHOUT A SCORE",IF(AND($G134="Pass/Fail",$K134&lt;&gt;""),"SCORE ON A PASS-FAIL CATEGORY - it is ignored",IF(AND($E134="Firearms",$J134&lt;&gt;"",$J134&lt;&gt;"Pending",$R134=""),"FIREARMS ROW WITH NO COURSE OF FIRE","OK"))))))</f>
        <v/>
      </c>
    </row>
    <row r="135">
      <c r="B135" s="17">
        <f>IF($C135="","",$D135&amp;"-"&amp;$E135&amp;"-"&amp;$I135)</f>
        <v/>
      </c>
      <c r="C135" s="16" t="n"/>
      <c r="D135" s="17">
        <f>IF($C135="","",IFERROR(INDEX(rngCadetPIDs,MATCH($C135,rngCadetNames,0)),"?"))</f>
        <v/>
      </c>
      <c r="E135" s="16" t="n"/>
      <c r="F135" s="17">
        <f>IF($E135="","",IFERROR(INDEX(rngSM_max,MATCH($E135,rngSM_cat,0)),""))</f>
        <v/>
      </c>
      <c r="G135" s="17">
        <f>IF($E135="","",IFERROR(INDEX(rngSM_mode,MATCH($E135,rngSM_cat,0)),""))</f>
        <v/>
      </c>
      <c r="H135" s="17">
        <f>IF($E135="","",IFERROR(INDEX(rngSM_pass,MATCH($E135,rngSM_cat,0)),""))</f>
        <v/>
      </c>
      <c r="I135" s="16" t="n"/>
      <c r="J135" s="16" t="n"/>
      <c r="K135" s="16" t="n"/>
      <c r="L135" s="18" t="n"/>
      <c r="M135" s="16" t="n"/>
      <c r="N135" s="17">
        <f>IF($C135="","",MAX(_xlfn.MAXIFS(nrSK_Att,nrSK_PID,$D135,nrSK_Cat,$E135,nrSK_Res,"Pass"),_xlfn.MAXIFS(nrSK_Att,nrSK_PID,$D135,nrSK_Cat,$E135,nrSK_Res,"Fail")))</f>
        <v/>
      </c>
      <c r="O135" s="17">
        <f>IF($C135="","",IF(AND(MAX(_xlfn.MAXIFS(nrSK_Att,nrSK_PID,$D135,nrSK_Cat,$E135,nrSK_Res,"Pass"),_xlfn.MAXIFS(nrSK_Att,nrSK_PID,$D135,nrSK_Cat,$E135,nrSK_Res,"Fail"))&gt;0,N($I135)&lt;MAX(_xlfn.MAXIFS(nrSK_Att,nrSK_PID,$D135,nrSK_Cat,$E135,nrSK_Res,"Pass"),_xlfn.MAXIFS(nrSK_Att,nrSK_PID,$D135,nrSK_Cat,$E135,nrSK_Res,"Fail"))),"(superseded)",IF(OR($J135="",$J135="Pending"),"Pending",IF($J135="Pass","Qualified",IF(AND($J135="Fail",$N135&gt;=$F135),"FAILED OUT","Needs Remediation")))))</f>
        <v/>
      </c>
      <c r="P135" s="17">
        <f>IF($C135="","",IF($O135="FAILED OUT","Yes","No"))</f>
        <v/>
      </c>
      <c r="Q135" s="16" t="n"/>
      <c r="R135" s="16" t="n"/>
      <c r="S135" s="17">
        <f>IF($C135="","",IF(AND($K135&lt;&gt;"",NOT(ISNUMBER($K135))),"SCORE NOT A NUMBER",IF(AND(ISNUMBER($K135),OR($K135&lt;0,$K135&gt;100)),"SCORE OUT OF RANGE - this score counts toward nothing",IF(AND($G135="Score",$K135="",$J135&lt;&gt;"",$J135&lt;&gt;"Pending"),"RESULT WITHOUT A SCORE",IF(AND($G135="Pass/Fail",$K135&lt;&gt;""),"SCORE ON A PASS-FAIL CATEGORY - it is ignored",IF(AND($E135="Firearms",$J135&lt;&gt;"",$J135&lt;&gt;"Pending",$R135=""),"FIREARMS ROW WITH NO COURSE OF FIRE","OK"))))))</f>
        <v/>
      </c>
    </row>
    <row r="136">
      <c r="B136" s="17">
        <f>IF($C136="","",$D136&amp;"-"&amp;$E136&amp;"-"&amp;$I136)</f>
        <v/>
      </c>
      <c r="C136" s="16" t="n"/>
      <c r="D136" s="17">
        <f>IF($C136="","",IFERROR(INDEX(rngCadetPIDs,MATCH($C136,rngCadetNames,0)),"?"))</f>
        <v/>
      </c>
      <c r="E136" s="16" t="n"/>
      <c r="F136" s="17">
        <f>IF($E136="","",IFERROR(INDEX(rngSM_max,MATCH($E136,rngSM_cat,0)),""))</f>
        <v/>
      </c>
      <c r="G136" s="17">
        <f>IF($E136="","",IFERROR(INDEX(rngSM_mode,MATCH($E136,rngSM_cat,0)),""))</f>
        <v/>
      </c>
      <c r="H136" s="17">
        <f>IF($E136="","",IFERROR(INDEX(rngSM_pass,MATCH($E136,rngSM_cat,0)),""))</f>
        <v/>
      </c>
      <c r="I136" s="16" t="n"/>
      <c r="J136" s="16" t="n"/>
      <c r="K136" s="16" t="n"/>
      <c r="L136" s="18" t="n"/>
      <c r="M136" s="16" t="n"/>
      <c r="N136" s="17">
        <f>IF($C136="","",MAX(_xlfn.MAXIFS(nrSK_Att,nrSK_PID,$D136,nrSK_Cat,$E136,nrSK_Res,"Pass"),_xlfn.MAXIFS(nrSK_Att,nrSK_PID,$D136,nrSK_Cat,$E136,nrSK_Res,"Fail")))</f>
        <v/>
      </c>
      <c r="O136" s="17">
        <f>IF($C136="","",IF(AND(MAX(_xlfn.MAXIFS(nrSK_Att,nrSK_PID,$D136,nrSK_Cat,$E136,nrSK_Res,"Pass"),_xlfn.MAXIFS(nrSK_Att,nrSK_PID,$D136,nrSK_Cat,$E136,nrSK_Res,"Fail"))&gt;0,N($I136)&lt;MAX(_xlfn.MAXIFS(nrSK_Att,nrSK_PID,$D136,nrSK_Cat,$E136,nrSK_Res,"Pass"),_xlfn.MAXIFS(nrSK_Att,nrSK_PID,$D136,nrSK_Cat,$E136,nrSK_Res,"Fail"))),"(superseded)",IF(OR($J136="",$J136="Pending"),"Pending",IF($J136="Pass","Qualified",IF(AND($J136="Fail",$N136&gt;=$F136),"FAILED OUT","Needs Remediation")))))</f>
        <v/>
      </c>
      <c r="P136" s="17">
        <f>IF($C136="","",IF($O136="FAILED OUT","Yes","No"))</f>
        <v/>
      </c>
      <c r="Q136" s="16" t="n"/>
      <c r="R136" s="16" t="n"/>
      <c r="S136" s="17">
        <f>IF($C136="","",IF(AND($K136&lt;&gt;"",NOT(ISNUMBER($K136))),"SCORE NOT A NUMBER",IF(AND(ISNUMBER($K136),OR($K136&lt;0,$K136&gt;100)),"SCORE OUT OF RANGE - this score counts toward nothing",IF(AND($G136="Score",$K136="",$J136&lt;&gt;"",$J136&lt;&gt;"Pending"),"RESULT WITHOUT A SCORE",IF(AND($G136="Pass/Fail",$K136&lt;&gt;""),"SCORE ON A PASS-FAIL CATEGORY - it is ignored",IF(AND($E136="Firearms",$J136&lt;&gt;"",$J136&lt;&gt;"Pending",$R136=""),"FIREARMS ROW WITH NO COURSE OF FIRE","OK"))))))</f>
        <v/>
      </c>
    </row>
    <row r="137">
      <c r="B137" s="17">
        <f>IF($C137="","",$D137&amp;"-"&amp;$E137&amp;"-"&amp;$I137)</f>
        <v/>
      </c>
      <c r="C137" s="16" t="n"/>
      <c r="D137" s="17">
        <f>IF($C137="","",IFERROR(INDEX(rngCadetPIDs,MATCH($C137,rngCadetNames,0)),"?"))</f>
        <v/>
      </c>
      <c r="E137" s="16" t="n"/>
      <c r="F137" s="17">
        <f>IF($E137="","",IFERROR(INDEX(rngSM_max,MATCH($E137,rngSM_cat,0)),""))</f>
        <v/>
      </c>
      <c r="G137" s="17">
        <f>IF($E137="","",IFERROR(INDEX(rngSM_mode,MATCH($E137,rngSM_cat,0)),""))</f>
        <v/>
      </c>
      <c r="H137" s="17">
        <f>IF($E137="","",IFERROR(INDEX(rngSM_pass,MATCH($E137,rngSM_cat,0)),""))</f>
        <v/>
      </c>
      <c r="I137" s="16" t="n"/>
      <c r="J137" s="16" t="n"/>
      <c r="K137" s="16" t="n"/>
      <c r="L137" s="18" t="n"/>
      <c r="M137" s="16" t="n"/>
      <c r="N137" s="17">
        <f>IF($C137="","",MAX(_xlfn.MAXIFS(nrSK_Att,nrSK_PID,$D137,nrSK_Cat,$E137,nrSK_Res,"Pass"),_xlfn.MAXIFS(nrSK_Att,nrSK_PID,$D137,nrSK_Cat,$E137,nrSK_Res,"Fail")))</f>
        <v/>
      </c>
      <c r="O137" s="17">
        <f>IF($C137="","",IF(AND(MAX(_xlfn.MAXIFS(nrSK_Att,nrSK_PID,$D137,nrSK_Cat,$E137,nrSK_Res,"Pass"),_xlfn.MAXIFS(nrSK_Att,nrSK_PID,$D137,nrSK_Cat,$E137,nrSK_Res,"Fail"))&gt;0,N($I137)&lt;MAX(_xlfn.MAXIFS(nrSK_Att,nrSK_PID,$D137,nrSK_Cat,$E137,nrSK_Res,"Pass"),_xlfn.MAXIFS(nrSK_Att,nrSK_PID,$D137,nrSK_Cat,$E137,nrSK_Res,"Fail"))),"(superseded)",IF(OR($J137="",$J137="Pending"),"Pending",IF($J137="Pass","Qualified",IF(AND($J137="Fail",$N137&gt;=$F137),"FAILED OUT","Needs Remediation")))))</f>
        <v/>
      </c>
      <c r="P137" s="17">
        <f>IF($C137="","",IF($O137="FAILED OUT","Yes","No"))</f>
        <v/>
      </c>
      <c r="Q137" s="16" t="n"/>
      <c r="R137" s="16" t="n"/>
      <c r="S137" s="17">
        <f>IF($C137="","",IF(AND($K137&lt;&gt;"",NOT(ISNUMBER($K137))),"SCORE NOT A NUMBER",IF(AND(ISNUMBER($K137),OR($K137&lt;0,$K137&gt;100)),"SCORE OUT OF RANGE - this score counts toward nothing",IF(AND($G137="Score",$K137="",$J137&lt;&gt;"",$J137&lt;&gt;"Pending"),"RESULT WITHOUT A SCORE",IF(AND($G137="Pass/Fail",$K137&lt;&gt;""),"SCORE ON A PASS-FAIL CATEGORY - it is ignored",IF(AND($E137="Firearms",$J137&lt;&gt;"",$J137&lt;&gt;"Pending",$R137=""),"FIREARMS ROW WITH NO COURSE OF FIRE","OK"))))))</f>
        <v/>
      </c>
    </row>
    <row r="138">
      <c r="B138" s="17">
        <f>IF($C138="","",$D138&amp;"-"&amp;$E138&amp;"-"&amp;$I138)</f>
        <v/>
      </c>
      <c r="C138" s="16" t="n"/>
      <c r="D138" s="17">
        <f>IF($C138="","",IFERROR(INDEX(rngCadetPIDs,MATCH($C138,rngCadetNames,0)),"?"))</f>
        <v/>
      </c>
      <c r="E138" s="16" t="n"/>
      <c r="F138" s="17">
        <f>IF($E138="","",IFERROR(INDEX(rngSM_max,MATCH($E138,rngSM_cat,0)),""))</f>
        <v/>
      </c>
      <c r="G138" s="17">
        <f>IF($E138="","",IFERROR(INDEX(rngSM_mode,MATCH($E138,rngSM_cat,0)),""))</f>
        <v/>
      </c>
      <c r="H138" s="17">
        <f>IF($E138="","",IFERROR(INDEX(rngSM_pass,MATCH($E138,rngSM_cat,0)),""))</f>
        <v/>
      </c>
      <c r="I138" s="16" t="n"/>
      <c r="J138" s="16" t="n"/>
      <c r="K138" s="16" t="n"/>
      <c r="L138" s="18" t="n"/>
      <c r="M138" s="16" t="n"/>
      <c r="N138" s="17">
        <f>IF($C138="","",MAX(_xlfn.MAXIFS(nrSK_Att,nrSK_PID,$D138,nrSK_Cat,$E138,nrSK_Res,"Pass"),_xlfn.MAXIFS(nrSK_Att,nrSK_PID,$D138,nrSK_Cat,$E138,nrSK_Res,"Fail")))</f>
        <v/>
      </c>
      <c r="O138" s="17">
        <f>IF($C138="","",IF(AND(MAX(_xlfn.MAXIFS(nrSK_Att,nrSK_PID,$D138,nrSK_Cat,$E138,nrSK_Res,"Pass"),_xlfn.MAXIFS(nrSK_Att,nrSK_PID,$D138,nrSK_Cat,$E138,nrSK_Res,"Fail"))&gt;0,N($I138)&lt;MAX(_xlfn.MAXIFS(nrSK_Att,nrSK_PID,$D138,nrSK_Cat,$E138,nrSK_Res,"Pass"),_xlfn.MAXIFS(nrSK_Att,nrSK_PID,$D138,nrSK_Cat,$E138,nrSK_Res,"Fail"))),"(superseded)",IF(OR($J138="",$J138="Pending"),"Pending",IF($J138="Pass","Qualified",IF(AND($J138="Fail",$N138&gt;=$F138),"FAILED OUT","Needs Remediation")))))</f>
        <v/>
      </c>
      <c r="P138" s="17">
        <f>IF($C138="","",IF($O138="FAILED OUT","Yes","No"))</f>
        <v/>
      </c>
      <c r="Q138" s="16" t="n"/>
      <c r="R138" s="16" t="n"/>
      <c r="S138" s="17">
        <f>IF($C138="","",IF(AND($K138&lt;&gt;"",NOT(ISNUMBER($K138))),"SCORE NOT A NUMBER",IF(AND(ISNUMBER($K138),OR($K138&lt;0,$K138&gt;100)),"SCORE OUT OF RANGE - this score counts toward nothing",IF(AND($G138="Score",$K138="",$J138&lt;&gt;"",$J138&lt;&gt;"Pending"),"RESULT WITHOUT A SCORE",IF(AND($G138="Pass/Fail",$K138&lt;&gt;""),"SCORE ON A PASS-FAIL CATEGORY - it is ignored",IF(AND($E138="Firearms",$J138&lt;&gt;"",$J138&lt;&gt;"Pending",$R138=""),"FIREARMS ROW WITH NO COURSE OF FIRE","OK"))))))</f>
        <v/>
      </c>
    </row>
    <row r="139">
      <c r="B139" s="17">
        <f>IF($C139="","",$D139&amp;"-"&amp;$E139&amp;"-"&amp;$I139)</f>
        <v/>
      </c>
      <c r="C139" s="16" t="n"/>
      <c r="D139" s="17">
        <f>IF($C139="","",IFERROR(INDEX(rngCadetPIDs,MATCH($C139,rngCadetNames,0)),"?"))</f>
        <v/>
      </c>
      <c r="E139" s="16" t="n"/>
      <c r="F139" s="17">
        <f>IF($E139="","",IFERROR(INDEX(rngSM_max,MATCH($E139,rngSM_cat,0)),""))</f>
        <v/>
      </c>
      <c r="G139" s="17">
        <f>IF($E139="","",IFERROR(INDEX(rngSM_mode,MATCH($E139,rngSM_cat,0)),""))</f>
        <v/>
      </c>
      <c r="H139" s="17">
        <f>IF($E139="","",IFERROR(INDEX(rngSM_pass,MATCH($E139,rngSM_cat,0)),""))</f>
        <v/>
      </c>
      <c r="I139" s="16" t="n"/>
      <c r="J139" s="16" t="n"/>
      <c r="K139" s="16" t="n"/>
      <c r="L139" s="18" t="n"/>
      <c r="M139" s="16" t="n"/>
      <c r="N139" s="17">
        <f>IF($C139="","",MAX(_xlfn.MAXIFS(nrSK_Att,nrSK_PID,$D139,nrSK_Cat,$E139,nrSK_Res,"Pass"),_xlfn.MAXIFS(nrSK_Att,nrSK_PID,$D139,nrSK_Cat,$E139,nrSK_Res,"Fail")))</f>
        <v/>
      </c>
      <c r="O139" s="17">
        <f>IF($C139="","",IF(AND(MAX(_xlfn.MAXIFS(nrSK_Att,nrSK_PID,$D139,nrSK_Cat,$E139,nrSK_Res,"Pass"),_xlfn.MAXIFS(nrSK_Att,nrSK_PID,$D139,nrSK_Cat,$E139,nrSK_Res,"Fail"))&gt;0,N($I139)&lt;MAX(_xlfn.MAXIFS(nrSK_Att,nrSK_PID,$D139,nrSK_Cat,$E139,nrSK_Res,"Pass"),_xlfn.MAXIFS(nrSK_Att,nrSK_PID,$D139,nrSK_Cat,$E139,nrSK_Res,"Fail"))),"(superseded)",IF(OR($J139="",$J139="Pending"),"Pending",IF($J139="Pass","Qualified",IF(AND($J139="Fail",$N139&gt;=$F139),"FAILED OUT","Needs Remediation")))))</f>
        <v/>
      </c>
      <c r="P139" s="17">
        <f>IF($C139="","",IF($O139="FAILED OUT","Yes","No"))</f>
        <v/>
      </c>
      <c r="Q139" s="16" t="n"/>
      <c r="R139" s="16" t="n"/>
      <c r="S139" s="17">
        <f>IF($C139="","",IF(AND($K139&lt;&gt;"",NOT(ISNUMBER($K139))),"SCORE NOT A NUMBER",IF(AND(ISNUMBER($K139),OR($K139&lt;0,$K139&gt;100)),"SCORE OUT OF RANGE - this score counts toward nothing",IF(AND($G139="Score",$K139="",$J139&lt;&gt;"",$J139&lt;&gt;"Pending"),"RESULT WITHOUT A SCORE",IF(AND($G139="Pass/Fail",$K139&lt;&gt;""),"SCORE ON A PASS-FAIL CATEGORY - it is ignored",IF(AND($E139="Firearms",$J139&lt;&gt;"",$J139&lt;&gt;"Pending",$R139=""),"FIREARMS ROW WITH NO COURSE OF FIRE","OK"))))))</f>
        <v/>
      </c>
    </row>
    <row r="140">
      <c r="B140" s="17">
        <f>IF($C140="","",$D140&amp;"-"&amp;$E140&amp;"-"&amp;$I140)</f>
        <v/>
      </c>
      <c r="C140" s="16" t="n"/>
      <c r="D140" s="17">
        <f>IF($C140="","",IFERROR(INDEX(rngCadetPIDs,MATCH($C140,rngCadetNames,0)),"?"))</f>
        <v/>
      </c>
      <c r="E140" s="16" t="n"/>
      <c r="F140" s="17">
        <f>IF($E140="","",IFERROR(INDEX(rngSM_max,MATCH($E140,rngSM_cat,0)),""))</f>
        <v/>
      </c>
      <c r="G140" s="17">
        <f>IF($E140="","",IFERROR(INDEX(rngSM_mode,MATCH($E140,rngSM_cat,0)),""))</f>
        <v/>
      </c>
      <c r="H140" s="17">
        <f>IF($E140="","",IFERROR(INDEX(rngSM_pass,MATCH($E140,rngSM_cat,0)),""))</f>
        <v/>
      </c>
      <c r="I140" s="16" t="n"/>
      <c r="J140" s="16" t="n"/>
      <c r="K140" s="16" t="n"/>
      <c r="L140" s="18" t="n"/>
      <c r="M140" s="16" t="n"/>
      <c r="N140" s="17">
        <f>IF($C140="","",MAX(_xlfn.MAXIFS(nrSK_Att,nrSK_PID,$D140,nrSK_Cat,$E140,nrSK_Res,"Pass"),_xlfn.MAXIFS(nrSK_Att,nrSK_PID,$D140,nrSK_Cat,$E140,nrSK_Res,"Fail")))</f>
        <v/>
      </c>
      <c r="O140" s="17">
        <f>IF($C140="","",IF(AND(MAX(_xlfn.MAXIFS(nrSK_Att,nrSK_PID,$D140,nrSK_Cat,$E140,nrSK_Res,"Pass"),_xlfn.MAXIFS(nrSK_Att,nrSK_PID,$D140,nrSK_Cat,$E140,nrSK_Res,"Fail"))&gt;0,N($I140)&lt;MAX(_xlfn.MAXIFS(nrSK_Att,nrSK_PID,$D140,nrSK_Cat,$E140,nrSK_Res,"Pass"),_xlfn.MAXIFS(nrSK_Att,nrSK_PID,$D140,nrSK_Cat,$E140,nrSK_Res,"Fail"))),"(superseded)",IF(OR($J140="",$J140="Pending"),"Pending",IF($J140="Pass","Qualified",IF(AND($J140="Fail",$N140&gt;=$F140),"FAILED OUT","Needs Remediation")))))</f>
        <v/>
      </c>
      <c r="P140" s="17">
        <f>IF($C140="","",IF($O140="FAILED OUT","Yes","No"))</f>
        <v/>
      </c>
      <c r="Q140" s="16" t="n"/>
      <c r="R140" s="16" t="n"/>
      <c r="S140" s="17">
        <f>IF($C140="","",IF(AND($K140&lt;&gt;"",NOT(ISNUMBER($K140))),"SCORE NOT A NUMBER",IF(AND(ISNUMBER($K140),OR($K140&lt;0,$K140&gt;100)),"SCORE OUT OF RANGE - this score counts toward nothing",IF(AND($G140="Score",$K140="",$J140&lt;&gt;"",$J140&lt;&gt;"Pending"),"RESULT WITHOUT A SCORE",IF(AND($G140="Pass/Fail",$K140&lt;&gt;""),"SCORE ON A PASS-FAIL CATEGORY - it is ignored",IF(AND($E140="Firearms",$J140&lt;&gt;"",$J140&lt;&gt;"Pending",$R140=""),"FIREARMS ROW WITH NO COURSE OF FIRE","OK"))))))</f>
        <v/>
      </c>
    </row>
    <row r="141">
      <c r="B141" s="17">
        <f>IF($C141="","",$D141&amp;"-"&amp;$E141&amp;"-"&amp;$I141)</f>
        <v/>
      </c>
      <c r="C141" s="16" t="n"/>
      <c r="D141" s="17">
        <f>IF($C141="","",IFERROR(INDEX(rngCadetPIDs,MATCH($C141,rngCadetNames,0)),"?"))</f>
        <v/>
      </c>
      <c r="E141" s="16" t="n"/>
      <c r="F141" s="17">
        <f>IF($E141="","",IFERROR(INDEX(rngSM_max,MATCH($E141,rngSM_cat,0)),""))</f>
        <v/>
      </c>
      <c r="G141" s="17">
        <f>IF($E141="","",IFERROR(INDEX(rngSM_mode,MATCH($E141,rngSM_cat,0)),""))</f>
        <v/>
      </c>
      <c r="H141" s="17">
        <f>IF($E141="","",IFERROR(INDEX(rngSM_pass,MATCH($E141,rngSM_cat,0)),""))</f>
        <v/>
      </c>
      <c r="I141" s="16" t="n"/>
      <c r="J141" s="16" t="n"/>
      <c r="K141" s="16" t="n"/>
      <c r="L141" s="18" t="n"/>
      <c r="M141" s="16" t="n"/>
      <c r="N141" s="17">
        <f>IF($C141="","",MAX(_xlfn.MAXIFS(nrSK_Att,nrSK_PID,$D141,nrSK_Cat,$E141,nrSK_Res,"Pass"),_xlfn.MAXIFS(nrSK_Att,nrSK_PID,$D141,nrSK_Cat,$E141,nrSK_Res,"Fail")))</f>
        <v/>
      </c>
      <c r="O141" s="17">
        <f>IF($C141="","",IF(AND(MAX(_xlfn.MAXIFS(nrSK_Att,nrSK_PID,$D141,nrSK_Cat,$E141,nrSK_Res,"Pass"),_xlfn.MAXIFS(nrSK_Att,nrSK_PID,$D141,nrSK_Cat,$E141,nrSK_Res,"Fail"))&gt;0,N($I141)&lt;MAX(_xlfn.MAXIFS(nrSK_Att,nrSK_PID,$D141,nrSK_Cat,$E141,nrSK_Res,"Pass"),_xlfn.MAXIFS(nrSK_Att,nrSK_PID,$D141,nrSK_Cat,$E141,nrSK_Res,"Fail"))),"(superseded)",IF(OR($J141="",$J141="Pending"),"Pending",IF($J141="Pass","Qualified",IF(AND($J141="Fail",$N141&gt;=$F141),"FAILED OUT","Needs Remediation")))))</f>
        <v/>
      </c>
      <c r="P141" s="17">
        <f>IF($C141="","",IF($O141="FAILED OUT","Yes","No"))</f>
        <v/>
      </c>
      <c r="Q141" s="16" t="n"/>
      <c r="R141" s="16" t="n"/>
      <c r="S141" s="17">
        <f>IF($C141="","",IF(AND($K141&lt;&gt;"",NOT(ISNUMBER($K141))),"SCORE NOT A NUMBER",IF(AND(ISNUMBER($K141),OR($K141&lt;0,$K141&gt;100)),"SCORE OUT OF RANGE - this score counts toward nothing",IF(AND($G141="Score",$K141="",$J141&lt;&gt;"",$J141&lt;&gt;"Pending"),"RESULT WITHOUT A SCORE",IF(AND($G141="Pass/Fail",$K141&lt;&gt;""),"SCORE ON A PASS-FAIL CATEGORY - it is ignored",IF(AND($E141="Firearms",$J141&lt;&gt;"",$J141&lt;&gt;"Pending",$R141=""),"FIREARMS ROW WITH NO COURSE OF FIRE","OK"))))))</f>
        <v/>
      </c>
    </row>
    <row r="142">
      <c r="B142" s="17">
        <f>IF($C142="","",$D142&amp;"-"&amp;$E142&amp;"-"&amp;$I142)</f>
        <v/>
      </c>
      <c r="C142" s="16" t="n"/>
      <c r="D142" s="17">
        <f>IF($C142="","",IFERROR(INDEX(rngCadetPIDs,MATCH($C142,rngCadetNames,0)),"?"))</f>
        <v/>
      </c>
      <c r="E142" s="16" t="n"/>
      <c r="F142" s="17">
        <f>IF($E142="","",IFERROR(INDEX(rngSM_max,MATCH($E142,rngSM_cat,0)),""))</f>
        <v/>
      </c>
      <c r="G142" s="17">
        <f>IF($E142="","",IFERROR(INDEX(rngSM_mode,MATCH($E142,rngSM_cat,0)),""))</f>
        <v/>
      </c>
      <c r="H142" s="17">
        <f>IF($E142="","",IFERROR(INDEX(rngSM_pass,MATCH($E142,rngSM_cat,0)),""))</f>
        <v/>
      </c>
      <c r="I142" s="16" t="n"/>
      <c r="J142" s="16" t="n"/>
      <c r="K142" s="16" t="n"/>
      <c r="L142" s="18" t="n"/>
      <c r="M142" s="16" t="n"/>
      <c r="N142" s="17">
        <f>IF($C142="","",MAX(_xlfn.MAXIFS(nrSK_Att,nrSK_PID,$D142,nrSK_Cat,$E142,nrSK_Res,"Pass"),_xlfn.MAXIFS(nrSK_Att,nrSK_PID,$D142,nrSK_Cat,$E142,nrSK_Res,"Fail")))</f>
        <v/>
      </c>
      <c r="O142" s="17">
        <f>IF($C142="","",IF(AND(MAX(_xlfn.MAXIFS(nrSK_Att,nrSK_PID,$D142,nrSK_Cat,$E142,nrSK_Res,"Pass"),_xlfn.MAXIFS(nrSK_Att,nrSK_PID,$D142,nrSK_Cat,$E142,nrSK_Res,"Fail"))&gt;0,N($I142)&lt;MAX(_xlfn.MAXIFS(nrSK_Att,nrSK_PID,$D142,nrSK_Cat,$E142,nrSK_Res,"Pass"),_xlfn.MAXIFS(nrSK_Att,nrSK_PID,$D142,nrSK_Cat,$E142,nrSK_Res,"Fail"))),"(superseded)",IF(OR($J142="",$J142="Pending"),"Pending",IF($J142="Pass","Qualified",IF(AND($J142="Fail",$N142&gt;=$F142),"FAILED OUT","Needs Remediation")))))</f>
        <v/>
      </c>
      <c r="P142" s="17">
        <f>IF($C142="","",IF($O142="FAILED OUT","Yes","No"))</f>
        <v/>
      </c>
      <c r="Q142" s="16" t="n"/>
      <c r="R142" s="16" t="n"/>
      <c r="S142" s="17">
        <f>IF($C142="","",IF(AND($K142&lt;&gt;"",NOT(ISNUMBER($K142))),"SCORE NOT A NUMBER",IF(AND(ISNUMBER($K142),OR($K142&lt;0,$K142&gt;100)),"SCORE OUT OF RANGE - this score counts toward nothing",IF(AND($G142="Score",$K142="",$J142&lt;&gt;"",$J142&lt;&gt;"Pending"),"RESULT WITHOUT A SCORE",IF(AND($G142="Pass/Fail",$K142&lt;&gt;""),"SCORE ON A PASS-FAIL CATEGORY - it is ignored",IF(AND($E142="Firearms",$J142&lt;&gt;"",$J142&lt;&gt;"Pending",$R142=""),"FIREARMS ROW WITH NO COURSE OF FIRE","OK"))))))</f>
        <v/>
      </c>
    </row>
    <row r="143">
      <c r="B143" s="17">
        <f>IF($C143="","",$D143&amp;"-"&amp;$E143&amp;"-"&amp;$I143)</f>
        <v/>
      </c>
      <c r="C143" s="16" t="n"/>
      <c r="D143" s="17">
        <f>IF($C143="","",IFERROR(INDEX(rngCadetPIDs,MATCH($C143,rngCadetNames,0)),"?"))</f>
        <v/>
      </c>
      <c r="E143" s="16" t="n"/>
      <c r="F143" s="17">
        <f>IF($E143="","",IFERROR(INDEX(rngSM_max,MATCH($E143,rngSM_cat,0)),""))</f>
        <v/>
      </c>
      <c r="G143" s="17">
        <f>IF($E143="","",IFERROR(INDEX(rngSM_mode,MATCH($E143,rngSM_cat,0)),""))</f>
        <v/>
      </c>
      <c r="H143" s="17">
        <f>IF($E143="","",IFERROR(INDEX(rngSM_pass,MATCH($E143,rngSM_cat,0)),""))</f>
        <v/>
      </c>
      <c r="I143" s="16" t="n"/>
      <c r="J143" s="16" t="n"/>
      <c r="K143" s="16" t="n"/>
      <c r="L143" s="18" t="n"/>
      <c r="M143" s="16" t="n"/>
      <c r="N143" s="17">
        <f>IF($C143="","",MAX(_xlfn.MAXIFS(nrSK_Att,nrSK_PID,$D143,nrSK_Cat,$E143,nrSK_Res,"Pass"),_xlfn.MAXIFS(nrSK_Att,nrSK_PID,$D143,nrSK_Cat,$E143,nrSK_Res,"Fail")))</f>
        <v/>
      </c>
      <c r="O143" s="17">
        <f>IF($C143="","",IF(AND(MAX(_xlfn.MAXIFS(nrSK_Att,nrSK_PID,$D143,nrSK_Cat,$E143,nrSK_Res,"Pass"),_xlfn.MAXIFS(nrSK_Att,nrSK_PID,$D143,nrSK_Cat,$E143,nrSK_Res,"Fail"))&gt;0,N($I143)&lt;MAX(_xlfn.MAXIFS(nrSK_Att,nrSK_PID,$D143,nrSK_Cat,$E143,nrSK_Res,"Pass"),_xlfn.MAXIFS(nrSK_Att,nrSK_PID,$D143,nrSK_Cat,$E143,nrSK_Res,"Fail"))),"(superseded)",IF(OR($J143="",$J143="Pending"),"Pending",IF($J143="Pass","Qualified",IF(AND($J143="Fail",$N143&gt;=$F143),"FAILED OUT","Needs Remediation")))))</f>
        <v/>
      </c>
      <c r="P143" s="17">
        <f>IF($C143="","",IF($O143="FAILED OUT","Yes","No"))</f>
        <v/>
      </c>
      <c r="Q143" s="16" t="n"/>
      <c r="R143" s="16" t="n"/>
      <c r="S143" s="17">
        <f>IF($C143="","",IF(AND($K143&lt;&gt;"",NOT(ISNUMBER($K143))),"SCORE NOT A NUMBER",IF(AND(ISNUMBER($K143),OR($K143&lt;0,$K143&gt;100)),"SCORE OUT OF RANGE - this score counts toward nothing",IF(AND($G143="Score",$K143="",$J143&lt;&gt;"",$J143&lt;&gt;"Pending"),"RESULT WITHOUT A SCORE",IF(AND($G143="Pass/Fail",$K143&lt;&gt;""),"SCORE ON A PASS-FAIL CATEGORY - it is ignored",IF(AND($E143="Firearms",$J143&lt;&gt;"",$J143&lt;&gt;"Pending",$R143=""),"FIREARMS ROW WITH NO COURSE OF FIRE","OK"))))))</f>
        <v/>
      </c>
    </row>
    <row r="144">
      <c r="B144" s="17">
        <f>IF($C144="","",$D144&amp;"-"&amp;$E144&amp;"-"&amp;$I144)</f>
        <v/>
      </c>
      <c r="C144" s="16" t="n"/>
      <c r="D144" s="17">
        <f>IF($C144="","",IFERROR(INDEX(rngCadetPIDs,MATCH($C144,rngCadetNames,0)),"?"))</f>
        <v/>
      </c>
      <c r="E144" s="16" t="n"/>
      <c r="F144" s="17">
        <f>IF($E144="","",IFERROR(INDEX(rngSM_max,MATCH($E144,rngSM_cat,0)),""))</f>
        <v/>
      </c>
      <c r="G144" s="17">
        <f>IF($E144="","",IFERROR(INDEX(rngSM_mode,MATCH($E144,rngSM_cat,0)),""))</f>
        <v/>
      </c>
      <c r="H144" s="17">
        <f>IF($E144="","",IFERROR(INDEX(rngSM_pass,MATCH($E144,rngSM_cat,0)),""))</f>
        <v/>
      </c>
      <c r="I144" s="16" t="n"/>
      <c r="J144" s="16" t="n"/>
      <c r="K144" s="16" t="n"/>
      <c r="L144" s="18" t="n"/>
      <c r="M144" s="16" t="n"/>
      <c r="N144" s="17">
        <f>IF($C144="","",MAX(_xlfn.MAXIFS(nrSK_Att,nrSK_PID,$D144,nrSK_Cat,$E144,nrSK_Res,"Pass"),_xlfn.MAXIFS(nrSK_Att,nrSK_PID,$D144,nrSK_Cat,$E144,nrSK_Res,"Fail")))</f>
        <v/>
      </c>
      <c r="O144" s="17">
        <f>IF($C144="","",IF(AND(MAX(_xlfn.MAXIFS(nrSK_Att,nrSK_PID,$D144,nrSK_Cat,$E144,nrSK_Res,"Pass"),_xlfn.MAXIFS(nrSK_Att,nrSK_PID,$D144,nrSK_Cat,$E144,nrSK_Res,"Fail"))&gt;0,N($I144)&lt;MAX(_xlfn.MAXIFS(nrSK_Att,nrSK_PID,$D144,nrSK_Cat,$E144,nrSK_Res,"Pass"),_xlfn.MAXIFS(nrSK_Att,nrSK_PID,$D144,nrSK_Cat,$E144,nrSK_Res,"Fail"))),"(superseded)",IF(OR($J144="",$J144="Pending"),"Pending",IF($J144="Pass","Qualified",IF(AND($J144="Fail",$N144&gt;=$F144),"FAILED OUT","Needs Remediation")))))</f>
        <v/>
      </c>
      <c r="P144" s="17">
        <f>IF($C144="","",IF($O144="FAILED OUT","Yes","No"))</f>
        <v/>
      </c>
      <c r="Q144" s="16" t="n"/>
      <c r="R144" s="16" t="n"/>
      <c r="S144" s="17">
        <f>IF($C144="","",IF(AND($K144&lt;&gt;"",NOT(ISNUMBER($K144))),"SCORE NOT A NUMBER",IF(AND(ISNUMBER($K144),OR($K144&lt;0,$K144&gt;100)),"SCORE OUT OF RANGE - this score counts toward nothing",IF(AND($G144="Score",$K144="",$J144&lt;&gt;"",$J144&lt;&gt;"Pending"),"RESULT WITHOUT A SCORE",IF(AND($G144="Pass/Fail",$K144&lt;&gt;""),"SCORE ON A PASS-FAIL CATEGORY - it is ignored",IF(AND($E144="Firearms",$J144&lt;&gt;"",$J144&lt;&gt;"Pending",$R144=""),"FIREARMS ROW WITH NO COURSE OF FIRE","OK"))))))</f>
        <v/>
      </c>
    </row>
    <row r="145">
      <c r="B145" s="17">
        <f>IF($C145="","",$D145&amp;"-"&amp;$E145&amp;"-"&amp;$I145)</f>
        <v/>
      </c>
      <c r="C145" s="16" t="n"/>
      <c r="D145" s="17">
        <f>IF($C145="","",IFERROR(INDEX(rngCadetPIDs,MATCH($C145,rngCadetNames,0)),"?"))</f>
        <v/>
      </c>
      <c r="E145" s="16" t="n"/>
      <c r="F145" s="17">
        <f>IF($E145="","",IFERROR(INDEX(rngSM_max,MATCH($E145,rngSM_cat,0)),""))</f>
        <v/>
      </c>
      <c r="G145" s="17">
        <f>IF($E145="","",IFERROR(INDEX(rngSM_mode,MATCH($E145,rngSM_cat,0)),""))</f>
        <v/>
      </c>
      <c r="H145" s="17">
        <f>IF($E145="","",IFERROR(INDEX(rngSM_pass,MATCH($E145,rngSM_cat,0)),""))</f>
        <v/>
      </c>
      <c r="I145" s="16" t="n"/>
      <c r="J145" s="16" t="n"/>
      <c r="K145" s="16" t="n"/>
      <c r="L145" s="18" t="n"/>
      <c r="M145" s="16" t="n"/>
      <c r="N145" s="17">
        <f>IF($C145="","",MAX(_xlfn.MAXIFS(nrSK_Att,nrSK_PID,$D145,nrSK_Cat,$E145,nrSK_Res,"Pass"),_xlfn.MAXIFS(nrSK_Att,nrSK_PID,$D145,nrSK_Cat,$E145,nrSK_Res,"Fail")))</f>
        <v/>
      </c>
      <c r="O145" s="17">
        <f>IF($C145="","",IF(AND(MAX(_xlfn.MAXIFS(nrSK_Att,nrSK_PID,$D145,nrSK_Cat,$E145,nrSK_Res,"Pass"),_xlfn.MAXIFS(nrSK_Att,nrSK_PID,$D145,nrSK_Cat,$E145,nrSK_Res,"Fail"))&gt;0,N($I145)&lt;MAX(_xlfn.MAXIFS(nrSK_Att,nrSK_PID,$D145,nrSK_Cat,$E145,nrSK_Res,"Pass"),_xlfn.MAXIFS(nrSK_Att,nrSK_PID,$D145,nrSK_Cat,$E145,nrSK_Res,"Fail"))),"(superseded)",IF(OR($J145="",$J145="Pending"),"Pending",IF($J145="Pass","Qualified",IF(AND($J145="Fail",$N145&gt;=$F145),"FAILED OUT","Needs Remediation")))))</f>
        <v/>
      </c>
      <c r="P145" s="17">
        <f>IF($C145="","",IF($O145="FAILED OUT","Yes","No"))</f>
        <v/>
      </c>
      <c r="Q145" s="16" t="n"/>
      <c r="R145" s="16" t="n"/>
      <c r="S145" s="17">
        <f>IF($C145="","",IF(AND($K145&lt;&gt;"",NOT(ISNUMBER($K145))),"SCORE NOT A NUMBER",IF(AND(ISNUMBER($K145),OR($K145&lt;0,$K145&gt;100)),"SCORE OUT OF RANGE - this score counts toward nothing",IF(AND($G145="Score",$K145="",$J145&lt;&gt;"",$J145&lt;&gt;"Pending"),"RESULT WITHOUT A SCORE",IF(AND($G145="Pass/Fail",$K145&lt;&gt;""),"SCORE ON A PASS-FAIL CATEGORY - it is ignored",IF(AND($E145="Firearms",$J145&lt;&gt;"",$J145&lt;&gt;"Pending",$R145=""),"FIREARMS ROW WITH NO COURSE OF FIRE","OK"))))))</f>
        <v/>
      </c>
    </row>
    <row r="146">
      <c r="B146" s="17">
        <f>IF($C146="","",$D146&amp;"-"&amp;$E146&amp;"-"&amp;$I146)</f>
        <v/>
      </c>
      <c r="C146" s="16" t="n"/>
      <c r="D146" s="17">
        <f>IF($C146="","",IFERROR(INDEX(rngCadetPIDs,MATCH($C146,rngCadetNames,0)),"?"))</f>
        <v/>
      </c>
      <c r="E146" s="16" t="n"/>
      <c r="F146" s="17">
        <f>IF($E146="","",IFERROR(INDEX(rngSM_max,MATCH($E146,rngSM_cat,0)),""))</f>
        <v/>
      </c>
      <c r="G146" s="17">
        <f>IF($E146="","",IFERROR(INDEX(rngSM_mode,MATCH($E146,rngSM_cat,0)),""))</f>
        <v/>
      </c>
      <c r="H146" s="17">
        <f>IF($E146="","",IFERROR(INDEX(rngSM_pass,MATCH($E146,rngSM_cat,0)),""))</f>
        <v/>
      </c>
      <c r="I146" s="16" t="n"/>
      <c r="J146" s="16" t="n"/>
      <c r="K146" s="16" t="n"/>
      <c r="L146" s="18" t="n"/>
      <c r="M146" s="16" t="n"/>
      <c r="N146" s="17">
        <f>IF($C146="","",MAX(_xlfn.MAXIFS(nrSK_Att,nrSK_PID,$D146,nrSK_Cat,$E146,nrSK_Res,"Pass"),_xlfn.MAXIFS(nrSK_Att,nrSK_PID,$D146,nrSK_Cat,$E146,nrSK_Res,"Fail")))</f>
        <v/>
      </c>
      <c r="O146" s="17">
        <f>IF($C146="","",IF(AND(MAX(_xlfn.MAXIFS(nrSK_Att,nrSK_PID,$D146,nrSK_Cat,$E146,nrSK_Res,"Pass"),_xlfn.MAXIFS(nrSK_Att,nrSK_PID,$D146,nrSK_Cat,$E146,nrSK_Res,"Fail"))&gt;0,N($I146)&lt;MAX(_xlfn.MAXIFS(nrSK_Att,nrSK_PID,$D146,nrSK_Cat,$E146,nrSK_Res,"Pass"),_xlfn.MAXIFS(nrSK_Att,nrSK_PID,$D146,nrSK_Cat,$E146,nrSK_Res,"Fail"))),"(superseded)",IF(OR($J146="",$J146="Pending"),"Pending",IF($J146="Pass","Qualified",IF(AND($J146="Fail",$N146&gt;=$F146),"FAILED OUT","Needs Remediation")))))</f>
        <v/>
      </c>
      <c r="P146" s="17">
        <f>IF($C146="","",IF($O146="FAILED OUT","Yes","No"))</f>
        <v/>
      </c>
      <c r="Q146" s="16" t="n"/>
      <c r="R146" s="16" t="n"/>
      <c r="S146" s="17">
        <f>IF($C146="","",IF(AND($K146&lt;&gt;"",NOT(ISNUMBER($K146))),"SCORE NOT A NUMBER",IF(AND(ISNUMBER($K146),OR($K146&lt;0,$K146&gt;100)),"SCORE OUT OF RANGE - this score counts toward nothing",IF(AND($G146="Score",$K146="",$J146&lt;&gt;"",$J146&lt;&gt;"Pending"),"RESULT WITHOUT A SCORE",IF(AND($G146="Pass/Fail",$K146&lt;&gt;""),"SCORE ON A PASS-FAIL CATEGORY - it is ignored",IF(AND($E146="Firearms",$J146&lt;&gt;"",$J146&lt;&gt;"Pending",$R146=""),"FIREARMS ROW WITH NO COURSE OF FIRE","OK"))))))</f>
        <v/>
      </c>
    </row>
    <row r="147">
      <c r="B147" s="17">
        <f>IF($C147="","",$D147&amp;"-"&amp;$E147&amp;"-"&amp;$I147)</f>
        <v/>
      </c>
      <c r="C147" s="16" t="n"/>
      <c r="D147" s="17">
        <f>IF($C147="","",IFERROR(INDEX(rngCadetPIDs,MATCH($C147,rngCadetNames,0)),"?"))</f>
        <v/>
      </c>
      <c r="E147" s="16" t="n"/>
      <c r="F147" s="17">
        <f>IF($E147="","",IFERROR(INDEX(rngSM_max,MATCH($E147,rngSM_cat,0)),""))</f>
        <v/>
      </c>
      <c r="G147" s="17">
        <f>IF($E147="","",IFERROR(INDEX(rngSM_mode,MATCH($E147,rngSM_cat,0)),""))</f>
        <v/>
      </c>
      <c r="H147" s="17">
        <f>IF($E147="","",IFERROR(INDEX(rngSM_pass,MATCH($E147,rngSM_cat,0)),""))</f>
        <v/>
      </c>
      <c r="I147" s="16" t="n"/>
      <c r="J147" s="16" t="n"/>
      <c r="K147" s="16" t="n"/>
      <c r="L147" s="18" t="n"/>
      <c r="M147" s="16" t="n"/>
      <c r="N147" s="17">
        <f>IF($C147="","",MAX(_xlfn.MAXIFS(nrSK_Att,nrSK_PID,$D147,nrSK_Cat,$E147,nrSK_Res,"Pass"),_xlfn.MAXIFS(nrSK_Att,nrSK_PID,$D147,nrSK_Cat,$E147,nrSK_Res,"Fail")))</f>
        <v/>
      </c>
      <c r="O147" s="17">
        <f>IF($C147="","",IF(AND(MAX(_xlfn.MAXIFS(nrSK_Att,nrSK_PID,$D147,nrSK_Cat,$E147,nrSK_Res,"Pass"),_xlfn.MAXIFS(nrSK_Att,nrSK_PID,$D147,nrSK_Cat,$E147,nrSK_Res,"Fail"))&gt;0,N($I147)&lt;MAX(_xlfn.MAXIFS(nrSK_Att,nrSK_PID,$D147,nrSK_Cat,$E147,nrSK_Res,"Pass"),_xlfn.MAXIFS(nrSK_Att,nrSK_PID,$D147,nrSK_Cat,$E147,nrSK_Res,"Fail"))),"(superseded)",IF(OR($J147="",$J147="Pending"),"Pending",IF($J147="Pass","Qualified",IF(AND($J147="Fail",$N147&gt;=$F147),"FAILED OUT","Needs Remediation")))))</f>
        <v/>
      </c>
      <c r="P147" s="17">
        <f>IF($C147="","",IF($O147="FAILED OUT","Yes","No"))</f>
        <v/>
      </c>
      <c r="Q147" s="16" t="n"/>
      <c r="R147" s="16" t="n"/>
      <c r="S147" s="17">
        <f>IF($C147="","",IF(AND($K147&lt;&gt;"",NOT(ISNUMBER($K147))),"SCORE NOT A NUMBER",IF(AND(ISNUMBER($K147),OR($K147&lt;0,$K147&gt;100)),"SCORE OUT OF RANGE - this score counts toward nothing",IF(AND($G147="Score",$K147="",$J147&lt;&gt;"",$J147&lt;&gt;"Pending"),"RESULT WITHOUT A SCORE",IF(AND($G147="Pass/Fail",$K147&lt;&gt;""),"SCORE ON A PASS-FAIL CATEGORY - it is ignored",IF(AND($E147="Firearms",$J147&lt;&gt;"",$J147&lt;&gt;"Pending",$R147=""),"FIREARMS ROW WITH NO COURSE OF FIRE","OK"))))))</f>
        <v/>
      </c>
    </row>
    <row r="148">
      <c r="B148" s="17">
        <f>IF($C148="","",$D148&amp;"-"&amp;$E148&amp;"-"&amp;$I148)</f>
        <v/>
      </c>
      <c r="C148" s="16" t="n"/>
      <c r="D148" s="17">
        <f>IF($C148="","",IFERROR(INDEX(rngCadetPIDs,MATCH($C148,rngCadetNames,0)),"?"))</f>
        <v/>
      </c>
      <c r="E148" s="16" t="n"/>
      <c r="F148" s="17">
        <f>IF($E148="","",IFERROR(INDEX(rngSM_max,MATCH($E148,rngSM_cat,0)),""))</f>
        <v/>
      </c>
      <c r="G148" s="17">
        <f>IF($E148="","",IFERROR(INDEX(rngSM_mode,MATCH($E148,rngSM_cat,0)),""))</f>
        <v/>
      </c>
      <c r="H148" s="17">
        <f>IF($E148="","",IFERROR(INDEX(rngSM_pass,MATCH($E148,rngSM_cat,0)),""))</f>
        <v/>
      </c>
      <c r="I148" s="16" t="n"/>
      <c r="J148" s="16" t="n"/>
      <c r="K148" s="16" t="n"/>
      <c r="L148" s="18" t="n"/>
      <c r="M148" s="16" t="n"/>
      <c r="N148" s="17">
        <f>IF($C148="","",MAX(_xlfn.MAXIFS(nrSK_Att,nrSK_PID,$D148,nrSK_Cat,$E148,nrSK_Res,"Pass"),_xlfn.MAXIFS(nrSK_Att,nrSK_PID,$D148,nrSK_Cat,$E148,nrSK_Res,"Fail")))</f>
        <v/>
      </c>
      <c r="O148" s="17">
        <f>IF($C148="","",IF(AND(MAX(_xlfn.MAXIFS(nrSK_Att,nrSK_PID,$D148,nrSK_Cat,$E148,nrSK_Res,"Pass"),_xlfn.MAXIFS(nrSK_Att,nrSK_PID,$D148,nrSK_Cat,$E148,nrSK_Res,"Fail"))&gt;0,N($I148)&lt;MAX(_xlfn.MAXIFS(nrSK_Att,nrSK_PID,$D148,nrSK_Cat,$E148,nrSK_Res,"Pass"),_xlfn.MAXIFS(nrSK_Att,nrSK_PID,$D148,nrSK_Cat,$E148,nrSK_Res,"Fail"))),"(superseded)",IF(OR($J148="",$J148="Pending"),"Pending",IF($J148="Pass","Qualified",IF(AND($J148="Fail",$N148&gt;=$F148),"FAILED OUT","Needs Remediation")))))</f>
        <v/>
      </c>
      <c r="P148" s="17">
        <f>IF($C148="","",IF($O148="FAILED OUT","Yes","No"))</f>
        <v/>
      </c>
      <c r="Q148" s="16" t="n"/>
      <c r="R148" s="16" t="n"/>
      <c r="S148" s="17">
        <f>IF($C148="","",IF(AND($K148&lt;&gt;"",NOT(ISNUMBER($K148))),"SCORE NOT A NUMBER",IF(AND(ISNUMBER($K148),OR($K148&lt;0,$K148&gt;100)),"SCORE OUT OF RANGE - this score counts toward nothing",IF(AND($G148="Score",$K148="",$J148&lt;&gt;"",$J148&lt;&gt;"Pending"),"RESULT WITHOUT A SCORE",IF(AND($G148="Pass/Fail",$K148&lt;&gt;""),"SCORE ON A PASS-FAIL CATEGORY - it is ignored",IF(AND($E148="Firearms",$J148&lt;&gt;"",$J148&lt;&gt;"Pending",$R148=""),"FIREARMS ROW WITH NO COURSE OF FIRE","OK"))))))</f>
        <v/>
      </c>
    </row>
    <row r="149">
      <c r="B149" s="17">
        <f>IF($C149="","",$D149&amp;"-"&amp;$E149&amp;"-"&amp;$I149)</f>
        <v/>
      </c>
      <c r="C149" s="16" t="n"/>
      <c r="D149" s="17">
        <f>IF($C149="","",IFERROR(INDEX(rngCadetPIDs,MATCH($C149,rngCadetNames,0)),"?"))</f>
        <v/>
      </c>
      <c r="E149" s="16" t="n"/>
      <c r="F149" s="17">
        <f>IF($E149="","",IFERROR(INDEX(rngSM_max,MATCH($E149,rngSM_cat,0)),""))</f>
        <v/>
      </c>
      <c r="G149" s="17">
        <f>IF($E149="","",IFERROR(INDEX(rngSM_mode,MATCH($E149,rngSM_cat,0)),""))</f>
        <v/>
      </c>
      <c r="H149" s="17">
        <f>IF($E149="","",IFERROR(INDEX(rngSM_pass,MATCH($E149,rngSM_cat,0)),""))</f>
        <v/>
      </c>
      <c r="I149" s="16" t="n"/>
      <c r="J149" s="16" t="n"/>
      <c r="K149" s="16" t="n"/>
      <c r="L149" s="18" t="n"/>
      <c r="M149" s="16" t="n"/>
      <c r="N149" s="17">
        <f>IF($C149="","",MAX(_xlfn.MAXIFS(nrSK_Att,nrSK_PID,$D149,nrSK_Cat,$E149,nrSK_Res,"Pass"),_xlfn.MAXIFS(nrSK_Att,nrSK_PID,$D149,nrSK_Cat,$E149,nrSK_Res,"Fail")))</f>
        <v/>
      </c>
      <c r="O149" s="17">
        <f>IF($C149="","",IF(AND(MAX(_xlfn.MAXIFS(nrSK_Att,nrSK_PID,$D149,nrSK_Cat,$E149,nrSK_Res,"Pass"),_xlfn.MAXIFS(nrSK_Att,nrSK_PID,$D149,nrSK_Cat,$E149,nrSK_Res,"Fail"))&gt;0,N($I149)&lt;MAX(_xlfn.MAXIFS(nrSK_Att,nrSK_PID,$D149,nrSK_Cat,$E149,nrSK_Res,"Pass"),_xlfn.MAXIFS(nrSK_Att,nrSK_PID,$D149,nrSK_Cat,$E149,nrSK_Res,"Fail"))),"(superseded)",IF(OR($J149="",$J149="Pending"),"Pending",IF($J149="Pass","Qualified",IF(AND($J149="Fail",$N149&gt;=$F149),"FAILED OUT","Needs Remediation")))))</f>
        <v/>
      </c>
      <c r="P149" s="17">
        <f>IF($C149="","",IF($O149="FAILED OUT","Yes","No"))</f>
        <v/>
      </c>
      <c r="Q149" s="16" t="n"/>
      <c r="R149" s="16" t="n"/>
      <c r="S149" s="17">
        <f>IF($C149="","",IF(AND($K149&lt;&gt;"",NOT(ISNUMBER($K149))),"SCORE NOT A NUMBER",IF(AND(ISNUMBER($K149),OR($K149&lt;0,$K149&gt;100)),"SCORE OUT OF RANGE - this score counts toward nothing",IF(AND($G149="Score",$K149="",$J149&lt;&gt;"",$J149&lt;&gt;"Pending"),"RESULT WITHOUT A SCORE",IF(AND($G149="Pass/Fail",$K149&lt;&gt;""),"SCORE ON A PASS-FAIL CATEGORY - it is ignored",IF(AND($E149="Firearms",$J149&lt;&gt;"",$J149&lt;&gt;"Pending",$R149=""),"FIREARMS ROW WITH NO COURSE OF FIRE","OK"))))))</f>
        <v/>
      </c>
    </row>
    <row r="150">
      <c r="B150" s="17">
        <f>IF($C150="","",$D150&amp;"-"&amp;$E150&amp;"-"&amp;$I150)</f>
        <v/>
      </c>
      <c r="C150" s="16" t="n"/>
      <c r="D150" s="17">
        <f>IF($C150="","",IFERROR(INDEX(rngCadetPIDs,MATCH($C150,rngCadetNames,0)),"?"))</f>
        <v/>
      </c>
      <c r="E150" s="16" t="n"/>
      <c r="F150" s="17">
        <f>IF($E150="","",IFERROR(INDEX(rngSM_max,MATCH($E150,rngSM_cat,0)),""))</f>
        <v/>
      </c>
      <c r="G150" s="17">
        <f>IF($E150="","",IFERROR(INDEX(rngSM_mode,MATCH($E150,rngSM_cat,0)),""))</f>
        <v/>
      </c>
      <c r="H150" s="17">
        <f>IF($E150="","",IFERROR(INDEX(rngSM_pass,MATCH($E150,rngSM_cat,0)),""))</f>
        <v/>
      </c>
      <c r="I150" s="16" t="n"/>
      <c r="J150" s="16" t="n"/>
      <c r="K150" s="16" t="n"/>
      <c r="L150" s="18" t="n"/>
      <c r="M150" s="16" t="n"/>
      <c r="N150" s="17">
        <f>IF($C150="","",MAX(_xlfn.MAXIFS(nrSK_Att,nrSK_PID,$D150,nrSK_Cat,$E150,nrSK_Res,"Pass"),_xlfn.MAXIFS(nrSK_Att,nrSK_PID,$D150,nrSK_Cat,$E150,nrSK_Res,"Fail")))</f>
        <v/>
      </c>
      <c r="O150" s="17">
        <f>IF($C150="","",IF(AND(MAX(_xlfn.MAXIFS(nrSK_Att,nrSK_PID,$D150,nrSK_Cat,$E150,nrSK_Res,"Pass"),_xlfn.MAXIFS(nrSK_Att,nrSK_PID,$D150,nrSK_Cat,$E150,nrSK_Res,"Fail"))&gt;0,N($I150)&lt;MAX(_xlfn.MAXIFS(nrSK_Att,nrSK_PID,$D150,nrSK_Cat,$E150,nrSK_Res,"Pass"),_xlfn.MAXIFS(nrSK_Att,nrSK_PID,$D150,nrSK_Cat,$E150,nrSK_Res,"Fail"))),"(superseded)",IF(OR($J150="",$J150="Pending"),"Pending",IF($J150="Pass","Qualified",IF(AND($J150="Fail",$N150&gt;=$F150),"FAILED OUT","Needs Remediation")))))</f>
        <v/>
      </c>
      <c r="P150" s="17">
        <f>IF($C150="","",IF($O150="FAILED OUT","Yes","No"))</f>
        <v/>
      </c>
      <c r="Q150" s="16" t="n"/>
      <c r="R150" s="16" t="n"/>
      <c r="S150" s="17">
        <f>IF($C150="","",IF(AND($K150&lt;&gt;"",NOT(ISNUMBER($K150))),"SCORE NOT A NUMBER",IF(AND(ISNUMBER($K150),OR($K150&lt;0,$K150&gt;100)),"SCORE OUT OF RANGE - this score counts toward nothing",IF(AND($G150="Score",$K150="",$J150&lt;&gt;"",$J150&lt;&gt;"Pending"),"RESULT WITHOUT A SCORE",IF(AND($G150="Pass/Fail",$K150&lt;&gt;""),"SCORE ON A PASS-FAIL CATEGORY - it is ignored",IF(AND($E150="Firearms",$J150&lt;&gt;"",$J150&lt;&gt;"Pending",$R150=""),"FIREARMS ROW WITH NO COURSE OF FIRE","OK"))))))</f>
        <v/>
      </c>
    </row>
    <row r="151">
      <c r="B151" s="17">
        <f>IF($C151="","",$D151&amp;"-"&amp;$E151&amp;"-"&amp;$I151)</f>
        <v/>
      </c>
      <c r="C151" s="16" t="n"/>
      <c r="D151" s="17">
        <f>IF($C151="","",IFERROR(INDEX(rngCadetPIDs,MATCH($C151,rngCadetNames,0)),"?"))</f>
        <v/>
      </c>
      <c r="E151" s="16" t="n"/>
      <c r="F151" s="17">
        <f>IF($E151="","",IFERROR(INDEX(rngSM_max,MATCH($E151,rngSM_cat,0)),""))</f>
        <v/>
      </c>
      <c r="G151" s="17">
        <f>IF($E151="","",IFERROR(INDEX(rngSM_mode,MATCH($E151,rngSM_cat,0)),""))</f>
        <v/>
      </c>
      <c r="H151" s="17">
        <f>IF($E151="","",IFERROR(INDEX(rngSM_pass,MATCH($E151,rngSM_cat,0)),""))</f>
        <v/>
      </c>
      <c r="I151" s="16" t="n"/>
      <c r="J151" s="16" t="n"/>
      <c r="K151" s="16" t="n"/>
      <c r="L151" s="18" t="n"/>
      <c r="M151" s="16" t="n"/>
      <c r="N151" s="17">
        <f>IF($C151="","",MAX(_xlfn.MAXIFS(nrSK_Att,nrSK_PID,$D151,nrSK_Cat,$E151,nrSK_Res,"Pass"),_xlfn.MAXIFS(nrSK_Att,nrSK_PID,$D151,nrSK_Cat,$E151,nrSK_Res,"Fail")))</f>
        <v/>
      </c>
      <c r="O151" s="17">
        <f>IF($C151="","",IF(AND(MAX(_xlfn.MAXIFS(nrSK_Att,nrSK_PID,$D151,nrSK_Cat,$E151,nrSK_Res,"Pass"),_xlfn.MAXIFS(nrSK_Att,nrSK_PID,$D151,nrSK_Cat,$E151,nrSK_Res,"Fail"))&gt;0,N($I151)&lt;MAX(_xlfn.MAXIFS(nrSK_Att,nrSK_PID,$D151,nrSK_Cat,$E151,nrSK_Res,"Pass"),_xlfn.MAXIFS(nrSK_Att,nrSK_PID,$D151,nrSK_Cat,$E151,nrSK_Res,"Fail"))),"(superseded)",IF(OR($J151="",$J151="Pending"),"Pending",IF($J151="Pass","Qualified",IF(AND($J151="Fail",$N151&gt;=$F151),"FAILED OUT","Needs Remediation")))))</f>
        <v/>
      </c>
      <c r="P151" s="17">
        <f>IF($C151="","",IF($O151="FAILED OUT","Yes","No"))</f>
        <v/>
      </c>
      <c r="Q151" s="16" t="n"/>
      <c r="R151" s="16" t="n"/>
      <c r="S151" s="17">
        <f>IF($C151="","",IF(AND($K151&lt;&gt;"",NOT(ISNUMBER($K151))),"SCORE NOT A NUMBER",IF(AND(ISNUMBER($K151),OR($K151&lt;0,$K151&gt;100)),"SCORE OUT OF RANGE - this score counts toward nothing",IF(AND($G151="Score",$K151="",$J151&lt;&gt;"",$J151&lt;&gt;"Pending"),"RESULT WITHOUT A SCORE",IF(AND($G151="Pass/Fail",$K151&lt;&gt;""),"SCORE ON A PASS-FAIL CATEGORY - it is ignored",IF(AND($E151="Firearms",$J151&lt;&gt;"",$J151&lt;&gt;"Pending",$R151=""),"FIREARMS ROW WITH NO COURSE OF FIRE","OK"))))))</f>
        <v/>
      </c>
    </row>
    <row r="152">
      <c r="B152" s="17">
        <f>IF($C152="","",$D152&amp;"-"&amp;$E152&amp;"-"&amp;$I152)</f>
        <v/>
      </c>
      <c r="C152" s="16" t="n"/>
      <c r="D152" s="17">
        <f>IF($C152="","",IFERROR(INDEX(rngCadetPIDs,MATCH($C152,rngCadetNames,0)),"?"))</f>
        <v/>
      </c>
      <c r="E152" s="16" t="n"/>
      <c r="F152" s="17">
        <f>IF($E152="","",IFERROR(INDEX(rngSM_max,MATCH($E152,rngSM_cat,0)),""))</f>
        <v/>
      </c>
      <c r="G152" s="17">
        <f>IF($E152="","",IFERROR(INDEX(rngSM_mode,MATCH($E152,rngSM_cat,0)),""))</f>
        <v/>
      </c>
      <c r="H152" s="17">
        <f>IF($E152="","",IFERROR(INDEX(rngSM_pass,MATCH($E152,rngSM_cat,0)),""))</f>
        <v/>
      </c>
      <c r="I152" s="16" t="n"/>
      <c r="J152" s="16" t="n"/>
      <c r="K152" s="16" t="n"/>
      <c r="L152" s="18" t="n"/>
      <c r="M152" s="16" t="n"/>
      <c r="N152" s="17">
        <f>IF($C152="","",MAX(_xlfn.MAXIFS(nrSK_Att,nrSK_PID,$D152,nrSK_Cat,$E152,nrSK_Res,"Pass"),_xlfn.MAXIFS(nrSK_Att,nrSK_PID,$D152,nrSK_Cat,$E152,nrSK_Res,"Fail")))</f>
        <v/>
      </c>
      <c r="O152" s="17">
        <f>IF($C152="","",IF(AND(MAX(_xlfn.MAXIFS(nrSK_Att,nrSK_PID,$D152,nrSK_Cat,$E152,nrSK_Res,"Pass"),_xlfn.MAXIFS(nrSK_Att,nrSK_PID,$D152,nrSK_Cat,$E152,nrSK_Res,"Fail"))&gt;0,N($I152)&lt;MAX(_xlfn.MAXIFS(nrSK_Att,nrSK_PID,$D152,nrSK_Cat,$E152,nrSK_Res,"Pass"),_xlfn.MAXIFS(nrSK_Att,nrSK_PID,$D152,nrSK_Cat,$E152,nrSK_Res,"Fail"))),"(superseded)",IF(OR($J152="",$J152="Pending"),"Pending",IF($J152="Pass","Qualified",IF(AND($J152="Fail",$N152&gt;=$F152),"FAILED OUT","Needs Remediation")))))</f>
        <v/>
      </c>
      <c r="P152" s="17">
        <f>IF($C152="","",IF($O152="FAILED OUT","Yes","No"))</f>
        <v/>
      </c>
      <c r="Q152" s="16" t="n"/>
      <c r="R152" s="16" t="n"/>
      <c r="S152" s="17">
        <f>IF($C152="","",IF(AND($K152&lt;&gt;"",NOT(ISNUMBER($K152))),"SCORE NOT A NUMBER",IF(AND(ISNUMBER($K152),OR($K152&lt;0,$K152&gt;100)),"SCORE OUT OF RANGE - this score counts toward nothing",IF(AND($G152="Score",$K152="",$J152&lt;&gt;"",$J152&lt;&gt;"Pending"),"RESULT WITHOUT A SCORE",IF(AND($G152="Pass/Fail",$K152&lt;&gt;""),"SCORE ON A PASS-FAIL CATEGORY - it is ignored",IF(AND($E152="Firearms",$J152&lt;&gt;"",$J152&lt;&gt;"Pending",$R152=""),"FIREARMS ROW WITH NO COURSE OF FIRE","OK"))))))</f>
        <v/>
      </c>
    </row>
    <row r="153">
      <c r="B153" s="17">
        <f>IF($C153="","",$D153&amp;"-"&amp;$E153&amp;"-"&amp;$I153)</f>
        <v/>
      </c>
      <c r="C153" s="16" t="n"/>
      <c r="D153" s="17">
        <f>IF($C153="","",IFERROR(INDEX(rngCadetPIDs,MATCH($C153,rngCadetNames,0)),"?"))</f>
        <v/>
      </c>
      <c r="E153" s="16" t="n"/>
      <c r="F153" s="17">
        <f>IF($E153="","",IFERROR(INDEX(rngSM_max,MATCH($E153,rngSM_cat,0)),""))</f>
        <v/>
      </c>
      <c r="G153" s="17">
        <f>IF($E153="","",IFERROR(INDEX(rngSM_mode,MATCH($E153,rngSM_cat,0)),""))</f>
        <v/>
      </c>
      <c r="H153" s="17">
        <f>IF($E153="","",IFERROR(INDEX(rngSM_pass,MATCH($E153,rngSM_cat,0)),""))</f>
        <v/>
      </c>
      <c r="I153" s="16" t="n"/>
      <c r="J153" s="16" t="n"/>
      <c r="K153" s="16" t="n"/>
      <c r="L153" s="18" t="n"/>
      <c r="M153" s="16" t="n"/>
      <c r="N153" s="17">
        <f>IF($C153="","",MAX(_xlfn.MAXIFS(nrSK_Att,nrSK_PID,$D153,nrSK_Cat,$E153,nrSK_Res,"Pass"),_xlfn.MAXIFS(nrSK_Att,nrSK_PID,$D153,nrSK_Cat,$E153,nrSK_Res,"Fail")))</f>
        <v/>
      </c>
      <c r="O153" s="17">
        <f>IF($C153="","",IF(AND(MAX(_xlfn.MAXIFS(nrSK_Att,nrSK_PID,$D153,nrSK_Cat,$E153,nrSK_Res,"Pass"),_xlfn.MAXIFS(nrSK_Att,nrSK_PID,$D153,nrSK_Cat,$E153,nrSK_Res,"Fail"))&gt;0,N($I153)&lt;MAX(_xlfn.MAXIFS(nrSK_Att,nrSK_PID,$D153,nrSK_Cat,$E153,nrSK_Res,"Pass"),_xlfn.MAXIFS(nrSK_Att,nrSK_PID,$D153,nrSK_Cat,$E153,nrSK_Res,"Fail"))),"(superseded)",IF(OR($J153="",$J153="Pending"),"Pending",IF($J153="Pass","Qualified",IF(AND($J153="Fail",$N153&gt;=$F153),"FAILED OUT","Needs Remediation")))))</f>
        <v/>
      </c>
      <c r="P153" s="17">
        <f>IF($C153="","",IF($O153="FAILED OUT","Yes","No"))</f>
        <v/>
      </c>
      <c r="Q153" s="16" t="n"/>
      <c r="R153" s="16" t="n"/>
      <c r="S153" s="17">
        <f>IF($C153="","",IF(AND($K153&lt;&gt;"",NOT(ISNUMBER($K153))),"SCORE NOT A NUMBER",IF(AND(ISNUMBER($K153),OR($K153&lt;0,$K153&gt;100)),"SCORE OUT OF RANGE - this score counts toward nothing",IF(AND($G153="Score",$K153="",$J153&lt;&gt;"",$J153&lt;&gt;"Pending"),"RESULT WITHOUT A SCORE",IF(AND($G153="Pass/Fail",$K153&lt;&gt;""),"SCORE ON A PASS-FAIL CATEGORY - it is ignored",IF(AND($E153="Firearms",$J153&lt;&gt;"",$J153&lt;&gt;"Pending",$R153=""),"FIREARMS ROW WITH NO COURSE OF FIRE","OK"))))))</f>
        <v/>
      </c>
    </row>
    <row r="154">
      <c r="B154" s="17">
        <f>IF($C154="","",$D154&amp;"-"&amp;$E154&amp;"-"&amp;$I154)</f>
        <v/>
      </c>
      <c r="C154" s="16" t="n"/>
      <c r="D154" s="17">
        <f>IF($C154="","",IFERROR(INDEX(rngCadetPIDs,MATCH($C154,rngCadetNames,0)),"?"))</f>
        <v/>
      </c>
      <c r="E154" s="16" t="n"/>
      <c r="F154" s="17">
        <f>IF($E154="","",IFERROR(INDEX(rngSM_max,MATCH($E154,rngSM_cat,0)),""))</f>
        <v/>
      </c>
      <c r="G154" s="17">
        <f>IF($E154="","",IFERROR(INDEX(rngSM_mode,MATCH($E154,rngSM_cat,0)),""))</f>
        <v/>
      </c>
      <c r="H154" s="17">
        <f>IF($E154="","",IFERROR(INDEX(rngSM_pass,MATCH($E154,rngSM_cat,0)),""))</f>
        <v/>
      </c>
      <c r="I154" s="16" t="n"/>
      <c r="J154" s="16" t="n"/>
      <c r="K154" s="16" t="n"/>
      <c r="L154" s="18" t="n"/>
      <c r="M154" s="16" t="n"/>
      <c r="N154" s="17">
        <f>IF($C154="","",MAX(_xlfn.MAXIFS(nrSK_Att,nrSK_PID,$D154,nrSK_Cat,$E154,nrSK_Res,"Pass"),_xlfn.MAXIFS(nrSK_Att,nrSK_PID,$D154,nrSK_Cat,$E154,nrSK_Res,"Fail")))</f>
        <v/>
      </c>
      <c r="O154" s="17">
        <f>IF($C154="","",IF(AND(MAX(_xlfn.MAXIFS(nrSK_Att,nrSK_PID,$D154,nrSK_Cat,$E154,nrSK_Res,"Pass"),_xlfn.MAXIFS(nrSK_Att,nrSK_PID,$D154,nrSK_Cat,$E154,nrSK_Res,"Fail"))&gt;0,N($I154)&lt;MAX(_xlfn.MAXIFS(nrSK_Att,nrSK_PID,$D154,nrSK_Cat,$E154,nrSK_Res,"Pass"),_xlfn.MAXIFS(nrSK_Att,nrSK_PID,$D154,nrSK_Cat,$E154,nrSK_Res,"Fail"))),"(superseded)",IF(OR($J154="",$J154="Pending"),"Pending",IF($J154="Pass","Qualified",IF(AND($J154="Fail",$N154&gt;=$F154),"FAILED OUT","Needs Remediation")))))</f>
        <v/>
      </c>
      <c r="P154" s="17">
        <f>IF($C154="","",IF($O154="FAILED OUT","Yes","No"))</f>
        <v/>
      </c>
      <c r="Q154" s="16" t="n"/>
      <c r="R154" s="16" t="n"/>
      <c r="S154" s="17">
        <f>IF($C154="","",IF(AND($K154&lt;&gt;"",NOT(ISNUMBER($K154))),"SCORE NOT A NUMBER",IF(AND(ISNUMBER($K154),OR($K154&lt;0,$K154&gt;100)),"SCORE OUT OF RANGE - this score counts toward nothing",IF(AND($G154="Score",$K154="",$J154&lt;&gt;"",$J154&lt;&gt;"Pending"),"RESULT WITHOUT A SCORE",IF(AND($G154="Pass/Fail",$K154&lt;&gt;""),"SCORE ON A PASS-FAIL CATEGORY - it is ignored",IF(AND($E154="Firearms",$J154&lt;&gt;"",$J154&lt;&gt;"Pending",$R154=""),"FIREARMS ROW WITH NO COURSE OF FIRE","OK"))))))</f>
        <v/>
      </c>
    </row>
    <row r="155">
      <c r="B155" s="17">
        <f>IF($C155="","",$D155&amp;"-"&amp;$E155&amp;"-"&amp;$I155)</f>
        <v/>
      </c>
      <c r="C155" s="16" t="n"/>
      <c r="D155" s="17">
        <f>IF($C155="","",IFERROR(INDEX(rngCadetPIDs,MATCH($C155,rngCadetNames,0)),"?"))</f>
        <v/>
      </c>
      <c r="E155" s="16" t="n"/>
      <c r="F155" s="17">
        <f>IF($E155="","",IFERROR(INDEX(rngSM_max,MATCH($E155,rngSM_cat,0)),""))</f>
        <v/>
      </c>
      <c r="G155" s="17">
        <f>IF($E155="","",IFERROR(INDEX(rngSM_mode,MATCH($E155,rngSM_cat,0)),""))</f>
        <v/>
      </c>
      <c r="H155" s="17">
        <f>IF($E155="","",IFERROR(INDEX(rngSM_pass,MATCH($E155,rngSM_cat,0)),""))</f>
        <v/>
      </c>
      <c r="I155" s="16" t="n"/>
      <c r="J155" s="16" t="n"/>
      <c r="K155" s="16" t="n"/>
      <c r="L155" s="18" t="n"/>
      <c r="M155" s="16" t="n"/>
      <c r="N155" s="17">
        <f>IF($C155="","",MAX(_xlfn.MAXIFS(nrSK_Att,nrSK_PID,$D155,nrSK_Cat,$E155,nrSK_Res,"Pass"),_xlfn.MAXIFS(nrSK_Att,nrSK_PID,$D155,nrSK_Cat,$E155,nrSK_Res,"Fail")))</f>
        <v/>
      </c>
      <c r="O155" s="17">
        <f>IF($C155="","",IF(AND(MAX(_xlfn.MAXIFS(nrSK_Att,nrSK_PID,$D155,nrSK_Cat,$E155,nrSK_Res,"Pass"),_xlfn.MAXIFS(nrSK_Att,nrSK_PID,$D155,nrSK_Cat,$E155,nrSK_Res,"Fail"))&gt;0,N($I155)&lt;MAX(_xlfn.MAXIFS(nrSK_Att,nrSK_PID,$D155,nrSK_Cat,$E155,nrSK_Res,"Pass"),_xlfn.MAXIFS(nrSK_Att,nrSK_PID,$D155,nrSK_Cat,$E155,nrSK_Res,"Fail"))),"(superseded)",IF(OR($J155="",$J155="Pending"),"Pending",IF($J155="Pass","Qualified",IF(AND($J155="Fail",$N155&gt;=$F155),"FAILED OUT","Needs Remediation")))))</f>
        <v/>
      </c>
      <c r="P155" s="17">
        <f>IF($C155="","",IF($O155="FAILED OUT","Yes","No"))</f>
        <v/>
      </c>
      <c r="Q155" s="16" t="n"/>
      <c r="R155" s="16" t="n"/>
      <c r="S155" s="17">
        <f>IF($C155="","",IF(AND($K155&lt;&gt;"",NOT(ISNUMBER($K155))),"SCORE NOT A NUMBER",IF(AND(ISNUMBER($K155),OR($K155&lt;0,$K155&gt;100)),"SCORE OUT OF RANGE - this score counts toward nothing",IF(AND($G155="Score",$K155="",$J155&lt;&gt;"",$J155&lt;&gt;"Pending"),"RESULT WITHOUT A SCORE",IF(AND($G155="Pass/Fail",$K155&lt;&gt;""),"SCORE ON A PASS-FAIL CATEGORY - it is ignored",IF(AND($E155="Firearms",$J155&lt;&gt;"",$J155&lt;&gt;"Pending",$R155=""),"FIREARMS ROW WITH NO COURSE OF FIRE","OK"))))))</f>
        <v/>
      </c>
    </row>
    <row r="156">
      <c r="B156" s="17">
        <f>IF($C156="","",$D156&amp;"-"&amp;$E156&amp;"-"&amp;$I156)</f>
        <v/>
      </c>
      <c r="C156" s="16" t="n"/>
      <c r="D156" s="17">
        <f>IF($C156="","",IFERROR(INDEX(rngCadetPIDs,MATCH($C156,rngCadetNames,0)),"?"))</f>
        <v/>
      </c>
      <c r="E156" s="16" t="n"/>
      <c r="F156" s="17">
        <f>IF($E156="","",IFERROR(INDEX(rngSM_max,MATCH($E156,rngSM_cat,0)),""))</f>
        <v/>
      </c>
      <c r="G156" s="17">
        <f>IF($E156="","",IFERROR(INDEX(rngSM_mode,MATCH($E156,rngSM_cat,0)),""))</f>
        <v/>
      </c>
      <c r="H156" s="17">
        <f>IF($E156="","",IFERROR(INDEX(rngSM_pass,MATCH($E156,rngSM_cat,0)),""))</f>
        <v/>
      </c>
      <c r="I156" s="16" t="n"/>
      <c r="J156" s="16" t="n"/>
      <c r="K156" s="16" t="n"/>
      <c r="L156" s="18" t="n"/>
      <c r="M156" s="16" t="n"/>
      <c r="N156" s="17">
        <f>IF($C156="","",MAX(_xlfn.MAXIFS(nrSK_Att,nrSK_PID,$D156,nrSK_Cat,$E156,nrSK_Res,"Pass"),_xlfn.MAXIFS(nrSK_Att,nrSK_PID,$D156,nrSK_Cat,$E156,nrSK_Res,"Fail")))</f>
        <v/>
      </c>
      <c r="O156" s="17">
        <f>IF($C156="","",IF(AND(MAX(_xlfn.MAXIFS(nrSK_Att,nrSK_PID,$D156,nrSK_Cat,$E156,nrSK_Res,"Pass"),_xlfn.MAXIFS(nrSK_Att,nrSK_PID,$D156,nrSK_Cat,$E156,nrSK_Res,"Fail"))&gt;0,N($I156)&lt;MAX(_xlfn.MAXIFS(nrSK_Att,nrSK_PID,$D156,nrSK_Cat,$E156,nrSK_Res,"Pass"),_xlfn.MAXIFS(nrSK_Att,nrSK_PID,$D156,nrSK_Cat,$E156,nrSK_Res,"Fail"))),"(superseded)",IF(OR($J156="",$J156="Pending"),"Pending",IF($J156="Pass","Qualified",IF(AND($J156="Fail",$N156&gt;=$F156),"FAILED OUT","Needs Remediation")))))</f>
        <v/>
      </c>
      <c r="P156" s="17">
        <f>IF($C156="","",IF($O156="FAILED OUT","Yes","No"))</f>
        <v/>
      </c>
      <c r="Q156" s="16" t="n"/>
      <c r="R156" s="16" t="n"/>
      <c r="S156" s="17">
        <f>IF($C156="","",IF(AND($K156&lt;&gt;"",NOT(ISNUMBER($K156))),"SCORE NOT A NUMBER",IF(AND(ISNUMBER($K156),OR($K156&lt;0,$K156&gt;100)),"SCORE OUT OF RANGE - this score counts toward nothing",IF(AND($G156="Score",$K156="",$J156&lt;&gt;"",$J156&lt;&gt;"Pending"),"RESULT WITHOUT A SCORE",IF(AND($G156="Pass/Fail",$K156&lt;&gt;""),"SCORE ON A PASS-FAIL CATEGORY - it is ignored",IF(AND($E156="Firearms",$J156&lt;&gt;"",$J156&lt;&gt;"Pending",$R156=""),"FIREARMS ROW WITH NO COURSE OF FIRE","OK"))))))</f>
        <v/>
      </c>
    </row>
    <row r="157">
      <c r="B157" s="17">
        <f>IF($C157="","",$D157&amp;"-"&amp;$E157&amp;"-"&amp;$I157)</f>
        <v/>
      </c>
      <c r="C157" s="16" t="n"/>
      <c r="D157" s="17">
        <f>IF($C157="","",IFERROR(INDEX(rngCadetPIDs,MATCH($C157,rngCadetNames,0)),"?"))</f>
        <v/>
      </c>
      <c r="E157" s="16" t="n"/>
      <c r="F157" s="17">
        <f>IF($E157="","",IFERROR(INDEX(rngSM_max,MATCH($E157,rngSM_cat,0)),""))</f>
        <v/>
      </c>
      <c r="G157" s="17">
        <f>IF($E157="","",IFERROR(INDEX(rngSM_mode,MATCH($E157,rngSM_cat,0)),""))</f>
        <v/>
      </c>
      <c r="H157" s="17">
        <f>IF($E157="","",IFERROR(INDEX(rngSM_pass,MATCH($E157,rngSM_cat,0)),""))</f>
        <v/>
      </c>
      <c r="I157" s="16" t="n"/>
      <c r="J157" s="16" t="n"/>
      <c r="K157" s="16" t="n"/>
      <c r="L157" s="18" t="n"/>
      <c r="M157" s="16" t="n"/>
      <c r="N157" s="17">
        <f>IF($C157="","",MAX(_xlfn.MAXIFS(nrSK_Att,nrSK_PID,$D157,nrSK_Cat,$E157,nrSK_Res,"Pass"),_xlfn.MAXIFS(nrSK_Att,nrSK_PID,$D157,nrSK_Cat,$E157,nrSK_Res,"Fail")))</f>
        <v/>
      </c>
      <c r="O157" s="17">
        <f>IF($C157="","",IF(AND(MAX(_xlfn.MAXIFS(nrSK_Att,nrSK_PID,$D157,nrSK_Cat,$E157,nrSK_Res,"Pass"),_xlfn.MAXIFS(nrSK_Att,nrSK_PID,$D157,nrSK_Cat,$E157,nrSK_Res,"Fail"))&gt;0,N($I157)&lt;MAX(_xlfn.MAXIFS(nrSK_Att,nrSK_PID,$D157,nrSK_Cat,$E157,nrSK_Res,"Pass"),_xlfn.MAXIFS(nrSK_Att,nrSK_PID,$D157,nrSK_Cat,$E157,nrSK_Res,"Fail"))),"(superseded)",IF(OR($J157="",$J157="Pending"),"Pending",IF($J157="Pass","Qualified",IF(AND($J157="Fail",$N157&gt;=$F157),"FAILED OUT","Needs Remediation")))))</f>
        <v/>
      </c>
      <c r="P157" s="17">
        <f>IF($C157="","",IF($O157="FAILED OUT","Yes","No"))</f>
        <v/>
      </c>
      <c r="Q157" s="16" t="n"/>
      <c r="R157" s="16" t="n"/>
      <c r="S157" s="17">
        <f>IF($C157="","",IF(AND($K157&lt;&gt;"",NOT(ISNUMBER($K157))),"SCORE NOT A NUMBER",IF(AND(ISNUMBER($K157),OR($K157&lt;0,$K157&gt;100)),"SCORE OUT OF RANGE - this score counts toward nothing",IF(AND($G157="Score",$K157="",$J157&lt;&gt;"",$J157&lt;&gt;"Pending"),"RESULT WITHOUT A SCORE",IF(AND($G157="Pass/Fail",$K157&lt;&gt;""),"SCORE ON A PASS-FAIL CATEGORY - it is ignored",IF(AND($E157="Firearms",$J157&lt;&gt;"",$J157&lt;&gt;"Pending",$R157=""),"FIREARMS ROW WITH NO COURSE OF FIRE","OK"))))))</f>
        <v/>
      </c>
    </row>
    <row r="158">
      <c r="B158" s="17">
        <f>IF($C158="","",$D158&amp;"-"&amp;$E158&amp;"-"&amp;$I158)</f>
        <v/>
      </c>
      <c r="C158" s="16" t="n"/>
      <c r="D158" s="17">
        <f>IF($C158="","",IFERROR(INDEX(rngCadetPIDs,MATCH($C158,rngCadetNames,0)),"?"))</f>
        <v/>
      </c>
      <c r="E158" s="16" t="n"/>
      <c r="F158" s="17">
        <f>IF($E158="","",IFERROR(INDEX(rngSM_max,MATCH($E158,rngSM_cat,0)),""))</f>
        <v/>
      </c>
      <c r="G158" s="17">
        <f>IF($E158="","",IFERROR(INDEX(rngSM_mode,MATCH($E158,rngSM_cat,0)),""))</f>
        <v/>
      </c>
      <c r="H158" s="17">
        <f>IF($E158="","",IFERROR(INDEX(rngSM_pass,MATCH($E158,rngSM_cat,0)),""))</f>
        <v/>
      </c>
      <c r="I158" s="16" t="n"/>
      <c r="J158" s="16" t="n"/>
      <c r="K158" s="16" t="n"/>
      <c r="L158" s="18" t="n"/>
      <c r="M158" s="16" t="n"/>
      <c r="N158" s="17">
        <f>IF($C158="","",MAX(_xlfn.MAXIFS(nrSK_Att,nrSK_PID,$D158,nrSK_Cat,$E158,nrSK_Res,"Pass"),_xlfn.MAXIFS(nrSK_Att,nrSK_PID,$D158,nrSK_Cat,$E158,nrSK_Res,"Fail")))</f>
        <v/>
      </c>
      <c r="O158" s="17">
        <f>IF($C158="","",IF(AND(MAX(_xlfn.MAXIFS(nrSK_Att,nrSK_PID,$D158,nrSK_Cat,$E158,nrSK_Res,"Pass"),_xlfn.MAXIFS(nrSK_Att,nrSK_PID,$D158,nrSK_Cat,$E158,nrSK_Res,"Fail"))&gt;0,N($I158)&lt;MAX(_xlfn.MAXIFS(nrSK_Att,nrSK_PID,$D158,nrSK_Cat,$E158,nrSK_Res,"Pass"),_xlfn.MAXIFS(nrSK_Att,nrSK_PID,$D158,nrSK_Cat,$E158,nrSK_Res,"Fail"))),"(superseded)",IF(OR($J158="",$J158="Pending"),"Pending",IF($J158="Pass","Qualified",IF(AND($J158="Fail",$N158&gt;=$F158),"FAILED OUT","Needs Remediation")))))</f>
        <v/>
      </c>
      <c r="P158" s="17">
        <f>IF($C158="","",IF($O158="FAILED OUT","Yes","No"))</f>
        <v/>
      </c>
      <c r="Q158" s="16" t="n"/>
      <c r="R158" s="16" t="n"/>
      <c r="S158" s="17">
        <f>IF($C158="","",IF(AND($K158&lt;&gt;"",NOT(ISNUMBER($K158))),"SCORE NOT A NUMBER",IF(AND(ISNUMBER($K158),OR($K158&lt;0,$K158&gt;100)),"SCORE OUT OF RANGE - this score counts toward nothing",IF(AND($G158="Score",$K158="",$J158&lt;&gt;"",$J158&lt;&gt;"Pending"),"RESULT WITHOUT A SCORE",IF(AND($G158="Pass/Fail",$K158&lt;&gt;""),"SCORE ON A PASS-FAIL CATEGORY - it is ignored",IF(AND($E158="Firearms",$J158&lt;&gt;"",$J158&lt;&gt;"Pending",$R158=""),"FIREARMS ROW WITH NO COURSE OF FIRE","OK"))))))</f>
        <v/>
      </c>
    </row>
    <row r="159">
      <c r="B159" s="17">
        <f>IF($C159="","",$D159&amp;"-"&amp;$E159&amp;"-"&amp;$I159)</f>
        <v/>
      </c>
      <c r="C159" s="16" t="n"/>
      <c r="D159" s="17">
        <f>IF($C159="","",IFERROR(INDEX(rngCadetPIDs,MATCH($C159,rngCadetNames,0)),"?"))</f>
        <v/>
      </c>
      <c r="E159" s="16" t="n"/>
      <c r="F159" s="17">
        <f>IF($E159="","",IFERROR(INDEX(rngSM_max,MATCH($E159,rngSM_cat,0)),""))</f>
        <v/>
      </c>
      <c r="G159" s="17">
        <f>IF($E159="","",IFERROR(INDEX(rngSM_mode,MATCH($E159,rngSM_cat,0)),""))</f>
        <v/>
      </c>
      <c r="H159" s="17">
        <f>IF($E159="","",IFERROR(INDEX(rngSM_pass,MATCH($E159,rngSM_cat,0)),""))</f>
        <v/>
      </c>
      <c r="I159" s="16" t="n"/>
      <c r="J159" s="16" t="n"/>
      <c r="K159" s="16" t="n"/>
      <c r="L159" s="18" t="n"/>
      <c r="M159" s="16" t="n"/>
      <c r="N159" s="17">
        <f>IF($C159="","",MAX(_xlfn.MAXIFS(nrSK_Att,nrSK_PID,$D159,nrSK_Cat,$E159,nrSK_Res,"Pass"),_xlfn.MAXIFS(nrSK_Att,nrSK_PID,$D159,nrSK_Cat,$E159,nrSK_Res,"Fail")))</f>
        <v/>
      </c>
      <c r="O159" s="17">
        <f>IF($C159="","",IF(AND(MAX(_xlfn.MAXIFS(nrSK_Att,nrSK_PID,$D159,nrSK_Cat,$E159,nrSK_Res,"Pass"),_xlfn.MAXIFS(nrSK_Att,nrSK_PID,$D159,nrSK_Cat,$E159,nrSK_Res,"Fail"))&gt;0,N($I159)&lt;MAX(_xlfn.MAXIFS(nrSK_Att,nrSK_PID,$D159,nrSK_Cat,$E159,nrSK_Res,"Pass"),_xlfn.MAXIFS(nrSK_Att,nrSK_PID,$D159,nrSK_Cat,$E159,nrSK_Res,"Fail"))),"(superseded)",IF(OR($J159="",$J159="Pending"),"Pending",IF($J159="Pass","Qualified",IF(AND($J159="Fail",$N159&gt;=$F159),"FAILED OUT","Needs Remediation")))))</f>
        <v/>
      </c>
      <c r="P159" s="17">
        <f>IF($C159="","",IF($O159="FAILED OUT","Yes","No"))</f>
        <v/>
      </c>
      <c r="Q159" s="16" t="n"/>
      <c r="R159" s="16" t="n"/>
      <c r="S159" s="17">
        <f>IF($C159="","",IF(AND($K159&lt;&gt;"",NOT(ISNUMBER($K159))),"SCORE NOT A NUMBER",IF(AND(ISNUMBER($K159),OR($K159&lt;0,$K159&gt;100)),"SCORE OUT OF RANGE - this score counts toward nothing",IF(AND($G159="Score",$K159="",$J159&lt;&gt;"",$J159&lt;&gt;"Pending"),"RESULT WITHOUT A SCORE",IF(AND($G159="Pass/Fail",$K159&lt;&gt;""),"SCORE ON A PASS-FAIL CATEGORY - it is ignored",IF(AND($E159="Firearms",$J159&lt;&gt;"",$J159&lt;&gt;"Pending",$R159=""),"FIREARMS ROW WITH NO COURSE OF FIRE","OK"))))))</f>
        <v/>
      </c>
    </row>
    <row r="160">
      <c r="B160" s="17">
        <f>IF($C160="","",$D160&amp;"-"&amp;$E160&amp;"-"&amp;$I160)</f>
        <v/>
      </c>
      <c r="C160" s="16" t="n"/>
      <c r="D160" s="17">
        <f>IF($C160="","",IFERROR(INDEX(rngCadetPIDs,MATCH($C160,rngCadetNames,0)),"?"))</f>
        <v/>
      </c>
      <c r="E160" s="16" t="n"/>
      <c r="F160" s="17">
        <f>IF($E160="","",IFERROR(INDEX(rngSM_max,MATCH($E160,rngSM_cat,0)),""))</f>
        <v/>
      </c>
      <c r="G160" s="17">
        <f>IF($E160="","",IFERROR(INDEX(rngSM_mode,MATCH($E160,rngSM_cat,0)),""))</f>
        <v/>
      </c>
      <c r="H160" s="17">
        <f>IF($E160="","",IFERROR(INDEX(rngSM_pass,MATCH($E160,rngSM_cat,0)),""))</f>
        <v/>
      </c>
      <c r="I160" s="16" t="n"/>
      <c r="J160" s="16" t="n"/>
      <c r="K160" s="16" t="n"/>
      <c r="L160" s="18" t="n"/>
      <c r="M160" s="16" t="n"/>
      <c r="N160" s="17">
        <f>IF($C160="","",MAX(_xlfn.MAXIFS(nrSK_Att,nrSK_PID,$D160,nrSK_Cat,$E160,nrSK_Res,"Pass"),_xlfn.MAXIFS(nrSK_Att,nrSK_PID,$D160,nrSK_Cat,$E160,nrSK_Res,"Fail")))</f>
        <v/>
      </c>
      <c r="O160" s="17">
        <f>IF($C160="","",IF(AND(MAX(_xlfn.MAXIFS(nrSK_Att,nrSK_PID,$D160,nrSK_Cat,$E160,nrSK_Res,"Pass"),_xlfn.MAXIFS(nrSK_Att,nrSK_PID,$D160,nrSK_Cat,$E160,nrSK_Res,"Fail"))&gt;0,N($I160)&lt;MAX(_xlfn.MAXIFS(nrSK_Att,nrSK_PID,$D160,nrSK_Cat,$E160,nrSK_Res,"Pass"),_xlfn.MAXIFS(nrSK_Att,nrSK_PID,$D160,nrSK_Cat,$E160,nrSK_Res,"Fail"))),"(superseded)",IF(OR($J160="",$J160="Pending"),"Pending",IF($J160="Pass","Qualified",IF(AND($J160="Fail",$N160&gt;=$F160),"FAILED OUT","Needs Remediation")))))</f>
        <v/>
      </c>
      <c r="P160" s="17">
        <f>IF($C160="","",IF($O160="FAILED OUT","Yes","No"))</f>
        <v/>
      </c>
      <c r="Q160" s="16" t="n"/>
      <c r="R160" s="16" t="n"/>
      <c r="S160" s="17">
        <f>IF($C160="","",IF(AND($K160&lt;&gt;"",NOT(ISNUMBER($K160))),"SCORE NOT A NUMBER",IF(AND(ISNUMBER($K160),OR($K160&lt;0,$K160&gt;100)),"SCORE OUT OF RANGE - this score counts toward nothing",IF(AND($G160="Score",$K160="",$J160&lt;&gt;"",$J160&lt;&gt;"Pending"),"RESULT WITHOUT A SCORE",IF(AND($G160="Pass/Fail",$K160&lt;&gt;""),"SCORE ON A PASS-FAIL CATEGORY - it is ignored",IF(AND($E160="Firearms",$J160&lt;&gt;"",$J160&lt;&gt;"Pending",$R160=""),"FIREARMS ROW WITH NO COURSE OF FIRE","OK"))))))</f>
        <v/>
      </c>
    </row>
    <row r="161">
      <c r="B161" s="17">
        <f>IF($C161="","",$D161&amp;"-"&amp;$E161&amp;"-"&amp;$I161)</f>
        <v/>
      </c>
      <c r="C161" s="16" t="n"/>
      <c r="D161" s="17">
        <f>IF($C161="","",IFERROR(INDEX(rngCadetPIDs,MATCH($C161,rngCadetNames,0)),"?"))</f>
        <v/>
      </c>
      <c r="E161" s="16" t="n"/>
      <c r="F161" s="17">
        <f>IF($E161="","",IFERROR(INDEX(rngSM_max,MATCH($E161,rngSM_cat,0)),""))</f>
        <v/>
      </c>
      <c r="G161" s="17">
        <f>IF($E161="","",IFERROR(INDEX(rngSM_mode,MATCH($E161,rngSM_cat,0)),""))</f>
        <v/>
      </c>
      <c r="H161" s="17">
        <f>IF($E161="","",IFERROR(INDEX(rngSM_pass,MATCH($E161,rngSM_cat,0)),""))</f>
        <v/>
      </c>
      <c r="I161" s="16" t="n"/>
      <c r="J161" s="16" t="n"/>
      <c r="K161" s="16" t="n"/>
      <c r="L161" s="18" t="n"/>
      <c r="M161" s="16" t="n"/>
      <c r="N161" s="17">
        <f>IF($C161="","",MAX(_xlfn.MAXIFS(nrSK_Att,nrSK_PID,$D161,nrSK_Cat,$E161,nrSK_Res,"Pass"),_xlfn.MAXIFS(nrSK_Att,nrSK_PID,$D161,nrSK_Cat,$E161,nrSK_Res,"Fail")))</f>
        <v/>
      </c>
      <c r="O161" s="17">
        <f>IF($C161="","",IF(AND(MAX(_xlfn.MAXIFS(nrSK_Att,nrSK_PID,$D161,nrSK_Cat,$E161,nrSK_Res,"Pass"),_xlfn.MAXIFS(nrSK_Att,nrSK_PID,$D161,nrSK_Cat,$E161,nrSK_Res,"Fail"))&gt;0,N($I161)&lt;MAX(_xlfn.MAXIFS(nrSK_Att,nrSK_PID,$D161,nrSK_Cat,$E161,nrSK_Res,"Pass"),_xlfn.MAXIFS(nrSK_Att,nrSK_PID,$D161,nrSK_Cat,$E161,nrSK_Res,"Fail"))),"(superseded)",IF(OR($J161="",$J161="Pending"),"Pending",IF($J161="Pass","Qualified",IF(AND($J161="Fail",$N161&gt;=$F161),"FAILED OUT","Needs Remediation")))))</f>
        <v/>
      </c>
      <c r="P161" s="17">
        <f>IF($C161="","",IF($O161="FAILED OUT","Yes","No"))</f>
        <v/>
      </c>
      <c r="Q161" s="16" t="n"/>
      <c r="R161" s="16" t="n"/>
      <c r="S161" s="17">
        <f>IF($C161="","",IF(AND($K161&lt;&gt;"",NOT(ISNUMBER($K161))),"SCORE NOT A NUMBER",IF(AND(ISNUMBER($K161),OR($K161&lt;0,$K161&gt;100)),"SCORE OUT OF RANGE - this score counts toward nothing",IF(AND($G161="Score",$K161="",$J161&lt;&gt;"",$J161&lt;&gt;"Pending"),"RESULT WITHOUT A SCORE",IF(AND($G161="Pass/Fail",$K161&lt;&gt;""),"SCORE ON A PASS-FAIL CATEGORY - it is ignored",IF(AND($E161="Firearms",$J161&lt;&gt;"",$J161&lt;&gt;"Pending",$R161=""),"FIREARMS ROW WITH NO COURSE OF FIRE","OK"))))))</f>
        <v/>
      </c>
    </row>
    <row r="162">
      <c r="B162" s="17">
        <f>IF($C162="","",$D162&amp;"-"&amp;$E162&amp;"-"&amp;$I162)</f>
        <v/>
      </c>
      <c r="C162" s="16" t="n"/>
      <c r="D162" s="17">
        <f>IF($C162="","",IFERROR(INDEX(rngCadetPIDs,MATCH($C162,rngCadetNames,0)),"?"))</f>
        <v/>
      </c>
      <c r="E162" s="16" t="n"/>
      <c r="F162" s="17">
        <f>IF($E162="","",IFERROR(INDEX(rngSM_max,MATCH($E162,rngSM_cat,0)),""))</f>
        <v/>
      </c>
      <c r="G162" s="17">
        <f>IF($E162="","",IFERROR(INDEX(rngSM_mode,MATCH($E162,rngSM_cat,0)),""))</f>
        <v/>
      </c>
      <c r="H162" s="17">
        <f>IF($E162="","",IFERROR(INDEX(rngSM_pass,MATCH($E162,rngSM_cat,0)),""))</f>
        <v/>
      </c>
      <c r="I162" s="16" t="n"/>
      <c r="J162" s="16" t="n"/>
      <c r="K162" s="16" t="n"/>
      <c r="L162" s="18" t="n"/>
      <c r="M162" s="16" t="n"/>
      <c r="N162" s="17">
        <f>IF($C162="","",MAX(_xlfn.MAXIFS(nrSK_Att,nrSK_PID,$D162,nrSK_Cat,$E162,nrSK_Res,"Pass"),_xlfn.MAXIFS(nrSK_Att,nrSK_PID,$D162,nrSK_Cat,$E162,nrSK_Res,"Fail")))</f>
        <v/>
      </c>
      <c r="O162" s="17">
        <f>IF($C162="","",IF(AND(MAX(_xlfn.MAXIFS(nrSK_Att,nrSK_PID,$D162,nrSK_Cat,$E162,nrSK_Res,"Pass"),_xlfn.MAXIFS(nrSK_Att,nrSK_PID,$D162,nrSK_Cat,$E162,nrSK_Res,"Fail"))&gt;0,N($I162)&lt;MAX(_xlfn.MAXIFS(nrSK_Att,nrSK_PID,$D162,nrSK_Cat,$E162,nrSK_Res,"Pass"),_xlfn.MAXIFS(nrSK_Att,nrSK_PID,$D162,nrSK_Cat,$E162,nrSK_Res,"Fail"))),"(superseded)",IF(OR($J162="",$J162="Pending"),"Pending",IF($J162="Pass","Qualified",IF(AND($J162="Fail",$N162&gt;=$F162),"FAILED OUT","Needs Remediation")))))</f>
        <v/>
      </c>
      <c r="P162" s="17">
        <f>IF($C162="","",IF($O162="FAILED OUT","Yes","No"))</f>
        <v/>
      </c>
      <c r="Q162" s="16" t="n"/>
      <c r="R162" s="16" t="n"/>
      <c r="S162" s="17">
        <f>IF($C162="","",IF(AND($K162&lt;&gt;"",NOT(ISNUMBER($K162))),"SCORE NOT A NUMBER",IF(AND(ISNUMBER($K162),OR($K162&lt;0,$K162&gt;100)),"SCORE OUT OF RANGE - this score counts toward nothing",IF(AND($G162="Score",$K162="",$J162&lt;&gt;"",$J162&lt;&gt;"Pending"),"RESULT WITHOUT A SCORE",IF(AND($G162="Pass/Fail",$K162&lt;&gt;""),"SCORE ON A PASS-FAIL CATEGORY - it is ignored",IF(AND($E162="Firearms",$J162&lt;&gt;"",$J162&lt;&gt;"Pending",$R162=""),"FIREARMS ROW WITH NO COURSE OF FIRE","OK"))))))</f>
        <v/>
      </c>
    </row>
    <row r="163">
      <c r="B163" s="17">
        <f>IF($C163="","",$D163&amp;"-"&amp;$E163&amp;"-"&amp;$I163)</f>
        <v/>
      </c>
      <c r="C163" s="16" t="n"/>
      <c r="D163" s="17">
        <f>IF($C163="","",IFERROR(INDEX(rngCadetPIDs,MATCH($C163,rngCadetNames,0)),"?"))</f>
        <v/>
      </c>
      <c r="E163" s="16" t="n"/>
      <c r="F163" s="17">
        <f>IF($E163="","",IFERROR(INDEX(rngSM_max,MATCH($E163,rngSM_cat,0)),""))</f>
        <v/>
      </c>
      <c r="G163" s="17">
        <f>IF($E163="","",IFERROR(INDEX(rngSM_mode,MATCH($E163,rngSM_cat,0)),""))</f>
        <v/>
      </c>
      <c r="H163" s="17">
        <f>IF($E163="","",IFERROR(INDEX(rngSM_pass,MATCH($E163,rngSM_cat,0)),""))</f>
        <v/>
      </c>
      <c r="I163" s="16" t="n"/>
      <c r="J163" s="16" t="n"/>
      <c r="K163" s="16" t="n"/>
      <c r="L163" s="18" t="n"/>
      <c r="M163" s="16" t="n"/>
      <c r="N163" s="17">
        <f>IF($C163="","",MAX(_xlfn.MAXIFS(nrSK_Att,nrSK_PID,$D163,nrSK_Cat,$E163,nrSK_Res,"Pass"),_xlfn.MAXIFS(nrSK_Att,nrSK_PID,$D163,nrSK_Cat,$E163,nrSK_Res,"Fail")))</f>
        <v/>
      </c>
      <c r="O163" s="17">
        <f>IF($C163="","",IF(AND(MAX(_xlfn.MAXIFS(nrSK_Att,nrSK_PID,$D163,nrSK_Cat,$E163,nrSK_Res,"Pass"),_xlfn.MAXIFS(nrSK_Att,nrSK_PID,$D163,nrSK_Cat,$E163,nrSK_Res,"Fail"))&gt;0,N($I163)&lt;MAX(_xlfn.MAXIFS(nrSK_Att,nrSK_PID,$D163,nrSK_Cat,$E163,nrSK_Res,"Pass"),_xlfn.MAXIFS(nrSK_Att,nrSK_PID,$D163,nrSK_Cat,$E163,nrSK_Res,"Fail"))),"(superseded)",IF(OR($J163="",$J163="Pending"),"Pending",IF($J163="Pass","Qualified",IF(AND($J163="Fail",$N163&gt;=$F163),"FAILED OUT","Needs Remediation")))))</f>
        <v/>
      </c>
      <c r="P163" s="17">
        <f>IF($C163="","",IF($O163="FAILED OUT","Yes","No"))</f>
        <v/>
      </c>
      <c r="Q163" s="16" t="n"/>
      <c r="R163" s="16" t="n"/>
      <c r="S163" s="17">
        <f>IF($C163="","",IF(AND($K163&lt;&gt;"",NOT(ISNUMBER($K163))),"SCORE NOT A NUMBER",IF(AND(ISNUMBER($K163),OR($K163&lt;0,$K163&gt;100)),"SCORE OUT OF RANGE - this score counts toward nothing",IF(AND($G163="Score",$K163="",$J163&lt;&gt;"",$J163&lt;&gt;"Pending"),"RESULT WITHOUT A SCORE",IF(AND($G163="Pass/Fail",$K163&lt;&gt;""),"SCORE ON A PASS-FAIL CATEGORY - it is ignored",IF(AND($E163="Firearms",$J163&lt;&gt;"",$J163&lt;&gt;"Pending",$R163=""),"FIREARMS ROW WITH NO COURSE OF FIRE","OK"))))))</f>
        <v/>
      </c>
    </row>
    <row r="164">
      <c r="B164" s="17">
        <f>IF($C164="","",$D164&amp;"-"&amp;$E164&amp;"-"&amp;$I164)</f>
        <v/>
      </c>
      <c r="C164" s="16" t="n"/>
      <c r="D164" s="17">
        <f>IF($C164="","",IFERROR(INDEX(rngCadetPIDs,MATCH($C164,rngCadetNames,0)),"?"))</f>
        <v/>
      </c>
      <c r="E164" s="16" t="n"/>
      <c r="F164" s="17">
        <f>IF($E164="","",IFERROR(INDEX(rngSM_max,MATCH($E164,rngSM_cat,0)),""))</f>
        <v/>
      </c>
      <c r="G164" s="17">
        <f>IF($E164="","",IFERROR(INDEX(rngSM_mode,MATCH($E164,rngSM_cat,0)),""))</f>
        <v/>
      </c>
      <c r="H164" s="17">
        <f>IF($E164="","",IFERROR(INDEX(rngSM_pass,MATCH($E164,rngSM_cat,0)),""))</f>
        <v/>
      </c>
      <c r="I164" s="16" t="n"/>
      <c r="J164" s="16" t="n"/>
      <c r="K164" s="16" t="n"/>
      <c r="L164" s="18" t="n"/>
      <c r="M164" s="16" t="n"/>
      <c r="N164" s="17">
        <f>IF($C164="","",MAX(_xlfn.MAXIFS(nrSK_Att,nrSK_PID,$D164,nrSK_Cat,$E164,nrSK_Res,"Pass"),_xlfn.MAXIFS(nrSK_Att,nrSK_PID,$D164,nrSK_Cat,$E164,nrSK_Res,"Fail")))</f>
        <v/>
      </c>
      <c r="O164" s="17">
        <f>IF($C164="","",IF(AND(MAX(_xlfn.MAXIFS(nrSK_Att,nrSK_PID,$D164,nrSK_Cat,$E164,nrSK_Res,"Pass"),_xlfn.MAXIFS(nrSK_Att,nrSK_PID,$D164,nrSK_Cat,$E164,nrSK_Res,"Fail"))&gt;0,N($I164)&lt;MAX(_xlfn.MAXIFS(nrSK_Att,nrSK_PID,$D164,nrSK_Cat,$E164,nrSK_Res,"Pass"),_xlfn.MAXIFS(nrSK_Att,nrSK_PID,$D164,nrSK_Cat,$E164,nrSK_Res,"Fail"))),"(superseded)",IF(OR($J164="",$J164="Pending"),"Pending",IF($J164="Pass","Qualified",IF(AND($J164="Fail",$N164&gt;=$F164),"FAILED OUT","Needs Remediation")))))</f>
        <v/>
      </c>
      <c r="P164" s="17">
        <f>IF($C164="","",IF($O164="FAILED OUT","Yes","No"))</f>
        <v/>
      </c>
      <c r="Q164" s="16" t="n"/>
      <c r="R164" s="16" t="n"/>
      <c r="S164" s="17">
        <f>IF($C164="","",IF(AND($K164&lt;&gt;"",NOT(ISNUMBER($K164))),"SCORE NOT A NUMBER",IF(AND(ISNUMBER($K164),OR($K164&lt;0,$K164&gt;100)),"SCORE OUT OF RANGE - this score counts toward nothing",IF(AND($G164="Score",$K164="",$J164&lt;&gt;"",$J164&lt;&gt;"Pending"),"RESULT WITHOUT A SCORE",IF(AND($G164="Pass/Fail",$K164&lt;&gt;""),"SCORE ON A PASS-FAIL CATEGORY - it is ignored",IF(AND($E164="Firearms",$J164&lt;&gt;"",$J164&lt;&gt;"Pending",$R164=""),"FIREARMS ROW WITH NO COURSE OF FIRE","OK"))))))</f>
        <v/>
      </c>
    </row>
    <row r="165">
      <c r="B165" s="17">
        <f>IF($C165="","",$D165&amp;"-"&amp;$E165&amp;"-"&amp;$I165)</f>
        <v/>
      </c>
      <c r="C165" s="16" t="n"/>
      <c r="D165" s="17">
        <f>IF($C165="","",IFERROR(INDEX(rngCadetPIDs,MATCH($C165,rngCadetNames,0)),"?"))</f>
        <v/>
      </c>
      <c r="E165" s="16" t="n"/>
      <c r="F165" s="17">
        <f>IF($E165="","",IFERROR(INDEX(rngSM_max,MATCH($E165,rngSM_cat,0)),""))</f>
        <v/>
      </c>
      <c r="G165" s="17">
        <f>IF($E165="","",IFERROR(INDEX(rngSM_mode,MATCH($E165,rngSM_cat,0)),""))</f>
        <v/>
      </c>
      <c r="H165" s="17">
        <f>IF($E165="","",IFERROR(INDEX(rngSM_pass,MATCH($E165,rngSM_cat,0)),""))</f>
        <v/>
      </c>
      <c r="I165" s="16" t="n"/>
      <c r="J165" s="16" t="n"/>
      <c r="K165" s="16" t="n"/>
      <c r="L165" s="18" t="n"/>
      <c r="M165" s="16" t="n"/>
      <c r="N165" s="17">
        <f>IF($C165="","",MAX(_xlfn.MAXIFS(nrSK_Att,nrSK_PID,$D165,nrSK_Cat,$E165,nrSK_Res,"Pass"),_xlfn.MAXIFS(nrSK_Att,nrSK_PID,$D165,nrSK_Cat,$E165,nrSK_Res,"Fail")))</f>
        <v/>
      </c>
      <c r="O165" s="17">
        <f>IF($C165="","",IF(AND(MAX(_xlfn.MAXIFS(nrSK_Att,nrSK_PID,$D165,nrSK_Cat,$E165,nrSK_Res,"Pass"),_xlfn.MAXIFS(nrSK_Att,nrSK_PID,$D165,nrSK_Cat,$E165,nrSK_Res,"Fail"))&gt;0,N($I165)&lt;MAX(_xlfn.MAXIFS(nrSK_Att,nrSK_PID,$D165,nrSK_Cat,$E165,nrSK_Res,"Pass"),_xlfn.MAXIFS(nrSK_Att,nrSK_PID,$D165,nrSK_Cat,$E165,nrSK_Res,"Fail"))),"(superseded)",IF(OR($J165="",$J165="Pending"),"Pending",IF($J165="Pass","Qualified",IF(AND($J165="Fail",$N165&gt;=$F165),"FAILED OUT","Needs Remediation")))))</f>
        <v/>
      </c>
      <c r="P165" s="17">
        <f>IF($C165="","",IF($O165="FAILED OUT","Yes","No"))</f>
        <v/>
      </c>
      <c r="Q165" s="16" t="n"/>
      <c r="R165" s="16" t="n"/>
      <c r="S165" s="17">
        <f>IF($C165="","",IF(AND($K165&lt;&gt;"",NOT(ISNUMBER($K165))),"SCORE NOT A NUMBER",IF(AND(ISNUMBER($K165),OR($K165&lt;0,$K165&gt;100)),"SCORE OUT OF RANGE - this score counts toward nothing",IF(AND($G165="Score",$K165="",$J165&lt;&gt;"",$J165&lt;&gt;"Pending"),"RESULT WITHOUT A SCORE",IF(AND($G165="Pass/Fail",$K165&lt;&gt;""),"SCORE ON A PASS-FAIL CATEGORY - it is ignored",IF(AND($E165="Firearms",$J165&lt;&gt;"",$J165&lt;&gt;"Pending",$R165=""),"FIREARMS ROW WITH NO COURSE OF FIRE","OK"))))))</f>
        <v/>
      </c>
    </row>
    <row r="166">
      <c r="B166" s="17">
        <f>IF($C166="","",$D166&amp;"-"&amp;$E166&amp;"-"&amp;$I166)</f>
        <v/>
      </c>
      <c r="C166" s="16" t="n"/>
      <c r="D166" s="17">
        <f>IF($C166="","",IFERROR(INDEX(rngCadetPIDs,MATCH($C166,rngCadetNames,0)),"?"))</f>
        <v/>
      </c>
      <c r="E166" s="16" t="n"/>
      <c r="F166" s="17">
        <f>IF($E166="","",IFERROR(INDEX(rngSM_max,MATCH($E166,rngSM_cat,0)),""))</f>
        <v/>
      </c>
      <c r="G166" s="17">
        <f>IF($E166="","",IFERROR(INDEX(rngSM_mode,MATCH($E166,rngSM_cat,0)),""))</f>
        <v/>
      </c>
      <c r="H166" s="17">
        <f>IF($E166="","",IFERROR(INDEX(rngSM_pass,MATCH($E166,rngSM_cat,0)),""))</f>
        <v/>
      </c>
      <c r="I166" s="16" t="n"/>
      <c r="J166" s="16" t="n"/>
      <c r="K166" s="16" t="n"/>
      <c r="L166" s="18" t="n"/>
      <c r="M166" s="16" t="n"/>
      <c r="N166" s="17">
        <f>IF($C166="","",MAX(_xlfn.MAXIFS(nrSK_Att,nrSK_PID,$D166,nrSK_Cat,$E166,nrSK_Res,"Pass"),_xlfn.MAXIFS(nrSK_Att,nrSK_PID,$D166,nrSK_Cat,$E166,nrSK_Res,"Fail")))</f>
        <v/>
      </c>
      <c r="O166" s="17">
        <f>IF($C166="","",IF(AND(MAX(_xlfn.MAXIFS(nrSK_Att,nrSK_PID,$D166,nrSK_Cat,$E166,nrSK_Res,"Pass"),_xlfn.MAXIFS(nrSK_Att,nrSK_PID,$D166,nrSK_Cat,$E166,nrSK_Res,"Fail"))&gt;0,N($I166)&lt;MAX(_xlfn.MAXIFS(nrSK_Att,nrSK_PID,$D166,nrSK_Cat,$E166,nrSK_Res,"Pass"),_xlfn.MAXIFS(nrSK_Att,nrSK_PID,$D166,nrSK_Cat,$E166,nrSK_Res,"Fail"))),"(superseded)",IF(OR($J166="",$J166="Pending"),"Pending",IF($J166="Pass","Qualified",IF(AND($J166="Fail",$N166&gt;=$F166),"FAILED OUT","Needs Remediation")))))</f>
        <v/>
      </c>
      <c r="P166" s="17">
        <f>IF($C166="","",IF($O166="FAILED OUT","Yes","No"))</f>
        <v/>
      </c>
      <c r="Q166" s="16" t="n"/>
      <c r="R166" s="16" t="n"/>
      <c r="S166" s="17">
        <f>IF($C166="","",IF(AND($K166&lt;&gt;"",NOT(ISNUMBER($K166))),"SCORE NOT A NUMBER",IF(AND(ISNUMBER($K166),OR($K166&lt;0,$K166&gt;100)),"SCORE OUT OF RANGE - this score counts toward nothing",IF(AND($G166="Score",$K166="",$J166&lt;&gt;"",$J166&lt;&gt;"Pending"),"RESULT WITHOUT A SCORE",IF(AND($G166="Pass/Fail",$K166&lt;&gt;""),"SCORE ON A PASS-FAIL CATEGORY - it is ignored",IF(AND($E166="Firearms",$J166&lt;&gt;"",$J166&lt;&gt;"Pending",$R166=""),"FIREARMS ROW WITH NO COURSE OF FIRE","OK"))))))</f>
        <v/>
      </c>
    </row>
    <row r="167">
      <c r="B167" s="17">
        <f>IF($C167="","",$D167&amp;"-"&amp;$E167&amp;"-"&amp;$I167)</f>
        <v/>
      </c>
      <c r="C167" s="16" t="n"/>
      <c r="D167" s="17">
        <f>IF($C167="","",IFERROR(INDEX(rngCadetPIDs,MATCH($C167,rngCadetNames,0)),"?"))</f>
        <v/>
      </c>
      <c r="E167" s="16" t="n"/>
      <c r="F167" s="17">
        <f>IF($E167="","",IFERROR(INDEX(rngSM_max,MATCH($E167,rngSM_cat,0)),""))</f>
        <v/>
      </c>
      <c r="G167" s="17">
        <f>IF($E167="","",IFERROR(INDEX(rngSM_mode,MATCH($E167,rngSM_cat,0)),""))</f>
        <v/>
      </c>
      <c r="H167" s="17">
        <f>IF($E167="","",IFERROR(INDEX(rngSM_pass,MATCH($E167,rngSM_cat,0)),""))</f>
        <v/>
      </c>
      <c r="I167" s="16" t="n"/>
      <c r="J167" s="16" t="n"/>
      <c r="K167" s="16" t="n"/>
      <c r="L167" s="18" t="n"/>
      <c r="M167" s="16" t="n"/>
      <c r="N167" s="17">
        <f>IF($C167="","",MAX(_xlfn.MAXIFS(nrSK_Att,nrSK_PID,$D167,nrSK_Cat,$E167,nrSK_Res,"Pass"),_xlfn.MAXIFS(nrSK_Att,nrSK_PID,$D167,nrSK_Cat,$E167,nrSK_Res,"Fail")))</f>
        <v/>
      </c>
      <c r="O167" s="17">
        <f>IF($C167="","",IF(AND(MAX(_xlfn.MAXIFS(nrSK_Att,nrSK_PID,$D167,nrSK_Cat,$E167,nrSK_Res,"Pass"),_xlfn.MAXIFS(nrSK_Att,nrSK_PID,$D167,nrSK_Cat,$E167,nrSK_Res,"Fail"))&gt;0,N($I167)&lt;MAX(_xlfn.MAXIFS(nrSK_Att,nrSK_PID,$D167,nrSK_Cat,$E167,nrSK_Res,"Pass"),_xlfn.MAXIFS(nrSK_Att,nrSK_PID,$D167,nrSK_Cat,$E167,nrSK_Res,"Fail"))),"(superseded)",IF(OR($J167="",$J167="Pending"),"Pending",IF($J167="Pass","Qualified",IF(AND($J167="Fail",$N167&gt;=$F167),"FAILED OUT","Needs Remediation")))))</f>
        <v/>
      </c>
      <c r="P167" s="17">
        <f>IF($C167="","",IF($O167="FAILED OUT","Yes","No"))</f>
        <v/>
      </c>
      <c r="Q167" s="16" t="n"/>
      <c r="R167" s="16" t="n"/>
      <c r="S167" s="17">
        <f>IF($C167="","",IF(AND($K167&lt;&gt;"",NOT(ISNUMBER($K167))),"SCORE NOT A NUMBER",IF(AND(ISNUMBER($K167),OR($K167&lt;0,$K167&gt;100)),"SCORE OUT OF RANGE - this score counts toward nothing",IF(AND($G167="Score",$K167="",$J167&lt;&gt;"",$J167&lt;&gt;"Pending"),"RESULT WITHOUT A SCORE",IF(AND($G167="Pass/Fail",$K167&lt;&gt;""),"SCORE ON A PASS-FAIL CATEGORY - it is ignored",IF(AND($E167="Firearms",$J167&lt;&gt;"",$J167&lt;&gt;"Pending",$R167=""),"FIREARMS ROW WITH NO COURSE OF FIRE","OK"))))))</f>
        <v/>
      </c>
    </row>
    <row r="168">
      <c r="B168" s="17">
        <f>IF($C168="","",$D168&amp;"-"&amp;$E168&amp;"-"&amp;$I168)</f>
        <v/>
      </c>
      <c r="C168" s="16" t="n"/>
      <c r="D168" s="17">
        <f>IF($C168="","",IFERROR(INDEX(rngCadetPIDs,MATCH($C168,rngCadetNames,0)),"?"))</f>
        <v/>
      </c>
      <c r="E168" s="16" t="n"/>
      <c r="F168" s="17">
        <f>IF($E168="","",IFERROR(INDEX(rngSM_max,MATCH($E168,rngSM_cat,0)),""))</f>
        <v/>
      </c>
      <c r="G168" s="17">
        <f>IF($E168="","",IFERROR(INDEX(rngSM_mode,MATCH($E168,rngSM_cat,0)),""))</f>
        <v/>
      </c>
      <c r="H168" s="17">
        <f>IF($E168="","",IFERROR(INDEX(rngSM_pass,MATCH($E168,rngSM_cat,0)),""))</f>
        <v/>
      </c>
      <c r="I168" s="16" t="n"/>
      <c r="J168" s="16" t="n"/>
      <c r="K168" s="16" t="n"/>
      <c r="L168" s="18" t="n"/>
      <c r="M168" s="16" t="n"/>
      <c r="N168" s="17">
        <f>IF($C168="","",MAX(_xlfn.MAXIFS(nrSK_Att,nrSK_PID,$D168,nrSK_Cat,$E168,nrSK_Res,"Pass"),_xlfn.MAXIFS(nrSK_Att,nrSK_PID,$D168,nrSK_Cat,$E168,nrSK_Res,"Fail")))</f>
        <v/>
      </c>
      <c r="O168" s="17">
        <f>IF($C168="","",IF(AND(MAX(_xlfn.MAXIFS(nrSK_Att,nrSK_PID,$D168,nrSK_Cat,$E168,nrSK_Res,"Pass"),_xlfn.MAXIFS(nrSK_Att,nrSK_PID,$D168,nrSK_Cat,$E168,nrSK_Res,"Fail"))&gt;0,N($I168)&lt;MAX(_xlfn.MAXIFS(nrSK_Att,nrSK_PID,$D168,nrSK_Cat,$E168,nrSK_Res,"Pass"),_xlfn.MAXIFS(nrSK_Att,nrSK_PID,$D168,nrSK_Cat,$E168,nrSK_Res,"Fail"))),"(superseded)",IF(OR($J168="",$J168="Pending"),"Pending",IF($J168="Pass","Qualified",IF(AND($J168="Fail",$N168&gt;=$F168),"FAILED OUT","Needs Remediation")))))</f>
        <v/>
      </c>
      <c r="P168" s="17">
        <f>IF($C168="","",IF($O168="FAILED OUT","Yes","No"))</f>
        <v/>
      </c>
      <c r="Q168" s="16" t="n"/>
      <c r="R168" s="16" t="n"/>
      <c r="S168" s="17">
        <f>IF($C168="","",IF(AND($K168&lt;&gt;"",NOT(ISNUMBER($K168))),"SCORE NOT A NUMBER",IF(AND(ISNUMBER($K168),OR($K168&lt;0,$K168&gt;100)),"SCORE OUT OF RANGE - this score counts toward nothing",IF(AND($G168="Score",$K168="",$J168&lt;&gt;"",$J168&lt;&gt;"Pending"),"RESULT WITHOUT A SCORE",IF(AND($G168="Pass/Fail",$K168&lt;&gt;""),"SCORE ON A PASS-FAIL CATEGORY - it is ignored",IF(AND($E168="Firearms",$J168&lt;&gt;"",$J168&lt;&gt;"Pending",$R168=""),"FIREARMS ROW WITH NO COURSE OF FIRE","OK"))))))</f>
        <v/>
      </c>
    </row>
    <row r="169">
      <c r="B169" s="17">
        <f>IF($C169="","",$D169&amp;"-"&amp;$E169&amp;"-"&amp;$I169)</f>
        <v/>
      </c>
      <c r="C169" s="16" t="n"/>
      <c r="D169" s="17">
        <f>IF($C169="","",IFERROR(INDEX(rngCadetPIDs,MATCH($C169,rngCadetNames,0)),"?"))</f>
        <v/>
      </c>
      <c r="E169" s="16" t="n"/>
      <c r="F169" s="17">
        <f>IF($E169="","",IFERROR(INDEX(rngSM_max,MATCH($E169,rngSM_cat,0)),""))</f>
        <v/>
      </c>
      <c r="G169" s="17">
        <f>IF($E169="","",IFERROR(INDEX(rngSM_mode,MATCH($E169,rngSM_cat,0)),""))</f>
        <v/>
      </c>
      <c r="H169" s="17">
        <f>IF($E169="","",IFERROR(INDEX(rngSM_pass,MATCH($E169,rngSM_cat,0)),""))</f>
        <v/>
      </c>
      <c r="I169" s="16" t="n"/>
      <c r="J169" s="16" t="n"/>
      <c r="K169" s="16" t="n"/>
      <c r="L169" s="18" t="n"/>
      <c r="M169" s="16" t="n"/>
      <c r="N169" s="17">
        <f>IF($C169="","",MAX(_xlfn.MAXIFS(nrSK_Att,nrSK_PID,$D169,nrSK_Cat,$E169,nrSK_Res,"Pass"),_xlfn.MAXIFS(nrSK_Att,nrSK_PID,$D169,nrSK_Cat,$E169,nrSK_Res,"Fail")))</f>
        <v/>
      </c>
      <c r="O169" s="17">
        <f>IF($C169="","",IF(AND(MAX(_xlfn.MAXIFS(nrSK_Att,nrSK_PID,$D169,nrSK_Cat,$E169,nrSK_Res,"Pass"),_xlfn.MAXIFS(nrSK_Att,nrSK_PID,$D169,nrSK_Cat,$E169,nrSK_Res,"Fail"))&gt;0,N($I169)&lt;MAX(_xlfn.MAXIFS(nrSK_Att,nrSK_PID,$D169,nrSK_Cat,$E169,nrSK_Res,"Pass"),_xlfn.MAXIFS(nrSK_Att,nrSK_PID,$D169,nrSK_Cat,$E169,nrSK_Res,"Fail"))),"(superseded)",IF(OR($J169="",$J169="Pending"),"Pending",IF($J169="Pass","Qualified",IF(AND($J169="Fail",$N169&gt;=$F169),"FAILED OUT","Needs Remediation")))))</f>
        <v/>
      </c>
      <c r="P169" s="17">
        <f>IF($C169="","",IF($O169="FAILED OUT","Yes","No"))</f>
        <v/>
      </c>
      <c r="Q169" s="16" t="n"/>
      <c r="R169" s="16" t="n"/>
      <c r="S169" s="17">
        <f>IF($C169="","",IF(AND($K169&lt;&gt;"",NOT(ISNUMBER($K169))),"SCORE NOT A NUMBER",IF(AND(ISNUMBER($K169),OR($K169&lt;0,$K169&gt;100)),"SCORE OUT OF RANGE - this score counts toward nothing",IF(AND($G169="Score",$K169="",$J169&lt;&gt;"",$J169&lt;&gt;"Pending"),"RESULT WITHOUT A SCORE",IF(AND($G169="Pass/Fail",$K169&lt;&gt;""),"SCORE ON A PASS-FAIL CATEGORY - it is ignored",IF(AND($E169="Firearms",$J169&lt;&gt;"",$J169&lt;&gt;"Pending",$R169=""),"FIREARMS ROW WITH NO COURSE OF FIRE","OK"))))))</f>
        <v/>
      </c>
    </row>
    <row r="170">
      <c r="B170" s="17">
        <f>IF($C170="","",$D170&amp;"-"&amp;$E170&amp;"-"&amp;$I170)</f>
        <v/>
      </c>
      <c r="C170" s="16" t="n"/>
      <c r="D170" s="17">
        <f>IF($C170="","",IFERROR(INDEX(rngCadetPIDs,MATCH($C170,rngCadetNames,0)),"?"))</f>
        <v/>
      </c>
      <c r="E170" s="16" t="n"/>
      <c r="F170" s="17">
        <f>IF($E170="","",IFERROR(INDEX(rngSM_max,MATCH($E170,rngSM_cat,0)),""))</f>
        <v/>
      </c>
      <c r="G170" s="17">
        <f>IF($E170="","",IFERROR(INDEX(rngSM_mode,MATCH($E170,rngSM_cat,0)),""))</f>
        <v/>
      </c>
      <c r="H170" s="17">
        <f>IF($E170="","",IFERROR(INDEX(rngSM_pass,MATCH($E170,rngSM_cat,0)),""))</f>
        <v/>
      </c>
      <c r="I170" s="16" t="n"/>
      <c r="J170" s="16" t="n"/>
      <c r="K170" s="16" t="n"/>
      <c r="L170" s="18" t="n"/>
      <c r="M170" s="16" t="n"/>
      <c r="N170" s="17">
        <f>IF($C170="","",MAX(_xlfn.MAXIFS(nrSK_Att,nrSK_PID,$D170,nrSK_Cat,$E170,nrSK_Res,"Pass"),_xlfn.MAXIFS(nrSK_Att,nrSK_PID,$D170,nrSK_Cat,$E170,nrSK_Res,"Fail")))</f>
        <v/>
      </c>
      <c r="O170" s="17">
        <f>IF($C170="","",IF(AND(MAX(_xlfn.MAXIFS(nrSK_Att,nrSK_PID,$D170,nrSK_Cat,$E170,nrSK_Res,"Pass"),_xlfn.MAXIFS(nrSK_Att,nrSK_PID,$D170,nrSK_Cat,$E170,nrSK_Res,"Fail"))&gt;0,N($I170)&lt;MAX(_xlfn.MAXIFS(nrSK_Att,nrSK_PID,$D170,nrSK_Cat,$E170,nrSK_Res,"Pass"),_xlfn.MAXIFS(nrSK_Att,nrSK_PID,$D170,nrSK_Cat,$E170,nrSK_Res,"Fail"))),"(superseded)",IF(OR($J170="",$J170="Pending"),"Pending",IF($J170="Pass","Qualified",IF(AND($J170="Fail",$N170&gt;=$F170),"FAILED OUT","Needs Remediation")))))</f>
        <v/>
      </c>
      <c r="P170" s="17">
        <f>IF($C170="","",IF($O170="FAILED OUT","Yes","No"))</f>
        <v/>
      </c>
      <c r="Q170" s="16" t="n"/>
      <c r="R170" s="16" t="n"/>
      <c r="S170" s="17">
        <f>IF($C170="","",IF(AND($K170&lt;&gt;"",NOT(ISNUMBER($K170))),"SCORE NOT A NUMBER",IF(AND(ISNUMBER($K170),OR($K170&lt;0,$K170&gt;100)),"SCORE OUT OF RANGE - this score counts toward nothing",IF(AND($G170="Score",$K170="",$J170&lt;&gt;"",$J170&lt;&gt;"Pending"),"RESULT WITHOUT A SCORE",IF(AND($G170="Pass/Fail",$K170&lt;&gt;""),"SCORE ON A PASS-FAIL CATEGORY - it is ignored",IF(AND($E170="Firearms",$J170&lt;&gt;"",$J170&lt;&gt;"Pending",$R170=""),"FIREARMS ROW WITH NO COURSE OF FIRE","OK"))))))</f>
        <v/>
      </c>
    </row>
    <row r="171">
      <c r="B171" s="17">
        <f>IF($C171="","",$D171&amp;"-"&amp;$E171&amp;"-"&amp;$I171)</f>
        <v/>
      </c>
      <c r="C171" s="16" t="n"/>
      <c r="D171" s="17">
        <f>IF($C171="","",IFERROR(INDEX(rngCadetPIDs,MATCH($C171,rngCadetNames,0)),"?"))</f>
        <v/>
      </c>
      <c r="E171" s="16" t="n"/>
      <c r="F171" s="17">
        <f>IF($E171="","",IFERROR(INDEX(rngSM_max,MATCH($E171,rngSM_cat,0)),""))</f>
        <v/>
      </c>
      <c r="G171" s="17">
        <f>IF($E171="","",IFERROR(INDEX(rngSM_mode,MATCH($E171,rngSM_cat,0)),""))</f>
        <v/>
      </c>
      <c r="H171" s="17">
        <f>IF($E171="","",IFERROR(INDEX(rngSM_pass,MATCH($E171,rngSM_cat,0)),""))</f>
        <v/>
      </c>
      <c r="I171" s="16" t="n"/>
      <c r="J171" s="16" t="n"/>
      <c r="K171" s="16" t="n"/>
      <c r="L171" s="18" t="n"/>
      <c r="M171" s="16" t="n"/>
      <c r="N171" s="17">
        <f>IF($C171="","",MAX(_xlfn.MAXIFS(nrSK_Att,nrSK_PID,$D171,nrSK_Cat,$E171,nrSK_Res,"Pass"),_xlfn.MAXIFS(nrSK_Att,nrSK_PID,$D171,nrSK_Cat,$E171,nrSK_Res,"Fail")))</f>
        <v/>
      </c>
      <c r="O171" s="17">
        <f>IF($C171="","",IF(AND(MAX(_xlfn.MAXIFS(nrSK_Att,nrSK_PID,$D171,nrSK_Cat,$E171,nrSK_Res,"Pass"),_xlfn.MAXIFS(nrSK_Att,nrSK_PID,$D171,nrSK_Cat,$E171,nrSK_Res,"Fail"))&gt;0,N($I171)&lt;MAX(_xlfn.MAXIFS(nrSK_Att,nrSK_PID,$D171,nrSK_Cat,$E171,nrSK_Res,"Pass"),_xlfn.MAXIFS(nrSK_Att,nrSK_PID,$D171,nrSK_Cat,$E171,nrSK_Res,"Fail"))),"(superseded)",IF(OR($J171="",$J171="Pending"),"Pending",IF($J171="Pass","Qualified",IF(AND($J171="Fail",$N171&gt;=$F171),"FAILED OUT","Needs Remediation")))))</f>
        <v/>
      </c>
      <c r="P171" s="17">
        <f>IF($C171="","",IF($O171="FAILED OUT","Yes","No"))</f>
        <v/>
      </c>
      <c r="Q171" s="16" t="n"/>
      <c r="R171" s="16" t="n"/>
      <c r="S171" s="17">
        <f>IF($C171="","",IF(AND($K171&lt;&gt;"",NOT(ISNUMBER($K171))),"SCORE NOT A NUMBER",IF(AND(ISNUMBER($K171),OR($K171&lt;0,$K171&gt;100)),"SCORE OUT OF RANGE - this score counts toward nothing",IF(AND($G171="Score",$K171="",$J171&lt;&gt;"",$J171&lt;&gt;"Pending"),"RESULT WITHOUT A SCORE",IF(AND($G171="Pass/Fail",$K171&lt;&gt;""),"SCORE ON A PASS-FAIL CATEGORY - it is ignored",IF(AND($E171="Firearms",$J171&lt;&gt;"",$J171&lt;&gt;"Pending",$R171=""),"FIREARMS ROW WITH NO COURSE OF FIRE","OK"))))))</f>
        <v/>
      </c>
    </row>
    <row r="172">
      <c r="B172" s="17">
        <f>IF($C172="","",$D172&amp;"-"&amp;$E172&amp;"-"&amp;$I172)</f>
        <v/>
      </c>
      <c r="C172" s="16" t="n"/>
      <c r="D172" s="17">
        <f>IF($C172="","",IFERROR(INDEX(rngCadetPIDs,MATCH($C172,rngCadetNames,0)),"?"))</f>
        <v/>
      </c>
      <c r="E172" s="16" t="n"/>
      <c r="F172" s="17">
        <f>IF($E172="","",IFERROR(INDEX(rngSM_max,MATCH($E172,rngSM_cat,0)),""))</f>
        <v/>
      </c>
      <c r="G172" s="17">
        <f>IF($E172="","",IFERROR(INDEX(rngSM_mode,MATCH($E172,rngSM_cat,0)),""))</f>
        <v/>
      </c>
      <c r="H172" s="17">
        <f>IF($E172="","",IFERROR(INDEX(rngSM_pass,MATCH($E172,rngSM_cat,0)),""))</f>
        <v/>
      </c>
      <c r="I172" s="16" t="n"/>
      <c r="J172" s="16" t="n"/>
      <c r="K172" s="16" t="n"/>
      <c r="L172" s="18" t="n"/>
      <c r="M172" s="16" t="n"/>
      <c r="N172" s="17">
        <f>IF($C172="","",MAX(_xlfn.MAXIFS(nrSK_Att,nrSK_PID,$D172,nrSK_Cat,$E172,nrSK_Res,"Pass"),_xlfn.MAXIFS(nrSK_Att,nrSK_PID,$D172,nrSK_Cat,$E172,nrSK_Res,"Fail")))</f>
        <v/>
      </c>
      <c r="O172" s="17">
        <f>IF($C172="","",IF(AND(MAX(_xlfn.MAXIFS(nrSK_Att,nrSK_PID,$D172,nrSK_Cat,$E172,nrSK_Res,"Pass"),_xlfn.MAXIFS(nrSK_Att,nrSK_PID,$D172,nrSK_Cat,$E172,nrSK_Res,"Fail"))&gt;0,N($I172)&lt;MAX(_xlfn.MAXIFS(nrSK_Att,nrSK_PID,$D172,nrSK_Cat,$E172,nrSK_Res,"Pass"),_xlfn.MAXIFS(nrSK_Att,nrSK_PID,$D172,nrSK_Cat,$E172,nrSK_Res,"Fail"))),"(superseded)",IF(OR($J172="",$J172="Pending"),"Pending",IF($J172="Pass","Qualified",IF(AND($J172="Fail",$N172&gt;=$F172),"FAILED OUT","Needs Remediation")))))</f>
        <v/>
      </c>
      <c r="P172" s="17">
        <f>IF($C172="","",IF($O172="FAILED OUT","Yes","No"))</f>
        <v/>
      </c>
      <c r="Q172" s="16" t="n"/>
      <c r="R172" s="16" t="n"/>
      <c r="S172" s="17">
        <f>IF($C172="","",IF(AND($K172&lt;&gt;"",NOT(ISNUMBER($K172))),"SCORE NOT A NUMBER",IF(AND(ISNUMBER($K172),OR($K172&lt;0,$K172&gt;100)),"SCORE OUT OF RANGE - this score counts toward nothing",IF(AND($G172="Score",$K172="",$J172&lt;&gt;"",$J172&lt;&gt;"Pending"),"RESULT WITHOUT A SCORE",IF(AND($G172="Pass/Fail",$K172&lt;&gt;""),"SCORE ON A PASS-FAIL CATEGORY - it is ignored",IF(AND($E172="Firearms",$J172&lt;&gt;"",$J172&lt;&gt;"Pending",$R172=""),"FIREARMS ROW WITH NO COURSE OF FIRE","OK"))))))</f>
        <v/>
      </c>
    </row>
    <row r="173">
      <c r="B173" s="17">
        <f>IF($C173="","",$D173&amp;"-"&amp;$E173&amp;"-"&amp;$I173)</f>
        <v/>
      </c>
      <c r="C173" s="16" t="n"/>
      <c r="D173" s="17">
        <f>IF($C173="","",IFERROR(INDEX(rngCadetPIDs,MATCH($C173,rngCadetNames,0)),"?"))</f>
        <v/>
      </c>
      <c r="E173" s="16" t="n"/>
      <c r="F173" s="17">
        <f>IF($E173="","",IFERROR(INDEX(rngSM_max,MATCH($E173,rngSM_cat,0)),""))</f>
        <v/>
      </c>
      <c r="G173" s="17">
        <f>IF($E173="","",IFERROR(INDEX(rngSM_mode,MATCH($E173,rngSM_cat,0)),""))</f>
        <v/>
      </c>
      <c r="H173" s="17">
        <f>IF($E173="","",IFERROR(INDEX(rngSM_pass,MATCH($E173,rngSM_cat,0)),""))</f>
        <v/>
      </c>
      <c r="I173" s="16" t="n"/>
      <c r="J173" s="16" t="n"/>
      <c r="K173" s="16" t="n"/>
      <c r="L173" s="18" t="n"/>
      <c r="M173" s="16" t="n"/>
      <c r="N173" s="17">
        <f>IF($C173="","",MAX(_xlfn.MAXIFS(nrSK_Att,nrSK_PID,$D173,nrSK_Cat,$E173,nrSK_Res,"Pass"),_xlfn.MAXIFS(nrSK_Att,nrSK_PID,$D173,nrSK_Cat,$E173,nrSK_Res,"Fail")))</f>
        <v/>
      </c>
      <c r="O173" s="17">
        <f>IF($C173="","",IF(AND(MAX(_xlfn.MAXIFS(nrSK_Att,nrSK_PID,$D173,nrSK_Cat,$E173,nrSK_Res,"Pass"),_xlfn.MAXIFS(nrSK_Att,nrSK_PID,$D173,nrSK_Cat,$E173,nrSK_Res,"Fail"))&gt;0,N($I173)&lt;MAX(_xlfn.MAXIFS(nrSK_Att,nrSK_PID,$D173,nrSK_Cat,$E173,nrSK_Res,"Pass"),_xlfn.MAXIFS(nrSK_Att,nrSK_PID,$D173,nrSK_Cat,$E173,nrSK_Res,"Fail"))),"(superseded)",IF(OR($J173="",$J173="Pending"),"Pending",IF($J173="Pass","Qualified",IF(AND($J173="Fail",$N173&gt;=$F173),"FAILED OUT","Needs Remediation")))))</f>
        <v/>
      </c>
      <c r="P173" s="17">
        <f>IF($C173="","",IF($O173="FAILED OUT","Yes","No"))</f>
        <v/>
      </c>
      <c r="Q173" s="16" t="n"/>
      <c r="R173" s="16" t="n"/>
      <c r="S173" s="17">
        <f>IF($C173="","",IF(AND($K173&lt;&gt;"",NOT(ISNUMBER($K173))),"SCORE NOT A NUMBER",IF(AND(ISNUMBER($K173),OR($K173&lt;0,$K173&gt;100)),"SCORE OUT OF RANGE - this score counts toward nothing",IF(AND($G173="Score",$K173="",$J173&lt;&gt;"",$J173&lt;&gt;"Pending"),"RESULT WITHOUT A SCORE",IF(AND($G173="Pass/Fail",$K173&lt;&gt;""),"SCORE ON A PASS-FAIL CATEGORY - it is ignored",IF(AND($E173="Firearms",$J173&lt;&gt;"",$J173&lt;&gt;"Pending",$R173=""),"FIREARMS ROW WITH NO COURSE OF FIRE","OK"))))))</f>
        <v/>
      </c>
    </row>
    <row r="174">
      <c r="B174" s="17">
        <f>IF($C174="","",$D174&amp;"-"&amp;$E174&amp;"-"&amp;$I174)</f>
        <v/>
      </c>
      <c r="C174" s="16" t="n"/>
      <c r="D174" s="17">
        <f>IF($C174="","",IFERROR(INDEX(rngCadetPIDs,MATCH($C174,rngCadetNames,0)),"?"))</f>
        <v/>
      </c>
      <c r="E174" s="16" t="n"/>
      <c r="F174" s="17">
        <f>IF($E174="","",IFERROR(INDEX(rngSM_max,MATCH($E174,rngSM_cat,0)),""))</f>
        <v/>
      </c>
      <c r="G174" s="17">
        <f>IF($E174="","",IFERROR(INDEX(rngSM_mode,MATCH($E174,rngSM_cat,0)),""))</f>
        <v/>
      </c>
      <c r="H174" s="17">
        <f>IF($E174="","",IFERROR(INDEX(rngSM_pass,MATCH($E174,rngSM_cat,0)),""))</f>
        <v/>
      </c>
      <c r="I174" s="16" t="n"/>
      <c r="J174" s="16" t="n"/>
      <c r="K174" s="16" t="n"/>
      <c r="L174" s="18" t="n"/>
      <c r="M174" s="16" t="n"/>
      <c r="N174" s="17">
        <f>IF($C174="","",MAX(_xlfn.MAXIFS(nrSK_Att,nrSK_PID,$D174,nrSK_Cat,$E174,nrSK_Res,"Pass"),_xlfn.MAXIFS(nrSK_Att,nrSK_PID,$D174,nrSK_Cat,$E174,nrSK_Res,"Fail")))</f>
        <v/>
      </c>
      <c r="O174" s="17">
        <f>IF($C174="","",IF(AND(MAX(_xlfn.MAXIFS(nrSK_Att,nrSK_PID,$D174,nrSK_Cat,$E174,nrSK_Res,"Pass"),_xlfn.MAXIFS(nrSK_Att,nrSK_PID,$D174,nrSK_Cat,$E174,nrSK_Res,"Fail"))&gt;0,N($I174)&lt;MAX(_xlfn.MAXIFS(nrSK_Att,nrSK_PID,$D174,nrSK_Cat,$E174,nrSK_Res,"Pass"),_xlfn.MAXIFS(nrSK_Att,nrSK_PID,$D174,nrSK_Cat,$E174,nrSK_Res,"Fail"))),"(superseded)",IF(OR($J174="",$J174="Pending"),"Pending",IF($J174="Pass","Qualified",IF(AND($J174="Fail",$N174&gt;=$F174),"FAILED OUT","Needs Remediation")))))</f>
        <v/>
      </c>
      <c r="P174" s="17">
        <f>IF($C174="","",IF($O174="FAILED OUT","Yes","No"))</f>
        <v/>
      </c>
      <c r="Q174" s="16" t="n"/>
      <c r="R174" s="16" t="n"/>
      <c r="S174" s="17">
        <f>IF($C174="","",IF(AND($K174&lt;&gt;"",NOT(ISNUMBER($K174))),"SCORE NOT A NUMBER",IF(AND(ISNUMBER($K174),OR($K174&lt;0,$K174&gt;100)),"SCORE OUT OF RANGE - this score counts toward nothing",IF(AND($G174="Score",$K174="",$J174&lt;&gt;"",$J174&lt;&gt;"Pending"),"RESULT WITHOUT A SCORE",IF(AND($G174="Pass/Fail",$K174&lt;&gt;""),"SCORE ON A PASS-FAIL CATEGORY - it is ignored",IF(AND($E174="Firearms",$J174&lt;&gt;"",$J174&lt;&gt;"Pending",$R174=""),"FIREARMS ROW WITH NO COURSE OF FIRE","OK"))))))</f>
        <v/>
      </c>
    </row>
    <row r="175">
      <c r="B175" s="17">
        <f>IF($C175="","",$D175&amp;"-"&amp;$E175&amp;"-"&amp;$I175)</f>
        <v/>
      </c>
      <c r="C175" s="16" t="n"/>
      <c r="D175" s="17">
        <f>IF($C175="","",IFERROR(INDEX(rngCadetPIDs,MATCH($C175,rngCadetNames,0)),"?"))</f>
        <v/>
      </c>
      <c r="E175" s="16" t="n"/>
      <c r="F175" s="17">
        <f>IF($E175="","",IFERROR(INDEX(rngSM_max,MATCH($E175,rngSM_cat,0)),""))</f>
        <v/>
      </c>
      <c r="G175" s="17">
        <f>IF($E175="","",IFERROR(INDEX(rngSM_mode,MATCH($E175,rngSM_cat,0)),""))</f>
        <v/>
      </c>
      <c r="H175" s="17">
        <f>IF($E175="","",IFERROR(INDEX(rngSM_pass,MATCH($E175,rngSM_cat,0)),""))</f>
        <v/>
      </c>
      <c r="I175" s="16" t="n"/>
      <c r="J175" s="16" t="n"/>
      <c r="K175" s="16" t="n"/>
      <c r="L175" s="18" t="n"/>
      <c r="M175" s="16" t="n"/>
      <c r="N175" s="17">
        <f>IF($C175="","",MAX(_xlfn.MAXIFS(nrSK_Att,nrSK_PID,$D175,nrSK_Cat,$E175,nrSK_Res,"Pass"),_xlfn.MAXIFS(nrSK_Att,nrSK_PID,$D175,nrSK_Cat,$E175,nrSK_Res,"Fail")))</f>
        <v/>
      </c>
      <c r="O175" s="17">
        <f>IF($C175="","",IF(AND(MAX(_xlfn.MAXIFS(nrSK_Att,nrSK_PID,$D175,nrSK_Cat,$E175,nrSK_Res,"Pass"),_xlfn.MAXIFS(nrSK_Att,nrSK_PID,$D175,nrSK_Cat,$E175,nrSK_Res,"Fail"))&gt;0,N($I175)&lt;MAX(_xlfn.MAXIFS(nrSK_Att,nrSK_PID,$D175,nrSK_Cat,$E175,nrSK_Res,"Pass"),_xlfn.MAXIFS(nrSK_Att,nrSK_PID,$D175,nrSK_Cat,$E175,nrSK_Res,"Fail"))),"(superseded)",IF(OR($J175="",$J175="Pending"),"Pending",IF($J175="Pass","Qualified",IF(AND($J175="Fail",$N175&gt;=$F175),"FAILED OUT","Needs Remediation")))))</f>
        <v/>
      </c>
      <c r="P175" s="17">
        <f>IF($C175="","",IF($O175="FAILED OUT","Yes","No"))</f>
        <v/>
      </c>
      <c r="Q175" s="16" t="n"/>
      <c r="R175" s="16" t="n"/>
      <c r="S175" s="17">
        <f>IF($C175="","",IF(AND($K175&lt;&gt;"",NOT(ISNUMBER($K175))),"SCORE NOT A NUMBER",IF(AND(ISNUMBER($K175),OR($K175&lt;0,$K175&gt;100)),"SCORE OUT OF RANGE - this score counts toward nothing",IF(AND($G175="Score",$K175="",$J175&lt;&gt;"",$J175&lt;&gt;"Pending"),"RESULT WITHOUT A SCORE",IF(AND($G175="Pass/Fail",$K175&lt;&gt;""),"SCORE ON A PASS-FAIL CATEGORY - it is ignored",IF(AND($E175="Firearms",$J175&lt;&gt;"",$J175&lt;&gt;"Pending",$R175=""),"FIREARMS ROW WITH NO COURSE OF FIRE","OK"))))))</f>
        <v/>
      </c>
    </row>
    <row r="176">
      <c r="B176" s="17">
        <f>IF($C176="","",$D176&amp;"-"&amp;$E176&amp;"-"&amp;$I176)</f>
        <v/>
      </c>
      <c r="C176" s="16" t="n"/>
      <c r="D176" s="17">
        <f>IF($C176="","",IFERROR(INDEX(rngCadetPIDs,MATCH($C176,rngCadetNames,0)),"?"))</f>
        <v/>
      </c>
      <c r="E176" s="16" t="n"/>
      <c r="F176" s="17">
        <f>IF($E176="","",IFERROR(INDEX(rngSM_max,MATCH($E176,rngSM_cat,0)),""))</f>
        <v/>
      </c>
      <c r="G176" s="17">
        <f>IF($E176="","",IFERROR(INDEX(rngSM_mode,MATCH($E176,rngSM_cat,0)),""))</f>
        <v/>
      </c>
      <c r="H176" s="17">
        <f>IF($E176="","",IFERROR(INDEX(rngSM_pass,MATCH($E176,rngSM_cat,0)),""))</f>
        <v/>
      </c>
      <c r="I176" s="16" t="n"/>
      <c r="J176" s="16" t="n"/>
      <c r="K176" s="16" t="n"/>
      <c r="L176" s="18" t="n"/>
      <c r="M176" s="16" t="n"/>
      <c r="N176" s="17">
        <f>IF($C176="","",MAX(_xlfn.MAXIFS(nrSK_Att,nrSK_PID,$D176,nrSK_Cat,$E176,nrSK_Res,"Pass"),_xlfn.MAXIFS(nrSK_Att,nrSK_PID,$D176,nrSK_Cat,$E176,nrSK_Res,"Fail")))</f>
        <v/>
      </c>
      <c r="O176" s="17">
        <f>IF($C176="","",IF(AND(MAX(_xlfn.MAXIFS(nrSK_Att,nrSK_PID,$D176,nrSK_Cat,$E176,nrSK_Res,"Pass"),_xlfn.MAXIFS(nrSK_Att,nrSK_PID,$D176,nrSK_Cat,$E176,nrSK_Res,"Fail"))&gt;0,N($I176)&lt;MAX(_xlfn.MAXIFS(nrSK_Att,nrSK_PID,$D176,nrSK_Cat,$E176,nrSK_Res,"Pass"),_xlfn.MAXIFS(nrSK_Att,nrSK_PID,$D176,nrSK_Cat,$E176,nrSK_Res,"Fail"))),"(superseded)",IF(OR($J176="",$J176="Pending"),"Pending",IF($J176="Pass","Qualified",IF(AND($J176="Fail",$N176&gt;=$F176),"FAILED OUT","Needs Remediation")))))</f>
        <v/>
      </c>
      <c r="P176" s="17">
        <f>IF($C176="","",IF($O176="FAILED OUT","Yes","No"))</f>
        <v/>
      </c>
      <c r="Q176" s="16" t="n"/>
      <c r="R176" s="16" t="n"/>
      <c r="S176" s="17">
        <f>IF($C176="","",IF(AND($K176&lt;&gt;"",NOT(ISNUMBER($K176))),"SCORE NOT A NUMBER",IF(AND(ISNUMBER($K176),OR($K176&lt;0,$K176&gt;100)),"SCORE OUT OF RANGE - this score counts toward nothing",IF(AND($G176="Score",$K176="",$J176&lt;&gt;"",$J176&lt;&gt;"Pending"),"RESULT WITHOUT A SCORE",IF(AND($G176="Pass/Fail",$K176&lt;&gt;""),"SCORE ON A PASS-FAIL CATEGORY - it is ignored",IF(AND($E176="Firearms",$J176&lt;&gt;"",$J176&lt;&gt;"Pending",$R176=""),"FIREARMS ROW WITH NO COURSE OF FIRE","OK"))))))</f>
        <v/>
      </c>
    </row>
    <row r="177">
      <c r="B177" s="17">
        <f>IF($C177="","",$D177&amp;"-"&amp;$E177&amp;"-"&amp;$I177)</f>
        <v/>
      </c>
      <c r="C177" s="16" t="n"/>
      <c r="D177" s="17">
        <f>IF($C177="","",IFERROR(INDEX(rngCadetPIDs,MATCH($C177,rngCadetNames,0)),"?"))</f>
        <v/>
      </c>
      <c r="E177" s="16" t="n"/>
      <c r="F177" s="17">
        <f>IF($E177="","",IFERROR(INDEX(rngSM_max,MATCH($E177,rngSM_cat,0)),""))</f>
        <v/>
      </c>
      <c r="G177" s="17">
        <f>IF($E177="","",IFERROR(INDEX(rngSM_mode,MATCH($E177,rngSM_cat,0)),""))</f>
        <v/>
      </c>
      <c r="H177" s="17">
        <f>IF($E177="","",IFERROR(INDEX(rngSM_pass,MATCH($E177,rngSM_cat,0)),""))</f>
        <v/>
      </c>
      <c r="I177" s="16" t="n"/>
      <c r="J177" s="16" t="n"/>
      <c r="K177" s="16" t="n"/>
      <c r="L177" s="18" t="n"/>
      <c r="M177" s="16" t="n"/>
      <c r="N177" s="17">
        <f>IF($C177="","",MAX(_xlfn.MAXIFS(nrSK_Att,nrSK_PID,$D177,nrSK_Cat,$E177,nrSK_Res,"Pass"),_xlfn.MAXIFS(nrSK_Att,nrSK_PID,$D177,nrSK_Cat,$E177,nrSK_Res,"Fail")))</f>
        <v/>
      </c>
      <c r="O177" s="17">
        <f>IF($C177="","",IF(AND(MAX(_xlfn.MAXIFS(nrSK_Att,nrSK_PID,$D177,nrSK_Cat,$E177,nrSK_Res,"Pass"),_xlfn.MAXIFS(nrSK_Att,nrSK_PID,$D177,nrSK_Cat,$E177,nrSK_Res,"Fail"))&gt;0,N($I177)&lt;MAX(_xlfn.MAXIFS(nrSK_Att,nrSK_PID,$D177,nrSK_Cat,$E177,nrSK_Res,"Pass"),_xlfn.MAXIFS(nrSK_Att,nrSK_PID,$D177,nrSK_Cat,$E177,nrSK_Res,"Fail"))),"(superseded)",IF(OR($J177="",$J177="Pending"),"Pending",IF($J177="Pass","Qualified",IF(AND($J177="Fail",$N177&gt;=$F177),"FAILED OUT","Needs Remediation")))))</f>
        <v/>
      </c>
      <c r="P177" s="17">
        <f>IF($C177="","",IF($O177="FAILED OUT","Yes","No"))</f>
        <v/>
      </c>
      <c r="Q177" s="16" t="n"/>
      <c r="R177" s="16" t="n"/>
      <c r="S177" s="17">
        <f>IF($C177="","",IF(AND($K177&lt;&gt;"",NOT(ISNUMBER($K177))),"SCORE NOT A NUMBER",IF(AND(ISNUMBER($K177),OR($K177&lt;0,$K177&gt;100)),"SCORE OUT OF RANGE - this score counts toward nothing",IF(AND($G177="Score",$K177="",$J177&lt;&gt;"",$J177&lt;&gt;"Pending"),"RESULT WITHOUT A SCORE",IF(AND($G177="Pass/Fail",$K177&lt;&gt;""),"SCORE ON A PASS-FAIL CATEGORY - it is ignored",IF(AND($E177="Firearms",$J177&lt;&gt;"",$J177&lt;&gt;"Pending",$R177=""),"FIREARMS ROW WITH NO COURSE OF FIRE","OK"))))))</f>
        <v/>
      </c>
    </row>
    <row r="178">
      <c r="B178" s="17">
        <f>IF($C178="","",$D178&amp;"-"&amp;$E178&amp;"-"&amp;$I178)</f>
        <v/>
      </c>
      <c r="C178" s="16" t="n"/>
      <c r="D178" s="17">
        <f>IF($C178="","",IFERROR(INDEX(rngCadetPIDs,MATCH($C178,rngCadetNames,0)),"?"))</f>
        <v/>
      </c>
      <c r="E178" s="16" t="n"/>
      <c r="F178" s="17">
        <f>IF($E178="","",IFERROR(INDEX(rngSM_max,MATCH($E178,rngSM_cat,0)),""))</f>
        <v/>
      </c>
      <c r="G178" s="17">
        <f>IF($E178="","",IFERROR(INDEX(rngSM_mode,MATCH($E178,rngSM_cat,0)),""))</f>
        <v/>
      </c>
      <c r="H178" s="17">
        <f>IF($E178="","",IFERROR(INDEX(rngSM_pass,MATCH($E178,rngSM_cat,0)),""))</f>
        <v/>
      </c>
      <c r="I178" s="16" t="n"/>
      <c r="J178" s="16" t="n"/>
      <c r="K178" s="16" t="n"/>
      <c r="L178" s="18" t="n"/>
      <c r="M178" s="16" t="n"/>
      <c r="N178" s="17">
        <f>IF($C178="","",MAX(_xlfn.MAXIFS(nrSK_Att,nrSK_PID,$D178,nrSK_Cat,$E178,nrSK_Res,"Pass"),_xlfn.MAXIFS(nrSK_Att,nrSK_PID,$D178,nrSK_Cat,$E178,nrSK_Res,"Fail")))</f>
        <v/>
      </c>
      <c r="O178" s="17">
        <f>IF($C178="","",IF(AND(MAX(_xlfn.MAXIFS(nrSK_Att,nrSK_PID,$D178,nrSK_Cat,$E178,nrSK_Res,"Pass"),_xlfn.MAXIFS(nrSK_Att,nrSK_PID,$D178,nrSK_Cat,$E178,nrSK_Res,"Fail"))&gt;0,N($I178)&lt;MAX(_xlfn.MAXIFS(nrSK_Att,nrSK_PID,$D178,nrSK_Cat,$E178,nrSK_Res,"Pass"),_xlfn.MAXIFS(nrSK_Att,nrSK_PID,$D178,nrSK_Cat,$E178,nrSK_Res,"Fail"))),"(superseded)",IF(OR($J178="",$J178="Pending"),"Pending",IF($J178="Pass","Qualified",IF(AND($J178="Fail",$N178&gt;=$F178),"FAILED OUT","Needs Remediation")))))</f>
        <v/>
      </c>
      <c r="P178" s="17">
        <f>IF($C178="","",IF($O178="FAILED OUT","Yes","No"))</f>
        <v/>
      </c>
      <c r="Q178" s="16" t="n"/>
      <c r="R178" s="16" t="n"/>
      <c r="S178" s="17">
        <f>IF($C178="","",IF(AND($K178&lt;&gt;"",NOT(ISNUMBER($K178))),"SCORE NOT A NUMBER",IF(AND(ISNUMBER($K178),OR($K178&lt;0,$K178&gt;100)),"SCORE OUT OF RANGE - this score counts toward nothing",IF(AND($G178="Score",$K178="",$J178&lt;&gt;"",$J178&lt;&gt;"Pending"),"RESULT WITHOUT A SCORE",IF(AND($G178="Pass/Fail",$K178&lt;&gt;""),"SCORE ON A PASS-FAIL CATEGORY - it is ignored",IF(AND($E178="Firearms",$J178&lt;&gt;"",$J178&lt;&gt;"Pending",$R178=""),"FIREARMS ROW WITH NO COURSE OF FIRE","OK"))))))</f>
        <v/>
      </c>
    </row>
    <row r="179">
      <c r="B179" s="17">
        <f>IF($C179="","",$D179&amp;"-"&amp;$E179&amp;"-"&amp;$I179)</f>
        <v/>
      </c>
      <c r="C179" s="16" t="n"/>
      <c r="D179" s="17">
        <f>IF($C179="","",IFERROR(INDEX(rngCadetPIDs,MATCH($C179,rngCadetNames,0)),"?"))</f>
        <v/>
      </c>
      <c r="E179" s="16" t="n"/>
      <c r="F179" s="17">
        <f>IF($E179="","",IFERROR(INDEX(rngSM_max,MATCH($E179,rngSM_cat,0)),""))</f>
        <v/>
      </c>
      <c r="G179" s="17">
        <f>IF($E179="","",IFERROR(INDEX(rngSM_mode,MATCH($E179,rngSM_cat,0)),""))</f>
        <v/>
      </c>
      <c r="H179" s="17">
        <f>IF($E179="","",IFERROR(INDEX(rngSM_pass,MATCH($E179,rngSM_cat,0)),""))</f>
        <v/>
      </c>
      <c r="I179" s="16" t="n"/>
      <c r="J179" s="16" t="n"/>
      <c r="K179" s="16" t="n"/>
      <c r="L179" s="18" t="n"/>
      <c r="M179" s="16" t="n"/>
      <c r="N179" s="17">
        <f>IF($C179="","",MAX(_xlfn.MAXIFS(nrSK_Att,nrSK_PID,$D179,nrSK_Cat,$E179,nrSK_Res,"Pass"),_xlfn.MAXIFS(nrSK_Att,nrSK_PID,$D179,nrSK_Cat,$E179,nrSK_Res,"Fail")))</f>
        <v/>
      </c>
      <c r="O179" s="17">
        <f>IF($C179="","",IF(AND(MAX(_xlfn.MAXIFS(nrSK_Att,nrSK_PID,$D179,nrSK_Cat,$E179,nrSK_Res,"Pass"),_xlfn.MAXIFS(nrSK_Att,nrSK_PID,$D179,nrSK_Cat,$E179,nrSK_Res,"Fail"))&gt;0,N($I179)&lt;MAX(_xlfn.MAXIFS(nrSK_Att,nrSK_PID,$D179,nrSK_Cat,$E179,nrSK_Res,"Pass"),_xlfn.MAXIFS(nrSK_Att,nrSK_PID,$D179,nrSK_Cat,$E179,nrSK_Res,"Fail"))),"(superseded)",IF(OR($J179="",$J179="Pending"),"Pending",IF($J179="Pass","Qualified",IF(AND($J179="Fail",$N179&gt;=$F179),"FAILED OUT","Needs Remediation")))))</f>
        <v/>
      </c>
      <c r="P179" s="17">
        <f>IF($C179="","",IF($O179="FAILED OUT","Yes","No"))</f>
        <v/>
      </c>
      <c r="Q179" s="16" t="n"/>
      <c r="R179" s="16" t="n"/>
      <c r="S179" s="17">
        <f>IF($C179="","",IF(AND($K179&lt;&gt;"",NOT(ISNUMBER($K179))),"SCORE NOT A NUMBER",IF(AND(ISNUMBER($K179),OR($K179&lt;0,$K179&gt;100)),"SCORE OUT OF RANGE - this score counts toward nothing",IF(AND($G179="Score",$K179="",$J179&lt;&gt;"",$J179&lt;&gt;"Pending"),"RESULT WITHOUT A SCORE",IF(AND($G179="Pass/Fail",$K179&lt;&gt;""),"SCORE ON A PASS-FAIL CATEGORY - it is ignored",IF(AND($E179="Firearms",$J179&lt;&gt;"",$J179&lt;&gt;"Pending",$R179=""),"FIREARMS ROW WITH NO COURSE OF FIRE","OK"))))))</f>
        <v/>
      </c>
    </row>
    <row r="180">
      <c r="B180" s="17">
        <f>IF($C180="","",$D180&amp;"-"&amp;$E180&amp;"-"&amp;$I180)</f>
        <v/>
      </c>
      <c r="C180" s="16" t="n"/>
      <c r="D180" s="17">
        <f>IF($C180="","",IFERROR(INDEX(rngCadetPIDs,MATCH($C180,rngCadetNames,0)),"?"))</f>
        <v/>
      </c>
      <c r="E180" s="16" t="n"/>
      <c r="F180" s="17">
        <f>IF($E180="","",IFERROR(INDEX(rngSM_max,MATCH($E180,rngSM_cat,0)),""))</f>
        <v/>
      </c>
      <c r="G180" s="17">
        <f>IF($E180="","",IFERROR(INDEX(rngSM_mode,MATCH($E180,rngSM_cat,0)),""))</f>
        <v/>
      </c>
      <c r="H180" s="17">
        <f>IF($E180="","",IFERROR(INDEX(rngSM_pass,MATCH($E180,rngSM_cat,0)),""))</f>
        <v/>
      </c>
      <c r="I180" s="16" t="n"/>
      <c r="J180" s="16" t="n"/>
      <c r="K180" s="16" t="n"/>
      <c r="L180" s="18" t="n"/>
      <c r="M180" s="16" t="n"/>
      <c r="N180" s="17">
        <f>IF($C180="","",MAX(_xlfn.MAXIFS(nrSK_Att,nrSK_PID,$D180,nrSK_Cat,$E180,nrSK_Res,"Pass"),_xlfn.MAXIFS(nrSK_Att,nrSK_PID,$D180,nrSK_Cat,$E180,nrSK_Res,"Fail")))</f>
        <v/>
      </c>
      <c r="O180" s="17">
        <f>IF($C180="","",IF(AND(MAX(_xlfn.MAXIFS(nrSK_Att,nrSK_PID,$D180,nrSK_Cat,$E180,nrSK_Res,"Pass"),_xlfn.MAXIFS(nrSK_Att,nrSK_PID,$D180,nrSK_Cat,$E180,nrSK_Res,"Fail"))&gt;0,N($I180)&lt;MAX(_xlfn.MAXIFS(nrSK_Att,nrSK_PID,$D180,nrSK_Cat,$E180,nrSK_Res,"Pass"),_xlfn.MAXIFS(nrSK_Att,nrSK_PID,$D180,nrSK_Cat,$E180,nrSK_Res,"Fail"))),"(superseded)",IF(OR($J180="",$J180="Pending"),"Pending",IF($J180="Pass","Qualified",IF(AND($J180="Fail",$N180&gt;=$F180),"FAILED OUT","Needs Remediation")))))</f>
        <v/>
      </c>
      <c r="P180" s="17">
        <f>IF($C180="","",IF($O180="FAILED OUT","Yes","No"))</f>
        <v/>
      </c>
      <c r="Q180" s="16" t="n"/>
      <c r="R180" s="16" t="n"/>
      <c r="S180" s="17">
        <f>IF($C180="","",IF(AND($K180&lt;&gt;"",NOT(ISNUMBER($K180))),"SCORE NOT A NUMBER",IF(AND(ISNUMBER($K180),OR($K180&lt;0,$K180&gt;100)),"SCORE OUT OF RANGE - this score counts toward nothing",IF(AND($G180="Score",$K180="",$J180&lt;&gt;"",$J180&lt;&gt;"Pending"),"RESULT WITHOUT A SCORE",IF(AND($G180="Pass/Fail",$K180&lt;&gt;""),"SCORE ON A PASS-FAIL CATEGORY - it is ignored",IF(AND($E180="Firearms",$J180&lt;&gt;"",$J180&lt;&gt;"Pending",$R180=""),"FIREARMS ROW WITH NO COURSE OF FIRE","OK"))))))</f>
        <v/>
      </c>
    </row>
    <row r="181">
      <c r="B181" s="17">
        <f>IF($C181="","",$D181&amp;"-"&amp;$E181&amp;"-"&amp;$I181)</f>
        <v/>
      </c>
      <c r="C181" s="16" t="n"/>
      <c r="D181" s="17">
        <f>IF($C181="","",IFERROR(INDEX(rngCadetPIDs,MATCH($C181,rngCadetNames,0)),"?"))</f>
        <v/>
      </c>
      <c r="E181" s="16" t="n"/>
      <c r="F181" s="17">
        <f>IF($E181="","",IFERROR(INDEX(rngSM_max,MATCH($E181,rngSM_cat,0)),""))</f>
        <v/>
      </c>
      <c r="G181" s="17">
        <f>IF($E181="","",IFERROR(INDEX(rngSM_mode,MATCH($E181,rngSM_cat,0)),""))</f>
        <v/>
      </c>
      <c r="H181" s="17">
        <f>IF($E181="","",IFERROR(INDEX(rngSM_pass,MATCH($E181,rngSM_cat,0)),""))</f>
        <v/>
      </c>
      <c r="I181" s="16" t="n"/>
      <c r="J181" s="16" t="n"/>
      <c r="K181" s="16" t="n"/>
      <c r="L181" s="18" t="n"/>
      <c r="M181" s="16" t="n"/>
      <c r="N181" s="17">
        <f>IF($C181="","",MAX(_xlfn.MAXIFS(nrSK_Att,nrSK_PID,$D181,nrSK_Cat,$E181,nrSK_Res,"Pass"),_xlfn.MAXIFS(nrSK_Att,nrSK_PID,$D181,nrSK_Cat,$E181,nrSK_Res,"Fail")))</f>
        <v/>
      </c>
      <c r="O181" s="17">
        <f>IF($C181="","",IF(AND(MAX(_xlfn.MAXIFS(nrSK_Att,nrSK_PID,$D181,nrSK_Cat,$E181,nrSK_Res,"Pass"),_xlfn.MAXIFS(nrSK_Att,nrSK_PID,$D181,nrSK_Cat,$E181,nrSK_Res,"Fail"))&gt;0,N($I181)&lt;MAX(_xlfn.MAXIFS(nrSK_Att,nrSK_PID,$D181,nrSK_Cat,$E181,nrSK_Res,"Pass"),_xlfn.MAXIFS(nrSK_Att,nrSK_PID,$D181,nrSK_Cat,$E181,nrSK_Res,"Fail"))),"(superseded)",IF(OR($J181="",$J181="Pending"),"Pending",IF($J181="Pass","Qualified",IF(AND($J181="Fail",$N181&gt;=$F181),"FAILED OUT","Needs Remediation")))))</f>
        <v/>
      </c>
      <c r="P181" s="17">
        <f>IF($C181="","",IF($O181="FAILED OUT","Yes","No"))</f>
        <v/>
      </c>
      <c r="Q181" s="16" t="n"/>
      <c r="R181" s="16" t="n"/>
      <c r="S181" s="17">
        <f>IF($C181="","",IF(AND($K181&lt;&gt;"",NOT(ISNUMBER($K181))),"SCORE NOT A NUMBER",IF(AND(ISNUMBER($K181),OR($K181&lt;0,$K181&gt;100)),"SCORE OUT OF RANGE - this score counts toward nothing",IF(AND($G181="Score",$K181="",$J181&lt;&gt;"",$J181&lt;&gt;"Pending"),"RESULT WITHOUT A SCORE",IF(AND($G181="Pass/Fail",$K181&lt;&gt;""),"SCORE ON A PASS-FAIL CATEGORY - it is ignored",IF(AND($E181="Firearms",$J181&lt;&gt;"",$J181&lt;&gt;"Pending",$R181=""),"FIREARMS ROW WITH NO COURSE OF FIRE","OK"))))))</f>
        <v/>
      </c>
    </row>
    <row r="182">
      <c r="B182" s="17">
        <f>IF($C182="","",$D182&amp;"-"&amp;$E182&amp;"-"&amp;$I182)</f>
        <v/>
      </c>
      <c r="C182" s="16" t="n"/>
      <c r="D182" s="17">
        <f>IF($C182="","",IFERROR(INDEX(rngCadetPIDs,MATCH($C182,rngCadetNames,0)),"?"))</f>
        <v/>
      </c>
      <c r="E182" s="16" t="n"/>
      <c r="F182" s="17">
        <f>IF($E182="","",IFERROR(INDEX(rngSM_max,MATCH($E182,rngSM_cat,0)),""))</f>
        <v/>
      </c>
      <c r="G182" s="17">
        <f>IF($E182="","",IFERROR(INDEX(rngSM_mode,MATCH($E182,rngSM_cat,0)),""))</f>
        <v/>
      </c>
      <c r="H182" s="17">
        <f>IF($E182="","",IFERROR(INDEX(rngSM_pass,MATCH($E182,rngSM_cat,0)),""))</f>
        <v/>
      </c>
      <c r="I182" s="16" t="n"/>
      <c r="J182" s="16" t="n"/>
      <c r="K182" s="16" t="n"/>
      <c r="L182" s="18" t="n"/>
      <c r="M182" s="16" t="n"/>
      <c r="N182" s="17">
        <f>IF($C182="","",MAX(_xlfn.MAXIFS(nrSK_Att,nrSK_PID,$D182,nrSK_Cat,$E182,nrSK_Res,"Pass"),_xlfn.MAXIFS(nrSK_Att,nrSK_PID,$D182,nrSK_Cat,$E182,nrSK_Res,"Fail")))</f>
        <v/>
      </c>
      <c r="O182" s="17">
        <f>IF($C182="","",IF(AND(MAX(_xlfn.MAXIFS(nrSK_Att,nrSK_PID,$D182,nrSK_Cat,$E182,nrSK_Res,"Pass"),_xlfn.MAXIFS(nrSK_Att,nrSK_PID,$D182,nrSK_Cat,$E182,nrSK_Res,"Fail"))&gt;0,N($I182)&lt;MAX(_xlfn.MAXIFS(nrSK_Att,nrSK_PID,$D182,nrSK_Cat,$E182,nrSK_Res,"Pass"),_xlfn.MAXIFS(nrSK_Att,nrSK_PID,$D182,nrSK_Cat,$E182,nrSK_Res,"Fail"))),"(superseded)",IF(OR($J182="",$J182="Pending"),"Pending",IF($J182="Pass","Qualified",IF(AND($J182="Fail",$N182&gt;=$F182),"FAILED OUT","Needs Remediation")))))</f>
        <v/>
      </c>
      <c r="P182" s="17">
        <f>IF($C182="","",IF($O182="FAILED OUT","Yes","No"))</f>
        <v/>
      </c>
      <c r="Q182" s="16" t="n"/>
      <c r="R182" s="16" t="n"/>
      <c r="S182" s="17">
        <f>IF($C182="","",IF(AND($K182&lt;&gt;"",NOT(ISNUMBER($K182))),"SCORE NOT A NUMBER",IF(AND(ISNUMBER($K182),OR($K182&lt;0,$K182&gt;100)),"SCORE OUT OF RANGE - this score counts toward nothing",IF(AND($G182="Score",$K182="",$J182&lt;&gt;"",$J182&lt;&gt;"Pending"),"RESULT WITHOUT A SCORE",IF(AND($G182="Pass/Fail",$K182&lt;&gt;""),"SCORE ON A PASS-FAIL CATEGORY - it is ignored",IF(AND($E182="Firearms",$J182&lt;&gt;"",$J182&lt;&gt;"Pending",$R182=""),"FIREARMS ROW WITH NO COURSE OF FIRE","OK"))))))</f>
        <v/>
      </c>
    </row>
    <row r="183">
      <c r="B183" s="17">
        <f>IF($C183="","",$D183&amp;"-"&amp;$E183&amp;"-"&amp;$I183)</f>
        <v/>
      </c>
      <c r="C183" s="16" t="n"/>
      <c r="D183" s="17">
        <f>IF($C183="","",IFERROR(INDEX(rngCadetPIDs,MATCH($C183,rngCadetNames,0)),"?"))</f>
        <v/>
      </c>
      <c r="E183" s="16" t="n"/>
      <c r="F183" s="17">
        <f>IF($E183="","",IFERROR(INDEX(rngSM_max,MATCH($E183,rngSM_cat,0)),""))</f>
        <v/>
      </c>
      <c r="G183" s="17">
        <f>IF($E183="","",IFERROR(INDEX(rngSM_mode,MATCH($E183,rngSM_cat,0)),""))</f>
        <v/>
      </c>
      <c r="H183" s="17">
        <f>IF($E183="","",IFERROR(INDEX(rngSM_pass,MATCH($E183,rngSM_cat,0)),""))</f>
        <v/>
      </c>
      <c r="I183" s="16" t="n"/>
      <c r="J183" s="16" t="n"/>
      <c r="K183" s="16" t="n"/>
      <c r="L183" s="18" t="n"/>
      <c r="M183" s="16" t="n"/>
      <c r="N183" s="17">
        <f>IF($C183="","",MAX(_xlfn.MAXIFS(nrSK_Att,nrSK_PID,$D183,nrSK_Cat,$E183,nrSK_Res,"Pass"),_xlfn.MAXIFS(nrSK_Att,nrSK_PID,$D183,nrSK_Cat,$E183,nrSK_Res,"Fail")))</f>
        <v/>
      </c>
      <c r="O183" s="17">
        <f>IF($C183="","",IF(AND(MAX(_xlfn.MAXIFS(nrSK_Att,nrSK_PID,$D183,nrSK_Cat,$E183,nrSK_Res,"Pass"),_xlfn.MAXIFS(nrSK_Att,nrSK_PID,$D183,nrSK_Cat,$E183,nrSK_Res,"Fail"))&gt;0,N($I183)&lt;MAX(_xlfn.MAXIFS(nrSK_Att,nrSK_PID,$D183,nrSK_Cat,$E183,nrSK_Res,"Pass"),_xlfn.MAXIFS(nrSK_Att,nrSK_PID,$D183,nrSK_Cat,$E183,nrSK_Res,"Fail"))),"(superseded)",IF(OR($J183="",$J183="Pending"),"Pending",IF($J183="Pass","Qualified",IF(AND($J183="Fail",$N183&gt;=$F183),"FAILED OUT","Needs Remediation")))))</f>
        <v/>
      </c>
      <c r="P183" s="17">
        <f>IF($C183="","",IF($O183="FAILED OUT","Yes","No"))</f>
        <v/>
      </c>
      <c r="Q183" s="16" t="n"/>
      <c r="R183" s="16" t="n"/>
      <c r="S183" s="17">
        <f>IF($C183="","",IF(AND($K183&lt;&gt;"",NOT(ISNUMBER($K183))),"SCORE NOT A NUMBER",IF(AND(ISNUMBER($K183),OR($K183&lt;0,$K183&gt;100)),"SCORE OUT OF RANGE - this score counts toward nothing",IF(AND($G183="Score",$K183="",$J183&lt;&gt;"",$J183&lt;&gt;"Pending"),"RESULT WITHOUT A SCORE",IF(AND($G183="Pass/Fail",$K183&lt;&gt;""),"SCORE ON A PASS-FAIL CATEGORY - it is ignored",IF(AND($E183="Firearms",$J183&lt;&gt;"",$J183&lt;&gt;"Pending",$R183=""),"FIREARMS ROW WITH NO COURSE OF FIRE","OK"))))))</f>
        <v/>
      </c>
    </row>
    <row r="184">
      <c r="B184" s="17">
        <f>IF($C184="","",$D184&amp;"-"&amp;$E184&amp;"-"&amp;$I184)</f>
        <v/>
      </c>
      <c r="C184" s="16" t="n"/>
      <c r="D184" s="17">
        <f>IF($C184="","",IFERROR(INDEX(rngCadetPIDs,MATCH($C184,rngCadetNames,0)),"?"))</f>
        <v/>
      </c>
      <c r="E184" s="16" t="n"/>
      <c r="F184" s="17">
        <f>IF($E184="","",IFERROR(INDEX(rngSM_max,MATCH($E184,rngSM_cat,0)),""))</f>
        <v/>
      </c>
      <c r="G184" s="17">
        <f>IF($E184="","",IFERROR(INDEX(rngSM_mode,MATCH($E184,rngSM_cat,0)),""))</f>
        <v/>
      </c>
      <c r="H184" s="17">
        <f>IF($E184="","",IFERROR(INDEX(rngSM_pass,MATCH($E184,rngSM_cat,0)),""))</f>
        <v/>
      </c>
      <c r="I184" s="16" t="n"/>
      <c r="J184" s="16" t="n"/>
      <c r="K184" s="16" t="n"/>
      <c r="L184" s="18" t="n"/>
      <c r="M184" s="16" t="n"/>
      <c r="N184" s="17">
        <f>IF($C184="","",MAX(_xlfn.MAXIFS(nrSK_Att,nrSK_PID,$D184,nrSK_Cat,$E184,nrSK_Res,"Pass"),_xlfn.MAXIFS(nrSK_Att,nrSK_PID,$D184,nrSK_Cat,$E184,nrSK_Res,"Fail")))</f>
        <v/>
      </c>
      <c r="O184" s="17">
        <f>IF($C184="","",IF(AND(MAX(_xlfn.MAXIFS(nrSK_Att,nrSK_PID,$D184,nrSK_Cat,$E184,nrSK_Res,"Pass"),_xlfn.MAXIFS(nrSK_Att,nrSK_PID,$D184,nrSK_Cat,$E184,nrSK_Res,"Fail"))&gt;0,N($I184)&lt;MAX(_xlfn.MAXIFS(nrSK_Att,nrSK_PID,$D184,nrSK_Cat,$E184,nrSK_Res,"Pass"),_xlfn.MAXIFS(nrSK_Att,nrSK_PID,$D184,nrSK_Cat,$E184,nrSK_Res,"Fail"))),"(superseded)",IF(OR($J184="",$J184="Pending"),"Pending",IF($J184="Pass","Qualified",IF(AND($J184="Fail",$N184&gt;=$F184),"FAILED OUT","Needs Remediation")))))</f>
        <v/>
      </c>
      <c r="P184" s="17">
        <f>IF($C184="","",IF($O184="FAILED OUT","Yes","No"))</f>
        <v/>
      </c>
      <c r="Q184" s="16" t="n"/>
      <c r="R184" s="16" t="n"/>
      <c r="S184" s="17">
        <f>IF($C184="","",IF(AND($K184&lt;&gt;"",NOT(ISNUMBER($K184))),"SCORE NOT A NUMBER",IF(AND(ISNUMBER($K184),OR($K184&lt;0,$K184&gt;100)),"SCORE OUT OF RANGE - this score counts toward nothing",IF(AND($G184="Score",$K184="",$J184&lt;&gt;"",$J184&lt;&gt;"Pending"),"RESULT WITHOUT A SCORE",IF(AND($G184="Pass/Fail",$K184&lt;&gt;""),"SCORE ON A PASS-FAIL CATEGORY - it is ignored",IF(AND($E184="Firearms",$J184&lt;&gt;"",$J184&lt;&gt;"Pending",$R184=""),"FIREARMS ROW WITH NO COURSE OF FIRE","OK"))))))</f>
        <v/>
      </c>
    </row>
    <row r="185">
      <c r="B185" s="17">
        <f>IF($C185="","",$D185&amp;"-"&amp;$E185&amp;"-"&amp;$I185)</f>
        <v/>
      </c>
      <c r="C185" s="16" t="n"/>
      <c r="D185" s="17">
        <f>IF($C185="","",IFERROR(INDEX(rngCadetPIDs,MATCH($C185,rngCadetNames,0)),"?"))</f>
        <v/>
      </c>
      <c r="E185" s="16" t="n"/>
      <c r="F185" s="17">
        <f>IF($E185="","",IFERROR(INDEX(rngSM_max,MATCH($E185,rngSM_cat,0)),""))</f>
        <v/>
      </c>
      <c r="G185" s="17">
        <f>IF($E185="","",IFERROR(INDEX(rngSM_mode,MATCH($E185,rngSM_cat,0)),""))</f>
        <v/>
      </c>
      <c r="H185" s="17">
        <f>IF($E185="","",IFERROR(INDEX(rngSM_pass,MATCH($E185,rngSM_cat,0)),""))</f>
        <v/>
      </c>
      <c r="I185" s="16" t="n"/>
      <c r="J185" s="16" t="n"/>
      <c r="K185" s="16" t="n"/>
      <c r="L185" s="18" t="n"/>
      <c r="M185" s="16" t="n"/>
      <c r="N185" s="17">
        <f>IF($C185="","",MAX(_xlfn.MAXIFS(nrSK_Att,nrSK_PID,$D185,nrSK_Cat,$E185,nrSK_Res,"Pass"),_xlfn.MAXIFS(nrSK_Att,nrSK_PID,$D185,nrSK_Cat,$E185,nrSK_Res,"Fail")))</f>
        <v/>
      </c>
      <c r="O185" s="17">
        <f>IF($C185="","",IF(AND(MAX(_xlfn.MAXIFS(nrSK_Att,nrSK_PID,$D185,nrSK_Cat,$E185,nrSK_Res,"Pass"),_xlfn.MAXIFS(nrSK_Att,nrSK_PID,$D185,nrSK_Cat,$E185,nrSK_Res,"Fail"))&gt;0,N($I185)&lt;MAX(_xlfn.MAXIFS(nrSK_Att,nrSK_PID,$D185,nrSK_Cat,$E185,nrSK_Res,"Pass"),_xlfn.MAXIFS(nrSK_Att,nrSK_PID,$D185,nrSK_Cat,$E185,nrSK_Res,"Fail"))),"(superseded)",IF(OR($J185="",$J185="Pending"),"Pending",IF($J185="Pass","Qualified",IF(AND($J185="Fail",$N185&gt;=$F185),"FAILED OUT","Needs Remediation")))))</f>
        <v/>
      </c>
      <c r="P185" s="17">
        <f>IF($C185="","",IF($O185="FAILED OUT","Yes","No"))</f>
        <v/>
      </c>
      <c r="Q185" s="16" t="n"/>
      <c r="R185" s="16" t="n"/>
      <c r="S185" s="17">
        <f>IF($C185="","",IF(AND($K185&lt;&gt;"",NOT(ISNUMBER($K185))),"SCORE NOT A NUMBER",IF(AND(ISNUMBER($K185),OR($K185&lt;0,$K185&gt;100)),"SCORE OUT OF RANGE - this score counts toward nothing",IF(AND($G185="Score",$K185="",$J185&lt;&gt;"",$J185&lt;&gt;"Pending"),"RESULT WITHOUT A SCORE",IF(AND($G185="Pass/Fail",$K185&lt;&gt;""),"SCORE ON A PASS-FAIL CATEGORY - it is ignored",IF(AND($E185="Firearms",$J185&lt;&gt;"",$J185&lt;&gt;"Pending",$R185=""),"FIREARMS ROW WITH NO COURSE OF FIRE","OK"))))))</f>
        <v/>
      </c>
    </row>
    <row r="186">
      <c r="B186" s="17">
        <f>IF($C186="","",$D186&amp;"-"&amp;$E186&amp;"-"&amp;$I186)</f>
        <v/>
      </c>
      <c r="C186" s="16" t="n"/>
      <c r="D186" s="17">
        <f>IF($C186="","",IFERROR(INDEX(rngCadetPIDs,MATCH($C186,rngCadetNames,0)),"?"))</f>
        <v/>
      </c>
      <c r="E186" s="16" t="n"/>
      <c r="F186" s="17">
        <f>IF($E186="","",IFERROR(INDEX(rngSM_max,MATCH($E186,rngSM_cat,0)),""))</f>
        <v/>
      </c>
      <c r="G186" s="17">
        <f>IF($E186="","",IFERROR(INDEX(rngSM_mode,MATCH($E186,rngSM_cat,0)),""))</f>
        <v/>
      </c>
      <c r="H186" s="17">
        <f>IF($E186="","",IFERROR(INDEX(rngSM_pass,MATCH($E186,rngSM_cat,0)),""))</f>
        <v/>
      </c>
      <c r="I186" s="16" t="n"/>
      <c r="J186" s="16" t="n"/>
      <c r="K186" s="16" t="n"/>
      <c r="L186" s="18" t="n"/>
      <c r="M186" s="16" t="n"/>
      <c r="N186" s="17">
        <f>IF($C186="","",MAX(_xlfn.MAXIFS(nrSK_Att,nrSK_PID,$D186,nrSK_Cat,$E186,nrSK_Res,"Pass"),_xlfn.MAXIFS(nrSK_Att,nrSK_PID,$D186,nrSK_Cat,$E186,nrSK_Res,"Fail")))</f>
        <v/>
      </c>
      <c r="O186" s="17">
        <f>IF($C186="","",IF(AND(MAX(_xlfn.MAXIFS(nrSK_Att,nrSK_PID,$D186,nrSK_Cat,$E186,nrSK_Res,"Pass"),_xlfn.MAXIFS(nrSK_Att,nrSK_PID,$D186,nrSK_Cat,$E186,nrSK_Res,"Fail"))&gt;0,N($I186)&lt;MAX(_xlfn.MAXIFS(nrSK_Att,nrSK_PID,$D186,nrSK_Cat,$E186,nrSK_Res,"Pass"),_xlfn.MAXIFS(nrSK_Att,nrSK_PID,$D186,nrSK_Cat,$E186,nrSK_Res,"Fail"))),"(superseded)",IF(OR($J186="",$J186="Pending"),"Pending",IF($J186="Pass","Qualified",IF(AND($J186="Fail",$N186&gt;=$F186),"FAILED OUT","Needs Remediation")))))</f>
        <v/>
      </c>
      <c r="P186" s="17">
        <f>IF($C186="","",IF($O186="FAILED OUT","Yes","No"))</f>
        <v/>
      </c>
      <c r="Q186" s="16" t="n"/>
      <c r="R186" s="16" t="n"/>
      <c r="S186" s="17">
        <f>IF($C186="","",IF(AND($K186&lt;&gt;"",NOT(ISNUMBER($K186))),"SCORE NOT A NUMBER",IF(AND(ISNUMBER($K186),OR($K186&lt;0,$K186&gt;100)),"SCORE OUT OF RANGE - this score counts toward nothing",IF(AND($G186="Score",$K186="",$J186&lt;&gt;"",$J186&lt;&gt;"Pending"),"RESULT WITHOUT A SCORE",IF(AND($G186="Pass/Fail",$K186&lt;&gt;""),"SCORE ON A PASS-FAIL CATEGORY - it is ignored",IF(AND($E186="Firearms",$J186&lt;&gt;"",$J186&lt;&gt;"Pending",$R186=""),"FIREARMS ROW WITH NO COURSE OF FIRE","OK"))))))</f>
        <v/>
      </c>
    </row>
    <row r="187">
      <c r="B187" s="17">
        <f>IF($C187="","",$D187&amp;"-"&amp;$E187&amp;"-"&amp;$I187)</f>
        <v/>
      </c>
      <c r="C187" s="16" t="n"/>
      <c r="D187" s="17">
        <f>IF($C187="","",IFERROR(INDEX(rngCadetPIDs,MATCH($C187,rngCadetNames,0)),"?"))</f>
        <v/>
      </c>
      <c r="E187" s="16" t="n"/>
      <c r="F187" s="17">
        <f>IF($E187="","",IFERROR(INDEX(rngSM_max,MATCH($E187,rngSM_cat,0)),""))</f>
        <v/>
      </c>
      <c r="G187" s="17">
        <f>IF($E187="","",IFERROR(INDEX(rngSM_mode,MATCH($E187,rngSM_cat,0)),""))</f>
        <v/>
      </c>
      <c r="H187" s="17">
        <f>IF($E187="","",IFERROR(INDEX(rngSM_pass,MATCH($E187,rngSM_cat,0)),""))</f>
        <v/>
      </c>
      <c r="I187" s="16" t="n"/>
      <c r="J187" s="16" t="n"/>
      <c r="K187" s="16" t="n"/>
      <c r="L187" s="18" t="n"/>
      <c r="M187" s="16" t="n"/>
      <c r="N187" s="17">
        <f>IF($C187="","",MAX(_xlfn.MAXIFS(nrSK_Att,nrSK_PID,$D187,nrSK_Cat,$E187,nrSK_Res,"Pass"),_xlfn.MAXIFS(nrSK_Att,nrSK_PID,$D187,nrSK_Cat,$E187,nrSK_Res,"Fail")))</f>
        <v/>
      </c>
      <c r="O187" s="17">
        <f>IF($C187="","",IF(AND(MAX(_xlfn.MAXIFS(nrSK_Att,nrSK_PID,$D187,nrSK_Cat,$E187,nrSK_Res,"Pass"),_xlfn.MAXIFS(nrSK_Att,nrSK_PID,$D187,nrSK_Cat,$E187,nrSK_Res,"Fail"))&gt;0,N($I187)&lt;MAX(_xlfn.MAXIFS(nrSK_Att,nrSK_PID,$D187,nrSK_Cat,$E187,nrSK_Res,"Pass"),_xlfn.MAXIFS(nrSK_Att,nrSK_PID,$D187,nrSK_Cat,$E187,nrSK_Res,"Fail"))),"(superseded)",IF(OR($J187="",$J187="Pending"),"Pending",IF($J187="Pass","Qualified",IF(AND($J187="Fail",$N187&gt;=$F187),"FAILED OUT","Needs Remediation")))))</f>
        <v/>
      </c>
      <c r="P187" s="17">
        <f>IF($C187="","",IF($O187="FAILED OUT","Yes","No"))</f>
        <v/>
      </c>
      <c r="Q187" s="16" t="n"/>
      <c r="R187" s="16" t="n"/>
      <c r="S187" s="17">
        <f>IF($C187="","",IF(AND($K187&lt;&gt;"",NOT(ISNUMBER($K187))),"SCORE NOT A NUMBER",IF(AND(ISNUMBER($K187),OR($K187&lt;0,$K187&gt;100)),"SCORE OUT OF RANGE - this score counts toward nothing",IF(AND($G187="Score",$K187="",$J187&lt;&gt;"",$J187&lt;&gt;"Pending"),"RESULT WITHOUT A SCORE",IF(AND($G187="Pass/Fail",$K187&lt;&gt;""),"SCORE ON A PASS-FAIL CATEGORY - it is ignored",IF(AND($E187="Firearms",$J187&lt;&gt;"",$J187&lt;&gt;"Pending",$R187=""),"FIREARMS ROW WITH NO COURSE OF FIRE","OK"))))))</f>
        <v/>
      </c>
    </row>
    <row r="188">
      <c r="B188" s="17">
        <f>IF($C188="","",$D188&amp;"-"&amp;$E188&amp;"-"&amp;$I188)</f>
        <v/>
      </c>
      <c r="C188" s="16" t="n"/>
      <c r="D188" s="17">
        <f>IF($C188="","",IFERROR(INDEX(rngCadetPIDs,MATCH($C188,rngCadetNames,0)),"?"))</f>
        <v/>
      </c>
      <c r="E188" s="16" t="n"/>
      <c r="F188" s="17">
        <f>IF($E188="","",IFERROR(INDEX(rngSM_max,MATCH($E188,rngSM_cat,0)),""))</f>
        <v/>
      </c>
      <c r="G188" s="17">
        <f>IF($E188="","",IFERROR(INDEX(rngSM_mode,MATCH($E188,rngSM_cat,0)),""))</f>
        <v/>
      </c>
      <c r="H188" s="17">
        <f>IF($E188="","",IFERROR(INDEX(rngSM_pass,MATCH($E188,rngSM_cat,0)),""))</f>
        <v/>
      </c>
      <c r="I188" s="16" t="n"/>
      <c r="J188" s="16" t="n"/>
      <c r="K188" s="16" t="n"/>
      <c r="L188" s="18" t="n"/>
      <c r="M188" s="16" t="n"/>
      <c r="N188" s="17">
        <f>IF($C188="","",MAX(_xlfn.MAXIFS(nrSK_Att,nrSK_PID,$D188,nrSK_Cat,$E188,nrSK_Res,"Pass"),_xlfn.MAXIFS(nrSK_Att,nrSK_PID,$D188,nrSK_Cat,$E188,nrSK_Res,"Fail")))</f>
        <v/>
      </c>
      <c r="O188" s="17">
        <f>IF($C188="","",IF(AND(MAX(_xlfn.MAXIFS(nrSK_Att,nrSK_PID,$D188,nrSK_Cat,$E188,nrSK_Res,"Pass"),_xlfn.MAXIFS(nrSK_Att,nrSK_PID,$D188,nrSK_Cat,$E188,nrSK_Res,"Fail"))&gt;0,N($I188)&lt;MAX(_xlfn.MAXIFS(nrSK_Att,nrSK_PID,$D188,nrSK_Cat,$E188,nrSK_Res,"Pass"),_xlfn.MAXIFS(nrSK_Att,nrSK_PID,$D188,nrSK_Cat,$E188,nrSK_Res,"Fail"))),"(superseded)",IF(OR($J188="",$J188="Pending"),"Pending",IF($J188="Pass","Qualified",IF(AND($J188="Fail",$N188&gt;=$F188),"FAILED OUT","Needs Remediation")))))</f>
        <v/>
      </c>
      <c r="P188" s="17">
        <f>IF($C188="","",IF($O188="FAILED OUT","Yes","No"))</f>
        <v/>
      </c>
      <c r="Q188" s="16" t="n"/>
      <c r="R188" s="16" t="n"/>
      <c r="S188" s="17">
        <f>IF($C188="","",IF(AND($K188&lt;&gt;"",NOT(ISNUMBER($K188))),"SCORE NOT A NUMBER",IF(AND(ISNUMBER($K188),OR($K188&lt;0,$K188&gt;100)),"SCORE OUT OF RANGE - this score counts toward nothing",IF(AND($G188="Score",$K188="",$J188&lt;&gt;"",$J188&lt;&gt;"Pending"),"RESULT WITHOUT A SCORE",IF(AND($G188="Pass/Fail",$K188&lt;&gt;""),"SCORE ON A PASS-FAIL CATEGORY - it is ignored",IF(AND($E188="Firearms",$J188&lt;&gt;"",$J188&lt;&gt;"Pending",$R188=""),"FIREARMS ROW WITH NO COURSE OF FIRE","OK"))))))</f>
        <v/>
      </c>
    </row>
    <row r="189">
      <c r="B189" s="17">
        <f>IF($C189="","",$D189&amp;"-"&amp;$E189&amp;"-"&amp;$I189)</f>
        <v/>
      </c>
      <c r="C189" s="16" t="n"/>
      <c r="D189" s="17">
        <f>IF($C189="","",IFERROR(INDEX(rngCadetPIDs,MATCH($C189,rngCadetNames,0)),"?"))</f>
        <v/>
      </c>
      <c r="E189" s="16" t="n"/>
      <c r="F189" s="17">
        <f>IF($E189="","",IFERROR(INDEX(rngSM_max,MATCH($E189,rngSM_cat,0)),""))</f>
        <v/>
      </c>
      <c r="G189" s="17">
        <f>IF($E189="","",IFERROR(INDEX(rngSM_mode,MATCH($E189,rngSM_cat,0)),""))</f>
        <v/>
      </c>
      <c r="H189" s="17">
        <f>IF($E189="","",IFERROR(INDEX(rngSM_pass,MATCH($E189,rngSM_cat,0)),""))</f>
        <v/>
      </c>
      <c r="I189" s="16" t="n"/>
      <c r="J189" s="16" t="n"/>
      <c r="K189" s="16" t="n"/>
      <c r="L189" s="18" t="n"/>
      <c r="M189" s="16" t="n"/>
      <c r="N189" s="17">
        <f>IF($C189="","",MAX(_xlfn.MAXIFS(nrSK_Att,nrSK_PID,$D189,nrSK_Cat,$E189,nrSK_Res,"Pass"),_xlfn.MAXIFS(nrSK_Att,nrSK_PID,$D189,nrSK_Cat,$E189,nrSK_Res,"Fail")))</f>
        <v/>
      </c>
      <c r="O189" s="17">
        <f>IF($C189="","",IF(AND(MAX(_xlfn.MAXIFS(nrSK_Att,nrSK_PID,$D189,nrSK_Cat,$E189,nrSK_Res,"Pass"),_xlfn.MAXIFS(nrSK_Att,nrSK_PID,$D189,nrSK_Cat,$E189,nrSK_Res,"Fail"))&gt;0,N($I189)&lt;MAX(_xlfn.MAXIFS(nrSK_Att,nrSK_PID,$D189,nrSK_Cat,$E189,nrSK_Res,"Pass"),_xlfn.MAXIFS(nrSK_Att,nrSK_PID,$D189,nrSK_Cat,$E189,nrSK_Res,"Fail"))),"(superseded)",IF(OR($J189="",$J189="Pending"),"Pending",IF($J189="Pass","Qualified",IF(AND($J189="Fail",$N189&gt;=$F189),"FAILED OUT","Needs Remediation")))))</f>
        <v/>
      </c>
      <c r="P189" s="17">
        <f>IF($C189="","",IF($O189="FAILED OUT","Yes","No"))</f>
        <v/>
      </c>
      <c r="Q189" s="16" t="n"/>
      <c r="R189" s="16" t="n"/>
      <c r="S189" s="17">
        <f>IF($C189="","",IF(AND($K189&lt;&gt;"",NOT(ISNUMBER($K189))),"SCORE NOT A NUMBER",IF(AND(ISNUMBER($K189),OR($K189&lt;0,$K189&gt;100)),"SCORE OUT OF RANGE - this score counts toward nothing",IF(AND($G189="Score",$K189="",$J189&lt;&gt;"",$J189&lt;&gt;"Pending"),"RESULT WITHOUT A SCORE",IF(AND($G189="Pass/Fail",$K189&lt;&gt;""),"SCORE ON A PASS-FAIL CATEGORY - it is ignored",IF(AND($E189="Firearms",$J189&lt;&gt;"",$J189&lt;&gt;"Pending",$R189=""),"FIREARMS ROW WITH NO COURSE OF FIRE","OK"))))))</f>
        <v/>
      </c>
    </row>
    <row r="190">
      <c r="B190" s="17">
        <f>IF($C190="","",$D190&amp;"-"&amp;$E190&amp;"-"&amp;$I190)</f>
        <v/>
      </c>
      <c r="C190" s="16" t="n"/>
      <c r="D190" s="17">
        <f>IF($C190="","",IFERROR(INDEX(rngCadetPIDs,MATCH($C190,rngCadetNames,0)),"?"))</f>
        <v/>
      </c>
      <c r="E190" s="16" t="n"/>
      <c r="F190" s="17">
        <f>IF($E190="","",IFERROR(INDEX(rngSM_max,MATCH($E190,rngSM_cat,0)),""))</f>
        <v/>
      </c>
      <c r="G190" s="17">
        <f>IF($E190="","",IFERROR(INDEX(rngSM_mode,MATCH($E190,rngSM_cat,0)),""))</f>
        <v/>
      </c>
      <c r="H190" s="17">
        <f>IF($E190="","",IFERROR(INDEX(rngSM_pass,MATCH($E190,rngSM_cat,0)),""))</f>
        <v/>
      </c>
      <c r="I190" s="16" t="n"/>
      <c r="J190" s="16" t="n"/>
      <c r="K190" s="16" t="n"/>
      <c r="L190" s="18" t="n"/>
      <c r="M190" s="16" t="n"/>
      <c r="N190" s="17">
        <f>IF($C190="","",MAX(_xlfn.MAXIFS(nrSK_Att,nrSK_PID,$D190,nrSK_Cat,$E190,nrSK_Res,"Pass"),_xlfn.MAXIFS(nrSK_Att,nrSK_PID,$D190,nrSK_Cat,$E190,nrSK_Res,"Fail")))</f>
        <v/>
      </c>
      <c r="O190" s="17">
        <f>IF($C190="","",IF(AND(MAX(_xlfn.MAXIFS(nrSK_Att,nrSK_PID,$D190,nrSK_Cat,$E190,nrSK_Res,"Pass"),_xlfn.MAXIFS(nrSK_Att,nrSK_PID,$D190,nrSK_Cat,$E190,nrSK_Res,"Fail"))&gt;0,N($I190)&lt;MAX(_xlfn.MAXIFS(nrSK_Att,nrSK_PID,$D190,nrSK_Cat,$E190,nrSK_Res,"Pass"),_xlfn.MAXIFS(nrSK_Att,nrSK_PID,$D190,nrSK_Cat,$E190,nrSK_Res,"Fail"))),"(superseded)",IF(OR($J190="",$J190="Pending"),"Pending",IF($J190="Pass","Qualified",IF(AND($J190="Fail",$N190&gt;=$F190),"FAILED OUT","Needs Remediation")))))</f>
        <v/>
      </c>
      <c r="P190" s="17">
        <f>IF($C190="","",IF($O190="FAILED OUT","Yes","No"))</f>
        <v/>
      </c>
      <c r="Q190" s="16" t="n"/>
      <c r="R190" s="16" t="n"/>
      <c r="S190" s="17">
        <f>IF($C190="","",IF(AND($K190&lt;&gt;"",NOT(ISNUMBER($K190))),"SCORE NOT A NUMBER",IF(AND(ISNUMBER($K190),OR($K190&lt;0,$K190&gt;100)),"SCORE OUT OF RANGE - this score counts toward nothing",IF(AND($G190="Score",$K190="",$J190&lt;&gt;"",$J190&lt;&gt;"Pending"),"RESULT WITHOUT A SCORE",IF(AND($G190="Pass/Fail",$K190&lt;&gt;""),"SCORE ON A PASS-FAIL CATEGORY - it is ignored",IF(AND($E190="Firearms",$J190&lt;&gt;"",$J190&lt;&gt;"Pending",$R190=""),"FIREARMS ROW WITH NO COURSE OF FIRE","OK"))))))</f>
        <v/>
      </c>
    </row>
    <row r="191">
      <c r="B191" s="17">
        <f>IF($C191="","",$D191&amp;"-"&amp;$E191&amp;"-"&amp;$I191)</f>
        <v/>
      </c>
      <c r="C191" s="16" t="n"/>
      <c r="D191" s="17">
        <f>IF($C191="","",IFERROR(INDEX(rngCadetPIDs,MATCH($C191,rngCadetNames,0)),"?"))</f>
        <v/>
      </c>
      <c r="E191" s="16" t="n"/>
      <c r="F191" s="17">
        <f>IF($E191="","",IFERROR(INDEX(rngSM_max,MATCH($E191,rngSM_cat,0)),""))</f>
        <v/>
      </c>
      <c r="G191" s="17">
        <f>IF($E191="","",IFERROR(INDEX(rngSM_mode,MATCH($E191,rngSM_cat,0)),""))</f>
        <v/>
      </c>
      <c r="H191" s="17">
        <f>IF($E191="","",IFERROR(INDEX(rngSM_pass,MATCH($E191,rngSM_cat,0)),""))</f>
        <v/>
      </c>
      <c r="I191" s="16" t="n"/>
      <c r="J191" s="16" t="n"/>
      <c r="K191" s="16" t="n"/>
      <c r="L191" s="18" t="n"/>
      <c r="M191" s="16" t="n"/>
      <c r="N191" s="17">
        <f>IF($C191="","",MAX(_xlfn.MAXIFS(nrSK_Att,nrSK_PID,$D191,nrSK_Cat,$E191,nrSK_Res,"Pass"),_xlfn.MAXIFS(nrSK_Att,nrSK_PID,$D191,nrSK_Cat,$E191,nrSK_Res,"Fail")))</f>
        <v/>
      </c>
      <c r="O191" s="17">
        <f>IF($C191="","",IF(AND(MAX(_xlfn.MAXIFS(nrSK_Att,nrSK_PID,$D191,nrSK_Cat,$E191,nrSK_Res,"Pass"),_xlfn.MAXIFS(nrSK_Att,nrSK_PID,$D191,nrSK_Cat,$E191,nrSK_Res,"Fail"))&gt;0,N($I191)&lt;MAX(_xlfn.MAXIFS(nrSK_Att,nrSK_PID,$D191,nrSK_Cat,$E191,nrSK_Res,"Pass"),_xlfn.MAXIFS(nrSK_Att,nrSK_PID,$D191,nrSK_Cat,$E191,nrSK_Res,"Fail"))),"(superseded)",IF(OR($J191="",$J191="Pending"),"Pending",IF($J191="Pass","Qualified",IF(AND($J191="Fail",$N191&gt;=$F191),"FAILED OUT","Needs Remediation")))))</f>
        <v/>
      </c>
      <c r="P191" s="17">
        <f>IF($C191="","",IF($O191="FAILED OUT","Yes","No"))</f>
        <v/>
      </c>
      <c r="Q191" s="16" t="n"/>
      <c r="R191" s="16" t="n"/>
      <c r="S191" s="17">
        <f>IF($C191="","",IF(AND($K191&lt;&gt;"",NOT(ISNUMBER($K191))),"SCORE NOT A NUMBER",IF(AND(ISNUMBER($K191),OR($K191&lt;0,$K191&gt;100)),"SCORE OUT OF RANGE - this score counts toward nothing",IF(AND($G191="Score",$K191="",$J191&lt;&gt;"",$J191&lt;&gt;"Pending"),"RESULT WITHOUT A SCORE",IF(AND($G191="Pass/Fail",$K191&lt;&gt;""),"SCORE ON A PASS-FAIL CATEGORY - it is ignored",IF(AND($E191="Firearms",$J191&lt;&gt;"",$J191&lt;&gt;"Pending",$R191=""),"FIREARMS ROW WITH NO COURSE OF FIRE","OK"))))))</f>
        <v/>
      </c>
    </row>
    <row r="192">
      <c r="B192" s="17">
        <f>IF($C192="","",$D192&amp;"-"&amp;$E192&amp;"-"&amp;$I192)</f>
        <v/>
      </c>
      <c r="C192" s="16" t="n"/>
      <c r="D192" s="17">
        <f>IF($C192="","",IFERROR(INDEX(rngCadetPIDs,MATCH($C192,rngCadetNames,0)),"?"))</f>
        <v/>
      </c>
      <c r="E192" s="16" t="n"/>
      <c r="F192" s="17">
        <f>IF($E192="","",IFERROR(INDEX(rngSM_max,MATCH($E192,rngSM_cat,0)),""))</f>
        <v/>
      </c>
      <c r="G192" s="17">
        <f>IF($E192="","",IFERROR(INDEX(rngSM_mode,MATCH($E192,rngSM_cat,0)),""))</f>
        <v/>
      </c>
      <c r="H192" s="17">
        <f>IF($E192="","",IFERROR(INDEX(rngSM_pass,MATCH($E192,rngSM_cat,0)),""))</f>
        <v/>
      </c>
      <c r="I192" s="16" t="n"/>
      <c r="J192" s="16" t="n"/>
      <c r="K192" s="16" t="n"/>
      <c r="L192" s="18" t="n"/>
      <c r="M192" s="16" t="n"/>
      <c r="N192" s="17">
        <f>IF($C192="","",MAX(_xlfn.MAXIFS(nrSK_Att,nrSK_PID,$D192,nrSK_Cat,$E192,nrSK_Res,"Pass"),_xlfn.MAXIFS(nrSK_Att,nrSK_PID,$D192,nrSK_Cat,$E192,nrSK_Res,"Fail")))</f>
        <v/>
      </c>
      <c r="O192" s="17">
        <f>IF($C192="","",IF(AND(MAX(_xlfn.MAXIFS(nrSK_Att,nrSK_PID,$D192,nrSK_Cat,$E192,nrSK_Res,"Pass"),_xlfn.MAXIFS(nrSK_Att,nrSK_PID,$D192,nrSK_Cat,$E192,nrSK_Res,"Fail"))&gt;0,N($I192)&lt;MAX(_xlfn.MAXIFS(nrSK_Att,nrSK_PID,$D192,nrSK_Cat,$E192,nrSK_Res,"Pass"),_xlfn.MAXIFS(nrSK_Att,nrSK_PID,$D192,nrSK_Cat,$E192,nrSK_Res,"Fail"))),"(superseded)",IF(OR($J192="",$J192="Pending"),"Pending",IF($J192="Pass","Qualified",IF(AND($J192="Fail",$N192&gt;=$F192),"FAILED OUT","Needs Remediation")))))</f>
        <v/>
      </c>
      <c r="P192" s="17">
        <f>IF($C192="","",IF($O192="FAILED OUT","Yes","No"))</f>
        <v/>
      </c>
      <c r="Q192" s="16" t="n"/>
      <c r="R192" s="16" t="n"/>
      <c r="S192" s="17">
        <f>IF($C192="","",IF(AND($K192&lt;&gt;"",NOT(ISNUMBER($K192))),"SCORE NOT A NUMBER",IF(AND(ISNUMBER($K192),OR($K192&lt;0,$K192&gt;100)),"SCORE OUT OF RANGE - this score counts toward nothing",IF(AND($G192="Score",$K192="",$J192&lt;&gt;"",$J192&lt;&gt;"Pending"),"RESULT WITHOUT A SCORE",IF(AND($G192="Pass/Fail",$K192&lt;&gt;""),"SCORE ON A PASS-FAIL CATEGORY - it is ignored",IF(AND($E192="Firearms",$J192&lt;&gt;"",$J192&lt;&gt;"Pending",$R192=""),"FIREARMS ROW WITH NO COURSE OF FIRE","OK"))))))</f>
        <v/>
      </c>
    </row>
    <row r="193">
      <c r="B193" s="17">
        <f>IF($C193="","",$D193&amp;"-"&amp;$E193&amp;"-"&amp;$I193)</f>
        <v/>
      </c>
      <c r="C193" s="16" t="n"/>
      <c r="D193" s="17">
        <f>IF($C193="","",IFERROR(INDEX(rngCadetPIDs,MATCH($C193,rngCadetNames,0)),"?"))</f>
        <v/>
      </c>
      <c r="E193" s="16" t="n"/>
      <c r="F193" s="17">
        <f>IF($E193="","",IFERROR(INDEX(rngSM_max,MATCH($E193,rngSM_cat,0)),""))</f>
        <v/>
      </c>
      <c r="G193" s="17">
        <f>IF($E193="","",IFERROR(INDEX(rngSM_mode,MATCH($E193,rngSM_cat,0)),""))</f>
        <v/>
      </c>
      <c r="H193" s="17">
        <f>IF($E193="","",IFERROR(INDEX(rngSM_pass,MATCH($E193,rngSM_cat,0)),""))</f>
        <v/>
      </c>
      <c r="I193" s="16" t="n"/>
      <c r="J193" s="16" t="n"/>
      <c r="K193" s="16" t="n"/>
      <c r="L193" s="18" t="n"/>
      <c r="M193" s="16" t="n"/>
      <c r="N193" s="17">
        <f>IF($C193="","",MAX(_xlfn.MAXIFS(nrSK_Att,nrSK_PID,$D193,nrSK_Cat,$E193,nrSK_Res,"Pass"),_xlfn.MAXIFS(nrSK_Att,nrSK_PID,$D193,nrSK_Cat,$E193,nrSK_Res,"Fail")))</f>
        <v/>
      </c>
      <c r="O193" s="17">
        <f>IF($C193="","",IF(AND(MAX(_xlfn.MAXIFS(nrSK_Att,nrSK_PID,$D193,nrSK_Cat,$E193,nrSK_Res,"Pass"),_xlfn.MAXIFS(nrSK_Att,nrSK_PID,$D193,nrSK_Cat,$E193,nrSK_Res,"Fail"))&gt;0,N($I193)&lt;MAX(_xlfn.MAXIFS(nrSK_Att,nrSK_PID,$D193,nrSK_Cat,$E193,nrSK_Res,"Pass"),_xlfn.MAXIFS(nrSK_Att,nrSK_PID,$D193,nrSK_Cat,$E193,nrSK_Res,"Fail"))),"(superseded)",IF(OR($J193="",$J193="Pending"),"Pending",IF($J193="Pass","Qualified",IF(AND($J193="Fail",$N193&gt;=$F193),"FAILED OUT","Needs Remediation")))))</f>
        <v/>
      </c>
      <c r="P193" s="17">
        <f>IF($C193="","",IF($O193="FAILED OUT","Yes","No"))</f>
        <v/>
      </c>
      <c r="Q193" s="16" t="n"/>
      <c r="R193" s="16" t="n"/>
      <c r="S193" s="17">
        <f>IF($C193="","",IF(AND($K193&lt;&gt;"",NOT(ISNUMBER($K193))),"SCORE NOT A NUMBER",IF(AND(ISNUMBER($K193),OR($K193&lt;0,$K193&gt;100)),"SCORE OUT OF RANGE - this score counts toward nothing",IF(AND($G193="Score",$K193="",$J193&lt;&gt;"",$J193&lt;&gt;"Pending"),"RESULT WITHOUT A SCORE",IF(AND($G193="Pass/Fail",$K193&lt;&gt;""),"SCORE ON A PASS-FAIL CATEGORY - it is ignored",IF(AND($E193="Firearms",$J193&lt;&gt;"",$J193&lt;&gt;"Pending",$R193=""),"FIREARMS ROW WITH NO COURSE OF FIRE","OK"))))))</f>
        <v/>
      </c>
    </row>
    <row r="194">
      <c r="B194" s="17">
        <f>IF($C194="","",$D194&amp;"-"&amp;$E194&amp;"-"&amp;$I194)</f>
        <v/>
      </c>
      <c r="C194" s="16" t="n"/>
      <c r="D194" s="17">
        <f>IF($C194="","",IFERROR(INDEX(rngCadetPIDs,MATCH($C194,rngCadetNames,0)),"?"))</f>
        <v/>
      </c>
      <c r="E194" s="16" t="n"/>
      <c r="F194" s="17">
        <f>IF($E194="","",IFERROR(INDEX(rngSM_max,MATCH($E194,rngSM_cat,0)),""))</f>
        <v/>
      </c>
      <c r="G194" s="17">
        <f>IF($E194="","",IFERROR(INDEX(rngSM_mode,MATCH($E194,rngSM_cat,0)),""))</f>
        <v/>
      </c>
      <c r="H194" s="17">
        <f>IF($E194="","",IFERROR(INDEX(rngSM_pass,MATCH($E194,rngSM_cat,0)),""))</f>
        <v/>
      </c>
      <c r="I194" s="16" t="n"/>
      <c r="J194" s="16" t="n"/>
      <c r="K194" s="16" t="n"/>
      <c r="L194" s="18" t="n"/>
      <c r="M194" s="16" t="n"/>
      <c r="N194" s="17">
        <f>IF($C194="","",MAX(_xlfn.MAXIFS(nrSK_Att,nrSK_PID,$D194,nrSK_Cat,$E194,nrSK_Res,"Pass"),_xlfn.MAXIFS(nrSK_Att,nrSK_PID,$D194,nrSK_Cat,$E194,nrSK_Res,"Fail")))</f>
        <v/>
      </c>
      <c r="O194" s="17">
        <f>IF($C194="","",IF(AND(MAX(_xlfn.MAXIFS(nrSK_Att,nrSK_PID,$D194,nrSK_Cat,$E194,nrSK_Res,"Pass"),_xlfn.MAXIFS(nrSK_Att,nrSK_PID,$D194,nrSK_Cat,$E194,nrSK_Res,"Fail"))&gt;0,N($I194)&lt;MAX(_xlfn.MAXIFS(nrSK_Att,nrSK_PID,$D194,nrSK_Cat,$E194,nrSK_Res,"Pass"),_xlfn.MAXIFS(nrSK_Att,nrSK_PID,$D194,nrSK_Cat,$E194,nrSK_Res,"Fail"))),"(superseded)",IF(OR($J194="",$J194="Pending"),"Pending",IF($J194="Pass","Qualified",IF(AND($J194="Fail",$N194&gt;=$F194),"FAILED OUT","Needs Remediation")))))</f>
        <v/>
      </c>
      <c r="P194" s="17">
        <f>IF($C194="","",IF($O194="FAILED OUT","Yes","No"))</f>
        <v/>
      </c>
      <c r="Q194" s="16" t="n"/>
      <c r="R194" s="16" t="n"/>
      <c r="S194" s="17">
        <f>IF($C194="","",IF(AND($K194&lt;&gt;"",NOT(ISNUMBER($K194))),"SCORE NOT A NUMBER",IF(AND(ISNUMBER($K194),OR($K194&lt;0,$K194&gt;100)),"SCORE OUT OF RANGE - this score counts toward nothing",IF(AND($G194="Score",$K194="",$J194&lt;&gt;"",$J194&lt;&gt;"Pending"),"RESULT WITHOUT A SCORE",IF(AND($G194="Pass/Fail",$K194&lt;&gt;""),"SCORE ON A PASS-FAIL CATEGORY - it is ignored",IF(AND($E194="Firearms",$J194&lt;&gt;"",$J194&lt;&gt;"Pending",$R194=""),"FIREARMS ROW WITH NO COURSE OF FIRE","OK"))))))</f>
        <v/>
      </c>
    </row>
    <row r="195">
      <c r="B195" s="17">
        <f>IF($C195="","",$D195&amp;"-"&amp;$E195&amp;"-"&amp;$I195)</f>
        <v/>
      </c>
      <c r="C195" s="16" t="n"/>
      <c r="D195" s="17">
        <f>IF($C195="","",IFERROR(INDEX(rngCadetPIDs,MATCH($C195,rngCadetNames,0)),"?"))</f>
        <v/>
      </c>
      <c r="E195" s="16" t="n"/>
      <c r="F195" s="17">
        <f>IF($E195="","",IFERROR(INDEX(rngSM_max,MATCH($E195,rngSM_cat,0)),""))</f>
        <v/>
      </c>
      <c r="G195" s="17">
        <f>IF($E195="","",IFERROR(INDEX(rngSM_mode,MATCH($E195,rngSM_cat,0)),""))</f>
        <v/>
      </c>
      <c r="H195" s="17">
        <f>IF($E195="","",IFERROR(INDEX(rngSM_pass,MATCH($E195,rngSM_cat,0)),""))</f>
        <v/>
      </c>
      <c r="I195" s="16" t="n"/>
      <c r="J195" s="16" t="n"/>
      <c r="K195" s="16" t="n"/>
      <c r="L195" s="18" t="n"/>
      <c r="M195" s="16" t="n"/>
      <c r="N195" s="17">
        <f>IF($C195="","",MAX(_xlfn.MAXIFS(nrSK_Att,nrSK_PID,$D195,nrSK_Cat,$E195,nrSK_Res,"Pass"),_xlfn.MAXIFS(nrSK_Att,nrSK_PID,$D195,nrSK_Cat,$E195,nrSK_Res,"Fail")))</f>
        <v/>
      </c>
      <c r="O195" s="17">
        <f>IF($C195="","",IF(AND(MAX(_xlfn.MAXIFS(nrSK_Att,nrSK_PID,$D195,nrSK_Cat,$E195,nrSK_Res,"Pass"),_xlfn.MAXIFS(nrSK_Att,nrSK_PID,$D195,nrSK_Cat,$E195,nrSK_Res,"Fail"))&gt;0,N($I195)&lt;MAX(_xlfn.MAXIFS(nrSK_Att,nrSK_PID,$D195,nrSK_Cat,$E195,nrSK_Res,"Pass"),_xlfn.MAXIFS(nrSK_Att,nrSK_PID,$D195,nrSK_Cat,$E195,nrSK_Res,"Fail"))),"(superseded)",IF(OR($J195="",$J195="Pending"),"Pending",IF($J195="Pass","Qualified",IF(AND($J195="Fail",$N195&gt;=$F195),"FAILED OUT","Needs Remediation")))))</f>
        <v/>
      </c>
      <c r="P195" s="17">
        <f>IF($C195="","",IF($O195="FAILED OUT","Yes","No"))</f>
        <v/>
      </c>
      <c r="Q195" s="16" t="n"/>
      <c r="R195" s="16" t="n"/>
      <c r="S195" s="17">
        <f>IF($C195="","",IF(AND($K195&lt;&gt;"",NOT(ISNUMBER($K195))),"SCORE NOT A NUMBER",IF(AND(ISNUMBER($K195),OR($K195&lt;0,$K195&gt;100)),"SCORE OUT OF RANGE - this score counts toward nothing",IF(AND($G195="Score",$K195="",$J195&lt;&gt;"",$J195&lt;&gt;"Pending"),"RESULT WITHOUT A SCORE",IF(AND($G195="Pass/Fail",$K195&lt;&gt;""),"SCORE ON A PASS-FAIL CATEGORY - it is ignored",IF(AND($E195="Firearms",$J195&lt;&gt;"",$J195&lt;&gt;"Pending",$R195=""),"FIREARMS ROW WITH NO COURSE OF FIRE","OK"))))))</f>
        <v/>
      </c>
    </row>
    <row r="196">
      <c r="B196" s="17">
        <f>IF($C196="","",$D196&amp;"-"&amp;$E196&amp;"-"&amp;$I196)</f>
        <v/>
      </c>
      <c r="C196" s="16" t="n"/>
      <c r="D196" s="17">
        <f>IF($C196="","",IFERROR(INDEX(rngCadetPIDs,MATCH($C196,rngCadetNames,0)),"?"))</f>
        <v/>
      </c>
      <c r="E196" s="16" t="n"/>
      <c r="F196" s="17">
        <f>IF($E196="","",IFERROR(INDEX(rngSM_max,MATCH($E196,rngSM_cat,0)),""))</f>
        <v/>
      </c>
      <c r="G196" s="17">
        <f>IF($E196="","",IFERROR(INDEX(rngSM_mode,MATCH($E196,rngSM_cat,0)),""))</f>
        <v/>
      </c>
      <c r="H196" s="17">
        <f>IF($E196="","",IFERROR(INDEX(rngSM_pass,MATCH($E196,rngSM_cat,0)),""))</f>
        <v/>
      </c>
      <c r="I196" s="16" t="n"/>
      <c r="J196" s="16" t="n"/>
      <c r="K196" s="16" t="n"/>
      <c r="L196" s="18" t="n"/>
      <c r="M196" s="16" t="n"/>
      <c r="N196" s="17">
        <f>IF($C196="","",MAX(_xlfn.MAXIFS(nrSK_Att,nrSK_PID,$D196,nrSK_Cat,$E196,nrSK_Res,"Pass"),_xlfn.MAXIFS(nrSK_Att,nrSK_PID,$D196,nrSK_Cat,$E196,nrSK_Res,"Fail")))</f>
        <v/>
      </c>
      <c r="O196" s="17">
        <f>IF($C196="","",IF(AND(MAX(_xlfn.MAXIFS(nrSK_Att,nrSK_PID,$D196,nrSK_Cat,$E196,nrSK_Res,"Pass"),_xlfn.MAXIFS(nrSK_Att,nrSK_PID,$D196,nrSK_Cat,$E196,nrSK_Res,"Fail"))&gt;0,N($I196)&lt;MAX(_xlfn.MAXIFS(nrSK_Att,nrSK_PID,$D196,nrSK_Cat,$E196,nrSK_Res,"Pass"),_xlfn.MAXIFS(nrSK_Att,nrSK_PID,$D196,nrSK_Cat,$E196,nrSK_Res,"Fail"))),"(superseded)",IF(OR($J196="",$J196="Pending"),"Pending",IF($J196="Pass","Qualified",IF(AND($J196="Fail",$N196&gt;=$F196),"FAILED OUT","Needs Remediation")))))</f>
        <v/>
      </c>
      <c r="P196" s="17">
        <f>IF($C196="","",IF($O196="FAILED OUT","Yes","No"))</f>
        <v/>
      </c>
      <c r="Q196" s="16" t="n"/>
      <c r="R196" s="16" t="n"/>
      <c r="S196" s="17">
        <f>IF($C196="","",IF(AND($K196&lt;&gt;"",NOT(ISNUMBER($K196))),"SCORE NOT A NUMBER",IF(AND(ISNUMBER($K196),OR($K196&lt;0,$K196&gt;100)),"SCORE OUT OF RANGE - this score counts toward nothing",IF(AND($G196="Score",$K196="",$J196&lt;&gt;"",$J196&lt;&gt;"Pending"),"RESULT WITHOUT A SCORE",IF(AND($G196="Pass/Fail",$K196&lt;&gt;""),"SCORE ON A PASS-FAIL CATEGORY - it is ignored",IF(AND($E196="Firearms",$J196&lt;&gt;"",$J196&lt;&gt;"Pending",$R196=""),"FIREARMS ROW WITH NO COURSE OF FIRE","OK"))))))</f>
        <v/>
      </c>
    </row>
    <row r="197">
      <c r="B197" s="17">
        <f>IF($C197="","",$D197&amp;"-"&amp;$E197&amp;"-"&amp;$I197)</f>
        <v/>
      </c>
      <c r="C197" s="16" t="n"/>
      <c r="D197" s="17">
        <f>IF($C197="","",IFERROR(INDEX(rngCadetPIDs,MATCH($C197,rngCadetNames,0)),"?"))</f>
        <v/>
      </c>
      <c r="E197" s="16" t="n"/>
      <c r="F197" s="17">
        <f>IF($E197="","",IFERROR(INDEX(rngSM_max,MATCH($E197,rngSM_cat,0)),""))</f>
        <v/>
      </c>
      <c r="G197" s="17">
        <f>IF($E197="","",IFERROR(INDEX(rngSM_mode,MATCH($E197,rngSM_cat,0)),""))</f>
        <v/>
      </c>
      <c r="H197" s="17">
        <f>IF($E197="","",IFERROR(INDEX(rngSM_pass,MATCH($E197,rngSM_cat,0)),""))</f>
        <v/>
      </c>
      <c r="I197" s="16" t="n"/>
      <c r="J197" s="16" t="n"/>
      <c r="K197" s="16" t="n"/>
      <c r="L197" s="18" t="n"/>
      <c r="M197" s="16" t="n"/>
      <c r="N197" s="17">
        <f>IF($C197="","",MAX(_xlfn.MAXIFS(nrSK_Att,nrSK_PID,$D197,nrSK_Cat,$E197,nrSK_Res,"Pass"),_xlfn.MAXIFS(nrSK_Att,nrSK_PID,$D197,nrSK_Cat,$E197,nrSK_Res,"Fail")))</f>
        <v/>
      </c>
      <c r="O197" s="17">
        <f>IF($C197="","",IF(AND(MAX(_xlfn.MAXIFS(nrSK_Att,nrSK_PID,$D197,nrSK_Cat,$E197,nrSK_Res,"Pass"),_xlfn.MAXIFS(nrSK_Att,nrSK_PID,$D197,nrSK_Cat,$E197,nrSK_Res,"Fail"))&gt;0,N($I197)&lt;MAX(_xlfn.MAXIFS(nrSK_Att,nrSK_PID,$D197,nrSK_Cat,$E197,nrSK_Res,"Pass"),_xlfn.MAXIFS(nrSK_Att,nrSK_PID,$D197,nrSK_Cat,$E197,nrSK_Res,"Fail"))),"(superseded)",IF(OR($J197="",$J197="Pending"),"Pending",IF($J197="Pass","Qualified",IF(AND($J197="Fail",$N197&gt;=$F197),"FAILED OUT","Needs Remediation")))))</f>
        <v/>
      </c>
      <c r="P197" s="17">
        <f>IF($C197="","",IF($O197="FAILED OUT","Yes","No"))</f>
        <v/>
      </c>
      <c r="Q197" s="16" t="n"/>
      <c r="R197" s="16" t="n"/>
      <c r="S197" s="17">
        <f>IF($C197="","",IF(AND($K197&lt;&gt;"",NOT(ISNUMBER($K197))),"SCORE NOT A NUMBER",IF(AND(ISNUMBER($K197),OR($K197&lt;0,$K197&gt;100)),"SCORE OUT OF RANGE - this score counts toward nothing",IF(AND($G197="Score",$K197="",$J197&lt;&gt;"",$J197&lt;&gt;"Pending"),"RESULT WITHOUT A SCORE",IF(AND($G197="Pass/Fail",$K197&lt;&gt;""),"SCORE ON A PASS-FAIL CATEGORY - it is ignored",IF(AND($E197="Firearms",$J197&lt;&gt;"",$J197&lt;&gt;"Pending",$R197=""),"FIREARMS ROW WITH NO COURSE OF FIRE","OK"))))))</f>
        <v/>
      </c>
    </row>
    <row r="198">
      <c r="B198" s="17">
        <f>IF($C198="","",$D198&amp;"-"&amp;$E198&amp;"-"&amp;$I198)</f>
        <v/>
      </c>
      <c r="C198" s="16" t="n"/>
      <c r="D198" s="17">
        <f>IF($C198="","",IFERROR(INDEX(rngCadetPIDs,MATCH($C198,rngCadetNames,0)),"?"))</f>
        <v/>
      </c>
      <c r="E198" s="16" t="n"/>
      <c r="F198" s="17">
        <f>IF($E198="","",IFERROR(INDEX(rngSM_max,MATCH($E198,rngSM_cat,0)),""))</f>
        <v/>
      </c>
      <c r="G198" s="17">
        <f>IF($E198="","",IFERROR(INDEX(rngSM_mode,MATCH($E198,rngSM_cat,0)),""))</f>
        <v/>
      </c>
      <c r="H198" s="17">
        <f>IF($E198="","",IFERROR(INDEX(rngSM_pass,MATCH($E198,rngSM_cat,0)),""))</f>
        <v/>
      </c>
      <c r="I198" s="16" t="n"/>
      <c r="J198" s="16" t="n"/>
      <c r="K198" s="16" t="n"/>
      <c r="L198" s="18" t="n"/>
      <c r="M198" s="16" t="n"/>
      <c r="N198" s="17">
        <f>IF($C198="","",MAX(_xlfn.MAXIFS(nrSK_Att,nrSK_PID,$D198,nrSK_Cat,$E198,nrSK_Res,"Pass"),_xlfn.MAXIFS(nrSK_Att,nrSK_PID,$D198,nrSK_Cat,$E198,nrSK_Res,"Fail")))</f>
        <v/>
      </c>
      <c r="O198" s="17">
        <f>IF($C198="","",IF(AND(MAX(_xlfn.MAXIFS(nrSK_Att,nrSK_PID,$D198,nrSK_Cat,$E198,nrSK_Res,"Pass"),_xlfn.MAXIFS(nrSK_Att,nrSK_PID,$D198,nrSK_Cat,$E198,nrSK_Res,"Fail"))&gt;0,N($I198)&lt;MAX(_xlfn.MAXIFS(nrSK_Att,nrSK_PID,$D198,nrSK_Cat,$E198,nrSK_Res,"Pass"),_xlfn.MAXIFS(nrSK_Att,nrSK_PID,$D198,nrSK_Cat,$E198,nrSK_Res,"Fail"))),"(superseded)",IF(OR($J198="",$J198="Pending"),"Pending",IF($J198="Pass","Qualified",IF(AND($J198="Fail",$N198&gt;=$F198),"FAILED OUT","Needs Remediation")))))</f>
        <v/>
      </c>
      <c r="P198" s="17">
        <f>IF($C198="","",IF($O198="FAILED OUT","Yes","No"))</f>
        <v/>
      </c>
      <c r="Q198" s="16" t="n"/>
      <c r="R198" s="16" t="n"/>
      <c r="S198" s="17">
        <f>IF($C198="","",IF(AND($K198&lt;&gt;"",NOT(ISNUMBER($K198))),"SCORE NOT A NUMBER",IF(AND(ISNUMBER($K198),OR($K198&lt;0,$K198&gt;100)),"SCORE OUT OF RANGE - this score counts toward nothing",IF(AND($G198="Score",$K198="",$J198&lt;&gt;"",$J198&lt;&gt;"Pending"),"RESULT WITHOUT A SCORE",IF(AND($G198="Pass/Fail",$K198&lt;&gt;""),"SCORE ON A PASS-FAIL CATEGORY - it is ignored",IF(AND($E198="Firearms",$J198&lt;&gt;"",$J198&lt;&gt;"Pending",$R198=""),"FIREARMS ROW WITH NO COURSE OF FIRE","OK"))))))</f>
        <v/>
      </c>
    </row>
    <row r="199">
      <c r="B199" s="17">
        <f>IF($C199="","",$D199&amp;"-"&amp;$E199&amp;"-"&amp;$I199)</f>
        <v/>
      </c>
      <c r="C199" s="16" t="n"/>
      <c r="D199" s="17">
        <f>IF($C199="","",IFERROR(INDEX(rngCadetPIDs,MATCH($C199,rngCadetNames,0)),"?"))</f>
        <v/>
      </c>
      <c r="E199" s="16" t="n"/>
      <c r="F199" s="17">
        <f>IF($E199="","",IFERROR(INDEX(rngSM_max,MATCH($E199,rngSM_cat,0)),""))</f>
        <v/>
      </c>
      <c r="G199" s="17">
        <f>IF($E199="","",IFERROR(INDEX(rngSM_mode,MATCH($E199,rngSM_cat,0)),""))</f>
        <v/>
      </c>
      <c r="H199" s="17">
        <f>IF($E199="","",IFERROR(INDEX(rngSM_pass,MATCH($E199,rngSM_cat,0)),""))</f>
        <v/>
      </c>
      <c r="I199" s="16" t="n"/>
      <c r="J199" s="16" t="n"/>
      <c r="K199" s="16" t="n"/>
      <c r="L199" s="18" t="n"/>
      <c r="M199" s="16" t="n"/>
      <c r="N199" s="17">
        <f>IF($C199="","",MAX(_xlfn.MAXIFS(nrSK_Att,nrSK_PID,$D199,nrSK_Cat,$E199,nrSK_Res,"Pass"),_xlfn.MAXIFS(nrSK_Att,nrSK_PID,$D199,nrSK_Cat,$E199,nrSK_Res,"Fail")))</f>
        <v/>
      </c>
      <c r="O199" s="17">
        <f>IF($C199="","",IF(AND(MAX(_xlfn.MAXIFS(nrSK_Att,nrSK_PID,$D199,nrSK_Cat,$E199,nrSK_Res,"Pass"),_xlfn.MAXIFS(nrSK_Att,nrSK_PID,$D199,nrSK_Cat,$E199,nrSK_Res,"Fail"))&gt;0,N($I199)&lt;MAX(_xlfn.MAXIFS(nrSK_Att,nrSK_PID,$D199,nrSK_Cat,$E199,nrSK_Res,"Pass"),_xlfn.MAXIFS(nrSK_Att,nrSK_PID,$D199,nrSK_Cat,$E199,nrSK_Res,"Fail"))),"(superseded)",IF(OR($J199="",$J199="Pending"),"Pending",IF($J199="Pass","Qualified",IF(AND($J199="Fail",$N199&gt;=$F199),"FAILED OUT","Needs Remediation")))))</f>
        <v/>
      </c>
      <c r="P199" s="17">
        <f>IF($C199="","",IF($O199="FAILED OUT","Yes","No"))</f>
        <v/>
      </c>
      <c r="Q199" s="16" t="n"/>
      <c r="R199" s="16" t="n"/>
      <c r="S199" s="17">
        <f>IF($C199="","",IF(AND($K199&lt;&gt;"",NOT(ISNUMBER($K199))),"SCORE NOT A NUMBER",IF(AND(ISNUMBER($K199),OR($K199&lt;0,$K199&gt;100)),"SCORE OUT OF RANGE - this score counts toward nothing",IF(AND($G199="Score",$K199="",$J199&lt;&gt;"",$J199&lt;&gt;"Pending"),"RESULT WITHOUT A SCORE",IF(AND($G199="Pass/Fail",$K199&lt;&gt;""),"SCORE ON A PASS-FAIL CATEGORY - it is ignored",IF(AND($E199="Firearms",$J199&lt;&gt;"",$J199&lt;&gt;"Pending",$R199=""),"FIREARMS ROW WITH NO COURSE OF FIRE","OK"))))))</f>
        <v/>
      </c>
    </row>
    <row r="200">
      <c r="B200" s="17">
        <f>IF($C200="","",$D200&amp;"-"&amp;$E200&amp;"-"&amp;$I200)</f>
        <v/>
      </c>
      <c r="C200" s="16" t="n"/>
      <c r="D200" s="17">
        <f>IF($C200="","",IFERROR(INDEX(rngCadetPIDs,MATCH($C200,rngCadetNames,0)),"?"))</f>
        <v/>
      </c>
      <c r="E200" s="16" t="n"/>
      <c r="F200" s="17">
        <f>IF($E200="","",IFERROR(INDEX(rngSM_max,MATCH($E200,rngSM_cat,0)),""))</f>
        <v/>
      </c>
      <c r="G200" s="17">
        <f>IF($E200="","",IFERROR(INDEX(rngSM_mode,MATCH($E200,rngSM_cat,0)),""))</f>
        <v/>
      </c>
      <c r="H200" s="17">
        <f>IF($E200="","",IFERROR(INDEX(rngSM_pass,MATCH($E200,rngSM_cat,0)),""))</f>
        <v/>
      </c>
      <c r="I200" s="16" t="n"/>
      <c r="J200" s="16" t="n"/>
      <c r="K200" s="16" t="n"/>
      <c r="L200" s="18" t="n"/>
      <c r="M200" s="16" t="n"/>
      <c r="N200" s="17">
        <f>IF($C200="","",MAX(_xlfn.MAXIFS(nrSK_Att,nrSK_PID,$D200,nrSK_Cat,$E200,nrSK_Res,"Pass"),_xlfn.MAXIFS(nrSK_Att,nrSK_PID,$D200,nrSK_Cat,$E200,nrSK_Res,"Fail")))</f>
        <v/>
      </c>
      <c r="O200" s="17">
        <f>IF($C200="","",IF(AND(MAX(_xlfn.MAXIFS(nrSK_Att,nrSK_PID,$D200,nrSK_Cat,$E200,nrSK_Res,"Pass"),_xlfn.MAXIFS(nrSK_Att,nrSK_PID,$D200,nrSK_Cat,$E200,nrSK_Res,"Fail"))&gt;0,N($I200)&lt;MAX(_xlfn.MAXIFS(nrSK_Att,nrSK_PID,$D200,nrSK_Cat,$E200,nrSK_Res,"Pass"),_xlfn.MAXIFS(nrSK_Att,nrSK_PID,$D200,nrSK_Cat,$E200,nrSK_Res,"Fail"))),"(superseded)",IF(OR($J200="",$J200="Pending"),"Pending",IF($J200="Pass","Qualified",IF(AND($J200="Fail",$N200&gt;=$F200),"FAILED OUT","Needs Remediation")))))</f>
        <v/>
      </c>
      <c r="P200" s="17">
        <f>IF($C200="","",IF($O200="FAILED OUT","Yes","No"))</f>
        <v/>
      </c>
      <c r="Q200" s="16" t="n"/>
      <c r="R200" s="16" t="n"/>
      <c r="S200" s="17">
        <f>IF($C200="","",IF(AND($K200&lt;&gt;"",NOT(ISNUMBER($K200))),"SCORE NOT A NUMBER",IF(AND(ISNUMBER($K200),OR($K200&lt;0,$K200&gt;100)),"SCORE OUT OF RANGE - this score counts toward nothing",IF(AND($G200="Score",$K200="",$J200&lt;&gt;"",$J200&lt;&gt;"Pending"),"RESULT WITHOUT A SCORE",IF(AND($G200="Pass/Fail",$K200&lt;&gt;""),"SCORE ON A PASS-FAIL CATEGORY - it is ignored",IF(AND($E200="Firearms",$J200&lt;&gt;"",$J200&lt;&gt;"Pending",$R200=""),"FIREARMS ROW WITH NO COURSE OF FIRE","OK"))))))</f>
        <v/>
      </c>
    </row>
    <row r="201">
      <c r="B201" s="17">
        <f>IF($C201="","",$D201&amp;"-"&amp;$E201&amp;"-"&amp;$I201)</f>
        <v/>
      </c>
      <c r="C201" s="16" t="n"/>
      <c r="D201" s="17">
        <f>IF($C201="","",IFERROR(INDEX(rngCadetPIDs,MATCH($C201,rngCadetNames,0)),"?"))</f>
        <v/>
      </c>
      <c r="E201" s="16" t="n"/>
      <c r="F201" s="17">
        <f>IF($E201="","",IFERROR(INDEX(rngSM_max,MATCH($E201,rngSM_cat,0)),""))</f>
        <v/>
      </c>
      <c r="G201" s="17">
        <f>IF($E201="","",IFERROR(INDEX(rngSM_mode,MATCH($E201,rngSM_cat,0)),""))</f>
        <v/>
      </c>
      <c r="H201" s="17">
        <f>IF($E201="","",IFERROR(INDEX(rngSM_pass,MATCH($E201,rngSM_cat,0)),""))</f>
        <v/>
      </c>
      <c r="I201" s="16" t="n"/>
      <c r="J201" s="16" t="n"/>
      <c r="K201" s="16" t="n"/>
      <c r="L201" s="18" t="n"/>
      <c r="M201" s="16" t="n"/>
      <c r="N201" s="17">
        <f>IF($C201="","",MAX(_xlfn.MAXIFS(nrSK_Att,nrSK_PID,$D201,nrSK_Cat,$E201,nrSK_Res,"Pass"),_xlfn.MAXIFS(nrSK_Att,nrSK_PID,$D201,nrSK_Cat,$E201,nrSK_Res,"Fail")))</f>
        <v/>
      </c>
      <c r="O201" s="17">
        <f>IF($C201="","",IF(AND(MAX(_xlfn.MAXIFS(nrSK_Att,nrSK_PID,$D201,nrSK_Cat,$E201,nrSK_Res,"Pass"),_xlfn.MAXIFS(nrSK_Att,nrSK_PID,$D201,nrSK_Cat,$E201,nrSK_Res,"Fail"))&gt;0,N($I201)&lt;MAX(_xlfn.MAXIFS(nrSK_Att,nrSK_PID,$D201,nrSK_Cat,$E201,nrSK_Res,"Pass"),_xlfn.MAXIFS(nrSK_Att,nrSK_PID,$D201,nrSK_Cat,$E201,nrSK_Res,"Fail"))),"(superseded)",IF(OR($J201="",$J201="Pending"),"Pending",IF($J201="Pass","Qualified",IF(AND($J201="Fail",$N201&gt;=$F201),"FAILED OUT","Needs Remediation")))))</f>
        <v/>
      </c>
      <c r="P201" s="17">
        <f>IF($C201="","",IF($O201="FAILED OUT","Yes","No"))</f>
        <v/>
      </c>
      <c r="Q201" s="16" t="n"/>
      <c r="R201" s="16" t="n"/>
      <c r="S201" s="17">
        <f>IF($C201="","",IF(AND($K201&lt;&gt;"",NOT(ISNUMBER($K201))),"SCORE NOT A NUMBER",IF(AND(ISNUMBER($K201),OR($K201&lt;0,$K201&gt;100)),"SCORE OUT OF RANGE - this score counts toward nothing",IF(AND($G201="Score",$K201="",$J201&lt;&gt;"",$J201&lt;&gt;"Pending"),"RESULT WITHOUT A SCORE",IF(AND($G201="Pass/Fail",$K201&lt;&gt;""),"SCORE ON A PASS-FAIL CATEGORY - it is ignored",IF(AND($E201="Firearms",$J201&lt;&gt;"",$J201&lt;&gt;"Pending",$R201=""),"FIREARMS ROW WITH NO COURSE OF FIRE","OK"))))))</f>
        <v/>
      </c>
    </row>
    <row r="202">
      <c r="B202" s="17">
        <f>IF($C202="","",$D202&amp;"-"&amp;$E202&amp;"-"&amp;$I202)</f>
        <v/>
      </c>
      <c r="C202" s="16" t="n"/>
      <c r="D202" s="17">
        <f>IF($C202="","",IFERROR(INDEX(rngCadetPIDs,MATCH($C202,rngCadetNames,0)),"?"))</f>
        <v/>
      </c>
      <c r="E202" s="16" t="n"/>
      <c r="F202" s="17">
        <f>IF($E202="","",IFERROR(INDEX(rngSM_max,MATCH($E202,rngSM_cat,0)),""))</f>
        <v/>
      </c>
      <c r="G202" s="17">
        <f>IF($E202="","",IFERROR(INDEX(rngSM_mode,MATCH($E202,rngSM_cat,0)),""))</f>
        <v/>
      </c>
      <c r="H202" s="17">
        <f>IF($E202="","",IFERROR(INDEX(rngSM_pass,MATCH($E202,rngSM_cat,0)),""))</f>
        <v/>
      </c>
      <c r="I202" s="16" t="n"/>
      <c r="J202" s="16" t="n"/>
      <c r="K202" s="16" t="n"/>
      <c r="L202" s="18" t="n"/>
      <c r="M202" s="16" t="n"/>
      <c r="N202" s="17">
        <f>IF($C202="","",MAX(_xlfn.MAXIFS(nrSK_Att,nrSK_PID,$D202,nrSK_Cat,$E202,nrSK_Res,"Pass"),_xlfn.MAXIFS(nrSK_Att,nrSK_PID,$D202,nrSK_Cat,$E202,nrSK_Res,"Fail")))</f>
        <v/>
      </c>
      <c r="O202" s="17">
        <f>IF($C202="","",IF(AND(MAX(_xlfn.MAXIFS(nrSK_Att,nrSK_PID,$D202,nrSK_Cat,$E202,nrSK_Res,"Pass"),_xlfn.MAXIFS(nrSK_Att,nrSK_PID,$D202,nrSK_Cat,$E202,nrSK_Res,"Fail"))&gt;0,N($I202)&lt;MAX(_xlfn.MAXIFS(nrSK_Att,nrSK_PID,$D202,nrSK_Cat,$E202,nrSK_Res,"Pass"),_xlfn.MAXIFS(nrSK_Att,nrSK_PID,$D202,nrSK_Cat,$E202,nrSK_Res,"Fail"))),"(superseded)",IF(OR($J202="",$J202="Pending"),"Pending",IF($J202="Pass","Qualified",IF(AND($J202="Fail",$N202&gt;=$F202),"FAILED OUT","Needs Remediation")))))</f>
        <v/>
      </c>
      <c r="P202" s="17">
        <f>IF($C202="","",IF($O202="FAILED OUT","Yes","No"))</f>
        <v/>
      </c>
      <c r="Q202" s="16" t="n"/>
      <c r="R202" s="16" t="n"/>
      <c r="S202" s="17">
        <f>IF($C202="","",IF(AND($K202&lt;&gt;"",NOT(ISNUMBER($K202))),"SCORE NOT A NUMBER",IF(AND(ISNUMBER($K202),OR($K202&lt;0,$K202&gt;100)),"SCORE OUT OF RANGE - this score counts toward nothing",IF(AND($G202="Score",$K202="",$J202&lt;&gt;"",$J202&lt;&gt;"Pending"),"RESULT WITHOUT A SCORE",IF(AND($G202="Pass/Fail",$K202&lt;&gt;""),"SCORE ON A PASS-FAIL CATEGORY - it is ignored",IF(AND($E202="Firearms",$J202&lt;&gt;"",$J202&lt;&gt;"Pending",$R202=""),"FIREARMS ROW WITH NO COURSE OF FIRE","OK"))))))</f>
        <v/>
      </c>
    </row>
    <row r="203">
      <c r="B203" s="17">
        <f>IF($C203="","",$D203&amp;"-"&amp;$E203&amp;"-"&amp;$I203)</f>
        <v/>
      </c>
      <c r="C203" s="16" t="n"/>
      <c r="D203" s="17">
        <f>IF($C203="","",IFERROR(INDEX(rngCadetPIDs,MATCH($C203,rngCadetNames,0)),"?"))</f>
        <v/>
      </c>
      <c r="E203" s="16" t="n"/>
      <c r="F203" s="17">
        <f>IF($E203="","",IFERROR(INDEX(rngSM_max,MATCH($E203,rngSM_cat,0)),""))</f>
        <v/>
      </c>
      <c r="G203" s="17">
        <f>IF($E203="","",IFERROR(INDEX(rngSM_mode,MATCH($E203,rngSM_cat,0)),""))</f>
        <v/>
      </c>
      <c r="H203" s="17">
        <f>IF($E203="","",IFERROR(INDEX(rngSM_pass,MATCH($E203,rngSM_cat,0)),""))</f>
        <v/>
      </c>
      <c r="I203" s="16" t="n"/>
      <c r="J203" s="16" t="n"/>
      <c r="K203" s="16" t="n"/>
      <c r="L203" s="18" t="n"/>
      <c r="M203" s="16" t="n"/>
      <c r="N203" s="17">
        <f>IF($C203="","",MAX(_xlfn.MAXIFS(nrSK_Att,nrSK_PID,$D203,nrSK_Cat,$E203,nrSK_Res,"Pass"),_xlfn.MAXIFS(nrSK_Att,nrSK_PID,$D203,nrSK_Cat,$E203,nrSK_Res,"Fail")))</f>
        <v/>
      </c>
      <c r="O203" s="17">
        <f>IF($C203="","",IF(AND(MAX(_xlfn.MAXIFS(nrSK_Att,nrSK_PID,$D203,nrSK_Cat,$E203,nrSK_Res,"Pass"),_xlfn.MAXIFS(nrSK_Att,nrSK_PID,$D203,nrSK_Cat,$E203,nrSK_Res,"Fail"))&gt;0,N($I203)&lt;MAX(_xlfn.MAXIFS(nrSK_Att,nrSK_PID,$D203,nrSK_Cat,$E203,nrSK_Res,"Pass"),_xlfn.MAXIFS(nrSK_Att,nrSK_PID,$D203,nrSK_Cat,$E203,nrSK_Res,"Fail"))),"(superseded)",IF(OR($J203="",$J203="Pending"),"Pending",IF($J203="Pass","Qualified",IF(AND($J203="Fail",$N203&gt;=$F203),"FAILED OUT","Needs Remediation")))))</f>
        <v/>
      </c>
      <c r="P203" s="17">
        <f>IF($C203="","",IF($O203="FAILED OUT","Yes","No"))</f>
        <v/>
      </c>
      <c r="Q203" s="16" t="n"/>
      <c r="R203" s="16" t="n"/>
      <c r="S203" s="17">
        <f>IF($C203="","",IF(AND($K203&lt;&gt;"",NOT(ISNUMBER($K203))),"SCORE NOT A NUMBER",IF(AND(ISNUMBER($K203),OR($K203&lt;0,$K203&gt;100)),"SCORE OUT OF RANGE - this score counts toward nothing",IF(AND($G203="Score",$K203="",$J203&lt;&gt;"",$J203&lt;&gt;"Pending"),"RESULT WITHOUT A SCORE",IF(AND($G203="Pass/Fail",$K203&lt;&gt;""),"SCORE ON A PASS-FAIL CATEGORY - it is ignored",IF(AND($E203="Firearms",$J203&lt;&gt;"",$J203&lt;&gt;"Pending",$R203=""),"FIREARMS ROW WITH NO COURSE OF FIRE","OK"))))))</f>
        <v/>
      </c>
    </row>
    <row r="204">
      <c r="B204" s="17">
        <f>IF($C204="","",$D204&amp;"-"&amp;$E204&amp;"-"&amp;$I204)</f>
        <v/>
      </c>
      <c r="C204" s="16" t="n"/>
      <c r="D204" s="17">
        <f>IF($C204="","",IFERROR(INDEX(rngCadetPIDs,MATCH($C204,rngCadetNames,0)),"?"))</f>
        <v/>
      </c>
      <c r="E204" s="16" t="n"/>
      <c r="F204" s="17">
        <f>IF($E204="","",IFERROR(INDEX(rngSM_max,MATCH($E204,rngSM_cat,0)),""))</f>
        <v/>
      </c>
      <c r="G204" s="17">
        <f>IF($E204="","",IFERROR(INDEX(rngSM_mode,MATCH($E204,rngSM_cat,0)),""))</f>
        <v/>
      </c>
      <c r="H204" s="17">
        <f>IF($E204="","",IFERROR(INDEX(rngSM_pass,MATCH($E204,rngSM_cat,0)),""))</f>
        <v/>
      </c>
      <c r="I204" s="16" t="n"/>
      <c r="J204" s="16" t="n"/>
      <c r="K204" s="16" t="n"/>
      <c r="L204" s="18" t="n"/>
      <c r="M204" s="16" t="n"/>
      <c r="N204" s="17">
        <f>IF($C204="","",MAX(_xlfn.MAXIFS(nrSK_Att,nrSK_PID,$D204,nrSK_Cat,$E204,nrSK_Res,"Pass"),_xlfn.MAXIFS(nrSK_Att,nrSK_PID,$D204,nrSK_Cat,$E204,nrSK_Res,"Fail")))</f>
        <v/>
      </c>
      <c r="O204" s="17">
        <f>IF($C204="","",IF(AND(MAX(_xlfn.MAXIFS(nrSK_Att,nrSK_PID,$D204,nrSK_Cat,$E204,nrSK_Res,"Pass"),_xlfn.MAXIFS(nrSK_Att,nrSK_PID,$D204,nrSK_Cat,$E204,nrSK_Res,"Fail"))&gt;0,N($I204)&lt;MAX(_xlfn.MAXIFS(nrSK_Att,nrSK_PID,$D204,nrSK_Cat,$E204,nrSK_Res,"Pass"),_xlfn.MAXIFS(nrSK_Att,nrSK_PID,$D204,nrSK_Cat,$E204,nrSK_Res,"Fail"))),"(superseded)",IF(OR($J204="",$J204="Pending"),"Pending",IF($J204="Pass","Qualified",IF(AND($J204="Fail",$N204&gt;=$F204),"FAILED OUT","Needs Remediation")))))</f>
        <v/>
      </c>
      <c r="P204" s="17">
        <f>IF($C204="","",IF($O204="FAILED OUT","Yes","No"))</f>
        <v/>
      </c>
      <c r="Q204" s="16" t="n"/>
      <c r="R204" s="16" t="n"/>
      <c r="S204" s="17">
        <f>IF($C204="","",IF(AND($K204&lt;&gt;"",NOT(ISNUMBER($K204))),"SCORE NOT A NUMBER",IF(AND(ISNUMBER($K204),OR($K204&lt;0,$K204&gt;100)),"SCORE OUT OF RANGE - this score counts toward nothing",IF(AND($G204="Score",$K204="",$J204&lt;&gt;"",$J204&lt;&gt;"Pending"),"RESULT WITHOUT A SCORE",IF(AND($G204="Pass/Fail",$K204&lt;&gt;""),"SCORE ON A PASS-FAIL CATEGORY - it is ignored",IF(AND($E204="Firearms",$J204&lt;&gt;"",$J204&lt;&gt;"Pending",$R204=""),"FIREARMS ROW WITH NO COURSE OF FIRE","OK"))))))</f>
        <v/>
      </c>
    </row>
    <row r="205">
      <c r="B205" s="17">
        <f>IF($C205="","",$D205&amp;"-"&amp;$E205&amp;"-"&amp;$I205)</f>
        <v/>
      </c>
      <c r="C205" s="16" t="n"/>
      <c r="D205" s="17">
        <f>IF($C205="","",IFERROR(INDEX(rngCadetPIDs,MATCH($C205,rngCadetNames,0)),"?"))</f>
        <v/>
      </c>
      <c r="E205" s="16" t="n"/>
      <c r="F205" s="17">
        <f>IF($E205="","",IFERROR(INDEX(rngSM_max,MATCH($E205,rngSM_cat,0)),""))</f>
        <v/>
      </c>
      <c r="G205" s="17">
        <f>IF($E205="","",IFERROR(INDEX(rngSM_mode,MATCH($E205,rngSM_cat,0)),""))</f>
        <v/>
      </c>
      <c r="H205" s="17">
        <f>IF($E205="","",IFERROR(INDEX(rngSM_pass,MATCH($E205,rngSM_cat,0)),""))</f>
        <v/>
      </c>
      <c r="I205" s="16" t="n"/>
      <c r="J205" s="16" t="n"/>
      <c r="K205" s="16" t="n"/>
      <c r="L205" s="18" t="n"/>
      <c r="M205" s="16" t="n"/>
      <c r="N205" s="17">
        <f>IF($C205="","",MAX(_xlfn.MAXIFS(nrSK_Att,nrSK_PID,$D205,nrSK_Cat,$E205,nrSK_Res,"Pass"),_xlfn.MAXIFS(nrSK_Att,nrSK_PID,$D205,nrSK_Cat,$E205,nrSK_Res,"Fail")))</f>
        <v/>
      </c>
      <c r="O205" s="17">
        <f>IF($C205="","",IF(AND(MAX(_xlfn.MAXIFS(nrSK_Att,nrSK_PID,$D205,nrSK_Cat,$E205,nrSK_Res,"Pass"),_xlfn.MAXIFS(nrSK_Att,nrSK_PID,$D205,nrSK_Cat,$E205,nrSK_Res,"Fail"))&gt;0,N($I205)&lt;MAX(_xlfn.MAXIFS(nrSK_Att,nrSK_PID,$D205,nrSK_Cat,$E205,nrSK_Res,"Pass"),_xlfn.MAXIFS(nrSK_Att,nrSK_PID,$D205,nrSK_Cat,$E205,nrSK_Res,"Fail"))),"(superseded)",IF(OR($J205="",$J205="Pending"),"Pending",IF($J205="Pass","Qualified",IF(AND($J205="Fail",$N205&gt;=$F205),"FAILED OUT","Needs Remediation")))))</f>
        <v/>
      </c>
      <c r="P205" s="17">
        <f>IF($C205="","",IF($O205="FAILED OUT","Yes","No"))</f>
        <v/>
      </c>
      <c r="Q205" s="16" t="n"/>
      <c r="R205" s="16" t="n"/>
      <c r="S205" s="17">
        <f>IF($C205="","",IF(AND($K205&lt;&gt;"",NOT(ISNUMBER($K205))),"SCORE NOT A NUMBER",IF(AND(ISNUMBER($K205),OR($K205&lt;0,$K205&gt;100)),"SCORE OUT OF RANGE - this score counts toward nothing",IF(AND($G205="Score",$K205="",$J205&lt;&gt;"",$J205&lt;&gt;"Pending"),"RESULT WITHOUT A SCORE",IF(AND($G205="Pass/Fail",$K205&lt;&gt;""),"SCORE ON A PASS-FAIL CATEGORY - it is ignored",IF(AND($E205="Firearms",$J205&lt;&gt;"",$J205&lt;&gt;"Pending",$R205=""),"FIREARMS ROW WITH NO COURSE OF FIRE","OK"))))))</f>
        <v/>
      </c>
    </row>
    <row r="206">
      <c r="B206" s="17">
        <f>IF($C206="","",$D206&amp;"-"&amp;$E206&amp;"-"&amp;$I206)</f>
        <v/>
      </c>
      <c r="C206" s="16" t="n"/>
      <c r="D206" s="17">
        <f>IF($C206="","",IFERROR(INDEX(rngCadetPIDs,MATCH($C206,rngCadetNames,0)),"?"))</f>
        <v/>
      </c>
      <c r="E206" s="16" t="n"/>
      <c r="F206" s="17">
        <f>IF($E206="","",IFERROR(INDEX(rngSM_max,MATCH($E206,rngSM_cat,0)),""))</f>
        <v/>
      </c>
      <c r="G206" s="17">
        <f>IF($E206="","",IFERROR(INDEX(rngSM_mode,MATCH($E206,rngSM_cat,0)),""))</f>
        <v/>
      </c>
      <c r="H206" s="17">
        <f>IF($E206="","",IFERROR(INDEX(rngSM_pass,MATCH($E206,rngSM_cat,0)),""))</f>
        <v/>
      </c>
      <c r="I206" s="16" t="n"/>
      <c r="J206" s="16" t="n"/>
      <c r="K206" s="16" t="n"/>
      <c r="L206" s="18" t="n"/>
      <c r="M206" s="16" t="n"/>
      <c r="N206" s="17">
        <f>IF($C206="","",MAX(_xlfn.MAXIFS(nrSK_Att,nrSK_PID,$D206,nrSK_Cat,$E206,nrSK_Res,"Pass"),_xlfn.MAXIFS(nrSK_Att,nrSK_PID,$D206,nrSK_Cat,$E206,nrSK_Res,"Fail")))</f>
        <v/>
      </c>
      <c r="O206" s="17">
        <f>IF($C206="","",IF(AND(MAX(_xlfn.MAXIFS(nrSK_Att,nrSK_PID,$D206,nrSK_Cat,$E206,nrSK_Res,"Pass"),_xlfn.MAXIFS(nrSK_Att,nrSK_PID,$D206,nrSK_Cat,$E206,nrSK_Res,"Fail"))&gt;0,N($I206)&lt;MAX(_xlfn.MAXIFS(nrSK_Att,nrSK_PID,$D206,nrSK_Cat,$E206,nrSK_Res,"Pass"),_xlfn.MAXIFS(nrSK_Att,nrSK_PID,$D206,nrSK_Cat,$E206,nrSK_Res,"Fail"))),"(superseded)",IF(OR($J206="",$J206="Pending"),"Pending",IF($J206="Pass","Qualified",IF(AND($J206="Fail",$N206&gt;=$F206),"FAILED OUT","Needs Remediation")))))</f>
        <v/>
      </c>
      <c r="P206" s="17">
        <f>IF($C206="","",IF($O206="FAILED OUT","Yes","No"))</f>
        <v/>
      </c>
      <c r="Q206" s="16" t="n"/>
      <c r="R206" s="16" t="n"/>
      <c r="S206" s="17">
        <f>IF($C206="","",IF(AND($K206&lt;&gt;"",NOT(ISNUMBER($K206))),"SCORE NOT A NUMBER",IF(AND(ISNUMBER($K206),OR($K206&lt;0,$K206&gt;100)),"SCORE OUT OF RANGE - this score counts toward nothing",IF(AND($G206="Score",$K206="",$J206&lt;&gt;"",$J206&lt;&gt;"Pending"),"RESULT WITHOUT A SCORE",IF(AND($G206="Pass/Fail",$K206&lt;&gt;""),"SCORE ON A PASS-FAIL CATEGORY - it is ignored",IF(AND($E206="Firearms",$J206&lt;&gt;"",$J206&lt;&gt;"Pending",$R206=""),"FIREARMS ROW WITH NO COURSE OF FIRE","OK"))))))</f>
        <v/>
      </c>
    </row>
    <row r="207">
      <c r="B207" s="17">
        <f>IF($C207="","",$D207&amp;"-"&amp;$E207&amp;"-"&amp;$I207)</f>
        <v/>
      </c>
      <c r="C207" s="16" t="n"/>
      <c r="D207" s="17">
        <f>IF($C207="","",IFERROR(INDEX(rngCadetPIDs,MATCH($C207,rngCadetNames,0)),"?"))</f>
        <v/>
      </c>
      <c r="E207" s="16" t="n"/>
      <c r="F207" s="17">
        <f>IF($E207="","",IFERROR(INDEX(rngSM_max,MATCH($E207,rngSM_cat,0)),""))</f>
        <v/>
      </c>
      <c r="G207" s="17">
        <f>IF($E207="","",IFERROR(INDEX(rngSM_mode,MATCH($E207,rngSM_cat,0)),""))</f>
        <v/>
      </c>
      <c r="H207" s="17">
        <f>IF($E207="","",IFERROR(INDEX(rngSM_pass,MATCH($E207,rngSM_cat,0)),""))</f>
        <v/>
      </c>
      <c r="I207" s="16" t="n"/>
      <c r="J207" s="16" t="n"/>
      <c r="K207" s="16" t="n"/>
      <c r="L207" s="18" t="n"/>
      <c r="M207" s="16" t="n"/>
      <c r="N207" s="17">
        <f>IF($C207="","",MAX(_xlfn.MAXIFS(nrSK_Att,nrSK_PID,$D207,nrSK_Cat,$E207,nrSK_Res,"Pass"),_xlfn.MAXIFS(nrSK_Att,nrSK_PID,$D207,nrSK_Cat,$E207,nrSK_Res,"Fail")))</f>
        <v/>
      </c>
      <c r="O207" s="17">
        <f>IF($C207="","",IF(AND(MAX(_xlfn.MAXIFS(nrSK_Att,nrSK_PID,$D207,nrSK_Cat,$E207,nrSK_Res,"Pass"),_xlfn.MAXIFS(nrSK_Att,nrSK_PID,$D207,nrSK_Cat,$E207,nrSK_Res,"Fail"))&gt;0,N($I207)&lt;MAX(_xlfn.MAXIFS(nrSK_Att,nrSK_PID,$D207,nrSK_Cat,$E207,nrSK_Res,"Pass"),_xlfn.MAXIFS(nrSK_Att,nrSK_PID,$D207,nrSK_Cat,$E207,nrSK_Res,"Fail"))),"(superseded)",IF(OR($J207="",$J207="Pending"),"Pending",IF($J207="Pass","Qualified",IF(AND($J207="Fail",$N207&gt;=$F207),"FAILED OUT","Needs Remediation")))))</f>
        <v/>
      </c>
      <c r="P207" s="17">
        <f>IF($C207="","",IF($O207="FAILED OUT","Yes","No"))</f>
        <v/>
      </c>
      <c r="Q207" s="16" t="n"/>
      <c r="R207" s="16" t="n"/>
      <c r="S207" s="17">
        <f>IF($C207="","",IF(AND($K207&lt;&gt;"",NOT(ISNUMBER($K207))),"SCORE NOT A NUMBER",IF(AND(ISNUMBER($K207),OR($K207&lt;0,$K207&gt;100)),"SCORE OUT OF RANGE - this score counts toward nothing",IF(AND($G207="Score",$K207="",$J207&lt;&gt;"",$J207&lt;&gt;"Pending"),"RESULT WITHOUT A SCORE",IF(AND($G207="Pass/Fail",$K207&lt;&gt;""),"SCORE ON A PASS-FAIL CATEGORY - it is ignored",IF(AND($E207="Firearms",$J207&lt;&gt;"",$J207&lt;&gt;"Pending",$R207=""),"FIREARMS ROW WITH NO COURSE OF FIRE","OK"))))))</f>
        <v/>
      </c>
    </row>
    <row r="208">
      <c r="B208" s="17">
        <f>IF($C208="","",$D208&amp;"-"&amp;$E208&amp;"-"&amp;$I208)</f>
        <v/>
      </c>
      <c r="C208" s="16" t="n"/>
      <c r="D208" s="17">
        <f>IF($C208="","",IFERROR(INDEX(rngCadetPIDs,MATCH($C208,rngCadetNames,0)),"?"))</f>
        <v/>
      </c>
      <c r="E208" s="16" t="n"/>
      <c r="F208" s="17">
        <f>IF($E208="","",IFERROR(INDEX(rngSM_max,MATCH($E208,rngSM_cat,0)),""))</f>
        <v/>
      </c>
      <c r="G208" s="17">
        <f>IF($E208="","",IFERROR(INDEX(rngSM_mode,MATCH($E208,rngSM_cat,0)),""))</f>
        <v/>
      </c>
      <c r="H208" s="17">
        <f>IF($E208="","",IFERROR(INDEX(rngSM_pass,MATCH($E208,rngSM_cat,0)),""))</f>
        <v/>
      </c>
      <c r="I208" s="16" t="n"/>
      <c r="J208" s="16" t="n"/>
      <c r="K208" s="16" t="n"/>
      <c r="L208" s="18" t="n"/>
      <c r="M208" s="16" t="n"/>
      <c r="N208" s="17">
        <f>IF($C208="","",MAX(_xlfn.MAXIFS(nrSK_Att,nrSK_PID,$D208,nrSK_Cat,$E208,nrSK_Res,"Pass"),_xlfn.MAXIFS(nrSK_Att,nrSK_PID,$D208,nrSK_Cat,$E208,nrSK_Res,"Fail")))</f>
        <v/>
      </c>
      <c r="O208" s="17">
        <f>IF($C208="","",IF(AND(MAX(_xlfn.MAXIFS(nrSK_Att,nrSK_PID,$D208,nrSK_Cat,$E208,nrSK_Res,"Pass"),_xlfn.MAXIFS(nrSK_Att,nrSK_PID,$D208,nrSK_Cat,$E208,nrSK_Res,"Fail"))&gt;0,N($I208)&lt;MAX(_xlfn.MAXIFS(nrSK_Att,nrSK_PID,$D208,nrSK_Cat,$E208,nrSK_Res,"Pass"),_xlfn.MAXIFS(nrSK_Att,nrSK_PID,$D208,nrSK_Cat,$E208,nrSK_Res,"Fail"))),"(superseded)",IF(OR($J208="",$J208="Pending"),"Pending",IF($J208="Pass","Qualified",IF(AND($J208="Fail",$N208&gt;=$F208),"FAILED OUT","Needs Remediation")))))</f>
        <v/>
      </c>
      <c r="P208" s="17">
        <f>IF($C208="","",IF($O208="FAILED OUT","Yes","No"))</f>
        <v/>
      </c>
      <c r="Q208" s="16" t="n"/>
      <c r="R208" s="16" t="n"/>
      <c r="S208" s="17">
        <f>IF($C208="","",IF(AND($K208&lt;&gt;"",NOT(ISNUMBER($K208))),"SCORE NOT A NUMBER",IF(AND(ISNUMBER($K208),OR($K208&lt;0,$K208&gt;100)),"SCORE OUT OF RANGE - this score counts toward nothing",IF(AND($G208="Score",$K208="",$J208&lt;&gt;"",$J208&lt;&gt;"Pending"),"RESULT WITHOUT A SCORE",IF(AND($G208="Pass/Fail",$K208&lt;&gt;""),"SCORE ON A PASS-FAIL CATEGORY - it is ignored",IF(AND($E208="Firearms",$J208&lt;&gt;"",$J208&lt;&gt;"Pending",$R208=""),"FIREARMS ROW WITH NO COURSE OF FIRE","OK"))))))</f>
        <v/>
      </c>
    </row>
    <row r="209">
      <c r="B209" s="17">
        <f>IF($C209="","",$D209&amp;"-"&amp;$E209&amp;"-"&amp;$I209)</f>
        <v/>
      </c>
      <c r="C209" s="16" t="n"/>
      <c r="D209" s="17">
        <f>IF($C209="","",IFERROR(INDEX(rngCadetPIDs,MATCH($C209,rngCadetNames,0)),"?"))</f>
        <v/>
      </c>
      <c r="E209" s="16" t="n"/>
      <c r="F209" s="17">
        <f>IF($E209="","",IFERROR(INDEX(rngSM_max,MATCH($E209,rngSM_cat,0)),""))</f>
        <v/>
      </c>
      <c r="G209" s="17">
        <f>IF($E209="","",IFERROR(INDEX(rngSM_mode,MATCH($E209,rngSM_cat,0)),""))</f>
        <v/>
      </c>
      <c r="H209" s="17">
        <f>IF($E209="","",IFERROR(INDEX(rngSM_pass,MATCH($E209,rngSM_cat,0)),""))</f>
        <v/>
      </c>
      <c r="I209" s="16" t="n"/>
      <c r="J209" s="16" t="n"/>
      <c r="K209" s="16" t="n"/>
      <c r="L209" s="18" t="n"/>
      <c r="M209" s="16" t="n"/>
      <c r="N209" s="17">
        <f>IF($C209="","",MAX(_xlfn.MAXIFS(nrSK_Att,nrSK_PID,$D209,nrSK_Cat,$E209,nrSK_Res,"Pass"),_xlfn.MAXIFS(nrSK_Att,nrSK_PID,$D209,nrSK_Cat,$E209,nrSK_Res,"Fail")))</f>
        <v/>
      </c>
      <c r="O209" s="17">
        <f>IF($C209="","",IF(AND(MAX(_xlfn.MAXIFS(nrSK_Att,nrSK_PID,$D209,nrSK_Cat,$E209,nrSK_Res,"Pass"),_xlfn.MAXIFS(nrSK_Att,nrSK_PID,$D209,nrSK_Cat,$E209,nrSK_Res,"Fail"))&gt;0,N($I209)&lt;MAX(_xlfn.MAXIFS(nrSK_Att,nrSK_PID,$D209,nrSK_Cat,$E209,nrSK_Res,"Pass"),_xlfn.MAXIFS(nrSK_Att,nrSK_PID,$D209,nrSK_Cat,$E209,nrSK_Res,"Fail"))),"(superseded)",IF(OR($J209="",$J209="Pending"),"Pending",IF($J209="Pass","Qualified",IF(AND($J209="Fail",$N209&gt;=$F209),"FAILED OUT","Needs Remediation")))))</f>
        <v/>
      </c>
      <c r="P209" s="17">
        <f>IF($C209="","",IF($O209="FAILED OUT","Yes","No"))</f>
        <v/>
      </c>
      <c r="Q209" s="16" t="n"/>
      <c r="R209" s="16" t="n"/>
      <c r="S209" s="17">
        <f>IF($C209="","",IF(AND($K209&lt;&gt;"",NOT(ISNUMBER($K209))),"SCORE NOT A NUMBER",IF(AND(ISNUMBER($K209),OR($K209&lt;0,$K209&gt;100)),"SCORE OUT OF RANGE - this score counts toward nothing",IF(AND($G209="Score",$K209="",$J209&lt;&gt;"",$J209&lt;&gt;"Pending"),"RESULT WITHOUT A SCORE",IF(AND($G209="Pass/Fail",$K209&lt;&gt;""),"SCORE ON A PASS-FAIL CATEGORY - it is ignored",IF(AND($E209="Firearms",$J209&lt;&gt;"",$J209&lt;&gt;"Pending",$R209=""),"FIREARMS ROW WITH NO COURSE OF FIRE","OK"))))))</f>
        <v/>
      </c>
    </row>
    <row r="210">
      <c r="B210" s="17">
        <f>IF($C210="","",$D210&amp;"-"&amp;$E210&amp;"-"&amp;$I210)</f>
        <v/>
      </c>
      <c r="C210" s="16" t="n"/>
      <c r="D210" s="17">
        <f>IF($C210="","",IFERROR(INDEX(rngCadetPIDs,MATCH($C210,rngCadetNames,0)),"?"))</f>
        <v/>
      </c>
      <c r="E210" s="16" t="n"/>
      <c r="F210" s="17">
        <f>IF($E210="","",IFERROR(INDEX(rngSM_max,MATCH($E210,rngSM_cat,0)),""))</f>
        <v/>
      </c>
      <c r="G210" s="17">
        <f>IF($E210="","",IFERROR(INDEX(rngSM_mode,MATCH($E210,rngSM_cat,0)),""))</f>
        <v/>
      </c>
      <c r="H210" s="17">
        <f>IF($E210="","",IFERROR(INDEX(rngSM_pass,MATCH($E210,rngSM_cat,0)),""))</f>
        <v/>
      </c>
      <c r="I210" s="16" t="n"/>
      <c r="J210" s="16" t="n"/>
      <c r="K210" s="16" t="n"/>
      <c r="L210" s="18" t="n"/>
      <c r="M210" s="16" t="n"/>
      <c r="N210" s="17">
        <f>IF($C210="","",MAX(_xlfn.MAXIFS(nrSK_Att,nrSK_PID,$D210,nrSK_Cat,$E210,nrSK_Res,"Pass"),_xlfn.MAXIFS(nrSK_Att,nrSK_PID,$D210,nrSK_Cat,$E210,nrSK_Res,"Fail")))</f>
        <v/>
      </c>
      <c r="O210" s="17">
        <f>IF($C210="","",IF(AND(MAX(_xlfn.MAXIFS(nrSK_Att,nrSK_PID,$D210,nrSK_Cat,$E210,nrSK_Res,"Pass"),_xlfn.MAXIFS(nrSK_Att,nrSK_PID,$D210,nrSK_Cat,$E210,nrSK_Res,"Fail"))&gt;0,N($I210)&lt;MAX(_xlfn.MAXIFS(nrSK_Att,nrSK_PID,$D210,nrSK_Cat,$E210,nrSK_Res,"Pass"),_xlfn.MAXIFS(nrSK_Att,nrSK_PID,$D210,nrSK_Cat,$E210,nrSK_Res,"Fail"))),"(superseded)",IF(OR($J210="",$J210="Pending"),"Pending",IF($J210="Pass","Qualified",IF(AND($J210="Fail",$N210&gt;=$F210),"FAILED OUT","Needs Remediation")))))</f>
        <v/>
      </c>
      <c r="P210" s="17">
        <f>IF($C210="","",IF($O210="FAILED OUT","Yes","No"))</f>
        <v/>
      </c>
      <c r="Q210" s="16" t="n"/>
      <c r="R210" s="16" t="n"/>
      <c r="S210" s="17">
        <f>IF($C210="","",IF(AND($K210&lt;&gt;"",NOT(ISNUMBER($K210))),"SCORE NOT A NUMBER",IF(AND(ISNUMBER($K210),OR($K210&lt;0,$K210&gt;100)),"SCORE OUT OF RANGE - this score counts toward nothing",IF(AND($G210="Score",$K210="",$J210&lt;&gt;"",$J210&lt;&gt;"Pending"),"RESULT WITHOUT A SCORE",IF(AND($G210="Pass/Fail",$K210&lt;&gt;""),"SCORE ON A PASS-FAIL CATEGORY - it is ignored",IF(AND($E210="Firearms",$J210&lt;&gt;"",$J210&lt;&gt;"Pending",$R210=""),"FIREARMS ROW WITH NO COURSE OF FIRE","OK"))))))</f>
        <v/>
      </c>
    </row>
    <row r="211">
      <c r="B211" s="17">
        <f>IF($C211="","",$D211&amp;"-"&amp;$E211&amp;"-"&amp;$I211)</f>
        <v/>
      </c>
      <c r="C211" s="16" t="n"/>
      <c r="D211" s="17">
        <f>IF($C211="","",IFERROR(INDEX(rngCadetPIDs,MATCH($C211,rngCadetNames,0)),"?"))</f>
        <v/>
      </c>
      <c r="E211" s="16" t="n"/>
      <c r="F211" s="17">
        <f>IF($E211="","",IFERROR(INDEX(rngSM_max,MATCH($E211,rngSM_cat,0)),""))</f>
        <v/>
      </c>
      <c r="G211" s="17">
        <f>IF($E211="","",IFERROR(INDEX(rngSM_mode,MATCH($E211,rngSM_cat,0)),""))</f>
        <v/>
      </c>
      <c r="H211" s="17">
        <f>IF($E211="","",IFERROR(INDEX(rngSM_pass,MATCH($E211,rngSM_cat,0)),""))</f>
        <v/>
      </c>
      <c r="I211" s="16" t="n"/>
      <c r="J211" s="16" t="n"/>
      <c r="K211" s="16" t="n"/>
      <c r="L211" s="18" t="n"/>
      <c r="M211" s="16" t="n"/>
      <c r="N211" s="17">
        <f>IF($C211="","",MAX(_xlfn.MAXIFS(nrSK_Att,nrSK_PID,$D211,nrSK_Cat,$E211,nrSK_Res,"Pass"),_xlfn.MAXIFS(nrSK_Att,nrSK_PID,$D211,nrSK_Cat,$E211,nrSK_Res,"Fail")))</f>
        <v/>
      </c>
      <c r="O211" s="17">
        <f>IF($C211="","",IF(AND(MAX(_xlfn.MAXIFS(nrSK_Att,nrSK_PID,$D211,nrSK_Cat,$E211,nrSK_Res,"Pass"),_xlfn.MAXIFS(nrSK_Att,nrSK_PID,$D211,nrSK_Cat,$E211,nrSK_Res,"Fail"))&gt;0,N($I211)&lt;MAX(_xlfn.MAXIFS(nrSK_Att,nrSK_PID,$D211,nrSK_Cat,$E211,nrSK_Res,"Pass"),_xlfn.MAXIFS(nrSK_Att,nrSK_PID,$D211,nrSK_Cat,$E211,nrSK_Res,"Fail"))),"(superseded)",IF(OR($J211="",$J211="Pending"),"Pending",IF($J211="Pass","Qualified",IF(AND($J211="Fail",$N211&gt;=$F211),"FAILED OUT","Needs Remediation")))))</f>
        <v/>
      </c>
      <c r="P211" s="17">
        <f>IF($C211="","",IF($O211="FAILED OUT","Yes","No"))</f>
        <v/>
      </c>
      <c r="Q211" s="16" t="n"/>
      <c r="R211" s="16" t="n"/>
      <c r="S211" s="17">
        <f>IF($C211="","",IF(AND($K211&lt;&gt;"",NOT(ISNUMBER($K211))),"SCORE NOT A NUMBER",IF(AND(ISNUMBER($K211),OR($K211&lt;0,$K211&gt;100)),"SCORE OUT OF RANGE - this score counts toward nothing",IF(AND($G211="Score",$K211="",$J211&lt;&gt;"",$J211&lt;&gt;"Pending"),"RESULT WITHOUT A SCORE",IF(AND($G211="Pass/Fail",$K211&lt;&gt;""),"SCORE ON A PASS-FAIL CATEGORY - it is ignored",IF(AND($E211="Firearms",$J211&lt;&gt;"",$J211&lt;&gt;"Pending",$R211=""),"FIREARMS ROW WITH NO COURSE OF FIRE","OK"))))))</f>
        <v/>
      </c>
    </row>
    <row r="212">
      <c r="B212" s="17">
        <f>IF($C212="","",$D212&amp;"-"&amp;$E212&amp;"-"&amp;$I212)</f>
        <v/>
      </c>
      <c r="C212" s="16" t="n"/>
      <c r="D212" s="17">
        <f>IF($C212="","",IFERROR(INDEX(rngCadetPIDs,MATCH($C212,rngCadetNames,0)),"?"))</f>
        <v/>
      </c>
      <c r="E212" s="16" t="n"/>
      <c r="F212" s="17">
        <f>IF($E212="","",IFERROR(INDEX(rngSM_max,MATCH($E212,rngSM_cat,0)),""))</f>
        <v/>
      </c>
      <c r="G212" s="17">
        <f>IF($E212="","",IFERROR(INDEX(rngSM_mode,MATCH($E212,rngSM_cat,0)),""))</f>
        <v/>
      </c>
      <c r="H212" s="17">
        <f>IF($E212="","",IFERROR(INDEX(rngSM_pass,MATCH($E212,rngSM_cat,0)),""))</f>
        <v/>
      </c>
      <c r="I212" s="16" t="n"/>
      <c r="J212" s="16" t="n"/>
      <c r="K212" s="16" t="n"/>
      <c r="L212" s="18" t="n"/>
      <c r="M212" s="16" t="n"/>
      <c r="N212" s="17">
        <f>IF($C212="","",MAX(_xlfn.MAXIFS(nrSK_Att,nrSK_PID,$D212,nrSK_Cat,$E212,nrSK_Res,"Pass"),_xlfn.MAXIFS(nrSK_Att,nrSK_PID,$D212,nrSK_Cat,$E212,nrSK_Res,"Fail")))</f>
        <v/>
      </c>
      <c r="O212" s="17">
        <f>IF($C212="","",IF(AND(MAX(_xlfn.MAXIFS(nrSK_Att,nrSK_PID,$D212,nrSK_Cat,$E212,nrSK_Res,"Pass"),_xlfn.MAXIFS(nrSK_Att,nrSK_PID,$D212,nrSK_Cat,$E212,nrSK_Res,"Fail"))&gt;0,N($I212)&lt;MAX(_xlfn.MAXIFS(nrSK_Att,nrSK_PID,$D212,nrSK_Cat,$E212,nrSK_Res,"Pass"),_xlfn.MAXIFS(nrSK_Att,nrSK_PID,$D212,nrSK_Cat,$E212,nrSK_Res,"Fail"))),"(superseded)",IF(OR($J212="",$J212="Pending"),"Pending",IF($J212="Pass","Qualified",IF(AND($J212="Fail",$N212&gt;=$F212),"FAILED OUT","Needs Remediation")))))</f>
        <v/>
      </c>
      <c r="P212" s="17">
        <f>IF($C212="","",IF($O212="FAILED OUT","Yes","No"))</f>
        <v/>
      </c>
      <c r="Q212" s="16" t="n"/>
      <c r="R212" s="16" t="n"/>
      <c r="S212" s="17">
        <f>IF($C212="","",IF(AND($K212&lt;&gt;"",NOT(ISNUMBER($K212))),"SCORE NOT A NUMBER",IF(AND(ISNUMBER($K212),OR($K212&lt;0,$K212&gt;100)),"SCORE OUT OF RANGE - this score counts toward nothing",IF(AND($G212="Score",$K212="",$J212&lt;&gt;"",$J212&lt;&gt;"Pending"),"RESULT WITHOUT A SCORE",IF(AND($G212="Pass/Fail",$K212&lt;&gt;""),"SCORE ON A PASS-FAIL CATEGORY - it is ignored",IF(AND($E212="Firearms",$J212&lt;&gt;"",$J212&lt;&gt;"Pending",$R212=""),"FIREARMS ROW WITH NO COURSE OF FIRE","OK"))))))</f>
        <v/>
      </c>
    </row>
    <row r="213">
      <c r="B213" s="17">
        <f>IF($C213="","",$D213&amp;"-"&amp;$E213&amp;"-"&amp;$I213)</f>
        <v/>
      </c>
      <c r="C213" s="16" t="n"/>
      <c r="D213" s="17">
        <f>IF($C213="","",IFERROR(INDEX(rngCadetPIDs,MATCH($C213,rngCadetNames,0)),"?"))</f>
        <v/>
      </c>
      <c r="E213" s="16" t="n"/>
      <c r="F213" s="17">
        <f>IF($E213="","",IFERROR(INDEX(rngSM_max,MATCH($E213,rngSM_cat,0)),""))</f>
        <v/>
      </c>
      <c r="G213" s="17">
        <f>IF($E213="","",IFERROR(INDEX(rngSM_mode,MATCH($E213,rngSM_cat,0)),""))</f>
        <v/>
      </c>
      <c r="H213" s="17">
        <f>IF($E213="","",IFERROR(INDEX(rngSM_pass,MATCH($E213,rngSM_cat,0)),""))</f>
        <v/>
      </c>
      <c r="I213" s="16" t="n"/>
      <c r="J213" s="16" t="n"/>
      <c r="K213" s="16" t="n"/>
      <c r="L213" s="18" t="n"/>
      <c r="M213" s="16" t="n"/>
      <c r="N213" s="17">
        <f>IF($C213="","",MAX(_xlfn.MAXIFS(nrSK_Att,nrSK_PID,$D213,nrSK_Cat,$E213,nrSK_Res,"Pass"),_xlfn.MAXIFS(nrSK_Att,nrSK_PID,$D213,nrSK_Cat,$E213,nrSK_Res,"Fail")))</f>
        <v/>
      </c>
      <c r="O213" s="17">
        <f>IF($C213="","",IF(AND(MAX(_xlfn.MAXIFS(nrSK_Att,nrSK_PID,$D213,nrSK_Cat,$E213,nrSK_Res,"Pass"),_xlfn.MAXIFS(nrSK_Att,nrSK_PID,$D213,nrSK_Cat,$E213,nrSK_Res,"Fail"))&gt;0,N($I213)&lt;MAX(_xlfn.MAXIFS(nrSK_Att,nrSK_PID,$D213,nrSK_Cat,$E213,nrSK_Res,"Pass"),_xlfn.MAXIFS(nrSK_Att,nrSK_PID,$D213,nrSK_Cat,$E213,nrSK_Res,"Fail"))),"(superseded)",IF(OR($J213="",$J213="Pending"),"Pending",IF($J213="Pass","Qualified",IF(AND($J213="Fail",$N213&gt;=$F213),"FAILED OUT","Needs Remediation")))))</f>
        <v/>
      </c>
      <c r="P213" s="17">
        <f>IF($C213="","",IF($O213="FAILED OUT","Yes","No"))</f>
        <v/>
      </c>
      <c r="Q213" s="16" t="n"/>
      <c r="R213" s="16" t="n"/>
      <c r="S213" s="17">
        <f>IF($C213="","",IF(AND($K213&lt;&gt;"",NOT(ISNUMBER($K213))),"SCORE NOT A NUMBER",IF(AND(ISNUMBER($K213),OR($K213&lt;0,$K213&gt;100)),"SCORE OUT OF RANGE - this score counts toward nothing",IF(AND($G213="Score",$K213="",$J213&lt;&gt;"",$J213&lt;&gt;"Pending"),"RESULT WITHOUT A SCORE",IF(AND($G213="Pass/Fail",$K213&lt;&gt;""),"SCORE ON A PASS-FAIL CATEGORY - it is ignored",IF(AND($E213="Firearms",$J213&lt;&gt;"",$J213&lt;&gt;"Pending",$R213=""),"FIREARMS ROW WITH NO COURSE OF FIRE","OK"))))))</f>
        <v/>
      </c>
    </row>
    <row r="214">
      <c r="B214" s="17">
        <f>IF($C214="","",$D214&amp;"-"&amp;$E214&amp;"-"&amp;$I214)</f>
        <v/>
      </c>
      <c r="C214" s="16" t="n"/>
      <c r="D214" s="17">
        <f>IF($C214="","",IFERROR(INDEX(rngCadetPIDs,MATCH($C214,rngCadetNames,0)),"?"))</f>
        <v/>
      </c>
      <c r="E214" s="16" t="n"/>
      <c r="F214" s="17">
        <f>IF($E214="","",IFERROR(INDEX(rngSM_max,MATCH($E214,rngSM_cat,0)),""))</f>
        <v/>
      </c>
      <c r="G214" s="17">
        <f>IF($E214="","",IFERROR(INDEX(rngSM_mode,MATCH($E214,rngSM_cat,0)),""))</f>
        <v/>
      </c>
      <c r="H214" s="17">
        <f>IF($E214="","",IFERROR(INDEX(rngSM_pass,MATCH($E214,rngSM_cat,0)),""))</f>
        <v/>
      </c>
      <c r="I214" s="16" t="n"/>
      <c r="J214" s="16" t="n"/>
      <c r="K214" s="16" t="n"/>
      <c r="L214" s="18" t="n"/>
      <c r="M214" s="16" t="n"/>
      <c r="N214" s="17">
        <f>IF($C214="","",MAX(_xlfn.MAXIFS(nrSK_Att,nrSK_PID,$D214,nrSK_Cat,$E214,nrSK_Res,"Pass"),_xlfn.MAXIFS(nrSK_Att,nrSK_PID,$D214,nrSK_Cat,$E214,nrSK_Res,"Fail")))</f>
        <v/>
      </c>
      <c r="O214" s="17">
        <f>IF($C214="","",IF(AND(MAX(_xlfn.MAXIFS(nrSK_Att,nrSK_PID,$D214,nrSK_Cat,$E214,nrSK_Res,"Pass"),_xlfn.MAXIFS(nrSK_Att,nrSK_PID,$D214,nrSK_Cat,$E214,nrSK_Res,"Fail"))&gt;0,N($I214)&lt;MAX(_xlfn.MAXIFS(nrSK_Att,nrSK_PID,$D214,nrSK_Cat,$E214,nrSK_Res,"Pass"),_xlfn.MAXIFS(nrSK_Att,nrSK_PID,$D214,nrSK_Cat,$E214,nrSK_Res,"Fail"))),"(superseded)",IF(OR($J214="",$J214="Pending"),"Pending",IF($J214="Pass","Qualified",IF(AND($J214="Fail",$N214&gt;=$F214),"FAILED OUT","Needs Remediation")))))</f>
        <v/>
      </c>
      <c r="P214" s="17">
        <f>IF($C214="","",IF($O214="FAILED OUT","Yes","No"))</f>
        <v/>
      </c>
      <c r="Q214" s="16" t="n"/>
      <c r="R214" s="16" t="n"/>
      <c r="S214" s="17">
        <f>IF($C214="","",IF(AND($K214&lt;&gt;"",NOT(ISNUMBER($K214))),"SCORE NOT A NUMBER",IF(AND(ISNUMBER($K214),OR($K214&lt;0,$K214&gt;100)),"SCORE OUT OF RANGE - this score counts toward nothing",IF(AND($G214="Score",$K214="",$J214&lt;&gt;"",$J214&lt;&gt;"Pending"),"RESULT WITHOUT A SCORE",IF(AND($G214="Pass/Fail",$K214&lt;&gt;""),"SCORE ON A PASS-FAIL CATEGORY - it is ignored",IF(AND($E214="Firearms",$J214&lt;&gt;"",$J214&lt;&gt;"Pending",$R214=""),"FIREARMS ROW WITH NO COURSE OF FIRE","OK"))))))</f>
        <v/>
      </c>
    </row>
    <row r="215">
      <c r="B215" s="17">
        <f>IF($C215="","",$D215&amp;"-"&amp;$E215&amp;"-"&amp;$I215)</f>
        <v/>
      </c>
      <c r="C215" s="16" t="n"/>
      <c r="D215" s="17">
        <f>IF($C215="","",IFERROR(INDEX(rngCadetPIDs,MATCH($C215,rngCadetNames,0)),"?"))</f>
        <v/>
      </c>
      <c r="E215" s="16" t="n"/>
      <c r="F215" s="17">
        <f>IF($E215="","",IFERROR(INDEX(rngSM_max,MATCH($E215,rngSM_cat,0)),""))</f>
        <v/>
      </c>
      <c r="G215" s="17">
        <f>IF($E215="","",IFERROR(INDEX(rngSM_mode,MATCH($E215,rngSM_cat,0)),""))</f>
        <v/>
      </c>
      <c r="H215" s="17">
        <f>IF($E215="","",IFERROR(INDEX(rngSM_pass,MATCH($E215,rngSM_cat,0)),""))</f>
        <v/>
      </c>
      <c r="I215" s="16" t="n"/>
      <c r="J215" s="16" t="n"/>
      <c r="K215" s="16" t="n"/>
      <c r="L215" s="18" t="n"/>
      <c r="M215" s="16" t="n"/>
      <c r="N215" s="17">
        <f>IF($C215="","",MAX(_xlfn.MAXIFS(nrSK_Att,nrSK_PID,$D215,nrSK_Cat,$E215,nrSK_Res,"Pass"),_xlfn.MAXIFS(nrSK_Att,nrSK_PID,$D215,nrSK_Cat,$E215,nrSK_Res,"Fail")))</f>
        <v/>
      </c>
      <c r="O215" s="17">
        <f>IF($C215="","",IF(AND(MAX(_xlfn.MAXIFS(nrSK_Att,nrSK_PID,$D215,nrSK_Cat,$E215,nrSK_Res,"Pass"),_xlfn.MAXIFS(nrSK_Att,nrSK_PID,$D215,nrSK_Cat,$E215,nrSK_Res,"Fail"))&gt;0,N($I215)&lt;MAX(_xlfn.MAXIFS(nrSK_Att,nrSK_PID,$D215,nrSK_Cat,$E215,nrSK_Res,"Pass"),_xlfn.MAXIFS(nrSK_Att,nrSK_PID,$D215,nrSK_Cat,$E215,nrSK_Res,"Fail"))),"(superseded)",IF(OR($J215="",$J215="Pending"),"Pending",IF($J215="Pass","Qualified",IF(AND($J215="Fail",$N215&gt;=$F215),"FAILED OUT","Needs Remediation")))))</f>
        <v/>
      </c>
      <c r="P215" s="17">
        <f>IF($C215="","",IF($O215="FAILED OUT","Yes","No"))</f>
        <v/>
      </c>
      <c r="Q215" s="16" t="n"/>
      <c r="R215" s="16" t="n"/>
      <c r="S215" s="17">
        <f>IF($C215="","",IF(AND($K215&lt;&gt;"",NOT(ISNUMBER($K215))),"SCORE NOT A NUMBER",IF(AND(ISNUMBER($K215),OR($K215&lt;0,$K215&gt;100)),"SCORE OUT OF RANGE - this score counts toward nothing",IF(AND($G215="Score",$K215="",$J215&lt;&gt;"",$J215&lt;&gt;"Pending"),"RESULT WITHOUT A SCORE",IF(AND($G215="Pass/Fail",$K215&lt;&gt;""),"SCORE ON A PASS-FAIL CATEGORY - it is ignored",IF(AND($E215="Firearms",$J215&lt;&gt;"",$J215&lt;&gt;"Pending",$R215=""),"FIREARMS ROW WITH NO COURSE OF FIRE","OK"))))))</f>
        <v/>
      </c>
    </row>
    <row r="216">
      <c r="B216" s="17">
        <f>IF($C216="","",$D216&amp;"-"&amp;$E216&amp;"-"&amp;$I216)</f>
        <v/>
      </c>
      <c r="C216" s="16" t="n"/>
      <c r="D216" s="17">
        <f>IF($C216="","",IFERROR(INDEX(rngCadetPIDs,MATCH($C216,rngCadetNames,0)),"?"))</f>
        <v/>
      </c>
      <c r="E216" s="16" t="n"/>
      <c r="F216" s="17">
        <f>IF($E216="","",IFERROR(INDEX(rngSM_max,MATCH($E216,rngSM_cat,0)),""))</f>
        <v/>
      </c>
      <c r="G216" s="17">
        <f>IF($E216="","",IFERROR(INDEX(rngSM_mode,MATCH($E216,rngSM_cat,0)),""))</f>
        <v/>
      </c>
      <c r="H216" s="17">
        <f>IF($E216="","",IFERROR(INDEX(rngSM_pass,MATCH($E216,rngSM_cat,0)),""))</f>
        <v/>
      </c>
      <c r="I216" s="16" t="n"/>
      <c r="J216" s="16" t="n"/>
      <c r="K216" s="16" t="n"/>
      <c r="L216" s="18" t="n"/>
      <c r="M216" s="16" t="n"/>
      <c r="N216" s="17">
        <f>IF($C216="","",MAX(_xlfn.MAXIFS(nrSK_Att,nrSK_PID,$D216,nrSK_Cat,$E216,nrSK_Res,"Pass"),_xlfn.MAXIFS(nrSK_Att,nrSK_PID,$D216,nrSK_Cat,$E216,nrSK_Res,"Fail")))</f>
        <v/>
      </c>
      <c r="O216" s="17">
        <f>IF($C216="","",IF(AND(MAX(_xlfn.MAXIFS(nrSK_Att,nrSK_PID,$D216,nrSK_Cat,$E216,nrSK_Res,"Pass"),_xlfn.MAXIFS(nrSK_Att,nrSK_PID,$D216,nrSK_Cat,$E216,nrSK_Res,"Fail"))&gt;0,N($I216)&lt;MAX(_xlfn.MAXIFS(nrSK_Att,nrSK_PID,$D216,nrSK_Cat,$E216,nrSK_Res,"Pass"),_xlfn.MAXIFS(nrSK_Att,nrSK_PID,$D216,nrSK_Cat,$E216,nrSK_Res,"Fail"))),"(superseded)",IF(OR($J216="",$J216="Pending"),"Pending",IF($J216="Pass","Qualified",IF(AND($J216="Fail",$N216&gt;=$F216),"FAILED OUT","Needs Remediation")))))</f>
        <v/>
      </c>
      <c r="P216" s="17">
        <f>IF($C216="","",IF($O216="FAILED OUT","Yes","No"))</f>
        <v/>
      </c>
      <c r="Q216" s="16" t="n"/>
      <c r="R216" s="16" t="n"/>
      <c r="S216" s="17">
        <f>IF($C216="","",IF(AND($K216&lt;&gt;"",NOT(ISNUMBER($K216))),"SCORE NOT A NUMBER",IF(AND(ISNUMBER($K216),OR($K216&lt;0,$K216&gt;100)),"SCORE OUT OF RANGE - this score counts toward nothing",IF(AND($G216="Score",$K216="",$J216&lt;&gt;"",$J216&lt;&gt;"Pending"),"RESULT WITHOUT A SCORE",IF(AND($G216="Pass/Fail",$K216&lt;&gt;""),"SCORE ON A PASS-FAIL CATEGORY - it is ignored",IF(AND($E216="Firearms",$J216&lt;&gt;"",$J216&lt;&gt;"Pending",$R216=""),"FIREARMS ROW WITH NO COURSE OF FIRE","OK"))))))</f>
        <v/>
      </c>
    </row>
    <row r="217">
      <c r="B217" s="17">
        <f>IF($C217="","",$D217&amp;"-"&amp;$E217&amp;"-"&amp;$I217)</f>
        <v/>
      </c>
      <c r="C217" s="16" t="n"/>
      <c r="D217" s="17">
        <f>IF($C217="","",IFERROR(INDEX(rngCadetPIDs,MATCH($C217,rngCadetNames,0)),"?"))</f>
        <v/>
      </c>
      <c r="E217" s="16" t="n"/>
      <c r="F217" s="17">
        <f>IF($E217="","",IFERROR(INDEX(rngSM_max,MATCH($E217,rngSM_cat,0)),""))</f>
        <v/>
      </c>
      <c r="G217" s="17">
        <f>IF($E217="","",IFERROR(INDEX(rngSM_mode,MATCH($E217,rngSM_cat,0)),""))</f>
        <v/>
      </c>
      <c r="H217" s="17">
        <f>IF($E217="","",IFERROR(INDEX(rngSM_pass,MATCH($E217,rngSM_cat,0)),""))</f>
        <v/>
      </c>
      <c r="I217" s="16" t="n"/>
      <c r="J217" s="16" t="n"/>
      <c r="K217" s="16" t="n"/>
      <c r="L217" s="18" t="n"/>
      <c r="M217" s="16" t="n"/>
      <c r="N217" s="17">
        <f>IF($C217="","",MAX(_xlfn.MAXIFS(nrSK_Att,nrSK_PID,$D217,nrSK_Cat,$E217,nrSK_Res,"Pass"),_xlfn.MAXIFS(nrSK_Att,nrSK_PID,$D217,nrSK_Cat,$E217,nrSK_Res,"Fail")))</f>
        <v/>
      </c>
      <c r="O217" s="17">
        <f>IF($C217="","",IF(AND(MAX(_xlfn.MAXIFS(nrSK_Att,nrSK_PID,$D217,nrSK_Cat,$E217,nrSK_Res,"Pass"),_xlfn.MAXIFS(nrSK_Att,nrSK_PID,$D217,nrSK_Cat,$E217,nrSK_Res,"Fail"))&gt;0,N($I217)&lt;MAX(_xlfn.MAXIFS(nrSK_Att,nrSK_PID,$D217,nrSK_Cat,$E217,nrSK_Res,"Pass"),_xlfn.MAXIFS(nrSK_Att,nrSK_PID,$D217,nrSK_Cat,$E217,nrSK_Res,"Fail"))),"(superseded)",IF(OR($J217="",$J217="Pending"),"Pending",IF($J217="Pass","Qualified",IF(AND($J217="Fail",$N217&gt;=$F217),"FAILED OUT","Needs Remediation")))))</f>
        <v/>
      </c>
      <c r="P217" s="17">
        <f>IF($C217="","",IF($O217="FAILED OUT","Yes","No"))</f>
        <v/>
      </c>
      <c r="Q217" s="16" t="n"/>
      <c r="R217" s="16" t="n"/>
      <c r="S217" s="17">
        <f>IF($C217="","",IF(AND($K217&lt;&gt;"",NOT(ISNUMBER($K217))),"SCORE NOT A NUMBER",IF(AND(ISNUMBER($K217),OR($K217&lt;0,$K217&gt;100)),"SCORE OUT OF RANGE - this score counts toward nothing",IF(AND($G217="Score",$K217="",$J217&lt;&gt;"",$J217&lt;&gt;"Pending"),"RESULT WITHOUT A SCORE",IF(AND($G217="Pass/Fail",$K217&lt;&gt;""),"SCORE ON A PASS-FAIL CATEGORY - it is ignored",IF(AND($E217="Firearms",$J217&lt;&gt;"",$J217&lt;&gt;"Pending",$R217=""),"FIREARMS ROW WITH NO COURSE OF FIRE","OK"))))))</f>
        <v/>
      </c>
    </row>
    <row r="218">
      <c r="B218" s="17">
        <f>IF($C218="","",$D218&amp;"-"&amp;$E218&amp;"-"&amp;$I218)</f>
        <v/>
      </c>
      <c r="C218" s="16" t="n"/>
      <c r="D218" s="17">
        <f>IF($C218="","",IFERROR(INDEX(rngCadetPIDs,MATCH($C218,rngCadetNames,0)),"?"))</f>
        <v/>
      </c>
      <c r="E218" s="16" t="n"/>
      <c r="F218" s="17">
        <f>IF($E218="","",IFERROR(INDEX(rngSM_max,MATCH($E218,rngSM_cat,0)),""))</f>
        <v/>
      </c>
      <c r="G218" s="17">
        <f>IF($E218="","",IFERROR(INDEX(rngSM_mode,MATCH($E218,rngSM_cat,0)),""))</f>
        <v/>
      </c>
      <c r="H218" s="17">
        <f>IF($E218="","",IFERROR(INDEX(rngSM_pass,MATCH($E218,rngSM_cat,0)),""))</f>
        <v/>
      </c>
      <c r="I218" s="16" t="n"/>
      <c r="J218" s="16" t="n"/>
      <c r="K218" s="16" t="n"/>
      <c r="L218" s="18" t="n"/>
      <c r="M218" s="16" t="n"/>
      <c r="N218" s="17">
        <f>IF($C218="","",MAX(_xlfn.MAXIFS(nrSK_Att,nrSK_PID,$D218,nrSK_Cat,$E218,nrSK_Res,"Pass"),_xlfn.MAXIFS(nrSK_Att,nrSK_PID,$D218,nrSK_Cat,$E218,nrSK_Res,"Fail")))</f>
        <v/>
      </c>
      <c r="O218" s="17">
        <f>IF($C218="","",IF(AND(MAX(_xlfn.MAXIFS(nrSK_Att,nrSK_PID,$D218,nrSK_Cat,$E218,nrSK_Res,"Pass"),_xlfn.MAXIFS(nrSK_Att,nrSK_PID,$D218,nrSK_Cat,$E218,nrSK_Res,"Fail"))&gt;0,N($I218)&lt;MAX(_xlfn.MAXIFS(nrSK_Att,nrSK_PID,$D218,nrSK_Cat,$E218,nrSK_Res,"Pass"),_xlfn.MAXIFS(nrSK_Att,nrSK_PID,$D218,nrSK_Cat,$E218,nrSK_Res,"Fail"))),"(superseded)",IF(OR($J218="",$J218="Pending"),"Pending",IF($J218="Pass","Qualified",IF(AND($J218="Fail",$N218&gt;=$F218),"FAILED OUT","Needs Remediation")))))</f>
        <v/>
      </c>
      <c r="P218" s="17">
        <f>IF($C218="","",IF($O218="FAILED OUT","Yes","No"))</f>
        <v/>
      </c>
      <c r="Q218" s="16" t="n"/>
      <c r="R218" s="16" t="n"/>
      <c r="S218" s="17">
        <f>IF($C218="","",IF(AND($K218&lt;&gt;"",NOT(ISNUMBER($K218))),"SCORE NOT A NUMBER",IF(AND(ISNUMBER($K218),OR($K218&lt;0,$K218&gt;100)),"SCORE OUT OF RANGE - this score counts toward nothing",IF(AND($G218="Score",$K218="",$J218&lt;&gt;"",$J218&lt;&gt;"Pending"),"RESULT WITHOUT A SCORE",IF(AND($G218="Pass/Fail",$K218&lt;&gt;""),"SCORE ON A PASS-FAIL CATEGORY - it is ignored",IF(AND($E218="Firearms",$J218&lt;&gt;"",$J218&lt;&gt;"Pending",$R218=""),"FIREARMS ROW WITH NO COURSE OF FIRE","OK"))))))</f>
        <v/>
      </c>
    </row>
    <row r="219">
      <c r="B219" s="17">
        <f>IF($C219="","",$D219&amp;"-"&amp;$E219&amp;"-"&amp;$I219)</f>
        <v/>
      </c>
      <c r="C219" s="16" t="n"/>
      <c r="D219" s="17">
        <f>IF($C219="","",IFERROR(INDEX(rngCadetPIDs,MATCH($C219,rngCadetNames,0)),"?"))</f>
        <v/>
      </c>
      <c r="E219" s="16" t="n"/>
      <c r="F219" s="17">
        <f>IF($E219="","",IFERROR(INDEX(rngSM_max,MATCH($E219,rngSM_cat,0)),""))</f>
        <v/>
      </c>
      <c r="G219" s="17">
        <f>IF($E219="","",IFERROR(INDEX(rngSM_mode,MATCH($E219,rngSM_cat,0)),""))</f>
        <v/>
      </c>
      <c r="H219" s="17">
        <f>IF($E219="","",IFERROR(INDEX(rngSM_pass,MATCH($E219,rngSM_cat,0)),""))</f>
        <v/>
      </c>
      <c r="I219" s="16" t="n"/>
      <c r="J219" s="16" t="n"/>
      <c r="K219" s="16" t="n"/>
      <c r="L219" s="18" t="n"/>
      <c r="M219" s="16" t="n"/>
      <c r="N219" s="17">
        <f>IF($C219="","",MAX(_xlfn.MAXIFS(nrSK_Att,nrSK_PID,$D219,nrSK_Cat,$E219,nrSK_Res,"Pass"),_xlfn.MAXIFS(nrSK_Att,nrSK_PID,$D219,nrSK_Cat,$E219,nrSK_Res,"Fail")))</f>
        <v/>
      </c>
      <c r="O219" s="17">
        <f>IF($C219="","",IF(AND(MAX(_xlfn.MAXIFS(nrSK_Att,nrSK_PID,$D219,nrSK_Cat,$E219,nrSK_Res,"Pass"),_xlfn.MAXIFS(nrSK_Att,nrSK_PID,$D219,nrSK_Cat,$E219,nrSK_Res,"Fail"))&gt;0,N($I219)&lt;MAX(_xlfn.MAXIFS(nrSK_Att,nrSK_PID,$D219,nrSK_Cat,$E219,nrSK_Res,"Pass"),_xlfn.MAXIFS(nrSK_Att,nrSK_PID,$D219,nrSK_Cat,$E219,nrSK_Res,"Fail"))),"(superseded)",IF(OR($J219="",$J219="Pending"),"Pending",IF($J219="Pass","Qualified",IF(AND($J219="Fail",$N219&gt;=$F219),"FAILED OUT","Needs Remediation")))))</f>
        <v/>
      </c>
      <c r="P219" s="17">
        <f>IF($C219="","",IF($O219="FAILED OUT","Yes","No"))</f>
        <v/>
      </c>
      <c r="Q219" s="16" t="n"/>
      <c r="R219" s="16" t="n"/>
      <c r="S219" s="17">
        <f>IF($C219="","",IF(AND($K219&lt;&gt;"",NOT(ISNUMBER($K219))),"SCORE NOT A NUMBER",IF(AND(ISNUMBER($K219),OR($K219&lt;0,$K219&gt;100)),"SCORE OUT OF RANGE - this score counts toward nothing",IF(AND($G219="Score",$K219="",$J219&lt;&gt;"",$J219&lt;&gt;"Pending"),"RESULT WITHOUT A SCORE",IF(AND($G219="Pass/Fail",$K219&lt;&gt;""),"SCORE ON A PASS-FAIL CATEGORY - it is ignored",IF(AND($E219="Firearms",$J219&lt;&gt;"",$J219&lt;&gt;"Pending",$R219=""),"FIREARMS ROW WITH NO COURSE OF FIRE","OK"))))))</f>
        <v/>
      </c>
    </row>
    <row r="220">
      <c r="B220" s="17">
        <f>IF($C220="","",$D220&amp;"-"&amp;$E220&amp;"-"&amp;$I220)</f>
        <v/>
      </c>
      <c r="C220" s="16" t="n"/>
      <c r="D220" s="17">
        <f>IF($C220="","",IFERROR(INDEX(rngCadetPIDs,MATCH($C220,rngCadetNames,0)),"?"))</f>
        <v/>
      </c>
      <c r="E220" s="16" t="n"/>
      <c r="F220" s="17">
        <f>IF($E220="","",IFERROR(INDEX(rngSM_max,MATCH($E220,rngSM_cat,0)),""))</f>
        <v/>
      </c>
      <c r="G220" s="17">
        <f>IF($E220="","",IFERROR(INDEX(rngSM_mode,MATCH($E220,rngSM_cat,0)),""))</f>
        <v/>
      </c>
      <c r="H220" s="17">
        <f>IF($E220="","",IFERROR(INDEX(rngSM_pass,MATCH($E220,rngSM_cat,0)),""))</f>
        <v/>
      </c>
      <c r="I220" s="16" t="n"/>
      <c r="J220" s="16" t="n"/>
      <c r="K220" s="16" t="n"/>
      <c r="L220" s="18" t="n"/>
      <c r="M220" s="16" t="n"/>
      <c r="N220" s="17">
        <f>IF($C220="","",MAX(_xlfn.MAXIFS(nrSK_Att,nrSK_PID,$D220,nrSK_Cat,$E220,nrSK_Res,"Pass"),_xlfn.MAXIFS(nrSK_Att,nrSK_PID,$D220,nrSK_Cat,$E220,nrSK_Res,"Fail")))</f>
        <v/>
      </c>
      <c r="O220" s="17">
        <f>IF($C220="","",IF(AND(MAX(_xlfn.MAXIFS(nrSK_Att,nrSK_PID,$D220,nrSK_Cat,$E220,nrSK_Res,"Pass"),_xlfn.MAXIFS(nrSK_Att,nrSK_PID,$D220,nrSK_Cat,$E220,nrSK_Res,"Fail"))&gt;0,N($I220)&lt;MAX(_xlfn.MAXIFS(nrSK_Att,nrSK_PID,$D220,nrSK_Cat,$E220,nrSK_Res,"Pass"),_xlfn.MAXIFS(nrSK_Att,nrSK_PID,$D220,nrSK_Cat,$E220,nrSK_Res,"Fail"))),"(superseded)",IF(OR($J220="",$J220="Pending"),"Pending",IF($J220="Pass","Qualified",IF(AND($J220="Fail",$N220&gt;=$F220),"FAILED OUT","Needs Remediation")))))</f>
        <v/>
      </c>
      <c r="P220" s="17">
        <f>IF($C220="","",IF($O220="FAILED OUT","Yes","No"))</f>
        <v/>
      </c>
      <c r="Q220" s="16" t="n"/>
      <c r="R220" s="16" t="n"/>
      <c r="S220" s="17">
        <f>IF($C220="","",IF(AND($K220&lt;&gt;"",NOT(ISNUMBER($K220))),"SCORE NOT A NUMBER",IF(AND(ISNUMBER($K220),OR($K220&lt;0,$K220&gt;100)),"SCORE OUT OF RANGE - this score counts toward nothing",IF(AND($G220="Score",$K220="",$J220&lt;&gt;"",$J220&lt;&gt;"Pending"),"RESULT WITHOUT A SCORE",IF(AND($G220="Pass/Fail",$K220&lt;&gt;""),"SCORE ON A PASS-FAIL CATEGORY - it is ignored",IF(AND($E220="Firearms",$J220&lt;&gt;"",$J220&lt;&gt;"Pending",$R220=""),"FIREARMS ROW WITH NO COURSE OF FIRE","OK"))))))</f>
        <v/>
      </c>
    </row>
    <row r="221">
      <c r="B221" s="17">
        <f>IF($C221="","",$D221&amp;"-"&amp;$E221&amp;"-"&amp;$I221)</f>
        <v/>
      </c>
      <c r="C221" s="16" t="n"/>
      <c r="D221" s="17">
        <f>IF($C221="","",IFERROR(INDEX(rngCadetPIDs,MATCH($C221,rngCadetNames,0)),"?"))</f>
        <v/>
      </c>
      <c r="E221" s="16" t="n"/>
      <c r="F221" s="17">
        <f>IF($E221="","",IFERROR(INDEX(rngSM_max,MATCH($E221,rngSM_cat,0)),""))</f>
        <v/>
      </c>
      <c r="G221" s="17">
        <f>IF($E221="","",IFERROR(INDEX(rngSM_mode,MATCH($E221,rngSM_cat,0)),""))</f>
        <v/>
      </c>
      <c r="H221" s="17">
        <f>IF($E221="","",IFERROR(INDEX(rngSM_pass,MATCH($E221,rngSM_cat,0)),""))</f>
        <v/>
      </c>
      <c r="I221" s="16" t="n"/>
      <c r="J221" s="16" t="n"/>
      <c r="K221" s="16" t="n"/>
      <c r="L221" s="18" t="n"/>
      <c r="M221" s="16" t="n"/>
      <c r="N221" s="17">
        <f>IF($C221="","",MAX(_xlfn.MAXIFS(nrSK_Att,nrSK_PID,$D221,nrSK_Cat,$E221,nrSK_Res,"Pass"),_xlfn.MAXIFS(nrSK_Att,nrSK_PID,$D221,nrSK_Cat,$E221,nrSK_Res,"Fail")))</f>
        <v/>
      </c>
      <c r="O221" s="17">
        <f>IF($C221="","",IF(AND(MAX(_xlfn.MAXIFS(nrSK_Att,nrSK_PID,$D221,nrSK_Cat,$E221,nrSK_Res,"Pass"),_xlfn.MAXIFS(nrSK_Att,nrSK_PID,$D221,nrSK_Cat,$E221,nrSK_Res,"Fail"))&gt;0,N($I221)&lt;MAX(_xlfn.MAXIFS(nrSK_Att,nrSK_PID,$D221,nrSK_Cat,$E221,nrSK_Res,"Pass"),_xlfn.MAXIFS(nrSK_Att,nrSK_PID,$D221,nrSK_Cat,$E221,nrSK_Res,"Fail"))),"(superseded)",IF(OR($J221="",$J221="Pending"),"Pending",IF($J221="Pass","Qualified",IF(AND($J221="Fail",$N221&gt;=$F221),"FAILED OUT","Needs Remediation")))))</f>
        <v/>
      </c>
      <c r="P221" s="17">
        <f>IF($C221="","",IF($O221="FAILED OUT","Yes","No"))</f>
        <v/>
      </c>
      <c r="Q221" s="16" t="n"/>
      <c r="R221" s="16" t="n"/>
      <c r="S221" s="17">
        <f>IF($C221="","",IF(AND($K221&lt;&gt;"",NOT(ISNUMBER($K221))),"SCORE NOT A NUMBER",IF(AND(ISNUMBER($K221),OR($K221&lt;0,$K221&gt;100)),"SCORE OUT OF RANGE - this score counts toward nothing",IF(AND($G221="Score",$K221="",$J221&lt;&gt;"",$J221&lt;&gt;"Pending"),"RESULT WITHOUT A SCORE",IF(AND($G221="Pass/Fail",$K221&lt;&gt;""),"SCORE ON A PASS-FAIL CATEGORY - it is ignored",IF(AND($E221="Firearms",$J221&lt;&gt;"",$J221&lt;&gt;"Pending",$R221=""),"FIREARMS ROW WITH NO COURSE OF FIRE","OK"))))))</f>
        <v/>
      </c>
    </row>
    <row r="222">
      <c r="B222" s="17">
        <f>IF($C222="","",$D222&amp;"-"&amp;$E222&amp;"-"&amp;$I222)</f>
        <v/>
      </c>
      <c r="C222" s="16" t="n"/>
      <c r="D222" s="17">
        <f>IF($C222="","",IFERROR(INDEX(rngCadetPIDs,MATCH($C222,rngCadetNames,0)),"?"))</f>
        <v/>
      </c>
      <c r="E222" s="16" t="n"/>
      <c r="F222" s="17">
        <f>IF($E222="","",IFERROR(INDEX(rngSM_max,MATCH($E222,rngSM_cat,0)),""))</f>
        <v/>
      </c>
      <c r="G222" s="17">
        <f>IF($E222="","",IFERROR(INDEX(rngSM_mode,MATCH($E222,rngSM_cat,0)),""))</f>
        <v/>
      </c>
      <c r="H222" s="17">
        <f>IF($E222="","",IFERROR(INDEX(rngSM_pass,MATCH($E222,rngSM_cat,0)),""))</f>
        <v/>
      </c>
      <c r="I222" s="16" t="n"/>
      <c r="J222" s="16" t="n"/>
      <c r="K222" s="16" t="n"/>
      <c r="L222" s="18" t="n"/>
      <c r="M222" s="16" t="n"/>
      <c r="N222" s="17">
        <f>IF($C222="","",MAX(_xlfn.MAXIFS(nrSK_Att,nrSK_PID,$D222,nrSK_Cat,$E222,nrSK_Res,"Pass"),_xlfn.MAXIFS(nrSK_Att,nrSK_PID,$D222,nrSK_Cat,$E222,nrSK_Res,"Fail")))</f>
        <v/>
      </c>
      <c r="O222" s="17">
        <f>IF($C222="","",IF(AND(MAX(_xlfn.MAXIFS(nrSK_Att,nrSK_PID,$D222,nrSK_Cat,$E222,nrSK_Res,"Pass"),_xlfn.MAXIFS(nrSK_Att,nrSK_PID,$D222,nrSK_Cat,$E222,nrSK_Res,"Fail"))&gt;0,N($I222)&lt;MAX(_xlfn.MAXIFS(nrSK_Att,nrSK_PID,$D222,nrSK_Cat,$E222,nrSK_Res,"Pass"),_xlfn.MAXIFS(nrSK_Att,nrSK_PID,$D222,nrSK_Cat,$E222,nrSK_Res,"Fail"))),"(superseded)",IF(OR($J222="",$J222="Pending"),"Pending",IF($J222="Pass","Qualified",IF(AND($J222="Fail",$N222&gt;=$F222),"FAILED OUT","Needs Remediation")))))</f>
        <v/>
      </c>
      <c r="P222" s="17">
        <f>IF($C222="","",IF($O222="FAILED OUT","Yes","No"))</f>
        <v/>
      </c>
      <c r="Q222" s="16" t="n"/>
      <c r="R222" s="16" t="n"/>
      <c r="S222" s="17">
        <f>IF($C222="","",IF(AND($K222&lt;&gt;"",NOT(ISNUMBER($K222))),"SCORE NOT A NUMBER",IF(AND(ISNUMBER($K222),OR($K222&lt;0,$K222&gt;100)),"SCORE OUT OF RANGE - this score counts toward nothing",IF(AND($G222="Score",$K222="",$J222&lt;&gt;"",$J222&lt;&gt;"Pending"),"RESULT WITHOUT A SCORE",IF(AND($G222="Pass/Fail",$K222&lt;&gt;""),"SCORE ON A PASS-FAIL CATEGORY - it is ignored",IF(AND($E222="Firearms",$J222&lt;&gt;"",$J222&lt;&gt;"Pending",$R222=""),"FIREARMS ROW WITH NO COURSE OF FIRE","OK"))))))</f>
        <v/>
      </c>
    </row>
    <row r="223">
      <c r="B223" s="17">
        <f>IF($C223="","",$D223&amp;"-"&amp;$E223&amp;"-"&amp;$I223)</f>
        <v/>
      </c>
      <c r="C223" s="16" t="n"/>
      <c r="D223" s="17">
        <f>IF($C223="","",IFERROR(INDEX(rngCadetPIDs,MATCH($C223,rngCadetNames,0)),"?"))</f>
        <v/>
      </c>
      <c r="E223" s="16" t="n"/>
      <c r="F223" s="17">
        <f>IF($E223="","",IFERROR(INDEX(rngSM_max,MATCH($E223,rngSM_cat,0)),""))</f>
        <v/>
      </c>
      <c r="G223" s="17">
        <f>IF($E223="","",IFERROR(INDEX(rngSM_mode,MATCH($E223,rngSM_cat,0)),""))</f>
        <v/>
      </c>
      <c r="H223" s="17">
        <f>IF($E223="","",IFERROR(INDEX(rngSM_pass,MATCH($E223,rngSM_cat,0)),""))</f>
        <v/>
      </c>
      <c r="I223" s="16" t="n"/>
      <c r="J223" s="16" t="n"/>
      <c r="K223" s="16" t="n"/>
      <c r="L223" s="18" t="n"/>
      <c r="M223" s="16" t="n"/>
      <c r="N223" s="17">
        <f>IF($C223="","",MAX(_xlfn.MAXIFS(nrSK_Att,nrSK_PID,$D223,nrSK_Cat,$E223,nrSK_Res,"Pass"),_xlfn.MAXIFS(nrSK_Att,nrSK_PID,$D223,nrSK_Cat,$E223,nrSK_Res,"Fail")))</f>
        <v/>
      </c>
      <c r="O223" s="17">
        <f>IF($C223="","",IF(AND(MAX(_xlfn.MAXIFS(nrSK_Att,nrSK_PID,$D223,nrSK_Cat,$E223,nrSK_Res,"Pass"),_xlfn.MAXIFS(nrSK_Att,nrSK_PID,$D223,nrSK_Cat,$E223,nrSK_Res,"Fail"))&gt;0,N($I223)&lt;MAX(_xlfn.MAXIFS(nrSK_Att,nrSK_PID,$D223,nrSK_Cat,$E223,nrSK_Res,"Pass"),_xlfn.MAXIFS(nrSK_Att,nrSK_PID,$D223,nrSK_Cat,$E223,nrSK_Res,"Fail"))),"(superseded)",IF(OR($J223="",$J223="Pending"),"Pending",IF($J223="Pass","Qualified",IF(AND($J223="Fail",$N223&gt;=$F223),"FAILED OUT","Needs Remediation")))))</f>
        <v/>
      </c>
      <c r="P223" s="17">
        <f>IF($C223="","",IF($O223="FAILED OUT","Yes","No"))</f>
        <v/>
      </c>
      <c r="Q223" s="16" t="n"/>
      <c r="R223" s="16" t="n"/>
      <c r="S223" s="17">
        <f>IF($C223="","",IF(AND($K223&lt;&gt;"",NOT(ISNUMBER($K223))),"SCORE NOT A NUMBER",IF(AND(ISNUMBER($K223),OR($K223&lt;0,$K223&gt;100)),"SCORE OUT OF RANGE - this score counts toward nothing",IF(AND($G223="Score",$K223="",$J223&lt;&gt;"",$J223&lt;&gt;"Pending"),"RESULT WITHOUT A SCORE",IF(AND($G223="Pass/Fail",$K223&lt;&gt;""),"SCORE ON A PASS-FAIL CATEGORY - it is ignored",IF(AND($E223="Firearms",$J223&lt;&gt;"",$J223&lt;&gt;"Pending",$R223=""),"FIREARMS ROW WITH NO COURSE OF FIRE","OK"))))))</f>
        <v/>
      </c>
    </row>
    <row r="224">
      <c r="B224" s="17">
        <f>IF($C224="","",$D224&amp;"-"&amp;$E224&amp;"-"&amp;$I224)</f>
        <v/>
      </c>
      <c r="C224" s="16" t="n"/>
      <c r="D224" s="17">
        <f>IF($C224="","",IFERROR(INDEX(rngCadetPIDs,MATCH($C224,rngCadetNames,0)),"?"))</f>
        <v/>
      </c>
      <c r="E224" s="16" t="n"/>
      <c r="F224" s="17">
        <f>IF($E224="","",IFERROR(INDEX(rngSM_max,MATCH($E224,rngSM_cat,0)),""))</f>
        <v/>
      </c>
      <c r="G224" s="17">
        <f>IF($E224="","",IFERROR(INDEX(rngSM_mode,MATCH($E224,rngSM_cat,0)),""))</f>
        <v/>
      </c>
      <c r="H224" s="17">
        <f>IF($E224="","",IFERROR(INDEX(rngSM_pass,MATCH($E224,rngSM_cat,0)),""))</f>
        <v/>
      </c>
      <c r="I224" s="16" t="n"/>
      <c r="J224" s="16" t="n"/>
      <c r="K224" s="16" t="n"/>
      <c r="L224" s="18" t="n"/>
      <c r="M224" s="16" t="n"/>
      <c r="N224" s="17">
        <f>IF($C224="","",MAX(_xlfn.MAXIFS(nrSK_Att,nrSK_PID,$D224,nrSK_Cat,$E224,nrSK_Res,"Pass"),_xlfn.MAXIFS(nrSK_Att,nrSK_PID,$D224,nrSK_Cat,$E224,nrSK_Res,"Fail")))</f>
        <v/>
      </c>
      <c r="O224" s="17">
        <f>IF($C224="","",IF(AND(MAX(_xlfn.MAXIFS(nrSK_Att,nrSK_PID,$D224,nrSK_Cat,$E224,nrSK_Res,"Pass"),_xlfn.MAXIFS(nrSK_Att,nrSK_PID,$D224,nrSK_Cat,$E224,nrSK_Res,"Fail"))&gt;0,N($I224)&lt;MAX(_xlfn.MAXIFS(nrSK_Att,nrSK_PID,$D224,nrSK_Cat,$E224,nrSK_Res,"Pass"),_xlfn.MAXIFS(nrSK_Att,nrSK_PID,$D224,nrSK_Cat,$E224,nrSK_Res,"Fail"))),"(superseded)",IF(OR($J224="",$J224="Pending"),"Pending",IF($J224="Pass","Qualified",IF(AND($J224="Fail",$N224&gt;=$F224),"FAILED OUT","Needs Remediation")))))</f>
        <v/>
      </c>
      <c r="P224" s="17">
        <f>IF($C224="","",IF($O224="FAILED OUT","Yes","No"))</f>
        <v/>
      </c>
      <c r="Q224" s="16" t="n"/>
      <c r="R224" s="16" t="n"/>
      <c r="S224" s="17">
        <f>IF($C224="","",IF(AND($K224&lt;&gt;"",NOT(ISNUMBER($K224))),"SCORE NOT A NUMBER",IF(AND(ISNUMBER($K224),OR($K224&lt;0,$K224&gt;100)),"SCORE OUT OF RANGE - this score counts toward nothing",IF(AND($G224="Score",$K224="",$J224&lt;&gt;"",$J224&lt;&gt;"Pending"),"RESULT WITHOUT A SCORE",IF(AND($G224="Pass/Fail",$K224&lt;&gt;""),"SCORE ON A PASS-FAIL CATEGORY - it is ignored",IF(AND($E224="Firearms",$J224&lt;&gt;"",$J224&lt;&gt;"Pending",$R224=""),"FIREARMS ROW WITH NO COURSE OF FIRE","OK"))))))</f>
        <v/>
      </c>
    </row>
    <row r="225">
      <c r="B225" s="17">
        <f>IF($C225="","",$D225&amp;"-"&amp;$E225&amp;"-"&amp;$I225)</f>
        <v/>
      </c>
      <c r="C225" s="16" t="n"/>
      <c r="D225" s="17">
        <f>IF($C225="","",IFERROR(INDEX(rngCadetPIDs,MATCH($C225,rngCadetNames,0)),"?"))</f>
        <v/>
      </c>
      <c r="E225" s="16" t="n"/>
      <c r="F225" s="17">
        <f>IF($E225="","",IFERROR(INDEX(rngSM_max,MATCH($E225,rngSM_cat,0)),""))</f>
        <v/>
      </c>
      <c r="G225" s="17">
        <f>IF($E225="","",IFERROR(INDEX(rngSM_mode,MATCH($E225,rngSM_cat,0)),""))</f>
        <v/>
      </c>
      <c r="H225" s="17">
        <f>IF($E225="","",IFERROR(INDEX(rngSM_pass,MATCH($E225,rngSM_cat,0)),""))</f>
        <v/>
      </c>
      <c r="I225" s="16" t="n"/>
      <c r="J225" s="16" t="n"/>
      <c r="K225" s="16" t="n"/>
      <c r="L225" s="18" t="n"/>
      <c r="M225" s="16" t="n"/>
      <c r="N225" s="17">
        <f>IF($C225="","",MAX(_xlfn.MAXIFS(nrSK_Att,nrSK_PID,$D225,nrSK_Cat,$E225,nrSK_Res,"Pass"),_xlfn.MAXIFS(nrSK_Att,nrSK_PID,$D225,nrSK_Cat,$E225,nrSK_Res,"Fail")))</f>
        <v/>
      </c>
      <c r="O225" s="17">
        <f>IF($C225="","",IF(AND(MAX(_xlfn.MAXIFS(nrSK_Att,nrSK_PID,$D225,nrSK_Cat,$E225,nrSK_Res,"Pass"),_xlfn.MAXIFS(nrSK_Att,nrSK_PID,$D225,nrSK_Cat,$E225,nrSK_Res,"Fail"))&gt;0,N($I225)&lt;MAX(_xlfn.MAXIFS(nrSK_Att,nrSK_PID,$D225,nrSK_Cat,$E225,nrSK_Res,"Pass"),_xlfn.MAXIFS(nrSK_Att,nrSK_PID,$D225,nrSK_Cat,$E225,nrSK_Res,"Fail"))),"(superseded)",IF(OR($J225="",$J225="Pending"),"Pending",IF($J225="Pass","Qualified",IF(AND($J225="Fail",$N225&gt;=$F225),"FAILED OUT","Needs Remediation")))))</f>
        <v/>
      </c>
      <c r="P225" s="17">
        <f>IF($C225="","",IF($O225="FAILED OUT","Yes","No"))</f>
        <v/>
      </c>
      <c r="Q225" s="16" t="n"/>
      <c r="R225" s="16" t="n"/>
      <c r="S225" s="17">
        <f>IF($C225="","",IF(AND($K225&lt;&gt;"",NOT(ISNUMBER($K225))),"SCORE NOT A NUMBER",IF(AND(ISNUMBER($K225),OR($K225&lt;0,$K225&gt;100)),"SCORE OUT OF RANGE - this score counts toward nothing",IF(AND($G225="Score",$K225="",$J225&lt;&gt;"",$J225&lt;&gt;"Pending"),"RESULT WITHOUT A SCORE",IF(AND($G225="Pass/Fail",$K225&lt;&gt;""),"SCORE ON A PASS-FAIL CATEGORY - it is ignored",IF(AND($E225="Firearms",$J225&lt;&gt;"",$J225&lt;&gt;"Pending",$R225=""),"FIREARMS ROW WITH NO COURSE OF FIRE","OK"))))))</f>
        <v/>
      </c>
    </row>
    <row r="226">
      <c r="B226" s="17">
        <f>IF($C226="","",$D226&amp;"-"&amp;$E226&amp;"-"&amp;$I226)</f>
        <v/>
      </c>
      <c r="C226" s="16" t="n"/>
      <c r="D226" s="17">
        <f>IF($C226="","",IFERROR(INDEX(rngCadetPIDs,MATCH($C226,rngCadetNames,0)),"?"))</f>
        <v/>
      </c>
      <c r="E226" s="16" t="n"/>
      <c r="F226" s="17">
        <f>IF($E226="","",IFERROR(INDEX(rngSM_max,MATCH($E226,rngSM_cat,0)),""))</f>
        <v/>
      </c>
      <c r="G226" s="17">
        <f>IF($E226="","",IFERROR(INDEX(rngSM_mode,MATCH($E226,rngSM_cat,0)),""))</f>
        <v/>
      </c>
      <c r="H226" s="17">
        <f>IF($E226="","",IFERROR(INDEX(rngSM_pass,MATCH($E226,rngSM_cat,0)),""))</f>
        <v/>
      </c>
      <c r="I226" s="16" t="n"/>
      <c r="J226" s="16" t="n"/>
      <c r="K226" s="16" t="n"/>
      <c r="L226" s="18" t="n"/>
      <c r="M226" s="16" t="n"/>
      <c r="N226" s="17">
        <f>IF($C226="","",MAX(_xlfn.MAXIFS(nrSK_Att,nrSK_PID,$D226,nrSK_Cat,$E226,nrSK_Res,"Pass"),_xlfn.MAXIFS(nrSK_Att,nrSK_PID,$D226,nrSK_Cat,$E226,nrSK_Res,"Fail")))</f>
        <v/>
      </c>
      <c r="O226" s="17">
        <f>IF($C226="","",IF(AND(MAX(_xlfn.MAXIFS(nrSK_Att,nrSK_PID,$D226,nrSK_Cat,$E226,nrSK_Res,"Pass"),_xlfn.MAXIFS(nrSK_Att,nrSK_PID,$D226,nrSK_Cat,$E226,nrSK_Res,"Fail"))&gt;0,N($I226)&lt;MAX(_xlfn.MAXIFS(nrSK_Att,nrSK_PID,$D226,nrSK_Cat,$E226,nrSK_Res,"Pass"),_xlfn.MAXIFS(nrSK_Att,nrSK_PID,$D226,nrSK_Cat,$E226,nrSK_Res,"Fail"))),"(superseded)",IF(OR($J226="",$J226="Pending"),"Pending",IF($J226="Pass","Qualified",IF(AND($J226="Fail",$N226&gt;=$F226),"FAILED OUT","Needs Remediation")))))</f>
        <v/>
      </c>
      <c r="P226" s="17">
        <f>IF($C226="","",IF($O226="FAILED OUT","Yes","No"))</f>
        <v/>
      </c>
      <c r="Q226" s="16" t="n"/>
      <c r="R226" s="16" t="n"/>
      <c r="S226" s="17">
        <f>IF($C226="","",IF(AND($K226&lt;&gt;"",NOT(ISNUMBER($K226))),"SCORE NOT A NUMBER",IF(AND(ISNUMBER($K226),OR($K226&lt;0,$K226&gt;100)),"SCORE OUT OF RANGE - this score counts toward nothing",IF(AND($G226="Score",$K226="",$J226&lt;&gt;"",$J226&lt;&gt;"Pending"),"RESULT WITHOUT A SCORE",IF(AND($G226="Pass/Fail",$K226&lt;&gt;""),"SCORE ON A PASS-FAIL CATEGORY - it is ignored",IF(AND($E226="Firearms",$J226&lt;&gt;"",$J226&lt;&gt;"Pending",$R226=""),"FIREARMS ROW WITH NO COURSE OF FIRE","OK"))))))</f>
        <v/>
      </c>
    </row>
    <row r="227">
      <c r="B227" s="17">
        <f>IF($C227="","",$D227&amp;"-"&amp;$E227&amp;"-"&amp;$I227)</f>
        <v/>
      </c>
      <c r="C227" s="16" t="n"/>
      <c r="D227" s="17">
        <f>IF($C227="","",IFERROR(INDEX(rngCadetPIDs,MATCH($C227,rngCadetNames,0)),"?"))</f>
        <v/>
      </c>
      <c r="E227" s="16" t="n"/>
      <c r="F227" s="17">
        <f>IF($E227="","",IFERROR(INDEX(rngSM_max,MATCH($E227,rngSM_cat,0)),""))</f>
        <v/>
      </c>
      <c r="G227" s="17">
        <f>IF($E227="","",IFERROR(INDEX(rngSM_mode,MATCH($E227,rngSM_cat,0)),""))</f>
        <v/>
      </c>
      <c r="H227" s="17">
        <f>IF($E227="","",IFERROR(INDEX(rngSM_pass,MATCH($E227,rngSM_cat,0)),""))</f>
        <v/>
      </c>
      <c r="I227" s="16" t="n"/>
      <c r="J227" s="16" t="n"/>
      <c r="K227" s="16" t="n"/>
      <c r="L227" s="18" t="n"/>
      <c r="M227" s="16" t="n"/>
      <c r="N227" s="17">
        <f>IF($C227="","",MAX(_xlfn.MAXIFS(nrSK_Att,nrSK_PID,$D227,nrSK_Cat,$E227,nrSK_Res,"Pass"),_xlfn.MAXIFS(nrSK_Att,nrSK_PID,$D227,nrSK_Cat,$E227,nrSK_Res,"Fail")))</f>
        <v/>
      </c>
      <c r="O227" s="17">
        <f>IF($C227="","",IF(AND(MAX(_xlfn.MAXIFS(nrSK_Att,nrSK_PID,$D227,nrSK_Cat,$E227,nrSK_Res,"Pass"),_xlfn.MAXIFS(nrSK_Att,nrSK_PID,$D227,nrSK_Cat,$E227,nrSK_Res,"Fail"))&gt;0,N($I227)&lt;MAX(_xlfn.MAXIFS(nrSK_Att,nrSK_PID,$D227,nrSK_Cat,$E227,nrSK_Res,"Pass"),_xlfn.MAXIFS(nrSK_Att,nrSK_PID,$D227,nrSK_Cat,$E227,nrSK_Res,"Fail"))),"(superseded)",IF(OR($J227="",$J227="Pending"),"Pending",IF($J227="Pass","Qualified",IF(AND($J227="Fail",$N227&gt;=$F227),"FAILED OUT","Needs Remediation")))))</f>
        <v/>
      </c>
      <c r="P227" s="17">
        <f>IF($C227="","",IF($O227="FAILED OUT","Yes","No"))</f>
        <v/>
      </c>
      <c r="Q227" s="16" t="n"/>
      <c r="R227" s="16" t="n"/>
      <c r="S227" s="17">
        <f>IF($C227="","",IF(AND($K227&lt;&gt;"",NOT(ISNUMBER($K227))),"SCORE NOT A NUMBER",IF(AND(ISNUMBER($K227),OR($K227&lt;0,$K227&gt;100)),"SCORE OUT OF RANGE - this score counts toward nothing",IF(AND($G227="Score",$K227="",$J227&lt;&gt;"",$J227&lt;&gt;"Pending"),"RESULT WITHOUT A SCORE",IF(AND($G227="Pass/Fail",$K227&lt;&gt;""),"SCORE ON A PASS-FAIL CATEGORY - it is ignored",IF(AND($E227="Firearms",$J227&lt;&gt;"",$J227&lt;&gt;"Pending",$R227=""),"FIREARMS ROW WITH NO COURSE OF FIRE","OK"))))))</f>
        <v/>
      </c>
    </row>
    <row r="228">
      <c r="B228" s="17">
        <f>IF($C228="","",$D228&amp;"-"&amp;$E228&amp;"-"&amp;$I228)</f>
        <v/>
      </c>
      <c r="C228" s="16" t="n"/>
      <c r="D228" s="17">
        <f>IF($C228="","",IFERROR(INDEX(rngCadetPIDs,MATCH($C228,rngCadetNames,0)),"?"))</f>
        <v/>
      </c>
      <c r="E228" s="16" t="n"/>
      <c r="F228" s="17">
        <f>IF($E228="","",IFERROR(INDEX(rngSM_max,MATCH($E228,rngSM_cat,0)),""))</f>
        <v/>
      </c>
      <c r="G228" s="17">
        <f>IF($E228="","",IFERROR(INDEX(rngSM_mode,MATCH($E228,rngSM_cat,0)),""))</f>
        <v/>
      </c>
      <c r="H228" s="17">
        <f>IF($E228="","",IFERROR(INDEX(rngSM_pass,MATCH($E228,rngSM_cat,0)),""))</f>
        <v/>
      </c>
      <c r="I228" s="16" t="n"/>
      <c r="J228" s="16" t="n"/>
      <c r="K228" s="16" t="n"/>
      <c r="L228" s="18" t="n"/>
      <c r="M228" s="16" t="n"/>
      <c r="N228" s="17">
        <f>IF($C228="","",MAX(_xlfn.MAXIFS(nrSK_Att,nrSK_PID,$D228,nrSK_Cat,$E228,nrSK_Res,"Pass"),_xlfn.MAXIFS(nrSK_Att,nrSK_PID,$D228,nrSK_Cat,$E228,nrSK_Res,"Fail")))</f>
        <v/>
      </c>
      <c r="O228" s="17">
        <f>IF($C228="","",IF(AND(MAX(_xlfn.MAXIFS(nrSK_Att,nrSK_PID,$D228,nrSK_Cat,$E228,nrSK_Res,"Pass"),_xlfn.MAXIFS(nrSK_Att,nrSK_PID,$D228,nrSK_Cat,$E228,nrSK_Res,"Fail"))&gt;0,N($I228)&lt;MAX(_xlfn.MAXIFS(nrSK_Att,nrSK_PID,$D228,nrSK_Cat,$E228,nrSK_Res,"Pass"),_xlfn.MAXIFS(nrSK_Att,nrSK_PID,$D228,nrSK_Cat,$E228,nrSK_Res,"Fail"))),"(superseded)",IF(OR($J228="",$J228="Pending"),"Pending",IF($J228="Pass","Qualified",IF(AND($J228="Fail",$N228&gt;=$F228),"FAILED OUT","Needs Remediation")))))</f>
        <v/>
      </c>
      <c r="P228" s="17">
        <f>IF($C228="","",IF($O228="FAILED OUT","Yes","No"))</f>
        <v/>
      </c>
      <c r="Q228" s="16" t="n"/>
      <c r="R228" s="16" t="n"/>
      <c r="S228" s="17">
        <f>IF($C228="","",IF(AND($K228&lt;&gt;"",NOT(ISNUMBER($K228))),"SCORE NOT A NUMBER",IF(AND(ISNUMBER($K228),OR($K228&lt;0,$K228&gt;100)),"SCORE OUT OF RANGE - this score counts toward nothing",IF(AND($G228="Score",$K228="",$J228&lt;&gt;"",$J228&lt;&gt;"Pending"),"RESULT WITHOUT A SCORE",IF(AND($G228="Pass/Fail",$K228&lt;&gt;""),"SCORE ON A PASS-FAIL CATEGORY - it is ignored",IF(AND($E228="Firearms",$J228&lt;&gt;"",$J228&lt;&gt;"Pending",$R228=""),"FIREARMS ROW WITH NO COURSE OF FIRE","OK"))))))</f>
        <v/>
      </c>
    </row>
    <row r="229">
      <c r="B229" s="17">
        <f>IF($C229="","",$D229&amp;"-"&amp;$E229&amp;"-"&amp;$I229)</f>
        <v/>
      </c>
      <c r="C229" s="16" t="n"/>
      <c r="D229" s="17">
        <f>IF($C229="","",IFERROR(INDEX(rngCadetPIDs,MATCH($C229,rngCadetNames,0)),"?"))</f>
        <v/>
      </c>
      <c r="E229" s="16" t="n"/>
      <c r="F229" s="17">
        <f>IF($E229="","",IFERROR(INDEX(rngSM_max,MATCH($E229,rngSM_cat,0)),""))</f>
        <v/>
      </c>
      <c r="G229" s="17">
        <f>IF($E229="","",IFERROR(INDEX(rngSM_mode,MATCH($E229,rngSM_cat,0)),""))</f>
        <v/>
      </c>
      <c r="H229" s="17">
        <f>IF($E229="","",IFERROR(INDEX(rngSM_pass,MATCH($E229,rngSM_cat,0)),""))</f>
        <v/>
      </c>
      <c r="I229" s="16" t="n"/>
      <c r="J229" s="16" t="n"/>
      <c r="K229" s="16" t="n"/>
      <c r="L229" s="18" t="n"/>
      <c r="M229" s="16" t="n"/>
      <c r="N229" s="17">
        <f>IF($C229="","",MAX(_xlfn.MAXIFS(nrSK_Att,nrSK_PID,$D229,nrSK_Cat,$E229,nrSK_Res,"Pass"),_xlfn.MAXIFS(nrSK_Att,nrSK_PID,$D229,nrSK_Cat,$E229,nrSK_Res,"Fail")))</f>
        <v/>
      </c>
      <c r="O229" s="17">
        <f>IF($C229="","",IF(AND(MAX(_xlfn.MAXIFS(nrSK_Att,nrSK_PID,$D229,nrSK_Cat,$E229,nrSK_Res,"Pass"),_xlfn.MAXIFS(nrSK_Att,nrSK_PID,$D229,nrSK_Cat,$E229,nrSK_Res,"Fail"))&gt;0,N($I229)&lt;MAX(_xlfn.MAXIFS(nrSK_Att,nrSK_PID,$D229,nrSK_Cat,$E229,nrSK_Res,"Pass"),_xlfn.MAXIFS(nrSK_Att,nrSK_PID,$D229,nrSK_Cat,$E229,nrSK_Res,"Fail"))),"(superseded)",IF(OR($J229="",$J229="Pending"),"Pending",IF($J229="Pass","Qualified",IF(AND($J229="Fail",$N229&gt;=$F229),"FAILED OUT","Needs Remediation")))))</f>
        <v/>
      </c>
      <c r="P229" s="17">
        <f>IF($C229="","",IF($O229="FAILED OUT","Yes","No"))</f>
        <v/>
      </c>
      <c r="Q229" s="16" t="n"/>
      <c r="R229" s="16" t="n"/>
      <c r="S229" s="17">
        <f>IF($C229="","",IF(AND($K229&lt;&gt;"",NOT(ISNUMBER($K229))),"SCORE NOT A NUMBER",IF(AND(ISNUMBER($K229),OR($K229&lt;0,$K229&gt;100)),"SCORE OUT OF RANGE - this score counts toward nothing",IF(AND($G229="Score",$K229="",$J229&lt;&gt;"",$J229&lt;&gt;"Pending"),"RESULT WITHOUT A SCORE",IF(AND($G229="Pass/Fail",$K229&lt;&gt;""),"SCORE ON A PASS-FAIL CATEGORY - it is ignored",IF(AND($E229="Firearms",$J229&lt;&gt;"",$J229&lt;&gt;"Pending",$R229=""),"FIREARMS ROW WITH NO COURSE OF FIRE","OK"))))))</f>
        <v/>
      </c>
    </row>
    <row r="230">
      <c r="B230" s="17">
        <f>IF($C230="","",$D230&amp;"-"&amp;$E230&amp;"-"&amp;$I230)</f>
        <v/>
      </c>
      <c r="C230" s="16" t="n"/>
      <c r="D230" s="17">
        <f>IF($C230="","",IFERROR(INDEX(rngCadetPIDs,MATCH($C230,rngCadetNames,0)),"?"))</f>
        <v/>
      </c>
      <c r="E230" s="16" t="n"/>
      <c r="F230" s="17">
        <f>IF($E230="","",IFERROR(INDEX(rngSM_max,MATCH($E230,rngSM_cat,0)),""))</f>
        <v/>
      </c>
      <c r="G230" s="17">
        <f>IF($E230="","",IFERROR(INDEX(rngSM_mode,MATCH($E230,rngSM_cat,0)),""))</f>
        <v/>
      </c>
      <c r="H230" s="17">
        <f>IF($E230="","",IFERROR(INDEX(rngSM_pass,MATCH($E230,rngSM_cat,0)),""))</f>
        <v/>
      </c>
      <c r="I230" s="16" t="n"/>
      <c r="J230" s="16" t="n"/>
      <c r="K230" s="16" t="n"/>
      <c r="L230" s="18" t="n"/>
      <c r="M230" s="16" t="n"/>
      <c r="N230" s="17">
        <f>IF($C230="","",MAX(_xlfn.MAXIFS(nrSK_Att,nrSK_PID,$D230,nrSK_Cat,$E230,nrSK_Res,"Pass"),_xlfn.MAXIFS(nrSK_Att,nrSK_PID,$D230,nrSK_Cat,$E230,nrSK_Res,"Fail")))</f>
        <v/>
      </c>
      <c r="O230" s="17">
        <f>IF($C230="","",IF(AND(MAX(_xlfn.MAXIFS(nrSK_Att,nrSK_PID,$D230,nrSK_Cat,$E230,nrSK_Res,"Pass"),_xlfn.MAXIFS(nrSK_Att,nrSK_PID,$D230,nrSK_Cat,$E230,nrSK_Res,"Fail"))&gt;0,N($I230)&lt;MAX(_xlfn.MAXIFS(nrSK_Att,nrSK_PID,$D230,nrSK_Cat,$E230,nrSK_Res,"Pass"),_xlfn.MAXIFS(nrSK_Att,nrSK_PID,$D230,nrSK_Cat,$E230,nrSK_Res,"Fail"))),"(superseded)",IF(OR($J230="",$J230="Pending"),"Pending",IF($J230="Pass","Qualified",IF(AND($J230="Fail",$N230&gt;=$F230),"FAILED OUT","Needs Remediation")))))</f>
        <v/>
      </c>
      <c r="P230" s="17">
        <f>IF($C230="","",IF($O230="FAILED OUT","Yes","No"))</f>
        <v/>
      </c>
      <c r="Q230" s="16" t="n"/>
      <c r="R230" s="16" t="n"/>
      <c r="S230" s="17">
        <f>IF($C230="","",IF(AND($K230&lt;&gt;"",NOT(ISNUMBER($K230))),"SCORE NOT A NUMBER",IF(AND(ISNUMBER($K230),OR($K230&lt;0,$K230&gt;100)),"SCORE OUT OF RANGE - this score counts toward nothing",IF(AND($G230="Score",$K230="",$J230&lt;&gt;"",$J230&lt;&gt;"Pending"),"RESULT WITHOUT A SCORE",IF(AND($G230="Pass/Fail",$K230&lt;&gt;""),"SCORE ON A PASS-FAIL CATEGORY - it is ignored",IF(AND($E230="Firearms",$J230&lt;&gt;"",$J230&lt;&gt;"Pending",$R230=""),"FIREARMS ROW WITH NO COURSE OF FIRE","OK"))))))</f>
        <v/>
      </c>
    </row>
    <row r="231">
      <c r="B231" s="17">
        <f>IF($C231="","",$D231&amp;"-"&amp;$E231&amp;"-"&amp;$I231)</f>
        <v/>
      </c>
      <c r="C231" s="16" t="n"/>
      <c r="D231" s="17">
        <f>IF($C231="","",IFERROR(INDEX(rngCadetPIDs,MATCH($C231,rngCadetNames,0)),"?"))</f>
        <v/>
      </c>
      <c r="E231" s="16" t="n"/>
      <c r="F231" s="17">
        <f>IF($E231="","",IFERROR(INDEX(rngSM_max,MATCH($E231,rngSM_cat,0)),""))</f>
        <v/>
      </c>
      <c r="G231" s="17">
        <f>IF($E231="","",IFERROR(INDEX(rngSM_mode,MATCH($E231,rngSM_cat,0)),""))</f>
        <v/>
      </c>
      <c r="H231" s="17">
        <f>IF($E231="","",IFERROR(INDEX(rngSM_pass,MATCH($E231,rngSM_cat,0)),""))</f>
        <v/>
      </c>
      <c r="I231" s="16" t="n"/>
      <c r="J231" s="16" t="n"/>
      <c r="K231" s="16" t="n"/>
      <c r="L231" s="18" t="n"/>
      <c r="M231" s="16" t="n"/>
      <c r="N231" s="17">
        <f>IF($C231="","",MAX(_xlfn.MAXIFS(nrSK_Att,nrSK_PID,$D231,nrSK_Cat,$E231,nrSK_Res,"Pass"),_xlfn.MAXIFS(nrSK_Att,nrSK_PID,$D231,nrSK_Cat,$E231,nrSK_Res,"Fail")))</f>
        <v/>
      </c>
      <c r="O231" s="17">
        <f>IF($C231="","",IF(AND(MAX(_xlfn.MAXIFS(nrSK_Att,nrSK_PID,$D231,nrSK_Cat,$E231,nrSK_Res,"Pass"),_xlfn.MAXIFS(nrSK_Att,nrSK_PID,$D231,nrSK_Cat,$E231,nrSK_Res,"Fail"))&gt;0,N($I231)&lt;MAX(_xlfn.MAXIFS(nrSK_Att,nrSK_PID,$D231,nrSK_Cat,$E231,nrSK_Res,"Pass"),_xlfn.MAXIFS(nrSK_Att,nrSK_PID,$D231,nrSK_Cat,$E231,nrSK_Res,"Fail"))),"(superseded)",IF(OR($J231="",$J231="Pending"),"Pending",IF($J231="Pass","Qualified",IF(AND($J231="Fail",$N231&gt;=$F231),"FAILED OUT","Needs Remediation")))))</f>
        <v/>
      </c>
      <c r="P231" s="17">
        <f>IF($C231="","",IF($O231="FAILED OUT","Yes","No"))</f>
        <v/>
      </c>
      <c r="Q231" s="16" t="n"/>
      <c r="R231" s="16" t="n"/>
      <c r="S231" s="17">
        <f>IF($C231="","",IF(AND($K231&lt;&gt;"",NOT(ISNUMBER($K231))),"SCORE NOT A NUMBER",IF(AND(ISNUMBER($K231),OR($K231&lt;0,$K231&gt;100)),"SCORE OUT OF RANGE - this score counts toward nothing",IF(AND($G231="Score",$K231="",$J231&lt;&gt;"",$J231&lt;&gt;"Pending"),"RESULT WITHOUT A SCORE",IF(AND($G231="Pass/Fail",$K231&lt;&gt;""),"SCORE ON A PASS-FAIL CATEGORY - it is ignored",IF(AND($E231="Firearms",$J231&lt;&gt;"",$J231&lt;&gt;"Pending",$R231=""),"FIREARMS ROW WITH NO COURSE OF FIRE","OK"))))))</f>
        <v/>
      </c>
    </row>
    <row r="232">
      <c r="B232" s="17">
        <f>IF($C232="","",$D232&amp;"-"&amp;$E232&amp;"-"&amp;$I232)</f>
        <v/>
      </c>
      <c r="C232" s="16" t="n"/>
      <c r="D232" s="17">
        <f>IF($C232="","",IFERROR(INDEX(rngCadetPIDs,MATCH($C232,rngCadetNames,0)),"?"))</f>
        <v/>
      </c>
      <c r="E232" s="16" t="n"/>
      <c r="F232" s="17">
        <f>IF($E232="","",IFERROR(INDEX(rngSM_max,MATCH($E232,rngSM_cat,0)),""))</f>
        <v/>
      </c>
      <c r="G232" s="17">
        <f>IF($E232="","",IFERROR(INDEX(rngSM_mode,MATCH($E232,rngSM_cat,0)),""))</f>
        <v/>
      </c>
      <c r="H232" s="17">
        <f>IF($E232="","",IFERROR(INDEX(rngSM_pass,MATCH($E232,rngSM_cat,0)),""))</f>
        <v/>
      </c>
      <c r="I232" s="16" t="n"/>
      <c r="J232" s="16" t="n"/>
      <c r="K232" s="16" t="n"/>
      <c r="L232" s="18" t="n"/>
      <c r="M232" s="16" t="n"/>
      <c r="N232" s="17">
        <f>IF($C232="","",MAX(_xlfn.MAXIFS(nrSK_Att,nrSK_PID,$D232,nrSK_Cat,$E232,nrSK_Res,"Pass"),_xlfn.MAXIFS(nrSK_Att,nrSK_PID,$D232,nrSK_Cat,$E232,nrSK_Res,"Fail")))</f>
        <v/>
      </c>
      <c r="O232" s="17">
        <f>IF($C232="","",IF(AND(MAX(_xlfn.MAXIFS(nrSK_Att,nrSK_PID,$D232,nrSK_Cat,$E232,nrSK_Res,"Pass"),_xlfn.MAXIFS(nrSK_Att,nrSK_PID,$D232,nrSK_Cat,$E232,nrSK_Res,"Fail"))&gt;0,N($I232)&lt;MAX(_xlfn.MAXIFS(nrSK_Att,nrSK_PID,$D232,nrSK_Cat,$E232,nrSK_Res,"Pass"),_xlfn.MAXIFS(nrSK_Att,nrSK_PID,$D232,nrSK_Cat,$E232,nrSK_Res,"Fail"))),"(superseded)",IF(OR($J232="",$J232="Pending"),"Pending",IF($J232="Pass","Qualified",IF(AND($J232="Fail",$N232&gt;=$F232),"FAILED OUT","Needs Remediation")))))</f>
        <v/>
      </c>
      <c r="P232" s="17">
        <f>IF($C232="","",IF($O232="FAILED OUT","Yes","No"))</f>
        <v/>
      </c>
      <c r="Q232" s="16" t="n"/>
      <c r="R232" s="16" t="n"/>
      <c r="S232" s="17">
        <f>IF($C232="","",IF(AND($K232&lt;&gt;"",NOT(ISNUMBER($K232))),"SCORE NOT A NUMBER",IF(AND(ISNUMBER($K232),OR($K232&lt;0,$K232&gt;100)),"SCORE OUT OF RANGE - this score counts toward nothing",IF(AND($G232="Score",$K232="",$J232&lt;&gt;"",$J232&lt;&gt;"Pending"),"RESULT WITHOUT A SCORE",IF(AND($G232="Pass/Fail",$K232&lt;&gt;""),"SCORE ON A PASS-FAIL CATEGORY - it is ignored",IF(AND($E232="Firearms",$J232&lt;&gt;"",$J232&lt;&gt;"Pending",$R232=""),"FIREARMS ROW WITH NO COURSE OF FIRE","OK"))))))</f>
        <v/>
      </c>
    </row>
    <row r="233">
      <c r="B233" s="17">
        <f>IF($C233="","",$D233&amp;"-"&amp;$E233&amp;"-"&amp;$I233)</f>
        <v/>
      </c>
      <c r="C233" s="16" t="n"/>
      <c r="D233" s="17">
        <f>IF($C233="","",IFERROR(INDEX(rngCadetPIDs,MATCH($C233,rngCadetNames,0)),"?"))</f>
        <v/>
      </c>
      <c r="E233" s="16" t="n"/>
      <c r="F233" s="17">
        <f>IF($E233="","",IFERROR(INDEX(rngSM_max,MATCH($E233,rngSM_cat,0)),""))</f>
        <v/>
      </c>
      <c r="G233" s="17">
        <f>IF($E233="","",IFERROR(INDEX(rngSM_mode,MATCH($E233,rngSM_cat,0)),""))</f>
        <v/>
      </c>
      <c r="H233" s="17">
        <f>IF($E233="","",IFERROR(INDEX(rngSM_pass,MATCH($E233,rngSM_cat,0)),""))</f>
        <v/>
      </c>
      <c r="I233" s="16" t="n"/>
      <c r="J233" s="16" t="n"/>
      <c r="K233" s="16" t="n"/>
      <c r="L233" s="18" t="n"/>
      <c r="M233" s="16" t="n"/>
      <c r="N233" s="17">
        <f>IF($C233="","",MAX(_xlfn.MAXIFS(nrSK_Att,nrSK_PID,$D233,nrSK_Cat,$E233,nrSK_Res,"Pass"),_xlfn.MAXIFS(nrSK_Att,nrSK_PID,$D233,nrSK_Cat,$E233,nrSK_Res,"Fail")))</f>
        <v/>
      </c>
      <c r="O233" s="17">
        <f>IF($C233="","",IF(AND(MAX(_xlfn.MAXIFS(nrSK_Att,nrSK_PID,$D233,nrSK_Cat,$E233,nrSK_Res,"Pass"),_xlfn.MAXIFS(nrSK_Att,nrSK_PID,$D233,nrSK_Cat,$E233,nrSK_Res,"Fail"))&gt;0,N($I233)&lt;MAX(_xlfn.MAXIFS(nrSK_Att,nrSK_PID,$D233,nrSK_Cat,$E233,nrSK_Res,"Pass"),_xlfn.MAXIFS(nrSK_Att,nrSK_PID,$D233,nrSK_Cat,$E233,nrSK_Res,"Fail"))),"(superseded)",IF(OR($J233="",$J233="Pending"),"Pending",IF($J233="Pass","Qualified",IF(AND($J233="Fail",$N233&gt;=$F233),"FAILED OUT","Needs Remediation")))))</f>
        <v/>
      </c>
      <c r="P233" s="17">
        <f>IF($C233="","",IF($O233="FAILED OUT","Yes","No"))</f>
        <v/>
      </c>
      <c r="Q233" s="16" t="n"/>
      <c r="R233" s="16" t="n"/>
      <c r="S233" s="17">
        <f>IF($C233="","",IF(AND($K233&lt;&gt;"",NOT(ISNUMBER($K233))),"SCORE NOT A NUMBER",IF(AND(ISNUMBER($K233),OR($K233&lt;0,$K233&gt;100)),"SCORE OUT OF RANGE - this score counts toward nothing",IF(AND($G233="Score",$K233="",$J233&lt;&gt;"",$J233&lt;&gt;"Pending"),"RESULT WITHOUT A SCORE",IF(AND($G233="Pass/Fail",$K233&lt;&gt;""),"SCORE ON A PASS-FAIL CATEGORY - it is ignored",IF(AND($E233="Firearms",$J233&lt;&gt;"",$J233&lt;&gt;"Pending",$R233=""),"FIREARMS ROW WITH NO COURSE OF FIRE","OK"))))))</f>
        <v/>
      </c>
    </row>
    <row r="234">
      <c r="B234" s="17">
        <f>IF($C234="","",$D234&amp;"-"&amp;$E234&amp;"-"&amp;$I234)</f>
        <v/>
      </c>
      <c r="C234" s="16" t="n"/>
      <c r="D234" s="17">
        <f>IF($C234="","",IFERROR(INDEX(rngCadetPIDs,MATCH($C234,rngCadetNames,0)),"?"))</f>
        <v/>
      </c>
      <c r="E234" s="16" t="n"/>
      <c r="F234" s="17">
        <f>IF($E234="","",IFERROR(INDEX(rngSM_max,MATCH($E234,rngSM_cat,0)),""))</f>
        <v/>
      </c>
      <c r="G234" s="17">
        <f>IF($E234="","",IFERROR(INDEX(rngSM_mode,MATCH($E234,rngSM_cat,0)),""))</f>
        <v/>
      </c>
      <c r="H234" s="17">
        <f>IF($E234="","",IFERROR(INDEX(rngSM_pass,MATCH($E234,rngSM_cat,0)),""))</f>
        <v/>
      </c>
      <c r="I234" s="16" t="n"/>
      <c r="J234" s="16" t="n"/>
      <c r="K234" s="16" t="n"/>
      <c r="L234" s="18" t="n"/>
      <c r="M234" s="16" t="n"/>
      <c r="N234" s="17">
        <f>IF($C234="","",MAX(_xlfn.MAXIFS(nrSK_Att,nrSK_PID,$D234,nrSK_Cat,$E234,nrSK_Res,"Pass"),_xlfn.MAXIFS(nrSK_Att,nrSK_PID,$D234,nrSK_Cat,$E234,nrSK_Res,"Fail")))</f>
        <v/>
      </c>
      <c r="O234" s="17">
        <f>IF($C234="","",IF(AND(MAX(_xlfn.MAXIFS(nrSK_Att,nrSK_PID,$D234,nrSK_Cat,$E234,nrSK_Res,"Pass"),_xlfn.MAXIFS(nrSK_Att,nrSK_PID,$D234,nrSK_Cat,$E234,nrSK_Res,"Fail"))&gt;0,N($I234)&lt;MAX(_xlfn.MAXIFS(nrSK_Att,nrSK_PID,$D234,nrSK_Cat,$E234,nrSK_Res,"Pass"),_xlfn.MAXIFS(nrSK_Att,nrSK_PID,$D234,nrSK_Cat,$E234,nrSK_Res,"Fail"))),"(superseded)",IF(OR($J234="",$J234="Pending"),"Pending",IF($J234="Pass","Qualified",IF(AND($J234="Fail",$N234&gt;=$F234),"FAILED OUT","Needs Remediation")))))</f>
        <v/>
      </c>
      <c r="P234" s="17">
        <f>IF($C234="","",IF($O234="FAILED OUT","Yes","No"))</f>
        <v/>
      </c>
      <c r="Q234" s="16" t="n"/>
      <c r="R234" s="16" t="n"/>
      <c r="S234" s="17">
        <f>IF($C234="","",IF(AND($K234&lt;&gt;"",NOT(ISNUMBER($K234))),"SCORE NOT A NUMBER",IF(AND(ISNUMBER($K234),OR($K234&lt;0,$K234&gt;100)),"SCORE OUT OF RANGE - this score counts toward nothing",IF(AND($G234="Score",$K234="",$J234&lt;&gt;"",$J234&lt;&gt;"Pending"),"RESULT WITHOUT A SCORE",IF(AND($G234="Pass/Fail",$K234&lt;&gt;""),"SCORE ON A PASS-FAIL CATEGORY - it is ignored",IF(AND($E234="Firearms",$J234&lt;&gt;"",$J234&lt;&gt;"Pending",$R234=""),"FIREARMS ROW WITH NO COURSE OF FIRE","OK"))))))</f>
        <v/>
      </c>
    </row>
    <row r="235">
      <c r="B235" s="17">
        <f>IF($C235="","",$D235&amp;"-"&amp;$E235&amp;"-"&amp;$I235)</f>
        <v/>
      </c>
      <c r="C235" s="16" t="n"/>
      <c r="D235" s="17">
        <f>IF($C235="","",IFERROR(INDEX(rngCadetPIDs,MATCH($C235,rngCadetNames,0)),"?"))</f>
        <v/>
      </c>
      <c r="E235" s="16" t="n"/>
      <c r="F235" s="17">
        <f>IF($E235="","",IFERROR(INDEX(rngSM_max,MATCH($E235,rngSM_cat,0)),""))</f>
        <v/>
      </c>
      <c r="G235" s="17">
        <f>IF($E235="","",IFERROR(INDEX(rngSM_mode,MATCH($E235,rngSM_cat,0)),""))</f>
        <v/>
      </c>
      <c r="H235" s="17">
        <f>IF($E235="","",IFERROR(INDEX(rngSM_pass,MATCH($E235,rngSM_cat,0)),""))</f>
        <v/>
      </c>
      <c r="I235" s="16" t="n"/>
      <c r="J235" s="16" t="n"/>
      <c r="K235" s="16" t="n"/>
      <c r="L235" s="18" t="n"/>
      <c r="M235" s="16" t="n"/>
      <c r="N235" s="17">
        <f>IF($C235="","",MAX(_xlfn.MAXIFS(nrSK_Att,nrSK_PID,$D235,nrSK_Cat,$E235,nrSK_Res,"Pass"),_xlfn.MAXIFS(nrSK_Att,nrSK_PID,$D235,nrSK_Cat,$E235,nrSK_Res,"Fail")))</f>
        <v/>
      </c>
      <c r="O235" s="17">
        <f>IF($C235="","",IF(AND(MAX(_xlfn.MAXIFS(nrSK_Att,nrSK_PID,$D235,nrSK_Cat,$E235,nrSK_Res,"Pass"),_xlfn.MAXIFS(nrSK_Att,nrSK_PID,$D235,nrSK_Cat,$E235,nrSK_Res,"Fail"))&gt;0,N($I235)&lt;MAX(_xlfn.MAXIFS(nrSK_Att,nrSK_PID,$D235,nrSK_Cat,$E235,nrSK_Res,"Pass"),_xlfn.MAXIFS(nrSK_Att,nrSK_PID,$D235,nrSK_Cat,$E235,nrSK_Res,"Fail"))),"(superseded)",IF(OR($J235="",$J235="Pending"),"Pending",IF($J235="Pass","Qualified",IF(AND($J235="Fail",$N235&gt;=$F235),"FAILED OUT","Needs Remediation")))))</f>
        <v/>
      </c>
      <c r="P235" s="17">
        <f>IF($C235="","",IF($O235="FAILED OUT","Yes","No"))</f>
        <v/>
      </c>
      <c r="Q235" s="16" t="n"/>
      <c r="R235" s="16" t="n"/>
      <c r="S235" s="17">
        <f>IF($C235="","",IF(AND($K235&lt;&gt;"",NOT(ISNUMBER($K235))),"SCORE NOT A NUMBER",IF(AND(ISNUMBER($K235),OR($K235&lt;0,$K235&gt;100)),"SCORE OUT OF RANGE - this score counts toward nothing",IF(AND($G235="Score",$K235="",$J235&lt;&gt;"",$J235&lt;&gt;"Pending"),"RESULT WITHOUT A SCORE",IF(AND($G235="Pass/Fail",$K235&lt;&gt;""),"SCORE ON A PASS-FAIL CATEGORY - it is ignored",IF(AND($E235="Firearms",$J235&lt;&gt;"",$J235&lt;&gt;"Pending",$R235=""),"FIREARMS ROW WITH NO COURSE OF FIRE","OK"))))))</f>
        <v/>
      </c>
    </row>
    <row r="236">
      <c r="B236" s="17">
        <f>IF($C236="","",$D236&amp;"-"&amp;$E236&amp;"-"&amp;$I236)</f>
        <v/>
      </c>
      <c r="C236" s="16" t="n"/>
      <c r="D236" s="17">
        <f>IF($C236="","",IFERROR(INDEX(rngCadetPIDs,MATCH($C236,rngCadetNames,0)),"?"))</f>
        <v/>
      </c>
      <c r="E236" s="16" t="n"/>
      <c r="F236" s="17">
        <f>IF($E236="","",IFERROR(INDEX(rngSM_max,MATCH($E236,rngSM_cat,0)),""))</f>
        <v/>
      </c>
      <c r="G236" s="17">
        <f>IF($E236="","",IFERROR(INDEX(rngSM_mode,MATCH($E236,rngSM_cat,0)),""))</f>
        <v/>
      </c>
      <c r="H236" s="17">
        <f>IF($E236="","",IFERROR(INDEX(rngSM_pass,MATCH($E236,rngSM_cat,0)),""))</f>
        <v/>
      </c>
      <c r="I236" s="16" t="n"/>
      <c r="J236" s="16" t="n"/>
      <c r="K236" s="16" t="n"/>
      <c r="L236" s="18" t="n"/>
      <c r="M236" s="16" t="n"/>
      <c r="N236" s="17">
        <f>IF($C236="","",MAX(_xlfn.MAXIFS(nrSK_Att,nrSK_PID,$D236,nrSK_Cat,$E236,nrSK_Res,"Pass"),_xlfn.MAXIFS(nrSK_Att,nrSK_PID,$D236,nrSK_Cat,$E236,nrSK_Res,"Fail")))</f>
        <v/>
      </c>
      <c r="O236" s="17">
        <f>IF($C236="","",IF(AND(MAX(_xlfn.MAXIFS(nrSK_Att,nrSK_PID,$D236,nrSK_Cat,$E236,nrSK_Res,"Pass"),_xlfn.MAXIFS(nrSK_Att,nrSK_PID,$D236,nrSK_Cat,$E236,nrSK_Res,"Fail"))&gt;0,N($I236)&lt;MAX(_xlfn.MAXIFS(nrSK_Att,nrSK_PID,$D236,nrSK_Cat,$E236,nrSK_Res,"Pass"),_xlfn.MAXIFS(nrSK_Att,nrSK_PID,$D236,nrSK_Cat,$E236,nrSK_Res,"Fail"))),"(superseded)",IF(OR($J236="",$J236="Pending"),"Pending",IF($J236="Pass","Qualified",IF(AND($J236="Fail",$N236&gt;=$F236),"FAILED OUT","Needs Remediation")))))</f>
        <v/>
      </c>
      <c r="P236" s="17">
        <f>IF($C236="","",IF($O236="FAILED OUT","Yes","No"))</f>
        <v/>
      </c>
      <c r="Q236" s="16" t="n"/>
      <c r="R236" s="16" t="n"/>
      <c r="S236" s="17">
        <f>IF($C236="","",IF(AND($K236&lt;&gt;"",NOT(ISNUMBER($K236))),"SCORE NOT A NUMBER",IF(AND(ISNUMBER($K236),OR($K236&lt;0,$K236&gt;100)),"SCORE OUT OF RANGE - this score counts toward nothing",IF(AND($G236="Score",$K236="",$J236&lt;&gt;"",$J236&lt;&gt;"Pending"),"RESULT WITHOUT A SCORE",IF(AND($G236="Pass/Fail",$K236&lt;&gt;""),"SCORE ON A PASS-FAIL CATEGORY - it is ignored",IF(AND($E236="Firearms",$J236&lt;&gt;"",$J236&lt;&gt;"Pending",$R236=""),"FIREARMS ROW WITH NO COURSE OF FIRE","OK"))))))</f>
        <v/>
      </c>
    </row>
    <row r="237">
      <c r="B237" s="17">
        <f>IF($C237="","",$D237&amp;"-"&amp;$E237&amp;"-"&amp;$I237)</f>
        <v/>
      </c>
      <c r="C237" s="16" t="n"/>
      <c r="D237" s="17">
        <f>IF($C237="","",IFERROR(INDEX(rngCadetPIDs,MATCH($C237,rngCadetNames,0)),"?"))</f>
        <v/>
      </c>
      <c r="E237" s="16" t="n"/>
      <c r="F237" s="17">
        <f>IF($E237="","",IFERROR(INDEX(rngSM_max,MATCH($E237,rngSM_cat,0)),""))</f>
        <v/>
      </c>
      <c r="G237" s="17">
        <f>IF($E237="","",IFERROR(INDEX(rngSM_mode,MATCH($E237,rngSM_cat,0)),""))</f>
        <v/>
      </c>
      <c r="H237" s="17">
        <f>IF($E237="","",IFERROR(INDEX(rngSM_pass,MATCH($E237,rngSM_cat,0)),""))</f>
        <v/>
      </c>
      <c r="I237" s="16" t="n"/>
      <c r="J237" s="16" t="n"/>
      <c r="K237" s="16" t="n"/>
      <c r="L237" s="18" t="n"/>
      <c r="M237" s="16" t="n"/>
      <c r="N237" s="17">
        <f>IF($C237="","",MAX(_xlfn.MAXIFS(nrSK_Att,nrSK_PID,$D237,nrSK_Cat,$E237,nrSK_Res,"Pass"),_xlfn.MAXIFS(nrSK_Att,nrSK_PID,$D237,nrSK_Cat,$E237,nrSK_Res,"Fail")))</f>
        <v/>
      </c>
      <c r="O237" s="17">
        <f>IF($C237="","",IF(AND(MAX(_xlfn.MAXIFS(nrSK_Att,nrSK_PID,$D237,nrSK_Cat,$E237,nrSK_Res,"Pass"),_xlfn.MAXIFS(nrSK_Att,nrSK_PID,$D237,nrSK_Cat,$E237,nrSK_Res,"Fail"))&gt;0,N($I237)&lt;MAX(_xlfn.MAXIFS(nrSK_Att,nrSK_PID,$D237,nrSK_Cat,$E237,nrSK_Res,"Pass"),_xlfn.MAXIFS(nrSK_Att,nrSK_PID,$D237,nrSK_Cat,$E237,nrSK_Res,"Fail"))),"(superseded)",IF(OR($J237="",$J237="Pending"),"Pending",IF($J237="Pass","Qualified",IF(AND($J237="Fail",$N237&gt;=$F237),"FAILED OUT","Needs Remediation")))))</f>
        <v/>
      </c>
      <c r="P237" s="17">
        <f>IF($C237="","",IF($O237="FAILED OUT","Yes","No"))</f>
        <v/>
      </c>
      <c r="Q237" s="16" t="n"/>
      <c r="R237" s="16" t="n"/>
      <c r="S237" s="17">
        <f>IF($C237="","",IF(AND($K237&lt;&gt;"",NOT(ISNUMBER($K237))),"SCORE NOT A NUMBER",IF(AND(ISNUMBER($K237),OR($K237&lt;0,$K237&gt;100)),"SCORE OUT OF RANGE - this score counts toward nothing",IF(AND($G237="Score",$K237="",$J237&lt;&gt;"",$J237&lt;&gt;"Pending"),"RESULT WITHOUT A SCORE",IF(AND($G237="Pass/Fail",$K237&lt;&gt;""),"SCORE ON A PASS-FAIL CATEGORY - it is ignored",IF(AND($E237="Firearms",$J237&lt;&gt;"",$J237&lt;&gt;"Pending",$R237=""),"FIREARMS ROW WITH NO COURSE OF FIRE","OK"))))))</f>
        <v/>
      </c>
    </row>
    <row r="238">
      <c r="B238" s="17">
        <f>IF($C238="","",$D238&amp;"-"&amp;$E238&amp;"-"&amp;$I238)</f>
        <v/>
      </c>
      <c r="C238" s="16" t="n"/>
      <c r="D238" s="17">
        <f>IF($C238="","",IFERROR(INDEX(rngCadetPIDs,MATCH($C238,rngCadetNames,0)),"?"))</f>
        <v/>
      </c>
      <c r="E238" s="16" t="n"/>
      <c r="F238" s="17">
        <f>IF($E238="","",IFERROR(INDEX(rngSM_max,MATCH($E238,rngSM_cat,0)),""))</f>
        <v/>
      </c>
      <c r="G238" s="17">
        <f>IF($E238="","",IFERROR(INDEX(rngSM_mode,MATCH($E238,rngSM_cat,0)),""))</f>
        <v/>
      </c>
      <c r="H238" s="17">
        <f>IF($E238="","",IFERROR(INDEX(rngSM_pass,MATCH($E238,rngSM_cat,0)),""))</f>
        <v/>
      </c>
      <c r="I238" s="16" t="n"/>
      <c r="J238" s="16" t="n"/>
      <c r="K238" s="16" t="n"/>
      <c r="L238" s="18" t="n"/>
      <c r="M238" s="16" t="n"/>
      <c r="N238" s="17">
        <f>IF($C238="","",MAX(_xlfn.MAXIFS(nrSK_Att,nrSK_PID,$D238,nrSK_Cat,$E238,nrSK_Res,"Pass"),_xlfn.MAXIFS(nrSK_Att,nrSK_PID,$D238,nrSK_Cat,$E238,nrSK_Res,"Fail")))</f>
        <v/>
      </c>
      <c r="O238" s="17">
        <f>IF($C238="","",IF(AND(MAX(_xlfn.MAXIFS(nrSK_Att,nrSK_PID,$D238,nrSK_Cat,$E238,nrSK_Res,"Pass"),_xlfn.MAXIFS(nrSK_Att,nrSK_PID,$D238,nrSK_Cat,$E238,nrSK_Res,"Fail"))&gt;0,N($I238)&lt;MAX(_xlfn.MAXIFS(nrSK_Att,nrSK_PID,$D238,nrSK_Cat,$E238,nrSK_Res,"Pass"),_xlfn.MAXIFS(nrSK_Att,nrSK_PID,$D238,nrSK_Cat,$E238,nrSK_Res,"Fail"))),"(superseded)",IF(OR($J238="",$J238="Pending"),"Pending",IF($J238="Pass","Qualified",IF(AND($J238="Fail",$N238&gt;=$F238),"FAILED OUT","Needs Remediation")))))</f>
        <v/>
      </c>
      <c r="P238" s="17">
        <f>IF($C238="","",IF($O238="FAILED OUT","Yes","No"))</f>
        <v/>
      </c>
      <c r="Q238" s="16" t="n"/>
      <c r="R238" s="16" t="n"/>
      <c r="S238" s="17">
        <f>IF($C238="","",IF(AND($K238&lt;&gt;"",NOT(ISNUMBER($K238))),"SCORE NOT A NUMBER",IF(AND(ISNUMBER($K238),OR($K238&lt;0,$K238&gt;100)),"SCORE OUT OF RANGE - this score counts toward nothing",IF(AND($G238="Score",$K238="",$J238&lt;&gt;"",$J238&lt;&gt;"Pending"),"RESULT WITHOUT A SCORE",IF(AND($G238="Pass/Fail",$K238&lt;&gt;""),"SCORE ON A PASS-FAIL CATEGORY - it is ignored",IF(AND($E238="Firearms",$J238&lt;&gt;"",$J238&lt;&gt;"Pending",$R238=""),"FIREARMS ROW WITH NO COURSE OF FIRE","OK"))))))</f>
        <v/>
      </c>
    </row>
    <row r="239">
      <c r="B239" s="17">
        <f>IF($C239="","",$D239&amp;"-"&amp;$E239&amp;"-"&amp;$I239)</f>
        <v/>
      </c>
      <c r="C239" s="16" t="n"/>
      <c r="D239" s="17">
        <f>IF($C239="","",IFERROR(INDEX(rngCadetPIDs,MATCH($C239,rngCadetNames,0)),"?"))</f>
        <v/>
      </c>
      <c r="E239" s="16" t="n"/>
      <c r="F239" s="17">
        <f>IF($E239="","",IFERROR(INDEX(rngSM_max,MATCH($E239,rngSM_cat,0)),""))</f>
        <v/>
      </c>
      <c r="G239" s="17">
        <f>IF($E239="","",IFERROR(INDEX(rngSM_mode,MATCH($E239,rngSM_cat,0)),""))</f>
        <v/>
      </c>
      <c r="H239" s="17">
        <f>IF($E239="","",IFERROR(INDEX(rngSM_pass,MATCH($E239,rngSM_cat,0)),""))</f>
        <v/>
      </c>
      <c r="I239" s="16" t="n"/>
      <c r="J239" s="16" t="n"/>
      <c r="K239" s="16" t="n"/>
      <c r="L239" s="18" t="n"/>
      <c r="M239" s="16" t="n"/>
      <c r="N239" s="17">
        <f>IF($C239="","",MAX(_xlfn.MAXIFS(nrSK_Att,nrSK_PID,$D239,nrSK_Cat,$E239,nrSK_Res,"Pass"),_xlfn.MAXIFS(nrSK_Att,nrSK_PID,$D239,nrSK_Cat,$E239,nrSK_Res,"Fail")))</f>
        <v/>
      </c>
      <c r="O239" s="17">
        <f>IF($C239="","",IF(AND(MAX(_xlfn.MAXIFS(nrSK_Att,nrSK_PID,$D239,nrSK_Cat,$E239,nrSK_Res,"Pass"),_xlfn.MAXIFS(nrSK_Att,nrSK_PID,$D239,nrSK_Cat,$E239,nrSK_Res,"Fail"))&gt;0,N($I239)&lt;MAX(_xlfn.MAXIFS(nrSK_Att,nrSK_PID,$D239,nrSK_Cat,$E239,nrSK_Res,"Pass"),_xlfn.MAXIFS(nrSK_Att,nrSK_PID,$D239,nrSK_Cat,$E239,nrSK_Res,"Fail"))),"(superseded)",IF(OR($J239="",$J239="Pending"),"Pending",IF($J239="Pass","Qualified",IF(AND($J239="Fail",$N239&gt;=$F239),"FAILED OUT","Needs Remediation")))))</f>
        <v/>
      </c>
      <c r="P239" s="17">
        <f>IF($C239="","",IF($O239="FAILED OUT","Yes","No"))</f>
        <v/>
      </c>
      <c r="Q239" s="16" t="n"/>
      <c r="R239" s="16" t="n"/>
      <c r="S239" s="17">
        <f>IF($C239="","",IF(AND($K239&lt;&gt;"",NOT(ISNUMBER($K239))),"SCORE NOT A NUMBER",IF(AND(ISNUMBER($K239),OR($K239&lt;0,$K239&gt;100)),"SCORE OUT OF RANGE - this score counts toward nothing",IF(AND($G239="Score",$K239="",$J239&lt;&gt;"",$J239&lt;&gt;"Pending"),"RESULT WITHOUT A SCORE",IF(AND($G239="Pass/Fail",$K239&lt;&gt;""),"SCORE ON A PASS-FAIL CATEGORY - it is ignored",IF(AND($E239="Firearms",$J239&lt;&gt;"",$J239&lt;&gt;"Pending",$R239=""),"FIREARMS ROW WITH NO COURSE OF FIRE","OK"))))))</f>
        <v/>
      </c>
    </row>
    <row r="240">
      <c r="B240" s="17">
        <f>IF($C240="","",$D240&amp;"-"&amp;$E240&amp;"-"&amp;$I240)</f>
        <v/>
      </c>
      <c r="C240" s="16" t="n"/>
      <c r="D240" s="17">
        <f>IF($C240="","",IFERROR(INDEX(rngCadetPIDs,MATCH($C240,rngCadetNames,0)),"?"))</f>
        <v/>
      </c>
      <c r="E240" s="16" t="n"/>
      <c r="F240" s="17">
        <f>IF($E240="","",IFERROR(INDEX(rngSM_max,MATCH($E240,rngSM_cat,0)),""))</f>
        <v/>
      </c>
      <c r="G240" s="17">
        <f>IF($E240="","",IFERROR(INDEX(rngSM_mode,MATCH($E240,rngSM_cat,0)),""))</f>
        <v/>
      </c>
      <c r="H240" s="17">
        <f>IF($E240="","",IFERROR(INDEX(rngSM_pass,MATCH($E240,rngSM_cat,0)),""))</f>
        <v/>
      </c>
      <c r="I240" s="16" t="n"/>
      <c r="J240" s="16" t="n"/>
      <c r="K240" s="16" t="n"/>
      <c r="L240" s="18" t="n"/>
      <c r="M240" s="16" t="n"/>
      <c r="N240" s="17">
        <f>IF($C240="","",MAX(_xlfn.MAXIFS(nrSK_Att,nrSK_PID,$D240,nrSK_Cat,$E240,nrSK_Res,"Pass"),_xlfn.MAXIFS(nrSK_Att,nrSK_PID,$D240,nrSK_Cat,$E240,nrSK_Res,"Fail")))</f>
        <v/>
      </c>
      <c r="O240" s="17">
        <f>IF($C240="","",IF(AND(MAX(_xlfn.MAXIFS(nrSK_Att,nrSK_PID,$D240,nrSK_Cat,$E240,nrSK_Res,"Pass"),_xlfn.MAXIFS(nrSK_Att,nrSK_PID,$D240,nrSK_Cat,$E240,nrSK_Res,"Fail"))&gt;0,N($I240)&lt;MAX(_xlfn.MAXIFS(nrSK_Att,nrSK_PID,$D240,nrSK_Cat,$E240,nrSK_Res,"Pass"),_xlfn.MAXIFS(nrSK_Att,nrSK_PID,$D240,nrSK_Cat,$E240,nrSK_Res,"Fail"))),"(superseded)",IF(OR($J240="",$J240="Pending"),"Pending",IF($J240="Pass","Qualified",IF(AND($J240="Fail",$N240&gt;=$F240),"FAILED OUT","Needs Remediation")))))</f>
        <v/>
      </c>
      <c r="P240" s="17">
        <f>IF($C240="","",IF($O240="FAILED OUT","Yes","No"))</f>
        <v/>
      </c>
      <c r="Q240" s="16" t="n"/>
      <c r="R240" s="16" t="n"/>
      <c r="S240" s="17">
        <f>IF($C240="","",IF(AND($K240&lt;&gt;"",NOT(ISNUMBER($K240))),"SCORE NOT A NUMBER",IF(AND(ISNUMBER($K240),OR($K240&lt;0,$K240&gt;100)),"SCORE OUT OF RANGE - this score counts toward nothing",IF(AND($G240="Score",$K240="",$J240&lt;&gt;"",$J240&lt;&gt;"Pending"),"RESULT WITHOUT A SCORE",IF(AND($G240="Pass/Fail",$K240&lt;&gt;""),"SCORE ON A PASS-FAIL CATEGORY - it is ignored",IF(AND($E240="Firearms",$J240&lt;&gt;"",$J240&lt;&gt;"Pending",$R240=""),"FIREARMS ROW WITH NO COURSE OF FIRE","OK"))))))</f>
        <v/>
      </c>
    </row>
    <row r="241">
      <c r="B241" s="17">
        <f>IF($C241="","",$D241&amp;"-"&amp;$E241&amp;"-"&amp;$I241)</f>
        <v/>
      </c>
      <c r="C241" s="16" t="n"/>
      <c r="D241" s="17">
        <f>IF($C241="","",IFERROR(INDEX(rngCadetPIDs,MATCH($C241,rngCadetNames,0)),"?"))</f>
        <v/>
      </c>
      <c r="E241" s="16" t="n"/>
      <c r="F241" s="17">
        <f>IF($E241="","",IFERROR(INDEX(rngSM_max,MATCH($E241,rngSM_cat,0)),""))</f>
        <v/>
      </c>
      <c r="G241" s="17">
        <f>IF($E241="","",IFERROR(INDEX(rngSM_mode,MATCH($E241,rngSM_cat,0)),""))</f>
        <v/>
      </c>
      <c r="H241" s="17">
        <f>IF($E241="","",IFERROR(INDEX(rngSM_pass,MATCH($E241,rngSM_cat,0)),""))</f>
        <v/>
      </c>
      <c r="I241" s="16" t="n"/>
      <c r="J241" s="16" t="n"/>
      <c r="K241" s="16" t="n"/>
      <c r="L241" s="18" t="n"/>
      <c r="M241" s="16" t="n"/>
      <c r="N241" s="17">
        <f>IF($C241="","",MAX(_xlfn.MAXIFS(nrSK_Att,nrSK_PID,$D241,nrSK_Cat,$E241,nrSK_Res,"Pass"),_xlfn.MAXIFS(nrSK_Att,nrSK_PID,$D241,nrSK_Cat,$E241,nrSK_Res,"Fail")))</f>
        <v/>
      </c>
      <c r="O241" s="17">
        <f>IF($C241="","",IF(AND(MAX(_xlfn.MAXIFS(nrSK_Att,nrSK_PID,$D241,nrSK_Cat,$E241,nrSK_Res,"Pass"),_xlfn.MAXIFS(nrSK_Att,nrSK_PID,$D241,nrSK_Cat,$E241,nrSK_Res,"Fail"))&gt;0,N($I241)&lt;MAX(_xlfn.MAXIFS(nrSK_Att,nrSK_PID,$D241,nrSK_Cat,$E241,nrSK_Res,"Pass"),_xlfn.MAXIFS(nrSK_Att,nrSK_PID,$D241,nrSK_Cat,$E241,nrSK_Res,"Fail"))),"(superseded)",IF(OR($J241="",$J241="Pending"),"Pending",IF($J241="Pass","Qualified",IF(AND($J241="Fail",$N241&gt;=$F241),"FAILED OUT","Needs Remediation")))))</f>
        <v/>
      </c>
      <c r="P241" s="17">
        <f>IF($C241="","",IF($O241="FAILED OUT","Yes","No"))</f>
        <v/>
      </c>
      <c r="Q241" s="16" t="n"/>
      <c r="R241" s="16" t="n"/>
      <c r="S241" s="17">
        <f>IF($C241="","",IF(AND($K241&lt;&gt;"",NOT(ISNUMBER($K241))),"SCORE NOT A NUMBER",IF(AND(ISNUMBER($K241),OR($K241&lt;0,$K241&gt;100)),"SCORE OUT OF RANGE - this score counts toward nothing",IF(AND($G241="Score",$K241="",$J241&lt;&gt;"",$J241&lt;&gt;"Pending"),"RESULT WITHOUT A SCORE",IF(AND($G241="Pass/Fail",$K241&lt;&gt;""),"SCORE ON A PASS-FAIL CATEGORY - it is ignored",IF(AND($E241="Firearms",$J241&lt;&gt;"",$J241&lt;&gt;"Pending",$R241=""),"FIREARMS ROW WITH NO COURSE OF FIRE","OK"))))))</f>
        <v/>
      </c>
    </row>
    <row r="242">
      <c r="B242" s="17">
        <f>IF($C242="","",$D242&amp;"-"&amp;$E242&amp;"-"&amp;$I242)</f>
        <v/>
      </c>
      <c r="C242" s="16" t="n"/>
      <c r="D242" s="17">
        <f>IF($C242="","",IFERROR(INDEX(rngCadetPIDs,MATCH($C242,rngCadetNames,0)),"?"))</f>
        <v/>
      </c>
      <c r="E242" s="16" t="n"/>
      <c r="F242" s="17">
        <f>IF($E242="","",IFERROR(INDEX(rngSM_max,MATCH($E242,rngSM_cat,0)),""))</f>
        <v/>
      </c>
      <c r="G242" s="17">
        <f>IF($E242="","",IFERROR(INDEX(rngSM_mode,MATCH($E242,rngSM_cat,0)),""))</f>
        <v/>
      </c>
      <c r="H242" s="17">
        <f>IF($E242="","",IFERROR(INDEX(rngSM_pass,MATCH($E242,rngSM_cat,0)),""))</f>
        <v/>
      </c>
      <c r="I242" s="16" t="n"/>
      <c r="J242" s="16" t="n"/>
      <c r="K242" s="16" t="n"/>
      <c r="L242" s="18" t="n"/>
      <c r="M242" s="16" t="n"/>
      <c r="N242" s="17">
        <f>IF($C242="","",MAX(_xlfn.MAXIFS(nrSK_Att,nrSK_PID,$D242,nrSK_Cat,$E242,nrSK_Res,"Pass"),_xlfn.MAXIFS(nrSK_Att,nrSK_PID,$D242,nrSK_Cat,$E242,nrSK_Res,"Fail")))</f>
        <v/>
      </c>
      <c r="O242" s="17">
        <f>IF($C242="","",IF(AND(MAX(_xlfn.MAXIFS(nrSK_Att,nrSK_PID,$D242,nrSK_Cat,$E242,nrSK_Res,"Pass"),_xlfn.MAXIFS(nrSK_Att,nrSK_PID,$D242,nrSK_Cat,$E242,nrSK_Res,"Fail"))&gt;0,N($I242)&lt;MAX(_xlfn.MAXIFS(nrSK_Att,nrSK_PID,$D242,nrSK_Cat,$E242,nrSK_Res,"Pass"),_xlfn.MAXIFS(nrSK_Att,nrSK_PID,$D242,nrSK_Cat,$E242,nrSK_Res,"Fail"))),"(superseded)",IF(OR($J242="",$J242="Pending"),"Pending",IF($J242="Pass","Qualified",IF(AND($J242="Fail",$N242&gt;=$F242),"FAILED OUT","Needs Remediation")))))</f>
        <v/>
      </c>
      <c r="P242" s="17">
        <f>IF($C242="","",IF($O242="FAILED OUT","Yes","No"))</f>
        <v/>
      </c>
      <c r="Q242" s="16" t="n"/>
      <c r="R242" s="16" t="n"/>
      <c r="S242" s="17">
        <f>IF($C242="","",IF(AND($K242&lt;&gt;"",NOT(ISNUMBER($K242))),"SCORE NOT A NUMBER",IF(AND(ISNUMBER($K242),OR($K242&lt;0,$K242&gt;100)),"SCORE OUT OF RANGE - this score counts toward nothing",IF(AND($G242="Score",$K242="",$J242&lt;&gt;"",$J242&lt;&gt;"Pending"),"RESULT WITHOUT A SCORE",IF(AND($G242="Pass/Fail",$K242&lt;&gt;""),"SCORE ON A PASS-FAIL CATEGORY - it is ignored",IF(AND($E242="Firearms",$J242&lt;&gt;"",$J242&lt;&gt;"Pending",$R242=""),"FIREARMS ROW WITH NO COURSE OF FIRE","OK"))))))</f>
        <v/>
      </c>
    </row>
    <row r="243">
      <c r="B243" s="17">
        <f>IF($C243="","",$D243&amp;"-"&amp;$E243&amp;"-"&amp;$I243)</f>
        <v/>
      </c>
      <c r="C243" s="16" t="n"/>
      <c r="D243" s="17">
        <f>IF($C243="","",IFERROR(INDEX(rngCadetPIDs,MATCH($C243,rngCadetNames,0)),"?"))</f>
        <v/>
      </c>
      <c r="E243" s="16" t="n"/>
      <c r="F243" s="17">
        <f>IF($E243="","",IFERROR(INDEX(rngSM_max,MATCH($E243,rngSM_cat,0)),""))</f>
        <v/>
      </c>
      <c r="G243" s="17">
        <f>IF($E243="","",IFERROR(INDEX(rngSM_mode,MATCH($E243,rngSM_cat,0)),""))</f>
        <v/>
      </c>
      <c r="H243" s="17">
        <f>IF($E243="","",IFERROR(INDEX(rngSM_pass,MATCH($E243,rngSM_cat,0)),""))</f>
        <v/>
      </c>
      <c r="I243" s="16" t="n"/>
      <c r="J243" s="16" t="n"/>
      <c r="K243" s="16" t="n"/>
      <c r="L243" s="18" t="n"/>
      <c r="M243" s="16" t="n"/>
      <c r="N243" s="17">
        <f>IF($C243="","",MAX(_xlfn.MAXIFS(nrSK_Att,nrSK_PID,$D243,nrSK_Cat,$E243,nrSK_Res,"Pass"),_xlfn.MAXIFS(nrSK_Att,nrSK_PID,$D243,nrSK_Cat,$E243,nrSK_Res,"Fail")))</f>
        <v/>
      </c>
      <c r="O243" s="17">
        <f>IF($C243="","",IF(AND(MAX(_xlfn.MAXIFS(nrSK_Att,nrSK_PID,$D243,nrSK_Cat,$E243,nrSK_Res,"Pass"),_xlfn.MAXIFS(nrSK_Att,nrSK_PID,$D243,nrSK_Cat,$E243,nrSK_Res,"Fail"))&gt;0,N($I243)&lt;MAX(_xlfn.MAXIFS(nrSK_Att,nrSK_PID,$D243,nrSK_Cat,$E243,nrSK_Res,"Pass"),_xlfn.MAXIFS(nrSK_Att,nrSK_PID,$D243,nrSK_Cat,$E243,nrSK_Res,"Fail"))),"(superseded)",IF(OR($J243="",$J243="Pending"),"Pending",IF($J243="Pass","Qualified",IF(AND($J243="Fail",$N243&gt;=$F243),"FAILED OUT","Needs Remediation")))))</f>
        <v/>
      </c>
      <c r="P243" s="17">
        <f>IF($C243="","",IF($O243="FAILED OUT","Yes","No"))</f>
        <v/>
      </c>
      <c r="Q243" s="16" t="n"/>
      <c r="R243" s="16" t="n"/>
      <c r="S243" s="17">
        <f>IF($C243="","",IF(AND($K243&lt;&gt;"",NOT(ISNUMBER($K243))),"SCORE NOT A NUMBER",IF(AND(ISNUMBER($K243),OR($K243&lt;0,$K243&gt;100)),"SCORE OUT OF RANGE - this score counts toward nothing",IF(AND($G243="Score",$K243="",$J243&lt;&gt;"",$J243&lt;&gt;"Pending"),"RESULT WITHOUT A SCORE",IF(AND($G243="Pass/Fail",$K243&lt;&gt;""),"SCORE ON A PASS-FAIL CATEGORY - it is ignored",IF(AND($E243="Firearms",$J243&lt;&gt;"",$J243&lt;&gt;"Pending",$R243=""),"FIREARMS ROW WITH NO COURSE OF FIRE","OK"))))))</f>
        <v/>
      </c>
    </row>
    <row r="244">
      <c r="B244" s="17">
        <f>IF($C244="","",$D244&amp;"-"&amp;$E244&amp;"-"&amp;$I244)</f>
        <v/>
      </c>
      <c r="C244" s="16" t="n"/>
      <c r="D244" s="17">
        <f>IF($C244="","",IFERROR(INDEX(rngCadetPIDs,MATCH($C244,rngCadetNames,0)),"?"))</f>
        <v/>
      </c>
      <c r="E244" s="16" t="n"/>
      <c r="F244" s="17">
        <f>IF($E244="","",IFERROR(INDEX(rngSM_max,MATCH($E244,rngSM_cat,0)),""))</f>
        <v/>
      </c>
      <c r="G244" s="17">
        <f>IF($E244="","",IFERROR(INDEX(rngSM_mode,MATCH($E244,rngSM_cat,0)),""))</f>
        <v/>
      </c>
      <c r="H244" s="17">
        <f>IF($E244="","",IFERROR(INDEX(rngSM_pass,MATCH($E244,rngSM_cat,0)),""))</f>
        <v/>
      </c>
      <c r="I244" s="16" t="n"/>
      <c r="J244" s="16" t="n"/>
      <c r="K244" s="16" t="n"/>
      <c r="L244" s="18" t="n"/>
      <c r="M244" s="16" t="n"/>
      <c r="N244" s="17">
        <f>IF($C244="","",MAX(_xlfn.MAXIFS(nrSK_Att,nrSK_PID,$D244,nrSK_Cat,$E244,nrSK_Res,"Pass"),_xlfn.MAXIFS(nrSK_Att,nrSK_PID,$D244,nrSK_Cat,$E244,nrSK_Res,"Fail")))</f>
        <v/>
      </c>
      <c r="O244" s="17">
        <f>IF($C244="","",IF(AND(MAX(_xlfn.MAXIFS(nrSK_Att,nrSK_PID,$D244,nrSK_Cat,$E244,nrSK_Res,"Pass"),_xlfn.MAXIFS(nrSK_Att,nrSK_PID,$D244,nrSK_Cat,$E244,nrSK_Res,"Fail"))&gt;0,N($I244)&lt;MAX(_xlfn.MAXIFS(nrSK_Att,nrSK_PID,$D244,nrSK_Cat,$E244,nrSK_Res,"Pass"),_xlfn.MAXIFS(nrSK_Att,nrSK_PID,$D244,nrSK_Cat,$E244,nrSK_Res,"Fail"))),"(superseded)",IF(OR($J244="",$J244="Pending"),"Pending",IF($J244="Pass","Qualified",IF(AND($J244="Fail",$N244&gt;=$F244),"FAILED OUT","Needs Remediation")))))</f>
        <v/>
      </c>
      <c r="P244" s="17">
        <f>IF($C244="","",IF($O244="FAILED OUT","Yes","No"))</f>
        <v/>
      </c>
      <c r="Q244" s="16" t="n"/>
      <c r="R244" s="16" t="n"/>
      <c r="S244" s="17">
        <f>IF($C244="","",IF(AND($K244&lt;&gt;"",NOT(ISNUMBER($K244))),"SCORE NOT A NUMBER",IF(AND(ISNUMBER($K244),OR($K244&lt;0,$K244&gt;100)),"SCORE OUT OF RANGE - this score counts toward nothing",IF(AND($G244="Score",$K244="",$J244&lt;&gt;"",$J244&lt;&gt;"Pending"),"RESULT WITHOUT A SCORE",IF(AND($G244="Pass/Fail",$K244&lt;&gt;""),"SCORE ON A PASS-FAIL CATEGORY - it is ignored",IF(AND($E244="Firearms",$J244&lt;&gt;"",$J244&lt;&gt;"Pending",$R244=""),"FIREARMS ROW WITH NO COURSE OF FIRE","OK"))))))</f>
        <v/>
      </c>
    </row>
    <row r="245">
      <c r="B245" s="17">
        <f>IF($C245="","",$D245&amp;"-"&amp;$E245&amp;"-"&amp;$I245)</f>
        <v/>
      </c>
      <c r="C245" s="16" t="n"/>
      <c r="D245" s="17">
        <f>IF($C245="","",IFERROR(INDEX(rngCadetPIDs,MATCH($C245,rngCadetNames,0)),"?"))</f>
        <v/>
      </c>
      <c r="E245" s="16" t="n"/>
      <c r="F245" s="17">
        <f>IF($E245="","",IFERROR(INDEX(rngSM_max,MATCH($E245,rngSM_cat,0)),""))</f>
        <v/>
      </c>
      <c r="G245" s="17">
        <f>IF($E245="","",IFERROR(INDEX(rngSM_mode,MATCH($E245,rngSM_cat,0)),""))</f>
        <v/>
      </c>
      <c r="H245" s="17">
        <f>IF($E245="","",IFERROR(INDEX(rngSM_pass,MATCH($E245,rngSM_cat,0)),""))</f>
        <v/>
      </c>
      <c r="I245" s="16" t="n"/>
      <c r="J245" s="16" t="n"/>
      <c r="K245" s="16" t="n"/>
      <c r="L245" s="18" t="n"/>
      <c r="M245" s="16" t="n"/>
      <c r="N245" s="17">
        <f>IF($C245="","",MAX(_xlfn.MAXIFS(nrSK_Att,nrSK_PID,$D245,nrSK_Cat,$E245,nrSK_Res,"Pass"),_xlfn.MAXIFS(nrSK_Att,nrSK_PID,$D245,nrSK_Cat,$E245,nrSK_Res,"Fail")))</f>
        <v/>
      </c>
      <c r="O245" s="17">
        <f>IF($C245="","",IF(AND(MAX(_xlfn.MAXIFS(nrSK_Att,nrSK_PID,$D245,nrSK_Cat,$E245,nrSK_Res,"Pass"),_xlfn.MAXIFS(nrSK_Att,nrSK_PID,$D245,nrSK_Cat,$E245,nrSK_Res,"Fail"))&gt;0,N($I245)&lt;MAX(_xlfn.MAXIFS(nrSK_Att,nrSK_PID,$D245,nrSK_Cat,$E245,nrSK_Res,"Pass"),_xlfn.MAXIFS(nrSK_Att,nrSK_PID,$D245,nrSK_Cat,$E245,nrSK_Res,"Fail"))),"(superseded)",IF(OR($J245="",$J245="Pending"),"Pending",IF($J245="Pass","Qualified",IF(AND($J245="Fail",$N245&gt;=$F245),"FAILED OUT","Needs Remediation")))))</f>
        <v/>
      </c>
      <c r="P245" s="17">
        <f>IF($C245="","",IF($O245="FAILED OUT","Yes","No"))</f>
        <v/>
      </c>
      <c r="Q245" s="16" t="n"/>
      <c r="R245" s="16" t="n"/>
      <c r="S245" s="17">
        <f>IF($C245="","",IF(AND($K245&lt;&gt;"",NOT(ISNUMBER($K245))),"SCORE NOT A NUMBER",IF(AND(ISNUMBER($K245),OR($K245&lt;0,$K245&gt;100)),"SCORE OUT OF RANGE - this score counts toward nothing",IF(AND($G245="Score",$K245="",$J245&lt;&gt;"",$J245&lt;&gt;"Pending"),"RESULT WITHOUT A SCORE",IF(AND($G245="Pass/Fail",$K245&lt;&gt;""),"SCORE ON A PASS-FAIL CATEGORY - it is ignored",IF(AND($E245="Firearms",$J245&lt;&gt;"",$J245&lt;&gt;"Pending",$R245=""),"FIREARMS ROW WITH NO COURSE OF FIRE","OK"))))))</f>
        <v/>
      </c>
    </row>
    <row r="246">
      <c r="B246" s="17">
        <f>IF($C246="","",$D246&amp;"-"&amp;$E246&amp;"-"&amp;$I246)</f>
        <v/>
      </c>
      <c r="C246" s="16" t="n"/>
      <c r="D246" s="17">
        <f>IF($C246="","",IFERROR(INDEX(rngCadetPIDs,MATCH($C246,rngCadetNames,0)),"?"))</f>
        <v/>
      </c>
      <c r="E246" s="16" t="n"/>
      <c r="F246" s="17">
        <f>IF($E246="","",IFERROR(INDEX(rngSM_max,MATCH($E246,rngSM_cat,0)),""))</f>
        <v/>
      </c>
      <c r="G246" s="17">
        <f>IF($E246="","",IFERROR(INDEX(rngSM_mode,MATCH($E246,rngSM_cat,0)),""))</f>
        <v/>
      </c>
      <c r="H246" s="17">
        <f>IF($E246="","",IFERROR(INDEX(rngSM_pass,MATCH($E246,rngSM_cat,0)),""))</f>
        <v/>
      </c>
      <c r="I246" s="16" t="n"/>
      <c r="J246" s="16" t="n"/>
      <c r="K246" s="16" t="n"/>
      <c r="L246" s="18" t="n"/>
      <c r="M246" s="16" t="n"/>
      <c r="N246" s="17">
        <f>IF($C246="","",MAX(_xlfn.MAXIFS(nrSK_Att,nrSK_PID,$D246,nrSK_Cat,$E246,nrSK_Res,"Pass"),_xlfn.MAXIFS(nrSK_Att,nrSK_PID,$D246,nrSK_Cat,$E246,nrSK_Res,"Fail")))</f>
        <v/>
      </c>
      <c r="O246" s="17">
        <f>IF($C246="","",IF(AND(MAX(_xlfn.MAXIFS(nrSK_Att,nrSK_PID,$D246,nrSK_Cat,$E246,nrSK_Res,"Pass"),_xlfn.MAXIFS(nrSK_Att,nrSK_PID,$D246,nrSK_Cat,$E246,nrSK_Res,"Fail"))&gt;0,N($I246)&lt;MAX(_xlfn.MAXIFS(nrSK_Att,nrSK_PID,$D246,nrSK_Cat,$E246,nrSK_Res,"Pass"),_xlfn.MAXIFS(nrSK_Att,nrSK_PID,$D246,nrSK_Cat,$E246,nrSK_Res,"Fail"))),"(superseded)",IF(OR($J246="",$J246="Pending"),"Pending",IF($J246="Pass","Qualified",IF(AND($J246="Fail",$N246&gt;=$F246),"FAILED OUT","Needs Remediation")))))</f>
        <v/>
      </c>
      <c r="P246" s="17">
        <f>IF($C246="","",IF($O246="FAILED OUT","Yes","No"))</f>
        <v/>
      </c>
      <c r="Q246" s="16" t="n"/>
      <c r="R246" s="16" t="n"/>
      <c r="S246" s="17">
        <f>IF($C246="","",IF(AND($K246&lt;&gt;"",NOT(ISNUMBER($K246))),"SCORE NOT A NUMBER",IF(AND(ISNUMBER($K246),OR($K246&lt;0,$K246&gt;100)),"SCORE OUT OF RANGE - this score counts toward nothing",IF(AND($G246="Score",$K246="",$J246&lt;&gt;"",$J246&lt;&gt;"Pending"),"RESULT WITHOUT A SCORE",IF(AND($G246="Pass/Fail",$K246&lt;&gt;""),"SCORE ON A PASS-FAIL CATEGORY - it is ignored",IF(AND($E246="Firearms",$J246&lt;&gt;"",$J246&lt;&gt;"Pending",$R246=""),"FIREARMS ROW WITH NO COURSE OF FIRE","OK"))))))</f>
        <v/>
      </c>
    </row>
    <row r="247">
      <c r="B247" s="17">
        <f>IF($C247="","",$D247&amp;"-"&amp;$E247&amp;"-"&amp;$I247)</f>
        <v/>
      </c>
      <c r="C247" s="16" t="n"/>
      <c r="D247" s="17">
        <f>IF($C247="","",IFERROR(INDEX(rngCadetPIDs,MATCH($C247,rngCadetNames,0)),"?"))</f>
        <v/>
      </c>
      <c r="E247" s="16" t="n"/>
      <c r="F247" s="17">
        <f>IF($E247="","",IFERROR(INDEX(rngSM_max,MATCH($E247,rngSM_cat,0)),""))</f>
        <v/>
      </c>
      <c r="G247" s="17">
        <f>IF($E247="","",IFERROR(INDEX(rngSM_mode,MATCH($E247,rngSM_cat,0)),""))</f>
        <v/>
      </c>
      <c r="H247" s="17">
        <f>IF($E247="","",IFERROR(INDEX(rngSM_pass,MATCH($E247,rngSM_cat,0)),""))</f>
        <v/>
      </c>
      <c r="I247" s="16" t="n"/>
      <c r="J247" s="16" t="n"/>
      <c r="K247" s="16" t="n"/>
      <c r="L247" s="18" t="n"/>
      <c r="M247" s="16" t="n"/>
      <c r="N247" s="17">
        <f>IF($C247="","",MAX(_xlfn.MAXIFS(nrSK_Att,nrSK_PID,$D247,nrSK_Cat,$E247,nrSK_Res,"Pass"),_xlfn.MAXIFS(nrSK_Att,nrSK_PID,$D247,nrSK_Cat,$E247,nrSK_Res,"Fail")))</f>
        <v/>
      </c>
      <c r="O247" s="17">
        <f>IF($C247="","",IF(AND(MAX(_xlfn.MAXIFS(nrSK_Att,nrSK_PID,$D247,nrSK_Cat,$E247,nrSK_Res,"Pass"),_xlfn.MAXIFS(nrSK_Att,nrSK_PID,$D247,nrSK_Cat,$E247,nrSK_Res,"Fail"))&gt;0,N($I247)&lt;MAX(_xlfn.MAXIFS(nrSK_Att,nrSK_PID,$D247,nrSK_Cat,$E247,nrSK_Res,"Pass"),_xlfn.MAXIFS(nrSK_Att,nrSK_PID,$D247,nrSK_Cat,$E247,nrSK_Res,"Fail"))),"(superseded)",IF(OR($J247="",$J247="Pending"),"Pending",IF($J247="Pass","Qualified",IF(AND($J247="Fail",$N247&gt;=$F247),"FAILED OUT","Needs Remediation")))))</f>
        <v/>
      </c>
      <c r="P247" s="17">
        <f>IF($C247="","",IF($O247="FAILED OUT","Yes","No"))</f>
        <v/>
      </c>
      <c r="Q247" s="16" t="n"/>
      <c r="R247" s="16" t="n"/>
      <c r="S247" s="17">
        <f>IF($C247="","",IF(AND($K247&lt;&gt;"",NOT(ISNUMBER($K247))),"SCORE NOT A NUMBER",IF(AND(ISNUMBER($K247),OR($K247&lt;0,$K247&gt;100)),"SCORE OUT OF RANGE - this score counts toward nothing",IF(AND($G247="Score",$K247="",$J247&lt;&gt;"",$J247&lt;&gt;"Pending"),"RESULT WITHOUT A SCORE",IF(AND($G247="Pass/Fail",$K247&lt;&gt;""),"SCORE ON A PASS-FAIL CATEGORY - it is ignored",IF(AND($E247="Firearms",$J247&lt;&gt;"",$J247&lt;&gt;"Pending",$R247=""),"FIREARMS ROW WITH NO COURSE OF FIRE","OK"))))))</f>
        <v/>
      </c>
    </row>
    <row r="248">
      <c r="B248" s="17">
        <f>IF($C248="","",$D248&amp;"-"&amp;$E248&amp;"-"&amp;$I248)</f>
        <v/>
      </c>
      <c r="C248" s="16" t="n"/>
      <c r="D248" s="17">
        <f>IF($C248="","",IFERROR(INDEX(rngCadetPIDs,MATCH($C248,rngCadetNames,0)),"?"))</f>
        <v/>
      </c>
      <c r="E248" s="16" t="n"/>
      <c r="F248" s="17">
        <f>IF($E248="","",IFERROR(INDEX(rngSM_max,MATCH($E248,rngSM_cat,0)),""))</f>
        <v/>
      </c>
      <c r="G248" s="17">
        <f>IF($E248="","",IFERROR(INDEX(rngSM_mode,MATCH($E248,rngSM_cat,0)),""))</f>
        <v/>
      </c>
      <c r="H248" s="17">
        <f>IF($E248="","",IFERROR(INDEX(rngSM_pass,MATCH($E248,rngSM_cat,0)),""))</f>
        <v/>
      </c>
      <c r="I248" s="16" t="n"/>
      <c r="J248" s="16" t="n"/>
      <c r="K248" s="16" t="n"/>
      <c r="L248" s="18" t="n"/>
      <c r="M248" s="16" t="n"/>
      <c r="N248" s="17">
        <f>IF($C248="","",MAX(_xlfn.MAXIFS(nrSK_Att,nrSK_PID,$D248,nrSK_Cat,$E248,nrSK_Res,"Pass"),_xlfn.MAXIFS(nrSK_Att,nrSK_PID,$D248,nrSK_Cat,$E248,nrSK_Res,"Fail")))</f>
        <v/>
      </c>
      <c r="O248" s="17">
        <f>IF($C248="","",IF(AND(MAX(_xlfn.MAXIFS(nrSK_Att,nrSK_PID,$D248,nrSK_Cat,$E248,nrSK_Res,"Pass"),_xlfn.MAXIFS(nrSK_Att,nrSK_PID,$D248,nrSK_Cat,$E248,nrSK_Res,"Fail"))&gt;0,N($I248)&lt;MAX(_xlfn.MAXIFS(nrSK_Att,nrSK_PID,$D248,nrSK_Cat,$E248,nrSK_Res,"Pass"),_xlfn.MAXIFS(nrSK_Att,nrSK_PID,$D248,nrSK_Cat,$E248,nrSK_Res,"Fail"))),"(superseded)",IF(OR($J248="",$J248="Pending"),"Pending",IF($J248="Pass","Qualified",IF(AND($J248="Fail",$N248&gt;=$F248),"FAILED OUT","Needs Remediation")))))</f>
        <v/>
      </c>
      <c r="P248" s="17">
        <f>IF($C248="","",IF($O248="FAILED OUT","Yes","No"))</f>
        <v/>
      </c>
      <c r="Q248" s="16" t="n"/>
      <c r="R248" s="16" t="n"/>
      <c r="S248" s="17">
        <f>IF($C248="","",IF(AND($K248&lt;&gt;"",NOT(ISNUMBER($K248))),"SCORE NOT A NUMBER",IF(AND(ISNUMBER($K248),OR($K248&lt;0,$K248&gt;100)),"SCORE OUT OF RANGE - this score counts toward nothing",IF(AND($G248="Score",$K248="",$J248&lt;&gt;"",$J248&lt;&gt;"Pending"),"RESULT WITHOUT A SCORE",IF(AND($G248="Pass/Fail",$K248&lt;&gt;""),"SCORE ON A PASS-FAIL CATEGORY - it is ignored",IF(AND($E248="Firearms",$J248&lt;&gt;"",$J248&lt;&gt;"Pending",$R248=""),"FIREARMS ROW WITH NO COURSE OF FIRE","OK"))))))</f>
        <v/>
      </c>
    </row>
    <row r="249">
      <c r="B249" s="17">
        <f>IF($C249="","",$D249&amp;"-"&amp;$E249&amp;"-"&amp;$I249)</f>
        <v/>
      </c>
      <c r="C249" s="16" t="n"/>
      <c r="D249" s="17">
        <f>IF($C249="","",IFERROR(INDEX(rngCadetPIDs,MATCH($C249,rngCadetNames,0)),"?"))</f>
        <v/>
      </c>
      <c r="E249" s="16" t="n"/>
      <c r="F249" s="17">
        <f>IF($E249="","",IFERROR(INDEX(rngSM_max,MATCH($E249,rngSM_cat,0)),""))</f>
        <v/>
      </c>
      <c r="G249" s="17">
        <f>IF($E249="","",IFERROR(INDEX(rngSM_mode,MATCH($E249,rngSM_cat,0)),""))</f>
        <v/>
      </c>
      <c r="H249" s="17">
        <f>IF($E249="","",IFERROR(INDEX(rngSM_pass,MATCH($E249,rngSM_cat,0)),""))</f>
        <v/>
      </c>
      <c r="I249" s="16" t="n"/>
      <c r="J249" s="16" t="n"/>
      <c r="K249" s="16" t="n"/>
      <c r="L249" s="18" t="n"/>
      <c r="M249" s="16" t="n"/>
      <c r="N249" s="17">
        <f>IF($C249="","",MAX(_xlfn.MAXIFS(nrSK_Att,nrSK_PID,$D249,nrSK_Cat,$E249,nrSK_Res,"Pass"),_xlfn.MAXIFS(nrSK_Att,nrSK_PID,$D249,nrSK_Cat,$E249,nrSK_Res,"Fail")))</f>
        <v/>
      </c>
      <c r="O249" s="17">
        <f>IF($C249="","",IF(AND(MAX(_xlfn.MAXIFS(nrSK_Att,nrSK_PID,$D249,nrSK_Cat,$E249,nrSK_Res,"Pass"),_xlfn.MAXIFS(nrSK_Att,nrSK_PID,$D249,nrSK_Cat,$E249,nrSK_Res,"Fail"))&gt;0,N($I249)&lt;MAX(_xlfn.MAXIFS(nrSK_Att,nrSK_PID,$D249,nrSK_Cat,$E249,nrSK_Res,"Pass"),_xlfn.MAXIFS(nrSK_Att,nrSK_PID,$D249,nrSK_Cat,$E249,nrSK_Res,"Fail"))),"(superseded)",IF(OR($J249="",$J249="Pending"),"Pending",IF($J249="Pass","Qualified",IF(AND($J249="Fail",$N249&gt;=$F249),"FAILED OUT","Needs Remediation")))))</f>
        <v/>
      </c>
      <c r="P249" s="17">
        <f>IF($C249="","",IF($O249="FAILED OUT","Yes","No"))</f>
        <v/>
      </c>
      <c r="Q249" s="16" t="n"/>
      <c r="R249" s="16" t="n"/>
      <c r="S249" s="17">
        <f>IF($C249="","",IF(AND($K249&lt;&gt;"",NOT(ISNUMBER($K249))),"SCORE NOT A NUMBER",IF(AND(ISNUMBER($K249),OR($K249&lt;0,$K249&gt;100)),"SCORE OUT OF RANGE - this score counts toward nothing",IF(AND($G249="Score",$K249="",$J249&lt;&gt;"",$J249&lt;&gt;"Pending"),"RESULT WITHOUT A SCORE",IF(AND($G249="Pass/Fail",$K249&lt;&gt;""),"SCORE ON A PASS-FAIL CATEGORY - it is ignored",IF(AND($E249="Firearms",$J249&lt;&gt;"",$J249&lt;&gt;"Pending",$R249=""),"FIREARMS ROW WITH NO COURSE OF FIRE","OK"))))))</f>
        <v/>
      </c>
    </row>
    <row r="250">
      <c r="B250" s="17">
        <f>IF($C250="","",$D250&amp;"-"&amp;$E250&amp;"-"&amp;$I250)</f>
        <v/>
      </c>
      <c r="C250" s="16" t="n"/>
      <c r="D250" s="17">
        <f>IF($C250="","",IFERROR(INDEX(rngCadetPIDs,MATCH($C250,rngCadetNames,0)),"?"))</f>
        <v/>
      </c>
      <c r="E250" s="16" t="n"/>
      <c r="F250" s="17">
        <f>IF($E250="","",IFERROR(INDEX(rngSM_max,MATCH($E250,rngSM_cat,0)),""))</f>
        <v/>
      </c>
      <c r="G250" s="17">
        <f>IF($E250="","",IFERROR(INDEX(rngSM_mode,MATCH($E250,rngSM_cat,0)),""))</f>
        <v/>
      </c>
      <c r="H250" s="17">
        <f>IF($E250="","",IFERROR(INDEX(rngSM_pass,MATCH($E250,rngSM_cat,0)),""))</f>
        <v/>
      </c>
      <c r="I250" s="16" t="n"/>
      <c r="J250" s="16" t="n"/>
      <c r="K250" s="16" t="n"/>
      <c r="L250" s="18" t="n"/>
      <c r="M250" s="16" t="n"/>
      <c r="N250" s="17">
        <f>IF($C250="","",MAX(_xlfn.MAXIFS(nrSK_Att,nrSK_PID,$D250,nrSK_Cat,$E250,nrSK_Res,"Pass"),_xlfn.MAXIFS(nrSK_Att,nrSK_PID,$D250,nrSK_Cat,$E250,nrSK_Res,"Fail")))</f>
        <v/>
      </c>
      <c r="O250" s="17">
        <f>IF($C250="","",IF(AND(MAX(_xlfn.MAXIFS(nrSK_Att,nrSK_PID,$D250,nrSK_Cat,$E250,nrSK_Res,"Pass"),_xlfn.MAXIFS(nrSK_Att,nrSK_PID,$D250,nrSK_Cat,$E250,nrSK_Res,"Fail"))&gt;0,N($I250)&lt;MAX(_xlfn.MAXIFS(nrSK_Att,nrSK_PID,$D250,nrSK_Cat,$E250,nrSK_Res,"Pass"),_xlfn.MAXIFS(nrSK_Att,nrSK_PID,$D250,nrSK_Cat,$E250,nrSK_Res,"Fail"))),"(superseded)",IF(OR($J250="",$J250="Pending"),"Pending",IF($J250="Pass","Qualified",IF(AND($J250="Fail",$N250&gt;=$F250),"FAILED OUT","Needs Remediation")))))</f>
        <v/>
      </c>
      <c r="P250" s="17">
        <f>IF($C250="","",IF($O250="FAILED OUT","Yes","No"))</f>
        <v/>
      </c>
      <c r="Q250" s="16" t="n"/>
      <c r="R250" s="16" t="n"/>
      <c r="S250" s="17">
        <f>IF($C250="","",IF(AND($K250&lt;&gt;"",NOT(ISNUMBER($K250))),"SCORE NOT A NUMBER",IF(AND(ISNUMBER($K250),OR($K250&lt;0,$K250&gt;100)),"SCORE OUT OF RANGE - this score counts toward nothing",IF(AND($G250="Score",$K250="",$J250&lt;&gt;"",$J250&lt;&gt;"Pending"),"RESULT WITHOUT A SCORE",IF(AND($G250="Pass/Fail",$K250&lt;&gt;""),"SCORE ON A PASS-FAIL CATEGORY - it is ignored",IF(AND($E250="Firearms",$J250&lt;&gt;"",$J250&lt;&gt;"Pending",$R250=""),"FIREARMS ROW WITH NO COURSE OF FIRE","OK"))))))</f>
        <v/>
      </c>
    </row>
    <row r="251">
      <c r="B251" s="17">
        <f>IF($C251="","",$D251&amp;"-"&amp;$E251&amp;"-"&amp;$I251)</f>
        <v/>
      </c>
      <c r="C251" s="16" t="n"/>
      <c r="D251" s="17">
        <f>IF($C251="","",IFERROR(INDEX(rngCadetPIDs,MATCH($C251,rngCadetNames,0)),"?"))</f>
        <v/>
      </c>
      <c r="E251" s="16" t="n"/>
      <c r="F251" s="17">
        <f>IF($E251="","",IFERROR(INDEX(rngSM_max,MATCH($E251,rngSM_cat,0)),""))</f>
        <v/>
      </c>
      <c r="G251" s="17">
        <f>IF($E251="","",IFERROR(INDEX(rngSM_mode,MATCH($E251,rngSM_cat,0)),""))</f>
        <v/>
      </c>
      <c r="H251" s="17">
        <f>IF($E251="","",IFERROR(INDEX(rngSM_pass,MATCH($E251,rngSM_cat,0)),""))</f>
        <v/>
      </c>
      <c r="I251" s="16" t="n"/>
      <c r="J251" s="16" t="n"/>
      <c r="K251" s="16" t="n"/>
      <c r="L251" s="18" t="n"/>
      <c r="M251" s="16" t="n"/>
      <c r="N251" s="17">
        <f>IF($C251="","",MAX(_xlfn.MAXIFS(nrSK_Att,nrSK_PID,$D251,nrSK_Cat,$E251,nrSK_Res,"Pass"),_xlfn.MAXIFS(nrSK_Att,nrSK_PID,$D251,nrSK_Cat,$E251,nrSK_Res,"Fail")))</f>
        <v/>
      </c>
      <c r="O251" s="17">
        <f>IF($C251="","",IF(AND(MAX(_xlfn.MAXIFS(nrSK_Att,nrSK_PID,$D251,nrSK_Cat,$E251,nrSK_Res,"Pass"),_xlfn.MAXIFS(nrSK_Att,nrSK_PID,$D251,nrSK_Cat,$E251,nrSK_Res,"Fail"))&gt;0,N($I251)&lt;MAX(_xlfn.MAXIFS(nrSK_Att,nrSK_PID,$D251,nrSK_Cat,$E251,nrSK_Res,"Pass"),_xlfn.MAXIFS(nrSK_Att,nrSK_PID,$D251,nrSK_Cat,$E251,nrSK_Res,"Fail"))),"(superseded)",IF(OR($J251="",$J251="Pending"),"Pending",IF($J251="Pass","Qualified",IF(AND($J251="Fail",$N251&gt;=$F251),"FAILED OUT","Needs Remediation")))))</f>
        <v/>
      </c>
      <c r="P251" s="17">
        <f>IF($C251="","",IF($O251="FAILED OUT","Yes","No"))</f>
        <v/>
      </c>
      <c r="Q251" s="16" t="n"/>
      <c r="R251" s="16" t="n"/>
      <c r="S251" s="17">
        <f>IF($C251="","",IF(AND($K251&lt;&gt;"",NOT(ISNUMBER($K251))),"SCORE NOT A NUMBER",IF(AND(ISNUMBER($K251),OR($K251&lt;0,$K251&gt;100)),"SCORE OUT OF RANGE - this score counts toward nothing",IF(AND($G251="Score",$K251="",$J251&lt;&gt;"",$J251&lt;&gt;"Pending"),"RESULT WITHOUT A SCORE",IF(AND($G251="Pass/Fail",$K251&lt;&gt;""),"SCORE ON A PASS-FAIL CATEGORY - it is ignored",IF(AND($E251="Firearms",$J251&lt;&gt;"",$J251&lt;&gt;"Pending",$R251=""),"FIREARMS ROW WITH NO COURSE OF FIRE","OK"))))))</f>
        <v/>
      </c>
    </row>
    <row r="252">
      <c r="B252" s="17">
        <f>IF($C252="","",$D252&amp;"-"&amp;$E252&amp;"-"&amp;$I252)</f>
        <v/>
      </c>
      <c r="C252" s="16" t="n"/>
      <c r="D252" s="17">
        <f>IF($C252="","",IFERROR(INDEX(rngCadetPIDs,MATCH($C252,rngCadetNames,0)),"?"))</f>
        <v/>
      </c>
      <c r="E252" s="16" t="n"/>
      <c r="F252" s="17">
        <f>IF($E252="","",IFERROR(INDEX(rngSM_max,MATCH($E252,rngSM_cat,0)),""))</f>
        <v/>
      </c>
      <c r="G252" s="17">
        <f>IF($E252="","",IFERROR(INDEX(rngSM_mode,MATCH($E252,rngSM_cat,0)),""))</f>
        <v/>
      </c>
      <c r="H252" s="17">
        <f>IF($E252="","",IFERROR(INDEX(rngSM_pass,MATCH($E252,rngSM_cat,0)),""))</f>
        <v/>
      </c>
      <c r="I252" s="16" t="n"/>
      <c r="J252" s="16" t="n"/>
      <c r="K252" s="16" t="n"/>
      <c r="L252" s="18" t="n"/>
      <c r="M252" s="16" t="n"/>
      <c r="N252" s="17">
        <f>IF($C252="","",MAX(_xlfn.MAXIFS(nrSK_Att,nrSK_PID,$D252,nrSK_Cat,$E252,nrSK_Res,"Pass"),_xlfn.MAXIFS(nrSK_Att,nrSK_PID,$D252,nrSK_Cat,$E252,nrSK_Res,"Fail")))</f>
        <v/>
      </c>
      <c r="O252" s="17">
        <f>IF($C252="","",IF(AND(MAX(_xlfn.MAXIFS(nrSK_Att,nrSK_PID,$D252,nrSK_Cat,$E252,nrSK_Res,"Pass"),_xlfn.MAXIFS(nrSK_Att,nrSK_PID,$D252,nrSK_Cat,$E252,nrSK_Res,"Fail"))&gt;0,N($I252)&lt;MAX(_xlfn.MAXIFS(nrSK_Att,nrSK_PID,$D252,nrSK_Cat,$E252,nrSK_Res,"Pass"),_xlfn.MAXIFS(nrSK_Att,nrSK_PID,$D252,nrSK_Cat,$E252,nrSK_Res,"Fail"))),"(superseded)",IF(OR($J252="",$J252="Pending"),"Pending",IF($J252="Pass","Qualified",IF(AND($J252="Fail",$N252&gt;=$F252),"FAILED OUT","Needs Remediation")))))</f>
        <v/>
      </c>
      <c r="P252" s="17">
        <f>IF($C252="","",IF($O252="FAILED OUT","Yes","No"))</f>
        <v/>
      </c>
      <c r="Q252" s="16" t="n"/>
      <c r="R252" s="16" t="n"/>
      <c r="S252" s="17">
        <f>IF($C252="","",IF(AND($K252&lt;&gt;"",NOT(ISNUMBER($K252))),"SCORE NOT A NUMBER",IF(AND(ISNUMBER($K252),OR($K252&lt;0,$K252&gt;100)),"SCORE OUT OF RANGE - this score counts toward nothing",IF(AND($G252="Score",$K252="",$J252&lt;&gt;"",$J252&lt;&gt;"Pending"),"RESULT WITHOUT A SCORE",IF(AND($G252="Pass/Fail",$K252&lt;&gt;""),"SCORE ON A PASS-FAIL CATEGORY - it is ignored",IF(AND($E252="Firearms",$J252&lt;&gt;"",$J252&lt;&gt;"Pending",$R252=""),"FIREARMS ROW WITH NO COURSE OF FIRE","OK"))))))</f>
        <v/>
      </c>
    </row>
    <row r="253">
      <c r="B253" s="17">
        <f>IF($C253="","",$D253&amp;"-"&amp;$E253&amp;"-"&amp;$I253)</f>
        <v/>
      </c>
      <c r="C253" s="16" t="n"/>
      <c r="D253" s="17">
        <f>IF($C253="","",IFERROR(INDEX(rngCadetPIDs,MATCH($C253,rngCadetNames,0)),"?"))</f>
        <v/>
      </c>
      <c r="E253" s="16" t="n"/>
      <c r="F253" s="17">
        <f>IF($E253="","",IFERROR(INDEX(rngSM_max,MATCH($E253,rngSM_cat,0)),""))</f>
        <v/>
      </c>
      <c r="G253" s="17">
        <f>IF($E253="","",IFERROR(INDEX(rngSM_mode,MATCH($E253,rngSM_cat,0)),""))</f>
        <v/>
      </c>
      <c r="H253" s="17">
        <f>IF($E253="","",IFERROR(INDEX(rngSM_pass,MATCH($E253,rngSM_cat,0)),""))</f>
        <v/>
      </c>
      <c r="I253" s="16" t="n"/>
      <c r="J253" s="16" t="n"/>
      <c r="K253" s="16" t="n"/>
      <c r="L253" s="18" t="n"/>
      <c r="M253" s="16" t="n"/>
      <c r="N253" s="17">
        <f>IF($C253="","",MAX(_xlfn.MAXIFS(nrSK_Att,nrSK_PID,$D253,nrSK_Cat,$E253,nrSK_Res,"Pass"),_xlfn.MAXIFS(nrSK_Att,nrSK_PID,$D253,nrSK_Cat,$E253,nrSK_Res,"Fail")))</f>
        <v/>
      </c>
      <c r="O253" s="17">
        <f>IF($C253="","",IF(AND(MAX(_xlfn.MAXIFS(nrSK_Att,nrSK_PID,$D253,nrSK_Cat,$E253,nrSK_Res,"Pass"),_xlfn.MAXIFS(nrSK_Att,nrSK_PID,$D253,nrSK_Cat,$E253,nrSK_Res,"Fail"))&gt;0,N($I253)&lt;MAX(_xlfn.MAXIFS(nrSK_Att,nrSK_PID,$D253,nrSK_Cat,$E253,nrSK_Res,"Pass"),_xlfn.MAXIFS(nrSK_Att,nrSK_PID,$D253,nrSK_Cat,$E253,nrSK_Res,"Fail"))),"(superseded)",IF(OR($J253="",$J253="Pending"),"Pending",IF($J253="Pass","Qualified",IF(AND($J253="Fail",$N253&gt;=$F253),"FAILED OUT","Needs Remediation")))))</f>
        <v/>
      </c>
      <c r="P253" s="17">
        <f>IF($C253="","",IF($O253="FAILED OUT","Yes","No"))</f>
        <v/>
      </c>
      <c r="Q253" s="16" t="n"/>
      <c r="R253" s="16" t="n"/>
      <c r="S253" s="17">
        <f>IF($C253="","",IF(AND($K253&lt;&gt;"",NOT(ISNUMBER($K253))),"SCORE NOT A NUMBER",IF(AND(ISNUMBER($K253),OR($K253&lt;0,$K253&gt;100)),"SCORE OUT OF RANGE - this score counts toward nothing",IF(AND($G253="Score",$K253="",$J253&lt;&gt;"",$J253&lt;&gt;"Pending"),"RESULT WITHOUT A SCORE",IF(AND($G253="Pass/Fail",$K253&lt;&gt;""),"SCORE ON A PASS-FAIL CATEGORY - it is ignored",IF(AND($E253="Firearms",$J253&lt;&gt;"",$J253&lt;&gt;"Pending",$R253=""),"FIREARMS ROW WITH NO COURSE OF FIRE","OK"))))))</f>
        <v/>
      </c>
    </row>
    <row r="254">
      <c r="B254" s="17">
        <f>IF($C254="","",$D254&amp;"-"&amp;$E254&amp;"-"&amp;$I254)</f>
        <v/>
      </c>
      <c r="C254" s="16" t="n"/>
      <c r="D254" s="17">
        <f>IF($C254="","",IFERROR(INDEX(rngCadetPIDs,MATCH($C254,rngCadetNames,0)),"?"))</f>
        <v/>
      </c>
      <c r="E254" s="16" t="n"/>
      <c r="F254" s="17">
        <f>IF($E254="","",IFERROR(INDEX(rngSM_max,MATCH($E254,rngSM_cat,0)),""))</f>
        <v/>
      </c>
      <c r="G254" s="17">
        <f>IF($E254="","",IFERROR(INDEX(rngSM_mode,MATCH($E254,rngSM_cat,0)),""))</f>
        <v/>
      </c>
      <c r="H254" s="17">
        <f>IF($E254="","",IFERROR(INDEX(rngSM_pass,MATCH($E254,rngSM_cat,0)),""))</f>
        <v/>
      </c>
      <c r="I254" s="16" t="n"/>
      <c r="J254" s="16" t="n"/>
      <c r="K254" s="16" t="n"/>
      <c r="L254" s="18" t="n"/>
      <c r="M254" s="16" t="n"/>
      <c r="N254" s="17">
        <f>IF($C254="","",MAX(_xlfn.MAXIFS(nrSK_Att,nrSK_PID,$D254,nrSK_Cat,$E254,nrSK_Res,"Pass"),_xlfn.MAXIFS(nrSK_Att,nrSK_PID,$D254,nrSK_Cat,$E254,nrSK_Res,"Fail")))</f>
        <v/>
      </c>
      <c r="O254" s="17">
        <f>IF($C254="","",IF(AND(MAX(_xlfn.MAXIFS(nrSK_Att,nrSK_PID,$D254,nrSK_Cat,$E254,nrSK_Res,"Pass"),_xlfn.MAXIFS(nrSK_Att,nrSK_PID,$D254,nrSK_Cat,$E254,nrSK_Res,"Fail"))&gt;0,N($I254)&lt;MAX(_xlfn.MAXIFS(nrSK_Att,nrSK_PID,$D254,nrSK_Cat,$E254,nrSK_Res,"Pass"),_xlfn.MAXIFS(nrSK_Att,nrSK_PID,$D254,nrSK_Cat,$E254,nrSK_Res,"Fail"))),"(superseded)",IF(OR($J254="",$J254="Pending"),"Pending",IF($J254="Pass","Qualified",IF(AND($J254="Fail",$N254&gt;=$F254),"FAILED OUT","Needs Remediation")))))</f>
        <v/>
      </c>
      <c r="P254" s="17">
        <f>IF($C254="","",IF($O254="FAILED OUT","Yes","No"))</f>
        <v/>
      </c>
      <c r="Q254" s="16" t="n"/>
      <c r="R254" s="16" t="n"/>
      <c r="S254" s="17">
        <f>IF($C254="","",IF(AND($K254&lt;&gt;"",NOT(ISNUMBER($K254))),"SCORE NOT A NUMBER",IF(AND(ISNUMBER($K254),OR($K254&lt;0,$K254&gt;100)),"SCORE OUT OF RANGE - this score counts toward nothing",IF(AND($G254="Score",$K254="",$J254&lt;&gt;"",$J254&lt;&gt;"Pending"),"RESULT WITHOUT A SCORE",IF(AND($G254="Pass/Fail",$K254&lt;&gt;""),"SCORE ON A PASS-FAIL CATEGORY - it is ignored",IF(AND($E254="Firearms",$J254&lt;&gt;"",$J254&lt;&gt;"Pending",$R254=""),"FIREARMS ROW WITH NO COURSE OF FIRE","OK"))))))</f>
        <v/>
      </c>
    </row>
    <row r="255">
      <c r="B255" s="17">
        <f>IF($C255="","",$D255&amp;"-"&amp;$E255&amp;"-"&amp;$I255)</f>
        <v/>
      </c>
      <c r="C255" s="16" t="n"/>
      <c r="D255" s="17">
        <f>IF($C255="","",IFERROR(INDEX(rngCadetPIDs,MATCH($C255,rngCadetNames,0)),"?"))</f>
        <v/>
      </c>
      <c r="E255" s="16" t="n"/>
      <c r="F255" s="17">
        <f>IF($E255="","",IFERROR(INDEX(rngSM_max,MATCH($E255,rngSM_cat,0)),""))</f>
        <v/>
      </c>
      <c r="G255" s="17">
        <f>IF($E255="","",IFERROR(INDEX(rngSM_mode,MATCH($E255,rngSM_cat,0)),""))</f>
        <v/>
      </c>
      <c r="H255" s="17">
        <f>IF($E255="","",IFERROR(INDEX(rngSM_pass,MATCH($E255,rngSM_cat,0)),""))</f>
        <v/>
      </c>
      <c r="I255" s="16" t="n"/>
      <c r="J255" s="16" t="n"/>
      <c r="K255" s="16" t="n"/>
      <c r="L255" s="18" t="n"/>
      <c r="M255" s="16" t="n"/>
      <c r="N255" s="17">
        <f>IF($C255="","",MAX(_xlfn.MAXIFS(nrSK_Att,nrSK_PID,$D255,nrSK_Cat,$E255,nrSK_Res,"Pass"),_xlfn.MAXIFS(nrSK_Att,nrSK_PID,$D255,nrSK_Cat,$E255,nrSK_Res,"Fail")))</f>
        <v/>
      </c>
      <c r="O255" s="17">
        <f>IF($C255="","",IF(AND(MAX(_xlfn.MAXIFS(nrSK_Att,nrSK_PID,$D255,nrSK_Cat,$E255,nrSK_Res,"Pass"),_xlfn.MAXIFS(nrSK_Att,nrSK_PID,$D255,nrSK_Cat,$E255,nrSK_Res,"Fail"))&gt;0,N($I255)&lt;MAX(_xlfn.MAXIFS(nrSK_Att,nrSK_PID,$D255,nrSK_Cat,$E255,nrSK_Res,"Pass"),_xlfn.MAXIFS(nrSK_Att,nrSK_PID,$D255,nrSK_Cat,$E255,nrSK_Res,"Fail"))),"(superseded)",IF(OR($J255="",$J255="Pending"),"Pending",IF($J255="Pass","Qualified",IF(AND($J255="Fail",$N255&gt;=$F255),"FAILED OUT","Needs Remediation")))))</f>
        <v/>
      </c>
      <c r="P255" s="17">
        <f>IF($C255="","",IF($O255="FAILED OUT","Yes","No"))</f>
        <v/>
      </c>
      <c r="Q255" s="16" t="n"/>
      <c r="R255" s="16" t="n"/>
      <c r="S255" s="17">
        <f>IF($C255="","",IF(AND($K255&lt;&gt;"",NOT(ISNUMBER($K255))),"SCORE NOT A NUMBER",IF(AND(ISNUMBER($K255),OR($K255&lt;0,$K255&gt;100)),"SCORE OUT OF RANGE - this score counts toward nothing",IF(AND($G255="Score",$K255="",$J255&lt;&gt;"",$J255&lt;&gt;"Pending"),"RESULT WITHOUT A SCORE",IF(AND($G255="Pass/Fail",$K255&lt;&gt;""),"SCORE ON A PASS-FAIL CATEGORY - it is ignored",IF(AND($E255="Firearms",$J255&lt;&gt;"",$J255&lt;&gt;"Pending",$R255=""),"FIREARMS ROW WITH NO COURSE OF FIRE","OK"))))))</f>
        <v/>
      </c>
    </row>
    <row r="256">
      <c r="B256" s="17">
        <f>IF($C256="","",$D256&amp;"-"&amp;$E256&amp;"-"&amp;$I256)</f>
        <v/>
      </c>
      <c r="C256" s="16" t="n"/>
      <c r="D256" s="17">
        <f>IF($C256="","",IFERROR(INDEX(rngCadetPIDs,MATCH($C256,rngCadetNames,0)),"?"))</f>
        <v/>
      </c>
      <c r="E256" s="16" t="n"/>
      <c r="F256" s="17">
        <f>IF($E256="","",IFERROR(INDEX(rngSM_max,MATCH($E256,rngSM_cat,0)),""))</f>
        <v/>
      </c>
      <c r="G256" s="17">
        <f>IF($E256="","",IFERROR(INDEX(rngSM_mode,MATCH($E256,rngSM_cat,0)),""))</f>
        <v/>
      </c>
      <c r="H256" s="17">
        <f>IF($E256="","",IFERROR(INDEX(rngSM_pass,MATCH($E256,rngSM_cat,0)),""))</f>
        <v/>
      </c>
      <c r="I256" s="16" t="n"/>
      <c r="J256" s="16" t="n"/>
      <c r="K256" s="16" t="n"/>
      <c r="L256" s="18" t="n"/>
      <c r="M256" s="16" t="n"/>
      <c r="N256" s="17">
        <f>IF($C256="","",MAX(_xlfn.MAXIFS(nrSK_Att,nrSK_PID,$D256,nrSK_Cat,$E256,nrSK_Res,"Pass"),_xlfn.MAXIFS(nrSK_Att,nrSK_PID,$D256,nrSK_Cat,$E256,nrSK_Res,"Fail")))</f>
        <v/>
      </c>
      <c r="O256" s="17">
        <f>IF($C256="","",IF(AND(MAX(_xlfn.MAXIFS(nrSK_Att,nrSK_PID,$D256,nrSK_Cat,$E256,nrSK_Res,"Pass"),_xlfn.MAXIFS(nrSK_Att,nrSK_PID,$D256,nrSK_Cat,$E256,nrSK_Res,"Fail"))&gt;0,N($I256)&lt;MAX(_xlfn.MAXIFS(nrSK_Att,nrSK_PID,$D256,nrSK_Cat,$E256,nrSK_Res,"Pass"),_xlfn.MAXIFS(nrSK_Att,nrSK_PID,$D256,nrSK_Cat,$E256,nrSK_Res,"Fail"))),"(superseded)",IF(OR($J256="",$J256="Pending"),"Pending",IF($J256="Pass","Qualified",IF(AND($J256="Fail",$N256&gt;=$F256),"FAILED OUT","Needs Remediation")))))</f>
        <v/>
      </c>
      <c r="P256" s="17">
        <f>IF($C256="","",IF($O256="FAILED OUT","Yes","No"))</f>
        <v/>
      </c>
      <c r="Q256" s="16" t="n"/>
      <c r="R256" s="16" t="n"/>
      <c r="S256" s="17">
        <f>IF($C256="","",IF(AND($K256&lt;&gt;"",NOT(ISNUMBER($K256))),"SCORE NOT A NUMBER",IF(AND(ISNUMBER($K256),OR($K256&lt;0,$K256&gt;100)),"SCORE OUT OF RANGE - this score counts toward nothing",IF(AND($G256="Score",$K256="",$J256&lt;&gt;"",$J256&lt;&gt;"Pending"),"RESULT WITHOUT A SCORE",IF(AND($G256="Pass/Fail",$K256&lt;&gt;""),"SCORE ON A PASS-FAIL CATEGORY - it is ignored",IF(AND($E256="Firearms",$J256&lt;&gt;"",$J256&lt;&gt;"Pending",$R256=""),"FIREARMS ROW WITH NO COURSE OF FIRE","OK"))))))</f>
        <v/>
      </c>
    </row>
    <row r="257">
      <c r="B257" s="17">
        <f>IF($C257="","",$D257&amp;"-"&amp;$E257&amp;"-"&amp;$I257)</f>
        <v/>
      </c>
      <c r="C257" s="16" t="n"/>
      <c r="D257" s="17">
        <f>IF($C257="","",IFERROR(INDEX(rngCadetPIDs,MATCH($C257,rngCadetNames,0)),"?"))</f>
        <v/>
      </c>
      <c r="E257" s="16" t="n"/>
      <c r="F257" s="17">
        <f>IF($E257="","",IFERROR(INDEX(rngSM_max,MATCH($E257,rngSM_cat,0)),""))</f>
        <v/>
      </c>
      <c r="G257" s="17">
        <f>IF($E257="","",IFERROR(INDEX(rngSM_mode,MATCH($E257,rngSM_cat,0)),""))</f>
        <v/>
      </c>
      <c r="H257" s="17">
        <f>IF($E257="","",IFERROR(INDEX(rngSM_pass,MATCH($E257,rngSM_cat,0)),""))</f>
        <v/>
      </c>
      <c r="I257" s="16" t="n"/>
      <c r="J257" s="16" t="n"/>
      <c r="K257" s="16" t="n"/>
      <c r="L257" s="18" t="n"/>
      <c r="M257" s="16" t="n"/>
      <c r="N257" s="17">
        <f>IF($C257="","",MAX(_xlfn.MAXIFS(nrSK_Att,nrSK_PID,$D257,nrSK_Cat,$E257,nrSK_Res,"Pass"),_xlfn.MAXIFS(nrSK_Att,nrSK_PID,$D257,nrSK_Cat,$E257,nrSK_Res,"Fail")))</f>
        <v/>
      </c>
      <c r="O257" s="17">
        <f>IF($C257="","",IF(AND(MAX(_xlfn.MAXIFS(nrSK_Att,nrSK_PID,$D257,nrSK_Cat,$E257,nrSK_Res,"Pass"),_xlfn.MAXIFS(nrSK_Att,nrSK_PID,$D257,nrSK_Cat,$E257,nrSK_Res,"Fail"))&gt;0,N($I257)&lt;MAX(_xlfn.MAXIFS(nrSK_Att,nrSK_PID,$D257,nrSK_Cat,$E257,nrSK_Res,"Pass"),_xlfn.MAXIFS(nrSK_Att,nrSK_PID,$D257,nrSK_Cat,$E257,nrSK_Res,"Fail"))),"(superseded)",IF(OR($J257="",$J257="Pending"),"Pending",IF($J257="Pass","Qualified",IF(AND($J257="Fail",$N257&gt;=$F257),"FAILED OUT","Needs Remediation")))))</f>
        <v/>
      </c>
      <c r="P257" s="17">
        <f>IF($C257="","",IF($O257="FAILED OUT","Yes","No"))</f>
        <v/>
      </c>
      <c r="Q257" s="16" t="n"/>
      <c r="R257" s="16" t="n"/>
      <c r="S257" s="17">
        <f>IF($C257="","",IF(AND($K257&lt;&gt;"",NOT(ISNUMBER($K257))),"SCORE NOT A NUMBER",IF(AND(ISNUMBER($K257),OR($K257&lt;0,$K257&gt;100)),"SCORE OUT OF RANGE - this score counts toward nothing",IF(AND($G257="Score",$K257="",$J257&lt;&gt;"",$J257&lt;&gt;"Pending"),"RESULT WITHOUT A SCORE",IF(AND($G257="Pass/Fail",$K257&lt;&gt;""),"SCORE ON A PASS-FAIL CATEGORY - it is ignored",IF(AND($E257="Firearms",$J257&lt;&gt;"",$J257&lt;&gt;"Pending",$R257=""),"FIREARMS ROW WITH NO COURSE OF FIRE","OK"))))))</f>
        <v/>
      </c>
    </row>
    <row r="258">
      <c r="B258" s="17">
        <f>IF($C258="","",$D258&amp;"-"&amp;$E258&amp;"-"&amp;$I258)</f>
        <v/>
      </c>
      <c r="C258" s="16" t="n"/>
      <c r="D258" s="17">
        <f>IF($C258="","",IFERROR(INDEX(rngCadetPIDs,MATCH($C258,rngCadetNames,0)),"?"))</f>
        <v/>
      </c>
      <c r="E258" s="16" t="n"/>
      <c r="F258" s="17">
        <f>IF($E258="","",IFERROR(INDEX(rngSM_max,MATCH($E258,rngSM_cat,0)),""))</f>
        <v/>
      </c>
      <c r="G258" s="17">
        <f>IF($E258="","",IFERROR(INDEX(rngSM_mode,MATCH($E258,rngSM_cat,0)),""))</f>
        <v/>
      </c>
      <c r="H258" s="17">
        <f>IF($E258="","",IFERROR(INDEX(rngSM_pass,MATCH($E258,rngSM_cat,0)),""))</f>
        <v/>
      </c>
      <c r="I258" s="16" t="n"/>
      <c r="J258" s="16" t="n"/>
      <c r="K258" s="16" t="n"/>
      <c r="L258" s="18" t="n"/>
      <c r="M258" s="16" t="n"/>
      <c r="N258" s="17">
        <f>IF($C258="","",MAX(_xlfn.MAXIFS(nrSK_Att,nrSK_PID,$D258,nrSK_Cat,$E258,nrSK_Res,"Pass"),_xlfn.MAXIFS(nrSK_Att,nrSK_PID,$D258,nrSK_Cat,$E258,nrSK_Res,"Fail")))</f>
        <v/>
      </c>
      <c r="O258" s="17">
        <f>IF($C258="","",IF(AND(MAX(_xlfn.MAXIFS(nrSK_Att,nrSK_PID,$D258,nrSK_Cat,$E258,nrSK_Res,"Pass"),_xlfn.MAXIFS(nrSK_Att,nrSK_PID,$D258,nrSK_Cat,$E258,nrSK_Res,"Fail"))&gt;0,N($I258)&lt;MAX(_xlfn.MAXIFS(nrSK_Att,nrSK_PID,$D258,nrSK_Cat,$E258,nrSK_Res,"Pass"),_xlfn.MAXIFS(nrSK_Att,nrSK_PID,$D258,nrSK_Cat,$E258,nrSK_Res,"Fail"))),"(superseded)",IF(OR($J258="",$J258="Pending"),"Pending",IF($J258="Pass","Qualified",IF(AND($J258="Fail",$N258&gt;=$F258),"FAILED OUT","Needs Remediation")))))</f>
        <v/>
      </c>
      <c r="P258" s="17">
        <f>IF($C258="","",IF($O258="FAILED OUT","Yes","No"))</f>
        <v/>
      </c>
      <c r="Q258" s="16" t="n"/>
      <c r="R258" s="16" t="n"/>
      <c r="S258" s="17">
        <f>IF($C258="","",IF(AND($K258&lt;&gt;"",NOT(ISNUMBER($K258))),"SCORE NOT A NUMBER",IF(AND(ISNUMBER($K258),OR($K258&lt;0,$K258&gt;100)),"SCORE OUT OF RANGE - this score counts toward nothing",IF(AND($G258="Score",$K258="",$J258&lt;&gt;"",$J258&lt;&gt;"Pending"),"RESULT WITHOUT A SCORE",IF(AND($G258="Pass/Fail",$K258&lt;&gt;""),"SCORE ON A PASS-FAIL CATEGORY - it is ignored",IF(AND($E258="Firearms",$J258&lt;&gt;"",$J258&lt;&gt;"Pending",$R258=""),"FIREARMS ROW WITH NO COURSE OF FIRE","OK"))))))</f>
        <v/>
      </c>
    </row>
    <row r="259">
      <c r="B259" s="17">
        <f>IF($C259="","",$D259&amp;"-"&amp;$E259&amp;"-"&amp;$I259)</f>
        <v/>
      </c>
      <c r="C259" s="16" t="n"/>
      <c r="D259" s="17">
        <f>IF($C259="","",IFERROR(INDEX(rngCadetPIDs,MATCH($C259,rngCadetNames,0)),"?"))</f>
        <v/>
      </c>
      <c r="E259" s="16" t="n"/>
      <c r="F259" s="17">
        <f>IF($E259="","",IFERROR(INDEX(rngSM_max,MATCH($E259,rngSM_cat,0)),""))</f>
        <v/>
      </c>
      <c r="G259" s="17">
        <f>IF($E259="","",IFERROR(INDEX(rngSM_mode,MATCH($E259,rngSM_cat,0)),""))</f>
        <v/>
      </c>
      <c r="H259" s="17">
        <f>IF($E259="","",IFERROR(INDEX(rngSM_pass,MATCH($E259,rngSM_cat,0)),""))</f>
        <v/>
      </c>
      <c r="I259" s="16" t="n"/>
      <c r="J259" s="16" t="n"/>
      <c r="K259" s="16" t="n"/>
      <c r="L259" s="18" t="n"/>
      <c r="M259" s="16" t="n"/>
      <c r="N259" s="17">
        <f>IF($C259="","",MAX(_xlfn.MAXIFS(nrSK_Att,nrSK_PID,$D259,nrSK_Cat,$E259,nrSK_Res,"Pass"),_xlfn.MAXIFS(nrSK_Att,nrSK_PID,$D259,nrSK_Cat,$E259,nrSK_Res,"Fail")))</f>
        <v/>
      </c>
      <c r="O259" s="17">
        <f>IF($C259="","",IF(AND(MAX(_xlfn.MAXIFS(nrSK_Att,nrSK_PID,$D259,nrSK_Cat,$E259,nrSK_Res,"Pass"),_xlfn.MAXIFS(nrSK_Att,nrSK_PID,$D259,nrSK_Cat,$E259,nrSK_Res,"Fail"))&gt;0,N($I259)&lt;MAX(_xlfn.MAXIFS(nrSK_Att,nrSK_PID,$D259,nrSK_Cat,$E259,nrSK_Res,"Pass"),_xlfn.MAXIFS(nrSK_Att,nrSK_PID,$D259,nrSK_Cat,$E259,nrSK_Res,"Fail"))),"(superseded)",IF(OR($J259="",$J259="Pending"),"Pending",IF($J259="Pass","Qualified",IF(AND($J259="Fail",$N259&gt;=$F259),"FAILED OUT","Needs Remediation")))))</f>
        <v/>
      </c>
      <c r="P259" s="17">
        <f>IF($C259="","",IF($O259="FAILED OUT","Yes","No"))</f>
        <v/>
      </c>
      <c r="Q259" s="16" t="n"/>
      <c r="R259" s="16" t="n"/>
      <c r="S259" s="17">
        <f>IF($C259="","",IF(AND($K259&lt;&gt;"",NOT(ISNUMBER($K259))),"SCORE NOT A NUMBER",IF(AND(ISNUMBER($K259),OR($K259&lt;0,$K259&gt;100)),"SCORE OUT OF RANGE - this score counts toward nothing",IF(AND($G259="Score",$K259="",$J259&lt;&gt;"",$J259&lt;&gt;"Pending"),"RESULT WITHOUT A SCORE",IF(AND($G259="Pass/Fail",$K259&lt;&gt;""),"SCORE ON A PASS-FAIL CATEGORY - it is ignored",IF(AND($E259="Firearms",$J259&lt;&gt;"",$J259&lt;&gt;"Pending",$R259=""),"FIREARMS ROW WITH NO COURSE OF FIRE","OK"))))))</f>
        <v/>
      </c>
    </row>
    <row r="260">
      <c r="B260" s="17">
        <f>IF($C260="","",$D260&amp;"-"&amp;$E260&amp;"-"&amp;$I260)</f>
        <v/>
      </c>
      <c r="C260" s="16" t="n"/>
      <c r="D260" s="17">
        <f>IF($C260="","",IFERROR(INDEX(rngCadetPIDs,MATCH($C260,rngCadetNames,0)),"?"))</f>
        <v/>
      </c>
      <c r="E260" s="16" t="n"/>
      <c r="F260" s="17">
        <f>IF($E260="","",IFERROR(INDEX(rngSM_max,MATCH($E260,rngSM_cat,0)),""))</f>
        <v/>
      </c>
      <c r="G260" s="17">
        <f>IF($E260="","",IFERROR(INDEX(rngSM_mode,MATCH($E260,rngSM_cat,0)),""))</f>
        <v/>
      </c>
      <c r="H260" s="17">
        <f>IF($E260="","",IFERROR(INDEX(rngSM_pass,MATCH($E260,rngSM_cat,0)),""))</f>
        <v/>
      </c>
      <c r="I260" s="16" t="n"/>
      <c r="J260" s="16" t="n"/>
      <c r="K260" s="16" t="n"/>
      <c r="L260" s="18" t="n"/>
      <c r="M260" s="16" t="n"/>
      <c r="N260" s="17">
        <f>IF($C260="","",MAX(_xlfn.MAXIFS(nrSK_Att,nrSK_PID,$D260,nrSK_Cat,$E260,nrSK_Res,"Pass"),_xlfn.MAXIFS(nrSK_Att,nrSK_PID,$D260,nrSK_Cat,$E260,nrSK_Res,"Fail")))</f>
        <v/>
      </c>
      <c r="O260" s="17">
        <f>IF($C260="","",IF(AND(MAX(_xlfn.MAXIFS(nrSK_Att,nrSK_PID,$D260,nrSK_Cat,$E260,nrSK_Res,"Pass"),_xlfn.MAXIFS(nrSK_Att,nrSK_PID,$D260,nrSK_Cat,$E260,nrSK_Res,"Fail"))&gt;0,N($I260)&lt;MAX(_xlfn.MAXIFS(nrSK_Att,nrSK_PID,$D260,nrSK_Cat,$E260,nrSK_Res,"Pass"),_xlfn.MAXIFS(nrSK_Att,nrSK_PID,$D260,nrSK_Cat,$E260,nrSK_Res,"Fail"))),"(superseded)",IF(OR($J260="",$J260="Pending"),"Pending",IF($J260="Pass","Qualified",IF(AND($J260="Fail",$N260&gt;=$F260),"FAILED OUT","Needs Remediation")))))</f>
        <v/>
      </c>
      <c r="P260" s="17">
        <f>IF($C260="","",IF($O260="FAILED OUT","Yes","No"))</f>
        <v/>
      </c>
      <c r="Q260" s="16" t="n"/>
      <c r="R260" s="16" t="n"/>
      <c r="S260" s="17">
        <f>IF($C260="","",IF(AND($K260&lt;&gt;"",NOT(ISNUMBER($K260))),"SCORE NOT A NUMBER",IF(AND(ISNUMBER($K260),OR($K260&lt;0,$K260&gt;100)),"SCORE OUT OF RANGE - this score counts toward nothing",IF(AND($G260="Score",$K260="",$J260&lt;&gt;"",$J260&lt;&gt;"Pending"),"RESULT WITHOUT A SCORE",IF(AND($G260="Pass/Fail",$K260&lt;&gt;""),"SCORE ON A PASS-FAIL CATEGORY - it is ignored",IF(AND($E260="Firearms",$J260&lt;&gt;"",$J260&lt;&gt;"Pending",$R260=""),"FIREARMS ROW WITH NO COURSE OF FIRE","OK"))))))</f>
        <v/>
      </c>
    </row>
    <row r="261">
      <c r="B261" s="17">
        <f>IF($C261="","",$D261&amp;"-"&amp;$E261&amp;"-"&amp;$I261)</f>
        <v/>
      </c>
      <c r="C261" s="16" t="n"/>
      <c r="D261" s="17">
        <f>IF($C261="","",IFERROR(INDEX(rngCadetPIDs,MATCH($C261,rngCadetNames,0)),"?"))</f>
        <v/>
      </c>
      <c r="E261" s="16" t="n"/>
      <c r="F261" s="17">
        <f>IF($E261="","",IFERROR(INDEX(rngSM_max,MATCH($E261,rngSM_cat,0)),""))</f>
        <v/>
      </c>
      <c r="G261" s="17">
        <f>IF($E261="","",IFERROR(INDEX(rngSM_mode,MATCH($E261,rngSM_cat,0)),""))</f>
        <v/>
      </c>
      <c r="H261" s="17">
        <f>IF($E261="","",IFERROR(INDEX(rngSM_pass,MATCH($E261,rngSM_cat,0)),""))</f>
        <v/>
      </c>
      <c r="I261" s="16" t="n"/>
      <c r="J261" s="16" t="n"/>
      <c r="K261" s="16" t="n"/>
      <c r="L261" s="18" t="n"/>
      <c r="M261" s="16" t="n"/>
      <c r="N261" s="17">
        <f>IF($C261="","",MAX(_xlfn.MAXIFS(nrSK_Att,nrSK_PID,$D261,nrSK_Cat,$E261,nrSK_Res,"Pass"),_xlfn.MAXIFS(nrSK_Att,nrSK_PID,$D261,nrSK_Cat,$E261,nrSK_Res,"Fail")))</f>
        <v/>
      </c>
      <c r="O261" s="17">
        <f>IF($C261="","",IF(AND(MAX(_xlfn.MAXIFS(nrSK_Att,nrSK_PID,$D261,nrSK_Cat,$E261,nrSK_Res,"Pass"),_xlfn.MAXIFS(nrSK_Att,nrSK_PID,$D261,nrSK_Cat,$E261,nrSK_Res,"Fail"))&gt;0,N($I261)&lt;MAX(_xlfn.MAXIFS(nrSK_Att,nrSK_PID,$D261,nrSK_Cat,$E261,nrSK_Res,"Pass"),_xlfn.MAXIFS(nrSK_Att,nrSK_PID,$D261,nrSK_Cat,$E261,nrSK_Res,"Fail"))),"(superseded)",IF(OR($J261="",$J261="Pending"),"Pending",IF($J261="Pass","Qualified",IF(AND($J261="Fail",$N261&gt;=$F261),"FAILED OUT","Needs Remediation")))))</f>
        <v/>
      </c>
      <c r="P261" s="17">
        <f>IF($C261="","",IF($O261="FAILED OUT","Yes","No"))</f>
        <v/>
      </c>
      <c r="Q261" s="16" t="n"/>
      <c r="R261" s="16" t="n"/>
      <c r="S261" s="17">
        <f>IF($C261="","",IF(AND($K261&lt;&gt;"",NOT(ISNUMBER($K261))),"SCORE NOT A NUMBER",IF(AND(ISNUMBER($K261),OR($K261&lt;0,$K261&gt;100)),"SCORE OUT OF RANGE - this score counts toward nothing",IF(AND($G261="Score",$K261="",$J261&lt;&gt;"",$J261&lt;&gt;"Pending"),"RESULT WITHOUT A SCORE",IF(AND($G261="Pass/Fail",$K261&lt;&gt;""),"SCORE ON A PASS-FAIL CATEGORY - it is ignored",IF(AND($E261="Firearms",$J261&lt;&gt;"",$J261&lt;&gt;"Pending",$R261=""),"FIREARMS ROW WITH NO COURSE OF FIRE","OK"))))))</f>
        <v/>
      </c>
    </row>
    <row r="262">
      <c r="B262" s="17">
        <f>IF($C262="","",$D262&amp;"-"&amp;$E262&amp;"-"&amp;$I262)</f>
        <v/>
      </c>
      <c r="C262" s="16" t="n"/>
      <c r="D262" s="17">
        <f>IF($C262="","",IFERROR(INDEX(rngCadetPIDs,MATCH($C262,rngCadetNames,0)),"?"))</f>
        <v/>
      </c>
      <c r="E262" s="16" t="n"/>
      <c r="F262" s="17">
        <f>IF($E262="","",IFERROR(INDEX(rngSM_max,MATCH($E262,rngSM_cat,0)),""))</f>
        <v/>
      </c>
      <c r="G262" s="17">
        <f>IF($E262="","",IFERROR(INDEX(rngSM_mode,MATCH($E262,rngSM_cat,0)),""))</f>
        <v/>
      </c>
      <c r="H262" s="17">
        <f>IF($E262="","",IFERROR(INDEX(rngSM_pass,MATCH($E262,rngSM_cat,0)),""))</f>
        <v/>
      </c>
      <c r="I262" s="16" t="n"/>
      <c r="J262" s="16" t="n"/>
      <c r="K262" s="16" t="n"/>
      <c r="L262" s="18" t="n"/>
      <c r="M262" s="16" t="n"/>
      <c r="N262" s="17">
        <f>IF($C262="","",MAX(_xlfn.MAXIFS(nrSK_Att,nrSK_PID,$D262,nrSK_Cat,$E262,nrSK_Res,"Pass"),_xlfn.MAXIFS(nrSK_Att,nrSK_PID,$D262,nrSK_Cat,$E262,nrSK_Res,"Fail")))</f>
        <v/>
      </c>
      <c r="O262" s="17">
        <f>IF($C262="","",IF(AND(MAX(_xlfn.MAXIFS(nrSK_Att,nrSK_PID,$D262,nrSK_Cat,$E262,nrSK_Res,"Pass"),_xlfn.MAXIFS(nrSK_Att,nrSK_PID,$D262,nrSK_Cat,$E262,nrSK_Res,"Fail"))&gt;0,N($I262)&lt;MAX(_xlfn.MAXIFS(nrSK_Att,nrSK_PID,$D262,nrSK_Cat,$E262,nrSK_Res,"Pass"),_xlfn.MAXIFS(nrSK_Att,nrSK_PID,$D262,nrSK_Cat,$E262,nrSK_Res,"Fail"))),"(superseded)",IF(OR($J262="",$J262="Pending"),"Pending",IF($J262="Pass","Qualified",IF(AND($J262="Fail",$N262&gt;=$F262),"FAILED OUT","Needs Remediation")))))</f>
        <v/>
      </c>
      <c r="P262" s="17">
        <f>IF($C262="","",IF($O262="FAILED OUT","Yes","No"))</f>
        <v/>
      </c>
      <c r="Q262" s="16" t="n"/>
      <c r="R262" s="16" t="n"/>
      <c r="S262" s="17">
        <f>IF($C262="","",IF(AND($K262&lt;&gt;"",NOT(ISNUMBER($K262))),"SCORE NOT A NUMBER",IF(AND(ISNUMBER($K262),OR($K262&lt;0,$K262&gt;100)),"SCORE OUT OF RANGE - this score counts toward nothing",IF(AND($G262="Score",$K262="",$J262&lt;&gt;"",$J262&lt;&gt;"Pending"),"RESULT WITHOUT A SCORE",IF(AND($G262="Pass/Fail",$K262&lt;&gt;""),"SCORE ON A PASS-FAIL CATEGORY - it is ignored",IF(AND($E262="Firearms",$J262&lt;&gt;"",$J262&lt;&gt;"Pending",$R262=""),"FIREARMS ROW WITH NO COURSE OF FIRE","OK"))))))</f>
        <v/>
      </c>
    </row>
    <row r="263">
      <c r="B263" s="17">
        <f>IF($C263="","",$D263&amp;"-"&amp;$E263&amp;"-"&amp;$I263)</f>
        <v/>
      </c>
      <c r="C263" s="16" t="n"/>
      <c r="D263" s="17">
        <f>IF($C263="","",IFERROR(INDEX(rngCadetPIDs,MATCH($C263,rngCadetNames,0)),"?"))</f>
        <v/>
      </c>
      <c r="E263" s="16" t="n"/>
      <c r="F263" s="17">
        <f>IF($E263="","",IFERROR(INDEX(rngSM_max,MATCH($E263,rngSM_cat,0)),""))</f>
        <v/>
      </c>
      <c r="G263" s="17">
        <f>IF($E263="","",IFERROR(INDEX(rngSM_mode,MATCH($E263,rngSM_cat,0)),""))</f>
        <v/>
      </c>
      <c r="H263" s="17">
        <f>IF($E263="","",IFERROR(INDEX(rngSM_pass,MATCH($E263,rngSM_cat,0)),""))</f>
        <v/>
      </c>
      <c r="I263" s="16" t="n"/>
      <c r="J263" s="16" t="n"/>
      <c r="K263" s="16" t="n"/>
      <c r="L263" s="18" t="n"/>
      <c r="M263" s="16" t="n"/>
      <c r="N263" s="17">
        <f>IF($C263="","",MAX(_xlfn.MAXIFS(nrSK_Att,nrSK_PID,$D263,nrSK_Cat,$E263,nrSK_Res,"Pass"),_xlfn.MAXIFS(nrSK_Att,nrSK_PID,$D263,nrSK_Cat,$E263,nrSK_Res,"Fail")))</f>
        <v/>
      </c>
      <c r="O263" s="17">
        <f>IF($C263="","",IF(AND(MAX(_xlfn.MAXIFS(nrSK_Att,nrSK_PID,$D263,nrSK_Cat,$E263,nrSK_Res,"Pass"),_xlfn.MAXIFS(nrSK_Att,nrSK_PID,$D263,nrSK_Cat,$E263,nrSK_Res,"Fail"))&gt;0,N($I263)&lt;MAX(_xlfn.MAXIFS(nrSK_Att,nrSK_PID,$D263,nrSK_Cat,$E263,nrSK_Res,"Pass"),_xlfn.MAXIFS(nrSK_Att,nrSK_PID,$D263,nrSK_Cat,$E263,nrSK_Res,"Fail"))),"(superseded)",IF(OR($J263="",$J263="Pending"),"Pending",IF($J263="Pass","Qualified",IF(AND($J263="Fail",$N263&gt;=$F263),"FAILED OUT","Needs Remediation")))))</f>
        <v/>
      </c>
      <c r="P263" s="17">
        <f>IF($C263="","",IF($O263="FAILED OUT","Yes","No"))</f>
        <v/>
      </c>
      <c r="Q263" s="16" t="n"/>
      <c r="R263" s="16" t="n"/>
      <c r="S263" s="17">
        <f>IF($C263="","",IF(AND($K263&lt;&gt;"",NOT(ISNUMBER($K263))),"SCORE NOT A NUMBER",IF(AND(ISNUMBER($K263),OR($K263&lt;0,$K263&gt;100)),"SCORE OUT OF RANGE - this score counts toward nothing",IF(AND($G263="Score",$K263="",$J263&lt;&gt;"",$J263&lt;&gt;"Pending"),"RESULT WITHOUT A SCORE",IF(AND($G263="Pass/Fail",$K263&lt;&gt;""),"SCORE ON A PASS-FAIL CATEGORY - it is ignored",IF(AND($E263="Firearms",$J263&lt;&gt;"",$J263&lt;&gt;"Pending",$R263=""),"FIREARMS ROW WITH NO COURSE OF FIRE","OK"))))))</f>
        <v/>
      </c>
    </row>
    <row r="264">
      <c r="B264" s="17">
        <f>IF($C264="","",$D264&amp;"-"&amp;$E264&amp;"-"&amp;$I264)</f>
        <v/>
      </c>
      <c r="C264" s="16" t="n"/>
      <c r="D264" s="17">
        <f>IF($C264="","",IFERROR(INDEX(rngCadetPIDs,MATCH($C264,rngCadetNames,0)),"?"))</f>
        <v/>
      </c>
      <c r="E264" s="16" t="n"/>
      <c r="F264" s="17">
        <f>IF($E264="","",IFERROR(INDEX(rngSM_max,MATCH($E264,rngSM_cat,0)),""))</f>
        <v/>
      </c>
      <c r="G264" s="17">
        <f>IF($E264="","",IFERROR(INDEX(rngSM_mode,MATCH($E264,rngSM_cat,0)),""))</f>
        <v/>
      </c>
      <c r="H264" s="17">
        <f>IF($E264="","",IFERROR(INDEX(rngSM_pass,MATCH($E264,rngSM_cat,0)),""))</f>
        <v/>
      </c>
      <c r="I264" s="16" t="n"/>
      <c r="J264" s="16" t="n"/>
      <c r="K264" s="16" t="n"/>
      <c r="L264" s="18" t="n"/>
      <c r="M264" s="16" t="n"/>
      <c r="N264" s="17">
        <f>IF($C264="","",MAX(_xlfn.MAXIFS(nrSK_Att,nrSK_PID,$D264,nrSK_Cat,$E264,nrSK_Res,"Pass"),_xlfn.MAXIFS(nrSK_Att,nrSK_PID,$D264,nrSK_Cat,$E264,nrSK_Res,"Fail")))</f>
        <v/>
      </c>
      <c r="O264" s="17">
        <f>IF($C264="","",IF(AND(MAX(_xlfn.MAXIFS(nrSK_Att,nrSK_PID,$D264,nrSK_Cat,$E264,nrSK_Res,"Pass"),_xlfn.MAXIFS(nrSK_Att,nrSK_PID,$D264,nrSK_Cat,$E264,nrSK_Res,"Fail"))&gt;0,N($I264)&lt;MAX(_xlfn.MAXIFS(nrSK_Att,nrSK_PID,$D264,nrSK_Cat,$E264,nrSK_Res,"Pass"),_xlfn.MAXIFS(nrSK_Att,nrSK_PID,$D264,nrSK_Cat,$E264,nrSK_Res,"Fail"))),"(superseded)",IF(OR($J264="",$J264="Pending"),"Pending",IF($J264="Pass","Qualified",IF(AND($J264="Fail",$N264&gt;=$F264),"FAILED OUT","Needs Remediation")))))</f>
        <v/>
      </c>
      <c r="P264" s="17">
        <f>IF($C264="","",IF($O264="FAILED OUT","Yes","No"))</f>
        <v/>
      </c>
      <c r="Q264" s="16" t="n"/>
      <c r="R264" s="16" t="n"/>
      <c r="S264" s="17">
        <f>IF($C264="","",IF(AND($K264&lt;&gt;"",NOT(ISNUMBER($K264))),"SCORE NOT A NUMBER",IF(AND(ISNUMBER($K264),OR($K264&lt;0,$K264&gt;100)),"SCORE OUT OF RANGE - this score counts toward nothing",IF(AND($G264="Score",$K264="",$J264&lt;&gt;"",$J264&lt;&gt;"Pending"),"RESULT WITHOUT A SCORE",IF(AND($G264="Pass/Fail",$K264&lt;&gt;""),"SCORE ON A PASS-FAIL CATEGORY - it is ignored",IF(AND($E264="Firearms",$J264&lt;&gt;"",$J264&lt;&gt;"Pending",$R264=""),"FIREARMS ROW WITH NO COURSE OF FIRE","OK"))))))</f>
        <v/>
      </c>
    </row>
    <row r="265">
      <c r="B265" s="17">
        <f>IF($C265="","",$D265&amp;"-"&amp;$E265&amp;"-"&amp;$I265)</f>
        <v/>
      </c>
      <c r="C265" s="16" t="n"/>
      <c r="D265" s="17">
        <f>IF($C265="","",IFERROR(INDEX(rngCadetPIDs,MATCH($C265,rngCadetNames,0)),"?"))</f>
        <v/>
      </c>
      <c r="E265" s="16" t="n"/>
      <c r="F265" s="17">
        <f>IF($E265="","",IFERROR(INDEX(rngSM_max,MATCH($E265,rngSM_cat,0)),""))</f>
        <v/>
      </c>
      <c r="G265" s="17">
        <f>IF($E265="","",IFERROR(INDEX(rngSM_mode,MATCH($E265,rngSM_cat,0)),""))</f>
        <v/>
      </c>
      <c r="H265" s="17">
        <f>IF($E265="","",IFERROR(INDEX(rngSM_pass,MATCH($E265,rngSM_cat,0)),""))</f>
        <v/>
      </c>
      <c r="I265" s="16" t="n"/>
      <c r="J265" s="16" t="n"/>
      <c r="K265" s="16" t="n"/>
      <c r="L265" s="18" t="n"/>
      <c r="M265" s="16" t="n"/>
      <c r="N265" s="17">
        <f>IF($C265="","",MAX(_xlfn.MAXIFS(nrSK_Att,nrSK_PID,$D265,nrSK_Cat,$E265,nrSK_Res,"Pass"),_xlfn.MAXIFS(nrSK_Att,nrSK_PID,$D265,nrSK_Cat,$E265,nrSK_Res,"Fail")))</f>
        <v/>
      </c>
      <c r="O265" s="17">
        <f>IF($C265="","",IF(AND(MAX(_xlfn.MAXIFS(nrSK_Att,nrSK_PID,$D265,nrSK_Cat,$E265,nrSK_Res,"Pass"),_xlfn.MAXIFS(nrSK_Att,nrSK_PID,$D265,nrSK_Cat,$E265,nrSK_Res,"Fail"))&gt;0,N($I265)&lt;MAX(_xlfn.MAXIFS(nrSK_Att,nrSK_PID,$D265,nrSK_Cat,$E265,nrSK_Res,"Pass"),_xlfn.MAXIFS(nrSK_Att,nrSK_PID,$D265,nrSK_Cat,$E265,nrSK_Res,"Fail"))),"(superseded)",IF(OR($J265="",$J265="Pending"),"Pending",IF($J265="Pass","Qualified",IF(AND($J265="Fail",$N265&gt;=$F265),"FAILED OUT","Needs Remediation")))))</f>
        <v/>
      </c>
      <c r="P265" s="17">
        <f>IF($C265="","",IF($O265="FAILED OUT","Yes","No"))</f>
        <v/>
      </c>
      <c r="Q265" s="16" t="n"/>
      <c r="R265" s="16" t="n"/>
      <c r="S265" s="17">
        <f>IF($C265="","",IF(AND($K265&lt;&gt;"",NOT(ISNUMBER($K265))),"SCORE NOT A NUMBER",IF(AND(ISNUMBER($K265),OR($K265&lt;0,$K265&gt;100)),"SCORE OUT OF RANGE - this score counts toward nothing",IF(AND($G265="Score",$K265="",$J265&lt;&gt;"",$J265&lt;&gt;"Pending"),"RESULT WITHOUT A SCORE",IF(AND($G265="Pass/Fail",$K265&lt;&gt;""),"SCORE ON A PASS-FAIL CATEGORY - it is ignored",IF(AND($E265="Firearms",$J265&lt;&gt;"",$J265&lt;&gt;"Pending",$R265=""),"FIREARMS ROW WITH NO COURSE OF FIRE","OK"))))))</f>
        <v/>
      </c>
    </row>
    <row r="266">
      <c r="B266" s="17">
        <f>IF($C266="","",$D266&amp;"-"&amp;$E266&amp;"-"&amp;$I266)</f>
        <v/>
      </c>
      <c r="C266" s="16" t="n"/>
      <c r="D266" s="17">
        <f>IF($C266="","",IFERROR(INDEX(rngCadetPIDs,MATCH($C266,rngCadetNames,0)),"?"))</f>
        <v/>
      </c>
      <c r="E266" s="16" t="n"/>
      <c r="F266" s="17">
        <f>IF($E266="","",IFERROR(INDEX(rngSM_max,MATCH($E266,rngSM_cat,0)),""))</f>
        <v/>
      </c>
      <c r="G266" s="17">
        <f>IF($E266="","",IFERROR(INDEX(rngSM_mode,MATCH($E266,rngSM_cat,0)),""))</f>
        <v/>
      </c>
      <c r="H266" s="17">
        <f>IF($E266="","",IFERROR(INDEX(rngSM_pass,MATCH($E266,rngSM_cat,0)),""))</f>
        <v/>
      </c>
      <c r="I266" s="16" t="n"/>
      <c r="J266" s="16" t="n"/>
      <c r="K266" s="16" t="n"/>
      <c r="L266" s="18" t="n"/>
      <c r="M266" s="16" t="n"/>
      <c r="N266" s="17">
        <f>IF($C266="","",MAX(_xlfn.MAXIFS(nrSK_Att,nrSK_PID,$D266,nrSK_Cat,$E266,nrSK_Res,"Pass"),_xlfn.MAXIFS(nrSK_Att,nrSK_PID,$D266,nrSK_Cat,$E266,nrSK_Res,"Fail")))</f>
        <v/>
      </c>
      <c r="O266" s="17">
        <f>IF($C266="","",IF(AND(MAX(_xlfn.MAXIFS(nrSK_Att,nrSK_PID,$D266,nrSK_Cat,$E266,nrSK_Res,"Pass"),_xlfn.MAXIFS(nrSK_Att,nrSK_PID,$D266,nrSK_Cat,$E266,nrSK_Res,"Fail"))&gt;0,N($I266)&lt;MAX(_xlfn.MAXIFS(nrSK_Att,nrSK_PID,$D266,nrSK_Cat,$E266,nrSK_Res,"Pass"),_xlfn.MAXIFS(nrSK_Att,nrSK_PID,$D266,nrSK_Cat,$E266,nrSK_Res,"Fail"))),"(superseded)",IF(OR($J266="",$J266="Pending"),"Pending",IF($J266="Pass","Qualified",IF(AND($J266="Fail",$N266&gt;=$F266),"FAILED OUT","Needs Remediation")))))</f>
        <v/>
      </c>
      <c r="P266" s="17">
        <f>IF($C266="","",IF($O266="FAILED OUT","Yes","No"))</f>
        <v/>
      </c>
      <c r="Q266" s="16" t="n"/>
      <c r="R266" s="16" t="n"/>
      <c r="S266" s="17">
        <f>IF($C266="","",IF(AND($K266&lt;&gt;"",NOT(ISNUMBER($K266))),"SCORE NOT A NUMBER",IF(AND(ISNUMBER($K266),OR($K266&lt;0,$K266&gt;100)),"SCORE OUT OF RANGE - this score counts toward nothing",IF(AND($G266="Score",$K266="",$J266&lt;&gt;"",$J266&lt;&gt;"Pending"),"RESULT WITHOUT A SCORE",IF(AND($G266="Pass/Fail",$K266&lt;&gt;""),"SCORE ON A PASS-FAIL CATEGORY - it is ignored",IF(AND($E266="Firearms",$J266&lt;&gt;"",$J266&lt;&gt;"Pending",$R266=""),"FIREARMS ROW WITH NO COURSE OF FIRE","OK"))))))</f>
        <v/>
      </c>
    </row>
    <row r="267">
      <c r="B267" s="17">
        <f>IF($C267="","",$D267&amp;"-"&amp;$E267&amp;"-"&amp;$I267)</f>
        <v/>
      </c>
      <c r="C267" s="16" t="n"/>
      <c r="D267" s="17">
        <f>IF($C267="","",IFERROR(INDEX(rngCadetPIDs,MATCH($C267,rngCadetNames,0)),"?"))</f>
        <v/>
      </c>
      <c r="E267" s="16" t="n"/>
      <c r="F267" s="17">
        <f>IF($E267="","",IFERROR(INDEX(rngSM_max,MATCH($E267,rngSM_cat,0)),""))</f>
        <v/>
      </c>
      <c r="G267" s="17">
        <f>IF($E267="","",IFERROR(INDEX(rngSM_mode,MATCH($E267,rngSM_cat,0)),""))</f>
        <v/>
      </c>
      <c r="H267" s="17">
        <f>IF($E267="","",IFERROR(INDEX(rngSM_pass,MATCH($E267,rngSM_cat,0)),""))</f>
        <v/>
      </c>
      <c r="I267" s="16" t="n"/>
      <c r="J267" s="16" t="n"/>
      <c r="K267" s="16" t="n"/>
      <c r="L267" s="18" t="n"/>
      <c r="M267" s="16" t="n"/>
      <c r="N267" s="17">
        <f>IF($C267="","",MAX(_xlfn.MAXIFS(nrSK_Att,nrSK_PID,$D267,nrSK_Cat,$E267,nrSK_Res,"Pass"),_xlfn.MAXIFS(nrSK_Att,nrSK_PID,$D267,nrSK_Cat,$E267,nrSK_Res,"Fail")))</f>
        <v/>
      </c>
      <c r="O267" s="17">
        <f>IF($C267="","",IF(AND(MAX(_xlfn.MAXIFS(nrSK_Att,nrSK_PID,$D267,nrSK_Cat,$E267,nrSK_Res,"Pass"),_xlfn.MAXIFS(nrSK_Att,nrSK_PID,$D267,nrSK_Cat,$E267,nrSK_Res,"Fail"))&gt;0,N($I267)&lt;MAX(_xlfn.MAXIFS(nrSK_Att,nrSK_PID,$D267,nrSK_Cat,$E267,nrSK_Res,"Pass"),_xlfn.MAXIFS(nrSK_Att,nrSK_PID,$D267,nrSK_Cat,$E267,nrSK_Res,"Fail"))),"(superseded)",IF(OR($J267="",$J267="Pending"),"Pending",IF($J267="Pass","Qualified",IF(AND($J267="Fail",$N267&gt;=$F267),"FAILED OUT","Needs Remediation")))))</f>
        <v/>
      </c>
      <c r="P267" s="17">
        <f>IF($C267="","",IF($O267="FAILED OUT","Yes","No"))</f>
        <v/>
      </c>
      <c r="Q267" s="16" t="n"/>
      <c r="R267" s="16" t="n"/>
      <c r="S267" s="17">
        <f>IF($C267="","",IF(AND($K267&lt;&gt;"",NOT(ISNUMBER($K267))),"SCORE NOT A NUMBER",IF(AND(ISNUMBER($K267),OR($K267&lt;0,$K267&gt;100)),"SCORE OUT OF RANGE - this score counts toward nothing",IF(AND($G267="Score",$K267="",$J267&lt;&gt;"",$J267&lt;&gt;"Pending"),"RESULT WITHOUT A SCORE",IF(AND($G267="Pass/Fail",$K267&lt;&gt;""),"SCORE ON A PASS-FAIL CATEGORY - it is ignored",IF(AND($E267="Firearms",$J267&lt;&gt;"",$J267&lt;&gt;"Pending",$R267=""),"FIREARMS ROW WITH NO COURSE OF FIRE","OK"))))))</f>
        <v/>
      </c>
    </row>
    <row r="268">
      <c r="B268" s="17">
        <f>IF($C268="","",$D268&amp;"-"&amp;$E268&amp;"-"&amp;$I268)</f>
        <v/>
      </c>
      <c r="C268" s="16" t="n"/>
      <c r="D268" s="17">
        <f>IF($C268="","",IFERROR(INDEX(rngCadetPIDs,MATCH($C268,rngCadetNames,0)),"?"))</f>
        <v/>
      </c>
      <c r="E268" s="16" t="n"/>
      <c r="F268" s="17">
        <f>IF($E268="","",IFERROR(INDEX(rngSM_max,MATCH($E268,rngSM_cat,0)),""))</f>
        <v/>
      </c>
      <c r="G268" s="17">
        <f>IF($E268="","",IFERROR(INDEX(rngSM_mode,MATCH($E268,rngSM_cat,0)),""))</f>
        <v/>
      </c>
      <c r="H268" s="17">
        <f>IF($E268="","",IFERROR(INDEX(rngSM_pass,MATCH($E268,rngSM_cat,0)),""))</f>
        <v/>
      </c>
      <c r="I268" s="16" t="n"/>
      <c r="J268" s="16" t="n"/>
      <c r="K268" s="16" t="n"/>
      <c r="L268" s="18" t="n"/>
      <c r="M268" s="16" t="n"/>
      <c r="N268" s="17">
        <f>IF($C268="","",MAX(_xlfn.MAXIFS(nrSK_Att,nrSK_PID,$D268,nrSK_Cat,$E268,nrSK_Res,"Pass"),_xlfn.MAXIFS(nrSK_Att,nrSK_PID,$D268,nrSK_Cat,$E268,nrSK_Res,"Fail")))</f>
        <v/>
      </c>
      <c r="O268" s="17">
        <f>IF($C268="","",IF(AND(MAX(_xlfn.MAXIFS(nrSK_Att,nrSK_PID,$D268,nrSK_Cat,$E268,nrSK_Res,"Pass"),_xlfn.MAXIFS(nrSK_Att,nrSK_PID,$D268,nrSK_Cat,$E268,nrSK_Res,"Fail"))&gt;0,N($I268)&lt;MAX(_xlfn.MAXIFS(nrSK_Att,nrSK_PID,$D268,nrSK_Cat,$E268,nrSK_Res,"Pass"),_xlfn.MAXIFS(nrSK_Att,nrSK_PID,$D268,nrSK_Cat,$E268,nrSK_Res,"Fail"))),"(superseded)",IF(OR($J268="",$J268="Pending"),"Pending",IF($J268="Pass","Qualified",IF(AND($J268="Fail",$N268&gt;=$F268),"FAILED OUT","Needs Remediation")))))</f>
        <v/>
      </c>
      <c r="P268" s="17">
        <f>IF($C268="","",IF($O268="FAILED OUT","Yes","No"))</f>
        <v/>
      </c>
      <c r="Q268" s="16" t="n"/>
      <c r="R268" s="16" t="n"/>
      <c r="S268" s="17">
        <f>IF($C268="","",IF(AND($K268&lt;&gt;"",NOT(ISNUMBER($K268))),"SCORE NOT A NUMBER",IF(AND(ISNUMBER($K268),OR($K268&lt;0,$K268&gt;100)),"SCORE OUT OF RANGE - this score counts toward nothing",IF(AND($G268="Score",$K268="",$J268&lt;&gt;"",$J268&lt;&gt;"Pending"),"RESULT WITHOUT A SCORE",IF(AND($G268="Pass/Fail",$K268&lt;&gt;""),"SCORE ON A PASS-FAIL CATEGORY - it is ignored",IF(AND($E268="Firearms",$J268&lt;&gt;"",$J268&lt;&gt;"Pending",$R268=""),"FIREARMS ROW WITH NO COURSE OF FIRE","OK"))))))</f>
        <v/>
      </c>
    </row>
    <row r="269">
      <c r="B269" s="17">
        <f>IF($C269="","",$D269&amp;"-"&amp;$E269&amp;"-"&amp;$I269)</f>
        <v/>
      </c>
      <c r="C269" s="16" t="n"/>
      <c r="D269" s="17">
        <f>IF($C269="","",IFERROR(INDEX(rngCadetPIDs,MATCH($C269,rngCadetNames,0)),"?"))</f>
        <v/>
      </c>
      <c r="E269" s="16" t="n"/>
      <c r="F269" s="17">
        <f>IF($E269="","",IFERROR(INDEX(rngSM_max,MATCH($E269,rngSM_cat,0)),""))</f>
        <v/>
      </c>
      <c r="G269" s="17">
        <f>IF($E269="","",IFERROR(INDEX(rngSM_mode,MATCH($E269,rngSM_cat,0)),""))</f>
        <v/>
      </c>
      <c r="H269" s="17">
        <f>IF($E269="","",IFERROR(INDEX(rngSM_pass,MATCH($E269,rngSM_cat,0)),""))</f>
        <v/>
      </c>
      <c r="I269" s="16" t="n"/>
      <c r="J269" s="16" t="n"/>
      <c r="K269" s="16" t="n"/>
      <c r="L269" s="18" t="n"/>
      <c r="M269" s="16" t="n"/>
      <c r="N269" s="17">
        <f>IF($C269="","",MAX(_xlfn.MAXIFS(nrSK_Att,nrSK_PID,$D269,nrSK_Cat,$E269,nrSK_Res,"Pass"),_xlfn.MAXIFS(nrSK_Att,nrSK_PID,$D269,nrSK_Cat,$E269,nrSK_Res,"Fail")))</f>
        <v/>
      </c>
      <c r="O269" s="17">
        <f>IF($C269="","",IF(AND(MAX(_xlfn.MAXIFS(nrSK_Att,nrSK_PID,$D269,nrSK_Cat,$E269,nrSK_Res,"Pass"),_xlfn.MAXIFS(nrSK_Att,nrSK_PID,$D269,nrSK_Cat,$E269,nrSK_Res,"Fail"))&gt;0,N($I269)&lt;MAX(_xlfn.MAXIFS(nrSK_Att,nrSK_PID,$D269,nrSK_Cat,$E269,nrSK_Res,"Pass"),_xlfn.MAXIFS(nrSK_Att,nrSK_PID,$D269,nrSK_Cat,$E269,nrSK_Res,"Fail"))),"(superseded)",IF(OR($J269="",$J269="Pending"),"Pending",IF($J269="Pass","Qualified",IF(AND($J269="Fail",$N269&gt;=$F269),"FAILED OUT","Needs Remediation")))))</f>
        <v/>
      </c>
      <c r="P269" s="17">
        <f>IF($C269="","",IF($O269="FAILED OUT","Yes","No"))</f>
        <v/>
      </c>
      <c r="Q269" s="16" t="n"/>
      <c r="R269" s="16" t="n"/>
      <c r="S269" s="17">
        <f>IF($C269="","",IF(AND($K269&lt;&gt;"",NOT(ISNUMBER($K269))),"SCORE NOT A NUMBER",IF(AND(ISNUMBER($K269),OR($K269&lt;0,$K269&gt;100)),"SCORE OUT OF RANGE - this score counts toward nothing",IF(AND($G269="Score",$K269="",$J269&lt;&gt;"",$J269&lt;&gt;"Pending"),"RESULT WITHOUT A SCORE",IF(AND($G269="Pass/Fail",$K269&lt;&gt;""),"SCORE ON A PASS-FAIL CATEGORY - it is ignored",IF(AND($E269="Firearms",$J269&lt;&gt;"",$J269&lt;&gt;"Pending",$R269=""),"FIREARMS ROW WITH NO COURSE OF FIRE","OK"))))))</f>
        <v/>
      </c>
    </row>
    <row r="270">
      <c r="B270" s="17">
        <f>IF($C270="","",$D270&amp;"-"&amp;$E270&amp;"-"&amp;$I270)</f>
        <v/>
      </c>
      <c r="C270" s="16" t="n"/>
      <c r="D270" s="17">
        <f>IF($C270="","",IFERROR(INDEX(rngCadetPIDs,MATCH($C270,rngCadetNames,0)),"?"))</f>
        <v/>
      </c>
      <c r="E270" s="16" t="n"/>
      <c r="F270" s="17">
        <f>IF($E270="","",IFERROR(INDEX(rngSM_max,MATCH($E270,rngSM_cat,0)),""))</f>
        <v/>
      </c>
      <c r="G270" s="17">
        <f>IF($E270="","",IFERROR(INDEX(rngSM_mode,MATCH($E270,rngSM_cat,0)),""))</f>
        <v/>
      </c>
      <c r="H270" s="17">
        <f>IF($E270="","",IFERROR(INDEX(rngSM_pass,MATCH($E270,rngSM_cat,0)),""))</f>
        <v/>
      </c>
      <c r="I270" s="16" t="n"/>
      <c r="J270" s="16" t="n"/>
      <c r="K270" s="16" t="n"/>
      <c r="L270" s="18" t="n"/>
      <c r="M270" s="16" t="n"/>
      <c r="N270" s="17">
        <f>IF($C270="","",MAX(_xlfn.MAXIFS(nrSK_Att,nrSK_PID,$D270,nrSK_Cat,$E270,nrSK_Res,"Pass"),_xlfn.MAXIFS(nrSK_Att,nrSK_PID,$D270,nrSK_Cat,$E270,nrSK_Res,"Fail")))</f>
        <v/>
      </c>
      <c r="O270" s="17">
        <f>IF($C270="","",IF(AND(MAX(_xlfn.MAXIFS(nrSK_Att,nrSK_PID,$D270,nrSK_Cat,$E270,nrSK_Res,"Pass"),_xlfn.MAXIFS(nrSK_Att,nrSK_PID,$D270,nrSK_Cat,$E270,nrSK_Res,"Fail"))&gt;0,N($I270)&lt;MAX(_xlfn.MAXIFS(nrSK_Att,nrSK_PID,$D270,nrSK_Cat,$E270,nrSK_Res,"Pass"),_xlfn.MAXIFS(nrSK_Att,nrSK_PID,$D270,nrSK_Cat,$E270,nrSK_Res,"Fail"))),"(superseded)",IF(OR($J270="",$J270="Pending"),"Pending",IF($J270="Pass","Qualified",IF(AND($J270="Fail",$N270&gt;=$F270),"FAILED OUT","Needs Remediation")))))</f>
        <v/>
      </c>
      <c r="P270" s="17">
        <f>IF($C270="","",IF($O270="FAILED OUT","Yes","No"))</f>
        <v/>
      </c>
      <c r="Q270" s="16" t="n"/>
      <c r="R270" s="16" t="n"/>
      <c r="S270" s="17">
        <f>IF($C270="","",IF(AND($K270&lt;&gt;"",NOT(ISNUMBER($K270))),"SCORE NOT A NUMBER",IF(AND(ISNUMBER($K270),OR($K270&lt;0,$K270&gt;100)),"SCORE OUT OF RANGE - this score counts toward nothing",IF(AND($G270="Score",$K270="",$J270&lt;&gt;"",$J270&lt;&gt;"Pending"),"RESULT WITHOUT A SCORE",IF(AND($G270="Pass/Fail",$K270&lt;&gt;""),"SCORE ON A PASS-FAIL CATEGORY - it is ignored",IF(AND($E270="Firearms",$J270&lt;&gt;"",$J270&lt;&gt;"Pending",$R270=""),"FIREARMS ROW WITH NO COURSE OF FIRE","OK"))))))</f>
        <v/>
      </c>
    </row>
    <row r="271">
      <c r="B271" s="17">
        <f>IF($C271="","",$D271&amp;"-"&amp;$E271&amp;"-"&amp;$I271)</f>
        <v/>
      </c>
      <c r="C271" s="16" t="n"/>
      <c r="D271" s="17">
        <f>IF($C271="","",IFERROR(INDEX(rngCadetPIDs,MATCH($C271,rngCadetNames,0)),"?"))</f>
        <v/>
      </c>
      <c r="E271" s="16" t="n"/>
      <c r="F271" s="17">
        <f>IF($E271="","",IFERROR(INDEX(rngSM_max,MATCH($E271,rngSM_cat,0)),""))</f>
        <v/>
      </c>
      <c r="G271" s="17">
        <f>IF($E271="","",IFERROR(INDEX(rngSM_mode,MATCH($E271,rngSM_cat,0)),""))</f>
        <v/>
      </c>
      <c r="H271" s="17">
        <f>IF($E271="","",IFERROR(INDEX(rngSM_pass,MATCH($E271,rngSM_cat,0)),""))</f>
        <v/>
      </c>
      <c r="I271" s="16" t="n"/>
      <c r="J271" s="16" t="n"/>
      <c r="K271" s="16" t="n"/>
      <c r="L271" s="18" t="n"/>
      <c r="M271" s="16" t="n"/>
      <c r="N271" s="17">
        <f>IF($C271="","",MAX(_xlfn.MAXIFS(nrSK_Att,nrSK_PID,$D271,nrSK_Cat,$E271,nrSK_Res,"Pass"),_xlfn.MAXIFS(nrSK_Att,nrSK_PID,$D271,nrSK_Cat,$E271,nrSK_Res,"Fail")))</f>
        <v/>
      </c>
      <c r="O271" s="17">
        <f>IF($C271="","",IF(AND(MAX(_xlfn.MAXIFS(nrSK_Att,nrSK_PID,$D271,nrSK_Cat,$E271,nrSK_Res,"Pass"),_xlfn.MAXIFS(nrSK_Att,nrSK_PID,$D271,nrSK_Cat,$E271,nrSK_Res,"Fail"))&gt;0,N($I271)&lt;MAX(_xlfn.MAXIFS(nrSK_Att,nrSK_PID,$D271,nrSK_Cat,$E271,nrSK_Res,"Pass"),_xlfn.MAXIFS(nrSK_Att,nrSK_PID,$D271,nrSK_Cat,$E271,nrSK_Res,"Fail"))),"(superseded)",IF(OR($J271="",$J271="Pending"),"Pending",IF($J271="Pass","Qualified",IF(AND($J271="Fail",$N271&gt;=$F271),"FAILED OUT","Needs Remediation")))))</f>
        <v/>
      </c>
      <c r="P271" s="17">
        <f>IF($C271="","",IF($O271="FAILED OUT","Yes","No"))</f>
        <v/>
      </c>
      <c r="Q271" s="16" t="n"/>
      <c r="R271" s="16" t="n"/>
      <c r="S271" s="17">
        <f>IF($C271="","",IF(AND($K271&lt;&gt;"",NOT(ISNUMBER($K271))),"SCORE NOT A NUMBER",IF(AND(ISNUMBER($K271),OR($K271&lt;0,$K271&gt;100)),"SCORE OUT OF RANGE - this score counts toward nothing",IF(AND($G271="Score",$K271="",$J271&lt;&gt;"",$J271&lt;&gt;"Pending"),"RESULT WITHOUT A SCORE",IF(AND($G271="Pass/Fail",$K271&lt;&gt;""),"SCORE ON A PASS-FAIL CATEGORY - it is ignored",IF(AND($E271="Firearms",$J271&lt;&gt;"",$J271&lt;&gt;"Pending",$R271=""),"FIREARMS ROW WITH NO COURSE OF FIRE","OK"))))))</f>
        <v/>
      </c>
    </row>
    <row r="272">
      <c r="B272" s="17">
        <f>IF($C272="","",$D272&amp;"-"&amp;$E272&amp;"-"&amp;$I272)</f>
        <v/>
      </c>
      <c r="C272" s="16" t="n"/>
      <c r="D272" s="17">
        <f>IF($C272="","",IFERROR(INDEX(rngCadetPIDs,MATCH($C272,rngCadetNames,0)),"?"))</f>
        <v/>
      </c>
      <c r="E272" s="16" t="n"/>
      <c r="F272" s="17">
        <f>IF($E272="","",IFERROR(INDEX(rngSM_max,MATCH($E272,rngSM_cat,0)),""))</f>
        <v/>
      </c>
      <c r="G272" s="17">
        <f>IF($E272="","",IFERROR(INDEX(rngSM_mode,MATCH($E272,rngSM_cat,0)),""))</f>
        <v/>
      </c>
      <c r="H272" s="17">
        <f>IF($E272="","",IFERROR(INDEX(rngSM_pass,MATCH($E272,rngSM_cat,0)),""))</f>
        <v/>
      </c>
      <c r="I272" s="16" t="n"/>
      <c r="J272" s="16" t="n"/>
      <c r="K272" s="16" t="n"/>
      <c r="L272" s="18" t="n"/>
      <c r="M272" s="16" t="n"/>
      <c r="N272" s="17">
        <f>IF($C272="","",MAX(_xlfn.MAXIFS(nrSK_Att,nrSK_PID,$D272,nrSK_Cat,$E272,nrSK_Res,"Pass"),_xlfn.MAXIFS(nrSK_Att,nrSK_PID,$D272,nrSK_Cat,$E272,nrSK_Res,"Fail")))</f>
        <v/>
      </c>
      <c r="O272" s="17">
        <f>IF($C272="","",IF(AND(MAX(_xlfn.MAXIFS(nrSK_Att,nrSK_PID,$D272,nrSK_Cat,$E272,nrSK_Res,"Pass"),_xlfn.MAXIFS(nrSK_Att,nrSK_PID,$D272,nrSK_Cat,$E272,nrSK_Res,"Fail"))&gt;0,N($I272)&lt;MAX(_xlfn.MAXIFS(nrSK_Att,nrSK_PID,$D272,nrSK_Cat,$E272,nrSK_Res,"Pass"),_xlfn.MAXIFS(nrSK_Att,nrSK_PID,$D272,nrSK_Cat,$E272,nrSK_Res,"Fail"))),"(superseded)",IF(OR($J272="",$J272="Pending"),"Pending",IF($J272="Pass","Qualified",IF(AND($J272="Fail",$N272&gt;=$F272),"FAILED OUT","Needs Remediation")))))</f>
        <v/>
      </c>
      <c r="P272" s="17">
        <f>IF($C272="","",IF($O272="FAILED OUT","Yes","No"))</f>
        <v/>
      </c>
      <c r="Q272" s="16" t="n"/>
      <c r="R272" s="16" t="n"/>
      <c r="S272" s="17">
        <f>IF($C272="","",IF(AND($K272&lt;&gt;"",NOT(ISNUMBER($K272))),"SCORE NOT A NUMBER",IF(AND(ISNUMBER($K272),OR($K272&lt;0,$K272&gt;100)),"SCORE OUT OF RANGE - this score counts toward nothing",IF(AND($G272="Score",$K272="",$J272&lt;&gt;"",$J272&lt;&gt;"Pending"),"RESULT WITHOUT A SCORE",IF(AND($G272="Pass/Fail",$K272&lt;&gt;""),"SCORE ON A PASS-FAIL CATEGORY - it is ignored",IF(AND($E272="Firearms",$J272&lt;&gt;"",$J272&lt;&gt;"Pending",$R272=""),"FIREARMS ROW WITH NO COURSE OF FIRE","OK"))))))</f>
        <v/>
      </c>
    </row>
    <row r="273">
      <c r="B273" s="17">
        <f>IF($C273="","",$D273&amp;"-"&amp;$E273&amp;"-"&amp;$I273)</f>
        <v/>
      </c>
      <c r="C273" s="16" t="n"/>
      <c r="D273" s="17">
        <f>IF($C273="","",IFERROR(INDEX(rngCadetPIDs,MATCH($C273,rngCadetNames,0)),"?"))</f>
        <v/>
      </c>
      <c r="E273" s="16" t="n"/>
      <c r="F273" s="17">
        <f>IF($E273="","",IFERROR(INDEX(rngSM_max,MATCH($E273,rngSM_cat,0)),""))</f>
        <v/>
      </c>
      <c r="G273" s="17">
        <f>IF($E273="","",IFERROR(INDEX(rngSM_mode,MATCH($E273,rngSM_cat,0)),""))</f>
        <v/>
      </c>
      <c r="H273" s="17">
        <f>IF($E273="","",IFERROR(INDEX(rngSM_pass,MATCH($E273,rngSM_cat,0)),""))</f>
        <v/>
      </c>
      <c r="I273" s="16" t="n"/>
      <c r="J273" s="16" t="n"/>
      <c r="K273" s="16" t="n"/>
      <c r="L273" s="18" t="n"/>
      <c r="M273" s="16" t="n"/>
      <c r="N273" s="17">
        <f>IF($C273="","",MAX(_xlfn.MAXIFS(nrSK_Att,nrSK_PID,$D273,nrSK_Cat,$E273,nrSK_Res,"Pass"),_xlfn.MAXIFS(nrSK_Att,nrSK_PID,$D273,nrSK_Cat,$E273,nrSK_Res,"Fail")))</f>
        <v/>
      </c>
      <c r="O273" s="17">
        <f>IF($C273="","",IF(AND(MAX(_xlfn.MAXIFS(nrSK_Att,nrSK_PID,$D273,nrSK_Cat,$E273,nrSK_Res,"Pass"),_xlfn.MAXIFS(nrSK_Att,nrSK_PID,$D273,nrSK_Cat,$E273,nrSK_Res,"Fail"))&gt;0,N($I273)&lt;MAX(_xlfn.MAXIFS(nrSK_Att,nrSK_PID,$D273,nrSK_Cat,$E273,nrSK_Res,"Pass"),_xlfn.MAXIFS(nrSK_Att,nrSK_PID,$D273,nrSK_Cat,$E273,nrSK_Res,"Fail"))),"(superseded)",IF(OR($J273="",$J273="Pending"),"Pending",IF($J273="Pass","Qualified",IF(AND($J273="Fail",$N273&gt;=$F273),"FAILED OUT","Needs Remediation")))))</f>
        <v/>
      </c>
      <c r="P273" s="17">
        <f>IF($C273="","",IF($O273="FAILED OUT","Yes","No"))</f>
        <v/>
      </c>
      <c r="Q273" s="16" t="n"/>
      <c r="R273" s="16" t="n"/>
      <c r="S273" s="17">
        <f>IF($C273="","",IF(AND($K273&lt;&gt;"",NOT(ISNUMBER($K273))),"SCORE NOT A NUMBER",IF(AND(ISNUMBER($K273),OR($K273&lt;0,$K273&gt;100)),"SCORE OUT OF RANGE - this score counts toward nothing",IF(AND($G273="Score",$K273="",$J273&lt;&gt;"",$J273&lt;&gt;"Pending"),"RESULT WITHOUT A SCORE",IF(AND($G273="Pass/Fail",$K273&lt;&gt;""),"SCORE ON A PASS-FAIL CATEGORY - it is ignored",IF(AND($E273="Firearms",$J273&lt;&gt;"",$J273&lt;&gt;"Pending",$R273=""),"FIREARMS ROW WITH NO COURSE OF FIRE","OK"))))))</f>
        <v/>
      </c>
    </row>
    <row r="274">
      <c r="B274" s="17">
        <f>IF($C274="","",$D274&amp;"-"&amp;$E274&amp;"-"&amp;$I274)</f>
        <v/>
      </c>
      <c r="C274" s="16" t="n"/>
      <c r="D274" s="17">
        <f>IF($C274="","",IFERROR(INDEX(rngCadetPIDs,MATCH($C274,rngCadetNames,0)),"?"))</f>
        <v/>
      </c>
      <c r="E274" s="16" t="n"/>
      <c r="F274" s="17">
        <f>IF($E274="","",IFERROR(INDEX(rngSM_max,MATCH($E274,rngSM_cat,0)),""))</f>
        <v/>
      </c>
      <c r="G274" s="17">
        <f>IF($E274="","",IFERROR(INDEX(rngSM_mode,MATCH($E274,rngSM_cat,0)),""))</f>
        <v/>
      </c>
      <c r="H274" s="17">
        <f>IF($E274="","",IFERROR(INDEX(rngSM_pass,MATCH($E274,rngSM_cat,0)),""))</f>
        <v/>
      </c>
      <c r="I274" s="16" t="n"/>
      <c r="J274" s="16" t="n"/>
      <c r="K274" s="16" t="n"/>
      <c r="L274" s="18" t="n"/>
      <c r="M274" s="16" t="n"/>
      <c r="N274" s="17">
        <f>IF($C274="","",MAX(_xlfn.MAXIFS(nrSK_Att,nrSK_PID,$D274,nrSK_Cat,$E274,nrSK_Res,"Pass"),_xlfn.MAXIFS(nrSK_Att,nrSK_PID,$D274,nrSK_Cat,$E274,nrSK_Res,"Fail")))</f>
        <v/>
      </c>
      <c r="O274" s="17">
        <f>IF($C274="","",IF(AND(MAX(_xlfn.MAXIFS(nrSK_Att,nrSK_PID,$D274,nrSK_Cat,$E274,nrSK_Res,"Pass"),_xlfn.MAXIFS(nrSK_Att,nrSK_PID,$D274,nrSK_Cat,$E274,nrSK_Res,"Fail"))&gt;0,N($I274)&lt;MAX(_xlfn.MAXIFS(nrSK_Att,nrSK_PID,$D274,nrSK_Cat,$E274,nrSK_Res,"Pass"),_xlfn.MAXIFS(nrSK_Att,nrSK_PID,$D274,nrSK_Cat,$E274,nrSK_Res,"Fail"))),"(superseded)",IF(OR($J274="",$J274="Pending"),"Pending",IF($J274="Pass","Qualified",IF(AND($J274="Fail",$N274&gt;=$F274),"FAILED OUT","Needs Remediation")))))</f>
        <v/>
      </c>
      <c r="P274" s="17">
        <f>IF($C274="","",IF($O274="FAILED OUT","Yes","No"))</f>
        <v/>
      </c>
      <c r="Q274" s="16" t="n"/>
      <c r="R274" s="16" t="n"/>
      <c r="S274" s="17">
        <f>IF($C274="","",IF(AND($K274&lt;&gt;"",NOT(ISNUMBER($K274))),"SCORE NOT A NUMBER",IF(AND(ISNUMBER($K274),OR($K274&lt;0,$K274&gt;100)),"SCORE OUT OF RANGE - this score counts toward nothing",IF(AND($G274="Score",$K274="",$J274&lt;&gt;"",$J274&lt;&gt;"Pending"),"RESULT WITHOUT A SCORE",IF(AND($G274="Pass/Fail",$K274&lt;&gt;""),"SCORE ON A PASS-FAIL CATEGORY - it is ignored",IF(AND($E274="Firearms",$J274&lt;&gt;"",$J274&lt;&gt;"Pending",$R274=""),"FIREARMS ROW WITH NO COURSE OF FIRE","OK"))))))</f>
        <v/>
      </c>
    </row>
    <row r="275">
      <c r="B275" s="17">
        <f>IF($C275="","",$D275&amp;"-"&amp;$E275&amp;"-"&amp;$I275)</f>
        <v/>
      </c>
      <c r="C275" s="16" t="n"/>
      <c r="D275" s="17">
        <f>IF($C275="","",IFERROR(INDEX(rngCadetPIDs,MATCH($C275,rngCadetNames,0)),"?"))</f>
        <v/>
      </c>
      <c r="E275" s="16" t="n"/>
      <c r="F275" s="17">
        <f>IF($E275="","",IFERROR(INDEX(rngSM_max,MATCH($E275,rngSM_cat,0)),""))</f>
        <v/>
      </c>
      <c r="G275" s="17">
        <f>IF($E275="","",IFERROR(INDEX(rngSM_mode,MATCH($E275,rngSM_cat,0)),""))</f>
        <v/>
      </c>
      <c r="H275" s="17">
        <f>IF($E275="","",IFERROR(INDEX(rngSM_pass,MATCH($E275,rngSM_cat,0)),""))</f>
        <v/>
      </c>
      <c r="I275" s="16" t="n"/>
      <c r="J275" s="16" t="n"/>
      <c r="K275" s="16" t="n"/>
      <c r="L275" s="18" t="n"/>
      <c r="M275" s="16" t="n"/>
      <c r="N275" s="17">
        <f>IF($C275="","",MAX(_xlfn.MAXIFS(nrSK_Att,nrSK_PID,$D275,nrSK_Cat,$E275,nrSK_Res,"Pass"),_xlfn.MAXIFS(nrSK_Att,nrSK_PID,$D275,nrSK_Cat,$E275,nrSK_Res,"Fail")))</f>
        <v/>
      </c>
      <c r="O275" s="17">
        <f>IF($C275="","",IF(AND(MAX(_xlfn.MAXIFS(nrSK_Att,nrSK_PID,$D275,nrSK_Cat,$E275,nrSK_Res,"Pass"),_xlfn.MAXIFS(nrSK_Att,nrSK_PID,$D275,nrSK_Cat,$E275,nrSK_Res,"Fail"))&gt;0,N($I275)&lt;MAX(_xlfn.MAXIFS(nrSK_Att,nrSK_PID,$D275,nrSK_Cat,$E275,nrSK_Res,"Pass"),_xlfn.MAXIFS(nrSK_Att,nrSK_PID,$D275,nrSK_Cat,$E275,nrSK_Res,"Fail"))),"(superseded)",IF(OR($J275="",$J275="Pending"),"Pending",IF($J275="Pass","Qualified",IF(AND($J275="Fail",$N275&gt;=$F275),"FAILED OUT","Needs Remediation")))))</f>
        <v/>
      </c>
      <c r="P275" s="17">
        <f>IF($C275="","",IF($O275="FAILED OUT","Yes","No"))</f>
        <v/>
      </c>
      <c r="Q275" s="16" t="n"/>
      <c r="R275" s="16" t="n"/>
      <c r="S275" s="17">
        <f>IF($C275="","",IF(AND($K275&lt;&gt;"",NOT(ISNUMBER($K275))),"SCORE NOT A NUMBER",IF(AND(ISNUMBER($K275),OR($K275&lt;0,$K275&gt;100)),"SCORE OUT OF RANGE - this score counts toward nothing",IF(AND($G275="Score",$K275="",$J275&lt;&gt;"",$J275&lt;&gt;"Pending"),"RESULT WITHOUT A SCORE",IF(AND($G275="Pass/Fail",$K275&lt;&gt;""),"SCORE ON A PASS-FAIL CATEGORY - it is ignored",IF(AND($E275="Firearms",$J275&lt;&gt;"",$J275&lt;&gt;"Pending",$R275=""),"FIREARMS ROW WITH NO COURSE OF FIRE","OK"))))))</f>
        <v/>
      </c>
    </row>
    <row r="276">
      <c r="B276" s="17">
        <f>IF($C276="","",$D276&amp;"-"&amp;$E276&amp;"-"&amp;$I276)</f>
        <v/>
      </c>
      <c r="C276" s="16" t="n"/>
      <c r="D276" s="17">
        <f>IF($C276="","",IFERROR(INDEX(rngCadetPIDs,MATCH($C276,rngCadetNames,0)),"?"))</f>
        <v/>
      </c>
      <c r="E276" s="16" t="n"/>
      <c r="F276" s="17">
        <f>IF($E276="","",IFERROR(INDEX(rngSM_max,MATCH($E276,rngSM_cat,0)),""))</f>
        <v/>
      </c>
      <c r="G276" s="17">
        <f>IF($E276="","",IFERROR(INDEX(rngSM_mode,MATCH($E276,rngSM_cat,0)),""))</f>
        <v/>
      </c>
      <c r="H276" s="17">
        <f>IF($E276="","",IFERROR(INDEX(rngSM_pass,MATCH($E276,rngSM_cat,0)),""))</f>
        <v/>
      </c>
      <c r="I276" s="16" t="n"/>
      <c r="J276" s="16" t="n"/>
      <c r="K276" s="16" t="n"/>
      <c r="L276" s="18" t="n"/>
      <c r="M276" s="16" t="n"/>
      <c r="N276" s="17">
        <f>IF($C276="","",MAX(_xlfn.MAXIFS(nrSK_Att,nrSK_PID,$D276,nrSK_Cat,$E276,nrSK_Res,"Pass"),_xlfn.MAXIFS(nrSK_Att,nrSK_PID,$D276,nrSK_Cat,$E276,nrSK_Res,"Fail")))</f>
        <v/>
      </c>
      <c r="O276" s="17">
        <f>IF($C276="","",IF(AND(MAX(_xlfn.MAXIFS(nrSK_Att,nrSK_PID,$D276,nrSK_Cat,$E276,nrSK_Res,"Pass"),_xlfn.MAXIFS(nrSK_Att,nrSK_PID,$D276,nrSK_Cat,$E276,nrSK_Res,"Fail"))&gt;0,N($I276)&lt;MAX(_xlfn.MAXIFS(nrSK_Att,nrSK_PID,$D276,nrSK_Cat,$E276,nrSK_Res,"Pass"),_xlfn.MAXIFS(nrSK_Att,nrSK_PID,$D276,nrSK_Cat,$E276,nrSK_Res,"Fail"))),"(superseded)",IF(OR($J276="",$J276="Pending"),"Pending",IF($J276="Pass","Qualified",IF(AND($J276="Fail",$N276&gt;=$F276),"FAILED OUT","Needs Remediation")))))</f>
        <v/>
      </c>
      <c r="P276" s="17">
        <f>IF($C276="","",IF($O276="FAILED OUT","Yes","No"))</f>
        <v/>
      </c>
      <c r="Q276" s="16" t="n"/>
      <c r="R276" s="16" t="n"/>
      <c r="S276" s="17">
        <f>IF($C276="","",IF(AND($K276&lt;&gt;"",NOT(ISNUMBER($K276))),"SCORE NOT A NUMBER",IF(AND(ISNUMBER($K276),OR($K276&lt;0,$K276&gt;100)),"SCORE OUT OF RANGE - this score counts toward nothing",IF(AND($G276="Score",$K276="",$J276&lt;&gt;"",$J276&lt;&gt;"Pending"),"RESULT WITHOUT A SCORE",IF(AND($G276="Pass/Fail",$K276&lt;&gt;""),"SCORE ON A PASS-FAIL CATEGORY - it is ignored",IF(AND($E276="Firearms",$J276&lt;&gt;"",$J276&lt;&gt;"Pending",$R276=""),"FIREARMS ROW WITH NO COURSE OF FIRE","OK"))))))</f>
        <v/>
      </c>
    </row>
    <row r="277">
      <c r="B277" s="17">
        <f>IF($C277="","",$D277&amp;"-"&amp;$E277&amp;"-"&amp;$I277)</f>
        <v/>
      </c>
      <c r="C277" s="16" t="n"/>
      <c r="D277" s="17">
        <f>IF($C277="","",IFERROR(INDEX(rngCadetPIDs,MATCH($C277,rngCadetNames,0)),"?"))</f>
        <v/>
      </c>
      <c r="E277" s="16" t="n"/>
      <c r="F277" s="17">
        <f>IF($E277="","",IFERROR(INDEX(rngSM_max,MATCH($E277,rngSM_cat,0)),""))</f>
        <v/>
      </c>
      <c r="G277" s="17">
        <f>IF($E277="","",IFERROR(INDEX(rngSM_mode,MATCH($E277,rngSM_cat,0)),""))</f>
        <v/>
      </c>
      <c r="H277" s="17">
        <f>IF($E277="","",IFERROR(INDEX(rngSM_pass,MATCH($E277,rngSM_cat,0)),""))</f>
        <v/>
      </c>
      <c r="I277" s="16" t="n"/>
      <c r="J277" s="16" t="n"/>
      <c r="K277" s="16" t="n"/>
      <c r="L277" s="18" t="n"/>
      <c r="M277" s="16" t="n"/>
      <c r="N277" s="17">
        <f>IF($C277="","",MAX(_xlfn.MAXIFS(nrSK_Att,nrSK_PID,$D277,nrSK_Cat,$E277,nrSK_Res,"Pass"),_xlfn.MAXIFS(nrSK_Att,nrSK_PID,$D277,nrSK_Cat,$E277,nrSK_Res,"Fail")))</f>
        <v/>
      </c>
      <c r="O277" s="17">
        <f>IF($C277="","",IF(AND(MAX(_xlfn.MAXIFS(nrSK_Att,nrSK_PID,$D277,nrSK_Cat,$E277,nrSK_Res,"Pass"),_xlfn.MAXIFS(nrSK_Att,nrSK_PID,$D277,nrSK_Cat,$E277,nrSK_Res,"Fail"))&gt;0,N($I277)&lt;MAX(_xlfn.MAXIFS(nrSK_Att,nrSK_PID,$D277,nrSK_Cat,$E277,nrSK_Res,"Pass"),_xlfn.MAXIFS(nrSK_Att,nrSK_PID,$D277,nrSK_Cat,$E277,nrSK_Res,"Fail"))),"(superseded)",IF(OR($J277="",$J277="Pending"),"Pending",IF($J277="Pass","Qualified",IF(AND($J277="Fail",$N277&gt;=$F277),"FAILED OUT","Needs Remediation")))))</f>
        <v/>
      </c>
      <c r="P277" s="17">
        <f>IF($C277="","",IF($O277="FAILED OUT","Yes","No"))</f>
        <v/>
      </c>
      <c r="Q277" s="16" t="n"/>
      <c r="R277" s="16" t="n"/>
      <c r="S277" s="17">
        <f>IF($C277="","",IF(AND($K277&lt;&gt;"",NOT(ISNUMBER($K277))),"SCORE NOT A NUMBER",IF(AND(ISNUMBER($K277),OR($K277&lt;0,$K277&gt;100)),"SCORE OUT OF RANGE - this score counts toward nothing",IF(AND($G277="Score",$K277="",$J277&lt;&gt;"",$J277&lt;&gt;"Pending"),"RESULT WITHOUT A SCORE",IF(AND($G277="Pass/Fail",$K277&lt;&gt;""),"SCORE ON A PASS-FAIL CATEGORY - it is ignored",IF(AND($E277="Firearms",$J277&lt;&gt;"",$J277&lt;&gt;"Pending",$R277=""),"FIREARMS ROW WITH NO COURSE OF FIRE","OK"))))))</f>
        <v/>
      </c>
    </row>
    <row r="278">
      <c r="B278" s="17">
        <f>IF($C278="","",$D278&amp;"-"&amp;$E278&amp;"-"&amp;$I278)</f>
        <v/>
      </c>
      <c r="C278" s="16" t="n"/>
      <c r="D278" s="17">
        <f>IF($C278="","",IFERROR(INDEX(rngCadetPIDs,MATCH($C278,rngCadetNames,0)),"?"))</f>
        <v/>
      </c>
      <c r="E278" s="16" t="n"/>
      <c r="F278" s="17">
        <f>IF($E278="","",IFERROR(INDEX(rngSM_max,MATCH($E278,rngSM_cat,0)),""))</f>
        <v/>
      </c>
      <c r="G278" s="17">
        <f>IF($E278="","",IFERROR(INDEX(rngSM_mode,MATCH($E278,rngSM_cat,0)),""))</f>
        <v/>
      </c>
      <c r="H278" s="17">
        <f>IF($E278="","",IFERROR(INDEX(rngSM_pass,MATCH($E278,rngSM_cat,0)),""))</f>
        <v/>
      </c>
      <c r="I278" s="16" t="n"/>
      <c r="J278" s="16" t="n"/>
      <c r="K278" s="16" t="n"/>
      <c r="L278" s="18" t="n"/>
      <c r="M278" s="16" t="n"/>
      <c r="N278" s="17">
        <f>IF($C278="","",MAX(_xlfn.MAXIFS(nrSK_Att,nrSK_PID,$D278,nrSK_Cat,$E278,nrSK_Res,"Pass"),_xlfn.MAXIFS(nrSK_Att,nrSK_PID,$D278,nrSK_Cat,$E278,nrSK_Res,"Fail")))</f>
        <v/>
      </c>
      <c r="O278" s="17">
        <f>IF($C278="","",IF(AND(MAX(_xlfn.MAXIFS(nrSK_Att,nrSK_PID,$D278,nrSK_Cat,$E278,nrSK_Res,"Pass"),_xlfn.MAXIFS(nrSK_Att,nrSK_PID,$D278,nrSK_Cat,$E278,nrSK_Res,"Fail"))&gt;0,N($I278)&lt;MAX(_xlfn.MAXIFS(nrSK_Att,nrSK_PID,$D278,nrSK_Cat,$E278,nrSK_Res,"Pass"),_xlfn.MAXIFS(nrSK_Att,nrSK_PID,$D278,nrSK_Cat,$E278,nrSK_Res,"Fail"))),"(superseded)",IF(OR($J278="",$J278="Pending"),"Pending",IF($J278="Pass","Qualified",IF(AND($J278="Fail",$N278&gt;=$F278),"FAILED OUT","Needs Remediation")))))</f>
        <v/>
      </c>
      <c r="P278" s="17">
        <f>IF($C278="","",IF($O278="FAILED OUT","Yes","No"))</f>
        <v/>
      </c>
      <c r="Q278" s="16" t="n"/>
      <c r="R278" s="16" t="n"/>
      <c r="S278" s="17">
        <f>IF($C278="","",IF(AND($K278&lt;&gt;"",NOT(ISNUMBER($K278))),"SCORE NOT A NUMBER",IF(AND(ISNUMBER($K278),OR($K278&lt;0,$K278&gt;100)),"SCORE OUT OF RANGE - this score counts toward nothing",IF(AND($G278="Score",$K278="",$J278&lt;&gt;"",$J278&lt;&gt;"Pending"),"RESULT WITHOUT A SCORE",IF(AND($G278="Pass/Fail",$K278&lt;&gt;""),"SCORE ON A PASS-FAIL CATEGORY - it is ignored",IF(AND($E278="Firearms",$J278&lt;&gt;"",$J278&lt;&gt;"Pending",$R278=""),"FIREARMS ROW WITH NO COURSE OF FIRE","OK"))))))</f>
        <v/>
      </c>
    </row>
    <row r="279">
      <c r="B279" s="17">
        <f>IF($C279="","",$D279&amp;"-"&amp;$E279&amp;"-"&amp;$I279)</f>
        <v/>
      </c>
      <c r="C279" s="16" t="n"/>
      <c r="D279" s="17">
        <f>IF($C279="","",IFERROR(INDEX(rngCadetPIDs,MATCH($C279,rngCadetNames,0)),"?"))</f>
        <v/>
      </c>
      <c r="E279" s="16" t="n"/>
      <c r="F279" s="17">
        <f>IF($E279="","",IFERROR(INDEX(rngSM_max,MATCH($E279,rngSM_cat,0)),""))</f>
        <v/>
      </c>
      <c r="G279" s="17">
        <f>IF($E279="","",IFERROR(INDEX(rngSM_mode,MATCH($E279,rngSM_cat,0)),""))</f>
        <v/>
      </c>
      <c r="H279" s="17">
        <f>IF($E279="","",IFERROR(INDEX(rngSM_pass,MATCH($E279,rngSM_cat,0)),""))</f>
        <v/>
      </c>
      <c r="I279" s="16" t="n"/>
      <c r="J279" s="16" t="n"/>
      <c r="K279" s="16" t="n"/>
      <c r="L279" s="18" t="n"/>
      <c r="M279" s="16" t="n"/>
      <c r="N279" s="17">
        <f>IF($C279="","",MAX(_xlfn.MAXIFS(nrSK_Att,nrSK_PID,$D279,nrSK_Cat,$E279,nrSK_Res,"Pass"),_xlfn.MAXIFS(nrSK_Att,nrSK_PID,$D279,nrSK_Cat,$E279,nrSK_Res,"Fail")))</f>
        <v/>
      </c>
      <c r="O279" s="17">
        <f>IF($C279="","",IF(AND(MAX(_xlfn.MAXIFS(nrSK_Att,nrSK_PID,$D279,nrSK_Cat,$E279,nrSK_Res,"Pass"),_xlfn.MAXIFS(nrSK_Att,nrSK_PID,$D279,nrSK_Cat,$E279,nrSK_Res,"Fail"))&gt;0,N($I279)&lt;MAX(_xlfn.MAXIFS(nrSK_Att,nrSK_PID,$D279,nrSK_Cat,$E279,nrSK_Res,"Pass"),_xlfn.MAXIFS(nrSK_Att,nrSK_PID,$D279,nrSK_Cat,$E279,nrSK_Res,"Fail"))),"(superseded)",IF(OR($J279="",$J279="Pending"),"Pending",IF($J279="Pass","Qualified",IF(AND($J279="Fail",$N279&gt;=$F279),"FAILED OUT","Needs Remediation")))))</f>
        <v/>
      </c>
      <c r="P279" s="17">
        <f>IF($C279="","",IF($O279="FAILED OUT","Yes","No"))</f>
        <v/>
      </c>
      <c r="Q279" s="16" t="n"/>
      <c r="R279" s="16" t="n"/>
      <c r="S279" s="17">
        <f>IF($C279="","",IF(AND($K279&lt;&gt;"",NOT(ISNUMBER($K279))),"SCORE NOT A NUMBER",IF(AND(ISNUMBER($K279),OR($K279&lt;0,$K279&gt;100)),"SCORE OUT OF RANGE - this score counts toward nothing",IF(AND($G279="Score",$K279="",$J279&lt;&gt;"",$J279&lt;&gt;"Pending"),"RESULT WITHOUT A SCORE",IF(AND($G279="Pass/Fail",$K279&lt;&gt;""),"SCORE ON A PASS-FAIL CATEGORY - it is ignored",IF(AND($E279="Firearms",$J279&lt;&gt;"",$J279&lt;&gt;"Pending",$R279=""),"FIREARMS ROW WITH NO COURSE OF FIRE","OK"))))))</f>
        <v/>
      </c>
    </row>
    <row r="280">
      <c r="B280" s="17">
        <f>IF($C280="","",$D280&amp;"-"&amp;$E280&amp;"-"&amp;$I280)</f>
        <v/>
      </c>
      <c r="C280" s="16" t="n"/>
      <c r="D280" s="17">
        <f>IF($C280="","",IFERROR(INDEX(rngCadetPIDs,MATCH($C280,rngCadetNames,0)),"?"))</f>
        <v/>
      </c>
      <c r="E280" s="16" t="n"/>
      <c r="F280" s="17">
        <f>IF($E280="","",IFERROR(INDEX(rngSM_max,MATCH($E280,rngSM_cat,0)),""))</f>
        <v/>
      </c>
      <c r="G280" s="17">
        <f>IF($E280="","",IFERROR(INDEX(rngSM_mode,MATCH($E280,rngSM_cat,0)),""))</f>
        <v/>
      </c>
      <c r="H280" s="17">
        <f>IF($E280="","",IFERROR(INDEX(rngSM_pass,MATCH($E280,rngSM_cat,0)),""))</f>
        <v/>
      </c>
      <c r="I280" s="16" t="n"/>
      <c r="J280" s="16" t="n"/>
      <c r="K280" s="16" t="n"/>
      <c r="L280" s="18" t="n"/>
      <c r="M280" s="16" t="n"/>
      <c r="N280" s="17">
        <f>IF($C280="","",MAX(_xlfn.MAXIFS(nrSK_Att,nrSK_PID,$D280,nrSK_Cat,$E280,nrSK_Res,"Pass"),_xlfn.MAXIFS(nrSK_Att,nrSK_PID,$D280,nrSK_Cat,$E280,nrSK_Res,"Fail")))</f>
        <v/>
      </c>
      <c r="O280" s="17">
        <f>IF($C280="","",IF(AND(MAX(_xlfn.MAXIFS(nrSK_Att,nrSK_PID,$D280,nrSK_Cat,$E280,nrSK_Res,"Pass"),_xlfn.MAXIFS(nrSK_Att,nrSK_PID,$D280,nrSK_Cat,$E280,nrSK_Res,"Fail"))&gt;0,N($I280)&lt;MAX(_xlfn.MAXIFS(nrSK_Att,nrSK_PID,$D280,nrSK_Cat,$E280,nrSK_Res,"Pass"),_xlfn.MAXIFS(nrSK_Att,nrSK_PID,$D280,nrSK_Cat,$E280,nrSK_Res,"Fail"))),"(superseded)",IF(OR($J280="",$J280="Pending"),"Pending",IF($J280="Pass","Qualified",IF(AND($J280="Fail",$N280&gt;=$F280),"FAILED OUT","Needs Remediation")))))</f>
        <v/>
      </c>
      <c r="P280" s="17">
        <f>IF($C280="","",IF($O280="FAILED OUT","Yes","No"))</f>
        <v/>
      </c>
      <c r="Q280" s="16" t="n"/>
      <c r="R280" s="16" t="n"/>
      <c r="S280" s="17">
        <f>IF($C280="","",IF(AND($K280&lt;&gt;"",NOT(ISNUMBER($K280))),"SCORE NOT A NUMBER",IF(AND(ISNUMBER($K280),OR($K280&lt;0,$K280&gt;100)),"SCORE OUT OF RANGE - this score counts toward nothing",IF(AND($G280="Score",$K280="",$J280&lt;&gt;"",$J280&lt;&gt;"Pending"),"RESULT WITHOUT A SCORE",IF(AND($G280="Pass/Fail",$K280&lt;&gt;""),"SCORE ON A PASS-FAIL CATEGORY - it is ignored",IF(AND($E280="Firearms",$J280&lt;&gt;"",$J280&lt;&gt;"Pending",$R280=""),"FIREARMS ROW WITH NO COURSE OF FIRE","OK"))))))</f>
        <v/>
      </c>
    </row>
    <row r="281">
      <c r="B281" s="17">
        <f>IF($C281="","",$D281&amp;"-"&amp;$E281&amp;"-"&amp;$I281)</f>
        <v/>
      </c>
      <c r="C281" s="16" t="n"/>
      <c r="D281" s="17">
        <f>IF($C281="","",IFERROR(INDEX(rngCadetPIDs,MATCH($C281,rngCadetNames,0)),"?"))</f>
        <v/>
      </c>
      <c r="E281" s="16" t="n"/>
      <c r="F281" s="17">
        <f>IF($E281="","",IFERROR(INDEX(rngSM_max,MATCH($E281,rngSM_cat,0)),""))</f>
        <v/>
      </c>
      <c r="G281" s="17">
        <f>IF($E281="","",IFERROR(INDEX(rngSM_mode,MATCH($E281,rngSM_cat,0)),""))</f>
        <v/>
      </c>
      <c r="H281" s="17">
        <f>IF($E281="","",IFERROR(INDEX(rngSM_pass,MATCH($E281,rngSM_cat,0)),""))</f>
        <v/>
      </c>
      <c r="I281" s="16" t="n"/>
      <c r="J281" s="16" t="n"/>
      <c r="K281" s="16" t="n"/>
      <c r="L281" s="18" t="n"/>
      <c r="M281" s="16" t="n"/>
      <c r="N281" s="17">
        <f>IF($C281="","",MAX(_xlfn.MAXIFS(nrSK_Att,nrSK_PID,$D281,nrSK_Cat,$E281,nrSK_Res,"Pass"),_xlfn.MAXIFS(nrSK_Att,nrSK_PID,$D281,nrSK_Cat,$E281,nrSK_Res,"Fail")))</f>
        <v/>
      </c>
      <c r="O281" s="17">
        <f>IF($C281="","",IF(AND(MAX(_xlfn.MAXIFS(nrSK_Att,nrSK_PID,$D281,nrSK_Cat,$E281,nrSK_Res,"Pass"),_xlfn.MAXIFS(nrSK_Att,nrSK_PID,$D281,nrSK_Cat,$E281,nrSK_Res,"Fail"))&gt;0,N($I281)&lt;MAX(_xlfn.MAXIFS(nrSK_Att,nrSK_PID,$D281,nrSK_Cat,$E281,nrSK_Res,"Pass"),_xlfn.MAXIFS(nrSK_Att,nrSK_PID,$D281,nrSK_Cat,$E281,nrSK_Res,"Fail"))),"(superseded)",IF(OR($J281="",$J281="Pending"),"Pending",IF($J281="Pass","Qualified",IF(AND($J281="Fail",$N281&gt;=$F281),"FAILED OUT","Needs Remediation")))))</f>
        <v/>
      </c>
      <c r="P281" s="17">
        <f>IF($C281="","",IF($O281="FAILED OUT","Yes","No"))</f>
        <v/>
      </c>
      <c r="Q281" s="16" t="n"/>
      <c r="R281" s="16" t="n"/>
      <c r="S281" s="17">
        <f>IF($C281="","",IF(AND($K281&lt;&gt;"",NOT(ISNUMBER($K281))),"SCORE NOT A NUMBER",IF(AND(ISNUMBER($K281),OR($K281&lt;0,$K281&gt;100)),"SCORE OUT OF RANGE - this score counts toward nothing",IF(AND($G281="Score",$K281="",$J281&lt;&gt;"",$J281&lt;&gt;"Pending"),"RESULT WITHOUT A SCORE",IF(AND($G281="Pass/Fail",$K281&lt;&gt;""),"SCORE ON A PASS-FAIL CATEGORY - it is ignored",IF(AND($E281="Firearms",$J281&lt;&gt;"",$J281&lt;&gt;"Pending",$R281=""),"FIREARMS ROW WITH NO COURSE OF FIRE","OK"))))))</f>
        <v/>
      </c>
    </row>
    <row r="282">
      <c r="B282" s="17">
        <f>IF($C282="","",$D282&amp;"-"&amp;$E282&amp;"-"&amp;$I282)</f>
        <v/>
      </c>
      <c r="C282" s="16" t="n"/>
      <c r="D282" s="17">
        <f>IF($C282="","",IFERROR(INDEX(rngCadetPIDs,MATCH($C282,rngCadetNames,0)),"?"))</f>
        <v/>
      </c>
      <c r="E282" s="16" t="n"/>
      <c r="F282" s="17">
        <f>IF($E282="","",IFERROR(INDEX(rngSM_max,MATCH($E282,rngSM_cat,0)),""))</f>
        <v/>
      </c>
      <c r="G282" s="17">
        <f>IF($E282="","",IFERROR(INDEX(rngSM_mode,MATCH($E282,rngSM_cat,0)),""))</f>
        <v/>
      </c>
      <c r="H282" s="17">
        <f>IF($E282="","",IFERROR(INDEX(rngSM_pass,MATCH($E282,rngSM_cat,0)),""))</f>
        <v/>
      </c>
      <c r="I282" s="16" t="n"/>
      <c r="J282" s="16" t="n"/>
      <c r="K282" s="16" t="n"/>
      <c r="L282" s="18" t="n"/>
      <c r="M282" s="16" t="n"/>
      <c r="N282" s="17">
        <f>IF($C282="","",MAX(_xlfn.MAXIFS(nrSK_Att,nrSK_PID,$D282,nrSK_Cat,$E282,nrSK_Res,"Pass"),_xlfn.MAXIFS(nrSK_Att,nrSK_PID,$D282,nrSK_Cat,$E282,nrSK_Res,"Fail")))</f>
        <v/>
      </c>
      <c r="O282" s="17">
        <f>IF($C282="","",IF(AND(MAX(_xlfn.MAXIFS(nrSK_Att,nrSK_PID,$D282,nrSK_Cat,$E282,nrSK_Res,"Pass"),_xlfn.MAXIFS(nrSK_Att,nrSK_PID,$D282,nrSK_Cat,$E282,nrSK_Res,"Fail"))&gt;0,N($I282)&lt;MAX(_xlfn.MAXIFS(nrSK_Att,nrSK_PID,$D282,nrSK_Cat,$E282,nrSK_Res,"Pass"),_xlfn.MAXIFS(nrSK_Att,nrSK_PID,$D282,nrSK_Cat,$E282,nrSK_Res,"Fail"))),"(superseded)",IF(OR($J282="",$J282="Pending"),"Pending",IF($J282="Pass","Qualified",IF(AND($J282="Fail",$N282&gt;=$F282),"FAILED OUT","Needs Remediation")))))</f>
        <v/>
      </c>
      <c r="P282" s="17">
        <f>IF($C282="","",IF($O282="FAILED OUT","Yes","No"))</f>
        <v/>
      </c>
      <c r="Q282" s="16" t="n"/>
      <c r="R282" s="16" t="n"/>
      <c r="S282" s="17">
        <f>IF($C282="","",IF(AND($K282&lt;&gt;"",NOT(ISNUMBER($K282))),"SCORE NOT A NUMBER",IF(AND(ISNUMBER($K282),OR($K282&lt;0,$K282&gt;100)),"SCORE OUT OF RANGE - this score counts toward nothing",IF(AND($G282="Score",$K282="",$J282&lt;&gt;"",$J282&lt;&gt;"Pending"),"RESULT WITHOUT A SCORE",IF(AND($G282="Pass/Fail",$K282&lt;&gt;""),"SCORE ON A PASS-FAIL CATEGORY - it is ignored",IF(AND($E282="Firearms",$J282&lt;&gt;"",$J282&lt;&gt;"Pending",$R282=""),"FIREARMS ROW WITH NO COURSE OF FIRE","OK"))))))</f>
        <v/>
      </c>
    </row>
    <row r="283">
      <c r="B283" s="17">
        <f>IF($C283="","",$D283&amp;"-"&amp;$E283&amp;"-"&amp;$I283)</f>
        <v/>
      </c>
      <c r="C283" s="16" t="n"/>
      <c r="D283" s="17">
        <f>IF($C283="","",IFERROR(INDEX(rngCadetPIDs,MATCH($C283,rngCadetNames,0)),"?"))</f>
        <v/>
      </c>
      <c r="E283" s="16" t="n"/>
      <c r="F283" s="17">
        <f>IF($E283="","",IFERROR(INDEX(rngSM_max,MATCH($E283,rngSM_cat,0)),""))</f>
        <v/>
      </c>
      <c r="G283" s="17">
        <f>IF($E283="","",IFERROR(INDEX(rngSM_mode,MATCH($E283,rngSM_cat,0)),""))</f>
        <v/>
      </c>
      <c r="H283" s="17">
        <f>IF($E283="","",IFERROR(INDEX(rngSM_pass,MATCH($E283,rngSM_cat,0)),""))</f>
        <v/>
      </c>
      <c r="I283" s="16" t="n"/>
      <c r="J283" s="16" t="n"/>
      <c r="K283" s="16" t="n"/>
      <c r="L283" s="18" t="n"/>
      <c r="M283" s="16" t="n"/>
      <c r="N283" s="17">
        <f>IF($C283="","",MAX(_xlfn.MAXIFS(nrSK_Att,nrSK_PID,$D283,nrSK_Cat,$E283,nrSK_Res,"Pass"),_xlfn.MAXIFS(nrSK_Att,nrSK_PID,$D283,nrSK_Cat,$E283,nrSK_Res,"Fail")))</f>
        <v/>
      </c>
      <c r="O283" s="17">
        <f>IF($C283="","",IF(AND(MAX(_xlfn.MAXIFS(nrSK_Att,nrSK_PID,$D283,nrSK_Cat,$E283,nrSK_Res,"Pass"),_xlfn.MAXIFS(nrSK_Att,nrSK_PID,$D283,nrSK_Cat,$E283,nrSK_Res,"Fail"))&gt;0,N($I283)&lt;MAX(_xlfn.MAXIFS(nrSK_Att,nrSK_PID,$D283,nrSK_Cat,$E283,nrSK_Res,"Pass"),_xlfn.MAXIFS(nrSK_Att,nrSK_PID,$D283,nrSK_Cat,$E283,nrSK_Res,"Fail"))),"(superseded)",IF(OR($J283="",$J283="Pending"),"Pending",IF($J283="Pass","Qualified",IF(AND($J283="Fail",$N283&gt;=$F283),"FAILED OUT","Needs Remediation")))))</f>
        <v/>
      </c>
      <c r="P283" s="17">
        <f>IF($C283="","",IF($O283="FAILED OUT","Yes","No"))</f>
        <v/>
      </c>
      <c r="Q283" s="16" t="n"/>
      <c r="R283" s="16" t="n"/>
      <c r="S283" s="17">
        <f>IF($C283="","",IF(AND($K283&lt;&gt;"",NOT(ISNUMBER($K283))),"SCORE NOT A NUMBER",IF(AND(ISNUMBER($K283),OR($K283&lt;0,$K283&gt;100)),"SCORE OUT OF RANGE - this score counts toward nothing",IF(AND($G283="Score",$K283="",$J283&lt;&gt;"",$J283&lt;&gt;"Pending"),"RESULT WITHOUT A SCORE",IF(AND($G283="Pass/Fail",$K283&lt;&gt;""),"SCORE ON A PASS-FAIL CATEGORY - it is ignored",IF(AND($E283="Firearms",$J283&lt;&gt;"",$J283&lt;&gt;"Pending",$R283=""),"FIREARMS ROW WITH NO COURSE OF FIRE","OK"))))))</f>
        <v/>
      </c>
    </row>
    <row r="284">
      <c r="B284" s="17">
        <f>IF($C284="","",$D284&amp;"-"&amp;$E284&amp;"-"&amp;$I284)</f>
        <v/>
      </c>
      <c r="C284" s="16" t="n"/>
      <c r="D284" s="17">
        <f>IF($C284="","",IFERROR(INDEX(rngCadetPIDs,MATCH($C284,rngCadetNames,0)),"?"))</f>
        <v/>
      </c>
      <c r="E284" s="16" t="n"/>
      <c r="F284" s="17">
        <f>IF($E284="","",IFERROR(INDEX(rngSM_max,MATCH($E284,rngSM_cat,0)),""))</f>
        <v/>
      </c>
      <c r="G284" s="17">
        <f>IF($E284="","",IFERROR(INDEX(rngSM_mode,MATCH($E284,rngSM_cat,0)),""))</f>
        <v/>
      </c>
      <c r="H284" s="17">
        <f>IF($E284="","",IFERROR(INDEX(rngSM_pass,MATCH($E284,rngSM_cat,0)),""))</f>
        <v/>
      </c>
      <c r="I284" s="16" t="n"/>
      <c r="J284" s="16" t="n"/>
      <c r="K284" s="16" t="n"/>
      <c r="L284" s="18" t="n"/>
      <c r="M284" s="16" t="n"/>
      <c r="N284" s="17">
        <f>IF($C284="","",MAX(_xlfn.MAXIFS(nrSK_Att,nrSK_PID,$D284,nrSK_Cat,$E284,nrSK_Res,"Pass"),_xlfn.MAXIFS(nrSK_Att,nrSK_PID,$D284,nrSK_Cat,$E284,nrSK_Res,"Fail")))</f>
        <v/>
      </c>
      <c r="O284" s="17">
        <f>IF($C284="","",IF(AND(MAX(_xlfn.MAXIFS(nrSK_Att,nrSK_PID,$D284,nrSK_Cat,$E284,nrSK_Res,"Pass"),_xlfn.MAXIFS(nrSK_Att,nrSK_PID,$D284,nrSK_Cat,$E284,nrSK_Res,"Fail"))&gt;0,N($I284)&lt;MAX(_xlfn.MAXIFS(nrSK_Att,nrSK_PID,$D284,nrSK_Cat,$E284,nrSK_Res,"Pass"),_xlfn.MAXIFS(nrSK_Att,nrSK_PID,$D284,nrSK_Cat,$E284,nrSK_Res,"Fail"))),"(superseded)",IF(OR($J284="",$J284="Pending"),"Pending",IF($J284="Pass","Qualified",IF(AND($J284="Fail",$N284&gt;=$F284),"FAILED OUT","Needs Remediation")))))</f>
        <v/>
      </c>
      <c r="P284" s="17">
        <f>IF($C284="","",IF($O284="FAILED OUT","Yes","No"))</f>
        <v/>
      </c>
      <c r="Q284" s="16" t="n"/>
      <c r="R284" s="16" t="n"/>
      <c r="S284" s="17">
        <f>IF($C284="","",IF(AND($K284&lt;&gt;"",NOT(ISNUMBER($K284))),"SCORE NOT A NUMBER",IF(AND(ISNUMBER($K284),OR($K284&lt;0,$K284&gt;100)),"SCORE OUT OF RANGE - this score counts toward nothing",IF(AND($G284="Score",$K284="",$J284&lt;&gt;"",$J284&lt;&gt;"Pending"),"RESULT WITHOUT A SCORE",IF(AND($G284="Pass/Fail",$K284&lt;&gt;""),"SCORE ON A PASS-FAIL CATEGORY - it is ignored",IF(AND($E284="Firearms",$J284&lt;&gt;"",$J284&lt;&gt;"Pending",$R284=""),"FIREARMS ROW WITH NO COURSE OF FIRE","OK"))))))</f>
        <v/>
      </c>
    </row>
    <row r="285">
      <c r="B285" s="17">
        <f>IF($C285="","",$D285&amp;"-"&amp;$E285&amp;"-"&amp;$I285)</f>
        <v/>
      </c>
      <c r="C285" s="16" t="n"/>
      <c r="D285" s="17">
        <f>IF($C285="","",IFERROR(INDEX(rngCadetPIDs,MATCH($C285,rngCadetNames,0)),"?"))</f>
        <v/>
      </c>
      <c r="E285" s="16" t="n"/>
      <c r="F285" s="17">
        <f>IF($E285="","",IFERROR(INDEX(rngSM_max,MATCH($E285,rngSM_cat,0)),""))</f>
        <v/>
      </c>
      <c r="G285" s="17">
        <f>IF($E285="","",IFERROR(INDEX(rngSM_mode,MATCH($E285,rngSM_cat,0)),""))</f>
        <v/>
      </c>
      <c r="H285" s="17">
        <f>IF($E285="","",IFERROR(INDEX(rngSM_pass,MATCH($E285,rngSM_cat,0)),""))</f>
        <v/>
      </c>
      <c r="I285" s="16" t="n"/>
      <c r="J285" s="16" t="n"/>
      <c r="K285" s="16" t="n"/>
      <c r="L285" s="18" t="n"/>
      <c r="M285" s="16" t="n"/>
      <c r="N285" s="17">
        <f>IF($C285="","",MAX(_xlfn.MAXIFS(nrSK_Att,nrSK_PID,$D285,nrSK_Cat,$E285,nrSK_Res,"Pass"),_xlfn.MAXIFS(nrSK_Att,nrSK_PID,$D285,nrSK_Cat,$E285,nrSK_Res,"Fail")))</f>
        <v/>
      </c>
      <c r="O285" s="17">
        <f>IF($C285="","",IF(AND(MAX(_xlfn.MAXIFS(nrSK_Att,nrSK_PID,$D285,nrSK_Cat,$E285,nrSK_Res,"Pass"),_xlfn.MAXIFS(nrSK_Att,nrSK_PID,$D285,nrSK_Cat,$E285,nrSK_Res,"Fail"))&gt;0,N($I285)&lt;MAX(_xlfn.MAXIFS(nrSK_Att,nrSK_PID,$D285,nrSK_Cat,$E285,nrSK_Res,"Pass"),_xlfn.MAXIFS(nrSK_Att,nrSK_PID,$D285,nrSK_Cat,$E285,nrSK_Res,"Fail"))),"(superseded)",IF(OR($J285="",$J285="Pending"),"Pending",IF($J285="Pass","Qualified",IF(AND($J285="Fail",$N285&gt;=$F285),"FAILED OUT","Needs Remediation")))))</f>
        <v/>
      </c>
      <c r="P285" s="17">
        <f>IF($C285="","",IF($O285="FAILED OUT","Yes","No"))</f>
        <v/>
      </c>
      <c r="Q285" s="16" t="n"/>
      <c r="R285" s="16" t="n"/>
      <c r="S285" s="17">
        <f>IF($C285="","",IF(AND($K285&lt;&gt;"",NOT(ISNUMBER($K285))),"SCORE NOT A NUMBER",IF(AND(ISNUMBER($K285),OR($K285&lt;0,$K285&gt;100)),"SCORE OUT OF RANGE - this score counts toward nothing",IF(AND($G285="Score",$K285="",$J285&lt;&gt;"",$J285&lt;&gt;"Pending"),"RESULT WITHOUT A SCORE",IF(AND($G285="Pass/Fail",$K285&lt;&gt;""),"SCORE ON A PASS-FAIL CATEGORY - it is ignored",IF(AND($E285="Firearms",$J285&lt;&gt;"",$J285&lt;&gt;"Pending",$R285=""),"FIREARMS ROW WITH NO COURSE OF FIRE","OK"))))))</f>
        <v/>
      </c>
    </row>
    <row r="286">
      <c r="B286" s="17">
        <f>IF($C286="","",$D286&amp;"-"&amp;$E286&amp;"-"&amp;$I286)</f>
        <v/>
      </c>
      <c r="C286" s="16" t="n"/>
      <c r="D286" s="17">
        <f>IF($C286="","",IFERROR(INDEX(rngCadetPIDs,MATCH($C286,rngCadetNames,0)),"?"))</f>
        <v/>
      </c>
      <c r="E286" s="16" t="n"/>
      <c r="F286" s="17">
        <f>IF($E286="","",IFERROR(INDEX(rngSM_max,MATCH($E286,rngSM_cat,0)),""))</f>
        <v/>
      </c>
      <c r="G286" s="17">
        <f>IF($E286="","",IFERROR(INDEX(rngSM_mode,MATCH($E286,rngSM_cat,0)),""))</f>
        <v/>
      </c>
      <c r="H286" s="17">
        <f>IF($E286="","",IFERROR(INDEX(rngSM_pass,MATCH($E286,rngSM_cat,0)),""))</f>
        <v/>
      </c>
      <c r="I286" s="16" t="n"/>
      <c r="J286" s="16" t="n"/>
      <c r="K286" s="16" t="n"/>
      <c r="L286" s="18" t="n"/>
      <c r="M286" s="16" t="n"/>
      <c r="N286" s="17">
        <f>IF($C286="","",MAX(_xlfn.MAXIFS(nrSK_Att,nrSK_PID,$D286,nrSK_Cat,$E286,nrSK_Res,"Pass"),_xlfn.MAXIFS(nrSK_Att,nrSK_PID,$D286,nrSK_Cat,$E286,nrSK_Res,"Fail")))</f>
        <v/>
      </c>
      <c r="O286" s="17">
        <f>IF($C286="","",IF(AND(MAX(_xlfn.MAXIFS(nrSK_Att,nrSK_PID,$D286,nrSK_Cat,$E286,nrSK_Res,"Pass"),_xlfn.MAXIFS(nrSK_Att,nrSK_PID,$D286,nrSK_Cat,$E286,nrSK_Res,"Fail"))&gt;0,N($I286)&lt;MAX(_xlfn.MAXIFS(nrSK_Att,nrSK_PID,$D286,nrSK_Cat,$E286,nrSK_Res,"Pass"),_xlfn.MAXIFS(nrSK_Att,nrSK_PID,$D286,nrSK_Cat,$E286,nrSK_Res,"Fail"))),"(superseded)",IF(OR($J286="",$J286="Pending"),"Pending",IF($J286="Pass","Qualified",IF(AND($J286="Fail",$N286&gt;=$F286),"FAILED OUT","Needs Remediation")))))</f>
        <v/>
      </c>
      <c r="P286" s="17">
        <f>IF($C286="","",IF($O286="FAILED OUT","Yes","No"))</f>
        <v/>
      </c>
      <c r="Q286" s="16" t="n"/>
      <c r="R286" s="16" t="n"/>
      <c r="S286" s="17">
        <f>IF($C286="","",IF(AND($K286&lt;&gt;"",NOT(ISNUMBER($K286))),"SCORE NOT A NUMBER",IF(AND(ISNUMBER($K286),OR($K286&lt;0,$K286&gt;100)),"SCORE OUT OF RANGE - this score counts toward nothing",IF(AND($G286="Score",$K286="",$J286&lt;&gt;"",$J286&lt;&gt;"Pending"),"RESULT WITHOUT A SCORE",IF(AND($G286="Pass/Fail",$K286&lt;&gt;""),"SCORE ON A PASS-FAIL CATEGORY - it is ignored",IF(AND($E286="Firearms",$J286&lt;&gt;"",$J286&lt;&gt;"Pending",$R286=""),"FIREARMS ROW WITH NO COURSE OF FIRE","OK"))))))</f>
        <v/>
      </c>
    </row>
    <row r="287">
      <c r="B287" s="17">
        <f>IF($C287="","",$D287&amp;"-"&amp;$E287&amp;"-"&amp;$I287)</f>
        <v/>
      </c>
      <c r="C287" s="16" t="n"/>
      <c r="D287" s="17">
        <f>IF($C287="","",IFERROR(INDEX(rngCadetPIDs,MATCH($C287,rngCadetNames,0)),"?"))</f>
        <v/>
      </c>
      <c r="E287" s="16" t="n"/>
      <c r="F287" s="17">
        <f>IF($E287="","",IFERROR(INDEX(rngSM_max,MATCH($E287,rngSM_cat,0)),""))</f>
        <v/>
      </c>
      <c r="G287" s="17">
        <f>IF($E287="","",IFERROR(INDEX(rngSM_mode,MATCH($E287,rngSM_cat,0)),""))</f>
        <v/>
      </c>
      <c r="H287" s="17">
        <f>IF($E287="","",IFERROR(INDEX(rngSM_pass,MATCH($E287,rngSM_cat,0)),""))</f>
        <v/>
      </c>
      <c r="I287" s="16" t="n"/>
      <c r="J287" s="16" t="n"/>
      <c r="K287" s="16" t="n"/>
      <c r="L287" s="18" t="n"/>
      <c r="M287" s="16" t="n"/>
      <c r="N287" s="17">
        <f>IF($C287="","",MAX(_xlfn.MAXIFS(nrSK_Att,nrSK_PID,$D287,nrSK_Cat,$E287,nrSK_Res,"Pass"),_xlfn.MAXIFS(nrSK_Att,nrSK_PID,$D287,nrSK_Cat,$E287,nrSK_Res,"Fail")))</f>
        <v/>
      </c>
      <c r="O287" s="17">
        <f>IF($C287="","",IF(AND(MAX(_xlfn.MAXIFS(nrSK_Att,nrSK_PID,$D287,nrSK_Cat,$E287,nrSK_Res,"Pass"),_xlfn.MAXIFS(nrSK_Att,nrSK_PID,$D287,nrSK_Cat,$E287,nrSK_Res,"Fail"))&gt;0,N($I287)&lt;MAX(_xlfn.MAXIFS(nrSK_Att,nrSK_PID,$D287,nrSK_Cat,$E287,nrSK_Res,"Pass"),_xlfn.MAXIFS(nrSK_Att,nrSK_PID,$D287,nrSK_Cat,$E287,nrSK_Res,"Fail"))),"(superseded)",IF(OR($J287="",$J287="Pending"),"Pending",IF($J287="Pass","Qualified",IF(AND($J287="Fail",$N287&gt;=$F287),"FAILED OUT","Needs Remediation")))))</f>
        <v/>
      </c>
      <c r="P287" s="17">
        <f>IF($C287="","",IF($O287="FAILED OUT","Yes","No"))</f>
        <v/>
      </c>
      <c r="Q287" s="16" t="n"/>
      <c r="R287" s="16" t="n"/>
      <c r="S287" s="17">
        <f>IF($C287="","",IF(AND($K287&lt;&gt;"",NOT(ISNUMBER($K287))),"SCORE NOT A NUMBER",IF(AND(ISNUMBER($K287),OR($K287&lt;0,$K287&gt;100)),"SCORE OUT OF RANGE - this score counts toward nothing",IF(AND($G287="Score",$K287="",$J287&lt;&gt;"",$J287&lt;&gt;"Pending"),"RESULT WITHOUT A SCORE",IF(AND($G287="Pass/Fail",$K287&lt;&gt;""),"SCORE ON A PASS-FAIL CATEGORY - it is ignored",IF(AND($E287="Firearms",$J287&lt;&gt;"",$J287&lt;&gt;"Pending",$R287=""),"FIREARMS ROW WITH NO COURSE OF FIRE","OK"))))))</f>
        <v/>
      </c>
    </row>
    <row r="288">
      <c r="B288" s="17">
        <f>IF($C288="","",$D288&amp;"-"&amp;$E288&amp;"-"&amp;$I288)</f>
        <v/>
      </c>
      <c r="C288" s="16" t="n"/>
      <c r="D288" s="17">
        <f>IF($C288="","",IFERROR(INDEX(rngCadetPIDs,MATCH($C288,rngCadetNames,0)),"?"))</f>
        <v/>
      </c>
      <c r="E288" s="16" t="n"/>
      <c r="F288" s="17">
        <f>IF($E288="","",IFERROR(INDEX(rngSM_max,MATCH($E288,rngSM_cat,0)),""))</f>
        <v/>
      </c>
      <c r="G288" s="17">
        <f>IF($E288="","",IFERROR(INDEX(rngSM_mode,MATCH($E288,rngSM_cat,0)),""))</f>
        <v/>
      </c>
      <c r="H288" s="17">
        <f>IF($E288="","",IFERROR(INDEX(rngSM_pass,MATCH($E288,rngSM_cat,0)),""))</f>
        <v/>
      </c>
      <c r="I288" s="16" t="n"/>
      <c r="J288" s="16" t="n"/>
      <c r="K288" s="16" t="n"/>
      <c r="L288" s="18" t="n"/>
      <c r="M288" s="16" t="n"/>
      <c r="N288" s="17">
        <f>IF($C288="","",MAX(_xlfn.MAXIFS(nrSK_Att,nrSK_PID,$D288,nrSK_Cat,$E288,nrSK_Res,"Pass"),_xlfn.MAXIFS(nrSK_Att,nrSK_PID,$D288,nrSK_Cat,$E288,nrSK_Res,"Fail")))</f>
        <v/>
      </c>
      <c r="O288" s="17">
        <f>IF($C288="","",IF(AND(MAX(_xlfn.MAXIFS(nrSK_Att,nrSK_PID,$D288,nrSK_Cat,$E288,nrSK_Res,"Pass"),_xlfn.MAXIFS(nrSK_Att,nrSK_PID,$D288,nrSK_Cat,$E288,nrSK_Res,"Fail"))&gt;0,N($I288)&lt;MAX(_xlfn.MAXIFS(nrSK_Att,nrSK_PID,$D288,nrSK_Cat,$E288,nrSK_Res,"Pass"),_xlfn.MAXIFS(nrSK_Att,nrSK_PID,$D288,nrSK_Cat,$E288,nrSK_Res,"Fail"))),"(superseded)",IF(OR($J288="",$J288="Pending"),"Pending",IF($J288="Pass","Qualified",IF(AND($J288="Fail",$N288&gt;=$F288),"FAILED OUT","Needs Remediation")))))</f>
        <v/>
      </c>
      <c r="P288" s="17">
        <f>IF($C288="","",IF($O288="FAILED OUT","Yes","No"))</f>
        <v/>
      </c>
      <c r="Q288" s="16" t="n"/>
      <c r="R288" s="16" t="n"/>
      <c r="S288" s="17">
        <f>IF($C288="","",IF(AND($K288&lt;&gt;"",NOT(ISNUMBER($K288))),"SCORE NOT A NUMBER",IF(AND(ISNUMBER($K288),OR($K288&lt;0,$K288&gt;100)),"SCORE OUT OF RANGE - this score counts toward nothing",IF(AND($G288="Score",$K288="",$J288&lt;&gt;"",$J288&lt;&gt;"Pending"),"RESULT WITHOUT A SCORE",IF(AND($G288="Pass/Fail",$K288&lt;&gt;""),"SCORE ON A PASS-FAIL CATEGORY - it is ignored",IF(AND($E288="Firearms",$J288&lt;&gt;"",$J288&lt;&gt;"Pending",$R288=""),"FIREARMS ROW WITH NO COURSE OF FIRE","OK"))))))</f>
        <v/>
      </c>
    </row>
    <row r="289">
      <c r="B289" s="17">
        <f>IF($C289="","",$D289&amp;"-"&amp;$E289&amp;"-"&amp;$I289)</f>
        <v/>
      </c>
      <c r="C289" s="16" t="n"/>
      <c r="D289" s="17">
        <f>IF($C289="","",IFERROR(INDEX(rngCadetPIDs,MATCH($C289,rngCadetNames,0)),"?"))</f>
        <v/>
      </c>
      <c r="E289" s="16" t="n"/>
      <c r="F289" s="17">
        <f>IF($E289="","",IFERROR(INDEX(rngSM_max,MATCH($E289,rngSM_cat,0)),""))</f>
        <v/>
      </c>
      <c r="G289" s="17">
        <f>IF($E289="","",IFERROR(INDEX(rngSM_mode,MATCH($E289,rngSM_cat,0)),""))</f>
        <v/>
      </c>
      <c r="H289" s="17">
        <f>IF($E289="","",IFERROR(INDEX(rngSM_pass,MATCH($E289,rngSM_cat,0)),""))</f>
        <v/>
      </c>
      <c r="I289" s="16" t="n"/>
      <c r="J289" s="16" t="n"/>
      <c r="K289" s="16" t="n"/>
      <c r="L289" s="18" t="n"/>
      <c r="M289" s="16" t="n"/>
      <c r="N289" s="17">
        <f>IF($C289="","",MAX(_xlfn.MAXIFS(nrSK_Att,nrSK_PID,$D289,nrSK_Cat,$E289,nrSK_Res,"Pass"),_xlfn.MAXIFS(nrSK_Att,nrSK_PID,$D289,nrSK_Cat,$E289,nrSK_Res,"Fail")))</f>
        <v/>
      </c>
      <c r="O289" s="17">
        <f>IF($C289="","",IF(AND(MAX(_xlfn.MAXIFS(nrSK_Att,nrSK_PID,$D289,nrSK_Cat,$E289,nrSK_Res,"Pass"),_xlfn.MAXIFS(nrSK_Att,nrSK_PID,$D289,nrSK_Cat,$E289,nrSK_Res,"Fail"))&gt;0,N($I289)&lt;MAX(_xlfn.MAXIFS(nrSK_Att,nrSK_PID,$D289,nrSK_Cat,$E289,nrSK_Res,"Pass"),_xlfn.MAXIFS(nrSK_Att,nrSK_PID,$D289,nrSK_Cat,$E289,nrSK_Res,"Fail"))),"(superseded)",IF(OR($J289="",$J289="Pending"),"Pending",IF($J289="Pass","Qualified",IF(AND($J289="Fail",$N289&gt;=$F289),"FAILED OUT","Needs Remediation")))))</f>
        <v/>
      </c>
      <c r="P289" s="17">
        <f>IF($C289="","",IF($O289="FAILED OUT","Yes","No"))</f>
        <v/>
      </c>
      <c r="Q289" s="16" t="n"/>
      <c r="R289" s="16" t="n"/>
      <c r="S289" s="17">
        <f>IF($C289="","",IF(AND($K289&lt;&gt;"",NOT(ISNUMBER($K289))),"SCORE NOT A NUMBER",IF(AND(ISNUMBER($K289),OR($K289&lt;0,$K289&gt;100)),"SCORE OUT OF RANGE - this score counts toward nothing",IF(AND($G289="Score",$K289="",$J289&lt;&gt;"",$J289&lt;&gt;"Pending"),"RESULT WITHOUT A SCORE",IF(AND($G289="Pass/Fail",$K289&lt;&gt;""),"SCORE ON A PASS-FAIL CATEGORY - it is ignored",IF(AND($E289="Firearms",$J289&lt;&gt;"",$J289&lt;&gt;"Pending",$R289=""),"FIREARMS ROW WITH NO COURSE OF FIRE","OK"))))))</f>
        <v/>
      </c>
    </row>
    <row r="290">
      <c r="B290" s="17">
        <f>IF($C290="","",$D290&amp;"-"&amp;$E290&amp;"-"&amp;$I290)</f>
        <v/>
      </c>
      <c r="C290" s="16" t="n"/>
      <c r="D290" s="17">
        <f>IF($C290="","",IFERROR(INDEX(rngCadetPIDs,MATCH($C290,rngCadetNames,0)),"?"))</f>
        <v/>
      </c>
      <c r="E290" s="16" t="n"/>
      <c r="F290" s="17">
        <f>IF($E290="","",IFERROR(INDEX(rngSM_max,MATCH($E290,rngSM_cat,0)),""))</f>
        <v/>
      </c>
      <c r="G290" s="17">
        <f>IF($E290="","",IFERROR(INDEX(rngSM_mode,MATCH($E290,rngSM_cat,0)),""))</f>
        <v/>
      </c>
      <c r="H290" s="17">
        <f>IF($E290="","",IFERROR(INDEX(rngSM_pass,MATCH($E290,rngSM_cat,0)),""))</f>
        <v/>
      </c>
      <c r="I290" s="16" t="n"/>
      <c r="J290" s="16" t="n"/>
      <c r="K290" s="16" t="n"/>
      <c r="L290" s="18" t="n"/>
      <c r="M290" s="16" t="n"/>
      <c r="N290" s="17">
        <f>IF($C290="","",MAX(_xlfn.MAXIFS(nrSK_Att,nrSK_PID,$D290,nrSK_Cat,$E290,nrSK_Res,"Pass"),_xlfn.MAXIFS(nrSK_Att,nrSK_PID,$D290,nrSK_Cat,$E290,nrSK_Res,"Fail")))</f>
        <v/>
      </c>
      <c r="O290" s="17">
        <f>IF($C290="","",IF(AND(MAX(_xlfn.MAXIFS(nrSK_Att,nrSK_PID,$D290,nrSK_Cat,$E290,nrSK_Res,"Pass"),_xlfn.MAXIFS(nrSK_Att,nrSK_PID,$D290,nrSK_Cat,$E290,nrSK_Res,"Fail"))&gt;0,N($I290)&lt;MAX(_xlfn.MAXIFS(nrSK_Att,nrSK_PID,$D290,nrSK_Cat,$E290,nrSK_Res,"Pass"),_xlfn.MAXIFS(nrSK_Att,nrSK_PID,$D290,nrSK_Cat,$E290,nrSK_Res,"Fail"))),"(superseded)",IF(OR($J290="",$J290="Pending"),"Pending",IF($J290="Pass","Qualified",IF(AND($J290="Fail",$N290&gt;=$F290),"FAILED OUT","Needs Remediation")))))</f>
        <v/>
      </c>
      <c r="P290" s="17">
        <f>IF($C290="","",IF($O290="FAILED OUT","Yes","No"))</f>
        <v/>
      </c>
      <c r="Q290" s="16" t="n"/>
      <c r="R290" s="16" t="n"/>
      <c r="S290" s="17">
        <f>IF($C290="","",IF(AND($K290&lt;&gt;"",NOT(ISNUMBER($K290))),"SCORE NOT A NUMBER",IF(AND(ISNUMBER($K290),OR($K290&lt;0,$K290&gt;100)),"SCORE OUT OF RANGE - this score counts toward nothing",IF(AND($G290="Score",$K290="",$J290&lt;&gt;"",$J290&lt;&gt;"Pending"),"RESULT WITHOUT A SCORE",IF(AND($G290="Pass/Fail",$K290&lt;&gt;""),"SCORE ON A PASS-FAIL CATEGORY - it is ignored",IF(AND($E290="Firearms",$J290&lt;&gt;"",$J290&lt;&gt;"Pending",$R290=""),"FIREARMS ROW WITH NO COURSE OF FIRE","OK"))))))</f>
        <v/>
      </c>
    </row>
    <row r="291">
      <c r="B291" s="17">
        <f>IF($C291="","",$D291&amp;"-"&amp;$E291&amp;"-"&amp;$I291)</f>
        <v/>
      </c>
      <c r="C291" s="16" t="n"/>
      <c r="D291" s="17">
        <f>IF($C291="","",IFERROR(INDEX(rngCadetPIDs,MATCH($C291,rngCadetNames,0)),"?"))</f>
        <v/>
      </c>
      <c r="E291" s="16" t="n"/>
      <c r="F291" s="17">
        <f>IF($E291="","",IFERROR(INDEX(rngSM_max,MATCH($E291,rngSM_cat,0)),""))</f>
        <v/>
      </c>
      <c r="G291" s="17">
        <f>IF($E291="","",IFERROR(INDEX(rngSM_mode,MATCH($E291,rngSM_cat,0)),""))</f>
        <v/>
      </c>
      <c r="H291" s="17">
        <f>IF($E291="","",IFERROR(INDEX(rngSM_pass,MATCH($E291,rngSM_cat,0)),""))</f>
        <v/>
      </c>
      <c r="I291" s="16" t="n"/>
      <c r="J291" s="16" t="n"/>
      <c r="K291" s="16" t="n"/>
      <c r="L291" s="18" t="n"/>
      <c r="M291" s="16" t="n"/>
      <c r="N291" s="17">
        <f>IF($C291="","",MAX(_xlfn.MAXIFS(nrSK_Att,nrSK_PID,$D291,nrSK_Cat,$E291,nrSK_Res,"Pass"),_xlfn.MAXIFS(nrSK_Att,nrSK_PID,$D291,nrSK_Cat,$E291,nrSK_Res,"Fail")))</f>
        <v/>
      </c>
      <c r="O291" s="17">
        <f>IF($C291="","",IF(AND(MAX(_xlfn.MAXIFS(nrSK_Att,nrSK_PID,$D291,nrSK_Cat,$E291,nrSK_Res,"Pass"),_xlfn.MAXIFS(nrSK_Att,nrSK_PID,$D291,nrSK_Cat,$E291,nrSK_Res,"Fail"))&gt;0,N($I291)&lt;MAX(_xlfn.MAXIFS(nrSK_Att,nrSK_PID,$D291,nrSK_Cat,$E291,nrSK_Res,"Pass"),_xlfn.MAXIFS(nrSK_Att,nrSK_PID,$D291,nrSK_Cat,$E291,nrSK_Res,"Fail"))),"(superseded)",IF(OR($J291="",$J291="Pending"),"Pending",IF($J291="Pass","Qualified",IF(AND($J291="Fail",$N291&gt;=$F291),"FAILED OUT","Needs Remediation")))))</f>
        <v/>
      </c>
      <c r="P291" s="17">
        <f>IF($C291="","",IF($O291="FAILED OUT","Yes","No"))</f>
        <v/>
      </c>
      <c r="Q291" s="16" t="n"/>
      <c r="R291" s="16" t="n"/>
      <c r="S291" s="17">
        <f>IF($C291="","",IF(AND($K291&lt;&gt;"",NOT(ISNUMBER($K291))),"SCORE NOT A NUMBER",IF(AND(ISNUMBER($K291),OR($K291&lt;0,$K291&gt;100)),"SCORE OUT OF RANGE - this score counts toward nothing",IF(AND($G291="Score",$K291="",$J291&lt;&gt;"",$J291&lt;&gt;"Pending"),"RESULT WITHOUT A SCORE",IF(AND($G291="Pass/Fail",$K291&lt;&gt;""),"SCORE ON A PASS-FAIL CATEGORY - it is ignored",IF(AND($E291="Firearms",$J291&lt;&gt;"",$J291&lt;&gt;"Pending",$R291=""),"FIREARMS ROW WITH NO COURSE OF FIRE","OK"))))))</f>
        <v/>
      </c>
    </row>
    <row r="292">
      <c r="B292" s="17">
        <f>IF($C292="","",$D292&amp;"-"&amp;$E292&amp;"-"&amp;$I292)</f>
        <v/>
      </c>
      <c r="C292" s="16" t="n"/>
      <c r="D292" s="17">
        <f>IF($C292="","",IFERROR(INDEX(rngCadetPIDs,MATCH($C292,rngCadetNames,0)),"?"))</f>
        <v/>
      </c>
      <c r="E292" s="16" t="n"/>
      <c r="F292" s="17">
        <f>IF($E292="","",IFERROR(INDEX(rngSM_max,MATCH($E292,rngSM_cat,0)),""))</f>
        <v/>
      </c>
      <c r="G292" s="17">
        <f>IF($E292="","",IFERROR(INDEX(rngSM_mode,MATCH($E292,rngSM_cat,0)),""))</f>
        <v/>
      </c>
      <c r="H292" s="17">
        <f>IF($E292="","",IFERROR(INDEX(rngSM_pass,MATCH($E292,rngSM_cat,0)),""))</f>
        <v/>
      </c>
      <c r="I292" s="16" t="n"/>
      <c r="J292" s="16" t="n"/>
      <c r="K292" s="16" t="n"/>
      <c r="L292" s="18" t="n"/>
      <c r="M292" s="16" t="n"/>
      <c r="N292" s="17">
        <f>IF($C292="","",MAX(_xlfn.MAXIFS(nrSK_Att,nrSK_PID,$D292,nrSK_Cat,$E292,nrSK_Res,"Pass"),_xlfn.MAXIFS(nrSK_Att,nrSK_PID,$D292,nrSK_Cat,$E292,nrSK_Res,"Fail")))</f>
        <v/>
      </c>
      <c r="O292" s="17">
        <f>IF($C292="","",IF(AND(MAX(_xlfn.MAXIFS(nrSK_Att,nrSK_PID,$D292,nrSK_Cat,$E292,nrSK_Res,"Pass"),_xlfn.MAXIFS(nrSK_Att,nrSK_PID,$D292,nrSK_Cat,$E292,nrSK_Res,"Fail"))&gt;0,N($I292)&lt;MAX(_xlfn.MAXIFS(nrSK_Att,nrSK_PID,$D292,nrSK_Cat,$E292,nrSK_Res,"Pass"),_xlfn.MAXIFS(nrSK_Att,nrSK_PID,$D292,nrSK_Cat,$E292,nrSK_Res,"Fail"))),"(superseded)",IF(OR($J292="",$J292="Pending"),"Pending",IF($J292="Pass","Qualified",IF(AND($J292="Fail",$N292&gt;=$F292),"FAILED OUT","Needs Remediation")))))</f>
        <v/>
      </c>
      <c r="P292" s="17">
        <f>IF($C292="","",IF($O292="FAILED OUT","Yes","No"))</f>
        <v/>
      </c>
      <c r="Q292" s="16" t="n"/>
      <c r="R292" s="16" t="n"/>
      <c r="S292" s="17">
        <f>IF($C292="","",IF(AND($K292&lt;&gt;"",NOT(ISNUMBER($K292))),"SCORE NOT A NUMBER",IF(AND(ISNUMBER($K292),OR($K292&lt;0,$K292&gt;100)),"SCORE OUT OF RANGE - this score counts toward nothing",IF(AND($G292="Score",$K292="",$J292&lt;&gt;"",$J292&lt;&gt;"Pending"),"RESULT WITHOUT A SCORE",IF(AND($G292="Pass/Fail",$K292&lt;&gt;""),"SCORE ON A PASS-FAIL CATEGORY - it is ignored",IF(AND($E292="Firearms",$J292&lt;&gt;"",$J292&lt;&gt;"Pending",$R292=""),"FIREARMS ROW WITH NO COURSE OF FIRE","OK"))))))</f>
        <v/>
      </c>
    </row>
    <row r="293">
      <c r="B293" s="17">
        <f>IF($C293="","",$D293&amp;"-"&amp;$E293&amp;"-"&amp;$I293)</f>
        <v/>
      </c>
      <c r="C293" s="16" t="n"/>
      <c r="D293" s="17">
        <f>IF($C293="","",IFERROR(INDEX(rngCadetPIDs,MATCH($C293,rngCadetNames,0)),"?"))</f>
        <v/>
      </c>
      <c r="E293" s="16" t="n"/>
      <c r="F293" s="17">
        <f>IF($E293="","",IFERROR(INDEX(rngSM_max,MATCH($E293,rngSM_cat,0)),""))</f>
        <v/>
      </c>
      <c r="G293" s="17">
        <f>IF($E293="","",IFERROR(INDEX(rngSM_mode,MATCH($E293,rngSM_cat,0)),""))</f>
        <v/>
      </c>
      <c r="H293" s="17">
        <f>IF($E293="","",IFERROR(INDEX(rngSM_pass,MATCH($E293,rngSM_cat,0)),""))</f>
        <v/>
      </c>
      <c r="I293" s="16" t="n"/>
      <c r="J293" s="16" t="n"/>
      <c r="K293" s="16" t="n"/>
      <c r="L293" s="18" t="n"/>
      <c r="M293" s="16" t="n"/>
      <c r="N293" s="17">
        <f>IF($C293="","",MAX(_xlfn.MAXIFS(nrSK_Att,nrSK_PID,$D293,nrSK_Cat,$E293,nrSK_Res,"Pass"),_xlfn.MAXIFS(nrSK_Att,nrSK_PID,$D293,nrSK_Cat,$E293,nrSK_Res,"Fail")))</f>
        <v/>
      </c>
      <c r="O293" s="17">
        <f>IF($C293="","",IF(AND(MAX(_xlfn.MAXIFS(nrSK_Att,nrSK_PID,$D293,nrSK_Cat,$E293,nrSK_Res,"Pass"),_xlfn.MAXIFS(nrSK_Att,nrSK_PID,$D293,nrSK_Cat,$E293,nrSK_Res,"Fail"))&gt;0,N($I293)&lt;MAX(_xlfn.MAXIFS(nrSK_Att,nrSK_PID,$D293,nrSK_Cat,$E293,nrSK_Res,"Pass"),_xlfn.MAXIFS(nrSK_Att,nrSK_PID,$D293,nrSK_Cat,$E293,nrSK_Res,"Fail"))),"(superseded)",IF(OR($J293="",$J293="Pending"),"Pending",IF($J293="Pass","Qualified",IF(AND($J293="Fail",$N293&gt;=$F293),"FAILED OUT","Needs Remediation")))))</f>
        <v/>
      </c>
      <c r="P293" s="17">
        <f>IF($C293="","",IF($O293="FAILED OUT","Yes","No"))</f>
        <v/>
      </c>
      <c r="Q293" s="16" t="n"/>
      <c r="R293" s="16" t="n"/>
      <c r="S293" s="17">
        <f>IF($C293="","",IF(AND($K293&lt;&gt;"",NOT(ISNUMBER($K293))),"SCORE NOT A NUMBER",IF(AND(ISNUMBER($K293),OR($K293&lt;0,$K293&gt;100)),"SCORE OUT OF RANGE - this score counts toward nothing",IF(AND($G293="Score",$K293="",$J293&lt;&gt;"",$J293&lt;&gt;"Pending"),"RESULT WITHOUT A SCORE",IF(AND($G293="Pass/Fail",$K293&lt;&gt;""),"SCORE ON A PASS-FAIL CATEGORY - it is ignored",IF(AND($E293="Firearms",$J293&lt;&gt;"",$J293&lt;&gt;"Pending",$R293=""),"FIREARMS ROW WITH NO COURSE OF FIRE","OK"))))))</f>
        <v/>
      </c>
    </row>
    <row r="294">
      <c r="B294" s="17">
        <f>IF($C294="","",$D294&amp;"-"&amp;$E294&amp;"-"&amp;$I294)</f>
        <v/>
      </c>
      <c r="C294" s="16" t="n"/>
      <c r="D294" s="17">
        <f>IF($C294="","",IFERROR(INDEX(rngCadetPIDs,MATCH($C294,rngCadetNames,0)),"?"))</f>
        <v/>
      </c>
      <c r="E294" s="16" t="n"/>
      <c r="F294" s="17">
        <f>IF($E294="","",IFERROR(INDEX(rngSM_max,MATCH($E294,rngSM_cat,0)),""))</f>
        <v/>
      </c>
      <c r="G294" s="17">
        <f>IF($E294="","",IFERROR(INDEX(rngSM_mode,MATCH($E294,rngSM_cat,0)),""))</f>
        <v/>
      </c>
      <c r="H294" s="17">
        <f>IF($E294="","",IFERROR(INDEX(rngSM_pass,MATCH($E294,rngSM_cat,0)),""))</f>
        <v/>
      </c>
      <c r="I294" s="16" t="n"/>
      <c r="J294" s="16" t="n"/>
      <c r="K294" s="16" t="n"/>
      <c r="L294" s="18" t="n"/>
      <c r="M294" s="16" t="n"/>
      <c r="N294" s="17">
        <f>IF($C294="","",MAX(_xlfn.MAXIFS(nrSK_Att,nrSK_PID,$D294,nrSK_Cat,$E294,nrSK_Res,"Pass"),_xlfn.MAXIFS(nrSK_Att,nrSK_PID,$D294,nrSK_Cat,$E294,nrSK_Res,"Fail")))</f>
        <v/>
      </c>
      <c r="O294" s="17">
        <f>IF($C294="","",IF(AND(MAX(_xlfn.MAXIFS(nrSK_Att,nrSK_PID,$D294,nrSK_Cat,$E294,nrSK_Res,"Pass"),_xlfn.MAXIFS(nrSK_Att,nrSK_PID,$D294,nrSK_Cat,$E294,nrSK_Res,"Fail"))&gt;0,N($I294)&lt;MAX(_xlfn.MAXIFS(nrSK_Att,nrSK_PID,$D294,nrSK_Cat,$E294,nrSK_Res,"Pass"),_xlfn.MAXIFS(nrSK_Att,nrSK_PID,$D294,nrSK_Cat,$E294,nrSK_Res,"Fail"))),"(superseded)",IF(OR($J294="",$J294="Pending"),"Pending",IF($J294="Pass","Qualified",IF(AND($J294="Fail",$N294&gt;=$F294),"FAILED OUT","Needs Remediation")))))</f>
        <v/>
      </c>
      <c r="P294" s="17">
        <f>IF($C294="","",IF($O294="FAILED OUT","Yes","No"))</f>
        <v/>
      </c>
      <c r="Q294" s="16" t="n"/>
      <c r="R294" s="16" t="n"/>
      <c r="S294" s="17">
        <f>IF($C294="","",IF(AND($K294&lt;&gt;"",NOT(ISNUMBER($K294))),"SCORE NOT A NUMBER",IF(AND(ISNUMBER($K294),OR($K294&lt;0,$K294&gt;100)),"SCORE OUT OF RANGE - this score counts toward nothing",IF(AND($G294="Score",$K294="",$J294&lt;&gt;"",$J294&lt;&gt;"Pending"),"RESULT WITHOUT A SCORE",IF(AND($G294="Pass/Fail",$K294&lt;&gt;""),"SCORE ON A PASS-FAIL CATEGORY - it is ignored",IF(AND($E294="Firearms",$J294&lt;&gt;"",$J294&lt;&gt;"Pending",$R294=""),"FIREARMS ROW WITH NO COURSE OF FIRE","OK"))))))</f>
        <v/>
      </c>
    </row>
    <row r="295">
      <c r="B295" s="17">
        <f>IF($C295="","",$D295&amp;"-"&amp;$E295&amp;"-"&amp;$I295)</f>
        <v/>
      </c>
      <c r="C295" s="16" t="n"/>
      <c r="D295" s="17">
        <f>IF($C295="","",IFERROR(INDEX(rngCadetPIDs,MATCH($C295,rngCadetNames,0)),"?"))</f>
        <v/>
      </c>
      <c r="E295" s="16" t="n"/>
      <c r="F295" s="17">
        <f>IF($E295="","",IFERROR(INDEX(rngSM_max,MATCH($E295,rngSM_cat,0)),""))</f>
        <v/>
      </c>
      <c r="G295" s="17">
        <f>IF($E295="","",IFERROR(INDEX(rngSM_mode,MATCH($E295,rngSM_cat,0)),""))</f>
        <v/>
      </c>
      <c r="H295" s="17">
        <f>IF($E295="","",IFERROR(INDEX(rngSM_pass,MATCH($E295,rngSM_cat,0)),""))</f>
        <v/>
      </c>
      <c r="I295" s="16" t="n"/>
      <c r="J295" s="16" t="n"/>
      <c r="K295" s="16" t="n"/>
      <c r="L295" s="18" t="n"/>
      <c r="M295" s="16" t="n"/>
      <c r="N295" s="17">
        <f>IF($C295="","",MAX(_xlfn.MAXIFS(nrSK_Att,nrSK_PID,$D295,nrSK_Cat,$E295,nrSK_Res,"Pass"),_xlfn.MAXIFS(nrSK_Att,nrSK_PID,$D295,nrSK_Cat,$E295,nrSK_Res,"Fail")))</f>
        <v/>
      </c>
      <c r="O295" s="17">
        <f>IF($C295="","",IF(AND(MAX(_xlfn.MAXIFS(nrSK_Att,nrSK_PID,$D295,nrSK_Cat,$E295,nrSK_Res,"Pass"),_xlfn.MAXIFS(nrSK_Att,nrSK_PID,$D295,nrSK_Cat,$E295,nrSK_Res,"Fail"))&gt;0,N($I295)&lt;MAX(_xlfn.MAXIFS(nrSK_Att,nrSK_PID,$D295,nrSK_Cat,$E295,nrSK_Res,"Pass"),_xlfn.MAXIFS(nrSK_Att,nrSK_PID,$D295,nrSK_Cat,$E295,nrSK_Res,"Fail"))),"(superseded)",IF(OR($J295="",$J295="Pending"),"Pending",IF($J295="Pass","Qualified",IF(AND($J295="Fail",$N295&gt;=$F295),"FAILED OUT","Needs Remediation")))))</f>
        <v/>
      </c>
      <c r="P295" s="17">
        <f>IF($C295="","",IF($O295="FAILED OUT","Yes","No"))</f>
        <v/>
      </c>
      <c r="Q295" s="16" t="n"/>
      <c r="R295" s="16" t="n"/>
      <c r="S295" s="17">
        <f>IF($C295="","",IF(AND($K295&lt;&gt;"",NOT(ISNUMBER($K295))),"SCORE NOT A NUMBER",IF(AND(ISNUMBER($K295),OR($K295&lt;0,$K295&gt;100)),"SCORE OUT OF RANGE - this score counts toward nothing",IF(AND($G295="Score",$K295="",$J295&lt;&gt;"",$J295&lt;&gt;"Pending"),"RESULT WITHOUT A SCORE",IF(AND($G295="Pass/Fail",$K295&lt;&gt;""),"SCORE ON A PASS-FAIL CATEGORY - it is ignored",IF(AND($E295="Firearms",$J295&lt;&gt;"",$J295&lt;&gt;"Pending",$R295=""),"FIREARMS ROW WITH NO COURSE OF FIRE","OK"))))))</f>
        <v/>
      </c>
    </row>
    <row r="296">
      <c r="B296" s="17">
        <f>IF($C296="","",$D296&amp;"-"&amp;$E296&amp;"-"&amp;$I296)</f>
        <v/>
      </c>
      <c r="C296" s="16" t="n"/>
      <c r="D296" s="17">
        <f>IF($C296="","",IFERROR(INDEX(rngCadetPIDs,MATCH($C296,rngCadetNames,0)),"?"))</f>
        <v/>
      </c>
      <c r="E296" s="16" t="n"/>
      <c r="F296" s="17">
        <f>IF($E296="","",IFERROR(INDEX(rngSM_max,MATCH($E296,rngSM_cat,0)),""))</f>
        <v/>
      </c>
      <c r="G296" s="17">
        <f>IF($E296="","",IFERROR(INDEX(rngSM_mode,MATCH($E296,rngSM_cat,0)),""))</f>
        <v/>
      </c>
      <c r="H296" s="17">
        <f>IF($E296="","",IFERROR(INDEX(rngSM_pass,MATCH($E296,rngSM_cat,0)),""))</f>
        <v/>
      </c>
      <c r="I296" s="16" t="n"/>
      <c r="J296" s="16" t="n"/>
      <c r="K296" s="16" t="n"/>
      <c r="L296" s="18" t="n"/>
      <c r="M296" s="16" t="n"/>
      <c r="N296" s="17">
        <f>IF($C296="","",MAX(_xlfn.MAXIFS(nrSK_Att,nrSK_PID,$D296,nrSK_Cat,$E296,nrSK_Res,"Pass"),_xlfn.MAXIFS(nrSK_Att,nrSK_PID,$D296,nrSK_Cat,$E296,nrSK_Res,"Fail")))</f>
        <v/>
      </c>
      <c r="O296" s="17">
        <f>IF($C296="","",IF(AND(MAX(_xlfn.MAXIFS(nrSK_Att,nrSK_PID,$D296,nrSK_Cat,$E296,nrSK_Res,"Pass"),_xlfn.MAXIFS(nrSK_Att,nrSK_PID,$D296,nrSK_Cat,$E296,nrSK_Res,"Fail"))&gt;0,N($I296)&lt;MAX(_xlfn.MAXIFS(nrSK_Att,nrSK_PID,$D296,nrSK_Cat,$E296,nrSK_Res,"Pass"),_xlfn.MAXIFS(nrSK_Att,nrSK_PID,$D296,nrSK_Cat,$E296,nrSK_Res,"Fail"))),"(superseded)",IF(OR($J296="",$J296="Pending"),"Pending",IF($J296="Pass","Qualified",IF(AND($J296="Fail",$N296&gt;=$F296),"FAILED OUT","Needs Remediation")))))</f>
        <v/>
      </c>
      <c r="P296" s="17">
        <f>IF($C296="","",IF($O296="FAILED OUT","Yes","No"))</f>
        <v/>
      </c>
      <c r="Q296" s="16" t="n"/>
      <c r="R296" s="16" t="n"/>
      <c r="S296" s="17">
        <f>IF($C296="","",IF(AND($K296&lt;&gt;"",NOT(ISNUMBER($K296))),"SCORE NOT A NUMBER",IF(AND(ISNUMBER($K296),OR($K296&lt;0,$K296&gt;100)),"SCORE OUT OF RANGE - this score counts toward nothing",IF(AND($G296="Score",$K296="",$J296&lt;&gt;"",$J296&lt;&gt;"Pending"),"RESULT WITHOUT A SCORE",IF(AND($G296="Pass/Fail",$K296&lt;&gt;""),"SCORE ON A PASS-FAIL CATEGORY - it is ignored",IF(AND($E296="Firearms",$J296&lt;&gt;"",$J296&lt;&gt;"Pending",$R296=""),"FIREARMS ROW WITH NO COURSE OF FIRE","OK"))))))</f>
        <v/>
      </c>
    </row>
    <row r="297">
      <c r="B297" s="17">
        <f>IF($C297="","",$D297&amp;"-"&amp;$E297&amp;"-"&amp;$I297)</f>
        <v/>
      </c>
      <c r="C297" s="16" t="n"/>
      <c r="D297" s="17">
        <f>IF($C297="","",IFERROR(INDEX(rngCadetPIDs,MATCH($C297,rngCadetNames,0)),"?"))</f>
        <v/>
      </c>
      <c r="E297" s="16" t="n"/>
      <c r="F297" s="17">
        <f>IF($E297="","",IFERROR(INDEX(rngSM_max,MATCH($E297,rngSM_cat,0)),""))</f>
        <v/>
      </c>
      <c r="G297" s="17">
        <f>IF($E297="","",IFERROR(INDEX(rngSM_mode,MATCH($E297,rngSM_cat,0)),""))</f>
        <v/>
      </c>
      <c r="H297" s="17">
        <f>IF($E297="","",IFERROR(INDEX(rngSM_pass,MATCH($E297,rngSM_cat,0)),""))</f>
        <v/>
      </c>
      <c r="I297" s="16" t="n"/>
      <c r="J297" s="16" t="n"/>
      <c r="K297" s="16" t="n"/>
      <c r="L297" s="18" t="n"/>
      <c r="M297" s="16" t="n"/>
      <c r="N297" s="17">
        <f>IF($C297="","",MAX(_xlfn.MAXIFS(nrSK_Att,nrSK_PID,$D297,nrSK_Cat,$E297,nrSK_Res,"Pass"),_xlfn.MAXIFS(nrSK_Att,nrSK_PID,$D297,nrSK_Cat,$E297,nrSK_Res,"Fail")))</f>
        <v/>
      </c>
      <c r="O297" s="17">
        <f>IF($C297="","",IF(AND(MAX(_xlfn.MAXIFS(nrSK_Att,nrSK_PID,$D297,nrSK_Cat,$E297,nrSK_Res,"Pass"),_xlfn.MAXIFS(nrSK_Att,nrSK_PID,$D297,nrSK_Cat,$E297,nrSK_Res,"Fail"))&gt;0,N($I297)&lt;MAX(_xlfn.MAXIFS(nrSK_Att,nrSK_PID,$D297,nrSK_Cat,$E297,nrSK_Res,"Pass"),_xlfn.MAXIFS(nrSK_Att,nrSK_PID,$D297,nrSK_Cat,$E297,nrSK_Res,"Fail"))),"(superseded)",IF(OR($J297="",$J297="Pending"),"Pending",IF($J297="Pass","Qualified",IF(AND($J297="Fail",$N297&gt;=$F297),"FAILED OUT","Needs Remediation")))))</f>
        <v/>
      </c>
      <c r="P297" s="17">
        <f>IF($C297="","",IF($O297="FAILED OUT","Yes","No"))</f>
        <v/>
      </c>
      <c r="Q297" s="16" t="n"/>
      <c r="R297" s="16" t="n"/>
      <c r="S297" s="17">
        <f>IF($C297="","",IF(AND($K297&lt;&gt;"",NOT(ISNUMBER($K297))),"SCORE NOT A NUMBER",IF(AND(ISNUMBER($K297),OR($K297&lt;0,$K297&gt;100)),"SCORE OUT OF RANGE - this score counts toward nothing",IF(AND($G297="Score",$K297="",$J297&lt;&gt;"",$J297&lt;&gt;"Pending"),"RESULT WITHOUT A SCORE",IF(AND($G297="Pass/Fail",$K297&lt;&gt;""),"SCORE ON A PASS-FAIL CATEGORY - it is ignored",IF(AND($E297="Firearms",$J297&lt;&gt;"",$J297&lt;&gt;"Pending",$R297=""),"FIREARMS ROW WITH NO COURSE OF FIRE","OK"))))))</f>
        <v/>
      </c>
    </row>
    <row r="298">
      <c r="B298" s="17">
        <f>IF($C298="","",$D298&amp;"-"&amp;$E298&amp;"-"&amp;$I298)</f>
        <v/>
      </c>
      <c r="C298" s="16" t="n"/>
      <c r="D298" s="17">
        <f>IF($C298="","",IFERROR(INDEX(rngCadetPIDs,MATCH($C298,rngCadetNames,0)),"?"))</f>
        <v/>
      </c>
      <c r="E298" s="16" t="n"/>
      <c r="F298" s="17">
        <f>IF($E298="","",IFERROR(INDEX(rngSM_max,MATCH($E298,rngSM_cat,0)),""))</f>
        <v/>
      </c>
      <c r="G298" s="17">
        <f>IF($E298="","",IFERROR(INDEX(rngSM_mode,MATCH($E298,rngSM_cat,0)),""))</f>
        <v/>
      </c>
      <c r="H298" s="17">
        <f>IF($E298="","",IFERROR(INDEX(rngSM_pass,MATCH($E298,rngSM_cat,0)),""))</f>
        <v/>
      </c>
      <c r="I298" s="16" t="n"/>
      <c r="J298" s="16" t="n"/>
      <c r="K298" s="16" t="n"/>
      <c r="L298" s="18" t="n"/>
      <c r="M298" s="16" t="n"/>
      <c r="N298" s="17">
        <f>IF($C298="","",MAX(_xlfn.MAXIFS(nrSK_Att,nrSK_PID,$D298,nrSK_Cat,$E298,nrSK_Res,"Pass"),_xlfn.MAXIFS(nrSK_Att,nrSK_PID,$D298,nrSK_Cat,$E298,nrSK_Res,"Fail")))</f>
        <v/>
      </c>
      <c r="O298" s="17">
        <f>IF($C298="","",IF(AND(MAX(_xlfn.MAXIFS(nrSK_Att,nrSK_PID,$D298,nrSK_Cat,$E298,nrSK_Res,"Pass"),_xlfn.MAXIFS(nrSK_Att,nrSK_PID,$D298,nrSK_Cat,$E298,nrSK_Res,"Fail"))&gt;0,N($I298)&lt;MAX(_xlfn.MAXIFS(nrSK_Att,nrSK_PID,$D298,nrSK_Cat,$E298,nrSK_Res,"Pass"),_xlfn.MAXIFS(nrSK_Att,nrSK_PID,$D298,nrSK_Cat,$E298,nrSK_Res,"Fail"))),"(superseded)",IF(OR($J298="",$J298="Pending"),"Pending",IF($J298="Pass","Qualified",IF(AND($J298="Fail",$N298&gt;=$F298),"FAILED OUT","Needs Remediation")))))</f>
        <v/>
      </c>
      <c r="P298" s="17">
        <f>IF($C298="","",IF($O298="FAILED OUT","Yes","No"))</f>
        <v/>
      </c>
      <c r="Q298" s="16" t="n"/>
      <c r="R298" s="16" t="n"/>
      <c r="S298" s="17">
        <f>IF($C298="","",IF(AND($K298&lt;&gt;"",NOT(ISNUMBER($K298))),"SCORE NOT A NUMBER",IF(AND(ISNUMBER($K298),OR($K298&lt;0,$K298&gt;100)),"SCORE OUT OF RANGE - this score counts toward nothing",IF(AND($G298="Score",$K298="",$J298&lt;&gt;"",$J298&lt;&gt;"Pending"),"RESULT WITHOUT A SCORE",IF(AND($G298="Pass/Fail",$K298&lt;&gt;""),"SCORE ON A PASS-FAIL CATEGORY - it is ignored",IF(AND($E298="Firearms",$J298&lt;&gt;"",$J298&lt;&gt;"Pending",$R298=""),"FIREARMS ROW WITH NO COURSE OF FIRE","OK"))))))</f>
        <v/>
      </c>
    </row>
    <row r="299">
      <c r="B299" s="17">
        <f>IF($C299="","",$D299&amp;"-"&amp;$E299&amp;"-"&amp;$I299)</f>
        <v/>
      </c>
      <c r="C299" s="16" t="n"/>
      <c r="D299" s="17">
        <f>IF($C299="","",IFERROR(INDEX(rngCadetPIDs,MATCH($C299,rngCadetNames,0)),"?"))</f>
        <v/>
      </c>
      <c r="E299" s="16" t="n"/>
      <c r="F299" s="17">
        <f>IF($E299="","",IFERROR(INDEX(rngSM_max,MATCH($E299,rngSM_cat,0)),""))</f>
        <v/>
      </c>
      <c r="G299" s="17">
        <f>IF($E299="","",IFERROR(INDEX(rngSM_mode,MATCH($E299,rngSM_cat,0)),""))</f>
        <v/>
      </c>
      <c r="H299" s="17">
        <f>IF($E299="","",IFERROR(INDEX(rngSM_pass,MATCH($E299,rngSM_cat,0)),""))</f>
        <v/>
      </c>
      <c r="I299" s="16" t="n"/>
      <c r="J299" s="16" t="n"/>
      <c r="K299" s="16" t="n"/>
      <c r="L299" s="18" t="n"/>
      <c r="M299" s="16" t="n"/>
      <c r="N299" s="17">
        <f>IF($C299="","",MAX(_xlfn.MAXIFS(nrSK_Att,nrSK_PID,$D299,nrSK_Cat,$E299,nrSK_Res,"Pass"),_xlfn.MAXIFS(nrSK_Att,nrSK_PID,$D299,nrSK_Cat,$E299,nrSK_Res,"Fail")))</f>
        <v/>
      </c>
      <c r="O299" s="17">
        <f>IF($C299="","",IF(AND(MAX(_xlfn.MAXIFS(nrSK_Att,nrSK_PID,$D299,nrSK_Cat,$E299,nrSK_Res,"Pass"),_xlfn.MAXIFS(nrSK_Att,nrSK_PID,$D299,nrSK_Cat,$E299,nrSK_Res,"Fail"))&gt;0,N($I299)&lt;MAX(_xlfn.MAXIFS(nrSK_Att,nrSK_PID,$D299,nrSK_Cat,$E299,nrSK_Res,"Pass"),_xlfn.MAXIFS(nrSK_Att,nrSK_PID,$D299,nrSK_Cat,$E299,nrSK_Res,"Fail"))),"(superseded)",IF(OR($J299="",$J299="Pending"),"Pending",IF($J299="Pass","Qualified",IF(AND($J299="Fail",$N299&gt;=$F299),"FAILED OUT","Needs Remediation")))))</f>
        <v/>
      </c>
      <c r="P299" s="17">
        <f>IF($C299="","",IF($O299="FAILED OUT","Yes","No"))</f>
        <v/>
      </c>
      <c r="Q299" s="16" t="n"/>
      <c r="R299" s="16" t="n"/>
      <c r="S299" s="17">
        <f>IF($C299="","",IF(AND($K299&lt;&gt;"",NOT(ISNUMBER($K299))),"SCORE NOT A NUMBER",IF(AND(ISNUMBER($K299),OR($K299&lt;0,$K299&gt;100)),"SCORE OUT OF RANGE - this score counts toward nothing",IF(AND($G299="Score",$K299="",$J299&lt;&gt;"",$J299&lt;&gt;"Pending"),"RESULT WITHOUT A SCORE",IF(AND($G299="Pass/Fail",$K299&lt;&gt;""),"SCORE ON A PASS-FAIL CATEGORY - it is ignored",IF(AND($E299="Firearms",$J299&lt;&gt;"",$J299&lt;&gt;"Pending",$R299=""),"FIREARMS ROW WITH NO COURSE OF FIRE","OK"))))))</f>
        <v/>
      </c>
    </row>
    <row r="300">
      <c r="B300" s="17">
        <f>IF($C300="","",$D300&amp;"-"&amp;$E300&amp;"-"&amp;$I300)</f>
        <v/>
      </c>
      <c r="C300" s="16" t="n"/>
      <c r="D300" s="17">
        <f>IF($C300="","",IFERROR(INDEX(rngCadetPIDs,MATCH($C300,rngCadetNames,0)),"?"))</f>
        <v/>
      </c>
      <c r="E300" s="16" t="n"/>
      <c r="F300" s="17">
        <f>IF($E300="","",IFERROR(INDEX(rngSM_max,MATCH($E300,rngSM_cat,0)),""))</f>
        <v/>
      </c>
      <c r="G300" s="17">
        <f>IF($E300="","",IFERROR(INDEX(rngSM_mode,MATCH($E300,rngSM_cat,0)),""))</f>
        <v/>
      </c>
      <c r="H300" s="17">
        <f>IF($E300="","",IFERROR(INDEX(rngSM_pass,MATCH($E300,rngSM_cat,0)),""))</f>
        <v/>
      </c>
      <c r="I300" s="16" t="n"/>
      <c r="J300" s="16" t="n"/>
      <c r="K300" s="16" t="n"/>
      <c r="L300" s="18" t="n"/>
      <c r="M300" s="16" t="n"/>
      <c r="N300" s="17">
        <f>IF($C300="","",MAX(_xlfn.MAXIFS(nrSK_Att,nrSK_PID,$D300,nrSK_Cat,$E300,nrSK_Res,"Pass"),_xlfn.MAXIFS(nrSK_Att,nrSK_PID,$D300,nrSK_Cat,$E300,nrSK_Res,"Fail")))</f>
        <v/>
      </c>
      <c r="O300" s="17">
        <f>IF($C300="","",IF(AND(MAX(_xlfn.MAXIFS(nrSK_Att,nrSK_PID,$D300,nrSK_Cat,$E300,nrSK_Res,"Pass"),_xlfn.MAXIFS(nrSK_Att,nrSK_PID,$D300,nrSK_Cat,$E300,nrSK_Res,"Fail"))&gt;0,N($I300)&lt;MAX(_xlfn.MAXIFS(nrSK_Att,nrSK_PID,$D300,nrSK_Cat,$E300,nrSK_Res,"Pass"),_xlfn.MAXIFS(nrSK_Att,nrSK_PID,$D300,nrSK_Cat,$E300,nrSK_Res,"Fail"))),"(superseded)",IF(OR($J300="",$J300="Pending"),"Pending",IF($J300="Pass","Qualified",IF(AND($J300="Fail",$N300&gt;=$F300),"FAILED OUT","Needs Remediation")))))</f>
        <v/>
      </c>
      <c r="P300" s="17">
        <f>IF($C300="","",IF($O300="FAILED OUT","Yes","No"))</f>
        <v/>
      </c>
      <c r="Q300" s="16" t="n"/>
      <c r="R300" s="16" t="n"/>
      <c r="S300" s="17">
        <f>IF($C300="","",IF(AND($K300&lt;&gt;"",NOT(ISNUMBER($K300))),"SCORE NOT A NUMBER",IF(AND(ISNUMBER($K300),OR($K300&lt;0,$K300&gt;100)),"SCORE OUT OF RANGE - this score counts toward nothing",IF(AND($G300="Score",$K300="",$J300&lt;&gt;"",$J300&lt;&gt;"Pending"),"RESULT WITHOUT A SCORE",IF(AND($G300="Pass/Fail",$K300&lt;&gt;""),"SCORE ON A PASS-FAIL CATEGORY - it is ignored",IF(AND($E300="Firearms",$J300&lt;&gt;"",$J300&lt;&gt;"Pending",$R300=""),"FIREARMS ROW WITH NO COURSE OF FIRE","OK"))))))</f>
        <v/>
      </c>
    </row>
    <row r="301">
      <c r="B301" s="17">
        <f>IF($C301="","",$D301&amp;"-"&amp;$E301&amp;"-"&amp;$I301)</f>
        <v/>
      </c>
      <c r="C301" s="16" t="n"/>
      <c r="D301" s="17">
        <f>IF($C301="","",IFERROR(INDEX(rngCadetPIDs,MATCH($C301,rngCadetNames,0)),"?"))</f>
        <v/>
      </c>
      <c r="E301" s="16" t="n"/>
      <c r="F301" s="17">
        <f>IF($E301="","",IFERROR(INDEX(rngSM_max,MATCH($E301,rngSM_cat,0)),""))</f>
        <v/>
      </c>
      <c r="G301" s="17">
        <f>IF($E301="","",IFERROR(INDEX(rngSM_mode,MATCH($E301,rngSM_cat,0)),""))</f>
        <v/>
      </c>
      <c r="H301" s="17">
        <f>IF($E301="","",IFERROR(INDEX(rngSM_pass,MATCH($E301,rngSM_cat,0)),""))</f>
        <v/>
      </c>
      <c r="I301" s="16" t="n"/>
      <c r="J301" s="16" t="n"/>
      <c r="K301" s="16" t="n"/>
      <c r="L301" s="18" t="n"/>
      <c r="M301" s="16" t="n"/>
      <c r="N301" s="17">
        <f>IF($C301="","",MAX(_xlfn.MAXIFS(nrSK_Att,nrSK_PID,$D301,nrSK_Cat,$E301,nrSK_Res,"Pass"),_xlfn.MAXIFS(nrSK_Att,nrSK_PID,$D301,nrSK_Cat,$E301,nrSK_Res,"Fail")))</f>
        <v/>
      </c>
      <c r="O301" s="17">
        <f>IF($C301="","",IF(AND(MAX(_xlfn.MAXIFS(nrSK_Att,nrSK_PID,$D301,nrSK_Cat,$E301,nrSK_Res,"Pass"),_xlfn.MAXIFS(nrSK_Att,nrSK_PID,$D301,nrSK_Cat,$E301,nrSK_Res,"Fail"))&gt;0,N($I301)&lt;MAX(_xlfn.MAXIFS(nrSK_Att,nrSK_PID,$D301,nrSK_Cat,$E301,nrSK_Res,"Pass"),_xlfn.MAXIFS(nrSK_Att,nrSK_PID,$D301,nrSK_Cat,$E301,nrSK_Res,"Fail"))),"(superseded)",IF(OR($J301="",$J301="Pending"),"Pending",IF($J301="Pass","Qualified",IF(AND($J301="Fail",$N301&gt;=$F301),"FAILED OUT","Needs Remediation")))))</f>
        <v/>
      </c>
      <c r="P301" s="17">
        <f>IF($C301="","",IF($O301="FAILED OUT","Yes","No"))</f>
        <v/>
      </c>
      <c r="Q301" s="16" t="n"/>
      <c r="R301" s="16" t="n"/>
      <c r="S301" s="17">
        <f>IF($C301="","",IF(AND($K301&lt;&gt;"",NOT(ISNUMBER($K301))),"SCORE NOT A NUMBER",IF(AND(ISNUMBER($K301),OR($K301&lt;0,$K301&gt;100)),"SCORE OUT OF RANGE - this score counts toward nothing",IF(AND($G301="Score",$K301="",$J301&lt;&gt;"",$J301&lt;&gt;"Pending"),"RESULT WITHOUT A SCORE",IF(AND($G301="Pass/Fail",$K301&lt;&gt;""),"SCORE ON A PASS-FAIL CATEGORY - it is ignored",IF(AND($E301="Firearms",$J301&lt;&gt;"",$J301&lt;&gt;"Pending",$R301=""),"FIREARMS ROW WITH NO COURSE OF FIRE","OK"))))))</f>
        <v/>
      </c>
    </row>
    <row r="302">
      <c r="B302" s="17">
        <f>IF($C302="","",$D302&amp;"-"&amp;$E302&amp;"-"&amp;$I302)</f>
        <v/>
      </c>
      <c r="C302" s="16" t="n"/>
      <c r="D302" s="17">
        <f>IF($C302="","",IFERROR(INDEX(rngCadetPIDs,MATCH($C302,rngCadetNames,0)),"?"))</f>
        <v/>
      </c>
      <c r="E302" s="16" t="n"/>
      <c r="F302" s="17">
        <f>IF($E302="","",IFERROR(INDEX(rngSM_max,MATCH($E302,rngSM_cat,0)),""))</f>
        <v/>
      </c>
      <c r="G302" s="17">
        <f>IF($E302="","",IFERROR(INDEX(rngSM_mode,MATCH($E302,rngSM_cat,0)),""))</f>
        <v/>
      </c>
      <c r="H302" s="17">
        <f>IF($E302="","",IFERROR(INDEX(rngSM_pass,MATCH($E302,rngSM_cat,0)),""))</f>
        <v/>
      </c>
      <c r="I302" s="16" t="n"/>
      <c r="J302" s="16" t="n"/>
      <c r="K302" s="16" t="n"/>
      <c r="L302" s="18" t="n"/>
      <c r="M302" s="16" t="n"/>
      <c r="N302" s="17">
        <f>IF($C302="","",MAX(_xlfn.MAXIFS(nrSK_Att,nrSK_PID,$D302,nrSK_Cat,$E302,nrSK_Res,"Pass"),_xlfn.MAXIFS(nrSK_Att,nrSK_PID,$D302,nrSK_Cat,$E302,nrSK_Res,"Fail")))</f>
        <v/>
      </c>
      <c r="O302" s="17">
        <f>IF($C302="","",IF(AND(MAX(_xlfn.MAXIFS(nrSK_Att,nrSK_PID,$D302,nrSK_Cat,$E302,nrSK_Res,"Pass"),_xlfn.MAXIFS(nrSK_Att,nrSK_PID,$D302,nrSK_Cat,$E302,nrSK_Res,"Fail"))&gt;0,N($I302)&lt;MAX(_xlfn.MAXIFS(nrSK_Att,nrSK_PID,$D302,nrSK_Cat,$E302,nrSK_Res,"Pass"),_xlfn.MAXIFS(nrSK_Att,nrSK_PID,$D302,nrSK_Cat,$E302,nrSK_Res,"Fail"))),"(superseded)",IF(OR($J302="",$J302="Pending"),"Pending",IF($J302="Pass","Qualified",IF(AND($J302="Fail",$N302&gt;=$F302),"FAILED OUT","Needs Remediation")))))</f>
        <v/>
      </c>
      <c r="P302" s="17">
        <f>IF($C302="","",IF($O302="FAILED OUT","Yes","No"))</f>
        <v/>
      </c>
      <c r="Q302" s="16" t="n"/>
      <c r="R302" s="16" t="n"/>
      <c r="S302" s="17">
        <f>IF($C302="","",IF(AND($K302&lt;&gt;"",NOT(ISNUMBER($K302))),"SCORE NOT A NUMBER",IF(AND(ISNUMBER($K302),OR($K302&lt;0,$K302&gt;100)),"SCORE OUT OF RANGE - this score counts toward nothing",IF(AND($G302="Score",$K302="",$J302&lt;&gt;"",$J302&lt;&gt;"Pending"),"RESULT WITHOUT A SCORE",IF(AND($G302="Pass/Fail",$K302&lt;&gt;""),"SCORE ON A PASS-FAIL CATEGORY - it is ignored",IF(AND($E302="Firearms",$J302&lt;&gt;"",$J302&lt;&gt;"Pending",$R302=""),"FIREARMS ROW WITH NO COURSE OF FIRE","OK"))))))</f>
        <v/>
      </c>
    </row>
    <row r="303">
      <c r="B303" s="17">
        <f>IF($C303="","",$D303&amp;"-"&amp;$E303&amp;"-"&amp;$I303)</f>
        <v/>
      </c>
      <c r="C303" s="16" t="n"/>
      <c r="D303" s="17">
        <f>IF($C303="","",IFERROR(INDEX(rngCadetPIDs,MATCH($C303,rngCadetNames,0)),"?"))</f>
        <v/>
      </c>
      <c r="E303" s="16" t="n"/>
      <c r="F303" s="17">
        <f>IF($E303="","",IFERROR(INDEX(rngSM_max,MATCH($E303,rngSM_cat,0)),""))</f>
        <v/>
      </c>
      <c r="G303" s="17">
        <f>IF($E303="","",IFERROR(INDEX(rngSM_mode,MATCH($E303,rngSM_cat,0)),""))</f>
        <v/>
      </c>
      <c r="H303" s="17">
        <f>IF($E303="","",IFERROR(INDEX(rngSM_pass,MATCH($E303,rngSM_cat,0)),""))</f>
        <v/>
      </c>
      <c r="I303" s="16" t="n"/>
      <c r="J303" s="16" t="n"/>
      <c r="K303" s="16" t="n"/>
      <c r="L303" s="18" t="n"/>
      <c r="M303" s="16" t="n"/>
      <c r="N303" s="17">
        <f>IF($C303="","",MAX(_xlfn.MAXIFS(nrSK_Att,nrSK_PID,$D303,nrSK_Cat,$E303,nrSK_Res,"Pass"),_xlfn.MAXIFS(nrSK_Att,nrSK_PID,$D303,nrSK_Cat,$E303,nrSK_Res,"Fail")))</f>
        <v/>
      </c>
      <c r="O303" s="17">
        <f>IF($C303="","",IF(AND(MAX(_xlfn.MAXIFS(nrSK_Att,nrSK_PID,$D303,nrSK_Cat,$E303,nrSK_Res,"Pass"),_xlfn.MAXIFS(nrSK_Att,nrSK_PID,$D303,nrSK_Cat,$E303,nrSK_Res,"Fail"))&gt;0,N($I303)&lt;MAX(_xlfn.MAXIFS(nrSK_Att,nrSK_PID,$D303,nrSK_Cat,$E303,nrSK_Res,"Pass"),_xlfn.MAXIFS(nrSK_Att,nrSK_PID,$D303,nrSK_Cat,$E303,nrSK_Res,"Fail"))),"(superseded)",IF(OR($J303="",$J303="Pending"),"Pending",IF($J303="Pass","Qualified",IF(AND($J303="Fail",$N303&gt;=$F303),"FAILED OUT","Needs Remediation")))))</f>
        <v/>
      </c>
      <c r="P303" s="17">
        <f>IF($C303="","",IF($O303="FAILED OUT","Yes","No"))</f>
        <v/>
      </c>
      <c r="Q303" s="16" t="n"/>
      <c r="R303" s="16" t="n"/>
      <c r="S303" s="17">
        <f>IF($C303="","",IF(AND($K303&lt;&gt;"",NOT(ISNUMBER($K303))),"SCORE NOT A NUMBER",IF(AND(ISNUMBER($K303),OR($K303&lt;0,$K303&gt;100)),"SCORE OUT OF RANGE - this score counts toward nothing",IF(AND($G303="Score",$K303="",$J303&lt;&gt;"",$J303&lt;&gt;"Pending"),"RESULT WITHOUT A SCORE",IF(AND($G303="Pass/Fail",$K303&lt;&gt;""),"SCORE ON A PASS-FAIL CATEGORY - it is ignored",IF(AND($E303="Firearms",$J303&lt;&gt;"",$J303&lt;&gt;"Pending",$R303=""),"FIREARMS ROW WITH NO COURSE OF FIRE","OK"))))))</f>
        <v/>
      </c>
    </row>
    <row r="304">
      <c r="B304" s="17">
        <f>IF($C304="","",$D304&amp;"-"&amp;$E304&amp;"-"&amp;$I304)</f>
        <v/>
      </c>
      <c r="C304" s="16" t="n"/>
      <c r="D304" s="17">
        <f>IF($C304="","",IFERROR(INDEX(rngCadetPIDs,MATCH($C304,rngCadetNames,0)),"?"))</f>
        <v/>
      </c>
      <c r="E304" s="16" t="n"/>
      <c r="F304" s="17">
        <f>IF($E304="","",IFERROR(INDEX(rngSM_max,MATCH($E304,rngSM_cat,0)),""))</f>
        <v/>
      </c>
      <c r="G304" s="17">
        <f>IF($E304="","",IFERROR(INDEX(rngSM_mode,MATCH($E304,rngSM_cat,0)),""))</f>
        <v/>
      </c>
      <c r="H304" s="17">
        <f>IF($E304="","",IFERROR(INDEX(rngSM_pass,MATCH($E304,rngSM_cat,0)),""))</f>
        <v/>
      </c>
      <c r="I304" s="16" t="n"/>
      <c r="J304" s="16" t="n"/>
      <c r="K304" s="16" t="n"/>
      <c r="L304" s="18" t="n"/>
      <c r="M304" s="16" t="n"/>
      <c r="N304" s="17">
        <f>IF($C304="","",MAX(_xlfn.MAXIFS(nrSK_Att,nrSK_PID,$D304,nrSK_Cat,$E304,nrSK_Res,"Pass"),_xlfn.MAXIFS(nrSK_Att,nrSK_PID,$D304,nrSK_Cat,$E304,nrSK_Res,"Fail")))</f>
        <v/>
      </c>
      <c r="O304" s="17">
        <f>IF($C304="","",IF(AND(MAX(_xlfn.MAXIFS(nrSK_Att,nrSK_PID,$D304,nrSK_Cat,$E304,nrSK_Res,"Pass"),_xlfn.MAXIFS(nrSK_Att,nrSK_PID,$D304,nrSK_Cat,$E304,nrSK_Res,"Fail"))&gt;0,N($I304)&lt;MAX(_xlfn.MAXIFS(nrSK_Att,nrSK_PID,$D304,nrSK_Cat,$E304,nrSK_Res,"Pass"),_xlfn.MAXIFS(nrSK_Att,nrSK_PID,$D304,nrSK_Cat,$E304,nrSK_Res,"Fail"))),"(superseded)",IF(OR($J304="",$J304="Pending"),"Pending",IF($J304="Pass","Qualified",IF(AND($J304="Fail",$N304&gt;=$F304),"FAILED OUT","Needs Remediation")))))</f>
        <v/>
      </c>
      <c r="P304" s="17">
        <f>IF($C304="","",IF($O304="FAILED OUT","Yes","No"))</f>
        <v/>
      </c>
      <c r="Q304" s="16" t="n"/>
      <c r="R304" s="16" t="n"/>
      <c r="S304" s="17">
        <f>IF($C304="","",IF(AND($K304&lt;&gt;"",NOT(ISNUMBER($K304))),"SCORE NOT A NUMBER",IF(AND(ISNUMBER($K304),OR($K304&lt;0,$K304&gt;100)),"SCORE OUT OF RANGE - this score counts toward nothing",IF(AND($G304="Score",$K304="",$J304&lt;&gt;"",$J304&lt;&gt;"Pending"),"RESULT WITHOUT A SCORE",IF(AND($G304="Pass/Fail",$K304&lt;&gt;""),"SCORE ON A PASS-FAIL CATEGORY - it is ignored",IF(AND($E304="Firearms",$J304&lt;&gt;"",$J304&lt;&gt;"Pending",$R304=""),"FIREARMS ROW WITH NO COURSE OF FIRE","OK"))))))</f>
        <v/>
      </c>
    </row>
    <row r="305">
      <c r="B305" s="17">
        <f>IF($C305="","",$D305&amp;"-"&amp;$E305&amp;"-"&amp;$I305)</f>
        <v/>
      </c>
      <c r="C305" s="16" t="n"/>
      <c r="D305" s="17">
        <f>IF($C305="","",IFERROR(INDEX(rngCadetPIDs,MATCH($C305,rngCadetNames,0)),"?"))</f>
        <v/>
      </c>
      <c r="E305" s="16" t="n"/>
      <c r="F305" s="17">
        <f>IF($E305="","",IFERROR(INDEX(rngSM_max,MATCH($E305,rngSM_cat,0)),""))</f>
        <v/>
      </c>
      <c r="G305" s="17">
        <f>IF($E305="","",IFERROR(INDEX(rngSM_mode,MATCH($E305,rngSM_cat,0)),""))</f>
        <v/>
      </c>
      <c r="H305" s="17">
        <f>IF($E305="","",IFERROR(INDEX(rngSM_pass,MATCH($E305,rngSM_cat,0)),""))</f>
        <v/>
      </c>
      <c r="I305" s="16" t="n"/>
      <c r="J305" s="16" t="n"/>
      <c r="K305" s="16" t="n"/>
      <c r="L305" s="18" t="n"/>
      <c r="M305" s="16" t="n"/>
      <c r="N305" s="17">
        <f>IF($C305="","",MAX(_xlfn.MAXIFS(nrSK_Att,nrSK_PID,$D305,nrSK_Cat,$E305,nrSK_Res,"Pass"),_xlfn.MAXIFS(nrSK_Att,nrSK_PID,$D305,nrSK_Cat,$E305,nrSK_Res,"Fail")))</f>
        <v/>
      </c>
      <c r="O305" s="17">
        <f>IF($C305="","",IF(AND(MAX(_xlfn.MAXIFS(nrSK_Att,nrSK_PID,$D305,nrSK_Cat,$E305,nrSK_Res,"Pass"),_xlfn.MAXIFS(nrSK_Att,nrSK_PID,$D305,nrSK_Cat,$E305,nrSK_Res,"Fail"))&gt;0,N($I305)&lt;MAX(_xlfn.MAXIFS(nrSK_Att,nrSK_PID,$D305,nrSK_Cat,$E305,nrSK_Res,"Pass"),_xlfn.MAXIFS(nrSK_Att,nrSK_PID,$D305,nrSK_Cat,$E305,nrSK_Res,"Fail"))),"(superseded)",IF(OR($J305="",$J305="Pending"),"Pending",IF($J305="Pass","Qualified",IF(AND($J305="Fail",$N305&gt;=$F305),"FAILED OUT","Needs Remediation")))))</f>
        <v/>
      </c>
      <c r="P305" s="17">
        <f>IF($C305="","",IF($O305="FAILED OUT","Yes","No"))</f>
        <v/>
      </c>
      <c r="Q305" s="16" t="n"/>
      <c r="R305" s="16" t="n"/>
      <c r="S305" s="17">
        <f>IF($C305="","",IF(AND($K305&lt;&gt;"",NOT(ISNUMBER($K305))),"SCORE NOT A NUMBER",IF(AND(ISNUMBER($K305),OR($K305&lt;0,$K305&gt;100)),"SCORE OUT OF RANGE - this score counts toward nothing",IF(AND($G305="Score",$K305="",$J305&lt;&gt;"",$J305&lt;&gt;"Pending"),"RESULT WITHOUT A SCORE",IF(AND($G305="Pass/Fail",$K305&lt;&gt;""),"SCORE ON A PASS-FAIL CATEGORY - it is ignored",IF(AND($E305="Firearms",$J305&lt;&gt;"",$J305&lt;&gt;"Pending",$R305=""),"FIREARMS ROW WITH NO COURSE OF FIRE","OK"))))))</f>
        <v/>
      </c>
    </row>
    <row r="306">
      <c r="B306" s="17">
        <f>IF($C306="","",$D306&amp;"-"&amp;$E306&amp;"-"&amp;$I306)</f>
        <v/>
      </c>
      <c r="C306" s="16" t="n"/>
      <c r="D306" s="17">
        <f>IF($C306="","",IFERROR(INDEX(rngCadetPIDs,MATCH($C306,rngCadetNames,0)),"?"))</f>
        <v/>
      </c>
      <c r="E306" s="16" t="n"/>
      <c r="F306" s="17">
        <f>IF($E306="","",IFERROR(INDEX(rngSM_max,MATCH($E306,rngSM_cat,0)),""))</f>
        <v/>
      </c>
      <c r="G306" s="17">
        <f>IF($E306="","",IFERROR(INDEX(rngSM_mode,MATCH($E306,rngSM_cat,0)),""))</f>
        <v/>
      </c>
      <c r="H306" s="17">
        <f>IF($E306="","",IFERROR(INDEX(rngSM_pass,MATCH($E306,rngSM_cat,0)),""))</f>
        <v/>
      </c>
      <c r="I306" s="16" t="n"/>
      <c r="J306" s="16" t="n"/>
      <c r="K306" s="16" t="n"/>
      <c r="L306" s="18" t="n"/>
      <c r="M306" s="16" t="n"/>
      <c r="N306" s="17">
        <f>IF($C306="","",MAX(_xlfn.MAXIFS(nrSK_Att,nrSK_PID,$D306,nrSK_Cat,$E306,nrSK_Res,"Pass"),_xlfn.MAXIFS(nrSK_Att,nrSK_PID,$D306,nrSK_Cat,$E306,nrSK_Res,"Fail")))</f>
        <v/>
      </c>
      <c r="O306" s="17">
        <f>IF($C306="","",IF(AND(MAX(_xlfn.MAXIFS(nrSK_Att,nrSK_PID,$D306,nrSK_Cat,$E306,nrSK_Res,"Pass"),_xlfn.MAXIFS(nrSK_Att,nrSK_PID,$D306,nrSK_Cat,$E306,nrSK_Res,"Fail"))&gt;0,N($I306)&lt;MAX(_xlfn.MAXIFS(nrSK_Att,nrSK_PID,$D306,nrSK_Cat,$E306,nrSK_Res,"Pass"),_xlfn.MAXIFS(nrSK_Att,nrSK_PID,$D306,nrSK_Cat,$E306,nrSK_Res,"Fail"))),"(superseded)",IF(OR($J306="",$J306="Pending"),"Pending",IF($J306="Pass","Qualified",IF(AND($J306="Fail",$N306&gt;=$F306),"FAILED OUT","Needs Remediation")))))</f>
        <v/>
      </c>
      <c r="P306" s="17">
        <f>IF($C306="","",IF($O306="FAILED OUT","Yes","No"))</f>
        <v/>
      </c>
      <c r="Q306" s="16" t="n"/>
      <c r="R306" s="16" t="n"/>
      <c r="S306" s="17">
        <f>IF($C306="","",IF(AND($K306&lt;&gt;"",NOT(ISNUMBER($K306))),"SCORE NOT A NUMBER",IF(AND(ISNUMBER($K306),OR($K306&lt;0,$K306&gt;100)),"SCORE OUT OF RANGE - this score counts toward nothing",IF(AND($G306="Score",$K306="",$J306&lt;&gt;"",$J306&lt;&gt;"Pending"),"RESULT WITHOUT A SCORE",IF(AND($G306="Pass/Fail",$K306&lt;&gt;""),"SCORE ON A PASS-FAIL CATEGORY - it is ignored",IF(AND($E306="Firearms",$J306&lt;&gt;"",$J306&lt;&gt;"Pending",$R306=""),"FIREARMS ROW WITH NO COURSE OF FIRE","OK"))))))</f>
        <v/>
      </c>
    </row>
    <row r="307">
      <c r="B307" s="17">
        <f>IF($C307="","",$D307&amp;"-"&amp;$E307&amp;"-"&amp;$I307)</f>
        <v/>
      </c>
      <c r="C307" s="16" t="n"/>
      <c r="D307" s="17">
        <f>IF($C307="","",IFERROR(INDEX(rngCadetPIDs,MATCH($C307,rngCadetNames,0)),"?"))</f>
        <v/>
      </c>
      <c r="E307" s="16" t="n"/>
      <c r="F307" s="17">
        <f>IF($E307="","",IFERROR(INDEX(rngSM_max,MATCH($E307,rngSM_cat,0)),""))</f>
        <v/>
      </c>
      <c r="G307" s="17">
        <f>IF($E307="","",IFERROR(INDEX(rngSM_mode,MATCH($E307,rngSM_cat,0)),""))</f>
        <v/>
      </c>
      <c r="H307" s="17">
        <f>IF($E307="","",IFERROR(INDEX(rngSM_pass,MATCH($E307,rngSM_cat,0)),""))</f>
        <v/>
      </c>
      <c r="I307" s="16" t="n"/>
      <c r="J307" s="16" t="n"/>
      <c r="K307" s="16" t="n"/>
      <c r="L307" s="18" t="n"/>
      <c r="M307" s="16" t="n"/>
      <c r="N307" s="17">
        <f>IF($C307="","",MAX(_xlfn.MAXIFS(nrSK_Att,nrSK_PID,$D307,nrSK_Cat,$E307,nrSK_Res,"Pass"),_xlfn.MAXIFS(nrSK_Att,nrSK_PID,$D307,nrSK_Cat,$E307,nrSK_Res,"Fail")))</f>
        <v/>
      </c>
      <c r="O307" s="17">
        <f>IF($C307="","",IF(AND(MAX(_xlfn.MAXIFS(nrSK_Att,nrSK_PID,$D307,nrSK_Cat,$E307,nrSK_Res,"Pass"),_xlfn.MAXIFS(nrSK_Att,nrSK_PID,$D307,nrSK_Cat,$E307,nrSK_Res,"Fail"))&gt;0,N($I307)&lt;MAX(_xlfn.MAXIFS(nrSK_Att,nrSK_PID,$D307,nrSK_Cat,$E307,nrSK_Res,"Pass"),_xlfn.MAXIFS(nrSK_Att,nrSK_PID,$D307,nrSK_Cat,$E307,nrSK_Res,"Fail"))),"(superseded)",IF(OR($J307="",$J307="Pending"),"Pending",IF($J307="Pass","Qualified",IF(AND($J307="Fail",$N307&gt;=$F307),"FAILED OUT","Needs Remediation")))))</f>
        <v/>
      </c>
      <c r="P307" s="17">
        <f>IF($C307="","",IF($O307="FAILED OUT","Yes","No"))</f>
        <v/>
      </c>
      <c r="Q307" s="16" t="n"/>
      <c r="R307" s="16" t="n"/>
      <c r="S307" s="17">
        <f>IF($C307="","",IF(AND($K307&lt;&gt;"",NOT(ISNUMBER($K307))),"SCORE NOT A NUMBER",IF(AND(ISNUMBER($K307),OR($K307&lt;0,$K307&gt;100)),"SCORE OUT OF RANGE - this score counts toward nothing",IF(AND($G307="Score",$K307="",$J307&lt;&gt;"",$J307&lt;&gt;"Pending"),"RESULT WITHOUT A SCORE",IF(AND($G307="Pass/Fail",$K307&lt;&gt;""),"SCORE ON A PASS-FAIL CATEGORY - it is ignored",IF(AND($E307="Firearms",$J307&lt;&gt;"",$J307&lt;&gt;"Pending",$R307=""),"FIREARMS ROW WITH NO COURSE OF FIRE","OK"))))))</f>
        <v/>
      </c>
    </row>
    <row r="308">
      <c r="B308" s="17">
        <f>IF($C308="","",$D308&amp;"-"&amp;$E308&amp;"-"&amp;$I308)</f>
        <v/>
      </c>
      <c r="C308" s="16" t="n"/>
      <c r="D308" s="17">
        <f>IF($C308="","",IFERROR(INDEX(rngCadetPIDs,MATCH($C308,rngCadetNames,0)),"?"))</f>
        <v/>
      </c>
      <c r="E308" s="16" t="n"/>
      <c r="F308" s="17">
        <f>IF($E308="","",IFERROR(INDEX(rngSM_max,MATCH($E308,rngSM_cat,0)),""))</f>
        <v/>
      </c>
      <c r="G308" s="17">
        <f>IF($E308="","",IFERROR(INDEX(rngSM_mode,MATCH($E308,rngSM_cat,0)),""))</f>
        <v/>
      </c>
      <c r="H308" s="17">
        <f>IF($E308="","",IFERROR(INDEX(rngSM_pass,MATCH($E308,rngSM_cat,0)),""))</f>
        <v/>
      </c>
      <c r="I308" s="16" t="n"/>
      <c r="J308" s="16" t="n"/>
      <c r="K308" s="16" t="n"/>
      <c r="L308" s="18" t="n"/>
      <c r="M308" s="16" t="n"/>
      <c r="N308" s="17">
        <f>IF($C308="","",MAX(_xlfn.MAXIFS(nrSK_Att,nrSK_PID,$D308,nrSK_Cat,$E308,nrSK_Res,"Pass"),_xlfn.MAXIFS(nrSK_Att,nrSK_PID,$D308,nrSK_Cat,$E308,nrSK_Res,"Fail")))</f>
        <v/>
      </c>
      <c r="O308" s="17">
        <f>IF($C308="","",IF(AND(MAX(_xlfn.MAXIFS(nrSK_Att,nrSK_PID,$D308,nrSK_Cat,$E308,nrSK_Res,"Pass"),_xlfn.MAXIFS(nrSK_Att,nrSK_PID,$D308,nrSK_Cat,$E308,nrSK_Res,"Fail"))&gt;0,N($I308)&lt;MAX(_xlfn.MAXIFS(nrSK_Att,nrSK_PID,$D308,nrSK_Cat,$E308,nrSK_Res,"Pass"),_xlfn.MAXIFS(nrSK_Att,nrSK_PID,$D308,nrSK_Cat,$E308,nrSK_Res,"Fail"))),"(superseded)",IF(OR($J308="",$J308="Pending"),"Pending",IF($J308="Pass","Qualified",IF(AND($J308="Fail",$N308&gt;=$F308),"FAILED OUT","Needs Remediation")))))</f>
        <v/>
      </c>
      <c r="P308" s="17">
        <f>IF($C308="","",IF($O308="FAILED OUT","Yes","No"))</f>
        <v/>
      </c>
      <c r="Q308" s="16" t="n"/>
      <c r="R308" s="16" t="n"/>
      <c r="S308" s="17">
        <f>IF($C308="","",IF(AND($K308&lt;&gt;"",NOT(ISNUMBER($K308))),"SCORE NOT A NUMBER",IF(AND(ISNUMBER($K308),OR($K308&lt;0,$K308&gt;100)),"SCORE OUT OF RANGE - this score counts toward nothing",IF(AND($G308="Score",$K308="",$J308&lt;&gt;"",$J308&lt;&gt;"Pending"),"RESULT WITHOUT A SCORE",IF(AND($G308="Pass/Fail",$K308&lt;&gt;""),"SCORE ON A PASS-FAIL CATEGORY - it is ignored",IF(AND($E308="Firearms",$J308&lt;&gt;"",$J308&lt;&gt;"Pending",$R308=""),"FIREARMS ROW WITH NO COURSE OF FIRE","OK"))))))</f>
        <v/>
      </c>
    </row>
    <row r="309">
      <c r="B309" s="17">
        <f>IF($C309="","",$D309&amp;"-"&amp;$E309&amp;"-"&amp;$I309)</f>
        <v/>
      </c>
      <c r="C309" s="16" t="n"/>
      <c r="D309" s="17">
        <f>IF($C309="","",IFERROR(INDEX(rngCadetPIDs,MATCH($C309,rngCadetNames,0)),"?"))</f>
        <v/>
      </c>
      <c r="E309" s="16" t="n"/>
      <c r="F309" s="17">
        <f>IF($E309="","",IFERROR(INDEX(rngSM_max,MATCH($E309,rngSM_cat,0)),""))</f>
        <v/>
      </c>
      <c r="G309" s="17">
        <f>IF($E309="","",IFERROR(INDEX(rngSM_mode,MATCH($E309,rngSM_cat,0)),""))</f>
        <v/>
      </c>
      <c r="H309" s="17">
        <f>IF($E309="","",IFERROR(INDEX(rngSM_pass,MATCH($E309,rngSM_cat,0)),""))</f>
        <v/>
      </c>
      <c r="I309" s="16" t="n"/>
      <c r="J309" s="16" t="n"/>
      <c r="K309" s="16" t="n"/>
      <c r="L309" s="18" t="n"/>
      <c r="M309" s="16" t="n"/>
      <c r="N309" s="17">
        <f>IF($C309="","",MAX(_xlfn.MAXIFS(nrSK_Att,nrSK_PID,$D309,nrSK_Cat,$E309,nrSK_Res,"Pass"),_xlfn.MAXIFS(nrSK_Att,nrSK_PID,$D309,nrSK_Cat,$E309,nrSK_Res,"Fail")))</f>
        <v/>
      </c>
      <c r="O309" s="17">
        <f>IF($C309="","",IF(AND(MAX(_xlfn.MAXIFS(nrSK_Att,nrSK_PID,$D309,nrSK_Cat,$E309,nrSK_Res,"Pass"),_xlfn.MAXIFS(nrSK_Att,nrSK_PID,$D309,nrSK_Cat,$E309,nrSK_Res,"Fail"))&gt;0,N($I309)&lt;MAX(_xlfn.MAXIFS(nrSK_Att,nrSK_PID,$D309,nrSK_Cat,$E309,nrSK_Res,"Pass"),_xlfn.MAXIFS(nrSK_Att,nrSK_PID,$D309,nrSK_Cat,$E309,nrSK_Res,"Fail"))),"(superseded)",IF(OR($J309="",$J309="Pending"),"Pending",IF($J309="Pass","Qualified",IF(AND($J309="Fail",$N309&gt;=$F309),"FAILED OUT","Needs Remediation")))))</f>
        <v/>
      </c>
      <c r="P309" s="17">
        <f>IF($C309="","",IF($O309="FAILED OUT","Yes","No"))</f>
        <v/>
      </c>
      <c r="Q309" s="16" t="n"/>
      <c r="R309" s="16" t="n"/>
      <c r="S309" s="17">
        <f>IF($C309="","",IF(AND($K309&lt;&gt;"",NOT(ISNUMBER($K309))),"SCORE NOT A NUMBER",IF(AND(ISNUMBER($K309),OR($K309&lt;0,$K309&gt;100)),"SCORE OUT OF RANGE - this score counts toward nothing",IF(AND($G309="Score",$K309="",$J309&lt;&gt;"",$J309&lt;&gt;"Pending"),"RESULT WITHOUT A SCORE",IF(AND($G309="Pass/Fail",$K309&lt;&gt;""),"SCORE ON A PASS-FAIL CATEGORY - it is ignored",IF(AND($E309="Firearms",$J309&lt;&gt;"",$J309&lt;&gt;"Pending",$R309=""),"FIREARMS ROW WITH NO COURSE OF FIRE","OK"))))))</f>
        <v/>
      </c>
    </row>
    <row r="310">
      <c r="B310" s="17">
        <f>IF($C310="","",$D310&amp;"-"&amp;$E310&amp;"-"&amp;$I310)</f>
        <v/>
      </c>
      <c r="C310" s="16" t="n"/>
      <c r="D310" s="17">
        <f>IF($C310="","",IFERROR(INDEX(rngCadetPIDs,MATCH($C310,rngCadetNames,0)),"?"))</f>
        <v/>
      </c>
      <c r="E310" s="16" t="n"/>
      <c r="F310" s="17">
        <f>IF($E310="","",IFERROR(INDEX(rngSM_max,MATCH($E310,rngSM_cat,0)),""))</f>
        <v/>
      </c>
      <c r="G310" s="17">
        <f>IF($E310="","",IFERROR(INDEX(rngSM_mode,MATCH($E310,rngSM_cat,0)),""))</f>
        <v/>
      </c>
      <c r="H310" s="17">
        <f>IF($E310="","",IFERROR(INDEX(rngSM_pass,MATCH($E310,rngSM_cat,0)),""))</f>
        <v/>
      </c>
      <c r="I310" s="16" t="n"/>
      <c r="J310" s="16" t="n"/>
      <c r="K310" s="16" t="n"/>
      <c r="L310" s="18" t="n"/>
      <c r="M310" s="16" t="n"/>
      <c r="N310" s="17">
        <f>IF($C310="","",MAX(_xlfn.MAXIFS(nrSK_Att,nrSK_PID,$D310,nrSK_Cat,$E310,nrSK_Res,"Pass"),_xlfn.MAXIFS(nrSK_Att,nrSK_PID,$D310,nrSK_Cat,$E310,nrSK_Res,"Fail")))</f>
        <v/>
      </c>
      <c r="O310" s="17">
        <f>IF($C310="","",IF(AND(MAX(_xlfn.MAXIFS(nrSK_Att,nrSK_PID,$D310,nrSK_Cat,$E310,nrSK_Res,"Pass"),_xlfn.MAXIFS(nrSK_Att,nrSK_PID,$D310,nrSK_Cat,$E310,nrSK_Res,"Fail"))&gt;0,N($I310)&lt;MAX(_xlfn.MAXIFS(nrSK_Att,nrSK_PID,$D310,nrSK_Cat,$E310,nrSK_Res,"Pass"),_xlfn.MAXIFS(nrSK_Att,nrSK_PID,$D310,nrSK_Cat,$E310,nrSK_Res,"Fail"))),"(superseded)",IF(OR($J310="",$J310="Pending"),"Pending",IF($J310="Pass","Qualified",IF(AND($J310="Fail",$N310&gt;=$F310),"FAILED OUT","Needs Remediation")))))</f>
        <v/>
      </c>
      <c r="P310" s="17">
        <f>IF($C310="","",IF($O310="FAILED OUT","Yes","No"))</f>
        <v/>
      </c>
      <c r="Q310" s="16" t="n"/>
      <c r="R310" s="16" t="n"/>
      <c r="S310" s="17">
        <f>IF($C310="","",IF(AND($K310&lt;&gt;"",NOT(ISNUMBER($K310))),"SCORE NOT A NUMBER",IF(AND(ISNUMBER($K310),OR($K310&lt;0,$K310&gt;100)),"SCORE OUT OF RANGE - this score counts toward nothing",IF(AND($G310="Score",$K310="",$J310&lt;&gt;"",$J310&lt;&gt;"Pending"),"RESULT WITHOUT A SCORE",IF(AND($G310="Pass/Fail",$K310&lt;&gt;""),"SCORE ON A PASS-FAIL CATEGORY - it is ignored",IF(AND($E310="Firearms",$J310&lt;&gt;"",$J310&lt;&gt;"Pending",$R310=""),"FIREARMS ROW WITH NO COURSE OF FIRE","OK"))))))</f>
        <v/>
      </c>
    </row>
    <row r="311">
      <c r="B311" s="17">
        <f>IF($C311="","",$D311&amp;"-"&amp;$E311&amp;"-"&amp;$I311)</f>
        <v/>
      </c>
      <c r="C311" s="16" t="n"/>
      <c r="D311" s="17">
        <f>IF($C311="","",IFERROR(INDEX(rngCadetPIDs,MATCH($C311,rngCadetNames,0)),"?"))</f>
        <v/>
      </c>
      <c r="E311" s="16" t="n"/>
      <c r="F311" s="17">
        <f>IF($E311="","",IFERROR(INDEX(rngSM_max,MATCH($E311,rngSM_cat,0)),""))</f>
        <v/>
      </c>
      <c r="G311" s="17">
        <f>IF($E311="","",IFERROR(INDEX(rngSM_mode,MATCH($E311,rngSM_cat,0)),""))</f>
        <v/>
      </c>
      <c r="H311" s="17">
        <f>IF($E311="","",IFERROR(INDEX(rngSM_pass,MATCH($E311,rngSM_cat,0)),""))</f>
        <v/>
      </c>
      <c r="I311" s="16" t="n"/>
      <c r="J311" s="16" t="n"/>
      <c r="K311" s="16" t="n"/>
      <c r="L311" s="18" t="n"/>
      <c r="M311" s="16" t="n"/>
      <c r="N311" s="17">
        <f>IF($C311="","",MAX(_xlfn.MAXIFS(nrSK_Att,nrSK_PID,$D311,nrSK_Cat,$E311,nrSK_Res,"Pass"),_xlfn.MAXIFS(nrSK_Att,nrSK_PID,$D311,nrSK_Cat,$E311,nrSK_Res,"Fail")))</f>
        <v/>
      </c>
      <c r="O311" s="17">
        <f>IF($C311="","",IF(AND(MAX(_xlfn.MAXIFS(nrSK_Att,nrSK_PID,$D311,nrSK_Cat,$E311,nrSK_Res,"Pass"),_xlfn.MAXIFS(nrSK_Att,nrSK_PID,$D311,nrSK_Cat,$E311,nrSK_Res,"Fail"))&gt;0,N($I311)&lt;MAX(_xlfn.MAXIFS(nrSK_Att,nrSK_PID,$D311,nrSK_Cat,$E311,nrSK_Res,"Pass"),_xlfn.MAXIFS(nrSK_Att,nrSK_PID,$D311,nrSK_Cat,$E311,nrSK_Res,"Fail"))),"(superseded)",IF(OR($J311="",$J311="Pending"),"Pending",IF($J311="Pass","Qualified",IF(AND($J311="Fail",$N311&gt;=$F311),"FAILED OUT","Needs Remediation")))))</f>
        <v/>
      </c>
      <c r="P311" s="17">
        <f>IF($C311="","",IF($O311="FAILED OUT","Yes","No"))</f>
        <v/>
      </c>
      <c r="Q311" s="16" t="n"/>
      <c r="R311" s="16" t="n"/>
      <c r="S311" s="17">
        <f>IF($C311="","",IF(AND($K311&lt;&gt;"",NOT(ISNUMBER($K311))),"SCORE NOT A NUMBER",IF(AND(ISNUMBER($K311),OR($K311&lt;0,$K311&gt;100)),"SCORE OUT OF RANGE - this score counts toward nothing",IF(AND($G311="Score",$K311="",$J311&lt;&gt;"",$J311&lt;&gt;"Pending"),"RESULT WITHOUT A SCORE",IF(AND($G311="Pass/Fail",$K311&lt;&gt;""),"SCORE ON A PASS-FAIL CATEGORY - it is ignored",IF(AND($E311="Firearms",$J311&lt;&gt;"",$J311&lt;&gt;"Pending",$R311=""),"FIREARMS ROW WITH NO COURSE OF FIRE","OK"))))))</f>
        <v/>
      </c>
    </row>
    <row r="312">
      <c r="B312" s="17">
        <f>IF($C312="","",$D312&amp;"-"&amp;$E312&amp;"-"&amp;$I312)</f>
        <v/>
      </c>
      <c r="C312" s="16" t="n"/>
      <c r="D312" s="17">
        <f>IF($C312="","",IFERROR(INDEX(rngCadetPIDs,MATCH($C312,rngCadetNames,0)),"?"))</f>
        <v/>
      </c>
      <c r="E312" s="16" t="n"/>
      <c r="F312" s="17">
        <f>IF($E312="","",IFERROR(INDEX(rngSM_max,MATCH($E312,rngSM_cat,0)),""))</f>
        <v/>
      </c>
      <c r="G312" s="17">
        <f>IF($E312="","",IFERROR(INDEX(rngSM_mode,MATCH($E312,rngSM_cat,0)),""))</f>
        <v/>
      </c>
      <c r="H312" s="17">
        <f>IF($E312="","",IFERROR(INDEX(rngSM_pass,MATCH($E312,rngSM_cat,0)),""))</f>
        <v/>
      </c>
      <c r="I312" s="16" t="n"/>
      <c r="J312" s="16" t="n"/>
      <c r="K312" s="16" t="n"/>
      <c r="L312" s="18" t="n"/>
      <c r="M312" s="16" t="n"/>
      <c r="N312" s="17">
        <f>IF($C312="","",MAX(_xlfn.MAXIFS(nrSK_Att,nrSK_PID,$D312,nrSK_Cat,$E312,nrSK_Res,"Pass"),_xlfn.MAXIFS(nrSK_Att,nrSK_PID,$D312,nrSK_Cat,$E312,nrSK_Res,"Fail")))</f>
        <v/>
      </c>
      <c r="O312" s="17">
        <f>IF($C312="","",IF(AND(MAX(_xlfn.MAXIFS(nrSK_Att,nrSK_PID,$D312,nrSK_Cat,$E312,nrSK_Res,"Pass"),_xlfn.MAXIFS(nrSK_Att,nrSK_PID,$D312,nrSK_Cat,$E312,nrSK_Res,"Fail"))&gt;0,N($I312)&lt;MAX(_xlfn.MAXIFS(nrSK_Att,nrSK_PID,$D312,nrSK_Cat,$E312,nrSK_Res,"Pass"),_xlfn.MAXIFS(nrSK_Att,nrSK_PID,$D312,nrSK_Cat,$E312,nrSK_Res,"Fail"))),"(superseded)",IF(OR($J312="",$J312="Pending"),"Pending",IF($J312="Pass","Qualified",IF(AND($J312="Fail",$N312&gt;=$F312),"FAILED OUT","Needs Remediation")))))</f>
        <v/>
      </c>
      <c r="P312" s="17">
        <f>IF($C312="","",IF($O312="FAILED OUT","Yes","No"))</f>
        <v/>
      </c>
      <c r="Q312" s="16" t="n"/>
      <c r="R312" s="16" t="n"/>
      <c r="S312" s="17">
        <f>IF($C312="","",IF(AND($K312&lt;&gt;"",NOT(ISNUMBER($K312))),"SCORE NOT A NUMBER",IF(AND(ISNUMBER($K312),OR($K312&lt;0,$K312&gt;100)),"SCORE OUT OF RANGE - this score counts toward nothing",IF(AND($G312="Score",$K312="",$J312&lt;&gt;"",$J312&lt;&gt;"Pending"),"RESULT WITHOUT A SCORE",IF(AND($G312="Pass/Fail",$K312&lt;&gt;""),"SCORE ON A PASS-FAIL CATEGORY - it is ignored",IF(AND($E312="Firearms",$J312&lt;&gt;"",$J312&lt;&gt;"Pending",$R312=""),"FIREARMS ROW WITH NO COURSE OF FIRE","OK"))))))</f>
        <v/>
      </c>
    </row>
    <row r="313">
      <c r="B313" s="17">
        <f>IF($C313="","",$D313&amp;"-"&amp;$E313&amp;"-"&amp;$I313)</f>
        <v/>
      </c>
      <c r="C313" s="16" t="n"/>
      <c r="D313" s="17">
        <f>IF($C313="","",IFERROR(INDEX(rngCadetPIDs,MATCH($C313,rngCadetNames,0)),"?"))</f>
        <v/>
      </c>
      <c r="E313" s="16" t="n"/>
      <c r="F313" s="17">
        <f>IF($E313="","",IFERROR(INDEX(rngSM_max,MATCH($E313,rngSM_cat,0)),""))</f>
        <v/>
      </c>
      <c r="G313" s="17">
        <f>IF($E313="","",IFERROR(INDEX(rngSM_mode,MATCH($E313,rngSM_cat,0)),""))</f>
        <v/>
      </c>
      <c r="H313" s="17">
        <f>IF($E313="","",IFERROR(INDEX(rngSM_pass,MATCH($E313,rngSM_cat,0)),""))</f>
        <v/>
      </c>
      <c r="I313" s="16" t="n"/>
      <c r="J313" s="16" t="n"/>
      <c r="K313" s="16" t="n"/>
      <c r="L313" s="18" t="n"/>
      <c r="M313" s="16" t="n"/>
      <c r="N313" s="17">
        <f>IF($C313="","",MAX(_xlfn.MAXIFS(nrSK_Att,nrSK_PID,$D313,nrSK_Cat,$E313,nrSK_Res,"Pass"),_xlfn.MAXIFS(nrSK_Att,nrSK_PID,$D313,nrSK_Cat,$E313,nrSK_Res,"Fail")))</f>
        <v/>
      </c>
      <c r="O313" s="17">
        <f>IF($C313="","",IF(AND(MAX(_xlfn.MAXIFS(nrSK_Att,nrSK_PID,$D313,nrSK_Cat,$E313,nrSK_Res,"Pass"),_xlfn.MAXIFS(nrSK_Att,nrSK_PID,$D313,nrSK_Cat,$E313,nrSK_Res,"Fail"))&gt;0,N($I313)&lt;MAX(_xlfn.MAXIFS(nrSK_Att,nrSK_PID,$D313,nrSK_Cat,$E313,nrSK_Res,"Pass"),_xlfn.MAXIFS(nrSK_Att,nrSK_PID,$D313,nrSK_Cat,$E313,nrSK_Res,"Fail"))),"(superseded)",IF(OR($J313="",$J313="Pending"),"Pending",IF($J313="Pass","Qualified",IF(AND($J313="Fail",$N313&gt;=$F313),"FAILED OUT","Needs Remediation")))))</f>
        <v/>
      </c>
      <c r="P313" s="17">
        <f>IF($C313="","",IF($O313="FAILED OUT","Yes","No"))</f>
        <v/>
      </c>
      <c r="Q313" s="16" t="n"/>
      <c r="R313" s="16" t="n"/>
      <c r="S313" s="17">
        <f>IF($C313="","",IF(AND($K313&lt;&gt;"",NOT(ISNUMBER($K313))),"SCORE NOT A NUMBER",IF(AND(ISNUMBER($K313),OR($K313&lt;0,$K313&gt;100)),"SCORE OUT OF RANGE - this score counts toward nothing",IF(AND($G313="Score",$K313="",$J313&lt;&gt;"",$J313&lt;&gt;"Pending"),"RESULT WITHOUT A SCORE",IF(AND($G313="Pass/Fail",$K313&lt;&gt;""),"SCORE ON A PASS-FAIL CATEGORY - it is ignored",IF(AND($E313="Firearms",$J313&lt;&gt;"",$J313&lt;&gt;"Pending",$R313=""),"FIREARMS ROW WITH NO COURSE OF FIRE","OK"))))))</f>
        <v/>
      </c>
    </row>
    <row r="314">
      <c r="B314" s="17">
        <f>IF($C314="","",$D314&amp;"-"&amp;$E314&amp;"-"&amp;$I314)</f>
        <v/>
      </c>
      <c r="C314" s="16" t="n"/>
      <c r="D314" s="17">
        <f>IF($C314="","",IFERROR(INDEX(rngCadetPIDs,MATCH($C314,rngCadetNames,0)),"?"))</f>
        <v/>
      </c>
      <c r="E314" s="16" t="n"/>
      <c r="F314" s="17">
        <f>IF($E314="","",IFERROR(INDEX(rngSM_max,MATCH($E314,rngSM_cat,0)),""))</f>
        <v/>
      </c>
      <c r="G314" s="17">
        <f>IF($E314="","",IFERROR(INDEX(rngSM_mode,MATCH($E314,rngSM_cat,0)),""))</f>
        <v/>
      </c>
      <c r="H314" s="17">
        <f>IF($E314="","",IFERROR(INDEX(rngSM_pass,MATCH($E314,rngSM_cat,0)),""))</f>
        <v/>
      </c>
      <c r="I314" s="16" t="n"/>
      <c r="J314" s="16" t="n"/>
      <c r="K314" s="16" t="n"/>
      <c r="L314" s="18" t="n"/>
      <c r="M314" s="16" t="n"/>
      <c r="N314" s="17">
        <f>IF($C314="","",MAX(_xlfn.MAXIFS(nrSK_Att,nrSK_PID,$D314,nrSK_Cat,$E314,nrSK_Res,"Pass"),_xlfn.MAXIFS(nrSK_Att,nrSK_PID,$D314,nrSK_Cat,$E314,nrSK_Res,"Fail")))</f>
        <v/>
      </c>
      <c r="O314" s="17">
        <f>IF($C314="","",IF(AND(MAX(_xlfn.MAXIFS(nrSK_Att,nrSK_PID,$D314,nrSK_Cat,$E314,nrSK_Res,"Pass"),_xlfn.MAXIFS(nrSK_Att,nrSK_PID,$D314,nrSK_Cat,$E314,nrSK_Res,"Fail"))&gt;0,N($I314)&lt;MAX(_xlfn.MAXIFS(nrSK_Att,nrSK_PID,$D314,nrSK_Cat,$E314,nrSK_Res,"Pass"),_xlfn.MAXIFS(nrSK_Att,nrSK_PID,$D314,nrSK_Cat,$E314,nrSK_Res,"Fail"))),"(superseded)",IF(OR($J314="",$J314="Pending"),"Pending",IF($J314="Pass","Qualified",IF(AND($J314="Fail",$N314&gt;=$F314),"FAILED OUT","Needs Remediation")))))</f>
        <v/>
      </c>
      <c r="P314" s="17">
        <f>IF($C314="","",IF($O314="FAILED OUT","Yes","No"))</f>
        <v/>
      </c>
      <c r="Q314" s="16" t="n"/>
      <c r="R314" s="16" t="n"/>
      <c r="S314" s="17">
        <f>IF($C314="","",IF(AND($K314&lt;&gt;"",NOT(ISNUMBER($K314))),"SCORE NOT A NUMBER",IF(AND(ISNUMBER($K314),OR($K314&lt;0,$K314&gt;100)),"SCORE OUT OF RANGE - this score counts toward nothing",IF(AND($G314="Score",$K314="",$J314&lt;&gt;"",$J314&lt;&gt;"Pending"),"RESULT WITHOUT A SCORE",IF(AND($G314="Pass/Fail",$K314&lt;&gt;""),"SCORE ON A PASS-FAIL CATEGORY - it is ignored",IF(AND($E314="Firearms",$J314&lt;&gt;"",$J314&lt;&gt;"Pending",$R314=""),"FIREARMS ROW WITH NO COURSE OF FIRE","OK"))))))</f>
        <v/>
      </c>
    </row>
    <row r="315">
      <c r="B315" s="17">
        <f>IF($C315="","",$D315&amp;"-"&amp;$E315&amp;"-"&amp;$I315)</f>
        <v/>
      </c>
      <c r="C315" s="16" t="n"/>
      <c r="D315" s="17">
        <f>IF($C315="","",IFERROR(INDEX(rngCadetPIDs,MATCH($C315,rngCadetNames,0)),"?"))</f>
        <v/>
      </c>
      <c r="E315" s="16" t="n"/>
      <c r="F315" s="17">
        <f>IF($E315="","",IFERROR(INDEX(rngSM_max,MATCH($E315,rngSM_cat,0)),""))</f>
        <v/>
      </c>
      <c r="G315" s="17">
        <f>IF($E315="","",IFERROR(INDEX(rngSM_mode,MATCH($E315,rngSM_cat,0)),""))</f>
        <v/>
      </c>
      <c r="H315" s="17">
        <f>IF($E315="","",IFERROR(INDEX(rngSM_pass,MATCH($E315,rngSM_cat,0)),""))</f>
        <v/>
      </c>
      <c r="I315" s="16" t="n"/>
      <c r="J315" s="16" t="n"/>
      <c r="K315" s="16" t="n"/>
      <c r="L315" s="18" t="n"/>
      <c r="M315" s="16" t="n"/>
      <c r="N315" s="17">
        <f>IF($C315="","",MAX(_xlfn.MAXIFS(nrSK_Att,nrSK_PID,$D315,nrSK_Cat,$E315,nrSK_Res,"Pass"),_xlfn.MAXIFS(nrSK_Att,nrSK_PID,$D315,nrSK_Cat,$E315,nrSK_Res,"Fail")))</f>
        <v/>
      </c>
      <c r="O315" s="17">
        <f>IF($C315="","",IF(AND(MAX(_xlfn.MAXIFS(nrSK_Att,nrSK_PID,$D315,nrSK_Cat,$E315,nrSK_Res,"Pass"),_xlfn.MAXIFS(nrSK_Att,nrSK_PID,$D315,nrSK_Cat,$E315,nrSK_Res,"Fail"))&gt;0,N($I315)&lt;MAX(_xlfn.MAXIFS(nrSK_Att,nrSK_PID,$D315,nrSK_Cat,$E315,nrSK_Res,"Pass"),_xlfn.MAXIFS(nrSK_Att,nrSK_PID,$D315,nrSK_Cat,$E315,nrSK_Res,"Fail"))),"(superseded)",IF(OR($J315="",$J315="Pending"),"Pending",IF($J315="Pass","Qualified",IF(AND($J315="Fail",$N315&gt;=$F315),"FAILED OUT","Needs Remediation")))))</f>
        <v/>
      </c>
      <c r="P315" s="17">
        <f>IF($C315="","",IF($O315="FAILED OUT","Yes","No"))</f>
        <v/>
      </c>
      <c r="Q315" s="16" t="n"/>
      <c r="R315" s="16" t="n"/>
      <c r="S315" s="17">
        <f>IF($C315="","",IF(AND($K315&lt;&gt;"",NOT(ISNUMBER($K315))),"SCORE NOT A NUMBER",IF(AND(ISNUMBER($K315),OR($K315&lt;0,$K315&gt;100)),"SCORE OUT OF RANGE - this score counts toward nothing",IF(AND($G315="Score",$K315="",$J315&lt;&gt;"",$J315&lt;&gt;"Pending"),"RESULT WITHOUT A SCORE",IF(AND($G315="Pass/Fail",$K315&lt;&gt;""),"SCORE ON A PASS-FAIL CATEGORY - it is ignored",IF(AND($E315="Firearms",$J315&lt;&gt;"",$J315&lt;&gt;"Pending",$R315=""),"FIREARMS ROW WITH NO COURSE OF FIRE","OK"))))))</f>
        <v/>
      </c>
    </row>
    <row r="316">
      <c r="B316" s="17">
        <f>IF($C316="","",$D316&amp;"-"&amp;$E316&amp;"-"&amp;$I316)</f>
        <v/>
      </c>
      <c r="C316" s="16" t="n"/>
      <c r="D316" s="17">
        <f>IF($C316="","",IFERROR(INDEX(rngCadetPIDs,MATCH($C316,rngCadetNames,0)),"?"))</f>
        <v/>
      </c>
      <c r="E316" s="16" t="n"/>
      <c r="F316" s="17">
        <f>IF($E316="","",IFERROR(INDEX(rngSM_max,MATCH($E316,rngSM_cat,0)),""))</f>
        <v/>
      </c>
      <c r="G316" s="17">
        <f>IF($E316="","",IFERROR(INDEX(rngSM_mode,MATCH($E316,rngSM_cat,0)),""))</f>
        <v/>
      </c>
      <c r="H316" s="17">
        <f>IF($E316="","",IFERROR(INDEX(rngSM_pass,MATCH($E316,rngSM_cat,0)),""))</f>
        <v/>
      </c>
      <c r="I316" s="16" t="n"/>
      <c r="J316" s="16" t="n"/>
      <c r="K316" s="16" t="n"/>
      <c r="L316" s="18" t="n"/>
      <c r="M316" s="16" t="n"/>
      <c r="N316" s="17">
        <f>IF($C316="","",MAX(_xlfn.MAXIFS(nrSK_Att,nrSK_PID,$D316,nrSK_Cat,$E316,nrSK_Res,"Pass"),_xlfn.MAXIFS(nrSK_Att,nrSK_PID,$D316,nrSK_Cat,$E316,nrSK_Res,"Fail")))</f>
        <v/>
      </c>
      <c r="O316" s="17">
        <f>IF($C316="","",IF(AND(MAX(_xlfn.MAXIFS(nrSK_Att,nrSK_PID,$D316,nrSK_Cat,$E316,nrSK_Res,"Pass"),_xlfn.MAXIFS(nrSK_Att,nrSK_PID,$D316,nrSK_Cat,$E316,nrSK_Res,"Fail"))&gt;0,N($I316)&lt;MAX(_xlfn.MAXIFS(nrSK_Att,nrSK_PID,$D316,nrSK_Cat,$E316,nrSK_Res,"Pass"),_xlfn.MAXIFS(nrSK_Att,nrSK_PID,$D316,nrSK_Cat,$E316,nrSK_Res,"Fail"))),"(superseded)",IF(OR($J316="",$J316="Pending"),"Pending",IF($J316="Pass","Qualified",IF(AND($J316="Fail",$N316&gt;=$F316),"FAILED OUT","Needs Remediation")))))</f>
        <v/>
      </c>
      <c r="P316" s="17">
        <f>IF($C316="","",IF($O316="FAILED OUT","Yes","No"))</f>
        <v/>
      </c>
      <c r="Q316" s="16" t="n"/>
      <c r="R316" s="16" t="n"/>
      <c r="S316" s="17">
        <f>IF($C316="","",IF(AND($K316&lt;&gt;"",NOT(ISNUMBER($K316))),"SCORE NOT A NUMBER",IF(AND(ISNUMBER($K316),OR($K316&lt;0,$K316&gt;100)),"SCORE OUT OF RANGE - this score counts toward nothing",IF(AND($G316="Score",$K316="",$J316&lt;&gt;"",$J316&lt;&gt;"Pending"),"RESULT WITHOUT A SCORE",IF(AND($G316="Pass/Fail",$K316&lt;&gt;""),"SCORE ON A PASS-FAIL CATEGORY - it is ignored",IF(AND($E316="Firearms",$J316&lt;&gt;"",$J316&lt;&gt;"Pending",$R316=""),"FIREARMS ROW WITH NO COURSE OF FIRE","OK"))))))</f>
        <v/>
      </c>
    </row>
    <row r="317">
      <c r="B317" s="17">
        <f>IF($C317="","",$D317&amp;"-"&amp;$E317&amp;"-"&amp;$I317)</f>
        <v/>
      </c>
      <c r="C317" s="16" t="n"/>
      <c r="D317" s="17">
        <f>IF($C317="","",IFERROR(INDEX(rngCadetPIDs,MATCH($C317,rngCadetNames,0)),"?"))</f>
        <v/>
      </c>
      <c r="E317" s="16" t="n"/>
      <c r="F317" s="17">
        <f>IF($E317="","",IFERROR(INDEX(rngSM_max,MATCH($E317,rngSM_cat,0)),""))</f>
        <v/>
      </c>
      <c r="G317" s="17">
        <f>IF($E317="","",IFERROR(INDEX(rngSM_mode,MATCH($E317,rngSM_cat,0)),""))</f>
        <v/>
      </c>
      <c r="H317" s="17">
        <f>IF($E317="","",IFERROR(INDEX(rngSM_pass,MATCH($E317,rngSM_cat,0)),""))</f>
        <v/>
      </c>
      <c r="I317" s="16" t="n"/>
      <c r="J317" s="16" t="n"/>
      <c r="K317" s="16" t="n"/>
      <c r="L317" s="18" t="n"/>
      <c r="M317" s="16" t="n"/>
      <c r="N317" s="17">
        <f>IF($C317="","",MAX(_xlfn.MAXIFS(nrSK_Att,nrSK_PID,$D317,nrSK_Cat,$E317,nrSK_Res,"Pass"),_xlfn.MAXIFS(nrSK_Att,nrSK_PID,$D317,nrSK_Cat,$E317,nrSK_Res,"Fail")))</f>
        <v/>
      </c>
      <c r="O317" s="17">
        <f>IF($C317="","",IF(AND(MAX(_xlfn.MAXIFS(nrSK_Att,nrSK_PID,$D317,nrSK_Cat,$E317,nrSK_Res,"Pass"),_xlfn.MAXIFS(nrSK_Att,nrSK_PID,$D317,nrSK_Cat,$E317,nrSK_Res,"Fail"))&gt;0,N($I317)&lt;MAX(_xlfn.MAXIFS(nrSK_Att,nrSK_PID,$D317,nrSK_Cat,$E317,nrSK_Res,"Pass"),_xlfn.MAXIFS(nrSK_Att,nrSK_PID,$D317,nrSK_Cat,$E317,nrSK_Res,"Fail"))),"(superseded)",IF(OR($J317="",$J317="Pending"),"Pending",IF($J317="Pass","Qualified",IF(AND($J317="Fail",$N317&gt;=$F317),"FAILED OUT","Needs Remediation")))))</f>
        <v/>
      </c>
      <c r="P317" s="17">
        <f>IF($C317="","",IF($O317="FAILED OUT","Yes","No"))</f>
        <v/>
      </c>
      <c r="Q317" s="16" t="n"/>
      <c r="R317" s="16" t="n"/>
      <c r="S317" s="17">
        <f>IF($C317="","",IF(AND($K317&lt;&gt;"",NOT(ISNUMBER($K317))),"SCORE NOT A NUMBER",IF(AND(ISNUMBER($K317),OR($K317&lt;0,$K317&gt;100)),"SCORE OUT OF RANGE - this score counts toward nothing",IF(AND($G317="Score",$K317="",$J317&lt;&gt;"",$J317&lt;&gt;"Pending"),"RESULT WITHOUT A SCORE",IF(AND($G317="Pass/Fail",$K317&lt;&gt;""),"SCORE ON A PASS-FAIL CATEGORY - it is ignored",IF(AND($E317="Firearms",$J317&lt;&gt;"",$J317&lt;&gt;"Pending",$R317=""),"FIREARMS ROW WITH NO COURSE OF FIRE","OK"))))))</f>
        <v/>
      </c>
    </row>
    <row r="318">
      <c r="B318" s="17">
        <f>IF($C318="","",$D318&amp;"-"&amp;$E318&amp;"-"&amp;$I318)</f>
        <v/>
      </c>
      <c r="C318" s="16" t="n"/>
      <c r="D318" s="17">
        <f>IF($C318="","",IFERROR(INDEX(rngCadetPIDs,MATCH($C318,rngCadetNames,0)),"?"))</f>
        <v/>
      </c>
      <c r="E318" s="16" t="n"/>
      <c r="F318" s="17">
        <f>IF($E318="","",IFERROR(INDEX(rngSM_max,MATCH($E318,rngSM_cat,0)),""))</f>
        <v/>
      </c>
      <c r="G318" s="17">
        <f>IF($E318="","",IFERROR(INDEX(rngSM_mode,MATCH($E318,rngSM_cat,0)),""))</f>
        <v/>
      </c>
      <c r="H318" s="17">
        <f>IF($E318="","",IFERROR(INDEX(rngSM_pass,MATCH($E318,rngSM_cat,0)),""))</f>
        <v/>
      </c>
      <c r="I318" s="16" t="n"/>
      <c r="J318" s="16" t="n"/>
      <c r="K318" s="16" t="n"/>
      <c r="L318" s="18" t="n"/>
      <c r="M318" s="16" t="n"/>
      <c r="N318" s="17">
        <f>IF($C318="","",MAX(_xlfn.MAXIFS(nrSK_Att,nrSK_PID,$D318,nrSK_Cat,$E318,nrSK_Res,"Pass"),_xlfn.MAXIFS(nrSK_Att,nrSK_PID,$D318,nrSK_Cat,$E318,nrSK_Res,"Fail")))</f>
        <v/>
      </c>
      <c r="O318" s="17">
        <f>IF($C318="","",IF(AND(MAX(_xlfn.MAXIFS(nrSK_Att,nrSK_PID,$D318,nrSK_Cat,$E318,nrSK_Res,"Pass"),_xlfn.MAXIFS(nrSK_Att,nrSK_PID,$D318,nrSK_Cat,$E318,nrSK_Res,"Fail"))&gt;0,N($I318)&lt;MAX(_xlfn.MAXIFS(nrSK_Att,nrSK_PID,$D318,nrSK_Cat,$E318,nrSK_Res,"Pass"),_xlfn.MAXIFS(nrSK_Att,nrSK_PID,$D318,nrSK_Cat,$E318,nrSK_Res,"Fail"))),"(superseded)",IF(OR($J318="",$J318="Pending"),"Pending",IF($J318="Pass","Qualified",IF(AND($J318="Fail",$N318&gt;=$F318),"FAILED OUT","Needs Remediation")))))</f>
        <v/>
      </c>
      <c r="P318" s="17">
        <f>IF($C318="","",IF($O318="FAILED OUT","Yes","No"))</f>
        <v/>
      </c>
      <c r="Q318" s="16" t="n"/>
      <c r="R318" s="16" t="n"/>
      <c r="S318" s="17">
        <f>IF($C318="","",IF(AND($K318&lt;&gt;"",NOT(ISNUMBER($K318))),"SCORE NOT A NUMBER",IF(AND(ISNUMBER($K318),OR($K318&lt;0,$K318&gt;100)),"SCORE OUT OF RANGE - this score counts toward nothing",IF(AND($G318="Score",$K318="",$J318&lt;&gt;"",$J318&lt;&gt;"Pending"),"RESULT WITHOUT A SCORE",IF(AND($G318="Pass/Fail",$K318&lt;&gt;""),"SCORE ON A PASS-FAIL CATEGORY - it is ignored",IF(AND($E318="Firearms",$J318&lt;&gt;"",$J318&lt;&gt;"Pending",$R318=""),"FIREARMS ROW WITH NO COURSE OF FIRE","OK"))))))</f>
        <v/>
      </c>
    </row>
    <row r="319">
      <c r="B319" s="17">
        <f>IF($C319="","",$D319&amp;"-"&amp;$E319&amp;"-"&amp;$I319)</f>
        <v/>
      </c>
      <c r="C319" s="16" t="n"/>
      <c r="D319" s="17">
        <f>IF($C319="","",IFERROR(INDEX(rngCadetPIDs,MATCH($C319,rngCadetNames,0)),"?"))</f>
        <v/>
      </c>
      <c r="E319" s="16" t="n"/>
      <c r="F319" s="17">
        <f>IF($E319="","",IFERROR(INDEX(rngSM_max,MATCH($E319,rngSM_cat,0)),""))</f>
        <v/>
      </c>
      <c r="G319" s="17">
        <f>IF($E319="","",IFERROR(INDEX(rngSM_mode,MATCH($E319,rngSM_cat,0)),""))</f>
        <v/>
      </c>
      <c r="H319" s="17">
        <f>IF($E319="","",IFERROR(INDEX(rngSM_pass,MATCH($E319,rngSM_cat,0)),""))</f>
        <v/>
      </c>
      <c r="I319" s="16" t="n"/>
      <c r="J319" s="16" t="n"/>
      <c r="K319" s="16" t="n"/>
      <c r="L319" s="18" t="n"/>
      <c r="M319" s="16" t="n"/>
      <c r="N319" s="17">
        <f>IF($C319="","",MAX(_xlfn.MAXIFS(nrSK_Att,nrSK_PID,$D319,nrSK_Cat,$E319,nrSK_Res,"Pass"),_xlfn.MAXIFS(nrSK_Att,nrSK_PID,$D319,nrSK_Cat,$E319,nrSK_Res,"Fail")))</f>
        <v/>
      </c>
      <c r="O319" s="17">
        <f>IF($C319="","",IF(AND(MAX(_xlfn.MAXIFS(nrSK_Att,nrSK_PID,$D319,nrSK_Cat,$E319,nrSK_Res,"Pass"),_xlfn.MAXIFS(nrSK_Att,nrSK_PID,$D319,nrSK_Cat,$E319,nrSK_Res,"Fail"))&gt;0,N($I319)&lt;MAX(_xlfn.MAXIFS(nrSK_Att,nrSK_PID,$D319,nrSK_Cat,$E319,nrSK_Res,"Pass"),_xlfn.MAXIFS(nrSK_Att,nrSK_PID,$D319,nrSK_Cat,$E319,nrSK_Res,"Fail"))),"(superseded)",IF(OR($J319="",$J319="Pending"),"Pending",IF($J319="Pass","Qualified",IF(AND($J319="Fail",$N319&gt;=$F319),"FAILED OUT","Needs Remediation")))))</f>
        <v/>
      </c>
      <c r="P319" s="17">
        <f>IF($C319="","",IF($O319="FAILED OUT","Yes","No"))</f>
        <v/>
      </c>
      <c r="Q319" s="16" t="n"/>
      <c r="R319" s="16" t="n"/>
      <c r="S319" s="17">
        <f>IF($C319="","",IF(AND($K319&lt;&gt;"",NOT(ISNUMBER($K319))),"SCORE NOT A NUMBER",IF(AND(ISNUMBER($K319),OR($K319&lt;0,$K319&gt;100)),"SCORE OUT OF RANGE - this score counts toward nothing",IF(AND($G319="Score",$K319="",$J319&lt;&gt;"",$J319&lt;&gt;"Pending"),"RESULT WITHOUT A SCORE",IF(AND($G319="Pass/Fail",$K319&lt;&gt;""),"SCORE ON A PASS-FAIL CATEGORY - it is ignored",IF(AND($E319="Firearms",$J319&lt;&gt;"",$J319&lt;&gt;"Pending",$R319=""),"FIREARMS ROW WITH NO COURSE OF FIRE","OK"))))))</f>
        <v/>
      </c>
    </row>
    <row r="320">
      <c r="B320" s="17">
        <f>IF($C320="","",$D320&amp;"-"&amp;$E320&amp;"-"&amp;$I320)</f>
        <v/>
      </c>
      <c r="C320" s="16" t="n"/>
      <c r="D320" s="17">
        <f>IF($C320="","",IFERROR(INDEX(rngCadetPIDs,MATCH($C320,rngCadetNames,0)),"?"))</f>
        <v/>
      </c>
      <c r="E320" s="16" t="n"/>
      <c r="F320" s="17">
        <f>IF($E320="","",IFERROR(INDEX(rngSM_max,MATCH($E320,rngSM_cat,0)),""))</f>
        <v/>
      </c>
      <c r="G320" s="17">
        <f>IF($E320="","",IFERROR(INDEX(rngSM_mode,MATCH($E320,rngSM_cat,0)),""))</f>
        <v/>
      </c>
      <c r="H320" s="17">
        <f>IF($E320="","",IFERROR(INDEX(rngSM_pass,MATCH($E320,rngSM_cat,0)),""))</f>
        <v/>
      </c>
      <c r="I320" s="16" t="n"/>
      <c r="J320" s="16" t="n"/>
      <c r="K320" s="16" t="n"/>
      <c r="L320" s="18" t="n"/>
      <c r="M320" s="16" t="n"/>
      <c r="N320" s="17">
        <f>IF($C320="","",MAX(_xlfn.MAXIFS(nrSK_Att,nrSK_PID,$D320,nrSK_Cat,$E320,nrSK_Res,"Pass"),_xlfn.MAXIFS(nrSK_Att,nrSK_PID,$D320,nrSK_Cat,$E320,nrSK_Res,"Fail")))</f>
        <v/>
      </c>
      <c r="O320" s="17">
        <f>IF($C320="","",IF(AND(MAX(_xlfn.MAXIFS(nrSK_Att,nrSK_PID,$D320,nrSK_Cat,$E320,nrSK_Res,"Pass"),_xlfn.MAXIFS(nrSK_Att,nrSK_PID,$D320,nrSK_Cat,$E320,nrSK_Res,"Fail"))&gt;0,N($I320)&lt;MAX(_xlfn.MAXIFS(nrSK_Att,nrSK_PID,$D320,nrSK_Cat,$E320,nrSK_Res,"Pass"),_xlfn.MAXIFS(nrSK_Att,nrSK_PID,$D320,nrSK_Cat,$E320,nrSK_Res,"Fail"))),"(superseded)",IF(OR($J320="",$J320="Pending"),"Pending",IF($J320="Pass","Qualified",IF(AND($J320="Fail",$N320&gt;=$F320),"FAILED OUT","Needs Remediation")))))</f>
        <v/>
      </c>
      <c r="P320" s="17">
        <f>IF($C320="","",IF($O320="FAILED OUT","Yes","No"))</f>
        <v/>
      </c>
      <c r="Q320" s="16" t="n"/>
      <c r="R320" s="16" t="n"/>
      <c r="S320" s="17">
        <f>IF($C320="","",IF(AND($K320&lt;&gt;"",NOT(ISNUMBER($K320))),"SCORE NOT A NUMBER",IF(AND(ISNUMBER($K320),OR($K320&lt;0,$K320&gt;100)),"SCORE OUT OF RANGE - this score counts toward nothing",IF(AND($G320="Score",$K320="",$J320&lt;&gt;"",$J320&lt;&gt;"Pending"),"RESULT WITHOUT A SCORE",IF(AND($G320="Pass/Fail",$K320&lt;&gt;""),"SCORE ON A PASS-FAIL CATEGORY - it is ignored",IF(AND($E320="Firearms",$J320&lt;&gt;"",$J320&lt;&gt;"Pending",$R320=""),"FIREARMS ROW WITH NO COURSE OF FIRE","OK"))))))</f>
        <v/>
      </c>
    </row>
    <row r="321">
      <c r="B321" s="17">
        <f>IF($C321="","",$D321&amp;"-"&amp;$E321&amp;"-"&amp;$I321)</f>
        <v/>
      </c>
      <c r="C321" s="16" t="n"/>
      <c r="D321" s="17">
        <f>IF($C321="","",IFERROR(INDEX(rngCadetPIDs,MATCH($C321,rngCadetNames,0)),"?"))</f>
        <v/>
      </c>
      <c r="E321" s="16" t="n"/>
      <c r="F321" s="17">
        <f>IF($E321="","",IFERROR(INDEX(rngSM_max,MATCH($E321,rngSM_cat,0)),""))</f>
        <v/>
      </c>
      <c r="G321" s="17">
        <f>IF($E321="","",IFERROR(INDEX(rngSM_mode,MATCH($E321,rngSM_cat,0)),""))</f>
        <v/>
      </c>
      <c r="H321" s="17">
        <f>IF($E321="","",IFERROR(INDEX(rngSM_pass,MATCH($E321,rngSM_cat,0)),""))</f>
        <v/>
      </c>
      <c r="I321" s="16" t="n"/>
      <c r="J321" s="16" t="n"/>
      <c r="K321" s="16" t="n"/>
      <c r="L321" s="18" t="n"/>
      <c r="M321" s="16" t="n"/>
      <c r="N321" s="17">
        <f>IF($C321="","",MAX(_xlfn.MAXIFS(nrSK_Att,nrSK_PID,$D321,nrSK_Cat,$E321,nrSK_Res,"Pass"),_xlfn.MAXIFS(nrSK_Att,nrSK_PID,$D321,nrSK_Cat,$E321,nrSK_Res,"Fail")))</f>
        <v/>
      </c>
      <c r="O321" s="17">
        <f>IF($C321="","",IF(AND(MAX(_xlfn.MAXIFS(nrSK_Att,nrSK_PID,$D321,nrSK_Cat,$E321,nrSK_Res,"Pass"),_xlfn.MAXIFS(nrSK_Att,nrSK_PID,$D321,nrSK_Cat,$E321,nrSK_Res,"Fail"))&gt;0,N($I321)&lt;MAX(_xlfn.MAXIFS(nrSK_Att,nrSK_PID,$D321,nrSK_Cat,$E321,nrSK_Res,"Pass"),_xlfn.MAXIFS(nrSK_Att,nrSK_PID,$D321,nrSK_Cat,$E321,nrSK_Res,"Fail"))),"(superseded)",IF(OR($J321="",$J321="Pending"),"Pending",IF($J321="Pass","Qualified",IF(AND($J321="Fail",$N321&gt;=$F321),"FAILED OUT","Needs Remediation")))))</f>
        <v/>
      </c>
      <c r="P321" s="17">
        <f>IF($C321="","",IF($O321="FAILED OUT","Yes","No"))</f>
        <v/>
      </c>
      <c r="Q321" s="16" t="n"/>
      <c r="R321" s="16" t="n"/>
      <c r="S321" s="17">
        <f>IF($C321="","",IF(AND($K321&lt;&gt;"",NOT(ISNUMBER($K321))),"SCORE NOT A NUMBER",IF(AND(ISNUMBER($K321),OR($K321&lt;0,$K321&gt;100)),"SCORE OUT OF RANGE - this score counts toward nothing",IF(AND($G321="Score",$K321="",$J321&lt;&gt;"",$J321&lt;&gt;"Pending"),"RESULT WITHOUT A SCORE",IF(AND($G321="Pass/Fail",$K321&lt;&gt;""),"SCORE ON A PASS-FAIL CATEGORY - it is ignored",IF(AND($E321="Firearms",$J321&lt;&gt;"",$J321&lt;&gt;"Pending",$R321=""),"FIREARMS ROW WITH NO COURSE OF FIRE","OK"))))))</f>
        <v/>
      </c>
    </row>
    <row r="322">
      <c r="B322" s="17">
        <f>IF($C322="","",$D322&amp;"-"&amp;$E322&amp;"-"&amp;$I322)</f>
        <v/>
      </c>
      <c r="C322" s="16" t="n"/>
      <c r="D322" s="17">
        <f>IF($C322="","",IFERROR(INDEX(rngCadetPIDs,MATCH($C322,rngCadetNames,0)),"?"))</f>
        <v/>
      </c>
      <c r="E322" s="16" t="n"/>
      <c r="F322" s="17">
        <f>IF($E322="","",IFERROR(INDEX(rngSM_max,MATCH($E322,rngSM_cat,0)),""))</f>
        <v/>
      </c>
      <c r="G322" s="17">
        <f>IF($E322="","",IFERROR(INDEX(rngSM_mode,MATCH($E322,rngSM_cat,0)),""))</f>
        <v/>
      </c>
      <c r="H322" s="17">
        <f>IF($E322="","",IFERROR(INDEX(rngSM_pass,MATCH($E322,rngSM_cat,0)),""))</f>
        <v/>
      </c>
      <c r="I322" s="16" t="n"/>
      <c r="J322" s="16" t="n"/>
      <c r="K322" s="16" t="n"/>
      <c r="L322" s="18" t="n"/>
      <c r="M322" s="16" t="n"/>
      <c r="N322" s="17">
        <f>IF($C322="","",MAX(_xlfn.MAXIFS(nrSK_Att,nrSK_PID,$D322,nrSK_Cat,$E322,nrSK_Res,"Pass"),_xlfn.MAXIFS(nrSK_Att,nrSK_PID,$D322,nrSK_Cat,$E322,nrSK_Res,"Fail")))</f>
        <v/>
      </c>
      <c r="O322" s="17">
        <f>IF($C322="","",IF(AND(MAX(_xlfn.MAXIFS(nrSK_Att,nrSK_PID,$D322,nrSK_Cat,$E322,nrSK_Res,"Pass"),_xlfn.MAXIFS(nrSK_Att,nrSK_PID,$D322,nrSK_Cat,$E322,nrSK_Res,"Fail"))&gt;0,N($I322)&lt;MAX(_xlfn.MAXIFS(nrSK_Att,nrSK_PID,$D322,nrSK_Cat,$E322,nrSK_Res,"Pass"),_xlfn.MAXIFS(nrSK_Att,nrSK_PID,$D322,nrSK_Cat,$E322,nrSK_Res,"Fail"))),"(superseded)",IF(OR($J322="",$J322="Pending"),"Pending",IF($J322="Pass","Qualified",IF(AND($J322="Fail",$N322&gt;=$F322),"FAILED OUT","Needs Remediation")))))</f>
        <v/>
      </c>
      <c r="P322" s="17">
        <f>IF($C322="","",IF($O322="FAILED OUT","Yes","No"))</f>
        <v/>
      </c>
      <c r="Q322" s="16" t="n"/>
      <c r="R322" s="16" t="n"/>
      <c r="S322" s="17">
        <f>IF($C322="","",IF(AND($K322&lt;&gt;"",NOT(ISNUMBER($K322))),"SCORE NOT A NUMBER",IF(AND(ISNUMBER($K322),OR($K322&lt;0,$K322&gt;100)),"SCORE OUT OF RANGE - this score counts toward nothing",IF(AND($G322="Score",$K322="",$J322&lt;&gt;"",$J322&lt;&gt;"Pending"),"RESULT WITHOUT A SCORE",IF(AND($G322="Pass/Fail",$K322&lt;&gt;""),"SCORE ON A PASS-FAIL CATEGORY - it is ignored",IF(AND($E322="Firearms",$J322&lt;&gt;"",$J322&lt;&gt;"Pending",$R322=""),"FIREARMS ROW WITH NO COURSE OF FIRE","OK"))))))</f>
        <v/>
      </c>
    </row>
    <row r="323">
      <c r="B323" s="17">
        <f>IF($C323="","",$D323&amp;"-"&amp;$E323&amp;"-"&amp;$I323)</f>
        <v/>
      </c>
      <c r="C323" s="16" t="n"/>
      <c r="D323" s="17">
        <f>IF($C323="","",IFERROR(INDEX(rngCadetPIDs,MATCH($C323,rngCadetNames,0)),"?"))</f>
        <v/>
      </c>
      <c r="E323" s="16" t="n"/>
      <c r="F323" s="17">
        <f>IF($E323="","",IFERROR(INDEX(rngSM_max,MATCH($E323,rngSM_cat,0)),""))</f>
        <v/>
      </c>
      <c r="G323" s="17">
        <f>IF($E323="","",IFERROR(INDEX(rngSM_mode,MATCH($E323,rngSM_cat,0)),""))</f>
        <v/>
      </c>
      <c r="H323" s="17">
        <f>IF($E323="","",IFERROR(INDEX(rngSM_pass,MATCH($E323,rngSM_cat,0)),""))</f>
        <v/>
      </c>
      <c r="I323" s="16" t="n"/>
      <c r="J323" s="16" t="n"/>
      <c r="K323" s="16" t="n"/>
      <c r="L323" s="18" t="n"/>
      <c r="M323" s="16" t="n"/>
      <c r="N323" s="17">
        <f>IF($C323="","",MAX(_xlfn.MAXIFS(nrSK_Att,nrSK_PID,$D323,nrSK_Cat,$E323,nrSK_Res,"Pass"),_xlfn.MAXIFS(nrSK_Att,nrSK_PID,$D323,nrSK_Cat,$E323,nrSK_Res,"Fail")))</f>
        <v/>
      </c>
      <c r="O323" s="17">
        <f>IF($C323="","",IF(AND(MAX(_xlfn.MAXIFS(nrSK_Att,nrSK_PID,$D323,nrSK_Cat,$E323,nrSK_Res,"Pass"),_xlfn.MAXIFS(nrSK_Att,nrSK_PID,$D323,nrSK_Cat,$E323,nrSK_Res,"Fail"))&gt;0,N($I323)&lt;MAX(_xlfn.MAXIFS(nrSK_Att,nrSK_PID,$D323,nrSK_Cat,$E323,nrSK_Res,"Pass"),_xlfn.MAXIFS(nrSK_Att,nrSK_PID,$D323,nrSK_Cat,$E323,nrSK_Res,"Fail"))),"(superseded)",IF(OR($J323="",$J323="Pending"),"Pending",IF($J323="Pass","Qualified",IF(AND($J323="Fail",$N323&gt;=$F323),"FAILED OUT","Needs Remediation")))))</f>
        <v/>
      </c>
      <c r="P323" s="17">
        <f>IF($C323="","",IF($O323="FAILED OUT","Yes","No"))</f>
        <v/>
      </c>
      <c r="Q323" s="16" t="n"/>
      <c r="R323" s="16" t="n"/>
      <c r="S323" s="17">
        <f>IF($C323="","",IF(AND($K323&lt;&gt;"",NOT(ISNUMBER($K323))),"SCORE NOT A NUMBER",IF(AND(ISNUMBER($K323),OR($K323&lt;0,$K323&gt;100)),"SCORE OUT OF RANGE - this score counts toward nothing",IF(AND($G323="Score",$K323="",$J323&lt;&gt;"",$J323&lt;&gt;"Pending"),"RESULT WITHOUT A SCORE",IF(AND($G323="Pass/Fail",$K323&lt;&gt;""),"SCORE ON A PASS-FAIL CATEGORY - it is ignored",IF(AND($E323="Firearms",$J323&lt;&gt;"",$J323&lt;&gt;"Pending",$R323=""),"FIREARMS ROW WITH NO COURSE OF FIRE","OK"))))))</f>
        <v/>
      </c>
    </row>
    <row r="324">
      <c r="B324" s="17">
        <f>IF($C324="","",$D324&amp;"-"&amp;$E324&amp;"-"&amp;$I324)</f>
        <v/>
      </c>
      <c r="C324" s="16" t="n"/>
      <c r="D324" s="17">
        <f>IF($C324="","",IFERROR(INDEX(rngCadetPIDs,MATCH($C324,rngCadetNames,0)),"?"))</f>
        <v/>
      </c>
      <c r="E324" s="16" t="n"/>
      <c r="F324" s="17">
        <f>IF($E324="","",IFERROR(INDEX(rngSM_max,MATCH($E324,rngSM_cat,0)),""))</f>
        <v/>
      </c>
      <c r="G324" s="17">
        <f>IF($E324="","",IFERROR(INDEX(rngSM_mode,MATCH($E324,rngSM_cat,0)),""))</f>
        <v/>
      </c>
      <c r="H324" s="17">
        <f>IF($E324="","",IFERROR(INDEX(rngSM_pass,MATCH($E324,rngSM_cat,0)),""))</f>
        <v/>
      </c>
      <c r="I324" s="16" t="n"/>
      <c r="J324" s="16" t="n"/>
      <c r="K324" s="16" t="n"/>
      <c r="L324" s="18" t="n"/>
      <c r="M324" s="16" t="n"/>
      <c r="N324" s="17">
        <f>IF($C324="","",MAX(_xlfn.MAXIFS(nrSK_Att,nrSK_PID,$D324,nrSK_Cat,$E324,nrSK_Res,"Pass"),_xlfn.MAXIFS(nrSK_Att,nrSK_PID,$D324,nrSK_Cat,$E324,nrSK_Res,"Fail")))</f>
        <v/>
      </c>
      <c r="O324" s="17">
        <f>IF($C324="","",IF(AND(MAX(_xlfn.MAXIFS(nrSK_Att,nrSK_PID,$D324,nrSK_Cat,$E324,nrSK_Res,"Pass"),_xlfn.MAXIFS(nrSK_Att,nrSK_PID,$D324,nrSK_Cat,$E324,nrSK_Res,"Fail"))&gt;0,N($I324)&lt;MAX(_xlfn.MAXIFS(nrSK_Att,nrSK_PID,$D324,nrSK_Cat,$E324,nrSK_Res,"Pass"),_xlfn.MAXIFS(nrSK_Att,nrSK_PID,$D324,nrSK_Cat,$E324,nrSK_Res,"Fail"))),"(superseded)",IF(OR($J324="",$J324="Pending"),"Pending",IF($J324="Pass","Qualified",IF(AND($J324="Fail",$N324&gt;=$F324),"FAILED OUT","Needs Remediation")))))</f>
        <v/>
      </c>
      <c r="P324" s="17">
        <f>IF($C324="","",IF($O324="FAILED OUT","Yes","No"))</f>
        <v/>
      </c>
      <c r="Q324" s="16" t="n"/>
      <c r="R324" s="16" t="n"/>
      <c r="S324" s="17">
        <f>IF($C324="","",IF(AND($K324&lt;&gt;"",NOT(ISNUMBER($K324))),"SCORE NOT A NUMBER",IF(AND(ISNUMBER($K324),OR($K324&lt;0,$K324&gt;100)),"SCORE OUT OF RANGE - this score counts toward nothing",IF(AND($G324="Score",$K324="",$J324&lt;&gt;"",$J324&lt;&gt;"Pending"),"RESULT WITHOUT A SCORE",IF(AND($G324="Pass/Fail",$K324&lt;&gt;""),"SCORE ON A PASS-FAIL CATEGORY - it is ignored",IF(AND($E324="Firearms",$J324&lt;&gt;"",$J324&lt;&gt;"Pending",$R324=""),"FIREARMS ROW WITH NO COURSE OF FIRE","OK"))))))</f>
        <v/>
      </c>
    </row>
    <row r="325">
      <c r="B325" s="17">
        <f>IF($C325="","",$D325&amp;"-"&amp;$E325&amp;"-"&amp;$I325)</f>
        <v/>
      </c>
      <c r="C325" s="16" t="n"/>
      <c r="D325" s="17">
        <f>IF($C325="","",IFERROR(INDEX(rngCadetPIDs,MATCH($C325,rngCadetNames,0)),"?"))</f>
        <v/>
      </c>
      <c r="E325" s="16" t="n"/>
      <c r="F325" s="17">
        <f>IF($E325="","",IFERROR(INDEX(rngSM_max,MATCH($E325,rngSM_cat,0)),""))</f>
        <v/>
      </c>
      <c r="G325" s="17">
        <f>IF($E325="","",IFERROR(INDEX(rngSM_mode,MATCH($E325,rngSM_cat,0)),""))</f>
        <v/>
      </c>
      <c r="H325" s="17">
        <f>IF($E325="","",IFERROR(INDEX(rngSM_pass,MATCH($E325,rngSM_cat,0)),""))</f>
        <v/>
      </c>
      <c r="I325" s="16" t="n"/>
      <c r="J325" s="16" t="n"/>
      <c r="K325" s="16" t="n"/>
      <c r="L325" s="18" t="n"/>
      <c r="M325" s="16" t="n"/>
      <c r="N325" s="17">
        <f>IF($C325="","",MAX(_xlfn.MAXIFS(nrSK_Att,nrSK_PID,$D325,nrSK_Cat,$E325,nrSK_Res,"Pass"),_xlfn.MAXIFS(nrSK_Att,nrSK_PID,$D325,nrSK_Cat,$E325,nrSK_Res,"Fail")))</f>
        <v/>
      </c>
      <c r="O325" s="17">
        <f>IF($C325="","",IF(AND(MAX(_xlfn.MAXIFS(nrSK_Att,nrSK_PID,$D325,nrSK_Cat,$E325,nrSK_Res,"Pass"),_xlfn.MAXIFS(nrSK_Att,nrSK_PID,$D325,nrSK_Cat,$E325,nrSK_Res,"Fail"))&gt;0,N($I325)&lt;MAX(_xlfn.MAXIFS(nrSK_Att,nrSK_PID,$D325,nrSK_Cat,$E325,nrSK_Res,"Pass"),_xlfn.MAXIFS(nrSK_Att,nrSK_PID,$D325,nrSK_Cat,$E325,nrSK_Res,"Fail"))),"(superseded)",IF(OR($J325="",$J325="Pending"),"Pending",IF($J325="Pass","Qualified",IF(AND($J325="Fail",$N325&gt;=$F325),"FAILED OUT","Needs Remediation")))))</f>
        <v/>
      </c>
      <c r="P325" s="17">
        <f>IF($C325="","",IF($O325="FAILED OUT","Yes","No"))</f>
        <v/>
      </c>
      <c r="Q325" s="16" t="n"/>
      <c r="R325" s="16" t="n"/>
      <c r="S325" s="17">
        <f>IF($C325="","",IF(AND($K325&lt;&gt;"",NOT(ISNUMBER($K325))),"SCORE NOT A NUMBER",IF(AND(ISNUMBER($K325),OR($K325&lt;0,$K325&gt;100)),"SCORE OUT OF RANGE - this score counts toward nothing",IF(AND($G325="Score",$K325="",$J325&lt;&gt;"",$J325&lt;&gt;"Pending"),"RESULT WITHOUT A SCORE",IF(AND($G325="Pass/Fail",$K325&lt;&gt;""),"SCORE ON A PASS-FAIL CATEGORY - it is ignored",IF(AND($E325="Firearms",$J325&lt;&gt;"",$J325&lt;&gt;"Pending",$R325=""),"FIREARMS ROW WITH NO COURSE OF FIRE","OK"))))))</f>
        <v/>
      </c>
    </row>
    <row r="326">
      <c r="B326" s="17">
        <f>IF($C326="","",$D326&amp;"-"&amp;$E326&amp;"-"&amp;$I326)</f>
        <v/>
      </c>
      <c r="C326" s="16" t="n"/>
      <c r="D326" s="17">
        <f>IF($C326="","",IFERROR(INDEX(rngCadetPIDs,MATCH($C326,rngCadetNames,0)),"?"))</f>
        <v/>
      </c>
      <c r="E326" s="16" t="n"/>
      <c r="F326" s="17">
        <f>IF($E326="","",IFERROR(INDEX(rngSM_max,MATCH($E326,rngSM_cat,0)),""))</f>
        <v/>
      </c>
      <c r="G326" s="17">
        <f>IF($E326="","",IFERROR(INDEX(rngSM_mode,MATCH($E326,rngSM_cat,0)),""))</f>
        <v/>
      </c>
      <c r="H326" s="17">
        <f>IF($E326="","",IFERROR(INDEX(rngSM_pass,MATCH($E326,rngSM_cat,0)),""))</f>
        <v/>
      </c>
      <c r="I326" s="16" t="n"/>
      <c r="J326" s="16" t="n"/>
      <c r="K326" s="16" t="n"/>
      <c r="L326" s="18" t="n"/>
      <c r="M326" s="16" t="n"/>
      <c r="N326" s="17">
        <f>IF($C326="","",MAX(_xlfn.MAXIFS(nrSK_Att,nrSK_PID,$D326,nrSK_Cat,$E326,nrSK_Res,"Pass"),_xlfn.MAXIFS(nrSK_Att,nrSK_PID,$D326,nrSK_Cat,$E326,nrSK_Res,"Fail")))</f>
        <v/>
      </c>
      <c r="O326" s="17">
        <f>IF($C326="","",IF(AND(MAX(_xlfn.MAXIFS(nrSK_Att,nrSK_PID,$D326,nrSK_Cat,$E326,nrSK_Res,"Pass"),_xlfn.MAXIFS(nrSK_Att,nrSK_PID,$D326,nrSK_Cat,$E326,nrSK_Res,"Fail"))&gt;0,N($I326)&lt;MAX(_xlfn.MAXIFS(nrSK_Att,nrSK_PID,$D326,nrSK_Cat,$E326,nrSK_Res,"Pass"),_xlfn.MAXIFS(nrSK_Att,nrSK_PID,$D326,nrSK_Cat,$E326,nrSK_Res,"Fail"))),"(superseded)",IF(OR($J326="",$J326="Pending"),"Pending",IF($J326="Pass","Qualified",IF(AND($J326="Fail",$N326&gt;=$F326),"FAILED OUT","Needs Remediation")))))</f>
        <v/>
      </c>
      <c r="P326" s="17">
        <f>IF($C326="","",IF($O326="FAILED OUT","Yes","No"))</f>
        <v/>
      </c>
      <c r="Q326" s="16" t="n"/>
      <c r="R326" s="16" t="n"/>
      <c r="S326" s="17">
        <f>IF($C326="","",IF(AND($K326&lt;&gt;"",NOT(ISNUMBER($K326))),"SCORE NOT A NUMBER",IF(AND(ISNUMBER($K326),OR($K326&lt;0,$K326&gt;100)),"SCORE OUT OF RANGE - this score counts toward nothing",IF(AND($G326="Score",$K326="",$J326&lt;&gt;"",$J326&lt;&gt;"Pending"),"RESULT WITHOUT A SCORE",IF(AND($G326="Pass/Fail",$K326&lt;&gt;""),"SCORE ON A PASS-FAIL CATEGORY - it is ignored",IF(AND($E326="Firearms",$J326&lt;&gt;"",$J326&lt;&gt;"Pending",$R326=""),"FIREARMS ROW WITH NO COURSE OF FIRE","OK"))))))</f>
        <v/>
      </c>
    </row>
    <row r="327">
      <c r="B327" s="17">
        <f>IF($C327="","",$D327&amp;"-"&amp;$E327&amp;"-"&amp;$I327)</f>
        <v/>
      </c>
      <c r="C327" s="16" t="n"/>
      <c r="D327" s="17">
        <f>IF($C327="","",IFERROR(INDEX(rngCadetPIDs,MATCH($C327,rngCadetNames,0)),"?"))</f>
        <v/>
      </c>
      <c r="E327" s="16" t="n"/>
      <c r="F327" s="17">
        <f>IF($E327="","",IFERROR(INDEX(rngSM_max,MATCH($E327,rngSM_cat,0)),""))</f>
        <v/>
      </c>
      <c r="G327" s="17">
        <f>IF($E327="","",IFERROR(INDEX(rngSM_mode,MATCH($E327,rngSM_cat,0)),""))</f>
        <v/>
      </c>
      <c r="H327" s="17">
        <f>IF($E327="","",IFERROR(INDEX(rngSM_pass,MATCH($E327,rngSM_cat,0)),""))</f>
        <v/>
      </c>
      <c r="I327" s="16" t="n"/>
      <c r="J327" s="16" t="n"/>
      <c r="K327" s="16" t="n"/>
      <c r="L327" s="18" t="n"/>
      <c r="M327" s="16" t="n"/>
      <c r="N327" s="17">
        <f>IF($C327="","",MAX(_xlfn.MAXIFS(nrSK_Att,nrSK_PID,$D327,nrSK_Cat,$E327,nrSK_Res,"Pass"),_xlfn.MAXIFS(nrSK_Att,nrSK_PID,$D327,nrSK_Cat,$E327,nrSK_Res,"Fail")))</f>
        <v/>
      </c>
      <c r="O327" s="17">
        <f>IF($C327="","",IF(AND(MAX(_xlfn.MAXIFS(nrSK_Att,nrSK_PID,$D327,nrSK_Cat,$E327,nrSK_Res,"Pass"),_xlfn.MAXIFS(nrSK_Att,nrSK_PID,$D327,nrSK_Cat,$E327,nrSK_Res,"Fail"))&gt;0,N($I327)&lt;MAX(_xlfn.MAXIFS(nrSK_Att,nrSK_PID,$D327,nrSK_Cat,$E327,nrSK_Res,"Pass"),_xlfn.MAXIFS(nrSK_Att,nrSK_PID,$D327,nrSK_Cat,$E327,nrSK_Res,"Fail"))),"(superseded)",IF(OR($J327="",$J327="Pending"),"Pending",IF($J327="Pass","Qualified",IF(AND($J327="Fail",$N327&gt;=$F327),"FAILED OUT","Needs Remediation")))))</f>
        <v/>
      </c>
      <c r="P327" s="17">
        <f>IF($C327="","",IF($O327="FAILED OUT","Yes","No"))</f>
        <v/>
      </c>
      <c r="Q327" s="16" t="n"/>
      <c r="R327" s="16" t="n"/>
      <c r="S327" s="17">
        <f>IF($C327="","",IF(AND($K327&lt;&gt;"",NOT(ISNUMBER($K327))),"SCORE NOT A NUMBER",IF(AND(ISNUMBER($K327),OR($K327&lt;0,$K327&gt;100)),"SCORE OUT OF RANGE - this score counts toward nothing",IF(AND($G327="Score",$K327="",$J327&lt;&gt;"",$J327&lt;&gt;"Pending"),"RESULT WITHOUT A SCORE",IF(AND($G327="Pass/Fail",$K327&lt;&gt;""),"SCORE ON A PASS-FAIL CATEGORY - it is ignored",IF(AND($E327="Firearms",$J327&lt;&gt;"",$J327&lt;&gt;"Pending",$R327=""),"FIREARMS ROW WITH NO COURSE OF FIRE","OK"))))))</f>
        <v/>
      </c>
    </row>
    <row r="328">
      <c r="B328" s="17">
        <f>IF($C328="","",$D328&amp;"-"&amp;$E328&amp;"-"&amp;$I328)</f>
        <v/>
      </c>
      <c r="C328" s="16" t="n"/>
      <c r="D328" s="17">
        <f>IF($C328="","",IFERROR(INDEX(rngCadetPIDs,MATCH($C328,rngCadetNames,0)),"?"))</f>
        <v/>
      </c>
      <c r="E328" s="16" t="n"/>
      <c r="F328" s="17">
        <f>IF($E328="","",IFERROR(INDEX(rngSM_max,MATCH($E328,rngSM_cat,0)),""))</f>
        <v/>
      </c>
      <c r="G328" s="17">
        <f>IF($E328="","",IFERROR(INDEX(rngSM_mode,MATCH($E328,rngSM_cat,0)),""))</f>
        <v/>
      </c>
      <c r="H328" s="17">
        <f>IF($E328="","",IFERROR(INDEX(rngSM_pass,MATCH($E328,rngSM_cat,0)),""))</f>
        <v/>
      </c>
      <c r="I328" s="16" t="n"/>
      <c r="J328" s="16" t="n"/>
      <c r="K328" s="16" t="n"/>
      <c r="L328" s="18" t="n"/>
      <c r="M328" s="16" t="n"/>
      <c r="N328" s="17">
        <f>IF($C328="","",MAX(_xlfn.MAXIFS(nrSK_Att,nrSK_PID,$D328,nrSK_Cat,$E328,nrSK_Res,"Pass"),_xlfn.MAXIFS(nrSK_Att,nrSK_PID,$D328,nrSK_Cat,$E328,nrSK_Res,"Fail")))</f>
        <v/>
      </c>
      <c r="O328" s="17">
        <f>IF($C328="","",IF(AND(MAX(_xlfn.MAXIFS(nrSK_Att,nrSK_PID,$D328,nrSK_Cat,$E328,nrSK_Res,"Pass"),_xlfn.MAXIFS(nrSK_Att,nrSK_PID,$D328,nrSK_Cat,$E328,nrSK_Res,"Fail"))&gt;0,N($I328)&lt;MAX(_xlfn.MAXIFS(nrSK_Att,nrSK_PID,$D328,nrSK_Cat,$E328,nrSK_Res,"Pass"),_xlfn.MAXIFS(nrSK_Att,nrSK_PID,$D328,nrSK_Cat,$E328,nrSK_Res,"Fail"))),"(superseded)",IF(OR($J328="",$J328="Pending"),"Pending",IF($J328="Pass","Qualified",IF(AND($J328="Fail",$N328&gt;=$F328),"FAILED OUT","Needs Remediation")))))</f>
        <v/>
      </c>
      <c r="P328" s="17">
        <f>IF($C328="","",IF($O328="FAILED OUT","Yes","No"))</f>
        <v/>
      </c>
      <c r="Q328" s="16" t="n"/>
      <c r="R328" s="16" t="n"/>
      <c r="S328" s="17">
        <f>IF($C328="","",IF(AND($K328&lt;&gt;"",NOT(ISNUMBER($K328))),"SCORE NOT A NUMBER",IF(AND(ISNUMBER($K328),OR($K328&lt;0,$K328&gt;100)),"SCORE OUT OF RANGE - this score counts toward nothing",IF(AND($G328="Score",$K328="",$J328&lt;&gt;"",$J328&lt;&gt;"Pending"),"RESULT WITHOUT A SCORE",IF(AND($G328="Pass/Fail",$K328&lt;&gt;""),"SCORE ON A PASS-FAIL CATEGORY - it is ignored",IF(AND($E328="Firearms",$J328&lt;&gt;"",$J328&lt;&gt;"Pending",$R328=""),"FIREARMS ROW WITH NO COURSE OF FIRE","OK"))))))</f>
        <v/>
      </c>
    </row>
    <row r="329">
      <c r="B329" s="17">
        <f>IF($C329="","",$D329&amp;"-"&amp;$E329&amp;"-"&amp;$I329)</f>
        <v/>
      </c>
      <c r="C329" s="16" t="n"/>
      <c r="D329" s="17">
        <f>IF($C329="","",IFERROR(INDEX(rngCadetPIDs,MATCH($C329,rngCadetNames,0)),"?"))</f>
        <v/>
      </c>
      <c r="E329" s="16" t="n"/>
      <c r="F329" s="17">
        <f>IF($E329="","",IFERROR(INDEX(rngSM_max,MATCH($E329,rngSM_cat,0)),""))</f>
        <v/>
      </c>
      <c r="G329" s="17">
        <f>IF($E329="","",IFERROR(INDEX(rngSM_mode,MATCH($E329,rngSM_cat,0)),""))</f>
        <v/>
      </c>
      <c r="H329" s="17">
        <f>IF($E329="","",IFERROR(INDEX(rngSM_pass,MATCH($E329,rngSM_cat,0)),""))</f>
        <v/>
      </c>
      <c r="I329" s="16" t="n"/>
      <c r="J329" s="16" t="n"/>
      <c r="K329" s="16" t="n"/>
      <c r="L329" s="18" t="n"/>
      <c r="M329" s="16" t="n"/>
      <c r="N329" s="17">
        <f>IF($C329="","",MAX(_xlfn.MAXIFS(nrSK_Att,nrSK_PID,$D329,nrSK_Cat,$E329,nrSK_Res,"Pass"),_xlfn.MAXIFS(nrSK_Att,nrSK_PID,$D329,nrSK_Cat,$E329,nrSK_Res,"Fail")))</f>
        <v/>
      </c>
      <c r="O329" s="17">
        <f>IF($C329="","",IF(AND(MAX(_xlfn.MAXIFS(nrSK_Att,nrSK_PID,$D329,nrSK_Cat,$E329,nrSK_Res,"Pass"),_xlfn.MAXIFS(nrSK_Att,nrSK_PID,$D329,nrSK_Cat,$E329,nrSK_Res,"Fail"))&gt;0,N($I329)&lt;MAX(_xlfn.MAXIFS(nrSK_Att,nrSK_PID,$D329,nrSK_Cat,$E329,nrSK_Res,"Pass"),_xlfn.MAXIFS(nrSK_Att,nrSK_PID,$D329,nrSK_Cat,$E329,nrSK_Res,"Fail"))),"(superseded)",IF(OR($J329="",$J329="Pending"),"Pending",IF($J329="Pass","Qualified",IF(AND($J329="Fail",$N329&gt;=$F329),"FAILED OUT","Needs Remediation")))))</f>
        <v/>
      </c>
      <c r="P329" s="17">
        <f>IF($C329="","",IF($O329="FAILED OUT","Yes","No"))</f>
        <v/>
      </c>
      <c r="Q329" s="16" t="n"/>
      <c r="R329" s="16" t="n"/>
      <c r="S329" s="17">
        <f>IF($C329="","",IF(AND($K329&lt;&gt;"",NOT(ISNUMBER($K329))),"SCORE NOT A NUMBER",IF(AND(ISNUMBER($K329),OR($K329&lt;0,$K329&gt;100)),"SCORE OUT OF RANGE - this score counts toward nothing",IF(AND($G329="Score",$K329="",$J329&lt;&gt;"",$J329&lt;&gt;"Pending"),"RESULT WITHOUT A SCORE",IF(AND($G329="Pass/Fail",$K329&lt;&gt;""),"SCORE ON A PASS-FAIL CATEGORY - it is ignored",IF(AND($E329="Firearms",$J329&lt;&gt;"",$J329&lt;&gt;"Pending",$R329=""),"FIREARMS ROW WITH NO COURSE OF FIRE","OK"))))))</f>
        <v/>
      </c>
    </row>
    <row r="330">
      <c r="B330" s="17">
        <f>IF($C330="","",$D330&amp;"-"&amp;$E330&amp;"-"&amp;$I330)</f>
        <v/>
      </c>
      <c r="C330" s="16" t="n"/>
      <c r="D330" s="17">
        <f>IF($C330="","",IFERROR(INDEX(rngCadetPIDs,MATCH($C330,rngCadetNames,0)),"?"))</f>
        <v/>
      </c>
      <c r="E330" s="16" t="n"/>
      <c r="F330" s="17">
        <f>IF($E330="","",IFERROR(INDEX(rngSM_max,MATCH($E330,rngSM_cat,0)),""))</f>
        <v/>
      </c>
      <c r="G330" s="17">
        <f>IF($E330="","",IFERROR(INDEX(rngSM_mode,MATCH($E330,rngSM_cat,0)),""))</f>
        <v/>
      </c>
      <c r="H330" s="17">
        <f>IF($E330="","",IFERROR(INDEX(rngSM_pass,MATCH($E330,rngSM_cat,0)),""))</f>
        <v/>
      </c>
      <c r="I330" s="16" t="n"/>
      <c r="J330" s="16" t="n"/>
      <c r="K330" s="16" t="n"/>
      <c r="L330" s="18" t="n"/>
      <c r="M330" s="16" t="n"/>
      <c r="N330" s="17">
        <f>IF($C330="","",MAX(_xlfn.MAXIFS(nrSK_Att,nrSK_PID,$D330,nrSK_Cat,$E330,nrSK_Res,"Pass"),_xlfn.MAXIFS(nrSK_Att,nrSK_PID,$D330,nrSK_Cat,$E330,nrSK_Res,"Fail")))</f>
        <v/>
      </c>
      <c r="O330" s="17">
        <f>IF($C330="","",IF(AND(MAX(_xlfn.MAXIFS(nrSK_Att,nrSK_PID,$D330,nrSK_Cat,$E330,nrSK_Res,"Pass"),_xlfn.MAXIFS(nrSK_Att,nrSK_PID,$D330,nrSK_Cat,$E330,nrSK_Res,"Fail"))&gt;0,N($I330)&lt;MAX(_xlfn.MAXIFS(nrSK_Att,nrSK_PID,$D330,nrSK_Cat,$E330,nrSK_Res,"Pass"),_xlfn.MAXIFS(nrSK_Att,nrSK_PID,$D330,nrSK_Cat,$E330,nrSK_Res,"Fail"))),"(superseded)",IF(OR($J330="",$J330="Pending"),"Pending",IF($J330="Pass","Qualified",IF(AND($J330="Fail",$N330&gt;=$F330),"FAILED OUT","Needs Remediation")))))</f>
        <v/>
      </c>
      <c r="P330" s="17">
        <f>IF($C330="","",IF($O330="FAILED OUT","Yes","No"))</f>
        <v/>
      </c>
      <c r="Q330" s="16" t="n"/>
      <c r="R330" s="16" t="n"/>
      <c r="S330" s="17">
        <f>IF($C330="","",IF(AND($K330&lt;&gt;"",NOT(ISNUMBER($K330))),"SCORE NOT A NUMBER",IF(AND(ISNUMBER($K330),OR($K330&lt;0,$K330&gt;100)),"SCORE OUT OF RANGE - this score counts toward nothing",IF(AND($G330="Score",$K330="",$J330&lt;&gt;"",$J330&lt;&gt;"Pending"),"RESULT WITHOUT A SCORE",IF(AND($G330="Pass/Fail",$K330&lt;&gt;""),"SCORE ON A PASS-FAIL CATEGORY - it is ignored",IF(AND($E330="Firearms",$J330&lt;&gt;"",$J330&lt;&gt;"Pending",$R330=""),"FIREARMS ROW WITH NO COURSE OF FIRE","OK"))))))</f>
        <v/>
      </c>
    </row>
    <row r="331">
      <c r="B331" s="17">
        <f>IF($C331="","",$D331&amp;"-"&amp;$E331&amp;"-"&amp;$I331)</f>
        <v/>
      </c>
      <c r="C331" s="16" t="n"/>
      <c r="D331" s="17">
        <f>IF($C331="","",IFERROR(INDEX(rngCadetPIDs,MATCH($C331,rngCadetNames,0)),"?"))</f>
        <v/>
      </c>
      <c r="E331" s="16" t="n"/>
      <c r="F331" s="17">
        <f>IF($E331="","",IFERROR(INDEX(rngSM_max,MATCH($E331,rngSM_cat,0)),""))</f>
        <v/>
      </c>
      <c r="G331" s="17">
        <f>IF($E331="","",IFERROR(INDEX(rngSM_mode,MATCH($E331,rngSM_cat,0)),""))</f>
        <v/>
      </c>
      <c r="H331" s="17">
        <f>IF($E331="","",IFERROR(INDEX(rngSM_pass,MATCH($E331,rngSM_cat,0)),""))</f>
        <v/>
      </c>
      <c r="I331" s="16" t="n"/>
      <c r="J331" s="16" t="n"/>
      <c r="K331" s="16" t="n"/>
      <c r="L331" s="18" t="n"/>
      <c r="M331" s="16" t="n"/>
      <c r="N331" s="17">
        <f>IF($C331="","",MAX(_xlfn.MAXIFS(nrSK_Att,nrSK_PID,$D331,nrSK_Cat,$E331,nrSK_Res,"Pass"),_xlfn.MAXIFS(nrSK_Att,nrSK_PID,$D331,nrSK_Cat,$E331,nrSK_Res,"Fail")))</f>
        <v/>
      </c>
      <c r="O331" s="17">
        <f>IF($C331="","",IF(AND(MAX(_xlfn.MAXIFS(nrSK_Att,nrSK_PID,$D331,nrSK_Cat,$E331,nrSK_Res,"Pass"),_xlfn.MAXIFS(nrSK_Att,nrSK_PID,$D331,nrSK_Cat,$E331,nrSK_Res,"Fail"))&gt;0,N($I331)&lt;MAX(_xlfn.MAXIFS(nrSK_Att,nrSK_PID,$D331,nrSK_Cat,$E331,nrSK_Res,"Pass"),_xlfn.MAXIFS(nrSK_Att,nrSK_PID,$D331,nrSK_Cat,$E331,nrSK_Res,"Fail"))),"(superseded)",IF(OR($J331="",$J331="Pending"),"Pending",IF($J331="Pass","Qualified",IF(AND($J331="Fail",$N331&gt;=$F331),"FAILED OUT","Needs Remediation")))))</f>
        <v/>
      </c>
      <c r="P331" s="17">
        <f>IF($C331="","",IF($O331="FAILED OUT","Yes","No"))</f>
        <v/>
      </c>
      <c r="Q331" s="16" t="n"/>
      <c r="R331" s="16" t="n"/>
      <c r="S331" s="17">
        <f>IF($C331="","",IF(AND($K331&lt;&gt;"",NOT(ISNUMBER($K331))),"SCORE NOT A NUMBER",IF(AND(ISNUMBER($K331),OR($K331&lt;0,$K331&gt;100)),"SCORE OUT OF RANGE - this score counts toward nothing",IF(AND($G331="Score",$K331="",$J331&lt;&gt;"",$J331&lt;&gt;"Pending"),"RESULT WITHOUT A SCORE",IF(AND($G331="Pass/Fail",$K331&lt;&gt;""),"SCORE ON A PASS-FAIL CATEGORY - it is ignored",IF(AND($E331="Firearms",$J331&lt;&gt;"",$J331&lt;&gt;"Pending",$R331=""),"FIREARMS ROW WITH NO COURSE OF FIRE","OK"))))))</f>
        <v/>
      </c>
    </row>
    <row r="332">
      <c r="B332" s="17">
        <f>IF($C332="","",$D332&amp;"-"&amp;$E332&amp;"-"&amp;$I332)</f>
        <v/>
      </c>
      <c r="C332" s="16" t="n"/>
      <c r="D332" s="17">
        <f>IF($C332="","",IFERROR(INDEX(rngCadetPIDs,MATCH($C332,rngCadetNames,0)),"?"))</f>
        <v/>
      </c>
      <c r="E332" s="16" t="n"/>
      <c r="F332" s="17">
        <f>IF($E332="","",IFERROR(INDEX(rngSM_max,MATCH($E332,rngSM_cat,0)),""))</f>
        <v/>
      </c>
      <c r="G332" s="17">
        <f>IF($E332="","",IFERROR(INDEX(rngSM_mode,MATCH($E332,rngSM_cat,0)),""))</f>
        <v/>
      </c>
      <c r="H332" s="17">
        <f>IF($E332="","",IFERROR(INDEX(rngSM_pass,MATCH($E332,rngSM_cat,0)),""))</f>
        <v/>
      </c>
      <c r="I332" s="16" t="n"/>
      <c r="J332" s="16" t="n"/>
      <c r="K332" s="16" t="n"/>
      <c r="L332" s="18" t="n"/>
      <c r="M332" s="16" t="n"/>
      <c r="N332" s="17">
        <f>IF($C332="","",MAX(_xlfn.MAXIFS(nrSK_Att,nrSK_PID,$D332,nrSK_Cat,$E332,nrSK_Res,"Pass"),_xlfn.MAXIFS(nrSK_Att,nrSK_PID,$D332,nrSK_Cat,$E332,nrSK_Res,"Fail")))</f>
        <v/>
      </c>
      <c r="O332" s="17">
        <f>IF($C332="","",IF(AND(MAX(_xlfn.MAXIFS(nrSK_Att,nrSK_PID,$D332,nrSK_Cat,$E332,nrSK_Res,"Pass"),_xlfn.MAXIFS(nrSK_Att,nrSK_PID,$D332,nrSK_Cat,$E332,nrSK_Res,"Fail"))&gt;0,N($I332)&lt;MAX(_xlfn.MAXIFS(nrSK_Att,nrSK_PID,$D332,nrSK_Cat,$E332,nrSK_Res,"Pass"),_xlfn.MAXIFS(nrSK_Att,nrSK_PID,$D332,nrSK_Cat,$E332,nrSK_Res,"Fail"))),"(superseded)",IF(OR($J332="",$J332="Pending"),"Pending",IF($J332="Pass","Qualified",IF(AND($J332="Fail",$N332&gt;=$F332),"FAILED OUT","Needs Remediation")))))</f>
        <v/>
      </c>
      <c r="P332" s="17">
        <f>IF($C332="","",IF($O332="FAILED OUT","Yes","No"))</f>
        <v/>
      </c>
      <c r="Q332" s="16" t="n"/>
      <c r="R332" s="16" t="n"/>
      <c r="S332" s="17">
        <f>IF($C332="","",IF(AND($K332&lt;&gt;"",NOT(ISNUMBER($K332))),"SCORE NOT A NUMBER",IF(AND(ISNUMBER($K332),OR($K332&lt;0,$K332&gt;100)),"SCORE OUT OF RANGE - this score counts toward nothing",IF(AND($G332="Score",$K332="",$J332&lt;&gt;"",$J332&lt;&gt;"Pending"),"RESULT WITHOUT A SCORE",IF(AND($G332="Pass/Fail",$K332&lt;&gt;""),"SCORE ON A PASS-FAIL CATEGORY - it is ignored",IF(AND($E332="Firearms",$J332&lt;&gt;"",$J332&lt;&gt;"Pending",$R332=""),"FIREARMS ROW WITH NO COURSE OF FIRE","OK"))))))</f>
        <v/>
      </c>
    </row>
    <row r="333">
      <c r="B333" s="17">
        <f>IF($C333="","",$D333&amp;"-"&amp;$E333&amp;"-"&amp;$I333)</f>
        <v/>
      </c>
      <c r="C333" s="16" t="n"/>
      <c r="D333" s="17">
        <f>IF($C333="","",IFERROR(INDEX(rngCadetPIDs,MATCH($C333,rngCadetNames,0)),"?"))</f>
        <v/>
      </c>
      <c r="E333" s="16" t="n"/>
      <c r="F333" s="17">
        <f>IF($E333="","",IFERROR(INDEX(rngSM_max,MATCH($E333,rngSM_cat,0)),""))</f>
        <v/>
      </c>
      <c r="G333" s="17">
        <f>IF($E333="","",IFERROR(INDEX(rngSM_mode,MATCH($E333,rngSM_cat,0)),""))</f>
        <v/>
      </c>
      <c r="H333" s="17">
        <f>IF($E333="","",IFERROR(INDEX(rngSM_pass,MATCH($E333,rngSM_cat,0)),""))</f>
        <v/>
      </c>
      <c r="I333" s="16" t="n"/>
      <c r="J333" s="16" t="n"/>
      <c r="K333" s="16" t="n"/>
      <c r="L333" s="18" t="n"/>
      <c r="M333" s="16" t="n"/>
      <c r="N333" s="17">
        <f>IF($C333="","",MAX(_xlfn.MAXIFS(nrSK_Att,nrSK_PID,$D333,nrSK_Cat,$E333,nrSK_Res,"Pass"),_xlfn.MAXIFS(nrSK_Att,nrSK_PID,$D333,nrSK_Cat,$E333,nrSK_Res,"Fail")))</f>
        <v/>
      </c>
      <c r="O333" s="17">
        <f>IF($C333="","",IF(AND(MAX(_xlfn.MAXIFS(nrSK_Att,nrSK_PID,$D333,nrSK_Cat,$E333,nrSK_Res,"Pass"),_xlfn.MAXIFS(nrSK_Att,nrSK_PID,$D333,nrSK_Cat,$E333,nrSK_Res,"Fail"))&gt;0,N($I333)&lt;MAX(_xlfn.MAXIFS(nrSK_Att,nrSK_PID,$D333,nrSK_Cat,$E333,nrSK_Res,"Pass"),_xlfn.MAXIFS(nrSK_Att,nrSK_PID,$D333,nrSK_Cat,$E333,nrSK_Res,"Fail"))),"(superseded)",IF(OR($J333="",$J333="Pending"),"Pending",IF($J333="Pass","Qualified",IF(AND($J333="Fail",$N333&gt;=$F333),"FAILED OUT","Needs Remediation")))))</f>
        <v/>
      </c>
      <c r="P333" s="17">
        <f>IF($C333="","",IF($O333="FAILED OUT","Yes","No"))</f>
        <v/>
      </c>
      <c r="Q333" s="16" t="n"/>
      <c r="R333" s="16" t="n"/>
      <c r="S333" s="17">
        <f>IF($C333="","",IF(AND($K333&lt;&gt;"",NOT(ISNUMBER($K333))),"SCORE NOT A NUMBER",IF(AND(ISNUMBER($K333),OR($K333&lt;0,$K333&gt;100)),"SCORE OUT OF RANGE - this score counts toward nothing",IF(AND($G333="Score",$K333="",$J333&lt;&gt;"",$J333&lt;&gt;"Pending"),"RESULT WITHOUT A SCORE",IF(AND($G333="Pass/Fail",$K333&lt;&gt;""),"SCORE ON A PASS-FAIL CATEGORY - it is ignored",IF(AND($E333="Firearms",$J333&lt;&gt;"",$J333&lt;&gt;"Pending",$R333=""),"FIREARMS ROW WITH NO COURSE OF FIRE","OK"))))))</f>
        <v/>
      </c>
    </row>
    <row r="334">
      <c r="B334" s="17">
        <f>IF($C334="","",$D334&amp;"-"&amp;$E334&amp;"-"&amp;$I334)</f>
        <v/>
      </c>
      <c r="C334" s="16" t="n"/>
      <c r="D334" s="17">
        <f>IF($C334="","",IFERROR(INDEX(rngCadetPIDs,MATCH($C334,rngCadetNames,0)),"?"))</f>
        <v/>
      </c>
      <c r="E334" s="16" t="n"/>
      <c r="F334" s="17">
        <f>IF($E334="","",IFERROR(INDEX(rngSM_max,MATCH($E334,rngSM_cat,0)),""))</f>
        <v/>
      </c>
      <c r="G334" s="17">
        <f>IF($E334="","",IFERROR(INDEX(rngSM_mode,MATCH($E334,rngSM_cat,0)),""))</f>
        <v/>
      </c>
      <c r="H334" s="17">
        <f>IF($E334="","",IFERROR(INDEX(rngSM_pass,MATCH($E334,rngSM_cat,0)),""))</f>
        <v/>
      </c>
      <c r="I334" s="16" t="n"/>
      <c r="J334" s="16" t="n"/>
      <c r="K334" s="16" t="n"/>
      <c r="L334" s="18" t="n"/>
      <c r="M334" s="16" t="n"/>
      <c r="N334" s="17">
        <f>IF($C334="","",MAX(_xlfn.MAXIFS(nrSK_Att,nrSK_PID,$D334,nrSK_Cat,$E334,nrSK_Res,"Pass"),_xlfn.MAXIFS(nrSK_Att,nrSK_PID,$D334,nrSK_Cat,$E334,nrSK_Res,"Fail")))</f>
        <v/>
      </c>
      <c r="O334" s="17">
        <f>IF($C334="","",IF(AND(MAX(_xlfn.MAXIFS(nrSK_Att,nrSK_PID,$D334,nrSK_Cat,$E334,nrSK_Res,"Pass"),_xlfn.MAXIFS(nrSK_Att,nrSK_PID,$D334,nrSK_Cat,$E334,nrSK_Res,"Fail"))&gt;0,N($I334)&lt;MAX(_xlfn.MAXIFS(nrSK_Att,nrSK_PID,$D334,nrSK_Cat,$E334,nrSK_Res,"Pass"),_xlfn.MAXIFS(nrSK_Att,nrSK_PID,$D334,nrSK_Cat,$E334,nrSK_Res,"Fail"))),"(superseded)",IF(OR($J334="",$J334="Pending"),"Pending",IF($J334="Pass","Qualified",IF(AND($J334="Fail",$N334&gt;=$F334),"FAILED OUT","Needs Remediation")))))</f>
        <v/>
      </c>
      <c r="P334" s="17">
        <f>IF($C334="","",IF($O334="FAILED OUT","Yes","No"))</f>
        <v/>
      </c>
      <c r="Q334" s="16" t="n"/>
      <c r="R334" s="16" t="n"/>
      <c r="S334" s="17">
        <f>IF($C334="","",IF(AND($K334&lt;&gt;"",NOT(ISNUMBER($K334))),"SCORE NOT A NUMBER",IF(AND(ISNUMBER($K334),OR($K334&lt;0,$K334&gt;100)),"SCORE OUT OF RANGE - this score counts toward nothing",IF(AND($G334="Score",$K334="",$J334&lt;&gt;"",$J334&lt;&gt;"Pending"),"RESULT WITHOUT A SCORE",IF(AND($G334="Pass/Fail",$K334&lt;&gt;""),"SCORE ON A PASS-FAIL CATEGORY - it is ignored",IF(AND($E334="Firearms",$J334&lt;&gt;"",$J334&lt;&gt;"Pending",$R334=""),"FIREARMS ROW WITH NO COURSE OF FIRE","OK"))))))</f>
        <v/>
      </c>
    </row>
    <row r="335">
      <c r="B335" s="17">
        <f>IF($C335="","",$D335&amp;"-"&amp;$E335&amp;"-"&amp;$I335)</f>
        <v/>
      </c>
      <c r="C335" s="16" t="n"/>
      <c r="D335" s="17">
        <f>IF($C335="","",IFERROR(INDEX(rngCadetPIDs,MATCH($C335,rngCadetNames,0)),"?"))</f>
        <v/>
      </c>
      <c r="E335" s="16" t="n"/>
      <c r="F335" s="17">
        <f>IF($E335="","",IFERROR(INDEX(rngSM_max,MATCH($E335,rngSM_cat,0)),""))</f>
        <v/>
      </c>
      <c r="G335" s="17">
        <f>IF($E335="","",IFERROR(INDEX(rngSM_mode,MATCH($E335,rngSM_cat,0)),""))</f>
        <v/>
      </c>
      <c r="H335" s="17">
        <f>IF($E335="","",IFERROR(INDEX(rngSM_pass,MATCH($E335,rngSM_cat,0)),""))</f>
        <v/>
      </c>
      <c r="I335" s="16" t="n"/>
      <c r="J335" s="16" t="n"/>
      <c r="K335" s="16" t="n"/>
      <c r="L335" s="18" t="n"/>
      <c r="M335" s="16" t="n"/>
      <c r="N335" s="17">
        <f>IF($C335="","",MAX(_xlfn.MAXIFS(nrSK_Att,nrSK_PID,$D335,nrSK_Cat,$E335,nrSK_Res,"Pass"),_xlfn.MAXIFS(nrSK_Att,nrSK_PID,$D335,nrSK_Cat,$E335,nrSK_Res,"Fail")))</f>
        <v/>
      </c>
      <c r="O335" s="17">
        <f>IF($C335="","",IF(AND(MAX(_xlfn.MAXIFS(nrSK_Att,nrSK_PID,$D335,nrSK_Cat,$E335,nrSK_Res,"Pass"),_xlfn.MAXIFS(nrSK_Att,nrSK_PID,$D335,nrSK_Cat,$E335,nrSK_Res,"Fail"))&gt;0,N($I335)&lt;MAX(_xlfn.MAXIFS(nrSK_Att,nrSK_PID,$D335,nrSK_Cat,$E335,nrSK_Res,"Pass"),_xlfn.MAXIFS(nrSK_Att,nrSK_PID,$D335,nrSK_Cat,$E335,nrSK_Res,"Fail"))),"(superseded)",IF(OR($J335="",$J335="Pending"),"Pending",IF($J335="Pass","Qualified",IF(AND($J335="Fail",$N335&gt;=$F335),"FAILED OUT","Needs Remediation")))))</f>
        <v/>
      </c>
      <c r="P335" s="17">
        <f>IF($C335="","",IF($O335="FAILED OUT","Yes","No"))</f>
        <v/>
      </c>
      <c r="Q335" s="16" t="n"/>
      <c r="R335" s="16" t="n"/>
      <c r="S335" s="17">
        <f>IF($C335="","",IF(AND($K335&lt;&gt;"",NOT(ISNUMBER($K335))),"SCORE NOT A NUMBER",IF(AND(ISNUMBER($K335),OR($K335&lt;0,$K335&gt;100)),"SCORE OUT OF RANGE - this score counts toward nothing",IF(AND($G335="Score",$K335="",$J335&lt;&gt;"",$J335&lt;&gt;"Pending"),"RESULT WITHOUT A SCORE",IF(AND($G335="Pass/Fail",$K335&lt;&gt;""),"SCORE ON A PASS-FAIL CATEGORY - it is ignored",IF(AND($E335="Firearms",$J335&lt;&gt;"",$J335&lt;&gt;"Pending",$R335=""),"FIREARMS ROW WITH NO COURSE OF FIRE","OK"))))))</f>
        <v/>
      </c>
    </row>
    <row r="336">
      <c r="B336" s="17">
        <f>IF($C336="","",$D336&amp;"-"&amp;$E336&amp;"-"&amp;$I336)</f>
        <v/>
      </c>
      <c r="C336" s="16" t="n"/>
      <c r="D336" s="17">
        <f>IF($C336="","",IFERROR(INDEX(rngCadetPIDs,MATCH($C336,rngCadetNames,0)),"?"))</f>
        <v/>
      </c>
      <c r="E336" s="16" t="n"/>
      <c r="F336" s="17">
        <f>IF($E336="","",IFERROR(INDEX(rngSM_max,MATCH($E336,rngSM_cat,0)),""))</f>
        <v/>
      </c>
      <c r="G336" s="17">
        <f>IF($E336="","",IFERROR(INDEX(rngSM_mode,MATCH($E336,rngSM_cat,0)),""))</f>
        <v/>
      </c>
      <c r="H336" s="17">
        <f>IF($E336="","",IFERROR(INDEX(rngSM_pass,MATCH($E336,rngSM_cat,0)),""))</f>
        <v/>
      </c>
      <c r="I336" s="16" t="n"/>
      <c r="J336" s="16" t="n"/>
      <c r="K336" s="16" t="n"/>
      <c r="L336" s="18" t="n"/>
      <c r="M336" s="16" t="n"/>
      <c r="N336" s="17">
        <f>IF($C336="","",MAX(_xlfn.MAXIFS(nrSK_Att,nrSK_PID,$D336,nrSK_Cat,$E336,nrSK_Res,"Pass"),_xlfn.MAXIFS(nrSK_Att,nrSK_PID,$D336,nrSK_Cat,$E336,nrSK_Res,"Fail")))</f>
        <v/>
      </c>
      <c r="O336" s="17">
        <f>IF($C336="","",IF(AND(MAX(_xlfn.MAXIFS(nrSK_Att,nrSK_PID,$D336,nrSK_Cat,$E336,nrSK_Res,"Pass"),_xlfn.MAXIFS(nrSK_Att,nrSK_PID,$D336,nrSK_Cat,$E336,nrSK_Res,"Fail"))&gt;0,N($I336)&lt;MAX(_xlfn.MAXIFS(nrSK_Att,nrSK_PID,$D336,nrSK_Cat,$E336,nrSK_Res,"Pass"),_xlfn.MAXIFS(nrSK_Att,nrSK_PID,$D336,nrSK_Cat,$E336,nrSK_Res,"Fail"))),"(superseded)",IF(OR($J336="",$J336="Pending"),"Pending",IF($J336="Pass","Qualified",IF(AND($J336="Fail",$N336&gt;=$F336),"FAILED OUT","Needs Remediation")))))</f>
        <v/>
      </c>
      <c r="P336" s="17">
        <f>IF($C336="","",IF($O336="FAILED OUT","Yes","No"))</f>
        <v/>
      </c>
      <c r="Q336" s="16" t="n"/>
      <c r="R336" s="16" t="n"/>
      <c r="S336" s="17">
        <f>IF($C336="","",IF(AND($K336&lt;&gt;"",NOT(ISNUMBER($K336))),"SCORE NOT A NUMBER",IF(AND(ISNUMBER($K336),OR($K336&lt;0,$K336&gt;100)),"SCORE OUT OF RANGE - this score counts toward nothing",IF(AND($G336="Score",$K336="",$J336&lt;&gt;"",$J336&lt;&gt;"Pending"),"RESULT WITHOUT A SCORE",IF(AND($G336="Pass/Fail",$K336&lt;&gt;""),"SCORE ON A PASS-FAIL CATEGORY - it is ignored",IF(AND($E336="Firearms",$J336&lt;&gt;"",$J336&lt;&gt;"Pending",$R336=""),"FIREARMS ROW WITH NO COURSE OF FIRE","OK"))))))</f>
        <v/>
      </c>
    </row>
    <row r="337">
      <c r="B337" s="17">
        <f>IF($C337="","",$D337&amp;"-"&amp;$E337&amp;"-"&amp;$I337)</f>
        <v/>
      </c>
      <c r="C337" s="16" t="n"/>
      <c r="D337" s="17">
        <f>IF($C337="","",IFERROR(INDEX(rngCadetPIDs,MATCH($C337,rngCadetNames,0)),"?"))</f>
        <v/>
      </c>
      <c r="E337" s="16" t="n"/>
      <c r="F337" s="17">
        <f>IF($E337="","",IFERROR(INDEX(rngSM_max,MATCH($E337,rngSM_cat,0)),""))</f>
        <v/>
      </c>
      <c r="G337" s="17">
        <f>IF($E337="","",IFERROR(INDEX(rngSM_mode,MATCH($E337,rngSM_cat,0)),""))</f>
        <v/>
      </c>
      <c r="H337" s="17">
        <f>IF($E337="","",IFERROR(INDEX(rngSM_pass,MATCH($E337,rngSM_cat,0)),""))</f>
        <v/>
      </c>
      <c r="I337" s="16" t="n"/>
      <c r="J337" s="16" t="n"/>
      <c r="K337" s="16" t="n"/>
      <c r="L337" s="18" t="n"/>
      <c r="M337" s="16" t="n"/>
      <c r="N337" s="17">
        <f>IF($C337="","",MAX(_xlfn.MAXIFS(nrSK_Att,nrSK_PID,$D337,nrSK_Cat,$E337,nrSK_Res,"Pass"),_xlfn.MAXIFS(nrSK_Att,nrSK_PID,$D337,nrSK_Cat,$E337,nrSK_Res,"Fail")))</f>
        <v/>
      </c>
      <c r="O337" s="17">
        <f>IF($C337="","",IF(AND(MAX(_xlfn.MAXIFS(nrSK_Att,nrSK_PID,$D337,nrSK_Cat,$E337,nrSK_Res,"Pass"),_xlfn.MAXIFS(nrSK_Att,nrSK_PID,$D337,nrSK_Cat,$E337,nrSK_Res,"Fail"))&gt;0,N($I337)&lt;MAX(_xlfn.MAXIFS(nrSK_Att,nrSK_PID,$D337,nrSK_Cat,$E337,nrSK_Res,"Pass"),_xlfn.MAXIFS(nrSK_Att,nrSK_PID,$D337,nrSK_Cat,$E337,nrSK_Res,"Fail"))),"(superseded)",IF(OR($J337="",$J337="Pending"),"Pending",IF($J337="Pass","Qualified",IF(AND($J337="Fail",$N337&gt;=$F337),"FAILED OUT","Needs Remediation")))))</f>
        <v/>
      </c>
      <c r="P337" s="17">
        <f>IF($C337="","",IF($O337="FAILED OUT","Yes","No"))</f>
        <v/>
      </c>
      <c r="Q337" s="16" t="n"/>
      <c r="R337" s="16" t="n"/>
      <c r="S337" s="17">
        <f>IF($C337="","",IF(AND($K337&lt;&gt;"",NOT(ISNUMBER($K337))),"SCORE NOT A NUMBER",IF(AND(ISNUMBER($K337),OR($K337&lt;0,$K337&gt;100)),"SCORE OUT OF RANGE - this score counts toward nothing",IF(AND($G337="Score",$K337="",$J337&lt;&gt;"",$J337&lt;&gt;"Pending"),"RESULT WITHOUT A SCORE",IF(AND($G337="Pass/Fail",$K337&lt;&gt;""),"SCORE ON A PASS-FAIL CATEGORY - it is ignored",IF(AND($E337="Firearms",$J337&lt;&gt;"",$J337&lt;&gt;"Pending",$R337=""),"FIREARMS ROW WITH NO COURSE OF FIRE","OK"))))))</f>
        <v/>
      </c>
    </row>
    <row r="338">
      <c r="B338" s="17">
        <f>IF($C338="","",$D338&amp;"-"&amp;$E338&amp;"-"&amp;$I338)</f>
        <v/>
      </c>
      <c r="C338" s="16" t="n"/>
      <c r="D338" s="17">
        <f>IF($C338="","",IFERROR(INDEX(rngCadetPIDs,MATCH($C338,rngCadetNames,0)),"?"))</f>
        <v/>
      </c>
      <c r="E338" s="16" t="n"/>
      <c r="F338" s="17">
        <f>IF($E338="","",IFERROR(INDEX(rngSM_max,MATCH($E338,rngSM_cat,0)),""))</f>
        <v/>
      </c>
      <c r="G338" s="17">
        <f>IF($E338="","",IFERROR(INDEX(rngSM_mode,MATCH($E338,rngSM_cat,0)),""))</f>
        <v/>
      </c>
      <c r="H338" s="17">
        <f>IF($E338="","",IFERROR(INDEX(rngSM_pass,MATCH($E338,rngSM_cat,0)),""))</f>
        <v/>
      </c>
      <c r="I338" s="16" t="n"/>
      <c r="J338" s="16" t="n"/>
      <c r="K338" s="16" t="n"/>
      <c r="L338" s="18" t="n"/>
      <c r="M338" s="16" t="n"/>
      <c r="N338" s="17">
        <f>IF($C338="","",MAX(_xlfn.MAXIFS(nrSK_Att,nrSK_PID,$D338,nrSK_Cat,$E338,nrSK_Res,"Pass"),_xlfn.MAXIFS(nrSK_Att,nrSK_PID,$D338,nrSK_Cat,$E338,nrSK_Res,"Fail")))</f>
        <v/>
      </c>
      <c r="O338" s="17">
        <f>IF($C338="","",IF(AND(MAX(_xlfn.MAXIFS(nrSK_Att,nrSK_PID,$D338,nrSK_Cat,$E338,nrSK_Res,"Pass"),_xlfn.MAXIFS(nrSK_Att,nrSK_PID,$D338,nrSK_Cat,$E338,nrSK_Res,"Fail"))&gt;0,N($I338)&lt;MAX(_xlfn.MAXIFS(nrSK_Att,nrSK_PID,$D338,nrSK_Cat,$E338,nrSK_Res,"Pass"),_xlfn.MAXIFS(nrSK_Att,nrSK_PID,$D338,nrSK_Cat,$E338,nrSK_Res,"Fail"))),"(superseded)",IF(OR($J338="",$J338="Pending"),"Pending",IF($J338="Pass","Qualified",IF(AND($J338="Fail",$N338&gt;=$F338),"FAILED OUT","Needs Remediation")))))</f>
        <v/>
      </c>
      <c r="P338" s="17">
        <f>IF($C338="","",IF($O338="FAILED OUT","Yes","No"))</f>
        <v/>
      </c>
      <c r="Q338" s="16" t="n"/>
      <c r="R338" s="16" t="n"/>
      <c r="S338" s="17">
        <f>IF($C338="","",IF(AND($K338&lt;&gt;"",NOT(ISNUMBER($K338))),"SCORE NOT A NUMBER",IF(AND(ISNUMBER($K338),OR($K338&lt;0,$K338&gt;100)),"SCORE OUT OF RANGE - this score counts toward nothing",IF(AND($G338="Score",$K338="",$J338&lt;&gt;"",$J338&lt;&gt;"Pending"),"RESULT WITHOUT A SCORE",IF(AND($G338="Pass/Fail",$K338&lt;&gt;""),"SCORE ON A PASS-FAIL CATEGORY - it is ignored",IF(AND($E338="Firearms",$J338&lt;&gt;"",$J338&lt;&gt;"Pending",$R338=""),"FIREARMS ROW WITH NO COURSE OF FIRE","OK"))))))</f>
        <v/>
      </c>
    </row>
    <row r="339">
      <c r="B339" s="17">
        <f>IF($C339="","",$D339&amp;"-"&amp;$E339&amp;"-"&amp;$I339)</f>
        <v/>
      </c>
      <c r="C339" s="16" t="n"/>
      <c r="D339" s="17">
        <f>IF($C339="","",IFERROR(INDEX(rngCadetPIDs,MATCH($C339,rngCadetNames,0)),"?"))</f>
        <v/>
      </c>
      <c r="E339" s="16" t="n"/>
      <c r="F339" s="17">
        <f>IF($E339="","",IFERROR(INDEX(rngSM_max,MATCH($E339,rngSM_cat,0)),""))</f>
        <v/>
      </c>
      <c r="G339" s="17">
        <f>IF($E339="","",IFERROR(INDEX(rngSM_mode,MATCH($E339,rngSM_cat,0)),""))</f>
        <v/>
      </c>
      <c r="H339" s="17">
        <f>IF($E339="","",IFERROR(INDEX(rngSM_pass,MATCH($E339,rngSM_cat,0)),""))</f>
        <v/>
      </c>
      <c r="I339" s="16" t="n"/>
      <c r="J339" s="16" t="n"/>
      <c r="K339" s="16" t="n"/>
      <c r="L339" s="18" t="n"/>
      <c r="M339" s="16" t="n"/>
      <c r="N339" s="17">
        <f>IF($C339="","",MAX(_xlfn.MAXIFS(nrSK_Att,nrSK_PID,$D339,nrSK_Cat,$E339,nrSK_Res,"Pass"),_xlfn.MAXIFS(nrSK_Att,nrSK_PID,$D339,nrSK_Cat,$E339,nrSK_Res,"Fail")))</f>
        <v/>
      </c>
      <c r="O339" s="17">
        <f>IF($C339="","",IF(AND(MAX(_xlfn.MAXIFS(nrSK_Att,nrSK_PID,$D339,nrSK_Cat,$E339,nrSK_Res,"Pass"),_xlfn.MAXIFS(nrSK_Att,nrSK_PID,$D339,nrSK_Cat,$E339,nrSK_Res,"Fail"))&gt;0,N($I339)&lt;MAX(_xlfn.MAXIFS(nrSK_Att,nrSK_PID,$D339,nrSK_Cat,$E339,nrSK_Res,"Pass"),_xlfn.MAXIFS(nrSK_Att,nrSK_PID,$D339,nrSK_Cat,$E339,nrSK_Res,"Fail"))),"(superseded)",IF(OR($J339="",$J339="Pending"),"Pending",IF($J339="Pass","Qualified",IF(AND($J339="Fail",$N339&gt;=$F339),"FAILED OUT","Needs Remediation")))))</f>
        <v/>
      </c>
      <c r="P339" s="17">
        <f>IF($C339="","",IF($O339="FAILED OUT","Yes","No"))</f>
        <v/>
      </c>
      <c r="Q339" s="16" t="n"/>
      <c r="R339" s="16" t="n"/>
      <c r="S339" s="17">
        <f>IF($C339="","",IF(AND($K339&lt;&gt;"",NOT(ISNUMBER($K339))),"SCORE NOT A NUMBER",IF(AND(ISNUMBER($K339),OR($K339&lt;0,$K339&gt;100)),"SCORE OUT OF RANGE - this score counts toward nothing",IF(AND($G339="Score",$K339="",$J339&lt;&gt;"",$J339&lt;&gt;"Pending"),"RESULT WITHOUT A SCORE",IF(AND($G339="Pass/Fail",$K339&lt;&gt;""),"SCORE ON A PASS-FAIL CATEGORY - it is ignored",IF(AND($E339="Firearms",$J339&lt;&gt;"",$J339&lt;&gt;"Pending",$R339=""),"FIREARMS ROW WITH NO COURSE OF FIRE","OK"))))))</f>
        <v/>
      </c>
    </row>
    <row r="340">
      <c r="B340" s="17">
        <f>IF($C340="","",$D340&amp;"-"&amp;$E340&amp;"-"&amp;$I340)</f>
        <v/>
      </c>
      <c r="C340" s="16" t="n"/>
      <c r="D340" s="17">
        <f>IF($C340="","",IFERROR(INDEX(rngCadetPIDs,MATCH($C340,rngCadetNames,0)),"?"))</f>
        <v/>
      </c>
      <c r="E340" s="16" t="n"/>
      <c r="F340" s="17">
        <f>IF($E340="","",IFERROR(INDEX(rngSM_max,MATCH($E340,rngSM_cat,0)),""))</f>
        <v/>
      </c>
      <c r="G340" s="17">
        <f>IF($E340="","",IFERROR(INDEX(rngSM_mode,MATCH($E340,rngSM_cat,0)),""))</f>
        <v/>
      </c>
      <c r="H340" s="17">
        <f>IF($E340="","",IFERROR(INDEX(rngSM_pass,MATCH($E340,rngSM_cat,0)),""))</f>
        <v/>
      </c>
      <c r="I340" s="16" t="n"/>
      <c r="J340" s="16" t="n"/>
      <c r="K340" s="16" t="n"/>
      <c r="L340" s="18" t="n"/>
      <c r="M340" s="16" t="n"/>
      <c r="N340" s="17">
        <f>IF($C340="","",MAX(_xlfn.MAXIFS(nrSK_Att,nrSK_PID,$D340,nrSK_Cat,$E340,nrSK_Res,"Pass"),_xlfn.MAXIFS(nrSK_Att,nrSK_PID,$D340,nrSK_Cat,$E340,nrSK_Res,"Fail")))</f>
        <v/>
      </c>
      <c r="O340" s="17">
        <f>IF($C340="","",IF(AND(MAX(_xlfn.MAXIFS(nrSK_Att,nrSK_PID,$D340,nrSK_Cat,$E340,nrSK_Res,"Pass"),_xlfn.MAXIFS(nrSK_Att,nrSK_PID,$D340,nrSK_Cat,$E340,nrSK_Res,"Fail"))&gt;0,N($I340)&lt;MAX(_xlfn.MAXIFS(nrSK_Att,nrSK_PID,$D340,nrSK_Cat,$E340,nrSK_Res,"Pass"),_xlfn.MAXIFS(nrSK_Att,nrSK_PID,$D340,nrSK_Cat,$E340,nrSK_Res,"Fail"))),"(superseded)",IF(OR($J340="",$J340="Pending"),"Pending",IF($J340="Pass","Qualified",IF(AND($J340="Fail",$N340&gt;=$F340),"FAILED OUT","Needs Remediation")))))</f>
        <v/>
      </c>
      <c r="P340" s="17">
        <f>IF($C340="","",IF($O340="FAILED OUT","Yes","No"))</f>
        <v/>
      </c>
      <c r="Q340" s="16" t="n"/>
      <c r="R340" s="16" t="n"/>
      <c r="S340" s="17">
        <f>IF($C340="","",IF(AND($K340&lt;&gt;"",NOT(ISNUMBER($K340))),"SCORE NOT A NUMBER",IF(AND(ISNUMBER($K340),OR($K340&lt;0,$K340&gt;100)),"SCORE OUT OF RANGE - this score counts toward nothing",IF(AND($G340="Score",$K340="",$J340&lt;&gt;"",$J340&lt;&gt;"Pending"),"RESULT WITHOUT A SCORE",IF(AND($G340="Pass/Fail",$K340&lt;&gt;""),"SCORE ON A PASS-FAIL CATEGORY - it is ignored",IF(AND($E340="Firearms",$J340&lt;&gt;"",$J340&lt;&gt;"Pending",$R340=""),"FIREARMS ROW WITH NO COURSE OF FIRE","OK"))))))</f>
        <v/>
      </c>
    </row>
    <row r="341">
      <c r="B341" s="17">
        <f>IF($C341="","",$D341&amp;"-"&amp;$E341&amp;"-"&amp;$I341)</f>
        <v/>
      </c>
      <c r="C341" s="16" t="n"/>
      <c r="D341" s="17">
        <f>IF($C341="","",IFERROR(INDEX(rngCadetPIDs,MATCH($C341,rngCadetNames,0)),"?"))</f>
        <v/>
      </c>
      <c r="E341" s="16" t="n"/>
      <c r="F341" s="17">
        <f>IF($E341="","",IFERROR(INDEX(rngSM_max,MATCH($E341,rngSM_cat,0)),""))</f>
        <v/>
      </c>
      <c r="G341" s="17">
        <f>IF($E341="","",IFERROR(INDEX(rngSM_mode,MATCH($E341,rngSM_cat,0)),""))</f>
        <v/>
      </c>
      <c r="H341" s="17">
        <f>IF($E341="","",IFERROR(INDEX(rngSM_pass,MATCH($E341,rngSM_cat,0)),""))</f>
        <v/>
      </c>
      <c r="I341" s="16" t="n"/>
      <c r="J341" s="16" t="n"/>
      <c r="K341" s="16" t="n"/>
      <c r="L341" s="18" t="n"/>
      <c r="M341" s="16" t="n"/>
      <c r="N341" s="17">
        <f>IF($C341="","",MAX(_xlfn.MAXIFS(nrSK_Att,nrSK_PID,$D341,nrSK_Cat,$E341,nrSK_Res,"Pass"),_xlfn.MAXIFS(nrSK_Att,nrSK_PID,$D341,nrSK_Cat,$E341,nrSK_Res,"Fail")))</f>
        <v/>
      </c>
      <c r="O341" s="17">
        <f>IF($C341="","",IF(AND(MAX(_xlfn.MAXIFS(nrSK_Att,nrSK_PID,$D341,nrSK_Cat,$E341,nrSK_Res,"Pass"),_xlfn.MAXIFS(nrSK_Att,nrSK_PID,$D341,nrSK_Cat,$E341,nrSK_Res,"Fail"))&gt;0,N($I341)&lt;MAX(_xlfn.MAXIFS(nrSK_Att,nrSK_PID,$D341,nrSK_Cat,$E341,nrSK_Res,"Pass"),_xlfn.MAXIFS(nrSK_Att,nrSK_PID,$D341,nrSK_Cat,$E341,nrSK_Res,"Fail"))),"(superseded)",IF(OR($J341="",$J341="Pending"),"Pending",IF($J341="Pass","Qualified",IF(AND($J341="Fail",$N341&gt;=$F341),"FAILED OUT","Needs Remediation")))))</f>
        <v/>
      </c>
      <c r="P341" s="17">
        <f>IF($C341="","",IF($O341="FAILED OUT","Yes","No"))</f>
        <v/>
      </c>
      <c r="Q341" s="16" t="n"/>
      <c r="R341" s="16" t="n"/>
      <c r="S341" s="17">
        <f>IF($C341="","",IF(AND($K341&lt;&gt;"",NOT(ISNUMBER($K341))),"SCORE NOT A NUMBER",IF(AND(ISNUMBER($K341),OR($K341&lt;0,$K341&gt;100)),"SCORE OUT OF RANGE - this score counts toward nothing",IF(AND($G341="Score",$K341="",$J341&lt;&gt;"",$J341&lt;&gt;"Pending"),"RESULT WITHOUT A SCORE",IF(AND($G341="Pass/Fail",$K341&lt;&gt;""),"SCORE ON A PASS-FAIL CATEGORY - it is ignored",IF(AND($E341="Firearms",$J341&lt;&gt;"",$J341&lt;&gt;"Pending",$R341=""),"FIREARMS ROW WITH NO COURSE OF FIRE","OK"))))))</f>
        <v/>
      </c>
    </row>
    <row r="342">
      <c r="B342" s="17">
        <f>IF($C342="","",$D342&amp;"-"&amp;$E342&amp;"-"&amp;$I342)</f>
        <v/>
      </c>
      <c r="C342" s="16" t="n"/>
      <c r="D342" s="17">
        <f>IF($C342="","",IFERROR(INDEX(rngCadetPIDs,MATCH($C342,rngCadetNames,0)),"?"))</f>
        <v/>
      </c>
      <c r="E342" s="16" t="n"/>
      <c r="F342" s="17">
        <f>IF($E342="","",IFERROR(INDEX(rngSM_max,MATCH($E342,rngSM_cat,0)),""))</f>
        <v/>
      </c>
      <c r="G342" s="17">
        <f>IF($E342="","",IFERROR(INDEX(rngSM_mode,MATCH($E342,rngSM_cat,0)),""))</f>
        <v/>
      </c>
      <c r="H342" s="17">
        <f>IF($E342="","",IFERROR(INDEX(rngSM_pass,MATCH($E342,rngSM_cat,0)),""))</f>
        <v/>
      </c>
      <c r="I342" s="16" t="n"/>
      <c r="J342" s="16" t="n"/>
      <c r="K342" s="16" t="n"/>
      <c r="L342" s="18" t="n"/>
      <c r="M342" s="16" t="n"/>
      <c r="N342" s="17">
        <f>IF($C342="","",MAX(_xlfn.MAXIFS(nrSK_Att,nrSK_PID,$D342,nrSK_Cat,$E342,nrSK_Res,"Pass"),_xlfn.MAXIFS(nrSK_Att,nrSK_PID,$D342,nrSK_Cat,$E342,nrSK_Res,"Fail")))</f>
        <v/>
      </c>
      <c r="O342" s="17">
        <f>IF($C342="","",IF(AND(MAX(_xlfn.MAXIFS(nrSK_Att,nrSK_PID,$D342,nrSK_Cat,$E342,nrSK_Res,"Pass"),_xlfn.MAXIFS(nrSK_Att,nrSK_PID,$D342,nrSK_Cat,$E342,nrSK_Res,"Fail"))&gt;0,N($I342)&lt;MAX(_xlfn.MAXIFS(nrSK_Att,nrSK_PID,$D342,nrSK_Cat,$E342,nrSK_Res,"Pass"),_xlfn.MAXIFS(nrSK_Att,nrSK_PID,$D342,nrSK_Cat,$E342,nrSK_Res,"Fail"))),"(superseded)",IF(OR($J342="",$J342="Pending"),"Pending",IF($J342="Pass","Qualified",IF(AND($J342="Fail",$N342&gt;=$F342),"FAILED OUT","Needs Remediation")))))</f>
        <v/>
      </c>
      <c r="P342" s="17">
        <f>IF($C342="","",IF($O342="FAILED OUT","Yes","No"))</f>
        <v/>
      </c>
      <c r="Q342" s="16" t="n"/>
      <c r="R342" s="16" t="n"/>
      <c r="S342" s="17">
        <f>IF($C342="","",IF(AND($K342&lt;&gt;"",NOT(ISNUMBER($K342))),"SCORE NOT A NUMBER",IF(AND(ISNUMBER($K342),OR($K342&lt;0,$K342&gt;100)),"SCORE OUT OF RANGE - this score counts toward nothing",IF(AND($G342="Score",$K342="",$J342&lt;&gt;"",$J342&lt;&gt;"Pending"),"RESULT WITHOUT A SCORE",IF(AND($G342="Pass/Fail",$K342&lt;&gt;""),"SCORE ON A PASS-FAIL CATEGORY - it is ignored",IF(AND($E342="Firearms",$J342&lt;&gt;"",$J342&lt;&gt;"Pending",$R342=""),"FIREARMS ROW WITH NO COURSE OF FIRE","OK"))))))</f>
        <v/>
      </c>
    </row>
    <row r="343">
      <c r="B343" s="17">
        <f>IF($C343="","",$D343&amp;"-"&amp;$E343&amp;"-"&amp;$I343)</f>
        <v/>
      </c>
      <c r="C343" s="16" t="n"/>
      <c r="D343" s="17">
        <f>IF($C343="","",IFERROR(INDEX(rngCadetPIDs,MATCH($C343,rngCadetNames,0)),"?"))</f>
        <v/>
      </c>
      <c r="E343" s="16" t="n"/>
      <c r="F343" s="17">
        <f>IF($E343="","",IFERROR(INDEX(rngSM_max,MATCH($E343,rngSM_cat,0)),""))</f>
        <v/>
      </c>
      <c r="G343" s="17">
        <f>IF($E343="","",IFERROR(INDEX(rngSM_mode,MATCH($E343,rngSM_cat,0)),""))</f>
        <v/>
      </c>
      <c r="H343" s="17">
        <f>IF($E343="","",IFERROR(INDEX(rngSM_pass,MATCH($E343,rngSM_cat,0)),""))</f>
        <v/>
      </c>
      <c r="I343" s="16" t="n"/>
      <c r="J343" s="16" t="n"/>
      <c r="K343" s="16" t="n"/>
      <c r="L343" s="18" t="n"/>
      <c r="M343" s="16" t="n"/>
      <c r="N343" s="17">
        <f>IF($C343="","",MAX(_xlfn.MAXIFS(nrSK_Att,nrSK_PID,$D343,nrSK_Cat,$E343,nrSK_Res,"Pass"),_xlfn.MAXIFS(nrSK_Att,nrSK_PID,$D343,nrSK_Cat,$E343,nrSK_Res,"Fail")))</f>
        <v/>
      </c>
      <c r="O343" s="17">
        <f>IF($C343="","",IF(AND(MAX(_xlfn.MAXIFS(nrSK_Att,nrSK_PID,$D343,nrSK_Cat,$E343,nrSK_Res,"Pass"),_xlfn.MAXIFS(nrSK_Att,nrSK_PID,$D343,nrSK_Cat,$E343,nrSK_Res,"Fail"))&gt;0,N($I343)&lt;MAX(_xlfn.MAXIFS(nrSK_Att,nrSK_PID,$D343,nrSK_Cat,$E343,nrSK_Res,"Pass"),_xlfn.MAXIFS(nrSK_Att,nrSK_PID,$D343,nrSK_Cat,$E343,nrSK_Res,"Fail"))),"(superseded)",IF(OR($J343="",$J343="Pending"),"Pending",IF($J343="Pass","Qualified",IF(AND($J343="Fail",$N343&gt;=$F343),"FAILED OUT","Needs Remediation")))))</f>
        <v/>
      </c>
      <c r="P343" s="17">
        <f>IF($C343="","",IF($O343="FAILED OUT","Yes","No"))</f>
        <v/>
      </c>
      <c r="Q343" s="16" t="n"/>
      <c r="R343" s="16" t="n"/>
      <c r="S343" s="17">
        <f>IF($C343="","",IF(AND($K343&lt;&gt;"",NOT(ISNUMBER($K343))),"SCORE NOT A NUMBER",IF(AND(ISNUMBER($K343),OR($K343&lt;0,$K343&gt;100)),"SCORE OUT OF RANGE - this score counts toward nothing",IF(AND($G343="Score",$K343="",$J343&lt;&gt;"",$J343&lt;&gt;"Pending"),"RESULT WITHOUT A SCORE",IF(AND($G343="Pass/Fail",$K343&lt;&gt;""),"SCORE ON A PASS-FAIL CATEGORY - it is ignored",IF(AND($E343="Firearms",$J343&lt;&gt;"",$J343&lt;&gt;"Pending",$R343=""),"FIREARMS ROW WITH NO COURSE OF FIRE","OK"))))))</f>
        <v/>
      </c>
    </row>
    <row r="344">
      <c r="B344" s="17">
        <f>IF($C344="","",$D344&amp;"-"&amp;$E344&amp;"-"&amp;$I344)</f>
        <v/>
      </c>
      <c r="C344" s="16" t="n"/>
      <c r="D344" s="17">
        <f>IF($C344="","",IFERROR(INDEX(rngCadetPIDs,MATCH($C344,rngCadetNames,0)),"?"))</f>
        <v/>
      </c>
      <c r="E344" s="16" t="n"/>
      <c r="F344" s="17">
        <f>IF($E344="","",IFERROR(INDEX(rngSM_max,MATCH($E344,rngSM_cat,0)),""))</f>
        <v/>
      </c>
      <c r="G344" s="17">
        <f>IF($E344="","",IFERROR(INDEX(rngSM_mode,MATCH($E344,rngSM_cat,0)),""))</f>
        <v/>
      </c>
      <c r="H344" s="17">
        <f>IF($E344="","",IFERROR(INDEX(rngSM_pass,MATCH($E344,rngSM_cat,0)),""))</f>
        <v/>
      </c>
      <c r="I344" s="16" t="n"/>
      <c r="J344" s="16" t="n"/>
      <c r="K344" s="16" t="n"/>
      <c r="L344" s="18" t="n"/>
      <c r="M344" s="16" t="n"/>
      <c r="N344" s="17">
        <f>IF($C344="","",MAX(_xlfn.MAXIFS(nrSK_Att,nrSK_PID,$D344,nrSK_Cat,$E344,nrSK_Res,"Pass"),_xlfn.MAXIFS(nrSK_Att,nrSK_PID,$D344,nrSK_Cat,$E344,nrSK_Res,"Fail")))</f>
        <v/>
      </c>
      <c r="O344" s="17">
        <f>IF($C344="","",IF(AND(MAX(_xlfn.MAXIFS(nrSK_Att,nrSK_PID,$D344,nrSK_Cat,$E344,nrSK_Res,"Pass"),_xlfn.MAXIFS(nrSK_Att,nrSK_PID,$D344,nrSK_Cat,$E344,nrSK_Res,"Fail"))&gt;0,N($I344)&lt;MAX(_xlfn.MAXIFS(nrSK_Att,nrSK_PID,$D344,nrSK_Cat,$E344,nrSK_Res,"Pass"),_xlfn.MAXIFS(nrSK_Att,nrSK_PID,$D344,nrSK_Cat,$E344,nrSK_Res,"Fail"))),"(superseded)",IF(OR($J344="",$J344="Pending"),"Pending",IF($J344="Pass","Qualified",IF(AND($J344="Fail",$N344&gt;=$F344),"FAILED OUT","Needs Remediation")))))</f>
        <v/>
      </c>
      <c r="P344" s="17">
        <f>IF($C344="","",IF($O344="FAILED OUT","Yes","No"))</f>
        <v/>
      </c>
      <c r="Q344" s="16" t="n"/>
      <c r="R344" s="16" t="n"/>
      <c r="S344" s="17">
        <f>IF($C344="","",IF(AND($K344&lt;&gt;"",NOT(ISNUMBER($K344))),"SCORE NOT A NUMBER",IF(AND(ISNUMBER($K344),OR($K344&lt;0,$K344&gt;100)),"SCORE OUT OF RANGE - this score counts toward nothing",IF(AND($G344="Score",$K344="",$J344&lt;&gt;"",$J344&lt;&gt;"Pending"),"RESULT WITHOUT A SCORE",IF(AND($G344="Pass/Fail",$K344&lt;&gt;""),"SCORE ON A PASS-FAIL CATEGORY - it is ignored",IF(AND($E344="Firearms",$J344&lt;&gt;"",$J344&lt;&gt;"Pending",$R344=""),"FIREARMS ROW WITH NO COURSE OF FIRE","OK"))))))</f>
        <v/>
      </c>
    </row>
    <row r="345">
      <c r="B345" s="17">
        <f>IF($C345="","",$D345&amp;"-"&amp;$E345&amp;"-"&amp;$I345)</f>
        <v/>
      </c>
      <c r="C345" s="16" t="n"/>
      <c r="D345" s="17">
        <f>IF($C345="","",IFERROR(INDEX(rngCadetPIDs,MATCH($C345,rngCadetNames,0)),"?"))</f>
        <v/>
      </c>
      <c r="E345" s="16" t="n"/>
      <c r="F345" s="17">
        <f>IF($E345="","",IFERROR(INDEX(rngSM_max,MATCH($E345,rngSM_cat,0)),""))</f>
        <v/>
      </c>
      <c r="G345" s="17">
        <f>IF($E345="","",IFERROR(INDEX(rngSM_mode,MATCH($E345,rngSM_cat,0)),""))</f>
        <v/>
      </c>
      <c r="H345" s="17">
        <f>IF($E345="","",IFERROR(INDEX(rngSM_pass,MATCH($E345,rngSM_cat,0)),""))</f>
        <v/>
      </c>
      <c r="I345" s="16" t="n"/>
      <c r="J345" s="16" t="n"/>
      <c r="K345" s="16" t="n"/>
      <c r="L345" s="18" t="n"/>
      <c r="M345" s="16" t="n"/>
      <c r="N345" s="17">
        <f>IF($C345="","",MAX(_xlfn.MAXIFS(nrSK_Att,nrSK_PID,$D345,nrSK_Cat,$E345,nrSK_Res,"Pass"),_xlfn.MAXIFS(nrSK_Att,nrSK_PID,$D345,nrSK_Cat,$E345,nrSK_Res,"Fail")))</f>
        <v/>
      </c>
      <c r="O345" s="17">
        <f>IF($C345="","",IF(AND(MAX(_xlfn.MAXIFS(nrSK_Att,nrSK_PID,$D345,nrSK_Cat,$E345,nrSK_Res,"Pass"),_xlfn.MAXIFS(nrSK_Att,nrSK_PID,$D345,nrSK_Cat,$E345,nrSK_Res,"Fail"))&gt;0,N($I345)&lt;MAX(_xlfn.MAXIFS(nrSK_Att,nrSK_PID,$D345,nrSK_Cat,$E345,nrSK_Res,"Pass"),_xlfn.MAXIFS(nrSK_Att,nrSK_PID,$D345,nrSK_Cat,$E345,nrSK_Res,"Fail"))),"(superseded)",IF(OR($J345="",$J345="Pending"),"Pending",IF($J345="Pass","Qualified",IF(AND($J345="Fail",$N345&gt;=$F345),"FAILED OUT","Needs Remediation")))))</f>
        <v/>
      </c>
      <c r="P345" s="17">
        <f>IF($C345="","",IF($O345="FAILED OUT","Yes","No"))</f>
        <v/>
      </c>
      <c r="Q345" s="16" t="n"/>
      <c r="R345" s="16" t="n"/>
      <c r="S345" s="17">
        <f>IF($C345="","",IF(AND($K345&lt;&gt;"",NOT(ISNUMBER($K345))),"SCORE NOT A NUMBER",IF(AND(ISNUMBER($K345),OR($K345&lt;0,$K345&gt;100)),"SCORE OUT OF RANGE - this score counts toward nothing",IF(AND($G345="Score",$K345="",$J345&lt;&gt;"",$J345&lt;&gt;"Pending"),"RESULT WITHOUT A SCORE",IF(AND($G345="Pass/Fail",$K345&lt;&gt;""),"SCORE ON A PASS-FAIL CATEGORY - it is ignored",IF(AND($E345="Firearms",$J345&lt;&gt;"",$J345&lt;&gt;"Pending",$R345=""),"FIREARMS ROW WITH NO COURSE OF FIRE","OK"))))))</f>
        <v/>
      </c>
    </row>
    <row r="346">
      <c r="B346" s="17">
        <f>IF($C346="","",$D346&amp;"-"&amp;$E346&amp;"-"&amp;$I346)</f>
        <v/>
      </c>
      <c r="C346" s="16" t="n"/>
      <c r="D346" s="17">
        <f>IF($C346="","",IFERROR(INDEX(rngCadetPIDs,MATCH($C346,rngCadetNames,0)),"?"))</f>
        <v/>
      </c>
      <c r="E346" s="16" t="n"/>
      <c r="F346" s="17">
        <f>IF($E346="","",IFERROR(INDEX(rngSM_max,MATCH($E346,rngSM_cat,0)),""))</f>
        <v/>
      </c>
      <c r="G346" s="17">
        <f>IF($E346="","",IFERROR(INDEX(rngSM_mode,MATCH($E346,rngSM_cat,0)),""))</f>
        <v/>
      </c>
      <c r="H346" s="17">
        <f>IF($E346="","",IFERROR(INDEX(rngSM_pass,MATCH($E346,rngSM_cat,0)),""))</f>
        <v/>
      </c>
      <c r="I346" s="16" t="n"/>
      <c r="J346" s="16" t="n"/>
      <c r="K346" s="16" t="n"/>
      <c r="L346" s="18" t="n"/>
      <c r="M346" s="16" t="n"/>
      <c r="N346" s="17">
        <f>IF($C346="","",MAX(_xlfn.MAXIFS(nrSK_Att,nrSK_PID,$D346,nrSK_Cat,$E346,nrSK_Res,"Pass"),_xlfn.MAXIFS(nrSK_Att,nrSK_PID,$D346,nrSK_Cat,$E346,nrSK_Res,"Fail")))</f>
        <v/>
      </c>
      <c r="O346" s="17">
        <f>IF($C346="","",IF(AND(MAX(_xlfn.MAXIFS(nrSK_Att,nrSK_PID,$D346,nrSK_Cat,$E346,nrSK_Res,"Pass"),_xlfn.MAXIFS(nrSK_Att,nrSK_PID,$D346,nrSK_Cat,$E346,nrSK_Res,"Fail"))&gt;0,N($I346)&lt;MAX(_xlfn.MAXIFS(nrSK_Att,nrSK_PID,$D346,nrSK_Cat,$E346,nrSK_Res,"Pass"),_xlfn.MAXIFS(nrSK_Att,nrSK_PID,$D346,nrSK_Cat,$E346,nrSK_Res,"Fail"))),"(superseded)",IF(OR($J346="",$J346="Pending"),"Pending",IF($J346="Pass","Qualified",IF(AND($J346="Fail",$N346&gt;=$F346),"FAILED OUT","Needs Remediation")))))</f>
        <v/>
      </c>
      <c r="P346" s="17">
        <f>IF($C346="","",IF($O346="FAILED OUT","Yes","No"))</f>
        <v/>
      </c>
      <c r="Q346" s="16" t="n"/>
      <c r="R346" s="16" t="n"/>
      <c r="S346" s="17">
        <f>IF($C346="","",IF(AND($K346&lt;&gt;"",NOT(ISNUMBER($K346))),"SCORE NOT A NUMBER",IF(AND(ISNUMBER($K346),OR($K346&lt;0,$K346&gt;100)),"SCORE OUT OF RANGE - this score counts toward nothing",IF(AND($G346="Score",$K346="",$J346&lt;&gt;"",$J346&lt;&gt;"Pending"),"RESULT WITHOUT A SCORE",IF(AND($G346="Pass/Fail",$K346&lt;&gt;""),"SCORE ON A PASS-FAIL CATEGORY - it is ignored",IF(AND($E346="Firearms",$J346&lt;&gt;"",$J346&lt;&gt;"Pending",$R346=""),"FIREARMS ROW WITH NO COURSE OF FIRE","OK"))))))</f>
        <v/>
      </c>
    </row>
    <row r="347">
      <c r="B347" s="17">
        <f>IF($C347="","",$D347&amp;"-"&amp;$E347&amp;"-"&amp;$I347)</f>
        <v/>
      </c>
      <c r="C347" s="16" t="n"/>
      <c r="D347" s="17">
        <f>IF($C347="","",IFERROR(INDEX(rngCadetPIDs,MATCH($C347,rngCadetNames,0)),"?"))</f>
        <v/>
      </c>
      <c r="E347" s="16" t="n"/>
      <c r="F347" s="17">
        <f>IF($E347="","",IFERROR(INDEX(rngSM_max,MATCH($E347,rngSM_cat,0)),""))</f>
        <v/>
      </c>
      <c r="G347" s="17">
        <f>IF($E347="","",IFERROR(INDEX(rngSM_mode,MATCH($E347,rngSM_cat,0)),""))</f>
        <v/>
      </c>
      <c r="H347" s="17">
        <f>IF($E347="","",IFERROR(INDEX(rngSM_pass,MATCH($E347,rngSM_cat,0)),""))</f>
        <v/>
      </c>
      <c r="I347" s="16" t="n"/>
      <c r="J347" s="16" t="n"/>
      <c r="K347" s="16" t="n"/>
      <c r="L347" s="18" t="n"/>
      <c r="M347" s="16" t="n"/>
      <c r="N347" s="17">
        <f>IF($C347="","",MAX(_xlfn.MAXIFS(nrSK_Att,nrSK_PID,$D347,nrSK_Cat,$E347,nrSK_Res,"Pass"),_xlfn.MAXIFS(nrSK_Att,nrSK_PID,$D347,nrSK_Cat,$E347,nrSK_Res,"Fail")))</f>
        <v/>
      </c>
      <c r="O347" s="17">
        <f>IF($C347="","",IF(AND(MAX(_xlfn.MAXIFS(nrSK_Att,nrSK_PID,$D347,nrSK_Cat,$E347,nrSK_Res,"Pass"),_xlfn.MAXIFS(nrSK_Att,nrSK_PID,$D347,nrSK_Cat,$E347,nrSK_Res,"Fail"))&gt;0,N($I347)&lt;MAX(_xlfn.MAXIFS(nrSK_Att,nrSK_PID,$D347,nrSK_Cat,$E347,nrSK_Res,"Pass"),_xlfn.MAXIFS(nrSK_Att,nrSK_PID,$D347,nrSK_Cat,$E347,nrSK_Res,"Fail"))),"(superseded)",IF(OR($J347="",$J347="Pending"),"Pending",IF($J347="Pass","Qualified",IF(AND($J347="Fail",$N347&gt;=$F347),"FAILED OUT","Needs Remediation")))))</f>
        <v/>
      </c>
      <c r="P347" s="17">
        <f>IF($C347="","",IF($O347="FAILED OUT","Yes","No"))</f>
        <v/>
      </c>
      <c r="Q347" s="16" t="n"/>
      <c r="R347" s="16" t="n"/>
      <c r="S347" s="17">
        <f>IF($C347="","",IF(AND($K347&lt;&gt;"",NOT(ISNUMBER($K347))),"SCORE NOT A NUMBER",IF(AND(ISNUMBER($K347),OR($K347&lt;0,$K347&gt;100)),"SCORE OUT OF RANGE - this score counts toward nothing",IF(AND($G347="Score",$K347="",$J347&lt;&gt;"",$J347&lt;&gt;"Pending"),"RESULT WITHOUT A SCORE",IF(AND($G347="Pass/Fail",$K347&lt;&gt;""),"SCORE ON A PASS-FAIL CATEGORY - it is ignored",IF(AND($E347="Firearms",$J347&lt;&gt;"",$J347&lt;&gt;"Pending",$R347=""),"FIREARMS ROW WITH NO COURSE OF FIRE","OK"))))))</f>
        <v/>
      </c>
    </row>
    <row r="348">
      <c r="B348" s="17">
        <f>IF($C348="","",$D348&amp;"-"&amp;$E348&amp;"-"&amp;$I348)</f>
        <v/>
      </c>
      <c r="C348" s="16" t="n"/>
      <c r="D348" s="17">
        <f>IF($C348="","",IFERROR(INDEX(rngCadetPIDs,MATCH($C348,rngCadetNames,0)),"?"))</f>
        <v/>
      </c>
      <c r="E348" s="16" t="n"/>
      <c r="F348" s="17">
        <f>IF($E348="","",IFERROR(INDEX(rngSM_max,MATCH($E348,rngSM_cat,0)),""))</f>
        <v/>
      </c>
      <c r="G348" s="17">
        <f>IF($E348="","",IFERROR(INDEX(rngSM_mode,MATCH($E348,rngSM_cat,0)),""))</f>
        <v/>
      </c>
      <c r="H348" s="17">
        <f>IF($E348="","",IFERROR(INDEX(rngSM_pass,MATCH($E348,rngSM_cat,0)),""))</f>
        <v/>
      </c>
      <c r="I348" s="16" t="n"/>
      <c r="J348" s="16" t="n"/>
      <c r="K348" s="16" t="n"/>
      <c r="L348" s="18" t="n"/>
      <c r="M348" s="16" t="n"/>
      <c r="N348" s="17">
        <f>IF($C348="","",MAX(_xlfn.MAXIFS(nrSK_Att,nrSK_PID,$D348,nrSK_Cat,$E348,nrSK_Res,"Pass"),_xlfn.MAXIFS(nrSK_Att,nrSK_PID,$D348,nrSK_Cat,$E348,nrSK_Res,"Fail")))</f>
        <v/>
      </c>
      <c r="O348" s="17">
        <f>IF($C348="","",IF(AND(MAX(_xlfn.MAXIFS(nrSK_Att,nrSK_PID,$D348,nrSK_Cat,$E348,nrSK_Res,"Pass"),_xlfn.MAXIFS(nrSK_Att,nrSK_PID,$D348,nrSK_Cat,$E348,nrSK_Res,"Fail"))&gt;0,N($I348)&lt;MAX(_xlfn.MAXIFS(nrSK_Att,nrSK_PID,$D348,nrSK_Cat,$E348,nrSK_Res,"Pass"),_xlfn.MAXIFS(nrSK_Att,nrSK_PID,$D348,nrSK_Cat,$E348,nrSK_Res,"Fail"))),"(superseded)",IF(OR($J348="",$J348="Pending"),"Pending",IF($J348="Pass","Qualified",IF(AND($J348="Fail",$N348&gt;=$F348),"FAILED OUT","Needs Remediation")))))</f>
        <v/>
      </c>
      <c r="P348" s="17">
        <f>IF($C348="","",IF($O348="FAILED OUT","Yes","No"))</f>
        <v/>
      </c>
      <c r="Q348" s="16" t="n"/>
      <c r="R348" s="16" t="n"/>
      <c r="S348" s="17">
        <f>IF($C348="","",IF(AND($K348&lt;&gt;"",NOT(ISNUMBER($K348))),"SCORE NOT A NUMBER",IF(AND(ISNUMBER($K348),OR($K348&lt;0,$K348&gt;100)),"SCORE OUT OF RANGE - this score counts toward nothing",IF(AND($G348="Score",$K348="",$J348&lt;&gt;"",$J348&lt;&gt;"Pending"),"RESULT WITHOUT A SCORE",IF(AND($G348="Pass/Fail",$K348&lt;&gt;""),"SCORE ON A PASS-FAIL CATEGORY - it is ignored",IF(AND($E348="Firearms",$J348&lt;&gt;"",$J348&lt;&gt;"Pending",$R348=""),"FIREARMS ROW WITH NO COURSE OF FIRE","OK"))))))</f>
        <v/>
      </c>
    </row>
    <row r="349">
      <c r="B349" s="17">
        <f>IF($C349="","",$D349&amp;"-"&amp;$E349&amp;"-"&amp;$I349)</f>
        <v/>
      </c>
      <c r="C349" s="16" t="n"/>
      <c r="D349" s="17">
        <f>IF($C349="","",IFERROR(INDEX(rngCadetPIDs,MATCH($C349,rngCadetNames,0)),"?"))</f>
        <v/>
      </c>
      <c r="E349" s="16" t="n"/>
      <c r="F349" s="17">
        <f>IF($E349="","",IFERROR(INDEX(rngSM_max,MATCH($E349,rngSM_cat,0)),""))</f>
        <v/>
      </c>
      <c r="G349" s="17">
        <f>IF($E349="","",IFERROR(INDEX(rngSM_mode,MATCH($E349,rngSM_cat,0)),""))</f>
        <v/>
      </c>
      <c r="H349" s="17">
        <f>IF($E349="","",IFERROR(INDEX(rngSM_pass,MATCH($E349,rngSM_cat,0)),""))</f>
        <v/>
      </c>
      <c r="I349" s="16" t="n"/>
      <c r="J349" s="16" t="n"/>
      <c r="K349" s="16" t="n"/>
      <c r="L349" s="18" t="n"/>
      <c r="M349" s="16" t="n"/>
      <c r="N349" s="17">
        <f>IF($C349="","",MAX(_xlfn.MAXIFS(nrSK_Att,nrSK_PID,$D349,nrSK_Cat,$E349,nrSK_Res,"Pass"),_xlfn.MAXIFS(nrSK_Att,nrSK_PID,$D349,nrSK_Cat,$E349,nrSK_Res,"Fail")))</f>
        <v/>
      </c>
      <c r="O349" s="17">
        <f>IF($C349="","",IF(AND(MAX(_xlfn.MAXIFS(nrSK_Att,nrSK_PID,$D349,nrSK_Cat,$E349,nrSK_Res,"Pass"),_xlfn.MAXIFS(nrSK_Att,nrSK_PID,$D349,nrSK_Cat,$E349,nrSK_Res,"Fail"))&gt;0,N($I349)&lt;MAX(_xlfn.MAXIFS(nrSK_Att,nrSK_PID,$D349,nrSK_Cat,$E349,nrSK_Res,"Pass"),_xlfn.MAXIFS(nrSK_Att,nrSK_PID,$D349,nrSK_Cat,$E349,nrSK_Res,"Fail"))),"(superseded)",IF(OR($J349="",$J349="Pending"),"Pending",IF($J349="Pass","Qualified",IF(AND($J349="Fail",$N349&gt;=$F349),"FAILED OUT","Needs Remediation")))))</f>
        <v/>
      </c>
      <c r="P349" s="17">
        <f>IF($C349="","",IF($O349="FAILED OUT","Yes","No"))</f>
        <v/>
      </c>
      <c r="Q349" s="16" t="n"/>
      <c r="R349" s="16" t="n"/>
      <c r="S349" s="17">
        <f>IF($C349="","",IF(AND($K349&lt;&gt;"",NOT(ISNUMBER($K349))),"SCORE NOT A NUMBER",IF(AND(ISNUMBER($K349),OR($K349&lt;0,$K349&gt;100)),"SCORE OUT OF RANGE - this score counts toward nothing",IF(AND($G349="Score",$K349="",$J349&lt;&gt;"",$J349&lt;&gt;"Pending"),"RESULT WITHOUT A SCORE",IF(AND($G349="Pass/Fail",$K349&lt;&gt;""),"SCORE ON A PASS-FAIL CATEGORY - it is ignored",IF(AND($E349="Firearms",$J349&lt;&gt;"",$J349&lt;&gt;"Pending",$R349=""),"FIREARMS ROW WITH NO COURSE OF FIRE","OK"))))))</f>
        <v/>
      </c>
    </row>
    <row r="350">
      <c r="B350" s="17">
        <f>IF($C350="","",$D350&amp;"-"&amp;$E350&amp;"-"&amp;$I350)</f>
        <v/>
      </c>
      <c r="C350" s="16" t="n"/>
      <c r="D350" s="17">
        <f>IF($C350="","",IFERROR(INDEX(rngCadetPIDs,MATCH($C350,rngCadetNames,0)),"?"))</f>
        <v/>
      </c>
      <c r="E350" s="16" t="n"/>
      <c r="F350" s="17">
        <f>IF($E350="","",IFERROR(INDEX(rngSM_max,MATCH($E350,rngSM_cat,0)),""))</f>
        <v/>
      </c>
      <c r="G350" s="17">
        <f>IF($E350="","",IFERROR(INDEX(rngSM_mode,MATCH($E350,rngSM_cat,0)),""))</f>
        <v/>
      </c>
      <c r="H350" s="17">
        <f>IF($E350="","",IFERROR(INDEX(rngSM_pass,MATCH($E350,rngSM_cat,0)),""))</f>
        <v/>
      </c>
      <c r="I350" s="16" t="n"/>
      <c r="J350" s="16" t="n"/>
      <c r="K350" s="16" t="n"/>
      <c r="L350" s="18" t="n"/>
      <c r="M350" s="16" t="n"/>
      <c r="N350" s="17">
        <f>IF($C350="","",MAX(_xlfn.MAXIFS(nrSK_Att,nrSK_PID,$D350,nrSK_Cat,$E350,nrSK_Res,"Pass"),_xlfn.MAXIFS(nrSK_Att,nrSK_PID,$D350,nrSK_Cat,$E350,nrSK_Res,"Fail")))</f>
        <v/>
      </c>
      <c r="O350" s="17">
        <f>IF($C350="","",IF(AND(MAX(_xlfn.MAXIFS(nrSK_Att,nrSK_PID,$D350,nrSK_Cat,$E350,nrSK_Res,"Pass"),_xlfn.MAXIFS(nrSK_Att,nrSK_PID,$D350,nrSK_Cat,$E350,nrSK_Res,"Fail"))&gt;0,N($I350)&lt;MAX(_xlfn.MAXIFS(nrSK_Att,nrSK_PID,$D350,nrSK_Cat,$E350,nrSK_Res,"Pass"),_xlfn.MAXIFS(nrSK_Att,nrSK_PID,$D350,nrSK_Cat,$E350,nrSK_Res,"Fail"))),"(superseded)",IF(OR($J350="",$J350="Pending"),"Pending",IF($J350="Pass","Qualified",IF(AND($J350="Fail",$N350&gt;=$F350),"FAILED OUT","Needs Remediation")))))</f>
        <v/>
      </c>
      <c r="P350" s="17">
        <f>IF($C350="","",IF($O350="FAILED OUT","Yes","No"))</f>
        <v/>
      </c>
      <c r="Q350" s="16" t="n"/>
      <c r="R350" s="16" t="n"/>
      <c r="S350" s="17">
        <f>IF($C350="","",IF(AND($K350&lt;&gt;"",NOT(ISNUMBER($K350))),"SCORE NOT A NUMBER",IF(AND(ISNUMBER($K350),OR($K350&lt;0,$K350&gt;100)),"SCORE OUT OF RANGE - this score counts toward nothing",IF(AND($G350="Score",$K350="",$J350&lt;&gt;"",$J350&lt;&gt;"Pending"),"RESULT WITHOUT A SCORE",IF(AND($G350="Pass/Fail",$K350&lt;&gt;""),"SCORE ON A PASS-FAIL CATEGORY - it is ignored",IF(AND($E350="Firearms",$J350&lt;&gt;"",$J350&lt;&gt;"Pending",$R350=""),"FIREARMS ROW WITH NO COURSE OF FIRE","OK"))))))</f>
        <v/>
      </c>
    </row>
    <row r="351">
      <c r="B351" s="17">
        <f>IF($C351="","",$D351&amp;"-"&amp;$E351&amp;"-"&amp;$I351)</f>
        <v/>
      </c>
      <c r="C351" s="16" t="n"/>
      <c r="D351" s="17">
        <f>IF($C351="","",IFERROR(INDEX(rngCadetPIDs,MATCH($C351,rngCadetNames,0)),"?"))</f>
        <v/>
      </c>
      <c r="E351" s="16" t="n"/>
      <c r="F351" s="17">
        <f>IF($E351="","",IFERROR(INDEX(rngSM_max,MATCH($E351,rngSM_cat,0)),""))</f>
        <v/>
      </c>
      <c r="G351" s="17">
        <f>IF($E351="","",IFERROR(INDEX(rngSM_mode,MATCH($E351,rngSM_cat,0)),""))</f>
        <v/>
      </c>
      <c r="H351" s="17">
        <f>IF($E351="","",IFERROR(INDEX(rngSM_pass,MATCH($E351,rngSM_cat,0)),""))</f>
        <v/>
      </c>
      <c r="I351" s="16" t="n"/>
      <c r="J351" s="16" t="n"/>
      <c r="K351" s="16" t="n"/>
      <c r="L351" s="18" t="n"/>
      <c r="M351" s="16" t="n"/>
      <c r="N351" s="17">
        <f>IF($C351="","",MAX(_xlfn.MAXIFS(nrSK_Att,nrSK_PID,$D351,nrSK_Cat,$E351,nrSK_Res,"Pass"),_xlfn.MAXIFS(nrSK_Att,nrSK_PID,$D351,nrSK_Cat,$E351,nrSK_Res,"Fail")))</f>
        <v/>
      </c>
      <c r="O351" s="17">
        <f>IF($C351="","",IF(AND(MAX(_xlfn.MAXIFS(nrSK_Att,nrSK_PID,$D351,nrSK_Cat,$E351,nrSK_Res,"Pass"),_xlfn.MAXIFS(nrSK_Att,nrSK_PID,$D351,nrSK_Cat,$E351,nrSK_Res,"Fail"))&gt;0,N($I351)&lt;MAX(_xlfn.MAXIFS(nrSK_Att,nrSK_PID,$D351,nrSK_Cat,$E351,nrSK_Res,"Pass"),_xlfn.MAXIFS(nrSK_Att,nrSK_PID,$D351,nrSK_Cat,$E351,nrSK_Res,"Fail"))),"(superseded)",IF(OR($J351="",$J351="Pending"),"Pending",IF($J351="Pass","Qualified",IF(AND($J351="Fail",$N351&gt;=$F351),"FAILED OUT","Needs Remediation")))))</f>
        <v/>
      </c>
      <c r="P351" s="17">
        <f>IF($C351="","",IF($O351="FAILED OUT","Yes","No"))</f>
        <v/>
      </c>
      <c r="Q351" s="16" t="n"/>
      <c r="R351" s="16" t="n"/>
      <c r="S351" s="17">
        <f>IF($C351="","",IF(AND($K351&lt;&gt;"",NOT(ISNUMBER($K351))),"SCORE NOT A NUMBER",IF(AND(ISNUMBER($K351),OR($K351&lt;0,$K351&gt;100)),"SCORE OUT OF RANGE - this score counts toward nothing",IF(AND($G351="Score",$K351="",$J351&lt;&gt;"",$J351&lt;&gt;"Pending"),"RESULT WITHOUT A SCORE",IF(AND($G351="Pass/Fail",$K351&lt;&gt;""),"SCORE ON A PASS-FAIL CATEGORY - it is ignored",IF(AND($E351="Firearms",$J351&lt;&gt;"",$J351&lt;&gt;"Pending",$R351=""),"FIREARMS ROW WITH NO COURSE OF FIRE","OK"))))))</f>
        <v/>
      </c>
    </row>
    <row r="352">
      <c r="B352" s="17">
        <f>IF($C352="","",$D352&amp;"-"&amp;$E352&amp;"-"&amp;$I352)</f>
        <v/>
      </c>
      <c r="C352" s="16" t="n"/>
      <c r="D352" s="17">
        <f>IF($C352="","",IFERROR(INDEX(rngCadetPIDs,MATCH($C352,rngCadetNames,0)),"?"))</f>
        <v/>
      </c>
      <c r="E352" s="16" t="n"/>
      <c r="F352" s="17">
        <f>IF($E352="","",IFERROR(INDEX(rngSM_max,MATCH($E352,rngSM_cat,0)),""))</f>
        <v/>
      </c>
      <c r="G352" s="17">
        <f>IF($E352="","",IFERROR(INDEX(rngSM_mode,MATCH($E352,rngSM_cat,0)),""))</f>
        <v/>
      </c>
      <c r="H352" s="17">
        <f>IF($E352="","",IFERROR(INDEX(rngSM_pass,MATCH($E352,rngSM_cat,0)),""))</f>
        <v/>
      </c>
      <c r="I352" s="16" t="n"/>
      <c r="J352" s="16" t="n"/>
      <c r="K352" s="16" t="n"/>
      <c r="L352" s="18" t="n"/>
      <c r="M352" s="16" t="n"/>
      <c r="N352" s="17">
        <f>IF($C352="","",MAX(_xlfn.MAXIFS(nrSK_Att,nrSK_PID,$D352,nrSK_Cat,$E352,nrSK_Res,"Pass"),_xlfn.MAXIFS(nrSK_Att,nrSK_PID,$D352,nrSK_Cat,$E352,nrSK_Res,"Fail")))</f>
        <v/>
      </c>
      <c r="O352" s="17">
        <f>IF($C352="","",IF(AND(MAX(_xlfn.MAXIFS(nrSK_Att,nrSK_PID,$D352,nrSK_Cat,$E352,nrSK_Res,"Pass"),_xlfn.MAXIFS(nrSK_Att,nrSK_PID,$D352,nrSK_Cat,$E352,nrSK_Res,"Fail"))&gt;0,N($I352)&lt;MAX(_xlfn.MAXIFS(nrSK_Att,nrSK_PID,$D352,nrSK_Cat,$E352,nrSK_Res,"Pass"),_xlfn.MAXIFS(nrSK_Att,nrSK_PID,$D352,nrSK_Cat,$E352,nrSK_Res,"Fail"))),"(superseded)",IF(OR($J352="",$J352="Pending"),"Pending",IF($J352="Pass","Qualified",IF(AND($J352="Fail",$N352&gt;=$F352),"FAILED OUT","Needs Remediation")))))</f>
        <v/>
      </c>
      <c r="P352" s="17">
        <f>IF($C352="","",IF($O352="FAILED OUT","Yes","No"))</f>
        <v/>
      </c>
      <c r="Q352" s="16" t="n"/>
      <c r="R352" s="16" t="n"/>
      <c r="S352" s="17">
        <f>IF($C352="","",IF(AND($K352&lt;&gt;"",NOT(ISNUMBER($K352))),"SCORE NOT A NUMBER",IF(AND(ISNUMBER($K352),OR($K352&lt;0,$K352&gt;100)),"SCORE OUT OF RANGE - this score counts toward nothing",IF(AND($G352="Score",$K352="",$J352&lt;&gt;"",$J352&lt;&gt;"Pending"),"RESULT WITHOUT A SCORE",IF(AND($G352="Pass/Fail",$K352&lt;&gt;""),"SCORE ON A PASS-FAIL CATEGORY - it is ignored",IF(AND($E352="Firearms",$J352&lt;&gt;"",$J352&lt;&gt;"Pending",$R352=""),"FIREARMS ROW WITH NO COURSE OF FIRE","OK"))))))</f>
        <v/>
      </c>
    </row>
    <row r="353">
      <c r="B353" s="17">
        <f>IF($C353="","",$D353&amp;"-"&amp;$E353&amp;"-"&amp;$I353)</f>
        <v/>
      </c>
      <c r="C353" s="16" t="n"/>
      <c r="D353" s="17">
        <f>IF($C353="","",IFERROR(INDEX(rngCadetPIDs,MATCH($C353,rngCadetNames,0)),"?"))</f>
        <v/>
      </c>
      <c r="E353" s="16" t="n"/>
      <c r="F353" s="17">
        <f>IF($E353="","",IFERROR(INDEX(rngSM_max,MATCH($E353,rngSM_cat,0)),""))</f>
        <v/>
      </c>
      <c r="G353" s="17">
        <f>IF($E353="","",IFERROR(INDEX(rngSM_mode,MATCH($E353,rngSM_cat,0)),""))</f>
        <v/>
      </c>
      <c r="H353" s="17">
        <f>IF($E353="","",IFERROR(INDEX(rngSM_pass,MATCH($E353,rngSM_cat,0)),""))</f>
        <v/>
      </c>
      <c r="I353" s="16" t="n"/>
      <c r="J353" s="16" t="n"/>
      <c r="K353" s="16" t="n"/>
      <c r="L353" s="18" t="n"/>
      <c r="M353" s="16" t="n"/>
      <c r="N353" s="17">
        <f>IF($C353="","",MAX(_xlfn.MAXIFS(nrSK_Att,nrSK_PID,$D353,nrSK_Cat,$E353,nrSK_Res,"Pass"),_xlfn.MAXIFS(nrSK_Att,nrSK_PID,$D353,nrSK_Cat,$E353,nrSK_Res,"Fail")))</f>
        <v/>
      </c>
      <c r="O353" s="17">
        <f>IF($C353="","",IF(AND(MAX(_xlfn.MAXIFS(nrSK_Att,nrSK_PID,$D353,nrSK_Cat,$E353,nrSK_Res,"Pass"),_xlfn.MAXIFS(nrSK_Att,nrSK_PID,$D353,nrSK_Cat,$E353,nrSK_Res,"Fail"))&gt;0,N($I353)&lt;MAX(_xlfn.MAXIFS(nrSK_Att,nrSK_PID,$D353,nrSK_Cat,$E353,nrSK_Res,"Pass"),_xlfn.MAXIFS(nrSK_Att,nrSK_PID,$D353,nrSK_Cat,$E353,nrSK_Res,"Fail"))),"(superseded)",IF(OR($J353="",$J353="Pending"),"Pending",IF($J353="Pass","Qualified",IF(AND($J353="Fail",$N353&gt;=$F353),"FAILED OUT","Needs Remediation")))))</f>
        <v/>
      </c>
      <c r="P353" s="17">
        <f>IF($C353="","",IF($O353="FAILED OUT","Yes","No"))</f>
        <v/>
      </c>
      <c r="Q353" s="16" t="n"/>
      <c r="R353" s="16" t="n"/>
      <c r="S353" s="17">
        <f>IF($C353="","",IF(AND($K353&lt;&gt;"",NOT(ISNUMBER($K353))),"SCORE NOT A NUMBER",IF(AND(ISNUMBER($K353),OR($K353&lt;0,$K353&gt;100)),"SCORE OUT OF RANGE - this score counts toward nothing",IF(AND($G353="Score",$K353="",$J353&lt;&gt;"",$J353&lt;&gt;"Pending"),"RESULT WITHOUT A SCORE",IF(AND($G353="Pass/Fail",$K353&lt;&gt;""),"SCORE ON A PASS-FAIL CATEGORY - it is ignored",IF(AND($E353="Firearms",$J353&lt;&gt;"",$J353&lt;&gt;"Pending",$R353=""),"FIREARMS ROW WITH NO COURSE OF FIRE","OK"))))))</f>
        <v/>
      </c>
    </row>
    <row r="354">
      <c r="B354" s="17">
        <f>IF($C354="","",$D354&amp;"-"&amp;$E354&amp;"-"&amp;$I354)</f>
        <v/>
      </c>
      <c r="C354" s="16" t="n"/>
      <c r="D354" s="17">
        <f>IF($C354="","",IFERROR(INDEX(rngCadetPIDs,MATCH($C354,rngCadetNames,0)),"?"))</f>
        <v/>
      </c>
      <c r="E354" s="16" t="n"/>
      <c r="F354" s="17">
        <f>IF($E354="","",IFERROR(INDEX(rngSM_max,MATCH($E354,rngSM_cat,0)),""))</f>
        <v/>
      </c>
      <c r="G354" s="17">
        <f>IF($E354="","",IFERROR(INDEX(rngSM_mode,MATCH($E354,rngSM_cat,0)),""))</f>
        <v/>
      </c>
      <c r="H354" s="17">
        <f>IF($E354="","",IFERROR(INDEX(rngSM_pass,MATCH($E354,rngSM_cat,0)),""))</f>
        <v/>
      </c>
      <c r="I354" s="16" t="n"/>
      <c r="J354" s="16" t="n"/>
      <c r="K354" s="16" t="n"/>
      <c r="L354" s="18" t="n"/>
      <c r="M354" s="16" t="n"/>
      <c r="N354" s="17">
        <f>IF($C354="","",MAX(_xlfn.MAXIFS(nrSK_Att,nrSK_PID,$D354,nrSK_Cat,$E354,nrSK_Res,"Pass"),_xlfn.MAXIFS(nrSK_Att,nrSK_PID,$D354,nrSK_Cat,$E354,nrSK_Res,"Fail")))</f>
        <v/>
      </c>
      <c r="O354" s="17">
        <f>IF($C354="","",IF(AND(MAX(_xlfn.MAXIFS(nrSK_Att,nrSK_PID,$D354,nrSK_Cat,$E354,nrSK_Res,"Pass"),_xlfn.MAXIFS(nrSK_Att,nrSK_PID,$D354,nrSK_Cat,$E354,nrSK_Res,"Fail"))&gt;0,N($I354)&lt;MAX(_xlfn.MAXIFS(nrSK_Att,nrSK_PID,$D354,nrSK_Cat,$E354,nrSK_Res,"Pass"),_xlfn.MAXIFS(nrSK_Att,nrSK_PID,$D354,nrSK_Cat,$E354,nrSK_Res,"Fail"))),"(superseded)",IF(OR($J354="",$J354="Pending"),"Pending",IF($J354="Pass","Qualified",IF(AND($J354="Fail",$N354&gt;=$F354),"FAILED OUT","Needs Remediation")))))</f>
        <v/>
      </c>
      <c r="P354" s="17">
        <f>IF($C354="","",IF($O354="FAILED OUT","Yes","No"))</f>
        <v/>
      </c>
      <c r="Q354" s="16" t="n"/>
      <c r="R354" s="16" t="n"/>
      <c r="S354" s="17">
        <f>IF($C354="","",IF(AND($K354&lt;&gt;"",NOT(ISNUMBER($K354))),"SCORE NOT A NUMBER",IF(AND(ISNUMBER($K354),OR($K354&lt;0,$K354&gt;100)),"SCORE OUT OF RANGE - this score counts toward nothing",IF(AND($G354="Score",$K354="",$J354&lt;&gt;"",$J354&lt;&gt;"Pending"),"RESULT WITHOUT A SCORE",IF(AND($G354="Pass/Fail",$K354&lt;&gt;""),"SCORE ON A PASS-FAIL CATEGORY - it is ignored",IF(AND($E354="Firearms",$J354&lt;&gt;"",$J354&lt;&gt;"Pending",$R354=""),"FIREARMS ROW WITH NO COURSE OF FIRE","OK"))))))</f>
        <v/>
      </c>
    </row>
    <row r="355">
      <c r="B355" s="17">
        <f>IF($C355="","",$D355&amp;"-"&amp;$E355&amp;"-"&amp;$I355)</f>
        <v/>
      </c>
      <c r="C355" s="16" t="n"/>
      <c r="D355" s="17">
        <f>IF($C355="","",IFERROR(INDEX(rngCadetPIDs,MATCH($C355,rngCadetNames,0)),"?"))</f>
        <v/>
      </c>
      <c r="E355" s="16" t="n"/>
      <c r="F355" s="17">
        <f>IF($E355="","",IFERROR(INDEX(rngSM_max,MATCH($E355,rngSM_cat,0)),""))</f>
        <v/>
      </c>
      <c r="G355" s="17">
        <f>IF($E355="","",IFERROR(INDEX(rngSM_mode,MATCH($E355,rngSM_cat,0)),""))</f>
        <v/>
      </c>
      <c r="H355" s="17">
        <f>IF($E355="","",IFERROR(INDEX(rngSM_pass,MATCH($E355,rngSM_cat,0)),""))</f>
        <v/>
      </c>
      <c r="I355" s="16" t="n"/>
      <c r="J355" s="16" t="n"/>
      <c r="K355" s="16" t="n"/>
      <c r="L355" s="18" t="n"/>
      <c r="M355" s="16" t="n"/>
      <c r="N355" s="17">
        <f>IF($C355="","",MAX(_xlfn.MAXIFS(nrSK_Att,nrSK_PID,$D355,nrSK_Cat,$E355,nrSK_Res,"Pass"),_xlfn.MAXIFS(nrSK_Att,nrSK_PID,$D355,nrSK_Cat,$E355,nrSK_Res,"Fail")))</f>
        <v/>
      </c>
      <c r="O355" s="17">
        <f>IF($C355="","",IF(AND(MAX(_xlfn.MAXIFS(nrSK_Att,nrSK_PID,$D355,nrSK_Cat,$E355,nrSK_Res,"Pass"),_xlfn.MAXIFS(nrSK_Att,nrSK_PID,$D355,nrSK_Cat,$E355,nrSK_Res,"Fail"))&gt;0,N($I355)&lt;MAX(_xlfn.MAXIFS(nrSK_Att,nrSK_PID,$D355,nrSK_Cat,$E355,nrSK_Res,"Pass"),_xlfn.MAXIFS(nrSK_Att,nrSK_PID,$D355,nrSK_Cat,$E355,nrSK_Res,"Fail"))),"(superseded)",IF(OR($J355="",$J355="Pending"),"Pending",IF($J355="Pass","Qualified",IF(AND($J355="Fail",$N355&gt;=$F355),"FAILED OUT","Needs Remediation")))))</f>
        <v/>
      </c>
      <c r="P355" s="17">
        <f>IF($C355="","",IF($O355="FAILED OUT","Yes","No"))</f>
        <v/>
      </c>
      <c r="Q355" s="16" t="n"/>
      <c r="R355" s="16" t="n"/>
      <c r="S355" s="17">
        <f>IF($C355="","",IF(AND($K355&lt;&gt;"",NOT(ISNUMBER($K355))),"SCORE NOT A NUMBER",IF(AND(ISNUMBER($K355),OR($K355&lt;0,$K355&gt;100)),"SCORE OUT OF RANGE - this score counts toward nothing",IF(AND($G355="Score",$K355="",$J355&lt;&gt;"",$J355&lt;&gt;"Pending"),"RESULT WITHOUT A SCORE",IF(AND($G355="Pass/Fail",$K355&lt;&gt;""),"SCORE ON A PASS-FAIL CATEGORY - it is ignored",IF(AND($E355="Firearms",$J355&lt;&gt;"",$J355&lt;&gt;"Pending",$R355=""),"FIREARMS ROW WITH NO COURSE OF FIRE","OK"))))))</f>
        <v/>
      </c>
    </row>
    <row r="356">
      <c r="B356" s="17">
        <f>IF($C356="","",$D356&amp;"-"&amp;$E356&amp;"-"&amp;$I356)</f>
        <v/>
      </c>
      <c r="C356" s="16" t="n"/>
      <c r="D356" s="17">
        <f>IF($C356="","",IFERROR(INDEX(rngCadetPIDs,MATCH($C356,rngCadetNames,0)),"?"))</f>
        <v/>
      </c>
      <c r="E356" s="16" t="n"/>
      <c r="F356" s="17">
        <f>IF($E356="","",IFERROR(INDEX(rngSM_max,MATCH($E356,rngSM_cat,0)),""))</f>
        <v/>
      </c>
      <c r="G356" s="17">
        <f>IF($E356="","",IFERROR(INDEX(rngSM_mode,MATCH($E356,rngSM_cat,0)),""))</f>
        <v/>
      </c>
      <c r="H356" s="17">
        <f>IF($E356="","",IFERROR(INDEX(rngSM_pass,MATCH($E356,rngSM_cat,0)),""))</f>
        <v/>
      </c>
      <c r="I356" s="16" t="n"/>
      <c r="J356" s="16" t="n"/>
      <c r="K356" s="16" t="n"/>
      <c r="L356" s="18" t="n"/>
      <c r="M356" s="16" t="n"/>
      <c r="N356" s="17">
        <f>IF($C356="","",MAX(_xlfn.MAXIFS(nrSK_Att,nrSK_PID,$D356,nrSK_Cat,$E356,nrSK_Res,"Pass"),_xlfn.MAXIFS(nrSK_Att,nrSK_PID,$D356,nrSK_Cat,$E356,nrSK_Res,"Fail")))</f>
        <v/>
      </c>
      <c r="O356" s="17">
        <f>IF($C356="","",IF(AND(MAX(_xlfn.MAXIFS(nrSK_Att,nrSK_PID,$D356,nrSK_Cat,$E356,nrSK_Res,"Pass"),_xlfn.MAXIFS(nrSK_Att,nrSK_PID,$D356,nrSK_Cat,$E356,nrSK_Res,"Fail"))&gt;0,N($I356)&lt;MAX(_xlfn.MAXIFS(nrSK_Att,nrSK_PID,$D356,nrSK_Cat,$E356,nrSK_Res,"Pass"),_xlfn.MAXIFS(nrSK_Att,nrSK_PID,$D356,nrSK_Cat,$E356,nrSK_Res,"Fail"))),"(superseded)",IF(OR($J356="",$J356="Pending"),"Pending",IF($J356="Pass","Qualified",IF(AND($J356="Fail",$N356&gt;=$F356),"FAILED OUT","Needs Remediation")))))</f>
        <v/>
      </c>
      <c r="P356" s="17">
        <f>IF($C356="","",IF($O356="FAILED OUT","Yes","No"))</f>
        <v/>
      </c>
      <c r="Q356" s="16" t="n"/>
      <c r="R356" s="16" t="n"/>
      <c r="S356" s="17">
        <f>IF($C356="","",IF(AND($K356&lt;&gt;"",NOT(ISNUMBER($K356))),"SCORE NOT A NUMBER",IF(AND(ISNUMBER($K356),OR($K356&lt;0,$K356&gt;100)),"SCORE OUT OF RANGE - this score counts toward nothing",IF(AND($G356="Score",$K356="",$J356&lt;&gt;"",$J356&lt;&gt;"Pending"),"RESULT WITHOUT A SCORE",IF(AND($G356="Pass/Fail",$K356&lt;&gt;""),"SCORE ON A PASS-FAIL CATEGORY - it is ignored",IF(AND($E356="Firearms",$J356&lt;&gt;"",$J356&lt;&gt;"Pending",$R356=""),"FIREARMS ROW WITH NO COURSE OF FIRE","OK"))))))</f>
        <v/>
      </c>
    </row>
    <row r="357">
      <c r="B357" s="17">
        <f>IF($C357="","",$D357&amp;"-"&amp;$E357&amp;"-"&amp;$I357)</f>
        <v/>
      </c>
      <c r="C357" s="16" t="n"/>
      <c r="D357" s="17">
        <f>IF($C357="","",IFERROR(INDEX(rngCadetPIDs,MATCH($C357,rngCadetNames,0)),"?"))</f>
        <v/>
      </c>
      <c r="E357" s="16" t="n"/>
      <c r="F357" s="17">
        <f>IF($E357="","",IFERROR(INDEX(rngSM_max,MATCH($E357,rngSM_cat,0)),""))</f>
        <v/>
      </c>
      <c r="G357" s="17">
        <f>IF($E357="","",IFERROR(INDEX(rngSM_mode,MATCH($E357,rngSM_cat,0)),""))</f>
        <v/>
      </c>
      <c r="H357" s="17">
        <f>IF($E357="","",IFERROR(INDEX(rngSM_pass,MATCH($E357,rngSM_cat,0)),""))</f>
        <v/>
      </c>
      <c r="I357" s="16" t="n"/>
      <c r="J357" s="16" t="n"/>
      <c r="K357" s="16" t="n"/>
      <c r="L357" s="18" t="n"/>
      <c r="M357" s="16" t="n"/>
      <c r="N357" s="17">
        <f>IF($C357="","",MAX(_xlfn.MAXIFS(nrSK_Att,nrSK_PID,$D357,nrSK_Cat,$E357,nrSK_Res,"Pass"),_xlfn.MAXIFS(nrSK_Att,nrSK_PID,$D357,nrSK_Cat,$E357,nrSK_Res,"Fail")))</f>
        <v/>
      </c>
      <c r="O357" s="17">
        <f>IF($C357="","",IF(AND(MAX(_xlfn.MAXIFS(nrSK_Att,nrSK_PID,$D357,nrSK_Cat,$E357,nrSK_Res,"Pass"),_xlfn.MAXIFS(nrSK_Att,nrSK_PID,$D357,nrSK_Cat,$E357,nrSK_Res,"Fail"))&gt;0,N($I357)&lt;MAX(_xlfn.MAXIFS(nrSK_Att,nrSK_PID,$D357,nrSK_Cat,$E357,nrSK_Res,"Pass"),_xlfn.MAXIFS(nrSK_Att,nrSK_PID,$D357,nrSK_Cat,$E357,nrSK_Res,"Fail"))),"(superseded)",IF(OR($J357="",$J357="Pending"),"Pending",IF($J357="Pass","Qualified",IF(AND($J357="Fail",$N357&gt;=$F357),"FAILED OUT","Needs Remediation")))))</f>
        <v/>
      </c>
      <c r="P357" s="17">
        <f>IF($C357="","",IF($O357="FAILED OUT","Yes","No"))</f>
        <v/>
      </c>
      <c r="Q357" s="16" t="n"/>
      <c r="R357" s="16" t="n"/>
      <c r="S357" s="17">
        <f>IF($C357="","",IF(AND($K357&lt;&gt;"",NOT(ISNUMBER($K357))),"SCORE NOT A NUMBER",IF(AND(ISNUMBER($K357),OR($K357&lt;0,$K357&gt;100)),"SCORE OUT OF RANGE - this score counts toward nothing",IF(AND($G357="Score",$K357="",$J357&lt;&gt;"",$J357&lt;&gt;"Pending"),"RESULT WITHOUT A SCORE",IF(AND($G357="Pass/Fail",$K357&lt;&gt;""),"SCORE ON A PASS-FAIL CATEGORY - it is ignored",IF(AND($E357="Firearms",$J357&lt;&gt;"",$J357&lt;&gt;"Pending",$R357=""),"FIREARMS ROW WITH NO COURSE OF FIRE","OK"))))))</f>
        <v/>
      </c>
    </row>
    <row r="358">
      <c r="B358" s="17">
        <f>IF($C358="","",$D358&amp;"-"&amp;$E358&amp;"-"&amp;$I358)</f>
        <v/>
      </c>
      <c r="C358" s="16" t="n"/>
      <c r="D358" s="17">
        <f>IF($C358="","",IFERROR(INDEX(rngCadetPIDs,MATCH($C358,rngCadetNames,0)),"?"))</f>
        <v/>
      </c>
      <c r="E358" s="16" t="n"/>
      <c r="F358" s="17">
        <f>IF($E358="","",IFERROR(INDEX(rngSM_max,MATCH($E358,rngSM_cat,0)),""))</f>
        <v/>
      </c>
      <c r="G358" s="17">
        <f>IF($E358="","",IFERROR(INDEX(rngSM_mode,MATCH($E358,rngSM_cat,0)),""))</f>
        <v/>
      </c>
      <c r="H358" s="17">
        <f>IF($E358="","",IFERROR(INDEX(rngSM_pass,MATCH($E358,rngSM_cat,0)),""))</f>
        <v/>
      </c>
      <c r="I358" s="16" t="n"/>
      <c r="J358" s="16" t="n"/>
      <c r="K358" s="16" t="n"/>
      <c r="L358" s="18" t="n"/>
      <c r="M358" s="16" t="n"/>
      <c r="N358" s="17">
        <f>IF($C358="","",MAX(_xlfn.MAXIFS(nrSK_Att,nrSK_PID,$D358,nrSK_Cat,$E358,nrSK_Res,"Pass"),_xlfn.MAXIFS(nrSK_Att,nrSK_PID,$D358,nrSK_Cat,$E358,nrSK_Res,"Fail")))</f>
        <v/>
      </c>
      <c r="O358" s="17">
        <f>IF($C358="","",IF(AND(MAX(_xlfn.MAXIFS(nrSK_Att,nrSK_PID,$D358,nrSK_Cat,$E358,nrSK_Res,"Pass"),_xlfn.MAXIFS(nrSK_Att,nrSK_PID,$D358,nrSK_Cat,$E358,nrSK_Res,"Fail"))&gt;0,N($I358)&lt;MAX(_xlfn.MAXIFS(nrSK_Att,nrSK_PID,$D358,nrSK_Cat,$E358,nrSK_Res,"Pass"),_xlfn.MAXIFS(nrSK_Att,nrSK_PID,$D358,nrSK_Cat,$E358,nrSK_Res,"Fail"))),"(superseded)",IF(OR($J358="",$J358="Pending"),"Pending",IF($J358="Pass","Qualified",IF(AND($J358="Fail",$N358&gt;=$F358),"FAILED OUT","Needs Remediation")))))</f>
        <v/>
      </c>
      <c r="P358" s="17">
        <f>IF($C358="","",IF($O358="FAILED OUT","Yes","No"))</f>
        <v/>
      </c>
      <c r="Q358" s="16" t="n"/>
      <c r="R358" s="16" t="n"/>
      <c r="S358" s="17">
        <f>IF($C358="","",IF(AND($K358&lt;&gt;"",NOT(ISNUMBER($K358))),"SCORE NOT A NUMBER",IF(AND(ISNUMBER($K358),OR($K358&lt;0,$K358&gt;100)),"SCORE OUT OF RANGE - this score counts toward nothing",IF(AND($G358="Score",$K358="",$J358&lt;&gt;"",$J358&lt;&gt;"Pending"),"RESULT WITHOUT A SCORE",IF(AND($G358="Pass/Fail",$K358&lt;&gt;""),"SCORE ON A PASS-FAIL CATEGORY - it is ignored",IF(AND($E358="Firearms",$J358&lt;&gt;"",$J358&lt;&gt;"Pending",$R358=""),"FIREARMS ROW WITH NO COURSE OF FIRE","OK"))))))</f>
        <v/>
      </c>
    </row>
    <row r="359">
      <c r="B359" s="17">
        <f>IF($C359="","",$D359&amp;"-"&amp;$E359&amp;"-"&amp;$I359)</f>
        <v/>
      </c>
      <c r="C359" s="16" t="n"/>
      <c r="D359" s="17">
        <f>IF($C359="","",IFERROR(INDEX(rngCadetPIDs,MATCH($C359,rngCadetNames,0)),"?"))</f>
        <v/>
      </c>
      <c r="E359" s="16" t="n"/>
      <c r="F359" s="17">
        <f>IF($E359="","",IFERROR(INDEX(rngSM_max,MATCH($E359,rngSM_cat,0)),""))</f>
        <v/>
      </c>
      <c r="G359" s="17">
        <f>IF($E359="","",IFERROR(INDEX(rngSM_mode,MATCH($E359,rngSM_cat,0)),""))</f>
        <v/>
      </c>
      <c r="H359" s="17">
        <f>IF($E359="","",IFERROR(INDEX(rngSM_pass,MATCH($E359,rngSM_cat,0)),""))</f>
        <v/>
      </c>
      <c r="I359" s="16" t="n"/>
      <c r="J359" s="16" t="n"/>
      <c r="K359" s="16" t="n"/>
      <c r="L359" s="18" t="n"/>
      <c r="M359" s="16" t="n"/>
      <c r="N359" s="17">
        <f>IF($C359="","",MAX(_xlfn.MAXIFS(nrSK_Att,nrSK_PID,$D359,nrSK_Cat,$E359,nrSK_Res,"Pass"),_xlfn.MAXIFS(nrSK_Att,nrSK_PID,$D359,nrSK_Cat,$E359,nrSK_Res,"Fail")))</f>
        <v/>
      </c>
      <c r="O359" s="17">
        <f>IF($C359="","",IF(AND(MAX(_xlfn.MAXIFS(nrSK_Att,nrSK_PID,$D359,nrSK_Cat,$E359,nrSK_Res,"Pass"),_xlfn.MAXIFS(nrSK_Att,nrSK_PID,$D359,nrSK_Cat,$E359,nrSK_Res,"Fail"))&gt;0,N($I359)&lt;MAX(_xlfn.MAXIFS(nrSK_Att,nrSK_PID,$D359,nrSK_Cat,$E359,nrSK_Res,"Pass"),_xlfn.MAXIFS(nrSK_Att,nrSK_PID,$D359,nrSK_Cat,$E359,nrSK_Res,"Fail"))),"(superseded)",IF(OR($J359="",$J359="Pending"),"Pending",IF($J359="Pass","Qualified",IF(AND($J359="Fail",$N359&gt;=$F359),"FAILED OUT","Needs Remediation")))))</f>
        <v/>
      </c>
      <c r="P359" s="17">
        <f>IF($C359="","",IF($O359="FAILED OUT","Yes","No"))</f>
        <v/>
      </c>
      <c r="Q359" s="16" t="n"/>
      <c r="R359" s="16" t="n"/>
      <c r="S359" s="17">
        <f>IF($C359="","",IF(AND($K359&lt;&gt;"",NOT(ISNUMBER($K359))),"SCORE NOT A NUMBER",IF(AND(ISNUMBER($K359),OR($K359&lt;0,$K359&gt;100)),"SCORE OUT OF RANGE - this score counts toward nothing",IF(AND($G359="Score",$K359="",$J359&lt;&gt;"",$J359&lt;&gt;"Pending"),"RESULT WITHOUT A SCORE",IF(AND($G359="Pass/Fail",$K359&lt;&gt;""),"SCORE ON A PASS-FAIL CATEGORY - it is ignored",IF(AND($E359="Firearms",$J359&lt;&gt;"",$J359&lt;&gt;"Pending",$R359=""),"FIREARMS ROW WITH NO COURSE OF FIRE","OK"))))))</f>
        <v/>
      </c>
    </row>
    <row r="360">
      <c r="B360" s="17">
        <f>IF($C360="","",$D360&amp;"-"&amp;$E360&amp;"-"&amp;$I360)</f>
        <v/>
      </c>
      <c r="C360" s="16" t="n"/>
      <c r="D360" s="17">
        <f>IF($C360="","",IFERROR(INDEX(rngCadetPIDs,MATCH($C360,rngCadetNames,0)),"?"))</f>
        <v/>
      </c>
      <c r="E360" s="16" t="n"/>
      <c r="F360" s="17">
        <f>IF($E360="","",IFERROR(INDEX(rngSM_max,MATCH($E360,rngSM_cat,0)),""))</f>
        <v/>
      </c>
      <c r="G360" s="17">
        <f>IF($E360="","",IFERROR(INDEX(rngSM_mode,MATCH($E360,rngSM_cat,0)),""))</f>
        <v/>
      </c>
      <c r="H360" s="17">
        <f>IF($E360="","",IFERROR(INDEX(rngSM_pass,MATCH($E360,rngSM_cat,0)),""))</f>
        <v/>
      </c>
      <c r="I360" s="16" t="n"/>
      <c r="J360" s="16" t="n"/>
      <c r="K360" s="16" t="n"/>
      <c r="L360" s="18" t="n"/>
      <c r="M360" s="16" t="n"/>
      <c r="N360" s="17">
        <f>IF($C360="","",MAX(_xlfn.MAXIFS(nrSK_Att,nrSK_PID,$D360,nrSK_Cat,$E360,nrSK_Res,"Pass"),_xlfn.MAXIFS(nrSK_Att,nrSK_PID,$D360,nrSK_Cat,$E360,nrSK_Res,"Fail")))</f>
        <v/>
      </c>
      <c r="O360" s="17">
        <f>IF($C360="","",IF(AND(MAX(_xlfn.MAXIFS(nrSK_Att,nrSK_PID,$D360,nrSK_Cat,$E360,nrSK_Res,"Pass"),_xlfn.MAXIFS(nrSK_Att,nrSK_PID,$D360,nrSK_Cat,$E360,nrSK_Res,"Fail"))&gt;0,N($I360)&lt;MAX(_xlfn.MAXIFS(nrSK_Att,nrSK_PID,$D360,nrSK_Cat,$E360,nrSK_Res,"Pass"),_xlfn.MAXIFS(nrSK_Att,nrSK_PID,$D360,nrSK_Cat,$E360,nrSK_Res,"Fail"))),"(superseded)",IF(OR($J360="",$J360="Pending"),"Pending",IF($J360="Pass","Qualified",IF(AND($J360="Fail",$N360&gt;=$F360),"FAILED OUT","Needs Remediation")))))</f>
        <v/>
      </c>
      <c r="P360" s="17">
        <f>IF($C360="","",IF($O360="FAILED OUT","Yes","No"))</f>
        <v/>
      </c>
      <c r="Q360" s="16" t="n"/>
      <c r="R360" s="16" t="n"/>
      <c r="S360" s="17">
        <f>IF($C360="","",IF(AND($K360&lt;&gt;"",NOT(ISNUMBER($K360))),"SCORE NOT A NUMBER",IF(AND(ISNUMBER($K360),OR($K360&lt;0,$K360&gt;100)),"SCORE OUT OF RANGE - this score counts toward nothing",IF(AND($G360="Score",$K360="",$J360&lt;&gt;"",$J360&lt;&gt;"Pending"),"RESULT WITHOUT A SCORE",IF(AND($G360="Pass/Fail",$K360&lt;&gt;""),"SCORE ON A PASS-FAIL CATEGORY - it is ignored",IF(AND($E360="Firearms",$J360&lt;&gt;"",$J360&lt;&gt;"Pending",$R360=""),"FIREARMS ROW WITH NO COURSE OF FIRE","OK"))))))</f>
        <v/>
      </c>
    </row>
    <row r="361">
      <c r="B361" s="17">
        <f>IF($C361="","",$D361&amp;"-"&amp;$E361&amp;"-"&amp;$I361)</f>
        <v/>
      </c>
      <c r="C361" s="16" t="n"/>
      <c r="D361" s="17">
        <f>IF($C361="","",IFERROR(INDEX(rngCadetPIDs,MATCH($C361,rngCadetNames,0)),"?"))</f>
        <v/>
      </c>
      <c r="E361" s="16" t="n"/>
      <c r="F361" s="17">
        <f>IF($E361="","",IFERROR(INDEX(rngSM_max,MATCH($E361,rngSM_cat,0)),""))</f>
        <v/>
      </c>
      <c r="G361" s="17">
        <f>IF($E361="","",IFERROR(INDEX(rngSM_mode,MATCH($E361,rngSM_cat,0)),""))</f>
        <v/>
      </c>
      <c r="H361" s="17">
        <f>IF($E361="","",IFERROR(INDEX(rngSM_pass,MATCH($E361,rngSM_cat,0)),""))</f>
        <v/>
      </c>
      <c r="I361" s="16" t="n"/>
      <c r="J361" s="16" t="n"/>
      <c r="K361" s="16" t="n"/>
      <c r="L361" s="18" t="n"/>
      <c r="M361" s="16" t="n"/>
      <c r="N361" s="17">
        <f>IF($C361="","",MAX(_xlfn.MAXIFS(nrSK_Att,nrSK_PID,$D361,nrSK_Cat,$E361,nrSK_Res,"Pass"),_xlfn.MAXIFS(nrSK_Att,nrSK_PID,$D361,nrSK_Cat,$E361,nrSK_Res,"Fail")))</f>
        <v/>
      </c>
      <c r="O361" s="17">
        <f>IF($C361="","",IF(AND(MAX(_xlfn.MAXIFS(nrSK_Att,nrSK_PID,$D361,nrSK_Cat,$E361,nrSK_Res,"Pass"),_xlfn.MAXIFS(nrSK_Att,nrSK_PID,$D361,nrSK_Cat,$E361,nrSK_Res,"Fail"))&gt;0,N($I361)&lt;MAX(_xlfn.MAXIFS(nrSK_Att,nrSK_PID,$D361,nrSK_Cat,$E361,nrSK_Res,"Pass"),_xlfn.MAXIFS(nrSK_Att,nrSK_PID,$D361,nrSK_Cat,$E361,nrSK_Res,"Fail"))),"(superseded)",IF(OR($J361="",$J361="Pending"),"Pending",IF($J361="Pass","Qualified",IF(AND($J361="Fail",$N361&gt;=$F361),"FAILED OUT","Needs Remediation")))))</f>
        <v/>
      </c>
      <c r="P361" s="17">
        <f>IF($C361="","",IF($O361="FAILED OUT","Yes","No"))</f>
        <v/>
      </c>
      <c r="Q361" s="16" t="n"/>
      <c r="R361" s="16" t="n"/>
      <c r="S361" s="17">
        <f>IF($C361="","",IF(AND($K361&lt;&gt;"",NOT(ISNUMBER($K361))),"SCORE NOT A NUMBER",IF(AND(ISNUMBER($K361),OR($K361&lt;0,$K361&gt;100)),"SCORE OUT OF RANGE - this score counts toward nothing",IF(AND($G361="Score",$K361="",$J361&lt;&gt;"",$J361&lt;&gt;"Pending"),"RESULT WITHOUT A SCORE",IF(AND($G361="Pass/Fail",$K361&lt;&gt;""),"SCORE ON A PASS-FAIL CATEGORY - it is ignored",IF(AND($E361="Firearms",$J361&lt;&gt;"",$J361&lt;&gt;"Pending",$R361=""),"FIREARMS ROW WITH NO COURSE OF FIRE","OK"))))))</f>
        <v/>
      </c>
    </row>
    <row r="362">
      <c r="B362" s="17">
        <f>IF($C362="","",$D362&amp;"-"&amp;$E362&amp;"-"&amp;$I362)</f>
        <v/>
      </c>
      <c r="C362" s="16" t="n"/>
      <c r="D362" s="17">
        <f>IF($C362="","",IFERROR(INDEX(rngCadetPIDs,MATCH($C362,rngCadetNames,0)),"?"))</f>
        <v/>
      </c>
      <c r="E362" s="16" t="n"/>
      <c r="F362" s="17">
        <f>IF($E362="","",IFERROR(INDEX(rngSM_max,MATCH($E362,rngSM_cat,0)),""))</f>
        <v/>
      </c>
      <c r="G362" s="17">
        <f>IF($E362="","",IFERROR(INDEX(rngSM_mode,MATCH($E362,rngSM_cat,0)),""))</f>
        <v/>
      </c>
      <c r="H362" s="17">
        <f>IF($E362="","",IFERROR(INDEX(rngSM_pass,MATCH($E362,rngSM_cat,0)),""))</f>
        <v/>
      </c>
      <c r="I362" s="16" t="n"/>
      <c r="J362" s="16" t="n"/>
      <c r="K362" s="16" t="n"/>
      <c r="L362" s="18" t="n"/>
      <c r="M362" s="16" t="n"/>
      <c r="N362" s="17">
        <f>IF($C362="","",MAX(_xlfn.MAXIFS(nrSK_Att,nrSK_PID,$D362,nrSK_Cat,$E362,nrSK_Res,"Pass"),_xlfn.MAXIFS(nrSK_Att,nrSK_PID,$D362,nrSK_Cat,$E362,nrSK_Res,"Fail")))</f>
        <v/>
      </c>
      <c r="O362" s="17">
        <f>IF($C362="","",IF(AND(MAX(_xlfn.MAXIFS(nrSK_Att,nrSK_PID,$D362,nrSK_Cat,$E362,nrSK_Res,"Pass"),_xlfn.MAXIFS(nrSK_Att,nrSK_PID,$D362,nrSK_Cat,$E362,nrSK_Res,"Fail"))&gt;0,N($I362)&lt;MAX(_xlfn.MAXIFS(nrSK_Att,nrSK_PID,$D362,nrSK_Cat,$E362,nrSK_Res,"Pass"),_xlfn.MAXIFS(nrSK_Att,nrSK_PID,$D362,nrSK_Cat,$E362,nrSK_Res,"Fail"))),"(superseded)",IF(OR($J362="",$J362="Pending"),"Pending",IF($J362="Pass","Qualified",IF(AND($J362="Fail",$N362&gt;=$F362),"FAILED OUT","Needs Remediation")))))</f>
        <v/>
      </c>
      <c r="P362" s="17">
        <f>IF($C362="","",IF($O362="FAILED OUT","Yes","No"))</f>
        <v/>
      </c>
      <c r="Q362" s="16" t="n"/>
      <c r="R362" s="16" t="n"/>
      <c r="S362" s="17">
        <f>IF($C362="","",IF(AND($K362&lt;&gt;"",NOT(ISNUMBER($K362))),"SCORE NOT A NUMBER",IF(AND(ISNUMBER($K362),OR($K362&lt;0,$K362&gt;100)),"SCORE OUT OF RANGE - this score counts toward nothing",IF(AND($G362="Score",$K362="",$J362&lt;&gt;"",$J362&lt;&gt;"Pending"),"RESULT WITHOUT A SCORE",IF(AND($G362="Pass/Fail",$K362&lt;&gt;""),"SCORE ON A PASS-FAIL CATEGORY - it is ignored",IF(AND($E362="Firearms",$J362&lt;&gt;"",$J362&lt;&gt;"Pending",$R362=""),"FIREARMS ROW WITH NO COURSE OF FIRE","OK"))))))</f>
        <v/>
      </c>
    </row>
    <row r="363">
      <c r="B363" s="17">
        <f>IF($C363="","",$D363&amp;"-"&amp;$E363&amp;"-"&amp;$I363)</f>
        <v/>
      </c>
      <c r="C363" s="16" t="n"/>
      <c r="D363" s="17">
        <f>IF($C363="","",IFERROR(INDEX(rngCadetPIDs,MATCH($C363,rngCadetNames,0)),"?"))</f>
        <v/>
      </c>
      <c r="E363" s="16" t="n"/>
      <c r="F363" s="17">
        <f>IF($E363="","",IFERROR(INDEX(rngSM_max,MATCH($E363,rngSM_cat,0)),""))</f>
        <v/>
      </c>
      <c r="G363" s="17">
        <f>IF($E363="","",IFERROR(INDEX(rngSM_mode,MATCH($E363,rngSM_cat,0)),""))</f>
        <v/>
      </c>
      <c r="H363" s="17">
        <f>IF($E363="","",IFERROR(INDEX(rngSM_pass,MATCH($E363,rngSM_cat,0)),""))</f>
        <v/>
      </c>
      <c r="I363" s="16" t="n"/>
      <c r="J363" s="16" t="n"/>
      <c r="K363" s="16" t="n"/>
      <c r="L363" s="18" t="n"/>
      <c r="M363" s="16" t="n"/>
      <c r="N363" s="17">
        <f>IF($C363="","",MAX(_xlfn.MAXIFS(nrSK_Att,nrSK_PID,$D363,nrSK_Cat,$E363,nrSK_Res,"Pass"),_xlfn.MAXIFS(nrSK_Att,nrSK_PID,$D363,nrSK_Cat,$E363,nrSK_Res,"Fail")))</f>
        <v/>
      </c>
      <c r="O363" s="17">
        <f>IF($C363="","",IF(AND(MAX(_xlfn.MAXIFS(nrSK_Att,nrSK_PID,$D363,nrSK_Cat,$E363,nrSK_Res,"Pass"),_xlfn.MAXIFS(nrSK_Att,nrSK_PID,$D363,nrSK_Cat,$E363,nrSK_Res,"Fail"))&gt;0,N($I363)&lt;MAX(_xlfn.MAXIFS(nrSK_Att,nrSK_PID,$D363,nrSK_Cat,$E363,nrSK_Res,"Pass"),_xlfn.MAXIFS(nrSK_Att,nrSK_PID,$D363,nrSK_Cat,$E363,nrSK_Res,"Fail"))),"(superseded)",IF(OR($J363="",$J363="Pending"),"Pending",IF($J363="Pass","Qualified",IF(AND($J363="Fail",$N363&gt;=$F363),"FAILED OUT","Needs Remediation")))))</f>
        <v/>
      </c>
      <c r="P363" s="17">
        <f>IF($C363="","",IF($O363="FAILED OUT","Yes","No"))</f>
        <v/>
      </c>
      <c r="Q363" s="16" t="n"/>
      <c r="R363" s="16" t="n"/>
      <c r="S363" s="17">
        <f>IF($C363="","",IF(AND($K363&lt;&gt;"",NOT(ISNUMBER($K363))),"SCORE NOT A NUMBER",IF(AND(ISNUMBER($K363),OR($K363&lt;0,$K363&gt;100)),"SCORE OUT OF RANGE - this score counts toward nothing",IF(AND($G363="Score",$K363="",$J363&lt;&gt;"",$J363&lt;&gt;"Pending"),"RESULT WITHOUT A SCORE",IF(AND($G363="Pass/Fail",$K363&lt;&gt;""),"SCORE ON A PASS-FAIL CATEGORY - it is ignored",IF(AND($E363="Firearms",$J363&lt;&gt;"",$J363&lt;&gt;"Pending",$R363=""),"FIREARMS ROW WITH NO COURSE OF FIRE","OK"))))))</f>
        <v/>
      </c>
    </row>
    <row r="364">
      <c r="B364" s="17">
        <f>IF($C364="","",$D364&amp;"-"&amp;$E364&amp;"-"&amp;$I364)</f>
        <v/>
      </c>
      <c r="C364" s="16" t="n"/>
      <c r="D364" s="17">
        <f>IF($C364="","",IFERROR(INDEX(rngCadetPIDs,MATCH($C364,rngCadetNames,0)),"?"))</f>
        <v/>
      </c>
      <c r="E364" s="16" t="n"/>
      <c r="F364" s="17">
        <f>IF($E364="","",IFERROR(INDEX(rngSM_max,MATCH($E364,rngSM_cat,0)),""))</f>
        <v/>
      </c>
      <c r="G364" s="17">
        <f>IF($E364="","",IFERROR(INDEX(rngSM_mode,MATCH($E364,rngSM_cat,0)),""))</f>
        <v/>
      </c>
      <c r="H364" s="17">
        <f>IF($E364="","",IFERROR(INDEX(rngSM_pass,MATCH($E364,rngSM_cat,0)),""))</f>
        <v/>
      </c>
      <c r="I364" s="16" t="n"/>
      <c r="J364" s="16" t="n"/>
      <c r="K364" s="16" t="n"/>
      <c r="L364" s="18" t="n"/>
      <c r="M364" s="16" t="n"/>
      <c r="N364" s="17">
        <f>IF($C364="","",MAX(_xlfn.MAXIFS(nrSK_Att,nrSK_PID,$D364,nrSK_Cat,$E364,nrSK_Res,"Pass"),_xlfn.MAXIFS(nrSK_Att,nrSK_PID,$D364,nrSK_Cat,$E364,nrSK_Res,"Fail")))</f>
        <v/>
      </c>
      <c r="O364" s="17">
        <f>IF($C364="","",IF(AND(MAX(_xlfn.MAXIFS(nrSK_Att,nrSK_PID,$D364,nrSK_Cat,$E364,nrSK_Res,"Pass"),_xlfn.MAXIFS(nrSK_Att,nrSK_PID,$D364,nrSK_Cat,$E364,nrSK_Res,"Fail"))&gt;0,N($I364)&lt;MAX(_xlfn.MAXIFS(nrSK_Att,nrSK_PID,$D364,nrSK_Cat,$E364,nrSK_Res,"Pass"),_xlfn.MAXIFS(nrSK_Att,nrSK_PID,$D364,nrSK_Cat,$E364,nrSK_Res,"Fail"))),"(superseded)",IF(OR($J364="",$J364="Pending"),"Pending",IF($J364="Pass","Qualified",IF(AND($J364="Fail",$N364&gt;=$F364),"FAILED OUT","Needs Remediation")))))</f>
        <v/>
      </c>
      <c r="P364" s="17">
        <f>IF($C364="","",IF($O364="FAILED OUT","Yes","No"))</f>
        <v/>
      </c>
      <c r="Q364" s="16" t="n"/>
      <c r="R364" s="16" t="n"/>
      <c r="S364" s="17">
        <f>IF($C364="","",IF(AND($K364&lt;&gt;"",NOT(ISNUMBER($K364))),"SCORE NOT A NUMBER",IF(AND(ISNUMBER($K364),OR($K364&lt;0,$K364&gt;100)),"SCORE OUT OF RANGE - this score counts toward nothing",IF(AND($G364="Score",$K364="",$J364&lt;&gt;"",$J364&lt;&gt;"Pending"),"RESULT WITHOUT A SCORE",IF(AND($G364="Pass/Fail",$K364&lt;&gt;""),"SCORE ON A PASS-FAIL CATEGORY - it is ignored",IF(AND($E364="Firearms",$J364&lt;&gt;"",$J364&lt;&gt;"Pending",$R364=""),"FIREARMS ROW WITH NO COURSE OF FIRE","OK"))))))</f>
        <v/>
      </c>
    </row>
    <row r="365">
      <c r="B365" s="17">
        <f>IF($C365="","",$D365&amp;"-"&amp;$E365&amp;"-"&amp;$I365)</f>
        <v/>
      </c>
      <c r="C365" s="16" t="n"/>
      <c r="D365" s="17">
        <f>IF($C365="","",IFERROR(INDEX(rngCadetPIDs,MATCH($C365,rngCadetNames,0)),"?"))</f>
        <v/>
      </c>
      <c r="E365" s="16" t="n"/>
      <c r="F365" s="17">
        <f>IF($E365="","",IFERROR(INDEX(rngSM_max,MATCH($E365,rngSM_cat,0)),""))</f>
        <v/>
      </c>
      <c r="G365" s="17">
        <f>IF($E365="","",IFERROR(INDEX(rngSM_mode,MATCH($E365,rngSM_cat,0)),""))</f>
        <v/>
      </c>
      <c r="H365" s="17">
        <f>IF($E365="","",IFERROR(INDEX(rngSM_pass,MATCH($E365,rngSM_cat,0)),""))</f>
        <v/>
      </c>
      <c r="I365" s="16" t="n"/>
      <c r="J365" s="16" t="n"/>
      <c r="K365" s="16" t="n"/>
      <c r="L365" s="18" t="n"/>
      <c r="M365" s="16" t="n"/>
      <c r="N365" s="17">
        <f>IF($C365="","",MAX(_xlfn.MAXIFS(nrSK_Att,nrSK_PID,$D365,nrSK_Cat,$E365,nrSK_Res,"Pass"),_xlfn.MAXIFS(nrSK_Att,nrSK_PID,$D365,nrSK_Cat,$E365,nrSK_Res,"Fail")))</f>
        <v/>
      </c>
      <c r="O365" s="17">
        <f>IF($C365="","",IF(AND(MAX(_xlfn.MAXIFS(nrSK_Att,nrSK_PID,$D365,nrSK_Cat,$E365,nrSK_Res,"Pass"),_xlfn.MAXIFS(nrSK_Att,nrSK_PID,$D365,nrSK_Cat,$E365,nrSK_Res,"Fail"))&gt;0,N($I365)&lt;MAX(_xlfn.MAXIFS(nrSK_Att,nrSK_PID,$D365,nrSK_Cat,$E365,nrSK_Res,"Pass"),_xlfn.MAXIFS(nrSK_Att,nrSK_PID,$D365,nrSK_Cat,$E365,nrSK_Res,"Fail"))),"(superseded)",IF(OR($J365="",$J365="Pending"),"Pending",IF($J365="Pass","Qualified",IF(AND($J365="Fail",$N365&gt;=$F365),"FAILED OUT","Needs Remediation")))))</f>
        <v/>
      </c>
      <c r="P365" s="17">
        <f>IF($C365="","",IF($O365="FAILED OUT","Yes","No"))</f>
        <v/>
      </c>
      <c r="Q365" s="16" t="n"/>
      <c r="R365" s="16" t="n"/>
      <c r="S365" s="17">
        <f>IF($C365="","",IF(AND($K365&lt;&gt;"",NOT(ISNUMBER($K365))),"SCORE NOT A NUMBER",IF(AND(ISNUMBER($K365),OR($K365&lt;0,$K365&gt;100)),"SCORE OUT OF RANGE - this score counts toward nothing",IF(AND($G365="Score",$K365="",$J365&lt;&gt;"",$J365&lt;&gt;"Pending"),"RESULT WITHOUT A SCORE",IF(AND($G365="Pass/Fail",$K365&lt;&gt;""),"SCORE ON A PASS-FAIL CATEGORY - it is ignored",IF(AND($E365="Firearms",$J365&lt;&gt;"",$J365&lt;&gt;"Pending",$R365=""),"FIREARMS ROW WITH NO COURSE OF FIRE","OK"))))))</f>
        <v/>
      </c>
    </row>
    <row r="366">
      <c r="B366" s="17">
        <f>IF($C366="","",$D366&amp;"-"&amp;$E366&amp;"-"&amp;$I366)</f>
        <v/>
      </c>
      <c r="C366" s="16" t="n"/>
      <c r="D366" s="17">
        <f>IF($C366="","",IFERROR(INDEX(rngCadetPIDs,MATCH($C366,rngCadetNames,0)),"?"))</f>
        <v/>
      </c>
      <c r="E366" s="16" t="n"/>
      <c r="F366" s="17">
        <f>IF($E366="","",IFERROR(INDEX(rngSM_max,MATCH($E366,rngSM_cat,0)),""))</f>
        <v/>
      </c>
      <c r="G366" s="17">
        <f>IF($E366="","",IFERROR(INDEX(rngSM_mode,MATCH($E366,rngSM_cat,0)),""))</f>
        <v/>
      </c>
      <c r="H366" s="17">
        <f>IF($E366="","",IFERROR(INDEX(rngSM_pass,MATCH($E366,rngSM_cat,0)),""))</f>
        <v/>
      </c>
      <c r="I366" s="16" t="n"/>
      <c r="J366" s="16" t="n"/>
      <c r="K366" s="16" t="n"/>
      <c r="L366" s="18" t="n"/>
      <c r="M366" s="16" t="n"/>
      <c r="N366" s="17">
        <f>IF($C366="","",MAX(_xlfn.MAXIFS(nrSK_Att,nrSK_PID,$D366,nrSK_Cat,$E366,nrSK_Res,"Pass"),_xlfn.MAXIFS(nrSK_Att,nrSK_PID,$D366,nrSK_Cat,$E366,nrSK_Res,"Fail")))</f>
        <v/>
      </c>
      <c r="O366" s="17">
        <f>IF($C366="","",IF(AND(MAX(_xlfn.MAXIFS(nrSK_Att,nrSK_PID,$D366,nrSK_Cat,$E366,nrSK_Res,"Pass"),_xlfn.MAXIFS(nrSK_Att,nrSK_PID,$D366,nrSK_Cat,$E366,nrSK_Res,"Fail"))&gt;0,N($I366)&lt;MAX(_xlfn.MAXIFS(nrSK_Att,nrSK_PID,$D366,nrSK_Cat,$E366,nrSK_Res,"Pass"),_xlfn.MAXIFS(nrSK_Att,nrSK_PID,$D366,nrSK_Cat,$E366,nrSK_Res,"Fail"))),"(superseded)",IF(OR($J366="",$J366="Pending"),"Pending",IF($J366="Pass","Qualified",IF(AND($J366="Fail",$N366&gt;=$F366),"FAILED OUT","Needs Remediation")))))</f>
        <v/>
      </c>
      <c r="P366" s="17">
        <f>IF($C366="","",IF($O366="FAILED OUT","Yes","No"))</f>
        <v/>
      </c>
      <c r="Q366" s="16" t="n"/>
      <c r="R366" s="16" t="n"/>
      <c r="S366" s="17">
        <f>IF($C366="","",IF(AND($K366&lt;&gt;"",NOT(ISNUMBER($K366))),"SCORE NOT A NUMBER",IF(AND(ISNUMBER($K366),OR($K366&lt;0,$K366&gt;100)),"SCORE OUT OF RANGE - this score counts toward nothing",IF(AND($G366="Score",$K366="",$J366&lt;&gt;"",$J366&lt;&gt;"Pending"),"RESULT WITHOUT A SCORE",IF(AND($G366="Pass/Fail",$K366&lt;&gt;""),"SCORE ON A PASS-FAIL CATEGORY - it is ignored",IF(AND($E366="Firearms",$J366&lt;&gt;"",$J366&lt;&gt;"Pending",$R366=""),"FIREARMS ROW WITH NO COURSE OF FIRE","OK"))))))</f>
        <v/>
      </c>
    </row>
    <row r="367">
      <c r="B367" s="17">
        <f>IF($C367="","",$D367&amp;"-"&amp;$E367&amp;"-"&amp;$I367)</f>
        <v/>
      </c>
      <c r="C367" s="16" t="n"/>
      <c r="D367" s="17">
        <f>IF($C367="","",IFERROR(INDEX(rngCadetPIDs,MATCH($C367,rngCadetNames,0)),"?"))</f>
        <v/>
      </c>
      <c r="E367" s="16" t="n"/>
      <c r="F367" s="17">
        <f>IF($E367="","",IFERROR(INDEX(rngSM_max,MATCH($E367,rngSM_cat,0)),""))</f>
        <v/>
      </c>
      <c r="G367" s="17">
        <f>IF($E367="","",IFERROR(INDEX(rngSM_mode,MATCH($E367,rngSM_cat,0)),""))</f>
        <v/>
      </c>
      <c r="H367" s="17">
        <f>IF($E367="","",IFERROR(INDEX(rngSM_pass,MATCH($E367,rngSM_cat,0)),""))</f>
        <v/>
      </c>
      <c r="I367" s="16" t="n"/>
      <c r="J367" s="16" t="n"/>
      <c r="K367" s="16" t="n"/>
      <c r="L367" s="18" t="n"/>
      <c r="M367" s="16" t="n"/>
      <c r="N367" s="17">
        <f>IF($C367="","",MAX(_xlfn.MAXIFS(nrSK_Att,nrSK_PID,$D367,nrSK_Cat,$E367,nrSK_Res,"Pass"),_xlfn.MAXIFS(nrSK_Att,nrSK_PID,$D367,nrSK_Cat,$E367,nrSK_Res,"Fail")))</f>
        <v/>
      </c>
      <c r="O367" s="17">
        <f>IF($C367="","",IF(AND(MAX(_xlfn.MAXIFS(nrSK_Att,nrSK_PID,$D367,nrSK_Cat,$E367,nrSK_Res,"Pass"),_xlfn.MAXIFS(nrSK_Att,nrSK_PID,$D367,nrSK_Cat,$E367,nrSK_Res,"Fail"))&gt;0,N($I367)&lt;MAX(_xlfn.MAXIFS(nrSK_Att,nrSK_PID,$D367,nrSK_Cat,$E367,nrSK_Res,"Pass"),_xlfn.MAXIFS(nrSK_Att,nrSK_PID,$D367,nrSK_Cat,$E367,nrSK_Res,"Fail"))),"(superseded)",IF(OR($J367="",$J367="Pending"),"Pending",IF($J367="Pass","Qualified",IF(AND($J367="Fail",$N367&gt;=$F367),"FAILED OUT","Needs Remediation")))))</f>
        <v/>
      </c>
      <c r="P367" s="17">
        <f>IF($C367="","",IF($O367="FAILED OUT","Yes","No"))</f>
        <v/>
      </c>
      <c r="Q367" s="16" t="n"/>
      <c r="R367" s="16" t="n"/>
      <c r="S367" s="17">
        <f>IF($C367="","",IF(AND($K367&lt;&gt;"",NOT(ISNUMBER($K367))),"SCORE NOT A NUMBER",IF(AND(ISNUMBER($K367),OR($K367&lt;0,$K367&gt;100)),"SCORE OUT OF RANGE - this score counts toward nothing",IF(AND($G367="Score",$K367="",$J367&lt;&gt;"",$J367&lt;&gt;"Pending"),"RESULT WITHOUT A SCORE",IF(AND($G367="Pass/Fail",$K367&lt;&gt;""),"SCORE ON A PASS-FAIL CATEGORY - it is ignored",IF(AND($E367="Firearms",$J367&lt;&gt;"",$J367&lt;&gt;"Pending",$R367=""),"FIREARMS ROW WITH NO COURSE OF FIRE","OK"))))))</f>
        <v/>
      </c>
    </row>
    <row r="368">
      <c r="B368" s="17">
        <f>IF($C368="","",$D368&amp;"-"&amp;$E368&amp;"-"&amp;$I368)</f>
        <v/>
      </c>
      <c r="C368" s="16" t="n"/>
      <c r="D368" s="17">
        <f>IF($C368="","",IFERROR(INDEX(rngCadetPIDs,MATCH($C368,rngCadetNames,0)),"?"))</f>
        <v/>
      </c>
      <c r="E368" s="16" t="n"/>
      <c r="F368" s="17">
        <f>IF($E368="","",IFERROR(INDEX(rngSM_max,MATCH($E368,rngSM_cat,0)),""))</f>
        <v/>
      </c>
      <c r="G368" s="17">
        <f>IF($E368="","",IFERROR(INDEX(rngSM_mode,MATCH($E368,rngSM_cat,0)),""))</f>
        <v/>
      </c>
      <c r="H368" s="17">
        <f>IF($E368="","",IFERROR(INDEX(rngSM_pass,MATCH($E368,rngSM_cat,0)),""))</f>
        <v/>
      </c>
      <c r="I368" s="16" t="n"/>
      <c r="J368" s="16" t="n"/>
      <c r="K368" s="16" t="n"/>
      <c r="L368" s="18" t="n"/>
      <c r="M368" s="16" t="n"/>
      <c r="N368" s="17">
        <f>IF($C368="","",MAX(_xlfn.MAXIFS(nrSK_Att,nrSK_PID,$D368,nrSK_Cat,$E368,nrSK_Res,"Pass"),_xlfn.MAXIFS(nrSK_Att,nrSK_PID,$D368,nrSK_Cat,$E368,nrSK_Res,"Fail")))</f>
        <v/>
      </c>
      <c r="O368" s="17">
        <f>IF($C368="","",IF(AND(MAX(_xlfn.MAXIFS(nrSK_Att,nrSK_PID,$D368,nrSK_Cat,$E368,nrSK_Res,"Pass"),_xlfn.MAXIFS(nrSK_Att,nrSK_PID,$D368,nrSK_Cat,$E368,nrSK_Res,"Fail"))&gt;0,N($I368)&lt;MAX(_xlfn.MAXIFS(nrSK_Att,nrSK_PID,$D368,nrSK_Cat,$E368,nrSK_Res,"Pass"),_xlfn.MAXIFS(nrSK_Att,nrSK_PID,$D368,nrSK_Cat,$E368,nrSK_Res,"Fail"))),"(superseded)",IF(OR($J368="",$J368="Pending"),"Pending",IF($J368="Pass","Qualified",IF(AND($J368="Fail",$N368&gt;=$F368),"FAILED OUT","Needs Remediation")))))</f>
        <v/>
      </c>
      <c r="P368" s="17">
        <f>IF($C368="","",IF($O368="FAILED OUT","Yes","No"))</f>
        <v/>
      </c>
      <c r="Q368" s="16" t="n"/>
      <c r="R368" s="16" t="n"/>
      <c r="S368" s="17">
        <f>IF($C368="","",IF(AND($K368&lt;&gt;"",NOT(ISNUMBER($K368))),"SCORE NOT A NUMBER",IF(AND(ISNUMBER($K368),OR($K368&lt;0,$K368&gt;100)),"SCORE OUT OF RANGE - this score counts toward nothing",IF(AND($G368="Score",$K368="",$J368&lt;&gt;"",$J368&lt;&gt;"Pending"),"RESULT WITHOUT A SCORE",IF(AND($G368="Pass/Fail",$K368&lt;&gt;""),"SCORE ON A PASS-FAIL CATEGORY - it is ignored",IF(AND($E368="Firearms",$J368&lt;&gt;"",$J368&lt;&gt;"Pending",$R368=""),"FIREARMS ROW WITH NO COURSE OF FIRE","OK"))))))</f>
        <v/>
      </c>
    </row>
    <row r="369">
      <c r="B369" s="17">
        <f>IF($C369="","",$D369&amp;"-"&amp;$E369&amp;"-"&amp;$I369)</f>
        <v/>
      </c>
      <c r="C369" s="16" t="n"/>
      <c r="D369" s="17">
        <f>IF($C369="","",IFERROR(INDEX(rngCadetPIDs,MATCH($C369,rngCadetNames,0)),"?"))</f>
        <v/>
      </c>
      <c r="E369" s="16" t="n"/>
      <c r="F369" s="17">
        <f>IF($E369="","",IFERROR(INDEX(rngSM_max,MATCH($E369,rngSM_cat,0)),""))</f>
        <v/>
      </c>
      <c r="G369" s="17">
        <f>IF($E369="","",IFERROR(INDEX(rngSM_mode,MATCH($E369,rngSM_cat,0)),""))</f>
        <v/>
      </c>
      <c r="H369" s="17">
        <f>IF($E369="","",IFERROR(INDEX(rngSM_pass,MATCH($E369,rngSM_cat,0)),""))</f>
        <v/>
      </c>
      <c r="I369" s="16" t="n"/>
      <c r="J369" s="16" t="n"/>
      <c r="K369" s="16" t="n"/>
      <c r="L369" s="18" t="n"/>
      <c r="M369" s="16" t="n"/>
      <c r="N369" s="17">
        <f>IF($C369="","",MAX(_xlfn.MAXIFS(nrSK_Att,nrSK_PID,$D369,nrSK_Cat,$E369,nrSK_Res,"Pass"),_xlfn.MAXIFS(nrSK_Att,nrSK_PID,$D369,nrSK_Cat,$E369,nrSK_Res,"Fail")))</f>
        <v/>
      </c>
      <c r="O369" s="17">
        <f>IF($C369="","",IF(AND(MAX(_xlfn.MAXIFS(nrSK_Att,nrSK_PID,$D369,nrSK_Cat,$E369,nrSK_Res,"Pass"),_xlfn.MAXIFS(nrSK_Att,nrSK_PID,$D369,nrSK_Cat,$E369,nrSK_Res,"Fail"))&gt;0,N($I369)&lt;MAX(_xlfn.MAXIFS(nrSK_Att,nrSK_PID,$D369,nrSK_Cat,$E369,nrSK_Res,"Pass"),_xlfn.MAXIFS(nrSK_Att,nrSK_PID,$D369,nrSK_Cat,$E369,nrSK_Res,"Fail"))),"(superseded)",IF(OR($J369="",$J369="Pending"),"Pending",IF($J369="Pass","Qualified",IF(AND($J369="Fail",$N369&gt;=$F369),"FAILED OUT","Needs Remediation")))))</f>
        <v/>
      </c>
      <c r="P369" s="17">
        <f>IF($C369="","",IF($O369="FAILED OUT","Yes","No"))</f>
        <v/>
      </c>
      <c r="Q369" s="16" t="n"/>
      <c r="R369" s="16" t="n"/>
      <c r="S369" s="17">
        <f>IF($C369="","",IF(AND($K369&lt;&gt;"",NOT(ISNUMBER($K369))),"SCORE NOT A NUMBER",IF(AND(ISNUMBER($K369),OR($K369&lt;0,$K369&gt;100)),"SCORE OUT OF RANGE - this score counts toward nothing",IF(AND($G369="Score",$K369="",$J369&lt;&gt;"",$J369&lt;&gt;"Pending"),"RESULT WITHOUT A SCORE",IF(AND($G369="Pass/Fail",$K369&lt;&gt;""),"SCORE ON A PASS-FAIL CATEGORY - it is ignored",IF(AND($E369="Firearms",$J369&lt;&gt;"",$J369&lt;&gt;"Pending",$R369=""),"FIREARMS ROW WITH NO COURSE OF FIRE","OK"))))))</f>
        <v/>
      </c>
    </row>
    <row r="370">
      <c r="B370" s="17">
        <f>IF($C370="","",$D370&amp;"-"&amp;$E370&amp;"-"&amp;$I370)</f>
        <v/>
      </c>
      <c r="C370" s="16" t="n"/>
      <c r="D370" s="17">
        <f>IF($C370="","",IFERROR(INDEX(rngCadetPIDs,MATCH($C370,rngCadetNames,0)),"?"))</f>
        <v/>
      </c>
      <c r="E370" s="16" t="n"/>
      <c r="F370" s="17">
        <f>IF($E370="","",IFERROR(INDEX(rngSM_max,MATCH($E370,rngSM_cat,0)),""))</f>
        <v/>
      </c>
      <c r="G370" s="17">
        <f>IF($E370="","",IFERROR(INDEX(rngSM_mode,MATCH($E370,rngSM_cat,0)),""))</f>
        <v/>
      </c>
      <c r="H370" s="17">
        <f>IF($E370="","",IFERROR(INDEX(rngSM_pass,MATCH($E370,rngSM_cat,0)),""))</f>
        <v/>
      </c>
      <c r="I370" s="16" t="n"/>
      <c r="J370" s="16" t="n"/>
      <c r="K370" s="16" t="n"/>
      <c r="L370" s="18" t="n"/>
      <c r="M370" s="16" t="n"/>
      <c r="N370" s="17">
        <f>IF($C370="","",MAX(_xlfn.MAXIFS(nrSK_Att,nrSK_PID,$D370,nrSK_Cat,$E370,nrSK_Res,"Pass"),_xlfn.MAXIFS(nrSK_Att,nrSK_PID,$D370,nrSK_Cat,$E370,nrSK_Res,"Fail")))</f>
        <v/>
      </c>
      <c r="O370" s="17">
        <f>IF($C370="","",IF(AND(MAX(_xlfn.MAXIFS(nrSK_Att,nrSK_PID,$D370,nrSK_Cat,$E370,nrSK_Res,"Pass"),_xlfn.MAXIFS(nrSK_Att,nrSK_PID,$D370,nrSK_Cat,$E370,nrSK_Res,"Fail"))&gt;0,N($I370)&lt;MAX(_xlfn.MAXIFS(nrSK_Att,nrSK_PID,$D370,nrSK_Cat,$E370,nrSK_Res,"Pass"),_xlfn.MAXIFS(nrSK_Att,nrSK_PID,$D370,nrSK_Cat,$E370,nrSK_Res,"Fail"))),"(superseded)",IF(OR($J370="",$J370="Pending"),"Pending",IF($J370="Pass","Qualified",IF(AND($J370="Fail",$N370&gt;=$F370),"FAILED OUT","Needs Remediation")))))</f>
        <v/>
      </c>
      <c r="P370" s="17">
        <f>IF($C370="","",IF($O370="FAILED OUT","Yes","No"))</f>
        <v/>
      </c>
      <c r="Q370" s="16" t="n"/>
      <c r="R370" s="16" t="n"/>
      <c r="S370" s="17">
        <f>IF($C370="","",IF(AND($K370&lt;&gt;"",NOT(ISNUMBER($K370))),"SCORE NOT A NUMBER",IF(AND(ISNUMBER($K370),OR($K370&lt;0,$K370&gt;100)),"SCORE OUT OF RANGE - this score counts toward nothing",IF(AND($G370="Score",$K370="",$J370&lt;&gt;"",$J370&lt;&gt;"Pending"),"RESULT WITHOUT A SCORE",IF(AND($G370="Pass/Fail",$K370&lt;&gt;""),"SCORE ON A PASS-FAIL CATEGORY - it is ignored",IF(AND($E370="Firearms",$J370&lt;&gt;"",$J370&lt;&gt;"Pending",$R370=""),"FIREARMS ROW WITH NO COURSE OF FIRE","OK"))))))</f>
        <v/>
      </c>
    </row>
    <row r="371">
      <c r="B371" s="17">
        <f>IF($C371="","",$D371&amp;"-"&amp;$E371&amp;"-"&amp;$I371)</f>
        <v/>
      </c>
      <c r="C371" s="16" t="n"/>
      <c r="D371" s="17">
        <f>IF($C371="","",IFERROR(INDEX(rngCadetPIDs,MATCH($C371,rngCadetNames,0)),"?"))</f>
        <v/>
      </c>
      <c r="E371" s="16" t="n"/>
      <c r="F371" s="17">
        <f>IF($E371="","",IFERROR(INDEX(rngSM_max,MATCH($E371,rngSM_cat,0)),""))</f>
        <v/>
      </c>
      <c r="G371" s="17">
        <f>IF($E371="","",IFERROR(INDEX(rngSM_mode,MATCH($E371,rngSM_cat,0)),""))</f>
        <v/>
      </c>
      <c r="H371" s="17">
        <f>IF($E371="","",IFERROR(INDEX(rngSM_pass,MATCH($E371,rngSM_cat,0)),""))</f>
        <v/>
      </c>
      <c r="I371" s="16" t="n"/>
      <c r="J371" s="16" t="n"/>
      <c r="K371" s="16" t="n"/>
      <c r="L371" s="18" t="n"/>
      <c r="M371" s="16" t="n"/>
      <c r="N371" s="17">
        <f>IF($C371="","",MAX(_xlfn.MAXIFS(nrSK_Att,nrSK_PID,$D371,nrSK_Cat,$E371,nrSK_Res,"Pass"),_xlfn.MAXIFS(nrSK_Att,nrSK_PID,$D371,nrSK_Cat,$E371,nrSK_Res,"Fail")))</f>
        <v/>
      </c>
      <c r="O371" s="17">
        <f>IF($C371="","",IF(AND(MAX(_xlfn.MAXIFS(nrSK_Att,nrSK_PID,$D371,nrSK_Cat,$E371,nrSK_Res,"Pass"),_xlfn.MAXIFS(nrSK_Att,nrSK_PID,$D371,nrSK_Cat,$E371,nrSK_Res,"Fail"))&gt;0,N($I371)&lt;MAX(_xlfn.MAXIFS(nrSK_Att,nrSK_PID,$D371,nrSK_Cat,$E371,nrSK_Res,"Pass"),_xlfn.MAXIFS(nrSK_Att,nrSK_PID,$D371,nrSK_Cat,$E371,nrSK_Res,"Fail"))),"(superseded)",IF(OR($J371="",$J371="Pending"),"Pending",IF($J371="Pass","Qualified",IF(AND($J371="Fail",$N371&gt;=$F371),"FAILED OUT","Needs Remediation")))))</f>
        <v/>
      </c>
      <c r="P371" s="17">
        <f>IF($C371="","",IF($O371="FAILED OUT","Yes","No"))</f>
        <v/>
      </c>
      <c r="Q371" s="16" t="n"/>
      <c r="R371" s="16" t="n"/>
      <c r="S371" s="17">
        <f>IF($C371="","",IF(AND($K371&lt;&gt;"",NOT(ISNUMBER($K371))),"SCORE NOT A NUMBER",IF(AND(ISNUMBER($K371),OR($K371&lt;0,$K371&gt;100)),"SCORE OUT OF RANGE - this score counts toward nothing",IF(AND($G371="Score",$K371="",$J371&lt;&gt;"",$J371&lt;&gt;"Pending"),"RESULT WITHOUT A SCORE",IF(AND($G371="Pass/Fail",$K371&lt;&gt;""),"SCORE ON A PASS-FAIL CATEGORY - it is ignored",IF(AND($E371="Firearms",$J371&lt;&gt;"",$J371&lt;&gt;"Pending",$R371=""),"FIREARMS ROW WITH NO COURSE OF FIRE","OK"))))))</f>
        <v/>
      </c>
    </row>
    <row r="372">
      <c r="B372" s="17">
        <f>IF($C372="","",$D372&amp;"-"&amp;$E372&amp;"-"&amp;$I372)</f>
        <v/>
      </c>
      <c r="C372" s="16" t="n"/>
      <c r="D372" s="17">
        <f>IF($C372="","",IFERROR(INDEX(rngCadetPIDs,MATCH($C372,rngCadetNames,0)),"?"))</f>
        <v/>
      </c>
      <c r="E372" s="16" t="n"/>
      <c r="F372" s="17">
        <f>IF($E372="","",IFERROR(INDEX(rngSM_max,MATCH($E372,rngSM_cat,0)),""))</f>
        <v/>
      </c>
      <c r="G372" s="17">
        <f>IF($E372="","",IFERROR(INDEX(rngSM_mode,MATCH($E372,rngSM_cat,0)),""))</f>
        <v/>
      </c>
      <c r="H372" s="17">
        <f>IF($E372="","",IFERROR(INDEX(rngSM_pass,MATCH($E372,rngSM_cat,0)),""))</f>
        <v/>
      </c>
      <c r="I372" s="16" t="n"/>
      <c r="J372" s="16" t="n"/>
      <c r="K372" s="16" t="n"/>
      <c r="L372" s="18" t="n"/>
      <c r="M372" s="16" t="n"/>
      <c r="N372" s="17">
        <f>IF($C372="","",MAX(_xlfn.MAXIFS(nrSK_Att,nrSK_PID,$D372,nrSK_Cat,$E372,nrSK_Res,"Pass"),_xlfn.MAXIFS(nrSK_Att,nrSK_PID,$D372,nrSK_Cat,$E372,nrSK_Res,"Fail")))</f>
        <v/>
      </c>
      <c r="O372" s="17">
        <f>IF($C372="","",IF(AND(MAX(_xlfn.MAXIFS(nrSK_Att,nrSK_PID,$D372,nrSK_Cat,$E372,nrSK_Res,"Pass"),_xlfn.MAXIFS(nrSK_Att,nrSK_PID,$D372,nrSK_Cat,$E372,nrSK_Res,"Fail"))&gt;0,N($I372)&lt;MAX(_xlfn.MAXIFS(nrSK_Att,nrSK_PID,$D372,nrSK_Cat,$E372,nrSK_Res,"Pass"),_xlfn.MAXIFS(nrSK_Att,nrSK_PID,$D372,nrSK_Cat,$E372,nrSK_Res,"Fail"))),"(superseded)",IF(OR($J372="",$J372="Pending"),"Pending",IF($J372="Pass","Qualified",IF(AND($J372="Fail",$N372&gt;=$F372),"FAILED OUT","Needs Remediation")))))</f>
        <v/>
      </c>
      <c r="P372" s="17">
        <f>IF($C372="","",IF($O372="FAILED OUT","Yes","No"))</f>
        <v/>
      </c>
      <c r="Q372" s="16" t="n"/>
      <c r="R372" s="16" t="n"/>
      <c r="S372" s="17">
        <f>IF($C372="","",IF(AND($K372&lt;&gt;"",NOT(ISNUMBER($K372))),"SCORE NOT A NUMBER",IF(AND(ISNUMBER($K372),OR($K372&lt;0,$K372&gt;100)),"SCORE OUT OF RANGE - this score counts toward nothing",IF(AND($G372="Score",$K372="",$J372&lt;&gt;"",$J372&lt;&gt;"Pending"),"RESULT WITHOUT A SCORE",IF(AND($G372="Pass/Fail",$K372&lt;&gt;""),"SCORE ON A PASS-FAIL CATEGORY - it is ignored",IF(AND($E372="Firearms",$J372&lt;&gt;"",$J372&lt;&gt;"Pending",$R372=""),"FIREARMS ROW WITH NO COURSE OF FIRE","OK"))))))</f>
        <v/>
      </c>
    </row>
    <row r="373">
      <c r="B373" s="17">
        <f>IF($C373="","",$D373&amp;"-"&amp;$E373&amp;"-"&amp;$I373)</f>
        <v/>
      </c>
      <c r="C373" s="16" t="n"/>
      <c r="D373" s="17">
        <f>IF($C373="","",IFERROR(INDEX(rngCadetPIDs,MATCH($C373,rngCadetNames,0)),"?"))</f>
        <v/>
      </c>
      <c r="E373" s="16" t="n"/>
      <c r="F373" s="17">
        <f>IF($E373="","",IFERROR(INDEX(rngSM_max,MATCH($E373,rngSM_cat,0)),""))</f>
        <v/>
      </c>
      <c r="G373" s="17">
        <f>IF($E373="","",IFERROR(INDEX(rngSM_mode,MATCH($E373,rngSM_cat,0)),""))</f>
        <v/>
      </c>
      <c r="H373" s="17">
        <f>IF($E373="","",IFERROR(INDEX(rngSM_pass,MATCH($E373,rngSM_cat,0)),""))</f>
        <v/>
      </c>
      <c r="I373" s="16" t="n"/>
      <c r="J373" s="16" t="n"/>
      <c r="K373" s="16" t="n"/>
      <c r="L373" s="18" t="n"/>
      <c r="M373" s="16" t="n"/>
      <c r="N373" s="17">
        <f>IF($C373="","",MAX(_xlfn.MAXIFS(nrSK_Att,nrSK_PID,$D373,nrSK_Cat,$E373,nrSK_Res,"Pass"),_xlfn.MAXIFS(nrSK_Att,nrSK_PID,$D373,nrSK_Cat,$E373,nrSK_Res,"Fail")))</f>
        <v/>
      </c>
      <c r="O373" s="17">
        <f>IF($C373="","",IF(AND(MAX(_xlfn.MAXIFS(nrSK_Att,nrSK_PID,$D373,nrSK_Cat,$E373,nrSK_Res,"Pass"),_xlfn.MAXIFS(nrSK_Att,nrSK_PID,$D373,nrSK_Cat,$E373,nrSK_Res,"Fail"))&gt;0,N($I373)&lt;MAX(_xlfn.MAXIFS(nrSK_Att,nrSK_PID,$D373,nrSK_Cat,$E373,nrSK_Res,"Pass"),_xlfn.MAXIFS(nrSK_Att,nrSK_PID,$D373,nrSK_Cat,$E373,nrSK_Res,"Fail"))),"(superseded)",IF(OR($J373="",$J373="Pending"),"Pending",IF($J373="Pass","Qualified",IF(AND($J373="Fail",$N373&gt;=$F373),"FAILED OUT","Needs Remediation")))))</f>
        <v/>
      </c>
      <c r="P373" s="17">
        <f>IF($C373="","",IF($O373="FAILED OUT","Yes","No"))</f>
        <v/>
      </c>
      <c r="Q373" s="16" t="n"/>
      <c r="R373" s="16" t="n"/>
      <c r="S373" s="17">
        <f>IF($C373="","",IF(AND($K373&lt;&gt;"",NOT(ISNUMBER($K373))),"SCORE NOT A NUMBER",IF(AND(ISNUMBER($K373),OR($K373&lt;0,$K373&gt;100)),"SCORE OUT OF RANGE - this score counts toward nothing",IF(AND($G373="Score",$K373="",$J373&lt;&gt;"",$J373&lt;&gt;"Pending"),"RESULT WITHOUT A SCORE",IF(AND($G373="Pass/Fail",$K373&lt;&gt;""),"SCORE ON A PASS-FAIL CATEGORY - it is ignored",IF(AND($E373="Firearms",$J373&lt;&gt;"",$J373&lt;&gt;"Pending",$R373=""),"FIREARMS ROW WITH NO COURSE OF FIRE","OK"))))))</f>
        <v/>
      </c>
    </row>
    <row r="374">
      <c r="B374" s="17">
        <f>IF($C374="","",$D374&amp;"-"&amp;$E374&amp;"-"&amp;$I374)</f>
        <v/>
      </c>
      <c r="C374" s="16" t="n"/>
      <c r="D374" s="17">
        <f>IF($C374="","",IFERROR(INDEX(rngCadetPIDs,MATCH($C374,rngCadetNames,0)),"?"))</f>
        <v/>
      </c>
      <c r="E374" s="16" t="n"/>
      <c r="F374" s="17">
        <f>IF($E374="","",IFERROR(INDEX(rngSM_max,MATCH($E374,rngSM_cat,0)),""))</f>
        <v/>
      </c>
      <c r="G374" s="17">
        <f>IF($E374="","",IFERROR(INDEX(rngSM_mode,MATCH($E374,rngSM_cat,0)),""))</f>
        <v/>
      </c>
      <c r="H374" s="17">
        <f>IF($E374="","",IFERROR(INDEX(rngSM_pass,MATCH($E374,rngSM_cat,0)),""))</f>
        <v/>
      </c>
      <c r="I374" s="16" t="n"/>
      <c r="J374" s="16" t="n"/>
      <c r="K374" s="16" t="n"/>
      <c r="L374" s="18" t="n"/>
      <c r="M374" s="16" t="n"/>
      <c r="N374" s="17">
        <f>IF($C374="","",MAX(_xlfn.MAXIFS(nrSK_Att,nrSK_PID,$D374,nrSK_Cat,$E374,nrSK_Res,"Pass"),_xlfn.MAXIFS(nrSK_Att,nrSK_PID,$D374,nrSK_Cat,$E374,nrSK_Res,"Fail")))</f>
        <v/>
      </c>
      <c r="O374" s="17">
        <f>IF($C374="","",IF(AND(MAX(_xlfn.MAXIFS(nrSK_Att,nrSK_PID,$D374,nrSK_Cat,$E374,nrSK_Res,"Pass"),_xlfn.MAXIFS(nrSK_Att,nrSK_PID,$D374,nrSK_Cat,$E374,nrSK_Res,"Fail"))&gt;0,N($I374)&lt;MAX(_xlfn.MAXIFS(nrSK_Att,nrSK_PID,$D374,nrSK_Cat,$E374,nrSK_Res,"Pass"),_xlfn.MAXIFS(nrSK_Att,nrSK_PID,$D374,nrSK_Cat,$E374,nrSK_Res,"Fail"))),"(superseded)",IF(OR($J374="",$J374="Pending"),"Pending",IF($J374="Pass","Qualified",IF(AND($J374="Fail",$N374&gt;=$F374),"FAILED OUT","Needs Remediation")))))</f>
        <v/>
      </c>
      <c r="P374" s="17">
        <f>IF($C374="","",IF($O374="FAILED OUT","Yes","No"))</f>
        <v/>
      </c>
      <c r="Q374" s="16" t="n"/>
      <c r="R374" s="16" t="n"/>
      <c r="S374" s="17">
        <f>IF($C374="","",IF(AND($K374&lt;&gt;"",NOT(ISNUMBER($K374))),"SCORE NOT A NUMBER",IF(AND(ISNUMBER($K374),OR($K374&lt;0,$K374&gt;100)),"SCORE OUT OF RANGE - this score counts toward nothing",IF(AND($G374="Score",$K374="",$J374&lt;&gt;"",$J374&lt;&gt;"Pending"),"RESULT WITHOUT A SCORE",IF(AND($G374="Pass/Fail",$K374&lt;&gt;""),"SCORE ON A PASS-FAIL CATEGORY - it is ignored",IF(AND($E374="Firearms",$J374&lt;&gt;"",$J374&lt;&gt;"Pending",$R374=""),"FIREARMS ROW WITH NO COURSE OF FIRE","OK"))))))</f>
        <v/>
      </c>
    </row>
    <row r="375">
      <c r="B375" s="17">
        <f>IF($C375="","",$D375&amp;"-"&amp;$E375&amp;"-"&amp;$I375)</f>
        <v/>
      </c>
      <c r="C375" s="16" t="n"/>
      <c r="D375" s="17">
        <f>IF($C375="","",IFERROR(INDEX(rngCadetPIDs,MATCH($C375,rngCadetNames,0)),"?"))</f>
        <v/>
      </c>
      <c r="E375" s="16" t="n"/>
      <c r="F375" s="17">
        <f>IF($E375="","",IFERROR(INDEX(rngSM_max,MATCH($E375,rngSM_cat,0)),""))</f>
        <v/>
      </c>
      <c r="G375" s="17">
        <f>IF($E375="","",IFERROR(INDEX(rngSM_mode,MATCH($E375,rngSM_cat,0)),""))</f>
        <v/>
      </c>
      <c r="H375" s="17">
        <f>IF($E375="","",IFERROR(INDEX(rngSM_pass,MATCH($E375,rngSM_cat,0)),""))</f>
        <v/>
      </c>
      <c r="I375" s="16" t="n"/>
      <c r="J375" s="16" t="n"/>
      <c r="K375" s="16" t="n"/>
      <c r="L375" s="18" t="n"/>
      <c r="M375" s="16" t="n"/>
      <c r="N375" s="17">
        <f>IF($C375="","",MAX(_xlfn.MAXIFS(nrSK_Att,nrSK_PID,$D375,nrSK_Cat,$E375,nrSK_Res,"Pass"),_xlfn.MAXIFS(nrSK_Att,nrSK_PID,$D375,nrSK_Cat,$E375,nrSK_Res,"Fail")))</f>
        <v/>
      </c>
      <c r="O375" s="17">
        <f>IF($C375="","",IF(AND(MAX(_xlfn.MAXIFS(nrSK_Att,nrSK_PID,$D375,nrSK_Cat,$E375,nrSK_Res,"Pass"),_xlfn.MAXIFS(nrSK_Att,nrSK_PID,$D375,nrSK_Cat,$E375,nrSK_Res,"Fail"))&gt;0,N($I375)&lt;MAX(_xlfn.MAXIFS(nrSK_Att,nrSK_PID,$D375,nrSK_Cat,$E375,nrSK_Res,"Pass"),_xlfn.MAXIFS(nrSK_Att,nrSK_PID,$D375,nrSK_Cat,$E375,nrSK_Res,"Fail"))),"(superseded)",IF(OR($J375="",$J375="Pending"),"Pending",IF($J375="Pass","Qualified",IF(AND($J375="Fail",$N375&gt;=$F375),"FAILED OUT","Needs Remediation")))))</f>
        <v/>
      </c>
      <c r="P375" s="17">
        <f>IF($C375="","",IF($O375="FAILED OUT","Yes","No"))</f>
        <v/>
      </c>
      <c r="Q375" s="16" t="n"/>
      <c r="R375" s="16" t="n"/>
      <c r="S375" s="17">
        <f>IF($C375="","",IF(AND($K375&lt;&gt;"",NOT(ISNUMBER($K375))),"SCORE NOT A NUMBER",IF(AND(ISNUMBER($K375),OR($K375&lt;0,$K375&gt;100)),"SCORE OUT OF RANGE - this score counts toward nothing",IF(AND($G375="Score",$K375="",$J375&lt;&gt;"",$J375&lt;&gt;"Pending"),"RESULT WITHOUT A SCORE",IF(AND($G375="Pass/Fail",$K375&lt;&gt;""),"SCORE ON A PASS-FAIL CATEGORY - it is ignored",IF(AND($E375="Firearms",$J375&lt;&gt;"",$J375&lt;&gt;"Pending",$R375=""),"FIREARMS ROW WITH NO COURSE OF FIRE","OK"))))))</f>
        <v/>
      </c>
    </row>
    <row r="376">
      <c r="B376" s="17">
        <f>IF($C376="","",$D376&amp;"-"&amp;$E376&amp;"-"&amp;$I376)</f>
        <v/>
      </c>
      <c r="C376" s="16" t="n"/>
      <c r="D376" s="17">
        <f>IF($C376="","",IFERROR(INDEX(rngCadetPIDs,MATCH($C376,rngCadetNames,0)),"?"))</f>
        <v/>
      </c>
      <c r="E376" s="16" t="n"/>
      <c r="F376" s="17">
        <f>IF($E376="","",IFERROR(INDEX(rngSM_max,MATCH($E376,rngSM_cat,0)),""))</f>
        <v/>
      </c>
      <c r="G376" s="17">
        <f>IF($E376="","",IFERROR(INDEX(rngSM_mode,MATCH($E376,rngSM_cat,0)),""))</f>
        <v/>
      </c>
      <c r="H376" s="17">
        <f>IF($E376="","",IFERROR(INDEX(rngSM_pass,MATCH($E376,rngSM_cat,0)),""))</f>
        <v/>
      </c>
      <c r="I376" s="16" t="n"/>
      <c r="J376" s="16" t="n"/>
      <c r="K376" s="16" t="n"/>
      <c r="L376" s="18" t="n"/>
      <c r="M376" s="16" t="n"/>
      <c r="N376" s="17">
        <f>IF($C376="","",MAX(_xlfn.MAXIFS(nrSK_Att,nrSK_PID,$D376,nrSK_Cat,$E376,nrSK_Res,"Pass"),_xlfn.MAXIFS(nrSK_Att,nrSK_PID,$D376,nrSK_Cat,$E376,nrSK_Res,"Fail")))</f>
        <v/>
      </c>
      <c r="O376" s="17">
        <f>IF($C376="","",IF(AND(MAX(_xlfn.MAXIFS(nrSK_Att,nrSK_PID,$D376,nrSK_Cat,$E376,nrSK_Res,"Pass"),_xlfn.MAXIFS(nrSK_Att,nrSK_PID,$D376,nrSK_Cat,$E376,nrSK_Res,"Fail"))&gt;0,N($I376)&lt;MAX(_xlfn.MAXIFS(nrSK_Att,nrSK_PID,$D376,nrSK_Cat,$E376,nrSK_Res,"Pass"),_xlfn.MAXIFS(nrSK_Att,nrSK_PID,$D376,nrSK_Cat,$E376,nrSK_Res,"Fail"))),"(superseded)",IF(OR($J376="",$J376="Pending"),"Pending",IF($J376="Pass","Qualified",IF(AND($J376="Fail",$N376&gt;=$F376),"FAILED OUT","Needs Remediation")))))</f>
        <v/>
      </c>
      <c r="P376" s="17">
        <f>IF($C376="","",IF($O376="FAILED OUT","Yes","No"))</f>
        <v/>
      </c>
      <c r="Q376" s="16" t="n"/>
      <c r="R376" s="16" t="n"/>
      <c r="S376" s="17">
        <f>IF($C376="","",IF(AND($K376&lt;&gt;"",NOT(ISNUMBER($K376))),"SCORE NOT A NUMBER",IF(AND(ISNUMBER($K376),OR($K376&lt;0,$K376&gt;100)),"SCORE OUT OF RANGE - this score counts toward nothing",IF(AND($G376="Score",$K376="",$J376&lt;&gt;"",$J376&lt;&gt;"Pending"),"RESULT WITHOUT A SCORE",IF(AND($G376="Pass/Fail",$K376&lt;&gt;""),"SCORE ON A PASS-FAIL CATEGORY - it is ignored",IF(AND($E376="Firearms",$J376&lt;&gt;"",$J376&lt;&gt;"Pending",$R376=""),"FIREARMS ROW WITH NO COURSE OF FIRE","OK"))))))</f>
        <v/>
      </c>
    </row>
    <row r="377">
      <c r="B377" s="17">
        <f>IF($C377="","",$D377&amp;"-"&amp;$E377&amp;"-"&amp;$I377)</f>
        <v/>
      </c>
      <c r="C377" s="16" t="n"/>
      <c r="D377" s="17">
        <f>IF($C377="","",IFERROR(INDEX(rngCadetPIDs,MATCH($C377,rngCadetNames,0)),"?"))</f>
        <v/>
      </c>
      <c r="E377" s="16" t="n"/>
      <c r="F377" s="17">
        <f>IF($E377="","",IFERROR(INDEX(rngSM_max,MATCH($E377,rngSM_cat,0)),""))</f>
        <v/>
      </c>
      <c r="G377" s="17">
        <f>IF($E377="","",IFERROR(INDEX(rngSM_mode,MATCH($E377,rngSM_cat,0)),""))</f>
        <v/>
      </c>
      <c r="H377" s="17">
        <f>IF($E377="","",IFERROR(INDEX(rngSM_pass,MATCH($E377,rngSM_cat,0)),""))</f>
        <v/>
      </c>
      <c r="I377" s="16" t="n"/>
      <c r="J377" s="16" t="n"/>
      <c r="K377" s="16" t="n"/>
      <c r="L377" s="18" t="n"/>
      <c r="M377" s="16" t="n"/>
      <c r="N377" s="17">
        <f>IF($C377="","",MAX(_xlfn.MAXIFS(nrSK_Att,nrSK_PID,$D377,nrSK_Cat,$E377,nrSK_Res,"Pass"),_xlfn.MAXIFS(nrSK_Att,nrSK_PID,$D377,nrSK_Cat,$E377,nrSK_Res,"Fail")))</f>
        <v/>
      </c>
      <c r="O377" s="17">
        <f>IF($C377="","",IF(AND(MAX(_xlfn.MAXIFS(nrSK_Att,nrSK_PID,$D377,nrSK_Cat,$E377,nrSK_Res,"Pass"),_xlfn.MAXIFS(nrSK_Att,nrSK_PID,$D377,nrSK_Cat,$E377,nrSK_Res,"Fail"))&gt;0,N($I377)&lt;MAX(_xlfn.MAXIFS(nrSK_Att,nrSK_PID,$D377,nrSK_Cat,$E377,nrSK_Res,"Pass"),_xlfn.MAXIFS(nrSK_Att,nrSK_PID,$D377,nrSK_Cat,$E377,nrSK_Res,"Fail"))),"(superseded)",IF(OR($J377="",$J377="Pending"),"Pending",IF($J377="Pass","Qualified",IF(AND($J377="Fail",$N377&gt;=$F377),"FAILED OUT","Needs Remediation")))))</f>
        <v/>
      </c>
      <c r="P377" s="17">
        <f>IF($C377="","",IF($O377="FAILED OUT","Yes","No"))</f>
        <v/>
      </c>
      <c r="Q377" s="16" t="n"/>
      <c r="R377" s="16" t="n"/>
      <c r="S377" s="17">
        <f>IF($C377="","",IF(AND($K377&lt;&gt;"",NOT(ISNUMBER($K377))),"SCORE NOT A NUMBER",IF(AND(ISNUMBER($K377),OR($K377&lt;0,$K377&gt;100)),"SCORE OUT OF RANGE - this score counts toward nothing",IF(AND($G377="Score",$K377="",$J377&lt;&gt;"",$J377&lt;&gt;"Pending"),"RESULT WITHOUT A SCORE",IF(AND($G377="Pass/Fail",$K377&lt;&gt;""),"SCORE ON A PASS-FAIL CATEGORY - it is ignored",IF(AND($E377="Firearms",$J377&lt;&gt;"",$J377&lt;&gt;"Pending",$R377=""),"FIREARMS ROW WITH NO COURSE OF FIRE","OK"))))))</f>
        <v/>
      </c>
    </row>
    <row r="378">
      <c r="B378" s="17">
        <f>IF($C378="","",$D378&amp;"-"&amp;$E378&amp;"-"&amp;$I378)</f>
        <v/>
      </c>
      <c r="C378" s="16" t="n"/>
      <c r="D378" s="17">
        <f>IF($C378="","",IFERROR(INDEX(rngCadetPIDs,MATCH($C378,rngCadetNames,0)),"?"))</f>
        <v/>
      </c>
      <c r="E378" s="16" t="n"/>
      <c r="F378" s="17">
        <f>IF($E378="","",IFERROR(INDEX(rngSM_max,MATCH($E378,rngSM_cat,0)),""))</f>
        <v/>
      </c>
      <c r="G378" s="17">
        <f>IF($E378="","",IFERROR(INDEX(rngSM_mode,MATCH($E378,rngSM_cat,0)),""))</f>
        <v/>
      </c>
      <c r="H378" s="17">
        <f>IF($E378="","",IFERROR(INDEX(rngSM_pass,MATCH($E378,rngSM_cat,0)),""))</f>
        <v/>
      </c>
      <c r="I378" s="16" t="n"/>
      <c r="J378" s="16" t="n"/>
      <c r="K378" s="16" t="n"/>
      <c r="L378" s="18" t="n"/>
      <c r="M378" s="16" t="n"/>
      <c r="N378" s="17">
        <f>IF($C378="","",MAX(_xlfn.MAXIFS(nrSK_Att,nrSK_PID,$D378,nrSK_Cat,$E378,nrSK_Res,"Pass"),_xlfn.MAXIFS(nrSK_Att,nrSK_PID,$D378,nrSK_Cat,$E378,nrSK_Res,"Fail")))</f>
        <v/>
      </c>
      <c r="O378" s="17">
        <f>IF($C378="","",IF(AND(MAX(_xlfn.MAXIFS(nrSK_Att,nrSK_PID,$D378,nrSK_Cat,$E378,nrSK_Res,"Pass"),_xlfn.MAXIFS(nrSK_Att,nrSK_PID,$D378,nrSK_Cat,$E378,nrSK_Res,"Fail"))&gt;0,N($I378)&lt;MAX(_xlfn.MAXIFS(nrSK_Att,nrSK_PID,$D378,nrSK_Cat,$E378,nrSK_Res,"Pass"),_xlfn.MAXIFS(nrSK_Att,nrSK_PID,$D378,nrSK_Cat,$E378,nrSK_Res,"Fail"))),"(superseded)",IF(OR($J378="",$J378="Pending"),"Pending",IF($J378="Pass","Qualified",IF(AND($J378="Fail",$N378&gt;=$F378),"FAILED OUT","Needs Remediation")))))</f>
        <v/>
      </c>
      <c r="P378" s="17">
        <f>IF($C378="","",IF($O378="FAILED OUT","Yes","No"))</f>
        <v/>
      </c>
      <c r="Q378" s="16" t="n"/>
      <c r="R378" s="16" t="n"/>
      <c r="S378" s="17">
        <f>IF($C378="","",IF(AND($K378&lt;&gt;"",NOT(ISNUMBER($K378))),"SCORE NOT A NUMBER",IF(AND(ISNUMBER($K378),OR($K378&lt;0,$K378&gt;100)),"SCORE OUT OF RANGE - this score counts toward nothing",IF(AND($G378="Score",$K378="",$J378&lt;&gt;"",$J378&lt;&gt;"Pending"),"RESULT WITHOUT A SCORE",IF(AND($G378="Pass/Fail",$K378&lt;&gt;""),"SCORE ON A PASS-FAIL CATEGORY - it is ignored",IF(AND($E378="Firearms",$J378&lt;&gt;"",$J378&lt;&gt;"Pending",$R378=""),"FIREARMS ROW WITH NO COURSE OF FIRE","OK"))))))</f>
        <v/>
      </c>
    </row>
    <row r="379">
      <c r="B379" s="17">
        <f>IF($C379="","",$D379&amp;"-"&amp;$E379&amp;"-"&amp;$I379)</f>
        <v/>
      </c>
      <c r="C379" s="16" t="n"/>
      <c r="D379" s="17">
        <f>IF($C379="","",IFERROR(INDEX(rngCadetPIDs,MATCH($C379,rngCadetNames,0)),"?"))</f>
        <v/>
      </c>
      <c r="E379" s="16" t="n"/>
      <c r="F379" s="17">
        <f>IF($E379="","",IFERROR(INDEX(rngSM_max,MATCH($E379,rngSM_cat,0)),""))</f>
        <v/>
      </c>
      <c r="G379" s="17">
        <f>IF($E379="","",IFERROR(INDEX(rngSM_mode,MATCH($E379,rngSM_cat,0)),""))</f>
        <v/>
      </c>
      <c r="H379" s="17">
        <f>IF($E379="","",IFERROR(INDEX(rngSM_pass,MATCH($E379,rngSM_cat,0)),""))</f>
        <v/>
      </c>
      <c r="I379" s="16" t="n"/>
      <c r="J379" s="16" t="n"/>
      <c r="K379" s="16" t="n"/>
      <c r="L379" s="18" t="n"/>
      <c r="M379" s="16" t="n"/>
      <c r="N379" s="17">
        <f>IF($C379="","",MAX(_xlfn.MAXIFS(nrSK_Att,nrSK_PID,$D379,nrSK_Cat,$E379,nrSK_Res,"Pass"),_xlfn.MAXIFS(nrSK_Att,nrSK_PID,$D379,nrSK_Cat,$E379,nrSK_Res,"Fail")))</f>
        <v/>
      </c>
      <c r="O379" s="17">
        <f>IF($C379="","",IF(AND(MAX(_xlfn.MAXIFS(nrSK_Att,nrSK_PID,$D379,nrSK_Cat,$E379,nrSK_Res,"Pass"),_xlfn.MAXIFS(nrSK_Att,nrSK_PID,$D379,nrSK_Cat,$E379,nrSK_Res,"Fail"))&gt;0,N($I379)&lt;MAX(_xlfn.MAXIFS(nrSK_Att,nrSK_PID,$D379,nrSK_Cat,$E379,nrSK_Res,"Pass"),_xlfn.MAXIFS(nrSK_Att,nrSK_PID,$D379,nrSK_Cat,$E379,nrSK_Res,"Fail"))),"(superseded)",IF(OR($J379="",$J379="Pending"),"Pending",IF($J379="Pass","Qualified",IF(AND($J379="Fail",$N379&gt;=$F379),"FAILED OUT","Needs Remediation")))))</f>
        <v/>
      </c>
      <c r="P379" s="17">
        <f>IF($C379="","",IF($O379="FAILED OUT","Yes","No"))</f>
        <v/>
      </c>
      <c r="Q379" s="16" t="n"/>
      <c r="R379" s="16" t="n"/>
      <c r="S379" s="17">
        <f>IF($C379="","",IF(AND($K379&lt;&gt;"",NOT(ISNUMBER($K379))),"SCORE NOT A NUMBER",IF(AND(ISNUMBER($K379),OR($K379&lt;0,$K379&gt;100)),"SCORE OUT OF RANGE - this score counts toward nothing",IF(AND($G379="Score",$K379="",$J379&lt;&gt;"",$J379&lt;&gt;"Pending"),"RESULT WITHOUT A SCORE",IF(AND($G379="Pass/Fail",$K379&lt;&gt;""),"SCORE ON A PASS-FAIL CATEGORY - it is ignored",IF(AND($E379="Firearms",$J379&lt;&gt;"",$J379&lt;&gt;"Pending",$R379=""),"FIREARMS ROW WITH NO COURSE OF FIRE","OK"))))))</f>
        <v/>
      </c>
    </row>
    <row r="380">
      <c r="B380" s="17">
        <f>IF($C380="","",$D380&amp;"-"&amp;$E380&amp;"-"&amp;$I380)</f>
        <v/>
      </c>
      <c r="C380" s="16" t="n"/>
      <c r="D380" s="17">
        <f>IF($C380="","",IFERROR(INDEX(rngCadetPIDs,MATCH($C380,rngCadetNames,0)),"?"))</f>
        <v/>
      </c>
      <c r="E380" s="16" t="n"/>
      <c r="F380" s="17">
        <f>IF($E380="","",IFERROR(INDEX(rngSM_max,MATCH($E380,rngSM_cat,0)),""))</f>
        <v/>
      </c>
      <c r="G380" s="17">
        <f>IF($E380="","",IFERROR(INDEX(rngSM_mode,MATCH($E380,rngSM_cat,0)),""))</f>
        <v/>
      </c>
      <c r="H380" s="17">
        <f>IF($E380="","",IFERROR(INDEX(rngSM_pass,MATCH($E380,rngSM_cat,0)),""))</f>
        <v/>
      </c>
      <c r="I380" s="16" t="n"/>
      <c r="J380" s="16" t="n"/>
      <c r="K380" s="16" t="n"/>
      <c r="L380" s="18" t="n"/>
      <c r="M380" s="16" t="n"/>
      <c r="N380" s="17">
        <f>IF($C380="","",MAX(_xlfn.MAXIFS(nrSK_Att,nrSK_PID,$D380,nrSK_Cat,$E380,nrSK_Res,"Pass"),_xlfn.MAXIFS(nrSK_Att,nrSK_PID,$D380,nrSK_Cat,$E380,nrSK_Res,"Fail")))</f>
        <v/>
      </c>
      <c r="O380" s="17">
        <f>IF($C380="","",IF(AND(MAX(_xlfn.MAXIFS(nrSK_Att,nrSK_PID,$D380,nrSK_Cat,$E380,nrSK_Res,"Pass"),_xlfn.MAXIFS(nrSK_Att,nrSK_PID,$D380,nrSK_Cat,$E380,nrSK_Res,"Fail"))&gt;0,N($I380)&lt;MAX(_xlfn.MAXIFS(nrSK_Att,nrSK_PID,$D380,nrSK_Cat,$E380,nrSK_Res,"Pass"),_xlfn.MAXIFS(nrSK_Att,nrSK_PID,$D380,nrSK_Cat,$E380,nrSK_Res,"Fail"))),"(superseded)",IF(OR($J380="",$J380="Pending"),"Pending",IF($J380="Pass","Qualified",IF(AND($J380="Fail",$N380&gt;=$F380),"FAILED OUT","Needs Remediation")))))</f>
        <v/>
      </c>
      <c r="P380" s="17">
        <f>IF($C380="","",IF($O380="FAILED OUT","Yes","No"))</f>
        <v/>
      </c>
      <c r="Q380" s="16" t="n"/>
      <c r="R380" s="16" t="n"/>
      <c r="S380" s="17">
        <f>IF($C380="","",IF(AND($K380&lt;&gt;"",NOT(ISNUMBER($K380))),"SCORE NOT A NUMBER",IF(AND(ISNUMBER($K380),OR($K380&lt;0,$K380&gt;100)),"SCORE OUT OF RANGE - this score counts toward nothing",IF(AND($G380="Score",$K380="",$J380&lt;&gt;"",$J380&lt;&gt;"Pending"),"RESULT WITHOUT A SCORE",IF(AND($G380="Pass/Fail",$K380&lt;&gt;""),"SCORE ON A PASS-FAIL CATEGORY - it is ignored",IF(AND($E380="Firearms",$J380&lt;&gt;"",$J380&lt;&gt;"Pending",$R380=""),"FIREARMS ROW WITH NO COURSE OF FIRE","OK"))))))</f>
        <v/>
      </c>
    </row>
    <row r="381">
      <c r="B381" s="17">
        <f>IF($C381="","",$D381&amp;"-"&amp;$E381&amp;"-"&amp;$I381)</f>
        <v/>
      </c>
      <c r="C381" s="16" t="n"/>
      <c r="D381" s="17">
        <f>IF($C381="","",IFERROR(INDEX(rngCadetPIDs,MATCH($C381,rngCadetNames,0)),"?"))</f>
        <v/>
      </c>
      <c r="E381" s="16" t="n"/>
      <c r="F381" s="17">
        <f>IF($E381="","",IFERROR(INDEX(rngSM_max,MATCH($E381,rngSM_cat,0)),""))</f>
        <v/>
      </c>
      <c r="G381" s="17">
        <f>IF($E381="","",IFERROR(INDEX(rngSM_mode,MATCH($E381,rngSM_cat,0)),""))</f>
        <v/>
      </c>
      <c r="H381" s="17">
        <f>IF($E381="","",IFERROR(INDEX(rngSM_pass,MATCH($E381,rngSM_cat,0)),""))</f>
        <v/>
      </c>
      <c r="I381" s="16" t="n"/>
      <c r="J381" s="16" t="n"/>
      <c r="K381" s="16" t="n"/>
      <c r="L381" s="18" t="n"/>
      <c r="M381" s="16" t="n"/>
      <c r="N381" s="17">
        <f>IF($C381="","",MAX(_xlfn.MAXIFS(nrSK_Att,nrSK_PID,$D381,nrSK_Cat,$E381,nrSK_Res,"Pass"),_xlfn.MAXIFS(nrSK_Att,nrSK_PID,$D381,nrSK_Cat,$E381,nrSK_Res,"Fail")))</f>
        <v/>
      </c>
      <c r="O381" s="17">
        <f>IF($C381="","",IF(AND(MAX(_xlfn.MAXIFS(nrSK_Att,nrSK_PID,$D381,nrSK_Cat,$E381,nrSK_Res,"Pass"),_xlfn.MAXIFS(nrSK_Att,nrSK_PID,$D381,nrSK_Cat,$E381,nrSK_Res,"Fail"))&gt;0,N($I381)&lt;MAX(_xlfn.MAXIFS(nrSK_Att,nrSK_PID,$D381,nrSK_Cat,$E381,nrSK_Res,"Pass"),_xlfn.MAXIFS(nrSK_Att,nrSK_PID,$D381,nrSK_Cat,$E381,nrSK_Res,"Fail"))),"(superseded)",IF(OR($J381="",$J381="Pending"),"Pending",IF($J381="Pass","Qualified",IF(AND($J381="Fail",$N381&gt;=$F381),"FAILED OUT","Needs Remediation")))))</f>
        <v/>
      </c>
      <c r="P381" s="17">
        <f>IF($C381="","",IF($O381="FAILED OUT","Yes","No"))</f>
        <v/>
      </c>
      <c r="Q381" s="16" t="n"/>
      <c r="R381" s="16" t="n"/>
      <c r="S381" s="17">
        <f>IF($C381="","",IF(AND($K381&lt;&gt;"",NOT(ISNUMBER($K381))),"SCORE NOT A NUMBER",IF(AND(ISNUMBER($K381),OR($K381&lt;0,$K381&gt;100)),"SCORE OUT OF RANGE - this score counts toward nothing",IF(AND($G381="Score",$K381="",$J381&lt;&gt;"",$J381&lt;&gt;"Pending"),"RESULT WITHOUT A SCORE",IF(AND($G381="Pass/Fail",$K381&lt;&gt;""),"SCORE ON A PASS-FAIL CATEGORY - it is ignored",IF(AND($E381="Firearms",$J381&lt;&gt;"",$J381&lt;&gt;"Pending",$R381=""),"FIREARMS ROW WITH NO COURSE OF FIRE","OK"))))))</f>
        <v/>
      </c>
    </row>
    <row r="382">
      <c r="B382" s="17">
        <f>IF($C382="","",$D382&amp;"-"&amp;$E382&amp;"-"&amp;$I382)</f>
        <v/>
      </c>
      <c r="C382" s="16" t="n"/>
      <c r="D382" s="17">
        <f>IF($C382="","",IFERROR(INDEX(rngCadetPIDs,MATCH($C382,rngCadetNames,0)),"?"))</f>
        <v/>
      </c>
      <c r="E382" s="16" t="n"/>
      <c r="F382" s="17">
        <f>IF($E382="","",IFERROR(INDEX(rngSM_max,MATCH($E382,rngSM_cat,0)),""))</f>
        <v/>
      </c>
      <c r="G382" s="17">
        <f>IF($E382="","",IFERROR(INDEX(rngSM_mode,MATCH($E382,rngSM_cat,0)),""))</f>
        <v/>
      </c>
      <c r="H382" s="17">
        <f>IF($E382="","",IFERROR(INDEX(rngSM_pass,MATCH($E382,rngSM_cat,0)),""))</f>
        <v/>
      </c>
      <c r="I382" s="16" t="n"/>
      <c r="J382" s="16" t="n"/>
      <c r="K382" s="16" t="n"/>
      <c r="L382" s="18" t="n"/>
      <c r="M382" s="16" t="n"/>
      <c r="N382" s="17">
        <f>IF($C382="","",MAX(_xlfn.MAXIFS(nrSK_Att,nrSK_PID,$D382,nrSK_Cat,$E382,nrSK_Res,"Pass"),_xlfn.MAXIFS(nrSK_Att,nrSK_PID,$D382,nrSK_Cat,$E382,nrSK_Res,"Fail")))</f>
        <v/>
      </c>
      <c r="O382" s="17">
        <f>IF($C382="","",IF(AND(MAX(_xlfn.MAXIFS(nrSK_Att,nrSK_PID,$D382,nrSK_Cat,$E382,nrSK_Res,"Pass"),_xlfn.MAXIFS(nrSK_Att,nrSK_PID,$D382,nrSK_Cat,$E382,nrSK_Res,"Fail"))&gt;0,N($I382)&lt;MAX(_xlfn.MAXIFS(nrSK_Att,nrSK_PID,$D382,nrSK_Cat,$E382,nrSK_Res,"Pass"),_xlfn.MAXIFS(nrSK_Att,nrSK_PID,$D382,nrSK_Cat,$E382,nrSK_Res,"Fail"))),"(superseded)",IF(OR($J382="",$J382="Pending"),"Pending",IF($J382="Pass","Qualified",IF(AND($J382="Fail",$N382&gt;=$F382),"FAILED OUT","Needs Remediation")))))</f>
        <v/>
      </c>
      <c r="P382" s="17">
        <f>IF($C382="","",IF($O382="FAILED OUT","Yes","No"))</f>
        <v/>
      </c>
      <c r="Q382" s="16" t="n"/>
      <c r="R382" s="16" t="n"/>
      <c r="S382" s="17">
        <f>IF($C382="","",IF(AND($K382&lt;&gt;"",NOT(ISNUMBER($K382))),"SCORE NOT A NUMBER",IF(AND(ISNUMBER($K382),OR($K382&lt;0,$K382&gt;100)),"SCORE OUT OF RANGE - this score counts toward nothing",IF(AND($G382="Score",$K382="",$J382&lt;&gt;"",$J382&lt;&gt;"Pending"),"RESULT WITHOUT A SCORE",IF(AND($G382="Pass/Fail",$K382&lt;&gt;""),"SCORE ON A PASS-FAIL CATEGORY - it is ignored",IF(AND($E382="Firearms",$J382&lt;&gt;"",$J382&lt;&gt;"Pending",$R382=""),"FIREARMS ROW WITH NO COURSE OF FIRE","OK"))))))</f>
        <v/>
      </c>
    </row>
    <row r="383">
      <c r="B383" s="17">
        <f>IF($C383="","",$D383&amp;"-"&amp;$E383&amp;"-"&amp;$I383)</f>
        <v/>
      </c>
      <c r="C383" s="16" t="n"/>
      <c r="D383" s="17">
        <f>IF($C383="","",IFERROR(INDEX(rngCadetPIDs,MATCH($C383,rngCadetNames,0)),"?"))</f>
        <v/>
      </c>
      <c r="E383" s="16" t="n"/>
      <c r="F383" s="17">
        <f>IF($E383="","",IFERROR(INDEX(rngSM_max,MATCH($E383,rngSM_cat,0)),""))</f>
        <v/>
      </c>
      <c r="G383" s="17">
        <f>IF($E383="","",IFERROR(INDEX(rngSM_mode,MATCH($E383,rngSM_cat,0)),""))</f>
        <v/>
      </c>
      <c r="H383" s="17">
        <f>IF($E383="","",IFERROR(INDEX(rngSM_pass,MATCH($E383,rngSM_cat,0)),""))</f>
        <v/>
      </c>
      <c r="I383" s="16" t="n"/>
      <c r="J383" s="16" t="n"/>
      <c r="K383" s="16" t="n"/>
      <c r="L383" s="18" t="n"/>
      <c r="M383" s="16" t="n"/>
      <c r="N383" s="17">
        <f>IF($C383="","",MAX(_xlfn.MAXIFS(nrSK_Att,nrSK_PID,$D383,nrSK_Cat,$E383,nrSK_Res,"Pass"),_xlfn.MAXIFS(nrSK_Att,nrSK_PID,$D383,nrSK_Cat,$E383,nrSK_Res,"Fail")))</f>
        <v/>
      </c>
      <c r="O383" s="17">
        <f>IF($C383="","",IF(AND(MAX(_xlfn.MAXIFS(nrSK_Att,nrSK_PID,$D383,nrSK_Cat,$E383,nrSK_Res,"Pass"),_xlfn.MAXIFS(nrSK_Att,nrSK_PID,$D383,nrSK_Cat,$E383,nrSK_Res,"Fail"))&gt;0,N($I383)&lt;MAX(_xlfn.MAXIFS(nrSK_Att,nrSK_PID,$D383,nrSK_Cat,$E383,nrSK_Res,"Pass"),_xlfn.MAXIFS(nrSK_Att,nrSK_PID,$D383,nrSK_Cat,$E383,nrSK_Res,"Fail"))),"(superseded)",IF(OR($J383="",$J383="Pending"),"Pending",IF($J383="Pass","Qualified",IF(AND($J383="Fail",$N383&gt;=$F383),"FAILED OUT","Needs Remediation")))))</f>
        <v/>
      </c>
      <c r="P383" s="17">
        <f>IF($C383="","",IF($O383="FAILED OUT","Yes","No"))</f>
        <v/>
      </c>
      <c r="Q383" s="16" t="n"/>
      <c r="R383" s="16" t="n"/>
      <c r="S383" s="17">
        <f>IF($C383="","",IF(AND($K383&lt;&gt;"",NOT(ISNUMBER($K383))),"SCORE NOT A NUMBER",IF(AND(ISNUMBER($K383),OR($K383&lt;0,$K383&gt;100)),"SCORE OUT OF RANGE - this score counts toward nothing",IF(AND($G383="Score",$K383="",$J383&lt;&gt;"",$J383&lt;&gt;"Pending"),"RESULT WITHOUT A SCORE",IF(AND($G383="Pass/Fail",$K383&lt;&gt;""),"SCORE ON A PASS-FAIL CATEGORY - it is ignored",IF(AND($E383="Firearms",$J383&lt;&gt;"",$J383&lt;&gt;"Pending",$R383=""),"FIREARMS ROW WITH NO COURSE OF FIRE","OK"))))))</f>
        <v/>
      </c>
    </row>
    <row r="384">
      <c r="B384" s="17">
        <f>IF($C384="","",$D384&amp;"-"&amp;$E384&amp;"-"&amp;$I384)</f>
        <v/>
      </c>
      <c r="C384" s="16" t="n"/>
      <c r="D384" s="17">
        <f>IF($C384="","",IFERROR(INDEX(rngCadetPIDs,MATCH($C384,rngCadetNames,0)),"?"))</f>
        <v/>
      </c>
      <c r="E384" s="16" t="n"/>
      <c r="F384" s="17">
        <f>IF($E384="","",IFERROR(INDEX(rngSM_max,MATCH($E384,rngSM_cat,0)),""))</f>
        <v/>
      </c>
      <c r="G384" s="17">
        <f>IF($E384="","",IFERROR(INDEX(rngSM_mode,MATCH($E384,rngSM_cat,0)),""))</f>
        <v/>
      </c>
      <c r="H384" s="17">
        <f>IF($E384="","",IFERROR(INDEX(rngSM_pass,MATCH($E384,rngSM_cat,0)),""))</f>
        <v/>
      </c>
      <c r="I384" s="16" t="n"/>
      <c r="J384" s="16" t="n"/>
      <c r="K384" s="16" t="n"/>
      <c r="L384" s="18" t="n"/>
      <c r="M384" s="16" t="n"/>
      <c r="N384" s="17">
        <f>IF($C384="","",MAX(_xlfn.MAXIFS(nrSK_Att,nrSK_PID,$D384,nrSK_Cat,$E384,nrSK_Res,"Pass"),_xlfn.MAXIFS(nrSK_Att,nrSK_PID,$D384,nrSK_Cat,$E384,nrSK_Res,"Fail")))</f>
        <v/>
      </c>
      <c r="O384" s="17">
        <f>IF($C384="","",IF(AND(MAX(_xlfn.MAXIFS(nrSK_Att,nrSK_PID,$D384,nrSK_Cat,$E384,nrSK_Res,"Pass"),_xlfn.MAXIFS(nrSK_Att,nrSK_PID,$D384,nrSK_Cat,$E384,nrSK_Res,"Fail"))&gt;0,N($I384)&lt;MAX(_xlfn.MAXIFS(nrSK_Att,nrSK_PID,$D384,nrSK_Cat,$E384,nrSK_Res,"Pass"),_xlfn.MAXIFS(nrSK_Att,nrSK_PID,$D384,nrSK_Cat,$E384,nrSK_Res,"Fail"))),"(superseded)",IF(OR($J384="",$J384="Pending"),"Pending",IF($J384="Pass","Qualified",IF(AND($J384="Fail",$N384&gt;=$F384),"FAILED OUT","Needs Remediation")))))</f>
        <v/>
      </c>
      <c r="P384" s="17">
        <f>IF($C384="","",IF($O384="FAILED OUT","Yes","No"))</f>
        <v/>
      </c>
      <c r="Q384" s="16" t="n"/>
      <c r="R384" s="16" t="n"/>
      <c r="S384" s="17">
        <f>IF($C384="","",IF(AND($K384&lt;&gt;"",NOT(ISNUMBER($K384))),"SCORE NOT A NUMBER",IF(AND(ISNUMBER($K384),OR($K384&lt;0,$K384&gt;100)),"SCORE OUT OF RANGE - this score counts toward nothing",IF(AND($G384="Score",$K384="",$J384&lt;&gt;"",$J384&lt;&gt;"Pending"),"RESULT WITHOUT A SCORE",IF(AND($G384="Pass/Fail",$K384&lt;&gt;""),"SCORE ON A PASS-FAIL CATEGORY - it is ignored",IF(AND($E384="Firearms",$J384&lt;&gt;"",$J384&lt;&gt;"Pending",$R384=""),"FIREARMS ROW WITH NO COURSE OF FIRE","OK"))))))</f>
        <v/>
      </c>
    </row>
    <row r="385">
      <c r="B385" s="17">
        <f>IF($C385="","",$D385&amp;"-"&amp;$E385&amp;"-"&amp;$I385)</f>
        <v/>
      </c>
      <c r="C385" s="16" t="n"/>
      <c r="D385" s="17">
        <f>IF($C385="","",IFERROR(INDEX(rngCadetPIDs,MATCH($C385,rngCadetNames,0)),"?"))</f>
        <v/>
      </c>
      <c r="E385" s="16" t="n"/>
      <c r="F385" s="17">
        <f>IF($E385="","",IFERROR(INDEX(rngSM_max,MATCH($E385,rngSM_cat,0)),""))</f>
        <v/>
      </c>
      <c r="G385" s="17">
        <f>IF($E385="","",IFERROR(INDEX(rngSM_mode,MATCH($E385,rngSM_cat,0)),""))</f>
        <v/>
      </c>
      <c r="H385" s="17">
        <f>IF($E385="","",IFERROR(INDEX(rngSM_pass,MATCH($E385,rngSM_cat,0)),""))</f>
        <v/>
      </c>
      <c r="I385" s="16" t="n"/>
      <c r="J385" s="16" t="n"/>
      <c r="K385" s="16" t="n"/>
      <c r="L385" s="18" t="n"/>
      <c r="M385" s="16" t="n"/>
      <c r="N385" s="17">
        <f>IF($C385="","",MAX(_xlfn.MAXIFS(nrSK_Att,nrSK_PID,$D385,nrSK_Cat,$E385,nrSK_Res,"Pass"),_xlfn.MAXIFS(nrSK_Att,nrSK_PID,$D385,nrSK_Cat,$E385,nrSK_Res,"Fail")))</f>
        <v/>
      </c>
      <c r="O385" s="17">
        <f>IF($C385="","",IF(AND(MAX(_xlfn.MAXIFS(nrSK_Att,nrSK_PID,$D385,nrSK_Cat,$E385,nrSK_Res,"Pass"),_xlfn.MAXIFS(nrSK_Att,nrSK_PID,$D385,nrSK_Cat,$E385,nrSK_Res,"Fail"))&gt;0,N($I385)&lt;MAX(_xlfn.MAXIFS(nrSK_Att,nrSK_PID,$D385,nrSK_Cat,$E385,nrSK_Res,"Pass"),_xlfn.MAXIFS(nrSK_Att,nrSK_PID,$D385,nrSK_Cat,$E385,nrSK_Res,"Fail"))),"(superseded)",IF(OR($J385="",$J385="Pending"),"Pending",IF($J385="Pass","Qualified",IF(AND($J385="Fail",$N385&gt;=$F385),"FAILED OUT","Needs Remediation")))))</f>
        <v/>
      </c>
      <c r="P385" s="17">
        <f>IF($C385="","",IF($O385="FAILED OUT","Yes","No"))</f>
        <v/>
      </c>
      <c r="Q385" s="16" t="n"/>
      <c r="R385" s="16" t="n"/>
      <c r="S385" s="17">
        <f>IF($C385="","",IF(AND($K385&lt;&gt;"",NOT(ISNUMBER($K385))),"SCORE NOT A NUMBER",IF(AND(ISNUMBER($K385),OR($K385&lt;0,$K385&gt;100)),"SCORE OUT OF RANGE - this score counts toward nothing",IF(AND($G385="Score",$K385="",$J385&lt;&gt;"",$J385&lt;&gt;"Pending"),"RESULT WITHOUT A SCORE",IF(AND($G385="Pass/Fail",$K385&lt;&gt;""),"SCORE ON A PASS-FAIL CATEGORY - it is ignored",IF(AND($E385="Firearms",$J385&lt;&gt;"",$J385&lt;&gt;"Pending",$R385=""),"FIREARMS ROW WITH NO COURSE OF FIRE","OK"))))))</f>
        <v/>
      </c>
    </row>
    <row r="386">
      <c r="B386" s="17">
        <f>IF($C386="","",$D386&amp;"-"&amp;$E386&amp;"-"&amp;$I386)</f>
        <v/>
      </c>
      <c r="C386" s="16" t="n"/>
      <c r="D386" s="17">
        <f>IF($C386="","",IFERROR(INDEX(rngCadetPIDs,MATCH($C386,rngCadetNames,0)),"?"))</f>
        <v/>
      </c>
      <c r="E386" s="16" t="n"/>
      <c r="F386" s="17">
        <f>IF($E386="","",IFERROR(INDEX(rngSM_max,MATCH($E386,rngSM_cat,0)),""))</f>
        <v/>
      </c>
      <c r="G386" s="17">
        <f>IF($E386="","",IFERROR(INDEX(rngSM_mode,MATCH($E386,rngSM_cat,0)),""))</f>
        <v/>
      </c>
      <c r="H386" s="17">
        <f>IF($E386="","",IFERROR(INDEX(rngSM_pass,MATCH($E386,rngSM_cat,0)),""))</f>
        <v/>
      </c>
      <c r="I386" s="16" t="n"/>
      <c r="J386" s="16" t="n"/>
      <c r="K386" s="16" t="n"/>
      <c r="L386" s="18" t="n"/>
      <c r="M386" s="16" t="n"/>
      <c r="N386" s="17">
        <f>IF($C386="","",MAX(_xlfn.MAXIFS(nrSK_Att,nrSK_PID,$D386,nrSK_Cat,$E386,nrSK_Res,"Pass"),_xlfn.MAXIFS(nrSK_Att,nrSK_PID,$D386,nrSK_Cat,$E386,nrSK_Res,"Fail")))</f>
        <v/>
      </c>
      <c r="O386" s="17">
        <f>IF($C386="","",IF(AND(MAX(_xlfn.MAXIFS(nrSK_Att,nrSK_PID,$D386,nrSK_Cat,$E386,nrSK_Res,"Pass"),_xlfn.MAXIFS(nrSK_Att,nrSK_PID,$D386,nrSK_Cat,$E386,nrSK_Res,"Fail"))&gt;0,N($I386)&lt;MAX(_xlfn.MAXIFS(nrSK_Att,nrSK_PID,$D386,nrSK_Cat,$E386,nrSK_Res,"Pass"),_xlfn.MAXIFS(nrSK_Att,nrSK_PID,$D386,nrSK_Cat,$E386,nrSK_Res,"Fail"))),"(superseded)",IF(OR($J386="",$J386="Pending"),"Pending",IF($J386="Pass","Qualified",IF(AND($J386="Fail",$N386&gt;=$F386),"FAILED OUT","Needs Remediation")))))</f>
        <v/>
      </c>
      <c r="P386" s="17">
        <f>IF($C386="","",IF($O386="FAILED OUT","Yes","No"))</f>
        <v/>
      </c>
      <c r="Q386" s="16" t="n"/>
      <c r="R386" s="16" t="n"/>
      <c r="S386" s="17">
        <f>IF($C386="","",IF(AND($K386&lt;&gt;"",NOT(ISNUMBER($K386))),"SCORE NOT A NUMBER",IF(AND(ISNUMBER($K386),OR($K386&lt;0,$K386&gt;100)),"SCORE OUT OF RANGE - this score counts toward nothing",IF(AND($G386="Score",$K386="",$J386&lt;&gt;"",$J386&lt;&gt;"Pending"),"RESULT WITHOUT A SCORE",IF(AND($G386="Pass/Fail",$K386&lt;&gt;""),"SCORE ON A PASS-FAIL CATEGORY - it is ignored",IF(AND($E386="Firearms",$J386&lt;&gt;"",$J386&lt;&gt;"Pending",$R386=""),"FIREARMS ROW WITH NO COURSE OF FIRE","OK"))))))</f>
        <v/>
      </c>
    </row>
    <row r="387">
      <c r="B387" s="17">
        <f>IF($C387="","",$D387&amp;"-"&amp;$E387&amp;"-"&amp;$I387)</f>
        <v/>
      </c>
      <c r="C387" s="16" t="n"/>
      <c r="D387" s="17">
        <f>IF($C387="","",IFERROR(INDEX(rngCadetPIDs,MATCH($C387,rngCadetNames,0)),"?"))</f>
        <v/>
      </c>
      <c r="E387" s="16" t="n"/>
      <c r="F387" s="17">
        <f>IF($E387="","",IFERROR(INDEX(rngSM_max,MATCH($E387,rngSM_cat,0)),""))</f>
        <v/>
      </c>
      <c r="G387" s="17">
        <f>IF($E387="","",IFERROR(INDEX(rngSM_mode,MATCH($E387,rngSM_cat,0)),""))</f>
        <v/>
      </c>
      <c r="H387" s="17">
        <f>IF($E387="","",IFERROR(INDEX(rngSM_pass,MATCH($E387,rngSM_cat,0)),""))</f>
        <v/>
      </c>
      <c r="I387" s="16" t="n"/>
      <c r="J387" s="16" t="n"/>
      <c r="K387" s="16" t="n"/>
      <c r="L387" s="18" t="n"/>
      <c r="M387" s="16" t="n"/>
      <c r="N387" s="17">
        <f>IF($C387="","",MAX(_xlfn.MAXIFS(nrSK_Att,nrSK_PID,$D387,nrSK_Cat,$E387,nrSK_Res,"Pass"),_xlfn.MAXIFS(nrSK_Att,nrSK_PID,$D387,nrSK_Cat,$E387,nrSK_Res,"Fail")))</f>
        <v/>
      </c>
      <c r="O387" s="17">
        <f>IF($C387="","",IF(AND(MAX(_xlfn.MAXIFS(nrSK_Att,nrSK_PID,$D387,nrSK_Cat,$E387,nrSK_Res,"Pass"),_xlfn.MAXIFS(nrSK_Att,nrSK_PID,$D387,nrSK_Cat,$E387,nrSK_Res,"Fail"))&gt;0,N($I387)&lt;MAX(_xlfn.MAXIFS(nrSK_Att,nrSK_PID,$D387,nrSK_Cat,$E387,nrSK_Res,"Pass"),_xlfn.MAXIFS(nrSK_Att,nrSK_PID,$D387,nrSK_Cat,$E387,nrSK_Res,"Fail"))),"(superseded)",IF(OR($J387="",$J387="Pending"),"Pending",IF($J387="Pass","Qualified",IF(AND($J387="Fail",$N387&gt;=$F387),"FAILED OUT","Needs Remediation")))))</f>
        <v/>
      </c>
      <c r="P387" s="17">
        <f>IF($C387="","",IF($O387="FAILED OUT","Yes","No"))</f>
        <v/>
      </c>
      <c r="Q387" s="16" t="n"/>
      <c r="R387" s="16" t="n"/>
      <c r="S387" s="17">
        <f>IF($C387="","",IF(AND($K387&lt;&gt;"",NOT(ISNUMBER($K387))),"SCORE NOT A NUMBER",IF(AND(ISNUMBER($K387),OR($K387&lt;0,$K387&gt;100)),"SCORE OUT OF RANGE - this score counts toward nothing",IF(AND($G387="Score",$K387="",$J387&lt;&gt;"",$J387&lt;&gt;"Pending"),"RESULT WITHOUT A SCORE",IF(AND($G387="Pass/Fail",$K387&lt;&gt;""),"SCORE ON A PASS-FAIL CATEGORY - it is ignored",IF(AND($E387="Firearms",$J387&lt;&gt;"",$J387&lt;&gt;"Pending",$R387=""),"FIREARMS ROW WITH NO COURSE OF FIRE","OK"))))))</f>
        <v/>
      </c>
    </row>
    <row r="388">
      <c r="B388" s="17">
        <f>IF($C388="","",$D388&amp;"-"&amp;$E388&amp;"-"&amp;$I388)</f>
        <v/>
      </c>
      <c r="C388" s="16" t="n"/>
      <c r="D388" s="17">
        <f>IF($C388="","",IFERROR(INDEX(rngCadetPIDs,MATCH($C388,rngCadetNames,0)),"?"))</f>
        <v/>
      </c>
      <c r="E388" s="16" t="n"/>
      <c r="F388" s="17">
        <f>IF($E388="","",IFERROR(INDEX(rngSM_max,MATCH($E388,rngSM_cat,0)),""))</f>
        <v/>
      </c>
      <c r="G388" s="17">
        <f>IF($E388="","",IFERROR(INDEX(rngSM_mode,MATCH($E388,rngSM_cat,0)),""))</f>
        <v/>
      </c>
      <c r="H388" s="17">
        <f>IF($E388="","",IFERROR(INDEX(rngSM_pass,MATCH($E388,rngSM_cat,0)),""))</f>
        <v/>
      </c>
      <c r="I388" s="16" t="n"/>
      <c r="J388" s="16" t="n"/>
      <c r="K388" s="16" t="n"/>
      <c r="L388" s="18" t="n"/>
      <c r="M388" s="16" t="n"/>
      <c r="N388" s="17">
        <f>IF($C388="","",MAX(_xlfn.MAXIFS(nrSK_Att,nrSK_PID,$D388,nrSK_Cat,$E388,nrSK_Res,"Pass"),_xlfn.MAXIFS(nrSK_Att,nrSK_PID,$D388,nrSK_Cat,$E388,nrSK_Res,"Fail")))</f>
        <v/>
      </c>
      <c r="O388" s="17">
        <f>IF($C388="","",IF(AND(MAX(_xlfn.MAXIFS(nrSK_Att,nrSK_PID,$D388,nrSK_Cat,$E388,nrSK_Res,"Pass"),_xlfn.MAXIFS(nrSK_Att,nrSK_PID,$D388,nrSK_Cat,$E388,nrSK_Res,"Fail"))&gt;0,N($I388)&lt;MAX(_xlfn.MAXIFS(nrSK_Att,nrSK_PID,$D388,nrSK_Cat,$E388,nrSK_Res,"Pass"),_xlfn.MAXIFS(nrSK_Att,nrSK_PID,$D388,nrSK_Cat,$E388,nrSK_Res,"Fail"))),"(superseded)",IF(OR($J388="",$J388="Pending"),"Pending",IF($J388="Pass","Qualified",IF(AND($J388="Fail",$N388&gt;=$F388),"FAILED OUT","Needs Remediation")))))</f>
        <v/>
      </c>
      <c r="P388" s="17">
        <f>IF($C388="","",IF($O388="FAILED OUT","Yes","No"))</f>
        <v/>
      </c>
      <c r="Q388" s="16" t="n"/>
      <c r="R388" s="16" t="n"/>
      <c r="S388" s="17">
        <f>IF($C388="","",IF(AND($K388&lt;&gt;"",NOT(ISNUMBER($K388))),"SCORE NOT A NUMBER",IF(AND(ISNUMBER($K388),OR($K388&lt;0,$K388&gt;100)),"SCORE OUT OF RANGE - this score counts toward nothing",IF(AND($G388="Score",$K388="",$J388&lt;&gt;"",$J388&lt;&gt;"Pending"),"RESULT WITHOUT A SCORE",IF(AND($G388="Pass/Fail",$K388&lt;&gt;""),"SCORE ON A PASS-FAIL CATEGORY - it is ignored",IF(AND($E388="Firearms",$J388&lt;&gt;"",$J388&lt;&gt;"Pending",$R388=""),"FIREARMS ROW WITH NO COURSE OF FIRE","OK"))))))</f>
        <v/>
      </c>
    </row>
    <row r="389">
      <c r="B389" s="17">
        <f>IF($C389="","",$D389&amp;"-"&amp;$E389&amp;"-"&amp;$I389)</f>
        <v/>
      </c>
      <c r="C389" s="16" t="n"/>
      <c r="D389" s="17">
        <f>IF($C389="","",IFERROR(INDEX(rngCadetPIDs,MATCH($C389,rngCadetNames,0)),"?"))</f>
        <v/>
      </c>
      <c r="E389" s="16" t="n"/>
      <c r="F389" s="17">
        <f>IF($E389="","",IFERROR(INDEX(rngSM_max,MATCH($E389,rngSM_cat,0)),""))</f>
        <v/>
      </c>
      <c r="G389" s="17">
        <f>IF($E389="","",IFERROR(INDEX(rngSM_mode,MATCH($E389,rngSM_cat,0)),""))</f>
        <v/>
      </c>
      <c r="H389" s="17">
        <f>IF($E389="","",IFERROR(INDEX(rngSM_pass,MATCH($E389,rngSM_cat,0)),""))</f>
        <v/>
      </c>
      <c r="I389" s="16" t="n"/>
      <c r="J389" s="16" t="n"/>
      <c r="K389" s="16" t="n"/>
      <c r="L389" s="18" t="n"/>
      <c r="M389" s="16" t="n"/>
      <c r="N389" s="17">
        <f>IF($C389="","",MAX(_xlfn.MAXIFS(nrSK_Att,nrSK_PID,$D389,nrSK_Cat,$E389,nrSK_Res,"Pass"),_xlfn.MAXIFS(nrSK_Att,nrSK_PID,$D389,nrSK_Cat,$E389,nrSK_Res,"Fail")))</f>
        <v/>
      </c>
      <c r="O389" s="17">
        <f>IF($C389="","",IF(AND(MAX(_xlfn.MAXIFS(nrSK_Att,nrSK_PID,$D389,nrSK_Cat,$E389,nrSK_Res,"Pass"),_xlfn.MAXIFS(nrSK_Att,nrSK_PID,$D389,nrSK_Cat,$E389,nrSK_Res,"Fail"))&gt;0,N($I389)&lt;MAX(_xlfn.MAXIFS(nrSK_Att,nrSK_PID,$D389,nrSK_Cat,$E389,nrSK_Res,"Pass"),_xlfn.MAXIFS(nrSK_Att,nrSK_PID,$D389,nrSK_Cat,$E389,nrSK_Res,"Fail"))),"(superseded)",IF(OR($J389="",$J389="Pending"),"Pending",IF($J389="Pass","Qualified",IF(AND($J389="Fail",$N389&gt;=$F389),"FAILED OUT","Needs Remediation")))))</f>
        <v/>
      </c>
      <c r="P389" s="17">
        <f>IF($C389="","",IF($O389="FAILED OUT","Yes","No"))</f>
        <v/>
      </c>
      <c r="Q389" s="16" t="n"/>
      <c r="R389" s="16" t="n"/>
      <c r="S389" s="17">
        <f>IF($C389="","",IF(AND($K389&lt;&gt;"",NOT(ISNUMBER($K389))),"SCORE NOT A NUMBER",IF(AND(ISNUMBER($K389),OR($K389&lt;0,$K389&gt;100)),"SCORE OUT OF RANGE - this score counts toward nothing",IF(AND($G389="Score",$K389="",$J389&lt;&gt;"",$J389&lt;&gt;"Pending"),"RESULT WITHOUT A SCORE",IF(AND($G389="Pass/Fail",$K389&lt;&gt;""),"SCORE ON A PASS-FAIL CATEGORY - it is ignored",IF(AND($E389="Firearms",$J389&lt;&gt;"",$J389&lt;&gt;"Pending",$R389=""),"FIREARMS ROW WITH NO COURSE OF FIRE","OK"))))))</f>
        <v/>
      </c>
    </row>
    <row r="390">
      <c r="B390" s="17">
        <f>IF($C390="","",$D390&amp;"-"&amp;$E390&amp;"-"&amp;$I390)</f>
        <v/>
      </c>
      <c r="C390" s="16" t="n"/>
      <c r="D390" s="17">
        <f>IF($C390="","",IFERROR(INDEX(rngCadetPIDs,MATCH($C390,rngCadetNames,0)),"?"))</f>
        <v/>
      </c>
      <c r="E390" s="16" t="n"/>
      <c r="F390" s="17">
        <f>IF($E390="","",IFERROR(INDEX(rngSM_max,MATCH($E390,rngSM_cat,0)),""))</f>
        <v/>
      </c>
      <c r="G390" s="17">
        <f>IF($E390="","",IFERROR(INDEX(rngSM_mode,MATCH($E390,rngSM_cat,0)),""))</f>
        <v/>
      </c>
      <c r="H390" s="17">
        <f>IF($E390="","",IFERROR(INDEX(rngSM_pass,MATCH($E390,rngSM_cat,0)),""))</f>
        <v/>
      </c>
      <c r="I390" s="16" t="n"/>
      <c r="J390" s="16" t="n"/>
      <c r="K390" s="16" t="n"/>
      <c r="L390" s="18" t="n"/>
      <c r="M390" s="16" t="n"/>
      <c r="N390" s="17">
        <f>IF($C390="","",MAX(_xlfn.MAXIFS(nrSK_Att,nrSK_PID,$D390,nrSK_Cat,$E390,nrSK_Res,"Pass"),_xlfn.MAXIFS(nrSK_Att,nrSK_PID,$D390,nrSK_Cat,$E390,nrSK_Res,"Fail")))</f>
        <v/>
      </c>
      <c r="O390" s="17">
        <f>IF($C390="","",IF(AND(MAX(_xlfn.MAXIFS(nrSK_Att,nrSK_PID,$D390,nrSK_Cat,$E390,nrSK_Res,"Pass"),_xlfn.MAXIFS(nrSK_Att,nrSK_PID,$D390,nrSK_Cat,$E390,nrSK_Res,"Fail"))&gt;0,N($I390)&lt;MAX(_xlfn.MAXIFS(nrSK_Att,nrSK_PID,$D390,nrSK_Cat,$E390,nrSK_Res,"Pass"),_xlfn.MAXIFS(nrSK_Att,nrSK_PID,$D390,nrSK_Cat,$E390,nrSK_Res,"Fail"))),"(superseded)",IF(OR($J390="",$J390="Pending"),"Pending",IF($J390="Pass","Qualified",IF(AND($J390="Fail",$N390&gt;=$F390),"FAILED OUT","Needs Remediation")))))</f>
        <v/>
      </c>
      <c r="P390" s="17">
        <f>IF($C390="","",IF($O390="FAILED OUT","Yes","No"))</f>
        <v/>
      </c>
      <c r="Q390" s="16" t="n"/>
      <c r="R390" s="16" t="n"/>
      <c r="S390" s="17">
        <f>IF($C390="","",IF(AND($K390&lt;&gt;"",NOT(ISNUMBER($K390))),"SCORE NOT A NUMBER",IF(AND(ISNUMBER($K390),OR($K390&lt;0,$K390&gt;100)),"SCORE OUT OF RANGE - this score counts toward nothing",IF(AND($G390="Score",$K390="",$J390&lt;&gt;"",$J390&lt;&gt;"Pending"),"RESULT WITHOUT A SCORE",IF(AND($G390="Pass/Fail",$K390&lt;&gt;""),"SCORE ON A PASS-FAIL CATEGORY - it is ignored",IF(AND($E390="Firearms",$J390&lt;&gt;"",$J390&lt;&gt;"Pending",$R390=""),"FIREARMS ROW WITH NO COURSE OF FIRE","OK"))))))</f>
        <v/>
      </c>
    </row>
    <row r="391">
      <c r="B391" s="17">
        <f>IF($C391="","",$D391&amp;"-"&amp;$E391&amp;"-"&amp;$I391)</f>
        <v/>
      </c>
      <c r="C391" s="16" t="n"/>
      <c r="D391" s="17">
        <f>IF($C391="","",IFERROR(INDEX(rngCadetPIDs,MATCH($C391,rngCadetNames,0)),"?"))</f>
        <v/>
      </c>
      <c r="E391" s="16" t="n"/>
      <c r="F391" s="17">
        <f>IF($E391="","",IFERROR(INDEX(rngSM_max,MATCH($E391,rngSM_cat,0)),""))</f>
        <v/>
      </c>
      <c r="G391" s="17">
        <f>IF($E391="","",IFERROR(INDEX(rngSM_mode,MATCH($E391,rngSM_cat,0)),""))</f>
        <v/>
      </c>
      <c r="H391" s="17">
        <f>IF($E391="","",IFERROR(INDEX(rngSM_pass,MATCH($E391,rngSM_cat,0)),""))</f>
        <v/>
      </c>
      <c r="I391" s="16" t="n"/>
      <c r="J391" s="16" t="n"/>
      <c r="K391" s="16" t="n"/>
      <c r="L391" s="18" t="n"/>
      <c r="M391" s="16" t="n"/>
      <c r="N391" s="17">
        <f>IF($C391="","",MAX(_xlfn.MAXIFS(nrSK_Att,nrSK_PID,$D391,nrSK_Cat,$E391,nrSK_Res,"Pass"),_xlfn.MAXIFS(nrSK_Att,nrSK_PID,$D391,nrSK_Cat,$E391,nrSK_Res,"Fail")))</f>
        <v/>
      </c>
      <c r="O391" s="17">
        <f>IF($C391="","",IF(AND(MAX(_xlfn.MAXIFS(nrSK_Att,nrSK_PID,$D391,nrSK_Cat,$E391,nrSK_Res,"Pass"),_xlfn.MAXIFS(nrSK_Att,nrSK_PID,$D391,nrSK_Cat,$E391,nrSK_Res,"Fail"))&gt;0,N($I391)&lt;MAX(_xlfn.MAXIFS(nrSK_Att,nrSK_PID,$D391,nrSK_Cat,$E391,nrSK_Res,"Pass"),_xlfn.MAXIFS(nrSK_Att,nrSK_PID,$D391,nrSK_Cat,$E391,nrSK_Res,"Fail"))),"(superseded)",IF(OR($J391="",$J391="Pending"),"Pending",IF($J391="Pass","Qualified",IF(AND($J391="Fail",$N391&gt;=$F391),"FAILED OUT","Needs Remediation")))))</f>
        <v/>
      </c>
      <c r="P391" s="17">
        <f>IF($C391="","",IF($O391="FAILED OUT","Yes","No"))</f>
        <v/>
      </c>
      <c r="Q391" s="16" t="n"/>
      <c r="R391" s="16" t="n"/>
      <c r="S391" s="17">
        <f>IF($C391="","",IF(AND($K391&lt;&gt;"",NOT(ISNUMBER($K391))),"SCORE NOT A NUMBER",IF(AND(ISNUMBER($K391),OR($K391&lt;0,$K391&gt;100)),"SCORE OUT OF RANGE - this score counts toward nothing",IF(AND($G391="Score",$K391="",$J391&lt;&gt;"",$J391&lt;&gt;"Pending"),"RESULT WITHOUT A SCORE",IF(AND($G391="Pass/Fail",$K391&lt;&gt;""),"SCORE ON A PASS-FAIL CATEGORY - it is ignored",IF(AND($E391="Firearms",$J391&lt;&gt;"",$J391&lt;&gt;"Pending",$R391=""),"FIREARMS ROW WITH NO COURSE OF FIRE","OK"))))))</f>
        <v/>
      </c>
    </row>
    <row r="392">
      <c r="B392" s="17">
        <f>IF($C392="","",$D392&amp;"-"&amp;$E392&amp;"-"&amp;$I392)</f>
        <v/>
      </c>
      <c r="C392" s="16" t="n"/>
      <c r="D392" s="17">
        <f>IF($C392="","",IFERROR(INDEX(rngCadetPIDs,MATCH($C392,rngCadetNames,0)),"?"))</f>
        <v/>
      </c>
      <c r="E392" s="16" t="n"/>
      <c r="F392" s="17">
        <f>IF($E392="","",IFERROR(INDEX(rngSM_max,MATCH($E392,rngSM_cat,0)),""))</f>
        <v/>
      </c>
      <c r="G392" s="17">
        <f>IF($E392="","",IFERROR(INDEX(rngSM_mode,MATCH($E392,rngSM_cat,0)),""))</f>
        <v/>
      </c>
      <c r="H392" s="17">
        <f>IF($E392="","",IFERROR(INDEX(rngSM_pass,MATCH($E392,rngSM_cat,0)),""))</f>
        <v/>
      </c>
      <c r="I392" s="16" t="n"/>
      <c r="J392" s="16" t="n"/>
      <c r="K392" s="16" t="n"/>
      <c r="L392" s="18" t="n"/>
      <c r="M392" s="16" t="n"/>
      <c r="N392" s="17">
        <f>IF($C392="","",MAX(_xlfn.MAXIFS(nrSK_Att,nrSK_PID,$D392,nrSK_Cat,$E392,nrSK_Res,"Pass"),_xlfn.MAXIFS(nrSK_Att,nrSK_PID,$D392,nrSK_Cat,$E392,nrSK_Res,"Fail")))</f>
        <v/>
      </c>
      <c r="O392" s="17">
        <f>IF($C392="","",IF(AND(MAX(_xlfn.MAXIFS(nrSK_Att,nrSK_PID,$D392,nrSK_Cat,$E392,nrSK_Res,"Pass"),_xlfn.MAXIFS(nrSK_Att,nrSK_PID,$D392,nrSK_Cat,$E392,nrSK_Res,"Fail"))&gt;0,N($I392)&lt;MAX(_xlfn.MAXIFS(nrSK_Att,nrSK_PID,$D392,nrSK_Cat,$E392,nrSK_Res,"Pass"),_xlfn.MAXIFS(nrSK_Att,nrSK_PID,$D392,nrSK_Cat,$E392,nrSK_Res,"Fail"))),"(superseded)",IF(OR($J392="",$J392="Pending"),"Pending",IF($J392="Pass","Qualified",IF(AND($J392="Fail",$N392&gt;=$F392),"FAILED OUT","Needs Remediation")))))</f>
        <v/>
      </c>
      <c r="P392" s="17">
        <f>IF($C392="","",IF($O392="FAILED OUT","Yes","No"))</f>
        <v/>
      </c>
      <c r="Q392" s="16" t="n"/>
      <c r="R392" s="16" t="n"/>
      <c r="S392" s="17">
        <f>IF($C392="","",IF(AND($K392&lt;&gt;"",NOT(ISNUMBER($K392))),"SCORE NOT A NUMBER",IF(AND(ISNUMBER($K392),OR($K392&lt;0,$K392&gt;100)),"SCORE OUT OF RANGE - this score counts toward nothing",IF(AND($G392="Score",$K392="",$J392&lt;&gt;"",$J392&lt;&gt;"Pending"),"RESULT WITHOUT A SCORE",IF(AND($G392="Pass/Fail",$K392&lt;&gt;""),"SCORE ON A PASS-FAIL CATEGORY - it is ignored",IF(AND($E392="Firearms",$J392&lt;&gt;"",$J392&lt;&gt;"Pending",$R392=""),"FIREARMS ROW WITH NO COURSE OF FIRE","OK"))))))</f>
        <v/>
      </c>
    </row>
    <row r="393">
      <c r="B393" s="17">
        <f>IF($C393="","",$D393&amp;"-"&amp;$E393&amp;"-"&amp;$I393)</f>
        <v/>
      </c>
      <c r="C393" s="16" t="n"/>
      <c r="D393" s="17">
        <f>IF($C393="","",IFERROR(INDEX(rngCadetPIDs,MATCH($C393,rngCadetNames,0)),"?"))</f>
        <v/>
      </c>
      <c r="E393" s="16" t="n"/>
      <c r="F393" s="17">
        <f>IF($E393="","",IFERROR(INDEX(rngSM_max,MATCH($E393,rngSM_cat,0)),""))</f>
        <v/>
      </c>
      <c r="G393" s="17">
        <f>IF($E393="","",IFERROR(INDEX(rngSM_mode,MATCH($E393,rngSM_cat,0)),""))</f>
        <v/>
      </c>
      <c r="H393" s="17">
        <f>IF($E393="","",IFERROR(INDEX(rngSM_pass,MATCH($E393,rngSM_cat,0)),""))</f>
        <v/>
      </c>
      <c r="I393" s="16" t="n"/>
      <c r="J393" s="16" t="n"/>
      <c r="K393" s="16" t="n"/>
      <c r="L393" s="18" t="n"/>
      <c r="M393" s="16" t="n"/>
      <c r="N393" s="17">
        <f>IF($C393="","",MAX(_xlfn.MAXIFS(nrSK_Att,nrSK_PID,$D393,nrSK_Cat,$E393,nrSK_Res,"Pass"),_xlfn.MAXIFS(nrSK_Att,nrSK_PID,$D393,nrSK_Cat,$E393,nrSK_Res,"Fail")))</f>
        <v/>
      </c>
      <c r="O393" s="17">
        <f>IF($C393="","",IF(AND(MAX(_xlfn.MAXIFS(nrSK_Att,nrSK_PID,$D393,nrSK_Cat,$E393,nrSK_Res,"Pass"),_xlfn.MAXIFS(nrSK_Att,nrSK_PID,$D393,nrSK_Cat,$E393,nrSK_Res,"Fail"))&gt;0,N($I393)&lt;MAX(_xlfn.MAXIFS(nrSK_Att,nrSK_PID,$D393,nrSK_Cat,$E393,nrSK_Res,"Pass"),_xlfn.MAXIFS(nrSK_Att,nrSK_PID,$D393,nrSK_Cat,$E393,nrSK_Res,"Fail"))),"(superseded)",IF(OR($J393="",$J393="Pending"),"Pending",IF($J393="Pass","Qualified",IF(AND($J393="Fail",$N393&gt;=$F393),"FAILED OUT","Needs Remediation")))))</f>
        <v/>
      </c>
      <c r="P393" s="17">
        <f>IF($C393="","",IF($O393="FAILED OUT","Yes","No"))</f>
        <v/>
      </c>
      <c r="Q393" s="16" t="n"/>
      <c r="R393" s="16" t="n"/>
      <c r="S393" s="17">
        <f>IF($C393="","",IF(AND($K393&lt;&gt;"",NOT(ISNUMBER($K393))),"SCORE NOT A NUMBER",IF(AND(ISNUMBER($K393),OR($K393&lt;0,$K393&gt;100)),"SCORE OUT OF RANGE - this score counts toward nothing",IF(AND($G393="Score",$K393="",$J393&lt;&gt;"",$J393&lt;&gt;"Pending"),"RESULT WITHOUT A SCORE",IF(AND($G393="Pass/Fail",$K393&lt;&gt;""),"SCORE ON A PASS-FAIL CATEGORY - it is ignored",IF(AND($E393="Firearms",$J393&lt;&gt;"",$J393&lt;&gt;"Pending",$R393=""),"FIREARMS ROW WITH NO COURSE OF FIRE","OK"))))))</f>
        <v/>
      </c>
    </row>
    <row r="394">
      <c r="B394" s="17">
        <f>IF($C394="","",$D394&amp;"-"&amp;$E394&amp;"-"&amp;$I394)</f>
        <v/>
      </c>
      <c r="C394" s="16" t="n"/>
      <c r="D394" s="17">
        <f>IF($C394="","",IFERROR(INDEX(rngCadetPIDs,MATCH($C394,rngCadetNames,0)),"?"))</f>
        <v/>
      </c>
      <c r="E394" s="16" t="n"/>
      <c r="F394" s="17">
        <f>IF($E394="","",IFERROR(INDEX(rngSM_max,MATCH($E394,rngSM_cat,0)),""))</f>
        <v/>
      </c>
      <c r="G394" s="17">
        <f>IF($E394="","",IFERROR(INDEX(rngSM_mode,MATCH($E394,rngSM_cat,0)),""))</f>
        <v/>
      </c>
      <c r="H394" s="17">
        <f>IF($E394="","",IFERROR(INDEX(rngSM_pass,MATCH($E394,rngSM_cat,0)),""))</f>
        <v/>
      </c>
      <c r="I394" s="16" t="n"/>
      <c r="J394" s="16" t="n"/>
      <c r="K394" s="16" t="n"/>
      <c r="L394" s="18" t="n"/>
      <c r="M394" s="16" t="n"/>
      <c r="N394" s="17">
        <f>IF($C394="","",MAX(_xlfn.MAXIFS(nrSK_Att,nrSK_PID,$D394,nrSK_Cat,$E394,nrSK_Res,"Pass"),_xlfn.MAXIFS(nrSK_Att,nrSK_PID,$D394,nrSK_Cat,$E394,nrSK_Res,"Fail")))</f>
        <v/>
      </c>
      <c r="O394" s="17">
        <f>IF($C394="","",IF(AND(MAX(_xlfn.MAXIFS(nrSK_Att,nrSK_PID,$D394,nrSK_Cat,$E394,nrSK_Res,"Pass"),_xlfn.MAXIFS(nrSK_Att,nrSK_PID,$D394,nrSK_Cat,$E394,nrSK_Res,"Fail"))&gt;0,N($I394)&lt;MAX(_xlfn.MAXIFS(nrSK_Att,nrSK_PID,$D394,nrSK_Cat,$E394,nrSK_Res,"Pass"),_xlfn.MAXIFS(nrSK_Att,nrSK_PID,$D394,nrSK_Cat,$E394,nrSK_Res,"Fail"))),"(superseded)",IF(OR($J394="",$J394="Pending"),"Pending",IF($J394="Pass","Qualified",IF(AND($J394="Fail",$N394&gt;=$F394),"FAILED OUT","Needs Remediation")))))</f>
        <v/>
      </c>
      <c r="P394" s="17">
        <f>IF($C394="","",IF($O394="FAILED OUT","Yes","No"))</f>
        <v/>
      </c>
      <c r="Q394" s="16" t="n"/>
      <c r="R394" s="16" t="n"/>
      <c r="S394" s="17">
        <f>IF($C394="","",IF(AND($K394&lt;&gt;"",NOT(ISNUMBER($K394))),"SCORE NOT A NUMBER",IF(AND(ISNUMBER($K394),OR($K394&lt;0,$K394&gt;100)),"SCORE OUT OF RANGE - this score counts toward nothing",IF(AND($G394="Score",$K394="",$J394&lt;&gt;"",$J394&lt;&gt;"Pending"),"RESULT WITHOUT A SCORE",IF(AND($G394="Pass/Fail",$K394&lt;&gt;""),"SCORE ON A PASS-FAIL CATEGORY - it is ignored",IF(AND($E394="Firearms",$J394&lt;&gt;"",$J394&lt;&gt;"Pending",$R394=""),"FIREARMS ROW WITH NO COURSE OF FIRE","OK"))))))</f>
        <v/>
      </c>
    </row>
    <row r="395">
      <c r="B395" s="17">
        <f>IF($C395="","",$D395&amp;"-"&amp;$E395&amp;"-"&amp;$I395)</f>
        <v/>
      </c>
      <c r="C395" s="16" t="n"/>
      <c r="D395" s="17">
        <f>IF($C395="","",IFERROR(INDEX(rngCadetPIDs,MATCH($C395,rngCadetNames,0)),"?"))</f>
        <v/>
      </c>
      <c r="E395" s="16" t="n"/>
      <c r="F395" s="17">
        <f>IF($E395="","",IFERROR(INDEX(rngSM_max,MATCH($E395,rngSM_cat,0)),""))</f>
        <v/>
      </c>
      <c r="G395" s="17">
        <f>IF($E395="","",IFERROR(INDEX(rngSM_mode,MATCH($E395,rngSM_cat,0)),""))</f>
        <v/>
      </c>
      <c r="H395" s="17">
        <f>IF($E395="","",IFERROR(INDEX(rngSM_pass,MATCH($E395,rngSM_cat,0)),""))</f>
        <v/>
      </c>
      <c r="I395" s="16" t="n"/>
      <c r="J395" s="16" t="n"/>
      <c r="K395" s="16" t="n"/>
      <c r="L395" s="18" t="n"/>
      <c r="M395" s="16" t="n"/>
      <c r="N395" s="17">
        <f>IF($C395="","",MAX(_xlfn.MAXIFS(nrSK_Att,nrSK_PID,$D395,nrSK_Cat,$E395,nrSK_Res,"Pass"),_xlfn.MAXIFS(nrSK_Att,nrSK_PID,$D395,nrSK_Cat,$E395,nrSK_Res,"Fail")))</f>
        <v/>
      </c>
      <c r="O395" s="17">
        <f>IF($C395="","",IF(AND(MAX(_xlfn.MAXIFS(nrSK_Att,nrSK_PID,$D395,nrSK_Cat,$E395,nrSK_Res,"Pass"),_xlfn.MAXIFS(nrSK_Att,nrSK_PID,$D395,nrSK_Cat,$E395,nrSK_Res,"Fail"))&gt;0,N($I395)&lt;MAX(_xlfn.MAXIFS(nrSK_Att,nrSK_PID,$D395,nrSK_Cat,$E395,nrSK_Res,"Pass"),_xlfn.MAXIFS(nrSK_Att,nrSK_PID,$D395,nrSK_Cat,$E395,nrSK_Res,"Fail"))),"(superseded)",IF(OR($J395="",$J395="Pending"),"Pending",IF($J395="Pass","Qualified",IF(AND($J395="Fail",$N395&gt;=$F395),"FAILED OUT","Needs Remediation")))))</f>
        <v/>
      </c>
      <c r="P395" s="17">
        <f>IF($C395="","",IF($O395="FAILED OUT","Yes","No"))</f>
        <v/>
      </c>
      <c r="Q395" s="16" t="n"/>
      <c r="R395" s="16" t="n"/>
      <c r="S395" s="17">
        <f>IF($C395="","",IF(AND($K395&lt;&gt;"",NOT(ISNUMBER($K395))),"SCORE NOT A NUMBER",IF(AND(ISNUMBER($K395),OR($K395&lt;0,$K395&gt;100)),"SCORE OUT OF RANGE - this score counts toward nothing",IF(AND($G395="Score",$K395="",$J395&lt;&gt;"",$J395&lt;&gt;"Pending"),"RESULT WITHOUT A SCORE",IF(AND($G395="Pass/Fail",$K395&lt;&gt;""),"SCORE ON A PASS-FAIL CATEGORY - it is ignored",IF(AND($E395="Firearms",$J395&lt;&gt;"",$J395&lt;&gt;"Pending",$R395=""),"FIREARMS ROW WITH NO COURSE OF FIRE","OK"))))))</f>
        <v/>
      </c>
    </row>
    <row r="396">
      <c r="B396" s="17">
        <f>IF($C396="","",$D396&amp;"-"&amp;$E396&amp;"-"&amp;$I396)</f>
        <v/>
      </c>
      <c r="C396" s="16" t="n"/>
      <c r="D396" s="17">
        <f>IF($C396="","",IFERROR(INDEX(rngCadetPIDs,MATCH($C396,rngCadetNames,0)),"?"))</f>
        <v/>
      </c>
      <c r="E396" s="16" t="n"/>
      <c r="F396" s="17">
        <f>IF($E396="","",IFERROR(INDEX(rngSM_max,MATCH($E396,rngSM_cat,0)),""))</f>
        <v/>
      </c>
      <c r="G396" s="17">
        <f>IF($E396="","",IFERROR(INDEX(rngSM_mode,MATCH($E396,rngSM_cat,0)),""))</f>
        <v/>
      </c>
      <c r="H396" s="17">
        <f>IF($E396="","",IFERROR(INDEX(rngSM_pass,MATCH($E396,rngSM_cat,0)),""))</f>
        <v/>
      </c>
      <c r="I396" s="16" t="n"/>
      <c r="J396" s="16" t="n"/>
      <c r="K396" s="16" t="n"/>
      <c r="L396" s="18" t="n"/>
      <c r="M396" s="16" t="n"/>
      <c r="N396" s="17">
        <f>IF($C396="","",MAX(_xlfn.MAXIFS(nrSK_Att,nrSK_PID,$D396,nrSK_Cat,$E396,nrSK_Res,"Pass"),_xlfn.MAXIFS(nrSK_Att,nrSK_PID,$D396,nrSK_Cat,$E396,nrSK_Res,"Fail")))</f>
        <v/>
      </c>
      <c r="O396" s="17">
        <f>IF($C396="","",IF(AND(MAX(_xlfn.MAXIFS(nrSK_Att,nrSK_PID,$D396,nrSK_Cat,$E396,nrSK_Res,"Pass"),_xlfn.MAXIFS(nrSK_Att,nrSK_PID,$D396,nrSK_Cat,$E396,nrSK_Res,"Fail"))&gt;0,N($I396)&lt;MAX(_xlfn.MAXIFS(nrSK_Att,nrSK_PID,$D396,nrSK_Cat,$E396,nrSK_Res,"Pass"),_xlfn.MAXIFS(nrSK_Att,nrSK_PID,$D396,nrSK_Cat,$E396,nrSK_Res,"Fail"))),"(superseded)",IF(OR($J396="",$J396="Pending"),"Pending",IF($J396="Pass","Qualified",IF(AND($J396="Fail",$N396&gt;=$F396),"FAILED OUT","Needs Remediation")))))</f>
        <v/>
      </c>
      <c r="P396" s="17">
        <f>IF($C396="","",IF($O396="FAILED OUT","Yes","No"))</f>
        <v/>
      </c>
      <c r="Q396" s="16" t="n"/>
      <c r="R396" s="16" t="n"/>
      <c r="S396" s="17">
        <f>IF($C396="","",IF(AND($K396&lt;&gt;"",NOT(ISNUMBER($K396))),"SCORE NOT A NUMBER",IF(AND(ISNUMBER($K396),OR($K396&lt;0,$K396&gt;100)),"SCORE OUT OF RANGE - this score counts toward nothing",IF(AND($G396="Score",$K396="",$J396&lt;&gt;"",$J396&lt;&gt;"Pending"),"RESULT WITHOUT A SCORE",IF(AND($G396="Pass/Fail",$K396&lt;&gt;""),"SCORE ON A PASS-FAIL CATEGORY - it is ignored",IF(AND($E396="Firearms",$J396&lt;&gt;"",$J396&lt;&gt;"Pending",$R396=""),"FIREARMS ROW WITH NO COURSE OF FIRE","OK"))))))</f>
        <v/>
      </c>
    </row>
    <row r="397">
      <c r="B397" s="17">
        <f>IF($C397="","",$D397&amp;"-"&amp;$E397&amp;"-"&amp;$I397)</f>
        <v/>
      </c>
      <c r="C397" s="16" t="n"/>
      <c r="D397" s="17">
        <f>IF($C397="","",IFERROR(INDEX(rngCadetPIDs,MATCH($C397,rngCadetNames,0)),"?"))</f>
        <v/>
      </c>
      <c r="E397" s="16" t="n"/>
      <c r="F397" s="17">
        <f>IF($E397="","",IFERROR(INDEX(rngSM_max,MATCH($E397,rngSM_cat,0)),""))</f>
        <v/>
      </c>
      <c r="G397" s="17">
        <f>IF($E397="","",IFERROR(INDEX(rngSM_mode,MATCH($E397,rngSM_cat,0)),""))</f>
        <v/>
      </c>
      <c r="H397" s="17">
        <f>IF($E397="","",IFERROR(INDEX(rngSM_pass,MATCH($E397,rngSM_cat,0)),""))</f>
        <v/>
      </c>
      <c r="I397" s="16" t="n"/>
      <c r="J397" s="16" t="n"/>
      <c r="K397" s="16" t="n"/>
      <c r="L397" s="18" t="n"/>
      <c r="M397" s="16" t="n"/>
      <c r="N397" s="17">
        <f>IF($C397="","",MAX(_xlfn.MAXIFS(nrSK_Att,nrSK_PID,$D397,nrSK_Cat,$E397,nrSK_Res,"Pass"),_xlfn.MAXIFS(nrSK_Att,nrSK_PID,$D397,nrSK_Cat,$E397,nrSK_Res,"Fail")))</f>
        <v/>
      </c>
      <c r="O397" s="17">
        <f>IF($C397="","",IF(AND(MAX(_xlfn.MAXIFS(nrSK_Att,nrSK_PID,$D397,nrSK_Cat,$E397,nrSK_Res,"Pass"),_xlfn.MAXIFS(nrSK_Att,nrSK_PID,$D397,nrSK_Cat,$E397,nrSK_Res,"Fail"))&gt;0,N($I397)&lt;MAX(_xlfn.MAXIFS(nrSK_Att,nrSK_PID,$D397,nrSK_Cat,$E397,nrSK_Res,"Pass"),_xlfn.MAXIFS(nrSK_Att,nrSK_PID,$D397,nrSK_Cat,$E397,nrSK_Res,"Fail"))),"(superseded)",IF(OR($J397="",$J397="Pending"),"Pending",IF($J397="Pass","Qualified",IF(AND($J397="Fail",$N397&gt;=$F397),"FAILED OUT","Needs Remediation")))))</f>
        <v/>
      </c>
      <c r="P397" s="17">
        <f>IF($C397="","",IF($O397="FAILED OUT","Yes","No"))</f>
        <v/>
      </c>
      <c r="Q397" s="16" t="n"/>
      <c r="R397" s="16" t="n"/>
      <c r="S397" s="17">
        <f>IF($C397="","",IF(AND($K397&lt;&gt;"",NOT(ISNUMBER($K397))),"SCORE NOT A NUMBER",IF(AND(ISNUMBER($K397),OR($K397&lt;0,$K397&gt;100)),"SCORE OUT OF RANGE - this score counts toward nothing",IF(AND($G397="Score",$K397="",$J397&lt;&gt;"",$J397&lt;&gt;"Pending"),"RESULT WITHOUT A SCORE",IF(AND($G397="Pass/Fail",$K397&lt;&gt;""),"SCORE ON A PASS-FAIL CATEGORY - it is ignored",IF(AND($E397="Firearms",$J397&lt;&gt;"",$J397&lt;&gt;"Pending",$R397=""),"FIREARMS ROW WITH NO COURSE OF FIRE","OK"))))))</f>
        <v/>
      </c>
    </row>
    <row r="398">
      <c r="B398" s="17">
        <f>IF($C398="","",$D398&amp;"-"&amp;$E398&amp;"-"&amp;$I398)</f>
        <v/>
      </c>
      <c r="C398" s="16" t="n"/>
      <c r="D398" s="17">
        <f>IF($C398="","",IFERROR(INDEX(rngCadetPIDs,MATCH($C398,rngCadetNames,0)),"?"))</f>
        <v/>
      </c>
      <c r="E398" s="16" t="n"/>
      <c r="F398" s="17">
        <f>IF($E398="","",IFERROR(INDEX(rngSM_max,MATCH($E398,rngSM_cat,0)),""))</f>
        <v/>
      </c>
      <c r="G398" s="17">
        <f>IF($E398="","",IFERROR(INDEX(rngSM_mode,MATCH($E398,rngSM_cat,0)),""))</f>
        <v/>
      </c>
      <c r="H398" s="17">
        <f>IF($E398="","",IFERROR(INDEX(rngSM_pass,MATCH($E398,rngSM_cat,0)),""))</f>
        <v/>
      </c>
      <c r="I398" s="16" t="n"/>
      <c r="J398" s="16" t="n"/>
      <c r="K398" s="16" t="n"/>
      <c r="L398" s="18" t="n"/>
      <c r="M398" s="16" t="n"/>
      <c r="N398" s="17">
        <f>IF($C398="","",MAX(_xlfn.MAXIFS(nrSK_Att,nrSK_PID,$D398,nrSK_Cat,$E398,nrSK_Res,"Pass"),_xlfn.MAXIFS(nrSK_Att,nrSK_PID,$D398,nrSK_Cat,$E398,nrSK_Res,"Fail")))</f>
        <v/>
      </c>
      <c r="O398" s="17">
        <f>IF($C398="","",IF(AND(MAX(_xlfn.MAXIFS(nrSK_Att,nrSK_PID,$D398,nrSK_Cat,$E398,nrSK_Res,"Pass"),_xlfn.MAXIFS(nrSK_Att,nrSK_PID,$D398,nrSK_Cat,$E398,nrSK_Res,"Fail"))&gt;0,N($I398)&lt;MAX(_xlfn.MAXIFS(nrSK_Att,nrSK_PID,$D398,nrSK_Cat,$E398,nrSK_Res,"Pass"),_xlfn.MAXIFS(nrSK_Att,nrSK_PID,$D398,nrSK_Cat,$E398,nrSK_Res,"Fail"))),"(superseded)",IF(OR($J398="",$J398="Pending"),"Pending",IF($J398="Pass","Qualified",IF(AND($J398="Fail",$N398&gt;=$F398),"FAILED OUT","Needs Remediation")))))</f>
        <v/>
      </c>
      <c r="P398" s="17">
        <f>IF($C398="","",IF($O398="FAILED OUT","Yes","No"))</f>
        <v/>
      </c>
      <c r="Q398" s="16" t="n"/>
      <c r="R398" s="16" t="n"/>
      <c r="S398" s="17">
        <f>IF($C398="","",IF(AND($K398&lt;&gt;"",NOT(ISNUMBER($K398))),"SCORE NOT A NUMBER",IF(AND(ISNUMBER($K398),OR($K398&lt;0,$K398&gt;100)),"SCORE OUT OF RANGE - this score counts toward nothing",IF(AND($G398="Score",$K398="",$J398&lt;&gt;"",$J398&lt;&gt;"Pending"),"RESULT WITHOUT A SCORE",IF(AND($G398="Pass/Fail",$K398&lt;&gt;""),"SCORE ON A PASS-FAIL CATEGORY - it is ignored",IF(AND($E398="Firearms",$J398&lt;&gt;"",$J398&lt;&gt;"Pending",$R398=""),"FIREARMS ROW WITH NO COURSE OF FIRE","OK"))))))</f>
        <v/>
      </c>
    </row>
    <row r="399">
      <c r="B399" s="17">
        <f>IF($C399="","",$D399&amp;"-"&amp;$E399&amp;"-"&amp;$I399)</f>
        <v/>
      </c>
      <c r="C399" s="16" t="n"/>
      <c r="D399" s="17">
        <f>IF($C399="","",IFERROR(INDEX(rngCadetPIDs,MATCH($C399,rngCadetNames,0)),"?"))</f>
        <v/>
      </c>
      <c r="E399" s="16" t="n"/>
      <c r="F399" s="17">
        <f>IF($E399="","",IFERROR(INDEX(rngSM_max,MATCH($E399,rngSM_cat,0)),""))</f>
        <v/>
      </c>
      <c r="G399" s="17">
        <f>IF($E399="","",IFERROR(INDEX(rngSM_mode,MATCH($E399,rngSM_cat,0)),""))</f>
        <v/>
      </c>
      <c r="H399" s="17">
        <f>IF($E399="","",IFERROR(INDEX(rngSM_pass,MATCH($E399,rngSM_cat,0)),""))</f>
        <v/>
      </c>
      <c r="I399" s="16" t="n"/>
      <c r="J399" s="16" t="n"/>
      <c r="K399" s="16" t="n"/>
      <c r="L399" s="18" t="n"/>
      <c r="M399" s="16" t="n"/>
      <c r="N399" s="17">
        <f>IF($C399="","",MAX(_xlfn.MAXIFS(nrSK_Att,nrSK_PID,$D399,nrSK_Cat,$E399,nrSK_Res,"Pass"),_xlfn.MAXIFS(nrSK_Att,nrSK_PID,$D399,nrSK_Cat,$E399,nrSK_Res,"Fail")))</f>
        <v/>
      </c>
      <c r="O399" s="17">
        <f>IF($C399="","",IF(AND(MAX(_xlfn.MAXIFS(nrSK_Att,nrSK_PID,$D399,nrSK_Cat,$E399,nrSK_Res,"Pass"),_xlfn.MAXIFS(nrSK_Att,nrSK_PID,$D399,nrSK_Cat,$E399,nrSK_Res,"Fail"))&gt;0,N($I399)&lt;MAX(_xlfn.MAXIFS(nrSK_Att,nrSK_PID,$D399,nrSK_Cat,$E399,nrSK_Res,"Pass"),_xlfn.MAXIFS(nrSK_Att,nrSK_PID,$D399,nrSK_Cat,$E399,nrSK_Res,"Fail"))),"(superseded)",IF(OR($J399="",$J399="Pending"),"Pending",IF($J399="Pass","Qualified",IF(AND($J399="Fail",$N399&gt;=$F399),"FAILED OUT","Needs Remediation")))))</f>
        <v/>
      </c>
      <c r="P399" s="17">
        <f>IF($C399="","",IF($O399="FAILED OUT","Yes","No"))</f>
        <v/>
      </c>
      <c r="Q399" s="16" t="n"/>
      <c r="R399" s="16" t="n"/>
      <c r="S399" s="17">
        <f>IF($C399="","",IF(AND($K399&lt;&gt;"",NOT(ISNUMBER($K399))),"SCORE NOT A NUMBER",IF(AND(ISNUMBER($K399),OR($K399&lt;0,$K399&gt;100)),"SCORE OUT OF RANGE - this score counts toward nothing",IF(AND($G399="Score",$K399="",$J399&lt;&gt;"",$J399&lt;&gt;"Pending"),"RESULT WITHOUT A SCORE",IF(AND($G399="Pass/Fail",$K399&lt;&gt;""),"SCORE ON A PASS-FAIL CATEGORY - it is ignored",IF(AND($E399="Firearms",$J399&lt;&gt;"",$J399&lt;&gt;"Pending",$R399=""),"FIREARMS ROW WITH NO COURSE OF FIRE","OK"))))))</f>
        <v/>
      </c>
    </row>
    <row r="400">
      <c r="B400" s="17">
        <f>IF($C400="","",$D400&amp;"-"&amp;$E400&amp;"-"&amp;$I400)</f>
        <v/>
      </c>
      <c r="C400" s="16" t="n"/>
      <c r="D400" s="17">
        <f>IF($C400="","",IFERROR(INDEX(rngCadetPIDs,MATCH($C400,rngCadetNames,0)),"?"))</f>
        <v/>
      </c>
      <c r="E400" s="16" t="n"/>
      <c r="F400" s="17">
        <f>IF($E400="","",IFERROR(INDEX(rngSM_max,MATCH($E400,rngSM_cat,0)),""))</f>
        <v/>
      </c>
      <c r="G400" s="17">
        <f>IF($E400="","",IFERROR(INDEX(rngSM_mode,MATCH($E400,rngSM_cat,0)),""))</f>
        <v/>
      </c>
      <c r="H400" s="17">
        <f>IF($E400="","",IFERROR(INDEX(rngSM_pass,MATCH($E400,rngSM_cat,0)),""))</f>
        <v/>
      </c>
      <c r="I400" s="16" t="n"/>
      <c r="J400" s="16" t="n"/>
      <c r="K400" s="16" t="n"/>
      <c r="L400" s="18" t="n"/>
      <c r="M400" s="16" t="n"/>
      <c r="N400" s="17">
        <f>IF($C400="","",MAX(_xlfn.MAXIFS(nrSK_Att,nrSK_PID,$D400,nrSK_Cat,$E400,nrSK_Res,"Pass"),_xlfn.MAXIFS(nrSK_Att,nrSK_PID,$D400,nrSK_Cat,$E400,nrSK_Res,"Fail")))</f>
        <v/>
      </c>
      <c r="O400" s="17">
        <f>IF($C400="","",IF(AND(MAX(_xlfn.MAXIFS(nrSK_Att,nrSK_PID,$D400,nrSK_Cat,$E400,nrSK_Res,"Pass"),_xlfn.MAXIFS(nrSK_Att,nrSK_PID,$D400,nrSK_Cat,$E400,nrSK_Res,"Fail"))&gt;0,N($I400)&lt;MAX(_xlfn.MAXIFS(nrSK_Att,nrSK_PID,$D400,nrSK_Cat,$E400,nrSK_Res,"Pass"),_xlfn.MAXIFS(nrSK_Att,nrSK_PID,$D400,nrSK_Cat,$E400,nrSK_Res,"Fail"))),"(superseded)",IF(OR($J400="",$J400="Pending"),"Pending",IF($J400="Pass","Qualified",IF(AND($J400="Fail",$N400&gt;=$F400),"FAILED OUT","Needs Remediation")))))</f>
        <v/>
      </c>
      <c r="P400" s="17">
        <f>IF($C400="","",IF($O400="FAILED OUT","Yes","No"))</f>
        <v/>
      </c>
      <c r="Q400" s="16" t="n"/>
      <c r="R400" s="16" t="n"/>
      <c r="S400" s="17">
        <f>IF($C400="","",IF(AND($K400&lt;&gt;"",NOT(ISNUMBER($K400))),"SCORE NOT A NUMBER",IF(AND(ISNUMBER($K400),OR($K400&lt;0,$K400&gt;100)),"SCORE OUT OF RANGE - this score counts toward nothing",IF(AND($G400="Score",$K400="",$J400&lt;&gt;"",$J400&lt;&gt;"Pending"),"RESULT WITHOUT A SCORE",IF(AND($G400="Pass/Fail",$K400&lt;&gt;""),"SCORE ON A PASS-FAIL CATEGORY - it is ignored",IF(AND($E400="Firearms",$J400&lt;&gt;"",$J400&lt;&gt;"Pending",$R400=""),"FIREARMS ROW WITH NO COURSE OF FIRE","OK"))))))</f>
        <v/>
      </c>
    </row>
    <row r="401">
      <c r="B401" s="17">
        <f>IF($C401="","",$D401&amp;"-"&amp;$E401&amp;"-"&amp;$I401)</f>
        <v/>
      </c>
      <c r="C401" s="16" t="n"/>
      <c r="D401" s="17">
        <f>IF($C401="","",IFERROR(INDEX(rngCadetPIDs,MATCH($C401,rngCadetNames,0)),"?"))</f>
        <v/>
      </c>
      <c r="E401" s="16" t="n"/>
      <c r="F401" s="17">
        <f>IF($E401="","",IFERROR(INDEX(rngSM_max,MATCH($E401,rngSM_cat,0)),""))</f>
        <v/>
      </c>
      <c r="G401" s="17">
        <f>IF($E401="","",IFERROR(INDEX(rngSM_mode,MATCH($E401,rngSM_cat,0)),""))</f>
        <v/>
      </c>
      <c r="H401" s="17">
        <f>IF($E401="","",IFERROR(INDEX(rngSM_pass,MATCH($E401,rngSM_cat,0)),""))</f>
        <v/>
      </c>
      <c r="I401" s="16" t="n"/>
      <c r="J401" s="16" t="n"/>
      <c r="K401" s="16" t="n"/>
      <c r="L401" s="18" t="n"/>
      <c r="M401" s="16" t="n"/>
      <c r="N401" s="17">
        <f>IF($C401="","",MAX(_xlfn.MAXIFS(nrSK_Att,nrSK_PID,$D401,nrSK_Cat,$E401,nrSK_Res,"Pass"),_xlfn.MAXIFS(nrSK_Att,nrSK_PID,$D401,nrSK_Cat,$E401,nrSK_Res,"Fail")))</f>
        <v/>
      </c>
      <c r="O401" s="17">
        <f>IF($C401="","",IF(AND(MAX(_xlfn.MAXIFS(nrSK_Att,nrSK_PID,$D401,nrSK_Cat,$E401,nrSK_Res,"Pass"),_xlfn.MAXIFS(nrSK_Att,nrSK_PID,$D401,nrSK_Cat,$E401,nrSK_Res,"Fail"))&gt;0,N($I401)&lt;MAX(_xlfn.MAXIFS(nrSK_Att,nrSK_PID,$D401,nrSK_Cat,$E401,nrSK_Res,"Pass"),_xlfn.MAXIFS(nrSK_Att,nrSK_PID,$D401,nrSK_Cat,$E401,nrSK_Res,"Fail"))),"(superseded)",IF(OR($J401="",$J401="Pending"),"Pending",IF($J401="Pass","Qualified",IF(AND($J401="Fail",$N401&gt;=$F401),"FAILED OUT","Needs Remediation")))))</f>
        <v/>
      </c>
      <c r="P401" s="17">
        <f>IF($C401="","",IF($O401="FAILED OUT","Yes","No"))</f>
        <v/>
      </c>
      <c r="Q401" s="16" t="n"/>
      <c r="R401" s="16" t="n"/>
      <c r="S401" s="17">
        <f>IF($C401="","",IF(AND($K401&lt;&gt;"",NOT(ISNUMBER($K401))),"SCORE NOT A NUMBER",IF(AND(ISNUMBER($K401),OR($K401&lt;0,$K401&gt;100)),"SCORE OUT OF RANGE - this score counts toward nothing",IF(AND($G401="Score",$K401="",$J401&lt;&gt;"",$J401&lt;&gt;"Pending"),"RESULT WITHOUT A SCORE",IF(AND($G401="Pass/Fail",$K401&lt;&gt;""),"SCORE ON A PASS-FAIL CATEGORY - it is ignored",IF(AND($E401="Firearms",$J401&lt;&gt;"",$J401&lt;&gt;"Pending",$R401=""),"FIREARMS ROW WITH NO COURSE OF FIRE","OK"))))))</f>
        <v/>
      </c>
    </row>
    <row r="402">
      <c r="B402" s="17">
        <f>IF($C402="","",$D402&amp;"-"&amp;$E402&amp;"-"&amp;$I402)</f>
        <v/>
      </c>
      <c r="C402" s="16" t="n"/>
      <c r="D402" s="17">
        <f>IF($C402="","",IFERROR(INDEX(rngCadetPIDs,MATCH($C402,rngCadetNames,0)),"?"))</f>
        <v/>
      </c>
      <c r="E402" s="16" t="n"/>
      <c r="F402" s="17">
        <f>IF($E402="","",IFERROR(INDEX(rngSM_max,MATCH($E402,rngSM_cat,0)),""))</f>
        <v/>
      </c>
      <c r="G402" s="17">
        <f>IF($E402="","",IFERROR(INDEX(rngSM_mode,MATCH($E402,rngSM_cat,0)),""))</f>
        <v/>
      </c>
      <c r="H402" s="17">
        <f>IF($E402="","",IFERROR(INDEX(rngSM_pass,MATCH($E402,rngSM_cat,0)),""))</f>
        <v/>
      </c>
      <c r="I402" s="16" t="n"/>
      <c r="J402" s="16" t="n"/>
      <c r="K402" s="16" t="n"/>
      <c r="L402" s="18" t="n"/>
      <c r="M402" s="16" t="n"/>
      <c r="N402" s="17">
        <f>IF($C402="","",MAX(_xlfn.MAXIFS(nrSK_Att,nrSK_PID,$D402,nrSK_Cat,$E402,nrSK_Res,"Pass"),_xlfn.MAXIFS(nrSK_Att,nrSK_PID,$D402,nrSK_Cat,$E402,nrSK_Res,"Fail")))</f>
        <v/>
      </c>
      <c r="O402" s="17">
        <f>IF($C402="","",IF(AND(MAX(_xlfn.MAXIFS(nrSK_Att,nrSK_PID,$D402,nrSK_Cat,$E402,nrSK_Res,"Pass"),_xlfn.MAXIFS(nrSK_Att,nrSK_PID,$D402,nrSK_Cat,$E402,nrSK_Res,"Fail"))&gt;0,N($I402)&lt;MAX(_xlfn.MAXIFS(nrSK_Att,nrSK_PID,$D402,nrSK_Cat,$E402,nrSK_Res,"Pass"),_xlfn.MAXIFS(nrSK_Att,nrSK_PID,$D402,nrSK_Cat,$E402,nrSK_Res,"Fail"))),"(superseded)",IF(OR($J402="",$J402="Pending"),"Pending",IF($J402="Pass","Qualified",IF(AND($J402="Fail",$N402&gt;=$F402),"FAILED OUT","Needs Remediation")))))</f>
        <v/>
      </c>
      <c r="P402" s="17">
        <f>IF($C402="","",IF($O402="FAILED OUT","Yes","No"))</f>
        <v/>
      </c>
      <c r="Q402" s="16" t="n"/>
      <c r="R402" s="16" t="n"/>
      <c r="S402" s="17">
        <f>IF($C402="","",IF(AND($K402&lt;&gt;"",NOT(ISNUMBER($K402))),"SCORE NOT A NUMBER",IF(AND(ISNUMBER($K402),OR($K402&lt;0,$K402&gt;100)),"SCORE OUT OF RANGE - this score counts toward nothing",IF(AND($G402="Score",$K402="",$J402&lt;&gt;"",$J402&lt;&gt;"Pending"),"RESULT WITHOUT A SCORE",IF(AND($G402="Pass/Fail",$K402&lt;&gt;""),"SCORE ON A PASS-FAIL CATEGORY - it is ignored",IF(AND($E402="Firearms",$J402&lt;&gt;"",$J402&lt;&gt;"Pending",$R402=""),"FIREARMS ROW WITH NO COURSE OF FIRE","OK"))))))</f>
        <v/>
      </c>
    </row>
    <row r="403">
      <c r="B403" s="17">
        <f>IF($C403="","",$D403&amp;"-"&amp;$E403&amp;"-"&amp;$I403)</f>
        <v/>
      </c>
      <c r="C403" s="16" t="n"/>
      <c r="D403" s="17">
        <f>IF($C403="","",IFERROR(INDEX(rngCadetPIDs,MATCH($C403,rngCadetNames,0)),"?"))</f>
        <v/>
      </c>
      <c r="E403" s="16" t="n"/>
      <c r="F403" s="17">
        <f>IF($E403="","",IFERROR(INDEX(rngSM_max,MATCH($E403,rngSM_cat,0)),""))</f>
        <v/>
      </c>
      <c r="G403" s="17">
        <f>IF($E403="","",IFERROR(INDEX(rngSM_mode,MATCH($E403,rngSM_cat,0)),""))</f>
        <v/>
      </c>
      <c r="H403" s="17">
        <f>IF($E403="","",IFERROR(INDEX(rngSM_pass,MATCH($E403,rngSM_cat,0)),""))</f>
        <v/>
      </c>
      <c r="I403" s="16" t="n"/>
      <c r="J403" s="16" t="n"/>
      <c r="K403" s="16" t="n"/>
      <c r="L403" s="18" t="n"/>
      <c r="M403" s="16" t="n"/>
      <c r="N403" s="17">
        <f>IF($C403="","",MAX(_xlfn.MAXIFS(nrSK_Att,nrSK_PID,$D403,nrSK_Cat,$E403,nrSK_Res,"Pass"),_xlfn.MAXIFS(nrSK_Att,nrSK_PID,$D403,nrSK_Cat,$E403,nrSK_Res,"Fail")))</f>
        <v/>
      </c>
      <c r="O403" s="17">
        <f>IF($C403="","",IF(AND(MAX(_xlfn.MAXIFS(nrSK_Att,nrSK_PID,$D403,nrSK_Cat,$E403,nrSK_Res,"Pass"),_xlfn.MAXIFS(nrSK_Att,nrSK_PID,$D403,nrSK_Cat,$E403,nrSK_Res,"Fail"))&gt;0,N($I403)&lt;MAX(_xlfn.MAXIFS(nrSK_Att,nrSK_PID,$D403,nrSK_Cat,$E403,nrSK_Res,"Pass"),_xlfn.MAXIFS(nrSK_Att,nrSK_PID,$D403,nrSK_Cat,$E403,nrSK_Res,"Fail"))),"(superseded)",IF(OR($J403="",$J403="Pending"),"Pending",IF($J403="Pass","Qualified",IF(AND($J403="Fail",$N403&gt;=$F403),"FAILED OUT","Needs Remediation")))))</f>
        <v/>
      </c>
      <c r="P403" s="17">
        <f>IF($C403="","",IF($O403="FAILED OUT","Yes","No"))</f>
        <v/>
      </c>
      <c r="Q403" s="16" t="n"/>
      <c r="R403" s="16" t="n"/>
      <c r="S403" s="17">
        <f>IF($C403="","",IF(AND($K403&lt;&gt;"",NOT(ISNUMBER($K403))),"SCORE NOT A NUMBER",IF(AND(ISNUMBER($K403),OR($K403&lt;0,$K403&gt;100)),"SCORE OUT OF RANGE - this score counts toward nothing",IF(AND($G403="Score",$K403="",$J403&lt;&gt;"",$J403&lt;&gt;"Pending"),"RESULT WITHOUT A SCORE",IF(AND($G403="Pass/Fail",$K403&lt;&gt;""),"SCORE ON A PASS-FAIL CATEGORY - it is ignored",IF(AND($E403="Firearms",$J403&lt;&gt;"",$J403&lt;&gt;"Pending",$R403=""),"FIREARMS ROW WITH NO COURSE OF FIRE","OK"))))))</f>
        <v/>
      </c>
    </row>
    <row r="404">
      <c r="B404" s="17">
        <f>IF($C404="","",$D404&amp;"-"&amp;$E404&amp;"-"&amp;$I404)</f>
        <v/>
      </c>
      <c r="C404" s="16" t="n"/>
      <c r="D404" s="17">
        <f>IF($C404="","",IFERROR(INDEX(rngCadetPIDs,MATCH($C404,rngCadetNames,0)),"?"))</f>
        <v/>
      </c>
      <c r="E404" s="16" t="n"/>
      <c r="F404" s="17">
        <f>IF($E404="","",IFERROR(INDEX(rngSM_max,MATCH($E404,rngSM_cat,0)),""))</f>
        <v/>
      </c>
      <c r="G404" s="17">
        <f>IF($E404="","",IFERROR(INDEX(rngSM_mode,MATCH($E404,rngSM_cat,0)),""))</f>
        <v/>
      </c>
      <c r="H404" s="17">
        <f>IF($E404="","",IFERROR(INDEX(rngSM_pass,MATCH($E404,rngSM_cat,0)),""))</f>
        <v/>
      </c>
      <c r="I404" s="16" t="n"/>
      <c r="J404" s="16" t="n"/>
      <c r="K404" s="16" t="n"/>
      <c r="L404" s="18" t="n"/>
      <c r="M404" s="16" t="n"/>
      <c r="N404" s="17">
        <f>IF($C404="","",MAX(_xlfn.MAXIFS(nrSK_Att,nrSK_PID,$D404,nrSK_Cat,$E404,nrSK_Res,"Pass"),_xlfn.MAXIFS(nrSK_Att,nrSK_PID,$D404,nrSK_Cat,$E404,nrSK_Res,"Fail")))</f>
        <v/>
      </c>
      <c r="O404" s="17">
        <f>IF($C404="","",IF(AND(MAX(_xlfn.MAXIFS(nrSK_Att,nrSK_PID,$D404,nrSK_Cat,$E404,nrSK_Res,"Pass"),_xlfn.MAXIFS(nrSK_Att,nrSK_PID,$D404,nrSK_Cat,$E404,nrSK_Res,"Fail"))&gt;0,N($I404)&lt;MAX(_xlfn.MAXIFS(nrSK_Att,nrSK_PID,$D404,nrSK_Cat,$E404,nrSK_Res,"Pass"),_xlfn.MAXIFS(nrSK_Att,nrSK_PID,$D404,nrSK_Cat,$E404,nrSK_Res,"Fail"))),"(superseded)",IF(OR($J404="",$J404="Pending"),"Pending",IF($J404="Pass","Qualified",IF(AND($J404="Fail",$N404&gt;=$F404),"FAILED OUT","Needs Remediation")))))</f>
        <v/>
      </c>
      <c r="P404" s="17">
        <f>IF($C404="","",IF($O404="FAILED OUT","Yes","No"))</f>
        <v/>
      </c>
      <c r="Q404" s="16" t="n"/>
      <c r="R404" s="16" t="n"/>
      <c r="S404" s="17">
        <f>IF($C404="","",IF(AND($K404&lt;&gt;"",NOT(ISNUMBER($K404))),"SCORE NOT A NUMBER",IF(AND(ISNUMBER($K404),OR($K404&lt;0,$K404&gt;100)),"SCORE OUT OF RANGE - this score counts toward nothing",IF(AND($G404="Score",$K404="",$J404&lt;&gt;"",$J404&lt;&gt;"Pending"),"RESULT WITHOUT A SCORE",IF(AND($G404="Pass/Fail",$K404&lt;&gt;""),"SCORE ON A PASS-FAIL CATEGORY - it is ignored",IF(AND($E404="Firearms",$J404&lt;&gt;"",$J404&lt;&gt;"Pending",$R404=""),"FIREARMS ROW WITH NO COURSE OF FIRE","OK"))))))</f>
        <v/>
      </c>
    </row>
    <row r="405">
      <c r="B405" s="17">
        <f>IF($C405="","",$D405&amp;"-"&amp;$E405&amp;"-"&amp;$I405)</f>
        <v/>
      </c>
      <c r="C405" s="16" t="n"/>
      <c r="D405" s="17">
        <f>IF($C405="","",IFERROR(INDEX(rngCadetPIDs,MATCH($C405,rngCadetNames,0)),"?"))</f>
        <v/>
      </c>
      <c r="E405" s="16" t="n"/>
      <c r="F405" s="17">
        <f>IF($E405="","",IFERROR(INDEX(rngSM_max,MATCH($E405,rngSM_cat,0)),""))</f>
        <v/>
      </c>
      <c r="G405" s="17">
        <f>IF($E405="","",IFERROR(INDEX(rngSM_mode,MATCH($E405,rngSM_cat,0)),""))</f>
        <v/>
      </c>
      <c r="H405" s="17">
        <f>IF($E405="","",IFERROR(INDEX(rngSM_pass,MATCH($E405,rngSM_cat,0)),""))</f>
        <v/>
      </c>
      <c r="I405" s="16" t="n"/>
      <c r="J405" s="16" t="n"/>
      <c r="K405" s="16" t="n"/>
      <c r="L405" s="18" t="n"/>
      <c r="M405" s="16" t="n"/>
      <c r="N405" s="17">
        <f>IF($C405="","",MAX(_xlfn.MAXIFS(nrSK_Att,nrSK_PID,$D405,nrSK_Cat,$E405,nrSK_Res,"Pass"),_xlfn.MAXIFS(nrSK_Att,nrSK_PID,$D405,nrSK_Cat,$E405,nrSK_Res,"Fail")))</f>
        <v/>
      </c>
      <c r="O405" s="17">
        <f>IF($C405="","",IF(AND(MAX(_xlfn.MAXIFS(nrSK_Att,nrSK_PID,$D405,nrSK_Cat,$E405,nrSK_Res,"Pass"),_xlfn.MAXIFS(nrSK_Att,nrSK_PID,$D405,nrSK_Cat,$E405,nrSK_Res,"Fail"))&gt;0,N($I405)&lt;MAX(_xlfn.MAXIFS(nrSK_Att,nrSK_PID,$D405,nrSK_Cat,$E405,nrSK_Res,"Pass"),_xlfn.MAXIFS(nrSK_Att,nrSK_PID,$D405,nrSK_Cat,$E405,nrSK_Res,"Fail"))),"(superseded)",IF(OR($J405="",$J405="Pending"),"Pending",IF($J405="Pass","Qualified",IF(AND($J405="Fail",$N405&gt;=$F405),"FAILED OUT","Needs Remediation")))))</f>
        <v/>
      </c>
      <c r="P405" s="17">
        <f>IF($C405="","",IF($O405="FAILED OUT","Yes","No"))</f>
        <v/>
      </c>
      <c r="Q405" s="16" t="n"/>
      <c r="R405" s="16" t="n"/>
      <c r="S405" s="17">
        <f>IF($C405="","",IF(AND($K405&lt;&gt;"",NOT(ISNUMBER($K405))),"SCORE NOT A NUMBER",IF(AND(ISNUMBER($K405),OR($K405&lt;0,$K405&gt;100)),"SCORE OUT OF RANGE - this score counts toward nothing",IF(AND($G405="Score",$K405="",$J405&lt;&gt;"",$J405&lt;&gt;"Pending"),"RESULT WITHOUT A SCORE",IF(AND($G405="Pass/Fail",$K405&lt;&gt;""),"SCORE ON A PASS-FAIL CATEGORY - it is ignored",IF(AND($E405="Firearms",$J405&lt;&gt;"",$J405&lt;&gt;"Pending",$R405=""),"FIREARMS ROW WITH NO COURSE OF FIRE","OK"))))))</f>
        <v/>
      </c>
    </row>
    <row r="406">
      <c r="B406" s="17">
        <f>IF($C406="","",$D406&amp;"-"&amp;$E406&amp;"-"&amp;$I406)</f>
        <v/>
      </c>
      <c r="C406" s="16" t="n"/>
      <c r="D406" s="17">
        <f>IF($C406="","",IFERROR(INDEX(rngCadetPIDs,MATCH($C406,rngCadetNames,0)),"?"))</f>
        <v/>
      </c>
      <c r="E406" s="16" t="n"/>
      <c r="F406" s="17">
        <f>IF($E406="","",IFERROR(INDEX(rngSM_max,MATCH($E406,rngSM_cat,0)),""))</f>
        <v/>
      </c>
      <c r="G406" s="17">
        <f>IF($E406="","",IFERROR(INDEX(rngSM_mode,MATCH($E406,rngSM_cat,0)),""))</f>
        <v/>
      </c>
      <c r="H406" s="17">
        <f>IF($E406="","",IFERROR(INDEX(rngSM_pass,MATCH($E406,rngSM_cat,0)),""))</f>
        <v/>
      </c>
      <c r="I406" s="16" t="n"/>
      <c r="J406" s="16" t="n"/>
      <c r="K406" s="16" t="n"/>
      <c r="L406" s="18" t="n"/>
      <c r="M406" s="16" t="n"/>
      <c r="N406" s="17">
        <f>IF($C406="","",MAX(_xlfn.MAXIFS(nrSK_Att,nrSK_PID,$D406,nrSK_Cat,$E406,nrSK_Res,"Pass"),_xlfn.MAXIFS(nrSK_Att,nrSK_PID,$D406,nrSK_Cat,$E406,nrSK_Res,"Fail")))</f>
        <v/>
      </c>
      <c r="O406" s="17">
        <f>IF($C406="","",IF(AND(MAX(_xlfn.MAXIFS(nrSK_Att,nrSK_PID,$D406,nrSK_Cat,$E406,nrSK_Res,"Pass"),_xlfn.MAXIFS(nrSK_Att,nrSK_PID,$D406,nrSK_Cat,$E406,nrSK_Res,"Fail"))&gt;0,N($I406)&lt;MAX(_xlfn.MAXIFS(nrSK_Att,nrSK_PID,$D406,nrSK_Cat,$E406,nrSK_Res,"Pass"),_xlfn.MAXIFS(nrSK_Att,nrSK_PID,$D406,nrSK_Cat,$E406,nrSK_Res,"Fail"))),"(superseded)",IF(OR($J406="",$J406="Pending"),"Pending",IF($J406="Pass","Qualified",IF(AND($J406="Fail",$N406&gt;=$F406),"FAILED OUT","Needs Remediation")))))</f>
        <v/>
      </c>
      <c r="P406" s="17">
        <f>IF($C406="","",IF($O406="FAILED OUT","Yes","No"))</f>
        <v/>
      </c>
      <c r="Q406" s="16" t="n"/>
      <c r="R406" s="16" t="n"/>
      <c r="S406" s="17">
        <f>IF($C406="","",IF(AND($K406&lt;&gt;"",NOT(ISNUMBER($K406))),"SCORE NOT A NUMBER",IF(AND(ISNUMBER($K406),OR($K406&lt;0,$K406&gt;100)),"SCORE OUT OF RANGE - this score counts toward nothing",IF(AND($G406="Score",$K406="",$J406&lt;&gt;"",$J406&lt;&gt;"Pending"),"RESULT WITHOUT A SCORE",IF(AND($G406="Pass/Fail",$K406&lt;&gt;""),"SCORE ON A PASS-FAIL CATEGORY - it is ignored",IF(AND($E406="Firearms",$J406&lt;&gt;"",$J406&lt;&gt;"Pending",$R406=""),"FIREARMS ROW WITH NO COURSE OF FIRE","OK"))))))</f>
        <v/>
      </c>
    </row>
    <row r="407">
      <c r="B407" s="17">
        <f>IF($C407="","",$D407&amp;"-"&amp;$E407&amp;"-"&amp;$I407)</f>
        <v/>
      </c>
      <c r="C407" s="16" t="n"/>
      <c r="D407" s="17">
        <f>IF($C407="","",IFERROR(INDEX(rngCadetPIDs,MATCH($C407,rngCadetNames,0)),"?"))</f>
        <v/>
      </c>
      <c r="E407" s="16" t="n"/>
      <c r="F407" s="17">
        <f>IF($E407="","",IFERROR(INDEX(rngSM_max,MATCH($E407,rngSM_cat,0)),""))</f>
        <v/>
      </c>
      <c r="G407" s="17">
        <f>IF($E407="","",IFERROR(INDEX(rngSM_mode,MATCH($E407,rngSM_cat,0)),""))</f>
        <v/>
      </c>
      <c r="H407" s="17">
        <f>IF($E407="","",IFERROR(INDEX(rngSM_pass,MATCH($E407,rngSM_cat,0)),""))</f>
        <v/>
      </c>
      <c r="I407" s="16" t="n"/>
      <c r="J407" s="16" t="n"/>
      <c r="K407" s="16" t="n"/>
      <c r="L407" s="18" t="n"/>
      <c r="M407" s="16" t="n"/>
      <c r="N407" s="17">
        <f>IF($C407="","",MAX(_xlfn.MAXIFS(nrSK_Att,nrSK_PID,$D407,nrSK_Cat,$E407,nrSK_Res,"Pass"),_xlfn.MAXIFS(nrSK_Att,nrSK_PID,$D407,nrSK_Cat,$E407,nrSK_Res,"Fail")))</f>
        <v/>
      </c>
      <c r="O407" s="17">
        <f>IF($C407="","",IF(AND(MAX(_xlfn.MAXIFS(nrSK_Att,nrSK_PID,$D407,nrSK_Cat,$E407,nrSK_Res,"Pass"),_xlfn.MAXIFS(nrSK_Att,nrSK_PID,$D407,nrSK_Cat,$E407,nrSK_Res,"Fail"))&gt;0,N($I407)&lt;MAX(_xlfn.MAXIFS(nrSK_Att,nrSK_PID,$D407,nrSK_Cat,$E407,nrSK_Res,"Pass"),_xlfn.MAXIFS(nrSK_Att,nrSK_PID,$D407,nrSK_Cat,$E407,nrSK_Res,"Fail"))),"(superseded)",IF(OR($J407="",$J407="Pending"),"Pending",IF($J407="Pass","Qualified",IF(AND($J407="Fail",$N407&gt;=$F407),"FAILED OUT","Needs Remediation")))))</f>
        <v/>
      </c>
      <c r="P407" s="17">
        <f>IF($C407="","",IF($O407="FAILED OUT","Yes","No"))</f>
        <v/>
      </c>
      <c r="Q407" s="16" t="n"/>
      <c r="R407" s="16" t="n"/>
      <c r="S407" s="17">
        <f>IF($C407="","",IF(AND($K407&lt;&gt;"",NOT(ISNUMBER($K407))),"SCORE NOT A NUMBER",IF(AND(ISNUMBER($K407),OR($K407&lt;0,$K407&gt;100)),"SCORE OUT OF RANGE - this score counts toward nothing",IF(AND($G407="Score",$K407="",$J407&lt;&gt;"",$J407&lt;&gt;"Pending"),"RESULT WITHOUT A SCORE",IF(AND($G407="Pass/Fail",$K407&lt;&gt;""),"SCORE ON A PASS-FAIL CATEGORY - it is ignored",IF(AND($E407="Firearms",$J407&lt;&gt;"",$J407&lt;&gt;"Pending",$R407=""),"FIREARMS ROW WITH NO COURSE OF FIRE","OK"))))))</f>
        <v/>
      </c>
    </row>
    <row r="408">
      <c r="B408" s="17">
        <f>IF($C408="","",$D408&amp;"-"&amp;$E408&amp;"-"&amp;$I408)</f>
        <v/>
      </c>
      <c r="C408" s="16" t="n"/>
      <c r="D408" s="17">
        <f>IF($C408="","",IFERROR(INDEX(rngCadetPIDs,MATCH($C408,rngCadetNames,0)),"?"))</f>
        <v/>
      </c>
      <c r="E408" s="16" t="n"/>
      <c r="F408" s="17">
        <f>IF($E408="","",IFERROR(INDEX(rngSM_max,MATCH($E408,rngSM_cat,0)),""))</f>
        <v/>
      </c>
      <c r="G408" s="17">
        <f>IF($E408="","",IFERROR(INDEX(rngSM_mode,MATCH($E408,rngSM_cat,0)),""))</f>
        <v/>
      </c>
      <c r="H408" s="17">
        <f>IF($E408="","",IFERROR(INDEX(rngSM_pass,MATCH($E408,rngSM_cat,0)),""))</f>
        <v/>
      </c>
      <c r="I408" s="16" t="n"/>
      <c r="J408" s="16" t="n"/>
      <c r="K408" s="16" t="n"/>
      <c r="L408" s="18" t="n"/>
      <c r="M408" s="16" t="n"/>
      <c r="N408" s="17">
        <f>IF($C408="","",MAX(_xlfn.MAXIFS(nrSK_Att,nrSK_PID,$D408,nrSK_Cat,$E408,nrSK_Res,"Pass"),_xlfn.MAXIFS(nrSK_Att,nrSK_PID,$D408,nrSK_Cat,$E408,nrSK_Res,"Fail")))</f>
        <v/>
      </c>
      <c r="O408" s="17">
        <f>IF($C408="","",IF(AND(MAX(_xlfn.MAXIFS(nrSK_Att,nrSK_PID,$D408,nrSK_Cat,$E408,nrSK_Res,"Pass"),_xlfn.MAXIFS(nrSK_Att,nrSK_PID,$D408,nrSK_Cat,$E408,nrSK_Res,"Fail"))&gt;0,N($I408)&lt;MAX(_xlfn.MAXIFS(nrSK_Att,nrSK_PID,$D408,nrSK_Cat,$E408,nrSK_Res,"Pass"),_xlfn.MAXIFS(nrSK_Att,nrSK_PID,$D408,nrSK_Cat,$E408,nrSK_Res,"Fail"))),"(superseded)",IF(OR($J408="",$J408="Pending"),"Pending",IF($J408="Pass","Qualified",IF(AND($J408="Fail",$N408&gt;=$F408),"FAILED OUT","Needs Remediation")))))</f>
        <v/>
      </c>
      <c r="P408" s="17">
        <f>IF($C408="","",IF($O408="FAILED OUT","Yes","No"))</f>
        <v/>
      </c>
      <c r="Q408" s="16" t="n"/>
      <c r="R408" s="16" t="n"/>
      <c r="S408" s="17">
        <f>IF($C408="","",IF(AND($K408&lt;&gt;"",NOT(ISNUMBER($K408))),"SCORE NOT A NUMBER",IF(AND(ISNUMBER($K408),OR($K408&lt;0,$K408&gt;100)),"SCORE OUT OF RANGE - this score counts toward nothing",IF(AND($G408="Score",$K408="",$J408&lt;&gt;"",$J408&lt;&gt;"Pending"),"RESULT WITHOUT A SCORE",IF(AND($G408="Pass/Fail",$K408&lt;&gt;""),"SCORE ON A PASS-FAIL CATEGORY - it is ignored",IF(AND($E408="Firearms",$J408&lt;&gt;"",$J408&lt;&gt;"Pending",$R408=""),"FIREARMS ROW WITH NO COURSE OF FIRE","OK"))))))</f>
        <v/>
      </c>
    </row>
    <row r="409">
      <c r="B409" s="17">
        <f>IF($C409="","",$D409&amp;"-"&amp;$E409&amp;"-"&amp;$I409)</f>
        <v/>
      </c>
      <c r="C409" s="16" t="n"/>
      <c r="D409" s="17">
        <f>IF($C409="","",IFERROR(INDEX(rngCadetPIDs,MATCH($C409,rngCadetNames,0)),"?"))</f>
        <v/>
      </c>
      <c r="E409" s="16" t="n"/>
      <c r="F409" s="17">
        <f>IF($E409="","",IFERROR(INDEX(rngSM_max,MATCH($E409,rngSM_cat,0)),""))</f>
        <v/>
      </c>
      <c r="G409" s="17">
        <f>IF($E409="","",IFERROR(INDEX(rngSM_mode,MATCH($E409,rngSM_cat,0)),""))</f>
        <v/>
      </c>
      <c r="H409" s="17">
        <f>IF($E409="","",IFERROR(INDEX(rngSM_pass,MATCH($E409,rngSM_cat,0)),""))</f>
        <v/>
      </c>
      <c r="I409" s="16" t="n"/>
      <c r="J409" s="16" t="n"/>
      <c r="K409" s="16" t="n"/>
      <c r="L409" s="18" t="n"/>
      <c r="M409" s="16" t="n"/>
      <c r="N409" s="17">
        <f>IF($C409="","",MAX(_xlfn.MAXIFS(nrSK_Att,nrSK_PID,$D409,nrSK_Cat,$E409,nrSK_Res,"Pass"),_xlfn.MAXIFS(nrSK_Att,nrSK_PID,$D409,nrSK_Cat,$E409,nrSK_Res,"Fail")))</f>
        <v/>
      </c>
      <c r="O409" s="17">
        <f>IF($C409="","",IF(AND(MAX(_xlfn.MAXIFS(nrSK_Att,nrSK_PID,$D409,nrSK_Cat,$E409,nrSK_Res,"Pass"),_xlfn.MAXIFS(nrSK_Att,nrSK_PID,$D409,nrSK_Cat,$E409,nrSK_Res,"Fail"))&gt;0,N($I409)&lt;MAX(_xlfn.MAXIFS(nrSK_Att,nrSK_PID,$D409,nrSK_Cat,$E409,nrSK_Res,"Pass"),_xlfn.MAXIFS(nrSK_Att,nrSK_PID,$D409,nrSK_Cat,$E409,nrSK_Res,"Fail"))),"(superseded)",IF(OR($J409="",$J409="Pending"),"Pending",IF($J409="Pass","Qualified",IF(AND($J409="Fail",$N409&gt;=$F409),"FAILED OUT","Needs Remediation")))))</f>
        <v/>
      </c>
      <c r="P409" s="17">
        <f>IF($C409="","",IF($O409="FAILED OUT","Yes","No"))</f>
        <v/>
      </c>
      <c r="Q409" s="16" t="n"/>
      <c r="R409" s="16" t="n"/>
      <c r="S409" s="17">
        <f>IF($C409="","",IF(AND($K409&lt;&gt;"",NOT(ISNUMBER($K409))),"SCORE NOT A NUMBER",IF(AND(ISNUMBER($K409),OR($K409&lt;0,$K409&gt;100)),"SCORE OUT OF RANGE - this score counts toward nothing",IF(AND($G409="Score",$K409="",$J409&lt;&gt;"",$J409&lt;&gt;"Pending"),"RESULT WITHOUT A SCORE",IF(AND($G409="Pass/Fail",$K409&lt;&gt;""),"SCORE ON A PASS-FAIL CATEGORY - it is ignored",IF(AND($E409="Firearms",$J409&lt;&gt;"",$J409&lt;&gt;"Pending",$R409=""),"FIREARMS ROW WITH NO COURSE OF FIRE","OK"))))))</f>
        <v/>
      </c>
    </row>
    <row r="410">
      <c r="B410" s="17">
        <f>IF($C410="","",$D410&amp;"-"&amp;$E410&amp;"-"&amp;$I410)</f>
        <v/>
      </c>
      <c r="C410" s="16" t="n"/>
      <c r="D410" s="17">
        <f>IF($C410="","",IFERROR(INDEX(rngCadetPIDs,MATCH($C410,rngCadetNames,0)),"?"))</f>
        <v/>
      </c>
      <c r="E410" s="16" t="n"/>
      <c r="F410" s="17">
        <f>IF($E410="","",IFERROR(INDEX(rngSM_max,MATCH($E410,rngSM_cat,0)),""))</f>
        <v/>
      </c>
      <c r="G410" s="17">
        <f>IF($E410="","",IFERROR(INDEX(rngSM_mode,MATCH($E410,rngSM_cat,0)),""))</f>
        <v/>
      </c>
      <c r="H410" s="17">
        <f>IF($E410="","",IFERROR(INDEX(rngSM_pass,MATCH($E410,rngSM_cat,0)),""))</f>
        <v/>
      </c>
      <c r="I410" s="16" t="n"/>
      <c r="J410" s="16" t="n"/>
      <c r="K410" s="16" t="n"/>
      <c r="L410" s="18" t="n"/>
      <c r="M410" s="16" t="n"/>
      <c r="N410" s="17">
        <f>IF($C410="","",MAX(_xlfn.MAXIFS(nrSK_Att,nrSK_PID,$D410,nrSK_Cat,$E410,nrSK_Res,"Pass"),_xlfn.MAXIFS(nrSK_Att,nrSK_PID,$D410,nrSK_Cat,$E410,nrSK_Res,"Fail")))</f>
        <v/>
      </c>
      <c r="O410" s="17">
        <f>IF($C410="","",IF(AND(MAX(_xlfn.MAXIFS(nrSK_Att,nrSK_PID,$D410,nrSK_Cat,$E410,nrSK_Res,"Pass"),_xlfn.MAXIFS(nrSK_Att,nrSK_PID,$D410,nrSK_Cat,$E410,nrSK_Res,"Fail"))&gt;0,N($I410)&lt;MAX(_xlfn.MAXIFS(nrSK_Att,nrSK_PID,$D410,nrSK_Cat,$E410,nrSK_Res,"Pass"),_xlfn.MAXIFS(nrSK_Att,nrSK_PID,$D410,nrSK_Cat,$E410,nrSK_Res,"Fail"))),"(superseded)",IF(OR($J410="",$J410="Pending"),"Pending",IF($J410="Pass","Qualified",IF(AND($J410="Fail",$N410&gt;=$F410),"FAILED OUT","Needs Remediation")))))</f>
        <v/>
      </c>
      <c r="P410" s="17">
        <f>IF($C410="","",IF($O410="FAILED OUT","Yes","No"))</f>
        <v/>
      </c>
      <c r="Q410" s="16" t="n"/>
      <c r="R410" s="16" t="n"/>
      <c r="S410" s="17">
        <f>IF($C410="","",IF(AND($K410&lt;&gt;"",NOT(ISNUMBER($K410))),"SCORE NOT A NUMBER",IF(AND(ISNUMBER($K410),OR($K410&lt;0,$K410&gt;100)),"SCORE OUT OF RANGE - this score counts toward nothing",IF(AND($G410="Score",$K410="",$J410&lt;&gt;"",$J410&lt;&gt;"Pending"),"RESULT WITHOUT A SCORE",IF(AND($G410="Pass/Fail",$K410&lt;&gt;""),"SCORE ON A PASS-FAIL CATEGORY - it is ignored",IF(AND($E410="Firearms",$J410&lt;&gt;"",$J410&lt;&gt;"Pending",$R410=""),"FIREARMS ROW WITH NO COURSE OF FIRE","OK"))))))</f>
        <v/>
      </c>
    </row>
    <row r="411">
      <c r="B411" s="17">
        <f>IF($C411="","",$D411&amp;"-"&amp;$E411&amp;"-"&amp;$I411)</f>
        <v/>
      </c>
      <c r="C411" s="16" t="n"/>
      <c r="D411" s="17">
        <f>IF($C411="","",IFERROR(INDEX(rngCadetPIDs,MATCH($C411,rngCadetNames,0)),"?"))</f>
        <v/>
      </c>
      <c r="E411" s="16" t="n"/>
      <c r="F411" s="17">
        <f>IF($E411="","",IFERROR(INDEX(rngSM_max,MATCH($E411,rngSM_cat,0)),""))</f>
        <v/>
      </c>
      <c r="G411" s="17">
        <f>IF($E411="","",IFERROR(INDEX(rngSM_mode,MATCH($E411,rngSM_cat,0)),""))</f>
        <v/>
      </c>
      <c r="H411" s="17">
        <f>IF($E411="","",IFERROR(INDEX(rngSM_pass,MATCH($E411,rngSM_cat,0)),""))</f>
        <v/>
      </c>
      <c r="I411" s="16" t="n"/>
      <c r="J411" s="16" t="n"/>
      <c r="K411" s="16" t="n"/>
      <c r="L411" s="18" t="n"/>
      <c r="M411" s="16" t="n"/>
      <c r="N411" s="17">
        <f>IF($C411="","",MAX(_xlfn.MAXIFS(nrSK_Att,nrSK_PID,$D411,nrSK_Cat,$E411,nrSK_Res,"Pass"),_xlfn.MAXIFS(nrSK_Att,nrSK_PID,$D411,nrSK_Cat,$E411,nrSK_Res,"Fail")))</f>
        <v/>
      </c>
      <c r="O411" s="17">
        <f>IF($C411="","",IF(AND(MAX(_xlfn.MAXIFS(nrSK_Att,nrSK_PID,$D411,nrSK_Cat,$E411,nrSK_Res,"Pass"),_xlfn.MAXIFS(nrSK_Att,nrSK_PID,$D411,nrSK_Cat,$E411,nrSK_Res,"Fail"))&gt;0,N($I411)&lt;MAX(_xlfn.MAXIFS(nrSK_Att,nrSK_PID,$D411,nrSK_Cat,$E411,nrSK_Res,"Pass"),_xlfn.MAXIFS(nrSK_Att,nrSK_PID,$D411,nrSK_Cat,$E411,nrSK_Res,"Fail"))),"(superseded)",IF(OR($J411="",$J411="Pending"),"Pending",IF($J411="Pass","Qualified",IF(AND($J411="Fail",$N411&gt;=$F411),"FAILED OUT","Needs Remediation")))))</f>
        <v/>
      </c>
      <c r="P411" s="17">
        <f>IF($C411="","",IF($O411="FAILED OUT","Yes","No"))</f>
        <v/>
      </c>
      <c r="Q411" s="16" t="n"/>
      <c r="R411" s="16" t="n"/>
      <c r="S411" s="17">
        <f>IF($C411="","",IF(AND($K411&lt;&gt;"",NOT(ISNUMBER($K411))),"SCORE NOT A NUMBER",IF(AND(ISNUMBER($K411),OR($K411&lt;0,$K411&gt;100)),"SCORE OUT OF RANGE - this score counts toward nothing",IF(AND($G411="Score",$K411="",$J411&lt;&gt;"",$J411&lt;&gt;"Pending"),"RESULT WITHOUT A SCORE",IF(AND($G411="Pass/Fail",$K411&lt;&gt;""),"SCORE ON A PASS-FAIL CATEGORY - it is ignored",IF(AND($E411="Firearms",$J411&lt;&gt;"",$J411&lt;&gt;"Pending",$R411=""),"FIREARMS ROW WITH NO COURSE OF FIRE","OK"))))))</f>
        <v/>
      </c>
    </row>
    <row r="412">
      <c r="B412" s="17">
        <f>IF($C412="","",$D412&amp;"-"&amp;$E412&amp;"-"&amp;$I412)</f>
        <v/>
      </c>
      <c r="C412" s="16" t="n"/>
      <c r="D412" s="17">
        <f>IF($C412="","",IFERROR(INDEX(rngCadetPIDs,MATCH($C412,rngCadetNames,0)),"?"))</f>
        <v/>
      </c>
      <c r="E412" s="16" t="n"/>
      <c r="F412" s="17">
        <f>IF($E412="","",IFERROR(INDEX(rngSM_max,MATCH($E412,rngSM_cat,0)),""))</f>
        <v/>
      </c>
      <c r="G412" s="17">
        <f>IF($E412="","",IFERROR(INDEX(rngSM_mode,MATCH($E412,rngSM_cat,0)),""))</f>
        <v/>
      </c>
      <c r="H412" s="17">
        <f>IF($E412="","",IFERROR(INDEX(rngSM_pass,MATCH($E412,rngSM_cat,0)),""))</f>
        <v/>
      </c>
      <c r="I412" s="16" t="n"/>
      <c r="J412" s="16" t="n"/>
      <c r="K412" s="16" t="n"/>
      <c r="L412" s="18" t="n"/>
      <c r="M412" s="16" t="n"/>
      <c r="N412" s="17">
        <f>IF($C412="","",MAX(_xlfn.MAXIFS(nrSK_Att,nrSK_PID,$D412,nrSK_Cat,$E412,nrSK_Res,"Pass"),_xlfn.MAXIFS(nrSK_Att,nrSK_PID,$D412,nrSK_Cat,$E412,nrSK_Res,"Fail")))</f>
        <v/>
      </c>
      <c r="O412" s="17">
        <f>IF($C412="","",IF(AND(MAX(_xlfn.MAXIFS(nrSK_Att,nrSK_PID,$D412,nrSK_Cat,$E412,nrSK_Res,"Pass"),_xlfn.MAXIFS(nrSK_Att,nrSK_PID,$D412,nrSK_Cat,$E412,nrSK_Res,"Fail"))&gt;0,N($I412)&lt;MAX(_xlfn.MAXIFS(nrSK_Att,nrSK_PID,$D412,nrSK_Cat,$E412,nrSK_Res,"Pass"),_xlfn.MAXIFS(nrSK_Att,nrSK_PID,$D412,nrSK_Cat,$E412,nrSK_Res,"Fail"))),"(superseded)",IF(OR($J412="",$J412="Pending"),"Pending",IF($J412="Pass","Qualified",IF(AND($J412="Fail",$N412&gt;=$F412),"FAILED OUT","Needs Remediation")))))</f>
        <v/>
      </c>
      <c r="P412" s="17">
        <f>IF($C412="","",IF($O412="FAILED OUT","Yes","No"))</f>
        <v/>
      </c>
      <c r="Q412" s="16" t="n"/>
      <c r="R412" s="16" t="n"/>
      <c r="S412" s="17">
        <f>IF($C412="","",IF(AND($K412&lt;&gt;"",NOT(ISNUMBER($K412))),"SCORE NOT A NUMBER",IF(AND(ISNUMBER($K412),OR($K412&lt;0,$K412&gt;100)),"SCORE OUT OF RANGE - this score counts toward nothing",IF(AND($G412="Score",$K412="",$J412&lt;&gt;"",$J412&lt;&gt;"Pending"),"RESULT WITHOUT A SCORE",IF(AND($G412="Pass/Fail",$K412&lt;&gt;""),"SCORE ON A PASS-FAIL CATEGORY - it is ignored",IF(AND($E412="Firearms",$J412&lt;&gt;"",$J412&lt;&gt;"Pending",$R412=""),"FIREARMS ROW WITH NO COURSE OF FIRE","OK"))))))</f>
        <v/>
      </c>
    </row>
    <row r="413">
      <c r="B413" s="17">
        <f>IF($C413="","",$D413&amp;"-"&amp;$E413&amp;"-"&amp;$I413)</f>
        <v/>
      </c>
      <c r="C413" s="16" t="n"/>
      <c r="D413" s="17">
        <f>IF($C413="","",IFERROR(INDEX(rngCadetPIDs,MATCH($C413,rngCadetNames,0)),"?"))</f>
        <v/>
      </c>
      <c r="E413" s="16" t="n"/>
      <c r="F413" s="17">
        <f>IF($E413="","",IFERROR(INDEX(rngSM_max,MATCH($E413,rngSM_cat,0)),""))</f>
        <v/>
      </c>
      <c r="G413" s="17">
        <f>IF($E413="","",IFERROR(INDEX(rngSM_mode,MATCH($E413,rngSM_cat,0)),""))</f>
        <v/>
      </c>
      <c r="H413" s="17">
        <f>IF($E413="","",IFERROR(INDEX(rngSM_pass,MATCH($E413,rngSM_cat,0)),""))</f>
        <v/>
      </c>
      <c r="I413" s="16" t="n"/>
      <c r="J413" s="16" t="n"/>
      <c r="K413" s="16" t="n"/>
      <c r="L413" s="18" t="n"/>
      <c r="M413" s="16" t="n"/>
      <c r="N413" s="17">
        <f>IF($C413="","",MAX(_xlfn.MAXIFS(nrSK_Att,nrSK_PID,$D413,nrSK_Cat,$E413,nrSK_Res,"Pass"),_xlfn.MAXIFS(nrSK_Att,nrSK_PID,$D413,nrSK_Cat,$E413,nrSK_Res,"Fail")))</f>
        <v/>
      </c>
      <c r="O413" s="17">
        <f>IF($C413="","",IF(AND(MAX(_xlfn.MAXIFS(nrSK_Att,nrSK_PID,$D413,nrSK_Cat,$E413,nrSK_Res,"Pass"),_xlfn.MAXIFS(nrSK_Att,nrSK_PID,$D413,nrSK_Cat,$E413,nrSK_Res,"Fail"))&gt;0,N($I413)&lt;MAX(_xlfn.MAXIFS(nrSK_Att,nrSK_PID,$D413,nrSK_Cat,$E413,nrSK_Res,"Pass"),_xlfn.MAXIFS(nrSK_Att,nrSK_PID,$D413,nrSK_Cat,$E413,nrSK_Res,"Fail"))),"(superseded)",IF(OR($J413="",$J413="Pending"),"Pending",IF($J413="Pass","Qualified",IF(AND($J413="Fail",$N413&gt;=$F413),"FAILED OUT","Needs Remediation")))))</f>
        <v/>
      </c>
      <c r="P413" s="17">
        <f>IF($C413="","",IF($O413="FAILED OUT","Yes","No"))</f>
        <v/>
      </c>
      <c r="Q413" s="16" t="n"/>
      <c r="R413" s="16" t="n"/>
      <c r="S413" s="17">
        <f>IF($C413="","",IF(AND($K413&lt;&gt;"",NOT(ISNUMBER($K413))),"SCORE NOT A NUMBER",IF(AND(ISNUMBER($K413),OR($K413&lt;0,$K413&gt;100)),"SCORE OUT OF RANGE - this score counts toward nothing",IF(AND($G413="Score",$K413="",$J413&lt;&gt;"",$J413&lt;&gt;"Pending"),"RESULT WITHOUT A SCORE",IF(AND($G413="Pass/Fail",$K413&lt;&gt;""),"SCORE ON A PASS-FAIL CATEGORY - it is ignored",IF(AND($E413="Firearms",$J413&lt;&gt;"",$J413&lt;&gt;"Pending",$R413=""),"FIREARMS ROW WITH NO COURSE OF FIRE","OK"))))))</f>
        <v/>
      </c>
    </row>
    <row r="414">
      <c r="B414" s="17">
        <f>IF($C414="","",$D414&amp;"-"&amp;$E414&amp;"-"&amp;$I414)</f>
        <v/>
      </c>
      <c r="C414" s="16" t="n"/>
      <c r="D414" s="17">
        <f>IF($C414="","",IFERROR(INDEX(rngCadetPIDs,MATCH($C414,rngCadetNames,0)),"?"))</f>
        <v/>
      </c>
      <c r="E414" s="16" t="n"/>
      <c r="F414" s="17">
        <f>IF($E414="","",IFERROR(INDEX(rngSM_max,MATCH($E414,rngSM_cat,0)),""))</f>
        <v/>
      </c>
      <c r="G414" s="17">
        <f>IF($E414="","",IFERROR(INDEX(rngSM_mode,MATCH($E414,rngSM_cat,0)),""))</f>
        <v/>
      </c>
      <c r="H414" s="17">
        <f>IF($E414="","",IFERROR(INDEX(rngSM_pass,MATCH($E414,rngSM_cat,0)),""))</f>
        <v/>
      </c>
      <c r="I414" s="16" t="n"/>
      <c r="J414" s="16" t="n"/>
      <c r="K414" s="16" t="n"/>
      <c r="L414" s="18" t="n"/>
      <c r="M414" s="16" t="n"/>
      <c r="N414" s="17">
        <f>IF($C414="","",MAX(_xlfn.MAXIFS(nrSK_Att,nrSK_PID,$D414,nrSK_Cat,$E414,nrSK_Res,"Pass"),_xlfn.MAXIFS(nrSK_Att,nrSK_PID,$D414,nrSK_Cat,$E414,nrSK_Res,"Fail")))</f>
        <v/>
      </c>
      <c r="O414" s="17">
        <f>IF($C414="","",IF(AND(MAX(_xlfn.MAXIFS(nrSK_Att,nrSK_PID,$D414,nrSK_Cat,$E414,nrSK_Res,"Pass"),_xlfn.MAXIFS(nrSK_Att,nrSK_PID,$D414,nrSK_Cat,$E414,nrSK_Res,"Fail"))&gt;0,N($I414)&lt;MAX(_xlfn.MAXIFS(nrSK_Att,nrSK_PID,$D414,nrSK_Cat,$E414,nrSK_Res,"Pass"),_xlfn.MAXIFS(nrSK_Att,nrSK_PID,$D414,nrSK_Cat,$E414,nrSK_Res,"Fail"))),"(superseded)",IF(OR($J414="",$J414="Pending"),"Pending",IF($J414="Pass","Qualified",IF(AND($J414="Fail",$N414&gt;=$F414),"FAILED OUT","Needs Remediation")))))</f>
        <v/>
      </c>
      <c r="P414" s="17">
        <f>IF($C414="","",IF($O414="FAILED OUT","Yes","No"))</f>
        <v/>
      </c>
      <c r="Q414" s="16" t="n"/>
      <c r="R414" s="16" t="n"/>
      <c r="S414" s="17">
        <f>IF($C414="","",IF(AND($K414&lt;&gt;"",NOT(ISNUMBER($K414))),"SCORE NOT A NUMBER",IF(AND(ISNUMBER($K414),OR($K414&lt;0,$K414&gt;100)),"SCORE OUT OF RANGE - this score counts toward nothing",IF(AND($G414="Score",$K414="",$J414&lt;&gt;"",$J414&lt;&gt;"Pending"),"RESULT WITHOUT A SCORE",IF(AND($G414="Pass/Fail",$K414&lt;&gt;""),"SCORE ON A PASS-FAIL CATEGORY - it is ignored",IF(AND($E414="Firearms",$J414&lt;&gt;"",$J414&lt;&gt;"Pending",$R414=""),"FIREARMS ROW WITH NO COURSE OF FIRE","OK"))))))</f>
        <v/>
      </c>
    </row>
    <row r="415">
      <c r="B415" s="17">
        <f>IF($C415="","",$D415&amp;"-"&amp;$E415&amp;"-"&amp;$I415)</f>
        <v/>
      </c>
      <c r="C415" s="16" t="n"/>
      <c r="D415" s="17">
        <f>IF($C415="","",IFERROR(INDEX(rngCadetPIDs,MATCH($C415,rngCadetNames,0)),"?"))</f>
        <v/>
      </c>
      <c r="E415" s="16" t="n"/>
      <c r="F415" s="17">
        <f>IF($E415="","",IFERROR(INDEX(rngSM_max,MATCH($E415,rngSM_cat,0)),""))</f>
        <v/>
      </c>
      <c r="G415" s="17">
        <f>IF($E415="","",IFERROR(INDEX(rngSM_mode,MATCH($E415,rngSM_cat,0)),""))</f>
        <v/>
      </c>
      <c r="H415" s="17">
        <f>IF($E415="","",IFERROR(INDEX(rngSM_pass,MATCH($E415,rngSM_cat,0)),""))</f>
        <v/>
      </c>
      <c r="I415" s="16" t="n"/>
      <c r="J415" s="16" t="n"/>
      <c r="K415" s="16" t="n"/>
      <c r="L415" s="18" t="n"/>
      <c r="M415" s="16" t="n"/>
      <c r="N415" s="17">
        <f>IF($C415="","",MAX(_xlfn.MAXIFS(nrSK_Att,nrSK_PID,$D415,nrSK_Cat,$E415,nrSK_Res,"Pass"),_xlfn.MAXIFS(nrSK_Att,nrSK_PID,$D415,nrSK_Cat,$E415,nrSK_Res,"Fail")))</f>
        <v/>
      </c>
      <c r="O415" s="17">
        <f>IF($C415="","",IF(AND(MAX(_xlfn.MAXIFS(nrSK_Att,nrSK_PID,$D415,nrSK_Cat,$E415,nrSK_Res,"Pass"),_xlfn.MAXIFS(nrSK_Att,nrSK_PID,$D415,nrSK_Cat,$E415,nrSK_Res,"Fail"))&gt;0,N($I415)&lt;MAX(_xlfn.MAXIFS(nrSK_Att,nrSK_PID,$D415,nrSK_Cat,$E415,nrSK_Res,"Pass"),_xlfn.MAXIFS(nrSK_Att,nrSK_PID,$D415,nrSK_Cat,$E415,nrSK_Res,"Fail"))),"(superseded)",IF(OR($J415="",$J415="Pending"),"Pending",IF($J415="Pass","Qualified",IF(AND($J415="Fail",$N415&gt;=$F415),"FAILED OUT","Needs Remediation")))))</f>
        <v/>
      </c>
      <c r="P415" s="17">
        <f>IF($C415="","",IF($O415="FAILED OUT","Yes","No"))</f>
        <v/>
      </c>
      <c r="Q415" s="16" t="n"/>
      <c r="R415" s="16" t="n"/>
      <c r="S415" s="17">
        <f>IF($C415="","",IF(AND($K415&lt;&gt;"",NOT(ISNUMBER($K415))),"SCORE NOT A NUMBER",IF(AND(ISNUMBER($K415),OR($K415&lt;0,$K415&gt;100)),"SCORE OUT OF RANGE - this score counts toward nothing",IF(AND($G415="Score",$K415="",$J415&lt;&gt;"",$J415&lt;&gt;"Pending"),"RESULT WITHOUT A SCORE",IF(AND($G415="Pass/Fail",$K415&lt;&gt;""),"SCORE ON A PASS-FAIL CATEGORY - it is ignored",IF(AND($E415="Firearms",$J415&lt;&gt;"",$J415&lt;&gt;"Pending",$R415=""),"FIREARMS ROW WITH NO COURSE OF FIRE","OK"))))))</f>
        <v/>
      </c>
    </row>
    <row r="416">
      <c r="B416" s="17">
        <f>IF($C416="","",$D416&amp;"-"&amp;$E416&amp;"-"&amp;$I416)</f>
        <v/>
      </c>
      <c r="C416" s="16" t="n"/>
      <c r="D416" s="17">
        <f>IF($C416="","",IFERROR(INDEX(rngCadetPIDs,MATCH($C416,rngCadetNames,0)),"?"))</f>
        <v/>
      </c>
      <c r="E416" s="16" t="n"/>
      <c r="F416" s="17">
        <f>IF($E416="","",IFERROR(INDEX(rngSM_max,MATCH($E416,rngSM_cat,0)),""))</f>
        <v/>
      </c>
      <c r="G416" s="17">
        <f>IF($E416="","",IFERROR(INDEX(rngSM_mode,MATCH($E416,rngSM_cat,0)),""))</f>
        <v/>
      </c>
      <c r="H416" s="17">
        <f>IF($E416="","",IFERROR(INDEX(rngSM_pass,MATCH($E416,rngSM_cat,0)),""))</f>
        <v/>
      </c>
      <c r="I416" s="16" t="n"/>
      <c r="J416" s="16" t="n"/>
      <c r="K416" s="16" t="n"/>
      <c r="L416" s="18" t="n"/>
      <c r="M416" s="16" t="n"/>
      <c r="N416" s="17">
        <f>IF($C416="","",MAX(_xlfn.MAXIFS(nrSK_Att,nrSK_PID,$D416,nrSK_Cat,$E416,nrSK_Res,"Pass"),_xlfn.MAXIFS(nrSK_Att,nrSK_PID,$D416,nrSK_Cat,$E416,nrSK_Res,"Fail")))</f>
        <v/>
      </c>
      <c r="O416" s="17">
        <f>IF($C416="","",IF(AND(MAX(_xlfn.MAXIFS(nrSK_Att,nrSK_PID,$D416,nrSK_Cat,$E416,nrSK_Res,"Pass"),_xlfn.MAXIFS(nrSK_Att,nrSK_PID,$D416,nrSK_Cat,$E416,nrSK_Res,"Fail"))&gt;0,N($I416)&lt;MAX(_xlfn.MAXIFS(nrSK_Att,nrSK_PID,$D416,nrSK_Cat,$E416,nrSK_Res,"Pass"),_xlfn.MAXIFS(nrSK_Att,nrSK_PID,$D416,nrSK_Cat,$E416,nrSK_Res,"Fail"))),"(superseded)",IF(OR($J416="",$J416="Pending"),"Pending",IF($J416="Pass","Qualified",IF(AND($J416="Fail",$N416&gt;=$F416),"FAILED OUT","Needs Remediation")))))</f>
        <v/>
      </c>
      <c r="P416" s="17">
        <f>IF($C416="","",IF($O416="FAILED OUT","Yes","No"))</f>
        <v/>
      </c>
      <c r="Q416" s="16" t="n"/>
      <c r="R416" s="16" t="n"/>
      <c r="S416" s="17">
        <f>IF($C416="","",IF(AND($K416&lt;&gt;"",NOT(ISNUMBER($K416))),"SCORE NOT A NUMBER",IF(AND(ISNUMBER($K416),OR($K416&lt;0,$K416&gt;100)),"SCORE OUT OF RANGE - this score counts toward nothing",IF(AND($G416="Score",$K416="",$J416&lt;&gt;"",$J416&lt;&gt;"Pending"),"RESULT WITHOUT A SCORE",IF(AND($G416="Pass/Fail",$K416&lt;&gt;""),"SCORE ON A PASS-FAIL CATEGORY - it is ignored",IF(AND($E416="Firearms",$J416&lt;&gt;"",$J416&lt;&gt;"Pending",$R416=""),"FIREARMS ROW WITH NO COURSE OF FIRE","OK"))))))</f>
        <v/>
      </c>
    </row>
    <row r="417">
      <c r="B417" s="17">
        <f>IF($C417="","",$D417&amp;"-"&amp;$E417&amp;"-"&amp;$I417)</f>
        <v/>
      </c>
      <c r="C417" s="16" t="n"/>
      <c r="D417" s="17">
        <f>IF($C417="","",IFERROR(INDEX(rngCadetPIDs,MATCH($C417,rngCadetNames,0)),"?"))</f>
        <v/>
      </c>
      <c r="E417" s="16" t="n"/>
      <c r="F417" s="17">
        <f>IF($E417="","",IFERROR(INDEX(rngSM_max,MATCH($E417,rngSM_cat,0)),""))</f>
        <v/>
      </c>
      <c r="G417" s="17">
        <f>IF($E417="","",IFERROR(INDEX(rngSM_mode,MATCH($E417,rngSM_cat,0)),""))</f>
        <v/>
      </c>
      <c r="H417" s="17">
        <f>IF($E417="","",IFERROR(INDEX(rngSM_pass,MATCH($E417,rngSM_cat,0)),""))</f>
        <v/>
      </c>
      <c r="I417" s="16" t="n"/>
      <c r="J417" s="16" t="n"/>
      <c r="K417" s="16" t="n"/>
      <c r="L417" s="18" t="n"/>
      <c r="M417" s="16" t="n"/>
      <c r="N417" s="17">
        <f>IF($C417="","",MAX(_xlfn.MAXIFS(nrSK_Att,nrSK_PID,$D417,nrSK_Cat,$E417,nrSK_Res,"Pass"),_xlfn.MAXIFS(nrSK_Att,nrSK_PID,$D417,nrSK_Cat,$E417,nrSK_Res,"Fail")))</f>
        <v/>
      </c>
      <c r="O417" s="17">
        <f>IF($C417="","",IF(AND(MAX(_xlfn.MAXIFS(nrSK_Att,nrSK_PID,$D417,nrSK_Cat,$E417,nrSK_Res,"Pass"),_xlfn.MAXIFS(nrSK_Att,nrSK_PID,$D417,nrSK_Cat,$E417,nrSK_Res,"Fail"))&gt;0,N($I417)&lt;MAX(_xlfn.MAXIFS(nrSK_Att,nrSK_PID,$D417,nrSK_Cat,$E417,nrSK_Res,"Pass"),_xlfn.MAXIFS(nrSK_Att,nrSK_PID,$D417,nrSK_Cat,$E417,nrSK_Res,"Fail"))),"(superseded)",IF(OR($J417="",$J417="Pending"),"Pending",IF($J417="Pass","Qualified",IF(AND($J417="Fail",$N417&gt;=$F417),"FAILED OUT","Needs Remediation")))))</f>
        <v/>
      </c>
      <c r="P417" s="17">
        <f>IF($C417="","",IF($O417="FAILED OUT","Yes","No"))</f>
        <v/>
      </c>
      <c r="Q417" s="16" t="n"/>
      <c r="R417" s="16" t="n"/>
      <c r="S417" s="17">
        <f>IF($C417="","",IF(AND($K417&lt;&gt;"",NOT(ISNUMBER($K417))),"SCORE NOT A NUMBER",IF(AND(ISNUMBER($K417),OR($K417&lt;0,$K417&gt;100)),"SCORE OUT OF RANGE - this score counts toward nothing",IF(AND($G417="Score",$K417="",$J417&lt;&gt;"",$J417&lt;&gt;"Pending"),"RESULT WITHOUT A SCORE",IF(AND($G417="Pass/Fail",$K417&lt;&gt;""),"SCORE ON A PASS-FAIL CATEGORY - it is ignored",IF(AND($E417="Firearms",$J417&lt;&gt;"",$J417&lt;&gt;"Pending",$R417=""),"FIREARMS ROW WITH NO COURSE OF FIRE","OK"))))))</f>
        <v/>
      </c>
    </row>
    <row r="418">
      <c r="B418" s="17">
        <f>IF($C418="","",$D418&amp;"-"&amp;$E418&amp;"-"&amp;$I418)</f>
        <v/>
      </c>
      <c r="C418" s="16" t="n"/>
      <c r="D418" s="17">
        <f>IF($C418="","",IFERROR(INDEX(rngCadetPIDs,MATCH($C418,rngCadetNames,0)),"?"))</f>
        <v/>
      </c>
      <c r="E418" s="16" t="n"/>
      <c r="F418" s="17">
        <f>IF($E418="","",IFERROR(INDEX(rngSM_max,MATCH($E418,rngSM_cat,0)),""))</f>
        <v/>
      </c>
      <c r="G418" s="17">
        <f>IF($E418="","",IFERROR(INDEX(rngSM_mode,MATCH($E418,rngSM_cat,0)),""))</f>
        <v/>
      </c>
      <c r="H418" s="17">
        <f>IF($E418="","",IFERROR(INDEX(rngSM_pass,MATCH($E418,rngSM_cat,0)),""))</f>
        <v/>
      </c>
      <c r="I418" s="16" t="n"/>
      <c r="J418" s="16" t="n"/>
      <c r="K418" s="16" t="n"/>
      <c r="L418" s="18" t="n"/>
      <c r="M418" s="16" t="n"/>
      <c r="N418" s="17">
        <f>IF($C418="","",MAX(_xlfn.MAXIFS(nrSK_Att,nrSK_PID,$D418,nrSK_Cat,$E418,nrSK_Res,"Pass"),_xlfn.MAXIFS(nrSK_Att,nrSK_PID,$D418,nrSK_Cat,$E418,nrSK_Res,"Fail")))</f>
        <v/>
      </c>
      <c r="O418" s="17">
        <f>IF($C418="","",IF(AND(MAX(_xlfn.MAXIFS(nrSK_Att,nrSK_PID,$D418,nrSK_Cat,$E418,nrSK_Res,"Pass"),_xlfn.MAXIFS(nrSK_Att,nrSK_PID,$D418,nrSK_Cat,$E418,nrSK_Res,"Fail"))&gt;0,N($I418)&lt;MAX(_xlfn.MAXIFS(nrSK_Att,nrSK_PID,$D418,nrSK_Cat,$E418,nrSK_Res,"Pass"),_xlfn.MAXIFS(nrSK_Att,nrSK_PID,$D418,nrSK_Cat,$E418,nrSK_Res,"Fail"))),"(superseded)",IF(OR($J418="",$J418="Pending"),"Pending",IF($J418="Pass","Qualified",IF(AND($J418="Fail",$N418&gt;=$F418),"FAILED OUT","Needs Remediation")))))</f>
        <v/>
      </c>
      <c r="P418" s="17">
        <f>IF($C418="","",IF($O418="FAILED OUT","Yes","No"))</f>
        <v/>
      </c>
      <c r="Q418" s="16" t="n"/>
      <c r="R418" s="16" t="n"/>
      <c r="S418" s="17">
        <f>IF($C418="","",IF(AND($K418&lt;&gt;"",NOT(ISNUMBER($K418))),"SCORE NOT A NUMBER",IF(AND(ISNUMBER($K418),OR($K418&lt;0,$K418&gt;100)),"SCORE OUT OF RANGE - this score counts toward nothing",IF(AND($G418="Score",$K418="",$J418&lt;&gt;"",$J418&lt;&gt;"Pending"),"RESULT WITHOUT A SCORE",IF(AND($G418="Pass/Fail",$K418&lt;&gt;""),"SCORE ON A PASS-FAIL CATEGORY - it is ignored",IF(AND($E418="Firearms",$J418&lt;&gt;"",$J418&lt;&gt;"Pending",$R418=""),"FIREARMS ROW WITH NO COURSE OF FIRE","OK"))))))</f>
        <v/>
      </c>
    </row>
    <row r="419">
      <c r="B419" s="17">
        <f>IF($C419="","",$D419&amp;"-"&amp;$E419&amp;"-"&amp;$I419)</f>
        <v/>
      </c>
      <c r="C419" s="16" t="n"/>
      <c r="D419" s="17">
        <f>IF($C419="","",IFERROR(INDEX(rngCadetPIDs,MATCH($C419,rngCadetNames,0)),"?"))</f>
        <v/>
      </c>
      <c r="E419" s="16" t="n"/>
      <c r="F419" s="17">
        <f>IF($E419="","",IFERROR(INDEX(rngSM_max,MATCH($E419,rngSM_cat,0)),""))</f>
        <v/>
      </c>
      <c r="G419" s="17">
        <f>IF($E419="","",IFERROR(INDEX(rngSM_mode,MATCH($E419,rngSM_cat,0)),""))</f>
        <v/>
      </c>
      <c r="H419" s="17">
        <f>IF($E419="","",IFERROR(INDEX(rngSM_pass,MATCH($E419,rngSM_cat,0)),""))</f>
        <v/>
      </c>
      <c r="I419" s="16" t="n"/>
      <c r="J419" s="16" t="n"/>
      <c r="K419" s="16" t="n"/>
      <c r="L419" s="18" t="n"/>
      <c r="M419" s="16" t="n"/>
      <c r="N419" s="17">
        <f>IF($C419="","",MAX(_xlfn.MAXIFS(nrSK_Att,nrSK_PID,$D419,nrSK_Cat,$E419,nrSK_Res,"Pass"),_xlfn.MAXIFS(nrSK_Att,nrSK_PID,$D419,nrSK_Cat,$E419,nrSK_Res,"Fail")))</f>
        <v/>
      </c>
      <c r="O419" s="17">
        <f>IF($C419="","",IF(AND(MAX(_xlfn.MAXIFS(nrSK_Att,nrSK_PID,$D419,nrSK_Cat,$E419,nrSK_Res,"Pass"),_xlfn.MAXIFS(nrSK_Att,nrSK_PID,$D419,nrSK_Cat,$E419,nrSK_Res,"Fail"))&gt;0,N($I419)&lt;MAX(_xlfn.MAXIFS(nrSK_Att,nrSK_PID,$D419,nrSK_Cat,$E419,nrSK_Res,"Pass"),_xlfn.MAXIFS(nrSK_Att,nrSK_PID,$D419,nrSK_Cat,$E419,nrSK_Res,"Fail"))),"(superseded)",IF(OR($J419="",$J419="Pending"),"Pending",IF($J419="Pass","Qualified",IF(AND($J419="Fail",$N419&gt;=$F419),"FAILED OUT","Needs Remediation")))))</f>
        <v/>
      </c>
      <c r="P419" s="17">
        <f>IF($C419="","",IF($O419="FAILED OUT","Yes","No"))</f>
        <v/>
      </c>
      <c r="Q419" s="16" t="n"/>
      <c r="R419" s="16" t="n"/>
      <c r="S419" s="17">
        <f>IF($C419="","",IF(AND($K419&lt;&gt;"",NOT(ISNUMBER($K419))),"SCORE NOT A NUMBER",IF(AND(ISNUMBER($K419),OR($K419&lt;0,$K419&gt;100)),"SCORE OUT OF RANGE - this score counts toward nothing",IF(AND($G419="Score",$K419="",$J419&lt;&gt;"",$J419&lt;&gt;"Pending"),"RESULT WITHOUT A SCORE",IF(AND($G419="Pass/Fail",$K419&lt;&gt;""),"SCORE ON A PASS-FAIL CATEGORY - it is ignored",IF(AND($E419="Firearms",$J419&lt;&gt;"",$J419&lt;&gt;"Pending",$R419=""),"FIREARMS ROW WITH NO COURSE OF FIRE","OK"))))))</f>
        <v/>
      </c>
    </row>
    <row r="420">
      <c r="B420" s="17">
        <f>IF($C420="","",$D420&amp;"-"&amp;$E420&amp;"-"&amp;$I420)</f>
        <v/>
      </c>
      <c r="C420" s="16" t="n"/>
      <c r="D420" s="17">
        <f>IF($C420="","",IFERROR(INDEX(rngCadetPIDs,MATCH($C420,rngCadetNames,0)),"?"))</f>
        <v/>
      </c>
      <c r="E420" s="16" t="n"/>
      <c r="F420" s="17">
        <f>IF($E420="","",IFERROR(INDEX(rngSM_max,MATCH($E420,rngSM_cat,0)),""))</f>
        <v/>
      </c>
      <c r="G420" s="17">
        <f>IF($E420="","",IFERROR(INDEX(rngSM_mode,MATCH($E420,rngSM_cat,0)),""))</f>
        <v/>
      </c>
      <c r="H420" s="17">
        <f>IF($E420="","",IFERROR(INDEX(rngSM_pass,MATCH($E420,rngSM_cat,0)),""))</f>
        <v/>
      </c>
      <c r="I420" s="16" t="n"/>
      <c r="J420" s="16" t="n"/>
      <c r="K420" s="16" t="n"/>
      <c r="L420" s="18" t="n"/>
      <c r="M420" s="16" t="n"/>
      <c r="N420" s="17">
        <f>IF($C420="","",MAX(_xlfn.MAXIFS(nrSK_Att,nrSK_PID,$D420,nrSK_Cat,$E420,nrSK_Res,"Pass"),_xlfn.MAXIFS(nrSK_Att,nrSK_PID,$D420,nrSK_Cat,$E420,nrSK_Res,"Fail")))</f>
        <v/>
      </c>
      <c r="O420" s="17">
        <f>IF($C420="","",IF(AND(MAX(_xlfn.MAXIFS(nrSK_Att,nrSK_PID,$D420,nrSK_Cat,$E420,nrSK_Res,"Pass"),_xlfn.MAXIFS(nrSK_Att,nrSK_PID,$D420,nrSK_Cat,$E420,nrSK_Res,"Fail"))&gt;0,N($I420)&lt;MAX(_xlfn.MAXIFS(nrSK_Att,nrSK_PID,$D420,nrSK_Cat,$E420,nrSK_Res,"Pass"),_xlfn.MAXIFS(nrSK_Att,nrSK_PID,$D420,nrSK_Cat,$E420,nrSK_Res,"Fail"))),"(superseded)",IF(OR($J420="",$J420="Pending"),"Pending",IF($J420="Pass","Qualified",IF(AND($J420="Fail",$N420&gt;=$F420),"FAILED OUT","Needs Remediation")))))</f>
        <v/>
      </c>
      <c r="P420" s="17">
        <f>IF($C420="","",IF($O420="FAILED OUT","Yes","No"))</f>
        <v/>
      </c>
      <c r="Q420" s="16" t="n"/>
      <c r="R420" s="16" t="n"/>
      <c r="S420" s="17">
        <f>IF($C420="","",IF(AND($K420&lt;&gt;"",NOT(ISNUMBER($K420))),"SCORE NOT A NUMBER",IF(AND(ISNUMBER($K420),OR($K420&lt;0,$K420&gt;100)),"SCORE OUT OF RANGE - this score counts toward nothing",IF(AND($G420="Score",$K420="",$J420&lt;&gt;"",$J420&lt;&gt;"Pending"),"RESULT WITHOUT A SCORE",IF(AND($G420="Pass/Fail",$K420&lt;&gt;""),"SCORE ON A PASS-FAIL CATEGORY - it is ignored",IF(AND($E420="Firearms",$J420&lt;&gt;"",$J420&lt;&gt;"Pending",$R420=""),"FIREARMS ROW WITH NO COURSE OF FIRE","OK"))))))</f>
        <v/>
      </c>
    </row>
    <row r="421">
      <c r="B421" s="17">
        <f>IF($C421="","",$D421&amp;"-"&amp;$E421&amp;"-"&amp;$I421)</f>
        <v/>
      </c>
      <c r="C421" s="16" t="n"/>
      <c r="D421" s="17">
        <f>IF($C421="","",IFERROR(INDEX(rngCadetPIDs,MATCH($C421,rngCadetNames,0)),"?"))</f>
        <v/>
      </c>
      <c r="E421" s="16" t="n"/>
      <c r="F421" s="17">
        <f>IF($E421="","",IFERROR(INDEX(rngSM_max,MATCH($E421,rngSM_cat,0)),""))</f>
        <v/>
      </c>
      <c r="G421" s="17">
        <f>IF($E421="","",IFERROR(INDEX(rngSM_mode,MATCH($E421,rngSM_cat,0)),""))</f>
        <v/>
      </c>
      <c r="H421" s="17">
        <f>IF($E421="","",IFERROR(INDEX(rngSM_pass,MATCH($E421,rngSM_cat,0)),""))</f>
        <v/>
      </c>
      <c r="I421" s="16" t="n"/>
      <c r="J421" s="16" t="n"/>
      <c r="K421" s="16" t="n"/>
      <c r="L421" s="18" t="n"/>
      <c r="M421" s="16" t="n"/>
      <c r="N421" s="17">
        <f>IF($C421="","",MAX(_xlfn.MAXIFS(nrSK_Att,nrSK_PID,$D421,nrSK_Cat,$E421,nrSK_Res,"Pass"),_xlfn.MAXIFS(nrSK_Att,nrSK_PID,$D421,nrSK_Cat,$E421,nrSK_Res,"Fail")))</f>
        <v/>
      </c>
      <c r="O421" s="17">
        <f>IF($C421="","",IF(AND(MAX(_xlfn.MAXIFS(nrSK_Att,nrSK_PID,$D421,nrSK_Cat,$E421,nrSK_Res,"Pass"),_xlfn.MAXIFS(nrSK_Att,nrSK_PID,$D421,nrSK_Cat,$E421,nrSK_Res,"Fail"))&gt;0,N($I421)&lt;MAX(_xlfn.MAXIFS(nrSK_Att,nrSK_PID,$D421,nrSK_Cat,$E421,nrSK_Res,"Pass"),_xlfn.MAXIFS(nrSK_Att,nrSK_PID,$D421,nrSK_Cat,$E421,nrSK_Res,"Fail"))),"(superseded)",IF(OR($J421="",$J421="Pending"),"Pending",IF($J421="Pass","Qualified",IF(AND($J421="Fail",$N421&gt;=$F421),"FAILED OUT","Needs Remediation")))))</f>
        <v/>
      </c>
      <c r="P421" s="17">
        <f>IF($C421="","",IF($O421="FAILED OUT","Yes","No"))</f>
        <v/>
      </c>
      <c r="Q421" s="16" t="n"/>
      <c r="R421" s="16" t="n"/>
      <c r="S421" s="17">
        <f>IF($C421="","",IF(AND($K421&lt;&gt;"",NOT(ISNUMBER($K421))),"SCORE NOT A NUMBER",IF(AND(ISNUMBER($K421),OR($K421&lt;0,$K421&gt;100)),"SCORE OUT OF RANGE - this score counts toward nothing",IF(AND($G421="Score",$K421="",$J421&lt;&gt;"",$J421&lt;&gt;"Pending"),"RESULT WITHOUT A SCORE",IF(AND($G421="Pass/Fail",$K421&lt;&gt;""),"SCORE ON A PASS-FAIL CATEGORY - it is ignored",IF(AND($E421="Firearms",$J421&lt;&gt;"",$J421&lt;&gt;"Pending",$R421=""),"FIREARMS ROW WITH NO COURSE OF FIRE","OK"))))))</f>
        <v/>
      </c>
    </row>
    <row r="422">
      <c r="B422" s="17">
        <f>IF($C422="","",$D422&amp;"-"&amp;$E422&amp;"-"&amp;$I422)</f>
        <v/>
      </c>
      <c r="C422" s="16" t="n"/>
      <c r="D422" s="17">
        <f>IF($C422="","",IFERROR(INDEX(rngCadetPIDs,MATCH($C422,rngCadetNames,0)),"?"))</f>
        <v/>
      </c>
      <c r="E422" s="16" t="n"/>
      <c r="F422" s="17">
        <f>IF($E422="","",IFERROR(INDEX(rngSM_max,MATCH($E422,rngSM_cat,0)),""))</f>
        <v/>
      </c>
      <c r="G422" s="17">
        <f>IF($E422="","",IFERROR(INDEX(rngSM_mode,MATCH($E422,rngSM_cat,0)),""))</f>
        <v/>
      </c>
      <c r="H422" s="17">
        <f>IF($E422="","",IFERROR(INDEX(rngSM_pass,MATCH($E422,rngSM_cat,0)),""))</f>
        <v/>
      </c>
      <c r="I422" s="16" t="n"/>
      <c r="J422" s="16" t="n"/>
      <c r="K422" s="16" t="n"/>
      <c r="L422" s="18" t="n"/>
      <c r="M422" s="16" t="n"/>
      <c r="N422" s="17">
        <f>IF($C422="","",MAX(_xlfn.MAXIFS(nrSK_Att,nrSK_PID,$D422,nrSK_Cat,$E422,nrSK_Res,"Pass"),_xlfn.MAXIFS(nrSK_Att,nrSK_PID,$D422,nrSK_Cat,$E422,nrSK_Res,"Fail")))</f>
        <v/>
      </c>
      <c r="O422" s="17">
        <f>IF($C422="","",IF(AND(MAX(_xlfn.MAXIFS(nrSK_Att,nrSK_PID,$D422,nrSK_Cat,$E422,nrSK_Res,"Pass"),_xlfn.MAXIFS(nrSK_Att,nrSK_PID,$D422,nrSK_Cat,$E422,nrSK_Res,"Fail"))&gt;0,N($I422)&lt;MAX(_xlfn.MAXIFS(nrSK_Att,nrSK_PID,$D422,nrSK_Cat,$E422,nrSK_Res,"Pass"),_xlfn.MAXIFS(nrSK_Att,nrSK_PID,$D422,nrSK_Cat,$E422,nrSK_Res,"Fail"))),"(superseded)",IF(OR($J422="",$J422="Pending"),"Pending",IF($J422="Pass","Qualified",IF(AND($J422="Fail",$N422&gt;=$F422),"FAILED OUT","Needs Remediation")))))</f>
        <v/>
      </c>
      <c r="P422" s="17">
        <f>IF($C422="","",IF($O422="FAILED OUT","Yes","No"))</f>
        <v/>
      </c>
      <c r="Q422" s="16" t="n"/>
      <c r="R422" s="16" t="n"/>
      <c r="S422" s="17">
        <f>IF($C422="","",IF(AND($K422&lt;&gt;"",NOT(ISNUMBER($K422))),"SCORE NOT A NUMBER",IF(AND(ISNUMBER($K422),OR($K422&lt;0,$K422&gt;100)),"SCORE OUT OF RANGE - this score counts toward nothing",IF(AND($G422="Score",$K422="",$J422&lt;&gt;"",$J422&lt;&gt;"Pending"),"RESULT WITHOUT A SCORE",IF(AND($G422="Pass/Fail",$K422&lt;&gt;""),"SCORE ON A PASS-FAIL CATEGORY - it is ignored",IF(AND($E422="Firearms",$J422&lt;&gt;"",$J422&lt;&gt;"Pending",$R422=""),"FIREARMS ROW WITH NO COURSE OF FIRE","OK"))))))</f>
        <v/>
      </c>
    </row>
    <row r="423">
      <c r="B423" s="17">
        <f>IF($C423="","",$D423&amp;"-"&amp;$E423&amp;"-"&amp;$I423)</f>
        <v/>
      </c>
      <c r="C423" s="16" t="n"/>
      <c r="D423" s="17">
        <f>IF($C423="","",IFERROR(INDEX(rngCadetPIDs,MATCH($C423,rngCadetNames,0)),"?"))</f>
        <v/>
      </c>
      <c r="E423" s="16" t="n"/>
      <c r="F423" s="17">
        <f>IF($E423="","",IFERROR(INDEX(rngSM_max,MATCH($E423,rngSM_cat,0)),""))</f>
        <v/>
      </c>
      <c r="G423" s="17">
        <f>IF($E423="","",IFERROR(INDEX(rngSM_mode,MATCH($E423,rngSM_cat,0)),""))</f>
        <v/>
      </c>
      <c r="H423" s="17">
        <f>IF($E423="","",IFERROR(INDEX(rngSM_pass,MATCH($E423,rngSM_cat,0)),""))</f>
        <v/>
      </c>
      <c r="I423" s="16" t="n"/>
      <c r="J423" s="16" t="n"/>
      <c r="K423" s="16" t="n"/>
      <c r="L423" s="18" t="n"/>
      <c r="M423" s="16" t="n"/>
      <c r="N423" s="17">
        <f>IF($C423="","",MAX(_xlfn.MAXIFS(nrSK_Att,nrSK_PID,$D423,nrSK_Cat,$E423,nrSK_Res,"Pass"),_xlfn.MAXIFS(nrSK_Att,nrSK_PID,$D423,nrSK_Cat,$E423,nrSK_Res,"Fail")))</f>
        <v/>
      </c>
      <c r="O423" s="17">
        <f>IF($C423="","",IF(AND(MAX(_xlfn.MAXIFS(nrSK_Att,nrSK_PID,$D423,nrSK_Cat,$E423,nrSK_Res,"Pass"),_xlfn.MAXIFS(nrSK_Att,nrSK_PID,$D423,nrSK_Cat,$E423,nrSK_Res,"Fail"))&gt;0,N($I423)&lt;MAX(_xlfn.MAXIFS(nrSK_Att,nrSK_PID,$D423,nrSK_Cat,$E423,nrSK_Res,"Pass"),_xlfn.MAXIFS(nrSK_Att,nrSK_PID,$D423,nrSK_Cat,$E423,nrSK_Res,"Fail"))),"(superseded)",IF(OR($J423="",$J423="Pending"),"Pending",IF($J423="Pass","Qualified",IF(AND($J423="Fail",$N423&gt;=$F423),"FAILED OUT","Needs Remediation")))))</f>
        <v/>
      </c>
      <c r="P423" s="17">
        <f>IF($C423="","",IF($O423="FAILED OUT","Yes","No"))</f>
        <v/>
      </c>
      <c r="Q423" s="16" t="n"/>
      <c r="R423" s="16" t="n"/>
      <c r="S423" s="17">
        <f>IF($C423="","",IF(AND($K423&lt;&gt;"",NOT(ISNUMBER($K423))),"SCORE NOT A NUMBER",IF(AND(ISNUMBER($K423),OR($K423&lt;0,$K423&gt;100)),"SCORE OUT OF RANGE - this score counts toward nothing",IF(AND($G423="Score",$K423="",$J423&lt;&gt;"",$J423&lt;&gt;"Pending"),"RESULT WITHOUT A SCORE",IF(AND($G423="Pass/Fail",$K423&lt;&gt;""),"SCORE ON A PASS-FAIL CATEGORY - it is ignored",IF(AND($E423="Firearms",$J423&lt;&gt;"",$J423&lt;&gt;"Pending",$R423=""),"FIREARMS ROW WITH NO COURSE OF FIRE","OK"))))))</f>
        <v/>
      </c>
    </row>
    <row r="424">
      <c r="B424" s="17">
        <f>IF($C424="","",$D424&amp;"-"&amp;$E424&amp;"-"&amp;$I424)</f>
        <v/>
      </c>
      <c r="C424" s="16" t="n"/>
      <c r="D424" s="17">
        <f>IF($C424="","",IFERROR(INDEX(rngCadetPIDs,MATCH($C424,rngCadetNames,0)),"?"))</f>
        <v/>
      </c>
      <c r="E424" s="16" t="n"/>
      <c r="F424" s="17">
        <f>IF($E424="","",IFERROR(INDEX(rngSM_max,MATCH($E424,rngSM_cat,0)),""))</f>
        <v/>
      </c>
      <c r="G424" s="17">
        <f>IF($E424="","",IFERROR(INDEX(rngSM_mode,MATCH($E424,rngSM_cat,0)),""))</f>
        <v/>
      </c>
      <c r="H424" s="17">
        <f>IF($E424="","",IFERROR(INDEX(rngSM_pass,MATCH($E424,rngSM_cat,0)),""))</f>
        <v/>
      </c>
      <c r="I424" s="16" t="n"/>
      <c r="J424" s="16" t="n"/>
      <c r="K424" s="16" t="n"/>
      <c r="L424" s="18" t="n"/>
      <c r="M424" s="16" t="n"/>
      <c r="N424" s="17">
        <f>IF($C424="","",MAX(_xlfn.MAXIFS(nrSK_Att,nrSK_PID,$D424,nrSK_Cat,$E424,nrSK_Res,"Pass"),_xlfn.MAXIFS(nrSK_Att,nrSK_PID,$D424,nrSK_Cat,$E424,nrSK_Res,"Fail")))</f>
        <v/>
      </c>
      <c r="O424" s="17">
        <f>IF($C424="","",IF(AND(MAX(_xlfn.MAXIFS(nrSK_Att,nrSK_PID,$D424,nrSK_Cat,$E424,nrSK_Res,"Pass"),_xlfn.MAXIFS(nrSK_Att,nrSK_PID,$D424,nrSK_Cat,$E424,nrSK_Res,"Fail"))&gt;0,N($I424)&lt;MAX(_xlfn.MAXIFS(nrSK_Att,nrSK_PID,$D424,nrSK_Cat,$E424,nrSK_Res,"Pass"),_xlfn.MAXIFS(nrSK_Att,nrSK_PID,$D424,nrSK_Cat,$E424,nrSK_Res,"Fail"))),"(superseded)",IF(OR($J424="",$J424="Pending"),"Pending",IF($J424="Pass","Qualified",IF(AND($J424="Fail",$N424&gt;=$F424),"FAILED OUT","Needs Remediation")))))</f>
        <v/>
      </c>
      <c r="P424" s="17">
        <f>IF($C424="","",IF($O424="FAILED OUT","Yes","No"))</f>
        <v/>
      </c>
      <c r="Q424" s="16" t="n"/>
      <c r="R424" s="16" t="n"/>
      <c r="S424" s="17">
        <f>IF($C424="","",IF(AND($K424&lt;&gt;"",NOT(ISNUMBER($K424))),"SCORE NOT A NUMBER",IF(AND(ISNUMBER($K424),OR($K424&lt;0,$K424&gt;100)),"SCORE OUT OF RANGE - this score counts toward nothing",IF(AND($G424="Score",$K424="",$J424&lt;&gt;"",$J424&lt;&gt;"Pending"),"RESULT WITHOUT A SCORE",IF(AND($G424="Pass/Fail",$K424&lt;&gt;""),"SCORE ON A PASS-FAIL CATEGORY - it is ignored",IF(AND($E424="Firearms",$J424&lt;&gt;"",$J424&lt;&gt;"Pending",$R424=""),"FIREARMS ROW WITH NO COURSE OF FIRE","OK"))))))</f>
        <v/>
      </c>
    </row>
    <row r="425">
      <c r="B425" s="17">
        <f>IF($C425="","",$D425&amp;"-"&amp;$E425&amp;"-"&amp;$I425)</f>
        <v/>
      </c>
      <c r="C425" s="16" t="n"/>
      <c r="D425" s="17">
        <f>IF($C425="","",IFERROR(INDEX(rngCadetPIDs,MATCH($C425,rngCadetNames,0)),"?"))</f>
        <v/>
      </c>
      <c r="E425" s="16" t="n"/>
      <c r="F425" s="17">
        <f>IF($E425="","",IFERROR(INDEX(rngSM_max,MATCH($E425,rngSM_cat,0)),""))</f>
        <v/>
      </c>
      <c r="G425" s="17">
        <f>IF($E425="","",IFERROR(INDEX(rngSM_mode,MATCH($E425,rngSM_cat,0)),""))</f>
        <v/>
      </c>
      <c r="H425" s="17">
        <f>IF($E425="","",IFERROR(INDEX(rngSM_pass,MATCH($E425,rngSM_cat,0)),""))</f>
        <v/>
      </c>
      <c r="I425" s="16" t="n"/>
      <c r="J425" s="16" t="n"/>
      <c r="K425" s="16" t="n"/>
      <c r="L425" s="18" t="n"/>
      <c r="M425" s="16" t="n"/>
      <c r="N425" s="17">
        <f>IF($C425="","",MAX(_xlfn.MAXIFS(nrSK_Att,nrSK_PID,$D425,nrSK_Cat,$E425,nrSK_Res,"Pass"),_xlfn.MAXIFS(nrSK_Att,nrSK_PID,$D425,nrSK_Cat,$E425,nrSK_Res,"Fail")))</f>
        <v/>
      </c>
      <c r="O425" s="17">
        <f>IF($C425="","",IF(AND(MAX(_xlfn.MAXIFS(nrSK_Att,nrSK_PID,$D425,nrSK_Cat,$E425,nrSK_Res,"Pass"),_xlfn.MAXIFS(nrSK_Att,nrSK_PID,$D425,nrSK_Cat,$E425,nrSK_Res,"Fail"))&gt;0,N($I425)&lt;MAX(_xlfn.MAXIFS(nrSK_Att,nrSK_PID,$D425,nrSK_Cat,$E425,nrSK_Res,"Pass"),_xlfn.MAXIFS(nrSK_Att,nrSK_PID,$D425,nrSK_Cat,$E425,nrSK_Res,"Fail"))),"(superseded)",IF(OR($J425="",$J425="Pending"),"Pending",IF($J425="Pass","Qualified",IF(AND($J425="Fail",$N425&gt;=$F425),"FAILED OUT","Needs Remediation")))))</f>
        <v/>
      </c>
      <c r="P425" s="17">
        <f>IF($C425="","",IF($O425="FAILED OUT","Yes","No"))</f>
        <v/>
      </c>
      <c r="Q425" s="16" t="n"/>
      <c r="R425" s="16" t="n"/>
      <c r="S425" s="17">
        <f>IF($C425="","",IF(AND($K425&lt;&gt;"",NOT(ISNUMBER($K425))),"SCORE NOT A NUMBER",IF(AND(ISNUMBER($K425),OR($K425&lt;0,$K425&gt;100)),"SCORE OUT OF RANGE - this score counts toward nothing",IF(AND($G425="Score",$K425="",$J425&lt;&gt;"",$J425&lt;&gt;"Pending"),"RESULT WITHOUT A SCORE",IF(AND($G425="Pass/Fail",$K425&lt;&gt;""),"SCORE ON A PASS-FAIL CATEGORY - it is ignored",IF(AND($E425="Firearms",$J425&lt;&gt;"",$J425&lt;&gt;"Pending",$R425=""),"FIREARMS ROW WITH NO COURSE OF FIRE","OK"))))))</f>
        <v/>
      </c>
    </row>
    <row r="426">
      <c r="B426" s="17">
        <f>IF($C426="","",$D426&amp;"-"&amp;$E426&amp;"-"&amp;$I426)</f>
        <v/>
      </c>
      <c r="C426" s="16" t="n"/>
      <c r="D426" s="17">
        <f>IF($C426="","",IFERROR(INDEX(rngCadetPIDs,MATCH($C426,rngCadetNames,0)),"?"))</f>
        <v/>
      </c>
      <c r="E426" s="16" t="n"/>
      <c r="F426" s="17">
        <f>IF($E426="","",IFERROR(INDEX(rngSM_max,MATCH($E426,rngSM_cat,0)),""))</f>
        <v/>
      </c>
      <c r="G426" s="17">
        <f>IF($E426="","",IFERROR(INDEX(rngSM_mode,MATCH($E426,rngSM_cat,0)),""))</f>
        <v/>
      </c>
      <c r="H426" s="17">
        <f>IF($E426="","",IFERROR(INDEX(rngSM_pass,MATCH($E426,rngSM_cat,0)),""))</f>
        <v/>
      </c>
      <c r="I426" s="16" t="n"/>
      <c r="J426" s="16" t="n"/>
      <c r="K426" s="16" t="n"/>
      <c r="L426" s="18" t="n"/>
      <c r="M426" s="16" t="n"/>
      <c r="N426" s="17">
        <f>IF($C426="","",MAX(_xlfn.MAXIFS(nrSK_Att,nrSK_PID,$D426,nrSK_Cat,$E426,nrSK_Res,"Pass"),_xlfn.MAXIFS(nrSK_Att,nrSK_PID,$D426,nrSK_Cat,$E426,nrSK_Res,"Fail")))</f>
        <v/>
      </c>
      <c r="O426" s="17">
        <f>IF($C426="","",IF(AND(MAX(_xlfn.MAXIFS(nrSK_Att,nrSK_PID,$D426,nrSK_Cat,$E426,nrSK_Res,"Pass"),_xlfn.MAXIFS(nrSK_Att,nrSK_PID,$D426,nrSK_Cat,$E426,nrSK_Res,"Fail"))&gt;0,N($I426)&lt;MAX(_xlfn.MAXIFS(nrSK_Att,nrSK_PID,$D426,nrSK_Cat,$E426,nrSK_Res,"Pass"),_xlfn.MAXIFS(nrSK_Att,nrSK_PID,$D426,nrSK_Cat,$E426,nrSK_Res,"Fail"))),"(superseded)",IF(OR($J426="",$J426="Pending"),"Pending",IF($J426="Pass","Qualified",IF(AND($J426="Fail",$N426&gt;=$F426),"FAILED OUT","Needs Remediation")))))</f>
        <v/>
      </c>
      <c r="P426" s="17">
        <f>IF($C426="","",IF($O426="FAILED OUT","Yes","No"))</f>
        <v/>
      </c>
      <c r="Q426" s="16" t="n"/>
      <c r="R426" s="16" t="n"/>
      <c r="S426" s="17">
        <f>IF($C426="","",IF(AND($K426&lt;&gt;"",NOT(ISNUMBER($K426))),"SCORE NOT A NUMBER",IF(AND(ISNUMBER($K426),OR($K426&lt;0,$K426&gt;100)),"SCORE OUT OF RANGE - this score counts toward nothing",IF(AND($G426="Score",$K426="",$J426&lt;&gt;"",$J426&lt;&gt;"Pending"),"RESULT WITHOUT A SCORE",IF(AND($G426="Pass/Fail",$K426&lt;&gt;""),"SCORE ON A PASS-FAIL CATEGORY - it is ignored",IF(AND($E426="Firearms",$J426&lt;&gt;"",$J426&lt;&gt;"Pending",$R426=""),"FIREARMS ROW WITH NO COURSE OF FIRE","OK"))))))</f>
        <v/>
      </c>
    </row>
    <row r="427">
      <c r="B427" s="17">
        <f>IF($C427="","",$D427&amp;"-"&amp;$E427&amp;"-"&amp;$I427)</f>
        <v/>
      </c>
      <c r="C427" s="16" t="n"/>
      <c r="D427" s="17">
        <f>IF($C427="","",IFERROR(INDEX(rngCadetPIDs,MATCH($C427,rngCadetNames,0)),"?"))</f>
        <v/>
      </c>
      <c r="E427" s="16" t="n"/>
      <c r="F427" s="17">
        <f>IF($E427="","",IFERROR(INDEX(rngSM_max,MATCH($E427,rngSM_cat,0)),""))</f>
        <v/>
      </c>
      <c r="G427" s="17">
        <f>IF($E427="","",IFERROR(INDEX(rngSM_mode,MATCH($E427,rngSM_cat,0)),""))</f>
        <v/>
      </c>
      <c r="H427" s="17">
        <f>IF($E427="","",IFERROR(INDEX(rngSM_pass,MATCH($E427,rngSM_cat,0)),""))</f>
        <v/>
      </c>
      <c r="I427" s="16" t="n"/>
      <c r="J427" s="16" t="n"/>
      <c r="K427" s="16" t="n"/>
      <c r="L427" s="18" t="n"/>
      <c r="M427" s="16" t="n"/>
      <c r="N427" s="17">
        <f>IF($C427="","",MAX(_xlfn.MAXIFS(nrSK_Att,nrSK_PID,$D427,nrSK_Cat,$E427,nrSK_Res,"Pass"),_xlfn.MAXIFS(nrSK_Att,nrSK_PID,$D427,nrSK_Cat,$E427,nrSK_Res,"Fail")))</f>
        <v/>
      </c>
      <c r="O427" s="17">
        <f>IF($C427="","",IF(AND(MAX(_xlfn.MAXIFS(nrSK_Att,nrSK_PID,$D427,nrSK_Cat,$E427,nrSK_Res,"Pass"),_xlfn.MAXIFS(nrSK_Att,nrSK_PID,$D427,nrSK_Cat,$E427,nrSK_Res,"Fail"))&gt;0,N($I427)&lt;MAX(_xlfn.MAXIFS(nrSK_Att,nrSK_PID,$D427,nrSK_Cat,$E427,nrSK_Res,"Pass"),_xlfn.MAXIFS(nrSK_Att,nrSK_PID,$D427,nrSK_Cat,$E427,nrSK_Res,"Fail"))),"(superseded)",IF(OR($J427="",$J427="Pending"),"Pending",IF($J427="Pass","Qualified",IF(AND($J427="Fail",$N427&gt;=$F427),"FAILED OUT","Needs Remediation")))))</f>
        <v/>
      </c>
      <c r="P427" s="17">
        <f>IF($C427="","",IF($O427="FAILED OUT","Yes","No"))</f>
        <v/>
      </c>
      <c r="Q427" s="16" t="n"/>
      <c r="R427" s="16" t="n"/>
      <c r="S427" s="17">
        <f>IF($C427="","",IF(AND($K427&lt;&gt;"",NOT(ISNUMBER($K427))),"SCORE NOT A NUMBER",IF(AND(ISNUMBER($K427),OR($K427&lt;0,$K427&gt;100)),"SCORE OUT OF RANGE - this score counts toward nothing",IF(AND($G427="Score",$K427="",$J427&lt;&gt;"",$J427&lt;&gt;"Pending"),"RESULT WITHOUT A SCORE",IF(AND($G427="Pass/Fail",$K427&lt;&gt;""),"SCORE ON A PASS-FAIL CATEGORY - it is ignored",IF(AND($E427="Firearms",$J427&lt;&gt;"",$J427&lt;&gt;"Pending",$R427=""),"FIREARMS ROW WITH NO COURSE OF FIRE","OK"))))))</f>
        <v/>
      </c>
    </row>
    <row r="428">
      <c r="B428" s="17">
        <f>IF($C428="","",$D428&amp;"-"&amp;$E428&amp;"-"&amp;$I428)</f>
        <v/>
      </c>
      <c r="C428" s="16" t="n"/>
      <c r="D428" s="17">
        <f>IF($C428="","",IFERROR(INDEX(rngCadetPIDs,MATCH($C428,rngCadetNames,0)),"?"))</f>
        <v/>
      </c>
      <c r="E428" s="16" t="n"/>
      <c r="F428" s="17">
        <f>IF($E428="","",IFERROR(INDEX(rngSM_max,MATCH($E428,rngSM_cat,0)),""))</f>
        <v/>
      </c>
      <c r="G428" s="17">
        <f>IF($E428="","",IFERROR(INDEX(rngSM_mode,MATCH($E428,rngSM_cat,0)),""))</f>
        <v/>
      </c>
      <c r="H428" s="17">
        <f>IF($E428="","",IFERROR(INDEX(rngSM_pass,MATCH($E428,rngSM_cat,0)),""))</f>
        <v/>
      </c>
      <c r="I428" s="16" t="n"/>
      <c r="J428" s="16" t="n"/>
      <c r="K428" s="16" t="n"/>
      <c r="L428" s="18" t="n"/>
      <c r="M428" s="16" t="n"/>
      <c r="N428" s="17">
        <f>IF($C428="","",MAX(_xlfn.MAXIFS(nrSK_Att,nrSK_PID,$D428,nrSK_Cat,$E428,nrSK_Res,"Pass"),_xlfn.MAXIFS(nrSK_Att,nrSK_PID,$D428,nrSK_Cat,$E428,nrSK_Res,"Fail")))</f>
        <v/>
      </c>
      <c r="O428" s="17">
        <f>IF($C428="","",IF(AND(MAX(_xlfn.MAXIFS(nrSK_Att,nrSK_PID,$D428,nrSK_Cat,$E428,nrSK_Res,"Pass"),_xlfn.MAXIFS(nrSK_Att,nrSK_PID,$D428,nrSK_Cat,$E428,nrSK_Res,"Fail"))&gt;0,N($I428)&lt;MAX(_xlfn.MAXIFS(nrSK_Att,nrSK_PID,$D428,nrSK_Cat,$E428,nrSK_Res,"Pass"),_xlfn.MAXIFS(nrSK_Att,nrSK_PID,$D428,nrSK_Cat,$E428,nrSK_Res,"Fail"))),"(superseded)",IF(OR($J428="",$J428="Pending"),"Pending",IF($J428="Pass","Qualified",IF(AND($J428="Fail",$N428&gt;=$F428),"FAILED OUT","Needs Remediation")))))</f>
        <v/>
      </c>
      <c r="P428" s="17">
        <f>IF($C428="","",IF($O428="FAILED OUT","Yes","No"))</f>
        <v/>
      </c>
      <c r="Q428" s="16" t="n"/>
      <c r="R428" s="16" t="n"/>
      <c r="S428" s="17">
        <f>IF($C428="","",IF(AND($K428&lt;&gt;"",NOT(ISNUMBER($K428))),"SCORE NOT A NUMBER",IF(AND(ISNUMBER($K428),OR($K428&lt;0,$K428&gt;100)),"SCORE OUT OF RANGE - this score counts toward nothing",IF(AND($G428="Score",$K428="",$J428&lt;&gt;"",$J428&lt;&gt;"Pending"),"RESULT WITHOUT A SCORE",IF(AND($G428="Pass/Fail",$K428&lt;&gt;""),"SCORE ON A PASS-FAIL CATEGORY - it is ignored",IF(AND($E428="Firearms",$J428&lt;&gt;"",$J428&lt;&gt;"Pending",$R428=""),"FIREARMS ROW WITH NO COURSE OF FIRE","OK"))))))</f>
        <v/>
      </c>
    </row>
    <row r="429">
      <c r="B429" s="17">
        <f>IF($C429="","",$D429&amp;"-"&amp;$E429&amp;"-"&amp;$I429)</f>
        <v/>
      </c>
      <c r="C429" s="16" t="n"/>
      <c r="D429" s="17">
        <f>IF($C429="","",IFERROR(INDEX(rngCadetPIDs,MATCH($C429,rngCadetNames,0)),"?"))</f>
        <v/>
      </c>
      <c r="E429" s="16" t="n"/>
      <c r="F429" s="17">
        <f>IF($E429="","",IFERROR(INDEX(rngSM_max,MATCH($E429,rngSM_cat,0)),""))</f>
        <v/>
      </c>
      <c r="G429" s="17">
        <f>IF($E429="","",IFERROR(INDEX(rngSM_mode,MATCH($E429,rngSM_cat,0)),""))</f>
        <v/>
      </c>
      <c r="H429" s="17">
        <f>IF($E429="","",IFERROR(INDEX(rngSM_pass,MATCH($E429,rngSM_cat,0)),""))</f>
        <v/>
      </c>
      <c r="I429" s="16" t="n"/>
      <c r="J429" s="16" t="n"/>
      <c r="K429" s="16" t="n"/>
      <c r="L429" s="18" t="n"/>
      <c r="M429" s="16" t="n"/>
      <c r="N429" s="17">
        <f>IF($C429="","",MAX(_xlfn.MAXIFS(nrSK_Att,nrSK_PID,$D429,nrSK_Cat,$E429,nrSK_Res,"Pass"),_xlfn.MAXIFS(nrSK_Att,nrSK_PID,$D429,nrSK_Cat,$E429,nrSK_Res,"Fail")))</f>
        <v/>
      </c>
      <c r="O429" s="17">
        <f>IF($C429="","",IF(AND(MAX(_xlfn.MAXIFS(nrSK_Att,nrSK_PID,$D429,nrSK_Cat,$E429,nrSK_Res,"Pass"),_xlfn.MAXIFS(nrSK_Att,nrSK_PID,$D429,nrSK_Cat,$E429,nrSK_Res,"Fail"))&gt;0,N($I429)&lt;MAX(_xlfn.MAXIFS(nrSK_Att,nrSK_PID,$D429,nrSK_Cat,$E429,nrSK_Res,"Pass"),_xlfn.MAXIFS(nrSK_Att,nrSK_PID,$D429,nrSK_Cat,$E429,nrSK_Res,"Fail"))),"(superseded)",IF(OR($J429="",$J429="Pending"),"Pending",IF($J429="Pass","Qualified",IF(AND($J429="Fail",$N429&gt;=$F429),"FAILED OUT","Needs Remediation")))))</f>
        <v/>
      </c>
      <c r="P429" s="17">
        <f>IF($C429="","",IF($O429="FAILED OUT","Yes","No"))</f>
        <v/>
      </c>
      <c r="Q429" s="16" t="n"/>
      <c r="R429" s="16" t="n"/>
      <c r="S429" s="17">
        <f>IF($C429="","",IF(AND($K429&lt;&gt;"",NOT(ISNUMBER($K429))),"SCORE NOT A NUMBER",IF(AND(ISNUMBER($K429),OR($K429&lt;0,$K429&gt;100)),"SCORE OUT OF RANGE - this score counts toward nothing",IF(AND($G429="Score",$K429="",$J429&lt;&gt;"",$J429&lt;&gt;"Pending"),"RESULT WITHOUT A SCORE",IF(AND($G429="Pass/Fail",$K429&lt;&gt;""),"SCORE ON A PASS-FAIL CATEGORY - it is ignored",IF(AND($E429="Firearms",$J429&lt;&gt;"",$J429&lt;&gt;"Pending",$R429=""),"FIREARMS ROW WITH NO COURSE OF FIRE","OK"))))))</f>
        <v/>
      </c>
    </row>
    <row r="430">
      <c r="B430" s="17">
        <f>IF($C430="","",$D430&amp;"-"&amp;$E430&amp;"-"&amp;$I430)</f>
        <v/>
      </c>
      <c r="C430" s="16" t="n"/>
      <c r="D430" s="17">
        <f>IF($C430="","",IFERROR(INDEX(rngCadetPIDs,MATCH($C430,rngCadetNames,0)),"?"))</f>
        <v/>
      </c>
      <c r="E430" s="16" t="n"/>
      <c r="F430" s="17">
        <f>IF($E430="","",IFERROR(INDEX(rngSM_max,MATCH($E430,rngSM_cat,0)),""))</f>
        <v/>
      </c>
      <c r="G430" s="17">
        <f>IF($E430="","",IFERROR(INDEX(rngSM_mode,MATCH($E430,rngSM_cat,0)),""))</f>
        <v/>
      </c>
      <c r="H430" s="17">
        <f>IF($E430="","",IFERROR(INDEX(rngSM_pass,MATCH($E430,rngSM_cat,0)),""))</f>
        <v/>
      </c>
      <c r="I430" s="16" t="n"/>
      <c r="J430" s="16" t="n"/>
      <c r="K430" s="16" t="n"/>
      <c r="L430" s="18" t="n"/>
      <c r="M430" s="16" t="n"/>
      <c r="N430" s="17">
        <f>IF($C430="","",MAX(_xlfn.MAXIFS(nrSK_Att,nrSK_PID,$D430,nrSK_Cat,$E430,nrSK_Res,"Pass"),_xlfn.MAXIFS(nrSK_Att,nrSK_PID,$D430,nrSK_Cat,$E430,nrSK_Res,"Fail")))</f>
        <v/>
      </c>
      <c r="O430" s="17">
        <f>IF($C430="","",IF(AND(MAX(_xlfn.MAXIFS(nrSK_Att,nrSK_PID,$D430,nrSK_Cat,$E430,nrSK_Res,"Pass"),_xlfn.MAXIFS(nrSK_Att,nrSK_PID,$D430,nrSK_Cat,$E430,nrSK_Res,"Fail"))&gt;0,N($I430)&lt;MAX(_xlfn.MAXIFS(nrSK_Att,nrSK_PID,$D430,nrSK_Cat,$E430,nrSK_Res,"Pass"),_xlfn.MAXIFS(nrSK_Att,nrSK_PID,$D430,nrSK_Cat,$E430,nrSK_Res,"Fail"))),"(superseded)",IF(OR($J430="",$J430="Pending"),"Pending",IF($J430="Pass","Qualified",IF(AND($J430="Fail",$N430&gt;=$F430),"FAILED OUT","Needs Remediation")))))</f>
        <v/>
      </c>
      <c r="P430" s="17">
        <f>IF($C430="","",IF($O430="FAILED OUT","Yes","No"))</f>
        <v/>
      </c>
      <c r="Q430" s="16" t="n"/>
      <c r="R430" s="16" t="n"/>
      <c r="S430" s="17">
        <f>IF($C430="","",IF(AND($K430&lt;&gt;"",NOT(ISNUMBER($K430))),"SCORE NOT A NUMBER",IF(AND(ISNUMBER($K430),OR($K430&lt;0,$K430&gt;100)),"SCORE OUT OF RANGE - this score counts toward nothing",IF(AND($G430="Score",$K430="",$J430&lt;&gt;"",$J430&lt;&gt;"Pending"),"RESULT WITHOUT A SCORE",IF(AND($G430="Pass/Fail",$K430&lt;&gt;""),"SCORE ON A PASS-FAIL CATEGORY - it is ignored",IF(AND($E430="Firearms",$J430&lt;&gt;"",$J430&lt;&gt;"Pending",$R430=""),"FIREARMS ROW WITH NO COURSE OF FIRE","OK"))))))</f>
        <v/>
      </c>
    </row>
    <row r="431">
      <c r="B431" s="17">
        <f>IF($C431="","",$D431&amp;"-"&amp;$E431&amp;"-"&amp;$I431)</f>
        <v/>
      </c>
      <c r="C431" s="16" t="n"/>
      <c r="D431" s="17">
        <f>IF($C431="","",IFERROR(INDEX(rngCadetPIDs,MATCH($C431,rngCadetNames,0)),"?"))</f>
        <v/>
      </c>
      <c r="E431" s="16" t="n"/>
      <c r="F431" s="17">
        <f>IF($E431="","",IFERROR(INDEX(rngSM_max,MATCH($E431,rngSM_cat,0)),""))</f>
        <v/>
      </c>
      <c r="G431" s="17">
        <f>IF($E431="","",IFERROR(INDEX(rngSM_mode,MATCH($E431,rngSM_cat,0)),""))</f>
        <v/>
      </c>
      <c r="H431" s="17">
        <f>IF($E431="","",IFERROR(INDEX(rngSM_pass,MATCH($E431,rngSM_cat,0)),""))</f>
        <v/>
      </c>
      <c r="I431" s="16" t="n"/>
      <c r="J431" s="16" t="n"/>
      <c r="K431" s="16" t="n"/>
      <c r="L431" s="18" t="n"/>
      <c r="M431" s="16" t="n"/>
      <c r="N431" s="17">
        <f>IF($C431="","",MAX(_xlfn.MAXIFS(nrSK_Att,nrSK_PID,$D431,nrSK_Cat,$E431,nrSK_Res,"Pass"),_xlfn.MAXIFS(nrSK_Att,nrSK_PID,$D431,nrSK_Cat,$E431,nrSK_Res,"Fail")))</f>
        <v/>
      </c>
      <c r="O431" s="17">
        <f>IF($C431="","",IF(AND(MAX(_xlfn.MAXIFS(nrSK_Att,nrSK_PID,$D431,nrSK_Cat,$E431,nrSK_Res,"Pass"),_xlfn.MAXIFS(nrSK_Att,nrSK_PID,$D431,nrSK_Cat,$E431,nrSK_Res,"Fail"))&gt;0,N($I431)&lt;MAX(_xlfn.MAXIFS(nrSK_Att,nrSK_PID,$D431,nrSK_Cat,$E431,nrSK_Res,"Pass"),_xlfn.MAXIFS(nrSK_Att,nrSK_PID,$D431,nrSK_Cat,$E431,nrSK_Res,"Fail"))),"(superseded)",IF(OR($J431="",$J431="Pending"),"Pending",IF($J431="Pass","Qualified",IF(AND($J431="Fail",$N431&gt;=$F431),"FAILED OUT","Needs Remediation")))))</f>
        <v/>
      </c>
      <c r="P431" s="17">
        <f>IF($C431="","",IF($O431="FAILED OUT","Yes","No"))</f>
        <v/>
      </c>
      <c r="Q431" s="16" t="n"/>
      <c r="R431" s="16" t="n"/>
      <c r="S431" s="17">
        <f>IF($C431="","",IF(AND($K431&lt;&gt;"",NOT(ISNUMBER($K431))),"SCORE NOT A NUMBER",IF(AND(ISNUMBER($K431),OR($K431&lt;0,$K431&gt;100)),"SCORE OUT OF RANGE - this score counts toward nothing",IF(AND($G431="Score",$K431="",$J431&lt;&gt;"",$J431&lt;&gt;"Pending"),"RESULT WITHOUT A SCORE",IF(AND($G431="Pass/Fail",$K431&lt;&gt;""),"SCORE ON A PASS-FAIL CATEGORY - it is ignored",IF(AND($E431="Firearms",$J431&lt;&gt;"",$J431&lt;&gt;"Pending",$R431=""),"FIREARMS ROW WITH NO COURSE OF FIRE","OK"))))))</f>
        <v/>
      </c>
    </row>
    <row r="432">
      <c r="B432" s="17">
        <f>IF($C432="","",$D432&amp;"-"&amp;$E432&amp;"-"&amp;$I432)</f>
        <v/>
      </c>
      <c r="C432" s="16" t="n"/>
      <c r="D432" s="17">
        <f>IF($C432="","",IFERROR(INDEX(rngCadetPIDs,MATCH($C432,rngCadetNames,0)),"?"))</f>
        <v/>
      </c>
      <c r="E432" s="16" t="n"/>
      <c r="F432" s="17">
        <f>IF($E432="","",IFERROR(INDEX(rngSM_max,MATCH($E432,rngSM_cat,0)),""))</f>
        <v/>
      </c>
      <c r="G432" s="17">
        <f>IF($E432="","",IFERROR(INDEX(rngSM_mode,MATCH($E432,rngSM_cat,0)),""))</f>
        <v/>
      </c>
      <c r="H432" s="17">
        <f>IF($E432="","",IFERROR(INDEX(rngSM_pass,MATCH($E432,rngSM_cat,0)),""))</f>
        <v/>
      </c>
      <c r="I432" s="16" t="n"/>
      <c r="J432" s="16" t="n"/>
      <c r="K432" s="16" t="n"/>
      <c r="L432" s="18" t="n"/>
      <c r="M432" s="16" t="n"/>
      <c r="N432" s="17">
        <f>IF($C432="","",MAX(_xlfn.MAXIFS(nrSK_Att,nrSK_PID,$D432,nrSK_Cat,$E432,nrSK_Res,"Pass"),_xlfn.MAXIFS(nrSK_Att,nrSK_PID,$D432,nrSK_Cat,$E432,nrSK_Res,"Fail")))</f>
        <v/>
      </c>
      <c r="O432" s="17">
        <f>IF($C432="","",IF(AND(MAX(_xlfn.MAXIFS(nrSK_Att,nrSK_PID,$D432,nrSK_Cat,$E432,nrSK_Res,"Pass"),_xlfn.MAXIFS(nrSK_Att,nrSK_PID,$D432,nrSK_Cat,$E432,nrSK_Res,"Fail"))&gt;0,N($I432)&lt;MAX(_xlfn.MAXIFS(nrSK_Att,nrSK_PID,$D432,nrSK_Cat,$E432,nrSK_Res,"Pass"),_xlfn.MAXIFS(nrSK_Att,nrSK_PID,$D432,nrSK_Cat,$E432,nrSK_Res,"Fail"))),"(superseded)",IF(OR($J432="",$J432="Pending"),"Pending",IF($J432="Pass","Qualified",IF(AND($J432="Fail",$N432&gt;=$F432),"FAILED OUT","Needs Remediation")))))</f>
        <v/>
      </c>
      <c r="P432" s="17">
        <f>IF($C432="","",IF($O432="FAILED OUT","Yes","No"))</f>
        <v/>
      </c>
      <c r="Q432" s="16" t="n"/>
      <c r="R432" s="16" t="n"/>
      <c r="S432" s="17">
        <f>IF($C432="","",IF(AND($K432&lt;&gt;"",NOT(ISNUMBER($K432))),"SCORE NOT A NUMBER",IF(AND(ISNUMBER($K432),OR($K432&lt;0,$K432&gt;100)),"SCORE OUT OF RANGE - this score counts toward nothing",IF(AND($G432="Score",$K432="",$J432&lt;&gt;"",$J432&lt;&gt;"Pending"),"RESULT WITHOUT A SCORE",IF(AND($G432="Pass/Fail",$K432&lt;&gt;""),"SCORE ON A PASS-FAIL CATEGORY - it is ignored",IF(AND($E432="Firearms",$J432&lt;&gt;"",$J432&lt;&gt;"Pending",$R432=""),"FIREARMS ROW WITH NO COURSE OF FIRE","OK"))))))</f>
        <v/>
      </c>
    </row>
    <row r="433">
      <c r="B433" s="17">
        <f>IF($C433="","",$D433&amp;"-"&amp;$E433&amp;"-"&amp;$I433)</f>
        <v/>
      </c>
      <c r="C433" s="16" t="n"/>
      <c r="D433" s="17">
        <f>IF($C433="","",IFERROR(INDEX(rngCadetPIDs,MATCH($C433,rngCadetNames,0)),"?"))</f>
        <v/>
      </c>
      <c r="E433" s="16" t="n"/>
      <c r="F433" s="17">
        <f>IF($E433="","",IFERROR(INDEX(rngSM_max,MATCH($E433,rngSM_cat,0)),""))</f>
        <v/>
      </c>
      <c r="G433" s="17">
        <f>IF($E433="","",IFERROR(INDEX(rngSM_mode,MATCH($E433,rngSM_cat,0)),""))</f>
        <v/>
      </c>
      <c r="H433" s="17">
        <f>IF($E433="","",IFERROR(INDEX(rngSM_pass,MATCH($E433,rngSM_cat,0)),""))</f>
        <v/>
      </c>
      <c r="I433" s="16" t="n"/>
      <c r="J433" s="16" t="n"/>
      <c r="K433" s="16" t="n"/>
      <c r="L433" s="18" t="n"/>
      <c r="M433" s="16" t="n"/>
      <c r="N433" s="17">
        <f>IF($C433="","",MAX(_xlfn.MAXIFS(nrSK_Att,nrSK_PID,$D433,nrSK_Cat,$E433,nrSK_Res,"Pass"),_xlfn.MAXIFS(nrSK_Att,nrSK_PID,$D433,nrSK_Cat,$E433,nrSK_Res,"Fail")))</f>
        <v/>
      </c>
      <c r="O433" s="17">
        <f>IF($C433="","",IF(AND(MAX(_xlfn.MAXIFS(nrSK_Att,nrSK_PID,$D433,nrSK_Cat,$E433,nrSK_Res,"Pass"),_xlfn.MAXIFS(nrSK_Att,nrSK_PID,$D433,nrSK_Cat,$E433,nrSK_Res,"Fail"))&gt;0,N($I433)&lt;MAX(_xlfn.MAXIFS(nrSK_Att,nrSK_PID,$D433,nrSK_Cat,$E433,nrSK_Res,"Pass"),_xlfn.MAXIFS(nrSK_Att,nrSK_PID,$D433,nrSK_Cat,$E433,nrSK_Res,"Fail"))),"(superseded)",IF(OR($J433="",$J433="Pending"),"Pending",IF($J433="Pass","Qualified",IF(AND($J433="Fail",$N433&gt;=$F433),"FAILED OUT","Needs Remediation")))))</f>
        <v/>
      </c>
      <c r="P433" s="17">
        <f>IF($C433="","",IF($O433="FAILED OUT","Yes","No"))</f>
        <v/>
      </c>
      <c r="Q433" s="16" t="n"/>
      <c r="R433" s="16" t="n"/>
      <c r="S433" s="17">
        <f>IF($C433="","",IF(AND($K433&lt;&gt;"",NOT(ISNUMBER($K433))),"SCORE NOT A NUMBER",IF(AND(ISNUMBER($K433),OR($K433&lt;0,$K433&gt;100)),"SCORE OUT OF RANGE - this score counts toward nothing",IF(AND($G433="Score",$K433="",$J433&lt;&gt;"",$J433&lt;&gt;"Pending"),"RESULT WITHOUT A SCORE",IF(AND($G433="Pass/Fail",$K433&lt;&gt;""),"SCORE ON A PASS-FAIL CATEGORY - it is ignored",IF(AND($E433="Firearms",$J433&lt;&gt;"",$J433&lt;&gt;"Pending",$R433=""),"FIREARMS ROW WITH NO COURSE OF FIRE","OK"))))))</f>
        <v/>
      </c>
    </row>
    <row r="434">
      <c r="B434" s="17">
        <f>IF($C434="","",$D434&amp;"-"&amp;$E434&amp;"-"&amp;$I434)</f>
        <v/>
      </c>
      <c r="C434" s="16" t="n"/>
      <c r="D434" s="17">
        <f>IF($C434="","",IFERROR(INDEX(rngCadetPIDs,MATCH($C434,rngCadetNames,0)),"?"))</f>
        <v/>
      </c>
      <c r="E434" s="16" t="n"/>
      <c r="F434" s="17">
        <f>IF($E434="","",IFERROR(INDEX(rngSM_max,MATCH($E434,rngSM_cat,0)),""))</f>
        <v/>
      </c>
      <c r="G434" s="17">
        <f>IF($E434="","",IFERROR(INDEX(rngSM_mode,MATCH($E434,rngSM_cat,0)),""))</f>
        <v/>
      </c>
      <c r="H434" s="17">
        <f>IF($E434="","",IFERROR(INDEX(rngSM_pass,MATCH($E434,rngSM_cat,0)),""))</f>
        <v/>
      </c>
      <c r="I434" s="16" t="n"/>
      <c r="J434" s="16" t="n"/>
      <c r="K434" s="16" t="n"/>
      <c r="L434" s="18" t="n"/>
      <c r="M434" s="16" t="n"/>
      <c r="N434" s="17">
        <f>IF($C434="","",MAX(_xlfn.MAXIFS(nrSK_Att,nrSK_PID,$D434,nrSK_Cat,$E434,nrSK_Res,"Pass"),_xlfn.MAXIFS(nrSK_Att,nrSK_PID,$D434,nrSK_Cat,$E434,nrSK_Res,"Fail")))</f>
        <v/>
      </c>
      <c r="O434" s="17">
        <f>IF($C434="","",IF(AND(MAX(_xlfn.MAXIFS(nrSK_Att,nrSK_PID,$D434,nrSK_Cat,$E434,nrSK_Res,"Pass"),_xlfn.MAXIFS(nrSK_Att,nrSK_PID,$D434,nrSK_Cat,$E434,nrSK_Res,"Fail"))&gt;0,N($I434)&lt;MAX(_xlfn.MAXIFS(nrSK_Att,nrSK_PID,$D434,nrSK_Cat,$E434,nrSK_Res,"Pass"),_xlfn.MAXIFS(nrSK_Att,nrSK_PID,$D434,nrSK_Cat,$E434,nrSK_Res,"Fail"))),"(superseded)",IF(OR($J434="",$J434="Pending"),"Pending",IF($J434="Pass","Qualified",IF(AND($J434="Fail",$N434&gt;=$F434),"FAILED OUT","Needs Remediation")))))</f>
        <v/>
      </c>
      <c r="P434" s="17">
        <f>IF($C434="","",IF($O434="FAILED OUT","Yes","No"))</f>
        <v/>
      </c>
      <c r="Q434" s="16" t="n"/>
      <c r="R434" s="16" t="n"/>
      <c r="S434" s="17">
        <f>IF($C434="","",IF(AND($K434&lt;&gt;"",NOT(ISNUMBER($K434))),"SCORE NOT A NUMBER",IF(AND(ISNUMBER($K434),OR($K434&lt;0,$K434&gt;100)),"SCORE OUT OF RANGE - this score counts toward nothing",IF(AND($G434="Score",$K434="",$J434&lt;&gt;"",$J434&lt;&gt;"Pending"),"RESULT WITHOUT A SCORE",IF(AND($G434="Pass/Fail",$K434&lt;&gt;""),"SCORE ON A PASS-FAIL CATEGORY - it is ignored",IF(AND($E434="Firearms",$J434&lt;&gt;"",$J434&lt;&gt;"Pending",$R434=""),"FIREARMS ROW WITH NO COURSE OF FIRE","OK"))))))</f>
        <v/>
      </c>
    </row>
    <row r="435">
      <c r="B435" s="17">
        <f>IF($C435="","",$D435&amp;"-"&amp;$E435&amp;"-"&amp;$I435)</f>
        <v/>
      </c>
      <c r="C435" s="16" t="n"/>
      <c r="D435" s="17">
        <f>IF($C435="","",IFERROR(INDEX(rngCadetPIDs,MATCH($C435,rngCadetNames,0)),"?"))</f>
        <v/>
      </c>
      <c r="E435" s="16" t="n"/>
      <c r="F435" s="17">
        <f>IF($E435="","",IFERROR(INDEX(rngSM_max,MATCH($E435,rngSM_cat,0)),""))</f>
        <v/>
      </c>
      <c r="G435" s="17">
        <f>IF($E435="","",IFERROR(INDEX(rngSM_mode,MATCH($E435,rngSM_cat,0)),""))</f>
        <v/>
      </c>
      <c r="H435" s="17">
        <f>IF($E435="","",IFERROR(INDEX(rngSM_pass,MATCH($E435,rngSM_cat,0)),""))</f>
        <v/>
      </c>
      <c r="I435" s="16" t="n"/>
      <c r="J435" s="16" t="n"/>
      <c r="K435" s="16" t="n"/>
      <c r="L435" s="18" t="n"/>
      <c r="M435" s="16" t="n"/>
      <c r="N435" s="17">
        <f>IF($C435="","",MAX(_xlfn.MAXIFS(nrSK_Att,nrSK_PID,$D435,nrSK_Cat,$E435,nrSK_Res,"Pass"),_xlfn.MAXIFS(nrSK_Att,nrSK_PID,$D435,nrSK_Cat,$E435,nrSK_Res,"Fail")))</f>
        <v/>
      </c>
      <c r="O435" s="17">
        <f>IF($C435="","",IF(AND(MAX(_xlfn.MAXIFS(nrSK_Att,nrSK_PID,$D435,nrSK_Cat,$E435,nrSK_Res,"Pass"),_xlfn.MAXIFS(nrSK_Att,nrSK_PID,$D435,nrSK_Cat,$E435,nrSK_Res,"Fail"))&gt;0,N($I435)&lt;MAX(_xlfn.MAXIFS(nrSK_Att,nrSK_PID,$D435,nrSK_Cat,$E435,nrSK_Res,"Pass"),_xlfn.MAXIFS(nrSK_Att,nrSK_PID,$D435,nrSK_Cat,$E435,nrSK_Res,"Fail"))),"(superseded)",IF(OR($J435="",$J435="Pending"),"Pending",IF($J435="Pass","Qualified",IF(AND($J435="Fail",$N435&gt;=$F435),"FAILED OUT","Needs Remediation")))))</f>
        <v/>
      </c>
      <c r="P435" s="17">
        <f>IF($C435="","",IF($O435="FAILED OUT","Yes","No"))</f>
        <v/>
      </c>
      <c r="Q435" s="16" t="n"/>
      <c r="R435" s="16" t="n"/>
      <c r="S435" s="17">
        <f>IF($C435="","",IF(AND($K435&lt;&gt;"",NOT(ISNUMBER($K435))),"SCORE NOT A NUMBER",IF(AND(ISNUMBER($K435),OR($K435&lt;0,$K435&gt;100)),"SCORE OUT OF RANGE - this score counts toward nothing",IF(AND($G435="Score",$K435="",$J435&lt;&gt;"",$J435&lt;&gt;"Pending"),"RESULT WITHOUT A SCORE",IF(AND($G435="Pass/Fail",$K435&lt;&gt;""),"SCORE ON A PASS-FAIL CATEGORY - it is ignored",IF(AND($E435="Firearms",$J435&lt;&gt;"",$J435&lt;&gt;"Pending",$R435=""),"FIREARMS ROW WITH NO COURSE OF FIRE","OK"))))))</f>
        <v/>
      </c>
    </row>
    <row r="436">
      <c r="B436" s="17">
        <f>IF($C436="","",$D436&amp;"-"&amp;$E436&amp;"-"&amp;$I436)</f>
        <v/>
      </c>
      <c r="C436" s="16" t="n"/>
      <c r="D436" s="17">
        <f>IF($C436="","",IFERROR(INDEX(rngCadetPIDs,MATCH($C436,rngCadetNames,0)),"?"))</f>
        <v/>
      </c>
      <c r="E436" s="16" t="n"/>
      <c r="F436" s="17">
        <f>IF($E436="","",IFERROR(INDEX(rngSM_max,MATCH($E436,rngSM_cat,0)),""))</f>
        <v/>
      </c>
      <c r="G436" s="17">
        <f>IF($E436="","",IFERROR(INDEX(rngSM_mode,MATCH($E436,rngSM_cat,0)),""))</f>
        <v/>
      </c>
      <c r="H436" s="17">
        <f>IF($E436="","",IFERROR(INDEX(rngSM_pass,MATCH($E436,rngSM_cat,0)),""))</f>
        <v/>
      </c>
      <c r="I436" s="16" t="n"/>
      <c r="J436" s="16" t="n"/>
      <c r="K436" s="16" t="n"/>
      <c r="L436" s="18" t="n"/>
      <c r="M436" s="16" t="n"/>
      <c r="N436" s="17">
        <f>IF($C436="","",MAX(_xlfn.MAXIFS(nrSK_Att,nrSK_PID,$D436,nrSK_Cat,$E436,nrSK_Res,"Pass"),_xlfn.MAXIFS(nrSK_Att,nrSK_PID,$D436,nrSK_Cat,$E436,nrSK_Res,"Fail")))</f>
        <v/>
      </c>
      <c r="O436" s="17">
        <f>IF($C436="","",IF(AND(MAX(_xlfn.MAXIFS(nrSK_Att,nrSK_PID,$D436,nrSK_Cat,$E436,nrSK_Res,"Pass"),_xlfn.MAXIFS(nrSK_Att,nrSK_PID,$D436,nrSK_Cat,$E436,nrSK_Res,"Fail"))&gt;0,N($I436)&lt;MAX(_xlfn.MAXIFS(nrSK_Att,nrSK_PID,$D436,nrSK_Cat,$E436,nrSK_Res,"Pass"),_xlfn.MAXIFS(nrSK_Att,nrSK_PID,$D436,nrSK_Cat,$E436,nrSK_Res,"Fail"))),"(superseded)",IF(OR($J436="",$J436="Pending"),"Pending",IF($J436="Pass","Qualified",IF(AND($J436="Fail",$N436&gt;=$F436),"FAILED OUT","Needs Remediation")))))</f>
        <v/>
      </c>
      <c r="P436" s="17">
        <f>IF($C436="","",IF($O436="FAILED OUT","Yes","No"))</f>
        <v/>
      </c>
      <c r="Q436" s="16" t="n"/>
      <c r="R436" s="16" t="n"/>
      <c r="S436" s="17">
        <f>IF($C436="","",IF(AND($K436&lt;&gt;"",NOT(ISNUMBER($K436))),"SCORE NOT A NUMBER",IF(AND(ISNUMBER($K436),OR($K436&lt;0,$K436&gt;100)),"SCORE OUT OF RANGE - this score counts toward nothing",IF(AND($G436="Score",$K436="",$J436&lt;&gt;"",$J436&lt;&gt;"Pending"),"RESULT WITHOUT A SCORE",IF(AND($G436="Pass/Fail",$K436&lt;&gt;""),"SCORE ON A PASS-FAIL CATEGORY - it is ignored",IF(AND($E436="Firearms",$J436&lt;&gt;"",$J436&lt;&gt;"Pending",$R436=""),"FIREARMS ROW WITH NO COURSE OF FIRE","OK"))))))</f>
        <v/>
      </c>
    </row>
    <row r="437">
      <c r="B437" s="17">
        <f>IF($C437="","",$D437&amp;"-"&amp;$E437&amp;"-"&amp;$I437)</f>
        <v/>
      </c>
      <c r="C437" s="16" t="n"/>
      <c r="D437" s="17">
        <f>IF($C437="","",IFERROR(INDEX(rngCadetPIDs,MATCH($C437,rngCadetNames,0)),"?"))</f>
        <v/>
      </c>
      <c r="E437" s="16" t="n"/>
      <c r="F437" s="17">
        <f>IF($E437="","",IFERROR(INDEX(rngSM_max,MATCH($E437,rngSM_cat,0)),""))</f>
        <v/>
      </c>
      <c r="G437" s="17">
        <f>IF($E437="","",IFERROR(INDEX(rngSM_mode,MATCH($E437,rngSM_cat,0)),""))</f>
        <v/>
      </c>
      <c r="H437" s="17">
        <f>IF($E437="","",IFERROR(INDEX(rngSM_pass,MATCH($E437,rngSM_cat,0)),""))</f>
        <v/>
      </c>
      <c r="I437" s="16" t="n"/>
      <c r="J437" s="16" t="n"/>
      <c r="K437" s="16" t="n"/>
      <c r="L437" s="18" t="n"/>
      <c r="M437" s="16" t="n"/>
      <c r="N437" s="17">
        <f>IF($C437="","",MAX(_xlfn.MAXIFS(nrSK_Att,nrSK_PID,$D437,nrSK_Cat,$E437,nrSK_Res,"Pass"),_xlfn.MAXIFS(nrSK_Att,nrSK_PID,$D437,nrSK_Cat,$E437,nrSK_Res,"Fail")))</f>
        <v/>
      </c>
      <c r="O437" s="17">
        <f>IF($C437="","",IF(AND(MAX(_xlfn.MAXIFS(nrSK_Att,nrSK_PID,$D437,nrSK_Cat,$E437,nrSK_Res,"Pass"),_xlfn.MAXIFS(nrSK_Att,nrSK_PID,$D437,nrSK_Cat,$E437,nrSK_Res,"Fail"))&gt;0,N($I437)&lt;MAX(_xlfn.MAXIFS(nrSK_Att,nrSK_PID,$D437,nrSK_Cat,$E437,nrSK_Res,"Pass"),_xlfn.MAXIFS(nrSK_Att,nrSK_PID,$D437,nrSK_Cat,$E437,nrSK_Res,"Fail"))),"(superseded)",IF(OR($J437="",$J437="Pending"),"Pending",IF($J437="Pass","Qualified",IF(AND($J437="Fail",$N437&gt;=$F437),"FAILED OUT","Needs Remediation")))))</f>
        <v/>
      </c>
      <c r="P437" s="17">
        <f>IF($C437="","",IF($O437="FAILED OUT","Yes","No"))</f>
        <v/>
      </c>
      <c r="Q437" s="16" t="n"/>
      <c r="R437" s="16" t="n"/>
      <c r="S437" s="17">
        <f>IF($C437="","",IF(AND($K437&lt;&gt;"",NOT(ISNUMBER($K437))),"SCORE NOT A NUMBER",IF(AND(ISNUMBER($K437),OR($K437&lt;0,$K437&gt;100)),"SCORE OUT OF RANGE - this score counts toward nothing",IF(AND($G437="Score",$K437="",$J437&lt;&gt;"",$J437&lt;&gt;"Pending"),"RESULT WITHOUT A SCORE",IF(AND($G437="Pass/Fail",$K437&lt;&gt;""),"SCORE ON A PASS-FAIL CATEGORY - it is ignored",IF(AND($E437="Firearms",$J437&lt;&gt;"",$J437&lt;&gt;"Pending",$R437=""),"FIREARMS ROW WITH NO COURSE OF FIRE","OK"))))))</f>
        <v/>
      </c>
    </row>
    <row r="438">
      <c r="B438" s="17">
        <f>IF($C438="","",$D438&amp;"-"&amp;$E438&amp;"-"&amp;$I438)</f>
        <v/>
      </c>
      <c r="C438" s="16" t="n"/>
      <c r="D438" s="17">
        <f>IF($C438="","",IFERROR(INDEX(rngCadetPIDs,MATCH($C438,rngCadetNames,0)),"?"))</f>
        <v/>
      </c>
      <c r="E438" s="16" t="n"/>
      <c r="F438" s="17">
        <f>IF($E438="","",IFERROR(INDEX(rngSM_max,MATCH($E438,rngSM_cat,0)),""))</f>
        <v/>
      </c>
      <c r="G438" s="17">
        <f>IF($E438="","",IFERROR(INDEX(rngSM_mode,MATCH($E438,rngSM_cat,0)),""))</f>
        <v/>
      </c>
      <c r="H438" s="17">
        <f>IF($E438="","",IFERROR(INDEX(rngSM_pass,MATCH($E438,rngSM_cat,0)),""))</f>
        <v/>
      </c>
      <c r="I438" s="16" t="n"/>
      <c r="J438" s="16" t="n"/>
      <c r="K438" s="16" t="n"/>
      <c r="L438" s="18" t="n"/>
      <c r="M438" s="16" t="n"/>
      <c r="N438" s="17">
        <f>IF($C438="","",MAX(_xlfn.MAXIFS(nrSK_Att,nrSK_PID,$D438,nrSK_Cat,$E438,nrSK_Res,"Pass"),_xlfn.MAXIFS(nrSK_Att,nrSK_PID,$D438,nrSK_Cat,$E438,nrSK_Res,"Fail")))</f>
        <v/>
      </c>
      <c r="O438" s="17">
        <f>IF($C438="","",IF(AND(MAX(_xlfn.MAXIFS(nrSK_Att,nrSK_PID,$D438,nrSK_Cat,$E438,nrSK_Res,"Pass"),_xlfn.MAXIFS(nrSK_Att,nrSK_PID,$D438,nrSK_Cat,$E438,nrSK_Res,"Fail"))&gt;0,N($I438)&lt;MAX(_xlfn.MAXIFS(nrSK_Att,nrSK_PID,$D438,nrSK_Cat,$E438,nrSK_Res,"Pass"),_xlfn.MAXIFS(nrSK_Att,nrSK_PID,$D438,nrSK_Cat,$E438,nrSK_Res,"Fail"))),"(superseded)",IF(OR($J438="",$J438="Pending"),"Pending",IF($J438="Pass","Qualified",IF(AND($J438="Fail",$N438&gt;=$F438),"FAILED OUT","Needs Remediation")))))</f>
        <v/>
      </c>
      <c r="P438" s="17">
        <f>IF($C438="","",IF($O438="FAILED OUT","Yes","No"))</f>
        <v/>
      </c>
      <c r="Q438" s="16" t="n"/>
      <c r="R438" s="16" t="n"/>
      <c r="S438" s="17">
        <f>IF($C438="","",IF(AND($K438&lt;&gt;"",NOT(ISNUMBER($K438))),"SCORE NOT A NUMBER",IF(AND(ISNUMBER($K438),OR($K438&lt;0,$K438&gt;100)),"SCORE OUT OF RANGE - this score counts toward nothing",IF(AND($G438="Score",$K438="",$J438&lt;&gt;"",$J438&lt;&gt;"Pending"),"RESULT WITHOUT A SCORE",IF(AND($G438="Pass/Fail",$K438&lt;&gt;""),"SCORE ON A PASS-FAIL CATEGORY - it is ignored",IF(AND($E438="Firearms",$J438&lt;&gt;"",$J438&lt;&gt;"Pending",$R438=""),"FIREARMS ROW WITH NO COURSE OF FIRE","OK"))))))</f>
        <v/>
      </c>
    </row>
    <row r="439">
      <c r="B439" s="17">
        <f>IF($C439="","",$D439&amp;"-"&amp;$E439&amp;"-"&amp;$I439)</f>
        <v/>
      </c>
      <c r="C439" s="16" t="n"/>
      <c r="D439" s="17">
        <f>IF($C439="","",IFERROR(INDEX(rngCadetPIDs,MATCH($C439,rngCadetNames,0)),"?"))</f>
        <v/>
      </c>
      <c r="E439" s="16" t="n"/>
      <c r="F439" s="17">
        <f>IF($E439="","",IFERROR(INDEX(rngSM_max,MATCH($E439,rngSM_cat,0)),""))</f>
        <v/>
      </c>
      <c r="G439" s="17">
        <f>IF($E439="","",IFERROR(INDEX(rngSM_mode,MATCH($E439,rngSM_cat,0)),""))</f>
        <v/>
      </c>
      <c r="H439" s="17">
        <f>IF($E439="","",IFERROR(INDEX(rngSM_pass,MATCH($E439,rngSM_cat,0)),""))</f>
        <v/>
      </c>
      <c r="I439" s="16" t="n"/>
      <c r="J439" s="16" t="n"/>
      <c r="K439" s="16" t="n"/>
      <c r="L439" s="18" t="n"/>
      <c r="M439" s="16" t="n"/>
      <c r="N439" s="17">
        <f>IF($C439="","",MAX(_xlfn.MAXIFS(nrSK_Att,nrSK_PID,$D439,nrSK_Cat,$E439,nrSK_Res,"Pass"),_xlfn.MAXIFS(nrSK_Att,nrSK_PID,$D439,nrSK_Cat,$E439,nrSK_Res,"Fail")))</f>
        <v/>
      </c>
      <c r="O439" s="17">
        <f>IF($C439="","",IF(AND(MAX(_xlfn.MAXIFS(nrSK_Att,nrSK_PID,$D439,nrSK_Cat,$E439,nrSK_Res,"Pass"),_xlfn.MAXIFS(nrSK_Att,nrSK_PID,$D439,nrSK_Cat,$E439,nrSK_Res,"Fail"))&gt;0,N($I439)&lt;MAX(_xlfn.MAXIFS(nrSK_Att,nrSK_PID,$D439,nrSK_Cat,$E439,nrSK_Res,"Pass"),_xlfn.MAXIFS(nrSK_Att,nrSK_PID,$D439,nrSK_Cat,$E439,nrSK_Res,"Fail"))),"(superseded)",IF(OR($J439="",$J439="Pending"),"Pending",IF($J439="Pass","Qualified",IF(AND($J439="Fail",$N439&gt;=$F439),"FAILED OUT","Needs Remediation")))))</f>
        <v/>
      </c>
      <c r="P439" s="17">
        <f>IF($C439="","",IF($O439="FAILED OUT","Yes","No"))</f>
        <v/>
      </c>
      <c r="Q439" s="16" t="n"/>
      <c r="R439" s="16" t="n"/>
      <c r="S439" s="17">
        <f>IF($C439="","",IF(AND($K439&lt;&gt;"",NOT(ISNUMBER($K439))),"SCORE NOT A NUMBER",IF(AND(ISNUMBER($K439),OR($K439&lt;0,$K439&gt;100)),"SCORE OUT OF RANGE - this score counts toward nothing",IF(AND($G439="Score",$K439="",$J439&lt;&gt;"",$J439&lt;&gt;"Pending"),"RESULT WITHOUT A SCORE",IF(AND($G439="Pass/Fail",$K439&lt;&gt;""),"SCORE ON A PASS-FAIL CATEGORY - it is ignored",IF(AND($E439="Firearms",$J439&lt;&gt;"",$J439&lt;&gt;"Pending",$R439=""),"FIREARMS ROW WITH NO COURSE OF FIRE","OK"))))))</f>
        <v/>
      </c>
    </row>
    <row r="440">
      <c r="B440" s="17">
        <f>IF($C440="","",$D440&amp;"-"&amp;$E440&amp;"-"&amp;$I440)</f>
        <v/>
      </c>
      <c r="C440" s="16" t="n"/>
      <c r="D440" s="17">
        <f>IF($C440="","",IFERROR(INDEX(rngCadetPIDs,MATCH($C440,rngCadetNames,0)),"?"))</f>
        <v/>
      </c>
      <c r="E440" s="16" t="n"/>
      <c r="F440" s="17">
        <f>IF($E440="","",IFERROR(INDEX(rngSM_max,MATCH($E440,rngSM_cat,0)),""))</f>
        <v/>
      </c>
      <c r="G440" s="17">
        <f>IF($E440="","",IFERROR(INDEX(rngSM_mode,MATCH($E440,rngSM_cat,0)),""))</f>
        <v/>
      </c>
      <c r="H440" s="17">
        <f>IF($E440="","",IFERROR(INDEX(rngSM_pass,MATCH($E440,rngSM_cat,0)),""))</f>
        <v/>
      </c>
      <c r="I440" s="16" t="n"/>
      <c r="J440" s="16" t="n"/>
      <c r="K440" s="16" t="n"/>
      <c r="L440" s="18" t="n"/>
      <c r="M440" s="16" t="n"/>
      <c r="N440" s="17">
        <f>IF($C440="","",MAX(_xlfn.MAXIFS(nrSK_Att,nrSK_PID,$D440,nrSK_Cat,$E440,nrSK_Res,"Pass"),_xlfn.MAXIFS(nrSK_Att,nrSK_PID,$D440,nrSK_Cat,$E440,nrSK_Res,"Fail")))</f>
        <v/>
      </c>
      <c r="O440" s="17">
        <f>IF($C440="","",IF(AND(MAX(_xlfn.MAXIFS(nrSK_Att,nrSK_PID,$D440,nrSK_Cat,$E440,nrSK_Res,"Pass"),_xlfn.MAXIFS(nrSK_Att,nrSK_PID,$D440,nrSK_Cat,$E440,nrSK_Res,"Fail"))&gt;0,N($I440)&lt;MAX(_xlfn.MAXIFS(nrSK_Att,nrSK_PID,$D440,nrSK_Cat,$E440,nrSK_Res,"Pass"),_xlfn.MAXIFS(nrSK_Att,nrSK_PID,$D440,nrSK_Cat,$E440,nrSK_Res,"Fail"))),"(superseded)",IF(OR($J440="",$J440="Pending"),"Pending",IF($J440="Pass","Qualified",IF(AND($J440="Fail",$N440&gt;=$F440),"FAILED OUT","Needs Remediation")))))</f>
        <v/>
      </c>
      <c r="P440" s="17">
        <f>IF($C440="","",IF($O440="FAILED OUT","Yes","No"))</f>
        <v/>
      </c>
      <c r="Q440" s="16" t="n"/>
      <c r="R440" s="16" t="n"/>
      <c r="S440" s="17">
        <f>IF($C440="","",IF(AND($K440&lt;&gt;"",NOT(ISNUMBER($K440))),"SCORE NOT A NUMBER",IF(AND(ISNUMBER($K440),OR($K440&lt;0,$K440&gt;100)),"SCORE OUT OF RANGE - this score counts toward nothing",IF(AND($G440="Score",$K440="",$J440&lt;&gt;"",$J440&lt;&gt;"Pending"),"RESULT WITHOUT A SCORE",IF(AND($G440="Pass/Fail",$K440&lt;&gt;""),"SCORE ON A PASS-FAIL CATEGORY - it is ignored",IF(AND($E440="Firearms",$J440&lt;&gt;"",$J440&lt;&gt;"Pending",$R440=""),"FIREARMS ROW WITH NO COURSE OF FIRE","OK"))))))</f>
        <v/>
      </c>
    </row>
    <row r="441">
      <c r="B441" s="17">
        <f>IF($C441="","",$D441&amp;"-"&amp;$E441&amp;"-"&amp;$I441)</f>
        <v/>
      </c>
      <c r="C441" s="16" t="n"/>
      <c r="D441" s="17">
        <f>IF($C441="","",IFERROR(INDEX(rngCadetPIDs,MATCH($C441,rngCadetNames,0)),"?"))</f>
        <v/>
      </c>
      <c r="E441" s="16" t="n"/>
      <c r="F441" s="17">
        <f>IF($E441="","",IFERROR(INDEX(rngSM_max,MATCH($E441,rngSM_cat,0)),""))</f>
        <v/>
      </c>
      <c r="G441" s="17">
        <f>IF($E441="","",IFERROR(INDEX(rngSM_mode,MATCH($E441,rngSM_cat,0)),""))</f>
        <v/>
      </c>
      <c r="H441" s="17">
        <f>IF($E441="","",IFERROR(INDEX(rngSM_pass,MATCH($E441,rngSM_cat,0)),""))</f>
        <v/>
      </c>
      <c r="I441" s="16" t="n"/>
      <c r="J441" s="16" t="n"/>
      <c r="K441" s="16" t="n"/>
      <c r="L441" s="18" t="n"/>
      <c r="M441" s="16" t="n"/>
      <c r="N441" s="17">
        <f>IF($C441="","",MAX(_xlfn.MAXIFS(nrSK_Att,nrSK_PID,$D441,nrSK_Cat,$E441,nrSK_Res,"Pass"),_xlfn.MAXIFS(nrSK_Att,nrSK_PID,$D441,nrSK_Cat,$E441,nrSK_Res,"Fail")))</f>
        <v/>
      </c>
      <c r="O441" s="17">
        <f>IF($C441="","",IF(AND(MAX(_xlfn.MAXIFS(nrSK_Att,nrSK_PID,$D441,nrSK_Cat,$E441,nrSK_Res,"Pass"),_xlfn.MAXIFS(nrSK_Att,nrSK_PID,$D441,nrSK_Cat,$E441,nrSK_Res,"Fail"))&gt;0,N($I441)&lt;MAX(_xlfn.MAXIFS(nrSK_Att,nrSK_PID,$D441,nrSK_Cat,$E441,nrSK_Res,"Pass"),_xlfn.MAXIFS(nrSK_Att,nrSK_PID,$D441,nrSK_Cat,$E441,nrSK_Res,"Fail"))),"(superseded)",IF(OR($J441="",$J441="Pending"),"Pending",IF($J441="Pass","Qualified",IF(AND($J441="Fail",$N441&gt;=$F441),"FAILED OUT","Needs Remediation")))))</f>
        <v/>
      </c>
      <c r="P441" s="17">
        <f>IF($C441="","",IF($O441="FAILED OUT","Yes","No"))</f>
        <v/>
      </c>
      <c r="Q441" s="16" t="n"/>
      <c r="R441" s="16" t="n"/>
      <c r="S441" s="17">
        <f>IF($C441="","",IF(AND($K441&lt;&gt;"",NOT(ISNUMBER($K441))),"SCORE NOT A NUMBER",IF(AND(ISNUMBER($K441),OR($K441&lt;0,$K441&gt;100)),"SCORE OUT OF RANGE - this score counts toward nothing",IF(AND($G441="Score",$K441="",$J441&lt;&gt;"",$J441&lt;&gt;"Pending"),"RESULT WITHOUT A SCORE",IF(AND($G441="Pass/Fail",$K441&lt;&gt;""),"SCORE ON A PASS-FAIL CATEGORY - it is ignored",IF(AND($E441="Firearms",$J441&lt;&gt;"",$J441&lt;&gt;"Pending",$R441=""),"FIREARMS ROW WITH NO COURSE OF FIRE","OK"))))))</f>
        <v/>
      </c>
    </row>
    <row r="442">
      <c r="B442" s="17">
        <f>IF($C442="","",$D442&amp;"-"&amp;$E442&amp;"-"&amp;$I442)</f>
        <v/>
      </c>
      <c r="C442" s="16" t="n"/>
      <c r="D442" s="17">
        <f>IF($C442="","",IFERROR(INDEX(rngCadetPIDs,MATCH($C442,rngCadetNames,0)),"?"))</f>
        <v/>
      </c>
      <c r="E442" s="16" t="n"/>
      <c r="F442" s="17">
        <f>IF($E442="","",IFERROR(INDEX(rngSM_max,MATCH($E442,rngSM_cat,0)),""))</f>
        <v/>
      </c>
      <c r="G442" s="17">
        <f>IF($E442="","",IFERROR(INDEX(rngSM_mode,MATCH($E442,rngSM_cat,0)),""))</f>
        <v/>
      </c>
      <c r="H442" s="17">
        <f>IF($E442="","",IFERROR(INDEX(rngSM_pass,MATCH($E442,rngSM_cat,0)),""))</f>
        <v/>
      </c>
      <c r="I442" s="16" t="n"/>
      <c r="J442" s="16" t="n"/>
      <c r="K442" s="16" t="n"/>
      <c r="L442" s="18" t="n"/>
      <c r="M442" s="16" t="n"/>
      <c r="N442" s="17">
        <f>IF($C442="","",MAX(_xlfn.MAXIFS(nrSK_Att,nrSK_PID,$D442,nrSK_Cat,$E442,nrSK_Res,"Pass"),_xlfn.MAXIFS(nrSK_Att,nrSK_PID,$D442,nrSK_Cat,$E442,nrSK_Res,"Fail")))</f>
        <v/>
      </c>
      <c r="O442" s="17">
        <f>IF($C442="","",IF(AND(MAX(_xlfn.MAXIFS(nrSK_Att,nrSK_PID,$D442,nrSK_Cat,$E442,nrSK_Res,"Pass"),_xlfn.MAXIFS(nrSK_Att,nrSK_PID,$D442,nrSK_Cat,$E442,nrSK_Res,"Fail"))&gt;0,N($I442)&lt;MAX(_xlfn.MAXIFS(nrSK_Att,nrSK_PID,$D442,nrSK_Cat,$E442,nrSK_Res,"Pass"),_xlfn.MAXIFS(nrSK_Att,nrSK_PID,$D442,nrSK_Cat,$E442,nrSK_Res,"Fail"))),"(superseded)",IF(OR($J442="",$J442="Pending"),"Pending",IF($J442="Pass","Qualified",IF(AND($J442="Fail",$N442&gt;=$F442),"FAILED OUT","Needs Remediation")))))</f>
        <v/>
      </c>
      <c r="P442" s="17">
        <f>IF($C442="","",IF($O442="FAILED OUT","Yes","No"))</f>
        <v/>
      </c>
      <c r="Q442" s="16" t="n"/>
      <c r="R442" s="16" t="n"/>
      <c r="S442" s="17">
        <f>IF($C442="","",IF(AND($K442&lt;&gt;"",NOT(ISNUMBER($K442))),"SCORE NOT A NUMBER",IF(AND(ISNUMBER($K442),OR($K442&lt;0,$K442&gt;100)),"SCORE OUT OF RANGE - this score counts toward nothing",IF(AND($G442="Score",$K442="",$J442&lt;&gt;"",$J442&lt;&gt;"Pending"),"RESULT WITHOUT A SCORE",IF(AND($G442="Pass/Fail",$K442&lt;&gt;""),"SCORE ON A PASS-FAIL CATEGORY - it is ignored",IF(AND($E442="Firearms",$J442&lt;&gt;"",$J442&lt;&gt;"Pending",$R442=""),"FIREARMS ROW WITH NO COURSE OF FIRE","OK"))))))</f>
        <v/>
      </c>
    </row>
    <row r="443">
      <c r="B443" s="17">
        <f>IF($C443="","",$D443&amp;"-"&amp;$E443&amp;"-"&amp;$I443)</f>
        <v/>
      </c>
      <c r="C443" s="16" t="n"/>
      <c r="D443" s="17">
        <f>IF($C443="","",IFERROR(INDEX(rngCadetPIDs,MATCH($C443,rngCadetNames,0)),"?"))</f>
        <v/>
      </c>
      <c r="E443" s="16" t="n"/>
      <c r="F443" s="17">
        <f>IF($E443="","",IFERROR(INDEX(rngSM_max,MATCH($E443,rngSM_cat,0)),""))</f>
        <v/>
      </c>
      <c r="G443" s="17">
        <f>IF($E443="","",IFERROR(INDEX(rngSM_mode,MATCH($E443,rngSM_cat,0)),""))</f>
        <v/>
      </c>
      <c r="H443" s="17">
        <f>IF($E443="","",IFERROR(INDEX(rngSM_pass,MATCH($E443,rngSM_cat,0)),""))</f>
        <v/>
      </c>
      <c r="I443" s="16" t="n"/>
      <c r="J443" s="16" t="n"/>
      <c r="K443" s="16" t="n"/>
      <c r="L443" s="18" t="n"/>
      <c r="M443" s="16" t="n"/>
      <c r="N443" s="17">
        <f>IF($C443="","",MAX(_xlfn.MAXIFS(nrSK_Att,nrSK_PID,$D443,nrSK_Cat,$E443,nrSK_Res,"Pass"),_xlfn.MAXIFS(nrSK_Att,nrSK_PID,$D443,nrSK_Cat,$E443,nrSK_Res,"Fail")))</f>
        <v/>
      </c>
      <c r="O443" s="17">
        <f>IF($C443="","",IF(AND(MAX(_xlfn.MAXIFS(nrSK_Att,nrSK_PID,$D443,nrSK_Cat,$E443,nrSK_Res,"Pass"),_xlfn.MAXIFS(nrSK_Att,nrSK_PID,$D443,nrSK_Cat,$E443,nrSK_Res,"Fail"))&gt;0,N($I443)&lt;MAX(_xlfn.MAXIFS(nrSK_Att,nrSK_PID,$D443,nrSK_Cat,$E443,nrSK_Res,"Pass"),_xlfn.MAXIFS(nrSK_Att,nrSK_PID,$D443,nrSK_Cat,$E443,nrSK_Res,"Fail"))),"(superseded)",IF(OR($J443="",$J443="Pending"),"Pending",IF($J443="Pass","Qualified",IF(AND($J443="Fail",$N443&gt;=$F443),"FAILED OUT","Needs Remediation")))))</f>
        <v/>
      </c>
      <c r="P443" s="17">
        <f>IF($C443="","",IF($O443="FAILED OUT","Yes","No"))</f>
        <v/>
      </c>
      <c r="Q443" s="16" t="n"/>
      <c r="R443" s="16" t="n"/>
      <c r="S443" s="17">
        <f>IF($C443="","",IF(AND($K443&lt;&gt;"",NOT(ISNUMBER($K443))),"SCORE NOT A NUMBER",IF(AND(ISNUMBER($K443),OR($K443&lt;0,$K443&gt;100)),"SCORE OUT OF RANGE - this score counts toward nothing",IF(AND($G443="Score",$K443="",$J443&lt;&gt;"",$J443&lt;&gt;"Pending"),"RESULT WITHOUT A SCORE",IF(AND($G443="Pass/Fail",$K443&lt;&gt;""),"SCORE ON A PASS-FAIL CATEGORY - it is ignored",IF(AND($E443="Firearms",$J443&lt;&gt;"",$J443&lt;&gt;"Pending",$R443=""),"FIREARMS ROW WITH NO COURSE OF FIRE","OK"))))))</f>
        <v/>
      </c>
    </row>
    <row r="444">
      <c r="B444" s="17">
        <f>IF($C444="","",$D444&amp;"-"&amp;$E444&amp;"-"&amp;$I444)</f>
        <v/>
      </c>
      <c r="C444" s="16" t="n"/>
      <c r="D444" s="17">
        <f>IF($C444="","",IFERROR(INDEX(rngCadetPIDs,MATCH($C444,rngCadetNames,0)),"?"))</f>
        <v/>
      </c>
      <c r="E444" s="16" t="n"/>
      <c r="F444" s="17">
        <f>IF($E444="","",IFERROR(INDEX(rngSM_max,MATCH($E444,rngSM_cat,0)),""))</f>
        <v/>
      </c>
      <c r="G444" s="17">
        <f>IF($E444="","",IFERROR(INDEX(rngSM_mode,MATCH($E444,rngSM_cat,0)),""))</f>
        <v/>
      </c>
      <c r="H444" s="17">
        <f>IF($E444="","",IFERROR(INDEX(rngSM_pass,MATCH($E444,rngSM_cat,0)),""))</f>
        <v/>
      </c>
      <c r="I444" s="16" t="n"/>
      <c r="J444" s="16" t="n"/>
      <c r="K444" s="16" t="n"/>
      <c r="L444" s="18" t="n"/>
      <c r="M444" s="16" t="n"/>
      <c r="N444" s="17">
        <f>IF($C444="","",MAX(_xlfn.MAXIFS(nrSK_Att,nrSK_PID,$D444,nrSK_Cat,$E444,nrSK_Res,"Pass"),_xlfn.MAXIFS(nrSK_Att,nrSK_PID,$D444,nrSK_Cat,$E444,nrSK_Res,"Fail")))</f>
        <v/>
      </c>
      <c r="O444" s="17">
        <f>IF($C444="","",IF(AND(MAX(_xlfn.MAXIFS(nrSK_Att,nrSK_PID,$D444,nrSK_Cat,$E444,nrSK_Res,"Pass"),_xlfn.MAXIFS(nrSK_Att,nrSK_PID,$D444,nrSK_Cat,$E444,nrSK_Res,"Fail"))&gt;0,N($I444)&lt;MAX(_xlfn.MAXIFS(nrSK_Att,nrSK_PID,$D444,nrSK_Cat,$E444,nrSK_Res,"Pass"),_xlfn.MAXIFS(nrSK_Att,nrSK_PID,$D444,nrSK_Cat,$E444,nrSK_Res,"Fail"))),"(superseded)",IF(OR($J444="",$J444="Pending"),"Pending",IF($J444="Pass","Qualified",IF(AND($J444="Fail",$N444&gt;=$F444),"FAILED OUT","Needs Remediation")))))</f>
        <v/>
      </c>
      <c r="P444" s="17">
        <f>IF($C444="","",IF($O444="FAILED OUT","Yes","No"))</f>
        <v/>
      </c>
      <c r="Q444" s="16" t="n"/>
      <c r="R444" s="16" t="n"/>
      <c r="S444" s="17">
        <f>IF($C444="","",IF(AND($K444&lt;&gt;"",NOT(ISNUMBER($K444))),"SCORE NOT A NUMBER",IF(AND(ISNUMBER($K444),OR($K444&lt;0,$K444&gt;100)),"SCORE OUT OF RANGE - this score counts toward nothing",IF(AND($G444="Score",$K444="",$J444&lt;&gt;"",$J444&lt;&gt;"Pending"),"RESULT WITHOUT A SCORE",IF(AND($G444="Pass/Fail",$K444&lt;&gt;""),"SCORE ON A PASS-FAIL CATEGORY - it is ignored",IF(AND($E444="Firearms",$J444&lt;&gt;"",$J444&lt;&gt;"Pending",$R444=""),"FIREARMS ROW WITH NO COURSE OF FIRE","OK"))))))</f>
        <v/>
      </c>
    </row>
    <row r="445">
      <c r="B445" s="17">
        <f>IF($C445="","",$D445&amp;"-"&amp;$E445&amp;"-"&amp;$I445)</f>
        <v/>
      </c>
      <c r="C445" s="16" t="n"/>
      <c r="D445" s="17">
        <f>IF($C445="","",IFERROR(INDEX(rngCadetPIDs,MATCH($C445,rngCadetNames,0)),"?"))</f>
        <v/>
      </c>
      <c r="E445" s="16" t="n"/>
      <c r="F445" s="17">
        <f>IF($E445="","",IFERROR(INDEX(rngSM_max,MATCH($E445,rngSM_cat,0)),""))</f>
        <v/>
      </c>
      <c r="G445" s="17">
        <f>IF($E445="","",IFERROR(INDEX(rngSM_mode,MATCH($E445,rngSM_cat,0)),""))</f>
        <v/>
      </c>
      <c r="H445" s="17">
        <f>IF($E445="","",IFERROR(INDEX(rngSM_pass,MATCH($E445,rngSM_cat,0)),""))</f>
        <v/>
      </c>
      <c r="I445" s="16" t="n"/>
      <c r="J445" s="16" t="n"/>
      <c r="K445" s="16" t="n"/>
      <c r="L445" s="18" t="n"/>
      <c r="M445" s="16" t="n"/>
      <c r="N445" s="17">
        <f>IF($C445="","",MAX(_xlfn.MAXIFS(nrSK_Att,nrSK_PID,$D445,nrSK_Cat,$E445,nrSK_Res,"Pass"),_xlfn.MAXIFS(nrSK_Att,nrSK_PID,$D445,nrSK_Cat,$E445,nrSK_Res,"Fail")))</f>
        <v/>
      </c>
      <c r="O445" s="17">
        <f>IF($C445="","",IF(AND(MAX(_xlfn.MAXIFS(nrSK_Att,nrSK_PID,$D445,nrSK_Cat,$E445,nrSK_Res,"Pass"),_xlfn.MAXIFS(nrSK_Att,nrSK_PID,$D445,nrSK_Cat,$E445,nrSK_Res,"Fail"))&gt;0,N($I445)&lt;MAX(_xlfn.MAXIFS(nrSK_Att,nrSK_PID,$D445,nrSK_Cat,$E445,nrSK_Res,"Pass"),_xlfn.MAXIFS(nrSK_Att,nrSK_PID,$D445,nrSK_Cat,$E445,nrSK_Res,"Fail"))),"(superseded)",IF(OR($J445="",$J445="Pending"),"Pending",IF($J445="Pass","Qualified",IF(AND($J445="Fail",$N445&gt;=$F445),"FAILED OUT","Needs Remediation")))))</f>
        <v/>
      </c>
      <c r="P445" s="17">
        <f>IF($C445="","",IF($O445="FAILED OUT","Yes","No"))</f>
        <v/>
      </c>
      <c r="Q445" s="16" t="n"/>
      <c r="R445" s="16" t="n"/>
      <c r="S445" s="17">
        <f>IF($C445="","",IF(AND($K445&lt;&gt;"",NOT(ISNUMBER($K445))),"SCORE NOT A NUMBER",IF(AND(ISNUMBER($K445),OR($K445&lt;0,$K445&gt;100)),"SCORE OUT OF RANGE - this score counts toward nothing",IF(AND($G445="Score",$K445="",$J445&lt;&gt;"",$J445&lt;&gt;"Pending"),"RESULT WITHOUT A SCORE",IF(AND($G445="Pass/Fail",$K445&lt;&gt;""),"SCORE ON A PASS-FAIL CATEGORY - it is ignored",IF(AND($E445="Firearms",$J445&lt;&gt;"",$J445&lt;&gt;"Pending",$R445=""),"FIREARMS ROW WITH NO COURSE OF FIRE","OK"))))))</f>
        <v/>
      </c>
    </row>
    <row r="446">
      <c r="B446" s="17">
        <f>IF($C446="","",$D446&amp;"-"&amp;$E446&amp;"-"&amp;$I446)</f>
        <v/>
      </c>
      <c r="C446" s="16" t="n"/>
      <c r="D446" s="17">
        <f>IF($C446="","",IFERROR(INDEX(rngCadetPIDs,MATCH($C446,rngCadetNames,0)),"?"))</f>
        <v/>
      </c>
      <c r="E446" s="16" t="n"/>
      <c r="F446" s="17">
        <f>IF($E446="","",IFERROR(INDEX(rngSM_max,MATCH($E446,rngSM_cat,0)),""))</f>
        <v/>
      </c>
      <c r="G446" s="17">
        <f>IF($E446="","",IFERROR(INDEX(rngSM_mode,MATCH($E446,rngSM_cat,0)),""))</f>
        <v/>
      </c>
      <c r="H446" s="17">
        <f>IF($E446="","",IFERROR(INDEX(rngSM_pass,MATCH($E446,rngSM_cat,0)),""))</f>
        <v/>
      </c>
      <c r="I446" s="16" t="n"/>
      <c r="J446" s="16" t="n"/>
      <c r="K446" s="16" t="n"/>
      <c r="L446" s="18" t="n"/>
      <c r="M446" s="16" t="n"/>
      <c r="N446" s="17">
        <f>IF($C446="","",MAX(_xlfn.MAXIFS(nrSK_Att,nrSK_PID,$D446,nrSK_Cat,$E446,nrSK_Res,"Pass"),_xlfn.MAXIFS(nrSK_Att,nrSK_PID,$D446,nrSK_Cat,$E446,nrSK_Res,"Fail")))</f>
        <v/>
      </c>
      <c r="O446" s="17">
        <f>IF($C446="","",IF(AND(MAX(_xlfn.MAXIFS(nrSK_Att,nrSK_PID,$D446,nrSK_Cat,$E446,nrSK_Res,"Pass"),_xlfn.MAXIFS(nrSK_Att,nrSK_PID,$D446,nrSK_Cat,$E446,nrSK_Res,"Fail"))&gt;0,N($I446)&lt;MAX(_xlfn.MAXIFS(nrSK_Att,nrSK_PID,$D446,nrSK_Cat,$E446,nrSK_Res,"Pass"),_xlfn.MAXIFS(nrSK_Att,nrSK_PID,$D446,nrSK_Cat,$E446,nrSK_Res,"Fail"))),"(superseded)",IF(OR($J446="",$J446="Pending"),"Pending",IF($J446="Pass","Qualified",IF(AND($J446="Fail",$N446&gt;=$F446),"FAILED OUT","Needs Remediation")))))</f>
        <v/>
      </c>
      <c r="P446" s="17">
        <f>IF($C446="","",IF($O446="FAILED OUT","Yes","No"))</f>
        <v/>
      </c>
      <c r="Q446" s="16" t="n"/>
      <c r="R446" s="16" t="n"/>
      <c r="S446" s="17">
        <f>IF($C446="","",IF(AND($K446&lt;&gt;"",NOT(ISNUMBER($K446))),"SCORE NOT A NUMBER",IF(AND(ISNUMBER($K446),OR($K446&lt;0,$K446&gt;100)),"SCORE OUT OF RANGE - this score counts toward nothing",IF(AND($G446="Score",$K446="",$J446&lt;&gt;"",$J446&lt;&gt;"Pending"),"RESULT WITHOUT A SCORE",IF(AND($G446="Pass/Fail",$K446&lt;&gt;""),"SCORE ON A PASS-FAIL CATEGORY - it is ignored",IF(AND($E446="Firearms",$J446&lt;&gt;"",$J446&lt;&gt;"Pending",$R446=""),"FIREARMS ROW WITH NO COURSE OF FIRE","OK"))))))</f>
        <v/>
      </c>
    </row>
    <row r="447">
      <c r="B447" s="17">
        <f>IF($C447="","",$D447&amp;"-"&amp;$E447&amp;"-"&amp;$I447)</f>
        <v/>
      </c>
      <c r="C447" s="16" t="n"/>
      <c r="D447" s="17">
        <f>IF($C447="","",IFERROR(INDEX(rngCadetPIDs,MATCH($C447,rngCadetNames,0)),"?"))</f>
        <v/>
      </c>
      <c r="E447" s="16" t="n"/>
      <c r="F447" s="17">
        <f>IF($E447="","",IFERROR(INDEX(rngSM_max,MATCH($E447,rngSM_cat,0)),""))</f>
        <v/>
      </c>
      <c r="G447" s="17">
        <f>IF($E447="","",IFERROR(INDEX(rngSM_mode,MATCH($E447,rngSM_cat,0)),""))</f>
        <v/>
      </c>
      <c r="H447" s="17">
        <f>IF($E447="","",IFERROR(INDEX(rngSM_pass,MATCH($E447,rngSM_cat,0)),""))</f>
        <v/>
      </c>
      <c r="I447" s="16" t="n"/>
      <c r="J447" s="16" t="n"/>
      <c r="K447" s="16" t="n"/>
      <c r="L447" s="18" t="n"/>
      <c r="M447" s="16" t="n"/>
      <c r="N447" s="17">
        <f>IF($C447="","",MAX(_xlfn.MAXIFS(nrSK_Att,nrSK_PID,$D447,nrSK_Cat,$E447,nrSK_Res,"Pass"),_xlfn.MAXIFS(nrSK_Att,nrSK_PID,$D447,nrSK_Cat,$E447,nrSK_Res,"Fail")))</f>
        <v/>
      </c>
      <c r="O447" s="17">
        <f>IF($C447="","",IF(AND(MAX(_xlfn.MAXIFS(nrSK_Att,nrSK_PID,$D447,nrSK_Cat,$E447,nrSK_Res,"Pass"),_xlfn.MAXIFS(nrSK_Att,nrSK_PID,$D447,nrSK_Cat,$E447,nrSK_Res,"Fail"))&gt;0,N($I447)&lt;MAX(_xlfn.MAXIFS(nrSK_Att,nrSK_PID,$D447,nrSK_Cat,$E447,nrSK_Res,"Pass"),_xlfn.MAXIFS(nrSK_Att,nrSK_PID,$D447,nrSK_Cat,$E447,nrSK_Res,"Fail"))),"(superseded)",IF(OR($J447="",$J447="Pending"),"Pending",IF($J447="Pass","Qualified",IF(AND($J447="Fail",$N447&gt;=$F447),"FAILED OUT","Needs Remediation")))))</f>
        <v/>
      </c>
      <c r="P447" s="17">
        <f>IF($C447="","",IF($O447="FAILED OUT","Yes","No"))</f>
        <v/>
      </c>
      <c r="Q447" s="16" t="n"/>
      <c r="R447" s="16" t="n"/>
      <c r="S447" s="17">
        <f>IF($C447="","",IF(AND($K447&lt;&gt;"",NOT(ISNUMBER($K447))),"SCORE NOT A NUMBER",IF(AND(ISNUMBER($K447),OR($K447&lt;0,$K447&gt;100)),"SCORE OUT OF RANGE - this score counts toward nothing",IF(AND($G447="Score",$K447="",$J447&lt;&gt;"",$J447&lt;&gt;"Pending"),"RESULT WITHOUT A SCORE",IF(AND($G447="Pass/Fail",$K447&lt;&gt;""),"SCORE ON A PASS-FAIL CATEGORY - it is ignored",IF(AND($E447="Firearms",$J447&lt;&gt;"",$J447&lt;&gt;"Pending",$R447=""),"FIREARMS ROW WITH NO COURSE OF FIRE","OK"))))))</f>
        <v/>
      </c>
    </row>
    <row r="448">
      <c r="B448" s="17">
        <f>IF($C448="","",$D448&amp;"-"&amp;$E448&amp;"-"&amp;$I448)</f>
        <v/>
      </c>
      <c r="C448" s="16" t="n"/>
      <c r="D448" s="17">
        <f>IF($C448="","",IFERROR(INDEX(rngCadetPIDs,MATCH($C448,rngCadetNames,0)),"?"))</f>
        <v/>
      </c>
      <c r="E448" s="16" t="n"/>
      <c r="F448" s="17">
        <f>IF($E448="","",IFERROR(INDEX(rngSM_max,MATCH($E448,rngSM_cat,0)),""))</f>
        <v/>
      </c>
      <c r="G448" s="17">
        <f>IF($E448="","",IFERROR(INDEX(rngSM_mode,MATCH($E448,rngSM_cat,0)),""))</f>
        <v/>
      </c>
      <c r="H448" s="17">
        <f>IF($E448="","",IFERROR(INDEX(rngSM_pass,MATCH($E448,rngSM_cat,0)),""))</f>
        <v/>
      </c>
      <c r="I448" s="16" t="n"/>
      <c r="J448" s="16" t="n"/>
      <c r="K448" s="16" t="n"/>
      <c r="L448" s="18" t="n"/>
      <c r="M448" s="16" t="n"/>
      <c r="N448" s="17">
        <f>IF($C448="","",MAX(_xlfn.MAXIFS(nrSK_Att,nrSK_PID,$D448,nrSK_Cat,$E448,nrSK_Res,"Pass"),_xlfn.MAXIFS(nrSK_Att,nrSK_PID,$D448,nrSK_Cat,$E448,nrSK_Res,"Fail")))</f>
        <v/>
      </c>
      <c r="O448" s="17">
        <f>IF($C448="","",IF(AND(MAX(_xlfn.MAXIFS(nrSK_Att,nrSK_PID,$D448,nrSK_Cat,$E448,nrSK_Res,"Pass"),_xlfn.MAXIFS(nrSK_Att,nrSK_PID,$D448,nrSK_Cat,$E448,nrSK_Res,"Fail"))&gt;0,N($I448)&lt;MAX(_xlfn.MAXIFS(nrSK_Att,nrSK_PID,$D448,nrSK_Cat,$E448,nrSK_Res,"Pass"),_xlfn.MAXIFS(nrSK_Att,nrSK_PID,$D448,nrSK_Cat,$E448,nrSK_Res,"Fail"))),"(superseded)",IF(OR($J448="",$J448="Pending"),"Pending",IF($J448="Pass","Qualified",IF(AND($J448="Fail",$N448&gt;=$F448),"FAILED OUT","Needs Remediation")))))</f>
        <v/>
      </c>
      <c r="P448" s="17">
        <f>IF($C448="","",IF($O448="FAILED OUT","Yes","No"))</f>
        <v/>
      </c>
      <c r="Q448" s="16" t="n"/>
      <c r="R448" s="16" t="n"/>
      <c r="S448" s="17">
        <f>IF($C448="","",IF(AND($K448&lt;&gt;"",NOT(ISNUMBER($K448))),"SCORE NOT A NUMBER",IF(AND(ISNUMBER($K448),OR($K448&lt;0,$K448&gt;100)),"SCORE OUT OF RANGE - this score counts toward nothing",IF(AND($G448="Score",$K448="",$J448&lt;&gt;"",$J448&lt;&gt;"Pending"),"RESULT WITHOUT A SCORE",IF(AND($G448="Pass/Fail",$K448&lt;&gt;""),"SCORE ON A PASS-FAIL CATEGORY - it is ignored",IF(AND($E448="Firearms",$J448&lt;&gt;"",$J448&lt;&gt;"Pending",$R448=""),"FIREARMS ROW WITH NO COURSE OF FIRE","OK"))))))</f>
        <v/>
      </c>
    </row>
    <row r="449">
      <c r="B449" s="17">
        <f>IF($C449="","",$D449&amp;"-"&amp;$E449&amp;"-"&amp;$I449)</f>
        <v/>
      </c>
      <c r="C449" s="16" t="n"/>
      <c r="D449" s="17">
        <f>IF($C449="","",IFERROR(INDEX(rngCadetPIDs,MATCH($C449,rngCadetNames,0)),"?"))</f>
        <v/>
      </c>
      <c r="E449" s="16" t="n"/>
      <c r="F449" s="17">
        <f>IF($E449="","",IFERROR(INDEX(rngSM_max,MATCH($E449,rngSM_cat,0)),""))</f>
        <v/>
      </c>
      <c r="G449" s="17">
        <f>IF($E449="","",IFERROR(INDEX(rngSM_mode,MATCH($E449,rngSM_cat,0)),""))</f>
        <v/>
      </c>
      <c r="H449" s="17">
        <f>IF($E449="","",IFERROR(INDEX(rngSM_pass,MATCH($E449,rngSM_cat,0)),""))</f>
        <v/>
      </c>
      <c r="I449" s="16" t="n"/>
      <c r="J449" s="16" t="n"/>
      <c r="K449" s="16" t="n"/>
      <c r="L449" s="18" t="n"/>
      <c r="M449" s="16" t="n"/>
      <c r="N449" s="17">
        <f>IF($C449="","",MAX(_xlfn.MAXIFS(nrSK_Att,nrSK_PID,$D449,nrSK_Cat,$E449,nrSK_Res,"Pass"),_xlfn.MAXIFS(nrSK_Att,nrSK_PID,$D449,nrSK_Cat,$E449,nrSK_Res,"Fail")))</f>
        <v/>
      </c>
      <c r="O449" s="17">
        <f>IF($C449="","",IF(AND(MAX(_xlfn.MAXIFS(nrSK_Att,nrSK_PID,$D449,nrSK_Cat,$E449,nrSK_Res,"Pass"),_xlfn.MAXIFS(nrSK_Att,nrSK_PID,$D449,nrSK_Cat,$E449,nrSK_Res,"Fail"))&gt;0,N($I449)&lt;MAX(_xlfn.MAXIFS(nrSK_Att,nrSK_PID,$D449,nrSK_Cat,$E449,nrSK_Res,"Pass"),_xlfn.MAXIFS(nrSK_Att,nrSK_PID,$D449,nrSK_Cat,$E449,nrSK_Res,"Fail"))),"(superseded)",IF(OR($J449="",$J449="Pending"),"Pending",IF($J449="Pass","Qualified",IF(AND($J449="Fail",$N449&gt;=$F449),"FAILED OUT","Needs Remediation")))))</f>
        <v/>
      </c>
      <c r="P449" s="17">
        <f>IF($C449="","",IF($O449="FAILED OUT","Yes","No"))</f>
        <v/>
      </c>
      <c r="Q449" s="16" t="n"/>
      <c r="R449" s="16" t="n"/>
      <c r="S449" s="17">
        <f>IF($C449="","",IF(AND($K449&lt;&gt;"",NOT(ISNUMBER($K449))),"SCORE NOT A NUMBER",IF(AND(ISNUMBER($K449),OR($K449&lt;0,$K449&gt;100)),"SCORE OUT OF RANGE - this score counts toward nothing",IF(AND($G449="Score",$K449="",$J449&lt;&gt;"",$J449&lt;&gt;"Pending"),"RESULT WITHOUT A SCORE",IF(AND($G449="Pass/Fail",$K449&lt;&gt;""),"SCORE ON A PASS-FAIL CATEGORY - it is ignored",IF(AND($E449="Firearms",$J449&lt;&gt;"",$J449&lt;&gt;"Pending",$R449=""),"FIREARMS ROW WITH NO COURSE OF FIRE","OK"))))))</f>
        <v/>
      </c>
    </row>
    <row r="450">
      <c r="B450" s="17">
        <f>IF($C450="","",$D450&amp;"-"&amp;$E450&amp;"-"&amp;$I450)</f>
        <v/>
      </c>
      <c r="C450" s="16" t="n"/>
      <c r="D450" s="17">
        <f>IF($C450="","",IFERROR(INDEX(rngCadetPIDs,MATCH($C450,rngCadetNames,0)),"?"))</f>
        <v/>
      </c>
      <c r="E450" s="16" t="n"/>
      <c r="F450" s="17">
        <f>IF($E450="","",IFERROR(INDEX(rngSM_max,MATCH($E450,rngSM_cat,0)),""))</f>
        <v/>
      </c>
      <c r="G450" s="17">
        <f>IF($E450="","",IFERROR(INDEX(rngSM_mode,MATCH($E450,rngSM_cat,0)),""))</f>
        <v/>
      </c>
      <c r="H450" s="17">
        <f>IF($E450="","",IFERROR(INDEX(rngSM_pass,MATCH($E450,rngSM_cat,0)),""))</f>
        <v/>
      </c>
      <c r="I450" s="16" t="n"/>
      <c r="J450" s="16" t="n"/>
      <c r="K450" s="16" t="n"/>
      <c r="L450" s="18" t="n"/>
      <c r="M450" s="16" t="n"/>
      <c r="N450" s="17">
        <f>IF($C450="","",MAX(_xlfn.MAXIFS(nrSK_Att,nrSK_PID,$D450,nrSK_Cat,$E450,nrSK_Res,"Pass"),_xlfn.MAXIFS(nrSK_Att,nrSK_PID,$D450,nrSK_Cat,$E450,nrSK_Res,"Fail")))</f>
        <v/>
      </c>
      <c r="O450" s="17">
        <f>IF($C450="","",IF(AND(MAX(_xlfn.MAXIFS(nrSK_Att,nrSK_PID,$D450,nrSK_Cat,$E450,nrSK_Res,"Pass"),_xlfn.MAXIFS(nrSK_Att,nrSK_PID,$D450,nrSK_Cat,$E450,nrSK_Res,"Fail"))&gt;0,N($I450)&lt;MAX(_xlfn.MAXIFS(nrSK_Att,nrSK_PID,$D450,nrSK_Cat,$E450,nrSK_Res,"Pass"),_xlfn.MAXIFS(nrSK_Att,nrSK_PID,$D450,nrSK_Cat,$E450,nrSK_Res,"Fail"))),"(superseded)",IF(OR($J450="",$J450="Pending"),"Pending",IF($J450="Pass","Qualified",IF(AND($J450="Fail",$N450&gt;=$F450),"FAILED OUT","Needs Remediation")))))</f>
        <v/>
      </c>
      <c r="P450" s="17">
        <f>IF($C450="","",IF($O450="FAILED OUT","Yes","No"))</f>
        <v/>
      </c>
      <c r="Q450" s="16" t="n"/>
      <c r="R450" s="16" t="n"/>
      <c r="S450" s="17">
        <f>IF($C450="","",IF(AND($K450&lt;&gt;"",NOT(ISNUMBER($K450))),"SCORE NOT A NUMBER",IF(AND(ISNUMBER($K450),OR($K450&lt;0,$K450&gt;100)),"SCORE OUT OF RANGE - this score counts toward nothing",IF(AND($G450="Score",$K450="",$J450&lt;&gt;"",$J450&lt;&gt;"Pending"),"RESULT WITHOUT A SCORE",IF(AND($G450="Pass/Fail",$K450&lt;&gt;""),"SCORE ON A PASS-FAIL CATEGORY - it is ignored",IF(AND($E450="Firearms",$J450&lt;&gt;"",$J450&lt;&gt;"Pending",$R450=""),"FIREARMS ROW WITH NO COURSE OF FIRE","OK"))))))</f>
        <v/>
      </c>
    </row>
    <row r="451">
      <c r="B451" s="17">
        <f>IF($C451="","",$D451&amp;"-"&amp;$E451&amp;"-"&amp;$I451)</f>
        <v/>
      </c>
      <c r="C451" s="16" t="n"/>
      <c r="D451" s="17">
        <f>IF($C451="","",IFERROR(INDEX(rngCadetPIDs,MATCH($C451,rngCadetNames,0)),"?"))</f>
        <v/>
      </c>
      <c r="E451" s="16" t="n"/>
      <c r="F451" s="17">
        <f>IF($E451="","",IFERROR(INDEX(rngSM_max,MATCH($E451,rngSM_cat,0)),""))</f>
        <v/>
      </c>
      <c r="G451" s="17">
        <f>IF($E451="","",IFERROR(INDEX(rngSM_mode,MATCH($E451,rngSM_cat,0)),""))</f>
        <v/>
      </c>
      <c r="H451" s="17">
        <f>IF($E451="","",IFERROR(INDEX(rngSM_pass,MATCH($E451,rngSM_cat,0)),""))</f>
        <v/>
      </c>
      <c r="I451" s="16" t="n"/>
      <c r="J451" s="16" t="n"/>
      <c r="K451" s="16" t="n"/>
      <c r="L451" s="18" t="n"/>
      <c r="M451" s="16" t="n"/>
      <c r="N451" s="17">
        <f>IF($C451="","",MAX(_xlfn.MAXIFS(nrSK_Att,nrSK_PID,$D451,nrSK_Cat,$E451,nrSK_Res,"Pass"),_xlfn.MAXIFS(nrSK_Att,nrSK_PID,$D451,nrSK_Cat,$E451,nrSK_Res,"Fail")))</f>
        <v/>
      </c>
      <c r="O451" s="17">
        <f>IF($C451="","",IF(AND(MAX(_xlfn.MAXIFS(nrSK_Att,nrSK_PID,$D451,nrSK_Cat,$E451,nrSK_Res,"Pass"),_xlfn.MAXIFS(nrSK_Att,nrSK_PID,$D451,nrSK_Cat,$E451,nrSK_Res,"Fail"))&gt;0,N($I451)&lt;MAX(_xlfn.MAXIFS(nrSK_Att,nrSK_PID,$D451,nrSK_Cat,$E451,nrSK_Res,"Pass"),_xlfn.MAXIFS(nrSK_Att,nrSK_PID,$D451,nrSK_Cat,$E451,nrSK_Res,"Fail"))),"(superseded)",IF(OR($J451="",$J451="Pending"),"Pending",IF($J451="Pass","Qualified",IF(AND($J451="Fail",$N451&gt;=$F451),"FAILED OUT","Needs Remediation")))))</f>
        <v/>
      </c>
      <c r="P451" s="17">
        <f>IF($C451="","",IF($O451="FAILED OUT","Yes","No"))</f>
        <v/>
      </c>
      <c r="Q451" s="16" t="n"/>
      <c r="R451" s="16" t="n"/>
      <c r="S451" s="17">
        <f>IF($C451="","",IF(AND($K451&lt;&gt;"",NOT(ISNUMBER($K451))),"SCORE NOT A NUMBER",IF(AND(ISNUMBER($K451),OR($K451&lt;0,$K451&gt;100)),"SCORE OUT OF RANGE - this score counts toward nothing",IF(AND($G451="Score",$K451="",$J451&lt;&gt;"",$J451&lt;&gt;"Pending"),"RESULT WITHOUT A SCORE",IF(AND($G451="Pass/Fail",$K451&lt;&gt;""),"SCORE ON A PASS-FAIL CATEGORY - it is ignored",IF(AND($E451="Firearms",$J451&lt;&gt;"",$J451&lt;&gt;"Pending",$R451=""),"FIREARMS ROW WITH NO COURSE OF FIRE","OK"))))))</f>
        <v/>
      </c>
    </row>
    <row r="452">
      <c r="B452" s="17">
        <f>IF($C452="","",$D452&amp;"-"&amp;$E452&amp;"-"&amp;$I452)</f>
        <v/>
      </c>
      <c r="C452" s="16" t="n"/>
      <c r="D452" s="17">
        <f>IF($C452="","",IFERROR(INDEX(rngCadetPIDs,MATCH($C452,rngCadetNames,0)),"?"))</f>
        <v/>
      </c>
      <c r="E452" s="16" t="n"/>
      <c r="F452" s="17">
        <f>IF($E452="","",IFERROR(INDEX(rngSM_max,MATCH($E452,rngSM_cat,0)),""))</f>
        <v/>
      </c>
      <c r="G452" s="17">
        <f>IF($E452="","",IFERROR(INDEX(rngSM_mode,MATCH($E452,rngSM_cat,0)),""))</f>
        <v/>
      </c>
      <c r="H452" s="17">
        <f>IF($E452="","",IFERROR(INDEX(rngSM_pass,MATCH($E452,rngSM_cat,0)),""))</f>
        <v/>
      </c>
      <c r="I452" s="16" t="n"/>
      <c r="J452" s="16" t="n"/>
      <c r="K452" s="16" t="n"/>
      <c r="L452" s="18" t="n"/>
      <c r="M452" s="16" t="n"/>
      <c r="N452" s="17">
        <f>IF($C452="","",MAX(_xlfn.MAXIFS(nrSK_Att,nrSK_PID,$D452,nrSK_Cat,$E452,nrSK_Res,"Pass"),_xlfn.MAXIFS(nrSK_Att,nrSK_PID,$D452,nrSK_Cat,$E452,nrSK_Res,"Fail")))</f>
        <v/>
      </c>
      <c r="O452" s="17">
        <f>IF($C452="","",IF(AND(MAX(_xlfn.MAXIFS(nrSK_Att,nrSK_PID,$D452,nrSK_Cat,$E452,nrSK_Res,"Pass"),_xlfn.MAXIFS(nrSK_Att,nrSK_PID,$D452,nrSK_Cat,$E452,nrSK_Res,"Fail"))&gt;0,N($I452)&lt;MAX(_xlfn.MAXIFS(nrSK_Att,nrSK_PID,$D452,nrSK_Cat,$E452,nrSK_Res,"Pass"),_xlfn.MAXIFS(nrSK_Att,nrSK_PID,$D452,nrSK_Cat,$E452,nrSK_Res,"Fail"))),"(superseded)",IF(OR($J452="",$J452="Pending"),"Pending",IF($J452="Pass","Qualified",IF(AND($J452="Fail",$N452&gt;=$F452),"FAILED OUT","Needs Remediation")))))</f>
        <v/>
      </c>
      <c r="P452" s="17">
        <f>IF($C452="","",IF($O452="FAILED OUT","Yes","No"))</f>
        <v/>
      </c>
      <c r="Q452" s="16" t="n"/>
      <c r="R452" s="16" t="n"/>
      <c r="S452" s="17">
        <f>IF($C452="","",IF(AND($K452&lt;&gt;"",NOT(ISNUMBER($K452))),"SCORE NOT A NUMBER",IF(AND(ISNUMBER($K452),OR($K452&lt;0,$K452&gt;100)),"SCORE OUT OF RANGE - this score counts toward nothing",IF(AND($G452="Score",$K452="",$J452&lt;&gt;"",$J452&lt;&gt;"Pending"),"RESULT WITHOUT A SCORE",IF(AND($G452="Pass/Fail",$K452&lt;&gt;""),"SCORE ON A PASS-FAIL CATEGORY - it is ignored",IF(AND($E452="Firearms",$J452&lt;&gt;"",$J452&lt;&gt;"Pending",$R452=""),"FIREARMS ROW WITH NO COURSE OF FIRE","OK"))))))</f>
        <v/>
      </c>
    </row>
    <row r="453">
      <c r="B453" s="17">
        <f>IF($C453="","",$D453&amp;"-"&amp;$E453&amp;"-"&amp;$I453)</f>
        <v/>
      </c>
      <c r="C453" s="16" t="n"/>
      <c r="D453" s="17">
        <f>IF($C453="","",IFERROR(INDEX(rngCadetPIDs,MATCH($C453,rngCadetNames,0)),"?"))</f>
        <v/>
      </c>
      <c r="E453" s="16" t="n"/>
      <c r="F453" s="17">
        <f>IF($E453="","",IFERROR(INDEX(rngSM_max,MATCH($E453,rngSM_cat,0)),""))</f>
        <v/>
      </c>
      <c r="G453" s="17">
        <f>IF($E453="","",IFERROR(INDEX(rngSM_mode,MATCH($E453,rngSM_cat,0)),""))</f>
        <v/>
      </c>
      <c r="H453" s="17">
        <f>IF($E453="","",IFERROR(INDEX(rngSM_pass,MATCH($E453,rngSM_cat,0)),""))</f>
        <v/>
      </c>
      <c r="I453" s="16" t="n"/>
      <c r="J453" s="16" t="n"/>
      <c r="K453" s="16" t="n"/>
      <c r="L453" s="18" t="n"/>
      <c r="M453" s="16" t="n"/>
      <c r="N453" s="17">
        <f>IF($C453="","",MAX(_xlfn.MAXIFS(nrSK_Att,nrSK_PID,$D453,nrSK_Cat,$E453,nrSK_Res,"Pass"),_xlfn.MAXIFS(nrSK_Att,nrSK_PID,$D453,nrSK_Cat,$E453,nrSK_Res,"Fail")))</f>
        <v/>
      </c>
      <c r="O453" s="17">
        <f>IF($C453="","",IF(AND(MAX(_xlfn.MAXIFS(nrSK_Att,nrSK_PID,$D453,nrSK_Cat,$E453,nrSK_Res,"Pass"),_xlfn.MAXIFS(nrSK_Att,nrSK_PID,$D453,nrSK_Cat,$E453,nrSK_Res,"Fail"))&gt;0,N($I453)&lt;MAX(_xlfn.MAXIFS(nrSK_Att,nrSK_PID,$D453,nrSK_Cat,$E453,nrSK_Res,"Pass"),_xlfn.MAXIFS(nrSK_Att,nrSK_PID,$D453,nrSK_Cat,$E453,nrSK_Res,"Fail"))),"(superseded)",IF(OR($J453="",$J453="Pending"),"Pending",IF($J453="Pass","Qualified",IF(AND($J453="Fail",$N453&gt;=$F453),"FAILED OUT","Needs Remediation")))))</f>
        <v/>
      </c>
      <c r="P453" s="17">
        <f>IF($C453="","",IF($O453="FAILED OUT","Yes","No"))</f>
        <v/>
      </c>
      <c r="Q453" s="16" t="n"/>
      <c r="R453" s="16" t="n"/>
      <c r="S453" s="17">
        <f>IF($C453="","",IF(AND($K453&lt;&gt;"",NOT(ISNUMBER($K453))),"SCORE NOT A NUMBER",IF(AND(ISNUMBER($K453),OR($K453&lt;0,$K453&gt;100)),"SCORE OUT OF RANGE - this score counts toward nothing",IF(AND($G453="Score",$K453="",$J453&lt;&gt;"",$J453&lt;&gt;"Pending"),"RESULT WITHOUT A SCORE",IF(AND($G453="Pass/Fail",$K453&lt;&gt;""),"SCORE ON A PASS-FAIL CATEGORY - it is ignored",IF(AND($E453="Firearms",$J453&lt;&gt;"",$J453&lt;&gt;"Pending",$R453=""),"FIREARMS ROW WITH NO COURSE OF FIRE","OK"))))))</f>
        <v/>
      </c>
    </row>
    <row r="454">
      <c r="B454" s="17">
        <f>IF($C454="","",$D454&amp;"-"&amp;$E454&amp;"-"&amp;$I454)</f>
        <v/>
      </c>
      <c r="C454" s="16" t="n"/>
      <c r="D454" s="17">
        <f>IF($C454="","",IFERROR(INDEX(rngCadetPIDs,MATCH($C454,rngCadetNames,0)),"?"))</f>
        <v/>
      </c>
      <c r="E454" s="16" t="n"/>
      <c r="F454" s="17">
        <f>IF($E454="","",IFERROR(INDEX(rngSM_max,MATCH($E454,rngSM_cat,0)),""))</f>
        <v/>
      </c>
      <c r="G454" s="17">
        <f>IF($E454="","",IFERROR(INDEX(rngSM_mode,MATCH($E454,rngSM_cat,0)),""))</f>
        <v/>
      </c>
      <c r="H454" s="17">
        <f>IF($E454="","",IFERROR(INDEX(rngSM_pass,MATCH($E454,rngSM_cat,0)),""))</f>
        <v/>
      </c>
      <c r="I454" s="16" t="n"/>
      <c r="J454" s="16" t="n"/>
      <c r="K454" s="16" t="n"/>
      <c r="L454" s="18" t="n"/>
      <c r="M454" s="16" t="n"/>
      <c r="N454" s="17">
        <f>IF($C454="","",MAX(_xlfn.MAXIFS(nrSK_Att,nrSK_PID,$D454,nrSK_Cat,$E454,nrSK_Res,"Pass"),_xlfn.MAXIFS(nrSK_Att,nrSK_PID,$D454,nrSK_Cat,$E454,nrSK_Res,"Fail")))</f>
        <v/>
      </c>
      <c r="O454" s="17">
        <f>IF($C454="","",IF(AND(MAX(_xlfn.MAXIFS(nrSK_Att,nrSK_PID,$D454,nrSK_Cat,$E454,nrSK_Res,"Pass"),_xlfn.MAXIFS(nrSK_Att,nrSK_PID,$D454,nrSK_Cat,$E454,nrSK_Res,"Fail"))&gt;0,N($I454)&lt;MAX(_xlfn.MAXIFS(nrSK_Att,nrSK_PID,$D454,nrSK_Cat,$E454,nrSK_Res,"Pass"),_xlfn.MAXIFS(nrSK_Att,nrSK_PID,$D454,nrSK_Cat,$E454,nrSK_Res,"Fail"))),"(superseded)",IF(OR($J454="",$J454="Pending"),"Pending",IF($J454="Pass","Qualified",IF(AND($J454="Fail",$N454&gt;=$F454),"FAILED OUT","Needs Remediation")))))</f>
        <v/>
      </c>
      <c r="P454" s="17">
        <f>IF($C454="","",IF($O454="FAILED OUT","Yes","No"))</f>
        <v/>
      </c>
      <c r="Q454" s="16" t="n"/>
      <c r="R454" s="16" t="n"/>
      <c r="S454" s="17">
        <f>IF($C454="","",IF(AND($K454&lt;&gt;"",NOT(ISNUMBER($K454))),"SCORE NOT A NUMBER",IF(AND(ISNUMBER($K454),OR($K454&lt;0,$K454&gt;100)),"SCORE OUT OF RANGE - this score counts toward nothing",IF(AND($G454="Score",$K454="",$J454&lt;&gt;"",$J454&lt;&gt;"Pending"),"RESULT WITHOUT A SCORE",IF(AND($G454="Pass/Fail",$K454&lt;&gt;""),"SCORE ON A PASS-FAIL CATEGORY - it is ignored",IF(AND($E454="Firearms",$J454&lt;&gt;"",$J454&lt;&gt;"Pending",$R454=""),"FIREARMS ROW WITH NO COURSE OF FIRE","OK"))))))</f>
        <v/>
      </c>
    </row>
    <row r="455">
      <c r="B455" s="17">
        <f>IF($C455="","",$D455&amp;"-"&amp;$E455&amp;"-"&amp;$I455)</f>
        <v/>
      </c>
      <c r="C455" s="16" t="n"/>
      <c r="D455" s="17">
        <f>IF($C455="","",IFERROR(INDEX(rngCadetPIDs,MATCH($C455,rngCadetNames,0)),"?"))</f>
        <v/>
      </c>
      <c r="E455" s="16" t="n"/>
      <c r="F455" s="17">
        <f>IF($E455="","",IFERROR(INDEX(rngSM_max,MATCH($E455,rngSM_cat,0)),""))</f>
        <v/>
      </c>
      <c r="G455" s="17">
        <f>IF($E455="","",IFERROR(INDEX(rngSM_mode,MATCH($E455,rngSM_cat,0)),""))</f>
        <v/>
      </c>
      <c r="H455" s="17">
        <f>IF($E455="","",IFERROR(INDEX(rngSM_pass,MATCH($E455,rngSM_cat,0)),""))</f>
        <v/>
      </c>
      <c r="I455" s="16" t="n"/>
      <c r="J455" s="16" t="n"/>
      <c r="K455" s="16" t="n"/>
      <c r="L455" s="18" t="n"/>
      <c r="M455" s="16" t="n"/>
      <c r="N455" s="17">
        <f>IF($C455="","",MAX(_xlfn.MAXIFS(nrSK_Att,nrSK_PID,$D455,nrSK_Cat,$E455,nrSK_Res,"Pass"),_xlfn.MAXIFS(nrSK_Att,nrSK_PID,$D455,nrSK_Cat,$E455,nrSK_Res,"Fail")))</f>
        <v/>
      </c>
      <c r="O455" s="17">
        <f>IF($C455="","",IF(AND(MAX(_xlfn.MAXIFS(nrSK_Att,nrSK_PID,$D455,nrSK_Cat,$E455,nrSK_Res,"Pass"),_xlfn.MAXIFS(nrSK_Att,nrSK_PID,$D455,nrSK_Cat,$E455,nrSK_Res,"Fail"))&gt;0,N($I455)&lt;MAX(_xlfn.MAXIFS(nrSK_Att,nrSK_PID,$D455,nrSK_Cat,$E455,nrSK_Res,"Pass"),_xlfn.MAXIFS(nrSK_Att,nrSK_PID,$D455,nrSK_Cat,$E455,nrSK_Res,"Fail"))),"(superseded)",IF(OR($J455="",$J455="Pending"),"Pending",IF($J455="Pass","Qualified",IF(AND($J455="Fail",$N455&gt;=$F455),"FAILED OUT","Needs Remediation")))))</f>
        <v/>
      </c>
      <c r="P455" s="17">
        <f>IF($C455="","",IF($O455="FAILED OUT","Yes","No"))</f>
        <v/>
      </c>
      <c r="Q455" s="16" t="n"/>
      <c r="R455" s="16" t="n"/>
      <c r="S455" s="17">
        <f>IF($C455="","",IF(AND($K455&lt;&gt;"",NOT(ISNUMBER($K455))),"SCORE NOT A NUMBER",IF(AND(ISNUMBER($K455),OR($K455&lt;0,$K455&gt;100)),"SCORE OUT OF RANGE - this score counts toward nothing",IF(AND($G455="Score",$K455="",$J455&lt;&gt;"",$J455&lt;&gt;"Pending"),"RESULT WITHOUT A SCORE",IF(AND($G455="Pass/Fail",$K455&lt;&gt;""),"SCORE ON A PASS-FAIL CATEGORY - it is ignored",IF(AND($E455="Firearms",$J455&lt;&gt;"",$J455&lt;&gt;"Pending",$R455=""),"FIREARMS ROW WITH NO COURSE OF FIRE","OK"))))))</f>
        <v/>
      </c>
    </row>
    <row r="456">
      <c r="B456" s="17">
        <f>IF($C456="","",$D456&amp;"-"&amp;$E456&amp;"-"&amp;$I456)</f>
        <v/>
      </c>
      <c r="C456" s="16" t="n"/>
      <c r="D456" s="17">
        <f>IF($C456="","",IFERROR(INDEX(rngCadetPIDs,MATCH($C456,rngCadetNames,0)),"?"))</f>
        <v/>
      </c>
      <c r="E456" s="16" t="n"/>
      <c r="F456" s="17">
        <f>IF($E456="","",IFERROR(INDEX(rngSM_max,MATCH($E456,rngSM_cat,0)),""))</f>
        <v/>
      </c>
      <c r="G456" s="17">
        <f>IF($E456="","",IFERROR(INDEX(rngSM_mode,MATCH($E456,rngSM_cat,0)),""))</f>
        <v/>
      </c>
      <c r="H456" s="17">
        <f>IF($E456="","",IFERROR(INDEX(rngSM_pass,MATCH($E456,rngSM_cat,0)),""))</f>
        <v/>
      </c>
      <c r="I456" s="16" t="n"/>
      <c r="J456" s="16" t="n"/>
      <c r="K456" s="16" t="n"/>
      <c r="L456" s="18" t="n"/>
      <c r="M456" s="16" t="n"/>
      <c r="N456" s="17">
        <f>IF($C456="","",MAX(_xlfn.MAXIFS(nrSK_Att,nrSK_PID,$D456,nrSK_Cat,$E456,nrSK_Res,"Pass"),_xlfn.MAXIFS(nrSK_Att,nrSK_PID,$D456,nrSK_Cat,$E456,nrSK_Res,"Fail")))</f>
        <v/>
      </c>
      <c r="O456" s="17">
        <f>IF($C456="","",IF(AND(MAX(_xlfn.MAXIFS(nrSK_Att,nrSK_PID,$D456,nrSK_Cat,$E456,nrSK_Res,"Pass"),_xlfn.MAXIFS(nrSK_Att,nrSK_PID,$D456,nrSK_Cat,$E456,nrSK_Res,"Fail"))&gt;0,N($I456)&lt;MAX(_xlfn.MAXIFS(nrSK_Att,nrSK_PID,$D456,nrSK_Cat,$E456,nrSK_Res,"Pass"),_xlfn.MAXIFS(nrSK_Att,nrSK_PID,$D456,nrSK_Cat,$E456,nrSK_Res,"Fail"))),"(superseded)",IF(OR($J456="",$J456="Pending"),"Pending",IF($J456="Pass","Qualified",IF(AND($J456="Fail",$N456&gt;=$F456),"FAILED OUT","Needs Remediation")))))</f>
        <v/>
      </c>
      <c r="P456" s="17">
        <f>IF($C456="","",IF($O456="FAILED OUT","Yes","No"))</f>
        <v/>
      </c>
      <c r="Q456" s="16" t="n"/>
      <c r="R456" s="16" t="n"/>
      <c r="S456" s="17">
        <f>IF($C456="","",IF(AND($K456&lt;&gt;"",NOT(ISNUMBER($K456))),"SCORE NOT A NUMBER",IF(AND(ISNUMBER($K456),OR($K456&lt;0,$K456&gt;100)),"SCORE OUT OF RANGE - this score counts toward nothing",IF(AND($G456="Score",$K456="",$J456&lt;&gt;"",$J456&lt;&gt;"Pending"),"RESULT WITHOUT A SCORE",IF(AND($G456="Pass/Fail",$K456&lt;&gt;""),"SCORE ON A PASS-FAIL CATEGORY - it is ignored",IF(AND($E456="Firearms",$J456&lt;&gt;"",$J456&lt;&gt;"Pending",$R456=""),"FIREARMS ROW WITH NO COURSE OF FIRE","OK"))))))</f>
        <v/>
      </c>
    </row>
    <row r="457">
      <c r="B457" s="17">
        <f>IF($C457="","",$D457&amp;"-"&amp;$E457&amp;"-"&amp;$I457)</f>
        <v/>
      </c>
      <c r="C457" s="16" t="n"/>
      <c r="D457" s="17">
        <f>IF($C457="","",IFERROR(INDEX(rngCadetPIDs,MATCH($C457,rngCadetNames,0)),"?"))</f>
        <v/>
      </c>
      <c r="E457" s="16" t="n"/>
      <c r="F457" s="17">
        <f>IF($E457="","",IFERROR(INDEX(rngSM_max,MATCH($E457,rngSM_cat,0)),""))</f>
        <v/>
      </c>
      <c r="G457" s="17">
        <f>IF($E457="","",IFERROR(INDEX(rngSM_mode,MATCH($E457,rngSM_cat,0)),""))</f>
        <v/>
      </c>
      <c r="H457" s="17">
        <f>IF($E457="","",IFERROR(INDEX(rngSM_pass,MATCH($E457,rngSM_cat,0)),""))</f>
        <v/>
      </c>
      <c r="I457" s="16" t="n"/>
      <c r="J457" s="16" t="n"/>
      <c r="K457" s="16" t="n"/>
      <c r="L457" s="18" t="n"/>
      <c r="M457" s="16" t="n"/>
      <c r="N457" s="17">
        <f>IF($C457="","",MAX(_xlfn.MAXIFS(nrSK_Att,nrSK_PID,$D457,nrSK_Cat,$E457,nrSK_Res,"Pass"),_xlfn.MAXIFS(nrSK_Att,nrSK_PID,$D457,nrSK_Cat,$E457,nrSK_Res,"Fail")))</f>
        <v/>
      </c>
      <c r="O457" s="17">
        <f>IF($C457="","",IF(AND(MAX(_xlfn.MAXIFS(nrSK_Att,nrSK_PID,$D457,nrSK_Cat,$E457,nrSK_Res,"Pass"),_xlfn.MAXIFS(nrSK_Att,nrSK_PID,$D457,nrSK_Cat,$E457,nrSK_Res,"Fail"))&gt;0,N($I457)&lt;MAX(_xlfn.MAXIFS(nrSK_Att,nrSK_PID,$D457,nrSK_Cat,$E457,nrSK_Res,"Pass"),_xlfn.MAXIFS(nrSK_Att,nrSK_PID,$D457,nrSK_Cat,$E457,nrSK_Res,"Fail"))),"(superseded)",IF(OR($J457="",$J457="Pending"),"Pending",IF($J457="Pass","Qualified",IF(AND($J457="Fail",$N457&gt;=$F457),"FAILED OUT","Needs Remediation")))))</f>
        <v/>
      </c>
      <c r="P457" s="17">
        <f>IF($C457="","",IF($O457="FAILED OUT","Yes","No"))</f>
        <v/>
      </c>
      <c r="Q457" s="16" t="n"/>
      <c r="R457" s="16" t="n"/>
      <c r="S457" s="17">
        <f>IF($C457="","",IF(AND($K457&lt;&gt;"",NOT(ISNUMBER($K457))),"SCORE NOT A NUMBER",IF(AND(ISNUMBER($K457),OR($K457&lt;0,$K457&gt;100)),"SCORE OUT OF RANGE - this score counts toward nothing",IF(AND($G457="Score",$K457="",$J457&lt;&gt;"",$J457&lt;&gt;"Pending"),"RESULT WITHOUT A SCORE",IF(AND($G457="Pass/Fail",$K457&lt;&gt;""),"SCORE ON A PASS-FAIL CATEGORY - it is ignored",IF(AND($E457="Firearms",$J457&lt;&gt;"",$J457&lt;&gt;"Pending",$R457=""),"FIREARMS ROW WITH NO COURSE OF FIRE","OK"))))))</f>
        <v/>
      </c>
    </row>
    <row r="458">
      <c r="B458" s="17">
        <f>IF($C458="","",$D458&amp;"-"&amp;$E458&amp;"-"&amp;$I458)</f>
        <v/>
      </c>
      <c r="C458" s="16" t="n"/>
      <c r="D458" s="17">
        <f>IF($C458="","",IFERROR(INDEX(rngCadetPIDs,MATCH($C458,rngCadetNames,0)),"?"))</f>
        <v/>
      </c>
      <c r="E458" s="16" t="n"/>
      <c r="F458" s="17">
        <f>IF($E458="","",IFERROR(INDEX(rngSM_max,MATCH($E458,rngSM_cat,0)),""))</f>
        <v/>
      </c>
      <c r="G458" s="17">
        <f>IF($E458="","",IFERROR(INDEX(rngSM_mode,MATCH($E458,rngSM_cat,0)),""))</f>
        <v/>
      </c>
      <c r="H458" s="17">
        <f>IF($E458="","",IFERROR(INDEX(rngSM_pass,MATCH($E458,rngSM_cat,0)),""))</f>
        <v/>
      </c>
      <c r="I458" s="16" t="n"/>
      <c r="J458" s="16" t="n"/>
      <c r="K458" s="16" t="n"/>
      <c r="L458" s="18" t="n"/>
      <c r="M458" s="16" t="n"/>
      <c r="N458" s="17">
        <f>IF($C458="","",MAX(_xlfn.MAXIFS(nrSK_Att,nrSK_PID,$D458,nrSK_Cat,$E458,nrSK_Res,"Pass"),_xlfn.MAXIFS(nrSK_Att,nrSK_PID,$D458,nrSK_Cat,$E458,nrSK_Res,"Fail")))</f>
        <v/>
      </c>
      <c r="O458" s="17">
        <f>IF($C458="","",IF(AND(MAX(_xlfn.MAXIFS(nrSK_Att,nrSK_PID,$D458,nrSK_Cat,$E458,nrSK_Res,"Pass"),_xlfn.MAXIFS(nrSK_Att,nrSK_PID,$D458,nrSK_Cat,$E458,nrSK_Res,"Fail"))&gt;0,N($I458)&lt;MAX(_xlfn.MAXIFS(nrSK_Att,nrSK_PID,$D458,nrSK_Cat,$E458,nrSK_Res,"Pass"),_xlfn.MAXIFS(nrSK_Att,nrSK_PID,$D458,nrSK_Cat,$E458,nrSK_Res,"Fail"))),"(superseded)",IF(OR($J458="",$J458="Pending"),"Pending",IF($J458="Pass","Qualified",IF(AND($J458="Fail",$N458&gt;=$F458),"FAILED OUT","Needs Remediation")))))</f>
        <v/>
      </c>
      <c r="P458" s="17">
        <f>IF($C458="","",IF($O458="FAILED OUT","Yes","No"))</f>
        <v/>
      </c>
      <c r="Q458" s="16" t="n"/>
      <c r="R458" s="16" t="n"/>
      <c r="S458" s="17">
        <f>IF($C458="","",IF(AND($K458&lt;&gt;"",NOT(ISNUMBER($K458))),"SCORE NOT A NUMBER",IF(AND(ISNUMBER($K458),OR($K458&lt;0,$K458&gt;100)),"SCORE OUT OF RANGE - this score counts toward nothing",IF(AND($G458="Score",$K458="",$J458&lt;&gt;"",$J458&lt;&gt;"Pending"),"RESULT WITHOUT A SCORE",IF(AND($G458="Pass/Fail",$K458&lt;&gt;""),"SCORE ON A PASS-FAIL CATEGORY - it is ignored",IF(AND($E458="Firearms",$J458&lt;&gt;"",$J458&lt;&gt;"Pending",$R458=""),"FIREARMS ROW WITH NO COURSE OF FIRE","OK"))))))</f>
        <v/>
      </c>
    </row>
    <row r="459">
      <c r="B459" s="17">
        <f>IF($C459="","",$D459&amp;"-"&amp;$E459&amp;"-"&amp;$I459)</f>
        <v/>
      </c>
      <c r="C459" s="16" t="n"/>
      <c r="D459" s="17">
        <f>IF($C459="","",IFERROR(INDEX(rngCadetPIDs,MATCH($C459,rngCadetNames,0)),"?"))</f>
        <v/>
      </c>
      <c r="E459" s="16" t="n"/>
      <c r="F459" s="17">
        <f>IF($E459="","",IFERROR(INDEX(rngSM_max,MATCH($E459,rngSM_cat,0)),""))</f>
        <v/>
      </c>
      <c r="G459" s="17">
        <f>IF($E459="","",IFERROR(INDEX(rngSM_mode,MATCH($E459,rngSM_cat,0)),""))</f>
        <v/>
      </c>
      <c r="H459" s="17">
        <f>IF($E459="","",IFERROR(INDEX(rngSM_pass,MATCH($E459,rngSM_cat,0)),""))</f>
        <v/>
      </c>
      <c r="I459" s="16" t="n"/>
      <c r="J459" s="16" t="n"/>
      <c r="K459" s="16" t="n"/>
      <c r="L459" s="18" t="n"/>
      <c r="M459" s="16" t="n"/>
      <c r="N459" s="17">
        <f>IF($C459="","",MAX(_xlfn.MAXIFS(nrSK_Att,nrSK_PID,$D459,nrSK_Cat,$E459,nrSK_Res,"Pass"),_xlfn.MAXIFS(nrSK_Att,nrSK_PID,$D459,nrSK_Cat,$E459,nrSK_Res,"Fail")))</f>
        <v/>
      </c>
      <c r="O459" s="17">
        <f>IF($C459="","",IF(AND(MAX(_xlfn.MAXIFS(nrSK_Att,nrSK_PID,$D459,nrSK_Cat,$E459,nrSK_Res,"Pass"),_xlfn.MAXIFS(nrSK_Att,nrSK_PID,$D459,nrSK_Cat,$E459,nrSK_Res,"Fail"))&gt;0,N($I459)&lt;MAX(_xlfn.MAXIFS(nrSK_Att,nrSK_PID,$D459,nrSK_Cat,$E459,nrSK_Res,"Pass"),_xlfn.MAXIFS(nrSK_Att,nrSK_PID,$D459,nrSK_Cat,$E459,nrSK_Res,"Fail"))),"(superseded)",IF(OR($J459="",$J459="Pending"),"Pending",IF($J459="Pass","Qualified",IF(AND($J459="Fail",$N459&gt;=$F459),"FAILED OUT","Needs Remediation")))))</f>
        <v/>
      </c>
      <c r="P459" s="17">
        <f>IF($C459="","",IF($O459="FAILED OUT","Yes","No"))</f>
        <v/>
      </c>
      <c r="Q459" s="16" t="n"/>
      <c r="R459" s="16" t="n"/>
      <c r="S459" s="17">
        <f>IF($C459="","",IF(AND($K459&lt;&gt;"",NOT(ISNUMBER($K459))),"SCORE NOT A NUMBER",IF(AND(ISNUMBER($K459),OR($K459&lt;0,$K459&gt;100)),"SCORE OUT OF RANGE - this score counts toward nothing",IF(AND($G459="Score",$K459="",$J459&lt;&gt;"",$J459&lt;&gt;"Pending"),"RESULT WITHOUT A SCORE",IF(AND($G459="Pass/Fail",$K459&lt;&gt;""),"SCORE ON A PASS-FAIL CATEGORY - it is ignored",IF(AND($E459="Firearms",$J459&lt;&gt;"",$J459&lt;&gt;"Pending",$R459=""),"FIREARMS ROW WITH NO COURSE OF FIRE","OK"))))))</f>
        <v/>
      </c>
    </row>
    <row r="460">
      <c r="B460" s="17">
        <f>IF($C460="","",$D460&amp;"-"&amp;$E460&amp;"-"&amp;$I460)</f>
        <v/>
      </c>
      <c r="C460" s="16" t="n"/>
      <c r="D460" s="17">
        <f>IF($C460="","",IFERROR(INDEX(rngCadetPIDs,MATCH($C460,rngCadetNames,0)),"?"))</f>
        <v/>
      </c>
      <c r="E460" s="16" t="n"/>
      <c r="F460" s="17">
        <f>IF($E460="","",IFERROR(INDEX(rngSM_max,MATCH($E460,rngSM_cat,0)),""))</f>
        <v/>
      </c>
      <c r="G460" s="17">
        <f>IF($E460="","",IFERROR(INDEX(rngSM_mode,MATCH($E460,rngSM_cat,0)),""))</f>
        <v/>
      </c>
      <c r="H460" s="17">
        <f>IF($E460="","",IFERROR(INDEX(rngSM_pass,MATCH($E460,rngSM_cat,0)),""))</f>
        <v/>
      </c>
      <c r="I460" s="16" t="n"/>
      <c r="J460" s="16" t="n"/>
      <c r="K460" s="16" t="n"/>
      <c r="L460" s="18" t="n"/>
      <c r="M460" s="16" t="n"/>
      <c r="N460" s="17">
        <f>IF($C460="","",MAX(_xlfn.MAXIFS(nrSK_Att,nrSK_PID,$D460,nrSK_Cat,$E460,nrSK_Res,"Pass"),_xlfn.MAXIFS(nrSK_Att,nrSK_PID,$D460,nrSK_Cat,$E460,nrSK_Res,"Fail")))</f>
        <v/>
      </c>
      <c r="O460" s="17">
        <f>IF($C460="","",IF(AND(MAX(_xlfn.MAXIFS(nrSK_Att,nrSK_PID,$D460,nrSK_Cat,$E460,nrSK_Res,"Pass"),_xlfn.MAXIFS(nrSK_Att,nrSK_PID,$D460,nrSK_Cat,$E460,nrSK_Res,"Fail"))&gt;0,N($I460)&lt;MAX(_xlfn.MAXIFS(nrSK_Att,nrSK_PID,$D460,nrSK_Cat,$E460,nrSK_Res,"Pass"),_xlfn.MAXIFS(nrSK_Att,nrSK_PID,$D460,nrSK_Cat,$E460,nrSK_Res,"Fail"))),"(superseded)",IF(OR($J460="",$J460="Pending"),"Pending",IF($J460="Pass","Qualified",IF(AND($J460="Fail",$N460&gt;=$F460),"FAILED OUT","Needs Remediation")))))</f>
        <v/>
      </c>
      <c r="P460" s="17">
        <f>IF($C460="","",IF($O460="FAILED OUT","Yes","No"))</f>
        <v/>
      </c>
      <c r="Q460" s="16" t="n"/>
      <c r="R460" s="16" t="n"/>
      <c r="S460" s="17">
        <f>IF($C460="","",IF(AND($K460&lt;&gt;"",NOT(ISNUMBER($K460))),"SCORE NOT A NUMBER",IF(AND(ISNUMBER($K460),OR($K460&lt;0,$K460&gt;100)),"SCORE OUT OF RANGE - this score counts toward nothing",IF(AND($G460="Score",$K460="",$J460&lt;&gt;"",$J460&lt;&gt;"Pending"),"RESULT WITHOUT A SCORE",IF(AND($G460="Pass/Fail",$K460&lt;&gt;""),"SCORE ON A PASS-FAIL CATEGORY - it is ignored",IF(AND($E460="Firearms",$J460&lt;&gt;"",$J460&lt;&gt;"Pending",$R460=""),"FIREARMS ROW WITH NO COURSE OF FIRE","OK"))))))</f>
        <v/>
      </c>
    </row>
    <row r="461">
      <c r="B461" s="17">
        <f>IF($C461="","",$D461&amp;"-"&amp;$E461&amp;"-"&amp;$I461)</f>
        <v/>
      </c>
      <c r="C461" s="16" t="n"/>
      <c r="D461" s="17">
        <f>IF($C461="","",IFERROR(INDEX(rngCadetPIDs,MATCH($C461,rngCadetNames,0)),"?"))</f>
        <v/>
      </c>
      <c r="E461" s="16" t="n"/>
      <c r="F461" s="17">
        <f>IF($E461="","",IFERROR(INDEX(rngSM_max,MATCH($E461,rngSM_cat,0)),""))</f>
        <v/>
      </c>
      <c r="G461" s="17">
        <f>IF($E461="","",IFERROR(INDEX(rngSM_mode,MATCH($E461,rngSM_cat,0)),""))</f>
        <v/>
      </c>
      <c r="H461" s="17">
        <f>IF($E461="","",IFERROR(INDEX(rngSM_pass,MATCH($E461,rngSM_cat,0)),""))</f>
        <v/>
      </c>
      <c r="I461" s="16" t="n"/>
      <c r="J461" s="16" t="n"/>
      <c r="K461" s="16" t="n"/>
      <c r="L461" s="18" t="n"/>
      <c r="M461" s="16" t="n"/>
      <c r="N461" s="17">
        <f>IF($C461="","",MAX(_xlfn.MAXIFS(nrSK_Att,nrSK_PID,$D461,nrSK_Cat,$E461,nrSK_Res,"Pass"),_xlfn.MAXIFS(nrSK_Att,nrSK_PID,$D461,nrSK_Cat,$E461,nrSK_Res,"Fail")))</f>
        <v/>
      </c>
      <c r="O461" s="17">
        <f>IF($C461="","",IF(AND(MAX(_xlfn.MAXIFS(nrSK_Att,nrSK_PID,$D461,nrSK_Cat,$E461,nrSK_Res,"Pass"),_xlfn.MAXIFS(nrSK_Att,nrSK_PID,$D461,nrSK_Cat,$E461,nrSK_Res,"Fail"))&gt;0,N($I461)&lt;MAX(_xlfn.MAXIFS(nrSK_Att,nrSK_PID,$D461,nrSK_Cat,$E461,nrSK_Res,"Pass"),_xlfn.MAXIFS(nrSK_Att,nrSK_PID,$D461,nrSK_Cat,$E461,nrSK_Res,"Fail"))),"(superseded)",IF(OR($J461="",$J461="Pending"),"Pending",IF($J461="Pass","Qualified",IF(AND($J461="Fail",$N461&gt;=$F461),"FAILED OUT","Needs Remediation")))))</f>
        <v/>
      </c>
      <c r="P461" s="17">
        <f>IF($C461="","",IF($O461="FAILED OUT","Yes","No"))</f>
        <v/>
      </c>
      <c r="Q461" s="16" t="n"/>
      <c r="R461" s="16" t="n"/>
      <c r="S461" s="17">
        <f>IF($C461="","",IF(AND($K461&lt;&gt;"",NOT(ISNUMBER($K461))),"SCORE NOT A NUMBER",IF(AND(ISNUMBER($K461),OR($K461&lt;0,$K461&gt;100)),"SCORE OUT OF RANGE - this score counts toward nothing",IF(AND($G461="Score",$K461="",$J461&lt;&gt;"",$J461&lt;&gt;"Pending"),"RESULT WITHOUT A SCORE",IF(AND($G461="Pass/Fail",$K461&lt;&gt;""),"SCORE ON A PASS-FAIL CATEGORY - it is ignored",IF(AND($E461="Firearms",$J461&lt;&gt;"",$J461&lt;&gt;"Pending",$R461=""),"FIREARMS ROW WITH NO COURSE OF FIRE","OK"))))))</f>
        <v/>
      </c>
    </row>
    <row r="462">
      <c r="B462" s="17">
        <f>IF($C462="","",$D462&amp;"-"&amp;$E462&amp;"-"&amp;$I462)</f>
        <v/>
      </c>
      <c r="C462" s="16" t="n"/>
      <c r="D462" s="17">
        <f>IF($C462="","",IFERROR(INDEX(rngCadetPIDs,MATCH($C462,rngCadetNames,0)),"?"))</f>
        <v/>
      </c>
      <c r="E462" s="16" t="n"/>
      <c r="F462" s="17">
        <f>IF($E462="","",IFERROR(INDEX(rngSM_max,MATCH($E462,rngSM_cat,0)),""))</f>
        <v/>
      </c>
      <c r="G462" s="17">
        <f>IF($E462="","",IFERROR(INDEX(rngSM_mode,MATCH($E462,rngSM_cat,0)),""))</f>
        <v/>
      </c>
      <c r="H462" s="17">
        <f>IF($E462="","",IFERROR(INDEX(rngSM_pass,MATCH($E462,rngSM_cat,0)),""))</f>
        <v/>
      </c>
      <c r="I462" s="16" t="n"/>
      <c r="J462" s="16" t="n"/>
      <c r="K462" s="16" t="n"/>
      <c r="L462" s="18" t="n"/>
      <c r="M462" s="16" t="n"/>
      <c r="N462" s="17">
        <f>IF($C462="","",MAX(_xlfn.MAXIFS(nrSK_Att,nrSK_PID,$D462,nrSK_Cat,$E462,nrSK_Res,"Pass"),_xlfn.MAXIFS(nrSK_Att,nrSK_PID,$D462,nrSK_Cat,$E462,nrSK_Res,"Fail")))</f>
        <v/>
      </c>
      <c r="O462" s="17">
        <f>IF($C462="","",IF(AND(MAX(_xlfn.MAXIFS(nrSK_Att,nrSK_PID,$D462,nrSK_Cat,$E462,nrSK_Res,"Pass"),_xlfn.MAXIFS(nrSK_Att,nrSK_PID,$D462,nrSK_Cat,$E462,nrSK_Res,"Fail"))&gt;0,N($I462)&lt;MAX(_xlfn.MAXIFS(nrSK_Att,nrSK_PID,$D462,nrSK_Cat,$E462,nrSK_Res,"Pass"),_xlfn.MAXIFS(nrSK_Att,nrSK_PID,$D462,nrSK_Cat,$E462,nrSK_Res,"Fail"))),"(superseded)",IF(OR($J462="",$J462="Pending"),"Pending",IF($J462="Pass","Qualified",IF(AND($J462="Fail",$N462&gt;=$F462),"FAILED OUT","Needs Remediation")))))</f>
        <v/>
      </c>
      <c r="P462" s="17">
        <f>IF($C462="","",IF($O462="FAILED OUT","Yes","No"))</f>
        <v/>
      </c>
      <c r="Q462" s="16" t="n"/>
      <c r="R462" s="16" t="n"/>
      <c r="S462" s="17">
        <f>IF($C462="","",IF(AND($K462&lt;&gt;"",NOT(ISNUMBER($K462))),"SCORE NOT A NUMBER",IF(AND(ISNUMBER($K462),OR($K462&lt;0,$K462&gt;100)),"SCORE OUT OF RANGE - this score counts toward nothing",IF(AND($G462="Score",$K462="",$J462&lt;&gt;"",$J462&lt;&gt;"Pending"),"RESULT WITHOUT A SCORE",IF(AND($G462="Pass/Fail",$K462&lt;&gt;""),"SCORE ON A PASS-FAIL CATEGORY - it is ignored",IF(AND($E462="Firearms",$J462&lt;&gt;"",$J462&lt;&gt;"Pending",$R462=""),"FIREARMS ROW WITH NO COURSE OF FIRE","OK"))))))</f>
        <v/>
      </c>
    </row>
    <row r="463">
      <c r="B463" s="17">
        <f>IF($C463="","",$D463&amp;"-"&amp;$E463&amp;"-"&amp;$I463)</f>
        <v/>
      </c>
      <c r="C463" s="16" t="n"/>
      <c r="D463" s="17">
        <f>IF($C463="","",IFERROR(INDEX(rngCadetPIDs,MATCH($C463,rngCadetNames,0)),"?"))</f>
        <v/>
      </c>
      <c r="E463" s="16" t="n"/>
      <c r="F463" s="17">
        <f>IF($E463="","",IFERROR(INDEX(rngSM_max,MATCH($E463,rngSM_cat,0)),""))</f>
        <v/>
      </c>
      <c r="G463" s="17">
        <f>IF($E463="","",IFERROR(INDEX(rngSM_mode,MATCH($E463,rngSM_cat,0)),""))</f>
        <v/>
      </c>
      <c r="H463" s="17">
        <f>IF($E463="","",IFERROR(INDEX(rngSM_pass,MATCH($E463,rngSM_cat,0)),""))</f>
        <v/>
      </c>
      <c r="I463" s="16" t="n"/>
      <c r="J463" s="16" t="n"/>
      <c r="K463" s="16" t="n"/>
      <c r="L463" s="18" t="n"/>
      <c r="M463" s="16" t="n"/>
      <c r="N463" s="17">
        <f>IF($C463="","",MAX(_xlfn.MAXIFS(nrSK_Att,nrSK_PID,$D463,nrSK_Cat,$E463,nrSK_Res,"Pass"),_xlfn.MAXIFS(nrSK_Att,nrSK_PID,$D463,nrSK_Cat,$E463,nrSK_Res,"Fail")))</f>
        <v/>
      </c>
      <c r="O463" s="17">
        <f>IF($C463="","",IF(AND(MAX(_xlfn.MAXIFS(nrSK_Att,nrSK_PID,$D463,nrSK_Cat,$E463,nrSK_Res,"Pass"),_xlfn.MAXIFS(nrSK_Att,nrSK_PID,$D463,nrSK_Cat,$E463,nrSK_Res,"Fail"))&gt;0,N($I463)&lt;MAX(_xlfn.MAXIFS(nrSK_Att,nrSK_PID,$D463,nrSK_Cat,$E463,nrSK_Res,"Pass"),_xlfn.MAXIFS(nrSK_Att,nrSK_PID,$D463,nrSK_Cat,$E463,nrSK_Res,"Fail"))),"(superseded)",IF(OR($J463="",$J463="Pending"),"Pending",IF($J463="Pass","Qualified",IF(AND($J463="Fail",$N463&gt;=$F463),"FAILED OUT","Needs Remediation")))))</f>
        <v/>
      </c>
      <c r="P463" s="17">
        <f>IF($C463="","",IF($O463="FAILED OUT","Yes","No"))</f>
        <v/>
      </c>
      <c r="Q463" s="16" t="n"/>
      <c r="R463" s="16" t="n"/>
      <c r="S463" s="17">
        <f>IF($C463="","",IF(AND($K463&lt;&gt;"",NOT(ISNUMBER($K463))),"SCORE NOT A NUMBER",IF(AND(ISNUMBER($K463),OR($K463&lt;0,$K463&gt;100)),"SCORE OUT OF RANGE - this score counts toward nothing",IF(AND($G463="Score",$K463="",$J463&lt;&gt;"",$J463&lt;&gt;"Pending"),"RESULT WITHOUT A SCORE",IF(AND($G463="Pass/Fail",$K463&lt;&gt;""),"SCORE ON A PASS-FAIL CATEGORY - it is ignored",IF(AND($E463="Firearms",$J463&lt;&gt;"",$J463&lt;&gt;"Pending",$R463=""),"FIREARMS ROW WITH NO COURSE OF FIRE","OK"))))))</f>
        <v/>
      </c>
    </row>
    <row r="464">
      <c r="B464" s="17">
        <f>IF($C464="","",$D464&amp;"-"&amp;$E464&amp;"-"&amp;$I464)</f>
        <v/>
      </c>
      <c r="C464" s="16" t="n"/>
      <c r="D464" s="17">
        <f>IF($C464="","",IFERROR(INDEX(rngCadetPIDs,MATCH($C464,rngCadetNames,0)),"?"))</f>
        <v/>
      </c>
      <c r="E464" s="16" t="n"/>
      <c r="F464" s="17">
        <f>IF($E464="","",IFERROR(INDEX(rngSM_max,MATCH($E464,rngSM_cat,0)),""))</f>
        <v/>
      </c>
      <c r="G464" s="17">
        <f>IF($E464="","",IFERROR(INDEX(rngSM_mode,MATCH($E464,rngSM_cat,0)),""))</f>
        <v/>
      </c>
      <c r="H464" s="17">
        <f>IF($E464="","",IFERROR(INDEX(rngSM_pass,MATCH($E464,rngSM_cat,0)),""))</f>
        <v/>
      </c>
      <c r="I464" s="16" t="n"/>
      <c r="J464" s="16" t="n"/>
      <c r="K464" s="16" t="n"/>
      <c r="L464" s="18" t="n"/>
      <c r="M464" s="16" t="n"/>
      <c r="N464" s="17">
        <f>IF($C464="","",MAX(_xlfn.MAXIFS(nrSK_Att,nrSK_PID,$D464,nrSK_Cat,$E464,nrSK_Res,"Pass"),_xlfn.MAXIFS(nrSK_Att,nrSK_PID,$D464,nrSK_Cat,$E464,nrSK_Res,"Fail")))</f>
        <v/>
      </c>
      <c r="O464" s="17">
        <f>IF($C464="","",IF(AND(MAX(_xlfn.MAXIFS(nrSK_Att,nrSK_PID,$D464,nrSK_Cat,$E464,nrSK_Res,"Pass"),_xlfn.MAXIFS(nrSK_Att,nrSK_PID,$D464,nrSK_Cat,$E464,nrSK_Res,"Fail"))&gt;0,N($I464)&lt;MAX(_xlfn.MAXIFS(nrSK_Att,nrSK_PID,$D464,nrSK_Cat,$E464,nrSK_Res,"Pass"),_xlfn.MAXIFS(nrSK_Att,nrSK_PID,$D464,nrSK_Cat,$E464,nrSK_Res,"Fail"))),"(superseded)",IF(OR($J464="",$J464="Pending"),"Pending",IF($J464="Pass","Qualified",IF(AND($J464="Fail",$N464&gt;=$F464),"FAILED OUT","Needs Remediation")))))</f>
        <v/>
      </c>
      <c r="P464" s="17">
        <f>IF($C464="","",IF($O464="FAILED OUT","Yes","No"))</f>
        <v/>
      </c>
      <c r="Q464" s="16" t="n"/>
      <c r="R464" s="16" t="n"/>
      <c r="S464" s="17">
        <f>IF($C464="","",IF(AND($K464&lt;&gt;"",NOT(ISNUMBER($K464))),"SCORE NOT A NUMBER",IF(AND(ISNUMBER($K464),OR($K464&lt;0,$K464&gt;100)),"SCORE OUT OF RANGE - this score counts toward nothing",IF(AND($G464="Score",$K464="",$J464&lt;&gt;"",$J464&lt;&gt;"Pending"),"RESULT WITHOUT A SCORE",IF(AND($G464="Pass/Fail",$K464&lt;&gt;""),"SCORE ON A PASS-FAIL CATEGORY - it is ignored",IF(AND($E464="Firearms",$J464&lt;&gt;"",$J464&lt;&gt;"Pending",$R464=""),"FIREARMS ROW WITH NO COURSE OF FIRE","OK"))))))</f>
        <v/>
      </c>
    </row>
    <row r="465">
      <c r="B465" s="17">
        <f>IF($C465="","",$D465&amp;"-"&amp;$E465&amp;"-"&amp;$I465)</f>
        <v/>
      </c>
      <c r="C465" s="16" t="n"/>
      <c r="D465" s="17">
        <f>IF($C465="","",IFERROR(INDEX(rngCadetPIDs,MATCH($C465,rngCadetNames,0)),"?"))</f>
        <v/>
      </c>
      <c r="E465" s="16" t="n"/>
      <c r="F465" s="17">
        <f>IF($E465="","",IFERROR(INDEX(rngSM_max,MATCH($E465,rngSM_cat,0)),""))</f>
        <v/>
      </c>
      <c r="G465" s="17">
        <f>IF($E465="","",IFERROR(INDEX(rngSM_mode,MATCH($E465,rngSM_cat,0)),""))</f>
        <v/>
      </c>
      <c r="H465" s="17">
        <f>IF($E465="","",IFERROR(INDEX(rngSM_pass,MATCH($E465,rngSM_cat,0)),""))</f>
        <v/>
      </c>
      <c r="I465" s="16" t="n"/>
      <c r="J465" s="16" t="n"/>
      <c r="K465" s="16" t="n"/>
      <c r="L465" s="18" t="n"/>
      <c r="M465" s="16" t="n"/>
      <c r="N465" s="17">
        <f>IF($C465="","",MAX(_xlfn.MAXIFS(nrSK_Att,nrSK_PID,$D465,nrSK_Cat,$E465,nrSK_Res,"Pass"),_xlfn.MAXIFS(nrSK_Att,nrSK_PID,$D465,nrSK_Cat,$E465,nrSK_Res,"Fail")))</f>
        <v/>
      </c>
      <c r="O465" s="17">
        <f>IF($C465="","",IF(AND(MAX(_xlfn.MAXIFS(nrSK_Att,nrSK_PID,$D465,nrSK_Cat,$E465,nrSK_Res,"Pass"),_xlfn.MAXIFS(nrSK_Att,nrSK_PID,$D465,nrSK_Cat,$E465,nrSK_Res,"Fail"))&gt;0,N($I465)&lt;MAX(_xlfn.MAXIFS(nrSK_Att,nrSK_PID,$D465,nrSK_Cat,$E465,nrSK_Res,"Pass"),_xlfn.MAXIFS(nrSK_Att,nrSK_PID,$D465,nrSK_Cat,$E465,nrSK_Res,"Fail"))),"(superseded)",IF(OR($J465="",$J465="Pending"),"Pending",IF($J465="Pass","Qualified",IF(AND($J465="Fail",$N465&gt;=$F465),"FAILED OUT","Needs Remediation")))))</f>
        <v/>
      </c>
      <c r="P465" s="17">
        <f>IF($C465="","",IF($O465="FAILED OUT","Yes","No"))</f>
        <v/>
      </c>
      <c r="Q465" s="16" t="n"/>
      <c r="R465" s="16" t="n"/>
      <c r="S465" s="17">
        <f>IF($C465="","",IF(AND($K465&lt;&gt;"",NOT(ISNUMBER($K465))),"SCORE NOT A NUMBER",IF(AND(ISNUMBER($K465),OR($K465&lt;0,$K465&gt;100)),"SCORE OUT OF RANGE - this score counts toward nothing",IF(AND($G465="Score",$K465="",$J465&lt;&gt;"",$J465&lt;&gt;"Pending"),"RESULT WITHOUT A SCORE",IF(AND($G465="Pass/Fail",$K465&lt;&gt;""),"SCORE ON A PASS-FAIL CATEGORY - it is ignored",IF(AND($E465="Firearms",$J465&lt;&gt;"",$J465&lt;&gt;"Pending",$R465=""),"FIREARMS ROW WITH NO COURSE OF FIRE","OK"))))))</f>
        <v/>
      </c>
    </row>
    <row r="466">
      <c r="B466" s="17">
        <f>IF($C466="","",$D466&amp;"-"&amp;$E466&amp;"-"&amp;$I466)</f>
        <v/>
      </c>
      <c r="C466" s="16" t="n"/>
      <c r="D466" s="17">
        <f>IF($C466="","",IFERROR(INDEX(rngCadetPIDs,MATCH($C466,rngCadetNames,0)),"?"))</f>
        <v/>
      </c>
      <c r="E466" s="16" t="n"/>
      <c r="F466" s="17">
        <f>IF($E466="","",IFERROR(INDEX(rngSM_max,MATCH($E466,rngSM_cat,0)),""))</f>
        <v/>
      </c>
      <c r="G466" s="17">
        <f>IF($E466="","",IFERROR(INDEX(rngSM_mode,MATCH($E466,rngSM_cat,0)),""))</f>
        <v/>
      </c>
      <c r="H466" s="17">
        <f>IF($E466="","",IFERROR(INDEX(rngSM_pass,MATCH($E466,rngSM_cat,0)),""))</f>
        <v/>
      </c>
      <c r="I466" s="16" t="n"/>
      <c r="J466" s="16" t="n"/>
      <c r="K466" s="16" t="n"/>
      <c r="L466" s="18" t="n"/>
      <c r="M466" s="16" t="n"/>
      <c r="N466" s="17">
        <f>IF($C466="","",MAX(_xlfn.MAXIFS(nrSK_Att,nrSK_PID,$D466,nrSK_Cat,$E466,nrSK_Res,"Pass"),_xlfn.MAXIFS(nrSK_Att,nrSK_PID,$D466,nrSK_Cat,$E466,nrSK_Res,"Fail")))</f>
        <v/>
      </c>
      <c r="O466" s="17">
        <f>IF($C466="","",IF(AND(MAX(_xlfn.MAXIFS(nrSK_Att,nrSK_PID,$D466,nrSK_Cat,$E466,nrSK_Res,"Pass"),_xlfn.MAXIFS(nrSK_Att,nrSK_PID,$D466,nrSK_Cat,$E466,nrSK_Res,"Fail"))&gt;0,N($I466)&lt;MAX(_xlfn.MAXIFS(nrSK_Att,nrSK_PID,$D466,nrSK_Cat,$E466,nrSK_Res,"Pass"),_xlfn.MAXIFS(nrSK_Att,nrSK_PID,$D466,nrSK_Cat,$E466,nrSK_Res,"Fail"))),"(superseded)",IF(OR($J466="",$J466="Pending"),"Pending",IF($J466="Pass","Qualified",IF(AND($J466="Fail",$N466&gt;=$F466),"FAILED OUT","Needs Remediation")))))</f>
        <v/>
      </c>
      <c r="P466" s="17">
        <f>IF($C466="","",IF($O466="FAILED OUT","Yes","No"))</f>
        <v/>
      </c>
      <c r="Q466" s="16" t="n"/>
      <c r="R466" s="16" t="n"/>
      <c r="S466" s="17">
        <f>IF($C466="","",IF(AND($K466&lt;&gt;"",NOT(ISNUMBER($K466))),"SCORE NOT A NUMBER",IF(AND(ISNUMBER($K466),OR($K466&lt;0,$K466&gt;100)),"SCORE OUT OF RANGE - this score counts toward nothing",IF(AND($G466="Score",$K466="",$J466&lt;&gt;"",$J466&lt;&gt;"Pending"),"RESULT WITHOUT A SCORE",IF(AND($G466="Pass/Fail",$K466&lt;&gt;""),"SCORE ON A PASS-FAIL CATEGORY - it is ignored",IF(AND($E466="Firearms",$J466&lt;&gt;"",$J466&lt;&gt;"Pending",$R466=""),"FIREARMS ROW WITH NO COURSE OF FIRE","OK"))))))</f>
        <v/>
      </c>
    </row>
    <row r="467">
      <c r="B467" s="17">
        <f>IF($C467="","",$D467&amp;"-"&amp;$E467&amp;"-"&amp;$I467)</f>
        <v/>
      </c>
      <c r="C467" s="16" t="n"/>
      <c r="D467" s="17">
        <f>IF($C467="","",IFERROR(INDEX(rngCadetPIDs,MATCH($C467,rngCadetNames,0)),"?"))</f>
        <v/>
      </c>
      <c r="E467" s="16" t="n"/>
      <c r="F467" s="17">
        <f>IF($E467="","",IFERROR(INDEX(rngSM_max,MATCH($E467,rngSM_cat,0)),""))</f>
        <v/>
      </c>
      <c r="G467" s="17">
        <f>IF($E467="","",IFERROR(INDEX(rngSM_mode,MATCH($E467,rngSM_cat,0)),""))</f>
        <v/>
      </c>
      <c r="H467" s="17">
        <f>IF($E467="","",IFERROR(INDEX(rngSM_pass,MATCH($E467,rngSM_cat,0)),""))</f>
        <v/>
      </c>
      <c r="I467" s="16" t="n"/>
      <c r="J467" s="16" t="n"/>
      <c r="K467" s="16" t="n"/>
      <c r="L467" s="18" t="n"/>
      <c r="M467" s="16" t="n"/>
      <c r="N467" s="17">
        <f>IF($C467="","",MAX(_xlfn.MAXIFS(nrSK_Att,nrSK_PID,$D467,nrSK_Cat,$E467,nrSK_Res,"Pass"),_xlfn.MAXIFS(nrSK_Att,nrSK_PID,$D467,nrSK_Cat,$E467,nrSK_Res,"Fail")))</f>
        <v/>
      </c>
      <c r="O467" s="17">
        <f>IF($C467="","",IF(AND(MAX(_xlfn.MAXIFS(nrSK_Att,nrSK_PID,$D467,nrSK_Cat,$E467,nrSK_Res,"Pass"),_xlfn.MAXIFS(nrSK_Att,nrSK_PID,$D467,nrSK_Cat,$E467,nrSK_Res,"Fail"))&gt;0,N($I467)&lt;MAX(_xlfn.MAXIFS(nrSK_Att,nrSK_PID,$D467,nrSK_Cat,$E467,nrSK_Res,"Pass"),_xlfn.MAXIFS(nrSK_Att,nrSK_PID,$D467,nrSK_Cat,$E467,nrSK_Res,"Fail"))),"(superseded)",IF(OR($J467="",$J467="Pending"),"Pending",IF($J467="Pass","Qualified",IF(AND($J467="Fail",$N467&gt;=$F467),"FAILED OUT","Needs Remediation")))))</f>
        <v/>
      </c>
      <c r="P467" s="17">
        <f>IF($C467="","",IF($O467="FAILED OUT","Yes","No"))</f>
        <v/>
      </c>
      <c r="Q467" s="16" t="n"/>
      <c r="R467" s="16" t="n"/>
      <c r="S467" s="17">
        <f>IF($C467="","",IF(AND($K467&lt;&gt;"",NOT(ISNUMBER($K467))),"SCORE NOT A NUMBER",IF(AND(ISNUMBER($K467),OR($K467&lt;0,$K467&gt;100)),"SCORE OUT OF RANGE - this score counts toward nothing",IF(AND($G467="Score",$K467="",$J467&lt;&gt;"",$J467&lt;&gt;"Pending"),"RESULT WITHOUT A SCORE",IF(AND($G467="Pass/Fail",$K467&lt;&gt;""),"SCORE ON A PASS-FAIL CATEGORY - it is ignored",IF(AND($E467="Firearms",$J467&lt;&gt;"",$J467&lt;&gt;"Pending",$R467=""),"FIREARMS ROW WITH NO COURSE OF FIRE","OK"))))))</f>
        <v/>
      </c>
    </row>
    <row r="468">
      <c r="B468" s="17">
        <f>IF($C468="","",$D468&amp;"-"&amp;$E468&amp;"-"&amp;$I468)</f>
        <v/>
      </c>
      <c r="C468" s="16" t="n"/>
      <c r="D468" s="17">
        <f>IF($C468="","",IFERROR(INDEX(rngCadetPIDs,MATCH($C468,rngCadetNames,0)),"?"))</f>
        <v/>
      </c>
      <c r="E468" s="16" t="n"/>
      <c r="F468" s="17">
        <f>IF($E468="","",IFERROR(INDEX(rngSM_max,MATCH($E468,rngSM_cat,0)),""))</f>
        <v/>
      </c>
      <c r="G468" s="17">
        <f>IF($E468="","",IFERROR(INDEX(rngSM_mode,MATCH($E468,rngSM_cat,0)),""))</f>
        <v/>
      </c>
      <c r="H468" s="17">
        <f>IF($E468="","",IFERROR(INDEX(rngSM_pass,MATCH($E468,rngSM_cat,0)),""))</f>
        <v/>
      </c>
      <c r="I468" s="16" t="n"/>
      <c r="J468" s="16" t="n"/>
      <c r="K468" s="16" t="n"/>
      <c r="L468" s="18" t="n"/>
      <c r="M468" s="16" t="n"/>
      <c r="N468" s="17">
        <f>IF($C468="","",MAX(_xlfn.MAXIFS(nrSK_Att,nrSK_PID,$D468,nrSK_Cat,$E468,nrSK_Res,"Pass"),_xlfn.MAXIFS(nrSK_Att,nrSK_PID,$D468,nrSK_Cat,$E468,nrSK_Res,"Fail")))</f>
        <v/>
      </c>
      <c r="O468" s="17">
        <f>IF($C468="","",IF(AND(MAX(_xlfn.MAXIFS(nrSK_Att,nrSK_PID,$D468,nrSK_Cat,$E468,nrSK_Res,"Pass"),_xlfn.MAXIFS(nrSK_Att,nrSK_PID,$D468,nrSK_Cat,$E468,nrSK_Res,"Fail"))&gt;0,N($I468)&lt;MAX(_xlfn.MAXIFS(nrSK_Att,nrSK_PID,$D468,nrSK_Cat,$E468,nrSK_Res,"Pass"),_xlfn.MAXIFS(nrSK_Att,nrSK_PID,$D468,nrSK_Cat,$E468,nrSK_Res,"Fail"))),"(superseded)",IF(OR($J468="",$J468="Pending"),"Pending",IF($J468="Pass","Qualified",IF(AND($J468="Fail",$N468&gt;=$F468),"FAILED OUT","Needs Remediation")))))</f>
        <v/>
      </c>
      <c r="P468" s="17">
        <f>IF($C468="","",IF($O468="FAILED OUT","Yes","No"))</f>
        <v/>
      </c>
      <c r="Q468" s="16" t="n"/>
      <c r="R468" s="16" t="n"/>
      <c r="S468" s="17">
        <f>IF($C468="","",IF(AND($K468&lt;&gt;"",NOT(ISNUMBER($K468))),"SCORE NOT A NUMBER",IF(AND(ISNUMBER($K468),OR($K468&lt;0,$K468&gt;100)),"SCORE OUT OF RANGE - this score counts toward nothing",IF(AND($G468="Score",$K468="",$J468&lt;&gt;"",$J468&lt;&gt;"Pending"),"RESULT WITHOUT A SCORE",IF(AND($G468="Pass/Fail",$K468&lt;&gt;""),"SCORE ON A PASS-FAIL CATEGORY - it is ignored",IF(AND($E468="Firearms",$J468&lt;&gt;"",$J468&lt;&gt;"Pending",$R468=""),"FIREARMS ROW WITH NO COURSE OF FIRE","OK"))))))</f>
        <v/>
      </c>
    </row>
    <row r="469">
      <c r="B469" s="17">
        <f>IF($C469="","",$D469&amp;"-"&amp;$E469&amp;"-"&amp;$I469)</f>
        <v/>
      </c>
      <c r="C469" s="16" t="n"/>
      <c r="D469" s="17">
        <f>IF($C469="","",IFERROR(INDEX(rngCadetPIDs,MATCH($C469,rngCadetNames,0)),"?"))</f>
        <v/>
      </c>
      <c r="E469" s="16" t="n"/>
      <c r="F469" s="17">
        <f>IF($E469="","",IFERROR(INDEX(rngSM_max,MATCH($E469,rngSM_cat,0)),""))</f>
        <v/>
      </c>
      <c r="G469" s="17">
        <f>IF($E469="","",IFERROR(INDEX(rngSM_mode,MATCH($E469,rngSM_cat,0)),""))</f>
        <v/>
      </c>
      <c r="H469" s="17">
        <f>IF($E469="","",IFERROR(INDEX(rngSM_pass,MATCH($E469,rngSM_cat,0)),""))</f>
        <v/>
      </c>
      <c r="I469" s="16" t="n"/>
      <c r="J469" s="16" t="n"/>
      <c r="K469" s="16" t="n"/>
      <c r="L469" s="18" t="n"/>
      <c r="M469" s="16" t="n"/>
      <c r="N469" s="17">
        <f>IF($C469="","",MAX(_xlfn.MAXIFS(nrSK_Att,nrSK_PID,$D469,nrSK_Cat,$E469,nrSK_Res,"Pass"),_xlfn.MAXIFS(nrSK_Att,nrSK_PID,$D469,nrSK_Cat,$E469,nrSK_Res,"Fail")))</f>
        <v/>
      </c>
      <c r="O469" s="17">
        <f>IF($C469="","",IF(AND(MAX(_xlfn.MAXIFS(nrSK_Att,nrSK_PID,$D469,nrSK_Cat,$E469,nrSK_Res,"Pass"),_xlfn.MAXIFS(nrSK_Att,nrSK_PID,$D469,nrSK_Cat,$E469,nrSK_Res,"Fail"))&gt;0,N($I469)&lt;MAX(_xlfn.MAXIFS(nrSK_Att,nrSK_PID,$D469,nrSK_Cat,$E469,nrSK_Res,"Pass"),_xlfn.MAXIFS(nrSK_Att,nrSK_PID,$D469,nrSK_Cat,$E469,nrSK_Res,"Fail"))),"(superseded)",IF(OR($J469="",$J469="Pending"),"Pending",IF($J469="Pass","Qualified",IF(AND($J469="Fail",$N469&gt;=$F469),"FAILED OUT","Needs Remediation")))))</f>
        <v/>
      </c>
      <c r="P469" s="17">
        <f>IF($C469="","",IF($O469="FAILED OUT","Yes","No"))</f>
        <v/>
      </c>
      <c r="Q469" s="16" t="n"/>
      <c r="R469" s="16" t="n"/>
      <c r="S469" s="17">
        <f>IF($C469="","",IF(AND($K469&lt;&gt;"",NOT(ISNUMBER($K469))),"SCORE NOT A NUMBER",IF(AND(ISNUMBER($K469),OR($K469&lt;0,$K469&gt;100)),"SCORE OUT OF RANGE - this score counts toward nothing",IF(AND($G469="Score",$K469="",$J469&lt;&gt;"",$J469&lt;&gt;"Pending"),"RESULT WITHOUT A SCORE",IF(AND($G469="Pass/Fail",$K469&lt;&gt;""),"SCORE ON A PASS-FAIL CATEGORY - it is ignored",IF(AND($E469="Firearms",$J469&lt;&gt;"",$J469&lt;&gt;"Pending",$R469=""),"FIREARMS ROW WITH NO COURSE OF FIRE","OK"))))))</f>
        <v/>
      </c>
    </row>
    <row r="470">
      <c r="B470" s="17">
        <f>IF($C470="","",$D470&amp;"-"&amp;$E470&amp;"-"&amp;$I470)</f>
        <v/>
      </c>
      <c r="C470" s="16" t="n"/>
      <c r="D470" s="17">
        <f>IF($C470="","",IFERROR(INDEX(rngCadetPIDs,MATCH($C470,rngCadetNames,0)),"?"))</f>
        <v/>
      </c>
      <c r="E470" s="16" t="n"/>
      <c r="F470" s="17">
        <f>IF($E470="","",IFERROR(INDEX(rngSM_max,MATCH($E470,rngSM_cat,0)),""))</f>
        <v/>
      </c>
      <c r="G470" s="17">
        <f>IF($E470="","",IFERROR(INDEX(rngSM_mode,MATCH($E470,rngSM_cat,0)),""))</f>
        <v/>
      </c>
      <c r="H470" s="17">
        <f>IF($E470="","",IFERROR(INDEX(rngSM_pass,MATCH($E470,rngSM_cat,0)),""))</f>
        <v/>
      </c>
      <c r="I470" s="16" t="n"/>
      <c r="J470" s="16" t="n"/>
      <c r="K470" s="16" t="n"/>
      <c r="L470" s="18" t="n"/>
      <c r="M470" s="16" t="n"/>
      <c r="N470" s="17">
        <f>IF($C470="","",MAX(_xlfn.MAXIFS(nrSK_Att,nrSK_PID,$D470,nrSK_Cat,$E470,nrSK_Res,"Pass"),_xlfn.MAXIFS(nrSK_Att,nrSK_PID,$D470,nrSK_Cat,$E470,nrSK_Res,"Fail")))</f>
        <v/>
      </c>
      <c r="O470" s="17">
        <f>IF($C470="","",IF(AND(MAX(_xlfn.MAXIFS(nrSK_Att,nrSK_PID,$D470,nrSK_Cat,$E470,nrSK_Res,"Pass"),_xlfn.MAXIFS(nrSK_Att,nrSK_PID,$D470,nrSK_Cat,$E470,nrSK_Res,"Fail"))&gt;0,N($I470)&lt;MAX(_xlfn.MAXIFS(nrSK_Att,nrSK_PID,$D470,nrSK_Cat,$E470,nrSK_Res,"Pass"),_xlfn.MAXIFS(nrSK_Att,nrSK_PID,$D470,nrSK_Cat,$E470,nrSK_Res,"Fail"))),"(superseded)",IF(OR($J470="",$J470="Pending"),"Pending",IF($J470="Pass","Qualified",IF(AND($J470="Fail",$N470&gt;=$F470),"FAILED OUT","Needs Remediation")))))</f>
        <v/>
      </c>
      <c r="P470" s="17">
        <f>IF($C470="","",IF($O470="FAILED OUT","Yes","No"))</f>
        <v/>
      </c>
      <c r="Q470" s="16" t="n"/>
      <c r="R470" s="16" t="n"/>
      <c r="S470" s="17">
        <f>IF($C470="","",IF(AND($K470&lt;&gt;"",NOT(ISNUMBER($K470))),"SCORE NOT A NUMBER",IF(AND(ISNUMBER($K470),OR($K470&lt;0,$K470&gt;100)),"SCORE OUT OF RANGE - this score counts toward nothing",IF(AND($G470="Score",$K470="",$J470&lt;&gt;"",$J470&lt;&gt;"Pending"),"RESULT WITHOUT A SCORE",IF(AND($G470="Pass/Fail",$K470&lt;&gt;""),"SCORE ON A PASS-FAIL CATEGORY - it is ignored",IF(AND($E470="Firearms",$J470&lt;&gt;"",$J470&lt;&gt;"Pending",$R470=""),"FIREARMS ROW WITH NO COURSE OF FIRE","OK"))))))</f>
        <v/>
      </c>
    </row>
    <row r="471">
      <c r="B471" s="17">
        <f>IF($C471="","",$D471&amp;"-"&amp;$E471&amp;"-"&amp;$I471)</f>
        <v/>
      </c>
      <c r="C471" s="16" t="n"/>
      <c r="D471" s="17">
        <f>IF($C471="","",IFERROR(INDEX(rngCadetPIDs,MATCH($C471,rngCadetNames,0)),"?"))</f>
        <v/>
      </c>
      <c r="E471" s="16" t="n"/>
      <c r="F471" s="17">
        <f>IF($E471="","",IFERROR(INDEX(rngSM_max,MATCH($E471,rngSM_cat,0)),""))</f>
        <v/>
      </c>
      <c r="G471" s="17">
        <f>IF($E471="","",IFERROR(INDEX(rngSM_mode,MATCH($E471,rngSM_cat,0)),""))</f>
        <v/>
      </c>
      <c r="H471" s="17">
        <f>IF($E471="","",IFERROR(INDEX(rngSM_pass,MATCH($E471,rngSM_cat,0)),""))</f>
        <v/>
      </c>
      <c r="I471" s="16" t="n"/>
      <c r="J471" s="16" t="n"/>
      <c r="K471" s="16" t="n"/>
      <c r="L471" s="18" t="n"/>
      <c r="M471" s="16" t="n"/>
      <c r="N471" s="17">
        <f>IF($C471="","",MAX(_xlfn.MAXIFS(nrSK_Att,nrSK_PID,$D471,nrSK_Cat,$E471,nrSK_Res,"Pass"),_xlfn.MAXIFS(nrSK_Att,nrSK_PID,$D471,nrSK_Cat,$E471,nrSK_Res,"Fail")))</f>
        <v/>
      </c>
      <c r="O471" s="17">
        <f>IF($C471="","",IF(AND(MAX(_xlfn.MAXIFS(nrSK_Att,nrSK_PID,$D471,nrSK_Cat,$E471,nrSK_Res,"Pass"),_xlfn.MAXIFS(nrSK_Att,nrSK_PID,$D471,nrSK_Cat,$E471,nrSK_Res,"Fail"))&gt;0,N($I471)&lt;MAX(_xlfn.MAXIFS(nrSK_Att,nrSK_PID,$D471,nrSK_Cat,$E471,nrSK_Res,"Pass"),_xlfn.MAXIFS(nrSK_Att,nrSK_PID,$D471,nrSK_Cat,$E471,nrSK_Res,"Fail"))),"(superseded)",IF(OR($J471="",$J471="Pending"),"Pending",IF($J471="Pass","Qualified",IF(AND($J471="Fail",$N471&gt;=$F471),"FAILED OUT","Needs Remediation")))))</f>
        <v/>
      </c>
      <c r="P471" s="17">
        <f>IF($C471="","",IF($O471="FAILED OUT","Yes","No"))</f>
        <v/>
      </c>
      <c r="Q471" s="16" t="n"/>
      <c r="R471" s="16" t="n"/>
      <c r="S471" s="17">
        <f>IF($C471="","",IF(AND($K471&lt;&gt;"",NOT(ISNUMBER($K471))),"SCORE NOT A NUMBER",IF(AND(ISNUMBER($K471),OR($K471&lt;0,$K471&gt;100)),"SCORE OUT OF RANGE - this score counts toward nothing",IF(AND($G471="Score",$K471="",$J471&lt;&gt;"",$J471&lt;&gt;"Pending"),"RESULT WITHOUT A SCORE",IF(AND($G471="Pass/Fail",$K471&lt;&gt;""),"SCORE ON A PASS-FAIL CATEGORY - it is ignored",IF(AND($E471="Firearms",$J471&lt;&gt;"",$J471&lt;&gt;"Pending",$R471=""),"FIREARMS ROW WITH NO COURSE OF FIRE","OK"))))))</f>
        <v/>
      </c>
    </row>
    <row r="472">
      <c r="B472" s="17">
        <f>IF($C472="","",$D472&amp;"-"&amp;$E472&amp;"-"&amp;$I472)</f>
        <v/>
      </c>
      <c r="C472" s="16" t="n"/>
      <c r="D472" s="17">
        <f>IF($C472="","",IFERROR(INDEX(rngCadetPIDs,MATCH($C472,rngCadetNames,0)),"?"))</f>
        <v/>
      </c>
      <c r="E472" s="16" t="n"/>
      <c r="F472" s="17">
        <f>IF($E472="","",IFERROR(INDEX(rngSM_max,MATCH($E472,rngSM_cat,0)),""))</f>
        <v/>
      </c>
      <c r="G472" s="17">
        <f>IF($E472="","",IFERROR(INDEX(rngSM_mode,MATCH($E472,rngSM_cat,0)),""))</f>
        <v/>
      </c>
      <c r="H472" s="17">
        <f>IF($E472="","",IFERROR(INDEX(rngSM_pass,MATCH($E472,rngSM_cat,0)),""))</f>
        <v/>
      </c>
      <c r="I472" s="16" t="n"/>
      <c r="J472" s="16" t="n"/>
      <c r="K472" s="16" t="n"/>
      <c r="L472" s="18" t="n"/>
      <c r="M472" s="16" t="n"/>
      <c r="N472" s="17">
        <f>IF($C472="","",MAX(_xlfn.MAXIFS(nrSK_Att,nrSK_PID,$D472,nrSK_Cat,$E472,nrSK_Res,"Pass"),_xlfn.MAXIFS(nrSK_Att,nrSK_PID,$D472,nrSK_Cat,$E472,nrSK_Res,"Fail")))</f>
        <v/>
      </c>
      <c r="O472" s="17">
        <f>IF($C472="","",IF(AND(MAX(_xlfn.MAXIFS(nrSK_Att,nrSK_PID,$D472,nrSK_Cat,$E472,nrSK_Res,"Pass"),_xlfn.MAXIFS(nrSK_Att,nrSK_PID,$D472,nrSK_Cat,$E472,nrSK_Res,"Fail"))&gt;0,N($I472)&lt;MAX(_xlfn.MAXIFS(nrSK_Att,nrSK_PID,$D472,nrSK_Cat,$E472,nrSK_Res,"Pass"),_xlfn.MAXIFS(nrSK_Att,nrSK_PID,$D472,nrSK_Cat,$E472,nrSK_Res,"Fail"))),"(superseded)",IF(OR($J472="",$J472="Pending"),"Pending",IF($J472="Pass","Qualified",IF(AND($J472="Fail",$N472&gt;=$F472),"FAILED OUT","Needs Remediation")))))</f>
        <v/>
      </c>
      <c r="P472" s="17">
        <f>IF($C472="","",IF($O472="FAILED OUT","Yes","No"))</f>
        <v/>
      </c>
      <c r="Q472" s="16" t="n"/>
      <c r="R472" s="16" t="n"/>
      <c r="S472" s="17">
        <f>IF($C472="","",IF(AND($K472&lt;&gt;"",NOT(ISNUMBER($K472))),"SCORE NOT A NUMBER",IF(AND(ISNUMBER($K472),OR($K472&lt;0,$K472&gt;100)),"SCORE OUT OF RANGE - this score counts toward nothing",IF(AND($G472="Score",$K472="",$J472&lt;&gt;"",$J472&lt;&gt;"Pending"),"RESULT WITHOUT A SCORE",IF(AND($G472="Pass/Fail",$K472&lt;&gt;""),"SCORE ON A PASS-FAIL CATEGORY - it is ignored",IF(AND($E472="Firearms",$J472&lt;&gt;"",$J472&lt;&gt;"Pending",$R472=""),"FIREARMS ROW WITH NO COURSE OF FIRE","OK"))))))</f>
        <v/>
      </c>
    </row>
    <row r="473">
      <c r="B473" s="17">
        <f>IF($C473="","",$D473&amp;"-"&amp;$E473&amp;"-"&amp;$I473)</f>
        <v/>
      </c>
      <c r="C473" s="16" t="n"/>
      <c r="D473" s="17">
        <f>IF($C473="","",IFERROR(INDEX(rngCadetPIDs,MATCH($C473,rngCadetNames,0)),"?"))</f>
        <v/>
      </c>
      <c r="E473" s="16" t="n"/>
      <c r="F473" s="17">
        <f>IF($E473="","",IFERROR(INDEX(rngSM_max,MATCH($E473,rngSM_cat,0)),""))</f>
        <v/>
      </c>
      <c r="G473" s="17">
        <f>IF($E473="","",IFERROR(INDEX(rngSM_mode,MATCH($E473,rngSM_cat,0)),""))</f>
        <v/>
      </c>
      <c r="H473" s="17">
        <f>IF($E473="","",IFERROR(INDEX(rngSM_pass,MATCH($E473,rngSM_cat,0)),""))</f>
        <v/>
      </c>
      <c r="I473" s="16" t="n"/>
      <c r="J473" s="16" t="n"/>
      <c r="K473" s="16" t="n"/>
      <c r="L473" s="18" t="n"/>
      <c r="M473" s="16" t="n"/>
      <c r="N473" s="17">
        <f>IF($C473="","",MAX(_xlfn.MAXIFS(nrSK_Att,nrSK_PID,$D473,nrSK_Cat,$E473,nrSK_Res,"Pass"),_xlfn.MAXIFS(nrSK_Att,nrSK_PID,$D473,nrSK_Cat,$E473,nrSK_Res,"Fail")))</f>
        <v/>
      </c>
      <c r="O473" s="17">
        <f>IF($C473="","",IF(AND(MAX(_xlfn.MAXIFS(nrSK_Att,nrSK_PID,$D473,nrSK_Cat,$E473,nrSK_Res,"Pass"),_xlfn.MAXIFS(nrSK_Att,nrSK_PID,$D473,nrSK_Cat,$E473,nrSK_Res,"Fail"))&gt;0,N($I473)&lt;MAX(_xlfn.MAXIFS(nrSK_Att,nrSK_PID,$D473,nrSK_Cat,$E473,nrSK_Res,"Pass"),_xlfn.MAXIFS(nrSK_Att,nrSK_PID,$D473,nrSK_Cat,$E473,nrSK_Res,"Fail"))),"(superseded)",IF(OR($J473="",$J473="Pending"),"Pending",IF($J473="Pass","Qualified",IF(AND($J473="Fail",$N473&gt;=$F473),"FAILED OUT","Needs Remediation")))))</f>
        <v/>
      </c>
      <c r="P473" s="17">
        <f>IF($C473="","",IF($O473="FAILED OUT","Yes","No"))</f>
        <v/>
      </c>
      <c r="Q473" s="16" t="n"/>
      <c r="R473" s="16" t="n"/>
      <c r="S473" s="17">
        <f>IF($C473="","",IF(AND($K473&lt;&gt;"",NOT(ISNUMBER($K473))),"SCORE NOT A NUMBER",IF(AND(ISNUMBER($K473),OR($K473&lt;0,$K473&gt;100)),"SCORE OUT OF RANGE - this score counts toward nothing",IF(AND($G473="Score",$K473="",$J473&lt;&gt;"",$J473&lt;&gt;"Pending"),"RESULT WITHOUT A SCORE",IF(AND($G473="Pass/Fail",$K473&lt;&gt;""),"SCORE ON A PASS-FAIL CATEGORY - it is ignored",IF(AND($E473="Firearms",$J473&lt;&gt;"",$J473&lt;&gt;"Pending",$R473=""),"FIREARMS ROW WITH NO COURSE OF FIRE","OK"))))))</f>
        <v/>
      </c>
    </row>
    <row r="474">
      <c r="B474" s="17">
        <f>IF($C474="","",$D474&amp;"-"&amp;$E474&amp;"-"&amp;$I474)</f>
        <v/>
      </c>
      <c r="C474" s="16" t="n"/>
      <c r="D474" s="17">
        <f>IF($C474="","",IFERROR(INDEX(rngCadetPIDs,MATCH($C474,rngCadetNames,0)),"?"))</f>
        <v/>
      </c>
      <c r="E474" s="16" t="n"/>
      <c r="F474" s="17">
        <f>IF($E474="","",IFERROR(INDEX(rngSM_max,MATCH($E474,rngSM_cat,0)),""))</f>
        <v/>
      </c>
      <c r="G474" s="17">
        <f>IF($E474="","",IFERROR(INDEX(rngSM_mode,MATCH($E474,rngSM_cat,0)),""))</f>
        <v/>
      </c>
      <c r="H474" s="17">
        <f>IF($E474="","",IFERROR(INDEX(rngSM_pass,MATCH($E474,rngSM_cat,0)),""))</f>
        <v/>
      </c>
      <c r="I474" s="16" t="n"/>
      <c r="J474" s="16" t="n"/>
      <c r="K474" s="16" t="n"/>
      <c r="L474" s="18" t="n"/>
      <c r="M474" s="16" t="n"/>
      <c r="N474" s="17">
        <f>IF($C474="","",MAX(_xlfn.MAXIFS(nrSK_Att,nrSK_PID,$D474,nrSK_Cat,$E474,nrSK_Res,"Pass"),_xlfn.MAXIFS(nrSK_Att,nrSK_PID,$D474,nrSK_Cat,$E474,nrSK_Res,"Fail")))</f>
        <v/>
      </c>
      <c r="O474" s="17">
        <f>IF($C474="","",IF(AND(MAX(_xlfn.MAXIFS(nrSK_Att,nrSK_PID,$D474,nrSK_Cat,$E474,nrSK_Res,"Pass"),_xlfn.MAXIFS(nrSK_Att,nrSK_PID,$D474,nrSK_Cat,$E474,nrSK_Res,"Fail"))&gt;0,N($I474)&lt;MAX(_xlfn.MAXIFS(nrSK_Att,nrSK_PID,$D474,nrSK_Cat,$E474,nrSK_Res,"Pass"),_xlfn.MAXIFS(nrSK_Att,nrSK_PID,$D474,nrSK_Cat,$E474,nrSK_Res,"Fail"))),"(superseded)",IF(OR($J474="",$J474="Pending"),"Pending",IF($J474="Pass","Qualified",IF(AND($J474="Fail",$N474&gt;=$F474),"FAILED OUT","Needs Remediation")))))</f>
        <v/>
      </c>
      <c r="P474" s="17">
        <f>IF($C474="","",IF($O474="FAILED OUT","Yes","No"))</f>
        <v/>
      </c>
      <c r="Q474" s="16" t="n"/>
      <c r="R474" s="16" t="n"/>
      <c r="S474" s="17">
        <f>IF($C474="","",IF(AND($K474&lt;&gt;"",NOT(ISNUMBER($K474))),"SCORE NOT A NUMBER",IF(AND(ISNUMBER($K474),OR($K474&lt;0,$K474&gt;100)),"SCORE OUT OF RANGE - this score counts toward nothing",IF(AND($G474="Score",$K474="",$J474&lt;&gt;"",$J474&lt;&gt;"Pending"),"RESULT WITHOUT A SCORE",IF(AND($G474="Pass/Fail",$K474&lt;&gt;""),"SCORE ON A PASS-FAIL CATEGORY - it is ignored",IF(AND($E474="Firearms",$J474&lt;&gt;"",$J474&lt;&gt;"Pending",$R474=""),"FIREARMS ROW WITH NO COURSE OF FIRE","OK"))))))</f>
        <v/>
      </c>
    </row>
    <row r="475">
      <c r="B475" s="17">
        <f>IF($C475="","",$D475&amp;"-"&amp;$E475&amp;"-"&amp;$I475)</f>
        <v/>
      </c>
      <c r="C475" s="16" t="n"/>
      <c r="D475" s="17">
        <f>IF($C475="","",IFERROR(INDEX(rngCadetPIDs,MATCH($C475,rngCadetNames,0)),"?"))</f>
        <v/>
      </c>
      <c r="E475" s="16" t="n"/>
      <c r="F475" s="17">
        <f>IF($E475="","",IFERROR(INDEX(rngSM_max,MATCH($E475,rngSM_cat,0)),""))</f>
        <v/>
      </c>
      <c r="G475" s="17">
        <f>IF($E475="","",IFERROR(INDEX(rngSM_mode,MATCH($E475,rngSM_cat,0)),""))</f>
        <v/>
      </c>
      <c r="H475" s="17">
        <f>IF($E475="","",IFERROR(INDEX(rngSM_pass,MATCH($E475,rngSM_cat,0)),""))</f>
        <v/>
      </c>
      <c r="I475" s="16" t="n"/>
      <c r="J475" s="16" t="n"/>
      <c r="K475" s="16" t="n"/>
      <c r="L475" s="18" t="n"/>
      <c r="M475" s="16" t="n"/>
      <c r="N475" s="17">
        <f>IF($C475="","",MAX(_xlfn.MAXIFS(nrSK_Att,nrSK_PID,$D475,nrSK_Cat,$E475,nrSK_Res,"Pass"),_xlfn.MAXIFS(nrSK_Att,nrSK_PID,$D475,nrSK_Cat,$E475,nrSK_Res,"Fail")))</f>
        <v/>
      </c>
      <c r="O475" s="17">
        <f>IF($C475="","",IF(AND(MAX(_xlfn.MAXIFS(nrSK_Att,nrSK_PID,$D475,nrSK_Cat,$E475,nrSK_Res,"Pass"),_xlfn.MAXIFS(nrSK_Att,nrSK_PID,$D475,nrSK_Cat,$E475,nrSK_Res,"Fail"))&gt;0,N($I475)&lt;MAX(_xlfn.MAXIFS(nrSK_Att,nrSK_PID,$D475,nrSK_Cat,$E475,nrSK_Res,"Pass"),_xlfn.MAXIFS(nrSK_Att,nrSK_PID,$D475,nrSK_Cat,$E475,nrSK_Res,"Fail"))),"(superseded)",IF(OR($J475="",$J475="Pending"),"Pending",IF($J475="Pass","Qualified",IF(AND($J475="Fail",$N475&gt;=$F475),"FAILED OUT","Needs Remediation")))))</f>
        <v/>
      </c>
      <c r="P475" s="17">
        <f>IF($C475="","",IF($O475="FAILED OUT","Yes","No"))</f>
        <v/>
      </c>
      <c r="Q475" s="16" t="n"/>
      <c r="R475" s="16" t="n"/>
      <c r="S475" s="17">
        <f>IF($C475="","",IF(AND($K475&lt;&gt;"",NOT(ISNUMBER($K475))),"SCORE NOT A NUMBER",IF(AND(ISNUMBER($K475),OR($K475&lt;0,$K475&gt;100)),"SCORE OUT OF RANGE - this score counts toward nothing",IF(AND($G475="Score",$K475="",$J475&lt;&gt;"",$J475&lt;&gt;"Pending"),"RESULT WITHOUT A SCORE",IF(AND($G475="Pass/Fail",$K475&lt;&gt;""),"SCORE ON A PASS-FAIL CATEGORY - it is ignored",IF(AND($E475="Firearms",$J475&lt;&gt;"",$J475&lt;&gt;"Pending",$R475=""),"FIREARMS ROW WITH NO COURSE OF FIRE","OK"))))))</f>
        <v/>
      </c>
    </row>
    <row r="476">
      <c r="B476" s="17">
        <f>IF($C476="","",$D476&amp;"-"&amp;$E476&amp;"-"&amp;$I476)</f>
        <v/>
      </c>
      <c r="C476" s="16" t="n"/>
      <c r="D476" s="17">
        <f>IF($C476="","",IFERROR(INDEX(rngCadetPIDs,MATCH($C476,rngCadetNames,0)),"?"))</f>
        <v/>
      </c>
      <c r="E476" s="16" t="n"/>
      <c r="F476" s="17">
        <f>IF($E476="","",IFERROR(INDEX(rngSM_max,MATCH($E476,rngSM_cat,0)),""))</f>
        <v/>
      </c>
      <c r="G476" s="17">
        <f>IF($E476="","",IFERROR(INDEX(rngSM_mode,MATCH($E476,rngSM_cat,0)),""))</f>
        <v/>
      </c>
      <c r="H476" s="17">
        <f>IF($E476="","",IFERROR(INDEX(rngSM_pass,MATCH($E476,rngSM_cat,0)),""))</f>
        <v/>
      </c>
      <c r="I476" s="16" t="n"/>
      <c r="J476" s="16" t="n"/>
      <c r="K476" s="16" t="n"/>
      <c r="L476" s="18" t="n"/>
      <c r="M476" s="16" t="n"/>
      <c r="N476" s="17">
        <f>IF($C476="","",MAX(_xlfn.MAXIFS(nrSK_Att,nrSK_PID,$D476,nrSK_Cat,$E476,nrSK_Res,"Pass"),_xlfn.MAXIFS(nrSK_Att,nrSK_PID,$D476,nrSK_Cat,$E476,nrSK_Res,"Fail")))</f>
        <v/>
      </c>
      <c r="O476" s="17">
        <f>IF($C476="","",IF(AND(MAX(_xlfn.MAXIFS(nrSK_Att,nrSK_PID,$D476,nrSK_Cat,$E476,nrSK_Res,"Pass"),_xlfn.MAXIFS(nrSK_Att,nrSK_PID,$D476,nrSK_Cat,$E476,nrSK_Res,"Fail"))&gt;0,N($I476)&lt;MAX(_xlfn.MAXIFS(nrSK_Att,nrSK_PID,$D476,nrSK_Cat,$E476,nrSK_Res,"Pass"),_xlfn.MAXIFS(nrSK_Att,nrSK_PID,$D476,nrSK_Cat,$E476,nrSK_Res,"Fail"))),"(superseded)",IF(OR($J476="",$J476="Pending"),"Pending",IF($J476="Pass","Qualified",IF(AND($J476="Fail",$N476&gt;=$F476),"FAILED OUT","Needs Remediation")))))</f>
        <v/>
      </c>
      <c r="P476" s="17">
        <f>IF($C476="","",IF($O476="FAILED OUT","Yes","No"))</f>
        <v/>
      </c>
      <c r="Q476" s="16" t="n"/>
      <c r="R476" s="16" t="n"/>
      <c r="S476" s="17">
        <f>IF($C476="","",IF(AND($K476&lt;&gt;"",NOT(ISNUMBER($K476))),"SCORE NOT A NUMBER",IF(AND(ISNUMBER($K476),OR($K476&lt;0,$K476&gt;100)),"SCORE OUT OF RANGE - this score counts toward nothing",IF(AND($G476="Score",$K476="",$J476&lt;&gt;"",$J476&lt;&gt;"Pending"),"RESULT WITHOUT A SCORE",IF(AND($G476="Pass/Fail",$K476&lt;&gt;""),"SCORE ON A PASS-FAIL CATEGORY - it is ignored",IF(AND($E476="Firearms",$J476&lt;&gt;"",$J476&lt;&gt;"Pending",$R476=""),"FIREARMS ROW WITH NO COURSE OF FIRE","OK"))))))</f>
        <v/>
      </c>
    </row>
    <row r="477">
      <c r="B477" s="17">
        <f>IF($C477="","",$D477&amp;"-"&amp;$E477&amp;"-"&amp;$I477)</f>
        <v/>
      </c>
      <c r="C477" s="16" t="n"/>
      <c r="D477" s="17">
        <f>IF($C477="","",IFERROR(INDEX(rngCadetPIDs,MATCH($C477,rngCadetNames,0)),"?"))</f>
        <v/>
      </c>
      <c r="E477" s="16" t="n"/>
      <c r="F477" s="17">
        <f>IF($E477="","",IFERROR(INDEX(rngSM_max,MATCH($E477,rngSM_cat,0)),""))</f>
        <v/>
      </c>
      <c r="G477" s="17">
        <f>IF($E477="","",IFERROR(INDEX(rngSM_mode,MATCH($E477,rngSM_cat,0)),""))</f>
        <v/>
      </c>
      <c r="H477" s="17">
        <f>IF($E477="","",IFERROR(INDEX(rngSM_pass,MATCH($E477,rngSM_cat,0)),""))</f>
        <v/>
      </c>
      <c r="I477" s="16" t="n"/>
      <c r="J477" s="16" t="n"/>
      <c r="K477" s="16" t="n"/>
      <c r="L477" s="18" t="n"/>
      <c r="M477" s="16" t="n"/>
      <c r="N477" s="17">
        <f>IF($C477="","",MAX(_xlfn.MAXIFS(nrSK_Att,nrSK_PID,$D477,nrSK_Cat,$E477,nrSK_Res,"Pass"),_xlfn.MAXIFS(nrSK_Att,nrSK_PID,$D477,nrSK_Cat,$E477,nrSK_Res,"Fail")))</f>
        <v/>
      </c>
      <c r="O477" s="17">
        <f>IF($C477="","",IF(AND(MAX(_xlfn.MAXIFS(nrSK_Att,nrSK_PID,$D477,nrSK_Cat,$E477,nrSK_Res,"Pass"),_xlfn.MAXIFS(nrSK_Att,nrSK_PID,$D477,nrSK_Cat,$E477,nrSK_Res,"Fail"))&gt;0,N($I477)&lt;MAX(_xlfn.MAXIFS(nrSK_Att,nrSK_PID,$D477,nrSK_Cat,$E477,nrSK_Res,"Pass"),_xlfn.MAXIFS(nrSK_Att,nrSK_PID,$D477,nrSK_Cat,$E477,nrSK_Res,"Fail"))),"(superseded)",IF(OR($J477="",$J477="Pending"),"Pending",IF($J477="Pass","Qualified",IF(AND($J477="Fail",$N477&gt;=$F477),"FAILED OUT","Needs Remediation")))))</f>
        <v/>
      </c>
      <c r="P477" s="17">
        <f>IF($C477="","",IF($O477="FAILED OUT","Yes","No"))</f>
        <v/>
      </c>
      <c r="Q477" s="16" t="n"/>
      <c r="R477" s="16" t="n"/>
      <c r="S477" s="17">
        <f>IF($C477="","",IF(AND($K477&lt;&gt;"",NOT(ISNUMBER($K477))),"SCORE NOT A NUMBER",IF(AND(ISNUMBER($K477),OR($K477&lt;0,$K477&gt;100)),"SCORE OUT OF RANGE - this score counts toward nothing",IF(AND($G477="Score",$K477="",$J477&lt;&gt;"",$J477&lt;&gt;"Pending"),"RESULT WITHOUT A SCORE",IF(AND($G477="Pass/Fail",$K477&lt;&gt;""),"SCORE ON A PASS-FAIL CATEGORY - it is ignored",IF(AND($E477="Firearms",$J477&lt;&gt;"",$J477&lt;&gt;"Pending",$R477=""),"FIREARMS ROW WITH NO COURSE OF FIRE","OK"))))))</f>
        <v/>
      </c>
    </row>
    <row r="478">
      <c r="B478" s="17">
        <f>IF($C478="","",$D478&amp;"-"&amp;$E478&amp;"-"&amp;$I478)</f>
        <v/>
      </c>
      <c r="C478" s="16" t="n"/>
      <c r="D478" s="17">
        <f>IF($C478="","",IFERROR(INDEX(rngCadetPIDs,MATCH($C478,rngCadetNames,0)),"?"))</f>
        <v/>
      </c>
      <c r="E478" s="16" t="n"/>
      <c r="F478" s="17">
        <f>IF($E478="","",IFERROR(INDEX(rngSM_max,MATCH($E478,rngSM_cat,0)),""))</f>
        <v/>
      </c>
      <c r="G478" s="17">
        <f>IF($E478="","",IFERROR(INDEX(rngSM_mode,MATCH($E478,rngSM_cat,0)),""))</f>
        <v/>
      </c>
      <c r="H478" s="17">
        <f>IF($E478="","",IFERROR(INDEX(rngSM_pass,MATCH($E478,rngSM_cat,0)),""))</f>
        <v/>
      </c>
      <c r="I478" s="16" t="n"/>
      <c r="J478" s="16" t="n"/>
      <c r="K478" s="16" t="n"/>
      <c r="L478" s="18" t="n"/>
      <c r="M478" s="16" t="n"/>
      <c r="N478" s="17">
        <f>IF($C478="","",MAX(_xlfn.MAXIFS(nrSK_Att,nrSK_PID,$D478,nrSK_Cat,$E478,nrSK_Res,"Pass"),_xlfn.MAXIFS(nrSK_Att,nrSK_PID,$D478,nrSK_Cat,$E478,nrSK_Res,"Fail")))</f>
        <v/>
      </c>
      <c r="O478" s="17">
        <f>IF($C478="","",IF(AND(MAX(_xlfn.MAXIFS(nrSK_Att,nrSK_PID,$D478,nrSK_Cat,$E478,nrSK_Res,"Pass"),_xlfn.MAXIFS(nrSK_Att,nrSK_PID,$D478,nrSK_Cat,$E478,nrSK_Res,"Fail"))&gt;0,N($I478)&lt;MAX(_xlfn.MAXIFS(nrSK_Att,nrSK_PID,$D478,nrSK_Cat,$E478,nrSK_Res,"Pass"),_xlfn.MAXIFS(nrSK_Att,nrSK_PID,$D478,nrSK_Cat,$E478,nrSK_Res,"Fail"))),"(superseded)",IF(OR($J478="",$J478="Pending"),"Pending",IF($J478="Pass","Qualified",IF(AND($J478="Fail",$N478&gt;=$F478),"FAILED OUT","Needs Remediation")))))</f>
        <v/>
      </c>
      <c r="P478" s="17">
        <f>IF($C478="","",IF($O478="FAILED OUT","Yes","No"))</f>
        <v/>
      </c>
      <c r="Q478" s="16" t="n"/>
      <c r="R478" s="16" t="n"/>
      <c r="S478" s="17">
        <f>IF($C478="","",IF(AND($K478&lt;&gt;"",NOT(ISNUMBER($K478))),"SCORE NOT A NUMBER",IF(AND(ISNUMBER($K478),OR($K478&lt;0,$K478&gt;100)),"SCORE OUT OF RANGE - this score counts toward nothing",IF(AND($G478="Score",$K478="",$J478&lt;&gt;"",$J478&lt;&gt;"Pending"),"RESULT WITHOUT A SCORE",IF(AND($G478="Pass/Fail",$K478&lt;&gt;""),"SCORE ON A PASS-FAIL CATEGORY - it is ignored",IF(AND($E478="Firearms",$J478&lt;&gt;"",$J478&lt;&gt;"Pending",$R478=""),"FIREARMS ROW WITH NO COURSE OF FIRE","OK"))))))</f>
        <v/>
      </c>
    </row>
    <row r="479">
      <c r="B479" s="17">
        <f>IF($C479="","",$D479&amp;"-"&amp;$E479&amp;"-"&amp;$I479)</f>
        <v/>
      </c>
      <c r="C479" s="16" t="n"/>
      <c r="D479" s="17">
        <f>IF($C479="","",IFERROR(INDEX(rngCadetPIDs,MATCH($C479,rngCadetNames,0)),"?"))</f>
        <v/>
      </c>
      <c r="E479" s="16" t="n"/>
      <c r="F479" s="17">
        <f>IF($E479="","",IFERROR(INDEX(rngSM_max,MATCH($E479,rngSM_cat,0)),""))</f>
        <v/>
      </c>
      <c r="G479" s="17">
        <f>IF($E479="","",IFERROR(INDEX(rngSM_mode,MATCH($E479,rngSM_cat,0)),""))</f>
        <v/>
      </c>
      <c r="H479" s="17">
        <f>IF($E479="","",IFERROR(INDEX(rngSM_pass,MATCH($E479,rngSM_cat,0)),""))</f>
        <v/>
      </c>
      <c r="I479" s="16" t="n"/>
      <c r="J479" s="16" t="n"/>
      <c r="K479" s="16" t="n"/>
      <c r="L479" s="18" t="n"/>
      <c r="M479" s="16" t="n"/>
      <c r="N479" s="17">
        <f>IF($C479="","",MAX(_xlfn.MAXIFS(nrSK_Att,nrSK_PID,$D479,nrSK_Cat,$E479,nrSK_Res,"Pass"),_xlfn.MAXIFS(nrSK_Att,nrSK_PID,$D479,nrSK_Cat,$E479,nrSK_Res,"Fail")))</f>
        <v/>
      </c>
      <c r="O479" s="17">
        <f>IF($C479="","",IF(AND(MAX(_xlfn.MAXIFS(nrSK_Att,nrSK_PID,$D479,nrSK_Cat,$E479,nrSK_Res,"Pass"),_xlfn.MAXIFS(nrSK_Att,nrSK_PID,$D479,nrSK_Cat,$E479,nrSK_Res,"Fail"))&gt;0,N($I479)&lt;MAX(_xlfn.MAXIFS(nrSK_Att,nrSK_PID,$D479,nrSK_Cat,$E479,nrSK_Res,"Pass"),_xlfn.MAXIFS(nrSK_Att,nrSK_PID,$D479,nrSK_Cat,$E479,nrSK_Res,"Fail"))),"(superseded)",IF(OR($J479="",$J479="Pending"),"Pending",IF($J479="Pass","Qualified",IF(AND($J479="Fail",$N479&gt;=$F479),"FAILED OUT","Needs Remediation")))))</f>
        <v/>
      </c>
      <c r="P479" s="17">
        <f>IF($C479="","",IF($O479="FAILED OUT","Yes","No"))</f>
        <v/>
      </c>
      <c r="Q479" s="16" t="n"/>
      <c r="R479" s="16" t="n"/>
      <c r="S479" s="17">
        <f>IF($C479="","",IF(AND($K479&lt;&gt;"",NOT(ISNUMBER($K479))),"SCORE NOT A NUMBER",IF(AND(ISNUMBER($K479),OR($K479&lt;0,$K479&gt;100)),"SCORE OUT OF RANGE - this score counts toward nothing",IF(AND($G479="Score",$K479="",$J479&lt;&gt;"",$J479&lt;&gt;"Pending"),"RESULT WITHOUT A SCORE",IF(AND($G479="Pass/Fail",$K479&lt;&gt;""),"SCORE ON A PASS-FAIL CATEGORY - it is ignored",IF(AND($E479="Firearms",$J479&lt;&gt;"",$J479&lt;&gt;"Pending",$R479=""),"FIREARMS ROW WITH NO COURSE OF FIRE","OK"))))))</f>
        <v/>
      </c>
    </row>
    <row r="480">
      <c r="B480" s="17">
        <f>IF($C480="","",$D480&amp;"-"&amp;$E480&amp;"-"&amp;$I480)</f>
        <v/>
      </c>
      <c r="C480" s="16" t="n"/>
      <c r="D480" s="17">
        <f>IF($C480="","",IFERROR(INDEX(rngCadetPIDs,MATCH($C480,rngCadetNames,0)),"?"))</f>
        <v/>
      </c>
      <c r="E480" s="16" t="n"/>
      <c r="F480" s="17">
        <f>IF($E480="","",IFERROR(INDEX(rngSM_max,MATCH($E480,rngSM_cat,0)),""))</f>
        <v/>
      </c>
      <c r="G480" s="17">
        <f>IF($E480="","",IFERROR(INDEX(rngSM_mode,MATCH($E480,rngSM_cat,0)),""))</f>
        <v/>
      </c>
      <c r="H480" s="17">
        <f>IF($E480="","",IFERROR(INDEX(rngSM_pass,MATCH($E480,rngSM_cat,0)),""))</f>
        <v/>
      </c>
      <c r="I480" s="16" t="n"/>
      <c r="J480" s="16" t="n"/>
      <c r="K480" s="16" t="n"/>
      <c r="L480" s="18" t="n"/>
      <c r="M480" s="16" t="n"/>
      <c r="N480" s="17">
        <f>IF($C480="","",MAX(_xlfn.MAXIFS(nrSK_Att,nrSK_PID,$D480,nrSK_Cat,$E480,nrSK_Res,"Pass"),_xlfn.MAXIFS(nrSK_Att,nrSK_PID,$D480,nrSK_Cat,$E480,nrSK_Res,"Fail")))</f>
        <v/>
      </c>
      <c r="O480" s="17">
        <f>IF($C480="","",IF(AND(MAX(_xlfn.MAXIFS(nrSK_Att,nrSK_PID,$D480,nrSK_Cat,$E480,nrSK_Res,"Pass"),_xlfn.MAXIFS(nrSK_Att,nrSK_PID,$D480,nrSK_Cat,$E480,nrSK_Res,"Fail"))&gt;0,N($I480)&lt;MAX(_xlfn.MAXIFS(nrSK_Att,nrSK_PID,$D480,nrSK_Cat,$E480,nrSK_Res,"Pass"),_xlfn.MAXIFS(nrSK_Att,nrSK_PID,$D480,nrSK_Cat,$E480,nrSK_Res,"Fail"))),"(superseded)",IF(OR($J480="",$J480="Pending"),"Pending",IF($J480="Pass","Qualified",IF(AND($J480="Fail",$N480&gt;=$F480),"FAILED OUT","Needs Remediation")))))</f>
        <v/>
      </c>
      <c r="P480" s="17">
        <f>IF($C480="","",IF($O480="FAILED OUT","Yes","No"))</f>
        <v/>
      </c>
      <c r="Q480" s="16" t="n"/>
      <c r="R480" s="16" t="n"/>
      <c r="S480" s="17">
        <f>IF($C480="","",IF(AND($K480&lt;&gt;"",NOT(ISNUMBER($K480))),"SCORE NOT A NUMBER",IF(AND(ISNUMBER($K480),OR($K480&lt;0,$K480&gt;100)),"SCORE OUT OF RANGE - this score counts toward nothing",IF(AND($G480="Score",$K480="",$J480&lt;&gt;"",$J480&lt;&gt;"Pending"),"RESULT WITHOUT A SCORE",IF(AND($G480="Pass/Fail",$K480&lt;&gt;""),"SCORE ON A PASS-FAIL CATEGORY - it is ignored",IF(AND($E480="Firearms",$J480&lt;&gt;"",$J480&lt;&gt;"Pending",$R480=""),"FIREARMS ROW WITH NO COURSE OF FIRE","OK"))))))</f>
        <v/>
      </c>
    </row>
    <row r="481">
      <c r="B481" s="17">
        <f>IF($C481="","",$D481&amp;"-"&amp;$E481&amp;"-"&amp;$I481)</f>
        <v/>
      </c>
      <c r="C481" s="16" t="n"/>
      <c r="D481" s="17">
        <f>IF($C481="","",IFERROR(INDEX(rngCadetPIDs,MATCH($C481,rngCadetNames,0)),"?"))</f>
        <v/>
      </c>
      <c r="E481" s="16" t="n"/>
      <c r="F481" s="17">
        <f>IF($E481="","",IFERROR(INDEX(rngSM_max,MATCH($E481,rngSM_cat,0)),""))</f>
        <v/>
      </c>
      <c r="G481" s="17">
        <f>IF($E481="","",IFERROR(INDEX(rngSM_mode,MATCH($E481,rngSM_cat,0)),""))</f>
        <v/>
      </c>
      <c r="H481" s="17">
        <f>IF($E481="","",IFERROR(INDEX(rngSM_pass,MATCH($E481,rngSM_cat,0)),""))</f>
        <v/>
      </c>
      <c r="I481" s="16" t="n"/>
      <c r="J481" s="16" t="n"/>
      <c r="K481" s="16" t="n"/>
      <c r="L481" s="18" t="n"/>
      <c r="M481" s="16" t="n"/>
      <c r="N481" s="17">
        <f>IF($C481="","",MAX(_xlfn.MAXIFS(nrSK_Att,nrSK_PID,$D481,nrSK_Cat,$E481,nrSK_Res,"Pass"),_xlfn.MAXIFS(nrSK_Att,nrSK_PID,$D481,nrSK_Cat,$E481,nrSK_Res,"Fail")))</f>
        <v/>
      </c>
      <c r="O481" s="17">
        <f>IF($C481="","",IF(AND(MAX(_xlfn.MAXIFS(nrSK_Att,nrSK_PID,$D481,nrSK_Cat,$E481,nrSK_Res,"Pass"),_xlfn.MAXIFS(nrSK_Att,nrSK_PID,$D481,nrSK_Cat,$E481,nrSK_Res,"Fail"))&gt;0,N($I481)&lt;MAX(_xlfn.MAXIFS(nrSK_Att,nrSK_PID,$D481,nrSK_Cat,$E481,nrSK_Res,"Pass"),_xlfn.MAXIFS(nrSK_Att,nrSK_PID,$D481,nrSK_Cat,$E481,nrSK_Res,"Fail"))),"(superseded)",IF(OR($J481="",$J481="Pending"),"Pending",IF($J481="Pass","Qualified",IF(AND($J481="Fail",$N481&gt;=$F481),"FAILED OUT","Needs Remediation")))))</f>
        <v/>
      </c>
      <c r="P481" s="17">
        <f>IF($C481="","",IF($O481="FAILED OUT","Yes","No"))</f>
        <v/>
      </c>
      <c r="Q481" s="16" t="n"/>
      <c r="R481" s="16" t="n"/>
      <c r="S481" s="17">
        <f>IF($C481="","",IF(AND($K481&lt;&gt;"",NOT(ISNUMBER($K481))),"SCORE NOT A NUMBER",IF(AND(ISNUMBER($K481),OR($K481&lt;0,$K481&gt;100)),"SCORE OUT OF RANGE - this score counts toward nothing",IF(AND($G481="Score",$K481="",$J481&lt;&gt;"",$J481&lt;&gt;"Pending"),"RESULT WITHOUT A SCORE",IF(AND($G481="Pass/Fail",$K481&lt;&gt;""),"SCORE ON A PASS-FAIL CATEGORY - it is ignored",IF(AND($E481="Firearms",$J481&lt;&gt;"",$J481&lt;&gt;"Pending",$R481=""),"FIREARMS ROW WITH NO COURSE OF FIRE","OK"))))))</f>
        <v/>
      </c>
    </row>
    <row r="482">
      <c r="B482" s="17">
        <f>IF($C482="","",$D482&amp;"-"&amp;$E482&amp;"-"&amp;$I482)</f>
        <v/>
      </c>
      <c r="C482" s="16" t="n"/>
      <c r="D482" s="17">
        <f>IF($C482="","",IFERROR(INDEX(rngCadetPIDs,MATCH($C482,rngCadetNames,0)),"?"))</f>
        <v/>
      </c>
      <c r="E482" s="16" t="n"/>
      <c r="F482" s="17">
        <f>IF($E482="","",IFERROR(INDEX(rngSM_max,MATCH($E482,rngSM_cat,0)),""))</f>
        <v/>
      </c>
      <c r="G482" s="17">
        <f>IF($E482="","",IFERROR(INDEX(rngSM_mode,MATCH($E482,rngSM_cat,0)),""))</f>
        <v/>
      </c>
      <c r="H482" s="17">
        <f>IF($E482="","",IFERROR(INDEX(rngSM_pass,MATCH($E482,rngSM_cat,0)),""))</f>
        <v/>
      </c>
      <c r="I482" s="16" t="n"/>
      <c r="J482" s="16" t="n"/>
      <c r="K482" s="16" t="n"/>
      <c r="L482" s="18" t="n"/>
      <c r="M482" s="16" t="n"/>
      <c r="N482" s="17">
        <f>IF($C482="","",MAX(_xlfn.MAXIFS(nrSK_Att,nrSK_PID,$D482,nrSK_Cat,$E482,nrSK_Res,"Pass"),_xlfn.MAXIFS(nrSK_Att,nrSK_PID,$D482,nrSK_Cat,$E482,nrSK_Res,"Fail")))</f>
        <v/>
      </c>
      <c r="O482" s="17">
        <f>IF($C482="","",IF(AND(MAX(_xlfn.MAXIFS(nrSK_Att,nrSK_PID,$D482,nrSK_Cat,$E482,nrSK_Res,"Pass"),_xlfn.MAXIFS(nrSK_Att,nrSK_PID,$D482,nrSK_Cat,$E482,nrSK_Res,"Fail"))&gt;0,N($I482)&lt;MAX(_xlfn.MAXIFS(nrSK_Att,nrSK_PID,$D482,nrSK_Cat,$E482,nrSK_Res,"Pass"),_xlfn.MAXIFS(nrSK_Att,nrSK_PID,$D482,nrSK_Cat,$E482,nrSK_Res,"Fail"))),"(superseded)",IF(OR($J482="",$J482="Pending"),"Pending",IF($J482="Pass","Qualified",IF(AND($J482="Fail",$N482&gt;=$F482),"FAILED OUT","Needs Remediation")))))</f>
        <v/>
      </c>
      <c r="P482" s="17">
        <f>IF($C482="","",IF($O482="FAILED OUT","Yes","No"))</f>
        <v/>
      </c>
      <c r="Q482" s="16" t="n"/>
      <c r="R482" s="16" t="n"/>
      <c r="S482" s="17">
        <f>IF($C482="","",IF(AND($K482&lt;&gt;"",NOT(ISNUMBER($K482))),"SCORE NOT A NUMBER",IF(AND(ISNUMBER($K482),OR($K482&lt;0,$K482&gt;100)),"SCORE OUT OF RANGE - this score counts toward nothing",IF(AND($G482="Score",$K482="",$J482&lt;&gt;"",$J482&lt;&gt;"Pending"),"RESULT WITHOUT A SCORE",IF(AND($G482="Pass/Fail",$K482&lt;&gt;""),"SCORE ON A PASS-FAIL CATEGORY - it is ignored",IF(AND($E482="Firearms",$J482&lt;&gt;"",$J482&lt;&gt;"Pending",$R482=""),"FIREARMS ROW WITH NO COURSE OF FIRE","OK"))))))</f>
        <v/>
      </c>
    </row>
    <row r="483">
      <c r="B483" s="17">
        <f>IF($C483="","",$D483&amp;"-"&amp;$E483&amp;"-"&amp;$I483)</f>
        <v/>
      </c>
      <c r="C483" s="16" t="n"/>
      <c r="D483" s="17">
        <f>IF($C483="","",IFERROR(INDEX(rngCadetPIDs,MATCH($C483,rngCadetNames,0)),"?"))</f>
        <v/>
      </c>
      <c r="E483" s="16" t="n"/>
      <c r="F483" s="17">
        <f>IF($E483="","",IFERROR(INDEX(rngSM_max,MATCH($E483,rngSM_cat,0)),""))</f>
        <v/>
      </c>
      <c r="G483" s="17">
        <f>IF($E483="","",IFERROR(INDEX(rngSM_mode,MATCH($E483,rngSM_cat,0)),""))</f>
        <v/>
      </c>
      <c r="H483" s="17">
        <f>IF($E483="","",IFERROR(INDEX(rngSM_pass,MATCH($E483,rngSM_cat,0)),""))</f>
        <v/>
      </c>
      <c r="I483" s="16" t="n"/>
      <c r="J483" s="16" t="n"/>
      <c r="K483" s="16" t="n"/>
      <c r="L483" s="18" t="n"/>
      <c r="M483" s="16" t="n"/>
      <c r="N483" s="17">
        <f>IF($C483="","",MAX(_xlfn.MAXIFS(nrSK_Att,nrSK_PID,$D483,nrSK_Cat,$E483,nrSK_Res,"Pass"),_xlfn.MAXIFS(nrSK_Att,nrSK_PID,$D483,nrSK_Cat,$E483,nrSK_Res,"Fail")))</f>
        <v/>
      </c>
      <c r="O483" s="17">
        <f>IF($C483="","",IF(AND(MAX(_xlfn.MAXIFS(nrSK_Att,nrSK_PID,$D483,nrSK_Cat,$E483,nrSK_Res,"Pass"),_xlfn.MAXIFS(nrSK_Att,nrSK_PID,$D483,nrSK_Cat,$E483,nrSK_Res,"Fail"))&gt;0,N($I483)&lt;MAX(_xlfn.MAXIFS(nrSK_Att,nrSK_PID,$D483,nrSK_Cat,$E483,nrSK_Res,"Pass"),_xlfn.MAXIFS(nrSK_Att,nrSK_PID,$D483,nrSK_Cat,$E483,nrSK_Res,"Fail"))),"(superseded)",IF(OR($J483="",$J483="Pending"),"Pending",IF($J483="Pass","Qualified",IF(AND($J483="Fail",$N483&gt;=$F483),"FAILED OUT","Needs Remediation")))))</f>
        <v/>
      </c>
      <c r="P483" s="17">
        <f>IF($C483="","",IF($O483="FAILED OUT","Yes","No"))</f>
        <v/>
      </c>
      <c r="Q483" s="16" t="n"/>
      <c r="R483" s="16" t="n"/>
      <c r="S483" s="17">
        <f>IF($C483="","",IF(AND($K483&lt;&gt;"",NOT(ISNUMBER($K483))),"SCORE NOT A NUMBER",IF(AND(ISNUMBER($K483),OR($K483&lt;0,$K483&gt;100)),"SCORE OUT OF RANGE - this score counts toward nothing",IF(AND($G483="Score",$K483="",$J483&lt;&gt;"",$J483&lt;&gt;"Pending"),"RESULT WITHOUT A SCORE",IF(AND($G483="Pass/Fail",$K483&lt;&gt;""),"SCORE ON A PASS-FAIL CATEGORY - it is ignored",IF(AND($E483="Firearms",$J483&lt;&gt;"",$J483&lt;&gt;"Pending",$R483=""),"FIREARMS ROW WITH NO COURSE OF FIRE","OK"))))))</f>
        <v/>
      </c>
    </row>
    <row r="484">
      <c r="B484" s="17">
        <f>IF($C484="","",$D484&amp;"-"&amp;$E484&amp;"-"&amp;$I484)</f>
        <v/>
      </c>
      <c r="C484" s="16" t="n"/>
      <c r="D484" s="17">
        <f>IF($C484="","",IFERROR(INDEX(rngCadetPIDs,MATCH($C484,rngCadetNames,0)),"?"))</f>
        <v/>
      </c>
      <c r="E484" s="16" t="n"/>
      <c r="F484" s="17">
        <f>IF($E484="","",IFERROR(INDEX(rngSM_max,MATCH($E484,rngSM_cat,0)),""))</f>
        <v/>
      </c>
      <c r="G484" s="17">
        <f>IF($E484="","",IFERROR(INDEX(rngSM_mode,MATCH($E484,rngSM_cat,0)),""))</f>
        <v/>
      </c>
      <c r="H484" s="17">
        <f>IF($E484="","",IFERROR(INDEX(rngSM_pass,MATCH($E484,rngSM_cat,0)),""))</f>
        <v/>
      </c>
      <c r="I484" s="16" t="n"/>
      <c r="J484" s="16" t="n"/>
      <c r="K484" s="16" t="n"/>
      <c r="L484" s="18" t="n"/>
      <c r="M484" s="16" t="n"/>
      <c r="N484" s="17">
        <f>IF($C484="","",MAX(_xlfn.MAXIFS(nrSK_Att,nrSK_PID,$D484,nrSK_Cat,$E484,nrSK_Res,"Pass"),_xlfn.MAXIFS(nrSK_Att,nrSK_PID,$D484,nrSK_Cat,$E484,nrSK_Res,"Fail")))</f>
        <v/>
      </c>
      <c r="O484" s="17">
        <f>IF($C484="","",IF(AND(MAX(_xlfn.MAXIFS(nrSK_Att,nrSK_PID,$D484,nrSK_Cat,$E484,nrSK_Res,"Pass"),_xlfn.MAXIFS(nrSK_Att,nrSK_PID,$D484,nrSK_Cat,$E484,nrSK_Res,"Fail"))&gt;0,N($I484)&lt;MAX(_xlfn.MAXIFS(nrSK_Att,nrSK_PID,$D484,nrSK_Cat,$E484,nrSK_Res,"Pass"),_xlfn.MAXIFS(nrSK_Att,nrSK_PID,$D484,nrSK_Cat,$E484,nrSK_Res,"Fail"))),"(superseded)",IF(OR($J484="",$J484="Pending"),"Pending",IF($J484="Pass","Qualified",IF(AND($J484="Fail",$N484&gt;=$F484),"FAILED OUT","Needs Remediation")))))</f>
        <v/>
      </c>
      <c r="P484" s="17">
        <f>IF($C484="","",IF($O484="FAILED OUT","Yes","No"))</f>
        <v/>
      </c>
      <c r="Q484" s="16" t="n"/>
      <c r="R484" s="16" t="n"/>
      <c r="S484" s="17">
        <f>IF($C484="","",IF(AND($K484&lt;&gt;"",NOT(ISNUMBER($K484))),"SCORE NOT A NUMBER",IF(AND(ISNUMBER($K484),OR($K484&lt;0,$K484&gt;100)),"SCORE OUT OF RANGE - this score counts toward nothing",IF(AND($G484="Score",$K484="",$J484&lt;&gt;"",$J484&lt;&gt;"Pending"),"RESULT WITHOUT A SCORE",IF(AND($G484="Pass/Fail",$K484&lt;&gt;""),"SCORE ON A PASS-FAIL CATEGORY - it is ignored",IF(AND($E484="Firearms",$J484&lt;&gt;"",$J484&lt;&gt;"Pending",$R484=""),"FIREARMS ROW WITH NO COURSE OF FIRE","OK"))))))</f>
        <v/>
      </c>
    </row>
    <row r="485">
      <c r="B485" s="17">
        <f>IF($C485="","",$D485&amp;"-"&amp;$E485&amp;"-"&amp;$I485)</f>
        <v/>
      </c>
      <c r="C485" s="16" t="n"/>
      <c r="D485" s="17">
        <f>IF($C485="","",IFERROR(INDEX(rngCadetPIDs,MATCH($C485,rngCadetNames,0)),"?"))</f>
        <v/>
      </c>
      <c r="E485" s="16" t="n"/>
      <c r="F485" s="17">
        <f>IF($E485="","",IFERROR(INDEX(rngSM_max,MATCH($E485,rngSM_cat,0)),""))</f>
        <v/>
      </c>
      <c r="G485" s="17">
        <f>IF($E485="","",IFERROR(INDEX(rngSM_mode,MATCH($E485,rngSM_cat,0)),""))</f>
        <v/>
      </c>
      <c r="H485" s="17">
        <f>IF($E485="","",IFERROR(INDEX(rngSM_pass,MATCH($E485,rngSM_cat,0)),""))</f>
        <v/>
      </c>
      <c r="I485" s="16" t="n"/>
      <c r="J485" s="16" t="n"/>
      <c r="K485" s="16" t="n"/>
      <c r="L485" s="18" t="n"/>
      <c r="M485" s="16" t="n"/>
      <c r="N485" s="17">
        <f>IF($C485="","",MAX(_xlfn.MAXIFS(nrSK_Att,nrSK_PID,$D485,nrSK_Cat,$E485,nrSK_Res,"Pass"),_xlfn.MAXIFS(nrSK_Att,nrSK_PID,$D485,nrSK_Cat,$E485,nrSK_Res,"Fail")))</f>
        <v/>
      </c>
      <c r="O485" s="17">
        <f>IF($C485="","",IF(AND(MAX(_xlfn.MAXIFS(nrSK_Att,nrSK_PID,$D485,nrSK_Cat,$E485,nrSK_Res,"Pass"),_xlfn.MAXIFS(nrSK_Att,nrSK_PID,$D485,nrSK_Cat,$E485,nrSK_Res,"Fail"))&gt;0,N($I485)&lt;MAX(_xlfn.MAXIFS(nrSK_Att,nrSK_PID,$D485,nrSK_Cat,$E485,nrSK_Res,"Pass"),_xlfn.MAXIFS(nrSK_Att,nrSK_PID,$D485,nrSK_Cat,$E485,nrSK_Res,"Fail"))),"(superseded)",IF(OR($J485="",$J485="Pending"),"Pending",IF($J485="Pass","Qualified",IF(AND($J485="Fail",$N485&gt;=$F485),"FAILED OUT","Needs Remediation")))))</f>
        <v/>
      </c>
      <c r="P485" s="17">
        <f>IF($C485="","",IF($O485="FAILED OUT","Yes","No"))</f>
        <v/>
      </c>
      <c r="Q485" s="16" t="n"/>
      <c r="R485" s="16" t="n"/>
      <c r="S485" s="17">
        <f>IF($C485="","",IF(AND($K485&lt;&gt;"",NOT(ISNUMBER($K485))),"SCORE NOT A NUMBER",IF(AND(ISNUMBER($K485),OR($K485&lt;0,$K485&gt;100)),"SCORE OUT OF RANGE - this score counts toward nothing",IF(AND($G485="Score",$K485="",$J485&lt;&gt;"",$J485&lt;&gt;"Pending"),"RESULT WITHOUT A SCORE",IF(AND($G485="Pass/Fail",$K485&lt;&gt;""),"SCORE ON A PASS-FAIL CATEGORY - it is ignored",IF(AND($E485="Firearms",$J485&lt;&gt;"",$J485&lt;&gt;"Pending",$R485=""),"FIREARMS ROW WITH NO COURSE OF FIRE","OK"))))))</f>
        <v/>
      </c>
    </row>
    <row r="486">
      <c r="B486" s="17">
        <f>IF($C486="","",$D486&amp;"-"&amp;$E486&amp;"-"&amp;$I486)</f>
        <v/>
      </c>
      <c r="C486" s="16" t="n"/>
      <c r="D486" s="17">
        <f>IF($C486="","",IFERROR(INDEX(rngCadetPIDs,MATCH($C486,rngCadetNames,0)),"?"))</f>
        <v/>
      </c>
      <c r="E486" s="16" t="n"/>
      <c r="F486" s="17">
        <f>IF($E486="","",IFERROR(INDEX(rngSM_max,MATCH($E486,rngSM_cat,0)),""))</f>
        <v/>
      </c>
      <c r="G486" s="17">
        <f>IF($E486="","",IFERROR(INDEX(rngSM_mode,MATCH($E486,rngSM_cat,0)),""))</f>
        <v/>
      </c>
      <c r="H486" s="17">
        <f>IF($E486="","",IFERROR(INDEX(rngSM_pass,MATCH($E486,rngSM_cat,0)),""))</f>
        <v/>
      </c>
      <c r="I486" s="16" t="n"/>
      <c r="J486" s="16" t="n"/>
      <c r="K486" s="16" t="n"/>
      <c r="L486" s="18" t="n"/>
      <c r="M486" s="16" t="n"/>
      <c r="N486" s="17">
        <f>IF($C486="","",MAX(_xlfn.MAXIFS(nrSK_Att,nrSK_PID,$D486,nrSK_Cat,$E486,nrSK_Res,"Pass"),_xlfn.MAXIFS(nrSK_Att,nrSK_PID,$D486,nrSK_Cat,$E486,nrSK_Res,"Fail")))</f>
        <v/>
      </c>
      <c r="O486" s="17">
        <f>IF($C486="","",IF(AND(MAX(_xlfn.MAXIFS(nrSK_Att,nrSK_PID,$D486,nrSK_Cat,$E486,nrSK_Res,"Pass"),_xlfn.MAXIFS(nrSK_Att,nrSK_PID,$D486,nrSK_Cat,$E486,nrSK_Res,"Fail"))&gt;0,N($I486)&lt;MAX(_xlfn.MAXIFS(nrSK_Att,nrSK_PID,$D486,nrSK_Cat,$E486,nrSK_Res,"Pass"),_xlfn.MAXIFS(nrSK_Att,nrSK_PID,$D486,nrSK_Cat,$E486,nrSK_Res,"Fail"))),"(superseded)",IF(OR($J486="",$J486="Pending"),"Pending",IF($J486="Pass","Qualified",IF(AND($J486="Fail",$N486&gt;=$F486),"FAILED OUT","Needs Remediation")))))</f>
        <v/>
      </c>
      <c r="P486" s="17">
        <f>IF($C486="","",IF($O486="FAILED OUT","Yes","No"))</f>
        <v/>
      </c>
      <c r="Q486" s="16" t="n"/>
      <c r="R486" s="16" t="n"/>
      <c r="S486" s="17">
        <f>IF($C486="","",IF(AND($K486&lt;&gt;"",NOT(ISNUMBER($K486))),"SCORE NOT A NUMBER",IF(AND(ISNUMBER($K486),OR($K486&lt;0,$K486&gt;100)),"SCORE OUT OF RANGE - this score counts toward nothing",IF(AND($G486="Score",$K486="",$J486&lt;&gt;"",$J486&lt;&gt;"Pending"),"RESULT WITHOUT A SCORE",IF(AND($G486="Pass/Fail",$K486&lt;&gt;""),"SCORE ON A PASS-FAIL CATEGORY - it is ignored",IF(AND($E486="Firearms",$J486&lt;&gt;"",$J486&lt;&gt;"Pending",$R486=""),"FIREARMS ROW WITH NO COURSE OF FIRE","OK"))))))</f>
        <v/>
      </c>
    </row>
    <row r="487">
      <c r="B487" s="17">
        <f>IF($C487="","",$D487&amp;"-"&amp;$E487&amp;"-"&amp;$I487)</f>
        <v/>
      </c>
      <c r="C487" s="16" t="n"/>
      <c r="D487" s="17">
        <f>IF($C487="","",IFERROR(INDEX(rngCadetPIDs,MATCH($C487,rngCadetNames,0)),"?"))</f>
        <v/>
      </c>
      <c r="E487" s="16" t="n"/>
      <c r="F487" s="17">
        <f>IF($E487="","",IFERROR(INDEX(rngSM_max,MATCH($E487,rngSM_cat,0)),""))</f>
        <v/>
      </c>
      <c r="G487" s="17">
        <f>IF($E487="","",IFERROR(INDEX(rngSM_mode,MATCH($E487,rngSM_cat,0)),""))</f>
        <v/>
      </c>
      <c r="H487" s="17">
        <f>IF($E487="","",IFERROR(INDEX(rngSM_pass,MATCH($E487,rngSM_cat,0)),""))</f>
        <v/>
      </c>
      <c r="I487" s="16" t="n"/>
      <c r="J487" s="16" t="n"/>
      <c r="K487" s="16" t="n"/>
      <c r="L487" s="18" t="n"/>
      <c r="M487" s="16" t="n"/>
      <c r="N487" s="17">
        <f>IF($C487="","",MAX(_xlfn.MAXIFS(nrSK_Att,nrSK_PID,$D487,nrSK_Cat,$E487,nrSK_Res,"Pass"),_xlfn.MAXIFS(nrSK_Att,nrSK_PID,$D487,nrSK_Cat,$E487,nrSK_Res,"Fail")))</f>
        <v/>
      </c>
      <c r="O487" s="17">
        <f>IF($C487="","",IF(AND(MAX(_xlfn.MAXIFS(nrSK_Att,nrSK_PID,$D487,nrSK_Cat,$E487,nrSK_Res,"Pass"),_xlfn.MAXIFS(nrSK_Att,nrSK_PID,$D487,nrSK_Cat,$E487,nrSK_Res,"Fail"))&gt;0,N($I487)&lt;MAX(_xlfn.MAXIFS(nrSK_Att,nrSK_PID,$D487,nrSK_Cat,$E487,nrSK_Res,"Pass"),_xlfn.MAXIFS(nrSK_Att,nrSK_PID,$D487,nrSK_Cat,$E487,nrSK_Res,"Fail"))),"(superseded)",IF(OR($J487="",$J487="Pending"),"Pending",IF($J487="Pass","Qualified",IF(AND($J487="Fail",$N487&gt;=$F487),"FAILED OUT","Needs Remediation")))))</f>
        <v/>
      </c>
      <c r="P487" s="17">
        <f>IF($C487="","",IF($O487="FAILED OUT","Yes","No"))</f>
        <v/>
      </c>
      <c r="Q487" s="16" t="n"/>
      <c r="R487" s="16" t="n"/>
      <c r="S487" s="17">
        <f>IF($C487="","",IF(AND($K487&lt;&gt;"",NOT(ISNUMBER($K487))),"SCORE NOT A NUMBER",IF(AND(ISNUMBER($K487),OR($K487&lt;0,$K487&gt;100)),"SCORE OUT OF RANGE - this score counts toward nothing",IF(AND($G487="Score",$K487="",$J487&lt;&gt;"",$J487&lt;&gt;"Pending"),"RESULT WITHOUT A SCORE",IF(AND($G487="Pass/Fail",$K487&lt;&gt;""),"SCORE ON A PASS-FAIL CATEGORY - it is ignored",IF(AND($E487="Firearms",$J487&lt;&gt;"",$J487&lt;&gt;"Pending",$R487=""),"FIREARMS ROW WITH NO COURSE OF FIRE","OK"))))))</f>
        <v/>
      </c>
    </row>
    <row r="488">
      <c r="B488" s="17">
        <f>IF($C488="","",$D488&amp;"-"&amp;$E488&amp;"-"&amp;$I488)</f>
        <v/>
      </c>
      <c r="C488" s="16" t="n"/>
      <c r="D488" s="17">
        <f>IF($C488="","",IFERROR(INDEX(rngCadetPIDs,MATCH($C488,rngCadetNames,0)),"?"))</f>
        <v/>
      </c>
      <c r="E488" s="16" t="n"/>
      <c r="F488" s="17">
        <f>IF($E488="","",IFERROR(INDEX(rngSM_max,MATCH($E488,rngSM_cat,0)),""))</f>
        <v/>
      </c>
      <c r="G488" s="17">
        <f>IF($E488="","",IFERROR(INDEX(rngSM_mode,MATCH($E488,rngSM_cat,0)),""))</f>
        <v/>
      </c>
      <c r="H488" s="17">
        <f>IF($E488="","",IFERROR(INDEX(rngSM_pass,MATCH($E488,rngSM_cat,0)),""))</f>
        <v/>
      </c>
      <c r="I488" s="16" t="n"/>
      <c r="J488" s="16" t="n"/>
      <c r="K488" s="16" t="n"/>
      <c r="L488" s="18" t="n"/>
      <c r="M488" s="16" t="n"/>
      <c r="N488" s="17">
        <f>IF($C488="","",MAX(_xlfn.MAXIFS(nrSK_Att,nrSK_PID,$D488,nrSK_Cat,$E488,nrSK_Res,"Pass"),_xlfn.MAXIFS(nrSK_Att,nrSK_PID,$D488,nrSK_Cat,$E488,nrSK_Res,"Fail")))</f>
        <v/>
      </c>
      <c r="O488" s="17">
        <f>IF($C488="","",IF(AND(MAX(_xlfn.MAXIFS(nrSK_Att,nrSK_PID,$D488,nrSK_Cat,$E488,nrSK_Res,"Pass"),_xlfn.MAXIFS(nrSK_Att,nrSK_PID,$D488,nrSK_Cat,$E488,nrSK_Res,"Fail"))&gt;0,N($I488)&lt;MAX(_xlfn.MAXIFS(nrSK_Att,nrSK_PID,$D488,nrSK_Cat,$E488,nrSK_Res,"Pass"),_xlfn.MAXIFS(nrSK_Att,nrSK_PID,$D488,nrSK_Cat,$E488,nrSK_Res,"Fail"))),"(superseded)",IF(OR($J488="",$J488="Pending"),"Pending",IF($J488="Pass","Qualified",IF(AND($J488="Fail",$N488&gt;=$F488),"FAILED OUT","Needs Remediation")))))</f>
        <v/>
      </c>
      <c r="P488" s="17">
        <f>IF($C488="","",IF($O488="FAILED OUT","Yes","No"))</f>
        <v/>
      </c>
      <c r="Q488" s="16" t="n"/>
      <c r="R488" s="16" t="n"/>
      <c r="S488" s="17">
        <f>IF($C488="","",IF(AND($K488&lt;&gt;"",NOT(ISNUMBER($K488))),"SCORE NOT A NUMBER",IF(AND(ISNUMBER($K488),OR($K488&lt;0,$K488&gt;100)),"SCORE OUT OF RANGE - this score counts toward nothing",IF(AND($G488="Score",$K488="",$J488&lt;&gt;"",$J488&lt;&gt;"Pending"),"RESULT WITHOUT A SCORE",IF(AND($G488="Pass/Fail",$K488&lt;&gt;""),"SCORE ON A PASS-FAIL CATEGORY - it is ignored",IF(AND($E488="Firearms",$J488&lt;&gt;"",$J488&lt;&gt;"Pending",$R488=""),"FIREARMS ROW WITH NO COURSE OF FIRE","OK"))))))</f>
        <v/>
      </c>
    </row>
    <row r="489">
      <c r="B489" s="17">
        <f>IF($C489="","",$D489&amp;"-"&amp;$E489&amp;"-"&amp;$I489)</f>
        <v/>
      </c>
      <c r="C489" s="16" t="n"/>
      <c r="D489" s="17">
        <f>IF($C489="","",IFERROR(INDEX(rngCadetPIDs,MATCH($C489,rngCadetNames,0)),"?"))</f>
        <v/>
      </c>
      <c r="E489" s="16" t="n"/>
      <c r="F489" s="17">
        <f>IF($E489="","",IFERROR(INDEX(rngSM_max,MATCH($E489,rngSM_cat,0)),""))</f>
        <v/>
      </c>
      <c r="G489" s="17">
        <f>IF($E489="","",IFERROR(INDEX(rngSM_mode,MATCH($E489,rngSM_cat,0)),""))</f>
        <v/>
      </c>
      <c r="H489" s="17">
        <f>IF($E489="","",IFERROR(INDEX(rngSM_pass,MATCH($E489,rngSM_cat,0)),""))</f>
        <v/>
      </c>
      <c r="I489" s="16" t="n"/>
      <c r="J489" s="16" t="n"/>
      <c r="K489" s="16" t="n"/>
      <c r="L489" s="18" t="n"/>
      <c r="M489" s="16" t="n"/>
      <c r="N489" s="17">
        <f>IF($C489="","",MAX(_xlfn.MAXIFS(nrSK_Att,nrSK_PID,$D489,nrSK_Cat,$E489,nrSK_Res,"Pass"),_xlfn.MAXIFS(nrSK_Att,nrSK_PID,$D489,nrSK_Cat,$E489,nrSK_Res,"Fail")))</f>
        <v/>
      </c>
      <c r="O489" s="17">
        <f>IF($C489="","",IF(AND(MAX(_xlfn.MAXIFS(nrSK_Att,nrSK_PID,$D489,nrSK_Cat,$E489,nrSK_Res,"Pass"),_xlfn.MAXIFS(nrSK_Att,nrSK_PID,$D489,nrSK_Cat,$E489,nrSK_Res,"Fail"))&gt;0,N($I489)&lt;MAX(_xlfn.MAXIFS(nrSK_Att,nrSK_PID,$D489,nrSK_Cat,$E489,nrSK_Res,"Pass"),_xlfn.MAXIFS(nrSK_Att,nrSK_PID,$D489,nrSK_Cat,$E489,nrSK_Res,"Fail"))),"(superseded)",IF(OR($J489="",$J489="Pending"),"Pending",IF($J489="Pass","Qualified",IF(AND($J489="Fail",$N489&gt;=$F489),"FAILED OUT","Needs Remediation")))))</f>
        <v/>
      </c>
      <c r="P489" s="17">
        <f>IF($C489="","",IF($O489="FAILED OUT","Yes","No"))</f>
        <v/>
      </c>
      <c r="Q489" s="16" t="n"/>
      <c r="R489" s="16" t="n"/>
      <c r="S489" s="17">
        <f>IF($C489="","",IF(AND($K489&lt;&gt;"",NOT(ISNUMBER($K489))),"SCORE NOT A NUMBER",IF(AND(ISNUMBER($K489),OR($K489&lt;0,$K489&gt;100)),"SCORE OUT OF RANGE - this score counts toward nothing",IF(AND($G489="Score",$K489="",$J489&lt;&gt;"",$J489&lt;&gt;"Pending"),"RESULT WITHOUT A SCORE",IF(AND($G489="Pass/Fail",$K489&lt;&gt;""),"SCORE ON A PASS-FAIL CATEGORY - it is ignored",IF(AND($E489="Firearms",$J489&lt;&gt;"",$J489&lt;&gt;"Pending",$R489=""),"FIREARMS ROW WITH NO COURSE OF FIRE","OK"))))))</f>
        <v/>
      </c>
    </row>
    <row r="490">
      <c r="B490" s="17">
        <f>IF($C490="","",$D490&amp;"-"&amp;$E490&amp;"-"&amp;$I490)</f>
        <v/>
      </c>
      <c r="C490" s="16" t="n"/>
      <c r="D490" s="17">
        <f>IF($C490="","",IFERROR(INDEX(rngCadetPIDs,MATCH($C490,rngCadetNames,0)),"?"))</f>
        <v/>
      </c>
      <c r="E490" s="16" t="n"/>
      <c r="F490" s="17">
        <f>IF($E490="","",IFERROR(INDEX(rngSM_max,MATCH($E490,rngSM_cat,0)),""))</f>
        <v/>
      </c>
      <c r="G490" s="17">
        <f>IF($E490="","",IFERROR(INDEX(rngSM_mode,MATCH($E490,rngSM_cat,0)),""))</f>
        <v/>
      </c>
      <c r="H490" s="17">
        <f>IF($E490="","",IFERROR(INDEX(rngSM_pass,MATCH($E490,rngSM_cat,0)),""))</f>
        <v/>
      </c>
      <c r="I490" s="16" t="n"/>
      <c r="J490" s="16" t="n"/>
      <c r="K490" s="16" t="n"/>
      <c r="L490" s="18" t="n"/>
      <c r="M490" s="16" t="n"/>
      <c r="N490" s="17">
        <f>IF($C490="","",MAX(_xlfn.MAXIFS(nrSK_Att,nrSK_PID,$D490,nrSK_Cat,$E490,nrSK_Res,"Pass"),_xlfn.MAXIFS(nrSK_Att,nrSK_PID,$D490,nrSK_Cat,$E490,nrSK_Res,"Fail")))</f>
        <v/>
      </c>
      <c r="O490" s="17">
        <f>IF($C490="","",IF(AND(MAX(_xlfn.MAXIFS(nrSK_Att,nrSK_PID,$D490,nrSK_Cat,$E490,nrSK_Res,"Pass"),_xlfn.MAXIFS(nrSK_Att,nrSK_PID,$D490,nrSK_Cat,$E490,nrSK_Res,"Fail"))&gt;0,N($I490)&lt;MAX(_xlfn.MAXIFS(nrSK_Att,nrSK_PID,$D490,nrSK_Cat,$E490,nrSK_Res,"Pass"),_xlfn.MAXIFS(nrSK_Att,nrSK_PID,$D490,nrSK_Cat,$E490,nrSK_Res,"Fail"))),"(superseded)",IF(OR($J490="",$J490="Pending"),"Pending",IF($J490="Pass","Qualified",IF(AND($J490="Fail",$N490&gt;=$F490),"FAILED OUT","Needs Remediation")))))</f>
        <v/>
      </c>
      <c r="P490" s="17">
        <f>IF($C490="","",IF($O490="FAILED OUT","Yes","No"))</f>
        <v/>
      </c>
      <c r="Q490" s="16" t="n"/>
      <c r="R490" s="16" t="n"/>
      <c r="S490" s="17">
        <f>IF($C490="","",IF(AND($K490&lt;&gt;"",NOT(ISNUMBER($K490))),"SCORE NOT A NUMBER",IF(AND(ISNUMBER($K490),OR($K490&lt;0,$K490&gt;100)),"SCORE OUT OF RANGE - this score counts toward nothing",IF(AND($G490="Score",$K490="",$J490&lt;&gt;"",$J490&lt;&gt;"Pending"),"RESULT WITHOUT A SCORE",IF(AND($G490="Pass/Fail",$K490&lt;&gt;""),"SCORE ON A PASS-FAIL CATEGORY - it is ignored",IF(AND($E490="Firearms",$J490&lt;&gt;"",$J490&lt;&gt;"Pending",$R490=""),"FIREARMS ROW WITH NO COURSE OF FIRE","OK"))))))</f>
        <v/>
      </c>
    </row>
    <row r="491">
      <c r="B491" s="17">
        <f>IF($C491="","",$D491&amp;"-"&amp;$E491&amp;"-"&amp;$I491)</f>
        <v/>
      </c>
      <c r="C491" s="16" t="n"/>
      <c r="D491" s="17">
        <f>IF($C491="","",IFERROR(INDEX(rngCadetPIDs,MATCH($C491,rngCadetNames,0)),"?"))</f>
        <v/>
      </c>
      <c r="E491" s="16" t="n"/>
      <c r="F491" s="17">
        <f>IF($E491="","",IFERROR(INDEX(rngSM_max,MATCH($E491,rngSM_cat,0)),""))</f>
        <v/>
      </c>
      <c r="G491" s="17">
        <f>IF($E491="","",IFERROR(INDEX(rngSM_mode,MATCH($E491,rngSM_cat,0)),""))</f>
        <v/>
      </c>
      <c r="H491" s="17">
        <f>IF($E491="","",IFERROR(INDEX(rngSM_pass,MATCH($E491,rngSM_cat,0)),""))</f>
        <v/>
      </c>
      <c r="I491" s="16" t="n"/>
      <c r="J491" s="16" t="n"/>
      <c r="K491" s="16" t="n"/>
      <c r="L491" s="18" t="n"/>
      <c r="M491" s="16" t="n"/>
      <c r="N491" s="17">
        <f>IF($C491="","",MAX(_xlfn.MAXIFS(nrSK_Att,nrSK_PID,$D491,nrSK_Cat,$E491,nrSK_Res,"Pass"),_xlfn.MAXIFS(nrSK_Att,nrSK_PID,$D491,nrSK_Cat,$E491,nrSK_Res,"Fail")))</f>
        <v/>
      </c>
      <c r="O491" s="17">
        <f>IF($C491="","",IF(AND(MAX(_xlfn.MAXIFS(nrSK_Att,nrSK_PID,$D491,nrSK_Cat,$E491,nrSK_Res,"Pass"),_xlfn.MAXIFS(nrSK_Att,nrSK_PID,$D491,nrSK_Cat,$E491,nrSK_Res,"Fail"))&gt;0,N($I491)&lt;MAX(_xlfn.MAXIFS(nrSK_Att,nrSK_PID,$D491,nrSK_Cat,$E491,nrSK_Res,"Pass"),_xlfn.MAXIFS(nrSK_Att,nrSK_PID,$D491,nrSK_Cat,$E491,nrSK_Res,"Fail"))),"(superseded)",IF(OR($J491="",$J491="Pending"),"Pending",IF($J491="Pass","Qualified",IF(AND($J491="Fail",$N491&gt;=$F491),"FAILED OUT","Needs Remediation")))))</f>
        <v/>
      </c>
      <c r="P491" s="17">
        <f>IF($C491="","",IF($O491="FAILED OUT","Yes","No"))</f>
        <v/>
      </c>
      <c r="Q491" s="16" t="n"/>
      <c r="R491" s="16" t="n"/>
      <c r="S491" s="17">
        <f>IF($C491="","",IF(AND($K491&lt;&gt;"",NOT(ISNUMBER($K491))),"SCORE NOT A NUMBER",IF(AND(ISNUMBER($K491),OR($K491&lt;0,$K491&gt;100)),"SCORE OUT OF RANGE - this score counts toward nothing",IF(AND($G491="Score",$K491="",$J491&lt;&gt;"",$J491&lt;&gt;"Pending"),"RESULT WITHOUT A SCORE",IF(AND($G491="Pass/Fail",$K491&lt;&gt;""),"SCORE ON A PASS-FAIL CATEGORY - it is ignored",IF(AND($E491="Firearms",$J491&lt;&gt;"",$J491&lt;&gt;"Pending",$R491=""),"FIREARMS ROW WITH NO COURSE OF FIRE","OK"))))))</f>
        <v/>
      </c>
    </row>
    <row r="492">
      <c r="B492" s="17">
        <f>IF($C492="","",$D492&amp;"-"&amp;$E492&amp;"-"&amp;$I492)</f>
        <v/>
      </c>
      <c r="C492" s="16" t="n"/>
      <c r="D492" s="17">
        <f>IF($C492="","",IFERROR(INDEX(rngCadetPIDs,MATCH($C492,rngCadetNames,0)),"?"))</f>
        <v/>
      </c>
      <c r="E492" s="16" t="n"/>
      <c r="F492" s="17">
        <f>IF($E492="","",IFERROR(INDEX(rngSM_max,MATCH($E492,rngSM_cat,0)),""))</f>
        <v/>
      </c>
      <c r="G492" s="17">
        <f>IF($E492="","",IFERROR(INDEX(rngSM_mode,MATCH($E492,rngSM_cat,0)),""))</f>
        <v/>
      </c>
      <c r="H492" s="17">
        <f>IF($E492="","",IFERROR(INDEX(rngSM_pass,MATCH($E492,rngSM_cat,0)),""))</f>
        <v/>
      </c>
      <c r="I492" s="16" t="n"/>
      <c r="J492" s="16" t="n"/>
      <c r="K492" s="16" t="n"/>
      <c r="L492" s="18" t="n"/>
      <c r="M492" s="16" t="n"/>
      <c r="N492" s="17">
        <f>IF($C492="","",MAX(_xlfn.MAXIFS(nrSK_Att,nrSK_PID,$D492,nrSK_Cat,$E492,nrSK_Res,"Pass"),_xlfn.MAXIFS(nrSK_Att,nrSK_PID,$D492,nrSK_Cat,$E492,nrSK_Res,"Fail")))</f>
        <v/>
      </c>
      <c r="O492" s="17">
        <f>IF($C492="","",IF(AND(MAX(_xlfn.MAXIFS(nrSK_Att,nrSK_PID,$D492,nrSK_Cat,$E492,nrSK_Res,"Pass"),_xlfn.MAXIFS(nrSK_Att,nrSK_PID,$D492,nrSK_Cat,$E492,nrSK_Res,"Fail"))&gt;0,N($I492)&lt;MAX(_xlfn.MAXIFS(nrSK_Att,nrSK_PID,$D492,nrSK_Cat,$E492,nrSK_Res,"Pass"),_xlfn.MAXIFS(nrSK_Att,nrSK_PID,$D492,nrSK_Cat,$E492,nrSK_Res,"Fail"))),"(superseded)",IF(OR($J492="",$J492="Pending"),"Pending",IF($J492="Pass","Qualified",IF(AND($J492="Fail",$N492&gt;=$F492),"FAILED OUT","Needs Remediation")))))</f>
        <v/>
      </c>
      <c r="P492" s="17">
        <f>IF($C492="","",IF($O492="FAILED OUT","Yes","No"))</f>
        <v/>
      </c>
      <c r="Q492" s="16" t="n"/>
      <c r="R492" s="16" t="n"/>
      <c r="S492" s="17">
        <f>IF($C492="","",IF(AND($K492&lt;&gt;"",NOT(ISNUMBER($K492))),"SCORE NOT A NUMBER",IF(AND(ISNUMBER($K492),OR($K492&lt;0,$K492&gt;100)),"SCORE OUT OF RANGE - this score counts toward nothing",IF(AND($G492="Score",$K492="",$J492&lt;&gt;"",$J492&lt;&gt;"Pending"),"RESULT WITHOUT A SCORE",IF(AND($G492="Pass/Fail",$K492&lt;&gt;""),"SCORE ON A PASS-FAIL CATEGORY - it is ignored",IF(AND($E492="Firearms",$J492&lt;&gt;"",$J492&lt;&gt;"Pending",$R492=""),"FIREARMS ROW WITH NO COURSE OF FIRE","OK"))))))</f>
        <v/>
      </c>
    </row>
    <row r="493">
      <c r="B493" s="17">
        <f>IF($C493="","",$D493&amp;"-"&amp;$E493&amp;"-"&amp;$I493)</f>
        <v/>
      </c>
      <c r="C493" s="16" t="n"/>
      <c r="D493" s="17">
        <f>IF($C493="","",IFERROR(INDEX(rngCadetPIDs,MATCH($C493,rngCadetNames,0)),"?"))</f>
        <v/>
      </c>
      <c r="E493" s="16" t="n"/>
      <c r="F493" s="17">
        <f>IF($E493="","",IFERROR(INDEX(rngSM_max,MATCH($E493,rngSM_cat,0)),""))</f>
        <v/>
      </c>
      <c r="G493" s="17">
        <f>IF($E493="","",IFERROR(INDEX(rngSM_mode,MATCH($E493,rngSM_cat,0)),""))</f>
        <v/>
      </c>
      <c r="H493" s="17">
        <f>IF($E493="","",IFERROR(INDEX(rngSM_pass,MATCH($E493,rngSM_cat,0)),""))</f>
        <v/>
      </c>
      <c r="I493" s="16" t="n"/>
      <c r="J493" s="16" t="n"/>
      <c r="K493" s="16" t="n"/>
      <c r="L493" s="18" t="n"/>
      <c r="M493" s="16" t="n"/>
      <c r="N493" s="17">
        <f>IF($C493="","",MAX(_xlfn.MAXIFS(nrSK_Att,nrSK_PID,$D493,nrSK_Cat,$E493,nrSK_Res,"Pass"),_xlfn.MAXIFS(nrSK_Att,nrSK_PID,$D493,nrSK_Cat,$E493,nrSK_Res,"Fail")))</f>
        <v/>
      </c>
      <c r="O493" s="17">
        <f>IF($C493="","",IF(AND(MAX(_xlfn.MAXIFS(nrSK_Att,nrSK_PID,$D493,nrSK_Cat,$E493,nrSK_Res,"Pass"),_xlfn.MAXIFS(nrSK_Att,nrSK_PID,$D493,nrSK_Cat,$E493,nrSK_Res,"Fail"))&gt;0,N($I493)&lt;MAX(_xlfn.MAXIFS(nrSK_Att,nrSK_PID,$D493,nrSK_Cat,$E493,nrSK_Res,"Pass"),_xlfn.MAXIFS(nrSK_Att,nrSK_PID,$D493,nrSK_Cat,$E493,nrSK_Res,"Fail"))),"(superseded)",IF(OR($J493="",$J493="Pending"),"Pending",IF($J493="Pass","Qualified",IF(AND($J493="Fail",$N493&gt;=$F493),"FAILED OUT","Needs Remediation")))))</f>
        <v/>
      </c>
      <c r="P493" s="17">
        <f>IF($C493="","",IF($O493="FAILED OUT","Yes","No"))</f>
        <v/>
      </c>
      <c r="Q493" s="16" t="n"/>
      <c r="R493" s="16" t="n"/>
      <c r="S493" s="17">
        <f>IF($C493="","",IF(AND($K493&lt;&gt;"",NOT(ISNUMBER($K493))),"SCORE NOT A NUMBER",IF(AND(ISNUMBER($K493),OR($K493&lt;0,$K493&gt;100)),"SCORE OUT OF RANGE - this score counts toward nothing",IF(AND($G493="Score",$K493="",$J493&lt;&gt;"",$J493&lt;&gt;"Pending"),"RESULT WITHOUT A SCORE",IF(AND($G493="Pass/Fail",$K493&lt;&gt;""),"SCORE ON A PASS-FAIL CATEGORY - it is ignored",IF(AND($E493="Firearms",$J493&lt;&gt;"",$J493&lt;&gt;"Pending",$R493=""),"FIREARMS ROW WITH NO COURSE OF FIRE","OK"))))))</f>
        <v/>
      </c>
    </row>
    <row r="494">
      <c r="B494" s="17">
        <f>IF($C494="","",$D494&amp;"-"&amp;$E494&amp;"-"&amp;$I494)</f>
        <v/>
      </c>
      <c r="C494" s="16" t="n"/>
      <c r="D494" s="17">
        <f>IF($C494="","",IFERROR(INDEX(rngCadetPIDs,MATCH($C494,rngCadetNames,0)),"?"))</f>
        <v/>
      </c>
      <c r="E494" s="16" t="n"/>
      <c r="F494" s="17">
        <f>IF($E494="","",IFERROR(INDEX(rngSM_max,MATCH($E494,rngSM_cat,0)),""))</f>
        <v/>
      </c>
      <c r="G494" s="17">
        <f>IF($E494="","",IFERROR(INDEX(rngSM_mode,MATCH($E494,rngSM_cat,0)),""))</f>
        <v/>
      </c>
      <c r="H494" s="17">
        <f>IF($E494="","",IFERROR(INDEX(rngSM_pass,MATCH($E494,rngSM_cat,0)),""))</f>
        <v/>
      </c>
      <c r="I494" s="16" t="n"/>
      <c r="J494" s="16" t="n"/>
      <c r="K494" s="16" t="n"/>
      <c r="L494" s="18" t="n"/>
      <c r="M494" s="16" t="n"/>
      <c r="N494" s="17">
        <f>IF($C494="","",MAX(_xlfn.MAXIFS(nrSK_Att,nrSK_PID,$D494,nrSK_Cat,$E494,nrSK_Res,"Pass"),_xlfn.MAXIFS(nrSK_Att,nrSK_PID,$D494,nrSK_Cat,$E494,nrSK_Res,"Fail")))</f>
        <v/>
      </c>
      <c r="O494" s="17">
        <f>IF($C494="","",IF(AND(MAX(_xlfn.MAXIFS(nrSK_Att,nrSK_PID,$D494,nrSK_Cat,$E494,nrSK_Res,"Pass"),_xlfn.MAXIFS(nrSK_Att,nrSK_PID,$D494,nrSK_Cat,$E494,nrSK_Res,"Fail"))&gt;0,N($I494)&lt;MAX(_xlfn.MAXIFS(nrSK_Att,nrSK_PID,$D494,nrSK_Cat,$E494,nrSK_Res,"Pass"),_xlfn.MAXIFS(nrSK_Att,nrSK_PID,$D494,nrSK_Cat,$E494,nrSK_Res,"Fail"))),"(superseded)",IF(OR($J494="",$J494="Pending"),"Pending",IF($J494="Pass","Qualified",IF(AND($J494="Fail",$N494&gt;=$F494),"FAILED OUT","Needs Remediation")))))</f>
        <v/>
      </c>
      <c r="P494" s="17">
        <f>IF($C494="","",IF($O494="FAILED OUT","Yes","No"))</f>
        <v/>
      </c>
      <c r="Q494" s="16" t="n"/>
      <c r="R494" s="16" t="n"/>
      <c r="S494" s="17">
        <f>IF($C494="","",IF(AND($K494&lt;&gt;"",NOT(ISNUMBER($K494))),"SCORE NOT A NUMBER",IF(AND(ISNUMBER($K494),OR($K494&lt;0,$K494&gt;100)),"SCORE OUT OF RANGE - this score counts toward nothing",IF(AND($G494="Score",$K494="",$J494&lt;&gt;"",$J494&lt;&gt;"Pending"),"RESULT WITHOUT A SCORE",IF(AND($G494="Pass/Fail",$K494&lt;&gt;""),"SCORE ON A PASS-FAIL CATEGORY - it is ignored",IF(AND($E494="Firearms",$J494&lt;&gt;"",$J494&lt;&gt;"Pending",$R494=""),"FIREARMS ROW WITH NO COURSE OF FIRE","OK"))))))</f>
        <v/>
      </c>
    </row>
    <row r="495">
      <c r="B495" s="17">
        <f>IF($C495="","",$D495&amp;"-"&amp;$E495&amp;"-"&amp;$I495)</f>
        <v/>
      </c>
      <c r="C495" s="16" t="n"/>
      <c r="D495" s="17">
        <f>IF($C495="","",IFERROR(INDEX(rngCadetPIDs,MATCH($C495,rngCadetNames,0)),"?"))</f>
        <v/>
      </c>
      <c r="E495" s="16" t="n"/>
      <c r="F495" s="17">
        <f>IF($E495="","",IFERROR(INDEX(rngSM_max,MATCH($E495,rngSM_cat,0)),""))</f>
        <v/>
      </c>
      <c r="G495" s="17">
        <f>IF($E495="","",IFERROR(INDEX(rngSM_mode,MATCH($E495,rngSM_cat,0)),""))</f>
        <v/>
      </c>
      <c r="H495" s="17">
        <f>IF($E495="","",IFERROR(INDEX(rngSM_pass,MATCH($E495,rngSM_cat,0)),""))</f>
        <v/>
      </c>
      <c r="I495" s="16" t="n"/>
      <c r="J495" s="16" t="n"/>
      <c r="K495" s="16" t="n"/>
      <c r="L495" s="18" t="n"/>
      <c r="M495" s="16" t="n"/>
      <c r="N495" s="17">
        <f>IF($C495="","",MAX(_xlfn.MAXIFS(nrSK_Att,nrSK_PID,$D495,nrSK_Cat,$E495,nrSK_Res,"Pass"),_xlfn.MAXIFS(nrSK_Att,nrSK_PID,$D495,nrSK_Cat,$E495,nrSK_Res,"Fail")))</f>
        <v/>
      </c>
      <c r="O495" s="17">
        <f>IF($C495="","",IF(AND(MAX(_xlfn.MAXIFS(nrSK_Att,nrSK_PID,$D495,nrSK_Cat,$E495,nrSK_Res,"Pass"),_xlfn.MAXIFS(nrSK_Att,nrSK_PID,$D495,nrSK_Cat,$E495,nrSK_Res,"Fail"))&gt;0,N($I495)&lt;MAX(_xlfn.MAXIFS(nrSK_Att,nrSK_PID,$D495,nrSK_Cat,$E495,nrSK_Res,"Pass"),_xlfn.MAXIFS(nrSK_Att,nrSK_PID,$D495,nrSK_Cat,$E495,nrSK_Res,"Fail"))),"(superseded)",IF(OR($J495="",$J495="Pending"),"Pending",IF($J495="Pass","Qualified",IF(AND($J495="Fail",$N495&gt;=$F495),"FAILED OUT","Needs Remediation")))))</f>
        <v/>
      </c>
      <c r="P495" s="17">
        <f>IF($C495="","",IF($O495="FAILED OUT","Yes","No"))</f>
        <v/>
      </c>
      <c r="Q495" s="16" t="n"/>
      <c r="R495" s="16" t="n"/>
      <c r="S495" s="17">
        <f>IF($C495="","",IF(AND($K495&lt;&gt;"",NOT(ISNUMBER($K495))),"SCORE NOT A NUMBER",IF(AND(ISNUMBER($K495),OR($K495&lt;0,$K495&gt;100)),"SCORE OUT OF RANGE - this score counts toward nothing",IF(AND($G495="Score",$K495="",$J495&lt;&gt;"",$J495&lt;&gt;"Pending"),"RESULT WITHOUT A SCORE",IF(AND($G495="Pass/Fail",$K495&lt;&gt;""),"SCORE ON A PASS-FAIL CATEGORY - it is ignored",IF(AND($E495="Firearms",$J495&lt;&gt;"",$J495&lt;&gt;"Pending",$R495=""),"FIREARMS ROW WITH NO COURSE OF FIRE","OK"))))))</f>
        <v/>
      </c>
    </row>
    <row r="496">
      <c r="B496" s="17">
        <f>IF($C496="","",$D496&amp;"-"&amp;$E496&amp;"-"&amp;$I496)</f>
        <v/>
      </c>
      <c r="C496" s="16" t="n"/>
      <c r="D496" s="17">
        <f>IF($C496="","",IFERROR(INDEX(rngCadetPIDs,MATCH($C496,rngCadetNames,0)),"?"))</f>
        <v/>
      </c>
      <c r="E496" s="16" t="n"/>
      <c r="F496" s="17">
        <f>IF($E496="","",IFERROR(INDEX(rngSM_max,MATCH($E496,rngSM_cat,0)),""))</f>
        <v/>
      </c>
      <c r="G496" s="17">
        <f>IF($E496="","",IFERROR(INDEX(rngSM_mode,MATCH($E496,rngSM_cat,0)),""))</f>
        <v/>
      </c>
      <c r="H496" s="17">
        <f>IF($E496="","",IFERROR(INDEX(rngSM_pass,MATCH($E496,rngSM_cat,0)),""))</f>
        <v/>
      </c>
      <c r="I496" s="16" t="n"/>
      <c r="J496" s="16" t="n"/>
      <c r="K496" s="16" t="n"/>
      <c r="L496" s="18" t="n"/>
      <c r="M496" s="16" t="n"/>
      <c r="N496" s="17">
        <f>IF($C496="","",MAX(_xlfn.MAXIFS(nrSK_Att,nrSK_PID,$D496,nrSK_Cat,$E496,nrSK_Res,"Pass"),_xlfn.MAXIFS(nrSK_Att,nrSK_PID,$D496,nrSK_Cat,$E496,nrSK_Res,"Fail")))</f>
        <v/>
      </c>
      <c r="O496" s="17">
        <f>IF($C496="","",IF(AND(MAX(_xlfn.MAXIFS(nrSK_Att,nrSK_PID,$D496,nrSK_Cat,$E496,nrSK_Res,"Pass"),_xlfn.MAXIFS(nrSK_Att,nrSK_PID,$D496,nrSK_Cat,$E496,nrSK_Res,"Fail"))&gt;0,N($I496)&lt;MAX(_xlfn.MAXIFS(nrSK_Att,nrSK_PID,$D496,nrSK_Cat,$E496,nrSK_Res,"Pass"),_xlfn.MAXIFS(nrSK_Att,nrSK_PID,$D496,nrSK_Cat,$E496,nrSK_Res,"Fail"))),"(superseded)",IF(OR($J496="",$J496="Pending"),"Pending",IF($J496="Pass","Qualified",IF(AND($J496="Fail",$N496&gt;=$F496),"FAILED OUT","Needs Remediation")))))</f>
        <v/>
      </c>
      <c r="P496" s="17">
        <f>IF($C496="","",IF($O496="FAILED OUT","Yes","No"))</f>
        <v/>
      </c>
      <c r="Q496" s="16" t="n"/>
      <c r="R496" s="16" t="n"/>
      <c r="S496" s="17">
        <f>IF($C496="","",IF(AND($K496&lt;&gt;"",NOT(ISNUMBER($K496))),"SCORE NOT A NUMBER",IF(AND(ISNUMBER($K496),OR($K496&lt;0,$K496&gt;100)),"SCORE OUT OF RANGE - this score counts toward nothing",IF(AND($G496="Score",$K496="",$J496&lt;&gt;"",$J496&lt;&gt;"Pending"),"RESULT WITHOUT A SCORE",IF(AND($G496="Pass/Fail",$K496&lt;&gt;""),"SCORE ON A PASS-FAIL CATEGORY - it is ignored",IF(AND($E496="Firearms",$J496&lt;&gt;"",$J496&lt;&gt;"Pending",$R496=""),"FIREARMS ROW WITH NO COURSE OF FIRE","OK"))))))</f>
        <v/>
      </c>
    </row>
    <row r="497">
      <c r="B497" s="17">
        <f>IF($C497="","",$D497&amp;"-"&amp;$E497&amp;"-"&amp;$I497)</f>
        <v/>
      </c>
      <c r="C497" s="16" t="n"/>
      <c r="D497" s="17">
        <f>IF($C497="","",IFERROR(INDEX(rngCadetPIDs,MATCH($C497,rngCadetNames,0)),"?"))</f>
        <v/>
      </c>
      <c r="E497" s="16" t="n"/>
      <c r="F497" s="17">
        <f>IF($E497="","",IFERROR(INDEX(rngSM_max,MATCH($E497,rngSM_cat,0)),""))</f>
        <v/>
      </c>
      <c r="G497" s="17">
        <f>IF($E497="","",IFERROR(INDEX(rngSM_mode,MATCH($E497,rngSM_cat,0)),""))</f>
        <v/>
      </c>
      <c r="H497" s="17">
        <f>IF($E497="","",IFERROR(INDEX(rngSM_pass,MATCH($E497,rngSM_cat,0)),""))</f>
        <v/>
      </c>
      <c r="I497" s="16" t="n"/>
      <c r="J497" s="16" t="n"/>
      <c r="K497" s="16" t="n"/>
      <c r="L497" s="18" t="n"/>
      <c r="M497" s="16" t="n"/>
      <c r="N497" s="17">
        <f>IF($C497="","",MAX(_xlfn.MAXIFS(nrSK_Att,nrSK_PID,$D497,nrSK_Cat,$E497,nrSK_Res,"Pass"),_xlfn.MAXIFS(nrSK_Att,nrSK_PID,$D497,nrSK_Cat,$E497,nrSK_Res,"Fail")))</f>
        <v/>
      </c>
      <c r="O497" s="17">
        <f>IF($C497="","",IF(AND(MAX(_xlfn.MAXIFS(nrSK_Att,nrSK_PID,$D497,nrSK_Cat,$E497,nrSK_Res,"Pass"),_xlfn.MAXIFS(nrSK_Att,nrSK_PID,$D497,nrSK_Cat,$E497,nrSK_Res,"Fail"))&gt;0,N($I497)&lt;MAX(_xlfn.MAXIFS(nrSK_Att,nrSK_PID,$D497,nrSK_Cat,$E497,nrSK_Res,"Pass"),_xlfn.MAXIFS(nrSK_Att,nrSK_PID,$D497,nrSK_Cat,$E497,nrSK_Res,"Fail"))),"(superseded)",IF(OR($J497="",$J497="Pending"),"Pending",IF($J497="Pass","Qualified",IF(AND($J497="Fail",$N497&gt;=$F497),"FAILED OUT","Needs Remediation")))))</f>
        <v/>
      </c>
      <c r="P497" s="17">
        <f>IF($C497="","",IF($O497="FAILED OUT","Yes","No"))</f>
        <v/>
      </c>
      <c r="Q497" s="16" t="n"/>
      <c r="R497" s="16" t="n"/>
      <c r="S497" s="17">
        <f>IF($C497="","",IF(AND($K497&lt;&gt;"",NOT(ISNUMBER($K497))),"SCORE NOT A NUMBER",IF(AND(ISNUMBER($K497),OR($K497&lt;0,$K497&gt;100)),"SCORE OUT OF RANGE - this score counts toward nothing",IF(AND($G497="Score",$K497="",$J497&lt;&gt;"",$J497&lt;&gt;"Pending"),"RESULT WITHOUT A SCORE",IF(AND($G497="Pass/Fail",$K497&lt;&gt;""),"SCORE ON A PASS-FAIL CATEGORY - it is ignored",IF(AND($E497="Firearms",$J497&lt;&gt;"",$J497&lt;&gt;"Pending",$R497=""),"FIREARMS ROW WITH NO COURSE OF FIRE","OK"))))))</f>
        <v/>
      </c>
    </row>
    <row r="498">
      <c r="B498" s="17">
        <f>IF($C498="","",$D498&amp;"-"&amp;$E498&amp;"-"&amp;$I498)</f>
        <v/>
      </c>
      <c r="C498" s="16" t="n"/>
      <c r="D498" s="17">
        <f>IF($C498="","",IFERROR(INDEX(rngCadetPIDs,MATCH($C498,rngCadetNames,0)),"?"))</f>
        <v/>
      </c>
      <c r="E498" s="16" t="n"/>
      <c r="F498" s="17">
        <f>IF($E498="","",IFERROR(INDEX(rngSM_max,MATCH($E498,rngSM_cat,0)),""))</f>
        <v/>
      </c>
      <c r="G498" s="17">
        <f>IF($E498="","",IFERROR(INDEX(rngSM_mode,MATCH($E498,rngSM_cat,0)),""))</f>
        <v/>
      </c>
      <c r="H498" s="17">
        <f>IF($E498="","",IFERROR(INDEX(rngSM_pass,MATCH($E498,rngSM_cat,0)),""))</f>
        <v/>
      </c>
      <c r="I498" s="16" t="n"/>
      <c r="J498" s="16" t="n"/>
      <c r="K498" s="16" t="n"/>
      <c r="L498" s="18" t="n"/>
      <c r="M498" s="16" t="n"/>
      <c r="N498" s="17">
        <f>IF($C498="","",MAX(_xlfn.MAXIFS(nrSK_Att,nrSK_PID,$D498,nrSK_Cat,$E498,nrSK_Res,"Pass"),_xlfn.MAXIFS(nrSK_Att,nrSK_PID,$D498,nrSK_Cat,$E498,nrSK_Res,"Fail")))</f>
        <v/>
      </c>
      <c r="O498" s="17">
        <f>IF($C498="","",IF(AND(MAX(_xlfn.MAXIFS(nrSK_Att,nrSK_PID,$D498,nrSK_Cat,$E498,nrSK_Res,"Pass"),_xlfn.MAXIFS(nrSK_Att,nrSK_PID,$D498,nrSK_Cat,$E498,nrSK_Res,"Fail"))&gt;0,N($I498)&lt;MAX(_xlfn.MAXIFS(nrSK_Att,nrSK_PID,$D498,nrSK_Cat,$E498,nrSK_Res,"Pass"),_xlfn.MAXIFS(nrSK_Att,nrSK_PID,$D498,nrSK_Cat,$E498,nrSK_Res,"Fail"))),"(superseded)",IF(OR($J498="",$J498="Pending"),"Pending",IF($J498="Pass","Qualified",IF(AND($J498="Fail",$N498&gt;=$F498),"FAILED OUT","Needs Remediation")))))</f>
        <v/>
      </c>
      <c r="P498" s="17">
        <f>IF($C498="","",IF($O498="FAILED OUT","Yes","No"))</f>
        <v/>
      </c>
      <c r="Q498" s="16" t="n"/>
      <c r="R498" s="16" t="n"/>
      <c r="S498" s="17">
        <f>IF($C498="","",IF(AND($K498&lt;&gt;"",NOT(ISNUMBER($K498))),"SCORE NOT A NUMBER",IF(AND(ISNUMBER($K498),OR($K498&lt;0,$K498&gt;100)),"SCORE OUT OF RANGE - this score counts toward nothing",IF(AND($G498="Score",$K498="",$J498&lt;&gt;"",$J498&lt;&gt;"Pending"),"RESULT WITHOUT A SCORE",IF(AND($G498="Pass/Fail",$K498&lt;&gt;""),"SCORE ON A PASS-FAIL CATEGORY - it is ignored",IF(AND($E498="Firearms",$J498&lt;&gt;"",$J498&lt;&gt;"Pending",$R498=""),"FIREARMS ROW WITH NO COURSE OF FIRE","OK"))))))</f>
        <v/>
      </c>
    </row>
    <row r="499">
      <c r="B499" s="17">
        <f>IF($C499="","",$D499&amp;"-"&amp;$E499&amp;"-"&amp;$I499)</f>
        <v/>
      </c>
      <c r="C499" s="16" t="n"/>
      <c r="D499" s="17">
        <f>IF($C499="","",IFERROR(INDEX(rngCadetPIDs,MATCH($C499,rngCadetNames,0)),"?"))</f>
        <v/>
      </c>
      <c r="E499" s="16" t="n"/>
      <c r="F499" s="17">
        <f>IF($E499="","",IFERROR(INDEX(rngSM_max,MATCH($E499,rngSM_cat,0)),""))</f>
        <v/>
      </c>
      <c r="G499" s="17">
        <f>IF($E499="","",IFERROR(INDEX(rngSM_mode,MATCH($E499,rngSM_cat,0)),""))</f>
        <v/>
      </c>
      <c r="H499" s="17">
        <f>IF($E499="","",IFERROR(INDEX(rngSM_pass,MATCH($E499,rngSM_cat,0)),""))</f>
        <v/>
      </c>
      <c r="I499" s="16" t="n"/>
      <c r="J499" s="16" t="n"/>
      <c r="K499" s="16" t="n"/>
      <c r="L499" s="18" t="n"/>
      <c r="M499" s="16" t="n"/>
      <c r="N499" s="17">
        <f>IF($C499="","",MAX(_xlfn.MAXIFS(nrSK_Att,nrSK_PID,$D499,nrSK_Cat,$E499,nrSK_Res,"Pass"),_xlfn.MAXIFS(nrSK_Att,nrSK_PID,$D499,nrSK_Cat,$E499,nrSK_Res,"Fail")))</f>
        <v/>
      </c>
      <c r="O499" s="17">
        <f>IF($C499="","",IF(AND(MAX(_xlfn.MAXIFS(nrSK_Att,nrSK_PID,$D499,nrSK_Cat,$E499,nrSK_Res,"Pass"),_xlfn.MAXIFS(nrSK_Att,nrSK_PID,$D499,nrSK_Cat,$E499,nrSK_Res,"Fail"))&gt;0,N($I499)&lt;MAX(_xlfn.MAXIFS(nrSK_Att,nrSK_PID,$D499,nrSK_Cat,$E499,nrSK_Res,"Pass"),_xlfn.MAXIFS(nrSK_Att,nrSK_PID,$D499,nrSK_Cat,$E499,nrSK_Res,"Fail"))),"(superseded)",IF(OR($J499="",$J499="Pending"),"Pending",IF($J499="Pass","Qualified",IF(AND($J499="Fail",$N499&gt;=$F499),"FAILED OUT","Needs Remediation")))))</f>
        <v/>
      </c>
      <c r="P499" s="17">
        <f>IF($C499="","",IF($O499="FAILED OUT","Yes","No"))</f>
        <v/>
      </c>
      <c r="Q499" s="16" t="n"/>
      <c r="R499" s="16" t="n"/>
      <c r="S499" s="17">
        <f>IF($C499="","",IF(AND($K499&lt;&gt;"",NOT(ISNUMBER($K499))),"SCORE NOT A NUMBER",IF(AND(ISNUMBER($K499),OR($K499&lt;0,$K499&gt;100)),"SCORE OUT OF RANGE - this score counts toward nothing",IF(AND($G499="Score",$K499="",$J499&lt;&gt;"",$J499&lt;&gt;"Pending"),"RESULT WITHOUT A SCORE",IF(AND($G499="Pass/Fail",$K499&lt;&gt;""),"SCORE ON A PASS-FAIL CATEGORY - it is ignored",IF(AND($E499="Firearms",$J499&lt;&gt;"",$J499&lt;&gt;"Pending",$R499=""),"FIREARMS ROW WITH NO COURSE OF FIRE","OK"))))))</f>
        <v/>
      </c>
    </row>
    <row r="500">
      <c r="B500" s="17">
        <f>IF($C500="","",$D500&amp;"-"&amp;$E500&amp;"-"&amp;$I500)</f>
        <v/>
      </c>
      <c r="C500" s="16" t="n"/>
      <c r="D500" s="17">
        <f>IF($C500="","",IFERROR(INDEX(rngCadetPIDs,MATCH($C500,rngCadetNames,0)),"?"))</f>
        <v/>
      </c>
      <c r="E500" s="16" t="n"/>
      <c r="F500" s="17">
        <f>IF($E500="","",IFERROR(INDEX(rngSM_max,MATCH($E500,rngSM_cat,0)),""))</f>
        <v/>
      </c>
      <c r="G500" s="17">
        <f>IF($E500="","",IFERROR(INDEX(rngSM_mode,MATCH($E500,rngSM_cat,0)),""))</f>
        <v/>
      </c>
      <c r="H500" s="17">
        <f>IF($E500="","",IFERROR(INDEX(rngSM_pass,MATCH($E500,rngSM_cat,0)),""))</f>
        <v/>
      </c>
      <c r="I500" s="16" t="n"/>
      <c r="J500" s="16" t="n"/>
      <c r="K500" s="16" t="n"/>
      <c r="L500" s="18" t="n"/>
      <c r="M500" s="16" t="n"/>
      <c r="N500" s="17">
        <f>IF($C500="","",MAX(_xlfn.MAXIFS(nrSK_Att,nrSK_PID,$D500,nrSK_Cat,$E500,nrSK_Res,"Pass"),_xlfn.MAXIFS(nrSK_Att,nrSK_PID,$D500,nrSK_Cat,$E500,nrSK_Res,"Fail")))</f>
        <v/>
      </c>
      <c r="O500" s="17">
        <f>IF($C500="","",IF(AND(MAX(_xlfn.MAXIFS(nrSK_Att,nrSK_PID,$D500,nrSK_Cat,$E500,nrSK_Res,"Pass"),_xlfn.MAXIFS(nrSK_Att,nrSK_PID,$D500,nrSK_Cat,$E500,nrSK_Res,"Fail"))&gt;0,N($I500)&lt;MAX(_xlfn.MAXIFS(nrSK_Att,nrSK_PID,$D500,nrSK_Cat,$E500,nrSK_Res,"Pass"),_xlfn.MAXIFS(nrSK_Att,nrSK_PID,$D500,nrSK_Cat,$E500,nrSK_Res,"Fail"))),"(superseded)",IF(OR($J500="",$J500="Pending"),"Pending",IF($J500="Pass","Qualified",IF(AND($J500="Fail",$N500&gt;=$F500),"FAILED OUT","Needs Remediation")))))</f>
        <v/>
      </c>
      <c r="P500" s="17">
        <f>IF($C500="","",IF($O500="FAILED OUT","Yes","No"))</f>
        <v/>
      </c>
      <c r="Q500" s="16" t="n"/>
      <c r="R500" s="16" t="n"/>
      <c r="S500" s="17">
        <f>IF($C500="","",IF(AND($K500&lt;&gt;"",NOT(ISNUMBER($K500))),"SCORE NOT A NUMBER",IF(AND(ISNUMBER($K500),OR($K500&lt;0,$K500&gt;100)),"SCORE OUT OF RANGE - this score counts toward nothing",IF(AND($G500="Score",$K500="",$J500&lt;&gt;"",$J500&lt;&gt;"Pending"),"RESULT WITHOUT A SCORE",IF(AND($G500="Pass/Fail",$K500&lt;&gt;""),"SCORE ON A PASS-FAIL CATEGORY - it is ignored",IF(AND($E500="Firearms",$J500&lt;&gt;"",$J500&lt;&gt;"Pending",$R500=""),"FIREARMS ROW WITH NO COURSE OF FIRE","OK"))))))</f>
        <v/>
      </c>
    </row>
    <row r="501">
      <c r="B501" s="17">
        <f>IF($C501="","",$D501&amp;"-"&amp;$E501&amp;"-"&amp;$I501)</f>
        <v/>
      </c>
      <c r="C501" s="16" t="n"/>
      <c r="D501" s="17">
        <f>IF($C501="","",IFERROR(INDEX(rngCadetPIDs,MATCH($C501,rngCadetNames,0)),"?"))</f>
        <v/>
      </c>
      <c r="E501" s="16" t="n"/>
      <c r="F501" s="17">
        <f>IF($E501="","",IFERROR(INDEX(rngSM_max,MATCH($E501,rngSM_cat,0)),""))</f>
        <v/>
      </c>
      <c r="G501" s="17">
        <f>IF($E501="","",IFERROR(INDEX(rngSM_mode,MATCH($E501,rngSM_cat,0)),""))</f>
        <v/>
      </c>
      <c r="H501" s="17">
        <f>IF($E501="","",IFERROR(INDEX(rngSM_pass,MATCH($E501,rngSM_cat,0)),""))</f>
        <v/>
      </c>
      <c r="I501" s="16" t="n"/>
      <c r="J501" s="16" t="n"/>
      <c r="K501" s="16" t="n"/>
      <c r="L501" s="18" t="n"/>
      <c r="M501" s="16" t="n"/>
      <c r="N501" s="17">
        <f>IF($C501="","",MAX(_xlfn.MAXIFS(nrSK_Att,nrSK_PID,$D501,nrSK_Cat,$E501,nrSK_Res,"Pass"),_xlfn.MAXIFS(nrSK_Att,nrSK_PID,$D501,nrSK_Cat,$E501,nrSK_Res,"Fail")))</f>
        <v/>
      </c>
      <c r="O501" s="17">
        <f>IF($C501="","",IF(AND(MAX(_xlfn.MAXIFS(nrSK_Att,nrSK_PID,$D501,nrSK_Cat,$E501,nrSK_Res,"Pass"),_xlfn.MAXIFS(nrSK_Att,nrSK_PID,$D501,nrSK_Cat,$E501,nrSK_Res,"Fail"))&gt;0,N($I501)&lt;MAX(_xlfn.MAXIFS(nrSK_Att,nrSK_PID,$D501,nrSK_Cat,$E501,nrSK_Res,"Pass"),_xlfn.MAXIFS(nrSK_Att,nrSK_PID,$D501,nrSK_Cat,$E501,nrSK_Res,"Fail"))),"(superseded)",IF(OR($J501="",$J501="Pending"),"Pending",IF($J501="Pass","Qualified",IF(AND($J501="Fail",$N501&gt;=$F501),"FAILED OUT","Needs Remediation")))))</f>
        <v/>
      </c>
      <c r="P501" s="17">
        <f>IF($C501="","",IF($O501="FAILED OUT","Yes","No"))</f>
        <v/>
      </c>
      <c r="Q501" s="16" t="n"/>
      <c r="R501" s="16" t="n"/>
      <c r="S501" s="17">
        <f>IF($C501="","",IF(AND($K501&lt;&gt;"",NOT(ISNUMBER($K501))),"SCORE NOT A NUMBER",IF(AND(ISNUMBER($K501),OR($K501&lt;0,$K501&gt;100)),"SCORE OUT OF RANGE - this score counts toward nothing",IF(AND($G501="Score",$K501="",$J501&lt;&gt;"",$J501&lt;&gt;"Pending"),"RESULT WITHOUT A SCORE",IF(AND($G501="Pass/Fail",$K501&lt;&gt;""),"SCORE ON A PASS-FAIL CATEGORY - it is ignored",IF(AND($E501="Firearms",$J501&lt;&gt;"",$J501&lt;&gt;"Pending",$R501=""),"FIREARMS ROW WITH NO COURSE OF FIRE","OK"))))))</f>
        <v/>
      </c>
    </row>
    <row r="502">
      <c r="B502" s="17">
        <f>IF($C502="","",$D502&amp;"-"&amp;$E502&amp;"-"&amp;$I502)</f>
        <v/>
      </c>
      <c r="C502" s="16" t="n"/>
      <c r="D502" s="17">
        <f>IF($C502="","",IFERROR(INDEX(rngCadetPIDs,MATCH($C502,rngCadetNames,0)),"?"))</f>
        <v/>
      </c>
      <c r="E502" s="16" t="n"/>
      <c r="F502" s="17">
        <f>IF($E502="","",IFERROR(INDEX(rngSM_max,MATCH($E502,rngSM_cat,0)),""))</f>
        <v/>
      </c>
      <c r="G502" s="17">
        <f>IF($E502="","",IFERROR(INDEX(rngSM_mode,MATCH($E502,rngSM_cat,0)),""))</f>
        <v/>
      </c>
      <c r="H502" s="17">
        <f>IF($E502="","",IFERROR(INDEX(rngSM_pass,MATCH($E502,rngSM_cat,0)),""))</f>
        <v/>
      </c>
      <c r="I502" s="16" t="n"/>
      <c r="J502" s="16" t="n"/>
      <c r="K502" s="16" t="n"/>
      <c r="L502" s="18" t="n"/>
      <c r="M502" s="16" t="n"/>
      <c r="N502" s="17">
        <f>IF($C502="","",MAX(_xlfn.MAXIFS(nrSK_Att,nrSK_PID,$D502,nrSK_Cat,$E502,nrSK_Res,"Pass"),_xlfn.MAXIFS(nrSK_Att,nrSK_PID,$D502,nrSK_Cat,$E502,nrSK_Res,"Fail")))</f>
        <v/>
      </c>
      <c r="O502" s="17">
        <f>IF($C502="","",IF(AND(MAX(_xlfn.MAXIFS(nrSK_Att,nrSK_PID,$D502,nrSK_Cat,$E502,nrSK_Res,"Pass"),_xlfn.MAXIFS(nrSK_Att,nrSK_PID,$D502,nrSK_Cat,$E502,nrSK_Res,"Fail"))&gt;0,N($I502)&lt;MAX(_xlfn.MAXIFS(nrSK_Att,nrSK_PID,$D502,nrSK_Cat,$E502,nrSK_Res,"Pass"),_xlfn.MAXIFS(nrSK_Att,nrSK_PID,$D502,nrSK_Cat,$E502,nrSK_Res,"Fail"))),"(superseded)",IF(OR($J502="",$J502="Pending"),"Pending",IF($J502="Pass","Qualified",IF(AND($J502="Fail",$N502&gt;=$F502),"FAILED OUT","Needs Remediation")))))</f>
        <v/>
      </c>
      <c r="P502" s="17">
        <f>IF($C502="","",IF($O502="FAILED OUT","Yes","No"))</f>
        <v/>
      </c>
      <c r="Q502" s="16" t="n"/>
      <c r="R502" s="16" t="n"/>
      <c r="S502" s="17">
        <f>IF($C502="","",IF(AND($K502&lt;&gt;"",NOT(ISNUMBER($K502))),"SCORE NOT A NUMBER",IF(AND(ISNUMBER($K502),OR($K502&lt;0,$K502&gt;100)),"SCORE OUT OF RANGE - this score counts toward nothing",IF(AND($G502="Score",$K502="",$J502&lt;&gt;"",$J502&lt;&gt;"Pending"),"RESULT WITHOUT A SCORE",IF(AND($G502="Pass/Fail",$K502&lt;&gt;""),"SCORE ON A PASS-FAIL CATEGORY - it is ignored",IF(AND($E502="Firearms",$J502&lt;&gt;"",$J502&lt;&gt;"Pending",$R502=""),"FIREARMS ROW WITH NO COURSE OF FIRE","OK"))))))</f>
        <v/>
      </c>
    </row>
    <row r="503">
      <c r="B503" s="17">
        <f>IF($C503="","",$D503&amp;"-"&amp;$E503&amp;"-"&amp;$I503)</f>
        <v/>
      </c>
      <c r="C503" s="16" t="n"/>
      <c r="D503" s="17">
        <f>IF($C503="","",IFERROR(INDEX(rngCadetPIDs,MATCH($C503,rngCadetNames,0)),"?"))</f>
        <v/>
      </c>
      <c r="E503" s="16" t="n"/>
      <c r="F503" s="17">
        <f>IF($E503="","",IFERROR(INDEX(rngSM_max,MATCH($E503,rngSM_cat,0)),""))</f>
        <v/>
      </c>
      <c r="G503" s="17">
        <f>IF($E503="","",IFERROR(INDEX(rngSM_mode,MATCH($E503,rngSM_cat,0)),""))</f>
        <v/>
      </c>
      <c r="H503" s="17">
        <f>IF($E503="","",IFERROR(INDEX(rngSM_pass,MATCH($E503,rngSM_cat,0)),""))</f>
        <v/>
      </c>
      <c r="I503" s="16" t="n"/>
      <c r="J503" s="16" t="n"/>
      <c r="K503" s="16" t="n"/>
      <c r="L503" s="18" t="n"/>
      <c r="M503" s="16" t="n"/>
      <c r="N503" s="17">
        <f>IF($C503="","",MAX(_xlfn.MAXIFS(nrSK_Att,nrSK_PID,$D503,nrSK_Cat,$E503,nrSK_Res,"Pass"),_xlfn.MAXIFS(nrSK_Att,nrSK_PID,$D503,nrSK_Cat,$E503,nrSK_Res,"Fail")))</f>
        <v/>
      </c>
      <c r="O503" s="17">
        <f>IF($C503="","",IF(AND(MAX(_xlfn.MAXIFS(nrSK_Att,nrSK_PID,$D503,nrSK_Cat,$E503,nrSK_Res,"Pass"),_xlfn.MAXIFS(nrSK_Att,nrSK_PID,$D503,nrSK_Cat,$E503,nrSK_Res,"Fail"))&gt;0,N($I503)&lt;MAX(_xlfn.MAXIFS(nrSK_Att,nrSK_PID,$D503,nrSK_Cat,$E503,nrSK_Res,"Pass"),_xlfn.MAXIFS(nrSK_Att,nrSK_PID,$D503,nrSK_Cat,$E503,nrSK_Res,"Fail"))),"(superseded)",IF(OR($J503="",$J503="Pending"),"Pending",IF($J503="Pass","Qualified",IF(AND($J503="Fail",$N503&gt;=$F503),"FAILED OUT","Needs Remediation")))))</f>
        <v/>
      </c>
      <c r="P503" s="17">
        <f>IF($C503="","",IF($O503="FAILED OUT","Yes","No"))</f>
        <v/>
      </c>
      <c r="Q503" s="16" t="n"/>
      <c r="R503" s="16" t="n"/>
      <c r="S503" s="17">
        <f>IF($C503="","",IF(AND($K503&lt;&gt;"",NOT(ISNUMBER($K503))),"SCORE NOT A NUMBER",IF(AND(ISNUMBER($K503),OR($K503&lt;0,$K503&gt;100)),"SCORE OUT OF RANGE - this score counts toward nothing",IF(AND($G503="Score",$K503="",$J503&lt;&gt;"",$J503&lt;&gt;"Pending"),"RESULT WITHOUT A SCORE",IF(AND($G503="Pass/Fail",$K503&lt;&gt;""),"SCORE ON A PASS-FAIL CATEGORY - it is ignored",IF(AND($E503="Firearms",$J503&lt;&gt;"",$J503&lt;&gt;"Pending",$R503=""),"FIREARMS ROW WITH NO COURSE OF FIRE","OK"))))))</f>
        <v/>
      </c>
    </row>
    <row r="504">
      <c r="B504" s="17">
        <f>IF($C504="","",$D504&amp;"-"&amp;$E504&amp;"-"&amp;$I504)</f>
        <v/>
      </c>
      <c r="C504" s="16" t="n"/>
      <c r="D504" s="17">
        <f>IF($C504="","",IFERROR(INDEX(rngCadetPIDs,MATCH($C504,rngCadetNames,0)),"?"))</f>
        <v/>
      </c>
      <c r="E504" s="16" t="n"/>
      <c r="F504" s="17">
        <f>IF($E504="","",IFERROR(INDEX(rngSM_max,MATCH($E504,rngSM_cat,0)),""))</f>
        <v/>
      </c>
      <c r="G504" s="17">
        <f>IF($E504="","",IFERROR(INDEX(rngSM_mode,MATCH($E504,rngSM_cat,0)),""))</f>
        <v/>
      </c>
      <c r="H504" s="17">
        <f>IF($E504="","",IFERROR(INDEX(rngSM_pass,MATCH($E504,rngSM_cat,0)),""))</f>
        <v/>
      </c>
      <c r="I504" s="16" t="n"/>
      <c r="J504" s="16" t="n"/>
      <c r="K504" s="16" t="n"/>
      <c r="L504" s="18" t="n"/>
      <c r="M504" s="16" t="n"/>
      <c r="N504" s="17">
        <f>IF($C504="","",MAX(_xlfn.MAXIFS(nrSK_Att,nrSK_PID,$D504,nrSK_Cat,$E504,nrSK_Res,"Pass"),_xlfn.MAXIFS(nrSK_Att,nrSK_PID,$D504,nrSK_Cat,$E504,nrSK_Res,"Fail")))</f>
        <v/>
      </c>
      <c r="O504" s="17">
        <f>IF($C504="","",IF(AND(MAX(_xlfn.MAXIFS(nrSK_Att,nrSK_PID,$D504,nrSK_Cat,$E504,nrSK_Res,"Pass"),_xlfn.MAXIFS(nrSK_Att,nrSK_PID,$D504,nrSK_Cat,$E504,nrSK_Res,"Fail"))&gt;0,N($I504)&lt;MAX(_xlfn.MAXIFS(nrSK_Att,nrSK_PID,$D504,nrSK_Cat,$E504,nrSK_Res,"Pass"),_xlfn.MAXIFS(nrSK_Att,nrSK_PID,$D504,nrSK_Cat,$E504,nrSK_Res,"Fail"))),"(superseded)",IF(OR($J504="",$J504="Pending"),"Pending",IF($J504="Pass","Qualified",IF(AND($J504="Fail",$N504&gt;=$F504),"FAILED OUT","Needs Remediation")))))</f>
        <v/>
      </c>
      <c r="P504" s="17">
        <f>IF($C504="","",IF($O504="FAILED OUT","Yes","No"))</f>
        <v/>
      </c>
      <c r="Q504" s="16" t="n"/>
      <c r="R504" s="16" t="n"/>
      <c r="S504" s="17">
        <f>IF($C504="","",IF(AND($K504&lt;&gt;"",NOT(ISNUMBER($K504))),"SCORE NOT A NUMBER",IF(AND(ISNUMBER($K504),OR($K504&lt;0,$K504&gt;100)),"SCORE OUT OF RANGE - this score counts toward nothing",IF(AND($G504="Score",$K504="",$J504&lt;&gt;"",$J504&lt;&gt;"Pending"),"RESULT WITHOUT A SCORE",IF(AND($G504="Pass/Fail",$K504&lt;&gt;""),"SCORE ON A PASS-FAIL CATEGORY - it is ignored",IF(AND($E504="Firearms",$J504&lt;&gt;"",$J504&lt;&gt;"Pending",$R504=""),"FIREARMS ROW WITH NO COURSE OF FIRE","OK"))))))</f>
        <v/>
      </c>
    </row>
    <row r="505">
      <c r="B505" s="17">
        <f>IF($C505="","",$D505&amp;"-"&amp;$E505&amp;"-"&amp;$I505)</f>
        <v/>
      </c>
      <c r="C505" s="16" t="n"/>
      <c r="D505" s="17">
        <f>IF($C505="","",IFERROR(INDEX(rngCadetPIDs,MATCH($C505,rngCadetNames,0)),"?"))</f>
        <v/>
      </c>
      <c r="E505" s="16" t="n"/>
      <c r="F505" s="17">
        <f>IF($E505="","",IFERROR(INDEX(rngSM_max,MATCH($E505,rngSM_cat,0)),""))</f>
        <v/>
      </c>
      <c r="G505" s="17">
        <f>IF($E505="","",IFERROR(INDEX(rngSM_mode,MATCH($E505,rngSM_cat,0)),""))</f>
        <v/>
      </c>
      <c r="H505" s="17">
        <f>IF($E505="","",IFERROR(INDEX(rngSM_pass,MATCH($E505,rngSM_cat,0)),""))</f>
        <v/>
      </c>
      <c r="I505" s="16" t="n"/>
      <c r="J505" s="16" t="n"/>
      <c r="K505" s="16" t="n"/>
      <c r="L505" s="18" t="n"/>
      <c r="M505" s="16" t="n"/>
      <c r="N505" s="17">
        <f>IF($C505="","",MAX(_xlfn.MAXIFS(nrSK_Att,nrSK_PID,$D505,nrSK_Cat,$E505,nrSK_Res,"Pass"),_xlfn.MAXIFS(nrSK_Att,nrSK_PID,$D505,nrSK_Cat,$E505,nrSK_Res,"Fail")))</f>
        <v/>
      </c>
      <c r="O505" s="17">
        <f>IF($C505="","",IF(AND(MAX(_xlfn.MAXIFS(nrSK_Att,nrSK_PID,$D505,nrSK_Cat,$E505,nrSK_Res,"Pass"),_xlfn.MAXIFS(nrSK_Att,nrSK_PID,$D505,nrSK_Cat,$E505,nrSK_Res,"Fail"))&gt;0,N($I505)&lt;MAX(_xlfn.MAXIFS(nrSK_Att,nrSK_PID,$D505,nrSK_Cat,$E505,nrSK_Res,"Pass"),_xlfn.MAXIFS(nrSK_Att,nrSK_PID,$D505,nrSK_Cat,$E505,nrSK_Res,"Fail"))),"(superseded)",IF(OR($J505="",$J505="Pending"),"Pending",IF($J505="Pass","Qualified",IF(AND($J505="Fail",$N505&gt;=$F505),"FAILED OUT","Needs Remediation")))))</f>
        <v/>
      </c>
      <c r="P505" s="17">
        <f>IF($C505="","",IF($O505="FAILED OUT","Yes","No"))</f>
        <v/>
      </c>
      <c r="Q505" s="16" t="n"/>
      <c r="R505" s="16" t="n"/>
      <c r="S505" s="17">
        <f>IF($C505="","",IF(AND($K505&lt;&gt;"",NOT(ISNUMBER($K505))),"SCORE NOT A NUMBER",IF(AND(ISNUMBER($K505),OR($K505&lt;0,$K505&gt;100)),"SCORE OUT OF RANGE - this score counts toward nothing",IF(AND($G505="Score",$K505="",$J505&lt;&gt;"",$J505&lt;&gt;"Pending"),"RESULT WITHOUT A SCORE",IF(AND($G505="Pass/Fail",$K505&lt;&gt;""),"SCORE ON A PASS-FAIL CATEGORY - it is ignored",IF(AND($E505="Firearms",$J505&lt;&gt;"",$J505&lt;&gt;"Pending",$R505=""),"FIREARMS ROW WITH NO COURSE OF FIRE","OK"))))))</f>
        <v/>
      </c>
    </row>
    <row r="506">
      <c r="B506" s="17">
        <f>IF($C506="","",$D506&amp;"-"&amp;$E506&amp;"-"&amp;$I506)</f>
        <v/>
      </c>
      <c r="C506" s="16" t="n"/>
      <c r="D506" s="17">
        <f>IF($C506="","",IFERROR(INDEX(rngCadetPIDs,MATCH($C506,rngCadetNames,0)),"?"))</f>
        <v/>
      </c>
      <c r="E506" s="16" t="n"/>
      <c r="F506" s="17">
        <f>IF($E506="","",IFERROR(INDEX(rngSM_max,MATCH($E506,rngSM_cat,0)),""))</f>
        <v/>
      </c>
      <c r="G506" s="17">
        <f>IF($E506="","",IFERROR(INDEX(rngSM_mode,MATCH($E506,rngSM_cat,0)),""))</f>
        <v/>
      </c>
      <c r="H506" s="17">
        <f>IF($E506="","",IFERROR(INDEX(rngSM_pass,MATCH($E506,rngSM_cat,0)),""))</f>
        <v/>
      </c>
      <c r="I506" s="16" t="n"/>
      <c r="J506" s="16" t="n"/>
      <c r="K506" s="16" t="n"/>
      <c r="L506" s="18" t="n"/>
      <c r="M506" s="16" t="n"/>
      <c r="N506" s="17">
        <f>IF($C506="","",MAX(_xlfn.MAXIFS(nrSK_Att,nrSK_PID,$D506,nrSK_Cat,$E506,nrSK_Res,"Pass"),_xlfn.MAXIFS(nrSK_Att,nrSK_PID,$D506,nrSK_Cat,$E506,nrSK_Res,"Fail")))</f>
        <v/>
      </c>
      <c r="O506" s="17">
        <f>IF($C506="","",IF(AND(MAX(_xlfn.MAXIFS(nrSK_Att,nrSK_PID,$D506,nrSK_Cat,$E506,nrSK_Res,"Pass"),_xlfn.MAXIFS(nrSK_Att,nrSK_PID,$D506,nrSK_Cat,$E506,nrSK_Res,"Fail"))&gt;0,N($I506)&lt;MAX(_xlfn.MAXIFS(nrSK_Att,nrSK_PID,$D506,nrSK_Cat,$E506,nrSK_Res,"Pass"),_xlfn.MAXIFS(nrSK_Att,nrSK_PID,$D506,nrSK_Cat,$E506,nrSK_Res,"Fail"))),"(superseded)",IF(OR($J506="",$J506="Pending"),"Pending",IF($J506="Pass","Qualified",IF(AND($J506="Fail",$N506&gt;=$F506),"FAILED OUT","Needs Remediation")))))</f>
        <v/>
      </c>
      <c r="P506" s="17">
        <f>IF($C506="","",IF($O506="FAILED OUT","Yes","No"))</f>
        <v/>
      </c>
      <c r="Q506" s="16" t="n"/>
      <c r="R506" s="16" t="n"/>
      <c r="S506" s="17">
        <f>IF($C506="","",IF(AND($K506&lt;&gt;"",NOT(ISNUMBER($K506))),"SCORE NOT A NUMBER",IF(AND(ISNUMBER($K506),OR($K506&lt;0,$K506&gt;100)),"SCORE OUT OF RANGE - this score counts toward nothing",IF(AND($G506="Score",$K506="",$J506&lt;&gt;"",$J506&lt;&gt;"Pending"),"RESULT WITHOUT A SCORE",IF(AND($G506="Pass/Fail",$K506&lt;&gt;""),"SCORE ON A PASS-FAIL CATEGORY - it is ignored",IF(AND($E506="Firearms",$J506&lt;&gt;"",$J506&lt;&gt;"Pending",$R506=""),"FIREARMS ROW WITH NO COURSE OF FIRE","OK"))))))</f>
        <v/>
      </c>
    </row>
    <row r="507">
      <c r="B507" s="17">
        <f>IF($C507="","",$D507&amp;"-"&amp;$E507&amp;"-"&amp;$I507)</f>
        <v/>
      </c>
      <c r="C507" s="16" t="n"/>
      <c r="D507" s="17">
        <f>IF($C507="","",IFERROR(INDEX(rngCadetPIDs,MATCH($C507,rngCadetNames,0)),"?"))</f>
        <v/>
      </c>
      <c r="E507" s="16" t="n"/>
      <c r="F507" s="17">
        <f>IF($E507="","",IFERROR(INDEX(rngSM_max,MATCH($E507,rngSM_cat,0)),""))</f>
        <v/>
      </c>
      <c r="G507" s="17">
        <f>IF($E507="","",IFERROR(INDEX(rngSM_mode,MATCH($E507,rngSM_cat,0)),""))</f>
        <v/>
      </c>
      <c r="H507" s="17">
        <f>IF($E507="","",IFERROR(INDEX(rngSM_pass,MATCH($E507,rngSM_cat,0)),""))</f>
        <v/>
      </c>
      <c r="I507" s="16" t="n"/>
      <c r="J507" s="16" t="n"/>
      <c r="K507" s="16" t="n"/>
      <c r="L507" s="18" t="n"/>
      <c r="M507" s="16" t="n"/>
      <c r="N507" s="17">
        <f>IF($C507="","",MAX(_xlfn.MAXIFS(nrSK_Att,nrSK_PID,$D507,nrSK_Cat,$E507,nrSK_Res,"Pass"),_xlfn.MAXIFS(nrSK_Att,nrSK_PID,$D507,nrSK_Cat,$E507,nrSK_Res,"Fail")))</f>
        <v/>
      </c>
      <c r="O507" s="17">
        <f>IF($C507="","",IF(AND(MAX(_xlfn.MAXIFS(nrSK_Att,nrSK_PID,$D507,nrSK_Cat,$E507,nrSK_Res,"Pass"),_xlfn.MAXIFS(nrSK_Att,nrSK_PID,$D507,nrSK_Cat,$E507,nrSK_Res,"Fail"))&gt;0,N($I507)&lt;MAX(_xlfn.MAXIFS(nrSK_Att,nrSK_PID,$D507,nrSK_Cat,$E507,nrSK_Res,"Pass"),_xlfn.MAXIFS(nrSK_Att,nrSK_PID,$D507,nrSK_Cat,$E507,nrSK_Res,"Fail"))),"(superseded)",IF(OR($J507="",$J507="Pending"),"Pending",IF($J507="Pass","Qualified",IF(AND($J507="Fail",$N507&gt;=$F507),"FAILED OUT","Needs Remediation")))))</f>
        <v/>
      </c>
      <c r="P507" s="17">
        <f>IF($C507="","",IF($O507="FAILED OUT","Yes","No"))</f>
        <v/>
      </c>
      <c r="Q507" s="16" t="n"/>
      <c r="R507" s="16" t="n"/>
      <c r="S507" s="17">
        <f>IF($C507="","",IF(AND($K507&lt;&gt;"",NOT(ISNUMBER($K507))),"SCORE NOT A NUMBER",IF(AND(ISNUMBER($K507),OR($K507&lt;0,$K507&gt;100)),"SCORE OUT OF RANGE - this score counts toward nothing",IF(AND($G507="Score",$K507="",$J507&lt;&gt;"",$J507&lt;&gt;"Pending"),"RESULT WITHOUT A SCORE",IF(AND($G507="Pass/Fail",$K507&lt;&gt;""),"SCORE ON A PASS-FAIL CATEGORY - it is ignored",IF(AND($E507="Firearms",$J507&lt;&gt;"",$J507&lt;&gt;"Pending",$R507=""),"FIREARMS ROW WITH NO COURSE OF FIRE","OK"))))))</f>
        <v/>
      </c>
    </row>
    <row r="508">
      <c r="B508" s="17">
        <f>IF($C508="","",$D508&amp;"-"&amp;$E508&amp;"-"&amp;$I508)</f>
        <v/>
      </c>
      <c r="C508" s="16" t="n"/>
      <c r="D508" s="17">
        <f>IF($C508="","",IFERROR(INDEX(rngCadetPIDs,MATCH($C508,rngCadetNames,0)),"?"))</f>
        <v/>
      </c>
      <c r="E508" s="16" t="n"/>
      <c r="F508" s="17">
        <f>IF($E508="","",IFERROR(INDEX(rngSM_max,MATCH($E508,rngSM_cat,0)),""))</f>
        <v/>
      </c>
      <c r="G508" s="17">
        <f>IF($E508="","",IFERROR(INDEX(rngSM_mode,MATCH($E508,rngSM_cat,0)),""))</f>
        <v/>
      </c>
      <c r="H508" s="17">
        <f>IF($E508="","",IFERROR(INDEX(rngSM_pass,MATCH($E508,rngSM_cat,0)),""))</f>
        <v/>
      </c>
      <c r="I508" s="16" t="n"/>
      <c r="J508" s="16" t="n"/>
      <c r="K508" s="16" t="n"/>
      <c r="L508" s="18" t="n"/>
      <c r="M508" s="16" t="n"/>
      <c r="N508" s="17">
        <f>IF($C508="","",MAX(_xlfn.MAXIFS(nrSK_Att,nrSK_PID,$D508,nrSK_Cat,$E508,nrSK_Res,"Pass"),_xlfn.MAXIFS(nrSK_Att,nrSK_PID,$D508,nrSK_Cat,$E508,nrSK_Res,"Fail")))</f>
        <v/>
      </c>
      <c r="O508" s="17">
        <f>IF($C508="","",IF(AND(MAX(_xlfn.MAXIFS(nrSK_Att,nrSK_PID,$D508,nrSK_Cat,$E508,nrSK_Res,"Pass"),_xlfn.MAXIFS(nrSK_Att,nrSK_PID,$D508,nrSK_Cat,$E508,nrSK_Res,"Fail"))&gt;0,N($I508)&lt;MAX(_xlfn.MAXIFS(nrSK_Att,nrSK_PID,$D508,nrSK_Cat,$E508,nrSK_Res,"Pass"),_xlfn.MAXIFS(nrSK_Att,nrSK_PID,$D508,nrSK_Cat,$E508,nrSK_Res,"Fail"))),"(superseded)",IF(OR($J508="",$J508="Pending"),"Pending",IF($J508="Pass","Qualified",IF(AND($J508="Fail",$N508&gt;=$F508),"FAILED OUT","Needs Remediation")))))</f>
        <v/>
      </c>
      <c r="P508" s="17">
        <f>IF($C508="","",IF($O508="FAILED OUT","Yes","No"))</f>
        <v/>
      </c>
      <c r="Q508" s="16" t="n"/>
      <c r="R508" s="16" t="n"/>
      <c r="S508" s="17">
        <f>IF($C508="","",IF(AND($K508&lt;&gt;"",NOT(ISNUMBER($K508))),"SCORE NOT A NUMBER",IF(AND(ISNUMBER($K508),OR($K508&lt;0,$K508&gt;100)),"SCORE OUT OF RANGE - this score counts toward nothing",IF(AND($G508="Score",$K508="",$J508&lt;&gt;"",$J508&lt;&gt;"Pending"),"RESULT WITHOUT A SCORE",IF(AND($G508="Pass/Fail",$K508&lt;&gt;""),"SCORE ON A PASS-FAIL CATEGORY - it is ignored",IF(AND($E508="Firearms",$J508&lt;&gt;"",$J508&lt;&gt;"Pending",$R508=""),"FIREARMS ROW WITH NO COURSE OF FIRE","OK"))))))</f>
        <v/>
      </c>
    </row>
    <row r="509">
      <c r="B509" s="17">
        <f>IF($C509="","",$D509&amp;"-"&amp;$E509&amp;"-"&amp;$I509)</f>
        <v/>
      </c>
      <c r="C509" s="16" t="n"/>
      <c r="D509" s="17">
        <f>IF($C509="","",IFERROR(INDEX(rngCadetPIDs,MATCH($C509,rngCadetNames,0)),"?"))</f>
        <v/>
      </c>
      <c r="E509" s="16" t="n"/>
      <c r="F509" s="17">
        <f>IF($E509="","",IFERROR(INDEX(rngSM_max,MATCH($E509,rngSM_cat,0)),""))</f>
        <v/>
      </c>
      <c r="G509" s="17">
        <f>IF($E509="","",IFERROR(INDEX(rngSM_mode,MATCH($E509,rngSM_cat,0)),""))</f>
        <v/>
      </c>
      <c r="H509" s="17">
        <f>IF($E509="","",IFERROR(INDEX(rngSM_pass,MATCH($E509,rngSM_cat,0)),""))</f>
        <v/>
      </c>
      <c r="I509" s="16" t="n"/>
      <c r="J509" s="16" t="n"/>
      <c r="K509" s="16" t="n"/>
      <c r="L509" s="18" t="n"/>
      <c r="M509" s="16" t="n"/>
      <c r="N509" s="17">
        <f>IF($C509="","",MAX(_xlfn.MAXIFS(nrSK_Att,nrSK_PID,$D509,nrSK_Cat,$E509,nrSK_Res,"Pass"),_xlfn.MAXIFS(nrSK_Att,nrSK_PID,$D509,nrSK_Cat,$E509,nrSK_Res,"Fail")))</f>
        <v/>
      </c>
      <c r="O509" s="17">
        <f>IF($C509="","",IF(AND(MAX(_xlfn.MAXIFS(nrSK_Att,nrSK_PID,$D509,nrSK_Cat,$E509,nrSK_Res,"Pass"),_xlfn.MAXIFS(nrSK_Att,nrSK_PID,$D509,nrSK_Cat,$E509,nrSK_Res,"Fail"))&gt;0,N($I509)&lt;MAX(_xlfn.MAXIFS(nrSK_Att,nrSK_PID,$D509,nrSK_Cat,$E509,nrSK_Res,"Pass"),_xlfn.MAXIFS(nrSK_Att,nrSK_PID,$D509,nrSK_Cat,$E509,nrSK_Res,"Fail"))),"(superseded)",IF(OR($J509="",$J509="Pending"),"Pending",IF($J509="Pass","Qualified",IF(AND($J509="Fail",$N509&gt;=$F509),"FAILED OUT","Needs Remediation")))))</f>
        <v/>
      </c>
      <c r="P509" s="17">
        <f>IF($C509="","",IF($O509="FAILED OUT","Yes","No"))</f>
        <v/>
      </c>
      <c r="Q509" s="16" t="n"/>
      <c r="R509" s="16" t="n"/>
      <c r="S509" s="17">
        <f>IF($C509="","",IF(AND($K509&lt;&gt;"",NOT(ISNUMBER($K509))),"SCORE NOT A NUMBER",IF(AND(ISNUMBER($K509),OR($K509&lt;0,$K509&gt;100)),"SCORE OUT OF RANGE - this score counts toward nothing",IF(AND($G509="Score",$K509="",$J509&lt;&gt;"",$J509&lt;&gt;"Pending"),"RESULT WITHOUT A SCORE",IF(AND($G509="Pass/Fail",$K509&lt;&gt;""),"SCORE ON A PASS-FAIL CATEGORY - it is ignored",IF(AND($E509="Firearms",$J509&lt;&gt;"",$J509&lt;&gt;"Pending",$R509=""),"FIREARMS ROW WITH NO COURSE OF FIRE","OK"))))))</f>
        <v/>
      </c>
    </row>
    <row r="510">
      <c r="B510" s="17">
        <f>IF($C510="","",$D510&amp;"-"&amp;$E510&amp;"-"&amp;$I510)</f>
        <v/>
      </c>
      <c r="C510" s="16" t="n"/>
      <c r="D510" s="17">
        <f>IF($C510="","",IFERROR(INDEX(rngCadetPIDs,MATCH($C510,rngCadetNames,0)),"?"))</f>
        <v/>
      </c>
      <c r="E510" s="16" t="n"/>
      <c r="F510" s="17">
        <f>IF($E510="","",IFERROR(INDEX(rngSM_max,MATCH($E510,rngSM_cat,0)),""))</f>
        <v/>
      </c>
      <c r="G510" s="17">
        <f>IF($E510="","",IFERROR(INDEX(rngSM_mode,MATCH($E510,rngSM_cat,0)),""))</f>
        <v/>
      </c>
      <c r="H510" s="17">
        <f>IF($E510="","",IFERROR(INDEX(rngSM_pass,MATCH($E510,rngSM_cat,0)),""))</f>
        <v/>
      </c>
      <c r="I510" s="16" t="n"/>
      <c r="J510" s="16" t="n"/>
      <c r="K510" s="16" t="n"/>
      <c r="L510" s="18" t="n"/>
      <c r="M510" s="16" t="n"/>
      <c r="N510" s="17">
        <f>IF($C510="","",MAX(_xlfn.MAXIFS(nrSK_Att,nrSK_PID,$D510,nrSK_Cat,$E510,nrSK_Res,"Pass"),_xlfn.MAXIFS(nrSK_Att,nrSK_PID,$D510,nrSK_Cat,$E510,nrSK_Res,"Fail")))</f>
        <v/>
      </c>
      <c r="O510" s="17">
        <f>IF($C510="","",IF(AND(MAX(_xlfn.MAXIFS(nrSK_Att,nrSK_PID,$D510,nrSK_Cat,$E510,nrSK_Res,"Pass"),_xlfn.MAXIFS(nrSK_Att,nrSK_PID,$D510,nrSK_Cat,$E510,nrSK_Res,"Fail"))&gt;0,N($I510)&lt;MAX(_xlfn.MAXIFS(nrSK_Att,nrSK_PID,$D510,nrSK_Cat,$E510,nrSK_Res,"Pass"),_xlfn.MAXIFS(nrSK_Att,nrSK_PID,$D510,nrSK_Cat,$E510,nrSK_Res,"Fail"))),"(superseded)",IF(OR($J510="",$J510="Pending"),"Pending",IF($J510="Pass","Qualified",IF(AND($J510="Fail",$N510&gt;=$F510),"FAILED OUT","Needs Remediation")))))</f>
        <v/>
      </c>
      <c r="P510" s="17">
        <f>IF($C510="","",IF($O510="FAILED OUT","Yes","No"))</f>
        <v/>
      </c>
      <c r="Q510" s="16" t="n"/>
      <c r="R510" s="16" t="n"/>
      <c r="S510" s="17">
        <f>IF($C510="","",IF(AND($K510&lt;&gt;"",NOT(ISNUMBER($K510))),"SCORE NOT A NUMBER",IF(AND(ISNUMBER($K510),OR($K510&lt;0,$K510&gt;100)),"SCORE OUT OF RANGE - this score counts toward nothing",IF(AND($G510="Score",$K510="",$J510&lt;&gt;"",$J510&lt;&gt;"Pending"),"RESULT WITHOUT A SCORE",IF(AND($G510="Pass/Fail",$K510&lt;&gt;""),"SCORE ON A PASS-FAIL CATEGORY - it is ignored",IF(AND($E510="Firearms",$J510&lt;&gt;"",$J510&lt;&gt;"Pending",$R510=""),"FIREARMS ROW WITH NO COURSE OF FIRE","OK"))))))</f>
        <v/>
      </c>
    </row>
    <row r="511">
      <c r="B511" s="17">
        <f>IF($C511="","",$D511&amp;"-"&amp;$E511&amp;"-"&amp;$I511)</f>
        <v/>
      </c>
      <c r="C511" s="16" t="n"/>
      <c r="D511" s="17">
        <f>IF($C511="","",IFERROR(INDEX(rngCadetPIDs,MATCH($C511,rngCadetNames,0)),"?"))</f>
        <v/>
      </c>
      <c r="E511" s="16" t="n"/>
      <c r="F511" s="17">
        <f>IF($E511="","",IFERROR(INDEX(rngSM_max,MATCH($E511,rngSM_cat,0)),""))</f>
        <v/>
      </c>
      <c r="G511" s="17">
        <f>IF($E511="","",IFERROR(INDEX(rngSM_mode,MATCH($E511,rngSM_cat,0)),""))</f>
        <v/>
      </c>
      <c r="H511" s="17">
        <f>IF($E511="","",IFERROR(INDEX(rngSM_pass,MATCH($E511,rngSM_cat,0)),""))</f>
        <v/>
      </c>
      <c r="I511" s="16" t="n"/>
      <c r="J511" s="16" t="n"/>
      <c r="K511" s="16" t="n"/>
      <c r="L511" s="18" t="n"/>
      <c r="M511" s="16" t="n"/>
      <c r="N511" s="17">
        <f>IF($C511="","",MAX(_xlfn.MAXIFS(nrSK_Att,nrSK_PID,$D511,nrSK_Cat,$E511,nrSK_Res,"Pass"),_xlfn.MAXIFS(nrSK_Att,nrSK_PID,$D511,nrSK_Cat,$E511,nrSK_Res,"Fail")))</f>
        <v/>
      </c>
      <c r="O511" s="17">
        <f>IF($C511="","",IF(AND(MAX(_xlfn.MAXIFS(nrSK_Att,nrSK_PID,$D511,nrSK_Cat,$E511,nrSK_Res,"Pass"),_xlfn.MAXIFS(nrSK_Att,nrSK_PID,$D511,nrSK_Cat,$E511,nrSK_Res,"Fail"))&gt;0,N($I511)&lt;MAX(_xlfn.MAXIFS(nrSK_Att,nrSK_PID,$D511,nrSK_Cat,$E511,nrSK_Res,"Pass"),_xlfn.MAXIFS(nrSK_Att,nrSK_PID,$D511,nrSK_Cat,$E511,nrSK_Res,"Fail"))),"(superseded)",IF(OR($J511="",$J511="Pending"),"Pending",IF($J511="Pass","Qualified",IF(AND($J511="Fail",$N511&gt;=$F511),"FAILED OUT","Needs Remediation")))))</f>
        <v/>
      </c>
      <c r="P511" s="17">
        <f>IF($C511="","",IF($O511="FAILED OUT","Yes","No"))</f>
        <v/>
      </c>
      <c r="Q511" s="16" t="n"/>
      <c r="R511" s="16" t="n"/>
      <c r="S511" s="17">
        <f>IF($C511="","",IF(AND($K511&lt;&gt;"",NOT(ISNUMBER($K511))),"SCORE NOT A NUMBER",IF(AND(ISNUMBER($K511),OR($K511&lt;0,$K511&gt;100)),"SCORE OUT OF RANGE - this score counts toward nothing",IF(AND($G511="Score",$K511="",$J511&lt;&gt;"",$J511&lt;&gt;"Pending"),"RESULT WITHOUT A SCORE",IF(AND($G511="Pass/Fail",$K511&lt;&gt;""),"SCORE ON A PASS-FAIL CATEGORY - it is ignored",IF(AND($E511="Firearms",$J511&lt;&gt;"",$J511&lt;&gt;"Pending",$R511=""),"FIREARMS ROW WITH NO COURSE OF FIRE","OK"))))))</f>
        <v/>
      </c>
    </row>
    <row r="512">
      <c r="B512" s="17">
        <f>IF($C512="","",$D512&amp;"-"&amp;$E512&amp;"-"&amp;$I512)</f>
        <v/>
      </c>
      <c r="C512" s="16" t="n"/>
      <c r="D512" s="17">
        <f>IF($C512="","",IFERROR(INDEX(rngCadetPIDs,MATCH($C512,rngCadetNames,0)),"?"))</f>
        <v/>
      </c>
      <c r="E512" s="16" t="n"/>
      <c r="F512" s="17">
        <f>IF($E512="","",IFERROR(INDEX(rngSM_max,MATCH($E512,rngSM_cat,0)),""))</f>
        <v/>
      </c>
      <c r="G512" s="17">
        <f>IF($E512="","",IFERROR(INDEX(rngSM_mode,MATCH($E512,rngSM_cat,0)),""))</f>
        <v/>
      </c>
      <c r="H512" s="17">
        <f>IF($E512="","",IFERROR(INDEX(rngSM_pass,MATCH($E512,rngSM_cat,0)),""))</f>
        <v/>
      </c>
      <c r="I512" s="16" t="n"/>
      <c r="J512" s="16" t="n"/>
      <c r="K512" s="16" t="n"/>
      <c r="L512" s="18" t="n"/>
      <c r="M512" s="16" t="n"/>
      <c r="N512" s="17">
        <f>IF($C512="","",MAX(_xlfn.MAXIFS(nrSK_Att,nrSK_PID,$D512,nrSK_Cat,$E512,nrSK_Res,"Pass"),_xlfn.MAXIFS(nrSK_Att,nrSK_PID,$D512,nrSK_Cat,$E512,nrSK_Res,"Fail")))</f>
        <v/>
      </c>
      <c r="O512" s="17">
        <f>IF($C512="","",IF(AND(MAX(_xlfn.MAXIFS(nrSK_Att,nrSK_PID,$D512,nrSK_Cat,$E512,nrSK_Res,"Pass"),_xlfn.MAXIFS(nrSK_Att,nrSK_PID,$D512,nrSK_Cat,$E512,nrSK_Res,"Fail"))&gt;0,N($I512)&lt;MAX(_xlfn.MAXIFS(nrSK_Att,nrSK_PID,$D512,nrSK_Cat,$E512,nrSK_Res,"Pass"),_xlfn.MAXIFS(nrSK_Att,nrSK_PID,$D512,nrSK_Cat,$E512,nrSK_Res,"Fail"))),"(superseded)",IF(OR($J512="",$J512="Pending"),"Pending",IF($J512="Pass","Qualified",IF(AND($J512="Fail",$N512&gt;=$F512),"FAILED OUT","Needs Remediation")))))</f>
        <v/>
      </c>
      <c r="P512" s="17">
        <f>IF($C512="","",IF($O512="FAILED OUT","Yes","No"))</f>
        <v/>
      </c>
      <c r="Q512" s="16" t="n"/>
      <c r="R512" s="16" t="n"/>
      <c r="S512" s="17">
        <f>IF($C512="","",IF(AND($K512&lt;&gt;"",NOT(ISNUMBER($K512))),"SCORE NOT A NUMBER",IF(AND(ISNUMBER($K512),OR($K512&lt;0,$K512&gt;100)),"SCORE OUT OF RANGE - this score counts toward nothing",IF(AND($G512="Score",$K512="",$J512&lt;&gt;"",$J512&lt;&gt;"Pending"),"RESULT WITHOUT A SCORE",IF(AND($G512="Pass/Fail",$K512&lt;&gt;""),"SCORE ON A PASS-FAIL CATEGORY - it is ignored",IF(AND($E512="Firearms",$J512&lt;&gt;"",$J512&lt;&gt;"Pending",$R512=""),"FIREARMS ROW WITH NO COURSE OF FIRE","OK"))))))</f>
        <v/>
      </c>
    </row>
    <row r="513">
      <c r="B513" s="17">
        <f>IF($C513="","",$D513&amp;"-"&amp;$E513&amp;"-"&amp;$I513)</f>
        <v/>
      </c>
      <c r="C513" s="16" t="n"/>
      <c r="D513" s="17">
        <f>IF($C513="","",IFERROR(INDEX(rngCadetPIDs,MATCH($C513,rngCadetNames,0)),"?"))</f>
        <v/>
      </c>
      <c r="E513" s="16" t="n"/>
      <c r="F513" s="17">
        <f>IF($E513="","",IFERROR(INDEX(rngSM_max,MATCH($E513,rngSM_cat,0)),""))</f>
        <v/>
      </c>
      <c r="G513" s="17">
        <f>IF($E513="","",IFERROR(INDEX(rngSM_mode,MATCH($E513,rngSM_cat,0)),""))</f>
        <v/>
      </c>
      <c r="H513" s="17">
        <f>IF($E513="","",IFERROR(INDEX(rngSM_pass,MATCH($E513,rngSM_cat,0)),""))</f>
        <v/>
      </c>
      <c r="I513" s="16" t="n"/>
      <c r="J513" s="16" t="n"/>
      <c r="K513" s="16" t="n"/>
      <c r="L513" s="18" t="n"/>
      <c r="M513" s="16" t="n"/>
      <c r="N513" s="17">
        <f>IF($C513="","",MAX(_xlfn.MAXIFS(nrSK_Att,nrSK_PID,$D513,nrSK_Cat,$E513,nrSK_Res,"Pass"),_xlfn.MAXIFS(nrSK_Att,nrSK_PID,$D513,nrSK_Cat,$E513,nrSK_Res,"Fail")))</f>
        <v/>
      </c>
      <c r="O513" s="17">
        <f>IF($C513="","",IF(AND(MAX(_xlfn.MAXIFS(nrSK_Att,nrSK_PID,$D513,nrSK_Cat,$E513,nrSK_Res,"Pass"),_xlfn.MAXIFS(nrSK_Att,nrSK_PID,$D513,nrSK_Cat,$E513,nrSK_Res,"Fail"))&gt;0,N($I513)&lt;MAX(_xlfn.MAXIFS(nrSK_Att,nrSK_PID,$D513,nrSK_Cat,$E513,nrSK_Res,"Pass"),_xlfn.MAXIFS(nrSK_Att,nrSK_PID,$D513,nrSK_Cat,$E513,nrSK_Res,"Fail"))),"(superseded)",IF(OR($J513="",$J513="Pending"),"Pending",IF($J513="Pass","Qualified",IF(AND($J513="Fail",$N513&gt;=$F513),"FAILED OUT","Needs Remediation")))))</f>
        <v/>
      </c>
      <c r="P513" s="17">
        <f>IF($C513="","",IF($O513="FAILED OUT","Yes","No"))</f>
        <v/>
      </c>
      <c r="Q513" s="16" t="n"/>
      <c r="R513" s="16" t="n"/>
      <c r="S513" s="17">
        <f>IF($C513="","",IF(AND($K513&lt;&gt;"",NOT(ISNUMBER($K513))),"SCORE NOT A NUMBER",IF(AND(ISNUMBER($K513),OR($K513&lt;0,$K513&gt;100)),"SCORE OUT OF RANGE - this score counts toward nothing",IF(AND($G513="Score",$K513="",$J513&lt;&gt;"",$J513&lt;&gt;"Pending"),"RESULT WITHOUT A SCORE",IF(AND($G513="Pass/Fail",$K513&lt;&gt;""),"SCORE ON A PASS-FAIL CATEGORY - it is ignored",IF(AND($E513="Firearms",$J513&lt;&gt;"",$J513&lt;&gt;"Pending",$R513=""),"FIREARMS ROW WITH NO COURSE OF FIRE","OK"))))))</f>
        <v/>
      </c>
    </row>
    <row r="514">
      <c r="B514" s="17">
        <f>IF($C514="","",$D514&amp;"-"&amp;$E514&amp;"-"&amp;$I514)</f>
        <v/>
      </c>
      <c r="C514" s="16" t="n"/>
      <c r="D514" s="17">
        <f>IF($C514="","",IFERROR(INDEX(rngCadetPIDs,MATCH($C514,rngCadetNames,0)),"?"))</f>
        <v/>
      </c>
      <c r="E514" s="16" t="n"/>
      <c r="F514" s="17">
        <f>IF($E514="","",IFERROR(INDEX(rngSM_max,MATCH($E514,rngSM_cat,0)),""))</f>
        <v/>
      </c>
      <c r="G514" s="17">
        <f>IF($E514="","",IFERROR(INDEX(rngSM_mode,MATCH($E514,rngSM_cat,0)),""))</f>
        <v/>
      </c>
      <c r="H514" s="17">
        <f>IF($E514="","",IFERROR(INDEX(rngSM_pass,MATCH($E514,rngSM_cat,0)),""))</f>
        <v/>
      </c>
      <c r="I514" s="16" t="n"/>
      <c r="J514" s="16" t="n"/>
      <c r="K514" s="16" t="n"/>
      <c r="L514" s="18" t="n"/>
      <c r="M514" s="16" t="n"/>
      <c r="N514" s="17">
        <f>IF($C514="","",MAX(_xlfn.MAXIFS(nrSK_Att,nrSK_PID,$D514,nrSK_Cat,$E514,nrSK_Res,"Pass"),_xlfn.MAXIFS(nrSK_Att,nrSK_PID,$D514,nrSK_Cat,$E514,nrSK_Res,"Fail")))</f>
        <v/>
      </c>
      <c r="O514" s="17">
        <f>IF($C514="","",IF(AND(MAX(_xlfn.MAXIFS(nrSK_Att,nrSK_PID,$D514,nrSK_Cat,$E514,nrSK_Res,"Pass"),_xlfn.MAXIFS(nrSK_Att,nrSK_PID,$D514,nrSK_Cat,$E514,nrSK_Res,"Fail"))&gt;0,N($I514)&lt;MAX(_xlfn.MAXIFS(nrSK_Att,nrSK_PID,$D514,nrSK_Cat,$E514,nrSK_Res,"Pass"),_xlfn.MAXIFS(nrSK_Att,nrSK_PID,$D514,nrSK_Cat,$E514,nrSK_Res,"Fail"))),"(superseded)",IF(OR($J514="",$J514="Pending"),"Pending",IF($J514="Pass","Qualified",IF(AND($J514="Fail",$N514&gt;=$F514),"FAILED OUT","Needs Remediation")))))</f>
        <v/>
      </c>
      <c r="P514" s="17">
        <f>IF($C514="","",IF($O514="FAILED OUT","Yes","No"))</f>
        <v/>
      </c>
      <c r="Q514" s="16" t="n"/>
      <c r="R514" s="16" t="n"/>
      <c r="S514" s="17">
        <f>IF($C514="","",IF(AND($K514&lt;&gt;"",NOT(ISNUMBER($K514))),"SCORE NOT A NUMBER",IF(AND(ISNUMBER($K514),OR($K514&lt;0,$K514&gt;100)),"SCORE OUT OF RANGE - this score counts toward nothing",IF(AND($G514="Score",$K514="",$J514&lt;&gt;"",$J514&lt;&gt;"Pending"),"RESULT WITHOUT A SCORE",IF(AND($G514="Pass/Fail",$K514&lt;&gt;""),"SCORE ON A PASS-FAIL CATEGORY - it is ignored",IF(AND($E514="Firearms",$J514&lt;&gt;"",$J514&lt;&gt;"Pending",$R514=""),"FIREARMS ROW WITH NO COURSE OF FIRE","OK"))))))</f>
        <v/>
      </c>
    </row>
    <row r="515">
      <c r="B515" s="17">
        <f>IF($C515="","",$D515&amp;"-"&amp;$E515&amp;"-"&amp;$I515)</f>
        <v/>
      </c>
      <c r="C515" s="16" t="n"/>
      <c r="D515" s="17">
        <f>IF($C515="","",IFERROR(INDEX(rngCadetPIDs,MATCH($C515,rngCadetNames,0)),"?"))</f>
        <v/>
      </c>
      <c r="E515" s="16" t="n"/>
      <c r="F515" s="17">
        <f>IF($E515="","",IFERROR(INDEX(rngSM_max,MATCH($E515,rngSM_cat,0)),""))</f>
        <v/>
      </c>
      <c r="G515" s="17">
        <f>IF($E515="","",IFERROR(INDEX(rngSM_mode,MATCH($E515,rngSM_cat,0)),""))</f>
        <v/>
      </c>
      <c r="H515" s="17">
        <f>IF($E515="","",IFERROR(INDEX(rngSM_pass,MATCH($E515,rngSM_cat,0)),""))</f>
        <v/>
      </c>
      <c r="I515" s="16" t="n"/>
      <c r="J515" s="16" t="n"/>
      <c r="K515" s="16" t="n"/>
      <c r="L515" s="18" t="n"/>
      <c r="M515" s="16" t="n"/>
      <c r="N515" s="17">
        <f>IF($C515="","",MAX(_xlfn.MAXIFS(nrSK_Att,nrSK_PID,$D515,nrSK_Cat,$E515,nrSK_Res,"Pass"),_xlfn.MAXIFS(nrSK_Att,nrSK_PID,$D515,nrSK_Cat,$E515,nrSK_Res,"Fail")))</f>
        <v/>
      </c>
      <c r="O515" s="17">
        <f>IF($C515="","",IF(AND(MAX(_xlfn.MAXIFS(nrSK_Att,nrSK_PID,$D515,nrSK_Cat,$E515,nrSK_Res,"Pass"),_xlfn.MAXIFS(nrSK_Att,nrSK_PID,$D515,nrSK_Cat,$E515,nrSK_Res,"Fail"))&gt;0,N($I515)&lt;MAX(_xlfn.MAXIFS(nrSK_Att,nrSK_PID,$D515,nrSK_Cat,$E515,nrSK_Res,"Pass"),_xlfn.MAXIFS(nrSK_Att,nrSK_PID,$D515,nrSK_Cat,$E515,nrSK_Res,"Fail"))),"(superseded)",IF(OR($J515="",$J515="Pending"),"Pending",IF($J515="Pass","Qualified",IF(AND($J515="Fail",$N515&gt;=$F515),"FAILED OUT","Needs Remediation")))))</f>
        <v/>
      </c>
      <c r="P515" s="17">
        <f>IF($C515="","",IF($O515="FAILED OUT","Yes","No"))</f>
        <v/>
      </c>
      <c r="Q515" s="16" t="n"/>
      <c r="R515" s="16" t="n"/>
      <c r="S515" s="17">
        <f>IF($C515="","",IF(AND($K515&lt;&gt;"",NOT(ISNUMBER($K515))),"SCORE NOT A NUMBER",IF(AND(ISNUMBER($K515),OR($K515&lt;0,$K515&gt;100)),"SCORE OUT OF RANGE - this score counts toward nothing",IF(AND($G515="Score",$K515="",$J515&lt;&gt;"",$J515&lt;&gt;"Pending"),"RESULT WITHOUT A SCORE",IF(AND($G515="Pass/Fail",$K515&lt;&gt;""),"SCORE ON A PASS-FAIL CATEGORY - it is ignored",IF(AND($E515="Firearms",$J515&lt;&gt;"",$J515&lt;&gt;"Pending",$R515=""),"FIREARMS ROW WITH NO COURSE OF FIRE","OK"))))))</f>
        <v/>
      </c>
    </row>
    <row r="516">
      <c r="B516" s="17">
        <f>IF($C516="","",$D516&amp;"-"&amp;$E516&amp;"-"&amp;$I516)</f>
        <v/>
      </c>
      <c r="C516" s="16" t="n"/>
      <c r="D516" s="17">
        <f>IF($C516="","",IFERROR(INDEX(rngCadetPIDs,MATCH($C516,rngCadetNames,0)),"?"))</f>
        <v/>
      </c>
      <c r="E516" s="16" t="n"/>
      <c r="F516" s="17">
        <f>IF($E516="","",IFERROR(INDEX(rngSM_max,MATCH($E516,rngSM_cat,0)),""))</f>
        <v/>
      </c>
      <c r="G516" s="17">
        <f>IF($E516="","",IFERROR(INDEX(rngSM_mode,MATCH($E516,rngSM_cat,0)),""))</f>
        <v/>
      </c>
      <c r="H516" s="17">
        <f>IF($E516="","",IFERROR(INDEX(rngSM_pass,MATCH($E516,rngSM_cat,0)),""))</f>
        <v/>
      </c>
      <c r="I516" s="16" t="n"/>
      <c r="J516" s="16" t="n"/>
      <c r="K516" s="16" t="n"/>
      <c r="L516" s="18" t="n"/>
      <c r="M516" s="16" t="n"/>
      <c r="N516" s="17">
        <f>IF($C516="","",MAX(_xlfn.MAXIFS(nrSK_Att,nrSK_PID,$D516,nrSK_Cat,$E516,nrSK_Res,"Pass"),_xlfn.MAXIFS(nrSK_Att,nrSK_PID,$D516,nrSK_Cat,$E516,nrSK_Res,"Fail")))</f>
        <v/>
      </c>
      <c r="O516" s="17">
        <f>IF($C516="","",IF(AND(MAX(_xlfn.MAXIFS(nrSK_Att,nrSK_PID,$D516,nrSK_Cat,$E516,nrSK_Res,"Pass"),_xlfn.MAXIFS(nrSK_Att,nrSK_PID,$D516,nrSK_Cat,$E516,nrSK_Res,"Fail"))&gt;0,N($I516)&lt;MAX(_xlfn.MAXIFS(nrSK_Att,nrSK_PID,$D516,nrSK_Cat,$E516,nrSK_Res,"Pass"),_xlfn.MAXIFS(nrSK_Att,nrSK_PID,$D516,nrSK_Cat,$E516,nrSK_Res,"Fail"))),"(superseded)",IF(OR($J516="",$J516="Pending"),"Pending",IF($J516="Pass","Qualified",IF(AND($J516="Fail",$N516&gt;=$F516),"FAILED OUT","Needs Remediation")))))</f>
        <v/>
      </c>
      <c r="P516" s="17">
        <f>IF($C516="","",IF($O516="FAILED OUT","Yes","No"))</f>
        <v/>
      </c>
      <c r="Q516" s="16" t="n"/>
      <c r="R516" s="16" t="n"/>
      <c r="S516" s="17">
        <f>IF($C516="","",IF(AND($K516&lt;&gt;"",NOT(ISNUMBER($K516))),"SCORE NOT A NUMBER",IF(AND(ISNUMBER($K516),OR($K516&lt;0,$K516&gt;100)),"SCORE OUT OF RANGE - this score counts toward nothing",IF(AND($G516="Score",$K516="",$J516&lt;&gt;"",$J516&lt;&gt;"Pending"),"RESULT WITHOUT A SCORE",IF(AND($G516="Pass/Fail",$K516&lt;&gt;""),"SCORE ON A PASS-FAIL CATEGORY - it is ignored",IF(AND($E516="Firearms",$J516&lt;&gt;"",$J516&lt;&gt;"Pending",$R516=""),"FIREARMS ROW WITH NO COURSE OF FIRE","OK"))))))</f>
        <v/>
      </c>
    </row>
    <row r="517">
      <c r="B517" s="17">
        <f>IF($C517="","",$D517&amp;"-"&amp;$E517&amp;"-"&amp;$I517)</f>
        <v/>
      </c>
      <c r="C517" s="16" t="n"/>
      <c r="D517" s="17">
        <f>IF($C517="","",IFERROR(INDEX(rngCadetPIDs,MATCH($C517,rngCadetNames,0)),"?"))</f>
        <v/>
      </c>
      <c r="E517" s="16" t="n"/>
      <c r="F517" s="17">
        <f>IF($E517="","",IFERROR(INDEX(rngSM_max,MATCH($E517,rngSM_cat,0)),""))</f>
        <v/>
      </c>
      <c r="G517" s="17">
        <f>IF($E517="","",IFERROR(INDEX(rngSM_mode,MATCH($E517,rngSM_cat,0)),""))</f>
        <v/>
      </c>
      <c r="H517" s="17">
        <f>IF($E517="","",IFERROR(INDEX(rngSM_pass,MATCH($E517,rngSM_cat,0)),""))</f>
        <v/>
      </c>
      <c r="I517" s="16" t="n"/>
      <c r="J517" s="16" t="n"/>
      <c r="K517" s="16" t="n"/>
      <c r="L517" s="18" t="n"/>
      <c r="M517" s="16" t="n"/>
      <c r="N517" s="17">
        <f>IF($C517="","",MAX(_xlfn.MAXIFS(nrSK_Att,nrSK_PID,$D517,nrSK_Cat,$E517,nrSK_Res,"Pass"),_xlfn.MAXIFS(nrSK_Att,nrSK_PID,$D517,nrSK_Cat,$E517,nrSK_Res,"Fail")))</f>
        <v/>
      </c>
      <c r="O517" s="17">
        <f>IF($C517="","",IF(AND(MAX(_xlfn.MAXIFS(nrSK_Att,nrSK_PID,$D517,nrSK_Cat,$E517,nrSK_Res,"Pass"),_xlfn.MAXIFS(nrSK_Att,nrSK_PID,$D517,nrSK_Cat,$E517,nrSK_Res,"Fail"))&gt;0,N($I517)&lt;MAX(_xlfn.MAXIFS(nrSK_Att,nrSK_PID,$D517,nrSK_Cat,$E517,nrSK_Res,"Pass"),_xlfn.MAXIFS(nrSK_Att,nrSK_PID,$D517,nrSK_Cat,$E517,nrSK_Res,"Fail"))),"(superseded)",IF(OR($J517="",$J517="Pending"),"Pending",IF($J517="Pass","Qualified",IF(AND($J517="Fail",$N517&gt;=$F517),"FAILED OUT","Needs Remediation")))))</f>
        <v/>
      </c>
      <c r="P517" s="17">
        <f>IF($C517="","",IF($O517="FAILED OUT","Yes","No"))</f>
        <v/>
      </c>
      <c r="Q517" s="16" t="n"/>
      <c r="R517" s="16" t="n"/>
      <c r="S517" s="17">
        <f>IF($C517="","",IF(AND($K517&lt;&gt;"",NOT(ISNUMBER($K517))),"SCORE NOT A NUMBER",IF(AND(ISNUMBER($K517),OR($K517&lt;0,$K517&gt;100)),"SCORE OUT OF RANGE - this score counts toward nothing",IF(AND($G517="Score",$K517="",$J517&lt;&gt;"",$J517&lt;&gt;"Pending"),"RESULT WITHOUT A SCORE",IF(AND($G517="Pass/Fail",$K517&lt;&gt;""),"SCORE ON A PASS-FAIL CATEGORY - it is ignored",IF(AND($E517="Firearms",$J517&lt;&gt;"",$J517&lt;&gt;"Pending",$R517=""),"FIREARMS ROW WITH NO COURSE OF FIRE","OK"))))))</f>
        <v/>
      </c>
    </row>
    <row r="518">
      <c r="B518" s="17">
        <f>IF($C518="","",$D518&amp;"-"&amp;$E518&amp;"-"&amp;$I518)</f>
        <v/>
      </c>
      <c r="C518" s="16" t="n"/>
      <c r="D518" s="17">
        <f>IF($C518="","",IFERROR(INDEX(rngCadetPIDs,MATCH($C518,rngCadetNames,0)),"?"))</f>
        <v/>
      </c>
      <c r="E518" s="16" t="n"/>
      <c r="F518" s="17">
        <f>IF($E518="","",IFERROR(INDEX(rngSM_max,MATCH($E518,rngSM_cat,0)),""))</f>
        <v/>
      </c>
      <c r="G518" s="17">
        <f>IF($E518="","",IFERROR(INDEX(rngSM_mode,MATCH($E518,rngSM_cat,0)),""))</f>
        <v/>
      </c>
      <c r="H518" s="17">
        <f>IF($E518="","",IFERROR(INDEX(rngSM_pass,MATCH($E518,rngSM_cat,0)),""))</f>
        <v/>
      </c>
      <c r="I518" s="16" t="n"/>
      <c r="J518" s="16" t="n"/>
      <c r="K518" s="16" t="n"/>
      <c r="L518" s="18" t="n"/>
      <c r="M518" s="16" t="n"/>
      <c r="N518" s="17">
        <f>IF($C518="","",MAX(_xlfn.MAXIFS(nrSK_Att,nrSK_PID,$D518,nrSK_Cat,$E518,nrSK_Res,"Pass"),_xlfn.MAXIFS(nrSK_Att,nrSK_PID,$D518,nrSK_Cat,$E518,nrSK_Res,"Fail")))</f>
        <v/>
      </c>
      <c r="O518" s="17">
        <f>IF($C518="","",IF(AND(MAX(_xlfn.MAXIFS(nrSK_Att,nrSK_PID,$D518,nrSK_Cat,$E518,nrSK_Res,"Pass"),_xlfn.MAXIFS(nrSK_Att,nrSK_PID,$D518,nrSK_Cat,$E518,nrSK_Res,"Fail"))&gt;0,N($I518)&lt;MAX(_xlfn.MAXIFS(nrSK_Att,nrSK_PID,$D518,nrSK_Cat,$E518,nrSK_Res,"Pass"),_xlfn.MAXIFS(nrSK_Att,nrSK_PID,$D518,nrSK_Cat,$E518,nrSK_Res,"Fail"))),"(superseded)",IF(OR($J518="",$J518="Pending"),"Pending",IF($J518="Pass","Qualified",IF(AND($J518="Fail",$N518&gt;=$F518),"FAILED OUT","Needs Remediation")))))</f>
        <v/>
      </c>
      <c r="P518" s="17">
        <f>IF($C518="","",IF($O518="FAILED OUT","Yes","No"))</f>
        <v/>
      </c>
      <c r="Q518" s="16" t="n"/>
      <c r="R518" s="16" t="n"/>
      <c r="S518" s="17">
        <f>IF($C518="","",IF(AND($K518&lt;&gt;"",NOT(ISNUMBER($K518))),"SCORE NOT A NUMBER",IF(AND(ISNUMBER($K518),OR($K518&lt;0,$K518&gt;100)),"SCORE OUT OF RANGE - this score counts toward nothing",IF(AND($G518="Score",$K518="",$J518&lt;&gt;"",$J518&lt;&gt;"Pending"),"RESULT WITHOUT A SCORE",IF(AND($G518="Pass/Fail",$K518&lt;&gt;""),"SCORE ON A PASS-FAIL CATEGORY - it is ignored",IF(AND($E518="Firearms",$J518&lt;&gt;"",$J518&lt;&gt;"Pending",$R518=""),"FIREARMS ROW WITH NO COURSE OF FIRE","OK"))))))</f>
        <v/>
      </c>
    </row>
    <row r="519">
      <c r="B519" s="17">
        <f>IF($C519="","",$D519&amp;"-"&amp;$E519&amp;"-"&amp;$I519)</f>
        <v/>
      </c>
      <c r="C519" s="16" t="n"/>
      <c r="D519" s="17">
        <f>IF($C519="","",IFERROR(INDEX(rngCadetPIDs,MATCH($C519,rngCadetNames,0)),"?"))</f>
        <v/>
      </c>
      <c r="E519" s="16" t="n"/>
      <c r="F519" s="17">
        <f>IF($E519="","",IFERROR(INDEX(rngSM_max,MATCH($E519,rngSM_cat,0)),""))</f>
        <v/>
      </c>
      <c r="G519" s="17">
        <f>IF($E519="","",IFERROR(INDEX(rngSM_mode,MATCH($E519,rngSM_cat,0)),""))</f>
        <v/>
      </c>
      <c r="H519" s="17">
        <f>IF($E519="","",IFERROR(INDEX(rngSM_pass,MATCH($E519,rngSM_cat,0)),""))</f>
        <v/>
      </c>
      <c r="I519" s="16" t="n"/>
      <c r="J519" s="16" t="n"/>
      <c r="K519" s="16" t="n"/>
      <c r="L519" s="18" t="n"/>
      <c r="M519" s="16" t="n"/>
      <c r="N519" s="17">
        <f>IF($C519="","",MAX(_xlfn.MAXIFS(nrSK_Att,nrSK_PID,$D519,nrSK_Cat,$E519,nrSK_Res,"Pass"),_xlfn.MAXIFS(nrSK_Att,nrSK_PID,$D519,nrSK_Cat,$E519,nrSK_Res,"Fail")))</f>
        <v/>
      </c>
      <c r="O519" s="17">
        <f>IF($C519="","",IF(AND(MAX(_xlfn.MAXIFS(nrSK_Att,nrSK_PID,$D519,nrSK_Cat,$E519,nrSK_Res,"Pass"),_xlfn.MAXIFS(nrSK_Att,nrSK_PID,$D519,nrSK_Cat,$E519,nrSK_Res,"Fail"))&gt;0,N($I519)&lt;MAX(_xlfn.MAXIFS(nrSK_Att,nrSK_PID,$D519,nrSK_Cat,$E519,nrSK_Res,"Pass"),_xlfn.MAXIFS(nrSK_Att,nrSK_PID,$D519,nrSK_Cat,$E519,nrSK_Res,"Fail"))),"(superseded)",IF(OR($J519="",$J519="Pending"),"Pending",IF($J519="Pass","Qualified",IF(AND($J519="Fail",$N519&gt;=$F519),"FAILED OUT","Needs Remediation")))))</f>
        <v/>
      </c>
      <c r="P519" s="17">
        <f>IF($C519="","",IF($O519="FAILED OUT","Yes","No"))</f>
        <v/>
      </c>
      <c r="Q519" s="16" t="n"/>
      <c r="R519" s="16" t="n"/>
      <c r="S519" s="17">
        <f>IF($C519="","",IF(AND($K519&lt;&gt;"",NOT(ISNUMBER($K519))),"SCORE NOT A NUMBER",IF(AND(ISNUMBER($K519),OR($K519&lt;0,$K519&gt;100)),"SCORE OUT OF RANGE - this score counts toward nothing",IF(AND($G519="Score",$K519="",$J519&lt;&gt;"",$J519&lt;&gt;"Pending"),"RESULT WITHOUT A SCORE",IF(AND($G519="Pass/Fail",$K519&lt;&gt;""),"SCORE ON A PASS-FAIL CATEGORY - it is ignored",IF(AND($E519="Firearms",$J519&lt;&gt;"",$J519&lt;&gt;"Pending",$R519=""),"FIREARMS ROW WITH NO COURSE OF FIRE","OK"))))))</f>
        <v/>
      </c>
    </row>
    <row r="520">
      <c r="B520" s="17">
        <f>IF($C520="","",$D520&amp;"-"&amp;$E520&amp;"-"&amp;$I520)</f>
        <v/>
      </c>
      <c r="C520" s="16" t="n"/>
      <c r="D520" s="17">
        <f>IF($C520="","",IFERROR(INDEX(rngCadetPIDs,MATCH($C520,rngCadetNames,0)),"?"))</f>
        <v/>
      </c>
      <c r="E520" s="16" t="n"/>
      <c r="F520" s="17">
        <f>IF($E520="","",IFERROR(INDEX(rngSM_max,MATCH($E520,rngSM_cat,0)),""))</f>
        <v/>
      </c>
      <c r="G520" s="17">
        <f>IF($E520="","",IFERROR(INDEX(rngSM_mode,MATCH($E520,rngSM_cat,0)),""))</f>
        <v/>
      </c>
      <c r="H520" s="17">
        <f>IF($E520="","",IFERROR(INDEX(rngSM_pass,MATCH($E520,rngSM_cat,0)),""))</f>
        <v/>
      </c>
      <c r="I520" s="16" t="n"/>
      <c r="J520" s="16" t="n"/>
      <c r="K520" s="16" t="n"/>
      <c r="L520" s="18" t="n"/>
      <c r="M520" s="16" t="n"/>
      <c r="N520" s="17">
        <f>IF($C520="","",MAX(_xlfn.MAXIFS(nrSK_Att,nrSK_PID,$D520,nrSK_Cat,$E520,nrSK_Res,"Pass"),_xlfn.MAXIFS(nrSK_Att,nrSK_PID,$D520,nrSK_Cat,$E520,nrSK_Res,"Fail")))</f>
        <v/>
      </c>
      <c r="O520" s="17">
        <f>IF($C520="","",IF(AND(MAX(_xlfn.MAXIFS(nrSK_Att,nrSK_PID,$D520,nrSK_Cat,$E520,nrSK_Res,"Pass"),_xlfn.MAXIFS(nrSK_Att,nrSK_PID,$D520,nrSK_Cat,$E520,nrSK_Res,"Fail"))&gt;0,N($I520)&lt;MAX(_xlfn.MAXIFS(nrSK_Att,nrSK_PID,$D520,nrSK_Cat,$E520,nrSK_Res,"Pass"),_xlfn.MAXIFS(nrSK_Att,nrSK_PID,$D520,nrSK_Cat,$E520,nrSK_Res,"Fail"))),"(superseded)",IF(OR($J520="",$J520="Pending"),"Pending",IF($J520="Pass","Qualified",IF(AND($J520="Fail",$N520&gt;=$F520),"FAILED OUT","Needs Remediation")))))</f>
        <v/>
      </c>
      <c r="P520" s="17">
        <f>IF($C520="","",IF($O520="FAILED OUT","Yes","No"))</f>
        <v/>
      </c>
      <c r="Q520" s="16" t="n"/>
      <c r="R520" s="16" t="n"/>
      <c r="S520" s="17">
        <f>IF($C520="","",IF(AND($K520&lt;&gt;"",NOT(ISNUMBER($K520))),"SCORE NOT A NUMBER",IF(AND(ISNUMBER($K520),OR($K520&lt;0,$K520&gt;100)),"SCORE OUT OF RANGE - this score counts toward nothing",IF(AND($G520="Score",$K520="",$J520&lt;&gt;"",$J520&lt;&gt;"Pending"),"RESULT WITHOUT A SCORE",IF(AND($G520="Pass/Fail",$K520&lt;&gt;""),"SCORE ON A PASS-FAIL CATEGORY - it is ignored",IF(AND($E520="Firearms",$J520&lt;&gt;"",$J520&lt;&gt;"Pending",$R520=""),"FIREARMS ROW WITH NO COURSE OF FIRE","OK"))))))</f>
        <v/>
      </c>
    </row>
    <row r="521">
      <c r="B521" s="17">
        <f>IF($C521="","",$D521&amp;"-"&amp;$E521&amp;"-"&amp;$I521)</f>
        <v/>
      </c>
      <c r="C521" s="16" t="n"/>
      <c r="D521" s="17">
        <f>IF($C521="","",IFERROR(INDEX(rngCadetPIDs,MATCH($C521,rngCadetNames,0)),"?"))</f>
        <v/>
      </c>
      <c r="E521" s="16" t="n"/>
      <c r="F521" s="17">
        <f>IF($E521="","",IFERROR(INDEX(rngSM_max,MATCH($E521,rngSM_cat,0)),""))</f>
        <v/>
      </c>
      <c r="G521" s="17">
        <f>IF($E521="","",IFERROR(INDEX(rngSM_mode,MATCH($E521,rngSM_cat,0)),""))</f>
        <v/>
      </c>
      <c r="H521" s="17">
        <f>IF($E521="","",IFERROR(INDEX(rngSM_pass,MATCH($E521,rngSM_cat,0)),""))</f>
        <v/>
      </c>
      <c r="I521" s="16" t="n"/>
      <c r="J521" s="16" t="n"/>
      <c r="K521" s="16" t="n"/>
      <c r="L521" s="18" t="n"/>
      <c r="M521" s="16" t="n"/>
      <c r="N521" s="17">
        <f>IF($C521="","",MAX(_xlfn.MAXIFS(nrSK_Att,nrSK_PID,$D521,nrSK_Cat,$E521,nrSK_Res,"Pass"),_xlfn.MAXIFS(nrSK_Att,nrSK_PID,$D521,nrSK_Cat,$E521,nrSK_Res,"Fail")))</f>
        <v/>
      </c>
      <c r="O521" s="17">
        <f>IF($C521="","",IF(AND(MAX(_xlfn.MAXIFS(nrSK_Att,nrSK_PID,$D521,nrSK_Cat,$E521,nrSK_Res,"Pass"),_xlfn.MAXIFS(nrSK_Att,nrSK_PID,$D521,nrSK_Cat,$E521,nrSK_Res,"Fail"))&gt;0,N($I521)&lt;MAX(_xlfn.MAXIFS(nrSK_Att,nrSK_PID,$D521,nrSK_Cat,$E521,nrSK_Res,"Pass"),_xlfn.MAXIFS(nrSK_Att,nrSK_PID,$D521,nrSK_Cat,$E521,nrSK_Res,"Fail"))),"(superseded)",IF(OR($J521="",$J521="Pending"),"Pending",IF($J521="Pass","Qualified",IF(AND($J521="Fail",$N521&gt;=$F521),"FAILED OUT","Needs Remediation")))))</f>
        <v/>
      </c>
      <c r="P521" s="17">
        <f>IF($C521="","",IF($O521="FAILED OUT","Yes","No"))</f>
        <v/>
      </c>
      <c r="Q521" s="16" t="n"/>
      <c r="R521" s="16" t="n"/>
      <c r="S521" s="17">
        <f>IF($C521="","",IF(AND($K521&lt;&gt;"",NOT(ISNUMBER($K521))),"SCORE NOT A NUMBER",IF(AND(ISNUMBER($K521),OR($K521&lt;0,$K521&gt;100)),"SCORE OUT OF RANGE - this score counts toward nothing",IF(AND($G521="Score",$K521="",$J521&lt;&gt;"",$J521&lt;&gt;"Pending"),"RESULT WITHOUT A SCORE",IF(AND($G521="Pass/Fail",$K521&lt;&gt;""),"SCORE ON A PASS-FAIL CATEGORY - it is ignored",IF(AND($E521="Firearms",$J521&lt;&gt;"",$J521&lt;&gt;"Pending",$R521=""),"FIREARMS ROW WITH NO COURSE OF FIRE","OK"))))))</f>
        <v/>
      </c>
    </row>
    <row r="522">
      <c r="B522" s="17">
        <f>IF($C522="","",$D522&amp;"-"&amp;$E522&amp;"-"&amp;$I522)</f>
        <v/>
      </c>
      <c r="C522" s="16" t="n"/>
      <c r="D522" s="17">
        <f>IF($C522="","",IFERROR(INDEX(rngCadetPIDs,MATCH($C522,rngCadetNames,0)),"?"))</f>
        <v/>
      </c>
      <c r="E522" s="16" t="n"/>
      <c r="F522" s="17">
        <f>IF($E522="","",IFERROR(INDEX(rngSM_max,MATCH($E522,rngSM_cat,0)),""))</f>
        <v/>
      </c>
      <c r="G522" s="17">
        <f>IF($E522="","",IFERROR(INDEX(rngSM_mode,MATCH($E522,rngSM_cat,0)),""))</f>
        <v/>
      </c>
      <c r="H522" s="17">
        <f>IF($E522="","",IFERROR(INDEX(rngSM_pass,MATCH($E522,rngSM_cat,0)),""))</f>
        <v/>
      </c>
      <c r="I522" s="16" t="n"/>
      <c r="J522" s="16" t="n"/>
      <c r="K522" s="16" t="n"/>
      <c r="L522" s="18" t="n"/>
      <c r="M522" s="16" t="n"/>
      <c r="N522" s="17">
        <f>IF($C522="","",MAX(_xlfn.MAXIFS(nrSK_Att,nrSK_PID,$D522,nrSK_Cat,$E522,nrSK_Res,"Pass"),_xlfn.MAXIFS(nrSK_Att,nrSK_PID,$D522,nrSK_Cat,$E522,nrSK_Res,"Fail")))</f>
        <v/>
      </c>
      <c r="O522" s="17">
        <f>IF($C522="","",IF(AND(MAX(_xlfn.MAXIFS(nrSK_Att,nrSK_PID,$D522,nrSK_Cat,$E522,nrSK_Res,"Pass"),_xlfn.MAXIFS(nrSK_Att,nrSK_PID,$D522,nrSK_Cat,$E522,nrSK_Res,"Fail"))&gt;0,N($I522)&lt;MAX(_xlfn.MAXIFS(nrSK_Att,nrSK_PID,$D522,nrSK_Cat,$E522,nrSK_Res,"Pass"),_xlfn.MAXIFS(nrSK_Att,nrSK_PID,$D522,nrSK_Cat,$E522,nrSK_Res,"Fail"))),"(superseded)",IF(OR($J522="",$J522="Pending"),"Pending",IF($J522="Pass","Qualified",IF(AND($J522="Fail",$N522&gt;=$F522),"FAILED OUT","Needs Remediation")))))</f>
        <v/>
      </c>
      <c r="P522" s="17">
        <f>IF($C522="","",IF($O522="FAILED OUT","Yes","No"))</f>
        <v/>
      </c>
      <c r="Q522" s="16" t="n"/>
      <c r="R522" s="16" t="n"/>
      <c r="S522" s="17">
        <f>IF($C522="","",IF(AND($K522&lt;&gt;"",NOT(ISNUMBER($K522))),"SCORE NOT A NUMBER",IF(AND(ISNUMBER($K522),OR($K522&lt;0,$K522&gt;100)),"SCORE OUT OF RANGE - this score counts toward nothing",IF(AND($G522="Score",$K522="",$J522&lt;&gt;"",$J522&lt;&gt;"Pending"),"RESULT WITHOUT A SCORE",IF(AND($G522="Pass/Fail",$K522&lt;&gt;""),"SCORE ON A PASS-FAIL CATEGORY - it is ignored",IF(AND($E522="Firearms",$J522&lt;&gt;"",$J522&lt;&gt;"Pending",$R522=""),"FIREARMS ROW WITH NO COURSE OF FIRE","OK"))))))</f>
        <v/>
      </c>
    </row>
    <row r="523">
      <c r="B523" s="17">
        <f>IF($C523="","",$D523&amp;"-"&amp;$E523&amp;"-"&amp;$I523)</f>
        <v/>
      </c>
      <c r="C523" s="16" t="n"/>
      <c r="D523" s="17">
        <f>IF($C523="","",IFERROR(INDEX(rngCadetPIDs,MATCH($C523,rngCadetNames,0)),"?"))</f>
        <v/>
      </c>
      <c r="E523" s="16" t="n"/>
      <c r="F523" s="17">
        <f>IF($E523="","",IFERROR(INDEX(rngSM_max,MATCH($E523,rngSM_cat,0)),""))</f>
        <v/>
      </c>
      <c r="G523" s="17">
        <f>IF($E523="","",IFERROR(INDEX(rngSM_mode,MATCH($E523,rngSM_cat,0)),""))</f>
        <v/>
      </c>
      <c r="H523" s="17">
        <f>IF($E523="","",IFERROR(INDEX(rngSM_pass,MATCH($E523,rngSM_cat,0)),""))</f>
        <v/>
      </c>
      <c r="I523" s="16" t="n"/>
      <c r="J523" s="16" t="n"/>
      <c r="K523" s="16" t="n"/>
      <c r="L523" s="18" t="n"/>
      <c r="M523" s="16" t="n"/>
      <c r="N523" s="17">
        <f>IF($C523="","",MAX(_xlfn.MAXIFS(nrSK_Att,nrSK_PID,$D523,nrSK_Cat,$E523,nrSK_Res,"Pass"),_xlfn.MAXIFS(nrSK_Att,nrSK_PID,$D523,nrSK_Cat,$E523,nrSK_Res,"Fail")))</f>
        <v/>
      </c>
      <c r="O523" s="17">
        <f>IF($C523="","",IF(AND(MAX(_xlfn.MAXIFS(nrSK_Att,nrSK_PID,$D523,nrSK_Cat,$E523,nrSK_Res,"Pass"),_xlfn.MAXIFS(nrSK_Att,nrSK_PID,$D523,nrSK_Cat,$E523,nrSK_Res,"Fail"))&gt;0,N($I523)&lt;MAX(_xlfn.MAXIFS(nrSK_Att,nrSK_PID,$D523,nrSK_Cat,$E523,nrSK_Res,"Pass"),_xlfn.MAXIFS(nrSK_Att,nrSK_PID,$D523,nrSK_Cat,$E523,nrSK_Res,"Fail"))),"(superseded)",IF(OR($J523="",$J523="Pending"),"Pending",IF($J523="Pass","Qualified",IF(AND($J523="Fail",$N523&gt;=$F523),"FAILED OUT","Needs Remediation")))))</f>
        <v/>
      </c>
      <c r="P523" s="17">
        <f>IF($C523="","",IF($O523="FAILED OUT","Yes","No"))</f>
        <v/>
      </c>
      <c r="Q523" s="16" t="n"/>
      <c r="R523" s="16" t="n"/>
      <c r="S523" s="17">
        <f>IF($C523="","",IF(AND($K523&lt;&gt;"",NOT(ISNUMBER($K523))),"SCORE NOT A NUMBER",IF(AND(ISNUMBER($K523),OR($K523&lt;0,$K523&gt;100)),"SCORE OUT OF RANGE - this score counts toward nothing",IF(AND($G523="Score",$K523="",$J523&lt;&gt;"",$J523&lt;&gt;"Pending"),"RESULT WITHOUT A SCORE",IF(AND($G523="Pass/Fail",$K523&lt;&gt;""),"SCORE ON A PASS-FAIL CATEGORY - it is ignored",IF(AND($E523="Firearms",$J523&lt;&gt;"",$J523&lt;&gt;"Pending",$R523=""),"FIREARMS ROW WITH NO COURSE OF FIRE","OK"))))))</f>
        <v/>
      </c>
    </row>
    <row r="524">
      <c r="B524" s="17">
        <f>IF($C524="","",$D524&amp;"-"&amp;$E524&amp;"-"&amp;$I524)</f>
        <v/>
      </c>
      <c r="C524" s="16" t="n"/>
      <c r="D524" s="17">
        <f>IF($C524="","",IFERROR(INDEX(rngCadetPIDs,MATCH($C524,rngCadetNames,0)),"?"))</f>
        <v/>
      </c>
      <c r="E524" s="16" t="n"/>
      <c r="F524" s="17">
        <f>IF($E524="","",IFERROR(INDEX(rngSM_max,MATCH($E524,rngSM_cat,0)),""))</f>
        <v/>
      </c>
      <c r="G524" s="17">
        <f>IF($E524="","",IFERROR(INDEX(rngSM_mode,MATCH($E524,rngSM_cat,0)),""))</f>
        <v/>
      </c>
      <c r="H524" s="17">
        <f>IF($E524="","",IFERROR(INDEX(rngSM_pass,MATCH($E524,rngSM_cat,0)),""))</f>
        <v/>
      </c>
      <c r="I524" s="16" t="n"/>
      <c r="J524" s="16" t="n"/>
      <c r="K524" s="16" t="n"/>
      <c r="L524" s="18" t="n"/>
      <c r="M524" s="16" t="n"/>
      <c r="N524" s="17">
        <f>IF($C524="","",MAX(_xlfn.MAXIFS(nrSK_Att,nrSK_PID,$D524,nrSK_Cat,$E524,nrSK_Res,"Pass"),_xlfn.MAXIFS(nrSK_Att,nrSK_PID,$D524,nrSK_Cat,$E524,nrSK_Res,"Fail")))</f>
        <v/>
      </c>
      <c r="O524" s="17">
        <f>IF($C524="","",IF(AND(MAX(_xlfn.MAXIFS(nrSK_Att,nrSK_PID,$D524,nrSK_Cat,$E524,nrSK_Res,"Pass"),_xlfn.MAXIFS(nrSK_Att,nrSK_PID,$D524,nrSK_Cat,$E524,nrSK_Res,"Fail"))&gt;0,N($I524)&lt;MAX(_xlfn.MAXIFS(nrSK_Att,nrSK_PID,$D524,nrSK_Cat,$E524,nrSK_Res,"Pass"),_xlfn.MAXIFS(nrSK_Att,nrSK_PID,$D524,nrSK_Cat,$E524,nrSK_Res,"Fail"))),"(superseded)",IF(OR($J524="",$J524="Pending"),"Pending",IF($J524="Pass","Qualified",IF(AND($J524="Fail",$N524&gt;=$F524),"FAILED OUT","Needs Remediation")))))</f>
        <v/>
      </c>
      <c r="P524" s="17">
        <f>IF($C524="","",IF($O524="FAILED OUT","Yes","No"))</f>
        <v/>
      </c>
      <c r="Q524" s="16" t="n"/>
      <c r="R524" s="16" t="n"/>
      <c r="S524" s="17">
        <f>IF($C524="","",IF(AND($K524&lt;&gt;"",NOT(ISNUMBER($K524))),"SCORE NOT A NUMBER",IF(AND(ISNUMBER($K524),OR($K524&lt;0,$K524&gt;100)),"SCORE OUT OF RANGE - this score counts toward nothing",IF(AND($G524="Score",$K524="",$J524&lt;&gt;"",$J524&lt;&gt;"Pending"),"RESULT WITHOUT A SCORE",IF(AND($G524="Pass/Fail",$K524&lt;&gt;""),"SCORE ON A PASS-FAIL CATEGORY - it is ignored",IF(AND($E524="Firearms",$J524&lt;&gt;"",$J524&lt;&gt;"Pending",$R524=""),"FIREARMS ROW WITH NO COURSE OF FIRE","OK"))))))</f>
        <v/>
      </c>
    </row>
    <row r="525">
      <c r="B525" s="17">
        <f>IF($C525="","",$D525&amp;"-"&amp;$E525&amp;"-"&amp;$I525)</f>
        <v/>
      </c>
      <c r="C525" s="16" t="n"/>
      <c r="D525" s="17">
        <f>IF($C525="","",IFERROR(INDEX(rngCadetPIDs,MATCH($C525,rngCadetNames,0)),"?"))</f>
        <v/>
      </c>
      <c r="E525" s="16" t="n"/>
      <c r="F525" s="17">
        <f>IF($E525="","",IFERROR(INDEX(rngSM_max,MATCH($E525,rngSM_cat,0)),""))</f>
        <v/>
      </c>
      <c r="G525" s="17">
        <f>IF($E525="","",IFERROR(INDEX(rngSM_mode,MATCH($E525,rngSM_cat,0)),""))</f>
        <v/>
      </c>
      <c r="H525" s="17">
        <f>IF($E525="","",IFERROR(INDEX(rngSM_pass,MATCH($E525,rngSM_cat,0)),""))</f>
        <v/>
      </c>
      <c r="I525" s="16" t="n"/>
      <c r="J525" s="16" t="n"/>
      <c r="K525" s="16" t="n"/>
      <c r="L525" s="18" t="n"/>
      <c r="M525" s="16" t="n"/>
      <c r="N525" s="17">
        <f>IF($C525="","",MAX(_xlfn.MAXIFS(nrSK_Att,nrSK_PID,$D525,nrSK_Cat,$E525,nrSK_Res,"Pass"),_xlfn.MAXIFS(nrSK_Att,nrSK_PID,$D525,nrSK_Cat,$E525,nrSK_Res,"Fail")))</f>
        <v/>
      </c>
      <c r="O525" s="17">
        <f>IF($C525="","",IF(AND(MAX(_xlfn.MAXIFS(nrSK_Att,nrSK_PID,$D525,nrSK_Cat,$E525,nrSK_Res,"Pass"),_xlfn.MAXIFS(nrSK_Att,nrSK_PID,$D525,nrSK_Cat,$E525,nrSK_Res,"Fail"))&gt;0,N($I525)&lt;MAX(_xlfn.MAXIFS(nrSK_Att,nrSK_PID,$D525,nrSK_Cat,$E525,nrSK_Res,"Pass"),_xlfn.MAXIFS(nrSK_Att,nrSK_PID,$D525,nrSK_Cat,$E525,nrSK_Res,"Fail"))),"(superseded)",IF(OR($J525="",$J525="Pending"),"Pending",IF($J525="Pass","Qualified",IF(AND($J525="Fail",$N525&gt;=$F525),"FAILED OUT","Needs Remediation")))))</f>
        <v/>
      </c>
      <c r="P525" s="17">
        <f>IF($C525="","",IF($O525="FAILED OUT","Yes","No"))</f>
        <v/>
      </c>
      <c r="Q525" s="16" t="n"/>
      <c r="R525" s="16" t="n"/>
      <c r="S525" s="17">
        <f>IF($C525="","",IF(AND($K525&lt;&gt;"",NOT(ISNUMBER($K525))),"SCORE NOT A NUMBER",IF(AND(ISNUMBER($K525),OR($K525&lt;0,$K525&gt;100)),"SCORE OUT OF RANGE - this score counts toward nothing",IF(AND($G525="Score",$K525="",$J525&lt;&gt;"",$J525&lt;&gt;"Pending"),"RESULT WITHOUT A SCORE",IF(AND($G525="Pass/Fail",$K525&lt;&gt;""),"SCORE ON A PASS-FAIL CATEGORY - it is ignored",IF(AND($E525="Firearms",$J525&lt;&gt;"",$J525&lt;&gt;"Pending",$R525=""),"FIREARMS ROW WITH NO COURSE OF FIRE","OK"))))))</f>
        <v/>
      </c>
    </row>
    <row r="526">
      <c r="B526" s="17">
        <f>IF($C526="","",$D526&amp;"-"&amp;$E526&amp;"-"&amp;$I526)</f>
        <v/>
      </c>
      <c r="C526" s="16" t="n"/>
      <c r="D526" s="17">
        <f>IF($C526="","",IFERROR(INDEX(rngCadetPIDs,MATCH($C526,rngCadetNames,0)),"?"))</f>
        <v/>
      </c>
      <c r="E526" s="16" t="n"/>
      <c r="F526" s="17">
        <f>IF($E526="","",IFERROR(INDEX(rngSM_max,MATCH($E526,rngSM_cat,0)),""))</f>
        <v/>
      </c>
      <c r="G526" s="17">
        <f>IF($E526="","",IFERROR(INDEX(rngSM_mode,MATCH($E526,rngSM_cat,0)),""))</f>
        <v/>
      </c>
      <c r="H526" s="17">
        <f>IF($E526="","",IFERROR(INDEX(rngSM_pass,MATCH($E526,rngSM_cat,0)),""))</f>
        <v/>
      </c>
      <c r="I526" s="16" t="n"/>
      <c r="J526" s="16" t="n"/>
      <c r="K526" s="16" t="n"/>
      <c r="L526" s="18" t="n"/>
      <c r="M526" s="16" t="n"/>
      <c r="N526" s="17">
        <f>IF($C526="","",MAX(_xlfn.MAXIFS(nrSK_Att,nrSK_PID,$D526,nrSK_Cat,$E526,nrSK_Res,"Pass"),_xlfn.MAXIFS(nrSK_Att,nrSK_PID,$D526,nrSK_Cat,$E526,nrSK_Res,"Fail")))</f>
        <v/>
      </c>
      <c r="O526" s="17">
        <f>IF($C526="","",IF(AND(MAX(_xlfn.MAXIFS(nrSK_Att,nrSK_PID,$D526,nrSK_Cat,$E526,nrSK_Res,"Pass"),_xlfn.MAXIFS(nrSK_Att,nrSK_PID,$D526,nrSK_Cat,$E526,nrSK_Res,"Fail"))&gt;0,N($I526)&lt;MAX(_xlfn.MAXIFS(nrSK_Att,nrSK_PID,$D526,nrSK_Cat,$E526,nrSK_Res,"Pass"),_xlfn.MAXIFS(nrSK_Att,nrSK_PID,$D526,nrSK_Cat,$E526,nrSK_Res,"Fail"))),"(superseded)",IF(OR($J526="",$J526="Pending"),"Pending",IF($J526="Pass","Qualified",IF(AND($J526="Fail",$N526&gt;=$F526),"FAILED OUT","Needs Remediation")))))</f>
        <v/>
      </c>
      <c r="P526" s="17">
        <f>IF($C526="","",IF($O526="FAILED OUT","Yes","No"))</f>
        <v/>
      </c>
      <c r="Q526" s="16" t="n"/>
      <c r="R526" s="16" t="n"/>
      <c r="S526" s="17">
        <f>IF($C526="","",IF(AND($K526&lt;&gt;"",NOT(ISNUMBER($K526))),"SCORE NOT A NUMBER",IF(AND(ISNUMBER($K526),OR($K526&lt;0,$K526&gt;100)),"SCORE OUT OF RANGE - this score counts toward nothing",IF(AND($G526="Score",$K526="",$J526&lt;&gt;"",$J526&lt;&gt;"Pending"),"RESULT WITHOUT A SCORE",IF(AND($G526="Pass/Fail",$K526&lt;&gt;""),"SCORE ON A PASS-FAIL CATEGORY - it is ignored",IF(AND($E526="Firearms",$J526&lt;&gt;"",$J526&lt;&gt;"Pending",$R526=""),"FIREARMS ROW WITH NO COURSE OF FIRE","OK"))))))</f>
        <v/>
      </c>
    </row>
    <row r="527">
      <c r="B527" s="17">
        <f>IF($C527="","",$D527&amp;"-"&amp;$E527&amp;"-"&amp;$I527)</f>
        <v/>
      </c>
      <c r="C527" s="16" t="n"/>
      <c r="D527" s="17">
        <f>IF($C527="","",IFERROR(INDEX(rngCadetPIDs,MATCH($C527,rngCadetNames,0)),"?"))</f>
        <v/>
      </c>
      <c r="E527" s="16" t="n"/>
      <c r="F527" s="17">
        <f>IF($E527="","",IFERROR(INDEX(rngSM_max,MATCH($E527,rngSM_cat,0)),""))</f>
        <v/>
      </c>
      <c r="G527" s="17">
        <f>IF($E527="","",IFERROR(INDEX(rngSM_mode,MATCH($E527,rngSM_cat,0)),""))</f>
        <v/>
      </c>
      <c r="H527" s="17">
        <f>IF($E527="","",IFERROR(INDEX(rngSM_pass,MATCH($E527,rngSM_cat,0)),""))</f>
        <v/>
      </c>
      <c r="I527" s="16" t="n"/>
      <c r="J527" s="16" t="n"/>
      <c r="K527" s="16" t="n"/>
      <c r="L527" s="18" t="n"/>
      <c r="M527" s="16" t="n"/>
      <c r="N527" s="17">
        <f>IF($C527="","",MAX(_xlfn.MAXIFS(nrSK_Att,nrSK_PID,$D527,nrSK_Cat,$E527,nrSK_Res,"Pass"),_xlfn.MAXIFS(nrSK_Att,nrSK_PID,$D527,nrSK_Cat,$E527,nrSK_Res,"Fail")))</f>
        <v/>
      </c>
      <c r="O527" s="17">
        <f>IF($C527="","",IF(AND(MAX(_xlfn.MAXIFS(nrSK_Att,nrSK_PID,$D527,nrSK_Cat,$E527,nrSK_Res,"Pass"),_xlfn.MAXIFS(nrSK_Att,nrSK_PID,$D527,nrSK_Cat,$E527,nrSK_Res,"Fail"))&gt;0,N($I527)&lt;MAX(_xlfn.MAXIFS(nrSK_Att,nrSK_PID,$D527,nrSK_Cat,$E527,nrSK_Res,"Pass"),_xlfn.MAXIFS(nrSK_Att,nrSK_PID,$D527,nrSK_Cat,$E527,nrSK_Res,"Fail"))),"(superseded)",IF(OR($J527="",$J527="Pending"),"Pending",IF($J527="Pass","Qualified",IF(AND($J527="Fail",$N527&gt;=$F527),"FAILED OUT","Needs Remediation")))))</f>
        <v/>
      </c>
      <c r="P527" s="17">
        <f>IF($C527="","",IF($O527="FAILED OUT","Yes","No"))</f>
        <v/>
      </c>
      <c r="Q527" s="16" t="n"/>
      <c r="R527" s="16" t="n"/>
      <c r="S527" s="17">
        <f>IF($C527="","",IF(AND($K527&lt;&gt;"",NOT(ISNUMBER($K527))),"SCORE NOT A NUMBER",IF(AND(ISNUMBER($K527),OR($K527&lt;0,$K527&gt;100)),"SCORE OUT OF RANGE - this score counts toward nothing",IF(AND($G527="Score",$K527="",$J527&lt;&gt;"",$J527&lt;&gt;"Pending"),"RESULT WITHOUT A SCORE",IF(AND($G527="Pass/Fail",$K527&lt;&gt;""),"SCORE ON A PASS-FAIL CATEGORY - it is ignored",IF(AND($E527="Firearms",$J527&lt;&gt;"",$J527&lt;&gt;"Pending",$R527=""),"FIREARMS ROW WITH NO COURSE OF FIRE","OK"))))))</f>
        <v/>
      </c>
    </row>
    <row r="528">
      <c r="B528" s="17">
        <f>IF($C528="","",$D528&amp;"-"&amp;$E528&amp;"-"&amp;$I528)</f>
        <v/>
      </c>
      <c r="C528" s="16" t="n"/>
      <c r="D528" s="17">
        <f>IF($C528="","",IFERROR(INDEX(rngCadetPIDs,MATCH($C528,rngCadetNames,0)),"?"))</f>
        <v/>
      </c>
      <c r="E528" s="16" t="n"/>
      <c r="F528" s="17">
        <f>IF($E528="","",IFERROR(INDEX(rngSM_max,MATCH($E528,rngSM_cat,0)),""))</f>
        <v/>
      </c>
      <c r="G528" s="17">
        <f>IF($E528="","",IFERROR(INDEX(rngSM_mode,MATCH($E528,rngSM_cat,0)),""))</f>
        <v/>
      </c>
      <c r="H528" s="17">
        <f>IF($E528="","",IFERROR(INDEX(rngSM_pass,MATCH($E528,rngSM_cat,0)),""))</f>
        <v/>
      </c>
      <c r="I528" s="16" t="n"/>
      <c r="J528" s="16" t="n"/>
      <c r="K528" s="16" t="n"/>
      <c r="L528" s="18" t="n"/>
      <c r="M528" s="16" t="n"/>
      <c r="N528" s="17">
        <f>IF($C528="","",MAX(_xlfn.MAXIFS(nrSK_Att,nrSK_PID,$D528,nrSK_Cat,$E528,nrSK_Res,"Pass"),_xlfn.MAXIFS(nrSK_Att,nrSK_PID,$D528,nrSK_Cat,$E528,nrSK_Res,"Fail")))</f>
        <v/>
      </c>
      <c r="O528" s="17">
        <f>IF($C528="","",IF(AND(MAX(_xlfn.MAXIFS(nrSK_Att,nrSK_PID,$D528,nrSK_Cat,$E528,nrSK_Res,"Pass"),_xlfn.MAXIFS(nrSK_Att,nrSK_PID,$D528,nrSK_Cat,$E528,nrSK_Res,"Fail"))&gt;0,N($I528)&lt;MAX(_xlfn.MAXIFS(nrSK_Att,nrSK_PID,$D528,nrSK_Cat,$E528,nrSK_Res,"Pass"),_xlfn.MAXIFS(nrSK_Att,nrSK_PID,$D528,nrSK_Cat,$E528,nrSK_Res,"Fail"))),"(superseded)",IF(OR($J528="",$J528="Pending"),"Pending",IF($J528="Pass","Qualified",IF(AND($J528="Fail",$N528&gt;=$F528),"FAILED OUT","Needs Remediation")))))</f>
        <v/>
      </c>
      <c r="P528" s="17">
        <f>IF($C528="","",IF($O528="FAILED OUT","Yes","No"))</f>
        <v/>
      </c>
      <c r="Q528" s="16" t="n"/>
      <c r="R528" s="16" t="n"/>
      <c r="S528" s="17">
        <f>IF($C528="","",IF(AND($K528&lt;&gt;"",NOT(ISNUMBER($K528))),"SCORE NOT A NUMBER",IF(AND(ISNUMBER($K528),OR($K528&lt;0,$K528&gt;100)),"SCORE OUT OF RANGE - this score counts toward nothing",IF(AND($G528="Score",$K528="",$J528&lt;&gt;"",$J528&lt;&gt;"Pending"),"RESULT WITHOUT A SCORE",IF(AND($G528="Pass/Fail",$K528&lt;&gt;""),"SCORE ON A PASS-FAIL CATEGORY - it is ignored",IF(AND($E528="Firearms",$J528&lt;&gt;"",$J528&lt;&gt;"Pending",$R528=""),"FIREARMS ROW WITH NO COURSE OF FIRE","OK"))))))</f>
        <v/>
      </c>
    </row>
    <row r="529">
      <c r="B529" s="17">
        <f>IF($C529="","",$D529&amp;"-"&amp;$E529&amp;"-"&amp;$I529)</f>
        <v/>
      </c>
      <c r="C529" s="16" t="n"/>
      <c r="D529" s="17">
        <f>IF($C529="","",IFERROR(INDEX(rngCadetPIDs,MATCH($C529,rngCadetNames,0)),"?"))</f>
        <v/>
      </c>
      <c r="E529" s="16" t="n"/>
      <c r="F529" s="17">
        <f>IF($E529="","",IFERROR(INDEX(rngSM_max,MATCH($E529,rngSM_cat,0)),""))</f>
        <v/>
      </c>
      <c r="G529" s="17">
        <f>IF($E529="","",IFERROR(INDEX(rngSM_mode,MATCH($E529,rngSM_cat,0)),""))</f>
        <v/>
      </c>
      <c r="H529" s="17">
        <f>IF($E529="","",IFERROR(INDEX(rngSM_pass,MATCH($E529,rngSM_cat,0)),""))</f>
        <v/>
      </c>
      <c r="I529" s="16" t="n"/>
      <c r="J529" s="16" t="n"/>
      <c r="K529" s="16" t="n"/>
      <c r="L529" s="18" t="n"/>
      <c r="M529" s="16" t="n"/>
      <c r="N529" s="17">
        <f>IF($C529="","",MAX(_xlfn.MAXIFS(nrSK_Att,nrSK_PID,$D529,nrSK_Cat,$E529,nrSK_Res,"Pass"),_xlfn.MAXIFS(nrSK_Att,nrSK_PID,$D529,nrSK_Cat,$E529,nrSK_Res,"Fail")))</f>
        <v/>
      </c>
      <c r="O529" s="17">
        <f>IF($C529="","",IF(AND(MAX(_xlfn.MAXIFS(nrSK_Att,nrSK_PID,$D529,nrSK_Cat,$E529,nrSK_Res,"Pass"),_xlfn.MAXIFS(nrSK_Att,nrSK_PID,$D529,nrSK_Cat,$E529,nrSK_Res,"Fail"))&gt;0,N($I529)&lt;MAX(_xlfn.MAXIFS(nrSK_Att,nrSK_PID,$D529,nrSK_Cat,$E529,nrSK_Res,"Pass"),_xlfn.MAXIFS(nrSK_Att,nrSK_PID,$D529,nrSK_Cat,$E529,nrSK_Res,"Fail"))),"(superseded)",IF(OR($J529="",$J529="Pending"),"Pending",IF($J529="Pass","Qualified",IF(AND($J529="Fail",$N529&gt;=$F529),"FAILED OUT","Needs Remediation")))))</f>
        <v/>
      </c>
      <c r="P529" s="17">
        <f>IF($C529="","",IF($O529="FAILED OUT","Yes","No"))</f>
        <v/>
      </c>
      <c r="Q529" s="16" t="n"/>
      <c r="R529" s="16" t="n"/>
      <c r="S529" s="17">
        <f>IF($C529="","",IF(AND($K529&lt;&gt;"",NOT(ISNUMBER($K529))),"SCORE NOT A NUMBER",IF(AND(ISNUMBER($K529),OR($K529&lt;0,$K529&gt;100)),"SCORE OUT OF RANGE - this score counts toward nothing",IF(AND($G529="Score",$K529="",$J529&lt;&gt;"",$J529&lt;&gt;"Pending"),"RESULT WITHOUT A SCORE",IF(AND($G529="Pass/Fail",$K529&lt;&gt;""),"SCORE ON A PASS-FAIL CATEGORY - it is ignored",IF(AND($E529="Firearms",$J529&lt;&gt;"",$J529&lt;&gt;"Pending",$R529=""),"FIREARMS ROW WITH NO COURSE OF FIRE","OK"))))))</f>
        <v/>
      </c>
    </row>
    <row r="530">
      <c r="B530" s="17">
        <f>IF($C530="","",$D530&amp;"-"&amp;$E530&amp;"-"&amp;$I530)</f>
        <v/>
      </c>
      <c r="C530" s="16" t="n"/>
      <c r="D530" s="17">
        <f>IF($C530="","",IFERROR(INDEX(rngCadetPIDs,MATCH($C530,rngCadetNames,0)),"?"))</f>
        <v/>
      </c>
      <c r="E530" s="16" t="n"/>
      <c r="F530" s="17">
        <f>IF($E530="","",IFERROR(INDEX(rngSM_max,MATCH($E530,rngSM_cat,0)),""))</f>
        <v/>
      </c>
      <c r="G530" s="17">
        <f>IF($E530="","",IFERROR(INDEX(rngSM_mode,MATCH($E530,rngSM_cat,0)),""))</f>
        <v/>
      </c>
      <c r="H530" s="17">
        <f>IF($E530="","",IFERROR(INDEX(rngSM_pass,MATCH($E530,rngSM_cat,0)),""))</f>
        <v/>
      </c>
      <c r="I530" s="16" t="n"/>
      <c r="J530" s="16" t="n"/>
      <c r="K530" s="16" t="n"/>
      <c r="L530" s="18" t="n"/>
      <c r="M530" s="16" t="n"/>
      <c r="N530" s="17">
        <f>IF($C530="","",MAX(_xlfn.MAXIFS(nrSK_Att,nrSK_PID,$D530,nrSK_Cat,$E530,nrSK_Res,"Pass"),_xlfn.MAXIFS(nrSK_Att,nrSK_PID,$D530,nrSK_Cat,$E530,nrSK_Res,"Fail")))</f>
        <v/>
      </c>
      <c r="O530" s="17">
        <f>IF($C530="","",IF(AND(MAX(_xlfn.MAXIFS(nrSK_Att,nrSK_PID,$D530,nrSK_Cat,$E530,nrSK_Res,"Pass"),_xlfn.MAXIFS(nrSK_Att,nrSK_PID,$D530,nrSK_Cat,$E530,nrSK_Res,"Fail"))&gt;0,N($I530)&lt;MAX(_xlfn.MAXIFS(nrSK_Att,nrSK_PID,$D530,nrSK_Cat,$E530,nrSK_Res,"Pass"),_xlfn.MAXIFS(nrSK_Att,nrSK_PID,$D530,nrSK_Cat,$E530,nrSK_Res,"Fail"))),"(superseded)",IF(OR($J530="",$J530="Pending"),"Pending",IF($J530="Pass","Qualified",IF(AND($J530="Fail",$N530&gt;=$F530),"FAILED OUT","Needs Remediation")))))</f>
        <v/>
      </c>
      <c r="P530" s="17">
        <f>IF($C530="","",IF($O530="FAILED OUT","Yes","No"))</f>
        <v/>
      </c>
      <c r="Q530" s="16" t="n"/>
      <c r="R530" s="16" t="n"/>
      <c r="S530" s="17">
        <f>IF($C530="","",IF(AND($K530&lt;&gt;"",NOT(ISNUMBER($K530))),"SCORE NOT A NUMBER",IF(AND(ISNUMBER($K530),OR($K530&lt;0,$K530&gt;100)),"SCORE OUT OF RANGE - this score counts toward nothing",IF(AND($G530="Score",$K530="",$J530&lt;&gt;"",$J530&lt;&gt;"Pending"),"RESULT WITHOUT A SCORE",IF(AND($G530="Pass/Fail",$K530&lt;&gt;""),"SCORE ON A PASS-FAIL CATEGORY - it is ignored",IF(AND($E530="Firearms",$J530&lt;&gt;"",$J530&lt;&gt;"Pending",$R530=""),"FIREARMS ROW WITH NO COURSE OF FIRE","OK"))))))</f>
        <v/>
      </c>
    </row>
    <row r="531">
      <c r="B531" s="17">
        <f>IF($C531="","",$D531&amp;"-"&amp;$E531&amp;"-"&amp;$I531)</f>
        <v/>
      </c>
      <c r="C531" s="16" t="n"/>
      <c r="D531" s="17">
        <f>IF($C531="","",IFERROR(INDEX(rngCadetPIDs,MATCH($C531,rngCadetNames,0)),"?"))</f>
        <v/>
      </c>
      <c r="E531" s="16" t="n"/>
      <c r="F531" s="17">
        <f>IF($E531="","",IFERROR(INDEX(rngSM_max,MATCH($E531,rngSM_cat,0)),""))</f>
        <v/>
      </c>
      <c r="G531" s="17">
        <f>IF($E531="","",IFERROR(INDEX(rngSM_mode,MATCH($E531,rngSM_cat,0)),""))</f>
        <v/>
      </c>
      <c r="H531" s="17">
        <f>IF($E531="","",IFERROR(INDEX(rngSM_pass,MATCH($E531,rngSM_cat,0)),""))</f>
        <v/>
      </c>
      <c r="I531" s="16" t="n"/>
      <c r="J531" s="16" t="n"/>
      <c r="K531" s="16" t="n"/>
      <c r="L531" s="18" t="n"/>
      <c r="M531" s="16" t="n"/>
      <c r="N531" s="17">
        <f>IF($C531="","",MAX(_xlfn.MAXIFS(nrSK_Att,nrSK_PID,$D531,nrSK_Cat,$E531,nrSK_Res,"Pass"),_xlfn.MAXIFS(nrSK_Att,nrSK_PID,$D531,nrSK_Cat,$E531,nrSK_Res,"Fail")))</f>
        <v/>
      </c>
      <c r="O531" s="17">
        <f>IF($C531="","",IF(AND(MAX(_xlfn.MAXIFS(nrSK_Att,nrSK_PID,$D531,nrSK_Cat,$E531,nrSK_Res,"Pass"),_xlfn.MAXIFS(nrSK_Att,nrSK_PID,$D531,nrSK_Cat,$E531,nrSK_Res,"Fail"))&gt;0,N($I531)&lt;MAX(_xlfn.MAXIFS(nrSK_Att,nrSK_PID,$D531,nrSK_Cat,$E531,nrSK_Res,"Pass"),_xlfn.MAXIFS(nrSK_Att,nrSK_PID,$D531,nrSK_Cat,$E531,nrSK_Res,"Fail"))),"(superseded)",IF(OR($J531="",$J531="Pending"),"Pending",IF($J531="Pass","Qualified",IF(AND($J531="Fail",$N531&gt;=$F531),"FAILED OUT","Needs Remediation")))))</f>
        <v/>
      </c>
      <c r="P531" s="17">
        <f>IF($C531="","",IF($O531="FAILED OUT","Yes","No"))</f>
        <v/>
      </c>
      <c r="Q531" s="16" t="n"/>
      <c r="R531" s="16" t="n"/>
      <c r="S531" s="17">
        <f>IF($C531="","",IF(AND($K531&lt;&gt;"",NOT(ISNUMBER($K531))),"SCORE NOT A NUMBER",IF(AND(ISNUMBER($K531),OR($K531&lt;0,$K531&gt;100)),"SCORE OUT OF RANGE - this score counts toward nothing",IF(AND($G531="Score",$K531="",$J531&lt;&gt;"",$J531&lt;&gt;"Pending"),"RESULT WITHOUT A SCORE",IF(AND($G531="Pass/Fail",$K531&lt;&gt;""),"SCORE ON A PASS-FAIL CATEGORY - it is ignored",IF(AND($E531="Firearms",$J531&lt;&gt;"",$J531&lt;&gt;"Pending",$R531=""),"FIREARMS ROW WITH NO COURSE OF FIRE","OK"))))))</f>
        <v/>
      </c>
    </row>
    <row r="532">
      <c r="B532" s="17">
        <f>IF($C532="","",$D532&amp;"-"&amp;$E532&amp;"-"&amp;$I532)</f>
        <v/>
      </c>
      <c r="C532" s="16" t="n"/>
      <c r="D532" s="17">
        <f>IF($C532="","",IFERROR(INDEX(rngCadetPIDs,MATCH($C532,rngCadetNames,0)),"?"))</f>
        <v/>
      </c>
      <c r="E532" s="16" t="n"/>
      <c r="F532" s="17">
        <f>IF($E532="","",IFERROR(INDEX(rngSM_max,MATCH($E532,rngSM_cat,0)),""))</f>
        <v/>
      </c>
      <c r="G532" s="17">
        <f>IF($E532="","",IFERROR(INDEX(rngSM_mode,MATCH($E532,rngSM_cat,0)),""))</f>
        <v/>
      </c>
      <c r="H532" s="17">
        <f>IF($E532="","",IFERROR(INDEX(rngSM_pass,MATCH($E532,rngSM_cat,0)),""))</f>
        <v/>
      </c>
      <c r="I532" s="16" t="n"/>
      <c r="J532" s="16" t="n"/>
      <c r="K532" s="16" t="n"/>
      <c r="L532" s="18" t="n"/>
      <c r="M532" s="16" t="n"/>
      <c r="N532" s="17">
        <f>IF($C532="","",MAX(_xlfn.MAXIFS(nrSK_Att,nrSK_PID,$D532,nrSK_Cat,$E532,nrSK_Res,"Pass"),_xlfn.MAXIFS(nrSK_Att,nrSK_PID,$D532,nrSK_Cat,$E532,nrSK_Res,"Fail")))</f>
        <v/>
      </c>
      <c r="O532" s="17">
        <f>IF($C532="","",IF(AND(MAX(_xlfn.MAXIFS(nrSK_Att,nrSK_PID,$D532,nrSK_Cat,$E532,nrSK_Res,"Pass"),_xlfn.MAXIFS(nrSK_Att,nrSK_PID,$D532,nrSK_Cat,$E532,nrSK_Res,"Fail"))&gt;0,N($I532)&lt;MAX(_xlfn.MAXIFS(nrSK_Att,nrSK_PID,$D532,nrSK_Cat,$E532,nrSK_Res,"Pass"),_xlfn.MAXIFS(nrSK_Att,nrSK_PID,$D532,nrSK_Cat,$E532,nrSK_Res,"Fail"))),"(superseded)",IF(OR($J532="",$J532="Pending"),"Pending",IF($J532="Pass","Qualified",IF(AND($J532="Fail",$N532&gt;=$F532),"FAILED OUT","Needs Remediation")))))</f>
        <v/>
      </c>
      <c r="P532" s="17">
        <f>IF($C532="","",IF($O532="FAILED OUT","Yes","No"))</f>
        <v/>
      </c>
      <c r="Q532" s="16" t="n"/>
      <c r="R532" s="16" t="n"/>
      <c r="S532" s="17">
        <f>IF($C532="","",IF(AND($K532&lt;&gt;"",NOT(ISNUMBER($K532))),"SCORE NOT A NUMBER",IF(AND(ISNUMBER($K532),OR($K532&lt;0,$K532&gt;100)),"SCORE OUT OF RANGE - this score counts toward nothing",IF(AND($G532="Score",$K532="",$J532&lt;&gt;"",$J532&lt;&gt;"Pending"),"RESULT WITHOUT A SCORE",IF(AND($G532="Pass/Fail",$K532&lt;&gt;""),"SCORE ON A PASS-FAIL CATEGORY - it is ignored",IF(AND($E532="Firearms",$J532&lt;&gt;"",$J532&lt;&gt;"Pending",$R532=""),"FIREARMS ROW WITH NO COURSE OF FIRE","OK"))))))</f>
        <v/>
      </c>
    </row>
    <row r="533">
      <c r="B533" s="17">
        <f>IF($C533="","",$D533&amp;"-"&amp;$E533&amp;"-"&amp;$I533)</f>
        <v/>
      </c>
      <c r="C533" s="16" t="n"/>
      <c r="D533" s="17">
        <f>IF($C533="","",IFERROR(INDEX(rngCadetPIDs,MATCH($C533,rngCadetNames,0)),"?"))</f>
        <v/>
      </c>
      <c r="E533" s="16" t="n"/>
      <c r="F533" s="17">
        <f>IF($E533="","",IFERROR(INDEX(rngSM_max,MATCH($E533,rngSM_cat,0)),""))</f>
        <v/>
      </c>
      <c r="G533" s="17">
        <f>IF($E533="","",IFERROR(INDEX(rngSM_mode,MATCH($E533,rngSM_cat,0)),""))</f>
        <v/>
      </c>
      <c r="H533" s="17">
        <f>IF($E533="","",IFERROR(INDEX(rngSM_pass,MATCH($E533,rngSM_cat,0)),""))</f>
        <v/>
      </c>
      <c r="I533" s="16" t="n"/>
      <c r="J533" s="16" t="n"/>
      <c r="K533" s="16" t="n"/>
      <c r="L533" s="18" t="n"/>
      <c r="M533" s="16" t="n"/>
      <c r="N533" s="17">
        <f>IF($C533="","",MAX(_xlfn.MAXIFS(nrSK_Att,nrSK_PID,$D533,nrSK_Cat,$E533,nrSK_Res,"Pass"),_xlfn.MAXIFS(nrSK_Att,nrSK_PID,$D533,nrSK_Cat,$E533,nrSK_Res,"Fail")))</f>
        <v/>
      </c>
      <c r="O533" s="17">
        <f>IF($C533="","",IF(AND(MAX(_xlfn.MAXIFS(nrSK_Att,nrSK_PID,$D533,nrSK_Cat,$E533,nrSK_Res,"Pass"),_xlfn.MAXIFS(nrSK_Att,nrSK_PID,$D533,nrSK_Cat,$E533,nrSK_Res,"Fail"))&gt;0,N($I533)&lt;MAX(_xlfn.MAXIFS(nrSK_Att,nrSK_PID,$D533,nrSK_Cat,$E533,nrSK_Res,"Pass"),_xlfn.MAXIFS(nrSK_Att,nrSK_PID,$D533,nrSK_Cat,$E533,nrSK_Res,"Fail"))),"(superseded)",IF(OR($J533="",$J533="Pending"),"Pending",IF($J533="Pass","Qualified",IF(AND($J533="Fail",$N533&gt;=$F533),"FAILED OUT","Needs Remediation")))))</f>
        <v/>
      </c>
      <c r="P533" s="17">
        <f>IF($C533="","",IF($O533="FAILED OUT","Yes","No"))</f>
        <v/>
      </c>
      <c r="Q533" s="16" t="n"/>
      <c r="R533" s="16" t="n"/>
      <c r="S533" s="17">
        <f>IF($C533="","",IF(AND($K533&lt;&gt;"",NOT(ISNUMBER($K533))),"SCORE NOT A NUMBER",IF(AND(ISNUMBER($K533),OR($K533&lt;0,$K533&gt;100)),"SCORE OUT OF RANGE - this score counts toward nothing",IF(AND($G533="Score",$K533="",$J533&lt;&gt;"",$J533&lt;&gt;"Pending"),"RESULT WITHOUT A SCORE",IF(AND($G533="Pass/Fail",$K533&lt;&gt;""),"SCORE ON A PASS-FAIL CATEGORY - it is ignored",IF(AND($E533="Firearms",$J533&lt;&gt;"",$J533&lt;&gt;"Pending",$R533=""),"FIREARMS ROW WITH NO COURSE OF FIRE","OK"))))))</f>
        <v/>
      </c>
    </row>
    <row r="534">
      <c r="B534" s="17">
        <f>IF($C534="","",$D534&amp;"-"&amp;$E534&amp;"-"&amp;$I534)</f>
        <v/>
      </c>
      <c r="C534" s="16" t="n"/>
      <c r="D534" s="17">
        <f>IF($C534="","",IFERROR(INDEX(rngCadetPIDs,MATCH($C534,rngCadetNames,0)),"?"))</f>
        <v/>
      </c>
      <c r="E534" s="16" t="n"/>
      <c r="F534" s="17">
        <f>IF($E534="","",IFERROR(INDEX(rngSM_max,MATCH($E534,rngSM_cat,0)),""))</f>
        <v/>
      </c>
      <c r="G534" s="17">
        <f>IF($E534="","",IFERROR(INDEX(rngSM_mode,MATCH($E534,rngSM_cat,0)),""))</f>
        <v/>
      </c>
      <c r="H534" s="17">
        <f>IF($E534="","",IFERROR(INDEX(rngSM_pass,MATCH($E534,rngSM_cat,0)),""))</f>
        <v/>
      </c>
      <c r="I534" s="16" t="n"/>
      <c r="J534" s="16" t="n"/>
      <c r="K534" s="16" t="n"/>
      <c r="L534" s="18" t="n"/>
      <c r="M534" s="16" t="n"/>
      <c r="N534" s="17">
        <f>IF($C534="","",MAX(_xlfn.MAXIFS(nrSK_Att,nrSK_PID,$D534,nrSK_Cat,$E534,nrSK_Res,"Pass"),_xlfn.MAXIFS(nrSK_Att,nrSK_PID,$D534,nrSK_Cat,$E534,nrSK_Res,"Fail")))</f>
        <v/>
      </c>
      <c r="O534" s="17">
        <f>IF($C534="","",IF(AND(MAX(_xlfn.MAXIFS(nrSK_Att,nrSK_PID,$D534,nrSK_Cat,$E534,nrSK_Res,"Pass"),_xlfn.MAXIFS(nrSK_Att,nrSK_PID,$D534,nrSK_Cat,$E534,nrSK_Res,"Fail"))&gt;0,N($I534)&lt;MAX(_xlfn.MAXIFS(nrSK_Att,nrSK_PID,$D534,nrSK_Cat,$E534,nrSK_Res,"Pass"),_xlfn.MAXIFS(nrSK_Att,nrSK_PID,$D534,nrSK_Cat,$E534,nrSK_Res,"Fail"))),"(superseded)",IF(OR($J534="",$J534="Pending"),"Pending",IF($J534="Pass","Qualified",IF(AND($J534="Fail",$N534&gt;=$F534),"FAILED OUT","Needs Remediation")))))</f>
        <v/>
      </c>
      <c r="P534" s="17">
        <f>IF($C534="","",IF($O534="FAILED OUT","Yes","No"))</f>
        <v/>
      </c>
      <c r="Q534" s="16" t="n"/>
      <c r="R534" s="16" t="n"/>
      <c r="S534" s="17">
        <f>IF($C534="","",IF(AND($K534&lt;&gt;"",NOT(ISNUMBER($K534))),"SCORE NOT A NUMBER",IF(AND(ISNUMBER($K534),OR($K534&lt;0,$K534&gt;100)),"SCORE OUT OF RANGE - this score counts toward nothing",IF(AND($G534="Score",$K534="",$J534&lt;&gt;"",$J534&lt;&gt;"Pending"),"RESULT WITHOUT A SCORE",IF(AND($G534="Pass/Fail",$K534&lt;&gt;""),"SCORE ON A PASS-FAIL CATEGORY - it is ignored",IF(AND($E534="Firearms",$J534&lt;&gt;"",$J534&lt;&gt;"Pending",$R534=""),"FIREARMS ROW WITH NO COURSE OF FIRE","OK"))))))</f>
        <v/>
      </c>
    </row>
    <row r="535">
      <c r="B535" s="17">
        <f>IF($C535="","",$D535&amp;"-"&amp;$E535&amp;"-"&amp;$I535)</f>
        <v/>
      </c>
      <c r="C535" s="16" t="n"/>
      <c r="D535" s="17">
        <f>IF($C535="","",IFERROR(INDEX(rngCadetPIDs,MATCH($C535,rngCadetNames,0)),"?"))</f>
        <v/>
      </c>
      <c r="E535" s="16" t="n"/>
      <c r="F535" s="17">
        <f>IF($E535="","",IFERROR(INDEX(rngSM_max,MATCH($E535,rngSM_cat,0)),""))</f>
        <v/>
      </c>
      <c r="G535" s="17">
        <f>IF($E535="","",IFERROR(INDEX(rngSM_mode,MATCH($E535,rngSM_cat,0)),""))</f>
        <v/>
      </c>
      <c r="H535" s="17">
        <f>IF($E535="","",IFERROR(INDEX(rngSM_pass,MATCH($E535,rngSM_cat,0)),""))</f>
        <v/>
      </c>
      <c r="I535" s="16" t="n"/>
      <c r="J535" s="16" t="n"/>
      <c r="K535" s="16" t="n"/>
      <c r="L535" s="18" t="n"/>
      <c r="M535" s="16" t="n"/>
      <c r="N535" s="17">
        <f>IF($C535="","",MAX(_xlfn.MAXIFS(nrSK_Att,nrSK_PID,$D535,nrSK_Cat,$E535,nrSK_Res,"Pass"),_xlfn.MAXIFS(nrSK_Att,nrSK_PID,$D535,nrSK_Cat,$E535,nrSK_Res,"Fail")))</f>
        <v/>
      </c>
      <c r="O535" s="17">
        <f>IF($C535="","",IF(AND(MAX(_xlfn.MAXIFS(nrSK_Att,nrSK_PID,$D535,nrSK_Cat,$E535,nrSK_Res,"Pass"),_xlfn.MAXIFS(nrSK_Att,nrSK_PID,$D535,nrSK_Cat,$E535,nrSK_Res,"Fail"))&gt;0,N($I535)&lt;MAX(_xlfn.MAXIFS(nrSK_Att,nrSK_PID,$D535,nrSK_Cat,$E535,nrSK_Res,"Pass"),_xlfn.MAXIFS(nrSK_Att,nrSK_PID,$D535,nrSK_Cat,$E535,nrSK_Res,"Fail"))),"(superseded)",IF(OR($J535="",$J535="Pending"),"Pending",IF($J535="Pass","Qualified",IF(AND($J535="Fail",$N535&gt;=$F535),"FAILED OUT","Needs Remediation")))))</f>
        <v/>
      </c>
      <c r="P535" s="17">
        <f>IF($C535="","",IF($O535="FAILED OUT","Yes","No"))</f>
        <v/>
      </c>
      <c r="Q535" s="16" t="n"/>
      <c r="R535" s="16" t="n"/>
      <c r="S535" s="17">
        <f>IF($C535="","",IF(AND($K535&lt;&gt;"",NOT(ISNUMBER($K535))),"SCORE NOT A NUMBER",IF(AND(ISNUMBER($K535),OR($K535&lt;0,$K535&gt;100)),"SCORE OUT OF RANGE - this score counts toward nothing",IF(AND($G535="Score",$K535="",$J535&lt;&gt;"",$J535&lt;&gt;"Pending"),"RESULT WITHOUT A SCORE",IF(AND($G535="Pass/Fail",$K535&lt;&gt;""),"SCORE ON A PASS-FAIL CATEGORY - it is ignored",IF(AND($E535="Firearms",$J535&lt;&gt;"",$J535&lt;&gt;"Pending",$R535=""),"FIREARMS ROW WITH NO COURSE OF FIRE","OK"))))))</f>
        <v/>
      </c>
    </row>
    <row r="536">
      <c r="B536" s="17">
        <f>IF($C536="","",$D536&amp;"-"&amp;$E536&amp;"-"&amp;$I536)</f>
        <v/>
      </c>
      <c r="C536" s="16" t="n"/>
      <c r="D536" s="17">
        <f>IF($C536="","",IFERROR(INDEX(rngCadetPIDs,MATCH($C536,rngCadetNames,0)),"?"))</f>
        <v/>
      </c>
      <c r="E536" s="16" t="n"/>
      <c r="F536" s="17">
        <f>IF($E536="","",IFERROR(INDEX(rngSM_max,MATCH($E536,rngSM_cat,0)),""))</f>
        <v/>
      </c>
      <c r="G536" s="17">
        <f>IF($E536="","",IFERROR(INDEX(rngSM_mode,MATCH($E536,rngSM_cat,0)),""))</f>
        <v/>
      </c>
      <c r="H536" s="17">
        <f>IF($E536="","",IFERROR(INDEX(rngSM_pass,MATCH($E536,rngSM_cat,0)),""))</f>
        <v/>
      </c>
      <c r="I536" s="16" t="n"/>
      <c r="J536" s="16" t="n"/>
      <c r="K536" s="16" t="n"/>
      <c r="L536" s="18" t="n"/>
      <c r="M536" s="16" t="n"/>
      <c r="N536" s="17">
        <f>IF($C536="","",MAX(_xlfn.MAXIFS(nrSK_Att,nrSK_PID,$D536,nrSK_Cat,$E536,nrSK_Res,"Pass"),_xlfn.MAXIFS(nrSK_Att,nrSK_PID,$D536,nrSK_Cat,$E536,nrSK_Res,"Fail")))</f>
        <v/>
      </c>
      <c r="O536" s="17">
        <f>IF($C536="","",IF(AND(MAX(_xlfn.MAXIFS(nrSK_Att,nrSK_PID,$D536,nrSK_Cat,$E536,nrSK_Res,"Pass"),_xlfn.MAXIFS(nrSK_Att,nrSK_PID,$D536,nrSK_Cat,$E536,nrSK_Res,"Fail"))&gt;0,N($I536)&lt;MAX(_xlfn.MAXIFS(nrSK_Att,nrSK_PID,$D536,nrSK_Cat,$E536,nrSK_Res,"Pass"),_xlfn.MAXIFS(nrSK_Att,nrSK_PID,$D536,nrSK_Cat,$E536,nrSK_Res,"Fail"))),"(superseded)",IF(OR($J536="",$J536="Pending"),"Pending",IF($J536="Pass","Qualified",IF(AND($J536="Fail",$N536&gt;=$F536),"FAILED OUT","Needs Remediation")))))</f>
        <v/>
      </c>
      <c r="P536" s="17">
        <f>IF($C536="","",IF($O536="FAILED OUT","Yes","No"))</f>
        <v/>
      </c>
      <c r="Q536" s="16" t="n"/>
      <c r="R536" s="16" t="n"/>
      <c r="S536" s="17">
        <f>IF($C536="","",IF(AND($K536&lt;&gt;"",NOT(ISNUMBER($K536))),"SCORE NOT A NUMBER",IF(AND(ISNUMBER($K536),OR($K536&lt;0,$K536&gt;100)),"SCORE OUT OF RANGE - this score counts toward nothing",IF(AND($G536="Score",$K536="",$J536&lt;&gt;"",$J536&lt;&gt;"Pending"),"RESULT WITHOUT A SCORE",IF(AND($G536="Pass/Fail",$K536&lt;&gt;""),"SCORE ON A PASS-FAIL CATEGORY - it is ignored",IF(AND($E536="Firearms",$J536&lt;&gt;"",$J536&lt;&gt;"Pending",$R536=""),"FIREARMS ROW WITH NO COURSE OF FIRE","OK"))))))</f>
        <v/>
      </c>
    </row>
    <row r="537">
      <c r="B537" s="17">
        <f>IF($C537="","",$D537&amp;"-"&amp;$E537&amp;"-"&amp;$I537)</f>
        <v/>
      </c>
      <c r="C537" s="16" t="n"/>
      <c r="D537" s="17">
        <f>IF($C537="","",IFERROR(INDEX(rngCadetPIDs,MATCH($C537,rngCadetNames,0)),"?"))</f>
        <v/>
      </c>
      <c r="E537" s="16" t="n"/>
      <c r="F537" s="17">
        <f>IF($E537="","",IFERROR(INDEX(rngSM_max,MATCH($E537,rngSM_cat,0)),""))</f>
        <v/>
      </c>
      <c r="G537" s="17">
        <f>IF($E537="","",IFERROR(INDEX(rngSM_mode,MATCH($E537,rngSM_cat,0)),""))</f>
        <v/>
      </c>
      <c r="H537" s="17">
        <f>IF($E537="","",IFERROR(INDEX(rngSM_pass,MATCH($E537,rngSM_cat,0)),""))</f>
        <v/>
      </c>
      <c r="I537" s="16" t="n"/>
      <c r="J537" s="16" t="n"/>
      <c r="K537" s="16" t="n"/>
      <c r="L537" s="18" t="n"/>
      <c r="M537" s="16" t="n"/>
      <c r="N537" s="17">
        <f>IF($C537="","",MAX(_xlfn.MAXIFS(nrSK_Att,nrSK_PID,$D537,nrSK_Cat,$E537,nrSK_Res,"Pass"),_xlfn.MAXIFS(nrSK_Att,nrSK_PID,$D537,nrSK_Cat,$E537,nrSK_Res,"Fail")))</f>
        <v/>
      </c>
      <c r="O537" s="17">
        <f>IF($C537="","",IF(AND(MAX(_xlfn.MAXIFS(nrSK_Att,nrSK_PID,$D537,nrSK_Cat,$E537,nrSK_Res,"Pass"),_xlfn.MAXIFS(nrSK_Att,nrSK_PID,$D537,nrSK_Cat,$E537,nrSK_Res,"Fail"))&gt;0,N($I537)&lt;MAX(_xlfn.MAXIFS(nrSK_Att,nrSK_PID,$D537,nrSK_Cat,$E537,nrSK_Res,"Pass"),_xlfn.MAXIFS(nrSK_Att,nrSK_PID,$D537,nrSK_Cat,$E537,nrSK_Res,"Fail"))),"(superseded)",IF(OR($J537="",$J537="Pending"),"Pending",IF($J537="Pass","Qualified",IF(AND($J537="Fail",$N537&gt;=$F537),"FAILED OUT","Needs Remediation")))))</f>
        <v/>
      </c>
      <c r="P537" s="17">
        <f>IF($C537="","",IF($O537="FAILED OUT","Yes","No"))</f>
        <v/>
      </c>
      <c r="Q537" s="16" t="n"/>
      <c r="R537" s="16" t="n"/>
      <c r="S537" s="17">
        <f>IF($C537="","",IF(AND($K537&lt;&gt;"",NOT(ISNUMBER($K537))),"SCORE NOT A NUMBER",IF(AND(ISNUMBER($K537),OR($K537&lt;0,$K537&gt;100)),"SCORE OUT OF RANGE - this score counts toward nothing",IF(AND($G537="Score",$K537="",$J537&lt;&gt;"",$J537&lt;&gt;"Pending"),"RESULT WITHOUT A SCORE",IF(AND($G537="Pass/Fail",$K537&lt;&gt;""),"SCORE ON A PASS-FAIL CATEGORY - it is ignored",IF(AND($E537="Firearms",$J537&lt;&gt;"",$J537&lt;&gt;"Pending",$R537=""),"FIREARMS ROW WITH NO COURSE OF FIRE","OK"))))))</f>
        <v/>
      </c>
    </row>
    <row r="538">
      <c r="B538" s="17">
        <f>IF($C538="","",$D538&amp;"-"&amp;$E538&amp;"-"&amp;$I538)</f>
        <v/>
      </c>
      <c r="C538" s="16" t="n"/>
      <c r="D538" s="17">
        <f>IF($C538="","",IFERROR(INDEX(rngCadetPIDs,MATCH($C538,rngCadetNames,0)),"?"))</f>
        <v/>
      </c>
      <c r="E538" s="16" t="n"/>
      <c r="F538" s="17">
        <f>IF($E538="","",IFERROR(INDEX(rngSM_max,MATCH($E538,rngSM_cat,0)),""))</f>
        <v/>
      </c>
      <c r="G538" s="17">
        <f>IF($E538="","",IFERROR(INDEX(rngSM_mode,MATCH($E538,rngSM_cat,0)),""))</f>
        <v/>
      </c>
      <c r="H538" s="17">
        <f>IF($E538="","",IFERROR(INDEX(rngSM_pass,MATCH($E538,rngSM_cat,0)),""))</f>
        <v/>
      </c>
      <c r="I538" s="16" t="n"/>
      <c r="J538" s="16" t="n"/>
      <c r="K538" s="16" t="n"/>
      <c r="L538" s="18" t="n"/>
      <c r="M538" s="16" t="n"/>
      <c r="N538" s="17">
        <f>IF($C538="","",MAX(_xlfn.MAXIFS(nrSK_Att,nrSK_PID,$D538,nrSK_Cat,$E538,nrSK_Res,"Pass"),_xlfn.MAXIFS(nrSK_Att,nrSK_PID,$D538,nrSK_Cat,$E538,nrSK_Res,"Fail")))</f>
        <v/>
      </c>
      <c r="O538" s="17">
        <f>IF($C538="","",IF(AND(MAX(_xlfn.MAXIFS(nrSK_Att,nrSK_PID,$D538,nrSK_Cat,$E538,nrSK_Res,"Pass"),_xlfn.MAXIFS(nrSK_Att,nrSK_PID,$D538,nrSK_Cat,$E538,nrSK_Res,"Fail"))&gt;0,N($I538)&lt;MAX(_xlfn.MAXIFS(nrSK_Att,nrSK_PID,$D538,nrSK_Cat,$E538,nrSK_Res,"Pass"),_xlfn.MAXIFS(nrSK_Att,nrSK_PID,$D538,nrSK_Cat,$E538,nrSK_Res,"Fail"))),"(superseded)",IF(OR($J538="",$J538="Pending"),"Pending",IF($J538="Pass","Qualified",IF(AND($J538="Fail",$N538&gt;=$F538),"FAILED OUT","Needs Remediation")))))</f>
        <v/>
      </c>
      <c r="P538" s="17">
        <f>IF($C538="","",IF($O538="FAILED OUT","Yes","No"))</f>
        <v/>
      </c>
      <c r="Q538" s="16" t="n"/>
      <c r="R538" s="16" t="n"/>
      <c r="S538" s="17">
        <f>IF($C538="","",IF(AND($K538&lt;&gt;"",NOT(ISNUMBER($K538))),"SCORE NOT A NUMBER",IF(AND(ISNUMBER($K538),OR($K538&lt;0,$K538&gt;100)),"SCORE OUT OF RANGE - this score counts toward nothing",IF(AND($G538="Score",$K538="",$J538&lt;&gt;"",$J538&lt;&gt;"Pending"),"RESULT WITHOUT A SCORE",IF(AND($G538="Pass/Fail",$K538&lt;&gt;""),"SCORE ON A PASS-FAIL CATEGORY - it is ignored",IF(AND($E538="Firearms",$J538&lt;&gt;"",$J538&lt;&gt;"Pending",$R538=""),"FIREARMS ROW WITH NO COURSE OF FIRE","OK"))))))</f>
        <v/>
      </c>
    </row>
    <row r="539">
      <c r="B539" s="17">
        <f>IF($C539="","",$D539&amp;"-"&amp;$E539&amp;"-"&amp;$I539)</f>
        <v/>
      </c>
      <c r="C539" s="16" t="n"/>
      <c r="D539" s="17">
        <f>IF($C539="","",IFERROR(INDEX(rngCadetPIDs,MATCH($C539,rngCadetNames,0)),"?"))</f>
        <v/>
      </c>
      <c r="E539" s="16" t="n"/>
      <c r="F539" s="17">
        <f>IF($E539="","",IFERROR(INDEX(rngSM_max,MATCH($E539,rngSM_cat,0)),""))</f>
        <v/>
      </c>
      <c r="G539" s="17">
        <f>IF($E539="","",IFERROR(INDEX(rngSM_mode,MATCH($E539,rngSM_cat,0)),""))</f>
        <v/>
      </c>
      <c r="H539" s="17">
        <f>IF($E539="","",IFERROR(INDEX(rngSM_pass,MATCH($E539,rngSM_cat,0)),""))</f>
        <v/>
      </c>
      <c r="I539" s="16" t="n"/>
      <c r="J539" s="16" t="n"/>
      <c r="K539" s="16" t="n"/>
      <c r="L539" s="18" t="n"/>
      <c r="M539" s="16" t="n"/>
      <c r="N539" s="17">
        <f>IF($C539="","",MAX(_xlfn.MAXIFS(nrSK_Att,nrSK_PID,$D539,nrSK_Cat,$E539,nrSK_Res,"Pass"),_xlfn.MAXIFS(nrSK_Att,nrSK_PID,$D539,nrSK_Cat,$E539,nrSK_Res,"Fail")))</f>
        <v/>
      </c>
      <c r="O539" s="17">
        <f>IF($C539="","",IF(AND(MAX(_xlfn.MAXIFS(nrSK_Att,nrSK_PID,$D539,nrSK_Cat,$E539,nrSK_Res,"Pass"),_xlfn.MAXIFS(nrSK_Att,nrSK_PID,$D539,nrSK_Cat,$E539,nrSK_Res,"Fail"))&gt;0,N($I539)&lt;MAX(_xlfn.MAXIFS(nrSK_Att,nrSK_PID,$D539,nrSK_Cat,$E539,nrSK_Res,"Pass"),_xlfn.MAXIFS(nrSK_Att,nrSK_PID,$D539,nrSK_Cat,$E539,nrSK_Res,"Fail"))),"(superseded)",IF(OR($J539="",$J539="Pending"),"Pending",IF($J539="Pass","Qualified",IF(AND($J539="Fail",$N539&gt;=$F539),"FAILED OUT","Needs Remediation")))))</f>
        <v/>
      </c>
      <c r="P539" s="17">
        <f>IF($C539="","",IF($O539="FAILED OUT","Yes","No"))</f>
        <v/>
      </c>
      <c r="Q539" s="16" t="n"/>
      <c r="R539" s="16" t="n"/>
      <c r="S539" s="17">
        <f>IF($C539="","",IF(AND($K539&lt;&gt;"",NOT(ISNUMBER($K539))),"SCORE NOT A NUMBER",IF(AND(ISNUMBER($K539),OR($K539&lt;0,$K539&gt;100)),"SCORE OUT OF RANGE - this score counts toward nothing",IF(AND($G539="Score",$K539="",$J539&lt;&gt;"",$J539&lt;&gt;"Pending"),"RESULT WITHOUT A SCORE",IF(AND($G539="Pass/Fail",$K539&lt;&gt;""),"SCORE ON A PASS-FAIL CATEGORY - it is ignored",IF(AND($E539="Firearms",$J539&lt;&gt;"",$J539&lt;&gt;"Pending",$R539=""),"FIREARMS ROW WITH NO COURSE OF FIRE","OK"))))))</f>
        <v/>
      </c>
    </row>
    <row r="540">
      <c r="B540" s="17">
        <f>IF($C540="","",$D540&amp;"-"&amp;$E540&amp;"-"&amp;$I540)</f>
        <v/>
      </c>
      <c r="C540" s="16" t="n"/>
      <c r="D540" s="17">
        <f>IF($C540="","",IFERROR(INDEX(rngCadetPIDs,MATCH($C540,rngCadetNames,0)),"?"))</f>
        <v/>
      </c>
      <c r="E540" s="16" t="n"/>
      <c r="F540" s="17">
        <f>IF($E540="","",IFERROR(INDEX(rngSM_max,MATCH($E540,rngSM_cat,0)),""))</f>
        <v/>
      </c>
      <c r="G540" s="17">
        <f>IF($E540="","",IFERROR(INDEX(rngSM_mode,MATCH($E540,rngSM_cat,0)),""))</f>
        <v/>
      </c>
      <c r="H540" s="17">
        <f>IF($E540="","",IFERROR(INDEX(rngSM_pass,MATCH($E540,rngSM_cat,0)),""))</f>
        <v/>
      </c>
      <c r="I540" s="16" t="n"/>
      <c r="J540" s="16" t="n"/>
      <c r="K540" s="16" t="n"/>
      <c r="L540" s="18" t="n"/>
      <c r="M540" s="16" t="n"/>
      <c r="N540" s="17">
        <f>IF($C540="","",MAX(_xlfn.MAXIFS(nrSK_Att,nrSK_PID,$D540,nrSK_Cat,$E540,nrSK_Res,"Pass"),_xlfn.MAXIFS(nrSK_Att,nrSK_PID,$D540,nrSK_Cat,$E540,nrSK_Res,"Fail")))</f>
        <v/>
      </c>
      <c r="O540" s="17">
        <f>IF($C540="","",IF(AND(MAX(_xlfn.MAXIFS(nrSK_Att,nrSK_PID,$D540,nrSK_Cat,$E540,nrSK_Res,"Pass"),_xlfn.MAXIFS(nrSK_Att,nrSK_PID,$D540,nrSK_Cat,$E540,nrSK_Res,"Fail"))&gt;0,N($I540)&lt;MAX(_xlfn.MAXIFS(nrSK_Att,nrSK_PID,$D540,nrSK_Cat,$E540,nrSK_Res,"Pass"),_xlfn.MAXIFS(nrSK_Att,nrSK_PID,$D540,nrSK_Cat,$E540,nrSK_Res,"Fail"))),"(superseded)",IF(OR($J540="",$J540="Pending"),"Pending",IF($J540="Pass","Qualified",IF(AND($J540="Fail",$N540&gt;=$F540),"FAILED OUT","Needs Remediation")))))</f>
        <v/>
      </c>
      <c r="P540" s="17">
        <f>IF($C540="","",IF($O540="FAILED OUT","Yes","No"))</f>
        <v/>
      </c>
      <c r="Q540" s="16" t="n"/>
      <c r="R540" s="16" t="n"/>
      <c r="S540" s="17">
        <f>IF($C540="","",IF(AND($K540&lt;&gt;"",NOT(ISNUMBER($K540))),"SCORE NOT A NUMBER",IF(AND(ISNUMBER($K540),OR($K540&lt;0,$K540&gt;100)),"SCORE OUT OF RANGE - this score counts toward nothing",IF(AND($G540="Score",$K540="",$J540&lt;&gt;"",$J540&lt;&gt;"Pending"),"RESULT WITHOUT A SCORE",IF(AND($G540="Pass/Fail",$K540&lt;&gt;""),"SCORE ON A PASS-FAIL CATEGORY - it is ignored",IF(AND($E540="Firearms",$J540&lt;&gt;"",$J540&lt;&gt;"Pending",$R540=""),"FIREARMS ROW WITH NO COURSE OF FIRE","OK"))))))</f>
        <v/>
      </c>
    </row>
    <row r="541">
      <c r="B541" s="17">
        <f>IF($C541="","",$D541&amp;"-"&amp;$E541&amp;"-"&amp;$I541)</f>
        <v/>
      </c>
      <c r="C541" s="16" t="n"/>
      <c r="D541" s="17">
        <f>IF($C541="","",IFERROR(INDEX(rngCadetPIDs,MATCH($C541,rngCadetNames,0)),"?"))</f>
        <v/>
      </c>
      <c r="E541" s="16" t="n"/>
      <c r="F541" s="17">
        <f>IF($E541="","",IFERROR(INDEX(rngSM_max,MATCH($E541,rngSM_cat,0)),""))</f>
        <v/>
      </c>
      <c r="G541" s="17">
        <f>IF($E541="","",IFERROR(INDEX(rngSM_mode,MATCH($E541,rngSM_cat,0)),""))</f>
        <v/>
      </c>
      <c r="H541" s="17">
        <f>IF($E541="","",IFERROR(INDEX(rngSM_pass,MATCH($E541,rngSM_cat,0)),""))</f>
        <v/>
      </c>
      <c r="I541" s="16" t="n"/>
      <c r="J541" s="16" t="n"/>
      <c r="K541" s="16" t="n"/>
      <c r="L541" s="18" t="n"/>
      <c r="M541" s="16" t="n"/>
      <c r="N541" s="17">
        <f>IF($C541="","",MAX(_xlfn.MAXIFS(nrSK_Att,nrSK_PID,$D541,nrSK_Cat,$E541,nrSK_Res,"Pass"),_xlfn.MAXIFS(nrSK_Att,nrSK_PID,$D541,nrSK_Cat,$E541,nrSK_Res,"Fail")))</f>
        <v/>
      </c>
      <c r="O541" s="17">
        <f>IF($C541="","",IF(AND(MAX(_xlfn.MAXIFS(nrSK_Att,nrSK_PID,$D541,nrSK_Cat,$E541,nrSK_Res,"Pass"),_xlfn.MAXIFS(nrSK_Att,nrSK_PID,$D541,nrSK_Cat,$E541,nrSK_Res,"Fail"))&gt;0,N($I541)&lt;MAX(_xlfn.MAXIFS(nrSK_Att,nrSK_PID,$D541,nrSK_Cat,$E541,nrSK_Res,"Pass"),_xlfn.MAXIFS(nrSK_Att,nrSK_PID,$D541,nrSK_Cat,$E541,nrSK_Res,"Fail"))),"(superseded)",IF(OR($J541="",$J541="Pending"),"Pending",IF($J541="Pass","Qualified",IF(AND($J541="Fail",$N541&gt;=$F541),"FAILED OUT","Needs Remediation")))))</f>
        <v/>
      </c>
      <c r="P541" s="17">
        <f>IF($C541="","",IF($O541="FAILED OUT","Yes","No"))</f>
        <v/>
      </c>
      <c r="Q541" s="16" t="n"/>
      <c r="R541" s="16" t="n"/>
      <c r="S541" s="17">
        <f>IF($C541="","",IF(AND($K541&lt;&gt;"",NOT(ISNUMBER($K541))),"SCORE NOT A NUMBER",IF(AND(ISNUMBER($K541),OR($K541&lt;0,$K541&gt;100)),"SCORE OUT OF RANGE - this score counts toward nothing",IF(AND($G541="Score",$K541="",$J541&lt;&gt;"",$J541&lt;&gt;"Pending"),"RESULT WITHOUT A SCORE",IF(AND($G541="Pass/Fail",$K541&lt;&gt;""),"SCORE ON A PASS-FAIL CATEGORY - it is ignored",IF(AND($E541="Firearms",$J541&lt;&gt;"",$J541&lt;&gt;"Pending",$R541=""),"FIREARMS ROW WITH NO COURSE OF FIRE","OK"))))))</f>
        <v/>
      </c>
    </row>
    <row r="542">
      <c r="B542" s="17">
        <f>IF($C542="","",$D542&amp;"-"&amp;$E542&amp;"-"&amp;$I542)</f>
        <v/>
      </c>
      <c r="C542" s="16" t="n"/>
      <c r="D542" s="17">
        <f>IF($C542="","",IFERROR(INDEX(rngCadetPIDs,MATCH($C542,rngCadetNames,0)),"?"))</f>
        <v/>
      </c>
      <c r="E542" s="16" t="n"/>
      <c r="F542" s="17">
        <f>IF($E542="","",IFERROR(INDEX(rngSM_max,MATCH($E542,rngSM_cat,0)),""))</f>
        <v/>
      </c>
      <c r="G542" s="17">
        <f>IF($E542="","",IFERROR(INDEX(rngSM_mode,MATCH($E542,rngSM_cat,0)),""))</f>
        <v/>
      </c>
      <c r="H542" s="17">
        <f>IF($E542="","",IFERROR(INDEX(rngSM_pass,MATCH($E542,rngSM_cat,0)),""))</f>
        <v/>
      </c>
      <c r="I542" s="16" t="n"/>
      <c r="J542" s="16" t="n"/>
      <c r="K542" s="16" t="n"/>
      <c r="L542" s="18" t="n"/>
      <c r="M542" s="16" t="n"/>
      <c r="N542" s="17">
        <f>IF($C542="","",MAX(_xlfn.MAXIFS(nrSK_Att,nrSK_PID,$D542,nrSK_Cat,$E542,nrSK_Res,"Pass"),_xlfn.MAXIFS(nrSK_Att,nrSK_PID,$D542,nrSK_Cat,$E542,nrSK_Res,"Fail")))</f>
        <v/>
      </c>
      <c r="O542" s="17">
        <f>IF($C542="","",IF(AND(MAX(_xlfn.MAXIFS(nrSK_Att,nrSK_PID,$D542,nrSK_Cat,$E542,nrSK_Res,"Pass"),_xlfn.MAXIFS(nrSK_Att,nrSK_PID,$D542,nrSK_Cat,$E542,nrSK_Res,"Fail"))&gt;0,N($I542)&lt;MAX(_xlfn.MAXIFS(nrSK_Att,nrSK_PID,$D542,nrSK_Cat,$E542,nrSK_Res,"Pass"),_xlfn.MAXIFS(nrSK_Att,nrSK_PID,$D542,nrSK_Cat,$E542,nrSK_Res,"Fail"))),"(superseded)",IF(OR($J542="",$J542="Pending"),"Pending",IF($J542="Pass","Qualified",IF(AND($J542="Fail",$N542&gt;=$F542),"FAILED OUT","Needs Remediation")))))</f>
        <v/>
      </c>
      <c r="P542" s="17">
        <f>IF($C542="","",IF($O542="FAILED OUT","Yes","No"))</f>
        <v/>
      </c>
      <c r="Q542" s="16" t="n"/>
      <c r="R542" s="16" t="n"/>
      <c r="S542" s="17">
        <f>IF($C542="","",IF(AND($K542&lt;&gt;"",NOT(ISNUMBER($K542))),"SCORE NOT A NUMBER",IF(AND(ISNUMBER($K542),OR($K542&lt;0,$K542&gt;100)),"SCORE OUT OF RANGE - this score counts toward nothing",IF(AND($G542="Score",$K542="",$J542&lt;&gt;"",$J542&lt;&gt;"Pending"),"RESULT WITHOUT A SCORE",IF(AND($G542="Pass/Fail",$K542&lt;&gt;""),"SCORE ON A PASS-FAIL CATEGORY - it is ignored",IF(AND($E542="Firearms",$J542&lt;&gt;"",$J542&lt;&gt;"Pending",$R542=""),"FIREARMS ROW WITH NO COURSE OF FIRE","OK"))))))</f>
        <v/>
      </c>
    </row>
    <row r="543">
      <c r="B543" s="17">
        <f>IF($C543="","",$D543&amp;"-"&amp;$E543&amp;"-"&amp;$I543)</f>
        <v/>
      </c>
      <c r="C543" s="16" t="n"/>
      <c r="D543" s="17">
        <f>IF($C543="","",IFERROR(INDEX(rngCadetPIDs,MATCH($C543,rngCadetNames,0)),"?"))</f>
        <v/>
      </c>
      <c r="E543" s="16" t="n"/>
      <c r="F543" s="17">
        <f>IF($E543="","",IFERROR(INDEX(rngSM_max,MATCH($E543,rngSM_cat,0)),""))</f>
        <v/>
      </c>
      <c r="G543" s="17">
        <f>IF($E543="","",IFERROR(INDEX(rngSM_mode,MATCH($E543,rngSM_cat,0)),""))</f>
        <v/>
      </c>
      <c r="H543" s="17">
        <f>IF($E543="","",IFERROR(INDEX(rngSM_pass,MATCH($E543,rngSM_cat,0)),""))</f>
        <v/>
      </c>
      <c r="I543" s="16" t="n"/>
      <c r="J543" s="16" t="n"/>
      <c r="K543" s="16" t="n"/>
      <c r="L543" s="18" t="n"/>
      <c r="M543" s="16" t="n"/>
      <c r="N543" s="17">
        <f>IF($C543="","",MAX(_xlfn.MAXIFS(nrSK_Att,nrSK_PID,$D543,nrSK_Cat,$E543,nrSK_Res,"Pass"),_xlfn.MAXIFS(nrSK_Att,nrSK_PID,$D543,nrSK_Cat,$E543,nrSK_Res,"Fail")))</f>
        <v/>
      </c>
      <c r="O543" s="17">
        <f>IF($C543="","",IF(AND(MAX(_xlfn.MAXIFS(nrSK_Att,nrSK_PID,$D543,nrSK_Cat,$E543,nrSK_Res,"Pass"),_xlfn.MAXIFS(nrSK_Att,nrSK_PID,$D543,nrSK_Cat,$E543,nrSK_Res,"Fail"))&gt;0,N($I543)&lt;MAX(_xlfn.MAXIFS(nrSK_Att,nrSK_PID,$D543,nrSK_Cat,$E543,nrSK_Res,"Pass"),_xlfn.MAXIFS(nrSK_Att,nrSK_PID,$D543,nrSK_Cat,$E543,nrSK_Res,"Fail"))),"(superseded)",IF(OR($J543="",$J543="Pending"),"Pending",IF($J543="Pass","Qualified",IF(AND($J543="Fail",$N543&gt;=$F543),"FAILED OUT","Needs Remediation")))))</f>
        <v/>
      </c>
      <c r="P543" s="17">
        <f>IF($C543="","",IF($O543="FAILED OUT","Yes","No"))</f>
        <v/>
      </c>
      <c r="Q543" s="16" t="n"/>
      <c r="R543" s="16" t="n"/>
      <c r="S543" s="17">
        <f>IF($C543="","",IF(AND($K543&lt;&gt;"",NOT(ISNUMBER($K543))),"SCORE NOT A NUMBER",IF(AND(ISNUMBER($K543),OR($K543&lt;0,$K543&gt;100)),"SCORE OUT OF RANGE - this score counts toward nothing",IF(AND($G543="Score",$K543="",$J543&lt;&gt;"",$J543&lt;&gt;"Pending"),"RESULT WITHOUT A SCORE",IF(AND($G543="Pass/Fail",$K543&lt;&gt;""),"SCORE ON A PASS-FAIL CATEGORY - it is ignored",IF(AND($E543="Firearms",$J543&lt;&gt;"",$J543&lt;&gt;"Pending",$R543=""),"FIREARMS ROW WITH NO COURSE OF FIRE","OK"))))))</f>
        <v/>
      </c>
    </row>
    <row r="544">
      <c r="B544" s="17">
        <f>IF($C544="","",$D544&amp;"-"&amp;$E544&amp;"-"&amp;$I544)</f>
        <v/>
      </c>
      <c r="C544" s="16" t="n"/>
      <c r="D544" s="17">
        <f>IF($C544="","",IFERROR(INDEX(rngCadetPIDs,MATCH($C544,rngCadetNames,0)),"?"))</f>
        <v/>
      </c>
      <c r="E544" s="16" t="n"/>
      <c r="F544" s="17">
        <f>IF($E544="","",IFERROR(INDEX(rngSM_max,MATCH($E544,rngSM_cat,0)),""))</f>
        <v/>
      </c>
      <c r="G544" s="17">
        <f>IF($E544="","",IFERROR(INDEX(rngSM_mode,MATCH($E544,rngSM_cat,0)),""))</f>
        <v/>
      </c>
      <c r="H544" s="17">
        <f>IF($E544="","",IFERROR(INDEX(rngSM_pass,MATCH($E544,rngSM_cat,0)),""))</f>
        <v/>
      </c>
      <c r="I544" s="16" t="n"/>
      <c r="J544" s="16" t="n"/>
      <c r="K544" s="16" t="n"/>
      <c r="L544" s="18" t="n"/>
      <c r="M544" s="16" t="n"/>
      <c r="N544" s="17">
        <f>IF($C544="","",MAX(_xlfn.MAXIFS(nrSK_Att,nrSK_PID,$D544,nrSK_Cat,$E544,nrSK_Res,"Pass"),_xlfn.MAXIFS(nrSK_Att,nrSK_PID,$D544,nrSK_Cat,$E544,nrSK_Res,"Fail")))</f>
        <v/>
      </c>
      <c r="O544" s="17">
        <f>IF($C544="","",IF(AND(MAX(_xlfn.MAXIFS(nrSK_Att,nrSK_PID,$D544,nrSK_Cat,$E544,nrSK_Res,"Pass"),_xlfn.MAXIFS(nrSK_Att,nrSK_PID,$D544,nrSK_Cat,$E544,nrSK_Res,"Fail"))&gt;0,N($I544)&lt;MAX(_xlfn.MAXIFS(nrSK_Att,nrSK_PID,$D544,nrSK_Cat,$E544,nrSK_Res,"Pass"),_xlfn.MAXIFS(nrSK_Att,nrSK_PID,$D544,nrSK_Cat,$E544,nrSK_Res,"Fail"))),"(superseded)",IF(OR($J544="",$J544="Pending"),"Pending",IF($J544="Pass","Qualified",IF(AND($J544="Fail",$N544&gt;=$F544),"FAILED OUT","Needs Remediation")))))</f>
        <v/>
      </c>
      <c r="P544" s="17">
        <f>IF($C544="","",IF($O544="FAILED OUT","Yes","No"))</f>
        <v/>
      </c>
      <c r="Q544" s="16" t="n"/>
      <c r="R544" s="16" t="n"/>
      <c r="S544" s="17">
        <f>IF($C544="","",IF(AND($K544&lt;&gt;"",NOT(ISNUMBER($K544))),"SCORE NOT A NUMBER",IF(AND(ISNUMBER($K544),OR($K544&lt;0,$K544&gt;100)),"SCORE OUT OF RANGE - this score counts toward nothing",IF(AND($G544="Score",$K544="",$J544&lt;&gt;"",$J544&lt;&gt;"Pending"),"RESULT WITHOUT A SCORE",IF(AND($G544="Pass/Fail",$K544&lt;&gt;""),"SCORE ON A PASS-FAIL CATEGORY - it is ignored",IF(AND($E544="Firearms",$J544&lt;&gt;"",$J544&lt;&gt;"Pending",$R544=""),"FIREARMS ROW WITH NO COURSE OF FIRE","OK"))))))</f>
        <v/>
      </c>
    </row>
    <row r="545">
      <c r="B545" s="17">
        <f>IF($C545="","",$D545&amp;"-"&amp;$E545&amp;"-"&amp;$I545)</f>
        <v/>
      </c>
      <c r="C545" s="16" t="n"/>
      <c r="D545" s="17">
        <f>IF($C545="","",IFERROR(INDEX(rngCadetPIDs,MATCH($C545,rngCadetNames,0)),"?"))</f>
        <v/>
      </c>
      <c r="E545" s="16" t="n"/>
      <c r="F545" s="17">
        <f>IF($E545="","",IFERROR(INDEX(rngSM_max,MATCH($E545,rngSM_cat,0)),""))</f>
        <v/>
      </c>
      <c r="G545" s="17">
        <f>IF($E545="","",IFERROR(INDEX(rngSM_mode,MATCH($E545,rngSM_cat,0)),""))</f>
        <v/>
      </c>
      <c r="H545" s="17">
        <f>IF($E545="","",IFERROR(INDEX(rngSM_pass,MATCH($E545,rngSM_cat,0)),""))</f>
        <v/>
      </c>
      <c r="I545" s="16" t="n"/>
      <c r="J545" s="16" t="n"/>
      <c r="K545" s="16" t="n"/>
      <c r="L545" s="18" t="n"/>
      <c r="M545" s="16" t="n"/>
      <c r="N545" s="17">
        <f>IF($C545="","",MAX(_xlfn.MAXIFS(nrSK_Att,nrSK_PID,$D545,nrSK_Cat,$E545,nrSK_Res,"Pass"),_xlfn.MAXIFS(nrSK_Att,nrSK_PID,$D545,nrSK_Cat,$E545,nrSK_Res,"Fail")))</f>
        <v/>
      </c>
      <c r="O545" s="17">
        <f>IF($C545="","",IF(AND(MAX(_xlfn.MAXIFS(nrSK_Att,nrSK_PID,$D545,nrSK_Cat,$E545,nrSK_Res,"Pass"),_xlfn.MAXIFS(nrSK_Att,nrSK_PID,$D545,nrSK_Cat,$E545,nrSK_Res,"Fail"))&gt;0,N($I545)&lt;MAX(_xlfn.MAXIFS(nrSK_Att,nrSK_PID,$D545,nrSK_Cat,$E545,nrSK_Res,"Pass"),_xlfn.MAXIFS(nrSK_Att,nrSK_PID,$D545,nrSK_Cat,$E545,nrSK_Res,"Fail"))),"(superseded)",IF(OR($J545="",$J545="Pending"),"Pending",IF($J545="Pass","Qualified",IF(AND($J545="Fail",$N545&gt;=$F545),"FAILED OUT","Needs Remediation")))))</f>
        <v/>
      </c>
      <c r="P545" s="17">
        <f>IF($C545="","",IF($O545="FAILED OUT","Yes","No"))</f>
        <v/>
      </c>
      <c r="Q545" s="16" t="n"/>
      <c r="R545" s="16" t="n"/>
      <c r="S545" s="17">
        <f>IF($C545="","",IF(AND($K545&lt;&gt;"",NOT(ISNUMBER($K545))),"SCORE NOT A NUMBER",IF(AND(ISNUMBER($K545),OR($K545&lt;0,$K545&gt;100)),"SCORE OUT OF RANGE - this score counts toward nothing",IF(AND($G545="Score",$K545="",$J545&lt;&gt;"",$J545&lt;&gt;"Pending"),"RESULT WITHOUT A SCORE",IF(AND($G545="Pass/Fail",$K545&lt;&gt;""),"SCORE ON A PASS-FAIL CATEGORY - it is ignored",IF(AND($E545="Firearms",$J545&lt;&gt;"",$J545&lt;&gt;"Pending",$R545=""),"FIREARMS ROW WITH NO COURSE OF FIRE","OK"))))))</f>
        <v/>
      </c>
    </row>
    <row r="546">
      <c r="B546" s="17">
        <f>IF($C546="","",$D546&amp;"-"&amp;$E546&amp;"-"&amp;$I546)</f>
        <v/>
      </c>
      <c r="C546" s="16" t="n"/>
      <c r="D546" s="17">
        <f>IF($C546="","",IFERROR(INDEX(rngCadetPIDs,MATCH($C546,rngCadetNames,0)),"?"))</f>
        <v/>
      </c>
      <c r="E546" s="16" t="n"/>
      <c r="F546" s="17">
        <f>IF($E546="","",IFERROR(INDEX(rngSM_max,MATCH($E546,rngSM_cat,0)),""))</f>
        <v/>
      </c>
      <c r="G546" s="17">
        <f>IF($E546="","",IFERROR(INDEX(rngSM_mode,MATCH($E546,rngSM_cat,0)),""))</f>
        <v/>
      </c>
      <c r="H546" s="17">
        <f>IF($E546="","",IFERROR(INDEX(rngSM_pass,MATCH($E546,rngSM_cat,0)),""))</f>
        <v/>
      </c>
      <c r="I546" s="16" t="n"/>
      <c r="J546" s="16" t="n"/>
      <c r="K546" s="16" t="n"/>
      <c r="L546" s="18" t="n"/>
      <c r="M546" s="16" t="n"/>
      <c r="N546" s="17">
        <f>IF($C546="","",MAX(_xlfn.MAXIFS(nrSK_Att,nrSK_PID,$D546,nrSK_Cat,$E546,nrSK_Res,"Pass"),_xlfn.MAXIFS(nrSK_Att,nrSK_PID,$D546,nrSK_Cat,$E546,nrSK_Res,"Fail")))</f>
        <v/>
      </c>
      <c r="O546" s="17">
        <f>IF($C546="","",IF(AND(MAX(_xlfn.MAXIFS(nrSK_Att,nrSK_PID,$D546,nrSK_Cat,$E546,nrSK_Res,"Pass"),_xlfn.MAXIFS(nrSK_Att,nrSK_PID,$D546,nrSK_Cat,$E546,nrSK_Res,"Fail"))&gt;0,N($I546)&lt;MAX(_xlfn.MAXIFS(nrSK_Att,nrSK_PID,$D546,nrSK_Cat,$E546,nrSK_Res,"Pass"),_xlfn.MAXIFS(nrSK_Att,nrSK_PID,$D546,nrSK_Cat,$E546,nrSK_Res,"Fail"))),"(superseded)",IF(OR($J546="",$J546="Pending"),"Pending",IF($J546="Pass","Qualified",IF(AND($J546="Fail",$N546&gt;=$F546),"FAILED OUT","Needs Remediation")))))</f>
        <v/>
      </c>
      <c r="P546" s="17">
        <f>IF($C546="","",IF($O546="FAILED OUT","Yes","No"))</f>
        <v/>
      </c>
      <c r="Q546" s="16" t="n"/>
      <c r="R546" s="16" t="n"/>
      <c r="S546" s="17">
        <f>IF($C546="","",IF(AND($K546&lt;&gt;"",NOT(ISNUMBER($K546))),"SCORE NOT A NUMBER",IF(AND(ISNUMBER($K546),OR($K546&lt;0,$K546&gt;100)),"SCORE OUT OF RANGE - this score counts toward nothing",IF(AND($G546="Score",$K546="",$J546&lt;&gt;"",$J546&lt;&gt;"Pending"),"RESULT WITHOUT A SCORE",IF(AND($G546="Pass/Fail",$K546&lt;&gt;""),"SCORE ON A PASS-FAIL CATEGORY - it is ignored",IF(AND($E546="Firearms",$J546&lt;&gt;"",$J546&lt;&gt;"Pending",$R546=""),"FIREARMS ROW WITH NO COURSE OF FIRE","OK"))))))</f>
        <v/>
      </c>
    </row>
    <row r="547">
      <c r="B547" s="17">
        <f>IF($C547="","",$D547&amp;"-"&amp;$E547&amp;"-"&amp;$I547)</f>
        <v/>
      </c>
      <c r="C547" s="16" t="n"/>
      <c r="D547" s="17">
        <f>IF($C547="","",IFERROR(INDEX(rngCadetPIDs,MATCH($C547,rngCadetNames,0)),"?"))</f>
        <v/>
      </c>
      <c r="E547" s="16" t="n"/>
      <c r="F547" s="17">
        <f>IF($E547="","",IFERROR(INDEX(rngSM_max,MATCH($E547,rngSM_cat,0)),""))</f>
        <v/>
      </c>
      <c r="G547" s="17">
        <f>IF($E547="","",IFERROR(INDEX(rngSM_mode,MATCH($E547,rngSM_cat,0)),""))</f>
        <v/>
      </c>
      <c r="H547" s="17">
        <f>IF($E547="","",IFERROR(INDEX(rngSM_pass,MATCH($E547,rngSM_cat,0)),""))</f>
        <v/>
      </c>
      <c r="I547" s="16" t="n"/>
      <c r="J547" s="16" t="n"/>
      <c r="K547" s="16" t="n"/>
      <c r="L547" s="18" t="n"/>
      <c r="M547" s="16" t="n"/>
      <c r="N547" s="17">
        <f>IF($C547="","",MAX(_xlfn.MAXIFS(nrSK_Att,nrSK_PID,$D547,nrSK_Cat,$E547,nrSK_Res,"Pass"),_xlfn.MAXIFS(nrSK_Att,nrSK_PID,$D547,nrSK_Cat,$E547,nrSK_Res,"Fail")))</f>
        <v/>
      </c>
      <c r="O547" s="17">
        <f>IF($C547="","",IF(AND(MAX(_xlfn.MAXIFS(nrSK_Att,nrSK_PID,$D547,nrSK_Cat,$E547,nrSK_Res,"Pass"),_xlfn.MAXIFS(nrSK_Att,nrSK_PID,$D547,nrSK_Cat,$E547,nrSK_Res,"Fail"))&gt;0,N($I547)&lt;MAX(_xlfn.MAXIFS(nrSK_Att,nrSK_PID,$D547,nrSK_Cat,$E547,nrSK_Res,"Pass"),_xlfn.MAXIFS(nrSK_Att,nrSK_PID,$D547,nrSK_Cat,$E547,nrSK_Res,"Fail"))),"(superseded)",IF(OR($J547="",$J547="Pending"),"Pending",IF($J547="Pass","Qualified",IF(AND($J547="Fail",$N547&gt;=$F547),"FAILED OUT","Needs Remediation")))))</f>
        <v/>
      </c>
      <c r="P547" s="17">
        <f>IF($C547="","",IF($O547="FAILED OUT","Yes","No"))</f>
        <v/>
      </c>
      <c r="Q547" s="16" t="n"/>
      <c r="R547" s="16" t="n"/>
      <c r="S547" s="17">
        <f>IF($C547="","",IF(AND($K547&lt;&gt;"",NOT(ISNUMBER($K547))),"SCORE NOT A NUMBER",IF(AND(ISNUMBER($K547),OR($K547&lt;0,$K547&gt;100)),"SCORE OUT OF RANGE - this score counts toward nothing",IF(AND($G547="Score",$K547="",$J547&lt;&gt;"",$J547&lt;&gt;"Pending"),"RESULT WITHOUT A SCORE",IF(AND($G547="Pass/Fail",$K547&lt;&gt;""),"SCORE ON A PASS-FAIL CATEGORY - it is ignored",IF(AND($E547="Firearms",$J547&lt;&gt;"",$J547&lt;&gt;"Pending",$R547=""),"FIREARMS ROW WITH NO COURSE OF FIRE","OK"))))))</f>
        <v/>
      </c>
    </row>
    <row r="548">
      <c r="B548" s="17">
        <f>IF($C548="","",$D548&amp;"-"&amp;$E548&amp;"-"&amp;$I548)</f>
        <v/>
      </c>
      <c r="C548" s="16" t="n"/>
      <c r="D548" s="17">
        <f>IF($C548="","",IFERROR(INDEX(rngCadetPIDs,MATCH($C548,rngCadetNames,0)),"?"))</f>
        <v/>
      </c>
      <c r="E548" s="16" t="n"/>
      <c r="F548" s="17">
        <f>IF($E548="","",IFERROR(INDEX(rngSM_max,MATCH($E548,rngSM_cat,0)),""))</f>
        <v/>
      </c>
      <c r="G548" s="17">
        <f>IF($E548="","",IFERROR(INDEX(rngSM_mode,MATCH($E548,rngSM_cat,0)),""))</f>
        <v/>
      </c>
      <c r="H548" s="17">
        <f>IF($E548="","",IFERROR(INDEX(rngSM_pass,MATCH($E548,rngSM_cat,0)),""))</f>
        <v/>
      </c>
      <c r="I548" s="16" t="n"/>
      <c r="J548" s="16" t="n"/>
      <c r="K548" s="16" t="n"/>
      <c r="L548" s="18" t="n"/>
      <c r="M548" s="16" t="n"/>
      <c r="N548" s="17">
        <f>IF($C548="","",MAX(_xlfn.MAXIFS(nrSK_Att,nrSK_PID,$D548,nrSK_Cat,$E548,nrSK_Res,"Pass"),_xlfn.MAXIFS(nrSK_Att,nrSK_PID,$D548,nrSK_Cat,$E548,nrSK_Res,"Fail")))</f>
        <v/>
      </c>
      <c r="O548" s="17">
        <f>IF($C548="","",IF(AND(MAX(_xlfn.MAXIFS(nrSK_Att,nrSK_PID,$D548,nrSK_Cat,$E548,nrSK_Res,"Pass"),_xlfn.MAXIFS(nrSK_Att,nrSK_PID,$D548,nrSK_Cat,$E548,nrSK_Res,"Fail"))&gt;0,N($I548)&lt;MAX(_xlfn.MAXIFS(nrSK_Att,nrSK_PID,$D548,nrSK_Cat,$E548,nrSK_Res,"Pass"),_xlfn.MAXIFS(nrSK_Att,nrSK_PID,$D548,nrSK_Cat,$E548,nrSK_Res,"Fail"))),"(superseded)",IF(OR($J548="",$J548="Pending"),"Pending",IF($J548="Pass","Qualified",IF(AND($J548="Fail",$N548&gt;=$F548),"FAILED OUT","Needs Remediation")))))</f>
        <v/>
      </c>
      <c r="P548" s="17">
        <f>IF($C548="","",IF($O548="FAILED OUT","Yes","No"))</f>
        <v/>
      </c>
      <c r="Q548" s="16" t="n"/>
      <c r="R548" s="16" t="n"/>
      <c r="S548" s="17">
        <f>IF($C548="","",IF(AND($K548&lt;&gt;"",NOT(ISNUMBER($K548))),"SCORE NOT A NUMBER",IF(AND(ISNUMBER($K548),OR($K548&lt;0,$K548&gt;100)),"SCORE OUT OF RANGE - this score counts toward nothing",IF(AND($G548="Score",$K548="",$J548&lt;&gt;"",$J548&lt;&gt;"Pending"),"RESULT WITHOUT A SCORE",IF(AND($G548="Pass/Fail",$K548&lt;&gt;""),"SCORE ON A PASS-FAIL CATEGORY - it is ignored",IF(AND($E548="Firearms",$J548&lt;&gt;"",$J548&lt;&gt;"Pending",$R548=""),"FIREARMS ROW WITH NO COURSE OF FIRE","OK"))))))</f>
        <v/>
      </c>
    </row>
    <row r="549">
      <c r="B549" s="17">
        <f>IF($C549="","",$D549&amp;"-"&amp;$E549&amp;"-"&amp;$I549)</f>
        <v/>
      </c>
      <c r="C549" s="16" t="n"/>
      <c r="D549" s="17">
        <f>IF($C549="","",IFERROR(INDEX(rngCadetPIDs,MATCH($C549,rngCadetNames,0)),"?"))</f>
        <v/>
      </c>
      <c r="E549" s="16" t="n"/>
      <c r="F549" s="17">
        <f>IF($E549="","",IFERROR(INDEX(rngSM_max,MATCH($E549,rngSM_cat,0)),""))</f>
        <v/>
      </c>
      <c r="G549" s="17">
        <f>IF($E549="","",IFERROR(INDEX(rngSM_mode,MATCH($E549,rngSM_cat,0)),""))</f>
        <v/>
      </c>
      <c r="H549" s="17">
        <f>IF($E549="","",IFERROR(INDEX(rngSM_pass,MATCH($E549,rngSM_cat,0)),""))</f>
        <v/>
      </c>
      <c r="I549" s="16" t="n"/>
      <c r="J549" s="16" t="n"/>
      <c r="K549" s="16" t="n"/>
      <c r="L549" s="18" t="n"/>
      <c r="M549" s="16" t="n"/>
      <c r="N549" s="17">
        <f>IF($C549="","",MAX(_xlfn.MAXIFS(nrSK_Att,nrSK_PID,$D549,nrSK_Cat,$E549,nrSK_Res,"Pass"),_xlfn.MAXIFS(nrSK_Att,nrSK_PID,$D549,nrSK_Cat,$E549,nrSK_Res,"Fail")))</f>
        <v/>
      </c>
      <c r="O549" s="17">
        <f>IF($C549="","",IF(AND(MAX(_xlfn.MAXIFS(nrSK_Att,nrSK_PID,$D549,nrSK_Cat,$E549,nrSK_Res,"Pass"),_xlfn.MAXIFS(nrSK_Att,nrSK_PID,$D549,nrSK_Cat,$E549,nrSK_Res,"Fail"))&gt;0,N($I549)&lt;MAX(_xlfn.MAXIFS(nrSK_Att,nrSK_PID,$D549,nrSK_Cat,$E549,nrSK_Res,"Pass"),_xlfn.MAXIFS(nrSK_Att,nrSK_PID,$D549,nrSK_Cat,$E549,nrSK_Res,"Fail"))),"(superseded)",IF(OR($J549="",$J549="Pending"),"Pending",IF($J549="Pass","Qualified",IF(AND($J549="Fail",$N549&gt;=$F549),"FAILED OUT","Needs Remediation")))))</f>
        <v/>
      </c>
      <c r="P549" s="17">
        <f>IF($C549="","",IF($O549="FAILED OUT","Yes","No"))</f>
        <v/>
      </c>
      <c r="Q549" s="16" t="n"/>
      <c r="R549" s="16" t="n"/>
      <c r="S549" s="17">
        <f>IF($C549="","",IF(AND($K549&lt;&gt;"",NOT(ISNUMBER($K549))),"SCORE NOT A NUMBER",IF(AND(ISNUMBER($K549),OR($K549&lt;0,$K549&gt;100)),"SCORE OUT OF RANGE - this score counts toward nothing",IF(AND($G549="Score",$K549="",$J549&lt;&gt;"",$J549&lt;&gt;"Pending"),"RESULT WITHOUT A SCORE",IF(AND($G549="Pass/Fail",$K549&lt;&gt;""),"SCORE ON A PASS-FAIL CATEGORY - it is ignored",IF(AND($E549="Firearms",$J549&lt;&gt;"",$J549&lt;&gt;"Pending",$R549=""),"FIREARMS ROW WITH NO COURSE OF FIRE","OK"))))))</f>
        <v/>
      </c>
    </row>
    <row r="550">
      <c r="B550" s="17">
        <f>IF($C550="","",$D550&amp;"-"&amp;$E550&amp;"-"&amp;$I550)</f>
        <v/>
      </c>
      <c r="C550" s="16" t="n"/>
      <c r="D550" s="17">
        <f>IF($C550="","",IFERROR(INDEX(rngCadetPIDs,MATCH($C550,rngCadetNames,0)),"?"))</f>
        <v/>
      </c>
      <c r="E550" s="16" t="n"/>
      <c r="F550" s="17">
        <f>IF($E550="","",IFERROR(INDEX(rngSM_max,MATCH($E550,rngSM_cat,0)),""))</f>
        <v/>
      </c>
      <c r="G550" s="17">
        <f>IF($E550="","",IFERROR(INDEX(rngSM_mode,MATCH($E550,rngSM_cat,0)),""))</f>
        <v/>
      </c>
      <c r="H550" s="17">
        <f>IF($E550="","",IFERROR(INDEX(rngSM_pass,MATCH($E550,rngSM_cat,0)),""))</f>
        <v/>
      </c>
      <c r="I550" s="16" t="n"/>
      <c r="J550" s="16" t="n"/>
      <c r="K550" s="16" t="n"/>
      <c r="L550" s="18" t="n"/>
      <c r="M550" s="16" t="n"/>
      <c r="N550" s="17">
        <f>IF($C550="","",MAX(_xlfn.MAXIFS(nrSK_Att,nrSK_PID,$D550,nrSK_Cat,$E550,nrSK_Res,"Pass"),_xlfn.MAXIFS(nrSK_Att,nrSK_PID,$D550,nrSK_Cat,$E550,nrSK_Res,"Fail")))</f>
        <v/>
      </c>
      <c r="O550" s="17">
        <f>IF($C550="","",IF(AND(MAX(_xlfn.MAXIFS(nrSK_Att,nrSK_PID,$D550,nrSK_Cat,$E550,nrSK_Res,"Pass"),_xlfn.MAXIFS(nrSK_Att,nrSK_PID,$D550,nrSK_Cat,$E550,nrSK_Res,"Fail"))&gt;0,N($I550)&lt;MAX(_xlfn.MAXIFS(nrSK_Att,nrSK_PID,$D550,nrSK_Cat,$E550,nrSK_Res,"Pass"),_xlfn.MAXIFS(nrSK_Att,nrSK_PID,$D550,nrSK_Cat,$E550,nrSK_Res,"Fail"))),"(superseded)",IF(OR($J550="",$J550="Pending"),"Pending",IF($J550="Pass","Qualified",IF(AND($J550="Fail",$N550&gt;=$F550),"FAILED OUT","Needs Remediation")))))</f>
        <v/>
      </c>
      <c r="P550" s="17">
        <f>IF($C550="","",IF($O550="FAILED OUT","Yes","No"))</f>
        <v/>
      </c>
      <c r="Q550" s="16" t="n"/>
      <c r="R550" s="16" t="n"/>
      <c r="S550" s="17">
        <f>IF($C550="","",IF(AND($K550&lt;&gt;"",NOT(ISNUMBER($K550))),"SCORE NOT A NUMBER",IF(AND(ISNUMBER($K550),OR($K550&lt;0,$K550&gt;100)),"SCORE OUT OF RANGE - this score counts toward nothing",IF(AND($G550="Score",$K550="",$J550&lt;&gt;"",$J550&lt;&gt;"Pending"),"RESULT WITHOUT A SCORE",IF(AND($G550="Pass/Fail",$K550&lt;&gt;""),"SCORE ON A PASS-FAIL CATEGORY - it is ignored",IF(AND($E550="Firearms",$J550&lt;&gt;"",$J550&lt;&gt;"Pending",$R550=""),"FIREARMS ROW WITH NO COURSE OF FIRE","OK"))))))</f>
        <v/>
      </c>
    </row>
    <row r="551">
      <c r="B551" s="17">
        <f>IF($C551="","",$D551&amp;"-"&amp;$E551&amp;"-"&amp;$I551)</f>
        <v/>
      </c>
      <c r="C551" s="16" t="n"/>
      <c r="D551" s="17">
        <f>IF($C551="","",IFERROR(INDEX(rngCadetPIDs,MATCH($C551,rngCadetNames,0)),"?"))</f>
        <v/>
      </c>
      <c r="E551" s="16" t="n"/>
      <c r="F551" s="17">
        <f>IF($E551="","",IFERROR(INDEX(rngSM_max,MATCH($E551,rngSM_cat,0)),""))</f>
        <v/>
      </c>
      <c r="G551" s="17">
        <f>IF($E551="","",IFERROR(INDEX(rngSM_mode,MATCH($E551,rngSM_cat,0)),""))</f>
        <v/>
      </c>
      <c r="H551" s="17">
        <f>IF($E551="","",IFERROR(INDEX(rngSM_pass,MATCH($E551,rngSM_cat,0)),""))</f>
        <v/>
      </c>
      <c r="I551" s="16" t="n"/>
      <c r="J551" s="16" t="n"/>
      <c r="K551" s="16" t="n"/>
      <c r="L551" s="18" t="n"/>
      <c r="M551" s="16" t="n"/>
      <c r="N551" s="17">
        <f>IF($C551="","",MAX(_xlfn.MAXIFS(nrSK_Att,nrSK_PID,$D551,nrSK_Cat,$E551,nrSK_Res,"Pass"),_xlfn.MAXIFS(nrSK_Att,nrSK_PID,$D551,nrSK_Cat,$E551,nrSK_Res,"Fail")))</f>
        <v/>
      </c>
      <c r="O551" s="17">
        <f>IF($C551="","",IF(AND(MAX(_xlfn.MAXIFS(nrSK_Att,nrSK_PID,$D551,nrSK_Cat,$E551,nrSK_Res,"Pass"),_xlfn.MAXIFS(nrSK_Att,nrSK_PID,$D551,nrSK_Cat,$E551,nrSK_Res,"Fail"))&gt;0,N($I551)&lt;MAX(_xlfn.MAXIFS(nrSK_Att,nrSK_PID,$D551,nrSK_Cat,$E551,nrSK_Res,"Pass"),_xlfn.MAXIFS(nrSK_Att,nrSK_PID,$D551,nrSK_Cat,$E551,nrSK_Res,"Fail"))),"(superseded)",IF(OR($J551="",$J551="Pending"),"Pending",IF($J551="Pass","Qualified",IF(AND($J551="Fail",$N551&gt;=$F551),"FAILED OUT","Needs Remediation")))))</f>
        <v/>
      </c>
      <c r="P551" s="17">
        <f>IF($C551="","",IF($O551="FAILED OUT","Yes","No"))</f>
        <v/>
      </c>
      <c r="Q551" s="16" t="n"/>
      <c r="R551" s="16" t="n"/>
      <c r="S551" s="17">
        <f>IF($C551="","",IF(AND($K551&lt;&gt;"",NOT(ISNUMBER($K551))),"SCORE NOT A NUMBER",IF(AND(ISNUMBER($K551),OR($K551&lt;0,$K551&gt;100)),"SCORE OUT OF RANGE - this score counts toward nothing",IF(AND($G551="Score",$K551="",$J551&lt;&gt;"",$J551&lt;&gt;"Pending"),"RESULT WITHOUT A SCORE",IF(AND($G551="Pass/Fail",$K551&lt;&gt;""),"SCORE ON A PASS-FAIL CATEGORY - it is ignored",IF(AND($E551="Firearms",$J551&lt;&gt;"",$J551&lt;&gt;"Pending",$R551=""),"FIREARMS ROW WITH NO COURSE OF FIRE","OK"))))))</f>
        <v/>
      </c>
    </row>
    <row r="552">
      <c r="B552" s="17">
        <f>IF($C552="","",$D552&amp;"-"&amp;$E552&amp;"-"&amp;$I552)</f>
        <v/>
      </c>
      <c r="C552" s="16" t="n"/>
      <c r="D552" s="17">
        <f>IF($C552="","",IFERROR(INDEX(rngCadetPIDs,MATCH($C552,rngCadetNames,0)),"?"))</f>
        <v/>
      </c>
      <c r="E552" s="16" t="n"/>
      <c r="F552" s="17">
        <f>IF($E552="","",IFERROR(INDEX(rngSM_max,MATCH($E552,rngSM_cat,0)),""))</f>
        <v/>
      </c>
      <c r="G552" s="17">
        <f>IF($E552="","",IFERROR(INDEX(rngSM_mode,MATCH($E552,rngSM_cat,0)),""))</f>
        <v/>
      </c>
      <c r="H552" s="17">
        <f>IF($E552="","",IFERROR(INDEX(rngSM_pass,MATCH($E552,rngSM_cat,0)),""))</f>
        <v/>
      </c>
      <c r="I552" s="16" t="n"/>
      <c r="J552" s="16" t="n"/>
      <c r="K552" s="16" t="n"/>
      <c r="L552" s="18" t="n"/>
      <c r="M552" s="16" t="n"/>
      <c r="N552" s="17">
        <f>IF($C552="","",MAX(_xlfn.MAXIFS(nrSK_Att,nrSK_PID,$D552,nrSK_Cat,$E552,nrSK_Res,"Pass"),_xlfn.MAXIFS(nrSK_Att,nrSK_PID,$D552,nrSK_Cat,$E552,nrSK_Res,"Fail")))</f>
        <v/>
      </c>
      <c r="O552" s="17">
        <f>IF($C552="","",IF(AND(MAX(_xlfn.MAXIFS(nrSK_Att,nrSK_PID,$D552,nrSK_Cat,$E552,nrSK_Res,"Pass"),_xlfn.MAXIFS(nrSK_Att,nrSK_PID,$D552,nrSK_Cat,$E552,nrSK_Res,"Fail"))&gt;0,N($I552)&lt;MAX(_xlfn.MAXIFS(nrSK_Att,nrSK_PID,$D552,nrSK_Cat,$E552,nrSK_Res,"Pass"),_xlfn.MAXIFS(nrSK_Att,nrSK_PID,$D552,nrSK_Cat,$E552,nrSK_Res,"Fail"))),"(superseded)",IF(OR($J552="",$J552="Pending"),"Pending",IF($J552="Pass","Qualified",IF(AND($J552="Fail",$N552&gt;=$F552),"FAILED OUT","Needs Remediation")))))</f>
        <v/>
      </c>
      <c r="P552" s="17">
        <f>IF($C552="","",IF($O552="FAILED OUT","Yes","No"))</f>
        <v/>
      </c>
      <c r="Q552" s="16" t="n"/>
      <c r="R552" s="16" t="n"/>
      <c r="S552" s="17">
        <f>IF($C552="","",IF(AND($K552&lt;&gt;"",NOT(ISNUMBER($K552))),"SCORE NOT A NUMBER",IF(AND(ISNUMBER($K552),OR($K552&lt;0,$K552&gt;100)),"SCORE OUT OF RANGE - this score counts toward nothing",IF(AND($G552="Score",$K552="",$J552&lt;&gt;"",$J552&lt;&gt;"Pending"),"RESULT WITHOUT A SCORE",IF(AND($G552="Pass/Fail",$K552&lt;&gt;""),"SCORE ON A PASS-FAIL CATEGORY - it is ignored",IF(AND($E552="Firearms",$J552&lt;&gt;"",$J552&lt;&gt;"Pending",$R552=""),"FIREARMS ROW WITH NO COURSE OF FIRE","OK"))))))</f>
        <v/>
      </c>
    </row>
    <row r="553">
      <c r="B553" s="17">
        <f>IF($C553="","",$D553&amp;"-"&amp;$E553&amp;"-"&amp;$I553)</f>
        <v/>
      </c>
      <c r="C553" s="16" t="n"/>
      <c r="D553" s="17">
        <f>IF($C553="","",IFERROR(INDEX(rngCadetPIDs,MATCH($C553,rngCadetNames,0)),"?"))</f>
        <v/>
      </c>
      <c r="E553" s="16" t="n"/>
      <c r="F553" s="17">
        <f>IF($E553="","",IFERROR(INDEX(rngSM_max,MATCH($E553,rngSM_cat,0)),""))</f>
        <v/>
      </c>
      <c r="G553" s="17">
        <f>IF($E553="","",IFERROR(INDEX(rngSM_mode,MATCH($E553,rngSM_cat,0)),""))</f>
        <v/>
      </c>
      <c r="H553" s="17">
        <f>IF($E553="","",IFERROR(INDEX(rngSM_pass,MATCH($E553,rngSM_cat,0)),""))</f>
        <v/>
      </c>
      <c r="I553" s="16" t="n"/>
      <c r="J553" s="16" t="n"/>
      <c r="K553" s="16" t="n"/>
      <c r="L553" s="18" t="n"/>
      <c r="M553" s="16" t="n"/>
      <c r="N553" s="17">
        <f>IF($C553="","",MAX(_xlfn.MAXIFS(nrSK_Att,nrSK_PID,$D553,nrSK_Cat,$E553,nrSK_Res,"Pass"),_xlfn.MAXIFS(nrSK_Att,nrSK_PID,$D553,nrSK_Cat,$E553,nrSK_Res,"Fail")))</f>
        <v/>
      </c>
      <c r="O553" s="17">
        <f>IF($C553="","",IF(AND(MAX(_xlfn.MAXIFS(nrSK_Att,nrSK_PID,$D553,nrSK_Cat,$E553,nrSK_Res,"Pass"),_xlfn.MAXIFS(nrSK_Att,nrSK_PID,$D553,nrSK_Cat,$E553,nrSK_Res,"Fail"))&gt;0,N($I553)&lt;MAX(_xlfn.MAXIFS(nrSK_Att,nrSK_PID,$D553,nrSK_Cat,$E553,nrSK_Res,"Pass"),_xlfn.MAXIFS(nrSK_Att,nrSK_PID,$D553,nrSK_Cat,$E553,nrSK_Res,"Fail"))),"(superseded)",IF(OR($J553="",$J553="Pending"),"Pending",IF($J553="Pass","Qualified",IF(AND($J553="Fail",$N553&gt;=$F553),"FAILED OUT","Needs Remediation")))))</f>
        <v/>
      </c>
      <c r="P553" s="17">
        <f>IF($C553="","",IF($O553="FAILED OUT","Yes","No"))</f>
        <v/>
      </c>
      <c r="Q553" s="16" t="n"/>
      <c r="R553" s="16" t="n"/>
      <c r="S553" s="17">
        <f>IF($C553="","",IF(AND($K553&lt;&gt;"",NOT(ISNUMBER($K553))),"SCORE NOT A NUMBER",IF(AND(ISNUMBER($K553),OR($K553&lt;0,$K553&gt;100)),"SCORE OUT OF RANGE - this score counts toward nothing",IF(AND($G553="Score",$K553="",$J553&lt;&gt;"",$J553&lt;&gt;"Pending"),"RESULT WITHOUT A SCORE",IF(AND($G553="Pass/Fail",$K553&lt;&gt;""),"SCORE ON A PASS-FAIL CATEGORY - it is ignored",IF(AND($E553="Firearms",$J553&lt;&gt;"",$J553&lt;&gt;"Pending",$R553=""),"FIREARMS ROW WITH NO COURSE OF FIRE","OK"))))))</f>
        <v/>
      </c>
    </row>
    <row r="554">
      <c r="B554" s="17">
        <f>IF($C554="","",$D554&amp;"-"&amp;$E554&amp;"-"&amp;$I554)</f>
        <v/>
      </c>
      <c r="C554" s="16" t="n"/>
      <c r="D554" s="17">
        <f>IF($C554="","",IFERROR(INDEX(rngCadetPIDs,MATCH($C554,rngCadetNames,0)),"?"))</f>
        <v/>
      </c>
      <c r="E554" s="16" t="n"/>
      <c r="F554" s="17">
        <f>IF($E554="","",IFERROR(INDEX(rngSM_max,MATCH($E554,rngSM_cat,0)),""))</f>
        <v/>
      </c>
      <c r="G554" s="17">
        <f>IF($E554="","",IFERROR(INDEX(rngSM_mode,MATCH($E554,rngSM_cat,0)),""))</f>
        <v/>
      </c>
      <c r="H554" s="17">
        <f>IF($E554="","",IFERROR(INDEX(rngSM_pass,MATCH($E554,rngSM_cat,0)),""))</f>
        <v/>
      </c>
      <c r="I554" s="16" t="n"/>
      <c r="J554" s="16" t="n"/>
      <c r="K554" s="16" t="n"/>
      <c r="L554" s="18" t="n"/>
      <c r="M554" s="16" t="n"/>
      <c r="N554" s="17">
        <f>IF($C554="","",MAX(_xlfn.MAXIFS(nrSK_Att,nrSK_PID,$D554,nrSK_Cat,$E554,nrSK_Res,"Pass"),_xlfn.MAXIFS(nrSK_Att,nrSK_PID,$D554,nrSK_Cat,$E554,nrSK_Res,"Fail")))</f>
        <v/>
      </c>
      <c r="O554" s="17">
        <f>IF($C554="","",IF(AND(MAX(_xlfn.MAXIFS(nrSK_Att,nrSK_PID,$D554,nrSK_Cat,$E554,nrSK_Res,"Pass"),_xlfn.MAXIFS(nrSK_Att,nrSK_PID,$D554,nrSK_Cat,$E554,nrSK_Res,"Fail"))&gt;0,N($I554)&lt;MAX(_xlfn.MAXIFS(nrSK_Att,nrSK_PID,$D554,nrSK_Cat,$E554,nrSK_Res,"Pass"),_xlfn.MAXIFS(nrSK_Att,nrSK_PID,$D554,nrSK_Cat,$E554,nrSK_Res,"Fail"))),"(superseded)",IF(OR($J554="",$J554="Pending"),"Pending",IF($J554="Pass","Qualified",IF(AND($J554="Fail",$N554&gt;=$F554),"FAILED OUT","Needs Remediation")))))</f>
        <v/>
      </c>
      <c r="P554" s="17">
        <f>IF($C554="","",IF($O554="FAILED OUT","Yes","No"))</f>
        <v/>
      </c>
      <c r="Q554" s="16" t="n"/>
      <c r="R554" s="16" t="n"/>
      <c r="S554" s="17">
        <f>IF($C554="","",IF(AND($K554&lt;&gt;"",NOT(ISNUMBER($K554))),"SCORE NOT A NUMBER",IF(AND(ISNUMBER($K554),OR($K554&lt;0,$K554&gt;100)),"SCORE OUT OF RANGE - this score counts toward nothing",IF(AND($G554="Score",$K554="",$J554&lt;&gt;"",$J554&lt;&gt;"Pending"),"RESULT WITHOUT A SCORE",IF(AND($G554="Pass/Fail",$K554&lt;&gt;""),"SCORE ON A PASS-FAIL CATEGORY - it is ignored",IF(AND($E554="Firearms",$J554&lt;&gt;"",$J554&lt;&gt;"Pending",$R554=""),"FIREARMS ROW WITH NO COURSE OF FIRE","OK"))))))</f>
        <v/>
      </c>
    </row>
    <row r="555">
      <c r="B555" s="17">
        <f>IF($C555="","",$D555&amp;"-"&amp;$E555&amp;"-"&amp;$I555)</f>
        <v/>
      </c>
      <c r="C555" s="16" t="n"/>
      <c r="D555" s="17">
        <f>IF($C555="","",IFERROR(INDEX(rngCadetPIDs,MATCH($C555,rngCadetNames,0)),"?"))</f>
        <v/>
      </c>
      <c r="E555" s="16" t="n"/>
      <c r="F555" s="17">
        <f>IF($E555="","",IFERROR(INDEX(rngSM_max,MATCH($E555,rngSM_cat,0)),""))</f>
        <v/>
      </c>
      <c r="G555" s="17">
        <f>IF($E555="","",IFERROR(INDEX(rngSM_mode,MATCH($E555,rngSM_cat,0)),""))</f>
        <v/>
      </c>
      <c r="H555" s="17">
        <f>IF($E555="","",IFERROR(INDEX(rngSM_pass,MATCH($E555,rngSM_cat,0)),""))</f>
        <v/>
      </c>
      <c r="I555" s="16" t="n"/>
      <c r="J555" s="16" t="n"/>
      <c r="K555" s="16" t="n"/>
      <c r="L555" s="18" t="n"/>
      <c r="M555" s="16" t="n"/>
      <c r="N555" s="17">
        <f>IF($C555="","",MAX(_xlfn.MAXIFS(nrSK_Att,nrSK_PID,$D555,nrSK_Cat,$E555,nrSK_Res,"Pass"),_xlfn.MAXIFS(nrSK_Att,nrSK_PID,$D555,nrSK_Cat,$E555,nrSK_Res,"Fail")))</f>
        <v/>
      </c>
      <c r="O555" s="17">
        <f>IF($C555="","",IF(AND(MAX(_xlfn.MAXIFS(nrSK_Att,nrSK_PID,$D555,nrSK_Cat,$E555,nrSK_Res,"Pass"),_xlfn.MAXIFS(nrSK_Att,nrSK_PID,$D555,nrSK_Cat,$E555,nrSK_Res,"Fail"))&gt;0,N($I555)&lt;MAX(_xlfn.MAXIFS(nrSK_Att,nrSK_PID,$D555,nrSK_Cat,$E555,nrSK_Res,"Pass"),_xlfn.MAXIFS(nrSK_Att,nrSK_PID,$D555,nrSK_Cat,$E555,nrSK_Res,"Fail"))),"(superseded)",IF(OR($J555="",$J555="Pending"),"Pending",IF($J555="Pass","Qualified",IF(AND($J555="Fail",$N555&gt;=$F555),"FAILED OUT","Needs Remediation")))))</f>
        <v/>
      </c>
      <c r="P555" s="17">
        <f>IF($C555="","",IF($O555="FAILED OUT","Yes","No"))</f>
        <v/>
      </c>
      <c r="Q555" s="16" t="n"/>
      <c r="R555" s="16" t="n"/>
      <c r="S555" s="17">
        <f>IF($C555="","",IF(AND($K555&lt;&gt;"",NOT(ISNUMBER($K555))),"SCORE NOT A NUMBER",IF(AND(ISNUMBER($K555),OR($K555&lt;0,$K555&gt;100)),"SCORE OUT OF RANGE - this score counts toward nothing",IF(AND($G555="Score",$K555="",$J555&lt;&gt;"",$J555&lt;&gt;"Pending"),"RESULT WITHOUT A SCORE",IF(AND($G555="Pass/Fail",$K555&lt;&gt;""),"SCORE ON A PASS-FAIL CATEGORY - it is ignored",IF(AND($E555="Firearms",$J555&lt;&gt;"",$J555&lt;&gt;"Pending",$R555=""),"FIREARMS ROW WITH NO COURSE OF FIRE","OK"))))))</f>
        <v/>
      </c>
    </row>
    <row r="556">
      <c r="B556" s="17">
        <f>IF($C556="","",$D556&amp;"-"&amp;$E556&amp;"-"&amp;$I556)</f>
        <v/>
      </c>
      <c r="C556" s="16" t="n"/>
      <c r="D556" s="17">
        <f>IF($C556="","",IFERROR(INDEX(rngCadetPIDs,MATCH($C556,rngCadetNames,0)),"?"))</f>
        <v/>
      </c>
      <c r="E556" s="16" t="n"/>
      <c r="F556" s="17">
        <f>IF($E556="","",IFERROR(INDEX(rngSM_max,MATCH($E556,rngSM_cat,0)),""))</f>
        <v/>
      </c>
      <c r="G556" s="17">
        <f>IF($E556="","",IFERROR(INDEX(rngSM_mode,MATCH($E556,rngSM_cat,0)),""))</f>
        <v/>
      </c>
      <c r="H556" s="17">
        <f>IF($E556="","",IFERROR(INDEX(rngSM_pass,MATCH($E556,rngSM_cat,0)),""))</f>
        <v/>
      </c>
      <c r="I556" s="16" t="n"/>
      <c r="J556" s="16" t="n"/>
      <c r="K556" s="16" t="n"/>
      <c r="L556" s="18" t="n"/>
      <c r="M556" s="16" t="n"/>
      <c r="N556" s="17">
        <f>IF($C556="","",MAX(_xlfn.MAXIFS(nrSK_Att,nrSK_PID,$D556,nrSK_Cat,$E556,nrSK_Res,"Pass"),_xlfn.MAXIFS(nrSK_Att,nrSK_PID,$D556,nrSK_Cat,$E556,nrSK_Res,"Fail")))</f>
        <v/>
      </c>
      <c r="O556" s="17">
        <f>IF($C556="","",IF(AND(MAX(_xlfn.MAXIFS(nrSK_Att,nrSK_PID,$D556,nrSK_Cat,$E556,nrSK_Res,"Pass"),_xlfn.MAXIFS(nrSK_Att,nrSK_PID,$D556,nrSK_Cat,$E556,nrSK_Res,"Fail"))&gt;0,N($I556)&lt;MAX(_xlfn.MAXIFS(nrSK_Att,nrSK_PID,$D556,nrSK_Cat,$E556,nrSK_Res,"Pass"),_xlfn.MAXIFS(nrSK_Att,nrSK_PID,$D556,nrSK_Cat,$E556,nrSK_Res,"Fail"))),"(superseded)",IF(OR($J556="",$J556="Pending"),"Pending",IF($J556="Pass","Qualified",IF(AND($J556="Fail",$N556&gt;=$F556),"FAILED OUT","Needs Remediation")))))</f>
        <v/>
      </c>
      <c r="P556" s="17">
        <f>IF($C556="","",IF($O556="FAILED OUT","Yes","No"))</f>
        <v/>
      </c>
      <c r="Q556" s="16" t="n"/>
      <c r="R556" s="16" t="n"/>
      <c r="S556" s="17">
        <f>IF($C556="","",IF(AND($K556&lt;&gt;"",NOT(ISNUMBER($K556))),"SCORE NOT A NUMBER",IF(AND(ISNUMBER($K556),OR($K556&lt;0,$K556&gt;100)),"SCORE OUT OF RANGE - this score counts toward nothing",IF(AND($G556="Score",$K556="",$J556&lt;&gt;"",$J556&lt;&gt;"Pending"),"RESULT WITHOUT A SCORE",IF(AND($G556="Pass/Fail",$K556&lt;&gt;""),"SCORE ON A PASS-FAIL CATEGORY - it is ignored",IF(AND($E556="Firearms",$J556&lt;&gt;"",$J556&lt;&gt;"Pending",$R556=""),"FIREARMS ROW WITH NO COURSE OF FIRE","OK"))))))</f>
        <v/>
      </c>
    </row>
    <row r="557">
      <c r="B557" s="17">
        <f>IF($C557="","",$D557&amp;"-"&amp;$E557&amp;"-"&amp;$I557)</f>
        <v/>
      </c>
      <c r="C557" s="16" t="n"/>
      <c r="D557" s="17">
        <f>IF($C557="","",IFERROR(INDEX(rngCadetPIDs,MATCH($C557,rngCadetNames,0)),"?"))</f>
        <v/>
      </c>
      <c r="E557" s="16" t="n"/>
      <c r="F557" s="17">
        <f>IF($E557="","",IFERROR(INDEX(rngSM_max,MATCH($E557,rngSM_cat,0)),""))</f>
        <v/>
      </c>
      <c r="G557" s="17">
        <f>IF($E557="","",IFERROR(INDEX(rngSM_mode,MATCH($E557,rngSM_cat,0)),""))</f>
        <v/>
      </c>
      <c r="H557" s="17">
        <f>IF($E557="","",IFERROR(INDEX(rngSM_pass,MATCH($E557,rngSM_cat,0)),""))</f>
        <v/>
      </c>
      <c r="I557" s="16" t="n"/>
      <c r="J557" s="16" t="n"/>
      <c r="K557" s="16" t="n"/>
      <c r="L557" s="18" t="n"/>
      <c r="M557" s="16" t="n"/>
      <c r="N557" s="17">
        <f>IF($C557="","",MAX(_xlfn.MAXIFS(nrSK_Att,nrSK_PID,$D557,nrSK_Cat,$E557,nrSK_Res,"Pass"),_xlfn.MAXIFS(nrSK_Att,nrSK_PID,$D557,nrSK_Cat,$E557,nrSK_Res,"Fail")))</f>
        <v/>
      </c>
      <c r="O557" s="17">
        <f>IF($C557="","",IF(AND(MAX(_xlfn.MAXIFS(nrSK_Att,nrSK_PID,$D557,nrSK_Cat,$E557,nrSK_Res,"Pass"),_xlfn.MAXIFS(nrSK_Att,nrSK_PID,$D557,nrSK_Cat,$E557,nrSK_Res,"Fail"))&gt;0,N($I557)&lt;MAX(_xlfn.MAXIFS(nrSK_Att,nrSK_PID,$D557,nrSK_Cat,$E557,nrSK_Res,"Pass"),_xlfn.MAXIFS(nrSK_Att,nrSK_PID,$D557,nrSK_Cat,$E557,nrSK_Res,"Fail"))),"(superseded)",IF(OR($J557="",$J557="Pending"),"Pending",IF($J557="Pass","Qualified",IF(AND($J557="Fail",$N557&gt;=$F557),"FAILED OUT","Needs Remediation")))))</f>
        <v/>
      </c>
      <c r="P557" s="17">
        <f>IF($C557="","",IF($O557="FAILED OUT","Yes","No"))</f>
        <v/>
      </c>
      <c r="Q557" s="16" t="n"/>
      <c r="R557" s="16" t="n"/>
      <c r="S557" s="17">
        <f>IF($C557="","",IF(AND($K557&lt;&gt;"",NOT(ISNUMBER($K557))),"SCORE NOT A NUMBER",IF(AND(ISNUMBER($K557),OR($K557&lt;0,$K557&gt;100)),"SCORE OUT OF RANGE - this score counts toward nothing",IF(AND($G557="Score",$K557="",$J557&lt;&gt;"",$J557&lt;&gt;"Pending"),"RESULT WITHOUT A SCORE",IF(AND($G557="Pass/Fail",$K557&lt;&gt;""),"SCORE ON A PASS-FAIL CATEGORY - it is ignored",IF(AND($E557="Firearms",$J557&lt;&gt;"",$J557&lt;&gt;"Pending",$R557=""),"FIREARMS ROW WITH NO COURSE OF FIRE","OK"))))))</f>
        <v/>
      </c>
    </row>
    <row r="558">
      <c r="B558" s="17">
        <f>IF($C558="","",$D558&amp;"-"&amp;$E558&amp;"-"&amp;$I558)</f>
        <v/>
      </c>
      <c r="C558" s="16" t="n"/>
      <c r="D558" s="17">
        <f>IF($C558="","",IFERROR(INDEX(rngCadetPIDs,MATCH($C558,rngCadetNames,0)),"?"))</f>
        <v/>
      </c>
      <c r="E558" s="16" t="n"/>
      <c r="F558" s="17">
        <f>IF($E558="","",IFERROR(INDEX(rngSM_max,MATCH($E558,rngSM_cat,0)),""))</f>
        <v/>
      </c>
      <c r="G558" s="17">
        <f>IF($E558="","",IFERROR(INDEX(rngSM_mode,MATCH($E558,rngSM_cat,0)),""))</f>
        <v/>
      </c>
      <c r="H558" s="17">
        <f>IF($E558="","",IFERROR(INDEX(rngSM_pass,MATCH($E558,rngSM_cat,0)),""))</f>
        <v/>
      </c>
      <c r="I558" s="16" t="n"/>
      <c r="J558" s="16" t="n"/>
      <c r="K558" s="16" t="n"/>
      <c r="L558" s="18" t="n"/>
      <c r="M558" s="16" t="n"/>
      <c r="N558" s="17">
        <f>IF($C558="","",MAX(_xlfn.MAXIFS(nrSK_Att,nrSK_PID,$D558,nrSK_Cat,$E558,nrSK_Res,"Pass"),_xlfn.MAXIFS(nrSK_Att,nrSK_PID,$D558,nrSK_Cat,$E558,nrSK_Res,"Fail")))</f>
        <v/>
      </c>
      <c r="O558" s="17">
        <f>IF($C558="","",IF(AND(MAX(_xlfn.MAXIFS(nrSK_Att,nrSK_PID,$D558,nrSK_Cat,$E558,nrSK_Res,"Pass"),_xlfn.MAXIFS(nrSK_Att,nrSK_PID,$D558,nrSK_Cat,$E558,nrSK_Res,"Fail"))&gt;0,N($I558)&lt;MAX(_xlfn.MAXIFS(nrSK_Att,nrSK_PID,$D558,nrSK_Cat,$E558,nrSK_Res,"Pass"),_xlfn.MAXIFS(nrSK_Att,nrSK_PID,$D558,nrSK_Cat,$E558,nrSK_Res,"Fail"))),"(superseded)",IF(OR($J558="",$J558="Pending"),"Pending",IF($J558="Pass","Qualified",IF(AND($J558="Fail",$N558&gt;=$F558),"FAILED OUT","Needs Remediation")))))</f>
        <v/>
      </c>
      <c r="P558" s="17">
        <f>IF($C558="","",IF($O558="FAILED OUT","Yes","No"))</f>
        <v/>
      </c>
      <c r="Q558" s="16" t="n"/>
      <c r="R558" s="16" t="n"/>
      <c r="S558" s="17">
        <f>IF($C558="","",IF(AND($K558&lt;&gt;"",NOT(ISNUMBER($K558))),"SCORE NOT A NUMBER",IF(AND(ISNUMBER($K558),OR($K558&lt;0,$K558&gt;100)),"SCORE OUT OF RANGE - this score counts toward nothing",IF(AND($G558="Score",$K558="",$J558&lt;&gt;"",$J558&lt;&gt;"Pending"),"RESULT WITHOUT A SCORE",IF(AND($G558="Pass/Fail",$K558&lt;&gt;""),"SCORE ON A PASS-FAIL CATEGORY - it is ignored",IF(AND($E558="Firearms",$J558&lt;&gt;"",$J558&lt;&gt;"Pending",$R558=""),"FIREARMS ROW WITH NO COURSE OF FIRE","OK"))))))</f>
        <v/>
      </c>
    </row>
    <row r="559">
      <c r="B559" s="17">
        <f>IF($C559="","",$D559&amp;"-"&amp;$E559&amp;"-"&amp;$I559)</f>
        <v/>
      </c>
      <c r="C559" s="16" t="n"/>
      <c r="D559" s="17">
        <f>IF($C559="","",IFERROR(INDEX(rngCadetPIDs,MATCH($C559,rngCadetNames,0)),"?"))</f>
        <v/>
      </c>
      <c r="E559" s="16" t="n"/>
      <c r="F559" s="17">
        <f>IF($E559="","",IFERROR(INDEX(rngSM_max,MATCH($E559,rngSM_cat,0)),""))</f>
        <v/>
      </c>
      <c r="G559" s="17">
        <f>IF($E559="","",IFERROR(INDEX(rngSM_mode,MATCH($E559,rngSM_cat,0)),""))</f>
        <v/>
      </c>
      <c r="H559" s="17">
        <f>IF($E559="","",IFERROR(INDEX(rngSM_pass,MATCH($E559,rngSM_cat,0)),""))</f>
        <v/>
      </c>
      <c r="I559" s="16" t="n"/>
      <c r="J559" s="16" t="n"/>
      <c r="K559" s="16" t="n"/>
      <c r="L559" s="18" t="n"/>
      <c r="M559" s="16" t="n"/>
      <c r="N559" s="17">
        <f>IF($C559="","",MAX(_xlfn.MAXIFS(nrSK_Att,nrSK_PID,$D559,nrSK_Cat,$E559,nrSK_Res,"Pass"),_xlfn.MAXIFS(nrSK_Att,nrSK_PID,$D559,nrSK_Cat,$E559,nrSK_Res,"Fail")))</f>
        <v/>
      </c>
      <c r="O559" s="17">
        <f>IF($C559="","",IF(AND(MAX(_xlfn.MAXIFS(nrSK_Att,nrSK_PID,$D559,nrSK_Cat,$E559,nrSK_Res,"Pass"),_xlfn.MAXIFS(nrSK_Att,nrSK_PID,$D559,nrSK_Cat,$E559,nrSK_Res,"Fail"))&gt;0,N($I559)&lt;MAX(_xlfn.MAXIFS(nrSK_Att,nrSK_PID,$D559,nrSK_Cat,$E559,nrSK_Res,"Pass"),_xlfn.MAXIFS(nrSK_Att,nrSK_PID,$D559,nrSK_Cat,$E559,nrSK_Res,"Fail"))),"(superseded)",IF(OR($J559="",$J559="Pending"),"Pending",IF($J559="Pass","Qualified",IF(AND($J559="Fail",$N559&gt;=$F559),"FAILED OUT","Needs Remediation")))))</f>
        <v/>
      </c>
      <c r="P559" s="17">
        <f>IF($C559="","",IF($O559="FAILED OUT","Yes","No"))</f>
        <v/>
      </c>
      <c r="Q559" s="16" t="n"/>
      <c r="R559" s="16" t="n"/>
      <c r="S559" s="17">
        <f>IF($C559="","",IF(AND($K559&lt;&gt;"",NOT(ISNUMBER($K559))),"SCORE NOT A NUMBER",IF(AND(ISNUMBER($K559),OR($K559&lt;0,$K559&gt;100)),"SCORE OUT OF RANGE - this score counts toward nothing",IF(AND($G559="Score",$K559="",$J559&lt;&gt;"",$J559&lt;&gt;"Pending"),"RESULT WITHOUT A SCORE",IF(AND($G559="Pass/Fail",$K559&lt;&gt;""),"SCORE ON A PASS-FAIL CATEGORY - it is ignored",IF(AND($E559="Firearms",$J559&lt;&gt;"",$J559&lt;&gt;"Pending",$R559=""),"FIREARMS ROW WITH NO COURSE OF FIRE","OK"))))))</f>
        <v/>
      </c>
    </row>
    <row r="560">
      <c r="B560" s="17">
        <f>IF($C560="","",$D560&amp;"-"&amp;$E560&amp;"-"&amp;$I560)</f>
        <v/>
      </c>
      <c r="C560" s="16" t="n"/>
      <c r="D560" s="17">
        <f>IF($C560="","",IFERROR(INDEX(rngCadetPIDs,MATCH($C560,rngCadetNames,0)),"?"))</f>
        <v/>
      </c>
      <c r="E560" s="16" t="n"/>
      <c r="F560" s="17">
        <f>IF($E560="","",IFERROR(INDEX(rngSM_max,MATCH($E560,rngSM_cat,0)),""))</f>
        <v/>
      </c>
      <c r="G560" s="17">
        <f>IF($E560="","",IFERROR(INDEX(rngSM_mode,MATCH($E560,rngSM_cat,0)),""))</f>
        <v/>
      </c>
      <c r="H560" s="17">
        <f>IF($E560="","",IFERROR(INDEX(rngSM_pass,MATCH($E560,rngSM_cat,0)),""))</f>
        <v/>
      </c>
      <c r="I560" s="16" t="n"/>
      <c r="J560" s="16" t="n"/>
      <c r="K560" s="16" t="n"/>
      <c r="L560" s="18" t="n"/>
      <c r="M560" s="16" t="n"/>
      <c r="N560" s="17">
        <f>IF($C560="","",MAX(_xlfn.MAXIFS(nrSK_Att,nrSK_PID,$D560,nrSK_Cat,$E560,nrSK_Res,"Pass"),_xlfn.MAXIFS(nrSK_Att,nrSK_PID,$D560,nrSK_Cat,$E560,nrSK_Res,"Fail")))</f>
        <v/>
      </c>
      <c r="O560" s="17">
        <f>IF($C560="","",IF(AND(MAX(_xlfn.MAXIFS(nrSK_Att,nrSK_PID,$D560,nrSK_Cat,$E560,nrSK_Res,"Pass"),_xlfn.MAXIFS(nrSK_Att,nrSK_PID,$D560,nrSK_Cat,$E560,nrSK_Res,"Fail"))&gt;0,N($I560)&lt;MAX(_xlfn.MAXIFS(nrSK_Att,nrSK_PID,$D560,nrSK_Cat,$E560,nrSK_Res,"Pass"),_xlfn.MAXIFS(nrSK_Att,nrSK_PID,$D560,nrSK_Cat,$E560,nrSK_Res,"Fail"))),"(superseded)",IF(OR($J560="",$J560="Pending"),"Pending",IF($J560="Pass","Qualified",IF(AND($J560="Fail",$N560&gt;=$F560),"FAILED OUT","Needs Remediation")))))</f>
        <v/>
      </c>
      <c r="P560" s="17">
        <f>IF($C560="","",IF($O560="FAILED OUT","Yes","No"))</f>
        <v/>
      </c>
      <c r="Q560" s="16" t="n"/>
      <c r="R560" s="16" t="n"/>
      <c r="S560" s="17">
        <f>IF($C560="","",IF(AND($K560&lt;&gt;"",NOT(ISNUMBER($K560))),"SCORE NOT A NUMBER",IF(AND(ISNUMBER($K560),OR($K560&lt;0,$K560&gt;100)),"SCORE OUT OF RANGE - this score counts toward nothing",IF(AND($G560="Score",$K560="",$J560&lt;&gt;"",$J560&lt;&gt;"Pending"),"RESULT WITHOUT A SCORE",IF(AND($G560="Pass/Fail",$K560&lt;&gt;""),"SCORE ON A PASS-FAIL CATEGORY - it is ignored",IF(AND($E560="Firearms",$J560&lt;&gt;"",$J560&lt;&gt;"Pending",$R560=""),"FIREARMS ROW WITH NO COURSE OF FIRE","OK"))))))</f>
        <v/>
      </c>
    </row>
    <row r="561">
      <c r="B561" s="17">
        <f>IF($C561="","",$D561&amp;"-"&amp;$E561&amp;"-"&amp;$I561)</f>
        <v/>
      </c>
      <c r="C561" s="16" t="n"/>
      <c r="D561" s="17">
        <f>IF($C561="","",IFERROR(INDEX(rngCadetPIDs,MATCH($C561,rngCadetNames,0)),"?"))</f>
        <v/>
      </c>
      <c r="E561" s="16" t="n"/>
      <c r="F561" s="17">
        <f>IF($E561="","",IFERROR(INDEX(rngSM_max,MATCH($E561,rngSM_cat,0)),""))</f>
        <v/>
      </c>
      <c r="G561" s="17">
        <f>IF($E561="","",IFERROR(INDEX(rngSM_mode,MATCH($E561,rngSM_cat,0)),""))</f>
        <v/>
      </c>
      <c r="H561" s="17">
        <f>IF($E561="","",IFERROR(INDEX(rngSM_pass,MATCH($E561,rngSM_cat,0)),""))</f>
        <v/>
      </c>
      <c r="I561" s="16" t="n"/>
      <c r="J561" s="16" t="n"/>
      <c r="K561" s="16" t="n"/>
      <c r="L561" s="18" t="n"/>
      <c r="M561" s="16" t="n"/>
      <c r="N561" s="17">
        <f>IF($C561="","",MAX(_xlfn.MAXIFS(nrSK_Att,nrSK_PID,$D561,nrSK_Cat,$E561,nrSK_Res,"Pass"),_xlfn.MAXIFS(nrSK_Att,nrSK_PID,$D561,nrSK_Cat,$E561,nrSK_Res,"Fail")))</f>
        <v/>
      </c>
      <c r="O561" s="17">
        <f>IF($C561="","",IF(AND(MAX(_xlfn.MAXIFS(nrSK_Att,nrSK_PID,$D561,nrSK_Cat,$E561,nrSK_Res,"Pass"),_xlfn.MAXIFS(nrSK_Att,nrSK_PID,$D561,nrSK_Cat,$E561,nrSK_Res,"Fail"))&gt;0,N($I561)&lt;MAX(_xlfn.MAXIFS(nrSK_Att,nrSK_PID,$D561,nrSK_Cat,$E561,nrSK_Res,"Pass"),_xlfn.MAXIFS(nrSK_Att,nrSK_PID,$D561,nrSK_Cat,$E561,nrSK_Res,"Fail"))),"(superseded)",IF(OR($J561="",$J561="Pending"),"Pending",IF($J561="Pass","Qualified",IF(AND($J561="Fail",$N561&gt;=$F561),"FAILED OUT","Needs Remediation")))))</f>
        <v/>
      </c>
      <c r="P561" s="17">
        <f>IF($C561="","",IF($O561="FAILED OUT","Yes","No"))</f>
        <v/>
      </c>
      <c r="Q561" s="16" t="n"/>
      <c r="R561" s="16" t="n"/>
      <c r="S561" s="17">
        <f>IF($C561="","",IF(AND($K561&lt;&gt;"",NOT(ISNUMBER($K561))),"SCORE NOT A NUMBER",IF(AND(ISNUMBER($K561),OR($K561&lt;0,$K561&gt;100)),"SCORE OUT OF RANGE - this score counts toward nothing",IF(AND($G561="Score",$K561="",$J561&lt;&gt;"",$J561&lt;&gt;"Pending"),"RESULT WITHOUT A SCORE",IF(AND($G561="Pass/Fail",$K561&lt;&gt;""),"SCORE ON A PASS-FAIL CATEGORY - it is ignored",IF(AND($E561="Firearms",$J561&lt;&gt;"",$J561&lt;&gt;"Pending",$R561=""),"FIREARMS ROW WITH NO COURSE OF FIRE","OK"))))))</f>
        <v/>
      </c>
    </row>
    <row r="562">
      <c r="B562" s="17">
        <f>IF($C562="","",$D562&amp;"-"&amp;$E562&amp;"-"&amp;$I562)</f>
        <v/>
      </c>
      <c r="C562" s="16" t="n"/>
      <c r="D562" s="17">
        <f>IF($C562="","",IFERROR(INDEX(rngCadetPIDs,MATCH($C562,rngCadetNames,0)),"?"))</f>
        <v/>
      </c>
      <c r="E562" s="16" t="n"/>
      <c r="F562" s="17">
        <f>IF($E562="","",IFERROR(INDEX(rngSM_max,MATCH($E562,rngSM_cat,0)),""))</f>
        <v/>
      </c>
      <c r="G562" s="17">
        <f>IF($E562="","",IFERROR(INDEX(rngSM_mode,MATCH($E562,rngSM_cat,0)),""))</f>
        <v/>
      </c>
      <c r="H562" s="17">
        <f>IF($E562="","",IFERROR(INDEX(rngSM_pass,MATCH($E562,rngSM_cat,0)),""))</f>
        <v/>
      </c>
      <c r="I562" s="16" t="n"/>
      <c r="J562" s="16" t="n"/>
      <c r="K562" s="16" t="n"/>
      <c r="L562" s="18" t="n"/>
      <c r="M562" s="16" t="n"/>
      <c r="N562" s="17">
        <f>IF($C562="","",MAX(_xlfn.MAXIFS(nrSK_Att,nrSK_PID,$D562,nrSK_Cat,$E562,nrSK_Res,"Pass"),_xlfn.MAXIFS(nrSK_Att,nrSK_PID,$D562,nrSK_Cat,$E562,nrSK_Res,"Fail")))</f>
        <v/>
      </c>
      <c r="O562" s="17">
        <f>IF($C562="","",IF(AND(MAX(_xlfn.MAXIFS(nrSK_Att,nrSK_PID,$D562,nrSK_Cat,$E562,nrSK_Res,"Pass"),_xlfn.MAXIFS(nrSK_Att,nrSK_PID,$D562,nrSK_Cat,$E562,nrSK_Res,"Fail"))&gt;0,N($I562)&lt;MAX(_xlfn.MAXIFS(nrSK_Att,nrSK_PID,$D562,nrSK_Cat,$E562,nrSK_Res,"Pass"),_xlfn.MAXIFS(nrSK_Att,nrSK_PID,$D562,nrSK_Cat,$E562,nrSK_Res,"Fail"))),"(superseded)",IF(OR($J562="",$J562="Pending"),"Pending",IF($J562="Pass","Qualified",IF(AND($J562="Fail",$N562&gt;=$F562),"FAILED OUT","Needs Remediation")))))</f>
        <v/>
      </c>
      <c r="P562" s="17">
        <f>IF($C562="","",IF($O562="FAILED OUT","Yes","No"))</f>
        <v/>
      </c>
      <c r="Q562" s="16" t="n"/>
      <c r="R562" s="16" t="n"/>
      <c r="S562" s="17">
        <f>IF($C562="","",IF(AND($K562&lt;&gt;"",NOT(ISNUMBER($K562))),"SCORE NOT A NUMBER",IF(AND(ISNUMBER($K562),OR($K562&lt;0,$K562&gt;100)),"SCORE OUT OF RANGE - this score counts toward nothing",IF(AND($G562="Score",$K562="",$J562&lt;&gt;"",$J562&lt;&gt;"Pending"),"RESULT WITHOUT A SCORE",IF(AND($G562="Pass/Fail",$K562&lt;&gt;""),"SCORE ON A PASS-FAIL CATEGORY - it is ignored",IF(AND($E562="Firearms",$J562&lt;&gt;"",$J562&lt;&gt;"Pending",$R562=""),"FIREARMS ROW WITH NO COURSE OF FIRE","OK"))))))</f>
        <v/>
      </c>
    </row>
    <row r="563">
      <c r="B563" s="17">
        <f>IF($C563="","",$D563&amp;"-"&amp;$E563&amp;"-"&amp;$I563)</f>
        <v/>
      </c>
      <c r="C563" s="16" t="n"/>
      <c r="D563" s="17">
        <f>IF($C563="","",IFERROR(INDEX(rngCadetPIDs,MATCH($C563,rngCadetNames,0)),"?"))</f>
        <v/>
      </c>
      <c r="E563" s="16" t="n"/>
      <c r="F563" s="17">
        <f>IF($E563="","",IFERROR(INDEX(rngSM_max,MATCH($E563,rngSM_cat,0)),""))</f>
        <v/>
      </c>
      <c r="G563" s="17">
        <f>IF($E563="","",IFERROR(INDEX(rngSM_mode,MATCH($E563,rngSM_cat,0)),""))</f>
        <v/>
      </c>
      <c r="H563" s="17">
        <f>IF($E563="","",IFERROR(INDEX(rngSM_pass,MATCH($E563,rngSM_cat,0)),""))</f>
        <v/>
      </c>
      <c r="I563" s="16" t="n"/>
      <c r="J563" s="16" t="n"/>
      <c r="K563" s="16" t="n"/>
      <c r="L563" s="18" t="n"/>
      <c r="M563" s="16" t="n"/>
      <c r="N563" s="17">
        <f>IF($C563="","",MAX(_xlfn.MAXIFS(nrSK_Att,nrSK_PID,$D563,nrSK_Cat,$E563,nrSK_Res,"Pass"),_xlfn.MAXIFS(nrSK_Att,nrSK_PID,$D563,nrSK_Cat,$E563,nrSK_Res,"Fail")))</f>
        <v/>
      </c>
      <c r="O563" s="17">
        <f>IF($C563="","",IF(AND(MAX(_xlfn.MAXIFS(nrSK_Att,nrSK_PID,$D563,nrSK_Cat,$E563,nrSK_Res,"Pass"),_xlfn.MAXIFS(nrSK_Att,nrSK_PID,$D563,nrSK_Cat,$E563,nrSK_Res,"Fail"))&gt;0,N($I563)&lt;MAX(_xlfn.MAXIFS(nrSK_Att,nrSK_PID,$D563,nrSK_Cat,$E563,nrSK_Res,"Pass"),_xlfn.MAXIFS(nrSK_Att,nrSK_PID,$D563,nrSK_Cat,$E563,nrSK_Res,"Fail"))),"(superseded)",IF(OR($J563="",$J563="Pending"),"Pending",IF($J563="Pass","Qualified",IF(AND($J563="Fail",$N563&gt;=$F563),"FAILED OUT","Needs Remediation")))))</f>
        <v/>
      </c>
      <c r="P563" s="17">
        <f>IF($C563="","",IF($O563="FAILED OUT","Yes","No"))</f>
        <v/>
      </c>
      <c r="Q563" s="16" t="n"/>
      <c r="R563" s="16" t="n"/>
      <c r="S563" s="17">
        <f>IF($C563="","",IF(AND($K563&lt;&gt;"",NOT(ISNUMBER($K563))),"SCORE NOT A NUMBER",IF(AND(ISNUMBER($K563),OR($K563&lt;0,$K563&gt;100)),"SCORE OUT OF RANGE - this score counts toward nothing",IF(AND($G563="Score",$K563="",$J563&lt;&gt;"",$J563&lt;&gt;"Pending"),"RESULT WITHOUT A SCORE",IF(AND($G563="Pass/Fail",$K563&lt;&gt;""),"SCORE ON A PASS-FAIL CATEGORY - it is ignored",IF(AND($E563="Firearms",$J563&lt;&gt;"",$J563&lt;&gt;"Pending",$R563=""),"FIREARMS ROW WITH NO COURSE OF FIRE","OK"))))))</f>
        <v/>
      </c>
    </row>
    <row r="564">
      <c r="B564" s="17">
        <f>IF($C564="","",$D564&amp;"-"&amp;$E564&amp;"-"&amp;$I564)</f>
        <v/>
      </c>
      <c r="C564" s="16" t="n"/>
      <c r="D564" s="17">
        <f>IF($C564="","",IFERROR(INDEX(rngCadetPIDs,MATCH($C564,rngCadetNames,0)),"?"))</f>
        <v/>
      </c>
      <c r="E564" s="16" t="n"/>
      <c r="F564" s="17">
        <f>IF($E564="","",IFERROR(INDEX(rngSM_max,MATCH($E564,rngSM_cat,0)),""))</f>
        <v/>
      </c>
      <c r="G564" s="17">
        <f>IF($E564="","",IFERROR(INDEX(rngSM_mode,MATCH($E564,rngSM_cat,0)),""))</f>
        <v/>
      </c>
      <c r="H564" s="17">
        <f>IF($E564="","",IFERROR(INDEX(rngSM_pass,MATCH($E564,rngSM_cat,0)),""))</f>
        <v/>
      </c>
      <c r="I564" s="16" t="n"/>
      <c r="J564" s="16" t="n"/>
      <c r="K564" s="16" t="n"/>
      <c r="L564" s="18" t="n"/>
      <c r="M564" s="16" t="n"/>
      <c r="N564" s="17">
        <f>IF($C564="","",MAX(_xlfn.MAXIFS(nrSK_Att,nrSK_PID,$D564,nrSK_Cat,$E564,nrSK_Res,"Pass"),_xlfn.MAXIFS(nrSK_Att,nrSK_PID,$D564,nrSK_Cat,$E564,nrSK_Res,"Fail")))</f>
        <v/>
      </c>
      <c r="O564" s="17">
        <f>IF($C564="","",IF(AND(MAX(_xlfn.MAXIFS(nrSK_Att,nrSK_PID,$D564,nrSK_Cat,$E564,nrSK_Res,"Pass"),_xlfn.MAXIFS(nrSK_Att,nrSK_PID,$D564,nrSK_Cat,$E564,nrSK_Res,"Fail"))&gt;0,N($I564)&lt;MAX(_xlfn.MAXIFS(nrSK_Att,nrSK_PID,$D564,nrSK_Cat,$E564,nrSK_Res,"Pass"),_xlfn.MAXIFS(nrSK_Att,nrSK_PID,$D564,nrSK_Cat,$E564,nrSK_Res,"Fail"))),"(superseded)",IF(OR($J564="",$J564="Pending"),"Pending",IF($J564="Pass","Qualified",IF(AND($J564="Fail",$N564&gt;=$F564),"FAILED OUT","Needs Remediation")))))</f>
        <v/>
      </c>
      <c r="P564" s="17">
        <f>IF($C564="","",IF($O564="FAILED OUT","Yes","No"))</f>
        <v/>
      </c>
      <c r="Q564" s="16" t="n"/>
      <c r="R564" s="16" t="n"/>
      <c r="S564" s="17">
        <f>IF($C564="","",IF(AND($K564&lt;&gt;"",NOT(ISNUMBER($K564))),"SCORE NOT A NUMBER",IF(AND(ISNUMBER($K564),OR($K564&lt;0,$K564&gt;100)),"SCORE OUT OF RANGE - this score counts toward nothing",IF(AND($G564="Score",$K564="",$J564&lt;&gt;"",$J564&lt;&gt;"Pending"),"RESULT WITHOUT A SCORE",IF(AND($G564="Pass/Fail",$K564&lt;&gt;""),"SCORE ON A PASS-FAIL CATEGORY - it is ignored",IF(AND($E564="Firearms",$J564&lt;&gt;"",$J564&lt;&gt;"Pending",$R564=""),"FIREARMS ROW WITH NO COURSE OF FIRE","OK"))))))</f>
        <v/>
      </c>
    </row>
    <row r="565">
      <c r="B565" s="17">
        <f>IF($C565="","",$D565&amp;"-"&amp;$E565&amp;"-"&amp;$I565)</f>
        <v/>
      </c>
      <c r="C565" s="16" t="n"/>
      <c r="D565" s="17">
        <f>IF($C565="","",IFERROR(INDEX(rngCadetPIDs,MATCH($C565,rngCadetNames,0)),"?"))</f>
        <v/>
      </c>
      <c r="E565" s="16" t="n"/>
      <c r="F565" s="17">
        <f>IF($E565="","",IFERROR(INDEX(rngSM_max,MATCH($E565,rngSM_cat,0)),""))</f>
        <v/>
      </c>
      <c r="G565" s="17">
        <f>IF($E565="","",IFERROR(INDEX(rngSM_mode,MATCH($E565,rngSM_cat,0)),""))</f>
        <v/>
      </c>
      <c r="H565" s="17">
        <f>IF($E565="","",IFERROR(INDEX(rngSM_pass,MATCH($E565,rngSM_cat,0)),""))</f>
        <v/>
      </c>
      <c r="I565" s="16" t="n"/>
      <c r="J565" s="16" t="n"/>
      <c r="K565" s="16" t="n"/>
      <c r="L565" s="18" t="n"/>
      <c r="M565" s="16" t="n"/>
      <c r="N565" s="17">
        <f>IF($C565="","",MAX(_xlfn.MAXIFS(nrSK_Att,nrSK_PID,$D565,nrSK_Cat,$E565,nrSK_Res,"Pass"),_xlfn.MAXIFS(nrSK_Att,nrSK_PID,$D565,nrSK_Cat,$E565,nrSK_Res,"Fail")))</f>
        <v/>
      </c>
      <c r="O565" s="17">
        <f>IF($C565="","",IF(AND(MAX(_xlfn.MAXIFS(nrSK_Att,nrSK_PID,$D565,nrSK_Cat,$E565,nrSK_Res,"Pass"),_xlfn.MAXIFS(nrSK_Att,nrSK_PID,$D565,nrSK_Cat,$E565,nrSK_Res,"Fail"))&gt;0,N($I565)&lt;MAX(_xlfn.MAXIFS(nrSK_Att,nrSK_PID,$D565,nrSK_Cat,$E565,nrSK_Res,"Pass"),_xlfn.MAXIFS(nrSK_Att,nrSK_PID,$D565,nrSK_Cat,$E565,nrSK_Res,"Fail"))),"(superseded)",IF(OR($J565="",$J565="Pending"),"Pending",IF($J565="Pass","Qualified",IF(AND($J565="Fail",$N565&gt;=$F565),"FAILED OUT","Needs Remediation")))))</f>
        <v/>
      </c>
      <c r="P565" s="17">
        <f>IF($C565="","",IF($O565="FAILED OUT","Yes","No"))</f>
        <v/>
      </c>
      <c r="Q565" s="16" t="n"/>
      <c r="R565" s="16" t="n"/>
      <c r="S565" s="17">
        <f>IF($C565="","",IF(AND($K565&lt;&gt;"",NOT(ISNUMBER($K565))),"SCORE NOT A NUMBER",IF(AND(ISNUMBER($K565),OR($K565&lt;0,$K565&gt;100)),"SCORE OUT OF RANGE - this score counts toward nothing",IF(AND($G565="Score",$K565="",$J565&lt;&gt;"",$J565&lt;&gt;"Pending"),"RESULT WITHOUT A SCORE",IF(AND($G565="Pass/Fail",$K565&lt;&gt;""),"SCORE ON A PASS-FAIL CATEGORY - it is ignored",IF(AND($E565="Firearms",$J565&lt;&gt;"",$J565&lt;&gt;"Pending",$R565=""),"FIREARMS ROW WITH NO COURSE OF FIRE","OK"))))))</f>
        <v/>
      </c>
    </row>
    <row r="566">
      <c r="B566" s="17">
        <f>IF($C566="","",$D566&amp;"-"&amp;$E566&amp;"-"&amp;$I566)</f>
        <v/>
      </c>
      <c r="C566" s="16" t="n"/>
      <c r="D566" s="17">
        <f>IF($C566="","",IFERROR(INDEX(rngCadetPIDs,MATCH($C566,rngCadetNames,0)),"?"))</f>
        <v/>
      </c>
      <c r="E566" s="16" t="n"/>
      <c r="F566" s="17">
        <f>IF($E566="","",IFERROR(INDEX(rngSM_max,MATCH($E566,rngSM_cat,0)),""))</f>
        <v/>
      </c>
      <c r="G566" s="17">
        <f>IF($E566="","",IFERROR(INDEX(rngSM_mode,MATCH($E566,rngSM_cat,0)),""))</f>
        <v/>
      </c>
      <c r="H566" s="17">
        <f>IF($E566="","",IFERROR(INDEX(rngSM_pass,MATCH($E566,rngSM_cat,0)),""))</f>
        <v/>
      </c>
      <c r="I566" s="16" t="n"/>
      <c r="J566" s="16" t="n"/>
      <c r="K566" s="16" t="n"/>
      <c r="L566" s="18" t="n"/>
      <c r="M566" s="16" t="n"/>
      <c r="N566" s="17">
        <f>IF($C566="","",MAX(_xlfn.MAXIFS(nrSK_Att,nrSK_PID,$D566,nrSK_Cat,$E566,nrSK_Res,"Pass"),_xlfn.MAXIFS(nrSK_Att,nrSK_PID,$D566,nrSK_Cat,$E566,nrSK_Res,"Fail")))</f>
        <v/>
      </c>
      <c r="O566" s="17">
        <f>IF($C566="","",IF(AND(MAX(_xlfn.MAXIFS(nrSK_Att,nrSK_PID,$D566,nrSK_Cat,$E566,nrSK_Res,"Pass"),_xlfn.MAXIFS(nrSK_Att,nrSK_PID,$D566,nrSK_Cat,$E566,nrSK_Res,"Fail"))&gt;0,N($I566)&lt;MAX(_xlfn.MAXIFS(nrSK_Att,nrSK_PID,$D566,nrSK_Cat,$E566,nrSK_Res,"Pass"),_xlfn.MAXIFS(nrSK_Att,nrSK_PID,$D566,nrSK_Cat,$E566,nrSK_Res,"Fail"))),"(superseded)",IF(OR($J566="",$J566="Pending"),"Pending",IF($J566="Pass","Qualified",IF(AND($J566="Fail",$N566&gt;=$F566),"FAILED OUT","Needs Remediation")))))</f>
        <v/>
      </c>
      <c r="P566" s="17">
        <f>IF($C566="","",IF($O566="FAILED OUT","Yes","No"))</f>
        <v/>
      </c>
      <c r="Q566" s="16" t="n"/>
      <c r="R566" s="16" t="n"/>
      <c r="S566" s="17">
        <f>IF($C566="","",IF(AND($K566&lt;&gt;"",NOT(ISNUMBER($K566))),"SCORE NOT A NUMBER",IF(AND(ISNUMBER($K566),OR($K566&lt;0,$K566&gt;100)),"SCORE OUT OF RANGE - this score counts toward nothing",IF(AND($G566="Score",$K566="",$J566&lt;&gt;"",$J566&lt;&gt;"Pending"),"RESULT WITHOUT A SCORE",IF(AND($G566="Pass/Fail",$K566&lt;&gt;""),"SCORE ON A PASS-FAIL CATEGORY - it is ignored",IF(AND($E566="Firearms",$J566&lt;&gt;"",$J566&lt;&gt;"Pending",$R566=""),"FIREARMS ROW WITH NO COURSE OF FIRE","OK"))))))</f>
        <v/>
      </c>
    </row>
    <row r="567">
      <c r="B567" s="17">
        <f>IF($C567="","",$D567&amp;"-"&amp;$E567&amp;"-"&amp;$I567)</f>
        <v/>
      </c>
      <c r="C567" s="16" t="n"/>
      <c r="D567" s="17">
        <f>IF($C567="","",IFERROR(INDEX(rngCadetPIDs,MATCH($C567,rngCadetNames,0)),"?"))</f>
        <v/>
      </c>
      <c r="E567" s="16" t="n"/>
      <c r="F567" s="17">
        <f>IF($E567="","",IFERROR(INDEX(rngSM_max,MATCH($E567,rngSM_cat,0)),""))</f>
        <v/>
      </c>
      <c r="G567" s="17">
        <f>IF($E567="","",IFERROR(INDEX(rngSM_mode,MATCH($E567,rngSM_cat,0)),""))</f>
        <v/>
      </c>
      <c r="H567" s="17">
        <f>IF($E567="","",IFERROR(INDEX(rngSM_pass,MATCH($E567,rngSM_cat,0)),""))</f>
        <v/>
      </c>
      <c r="I567" s="16" t="n"/>
      <c r="J567" s="16" t="n"/>
      <c r="K567" s="16" t="n"/>
      <c r="L567" s="18" t="n"/>
      <c r="M567" s="16" t="n"/>
      <c r="N567" s="17">
        <f>IF($C567="","",MAX(_xlfn.MAXIFS(nrSK_Att,nrSK_PID,$D567,nrSK_Cat,$E567,nrSK_Res,"Pass"),_xlfn.MAXIFS(nrSK_Att,nrSK_PID,$D567,nrSK_Cat,$E567,nrSK_Res,"Fail")))</f>
        <v/>
      </c>
      <c r="O567" s="17">
        <f>IF($C567="","",IF(AND(MAX(_xlfn.MAXIFS(nrSK_Att,nrSK_PID,$D567,nrSK_Cat,$E567,nrSK_Res,"Pass"),_xlfn.MAXIFS(nrSK_Att,nrSK_PID,$D567,nrSK_Cat,$E567,nrSK_Res,"Fail"))&gt;0,N($I567)&lt;MAX(_xlfn.MAXIFS(nrSK_Att,nrSK_PID,$D567,nrSK_Cat,$E567,nrSK_Res,"Pass"),_xlfn.MAXIFS(nrSK_Att,nrSK_PID,$D567,nrSK_Cat,$E567,nrSK_Res,"Fail"))),"(superseded)",IF(OR($J567="",$J567="Pending"),"Pending",IF($J567="Pass","Qualified",IF(AND($J567="Fail",$N567&gt;=$F567),"FAILED OUT","Needs Remediation")))))</f>
        <v/>
      </c>
      <c r="P567" s="17">
        <f>IF($C567="","",IF($O567="FAILED OUT","Yes","No"))</f>
        <v/>
      </c>
      <c r="Q567" s="16" t="n"/>
      <c r="R567" s="16" t="n"/>
      <c r="S567" s="17">
        <f>IF($C567="","",IF(AND($K567&lt;&gt;"",NOT(ISNUMBER($K567))),"SCORE NOT A NUMBER",IF(AND(ISNUMBER($K567),OR($K567&lt;0,$K567&gt;100)),"SCORE OUT OF RANGE - this score counts toward nothing",IF(AND($G567="Score",$K567="",$J567&lt;&gt;"",$J567&lt;&gt;"Pending"),"RESULT WITHOUT A SCORE",IF(AND($G567="Pass/Fail",$K567&lt;&gt;""),"SCORE ON A PASS-FAIL CATEGORY - it is ignored",IF(AND($E567="Firearms",$J567&lt;&gt;"",$J567&lt;&gt;"Pending",$R567=""),"FIREARMS ROW WITH NO COURSE OF FIRE","OK"))))))</f>
        <v/>
      </c>
    </row>
    <row r="568">
      <c r="B568" s="17">
        <f>IF($C568="","",$D568&amp;"-"&amp;$E568&amp;"-"&amp;$I568)</f>
        <v/>
      </c>
      <c r="C568" s="16" t="n"/>
      <c r="D568" s="17">
        <f>IF($C568="","",IFERROR(INDEX(rngCadetPIDs,MATCH($C568,rngCadetNames,0)),"?"))</f>
        <v/>
      </c>
      <c r="E568" s="16" t="n"/>
      <c r="F568" s="17">
        <f>IF($E568="","",IFERROR(INDEX(rngSM_max,MATCH($E568,rngSM_cat,0)),""))</f>
        <v/>
      </c>
      <c r="G568" s="17">
        <f>IF($E568="","",IFERROR(INDEX(rngSM_mode,MATCH($E568,rngSM_cat,0)),""))</f>
        <v/>
      </c>
      <c r="H568" s="17">
        <f>IF($E568="","",IFERROR(INDEX(rngSM_pass,MATCH($E568,rngSM_cat,0)),""))</f>
        <v/>
      </c>
      <c r="I568" s="16" t="n"/>
      <c r="J568" s="16" t="n"/>
      <c r="K568" s="16" t="n"/>
      <c r="L568" s="18" t="n"/>
      <c r="M568" s="16" t="n"/>
      <c r="N568" s="17">
        <f>IF($C568="","",MAX(_xlfn.MAXIFS(nrSK_Att,nrSK_PID,$D568,nrSK_Cat,$E568,nrSK_Res,"Pass"),_xlfn.MAXIFS(nrSK_Att,nrSK_PID,$D568,nrSK_Cat,$E568,nrSK_Res,"Fail")))</f>
        <v/>
      </c>
      <c r="O568" s="17">
        <f>IF($C568="","",IF(AND(MAX(_xlfn.MAXIFS(nrSK_Att,nrSK_PID,$D568,nrSK_Cat,$E568,nrSK_Res,"Pass"),_xlfn.MAXIFS(nrSK_Att,nrSK_PID,$D568,nrSK_Cat,$E568,nrSK_Res,"Fail"))&gt;0,N($I568)&lt;MAX(_xlfn.MAXIFS(nrSK_Att,nrSK_PID,$D568,nrSK_Cat,$E568,nrSK_Res,"Pass"),_xlfn.MAXIFS(nrSK_Att,nrSK_PID,$D568,nrSK_Cat,$E568,nrSK_Res,"Fail"))),"(superseded)",IF(OR($J568="",$J568="Pending"),"Pending",IF($J568="Pass","Qualified",IF(AND($J568="Fail",$N568&gt;=$F568),"FAILED OUT","Needs Remediation")))))</f>
        <v/>
      </c>
      <c r="P568" s="17">
        <f>IF($C568="","",IF($O568="FAILED OUT","Yes","No"))</f>
        <v/>
      </c>
      <c r="Q568" s="16" t="n"/>
      <c r="R568" s="16" t="n"/>
      <c r="S568" s="17">
        <f>IF($C568="","",IF(AND($K568&lt;&gt;"",NOT(ISNUMBER($K568))),"SCORE NOT A NUMBER",IF(AND(ISNUMBER($K568),OR($K568&lt;0,$K568&gt;100)),"SCORE OUT OF RANGE - this score counts toward nothing",IF(AND($G568="Score",$K568="",$J568&lt;&gt;"",$J568&lt;&gt;"Pending"),"RESULT WITHOUT A SCORE",IF(AND($G568="Pass/Fail",$K568&lt;&gt;""),"SCORE ON A PASS-FAIL CATEGORY - it is ignored",IF(AND($E568="Firearms",$J568&lt;&gt;"",$J568&lt;&gt;"Pending",$R568=""),"FIREARMS ROW WITH NO COURSE OF FIRE","OK"))))))</f>
        <v/>
      </c>
    </row>
    <row r="569">
      <c r="B569" s="17">
        <f>IF($C569="","",$D569&amp;"-"&amp;$E569&amp;"-"&amp;$I569)</f>
        <v/>
      </c>
      <c r="C569" s="16" t="n"/>
      <c r="D569" s="17">
        <f>IF($C569="","",IFERROR(INDEX(rngCadetPIDs,MATCH($C569,rngCadetNames,0)),"?"))</f>
        <v/>
      </c>
      <c r="E569" s="16" t="n"/>
      <c r="F569" s="17">
        <f>IF($E569="","",IFERROR(INDEX(rngSM_max,MATCH($E569,rngSM_cat,0)),""))</f>
        <v/>
      </c>
      <c r="G569" s="17">
        <f>IF($E569="","",IFERROR(INDEX(rngSM_mode,MATCH($E569,rngSM_cat,0)),""))</f>
        <v/>
      </c>
      <c r="H569" s="17">
        <f>IF($E569="","",IFERROR(INDEX(rngSM_pass,MATCH($E569,rngSM_cat,0)),""))</f>
        <v/>
      </c>
      <c r="I569" s="16" t="n"/>
      <c r="J569" s="16" t="n"/>
      <c r="K569" s="16" t="n"/>
      <c r="L569" s="18" t="n"/>
      <c r="M569" s="16" t="n"/>
      <c r="N569" s="17">
        <f>IF($C569="","",MAX(_xlfn.MAXIFS(nrSK_Att,nrSK_PID,$D569,nrSK_Cat,$E569,nrSK_Res,"Pass"),_xlfn.MAXIFS(nrSK_Att,nrSK_PID,$D569,nrSK_Cat,$E569,nrSK_Res,"Fail")))</f>
        <v/>
      </c>
      <c r="O569" s="17">
        <f>IF($C569="","",IF(AND(MAX(_xlfn.MAXIFS(nrSK_Att,nrSK_PID,$D569,nrSK_Cat,$E569,nrSK_Res,"Pass"),_xlfn.MAXIFS(nrSK_Att,nrSK_PID,$D569,nrSK_Cat,$E569,nrSK_Res,"Fail"))&gt;0,N($I569)&lt;MAX(_xlfn.MAXIFS(nrSK_Att,nrSK_PID,$D569,nrSK_Cat,$E569,nrSK_Res,"Pass"),_xlfn.MAXIFS(nrSK_Att,nrSK_PID,$D569,nrSK_Cat,$E569,nrSK_Res,"Fail"))),"(superseded)",IF(OR($J569="",$J569="Pending"),"Pending",IF($J569="Pass","Qualified",IF(AND($J569="Fail",$N569&gt;=$F569),"FAILED OUT","Needs Remediation")))))</f>
        <v/>
      </c>
      <c r="P569" s="17">
        <f>IF($C569="","",IF($O569="FAILED OUT","Yes","No"))</f>
        <v/>
      </c>
      <c r="Q569" s="16" t="n"/>
      <c r="R569" s="16" t="n"/>
      <c r="S569" s="17">
        <f>IF($C569="","",IF(AND($K569&lt;&gt;"",NOT(ISNUMBER($K569))),"SCORE NOT A NUMBER",IF(AND(ISNUMBER($K569),OR($K569&lt;0,$K569&gt;100)),"SCORE OUT OF RANGE - this score counts toward nothing",IF(AND($G569="Score",$K569="",$J569&lt;&gt;"",$J569&lt;&gt;"Pending"),"RESULT WITHOUT A SCORE",IF(AND($G569="Pass/Fail",$K569&lt;&gt;""),"SCORE ON A PASS-FAIL CATEGORY - it is ignored",IF(AND($E569="Firearms",$J569&lt;&gt;"",$J569&lt;&gt;"Pending",$R569=""),"FIREARMS ROW WITH NO COURSE OF FIRE","OK"))))))</f>
        <v/>
      </c>
    </row>
    <row r="570">
      <c r="B570" s="17">
        <f>IF($C570="","",$D570&amp;"-"&amp;$E570&amp;"-"&amp;$I570)</f>
        <v/>
      </c>
      <c r="C570" s="16" t="n"/>
      <c r="D570" s="17">
        <f>IF($C570="","",IFERROR(INDEX(rngCadetPIDs,MATCH($C570,rngCadetNames,0)),"?"))</f>
        <v/>
      </c>
      <c r="E570" s="16" t="n"/>
      <c r="F570" s="17">
        <f>IF($E570="","",IFERROR(INDEX(rngSM_max,MATCH($E570,rngSM_cat,0)),""))</f>
        <v/>
      </c>
      <c r="G570" s="17">
        <f>IF($E570="","",IFERROR(INDEX(rngSM_mode,MATCH($E570,rngSM_cat,0)),""))</f>
        <v/>
      </c>
      <c r="H570" s="17">
        <f>IF($E570="","",IFERROR(INDEX(rngSM_pass,MATCH($E570,rngSM_cat,0)),""))</f>
        <v/>
      </c>
      <c r="I570" s="16" t="n"/>
      <c r="J570" s="16" t="n"/>
      <c r="K570" s="16" t="n"/>
      <c r="L570" s="18" t="n"/>
      <c r="M570" s="16" t="n"/>
      <c r="N570" s="17">
        <f>IF($C570="","",MAX(_xlfn.MAXIFS(nrSK_Att,nrSK_PID,$D570,nrSK_Cat,$E570,nrSK_Res,"Pass"),_xlfn.MAXIFS(nrSK_Att,nrSK_PID,$D570,nrSK_Cat,$E570,nrSK_Res,"Fail")))</f>
        <v/>
      </c>
      <c r="O570" s="17">
        <f>IF($C570="","",IF(AND(MAX(_xlfn.MAXIFS(nrSK_Att,nrSK_PID,$D570,nrSK_Cat,$E570,nrSK_Res,"Pass"),_xlfn.MAXIFS(nrSK_Att,nrSK_PID,$D570,nrSK_Cat,$E570,nrSK_Res,"Fail"))&gt;0,N($I570)&lt;MAX(_xlfn.MAXIFS(nrSK_Att,nrSK_PID,$D570,nrSK_Cat,$E570,nrSK_Res,"Pass"),_xlfn.MAXIFS(nrSK_Att,nrSK_PID,$D570,nrSK_Cat,$E570,nrSK_Res,"Fail"))),"(superseded)",IF(OR($J570="",$J570="Pending"),"Pending",IF($J570="Pass","Qualified",IF(AND($J570="Fail",$N570&gt;=$F570),"FAILED OUT","Needs Remediation")))))</f>
        <v/>
      </c>
      <c r="P570" s="17">
        <f>IF($C570="","",IF($O570="FAILED OUT","Yes","No"))</f>
        <v/>
      </c>
      <c r="Q570" s="16" t="n"/>
      <c r="R570" s="16" t="n"/>
      <c r="S570" s="17">
        <f>IF($C570="","",IF(AND($K570&lt;&gt;"",NOT(ISNUMBER($K570))),"SCORE NOT A NUMBER",IF(AND(ISNUMBER($K570),OR($K570&lt;0,$K570&gt;100)),"SCORE OUT OF RANGE - this score counts toward nothing",IF(AND($G570="Score",$K570="",$J570&lt;&gt;"",$J570&lt;&gt;"Pending"),"RESULT WITHOUT A SCORE",IF(AND($G570="Pass/Fail",$K570&lt;&gt;""),"SCORE ON A PASS-FAIL CATEGORY - it is ignored",IF(AND($E570="Firearms",$J570&lt;&gt;"",$J570&lt;&gt;"Pending",$R570=""),"FIREARMS ROW WITH NO COURSE OF FIRE","OK"))))))</f>
        <v/>
      </c>
    </row>
    <row r="571">
      <c r="B571" s="17">
        <f>IF($C571="","",$D571&amp;"-"&amp;$E571&amp;"-"&amp;$I571)</f>
        <v/>
      </c>
      <c r="C571" s="16" t="n"/>
      <c r="D571" s="17">
        <f>IF($C571="","",IFERROR(INDEX(rngCadetPIDs,MATCH($C571,rngCadetNames,0)),"?"))</f>
        <v/>
      </c>
      <c r="E571" s="16" t="n"/>
      <c r="F571" s="17">
        <f>IF($E571="","",IFERROR(INDEX(rngSM_max,MATCH($E571,rngSM_cat,0)),""))</f>
        <v/>
      </c>
      <c r="G571" s="17">
        <f>IF($E571="","",IFERROR(INDEX(rngSM_mode,MATCH($E571,rngSM_cat,0)),""))</f>
        <v/>
      </c>
      <c r="H571" s="17">
        <f>IF($E571="","",IFERROR(INDEX(rngSM_pass,MATCH($E571,rngSM_cat,0)),""))</f>
        <v/>
      </c>
      <c r="I571" s="16" t="n"/>
      <c r="J571" s="16" t="n"/>
      <c r="K571" s="16" t="n"/>
      <c r="L571" s="18" t="n"/>
      <c r="M571" s="16" t="n"/>
      <c r="N571" s="17">
        <f>IF($C571="","",MAX(_xlfn.MAXIFS(nrSK_Att,nrSK_PID,$D571,nrSK_Cat,$E571,nrSK_Res,"Pass"),_xlfn.MAXIFS(nrSK_Att,nrSK_PID,$D571,nrSK_Cat,$E571,nrSK_Res,"Fail")))</f>
        <v/>
      </c>
      <c r="O571" s="17">
        <f>IF($C571="","",IF(AND(MAX(_xlfn.MAXIFS(nrSK_Att,nrSK_PID,$D571,nrSK_Cat,$E571,nrSK_Res,"Pass"),_xlfn.MAXIFS(nrSK_Att,nrSK_PID,$D571,nrSK_Cat,$E571,nrSK_Res,"Fail"))&gt;0,N($I571)&lt;MAX(_xlfn.MAXIFS(nrSK_Att,nrSK_PID,$D571,nrSK_Cat,$E571,nrSK_Res,"Pass"),_xlfn.MAXIFS(nrSK_Att,nrSK_PID,$D571,nrSK_Cat,$E571,nrSK_Res,"Fail"))),"(superseded)",IF(OR($J571="",$J571="Pending"),"Pending",IF($J571="Pass","Qualified",IF(AND($J571="Fail",$N571&gt;=$F571),"FAILED OUT","Needs Remediation")))))</f>
        <v/>
      </c>
      <c r="P571" s="17">
        <f>IF($C571="","",IF($O571="FAILED OUT","Yes","No"))</f>
        <v/>
      </c>
      <c r="Q571" s="16" t="n"/>
      <c r="R571" s="16" t="n"/>
      <c r="S571" s="17">
        <f>IF($C571="","",IF(AND($K571&lt;&gt;"",NOT(ISNUMBER($K571))),"SCORE NOT A NUMBER",IF(AND(ISNUMBER($K571),OR($K571&lt;0,$K571&gt;100)),"SCORE OUT OF RANGE - this score counts toward nothing",IF(AND($G571="Score",$K571="",$J571&lt;&gt;"",$J571&lt;&gt;"Pending"),"RESULT WITHOUT A SCORE",IF(AND($G571="Pass/Fail",$K571&lt;&gt;""),"SCORE ON A PASS-FAIL CATEGORY - it is ignored",IF(AND($E571="Firearms",$J571&lt;&gt;"",$J571&lt;&gt;"Pending",$R571=""),"FIREARMS ROW WITH NO COURSE OF FIRE","OK"))))))</f>
        <v/>
      </c>
    </row>
    <row r="572">
      <c r="B572" s="17">
        <f>IF($C572="","",$D572&amp;"-"&amp;$E572&amp;"-"&amp;$I572)</f>
        <v/>
      </c>
      <c r="C572" s="16" t="n"/>
      <c r="D572" s="17">
        <f>IF($C572="","",IFERROR(INDEX(rngCadetPIDs,MATCH($C572,rngCadetNames,0)),"?"))</f>
        <v/>
      </c>
      <c r="E572" s="16" t="n"/>
      <c r="F572" s="17">
        <f>IF($E572="","",IFERROR(INDEX(rngSM_max,MATCH($E572,rngSM_cat,0)),""))</f>
        <v/>
      </c>
      <c r="G572" s="17">
        <f>IF($E572="","",IFERROR(INDEX(rngSM_mode,MATCH($E572,rngSM_cat,0)),""))</f>
        <v/>
      </c>
      <c r="H572" s="17">
        <f>IF($E572="","",IFERROR(INDEX(rngSM_pass,MATCH($E572,rngSM_cat,0)),""))</f>
        <v/>
      </c>
      <c r="I572" s="16" t="n"/>
      <c r="J572" s="16" t="n"/>
      <c r="K572" s="16" t="n"/>
      <c r="L572" s="18" t="n"/>
      <c r="M572" s="16" t="n"/>
      <c r="N572" s="17">
        <f>IF($C572="","",MAX(_xlfn.MAXIFS(nrSK_Att,nrSK_PID,$D572,nrSK_Cat,$E572,nrSK_Res,"Pass"),_xlfn.MAXIFS(nrSK_Att,nrSK_PID,$D572,nrSK_Cat,$E572,nrSK_Res,"Fail")))</f>
        <v/>
      </c>
      <c r="O572" s="17">
        <f>IF($C572="","",IF(AND(MAX(_xlfn.MAXIFS(nrSK_Att,nrSK_PID,$D572,nrSK_Cat,$E572,nrSK_Res,"Pass"),_xlfn.MAXIFS(nrSK_Att,nrSK_PID,$D572,nrSK_Cat,$E572,nrSK_Res,"Fail"))&gt;0,N($I572)&lt;MAX(_xlfn.MAXIFS(nrSK_Att,nrSK_PID,$D572,nrSK_Cat,$E572,nrSK_Res,"Pass"),_xlfn.MAXIFS(nrSK_Att,nrSK_PID,$D572,nrSK_Cat,$E572,nrSK_Res,"Fail"))),"(superseded)",IF(OR($J572="",$J572="Pending"),"Pending",IF($J572="Pass","Qualified",IF(AND($J572="Fail",$N572&gt;=$F572),"FAILED OUT","Needs Remediation")))))</f>
        <v/>
      </c>
      <c r="P572" s="17">
        <f>IF($C572="","",IF($O572="FAILED OUT","Yes","No"))</f>
        <v/>
      </c>
      <c r="Q572" s="16" t="n"/>
      <c r="R572" s="16" t="n"/>
      <c r="S572" s="17">
        <f>IF($C572="","",IF(AND($K572&lt;&gt;"",NOT(ISNUMBER($K572))),"SCORE NOT A NUMBER",IF(AND(ISNUMBER($K572),OR($K572&lt;0,$K572&gt;100)),"SCORE OUT OF RANGE - this score counts toward nothing",IF(AND($G572="Score",$K572="",$J572&lt;&gt;"",$J572&lt;&gt;"Pending"),"RESULT WITHOUT A SCORE",IF(AND($G572="Pass/Fail",$K572&lt;&gt;""),"SCORE ON A PASS-FAIL CATEGORY - it is ignored",IF(AND($E572="Firearms",$J572&lt;&gt;"",$J572&lt;&gt;"Pending",$R572=""),"FIREARMS ROW WITH NO COURSE OF FIRE","OK"))))))</f>
        <v/>
      </c>
    </row>
    <row r="573">
      <c r="B573" s="17">
        <f>IF($C573="","",$D573&amp;"-"&amp;$E573&amp;"-"&amp;$I573)</f>
        <v/>
      </c>
      <c r="C573" s="16" t="n"/>
      <c r="D573" s="17">
        <f>IF($C573="","",IFERROR(INDEX(rngCadetPIDs,MATCH($C573,rngCadetNames,0)),"?"))</f>
        <v/>
      </c>
      <c r="E573" s="16" t="n"/>
      <c r="F573" s="17">
        <f>IF($E573="","",IFERROR(INDEX(rngSM_max,MATCH($E573,rngSM_cat,0)),""))</f>
        <v/>
      </c>
      <c r="G573" s="17">
        <f>IF($E573="","",IFERROR(INDEX(rngSM_mode,MATCH($E573,rngSM_cat,0)),""))</f>
        <v/>
      </c>
      <c r="H573" s="17">
        <f>IF($E573="","",IFERROR(INDEX(rngSM_pass,MATCH($E573,rngSM_cat,0)),""))</f>
        <v/>
      </c>
      <c r="I573" s="16" t="n"/>
      <c r="J573" s="16" t="n"/>
      <c r="K573" s="16" t="n"/>
      <c r="L573" s="18" t="n"/>
      <c r="M573" s="16" t="n"/>
      <c r="N573" s="17">
        <f>IF($C573="","",MAX(_xlfn.MAXIFS(nrSK_Att,nrSK_PID,$D573,nrSK_Cat,$E573,nrSK_Res,"Pass"),_xlfn.MAXIFS(nrSK_Att,nrSK_PID,$D573,nrSK_Cat,$E573,nrSK_Res,"Fail")))</f>
        <v/>
      </c>
      <c r="O573" s="17">
        <f>IF($C573="","",IF(AND(MAX(_xlfn.MAXIFS(nrSK_Att,nrSK_PID,$D573,nrSK_Cat,$E573,nrSK_Res,"Pass"),_xlfn.MAXIFS(nrSK_Att,nrSK_PID,$D573,nrSK_Cat,$E573,nrSK_Res,"Fail"))&gt;0,N($I573)&lt;MAX(_xlfn.MAXIFS(nrSK_Att,nrSK_PID,$D573,nrSK_Cat,$E573,nrSK_Res,"Pass"),_xlfn.MAXIFS(nrSK_Att,nrSK_PID,$D573,nrSK_Cat,$E573,nrSK_Res,"Fail"))),"(superseded)",IF(OR($J573="",$J573="Pending"),"Pending",IF($J573="Pass","Qualified",IF(AND($J573="Fail",$N573&gt;=$F573),"FAILED OUT","Needs Remediation")))))</f>
        <v/>
      </c>
      <c r="P573" s="17">
        <f>IF($C573="","",IF($O573="FAILED OUT","Yes","No"))</f>
        <v/>
      </c>
      <c r="Q573" s="16" t="n"/>
      <c r="R573" s="16" t="n"/>
      <c r="S573" s="17">
        <f>IF($C573="","",IF(AND($K573&lt;&gt;"",NOT(ISNUMBER($K573))),"SCORE NOT A NUMBER",IF(AND(ISNUMBER($K573),OR($K573&lt;0,$K573&gt;100)),"SCORE OUT OF RANGE - this score counts toward nothing",IF(AND($G573="Score",$K573="",$J573&lt;&gt;"",$J573&lt;&gt;"Pending"),"RESULT WITHOUT A SCORE",IF(AND($G573="Pass/Fail",$K573&lt;&gt;""),"SCORE ON A PASS-FAIL CATEGORY - it is ignored",IF(AND($E573="Firearms",$J573&lt;&gt;"",$J573&lt;&gt;"Pending",$R573=""),"FIREARMS ROW WITH NO COURSE OF FIRE","OK"))))))</f>
        <v/>
      </c>
    </row>
    <row r="574">
      <c r="B574" s="17">
        <f>IF($C574="","",$D574&amp;"-"&amp;$E574&amp;"-"&amp;$I574)</f>
        <v/>
      </c>
      <c r="C574" s="16" t="n"/>
      <c r="D574" s="17">
        <f>IF($C574="","",IFERROR(INDEX(rngCadetPIDs,MATCH($C574,rngCadetNames,0)),"?"))</f>
        <v/>
      </c>
      <c r="E574" s="16" t="n"/>
      <c r="F574" s="17">
        <f>IF($E574="","",IFERROR(INDEX(rngSM_max,MATCH($E574,rngSM_cat,0)),""))</f>
        <v/>
      </c>
      <c r="G574" s="17">
        <f>IF($E574="","",IFERROR(INDEX(rngSM_mode,MATCH($E574,rngSM_cat,0)),""))</f>
        <v/>
      </c>
      <c r="H574" s="17">
        <f>IF($E574="","",IFERROR(INDEX(rngSM_pass,MATCH($E574,rngSM_cat,0)),""))</f>
        <v/>
      </c>
      <c r="I574" s="16" t="n"/>
      <c r="J574" s="16" t="n"/>
      <c r="K574" s="16" t="n"/>
      <c r="L574" s="18" t="n"/>
      <c r="M574" s="16" t="n"/>
      <c r="N574" s="17">
        <f>IF($C574="","",MAX(_xlfn.MAXIFS(nrSK_Att,nrSK_PID,$D574,nrSK_Cat,$E574,nrSK_Res,"Pass"),_xlfn.MAXIFS(nrSK_Att,nrSK_PID,$D574,nrSK_Cat,$E574,nrSK_Res,"Fail")))</f>
        <v/>
      </c>
      <c r="O574" s="17">
        <f>IF($C574="","",IF(AND(MAX(_xlfn.MAXIFS(nrSK_Att,nrSK_PID,$D574,nrSK_Cat,$E574,nrSK_Res,"Pass"),_xlfn.MAXIFS(nrSK_Att,nrSK_PID,$D574,nrSK_Cat,$E574,nrSK_Res,"Fail"))&gt;0,N($I574)&lt;MAX(_xlfn.MAXIFS(nrSK_Att,nrSK_PID,$D574,nrSK_Cat,$E574,nrSK_Res,"Pass"),_xlfn.MAXIFS(nrSK_Att,nrSK_PID,$D574,nrSK_Cat,$E574,nrSK_Res,"Fail"))),"(superseded)",IF(OR($J574="",$J574="Pending"),"Pending",IF($J574="Pass","Qualified",IF(AND($J574="Fail",$N574&gt;=$F574),"FAILED OUT","Needs Remediation")))))</f>
        <v/>
      </c>
      <c r="P574" s="17">
        <f>IF($C574="","",IF($O574="FAILED OUT","Yes","No"))</f>
        <v/>
      </c>
      <c r="Q574" s="16" t="n"/>
      <c r="R574" s="16" t="n"/>
      <c r="S574" s="17">
        <f>IF($C574="","",IF(AND($K574&lt;&gt;"",NOT(ISNUMBER($K574))),"SCORE NOT A NUMBER",IF(AND(ISNUMBER($K574),OR($K574&lt;0,$K574&gt;100)),"SCORE OUT OF RANGE - this score counts toward nothing",IF(AND($G574="Score",$K574="",$J574&lt;&gt;"",$J574&lt;&gt;"Pending"),"RESULT WITHOUT A SCORE",IF(AND($G574="Pass/Fail",$K574&lt;&gt;""),"SCORE ON A PASS-FAIL CATEGORY - it is ignored",IF(AND($E574="Firearms",$J574&lt;&gt;"",$J574&lt;&gt;"Pending",$R574=""),"FIREARMS ROW WITH NO COURSE OF FIRE","OK"))))))</f>
        <v/>
      </c>
    </row>
    <row r="575">
      <c r="B575" s="17">
        <f>IF($C575="","",$D575&amp;"-"&amp;$E575&amp;"-"&amp;$I575)</f>
        <v/>
      </c>
      <c r="C575" s="16" t="n"/>
      <c r="D575" s="17">
        <f>IF($C575="","",IFERROR(INDEX(rngCadetPIDs,MATCH($C575,rngCadetNames,0)),"?"))</f>
        <v/>
      </c>
      <c r="E575" s="16" t="n"/>
      <c r="F575" s="17">
        <f>IF($E575="","",IFERROR(INDEX(rngSM_max,MATCH($E575,rngSM_cat,0)),""))</f>
        <v/>
      </c>
      <c r="G575" s="17">
        <f>IF($E575="","",IFERROR(INDEX(rngSM_mode,MATCH($E575,rngSM_cat,0)),""))</f>
        <v/>
      </c>
      <c r="H575" s="17">
        <f>IF($E575="","",IFERROR(INDEX(rngSM_pass,MATCH($E575,rngSM_cat,0)),""))</f>
        <v/>
      </c>
      <c r="I575" s="16" t="n"/>
      <c r="J575" s="16" t="n"/>
      <c r="K575" s="16" t="n"/>
      <c r="L575" s="18" t="n"/>
      <c r="M575" s="16" t="n"/>
      <c r="N575" s="17">
        <f>IF($C575="","",MAX(_xlfn.MAXIFS(nrSK_Att,nrSK_PID,$D575,nrSK_Cat,$E575,nrSK_Res,"Pass"),_xlfn.MAXIFS(nrSK_Att,nrSK_PID,$D575,nrSK_Cat,$E575,nrSK_Res,"Fail")))</f>
        <v/>
      </c>
      <c r="O575" s="17">
        <f>IF($C575="","",IF(AND(MAX(_xlfn.MAXIFS(nrSK_Att,nrSK_PID,$D575,nrSK_Cat,$E575,nrSK_Res,"Pass"),_xlfn.MAXIFS(nrSK_Att,nrSK_PID,$D575,nrSK_Cat,$E575,nrSK_Res,"Fail"))&gt;0,N($I575)&lt;MAX(_xlfn.MAXIFS(nrSK_Att,nrSK_PID,$D575,nrSK_Cat,$E575,nrSK_Res,"Pass"),_xlfn.MAXIFS(nrSK_Att,nrSK_PID,$D575,nrSK_Cat,$E575,nrSK_Res,"Fail"))),"(superseded)",IF(OR($J575="",$J575="Pending"),"Pending",IF($J575="Pass","Qualified",IF(AND($J575="Fail",$N575&gt;=$F575),"FAILED OUT","Needs Remediation")))))</f>
        <v/>
      </c>
      <c r="P575" s="17">
        <f>IF($C575="","",IF($O575="FAILED OUT","Yes","No"))</f>
        <v/>
      </c>
      <c r="Q575" s="16" t="n"/>
      <c r="R575" s="16" t="n"/>
      <c r="S575" s="17">
        <f>IF($C575="","",IF(AND($K575&lt;&gt;"",NOT(ISNUMBER($K575))),"SCORE NOT A NUMBER",IF(AND(ISNUMBER($K575),OR($K575&lt;0,$K575&gt;100)),"SCORE OUT OF RANGE - this score counts toward nothing",IF(AND($G575="Score",$K575="",$J575&lt;&gt;"",$J575&lt;&gt;"Pending"),"RESULT WITHOUT A SCORE",IF(AND($G575="Pass/Fail",$K575&lt;&gt;""),"SCORE ON A PASS-FAIL CATEGORY - it is ignored",IF(AND($E575="Firearms",$J575&lt;&gt;"",$J575&lt;&gt;"Pending",$R575=""),"FIREARMS ROW WITH NO COURSE OF FIRE","OK"))))))</f>
        <v/>
      </c>
    </row>
    <row r="576">
      <c r="B576" s="17">
        <f>IF($C576="","",$D576&amp;"-"&amp;$E576&amp;"-"&amp;$I576)</f>
        <v/>
      </c>
      <c r="C576" s="16" t="n"/>
      <c r="D576" s="17">
        <f>IF($C576="","",IFERROR(INDEX(rngCadetPIDs,MATCH($C576,rngCadetNames,0)),"?"))</f>
        <v/>
      </c>
      <c r="E576" s="16" t="n"/>
      <c r="F576" s="17">
        <f>IF($E576="","",IFERROR(INDEX(rngSM_max,MATCH($E576,rngSM_cat,0)),""))</f>
        <v/>
      </c>
      <c r="G576" s="17">
        <f>IF($E576="","",IFERROR(INDEX(rngSM_mode,MATCH($E576,rngSM_cat,0)),""))</f>
        <v/>
      </c>
      <c r="H576" s="17">
        <f>IF($E576="","",IFERROR(INDEX(rngSM_pass,MATCH($E576,rngSM_cat,0)),""))</f>
        <v/>
      </c>
      <c r="I576" s="16" t="n"/>
      <c r="J576" s="16" t="n"/>
      <c r="K576" s="16" t="n"/>
      <c r="L576" s="18" t="n"/>
      <c r="M576" s="16" t="n"/>
      <c r="N576" s="17">
        <f>IF($C576="","",MAX(_xlfn.MAXIFS(nrSK_Att,nrSK_PID,$D576,nrSK_Cat,$E576,nrSK_Res,"Pass"),_xlfn.MAXIFS(nrSK_Att,nrSK_PID,$D576,nrSK_Cat,$E576,nrSK_Res,"Fail")))</f>
        <v/>
      </c>
      <c r="O576" s="17">
        <f>IF($C576="","",IF(AND(MAX(_xlfn.MAXIFS(nrSK_Att,nrSK_PID,$D576,nrSK_Cat,$E576,nrSK_Res,"Pass"),_xlfn.MAXIFS(nrSK_Att,nrSK_PID,$D576,nrSK_Cat,$E576,nrSK_Res,"Fail"))&gt;0,N($I576)&lt;MAX(_xlfn.MAXIFS(nrSK_Att,nrSK_PID,$D576,nrSK_Cat,$E576,nrSK_Res,"Pass"),_xlfn.MAXIFS(nrSK_Att,nrSK_PID,$D576,nrSK_Cat,$E576,nrSK_Res,"Fail"))),"(superseded)",IF(OR($J576="",$J576="Pending"),"Pending",IF($J576="Pass","Qualified",IF(AND($J576="Fail",$N576&gt;=$F576),"FAILED OUT","Needs Remediation")))))</f>
        <v/>
      </c>
      <c r="P576" s="17">
        <f>IF($C576="","",IF($O576="FAILED OUT","Yes","No"))</f>
        <v/>
      </c>
      <c r="Q576" s="16" t="n"/>
      <c r="R576" s="16" t="n"/>
      <c r="S576" s="17">
        <f>IF($C576="","",IF(AND($K576&lt;&gt;"",NOT(ISNUMBER($K576))),"SCORE NOT A NUMBER",IF(AND(ISNUMBER($K576),OR($K576&lt;0,$K576&gt;100)),"SCORE OUT OF RANGE - this score counts toward nothing",IF(AND($G576="Score",$K576="",$J576&lt;&gt;"",$J576&lt;&gt;"Pending"),"RESULT WITHOUT A SCORE",IF(AND($G576="Pass/Fail",$K576&lt;&gt;""),"SCORE ON A PASS-FAIL CATEGORY - it is ignored",IF(AND($E576="Firearms",$J576&lt;&gt;"",$J576&lt;&gt;"Pending",$R576=""),"FIREARMS ROW WITH NO COURSE OF FIRE","OK"))))))</f>
        <v/>
      </c>
    </row>
    <row r="577">
      <c r="B577" s="17">
        <f>IF($C577="","",$D577&amp;"-"&amp;$E577&amp;"-"&amp;$I577)</f>
        <v/>
      </c>
      <c r="C577" s="16" t="n"/>
      <c r="D577" s="17">
        <f>IF($C577="","",IFERROR(INDEX(rngCadetPIDs,MATCH($C577,rngCadetNames,0)),"?"))</f>
        <v/>
      </c>
      <c r="E577" s="16" t="n"/>
      <c r="F577" s="17">
        <f>IF($E577="","",IFERROR(INDEX(rngSM_max,MATCH($E577,rngSM_cat,0)),""))</f>
        <v/>
      </c>
      <c r="G577" s="17">
        <f>IF($E577="","",IFERROR(INDEX(rngSM_mode,MATCH($E577,rngSM_cat,0)),""))</f>
        <v/>
      </c>
      <c r="H577" s="17">
        <f>IF($E577="","",IFERROR(INDEX(rngSM_pass,MATCH($E577,rngSM_cat,0)),""))</f>
        <v/>
      </c>
      <c r="I577" s="16" t="n"/>
      <c r="J577" s="16" t="n"/>
      <c r="K577" s="16" t="n"/>
      <c r="L577" s="18" t="n"/>
      <c r="M577" s="16" t="n"/>
      <c r="N577" s="17">
        <f>IF($C577="","",MAX(_xlfn.MAXIFS(nrSK_Att,nrSK_PID,$D577,nrSK_Cat,$E577,nrSK_Res,"Pass"),_xlfn.MAXIFS(nrSK_Att,nrSK_PID,$D577,nrSK_Cat,$E577,nrSK_Res,"Fail")))</f>
        <v/>
      </c>
      <c r="O577" s="17">
        <f>IF($C577="","",IF(AND(MAX(_xlfn.MAXIFS(nrSK_Att,nrSK_PID,$D577,nrSK_Cat,$E577,nrSK_Res,"Pass"),_xlfn.MAXIFS(nrSK_Att,nrSK_PID,$D577,nrSK_Cat,$E577,nrSK_Res,"Fail"))&gt;0,N($I577)&lt;MAX(_xlfn.MAXIFS(nrSK_Att,nrSK_PID,$D577,nrSK_Cat,$E577,nrSK_Res,"Pass"),_xlfn.MAXIFS(nrSK_Att,nrSK_PID,$D577,nrSK_Cat,$E577,nrSK_Res,"Fail"))),"(superseded)",IF(OR($J577="",$J577="Pending"),"Pending",IF($J577="Pass","Qualified",IF(AND($J577="Fail",$N577&gt;=$F577),"FAILED OUT","Needs Remediation")))))</f>
        <v/>
      </c>
      <c r="P577" s="17">
        <f>IF($C577="","",IF($O577="FAILED OUT","Yes","No"))</f>
        <v/>
      </c>
      <c r="Q577" s="16" t="n"/>
      <c r="R577" s="16" t="n"/>
      <c r="S577" s="17">
        <f>IF($C577="","",IF(AND($K577&lt;&gt;"",NOT(ISNUMBER($K577))),"SCORE NOT A NUMBER",IF(AND(ISNUMBER($K577),OR($K577&lt;0,$K577&gt;100)),"SCORE OUT OF RANGE - this score counts toward nothing",IF(AND($G577="Score",$K577="",$J577&lt;&gt;"",$J577&lt;&gt;"Pending"),"RESULT WITHOUT A SCORE",IF(AND($G577="Pass/Fail",$K577&lt;&gt;""),"SCORE ON A PASS-FAIL CATEGORY - it is ignored",IF(AND($E577="Firearms",$J577&lt;&gt;"",$J577&lt;&gt;"Pending",$R577=""),"FIREARMS ROW WITH NO COURSE OF FIRE","OK"))))))</f>
        <v/>
      </c>
    </row>
    <row r="578">
      <c r="B578" s="17">
        <f>IF($C578="","",$D578&amp;"-"&amp;$E578&amp;"-"&amp;$I578)</f>
        <v/>
      </c>
      <c r="C578" s="16" t="n"/>
      <c r="D578" s="17">
        <f>IF($C578="","",IFERROR(INDEX(rngCadetPIDs,MATCH($C578,rngCadetNames,0)),"?"))</f>
        <v/>
      </c>
      <c r="E578" s="16" t="n"/>
      <c r="F578" s="17">
        <f>IF($E578="","",IFERROR(INDEX(rngSM_max,MATCH($E578,rngSM_cat,0)),""))</f>
        <v/>
      </c>
      <c r="G578" s="17">
        <f>IF($E578="","",IFERROR(INDEX(rngSM_mode,MATCH($E578,rngSM_cat,0)),""))</f>
        <v/>
      </c>
      <c r="H578" s="17">
        <f>IF($E578="","",IFERROR(INDEX(rngSM_pass,MATCH($E578,rngSM_cat,0)),""))</f>
        <v/>
      </c>
      <c r="I578" s="16" t="n"/>
      <c r="J578" s="16" t="n"/>
      <c r="K578" s="16" t="n"/>
      <c r="L578" s="18" t="n"/>
      <c r="M578" s="16" t="n"/>
      <c r="N578" s="17">
        <f>IF($C578="","",MAX(_xlfn.MAXIFS(nrSK_Att,nrSK_PID,$D578,nrSK_Cat,$E578,nrSK_Res,"Pass"),_xlfn.MAXIFS(nrSK_Att,nrSK_PID,$D578,nrSK_Cat,$E578,nrSK_Res,"Fail")))</f>
        <v/>
      </c>
      <c r="O578" s="17">
        <f>IF($C578="","",IF(AND(MAX(_xlfn.MAXIFS(nrSK_Att,nrSK_PID,$D578,nrSK_Cat,$E578,nrSK_Res,"Pass"),_xlfn.MAXIFS(nrSK_Att,nrSK_PID,$D578,nrSK_Cat,$E578,nrSK_Res,"Fail"))&gt;0,N($I578)&lt;MAX(_xlfn.MAXIFS(nrSK_Att,nrSK_PID,$D578,nrSK_Cat,$E578,nrSK_Res,"Pass"),_xlfn.MAXIFS(nrSK_Att,nrSK_PID,$D578,nrSK_Cat,$E578,nrSK_Res,"Fail"))),"(superseded)",IF(OR($J578="",$J578="Pending"),"Pending",IF($J578="Pass","Qualified",IF(AND($J578="Fail",$N578&gt;=$F578),"FAILED OUT","Needs Remediation")))))</f>
        <v/>
      </c>
      <c r="P578" s="17">
        <f>IF($C578="","",IF($O578="FAILED OUT","Yes","No"))</f>
        <v/>
      </c>
      <c r="Q578" s="16" t="n"/>
      <c r="R578" s="16" t="n"/>
      <c r="S578" s="17">
        <f>IF($C578="","",IF(AND($K578&lt;&gt;"",NOT(ISNUMBER($K578))),"SCORE NOT A NUMBER",IF(AND(ISNUMBER($K578),OR($K578&lt;0,$K578&gt;100)),"SCORE OUT OF RANGE - this score counts toward nothing",IF(AND($G578="Score",$K578="",$J578&lt;&gt;"",$J578&lt;&gt;"Pending"),"RESULT WITHOUT A SCORE",IF(AND($G578="Pass/Fail",$K578&lt;&gt;""),"SCORE ON A PASS-FAIL CATEGORY - it is ignored",IF(AND($E578="Firearms",$J578&lt;&gt;"",$J578&lt;&gt;"Pending",$R578=""),"FIREARMS ROW WITH NO COURSE OF FIRE","OK"))))))</f>
        <v/>
      </c>
    </row>
    <row r="579">
      <c r="B579" s="17">
        <f>IF($C579="","",$D579&amp;"-"&amp;$E579&amp;"-"&amp;$I579)</f>
        <v/>
      </c>
      <c r="C579" s="16" t="n"/>
      <c r="D579" s="17">
        <f>IF($C579="","",IFERROR(INDEX(rngCadetPIDs,MATCH($C579,rngCadetNames,0)),"?"))</f>
        <v/>
      </c>
      <c r="E579" s="16" t="n"/>
      <c r="F579" s="17">
        <f>IF($E579="","",IFERROR(INDEX(rngSM_max,MATCH($E579,rngSM_cat,0)),""))</f>
        <v/>
      </c>
      <c r="G579" s="17">
        <f>IF($E579="","",IFERROR(INDEX(rngSM_mode,MATCH($E579,rngSM_cat,0)),""))</f>
        <v/>
      </c>
      <c r="H579" s="17">
        <f>IF($E579="","",IFERROR(INDEX(rngSM_pass,MATCH($E579,rngSM_cat,0)),""))</f>
        <v/>
      </c>
      <c r="I579" s="16" t="n"/>
      <c r="J579" s="16" t="n"/>
      <c r="K579" s="16" t="n"/>
      <c r="L579" s="18" t="n"/>
      <c r="M579" s="16" t="n"/>
      <c r="N579" s="17">
        <f>IF($C579="","",MAX(_xlfn.MAXIFS(nrSK_Att,nrSK_PID,$D579,nrSK_Cat,$E579,nrSK_Res,"Pass"),_xlfn.MAXIFS(nrSK_Att,nrSK_PID,$D579,nrSK_Cat,$E579,nrSK_Res,"Fail")))</f>
        <v/>
      </c>
      <c r="O579" s="17">
        <f>IF($C579="","",IF(AND(MAX(_xlfn.MAXIFS(nrSK_Att,nrSK_PID,$D579,nrSK_Cat,$E579,nrSK_Res,"Pass"),_xlfn.MAXIFS(nrSK_Att,nrSK_PID,$D579,nrSK_Cat,$E579,nrSK_Res,"Fail"))&gt;0,N($I579)&lt;MAX(_xlfn.MAXIFS(nrSK_Att,nrSK_PID,$D579,nrSK_Cat,$E579,nrSK_Res,"Pass"),_xlfn.MAXIFS(nrSK_Att,nrSK_PID,$D579,nrSK_Cat,$E579,nrSK_Res,"Fail"))),"(superseded)",IF(OR($J579="",$J579="Pending"),"Pending",IF($J579="Pass","Qualified",IF(AND($J579="Fail",$N579&gt;=$F579),"FAILED OUT","Needs Remediation")))))</f>
        <v/>
      </c>
      <c r="P579" s="17">
        <f>IF($C579="","",IF($O579="FAILED OUT","Yes","No"))</f>
        <v/>
      </c>
      <c r="Q579" s="16" t="n"/>
      <c r="R579" s="16" t="n"/>
      <c r="S579" s="17">
        <f>IF($C579="","",IF(AND($K579&lt;&gt;"",NOT(ISNUMBER($K579))),"SCORE NOT A NUMBER",IF(AND(ISNUMBER($K579),OR($K579&lt;0,$K579&gt;100)),"SCORE OUT OF RANGE - this score counts toward nothing",IF(AND($G579="Score",$K579="",$J579&lt;&gt;"",$J579&lt;&gt;"Pending"),"RESULT WITHOUT A SCORE",IF(AND($G579="Pass/Fail",$K579&lt;&gt;""),"SCORE ON A PASS-FAIL CATEGORY - it is ignored",IF(AND($E579="Firearms",$J579&lt;&gt;"",$J579&lt;&gt;"Pending",$R579=""),"FIREARMS ROW WITH NO COURSE OF FIRE","OK"))))))</f>
        <v/>
      </c>
    </row>
    <row r="580">
      <c r="B580" s="17">
        <f>IF($C580="","",$D580&amp;"-"&amp;$E580&amp;"-"&amp;$I580)</f>
        <v/>
      </c>
      <c r="C580" s="16" t="n"/>
      <c r="D580" s="17">
        <f>IF($C580="","",IFERROR(INDEX(rngCadetPIDs,MATCH($C580,rngCadetNames,0)),"?"))</f>
        <v/>
      </c>
      <c r="E580" s="16" t="n"/>
      <c r="F580" s="17">
        <f>IF($E580="","",IFERROR(INDEX(rngSM_max,MATCH($E580,rngSM_cat,0)),""))</f>
        <v/>
      </c>
      <c r="G580" s="17">
        <f>IF($E580="","",IFERROR(INDEX(rngSM_mode,MATCH($E580,rngSM_cat,0)),""))</f>
        <v/>
      </c>
      <c r="H580" s="17">
        <f>IF($E580="","",IFERROR(INDEX(rngSM_pass,MATCH($E580,rngSM_cat,0)),""))</f>
        <v/>
      </c>
      <c r="I580" s="16" t="n"/>
      <c r="J580" s="16" t="n"/>
      <c r="K580" s="16" t="n"/>
      <c r="L580" s="18" t="n"/>
      <c r="M580" s="16" t="n"/>
      <c r="N580" s="17">
        <f>IF($C580="","",MAX(_xlfn.MAXIFS(nrSK_Att,nrSK_PID,$D580,nrSK_Cat,$E580,nrSK_Res,"Pass"),_xlfn.MAXIFS(nrSK_Att,nrSK_PID,$D580,nrSK_Cat,$E580,nrSK_Res,"Fail")))</f>
        <v/>
      </c>
      <c r="O580" s="17">
        <f>IF($C580="","",IF(AND(MAX(_xlfn.MAXIFS(nrSK_Att,nrSK_PID,$D580,nrSK_Cat,$E580,nrSK_Res,"Pass"),_xlfn.MAXIFS(nrSK_Att,nrSK_PID,$D580,nrSK_Cat,$E580,nrSK_Res,"Fail"))&gt;0,N($I580)&lt;MAX(_xlfn.MAXIFS(nrSK_Att,nrSK_PID,$D580,nrSK_Cat,$E580,nrSK_Res,"Pass"),_xlfn.MAXIFS(nrSK_Att,nrSK_PID,$D580,nrSK_Cat,$E580,nrSK_Res,"Fail"))),"(superseded)",IF(OR($J580="",$J580="Pending"),"Pending",IF($J580="Pass","Qualified",IF(AND($J580="Fail",$N580&gt;=$F580),"FAILED OUT","Needs Remediation")))))</f>
        <v/>
      </c>
      <c r="P580" s="17">
        <f>IF($C580="","",IF($O580="FAILED OUT","Yes","No"))</f>
        <v/>
      </c>
      <c r="Q580" s="16" t="n"/>
      <c r="R580" s="16" t="n"/>
      <c r="S580" s="17">
        <f>IF($C580="","",IF(AND($K580&lt;&gt;"",NOT(ISNUMBER($K580))),"SCORE NOT A NUMBER",IF(AND(ISNUMBER($K580),OR($K580&lt;0,$K580&gt;100)),"SCORE OUT OF RANGE - this score counts toward nothing",IF(AND($G580="Score",$K580="",$J580&lt;&gt;"",$J580&lt;&gt;"Pending"),"RESULT WITHOUT A SCORE",IF(AND($G580="Pass/Fail",$K580&lt;&gt;""),"SCORE ON A PASS-FAIL CATEGORY - it is ignored",IF(AND($E580="Firearms",$J580&lt;&gt;"",$J580&lt;&gt;"Pending",$R580=""),"FIREARMS ROW WITH NO COURSE OF FIRE","OK"))))))</f>
        <v/>
      </c>
    </row>
    <row r="581">
      <c r="B581" s="17">
        <f>IF($C581="","",$D581&amp;"-"&amp;$E581&amp;"-"&amp;$I581)</f>
        <v/>
      </c>
      <c r="C581" s="16" t="n"/>
      <c r="D581" s="17">
        <f>IF($C581="","",IFERROR(INDEX(rngCadetPIDs,MATCH($C581,rngCadetNames,0)),"?"))</f>
        <v/>
      </c>
      <c r="E581" s="16" t="n"/>
      <c r="F581" s="17">
        <f>IF($E581="","",IFERROR(INDEX(rngSM_max,MATCH($E581,rngSM_cat,0)),""))</f>
        <v/>
      </c>
      <c r="G581" s="17">
        <f>IF($E581="","",IFERROR(INDEX(rngSM_mode,MATCH($E581,rngSM_cat,0)),""))</f>
        <v/>
      </c>
      <c r="H581" s="17">
        <f>IF($E581="","",IFERROR(INDEX(rngSM_pass,MATCH($E581,rngSM_cat,0)),""))</f>
        <v/>
      </c>
      <c r="I581" s="16" t="n"/>
      <c r="J581" s="16" t="n"/>
      <c r="K581" s="16" t="n"/>
      <c r="L581" s="18" t="n"/>
      <c r="M581" s="16" t="n"/>
      <c r="N581" s="17">
        <f>IF($C581="","",MAX(_xlfn.MAXIFS(nrSK_Att,nrSK_PID,$D581,nrSK_Cat,$E581,nrSK_Res,"Pass"),_xlfn.MAXIFS(nrSK_Att,nrSK_PID,$D581,nrSK_Cat,$E581,nrSK_Res,"Fail")))</f>
        <v/>
      </c>
      <c r="O581" s="17">
        <f>IF($C581="","",IF(AND(MAX(_xlfn.MAXIFS(nrSK_Att,nrSK_PID,$D581,nrSK_Cat,$E581,nrSK_Res,"Pass"),_xlfn.MAXIFS(nrSK_Att,nrSK_PID,$D581,nrSK_Cat,$E581,nrSK_Res,"Fail"))&gt;0,N($I581)&lt;MAX(_xlfn.MAXIFS(nrSK_Att,nrSK_PID,$D581,nrSK_Cat,$E581,nrSK_Res,"Pass"),_xlfn.MAXIFS(nrSK_Att,nrSK_PID,$D581,nrSK_Cat,$E581,nrSK_Res,"Fail"))),"(superseded)",IF(OR($J581="",$J581="Pending"),"Pending",IF($J581="Pass","Qualified",IF(AND($J581="Fail",$N581&gt;=$F581),"FAILED OUT","Needs Remediation")))))</f>
        <v/>
      </c>
      <c r="P581" s="17">
        <f>IF($C581="","",IF($O581="FAILED OUT","Yes","No"))</f>
        <v/>
      </c>
      <c r="Q581" s="16" t="n"/>
      <c r="R581" s="16" t="n"/>
      <c r="S581" s="17">
        <f>IF($C581="","",IF(AND($K581&lt;&gt;"",NOT(ISNUMBER($K581))),"SCORE NOT A NUMBER",IF(AND(ISNUMBER($K581),OR($K581&lt;0,$K581&gt;100)),"SCORE OUT OF RANGE - this score counts toward nothing",IF(AND($G581="Score",$K581="",$J581&lt;&gt;"",$J581&lt;&gt;"Pending"),"RESULT WITHOUT A SCORE",IF(AND($G581="Pass/Fail",$K581&lt;&gt;""),"SCORE ON A PASS-FAIL CATEGORY - it is ignored",IF(AND($E581="Firearms",$J581&lt;&gt;"",$J581&lt;&gt;"Pending",$R581=""),"FIREARMS ROW WITH NO COURSE OF FIRE","OK"))))))</f>
        <v/>
      </c>
    </row>
    <row r="582">
      <c r="B582" s="17">
        <f>IF($C582="","",$D582&amp;"-"&amp;$E582&amp;"-"&amp;$I582)</f>
        <v/>
      </c>
      <c r="C582" s="16" t="n"/>
      <c r="D582" s="17">
        <f>IF($C582="","",IFERROR(INDEX(rngCadetPIDs,MATCH($C582,rngCadetNames,0)),"?"))</f>
        <v/>
      </c>
      <c r="E582" s="16" t="n"/>
      <c r="F582" s="17">
        <f>IF($E582="","",IFERROR(INDEX(rngSM_max,MATCH($E582,rngSM_cat,0)),""))</f>
        <v/>
      </c>
      <c r="G582" s="17">
        <f>IF($E582="","",IFERROR(INDEX(rngSM_mode,MATCH($E582,rngSM_cat,0)),""))</f>
        <v/>
      </c>
      <c r="H582" s="17">
        <f>IF($E582="","",IFERROR(INDEX(rngSM_pass,MATCH($E582,rngSM_cat,0)),""))</f>
        <v/>
      </c>
      <c r="I582" s="16" t="n"/>
      <c r="J582" s="16" t="n"/>
      <c r="K582" s="16" t="n"/>
      <c r="L582" s="18" t="n"/>
      <c r="M582" s="16" t="n"/>
      <c r="N582" s="17">
        <f>IF($C582="","",MAX(_xlfn.MAXIFS(nrSK_Att,nrSK_PID,$D582,nrSK_Cat,$E582,nrSK_Res,"Pass"),_xlfn.MAXIFS(nrSK_Att,nrSK_PID,$D582,nrSK_Cat,$E582,nrSK_Res,"Fail")))</f>
        <v/>
      </c>
      <c r="O582" s="17">
        <f>IF($C582="","",IF(AND(MAX(_xlfn.MAXIFS(nrSK_Att,nrSK_PID,$D582,nrSK_Cat,$E582,nrSK_Res,"Pass"),_xlfn.MAXIFS(nrSK_Att,nrSK_PID,$D582,nrSK_Cat,$E582,nrSK_Res,"Fail"))&gt;0,N($I582)&lt;MAX(_xlfn.MAXIFS(nrSK_Att,nrSK_PID,$D582,nrSK_Cat,$E582,nrSK_Res,"Pass"),_xlfn.MAXIFS(nrSK_Att,nrSK_PID,$D582,nrSK_Cat,$E582,nrSK_Res,"Fail"))),"(superseded)",IF(OR($J582="",$J582="Pending"),"Pending",IF($J582="Pass","Qualified",IF(AND($J582="Fail",$N582&gt;=$F582),"FAILED OUT","Needs Remediation")))))</f>
        <v/>
      </c>
      <c r="P582" s="17">
        <f>IF($C582="","",IF($O582="FAILED OUT","Yes","No"))</f>
        <v/>
      </c>
      <c r="Q582" s="16" t="n"/>
      <c r="R582" s="16" t="n"/>
      <c r="S582" s="17">
        <f>IF($C582="","",IF(AND($K582&lt;&gt;"",NOT(ISNUMBER($K582))),"SCORE NOT A NUMBER",IF(AND(ISNUMBER($K582),OR($K582&lt;0,$K582&gt;100)),"SCORE OUT OF RANGE - this score counts toward nothing",IF(AND($G582="Score",$K582="",$J582&lt;&gt;"",$J582&lt;&gt;"Pending"),"RESULT WITHOUT A SCORE",IF(AND($G582="Pass/Fail",$K582&lt;&gt;""),"SCORE ON A PASS-FAIL CATEGORY - it is ignored",IF(AND($E582="Firearms",$J582&lt;&gt;"",$J582&lt;&gt;"Pending",$R582=""),"FIREARMS ROW WITH NO COURSE OF FIRE","OK"))))))</f>
        <v/>
      </c>
    </row>
    <row r="583">
      <c r="B583" s="17">
        <f>IF($C583="","",$D583&amp;"-"&amp;$E583&amp;"-"&amp;$I583)</f>
        <v/>
      </c>
      <c r="C583" s="16" t="n"/>
      <c r="D583" s="17">
        <f>IF($C583="","",IFERROR(INDEX(rngCadetPIDs,MATCH($C583,rngCadetNames,0)),"?"))</f>
        <v/>
      </c>
      <c r="E583" s="16" t="n"/>
      <c r="F583" s="17">
        <f>IF($E583="","",IFERROR(INDEX(rngSM_max,MATCH($E583,rngSM_cat,0)),""))</f>
        <v/>
      </c>
      <c r="G583" s="17">
        <f>IF($E583="","",IFERROR(INDEX(rngSM_mode,MATCH($E583,rngSM_cat,0)),""))</f>
        <v/>
      </c>
      <c r="H583" s="17">
        <f>IF($E583="","",IFERROR(INDEX(rngSM_pass,MATCH($E583,rngSM_cat,0)),""))</f>
        <v/>
      </c>
      <c r="I583" s="16" t="n"/>
      <c r="J583" s="16" t="n"/>
      <c r="K583" s="16" t="n"/>
      <c r="L583" s="18" t="n"/>
      <c r="M583" s="16" t="n"/>
      <c r="N583" s="17">
        <f>IF($C583="","",MAX(_xlfn.MAXIFS(nrSK_Att,nrSK_PID,$D583,nrSK_Cat,$E583,nrSK_Res,"Pass"),_xlfn.MAXIFS(nrSK_Att,nrSK_PID,$D583,nrSK_Cat,$E583,nrSK_Res,"Fail")))</f>
        <v/>
      </c>
      <c r="O583" s="17">
        <f>IF($C583="","",IF(AND(MAX(_xlfn.MAXIFS(nrSK_Att,nrSK_PID,$D583,nrSK_Cat,$E583,nrSK_Res,"Pass"),_xlfn.MAXIFS(nrSK_Att,nrSK_PID,$D583,nrSK_Cat,$E583,nrSK_Res,"Fail"))&gt;0,N($I583)&lt;MAX(_xlfn.MAXIFS(nrSK_Att,nrSK_PID,$D583,nrSK_Cat,$E583,nrSK_Res,"Pass"),_xlfn.MAXIFS(nrSK_Att,nrSK_PID,$D583,nrSK_Cat,$E583,nrSK_Res,"Fail"))),"(superseded)",IF(OR($J583="",$J583="Pending"),"Pending",IF($J583="Pass","Qualified",IF(AND($J583="Fail",$N583&gt;=$F583),"FAILED OUT","Needs Remediation")))))</f>
        <v/>
      </c>
      <c r="P583" s="17">
        <f>IF($C583="","",IF($O583="FAILED OUT","Yes","No"))</f>
        <v/>
      </c>
      <c r="Q583" s="16" t="n"/>
      <c r="R583" s="16" t="n"/>
      <c r="S583" s="17">
        <f>IF($C583="","",IF(AND($K583&lt;&gt;"",NOT(ISNUMBER($K583))),"SCORE NOT A NUMBER",IF(AND(ISNUMBER($K583),OR($K583&lt;0,$K583&gt;100)),"SCORE OUT OF RANGE - this score counts toward nothing",IF(AND($G583="Score",$K583="",$J583&lt;&gt;"",$J583&lt;&gt;"Pending"),"RESULT WITHOUT A SCORE",IF(AND($G583="Pass/Fail",$K583&lt;&gt;""),"SCORE ON A PASS-FAIL CATEGORY - it is ignored",IF(AND($E583="Firearms",$J583&lt;&gt;"",$J583&lt;&gt;"Pending",$R583=""),"FIREARMS ROW WITH NO COURSE OF FIRE","OK"))))))</f>
        <v/>
      </c>
    </row>
    <row r="584">
      <c r="B584" s="17">
        <f>IF($C584="","",$D584&amp;"-"&amp;$E584&amp;"-"&amp;$I584)</f>
        <v/>
      </c>
      <c r="C584" s="16" t="n"/>
      <c r="D584" s="17">
        <f>IF($C584="","",IFERROR(INDEX(rngCadetPIDs,MATCH($C584,rngCadetNames,0)),"?"))</f>
        <v/>
      </c>
      <c r="E584" s="16" t="n"/>
      <c r="F584" s="17">
        <f>IF($E584="","",IFERROR(INDEX(rngSM_max,MATCH($E584,rngSM_cat,0)),""))</f>
        <v/>
      </c>
      <c r="G584" s="17">
        <f>IF($E584="","",IFERROR(INDEX(rngSM_mode,MATCH($E584,rngSM_cat,0)),""))</f>
        <v/>
      </c>
      <c r="H584" s="17">
        <f>IF($E584="","",IFERROR(INDEX(rngSM_pass,MATCH($E584,rngSM_cat,0)),""))</f>
        <v/>
      </c>
      <c r="I584" s="16" t="n"/>
      <c r="J584" s="16" t="n"/>
      <c r="K584" s="16" t="n"/>
      <c r="L584" s="18" t="n"/>
      <c r="M584" s="16" t="n"/>
      <c r="N584" s="17">
        <f>IF($C584="","",MAX(_xlfn.MAXIFS(nrSK_Att,nrSK_PID,$D584,nrSK_Cat,$E584,nrSK_Res,"Pass"),_xlfn.MAXIFS(nrSK_Att,nrSK_PID,$D584,nrSK_Cat,$E584,nrSK_Res,"Fail")))</f>
        <v/>
      </c>
      <c r="O584" s="17">
        <f>IF($C584="","",IF(AND(MAX(_xlfn.MAXIFS(nrSK_Att,nrSK_PID,$D584,nrSK_Cat,$E584,nrSK_Res,"Pass"),_xlfn.MAXIFS(nrSK_Att,nrSK_PID,$D584,nrSK_Cat,$E584,nrSK_Res,"Fail"))&gt;0,N($I584)&lt;MAX(_xlfn.MAXIFS(nrSK_Att,nrSK_PID,$D584,nrSK_Cat,$E584,nrSK_Res,"Pass"),_xlfn.MAXIFS(nrSK_Att,nrSK_PID,$D584,nrSK_Cat,$E584,nrSK_Res,"Fail"))),"(superseded)",IF(OR($J584="",$J584="Pending"),"Pending",IF($J584="Pass","Qualified",IF(AND($J584="Fail",$N584&gt;=$F584),"FAILED OUT","Needs Remediation")))))</f>
        <v/>
      </c>
      <c r="P584" s="17">
        <f>IF($C584="","",IF($O584="FAILED OUT","Yes","No"))</f>
        <v/>
      </c>
      <c r="Q584" s="16" t="n"/>
      <c r="R584" s="16" t="n"/>
      <c r="S584" s="17">
        <f>IF($C584="","",IF(AND($K584&lt;&gt;"",NOT(ISNUMBER($K584))),"SCORE NOT A NUMBER",IF(AND(ISNUMBER($K584),OR($K584&lt;0,$K584&gt;100)),"SCORE OUT OF RANGE - this score counts toward nothing",IF(AND($G584="Score",$K584="",$J584&lt;&gt;"",$J584&lt;&gt;"Pending"),"RESULT WITHOUT A SCORE",IF(AND($G584="Pass/Fail",$K584&lt;&gt;""),"SCORE ON A PASS-FAIL CATEGORY - it is ignored",IF(AND($E584="Firearms",$J584&lt;&gt;"",$J584&lt;&gt;"Pending",$R584=""),"FIREARMS ROW WITH NO COURSE OF FIRE","OK"))))))</f>
        <v/>
      </c>
    </row>
    <row r="585">
      <c r="B585" s="17">
        <f>IF($C585="","",$D585&amp;"-"&amp;$E585&amp;"-"&amp;$I585)</f>
        <v/>
      </c>
      <c r="C585" s="16" t="n"/>
      <c r="D585" s="17">
        <f>IF($C585="","",IFERROR(INDEX(rngCadetPIDs,MATCH($C585,rngCadetNames,0)),"?"))</f>
        <v/>
      </c>
      <c r="E585" s="16" t="n"/>
      <c r="F585" s="17">
        <f>IF($E585="","",IFERROR(INDEX(rngSM_max,MATCH($E585,rngSM_cat,0)),""))</f>
        <v/>
      </c>
      <c r="G585" s="17">
        <f>IF($E585="","",IFERROR(INDEX(rngSM_mode,MATCH($E585,rngSM_cat,0)),""))</f>
        <v/>
      </c>
      <c r="H585" s="17">
        <f>IF($E585="","",IFERROR(INDEX(rngSM_pass,MATCH($E585,rngSM_cat,0)),""))</f>
        <v/>
      </c>
      <c r="I585" s="16" t="n"/>
      <c r="J585" s="16" t="n"/>
      <c r="K585" s="16" t="n"/>
      <c r="L585" s="18" t="n"/>
      <c r="M585" s="16" t="n"/>
      <c r="N585" s="17">
        <f>IF($C585="","",MAX(_xlfn.MAXIFS(nrSK_Att,nrSK_PID,$D585,nrSK_Cat,$E585,nrSK_Res,"Pass"),_xlfn.MAXIFS(nrSK_Att,nrSK_PID,$D585,nrSK_Cat,$E585,nrSK_Res,"Fail")))</f>
        <v/>
      </c>
      <c r="O585" s="17">
        <f>IF($C585="","",IF(AND(MAX(_xlfn.MAXIFS(nrSK_Att,nrSK_PID,$D585,nrSK_Cat,$E585,nrSK_Res,"Pass"),_xlfn.MAXIFS(nrSK_Att,nrSK_PID,$D585,nrSK_Cat,$E585,nrSK_Res,"Fail"))&gt;0,N($I585)&lt;MAX(_xlfn.MAXIFS(nrSK_Att,nrSK_PID,$D585,nrSK_Cat,$E585,nrSK_Res,"Pass"),_xlfn.MAXIFS(nrSK_Att,nrSK_PID,$D585,nrSK_Cat,$E585,nrSK_Res,"Fail"))),"(superseded)",IF(OR($J585="",$J585="Pending"),"Pending",IF($J585="Pass","Qualified",IF(AND($J585="Fail",$N585&gt;=$F585),"FAILED OUT","Needs Remediation")))))</f>
        <v/>
      </c>
      <c r="P585" s="17">
        <f>IF($C585="","",IF($O585="FAILED OUT","Yes","No"))</f>
        <v/>
      </c>
      <c r="Q585" s="16" t="n"/>
      <c r="R585" s="16" t="n"/>
      <c r="S585" s="17">
        <f>IF($C585="","",IF(AND($K585&lt;&gt;"",NOT(ISNUMBER($K585))),"SCORE NOT A NUMBER",IF(AND(ISNUMBER($K585),OR($K585&lt;0,$K585&gt;100)),"SCORE OUT OF RANGE - this score counts toward nothing",IF(AND($G585="Score",$K585="",$J585&lt;&gt;"",$J585&lt;&gt;"Pending"),"RESULT WITHOUT A SCORE",IF(AND($G585="Pass/Fail",$K585&lt;&gt;""),"SCORE ON A PASS-FAIL CATEGORY - it is ignored",IF(AND($E585="Firearms",$J585&lt;&gt;"",$J585&lt;&gt;"Pending",$R585=""),"FIREARMS ROW WITH NO COURSE OF FIRE","OK"))))))</f>
        <v/>
      </c>
    </row>
    <row r="586">
      <c r="B586" s="17">
        <f>IF($C586="","",$D586&amp;"-"&amp;$E586&amp;"-"&amp;$I586)</f>
        <v/>
      </c>
      <c r="C586" s="16" t="n"/>
      <c r="D586" s="17">
        <f>IF($C586="","",IFERROR(INDEX(rngCadetPIDs,MATCH($C586,rngCadetNames,0)),"?"))</f>
        <v/>
      </c>
      <c r="E586" s="16" t="n"/>
      <c r="F586" s="17">
        <f>IF($E586="","",IFERROR(INDEX(rngSM_max,MATCH($E586,rngSM_cat,0)),""))</f>
        <v/>
      </c>
      <c r="G586" s="17">
        <f>IF($E586="","",IFERROR(INDEX(rngSM_mode,MATCH($E586,rngSM_cat,0)),""))</f>
        <v/>
      </c>
      <c r="H586" s="17">
        <f>IF($E586="","",IFERROR(INDEX(rngSM_pass,MATCH($E586,rngSM_cat,0)),""))</f>
        <v/>
      </c>
      <c r="I586" s="16" t="n"/>
      <c r="J586" s="16" t="n"/>
      <c r="K586" s="16" t="n"/>
      <c r="L586" s="18" t="n"/>
      <c r="M586" s="16" t="n"/>
      <c r="N586" s="17">
        <f>IF($C586="","",MAX(_xlfn.MAXIFS(nrSK_Att,nrSK_PID,$D586,nrSK_Cat,$E586,nrSK_Res,"Pass"),_xlfn.MAXIFS(nrSK_Att,nrSK_PID,$D586,nrSK_Cat,$E586,nrSK_Res,"Fail")))</f>
        <v/>
      </c>
      <c r="O586" s="17">
        <f>IF($C586="","",IF(AND(MAX(_xlfn.MAXIFS(nrSK_Att,nrSK_PID,$D586,nrSK_Cat,$E586,nrSK_Res,"Pass"),_xlfn.MAXIFS(nrSK_Att,nrSK_PID,$D586,nrSK_Cat,$E586,nrSK_Res,"Fail"))&gt;0,N($I586)&lt;MAX(_xlfn.MAXIFS(nrSK_Att,nrSK_PID,$D586,nrSK_Cat,$E586,nrSK_Res,"Pass"),_xlfn.MAXIFS(nrSK_Att,nrSK_PID,$D586,nrSK_Cat,$E586,nrSK_Res,"Fail"))),"(superseded)",IF(OR($J586="",$J586="Pending"),"Pending",IF($J586="Pass","Qualified",IF(AND($J586="Fail",$N586&gt;=$F586),"FAILED OUT","Needs Remediation")))))</f>
        <v/>
      </c>
      <c r="P586" s="17">
        <f>IF($C586="","",IF($O586="FAILED OUT","Yes","No"))</f>
        <v/>
      </c>
      <c r="Q586" s="16" t="n"/>
      <c r="R586" s="16" t="n"/>
      <c r="S586" s="17">
        <f>IF($C586="","",IF(AND($K586&lt;&gt;"",NOT(ISNUMBER($K586))),"SCORE NOT A NUMBER",IF(AND(ISNUMBER($K586),OR($K586&lt;0,$K586&gt;100)),"SCORE OUT OF RANGE - this score counts toward nothing",IF(AND($G586="Score",$K586="",$J586&lt;&gt;"",$J586&lt;&gt;"Pending"),"RESULT WITHOUT A SCORE",IF(AND($G586="Pass/Fail",$K586&lt;&gt;""),"SCORE ON A PASS-FAIL CATEGORY - it is ignored",IF(AND($E586="Firearms",$J586&lt;&gt;"",$J586&lt;&gt;"Pending",$R586=""),"FIREARMS ROW WITH NO COURSE OF FIRE","OK"))))))</f>
        <v/>
      </c>
    </row>
    <row r="587">
      <c r="B587" s="17">
        <f>IF($C587="","",$D587&amp;"-"&amp;$E587&amp;"-"&amp;$I587)</f>
        <v/>
      </c>
      <c r="C587" s="16" t="n"/>
      <c r="D587" s="17">
        <f>IF($C587="","",IFERROR(INDEX(rngCadetPIDs,MATCH($C587,rngCadetNames,0)),"?"))</f>
        <v/>
      </c>
      <c r="E587" s="16" t="n"/>
      <c r="F587" s="17">
        <f>IF($E587="","",IFERROR(INDEX(rngSM_max,MATCH($E587,rngSM_cat,0)),""))</f>
        <v/>
      </c>
      <c r="G587" s="17">
        <f>IF($E587="","",IFERROR(INDEX(rngSM_mode,MATCH($E587,rngSM_cat,0)),""))</f>
        <v/>
      </c>
      <c r="H587" s="17">
        <f>IF($E587="","",IFERROR(INDEX(rngSM_pass,MATCH($E587,rngSM_cat,0)),""))</f>
        <v/>
      </c>
      <c r="I587" s="16" t="n"/>
      <c r="J587" s="16" t="n"/>
      <c r="K587" s="16" t="n"/>
      <c r="L587" s="18" t="n"/>
      <c r="M587" s="16" t="n"/>
      <c r="N587" s="17">
        <f>IF($C587="","",MAX(_xlfn.MAXIFS(nrSK_Att,nrSK_PID,$D587,nrSK_Cat,$E587,nrSK_Res,"Pass"),_xlfn.MAXIFS(nrSK_Att,nrSK_PID,$D587,nrSK_Cat,$E587,nrSK_Res,"Fail")))</f>
        <v/>
      </c>
      <c r="O587" s="17">
        <f>IF($C587="","",IF(AND(MAX(_xlfn.MAXIFS(nrSK_Att,nrSK_PID,$D587,nrSK_Cat,$E587,nrSK_Res,"Pass"),_xlfn.MAXIFS(nrSK_Att,nrSK_PID,$D587,nrSK_Cat,$E587,nrSK_Res,"Fail"))&gt;0,N($I587)&lt;MAX(_xlfn.MAXIFS(nrSK_Att,nrSK_PID,$D587,nrSK_Cat,$E587,nrSK_Res,"Pass"),_xlfn.MAXIFS(nrSK_Att,nrSK_PID,$D587,nrSK_Cat,$E587,nrSK_Res,"Fail"))),"(superseded)",IF(OR($J587="",$J587="Pending"),"Pending",IF($J587="Pass","Qualified",IF(AND($J587="Fail",$N587&gt;=$F587),"FAILED OUT","Needs Remediation")))))</f>
        <v/>
      </c>
      <c r="P587" s="17">
        <f>IF($C587="","",IF($O587="FAILED OUT","Yes","No"))</f>
        <v/>
      </c>
      <c r="Q587" s="16" t="n"/>
      <c r="R587" s="16" t="n"/>
      <c r="S587" s="17">
        <f>IF($C587="","",IF(AND($K587&lt;&gt;"",NOT(ISNUMBER($K587))),"SCORE NOT A NUMBER",IF(AND(ISNUMBER($K587),OR($K587&lt;0,$K587&gt;100)),"SCORE OUT OF RANGE - this score counts toward nothing",IF(AND($G587="Score",$K587="",$J587&lt;&gt;"",$J587&lt;&gt;"Pending"),"RESULT WITHOUT A SCORE",IF(AND($G587="Pass/Fail",$K587&lt;&gt;""),"SCORE ON A PASS-FAIL CATEGORY - it is ignored",IF(AND($E587="Firearms",$J587&lt;&gt;"",$J587&lt;&gt;"Pending",$R587=""),"FIREARMS ROW WITH NO COURSE OF FIRE","OK"))))))</f>
        <v/>
      </c>
    </row>
    <row r="588">
      <c r="B588" s="17">
        <f>IF($C588="","",$D588&amp;"-"&amp;$E588&amp;"-"&amp;$I588)</f>
        <v/>
      </c>
      <c r="C588" s="16" t="n"/>
      <c r="D588" s="17">
        <f>IF($C588="","",IFERROR(INDEX(rngCadetPIDs,MATCH($C588,rngCadetNames,0)),"?"))</f>
        <v/>
      </c>
      <c r="E588" s="16" t="n"/>
      <c r="F588" s="17">
        <f>IF($E588="","",IFERROR(INDEX(rngSM_max,MATCH($E588,rngSM_cat,0)),""))</f>
        <v/>
      </c>
      <c r="G588" s="17">
        <f>IF($E588="","",IFERROR(INDEX(rngSM_mode,MATCH($E588,rngSM_cat,0)),""))</f>
        <v/>
      </c>
      <c r="H588" s="17">
        <f>IF($E588="","",IFERROR(INDEX(rngSM_pass,MATCH($E588,rngSM_cat,0)),""))</f>
        <v/>
      </c>
      <c r="I588" s="16" t="n"/>
      <c r="J588" s="16" t="n"/>
      <c r="K588" s="16" t="n"/>
      <c r="L588" s="18" t="n"/>
      <c r="M588" s="16" t="n"/>
      <c r="N588" s="17">
        <f>IF($C588="","",MAX(_xlfn.MAXIFS(nrSK_Att,nrSK_PID,$D588,nrSK_Cat,$E588,nrSK_Res,"Pass"),_xlfn.MAXIFS(nrSK_Att,nrSK_PID,$D588,nrSK_Cat,$E588,nrSK_Res,"Fail")))</f>
        <v/>
      </c>
      <c r="O588" s="17">
        <f>IF($C588="","",IF(AND(MAX(_xlfn.MAXIFS(nrSK_Att,nrSK_PID,$D588,nrSK_Cat,$E588,nrSK_Res,"Pass"),_xlfn.MAXIFS(nrSK_Att,nrSK_PID,$D588,nrSK_Cat,$E588,nrSK_Res,"Fail"))&gt;0,N($I588)&lt;MAX(_xlfn.MAXIFS(nrSK_Att,nrSK_PID,$D588,nrSK_Cat,$E588,nrSK_Res,"Pass"),_xlfn.MAXIFS(nrSK_Att,nrSK_PID,$D588,nrSK_Cat,$E588,nrSK_Res,"Fail"))),"(superseded)",IF(OR($J588="",$J588="Pending"),"Pending",IF($J588="Pass","Qualified",IF(AND($J588="Fail",$N588&gt;=$F588),"FAILED OUT","Needs Remediation")))))</f>
        <v/>
      </c>
      <c r="P588" s="17">
        <f>IF($C588="","",IF($O588="FAILED OUT","Yes","No"))</f>
        <v/>
      </c>
      <c r="Q588" s="16" t="n"/>
      <c r="R588" s="16" t="n"/>
      <c r="S588" s="17">
        <f>IF($C588="","",IF(AND($K588&lt;&gt;"",NOT(ISNUMBER($K588))),"SCORE NOT A NUMBER",IF(AND(ISNUMBER($K588),OR($K588&lt;0,$K588&gt;100)),"SCORE OUT OF RANGE - this score counts toward nothing",IF(AND($G588="Score",$K588="",$J588&lt;&gt;"",$J588&lt;&gt;"Pending"),"RESULT WITHOUT A SCORE",IF(AND($G588="Pass/Fail",$K588&lt;&gt;""),"SCORE ON A PASS-FAIL CATEGORY - it is ignored",IF(AND($E588="Firearms",$J588&lt;&gt;"",$J588&lt;&gt;"Pending",$R588=""),"FIREARMS ROW WITH NO COURSE OF FIRE","OK"))))))</f>
        <v/>
      </c>
    </row>
    <row r="589">
      <c r="B589" s="17">
        <f>IF($C589="","",$D589&amp;"-"&amp;$E589&amp;"-"&amp;$I589)</f>
        <v/>
      </c>
      <c r="C589" s="16" t="n"/>
      <c r="D589" s="17">
        <f>IF($C589="","",IFERROR(INDEX(rngCadetPIDs,MATCH($C589,rngCadetNames,0)),"?"))</f>
        <v/>
      </c>
      <c r="E589" s="16" t="n"/>
      <c r="F589" s="17">
        <f>IF($E589="","",IFERROR(INDEX(rngSM_max,MATCH($E589,rngSM_cat,0)),""))</f>
        <v/>
      </c>
      <c r="G589" s="17">
        <f>IF($E589="","",IFERROR(INDEX(rngSM_mode,MATCH($E589,rngSM_cat,0)),""))</f>
        <v/>
      </c>
      <c r="H589" s="17">
        <f>IF($E589="","",IFERROR(INDEX(rngSM_pass,MATCH($E589,rngSM_cat,0)),""))</f>
        <v/>
      </c>
      <c r="I589" s="16" t="n"/>
      <c r="J589" s="16" t="n"/>
      <c r="K589" s="16" t="n"/>
      <c r="L589" s="18" t="n"/>
      <c r="M589" s="16" t="n"/>
      <c r="N589" s="17">
        <f>IF($C589="","",MAX(_xlfn.MAXIFS(nrSK_Att,nrSK_PID,$D589,nrSK_Cat,$E589,nrSK_Res,"Pass"),_xlfn.MAXIFS(nrSK_Att,nrSK_PID,$D589,nrSK_Cat,$E589,nrSK_Res,"Fail")))</f>
        <v/>
      </c>
      <c r="O589" s="17">
        <f>IF($C589="","",IF(AND(MAX(_xlfn.MAXIFS(nrSK_Att,nrSK_PID,$D589,nrSK_Cat,$E589,nrSK_Res,"Pass"),_xlfn.MAXIFS(nrSK_Att,nrSK_PID,$D589,nrSK_Cat,$E589,nrSK_Res,"Fail"))&gt;0,N($I589)&lt;MAX(_xlfn.MAXIFS(nrSK_Att,nrSK_PID,$D589,nrSK_Cat,$E589,nrSK_Res,"Pass"),_xlfn.MAXIFS(nrSK_Att,nrSK_PID,$D589,nrSK_Cat,$E589,nrSK_Res,"Fail"))),"(superseded)",IF(OR($J589="",$J589="Pending"),"Pending",IF($J589="Pass","Qualified",IF(AND($J589="Fail",$N589&gt;=$F589),"FAILED OUT","Needs Remediation")))))</f>
        <v/>
      </c>
      <c r="P589" s="17">
        <f>IF($C589="","",IF($O589="FAILED OUT","Yes","No"))</f>
        <v/>
      </c>
      <c r="Q589" s="16" t="n"/>
      <c r="R589" s="16" t="n"/>
      <c r="S589" s="17">
        <f>IF($C589="","",IF(AND($K589&lt;&gt;"",NOT(ISNUMBER($K589))),"SCORE NOT A NUMBER",IF(AND(ISNUMBER($K589),OR($K589&lt;0,$K589&gt;100)),"SCORE OUT OF RANGE - this score counts toward nothing",IF(AND($G589="Score",$K589="",$J589&lt;&gt;"",$J589&lt;&gt;"Pending"),"RESULT WITHOUT A SCORE",IF(AND($G589="Pass/Fail",$K589&lt;&gt;""),"SCORE ON A PASS-FAIL CATEGORY - it is ignored",IF(AND($E589="Firearms",$J589&lt;&gt;"",$J589&lt;&gt;"Pending",$R589=""),"FIREARMS ROW WITH NO COURSE OF FIRE","OK"))))))</f>
        <v/>
      </c>
    </row>
    <row r="590">
      <c r="B590" s="17">
        <f>IF($C590="","",$D590&amp;"-"&amp;$E590&amp;"-"&amp;$I590)</f>
        <v/>
      </c>
      <c r="C590" s="16" t="n"/>
      <c r="D590" s="17">
        <f>IF($C590="","",IFERROR(INDEX(rngCadetPIDs,MATCH($C590,rngCadetNames,0)),"?"))</f>
        <v/>
      </c>
      <c r="E590" s="16" t="n"/>
      <c r="F590" s="17">
        <f>IF($E590="","",IFERROR(INDEX(rngSM_max,MATCH($E590,rngSM_cat,0)),""))</f>
        <v/>
      </c>
      <c r="G590" s="17">
        <f>IF($E590="","",IFERROR(INDEX(rngSM_mode,MATCH($E590,rngSM_cat,0)),""))</f>
        <v/>
      </c>
      <c r="H590" s="17">
        <f>IF($E590="","",IFERROR(INDEX(rngSM_pass,MATCH($E590,rngSM_cat,0)),""))</f>
        <v/>
      </c>
      <c r="I590" s="16" t="n"/>
      <c r="J590" s="16" t="n"/>
      <c r="K590" s="16" t="n"/>
      <c r="L590" s="18" t="n"/>
      <c r="M590" s="16" t="n"/>
      <c r="N590" s="17">
        <f>IF($C590="","",MAX(_xlfn.MAXIFS(nrSK_Att,nrSK_PID,$D590,nrSK_Cat,$E590,nrSK_Res,"Pass"),_xlfn.MAXIFS(nrSK_Att,nrSK_PID,$D590,nrSK_Cat,$E590,nrSK_Res,"Fail")))</f>
        <v/>
      </c>
      <c r="O590" s="17">
        <f>IF($C590="","",IF(AND(MAX(_xlfn.MAXIFS(nrSK_Att,nrSK_PID,$D590,nrSK_Cat,$E590,nrSK_Res,"Pass"),_xlfn.MAXIFS(nrSK_Att,nrSK_PID,$D590,nrSK_Cat,$E590,nrSK_Res,"Fail"))&gt;0,N($I590)&lt;MAX(_xlfn.MAXIFS(nrSK_Att,nrSK_PID,$D590,nrSK_Cat,$E590,nrSK_Res,"Pass"),_xlfn.MAXIFS(nrSK_Att,nrSK_PID,$D590,nrSK_Cat,$E590,nrSK_Res,"Fail"))),"(superseded)",IF(OR($J590="",$J590="Pending"),"Pending",IF($J590="Pass","Qualified",IF(AND($J590="Fail",$N590&gt;=$F590),"FAILED OUT","Needs Remediation")))))</f>
        <v/>
      </c>
      <c r="P590" s="17">
        <f>IF($C590="","",IF($O590="FAILED OUT","Yes","No"))</f>
        <v/>
      </c>
      <c r="Q590" s="16" t="n"/>
      <c r="R590" s="16" t="n"/>
      <c r="S590" s="17">
        <f>IF($C590="","",IF(AND($K590&lt;&gt;"",NOT(ISNUMBER($K590))),"SCORE NOT A NUMBER",IF(AND(ISNUMBER($K590),OR($K590&lt;0,$K590&gt;100)),"SCORE OUT OF RANGE - this score counts toward nothing",IF(AND($G590="Score",$K590="",$J590&lt;&gt;"",$J590&lt;&gt;"Pending"),"RESULT WITHOUT A SCORE",IF(AND($G590="Pass/Fail",$K590&lt;&gt;""),"SCORE ON A PASS-FAIL CATEGORY - it is ignored",IF(AND($E590="Firearms",$J590&lt;&gt;"",$J590&lt;&gt;"Pending",$R590=""),"FIREARMS ROW WITH NO COURSE OF FIRE","OK"))))))</f>
        <v/>
      </c>
    </row>
    <row r="591">
      <c r="B591" s="17">
        <f>IF($C591="","",$D591&amp;"-"&amp;$E591&amp;"-"&amp;$I591)</f>
        <v/>
      </c>
      <c r="C591" s="16" t="n"/>
      <c r="D591" s="17">
        <f>IF($C591="","",IFERROR(INDEX(rngCadetPIDs,MATCH($C591,rngCadetNames,0)),"?"))</f>
        <v/>
      </c>
      <c r="E591" s="16" t="n"/>
      <c r="F591" s="17">
        <f>IF($E591="","",IFERROR(INDEX(rngSM_max,MATCH($E591,rngSM_cat,0)),""))</f>
        <v/>
      </c>
      <c r="G591" s="17">
        <f>IF($E591="","",IFERROR(INDEX(rngSM_mode,MATCH($E591,rngSM_cat,0)),""))</f>
        <v/>
      </c>
      <c r="H591" s="17">
        <f>IF($E591="","",IFERROR(INDEX(rngSM_pass,MATCH($E591,rngSM_cat,0)),""))</f>
        <v/>
      </c>
      <c r="I591" s="16" t="n"/>
      <c r="J591" s="16" t="n"/>
      <c r="K591" s="16" t="n"/>
      <c r="L591" s="18" t="n"/>
      <c r="M591" s="16" t="n"/>
      <c r="N591" s="17">
        <f>IF($C591="","",MAX(_xlfn.MAXIFS(nrSK_Att,nrSK_PID,$D591,nrSK_Cat,$E591,nrSK_Res,"Pass"),_xlfn.MAXIFS(nrSK_Att,nrSK_PID,$D591,nrSK_Cat,$E591,nrSK_Res,"Fail")))</f>
        <v/>
      </c>
      <c r="O591" s="17">
        <f>IF($C591="","",IF(AND(MAX(_xlfn.MAXIFS(nrSK_Att,nrSK_PID,$D591,nrSK_Cat,$E591,nrSK_Res,"Pass"),_xlfn.MAXIFS(nrSK_Att,nrSK_PID,$D591,nrSK_Cat,$E591,nrSK_Res,"Fail"))&gt;0,N($I591)&lt;MAX(_xlfn.MAXIFS(nrSK_Att,nrSK_PID,$D591,nrSK_Cat,$E591,nrSK_Res,"Pass"),_xlfn.MAXIFS(nrSK_Att,nrSK_PID,$D591,nrSK_Cat,$E591,nrSK_Res,"Fail"))),"(superseded)",IF(OR($J591="",$J591="Pending"),"Pending",IF($J591="Pass","Qualified",IF(AND($J591="Fail",$N591&gt;=$F591),"FAILED OUT","Needs Remediation")))))</f>
        <v/>
      </c>
      <c r="P591" s="17">
        <f>IF($C591="","",IF($O591="FAILED OUT","Yes","No"))</f>
        <v/>
      </c>
      <c r="Q591" s="16" t="n"/>
      <c r="R591" s="16" t="n"/>
      <c r="S591" s="17">
        <f>IF($C591="","",IF(AND($K591&lt;&gt;"",NOT(ISNUMBER($K591))),"SCORE NOT A NUMBER",IF(AND(ISNUMBER($K591),OR($K591&lt;0,$K591&gt;100)),"SCORE OUT OF RANGE - this score counts toward nothing",IF(AND($G591="Score",$K591="",$J591&lt;&gt;"",$J591&lt;&gt;"Pending"),"RESULT WITHOUT A SCORE",IF(AND($G591="Pass/Fail",$K591&lt;&gt;""),"SCORE ON A PASS-FAIL CATEGORY - it is ignored",IF(AND($E591="Firearms",$J591&lt;&gt;"",$J591&lt;&gt;"Pending",$R591=""),"FIREARMS ROW WITH NO COURSE OF FIRE","OK"))))))</f>
        <v/>
      </c>
    </row>
    <row r="592">
      <c r="B592" s="17">
        <f>IF($C592="","",$D592&amp;"-"&amp;$E592&amp;"-"&amp;$I592)</f>
        <v/>
      </c>
      <c r="C592" s="16" t="n"/>
      <c r="D592" s="17">
        <f>IF($C592="","",IFERROR(INDEX(rngCadetPIDs,MATCH($C592,rngCadetNames,0)),"?"))</f>
        <v/>
      </c>
      <c r="E592" s="16" t="n"/>
      <c r="F592" s="17">
        <f>IF($E592="","",IFERROR(INDEX(rngSM_max,MATCH($E592,rngSM_cat,0)),""))</f>
        <v/>
      </c>
      <c r="G592" s="17">
        <f>IF($E592="","",IFERROR(INDEX(rngSM_mode,MATCH($E592,rngSM_cat,0)),""))</f>
        <v/>
      </c>
      <c r="H592" s="17">
        <f>IF($E592="","",IFERROR(INDEX(rngSM_pass,MATCH($E592,rngSM_cat,0)),""))</f>
        <v/>
      </c>
      <c r="I592" s="16" t="n"/>
      <c r="J592" s="16" t="n"/>
      <c r="K592" s="16" t="n"/>
      <c r="L592" s="18" t="n"/>
      <c r="M592" s="16" t="n"/>
      <c r="N592" s="17">
        <f>IF($C592="","",MAX(_xlfn.MAXIFS(nrSK_Att,nrSK_PID,$D592,nrSK_Cat,$E592,nrSK_Res,"Pass"),_xlfn.MAXIFS(nrSK_Att,nrSK_PID,$D592,nrSK_Cat,$E592,nrSK_Res,"Fail")))</f>
        <v/>
      </c>
      <c r="O592" s="17">
        <f>IF($C592="","",IF(AND(MAX(_xlfn.MAXIFS(nrSK_Att,nrSK_PID,$D592,nrSK_Cat,$E592,nrSK_Res,"Pass"),_xlfn.MAXIFS(nrSK_Att,nrSK_PID,$D592,nrSK_Cat,$E592,nrSK_Res,"Fail"))&gt;0,N($I592)&lt;MAX(_xlfn.MAXIFS(nrSK_Att,nrSK_PID,$D592,nrSK_Cat,$E592,nrSK_Res,"Pass"),_xlfn.MAXIFS(nrSK_Att,nrSK_PID,$D592,nrSK_Cat,$E592,nrSK_Res,"Fail"))),"(superseded)",IF(OR($J592="",$J592="Pending"),"Pending",IF($J592="Pass","Qualified",IF(AND($J592="Fail",$N592&gt;=$F592),"FAILED OUT","Needs Remediation")))))</f>
        <v/>
      </c>
      <c r="P592" s="17">
        <f>IF($C592="","",IF($O592="FAILED OUT","Yes","No"))</f>
        <v/>
      </c>
      <c r="Q592" s="16" t="n"/>
      <c r="R592" s="16" t="n"/>
      <c r="S592" s="17">
        <f>IF($C592="","",IF(AND($K592&lt;&gt;"",NOT(ISNUMBER($K592))),"SCORE NOT A NUMBER",IF(AND(ISNUMBER($K592),OR($K592&lt;0,$K592&gt;100)),"SCORE OUT OF RANGE - this score counts toward nothing",IF(AND($G592="Score",$K592="",$J592&lt;&gt;"",$J592&lt;&gt;"Pending"),"RESULT WITHOUT A SCORE",IF(AND($G592="Pass/Fail",$K592&lt;&gt;""),"SCORE ON A PASS-FAIL CATEGORY - it is ignored",IF(AND($E592="Firearms",$J592&lt;&gt;"",$J592&lt;&gt;"Pending",$R592=""),"FIREARMS ROW WITH NO COURSE OF FIRE","OK"))))))</f>
        <v/>
      </c>
    </row>
    <row r="593">
      <c r="B593" s="17">
        <f>IF($C593="","",$D593&amp;"-"&amp;$E593&amp;"-"&amp;$I593)</f>
        <v/>
      </c>
      <c r="C593" s="16" t="n"/>
      <c r="D593" s="17">
        <f>IF($C593="","",IFERROR(INDEX(rngCadetPIDs,MATCH($C593,rngCadetNames,0)),"?"))</f>
        <v/>
      </c>
      <c r="E593" s="16" t="n"/>
      <c r="F593" s="17">
        <f>IF($E593="","",IFERROR(INDEX(rngSM_max,MATCH($E593,rngSM_cat,0)),""))</f>
        <v/>
      </c>
      <c r="G593" s="17">
        <f>IF($E593="","",IFERROR(INDEX(rngSM_mode,MATCH($E593,rngSM_cat,0)),""))</f>
        <v/>
      </c>
      <c r="H593" s="17">
        <f>IF($E593="","",IFERROR(INDEX(rngSM_pass,MATCH($E593,rngSM_cat,0)),""))</f>
        <v/>
      </c>
      <c r="I593" s="16" t="n"/>
      <c r="J593" s="16" t="n"/>
      <c r="K593" s="16" t="n"/>
      <c r="L593" s="18" t="n"/>
      <c r="M593" s="16" t="n"/>
      <c r="N593" s="17">
        <f>IF($C593="","",MAX(_xlfn.MAXIFS(nrSK_Att,nrSK_PID,$D593,nrSK_Cat,$E593,nrSK_Res,"Pass"),_xlfn.MAXIFS(nrSK_Att,nrSK_PID,$D593,nrSK_Cat,$E593,nrSK_Res,"Fail")))</f>
        <v/>
      </c>
      <c r="O593" s="17">
        <f>IF($C593="","",IF(AND(MAX(_xlfn.MAXIFS(nrSK_Att,nrSK_PID,$D593,nrSK_Cat,$E593,nrSK_Res,"Pass"),_xlfn.MAXIFS(nrSK_Att,nrSK_PID,$D593,nrSK_Cat,$E593,nrSK_Res,"Fail"))&gt;0,N($I593)&lt;MAX(_xlfn.MAXIFS(nrSK_Att,nrSK_PID,$D593,nrSK_Cat,$E593,nrSK_Res,"Pass"),_xlfn.MAXIFS(nrSK_Att,nrSK_PID,$D593,nrSK_Cat,$E593,nrSK_Res,"Fail"))),"(superseded)",IF(OR($J593="",$J593="Pending"),"Pending",IF($J593="Pass","Qualified",IF(AND($J593="Fail",$N593&gt;=$F593),"FAILED OUT","Needs Remediation")))))</f>
        <v/>
      </c>
      <c r="P593" s="17">
        <f>IF($C593="","",IF($O593="FAILED OUT","Yes","No"))</f>
        <v/>
      </c>
      <c r="Q593" s="16" t="n"/>
      <c r="R593" s="16" t="n"/>
      <c r="S593" s="17">
        <f>IF($C593="","",IF(AND($K593&lt;&gt;"",NOT(ISNUMBER($K593))),"SCORE NOT A NUMBER",IF(AND(ISNUMBER($K593),OR($K593&lt;0,$K593&gt;100)),"SCORE OUT OF RANGE - this score counts toward nothing",IF(AND($G593="Score",$K593="",$J593&lt;&gt;"",$J593&lt;&gt;"Pending"),"RESULT WITHOUT A SCORE",IF(AND($G593="Pass/Fail",$K593&lt;&gt;""),"SCORE ON A PASS-FAIL CATEGORY - it is ignored",IF(AND($E593="Firearms",$J593&lt;&gt;"",$J593&lt;&gt;"Pending",$R593=""),"FIREARMS ROW WITH NO COURSE OF FIRE","OK"))))))</f>
        <v/>
      </c>
    </row>
    <row r="594">
      <c r="B594" s="17">
        <f>IF($C594="","",$D594&amp;"-"&amp;$E594&amp;"-"&amp;$I594)</f>
        <v/>
      </c>
      <c r="C594" s="16" t="n"/>
      <c r="D594" s="17">
        <f>IF($C594="","",IFERROR(INDEX(rngCadetPIDs,MATCH($C594,rngCadetNames,0)),"?"))</f>
        <v/>
      </c>
      <c r="E594" s="16" t="n"/>
      <c r="F594" s="17">
        <f>IF($E594="","",IFERROR(INDEX(rngSM_max,MATCH($E594,rngSM_cat,0)),""))</f>
        <v/>
      </c>
      <c r="G594" s="17">
        <f>IF($E594="","",IFERROR(INDEX(rngSM_mode,MATCH($E594,rngSM_cat,0)),""))</f>
        <v/>
      </c>
      <c r="H594" s="17">
        <f>IF($E594="","",IFERROR(INDEX(rngSM_pass,MATCH($E594,rngSM_cat,0)),""))</f>
        <v/>
      </c>
      <c r="I594" s="16" t="n"/>
      <c r="J594" s="16" t="n"/>
      <c r="K594" s="16" t="n"/>
      <c r="L594" s="18" t="n"/>
      <c r="M594" s="16" t="n"/>
      <c r="N594" s="17">
        <f>IF($C594="","",MAX(_xlfn.MAXIFS(nrSK_Att,nrSK_PID,$D594,nrSK_Cat,$E594,nrSK_Res,"Pass"),_xlfn.MAXIFS(nrSK_Att,nrSK_PID,$D594,nrSK_Cat,$E594,nrSK_Res,"Fail")))</f>
        <v/>
      </c>
      <c r="O594" s="17">
        <f>IF($C594="","",IF(AND(MAX(_xlfn.MAXIFS(nrSK_Att,nrSK_PID,$D594,nrSK_Cat,$E594,nrSK_Res,"Pass"),_xlfn.MAXIFS(nrSK_Att,nrSK_PID,$D594,nrSK_Cat,$E594,nrSK_Res,"Fail"))&gt;0,N($I594)&lt;MAX(_xlfn.MAXIFS(nrSK_Att,nrSK_PID,$D594,nrSK_Cat,$E594,nrSK_Res,"Pass"),_xlfn.MAXIFS(nrSK_Att,nrSK_PID,$D594,nrSK_Cat,$E594,nrSK_Res,"Fail"))),"(superseded)",IF(OR($J594="",$J594="Pending"),"Pending",IF($J594="Pass","Qualified",IF(AND($J594="Fail",$N594&gt;=$F594),"FAILED OUT","Needs Remediation")))))</f>
        <v/>
      </c>
      <c r="P594" s="17">
        <f>IF($C594="","",IF($O594="FAILED OUT","Yes","No"))</f>
        <v/>
      </c>
      <c r="Q594" s="16" t="n"/>
      <c r="R594" s="16" t="n"/>
      <c r="S594" s="17">
        <f>IF($C594="","",IF(AND($K594&lt;&gt;"",NOT(ISNUMBER($K594))),"SCORE NOT A NUMBER",IF(AND(ISNUMBER($K594),OR($K594&lt;0,$K594&gt;100)),"SCORE OUT OF RANGE - this score counts toward nothing",IF(AND($G594="Score",$K594="",$J594&lt;&gt;"",$J594&lt;&gt;"Pending"),"RESULT WITHOUT A SCORE",IF(AND($G594="Pass/Fail",$K594&lt;&gt;""),"SCORE ON A PASS-FAIL CATEGORY - it is ignored",IF(AND($E594="Firearms",$J594&lt;&gt;"",$J594&lt;&gt;"Pending",$R594=""),"FIREARMS ROW WITH NO COURSE OF FIRE","OK"))))))</f>
        <v/>
      </c>
    </row>
    <row r="595">
      <c r="B595" s="17">
        <f>IF($C595="","",$D595&amp;"-"&amp;$E595&amp;"-"&amp;$I595)</f>
        <v/>
      </c>
      <c r="C595" s="16" t="n"/>
      <c r="D595" s="17">
        <f>IF($C595="","",IFERROR(INDEX(rngCadetPIDs,MATCH($C595,rngCadetNames,0)),"?"))</f>
        <v/>
      </c>
      <c r="E595" s="16" t="n"/>
      <c r="F595" s="17">
        <f>IF($E595="","",IFERROR(INDEX(rngSM_max,MATCH($E595,rngSM_cat,0)),""))</f>
        <v/>
      </c>
      <c r="G595" s="17">
        <f>IF($E595="","",IFERROR(INDEX(rngSM_mode,MATCH($E595,rngSM_cat,0)),""))</f>
        <v/>
      </c>
      <c r="H595" s="17">
        <f>IF($E595="","",IFERROR(INDEX(rngSM_pass,MATCH($E595,rngSM_cat,0)),""))</f>
        <v/>
      </c>
      <c r="I595" s="16" t="n"/>
      <c r="J595" s="16" t="n"/>
      <c r="K595" s="16" t="n"/>
      <c r="L595" s="18" t="n"/>
      <c r="M595" s="16" t="n"/>
      <c r="N595" s="17">
        <f>IF($C595="","",MAX(_xlfn.MAXIFS(nrSK_Att,nrSK_PID,$D595,nrSK_Cat,$E595,nrSK_Res,"Pass"),_xlfn.MAXIFS(nrSK_Att,nrSK_PID,$D595,nrSK_Cat,$E595,nrSK_Res,"Fail")))</f>
        <v/>
      </c>
      <c r="O595" s="17">
        <f>IF($C595="","",IF(AND(MAX(_xlfn.MAXIFS(nrSK_Att,nrSK_PID,$D595,nrSK_Cat,$E595,nrSK_Res,"Pass"),_xlfn.MAXIFS(nrSK_Att,nrSK_PID,$D595,nrSK_Cat,$E595,nrSK_Res,"Fail"))&gt;0,N($I595)&lt;MAX(_xlfn.MAXIFS(nrSK_Att,nrSK_PID,$D595,nrSK_Cat,$E595,nrSK_Res,"Pass"),_xlfn.MAXIFS(nrSK_Att,nrSK_PID,$D595,nrSK_Cat,$E595,nrSK_Res,"Fail"))),"(superseded)",IF(OR($J595="",$J595="Pending"),"Pending",IF($J595="Pass","Qualified",IF(AND($J595="Fail",$N595&gt;=$F595),"FAILED OUT","Needs Remediation")))))</f>
        <v/>
      </c>
      <c r="P595" s="17">
        <f>IF($C595="","",IF($O595="FAILED OUT","Yes","No"))</f>
        <v/>
      </c>
      <c r="Q595" s="16" t="n"/>
      <c r="R595" s="16" t="n"/>
      <c r="S595" s="17">
        <f>IF($C595="","",IF(AND($K595&lt;&gt;"",NOT(ISNUMBER($K595))),"SCORE NOT A NUMBER",IF(AND(ISNUMBER($K595),OR($K595&lt;0,$K595&gt;100)),"SCORE OUT OF RANGE - this score counts toward nothing",IF(AND($G595="Score",$K595="",$J595&lt;&gt;"",$J595&lt;&gt;"Pending"),"RESULT WITHOUT A SCORE",IF(AND($G595="Pass/Fail",$K595&lt;&gt;""),"SCORE ON A PASS-FAIL CATEGORY - it is ignored",IF(AND($E595="Firearms",$J595&lt;&gt;"",$J595&lt;&gt;"Pending",$R595=""),"FIREARMS ROW WITH NO COURSE OF FIRE","OK"))))))</f>
        <v/>
      </c>
    </row>
    <row r="596">
      <c r="B596" s="17">
        <f>IF($C596="","",$D596&amp;"-"&amp;$E596&amp;"-"&amp;$I596)</f>
        <v/>
      </c>
      <c r="C596" s="16" t="n"/>
      <c r="D596" s="17">
        <f>IF($C596="","",IFERROR(INDEX(rngCadetPIDs,MATCH($C596,rngCadetNames,0)),"?"))</f>
        <v/>
      </c>
      <c r="E596" s="16" t="n"/>
      <c r="F596" s="17">
        <f>IF($E596="","",IFERROR(INDEX(rngSM_max,MATCH($E596,rngSM_cat,0)),""))</f>
        <v/>
      </c>
      <c r="G596" s="17">
        <f>IF($E596="","",IFERROR(INDEX(rngSM_mode,MATCH($E596,rngSM_cat,0)),""))</f>
        <v/>
      </c>
      <c r="H596" s="17">
        <f>IF($E596="","",IFERROR(INDEX(rngSM_pass,MATCH($E596,rngSM_cat,0)),""))</f>
        <v/>
      </c>
      <c r="I596" s="16" t="n"/>
      <c r="J596" s="16" t="n"/>
      <c r="K596" s="16" t="n"/>
      <c r="L596" s="18" t="n"/>
      <c r="M596" s="16" t="n"/>
      <c r="N596" s="17">
        <f>IF($C596="","",MAX(_xlfn.MAXIFS(nrSK_Att,nrSK_PID,$D596,nrSK_Cat,$E596,nrSK_Res,"Pass"),_xlfn.MAXIFS(nrSK_Att,nrSK_PID,$D596,nrSK_Cat,$E596,nrSK_Res,"Fail")))</f>
        <v/>
      </c>
      <c r="O596" s="17">
        <f>IF($C596="","",IF(AND(MAX(_xlfn.MAXIFS(nrSK_Att,nrSK_PID,$D596,nrSK_Cat,$E596,nrSK_Res,"Pass"),_xlfn.MAXIFS(nrSK_Att,nrSK_PID,$D596,nrSK_Cat,$E596,nrSK_Res,"Fail"))&gt;0,N($I596)&lt;MAX(_xlfn.MAXIFS(nrSK_Att,nrSK_PID,$D596,nrSK_Cat,$E596,nrSK_Res,"Pass"),_xlfn.MAXIFS(nrSK_Att,nrSK_PID,$D596,nrSK_Cat,$E596,nrSK_Res,"Fail"))),"(superseded)",IF(OR($J596="",$J596="Pending"),"Pending",IF($J596="Pass","Qualified",IF(AND($J596="Fail",$N596&gt;=$F596),"FAILED OUT","Needs Remediation")))))</f>
        <v/>
      </c>
      <c r="P596" s="17">
        <f>IF($C596="","",IF($O596="FAILED OUT","Yes","No"))</f>
        <v/>
      </c>
      <c r="Q596" s="16" t="n"/>
      <c r="R596" s="16" t="n"/>
      <c r="S596" s="17">
        <f>IF($C596="","",IF(AND($K596&lt;&gt;"",NOT(ISNUMBER($K596))),"SCORE NOT A NUMBER",IF(AND(ISNUMBER($K596),OR($K596&lt;0,$K596&gt;100)),"SCORE OUT OF RANGE - this score counts toward nothing",IF(AND($G596="Score",$K596="",$J596&lt;&gt;"",$J596&lt;&gt;"Pending"),"RESULT WITHOUT A SCORE",IF(AND($G596="Pass/Fail",$K596&lt;&gt;""),"SCORE ON A PASS-FAIL CATEGORY - it is ignored",IF(AND($E596="Firearms",$J596&lt;&gt;"",$J596&lt;&gt;"Pending",$R596=""),"FIREARMS ROW WITH NO COURSE OF FIRE","OK"))))))</f>
        <v/>
      </c>
    </row>
    <row r="597">
      <c r="B597" s="17">
        <f>IF($C597="","",$D597&amp;"-"&amp;$E597&amp;"-"&amp;$I597)</f>
        <v/>
      </c>
      <c r="C597" s="16" t="n"/>
      <c r="D597" s="17">
        <f>IF($C597="","",IFERROR(INDEX(rngCadetPIDs,MATCH($C597,rngCadetNames,0)),"?"))</f>
        <v/>
      </c>
      <c r="E597" s="16" t="n"/>
      <c r="F597" s="17">
        <f>IF($E597="","",IFERROR(INDEX(rngSM_max,MATCH($E597,rngSM_cat,0)),""))</f>
        <v/>
      </c>
      <c r="G597" s="17">
        <f>IF($E597="","",IFERROR(INDEX(rngSM_mode,MATCH($E597,rngSM_cat,0)),""))</f>
        <v/>
      </c>
      <c r="H597" s="17">
        <f>IF($E597="","",IFERROR(INDEX(rngSM_pass,MATCH($E597,rngSM_cat,0)),""))</f>
        <v/>
      </c>
      <c r="I597" s="16" t="n"/>
      <c r="J597" s="16" t="n"/>
      <c r="K597" s="16" t="n"/>
      <c r="L597" s="18" t="n"/>
      <c r="M597" s="16" t="n"/>
      <c r="N597" s="17">
        <f>IF($C597="","",MAX(_xlfn.MAXIFS(nrSK_Att,nrSK_PID,$D597,nrSK_Cat,$E597,nrSK_Res,"Pass"),_xlfn.MAXIFS(nrSK_Att,nrSK_PID,$D597,nrSK_Cat,$E597,nrSK_Res,"Fail")))</f>
        <v/>
      </c>
      <c r="O597" s="17">
        <f>IF($C597="","",IF(AND(MAX(_xlfn.MAXIFS(nrSK_Att,nrSK_PID,$D597,nrSK_Cat,$E597,nrSK_Res,"Pass"),_xlfn.MAXIFS(nrSK_Att,nrSK_PID,$D597,nrSK_Cat,$E597,nrSK_Res,"Fail"))&gt;0,N($I597)&lt;MAX(_xlfn.MAXIFS(nrSK_Att,nrSK_PID,$D597,nrSK_Cat,$E597,nrSK_Res,"Pass"),_xlfn.MAXIFS(nrSK_Att,nrSK_PID,$D597,nrSK_Cat,$E597,nrSK_Res,"Fail"))),"(superseded)",IF(OR($J597="",$J597="Pending"),"Pending",IF($J597="Pass","Qualified",IF(AND($J597="Fail",$N597&gt;=$F597),"FAILED OUT","Needs Remediation")))))</f>
        <v/>
      </c>
      <c r="P597" s="17">
        <f>IF($C597="","",IF($O597="FAILED OUT","Yes","No"))</f>
        <v/>
      </c>
      <c r="Q597" s="16" t="n"/>
      <c r="R597" s="16" t="n"/>
      <c r="S597" s="17">
        <f>IF($C597="","",IF(AND($K597&lt;&gt;"",NOT(ISNUMBER($K597))),"SCORE NOT A NUMBER",IF(AND(ISNUMBER($K597),OR($K597&lt;0,$K597&gt;100)),"SCORE OUT OF RANGE - this score counts toward nothing",IF(AND($G597="Score",$K597="",$J597&lt;&gt;"",$J597&lt;&gt;"Pending"),"RESULT WITHOUT A SCORE",IF(AND($G597="Pass/Fail",$K597&lt;&gt;""),"SCORE ON A PASS-FAIL CATEGORY - it is ignored",IF(AND($E597="Firearms",$J597&lt;&gt;"",$J597&lt;&gt;"Pending",$R597=""),"FIREARMS ROW WITH NO COURSE OF FIRE","OK"))))))</f>
        <v/>
      </c>
    </row>
    <row r="598">
      <c r="B598" s="17">
        <f>IF($C598="","",$D598&amp;"-"&amp;$E598&amp;"-"&amp;$I598)</f>
        <v/>
      </c>
      <c r="C598" s="16" t="n"/>
      <c r="D598" s="17">
        <f>IF($C598="","",IFERROR(INDEX(rngCadetPIDs,MATCH($C598,rngCadetNames,0)),"?"))</f>
        <v/>
      </c>
      <c r="E598" s="16" t="n"/>
      <c r="F598" s="17">
        <f>IF($E598="","",IFERROR(INDEX(rngSM_max,MATCH($E598,rngSM_cat,0)),""))</f>
        <v/>
      </c>
      <c r="G598" s="17">
        <f>IF($E598="","",IFERROR(INDEX(rngSM_mode,MATCH($E598,rngSM_cat,0)),""))</f>
        <v/>
      </c>
      <c r="H598" s="17">
        <f>IF($E598="","",IFERROR(INDEX(rngSM_pass,MATCH($E598,rngSM_cat,0)),""))</f>
        <v/>
      </c>
      <c r="I598" s="16" t="n"/>
      <c r="J598" s="16" t="n"/>
      <c r="K598" s="16" t="n"/>
      <c r="L598" s="18" t="n"/>
      <c r="M598" s="16" t="n"/>
      <c r="N598" s="17">
        <f>IF($C598="","",MAX(_xlfn.MAXIFS(nrSK_Att,nrSK_PID,$D598,nrSK_Cat,$E598,nrSK_Res,"Pass"),_xlfn.MAXIFS(nrSK_Att,nrSK_PID,$D598,nrSK_Cat,$E598,nrSK_Res,"Fail")))</f>
        <v/>
      </c>
      <c r="O598" s="17">
        <f>IF($C598="","",IF(AND(MAX(_xlfn.MAXIFS(nrSK_Att,nrSK_PID,$D598,nrSK_Cat,$E598,nrSK_Res,"Pass"),_xlfn.MAXIFS(nrSK_Att,nrSK_PID,$D598,nrSK_Cat,$E598,nrSK_Res,"Fail"))&gt;0,N($I598)&lt;MAX(_xlfn.MAXIFS(nrSK_Att,nrSK_PID,$D598,nrSK_Cat,$E598,nrSK_Res,"Pass"),_xlfn.MAXIFS(nrSK_Att,nrSK_PID,$D598,nrSK_Cat,$E598,nrSK_Res,"Fail"))),"(superseded)",IF(OR($J598="",$J598="Pending"),"Pending",IF($J598="Pass","Qualified",IF(AND($J598="Fail",$N598&gt;=$F598),"FAILED OUT","Needs Remediation")))))</f>
        <v/>
      </c>
      <c r="P598" s="17">
        <f>IF($C598="","",IF($O598="FAILED OUT","Yes","No"))</f>
        <v/>
      </c>
      <c r="Q598" s="16" t="n"/>
      <c r="R598" s="16" t="n"/>
      <c r="S598" s="17">
        <f>IF($C598="","",IF(AND($K598&lt;&gt;"",NOT(ISNUMBER($K598))),"SCORE NOT A NUMBER",IF(AND(ISNUMBER($K598),OR($K598&lt;0,$K598&gt;100)),"SCORE OUT OF RANGE - this score counts toward nothing",IF(AND($G598="Score",$K598="",$J598&lt;&gt;"",$J598&lt;&gt;"Pending"),"RESULT WITHOUT A SCORE",IF(AND($G598="Pass/Fail",$K598&lt;&gt;""),"SCORE ON A PASS-FAIL CATEGORY - it is ignored",IF(AND($E598="Firearms",$J598&lt;&gt;"",$J598&lt;&gt;"Pending",$R598=""),"FIREARMS ROW WITH NO COURSE OF FIRE","OK"))))))</f>
        <v/>
      </c>
    </row>
    <row r="599">
      <c r="B599" s="17">
        <f>IF($C599="","",$D599&amp;"-"&amp;$E599&amp;"-"&amp;$I599)</f>
        <v/>
      </c>
      <c r="C599" s="16" t="n"/>
      <c r="D599" s="17">
        <f>IF($C599="","",IFERROR(INDEX(rngCadetPIDs,MATCH($C599,rngCadetNames,0)),"?"))</f>
        <v/>
      </c>
      <c r="E599" s="16" t="n"/>
      <c r="F599" s="17">
        <f>IF($E599="","",IFERROR(INDEX(rngSM_max,MATCH($E599,rngSM_cat,0)),""))</f>
        <v/>
      </c>
      <c r="G599" s="17">
        <f>IF($E599="","",IFERROR(INDEX(rngSM_mode,MATCH($E599,rngSM_cat,0)),""))</f>
        <v/>
      </c>
      <c r="H599" s="17">
        <f>IF($E599="","",IFERROR(INDEX(rngSM_pass,MATCH($E599,rngSM_cat,0)),""))</f>
        <v/>
      </c>
      <c r="I599" s="16" t="n"/>
      <c r="J599" s="16" t="n"/>
      <c r="K599" s="16" t="n"/>
      <c r="L599" s="18" t="n"/>
      <c r="M599" s="16" t="n"/>
      <c r="N599" s="17">
        <f>IF($C599="","",MAX(_xlfn.MAXIFS(nrSK_Att,nrSK_PID,$D599,nrSK_Cat,$E599,nrSK_Res,"Pass"),_xlfn.MAXIFS(nrSK_Att,nrSK_PID,$D599,nrSK_Cat,$E599,nrSK_Res,"Fail")))</f>
        <v/>
      </c>
      <c r="O599" s="17">
        <f>IF($C599="","",IF(AND(MAX(_xlfn.MAXIFS(nrSK_Att,nrSK_PID,$D599,nrSK_Cat,$E599,nrSK_Res,"Pass"),_xlfn.MAXIFS(nrSK_Att,nrSK_PID,$D599,nrSK_Cat,$E599,nrSK_Res,"Fail"))&gt;0,N($I599)&lt;MAX(_xlfn.MAXIFS(nrSK_Att,nrSK_PID,$D599,nrSK_Cat,$E599,nrSK_Res,"Pass"),_xlfn.MAXIFS(nrSK_Att,nrSK_PID,$D599,nrSK_Cat,$E599,nrSK_Res,"Fail"))),"(superseded)",IF(OR($J599="",$J599="Pending"),"Pending",IF($J599="Pass","Qualified",IF(AND($J599="Fail",$N599&gt;=$F599),"FAILED OUT","Needs Remediation")))))</f>
        <v/>
      </c>
      <c r="P599" s="17">
        <f>IF($C599="","",IF($O599="FAILED OUT","Yes","No"))</f>
        <v/>
      </c>
      <c r="Q599" s="16" t="n"/>
      <c r="R599" s="16" t="n"/>
      <c r="S599" s="17">
        <f>IF($C599="","",IF(AND($K599&lt;&gt;"",NOT(ISNUMBER($K599))),"SCORE NOT A NUMBER",IF(AND(ISNUMBER($K599),OR($K599&lt;0,$K599&gt;100)),"SCORE OUT OF RANGE - this score counts toward nothing",IF(AND($G599="Score",$K599="",$J599&lt;&gt;"",$J599&lt;&gt;"Pending"),"RESULT WITHOUT A SCORE",IF(AND($G599="Pass/Fail",$K599&lt;&gt;""),"SCORE ON A PASS-FAIL CATEGORY - it is ignored",IF(AND($E599="Firearms",$J599&lt;&gt;"",$J599&lt;&gt;"Pending",$R599=""),"FIREARMS ROW WITH NO COURSE OF FIRE","OK"))))))</f>
        <v/>
      </c>
    </row>
    <row r="600">
      <c r="B600" s="17">
        <f>IF($C600="","",$D600&amp;"-"&amp;$E600&amp;"-"&amp;$I600)</f>
        <v/>
      </c>
      <c r="C600" s="16" t="n"/>
      <c r="D600" s="17">
        <f>IF($C600="","",IFERROR(INDEX(rngCadetPIDs,MATCH($C600,rngCadetNames,0)),"?"))</f>
        <v/>
      </c>
      <c r="E600" s="16" t="n"/>
      <c r="F600" s="17">
        <f>IF($E600="","",IFERROR(INDEX(rngSM_max,MATCH($E600,rngSM_cat,0)),""))</f>
        <v/>
      </c>
      <c r="G600" s="17">
        <f>IF($E600="","",IFERROR(INDEX(rngSM_mode,MATCH($E600,rngSM_cat,0)),""))</f>
        <v/>
      </c>
      <c r="H600" s="17">
        <f>IF($E600="","",IFERROR(INDEX(rngSM_pass,MATCH($E600,rngSM_cat,0)),""))</f>
        <v/>
      </c>
      <c r="I600" s="16" t="n"/>
      <c r="J600" s="16" t="n"/>
      <c r="K600" s="16" t="n"/>
      <c r="L600" s="18" t="n"/>
      <c r="M600" s="16" t="n"/>
      <c r="N600" s="17">
        <f>IF($C600="","",MAX(_xlfn.MAXIFS(nrSK_Att,nrSK_PID,$D600,nrSK_Cat,$E600,nrSK_Res,"Pass"),_xlfn.MAXIFS(nrSK_Att,nrSK_PID,$D600,nrSK_Cat,$E600,nrSK_Res,"Fail")))</f>
        <v/>
      </c>
      <c r="O600" s="17">
        <f>IF($C600="","",IF(AND(MAX(_xlfn.MAXIFS(nrSK_Att,nrSK_PID,$D600,nrSK_Cat,$E600,nrSK_Res,"Pass"),_xlfn.MAXIFS(nrSK_Att,nrSK_PID,$D600,nrSK_Cat,$E600,nrSK_Res,"Fail"))&gt;0,N($I600)&lt;MAX(_xlfn.MAXIFS(nrSK_Att,nrSK_PID,$D600,nrSK_Cat,$E600,nrSK_Res,"Pass"),_xlfn.MAXIFS(nrSK_Att,nrSK_PID,$D600,nrSK_Cat,$E600,nrSK_Res,"Fail"))),"(superseded)",IF(OR($J600="",$J600="Pending"),"Pending",IF($J600="Pass","Qualified",IF(AND($J600="Fail",$N600&gt;=$F600),"FAILED OUT","Needs Remediation")))))</f>
        <v/>
      </c>
      <c r="P600" s="17">
        <f>IF($C600="","",IF($O600="FAILED OUT","Yes","No"))</f>
        <v/>
      </c>
      <c r="Q600" s="16" t="n"/>
      <c r="R600" s="16" t="n"/>
      <c r="S600" s="17">
        <f>IF($C600="","",IF(AND($K600&lt;&gt;"",NOT(ISNUMBER($K600))),"SCORE NOT A NUMBER",IF(AND(ISNUMBER($K600),OR($K600&lt;0,$K600&gt;100)),"SCORE OUT OF RANGE - this score counts toward nothing",IF(AND($G600="Score",$K600="",$J600&lt;&gt;"",$J600&lt;&gt;"Pending"),"RESULT WITHOUT A SCORE",IF(AND($G600="Pass/Fail",$K600&lt;&gt;""),"SCORE ON A PASS-FAIL CATEGORY - it is ignored",IF(AND($E600="Firearms",$J600&lt;&gt;"",$J600&lt;&gt;"Pending",$R600=""),"FIREARMS ROW WITH NO COURSE OF FIRE","OK"))))))</f>
        <v/>
      </c>
    </row>
    <row r="601">
      <c r="B601" s="17">
        <f>IF($C601="","",$D601&amp;"-"&amp;$E601&amp;"-"&amp;$I601)</f>
        <v/>
      </c>
      <c r="C601" s="16" t="n"/>
      <c r="D601" s="17">
        <f>IF($C601="","",IFERROR(INDEX(rngCadetPIDs,MATCH($C601,rngCadetNames,0)),"?"))</f>
        <v/>
      </c>
      <c r="E601" s="16" t="n"/>
      <c r="F601" s="17">
        <f>IF($E601="","",IFERROR(INDEX(rngSM_max,MATCH($E601,rngSM_cat,0)),""))</f>
        <v/>
      </c>
      <c r="G601" s="17">
        <f>IF($E601="","",IFERROR(INDEX(rngSM_mode,MATCH($E601,rngSM_cat,0)),""))</f>
        <v/>
      </c>
      <c r="H601" s="17">
        <f>IF($E601="","",IFERROR(INDEX(rngSM_pass,MATCH($E601,rngSM_cat,0)),""))</f>
        <v/>
      </c>
      <c r="I601" s="16" t="n"/>
      <c r="J601" s="16" t="n"/>
      <c r="K601" s="16" t="n"/>
      <c r="L601" s="18" t="n"/>
      <c r="M601" s="16" t="n"/>
      <c r="N601" s="17">
        <f>IF($C601="","",MAX(_xlfn.MAXIFS(nrSK_Att,nrSK_PID,$D601,nrSK_Cat,$E601,nrSK_Res,"Pass"),_xlfn.MAXIFS(nrSK_Att,nrSK_PID,$D601,nrSK_Cat,$E601,nrSK_Res,"Fail")))</f>
        <v/>
      </c>
      <c r="O601" s="17">
        <f>IF($C601="","",IF(AND(MAX(_xlfn.MAXIFS(nrSK_Att,nrSK_PID,$D601,nrSK_Cat,$E601,nrSK_Res,"Pass"),_xlfn.MAXIFS(nrSK_Att,nrSK_PID,$D601,nrSK_Cat,$E601,nrSK_Res,"Fail"))&gt;0,N($I601)&lt;MAX(_xlfn.MAXIFS(nrSK_Att,nrSK_PID,$D601,nrSK_Cat,$E601,nrSK_Res,"Pass"),_xlfn.MAXIFS(nrSK_Att,nrSK_PID,$D601,nrSK_Cat,$E601,nrSK_Res,"Fail"))),"(superseded)",IF(OR($J601="",$J601="Pending"),"Pending",IF($J601="Pass","Qualified",IF(AND($J601="Fail",$N601&gt;=$F601),"FAILED OUT","Needs Remediation")))))</f>
        <v/>
      </c>
      <c r="P601" s="17">
        <f>IF($C601="","",IF($O601="FAILED OUT","Yes","No"))</f>
        <v/>
      </c>
      <c r="Q601" s="16" t="n"/>
      <c r="R601" s="16" t="n"/>
      <c r="S601" s="17">
        <f>IF($C601="","",IF(AND($K601&lt;&gt;"",NOT(ISNUMBER($K601))),"SCORE NOT A NUMBER",IF(AND(ISNUMBER($K601),OR($K601&lt;0,$K601&gt;100)),"SCORE OUT OF RANGE - this score counts toward nothing",IF(AND($G601="Score",$K601="",$J601&lt;&gt;"",$J601&lt;&gt;"Pending"),"RESULT WITHOUT A SCORE",IF(AND($G601="Pass/Fail",$K601&lt;&gt;""),"SCORE ON A PASS-FAIL CATEGORY - it is ignored",IF(AND($E601="Firearms",$J601&lt;&gt;"",$J601&lt;&gt;"Pending",$R601=""),"FIREARMS ROW WITH NO COURSE OF FIRE","OK"))))))</f>
        <v/>
      </c>
    </row>
    <row r="602">
      <c r="B602" s="17">
        <f>IF($C602="","",$D602&amp;"-"&amp;$E602&amp;"-"&amp;$I602)</f>
        <v/>
      </c>
      <c r="C602" s="16" t="n"/>
      <c r="D602" s="17">
        <f>IF($C602="","",IFERROR(INDEX(rngCadetPIDs,MATCH($C602,rngCadetNames,0)),"?"))</f>
        <v/>
      </c>
      <c r="E602" s="16" t="n"/>
      <c r="F602" s="17">
        <f>IF($E602="","",IFERROR(INDEX(rngSM_max,MATCH($E602,rngSM_cat,0)),""))</f>
        <v/>
      </c>
      <c r="G602" s="17">
        <f>IF($E602="","",IFERROR(INDEX(rngSM_mode,MATCH($E602,rngSM_cat,0)),""))</f>
        <v/>
      </c>
      <c r="H602" s="17">
        <f>IF($E602="","",IFERROR(INDEX(rngSM_pass,MATCH($E602,rngSM_cat,0)),""))</f>
        <v/>
      </c>
      <c r="I602" s="16" t="n"/>
      <c r="J602" s="16" t="n"/>
      <c r="K602" s="16" t="n"/>
      <c r="L602" s="18" t="n"/>
      <c r="M602" s="16" t="n"/>
      <c r="N602" s="17">
        <f>IF($C602="","",MAX(_xlfn.MAXIFS(nrSK_Att,nrSK_PID,$D602,nrSK_Cat,$E602,nrSK_Res,"Pass"),_xlfn.MAXIFS(nrSK_Att,nrSK_PID,$D602,nrSK_Cat,$E602,nrSK_Res,"Fail")))</f>
        <v/>
      </c>
      <c r="O602" s="17">
        <f>IF($C602="","",IF(AND(MAX(_xlfn.MAXIFS(nrSK_Att,nrSK_PID,$D602,nrSK_Cat,$E602,nrSK_Res,"Pass"),_xlfn.MAXIFS(nrSK_Att,nrSK_PID,$D602,nrSK_Cat,$E602,nrSK_Res,"Fail"))&gt;0,N($I602)&lt;MAX(_xlfn.MAXIFS(nrSK_Att,nrSK_PID,$D602,nrSK_Cat,$E602,nrSK_Res,"Pass"),_xlfn.MAXIFS(nrSK_Att,nrSK_PID,$D602,nrSK_Cat,$E602,nrSK_Res,"Fail"))),"(superseded)",IF(OR($J602="",$J602="Pending"),"Pending",IF($J602="Pass","Qualified",IF(AND($J602="Fail",$N602&gt;=$F602),"FAILED OUT","Needs Remediation")))))</f>
        <v/>
      </c>
      <c r="P602" s="17">
        <f>IF($C602="","",IF($O602="FAILED OUT","Yes","No"))</f>
        <v/>
      </c>
      <c r="Q602" s="16" t="n"/>
      <c r="R602" s="16" t="n"/>
      <c r="S602" s="17">
        <f>IF($C602="","",IF(AND($K602&lt;&gt;"",NOT(ISNUMBER($K602))),"SCORE NOT A NUMBER",IF(AND(ISNUMBER($K602),OR($K602&lt;0,$K602&gt;100)),"SCORE OUT OF RANGE - this score counts toward nothing",IF(AND($G602="Score",$K602="",$J602&lt;&gt;"",$J602&lt;&gt;"Pending"),"RESULT WITHOUT A SCORE",IF(AND($G602="Pass/Fail",$K602&lt;&gt;""),"SCORE ON A PASS-FAIL CATEGORY - it is ignored",IF(AND($E602="Firearms",$J602&lt;&gt;"",$J602&lt;&gt;"Pending",$R602=""),"FIREARMS ROW WITH NO COURSE OF FIRE","OK"))))))</f>
        <v/>
      </c>
    </row>
    <row r="603">
      <c r="B603" s="17">
        <f>IF($C603="","",$D603&amp;"-"&amp;$E603&amp;"-"&amp;$I603)</f>
        <v/>
      </c>
      <c r="C603" s="16" t="n"/>
      <c r="D603" s="17">
        <f>IF($C603="","",IFERROR(INDEX(rngCadetPIDs,MATCH($C603,rngCadetNames,0)),"?"))</f>
        <v/>
      </c>
      <c r="E603" s="16" t="n"/>
      <c r="F603" s="17">
        <f>IF($E603="","",IFERROR(INDEX(rngSM_max,MATCH($E603,rngSM_cat,0)),""))</f>
        <v/>
      </c>
      <c r="G603" s="17">
        <f>IF($E603="","",IFERROR(INDEX(rngSM_mode,MATCH($E603,rngSM_cat,0)),""))</f>
        <v/>
      </c>
      <c r="H603" s="17">
        <f>IF($E603="","",IFERROR(INDEX(rngSM_pass,MATCH($E603,rngSM_cat,0)),""))</f>
        <v/>
      </c>
      <c r="I603" s="16" t="n"/>
      <c r="J603" s="16" t="n"/>
      <c r="K603" s="16" t="n"/>
      <c r="L603" s="18" t="n"/>
      <c r="M603" s="16" t="n"/>
      <c r="N603" s="17">
        <f>IF($C603="","",MAX(_xlfn.MAXIFS(nrSK_Att,nrSK_PID,$D603,nrSK_Cat,$E603,nrSK_Res,"Pass"),_xlfn.MAXIFS(nrSK_Att,nrSK_PID,$D603,nrSK_Cat,$E603,nrSK_Res,"Fail")))</f>
        <v/>
      </c>
      <c r="O603" s="17">
        <f>IF($C603="","",IF(AND(MAX(_xlfn.MAXIFS(nrSK_Att,nrSK_PID,$D603,nrSK_Cat,$E603,nrSK_Res,"Pass"),_xlfn.MAXIFS(nrSK_Att,nrSK_PID,$D603,nrSK_Cat,$E603,nrSK_Res,"Fail"))&gt;0,N($I603)&lt;MAX(_xlfn.MAXIFS(nrSK_Att,nrSK_PID,$D603,nrSK_Cat,$E603,nrSK_Res,"Pass"),_xlfn.MAXIFS(nrSK_Att,nrSK_PID,$D603,nrSK_Cat,$E603,nrSK_Res,"Fail"))),"(superseded)",IF(OR($J603="",$J603="Pending"),"Pending",IF($J603="Pass","Qualified",IF(AND($J603="Fail",$N603&gt;=$F603),"FAILED OUT","Needs Remediation")))))</f>
        <v/>
      </c>
      <c r="P603" s="17">
        <f>IF($C603="","",IF($O603="FAILED OUT","Yes","No"))</f>
        <v/>
      </c>
      <c r="Q603" s="16" t="n"/>
      <c r="R603" s="16" t="n"/>
      <c r="S603" s="17">
        <f>IF($C603="","",IF(AND($K603&lt;&gt;"",NOT(ISNUMBER($K603))),"SCORE NOT A NUMBER",IF(AND(ISNUMBER($K603),OR($K603&lt;0,$K603&gt;100)),"SCORE OUT OF RANGE - this score counts toward nothing",IF(AND($G603="Score",$K603="",$J603&lt;&gt;"",$J603&lt;&gt;"Pending"),"RESULT WITHOUT A SCORE",IF(AND($G603="Pass/Fail",$K603&lt;&gt;""),"SCORE ON A PASS-FAIL CATEGORY - it is ignored",IF(AND($E603="Firearms",$J603&lt;&gt;"",$J603&lt;&gt;"Pending",$R603=""),"FIREARMS ROW WITH NO COURSE OF FIRE","OK"))))))</f>
        <v/>
      </c>
    </row>
    <row r="604">
      <c r="B604" s="17">
        <f>IF($C604="","",$D604&amp;"-"&amp;$E604&amp;"-"&amp;$I604)</f>
        <v/>
      </c>
      <c r="C604" s="16" t="n"/>
      <c r="D604" s="17">
        <f>IF($C604="","",IFERROR(INDEX(rngCadetPIDs,MATCH($C604,rngCadetNames,0)),"?"))</f>
        <v/>
      </c>
      <c r="E604" s="16" t="n"/>
      <c r="F604" s="17">
        <f>IF($E604="","",IFERROR(INDEX(rngSM_max,MATCH($E604,rngSM_cat,0)),""))</f>
        <v/>
      </c>
      <c r="G604" s="17">
        <f>IF($E604="","",IFERROR(INDEX(rngSM_mode,MATCH($E604,rngSM_cat,0)),""))</f>
        <v/>
      </c>
      <c r="H604" s="17">
        <f>IF($E604="","",IFERROR(INDEX(rngSM_pass,MATCH($E604,rngSM_cat,0)),""))</f>
        <v/>
      </c>
      <c r="I604" s="16" t="n"/>
      <c r="J604" s="16" t="n"/>
      <c r="K604" s="16" t="n"/>
      <c r="L604" s="18" t="n"/>
      <c r="M604" s="16" t="n"/>
      <c r="N604" s="17">
        <f>IF($C604="","",MAX(_xlfn.MAXIFS(nrSK_Att,nrSK_PID,$D604,nrSK_Cat,$E604,nrSK_Res,"Pass"),_xlfn.MAXIFS(nrSK_Att,nrSK_PID,$D604,nrSK_Cat,$E604,nrSK_Res,"Fail")))</f>
        <v/>
      </c>
      <c r="O604" s="17">
        <f>IF($C604="","",IF(AND(MAX(_xlfn.MAXIFS(nrSK_Att,nrSK_PID,$D604,nrSK_Cat,$E604,nrSK_Res,"Pass"),_xlfn.MAXIFS(nrSK_Att,nrSK_PID,$D604,nrSK_Cat,$E604,nrSK_Res,"Fail"))&gt;0,N($I604)&lt;MAX(_xlfn.MAXIFS(nrSK_Att,nrSK_PID,$D604,nrSK_Cat,$E604,nrSK_Res,"Pass"),_xlfn.MAXIFS(nrSK_Att,nrSK_PID,$D604,nrSK_Cat,$E604,nrSK_Res,"Fail"))),"(superseded)",IF(OR($J604="",$J604="Pending"),"Pending",IF($J604="Pass","Qualified",IF(AND($J604="Fail",$N604&gt;=$F604),"FAILED OUT","Needs Remediation")))))</f>
        <v/>
      </c>
      <c r="P604" s="17">
        <f>IF($C604="","",IF($O604="FAILED OUT","Yes","No"))</f>
        <v/>
      </c>
      <c r="Q604" s="16" t="n"/>
      <c r="R604" s="16" t="n"/>
      <c r="S604" s="17">
        <f>IF($C604="","",IF(AND($K604&lt;&gt;"",NOT(ISNUMBER($K604))),"SCORE NOT A NUMBER",IF(AND(ISNUMBER($K604),OR($K604&lt;0,$K604&gt;100)),"SCORE OUT OF RANGE - this score counts toward nothing",IF(AND($G604="Score",$K604="",$J604&lt;&gt;"",$J604&lt;&gt;"Pending"),"RESULT WITHOUT A SCORE",IF(AND($G604="Pass/Fail",$K604&lt;&gt;""),"SCORE ON A PASS-FAIL CATEGORY - it is ignored",IF(AND($E604="Firearms",$J604&lt;&gt;"",$J604&lt;&gt;"Pending",$R604=""),"FIREARMS ROW WITH NO COURSE OF FIRE","OK"))))))</f>
        <v/>
      </c>
    </row>
    <row r="605">
      <c r="B605" s="17">
        <f>IF($C605="","",$D605&amp;"-"&amp;$E605&amp;"-"&amp;$I605)</f>
        <v/>
      </c>
      <c r="C605" s="16" t="n"/>
      <c r="D605" s="17">
        <f>IF($C605="","",IFERROR(INDEX(rngCadetPIDs,MATCH($C605,rngCadetNames,0)),"?"))</f>
        <v/>
      </c>
      <c r="E605" s="16" t="n"/>
      <c r="F605" s="17">
        <f>IF($E605="","",IFERROR(INDEX(rngSM_max,MATCH($E605,rngSM_cat,0)),""))</f>
        <v/>
      </c>
      <c r="G605" s="17">
        <f>IF($E605="","",IFERROR(INDEX(rngSM_mode,MATCH($E605,rngSM_cat,0)),""))</f>
        <v/>
      </c>
      <c r="H605" s="17">
        <f>IF($E605="","",IFERROR(INDEX(rngSM_pass,MATCH($E605,rngSM_cat,0)),""))</f>
        <v/>
      </c>
      <c r="I605" s="16" t="n"/>
      <c r="J605" s="16" t="n"/>
      <c r="K605" s="16" t="n"/>
      <c r="L605" s="18" t="n"/>
      <c r="M605" s="16" t="n"/>
      <c r="N605" s="17">
        <f>IF($C605="","",MAX(_xlfn.MAXIFS(nrSK_Att,nrSK_PID,$D605,nrSK_Cat,$E605,nrSK_Res,"Pass"),_xlfn.MAXIFS(nrSK_Att,nrSK_PID,$D605,nrSK_Cat,$E605,nrSK_Res,"Fail")))</f>
        <v/>
      </c>
      <c r="O605" s="17">
        <f>IF($C605="","",IF(AND(MAX(_xlfn.MAXIFS(nrSK_Att,nrSK_PID,$D605,nrSK_Cat,$E605,nrSK_Res,"Pass"),_xlfn.MAXIFS(nrSK_Att,nrSK_PID,$D605,nrSK_Cat,$E605,nrSK_Res,"Fail"))&gt;0,N($I605)&lt;MAX(_xlfn.MAXIFS(nrSK_Att,nrSK_PID,$D605,nrSK_Cat,$E605,nrSK_Res,"Pass"),_xlfn.MAXIFS(nrSK_Att,nrSK_PID,$D605,nrSK_Cat,$E605,nrSK_Res,"Fail"))),"(superseded)",IF(OR($J605="",$J605="Pending"),"Pending",IF($J605="Pass","Qualified",IF(AND($J605="Fail",$N605&gt;=$F605),"FAILED OUT","Needs Remediation")))))</f>
        <v/>
      </c>
      <c r="P605" s="17">
        <f>IF($C605="","",IF($O605="FAILED OUT","Yes","No"))</f>
        <v/>
      </c>
      <c r="Q605" s="16" t="n"/>
      <c r="R605" s="16" t="n"/>
      <c r="S605" s="17">
        <f>IF($C605="","",IF(AND($K605&lt;&gt;"",NOT(ISNUMBER($K605))),"SCORE NOT A NUMBER",IF(AND(ISNUMBER($K605),OR($K605&lt;0,$K605&gt;100)),"SCORE OUT OF RANGE - this score counts toward nothing",IF(AND($G605="Score",$K605="",$J605&lt;&gt;"",$J605&lt;&gt;"Pending"),"RESULT WITHOUT A SCORE",IF(AND($G605="Pass/Fail",$K605&lt;&gt;""),"SCORE ON A PASS-FAIL CATEGORY - it is ignored",IF(AND($E605="Firearms",$J605&lt;&gt;"",$J605&lt;&gt;"Pending",$R605=""),"FIREARMS ROW WITH NO COURSE OF FIRE","OK"))))))</f>
        <v/>
      </c>
    </row>
  </sheetData>
  <sheetProtection selectLockedCells="0" selectUnlockedCells="0" sheet="1" objects="0" insertRows="1" insertHyperlinks="1" autoFilter="0" scenarios="0" formatColumns="1" deleteColumns="1" insertColumns="1" pivotTables="1" deleteRows="1" formatCells="1" formatRows="1" sort="1" password="B4BB"/>
  <autoFilter ref="B5:R5"/>
  <conditionalFormatting sqref="O6:O605">
    <cfRule type="expression" priority="1" dxfId="0">
      <formula>$O6="FAILED OUT"</formula>
    </cfRule>
  </conditionalFormatting>
  <conditionalFormatting sqref="S6:S605">
    <cfRule type="expression" priority="2" dxfId="0">
      <formula>AND($S6&lt;&gt;"",$S6&lt;&gt;"OK")</formula>
    </cfRule>
  </conditionalFormatting>
  <dataValidations count="5">
    <dataValidation sqref="C6:C605" showDropDown="0" showInputMessage="0" showErrorMessage="1" allowBlank="1" type="list">
      <formula1>=rngCadetNames</formula1>
    </dataValidation>
    <dataValidation sqref="E6:E605" showDropDown="0" showInputMessage="0" showErrorMessage="1" allowBlank="1" type="list">
      <formula1>=rngSM_cat</formula1>
    </dataValidation>
    <dataValidation sqref="I6:I605" showDropDown="0" showInputMessage="0" showErrorMessage="1" allowBlank="1" type="list">
      <formula1>=lstAttemptNum</formula1>
    </dataValidation>
    <dataValidation sqref="J6:J605" showDropDown="0" showInputMessage="0" showErrorMessage="1" allowBlank="1" type="list">
      <formula1>=lstSkillResult</formula1>
    </dataValidation>
    <dataValidation sqref="R6:R605" showDropDown="0" showInputMessage="0" showErrorMessage="1" allowBlank="1" type="list">
      <formula1>"1,2"</formula1>
    </dataValidation>
  </dataValidations>
  <pageMargins left="0.75" right="0.75" top="1" bottom="1" header="0.5" footer="0.5"/>
</worksheet>
</file>

<file path=xl/worksheets/sheet11.xml><?xml version="1.0" encoding="utf-8"?>
<worksheet xmlns="http://schemas.openxmlformats.org/spreadsheetml/2006/main">
  <sheetPr>
    <tabColor rgb="002E75B6"/>
    <outlinePr summaryBelow="1" summaryRight="1"/>
    <pageSetUpPr/>
  </sheetPr>
  <dimension ref="B1:Q55"/>
  <sheetViews>
    <sheetView showGridLines="0" workbookViewId="0">
      <pane xSplit="3" ySplit="5" topLeftCell="D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4"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34" customWidth="1" min="14" max="14"/>
    <col width="13" customWidth="1" min="15" max="15"/>
    <col width="14" customWidth="1" min="16" max="16"/>
    <col width="11" customWidth="1" min="17" max="17"/>
  </cols>
  <sheetData>
    <row r="1">
      <c r="B1" s="10">
        <f>HYPERLINK("#Dashboard!B5","◄ Dashboard")</f>
        <v/>
      </c>
    </row>
    <row r="4">
      <c r="B4" s="11" t="inlineStr">
        <is>
          <t>One Pass/Fail per skills training, per cadet - your call, not the attempt log's. EVERY skill must read Pass before a cadet can graduate: a Fail blocks and names that skill in Blocking Issues, and a skill left BLANK blocks too (it counts under 'Not Assessed'). Nothing here is automatic - missed skills time does not mark anything, because in practice parts of skills training can be made up - so the block lifts the moment you mark the skill Pass. A column only counts if its category exists on SkillsMaster; the spare columns are ignored until you name them there.</t>
        </is>
      </c>
    </row>
    <row r="5" ht="26" customHeight="1">
      <c r="B5" s="12" t="inlineStr">
        <is>
          <t>PID</t>
        </is>
      </c>
      <c r="C5" s="12" t="inlineStr">
        <is>
          <t>Cadet Name</t>
        </is>
      </c>
      <c r="D5" s="12" t="inlineStr">
        <is>
          <t>Firearms</t>
        </is>
      </c>
      <c r="E5" s="12" t="inlineStr">
        <is>
          <t>Driving</t>
        </is>
      </c>
      <c r="F5" s="12" t="inlineStr">
        <is>
          <t>MOA</t>
        </is>
      </c>
      <c r="G5" s="12" t="inlineStr">
        <is>
          <t>OC</t>
        </is>
      </c>
      <c r="H5" s="12" t="inlineStr">
        <is>
          <t>SFST</t>
        </is>
      </c>
      <c r="I5" s="12" t="inlineStr">
        <is>
          <t>Medical</t>
        </is>
      </c>
      <c r="J5" s="12">
        <f>IF(SkillsMaster!$B$12="","(spare)",SkillsMaster!$B$12)</f>
        <v/>
      </c>
      <c r="K5" s="12">
        <f>IF(SkillsMaster!$B$13="","(spare)",SkillsMaster!$B$13)</f>
        <v/>
      </c>
      <c r="L5" s="12">
        <f>IF(SkillsMaster!$B$14="","(spare)",SkillsMaster!$B$14)</f>
        <v/>
      </c>
      <c r="M5" s="12">
        <f>IF(SkillsMaster!$B$15="","(spare)",SkillsMaster!$B$15)</f>
        <v/>
      </c>
      <c r="N5" s="12" t="inlineStr">
        <is>
          <t>Failed</t>
        </is>
      </c>
      <c r="O5" s="12" t="inlineStr">
        <is>
          <t>Not Assessed</t>
        </is>
      </c>
      <c r="P5" s="12" t="inlineStr">
        <is>
          <t>Skills P/F OK?</t>
        </is>
      </c>
      <c r="Q5" s="20" t="inlineStr">
        <is>
          <t>Cadet Status</t>
        </is>
      </c>
    </row>
    <row r="6">
      <c r="B6" s="17">
        <f>IF(Cadets!$B6="","",Cadets!$B6)</f>
        <v/>
      </c>
      <c r="C6" s="17">
        <f>IF(Cadets!$B6="","",Cadets!$F6)</f>
        <v/>
      </c>
      <c r="D6" s="16" t="n"/>
      <c r="E6" s="16" t="n"/>
      <c r="F6" s="16" t="n"/>
      <c r="G6" s="16" t="n"/>
      <c r="H6" s="16" t="n"/>
      <c r="I6" s="16" t="n"/>
      <c r="J6" s="16" t="n"/>
      <c r="K6" s="16" t="n"/>
      <c r="L6" s="16" t="n"/>
      <c r="M6" s="16" t="n"/>
      <c r="N6" s="17">
        <f>IF($C6="","",_xlfn.TEXTJOIN(", ",TRUE,IF($D6="Fail",SkillsMaster!$B$6,""),IF($E6="Fail",SkillsMaster!$B$7,""),IF($F6="Fail",SkillsMaster!$B$8,""),IF($G6="Fail",SkillsMaster!$B$9,""),IF($H6="Fail",SkillsMaster!$B$10,""),IF($I6="Fail",SkillsMaster!$B$11,""),IF($J6="Fail",SkillsMaster!$B$12,""),IF($K6="Fail",SkillsMaster!$B$13,""),IF($L6="Fail",SkillsMaster!$B$14,""),IF($M6="Fail",SkillsMaster!$B$15,"")))</f>
        <v/>
      </c>
      <c r="O6" s="17">
        <f>IF($C6="","",IF(SkillsMaster!$B$6="",0,IF($D6="",1,0))+IF(SkillsMaster!$B$7="",0,IF($E6="",1,0))+IF(SkillsMaster!$B$8="",0,IF($F6="",1,0))+IF(SkillsMaster!$B$9="",0,IF($G6="",1,0))+IF(SkillsMaster!$B$10="",0,IF($H6="",1,0))+IF(SkillsMaster!$B$11="",0,IF($I6="",1,0))+IF(SkillsMaster!$B$12="",0,IF($J6="",1,0))+IF(SkillsMaster!$B$13="",0,IF($K6="",1,0))+IF(SkillsMaster!$B$14="",0,IF($L6="",1,0))+IF(SkillsMaster!$B$15="",0,IF($M6="",1,0)))</f>
        <v/>
      </c>
      <c r="P6" s="17">
        <f>IF($C6="","",IF(AND($N6="",$O6=0),"Yes","No"))</f>
        <v/>
      </c>
      <c r="Q6" s="17">
        <f>IF(Cadets!$B6="","",Cadets!$I6)</f>
        <v/>
      </c>
    </row>
    <row r="7">
      <c r="B7" s="17">
        <f>IF(Cadets!$B7="","",Cadets!$B7)</f>
        <v/>
      </c>
      <c r="C7" s="17">
        <f>IF(Cadets!$B7="","",Cadets!$F7)</f>
        <v/>
      </c>
      <c r="D7" s="16" t="n"/>
      <c r="E7" s="16" t="n"/>
      <c r="F7" s="16" t="n"/>
      <c r="G7" s="16" t="n"/>
      <c r="H7" s="16" t="n"/>
      <c r="I7" s="16" t="n"/>
      <c r="J7" s="16" t="n"/>
      <c r="K7" s="16" t="n"/>
      <c r="L7" s="16" t="n"/>
      <c r="M7" s="16" t="n"/>
      <c r="N7" s="17">
        <f>IF($C7="","",_xlfn.TEXTJOIN(", ",TRUE,IF($D7="Fail",SkillsMaster!$B$6,""),IF($E7="Fail",SkillsMaster!$B$7,""),IF($F7="Fail",SkillsMaster!$B$8,""),IF($G7="Fail",SkillsMaster!$B$9,""),IF($H7="Fail",SkillsMaster!$B$10,""),IF($I7="Fail",SkillsMaster!$B$11,""),IF($J7="Fail",SkillsMaster!$B$12,""),IF($K7="Fail",SkillsMaster!$B$13,""),IF($L7="Fail",SkillsMaster!$B$14,""),IF($M7="Fail",SkillsMaster!$B$15,"")))</f>
        <v/>
      </c>
      <c r="O7" s="17">
        <f>IF($C7="","",IF(SkillsMaster!$B$6="",0,IF($D7="",1,0))+IF(SkillsMaster!$B$7="",0,IF($E7="",1,0))+IF(SkillsMaster!$B$8="",0,IF($F7="",1,0))+IF(SkillsMaster!$B$9="",0,IF($G7="",1,0))+IF(SkillsMaster!$B$10="",0,IF($H7="",1,0))+IF(SkillsMaster!$B$11="",0,IF($I7="",1,0))+IF(SkillsMaster!$B$12="",0,IF($J7="",1,0))+IF(SkillsMaster!$B$13="",0,IF($K7="",1,0))+IF(SkillsMaster!$B$14="",0,IF($L7="",1,0))+IF(SkillsMaster!$B$15="",0,IF($M7="",1,0)))</f>
        <v/>
      </c>
      <c r="P7" s="17">
        <f>IF($C7="","",IF(AND($N7="",$O7=0),"Yes","No"))</f>
        <v/>
      </c>
      <c r="Q7" s="17">
        <f>IF(Cadets!$B7="","",Cadets!$I7)</f>
        <v/>
      </c>
    </row>
    <row r="8">
      <c r="B8" s="17">
        <f>IF(Cadets!$B8="","",Cadets!$B8)</f>
        <v/>
      </c>
      <c r="C8" s="17">
        <f>IF(Cadets!$B8="","",Cadets!$F8)</f>
        <v/>
      </c>
      <c r="D8" s="16" t="n"/>
      <c r="E8" s="16" t="n"/>
      <c r="F8" s="16" t="n"/>
      <c r="G8" s="16" t="n"/>
      <c r="H8" s="16" t="n"/>
      <c r="I8" s="16" t="n"/>
      <c r="J8" s="16" t="n"/>
      <c r="K8" s="16" t="n"/>
      <c r="L8" s="16" t="n"/>
      <c r="M8" s="16" t="n"/>
      <c r="N8" s="17">
        <f>IF($C8="","",_xlfn.TEXTJOIN(", ",TRUE,IF($D8="Fail",SkillsMaster!$B$6,""),IF($E8="Fail",SkillsMaster!$B$7,""),IF($F8="Fail",SkillsMaster!$B$8,""),IF($G8="Fail",SkillsMaster!$B$9,""),IF($H8="Fail",SkillsMaster!$B$10,""),IF($I8="Fail",SkillsMaster!$B$11,""),IF($J8="Fail",SkillsMaster!$B$12,""),IF($K8="Fail",SkillsMaster!$B$13,""),IF($L8="Fail",SkillsMaster!$B$14,""),IF($M8="Fail",SkillsMaster!$B$15,"")))</f>
        <v/>
      </c>
      <c r="O8" s="17">
        <f>IF($C8="","",IF(SkillsMaster!$B$6="",0,IF($D8="",1,0))+IF(SkillsMaster!$B$7="",0,IF($E8="",1,0))+IF(SkillsMaster!$B$8="",0,IF($F8="",1,0))+IF(SkillsMaster!$B$9="",0,IF($G8="",1,0))+IF(SkillsMaster!$B$10="",0,IF($H8="",1,0))+IF(SkillsMaster!$B$11="",0,IF($I8="",1,0))+IF(SkillsMaster!$B$12="",0,IF($J8="",1,0))+IF(SkillsMaster!$B$13="",0,IF($K8="",1,0))+IF(SkillsMaster!$B$14="",0,IF($L8="",1,0))+IF(SkillsMaster!$B$15="",0,IF($M8="",1,0)))</f>
        <v/>
      </c>
      <c r="P8" s="17">
        <f>IF($C8="","",IF(AND($N8="",$O8=0),"Yes","No"))</f>
        <v/>
      </c>
      <c r="Q8" s="17">
        <f>IF(Cadets!$B8="","",Cadets!$I8)</f>
        <v/>
      </c>
    </row>
    <row r="9">
      <c r="B9" s="17">
        <f>IF(Cadets!$B9="","",Cadets!$B9)</f>
        <v/>
      </c>
      <c r="C9" s="17">
        <f>IF(Cadets!$B9="","",Cadets!$F9)</f>
        <v/>
      </c>
      <c r="D9" s="16" t="n"/>
      <c r="E9" s="16" t="n"/>
      <c r="F9" s="16" t="n"/>
      <c r="G9" s="16" t="n"/>
      <c r="H9" s="16" t="n"/>
      <c r="I9" s="16" t="n"/>
      <c r="J9" s="16" t="n"/>
      <c r="K9" s="16" t="n"/>
      <c r="L9" s="16" t="n"/>
      <c r="M9" s="16" t="n"/>
      <c r="N9" s="17">
        <f>IF($C9="","",_xlfn.TEXTJOIN(", ",TRUE,IF($D9="Fail",SkillsMaster!$B$6,""),IF($E9="Fail",SkillsMaster!$B$7,""),IF($F9="Fail",SkillsMaster!$B$8,""),IF($G9="Fail",SkillsMaster!$B$9,""),IF($H9="Fail",SkillsMaster!$B$10,""),IF($I9="Fail",SkillsMaster!$B$11,""),IF($J9="Fail",SkillsMaster!$B$12,""),IF($K9="Fail",SkillsMaster!$B$13,""),IF($L9="Fail",SkillsMaster!$B$14,""),IF($M9="Fail",SkillsMaster!$B$15,"")))</f>
        <v/>
      </c>
      <c r="O9" s="17">
        <f>IF($C9="","",IF(SkillsMaster!$B$6="",0,IF($D9="",1,0))+IF(SkillsMaster!$B$7="",0,IF($E9="",1,0))+IF(SkillsMaster!$B$8="",0,IF($F9="",1,0))+IF(SkillsMaster!$B$9="",0,IF($G9="",1,0))+IF(SkillsMaster!$B$10="",0,IF($H9="",1,0))+IF(SkillsMaster!$B$11="",0,IF($I9="",1,0))+IF(SkillsMaster!$B$12="",0,IF($J9="",1,0))+IF(SkillsMaster!$B$13="",0,IF($K9="",1,0))+IF(SkillsMaster!$B$14="",0,IF($L9="",1,0))+IF(SkillsMaster!$B$15="",0,IF($M9="",1,0)))</f>
        <v/>
      </c>
      <c r="P9" s="17">
        <f>IF($C9="","",IF(AND($N9="",$O9=0),"Yes","No"))</f>
        <v/>
      </c>
      <c r="Q9" s="17">
        <f>IF(Cadets!$B9="","",Cadets!$I9)</f>
        <v/>
      </c>
    </row>
    <row r="10">
      <c r="B10" s="17">
        <f>IF(Cadets!$B10="","",Cadets!$B10)</f>
        <v/>
      </c>
      <c r="C10" s="17">
        <f>IF(Cadets!$B10="","",Cadets!$F10)</f>
        <v/>
      </c>
      <c r="D10" s="16" t="n"/>
      <c r="E10" s="16" t="n"/>
      <c r="F10" s="16" t="n"/>
      <c r="G10" s="16" t="n"/>
      <c r="H10" s="16" t="n"/>
      <c r="I10" s="16" t="n"/>
      <c r="J10" s="16" t="n"/>
      <c r="K10" s="16" t="n"/>
      <c r="L10" s="16" t="n"/>
      <c r="M10" s="16" t="n"/>
      <c r="N10" s="17">
        <f>IF($C10="","",_xlfn.TEXTJOIN(", ",TRUE,IF($D10="Fail",SkillsMaster!$B$6,""),IF($E10="Fail",SkillsMaster!$B$7,""),IF($F10="Fail",SkillsMaster!$B$8,""),IF($G10="Fail",SkillsMaster!$B$9,""),IF($H10="Fail",SkillsMaster!$B$10,""),IF($I10="Fail",SkillsMaster!$B$11,""),IF($J10="Fail",SkillsMaster!$B$12,""),IF($K10="Fail",SkillsMaster!$B$13,""),IF($L10="Fail",SkillsMaster!$B$14,""),IF($M10="Fail",SkillsMaster!$B$15,"")))</f>
        <v/>
      </c>
      <c r="O10" s="17">
        <f>IF($C10="","",IF(SkillsMaster!$B$6="",0,IF($D10="",1,0))+IF(SkillsMaster!$B$7="",0,IF($E10="",1,0))+IF(SkillsMaster!$B$8="",0,IF($F10="",1,0))+IF(SkillsMaster!$B$9="",0,IF($G10="",1,0))+IF(SkillsMaster!$B$10="",0,IF($H10="",1,0))+IF(SkillsMaster!$B$11="",0,IF($I10="",1,0))+IF(SkillsMaster!$B$12="",0,IF($J10="",1,0))+IF(SkillsMaster!$B$13="",0,IF($K10="",1,0))+IF(SkillsMaster!$B$14="",0,IF($L10="",1,0))+IF(SkillsMaster!$B$15="",0,IF($M10="",1,0)))</f>
        <v/>
      </c>
      <c r="P10" s="17">
        <f>IF($C10="","",IF(AND($N10="",$O10=0),"Yes","No"))</f>
        <v/>
      </c>
      <c r="Q10" s="17">
        <f>IF(Cadets!$B10="","",Cadets!$I10)</f>
        <v/>
      </c>
    </row>
    <row r="11">
      <c r="B11" s="17">
        <f>IF(Cadets!$B11="","",Cadets!$B11)</f>
        <v/>
      </c>
      <c r="C11" s="17">
        <f>IF(Cadets!$B11="","",Cadets!$F11)</f>
        <v/>
      </c>
      <c r="D11" s="16" t="n"/>
      <c r="E11" s="16" t="n"/>
      <c r="F11" s="16" t="n"/>
      <c r="G11" s="16" t="n"/>
      <c r="H11" s="16" t="n"/>
      <c r="I11" s="16" t="n"/>
      <c r="J11" s="16" t="n"/>
      <c r="K11" s="16" t="n"/>
      <c r="L11" s="16" t="n"/>
      <c r="M11" s="16" t="n"/>
      <c r="N11" s="17">
        <f>IF($C11="","",_xlfn.TEXTJOIN(", ",TRUE,IF($D11="Fail",SkillsMaster!$B$6,""),IF($E11="Fail",SkillsMaster!$B$7,""),IF($F11="Fail",SkillsMaster!$B$8,""),IF($G11="Fail",SkillsMaster!$B$9,""),IF($H11="Fail",SkillsMaster!$B$10,""),IF($I11="Fail",SkillsMaster!$B$11,""),IF($J11="Fail",SkillsMaster!$B$12,""),IF($K11="Fail",SkillsMaster!$B$13,""),IF($L11="Fail",SkillsMaster!$B$14,""),IF($M11="Fail",SkillsMaster!$B$15,"")))</f>
        <v/>
      </c>
      <c r="O11" s="17">
        <f>IF($C11="","",IF(SkillsMaster!$B$6="",0,IF($D11="",1,0))+IF(SkillsMaster!$B$7="",0,IF($E11="",1,0))+IF(SkillsMaster!$B$8="",0,IF($F11="",1,0))+IF(SkillsMaster!$B$9="",0,IF($G11="",1,0))+IF(SkillsMaster!$B$10="",0,IF($H11="",1,0))+IF(SkillsMaster!$B$11="",0,IF($I11="",1,0))+IF(SkillsMaster!$B$12="",0,IF($J11="",1,0))+IF(SkillsMaster!$B$13="",0,IF($K11="",1,0))+IF(SkillsMaster!$B$14="",0,IF($L11="",1,0))+IF(SkillsMaster!$B$15="",0,IF($M11="",1,0)))</f>
        <v/>
      </c>
      <c r="P11" s="17">
        <f>IF($C11="","",IF(AND($N11="",$O11=0),"Yes","No"))</f>
        <v/>
      </c>
      <c r="Q11" s="17">
        <f>IF(Cadets!$B11="","",Cadets!$I11)</f>
        <v/>
      </c>
    </row>
    <row r="12">
      <c r="B12" s="17">
        <f>IF(Cadets!$B12="","",Cadets!$B12)</f>
        <v/>
      </c>
      <c r="C12" s="17">
        <f>IF(Cadets!$B12="","",Cadets!$F12)</f>
        <v/>
      </c>
      <c r="D12" s="16" t="n"/>
      <c r="E12" s="16" t="n"/>
      <c r="F12" s="16" t="n"/>
      <c r="G12" s="16" t="n"/>
      <c r="H12" s="16" t="n"/>
      <c r="I12" s="16" t="n"/>
      <c r="J12" s="16" t="n"/>
      <c r="K12" s="16" t="n"/>
      <c r="L12" s="16" t="n"/>
      <c r="M12" s="16" t="n"/>
      <c r="N12" s="17">
        <f>IF($C12="","",_xlfn.TEXTJOIN(", ",TRUE,IF($D12="Fail",SkillsMaster!$B$6,""),IF($E12="Fail",SkillsMaster!$B$7,""),IF($F12="Fail",SkillsMaster!$B$8,""),IF($G12="Fail",SkillsMaster!$B$9,""),IF($H12="Fail",SkillsMaster!$B$10,""),IF($I12="Fail",SkillsMaster!$B$11,""),IF($J12="Fail",SkillsMaster!$B$12,""),IF($K12="Fail",SkillsMaster!$B$13,""),IF($L12="Fail",SkillsMaster!$B$14,""),IF($M12="Fail",SkillsMaster!$B$15,"")))</f>
        <v/>
      </c>
      <c r="O12" s="17">
        <f>IF($C12="","",IF(SkillsMaster!$B$6="",0,IF($D12="",1,0))+IF(SkillsMaster!$B$7="",0,IF($E12="",1,0))+IF(SkillsMaster!$B$8="",0,IF($F12="",1,0))+IF(SkillsMaster!$B$9="",0,IF($G12="",1,0))+IF(SkillsMaster!$B$10="",0,IF($H12="",1,0))+IF(SkillsMaster!$B$11="",0,IF($I12="",1,0))+IF(SkillsMaster!$B$12="",0,IF($J12="",1,0))+IF(SkillsMaster!$B$13="",0,IF($K12="",1,0))+IF(SkillsMaster!$B$14="",0,IF($L12="",1,0))+IF(SkillsMaster!$B$15="",0,IF($M12="",1,0)))</f>
        <v/>
      </c>
      <c r="P12" s="17">
        <f>IF($C12="","",IF(AND($N12="",$O12=0),"Yes","No"))</f>
        <v/>
      </c>
      <c r="Q12" s="17">
        <f>IF(Cadets!$B12="","",Cadets!$I12)</f>
        <v/>
      </c>
    </row>
    <row r="13">
      <c r="B13" s="17">
        <f>IF(Cadets!$B13="","",Cadets!$B13)</f>
        <v/>
      </c>
      <c r="C13" s="17">
        <f>IF(Cadets!$B13="","",Cadets!$F13)</f>
        <v/>
      </c>
      <c r="D13" s="16" t="n"/>
      <c r="E13" s="16" t="n"/>
      <c r="F13" s="16" t="n"/>
      <c r="G13" s="16" t="n"/>
      <c r="H13" s="16" t="n"/>
      <c r="I13" s="16" t="n"/>
      <c r="J13" s="16" t="n"/>
      <c r="K13" s="16" t="n"/>
      <c r="L13" s="16" t="n"/>
      <c r="M13" s="16" t="n"/>
      <c r="N13" s="17">
        <f>IF($C13="","",_xlfn.TEXTJOIN(", ",TRUE,IF($D13="Fail",SkillsMaster!$B$6,""),IF($E13="Fail",SkillsMaster!$B$7,""),IF($F13="Fail",SkillsMaster!$B$8,""),IF($G13="Fail",SkillsMaster!$B$9,""),IF($H13="Fail",SkillsMaster!$B$10,""),IF($I13="Fail",SkillsMaster!$B$11,""),IF($J13="Fail",SkillsMaster!$B$12,""),IF($K13="Fail",SkillsMaster!$B$13,""),IF($L13="Fail",SkillsMaster!$B$14,""),IF($M13="Fail",SkillsMaster!$B$15,"")))</f>
        <v/>
      </c>
      <c r="O13" s="17">
        <f>IF($C13="","",IF(SkillsMaster!$B$6="",0,IF($D13="",1,0))+IF(SkillsMaster!$B$7="",0,IF($E13="",1,0))+IF(SkillsMaster!$B$8="",0,IF($F13="",1,0))+IF(SkillsMaster!$B$9="",0,IF($G13="",1,0))+IF(SkillsMaster!$B$10="",0,IF($H13="",1,0))+IF(SkillsMaster!$B$11="",0,IF($I13="",1,0))+IF(SkillsMaster!$B$12="",0,IF($J13="",1,0))+IF(SkillsMaster!$B$13="",0,IF($K13="",1,0))+IF(SkillsMaster!$B$14="",0,IF($L13="",1,0))+IF(SkillsMaster!$B$15="",0,IF($M13="",1,0)))</f>
        <v/>
      </c>
      <c r="P13" s="17">
        <f>IF($C13="","",IF(AND($N13="",$O13=0),"Yes","No"))</f>
        <v/>
      </c>
      <c r="Q13" s="17">
        <f>IF(Cadets!$B13="","",Cadets!$I13)</f>
        <v/>
      </c>
    </row>
    <row r="14">
      <c r="B14" s="17">
        <f>IF(Cadets!$B14="","",Cadets!$B14)</f>
        <v/>
      </c>
      <c r="C14" s="17">
        <f>IF(Cadets!$B14="","",Cadets!$F14)</f>
        <v/>
      </c>
      <c r="D14" s="16" t="n"/>
      <c r="E14" s="16" t="n"/>
      <c r="F14" s="16" t="n"/>
      <c r="G14" s="16" t="n"/>
      <c r="H14" s="16" t="n"/>
      <c r="I14" s="16" t="n"/>
      <c r="J14" s="16" t="n"/>
      <c r="K14" s="16" t="n"/>
      <c r="L14" s="16" t="n"/>
      <c r="M14" s="16" t="n"/>
      <c r="N14" s="17">
        <f>IF($C14="","",_xlfn.TEXTJOIN(", ",TRUE,IF($D14="Fail",SkillsMaster!$B$6,""),IF($E14="Fail",SkillsMaster!$B$7,""),IF($F14="Fail",SkillsMaster!$B$8,""),IF($G14="Fail",SkillsMaster!$B$9,""),IF($H14="Fail",SkillsMaster!$B$10,""),IF($I14="Fail",SkillsMaster!$B$11,""),IF($J14="Fail",SkillsMaster!$B$12,""),IF($K14="Fail",SkillsMaster!$B$13,""),IF($L14="Fail",SkillsMaster!$B$14,""),IF($M14="Fail",SkillsMaster!$B$15,"")))</f>
        <v/>
      </c>
      <c r="O14" s="17">
        <f>IF($C14="","",IF(SkillsMaster!$B$6="",0,IF($D14="",1,0))+IF(SkillsMaster!$B$7="",0,IF($E14="",1,0))+IF(SkillsMaster!$B$8="",0,IF($F14="",1,0))+IF(SkillsMaster!$B$9="",0,IF($G14="",1,0))+IF(SkillsMaster!$B$10="",0,IF($H14="",1,0))+IF(SkillsMaster!$B$11="",0,IF($I14="",1,0))+IF(SkillsMaster!$B$12="",0,IF($J14="",1,0))+IF(SkillsMaster!$B$13="",0,IF($K14="",1,0))+IF(SkillsMaster!$B$14="",0,IF($L14="",1,0))+IF(SkillsMaster!$B$15="",0,IF($M14="",1,0)))</f>
        <v/>
      </c>
      <c r="P14" s="17">
        <f>IF($C14="","",IF(AND($N14="",$O14=0),"Yes","No"))</f>
        <v/>
      </c>
      <c r="Q14" s="17">
        <f>IF(Cadets!$B14="","",Cadets!$I14)</f>
        <v/>
      </c>
    </row>
    <row r="15">
      <c r="B15" s="17">
        <f>IF(Cadets!$B15="","",Cadets!$B15)</f>
        <v/>
      </c>
      <c r="C15" s="17">
        <f>IF(Cadets!$B15="","",Cadets!$F15)</f>
        <v/>
      </c>
      <c r="D15" s="16" t="n"/>
      <c r="E15" s="16" t="n"/>
      <c r="F15" s="16" t="n"/>
      <c r="G15" s="16" t="n"/>
      <c r="H15" s="16" t="n"/>
      <c r="I15" s="16" t="n"/>
      <c r="J15" s="16" t="n"/>
      <c r="K15" s="16" t="n"/>
      <c r="L15" s="16" t="n"/>
      <c r="M15" s="16" t="n"/>
      <c r="N15" s="17">
        <f>IF($C15="","",_xlfn.TEXTJOIN(", ",TRUE,IF($D15="Fail",SkillsMaster!$B$6,""),IF($E15="Fail",SkillsMaster!$B$7,""),IF($F15="Fail",SkillsMaster!$B$8,""),IF($G15="Fail",SkillsMaster!$B$9,""),IF($H15="Fail",SkillsMaster!$B$10,""),IF($I15="Fail",SkillsMaster!$B$11,""),IF($J15="Fail",SkillsMaster!$B$12,""),IF($K15="Fail",SkillsMaster!$B$13,""),IF($L15="Fail",SkillsMaster!$B$14,""),IF($M15="Fail",SkillsMaster!$B$15,"")))</f>
        <v/>
      </c>
      <c r="O15" s="17">
        <f>IF($C15="","",IF(SkillsMaster!$B$6="",0,IF($D15="",1,0))+IF(SkillsMaster!$B$7="",0,IF($E15="",1,0))+IF(SkillsMaster!$B$8="",0,IF($F15="",1,0))+IF(SkillsMaster!$B$9="",0,IF($G15="",1,0))+IF(SkillsMaster!$B$10="",0,IF($H15="",1,0))+IF(SkillsMaster!$B$11="",0,IF($I15="",1,0))+IF(SkillsMaster!$B$12="",0,IF($J15="",1,0))+IF(SkillsMaster!$B$13="",0,IF($K15="",1,0))+IF(SkillsMaster!$B$14="",0,IF($L15="",1,0))+IF(SkillsMaster!$B$15="",0,IF($M15="",1,0)))</f>
        <v/>
      </c>
      <c r="P15" s="17">
        <f>IF($C15="","",IF(AND($N15="",$O15=0),"Yes","No"))</f>
        <v/>
      </c>
      <c r="Q15" s="17">
        <f>IF(Cadets!$B15="","",Cadets!$I15)</f>
        <v/>
      </c>
    </row>
    <row r="16">
      <c r="B16" s="17">
        <f>IF(Cadets!$B16="","",Cadets!$B16)</f>
        <v/>
      </c>
      <c r="C16" s="17">
        <f>IF(Cadets!$B16="","",Cadets!$F16)</f>
        <v/>
      </c>
      <c r="D16" s="16" t="n"/>
      <c r="E16" s="16" t="n"/>
      <c r="F16" s="16" t="n"/>
      <c r="G16" s="16" t="n"/>
      <c r="H16" s="16" t="n"/>
      <c r="I16" s="16" t="n"/>
      <c r="J16" s="16" t="n"/>
      <c r="K16" s="16" t="n"/>
      <c r="L16" s="16" t="n"/>
      <c r="M16" s="16" t="n"/>
      <c r="N16" s="17">
        <f>IF($C16="","",_xlfn.TEXTJOIN(", ",TRUE,IF($D16="Fail",SkillsMaster!$B$6,""),IF($E16="Fail",SkillsMaster!$B$7,""),IF($F16="Fail",SkillsMaster!$B$8,""),IF($G16="Fail",SkillsMaster!$B$9,""),IF($H16="Fail",SkillsMaster!$B$10,""),IF($I16="Fail",SkillsMaster!$B$11,""),IF($J16="Fail",SkillsMaster!$B$12,""),IF($K16="Fail",SkillsMaster!$B$13,""),IF($L16="Fail",SkillsMaster!$B$14,""),IF($M16="Fail",SkillsMaster!$B$15,"")))</f>
        <v/>
      </c>
      <c r="O16" s="17">
        <f>IF($C16="","",IF(SkillsMaster!$B$6="",0,IF($D16="",1,0))+IF(SkillsMaster!$B$7="",0,IF($E16="",1,0))+IF(SkillsMaster!$B$8="",0,IF($F16="",1,0))+IF(SkillsMaster!$B$9="",0,IF($G16="",1,0))+IF(SkillsMaster!$B$10="",0,IF($H16="",1,0))+IF(SkillsMaster!$B$11="",0,IF($I16="",1,0))+IF(SkillsMaster!$B$12="",0,IF($J16="",1,0))+IF(SkillsMaster!$B$13="",0,IF($K16="",1,0))+IF(SkillsMaster!$B$14="",0,IF($L16="",1,0))+IF(SkillsMaster!$B$15="",0,IF($M16="",1,0)))</f>
        <v/>
      </c>
      <c r="P16" s="17">
        <f>IF($C16="","",IF(AND($N16="",$O16=0),"Yes","No"))</f>
        <v/>
      </c>
      <c r="Q16" s="17">
        <f>IF(Cadets!$B16="","",Cadets!$I16)</f>
        <v/>
      </c>
    </row>
    <row r="17">
      <c r="B17" s="17">
        <f>IF(Cadets!$B17="","",Cadets!$B17)</f>
        <v/>
      </c>
      <c r="C17" s="17">
        <f>IF(Cadets!$B17="","",Cadets!$F17)</f>
        <v/>
      </c>
      <c r="D17" s="16" t="n"/>
      <c r="E17" s="16" t="n"/>
      <c r="F17" s="16" t="n"/>
      <c r="G17" s="16" t="n"/>
      <c r="H17" s="16" t="n"/>
      <c r="I17" s="16" t="n"/>
      <c r="J17" s="16" t="n"/>
      <c r="K17" s="16" t="n"/>
      <c r="L17" s="16" t="n"/>
      <c r="M17" s="16" t="n"/>
      <c r="N17" s="17">
        <f>IF($C17="","",_xlfn.TEXTJOIN(", ",TRUE,IF($D17="Fail",SkillsMaster!$B$6,""),IF($E17="Fail",SkillsMaster!$B$7,""),IF($F17="Fail",SkillsMaster!$B$8,""),IF($G17="Fail",SkillsMaster!$B$9,""),IF($H17="Fail",SkillsMaster!$B$10,""),IF($I17="Fail",SkillsMaster!$B$11,""),IF($J17="Fail",SkillsMaster!$B$12,""),IF($K17="Fail",SkillsMaster!$B$13,""),IF($L17="Fail",SkillsMaster!$B$14,""),IF($M17="Fail",SkillsMaster!$B$15,"")))</f>
        <v/>
      </c>
      <c r="O17" s="17">
        <f>IF($C17="","",IF(SkillsMaster!$B$6="",0,IF($D17="",1,0))+IF(SkillsMaster!$B$7="",0,IF($E17="",1,0))+IF(SkillsMaster!$B$8="",0,IF($F17="",1,0))+IF(SkillsMaster!$B$9="",0,IF($G17="",1,0))+IF(SkillsMaster!$B$10="",0,IF($H17="",1,0))+IF(SkillsMaster!$B$11="",0,IF($I17="",1,0))+IF(SkillsMaster!$B$12="",0,IF($J17="",1,0))+IF(SkillsMaster!$B$13="",0,IF($K17="",1,0))+IF(SkillsMaster!$B$14="",0,IF($L17="",1,0))+IF(SkillsMaster!$B$15="",0,IF($M17="",1,0)))</f>
        <v/>
      </c>
      <c r="P17" s="17">
        <f>IF($C17="","",IF(AND($N17="",$O17=0),"Yes","No"))</f>
        <v/>
      </c>
      <c r="Q17" s="17">
        <f>IF(Cadets!$B17="","",Cadets!$I17)</f>
        <v/>
      </c>
    </row>
    <row r="18">
      <c r="B18" s="17">
        <f>IF(Cadets!$B18="","",Cadets!$B18)</f>
        <v/>
      </c>
      <c r="C18" s="17">
        <f>IF(Cadets!$B18="","",Cadets!$F18)</f>
        <v/>
      </c>
      <c r="D18" s="16" t="n"/>
      <c r="E18" s="16" t="n"/>
      <c r="F18" s="16" t="n"/>
      <c r="G18" s="16" t="n"/>
      <c r="H18" s="16" t="n"/>
      <c r="I18" s="16" t="n"/>
      <c r="J18" s="16" t="n"/>
      <c r="K18" s="16" t="n"/>
      <c r="L18" s="16" t="n"/>
      <c r="M18" s="16" t="n"/>
      <c r="N18" s="17">
        <f>IF($C18="","",_xlfn.TEXTJOIN(", ",TRUE,IF($D18="Fail",SkillsMaster!$B$6,""),IF($E18="Fail",SkillsMaster!$B$7,""),IF($F18="Fail",SkillsMaster!$B$8,""),IF($G18="Fail",SkillsMaster!$B$9,""),IF($H18="Fail",SkillsMaster!$B$10,""),IF($I18="Fail",SkillsMaster!$B$11,""),IF($J18="Fail",SkillsMaster!$B$12,""),IF($K18="Fail",SkillsMaster!$B$13,""),IF($L18="Fail",SkillsMaster!$B$14,""),IF($M18="Fail",SkillsMaster!$B$15,"")))</f>
        <v/>
      </c>
      <c r="O18" s="17">
        <f>IF($C18="","",IF(SkillsMaster!$B$6="",0,IF($D18="",1,0))+IF(SkillsMaster!$B$7="",0,IF($E18="",1,0))+IF(SkillsMaster!$B$8="",0,IF($F18="",1,0))+IF(SkillsMaster!$B$9="",0,IF($G18="",1,0))+IF(SkillsMaster!$B$10="",0,IF($H18="",1,0))+IF(SkillsMaster!$B$11="",0,IF($I18="",1,0))+IF(SkillsMaster!$B$12="",0,IF($J18="",1,0))+IF(SkillsMaster!$B$13="",0,IF($K18="",1,0))+IF(SkillsMaster!$B$14="",0,IF($L18="",1,0))+IF(SkillsMaster!$B$15="",0,IF($M18="",1,0)))</f>
        <v/>
      </c>
      <c r="P18" s="17">
        <f>IF($C18="","",IF(AND($N18="",$O18=0),"Yes","No"))</f>
        <v/>
      </c>
      <c r="Q18" s="17">
        <f>IF(Cadets!$B18="","",Cadets!$I18)</f>
        <v/>
      </c>
    </row>
    <row r="19">
      <c r="B19" s="17">
        <f>IF(Cadets!$B19="","",Cadets!$B19)</f>
        <v/>
      </c>
      <c r="C19" s="17">
        <f>IF(Cadets!$B19="","",Cadets!$F19)</f>
        <v/>
      </c>
      <c r="D19" s="16" t="n"/>
      <c r="E19" s="16" t="n"/>
      <c r="F19" s="16" t="n"/>
      <c r="G19" s="16" t="n"/>
      <c r="H19" s="16" t="n"/>
      <c r="I19" s="16" t="n"/>
      <c r="J19" s="16" t="n"/>
      <c r="K19" s="16" t="n"/>
      <c r="L19" s="16" t="n"/>
      <c r="M19" s="16" t="n"/>
      <c r="N19" s="17">
        <f>IF($C19="","",_xlfn.TEXTJOIN(", ",TRUE,IF($D19="Fail",SkillsMaster!$B$6,""),IF($E19="Fail",SkillsMaster!$B$7,""),IF($F19="Fail",SkillsMaster!$B$8,""),IF($G19="Fail",SkillsMaster!$B$9,""),IF($H19="Fail",SkillsMaster!$B$10,""),IF($I19="Fail",SkillsMaster!$B$11,""),IF($J19="Fail",SkillsMaster!$B$12,""),IF($K19="Fail",SkillsMaster!$B$13,""),IF($L19="Fail",SkillsMaster!$B$14,""),IF($M19="Fail",SkillsMaster!$B$15,"")))</f>
        <v/>
      </c>
      <c r="O19" s="17">
        <f>IF($C19="","",IF(SkillsMaster!$B$6="",0,IF($D19="",1,0))+IF(SkillsMaster!$B$7="",0,IF($E19="",1,0))+IF(SkillsMaster!$B$8="",0,IF($F19="",1,0))+IF(SkillsMaster!$B$9="",0,IF($G19="",1,0))+IF(SkillsMaster!$B$10="",0,IF($H19="",1,0))+IF(SkillsMaster!$B$11="",0,IF($I19="",1,0))+IF(SkillsMaster!$B$12="",0,IF($J19="",1,0))+IF(SkillsMaster!$B$13="",0,IF($K19="",1,0))+IF(SkillsMaster!$B$14="",0,IF($L19="",1,0))+IF(SkillsMaster!$B$15="",0,IF($M19="",1,0)))</f>
        <v/>
      </c>
      <c r="P19" s="17">
        <f>IF($C19="","",IF(AND($N19="",$O19=0),"Yes","No"))</f>
        <v/>
      </c>
      <c r="Q19" s="17">
        <f>IF(Cadets!$B19="","",Cadets!$I19)</f>
        <v/>
      </c>
    </row>
    <row r="20">
      <c r="B20" s="17">
        <f>IF(Cadets!$B20="","",Cadets!$B20)</f>
        <v/>
      </c>
      <c r="C20" s="17">
        <f>IF(Cadets!$B20="","",Cadets!$F20)</f>
        <v/>
      </c>
      <c r="D20" s="16" t="n"/>
      <c r="E20" s="16" t="n"/>
      <c r="F20" s="16" t="n"/>
      <c r="G20" s="16" t="n"/>
      <c r="H20" s="16" t="n"/>
      <c r="I20" s="16" t="n"/>
      <c r="J20" s="16" t="n"/>
      <c r="K20" s="16" t="n"/>
      <c r="L20" s="16" t="n"/>
      <c r="M20" s="16" t="n"/>
      <c r="N20" s="17">
        <f>IF($C20="","",_xlfn.TEXTJOIN(", ",TRUE,IF($D20="Fail",SkillsMaster!$B$6,""),IF($E20="Fail",SkillsMaster!$B$7,""),IF($F20="Fail",SkillsMaster!$B$8,""),IF($G20="Fail",SkillsMaster!$B$9,""),IF($H20="Fail",SkillsMaster!$B$10,""),IF($I20="Fail",SkillsMaster!$B$11,""),IF($J20="Fail",SkillsMaster!$B$12,""),IF($K20="Fail",SkillsMaster!$B$13,""),IF($L20="Fail",SkillsMaster!$B$14,""),IF($M20="Fail",SkillsMaster!$B$15,"")))</f>
        <v/>
      </c>
      <c r="O20" s="17">
        <f>IF($C20="","",IF(SkillsMaster!$B$6="",0,IF($D20="",1,0))+IF(SkillsMaster!$B$7="",0,IF($E20="",1,0))+IF(SkillsMaster!$B$8="",0,IF($F20="",1,0))+IF(SkillsMaster!$B$9="",0,IF($G20="",1,0))+IF(SkillsMaster!$B$10="",0,IF($H20="",1,0))+IF(SkillsMaster!$B$11="",0,IF($I20="",1,0))+IF(SkillsMaster!$B$12="",0,IF($J20="",1,0))+IF(SkillsMaster!$B$13="",0,IF($K20="",1,0))+IF(SkillsMaster!$B$14="",0,IF($L20="",1,0))+IF(SkillsMaster!$B$15="",0,IF($M20="",1,0)))</f>
        <v/>
      </c>
      <c r="P20" s="17">
        <f>IF($C20="","",IF(AND($N20="",$O20=0),"Yes","No"))</f>
        <v/>
      </c>
      <c r="Q20" s="17">
        <f>IF(Cadets!$B20="","",Cadets!$I20)</f>
        <v/>
      </c>
    </row>
    <row r="21">
      <c r="B21" s="17">
        <f>IF(Cadets!$B21="","",Cadets!$B21)</f>
        <v/>
      </c>
      <c r="C21" s="17">
        <f>IF(Cadets!$B21="","",Cadets!$F21)</f>
        <v/>
      </c>
      <c r="D21" s="16" t="n"/>
      <c r="E21" s="16" t="n"/>
      <c r="F21" s="16" t="n"/>
      <c r="G21" s="16" t="n"/>
      <c r="H21" s="16" t="n"/>
      <c r="I21" s="16" t="n"/>
      <c r="J21" s="16" t="n"/>
      <c r="K21" s="16" t="n"/>
      <c r="L21" s="16" t="n"/>
      <c r="M21" s="16" t="n"/>
      <c r="N21" s="17">
        <f>IF($C21="","",_xlfn.TEXTJOIN(", ",TRUE,IF($D21="Fail",SkillsMaster!$B$6,""),IF($E21="Fail",SkillsMaster!$B$7,""),IF($F21="Fail",SkillsMaster!$B$8,""),IF($G21="Fail",SkillsMaster!$B$9,""),IF($H21="Fail",SkillsMaster!$B$10,""),IF($I21="Fail",SkillsMaster!$B$11,""),IF($J21="Fail",SkillsMaster!$B$12,""),IF($K21="Fail",SkillsMaster!$B$13,""),IF($L21="Fail",SkillsMaster!$B$14,""),IF($M21="Fail",SkillsMaster!$B$15,"")))</f>
        <v/>
      </c>
      <c r="O21" s="17">
        <f>IF($C21="","",IF(SkillsMaster!$B$6="",0,IF($D21="",1,0))+IF(SkillsMaster!$B$7="",0,IF($E21="",1,0))+IF(SkillsMaster!$B$8="",0,IF($F21="",1,0))+IF(SkillsMaster!$B$9="",0,IF($G21="",1,0))+IF(SkillsMaster!$B$10="",0,IF($H21="",1,0))+IF(SkillsMaster!$B$11="",0,IF($I21="",1,0))+IF(SkillsMaster!$B$12="",0,IF($J21="",1,0))+IF(SkillsMaster!$B$13="",0,IF($K21="",1,0))+IF(SkillsMaster!$B$14="",0,IF($L21="",1,0))+IF(SkillsMaster!$B$15="",0,IF($M21="",1,0)))</f>
        <v/>
      </c>
      <c r="P21" s="17">
        <f>IF($C21="","",IF(AND($N21="",$O21=0),"Yes","No"))</f>
        <v/>
      </c>
      <c r="Q21" s="17">
        <f>IF(Cadets!$B21="","",Cadets!$I21)</f>
        <v/>
      </c>
    </row>
    <row r="22">
      <c r="B22" s="17">
        <f>IF(Cadets!$B22="","",Cadets!$B22)</f>
        <v/>
      </c>
      <c r="C22" s="17">
        <f>IF(Cadets!$B22="","",Cadets!$F22)</f>
        <v/>
      </c>
      <c r="D22" s="16" t="n"/>
      <c r="E22" s="16" t="n"/>
      <c r="F22" s="16" t="n"/>
      <c r="G22" s="16" t="n"/>
      <c r="H22" s="16" t="n"/>
      <c r="I22" s="16" t="n"/>
      <c r="J22" s="16" t="n"/>
      <c r="K22" s="16" t="n"/>
      <c r="L22" s="16" t="n"/>
      <c r="M22" s="16" t="n"/>
      <c r="N22" s="17">
        <f>IF($C22="","",_xlfn.TEXTJOIN(", ",TRUE,IF($D22="Fail",SkillsMaster!$B$6,""),IF($E22="Fail",SkillsMaster!$B$7,""),IF($F22="Fail",SkillsMaster!$B$8,""),IF($G22="Fail",SkillsMaster!$B$9,""),IF($H22="Fail",SkillsMaster!$B$10,""),IF($I22="Fail",SkillsMaster!$B$11,""),IF($J22="Fail",SkillsMaster!$B$12,""),IF($K22="Fail",SkillsMaster!$B$13,""),IF($L22="Fail",SkillsMaster!$B$14,""),IF($M22="Fail",SkillsMaster!$B$15,"")))</f>
        <v/>
      </c>
      <c r="O22" s="17">
        <f>IF($C22="","",IF(SkillsMaster!$B$6="",0,IF($D22="",1,0))+IF(SkillsMaster!$B$7="",0,IF($E22="",1,0))+IF(SkillsMaster!$B$8="",0,IF($F22="",1,0))+IF(SkillsMaster!$B$9="",0,IF($G22="",1,0))+IF(SkillsMaster!$B$10="",0,IF($H22="",1,0))+IF(SkillsMaster!$B$11="",0,IF($I22="",1,0))+IF(SkillsMaster!$B$12="",0,IF($J22="",1,0))+IF(SkillsMaster!$B$13="",0,IF($K22="",1,0))+IF(SkillsMaster!$B$14="",0,IF($L22="",1,0))+IF(SkillsMaster!$B$15="",0,IF($M22="",1,0)))</f>
        <v/>
      </c>
      <c r="P22" s="17">
        <f>IF($C22="","",IF(AND($N22="",$O22=0),"Yes","No"))</f>
        <v/>
      </c>
      <c r="Q22" s="17">
        <f>IF(Cadets!$B22="","",Cadets!$I22)</f>
        <v/>
      </c>
    </row>
    <row r="23">
      <c r="B23" s="17">
        <f>IF(Cadets!$B23="","",Cadets!$B23)</f>
        <v/>
      </c>
      <c r="C23" s="17">
        <f>IF(Cadets!$B23="","",Cadets!$F23)</f>
        <v/>
      </c>
      <c r="D23" s="16" t="n"/>
      <c r="E23" s="16" t="n"/>
      <c r="F23" s="16" t="n"/>
      <c r="G23" s="16" t="n"/>
      <c r="H23" s="16" t="n"/>
      <c r="I23" s="16" t="n"/>
      <c r="J23" s="16" t="n"/>
      <c r="K23" s="16" t="n"/>
      <c r="L23" s="16" t="n"/>
      <c r="M23" s="16" t="n"/>
      <c r="N23" s="17">
        <f>IF($C23="","",_xlfn.TEXTJOIN(", ",TRUE,IF($D23="Fail",SkillsMaster!$B$6,""),IF($E23="Fail",SkillsMaster!$B$7,""),IF($F23="Fail",SkillsMaster!$B$8,""),IF($G23="Fail",SkillsMaster!$B$9,""),IF($H23="Fail",SkillsMaster!$B$10,""),IF($I23="Fail",SkillsMaster!$B$11,""),IF($J23="Fail",SkillsMaster!$B$12,""),IF($K23="Fail",SkillsMaster!$B$13,""),IF($L23="Fail",SkillsMaster!$B$14,""),IF($M23="Fail",SkillsMaster!$B$15,"")))</f>
        <v/>
      </c>
      <c r="O23" s="17">
        <f>IF($C23="","",IF(SkillsMaster!$B$6="",0,IF($D23="",1,0))+IF(SkillsMaster!$B$7="",0,IF($E23="",1,0))+IF(SkillsMaster!$B$8="",0,IF($F23="",1,0))+IF(SkillsMaster!$B$9="",0,IF($G23="",1,0))+IF(SkillsMaster!$B$10="",0,IF($H23="",1,0))+IF(SkillsMaster!$B$11="",0,IF($I23="",1,0))+IF(SkillsMaster!$B$12="",0,IF($J23="",1,0))+IF(SkillsMaster!$B$13="",0,IF($K23="",1,0))+IF(SkillsMaster!$B$14="",0,IF($L23="",1,0))+IF(SkillsMaster!$B$15="",0,IF($M23="",1,0)))</f>
        <v/>
      </c>
      <c r="P23" s="17">
        <f>IF($C23="","",IF(AND($N23="",$O23=0),"Yes","No"))</f>
        <v/>
      </c>
      <c r="Q23" s="17">
        <f>IF(Cadets!$B23="","",Cadets!$I23)</f>
        <v/>
      </c>
    </row>
    <row r="24">
      <c r="B24" s="17">
        <f>IF(Cadets!$B24="","",Cadets!$B24)</f>
        <v/>
      </c>
      <c r="C24" s="17">
        <f>IF(Cadets!$B24="","",Cadets!$F24)</f>
        <v/>
      </c>
      <c r="D24" s="16" t="n"/>
      <c r="E24" s="16" t="n"/>
      <c r="F24" s="16" t="n"/>
      <c r="G24" s="16" t="n"/>
      <c r="H24" s="16" t="n"/>
      <c r="I24" s="16" t="n"/>
      <c r="J24" s="16" t="n"/>
      <c r="K24" s="16" t="n"/>
      <c r="L24" s="16" t="n"/>
      <c r="M24" s="16" t="n"/>
      <c r="N24" s="17">
        <f>IF($C24="","",_xlfn.TEXTJOIN(", ",TRUE,IF($D24="Fail",SkillsMaster!$B$6,""),IF($E24="Fail",SkillsMaster!$B$7,""),IF($F24="Fail",SkillsMaster!$B$8,""),IF($G24="Fail",SkillsMaster!$B$9,""),IF($H24="Fail",SkillsMaster!$B$10,""),IF($I24="Fail",SkillsMaster!$B$11,""),IF($J24="Fail",SkillsMaster!$B$12,""),IF($K24="Fail",SkillsMaster!$B$13,""),IF($L24="Fail",SkillsMaster!$B$14,""),IF($M24="Fail",SkillsMaster!$B$15,"")))</f>
        <v/>
      </c>
      <c r="O24" s="17">
        <f>IF($C24="","",IF(SkillsMaster!$B$6="",0,IF($D24="",1,0))+IF(SkillsMaster!$B$7="",0,IF($E24="",1,0))+IF(SkillsMaster!$B$8="",0,IF($F24="",1,0))+IF(SkillsMaster!$B$9="",0,IF($G24="",1,0))+IF(SkillsMaster!$B$10="",0,IF($H24="",1,0))+IF(SkillsMaster!$B$11="",0,IF($I24="",1,0))+IF(SkillsMaster!$B$12="",0,IF($J24="",1,0))+IF(SkillsMaster!$B$13="",0,IF($K24="",1,0))+IF(SkillsMaster!$B$14="",0,IF($L24="",1,0))+IF(SkillsMaster!$B$15="",0,IF($M24="",1,0)))</f>
        <v/>
      </c>
      <c r="P24" s="17">
        <f>IF($C24="","",IF(AND($N24="",$O24=0),"Yes","No"))</f>
        <v/>
      </c>
      <c r="Q24" s="17">
        <f>IF(Cadets!$B24="","",Cadets!$I24)</f>
        <v/>
      </c>
    </row>
    <row r="25">
      <c r="B25" s="17">
        <f>IF(Cadets!$B25="","",Cadets!$B25)</f>
        <v/>
      </c>
      <c r="C25" s="17">
        <f>IF(Cadets!$B25="","",Cadets!$F25)</f>
        <v/>
      </c>
      <c r="D25" s="16" t="n"/>
      <c r="E25" s="16" t="n"/>
      <c r="F25" s="16" t="n"/>
      <c r="G25" s="16" t="n"/>
      <c r="H25" s="16" t="n"/>
      <c r="I25" s="16" t="n"/>
      <c r="J25" s="16" t="n"/>
      <c r="K25" s="16" t="n"/>
      <c r="L25" s="16" t="n"/>
      <c r="M25" s="16" t="n"/>
      <c r="N25" s="17">
        <f>IF($C25="","",_xlfn.TEXTJOIN(", ",TRUE,IF($D25="Fail",SkillsMaster!$B$6,""),IF($E25="Fail",SkillsMaster!$B$7,""),IF($F25="Fail",SkillsMaster!$B$8,""),IF($G25="Fail",SkillsMaster!$B$9,""),IF($H25="Fail",SkillsMaster!$B$10,""),IF($I25="Fail",SkillsMaster!$B$11,""),IF($J25="Fail",SkillsMaster!$B$12,""),IF($K25="Fail",SkillsMaster!$B$13,""),IF($L25="Fail",SkillsMaster!$B$14,""),IF($M25="Fail",SkillsMaster!$B$15,"")))</f>
        <v/>
      </c>
      <c r="O25" s="17">
        <f>IF($C25="","",IF(SkillsMaster!$B$6="",0,IF($D25="",1,0))+IF(SkillsMaster!$B$7="",0,IF($E25="",1,0))+IF(SkillsMaster!$B$8="",0,IF($F25="",1,0))+IF(SkillsMaster!$B$9="",0,IF($G25="",1,0))+IF(SkillsMaster!$B$10="",0,IF($H25="",1,0))+IF(SkillsMaster!$B$11="",0,IF($I25="",1,0))+IF(SkillsMaster!$B$12="",0,IF($J25="",1,0))+IF(SkillsMaster!$B$13="",0,IF($K25="",1,0))+IF(SkillsMaster!$B$14="",0,IF($L25="",1,0))+IF(SkillsMaster!$B$15="",0,IF($M25="",1,0)))</f>
        <v/>
      </c>
      <c r="P25" s="17">
        <f>IF($C25="","",IF(AND($N25="",$O25=0),"Yes","No"))</f>
        <v/>
      </c>
      <c r="Q25" s="17">
        <f>IF(Cadets!$B25="","",Cadets!$I25)</f>
        <v/>
      </c>
    </row>
    <row r="26">
      <c r="B26" s="17">
        <f>IF(Cadets!$B26="","",Cadets!$B26)</f>
        <v/>
      </c>
      <c r="C26" s="17">
        <f>IF(Cadets!$B26="","",Cadets!$F26)</f>
        <v/>
      </c>
      <c r="D26" s="16" t="n"/>
      <c r="E26" s="16" t="n"/>
      <c r="F26" s="16" t="n"/>
      <c r="G26" s="16" t="n"/>
      <c r="H26" s="16" t="n"/>
      <c r="I26" s="16" t="n"/>
      <c r="J26" s="16" t="n"/>
      <c r="K26" s="16" t="n"/>
      <c r="L26" s="16" t="n"/>
      <c r="M26" s="16" t="n"/>
      <c r="N26" s="17">
        <f>IF($C26="","",_xlfn.TEXTJOIN(", ",TRUE,IF($D26="Fail",SkillsMaster!$B$6,""),IF($E26="Fail",SkillsMaster!$B$7,""),IF($F26="Fail",SkillsMaster!$B$8,""),IF($G26="Fail",SkillsMaster!$B$9,""),IF($H26="Fail",SkillsMaster!$B$10,""),IF($I26="Fail",SkillsMaster!$B$11,""),IF($J26="Fail",SkillsMaster!$B$12,""),IF($K26="Fail",SkillsMaster!$B$13,""),IF($L26="Fail",SkillsMaster!$B$14,""),IF($M26="Fail",SkillsMaster!$B$15,"")))</f>
        <v/>
      </c>
      <c r="O26" s="17">
        <f>IF($C26="","",IF(SkillsMaster!$B$6="",0,IF($D26="",1,0))+IF(SkillsMaster!$B$7="",0,IF($E26="",1,0))+IF(SkillsMaster!$B$8="",0,IF($F26="",1,0))+IF(SkillsMaster!$B$9="",0,IF($G26="",1,0))+IF(SkillsMaster!$B$10="",0,IF($H26="",1,0))+IF(SkillsMaster!$B$11="",0,IF($I26="",1,0))+IF(SkillsMaster!$B$12="",0,IF($J26="",1,0))+IF(SkillsMaster!$B$13="",0,IF($K26="",1,0))+IF(SkillsMaster!$B$14="",0,IF($L26="",1,0))+IF(SkillsMaster!$B$15="",0,IF($M26="",1,0)))</f>
        <v/>
      </c>
      <c r="P26" s="17">
        <f>IF($C26="","",IF(AND($N26="",$O26=0),"Yes","No"))</f>
        <v/>
      </c>
      <c r="Q26" s="17">
        <f>IF(Cadets!$B26="","",Cadets!$I26)</f>
        <v/>
      </c>
    </row>
    <row r="27">
      <c r="B27" s="17">
        <f>IF(Cadets!$B27="","",Cadets!$B27)</f>
        <v/>
      </c>
      <c r="C27" s="17">
        <f>IF(Cadets!$B27="","",Cadets!$F27)</f>
        <v/>
      </c>
      <c r="D27" s="16" t="n"/>
      <c r="E27" s="16" t="n"/>
      <c r="F27" s="16" t="n"/>
      <c r="G27" s="16" t="n"/>
      <c r="H27" s="16" t="n"/>
      <c r="I27" s="16" t="n"/>
      <c r="J27" s="16" t="n"/>
      <c r="K27" s="16" t="n"/>
      <c r="L27" s="16" t="n"/>
      <c r="M27" s="16" t="n"/>
      <c r="N27" s="17">
        <f>IF($C27="","",_xlfn.TEXTJOIN(", ",TRUE,IF($D27="Fail",SkillsMaster!$B$6,""),IF($E27="Fail",SkillsMaster!$B$7,""),IF($F27="Fail",SkillsMaster!$B$8,""),IF($G27="Fail",SkillsMaster!$B$9,""),IF($H27="Fail",SkillsMaster!$B$10,""),IF($I27="Fail",SkillsMaster!$B$11,""),IF($J27="Fail",SkillsMaster!$B$12,""),IF($K27="Fail",SkillsMaster!$B$13,""),IF($L27="Fail",SkillsMaster!$B$14,""),IF($M27="Fail",SkillsMaster!$B$15,"")))</f>
        <v/>
      </c>
      <c r="O27" s="17">
        <f>IF($C27="","",IF(SkillsMaster!$B$6="",0,IF($D27="",1,0))+IF(SkillsMaster!$B$7="",0,IF($E27="",1,0))+IF(SkillsMaster!$B$8="",0,IF($F27="",1,0))+IF(SkillsMaster!$B$9="",0,IF($G27="",1,0))+IF(SkillsMaster!$B$10="",0,IF($H27="",1,0))+IF(SkillsMaster!$B$11="",0,IF($I27="",1,0))+IF(SkillsMaster!$B$12="",0,IF($J27="",1,0))+IF(SkillsMaster!$B$13="",0,IF($K27="",1,0))+IF(SkillsMaster!$B$14="",0,IF($L27="",1,0))+IF(SkillsMaster!$B$15="",0,IF($M27="",1,0)))</f>
        <v/>
      </c>
      <c r="P27" s="17">
        <f>IF($C27="","",IF(AND($N27="",$O27=0),"Yes","No"))</f>
        <v/>
      </c>
      <c r="Q27" s="17">
        <f>IF(Cadets!$B27="","",Cadets!$I27)</f>
        <v/>
      </c>
    </row>
    <row r="28">
      <c r="B28" s="17">
        <f>IF(Cadets!$B28="","",Cadets!$B28)</f>
        <v/>
      </c>
      <c r="C28" s="17">
        <f>IF(Cadets!$B28="","",Cadets!$F28)</f>
        <v/>
      </c>
      <c r="D28" s="16" t="n"/>
      <c r="E28" s="16" t="n"/>
      <c r="F28" s="16" t="n"/>
      <c r="G28" s="16" t="n"/>
      <c r="H28" s="16" t="n"/>
      <c r="I28" s="16" t="n"/>
      <c r="J28" s="16" t="n"/>
      <c r="K28" s="16" t="n"/>
      <c r="L28" s="16" t="n"/>
      <c r="M28" s="16" t="n"/>
      <c r="N28" s="17">
        <f>IF($C28="","",_xlfn.TEXTJOIN(", ",TRUE,IF($D28="Fail",SkillsMaster!$B$6,""),IF($E28="Fail",SkillsMaster!$B$7,""),IF($F28="Fail",SkillsMaster!$B$8,""),IF($G28="Fail",SkillsMaster!$B$9,""),IF($H28="Fail",SkillsMaster!$B$10,""),IF($I28="Fail",SkillsMaster!$B$11,""),IF($J28="Fail",SkillsMaster!$B$12,""),IF($K28="Fail",SkillsMaster!$B$13,""),IF($L28="Fail",SkillsMaster!$B$14,""),IF($M28="Fail",SkillsMaster!$B$15,"")))</f>
        <v/>
      </c>
      <c r="O28" s="17">
        <f>IF($C28="","",IF(SkillsMaster!$B$6="",0,IF($D28="",1,0))+IF(SkillsMaster!$B$7="",0,IF($E28="",1,0))+IF(SkillsMaster!$B$8="",0,IF($F28="",1,0))+IF(SkillsMaster!$B$9="",0,IF($G28="",1,0))+IF(SkillsMaster!$B$10="",0,IF($H28="",1,0))+IF(SkillsMaster!$B$11="",0,IF($I28="",1,0))+IF(SkillsMaster!$B$12="",0,IF($J28="",1,0))+IF(SkillsMaster!$B$13="",0,IF($K28="",1,0))+IF(SkillsMaster!$B$14="",0,IF($L28="",1,0))+IF(SkillsMaster!$B$15="",0,IF($M28="",1,0)))</f>
        <v/>
      </c>
      <c r="P28" s="17">
        <f>IF($C28="","",IF(AND($N28="",$O28=0),"Yes","No"))</f>
        <v/>
      </c>
      <c r="Q28" s="17">
        <f>IF(Cadets!$B28="","",Cadets!$I28)</f>
        <v/>
      </c>
    </row>
    <row r="29">
      <c r="B29" s="17">
        <f>IF(Cadets!$B29="","",Cadets!$B29)</f>
        <v/>
      </c>
      <c r="C29" s="17">
        <f>IF(Cadets!$B29="","",Cadets!$F29)</f>
        <v/>
      </c>
      <c r="D29" s="16" t="n"/>
      <c r="E29" s="16" t="n"/>
      <c r="F29" s="16" t="n"/>
      <c r="G29" s="16" t="n"/>
      <c r="H29" s="16" t="n"/>
      <c r="I29" s="16" t="n"/>
      <c r="J29" s="16" t="n"/>
      <c r="K29" s="16" t="n"/>
      <c r="L29" s="16" t="n"/>
      <c r="M29" s="16" t="n"/>
      <c r="N29" s="17">
        <f>IF($C29="","",_xlfn.TEXTJOIN(", ",TRUE,IF($D29="Fail",SkillsMaster!$B$6,""),IF($E29="Fail",SkillsMaster!$B$7,""),IF($F29="Fail",SkillsMaster!$B$8,""),IF($G29="Fail",SkillsMaster!$B$9,""),IF($H29="Fail",SkillsMaster!$B$10,""),IF($I29="Fail",SkillsMaster!$B$11,""),IF($J29="Fail",SkillsMaster!$B$12,""),IF($K29="Fail",SkillsMaster!$B$13,""),IF($L29="Fail",SkillsMaster!$B$14,""),IF($M29="Fail",SkillsMaster!$B$15,"")))</f>
        <v/>
      </c>
      <c r="O29" s="17">
        <f>IF($C29="","",IF(SkillsMaster!$B$6="",0,IF($D29="",1,0))+IF(SkillsMaster!$B$7="",0,IF($E29="",1,0))+IF(SkillsMaster!$B$8="",0,IF($F29="",1,0))+IF(SkillsMaster!$B$9="",0,IF($G29="",1,0))+IF(SkillsMaster!$B$10="",0,IF($H29="",1,0))+IF(SkillsMaster!$B$11="",0,IF($I29="",1,0))+IF(SkillsMaster!$B$12="",0,IF($J29="",1,0))+IF(SkillsMaster!$B$13="",0,IF($K29="",1,0))+IF(SkillsMaster!$B$14="",0,IF($L29="",1,0))+IF(SkillsMaster!$B$15="",0,IF($M29="",1,0)))</f>
        <v/>
      </c>
      <c r="P29" s="17">
        <f>IF($C29="","",IF(AND($N29="",$O29=0),"Yes","No"))</f>
        <v/>
      </c>
      <c r="Q29" s="17">
        <f>IF(Cadets!$B29="","",Cadets!$I29)</f>
        <v/>
      </c>
    </row>
    <row r="30">
      <c r="B30" s="17">
        <f>IF(Cadets!$B30="","",Cadets!$B30)</f>
        <v/>
      </c>
      <c r="C30" s="17">
        <f>IF(Cadets!$B30="","",Cadets!$F30)</f>
        <v/>
      </c>
      <c r="D30" s="16" t="n"/>
      <c r="E30" s="16" t="n"/>
      <c r="F30" s="16" t="n"/>
      <c r="G30" s="16" t="n"/>
      <c r="H30" s="16" t="n"/>
      <c r="I30" s="16" t="n"/>
      <c r="J30" s="16" t="n"/>
      <c r="K30" s="16" t="n"/>
      <c r="L30" s="16" t="n"/>
      <c r="M30" s="16" t="n"/>
      <c r="N30" s="17">
        <f>IF($C30="","",_xlfn.TEXTJOIN(", ",TRUE,IF($D30="Fail",SkillsMaster!$B$6,""),IF($E30="Fail",SkillsMaster!$B$7,""),IF($F30="Fail",SkillsMaster!$B$8,""),IF($G30="Fail",SkillsMaster!$B$9,""),IF($H30="Fail",SkillsMaster!$B$10,""),IF($I30="Fail",SkillsMaster!$B$11,""),IF($J30="Fail",SkillsMaster!$B$12,""),IF($K30="Fail",SkillsMaster!$B$13,""),IF($L30="Fail",SkillsMaster!$B$14,""),IF($M30="Fail",SkillsMaster!$B$15,"")))</f>
        <v/>
      </c>
      <c r="O30" s="17">
        <f>IF($C30="","",IF(SkillsMaster!$B$6="",0,IF($D30="",1,0))+IF(SkillsMaster!$B$7="",0,IF($E30="",1,0))+IF(SkillsMaster!$B$8="",0,IF($F30="",1,0))+IF(SkillsMaster!$B$9="",0,IF($G30="",1,0))+IF(SkillsMaster!$B$10="",0,IF($H30="",1,0))+IF(SkillsMaster!$B$11="",0,IF($I30="",1,0))+IF(SkillsMaster!$B$12="",0,IF($J30="",1,0))+IF(SkillsMaster!$B$13="",0,IF($K30="",1,0))+IF(SkillsMaster!$B$14="",0,IF($L30="",1,0))+IF(SkillsMaster!$B$15="",0,IF($M30="",1,0)))</f>
        <v/>
      </c>
      <c r="P30" s="17">
        <f>IF($C30="","",IF(AND($N30="",$O30=0),"Yes","No"))</f>
        <v/>
      </c>
      <c r="Q30" s="17">
        <f>IF(Cadets!$B30="","",Cadets!$I30)</f>
        <v/>
      </c>
    </row>
    <row r="31">
      <c r="B31" s="17">
        <f>IF(Cadets!$B31="","",Cadets!$B31)</f>
        <v/>
      </c>
      <c r="C31" s="17">
        <f>IF(Cadets!$B31="","",Cadets!$F31)</f>
        <v/>
      </c>
      <c r="D31" s="16" t="n"/>
      <c r="E31" s="16" t="n"/>
      <c r="F31" s="16" t="n"/>
      <c r="G31" s="16" t="n"/>
      <c r="H31" s="16" t="n"/>
      <c r="I31" s="16" t="n"/>
      <c r="J31" s="16" t="n"/>
      <c r="K31" s="16" t="n"/>
      <c r="L31" s="16" t="n"/>
      <c r="M31" s="16" t="n"/>
      <c r="N31" s="17">
        <f>IF($C31="","",_xlfn.TEXTJOIN(", ",TRUE,IF($D31="Fail",SkillsMaster!$B$6,""),IF($E31="Fail",SkillsMaster!$B$7,""),IF($F31="Fail",SkillsMaster!$B$8,""),IF($G31="Fail",SkillsMaster!$B$9,""),IF($H31="Fail",SkillsMaster!$B$10,""),IF($I31="Fail",SkillsMaster!$B$11,""),IF($J31="Fail",SkillsMaster!$B$12,""),IF($K31="Fail",SkillsMaster!$B$13,""),IF($L31="Fail",SkillsMaster!$B$14,""),IF($M31="Fail",SkillsMaster!$B$15,"")))</f>
        <v/>
      </c>
      <c r="O31" s="17">
        <f>IF($C31="","",IF(SkillsMaster!$B$6="",0,IF($D31="",1,0))+IF(SkillsMaster!$B$7="",0,IF($E31="",1,0))+IF(SkillsMaster!$B$8="",0,IF($F31="",1,0))+IF(SkillsMaster!$B$9="",0,IF($G31="",1,0))+IF(SkillsMaster!$B$10="",0,IF($H31="",1,0))+IF(SkillsMaster!$B$11="",0,IF($I31="",1,0))+IF(SkillsMaster!$B$12="",0,IF($J31="",1,0))+IF(SkillsMaster!$B$13="",0,IF($K31="",1,0))+IF(SkillsMaster!$B$14="",0,IF($L31="",1,0))+IF(SkillsMaster!$B$15="",0,IF($M31="",1,0)))</f>
        <v/>
      </c>
      <c r="P31" s="17">
        <f>IF($C31="","",IF(AND($N31="",$O31=0),"Yes","No"))</f>
        <v/>
      </c>
      <c r="Q31" s="17">
        <f>IF(Cadets!$B31="","",Cadets!$I31)</f>
        <v/>
      </c>
    </row>
    <row r="32">
      <c r="B32" s="17">
        <f>IF(Cadets!$B32="","",Cadets!$B32)</f>
        <v/>
      </c>
      <c r="C32" s="17">
        <f>IF(Cadets!$B32="","",Cadets!$F32)</f>
        <v/>
      </c>
      <c r="D32" s="16" t="n"/>
      <c r="E32" s="16" t="n"/>
      <c r="F32" s="16" t="n"/>
      <c r="G32" s="16" t="n"/>
      <c r="H32" s="16" t="n"/>
      <c r="I32" s="16" t="n"/>
      <c r="J32" s="16" t="n"/>
      <c r="K32" s="16" t="n"/>
      <c r="L32" s="16" t="n"/>
      <c r="M32" s="16" t="n"/>
      <c r="N32" s="17">
        <f>IF($C32="","",_xlfn.TEXTJOIN(", ",TRUE,IF($D32="Fail",SkillsMaster!$B$6,""),IF($E32="Fail",SkillsMaster!$B$7,""),IF($F32="Fail",SkillsMaster!$B$8,""),IF($G32="Fail",SkillsMaster!$B$9,""),IF($H32="Fail",SkillsMaster!$B$10,""),IF($I32="Fail",SkillsMaster!$B$11,""),IF($J32="Fail",SkillsMaster!$B$12,""),IF($K32="Fail",SkillsMaster!$B$13,""),IF($L32="Fail",SkillsMaster!$B$14,""),IF($M32="Fail",SkillsMaster!$B$15,"")))</f>
        <v/>
      </c>
      <c r="O32" s="17">
        <f>IF($C32="","",IF(SkillsMaster!$B$6="",0,IF($D32="",1,0))+IF(SkillsMaster!$B$7="",0,IF($E32="",1,0))+IF(SkillsMaster!$B$8="",0,IF($F32="",1,0))+IF(SkillsMaster!$B$9="",0,IF($G32="",1,0))+IF(SkillsMaster!$B$10="",0,IF($H32="",1,0))+IF(SkillsMaster!$B$11="",0,IF($I32="",1,0))+IF(SkillsMaster!$B$12="",0,IF($J32="",1,0))+IF(SkillsMaster!$B$13="",0,IF($K32="",1,0))+IF(SkillsMaster!$B$14="",0,IF($L32="",1,0))+IF(SkillsMaster!$B$15="",0,IF($M32="",1,0)))</f>
        <v/>
      </c>
      <c r="P32" s="17">
        <f>IF($C32="","",IF(AND($N32="",$O32=0),"Yes","No"))</f>
        <v/>
      </c>
      <c r="Q32" s="17">
        <f>IF(Cadets!$B32="","",Cadets!$I32)</f>
        <v/>
      </c>
    </row>
    <row r="33">
      <c r="B33" s="17">
        <f>IF(Cadets!$B33="","",Cadets!$B33)</f>
        <v/>
      </c>
      <c r="C33" s="17">
        <f>IF(Cadets!$B33="","",Cadets!$F33)</f>
        <v/>
      </c>
      <c r="D33" s="16" t="n"/>
      <c r="E33" s="16" t="n"/>
      <c r="F33" s="16" t="n"/>
      <c r="G33" s="16" t="n"/>
      <c r="H33" s="16" t="n"/>
      <c r="I33" s="16" t="n"/>
      <c r="J33" s="16" t="n"/>
      <c r="K33" s="16" t="n"/>
      <c r="L33" s="16" t="n"/>
      <c r="M33" s="16" t="n"/>
      <c r="N33" s="17">
        <f>IF($C33="","",_xlfn.TEXTJOIN(", ",TRUE,IF($D33="Fail",SkillsMaster!$B$6,""),IF($E33="Fail",SkillsMaster!$B$7,""),IF($F33="Fail",SkillsMaster!$B$8,""),IF($G33="Fail",SkillsMaster!$B$9,""),IF($H33="Fail",SkillsMaster!$B$10,""),IF($I33="Fail",SkillsMaster!$B$11,""),IF($J33="Fail",SkillsMaster!$B$12,""),IF($K33="Fail",SkillsMaster!$B$13,""),IF($L33="Fail",SkillsMaster!$B$14,""),IF($M33="Fail",SkillsMaster!$B$15,"")))</f>
        <v/>
      </c>
      <c r="O33" s="17">
        <f>IF($C33="","",IF(SkillsMaster!$B$6="",0,IF($D33="",1,0))+IF(SkillsMaster!$B$7="",0,IF($E33="",1,0))+IF(SkillsMaster!$B$8="",0,IF($F33="",1,0))+IF(SkillsMaster!$B$9="",0,IF($G33="",1,0))+IF(SkillsMaster!$B$10="",0,IF($H33="",1,0))+IF(SkillsMaster!$B$11="",0,IF($I33="",1,0))+IF(SkillsMaster!$B$12="",0,IF($J33="",1,0))+IF(SkillsMaster!$B$13="",0,IF($K33="",1,0))+IF(SkillsMaster!$B$14="",0,IF($L33="",1,0))+IF(SkillsMaster!$B$15="",0,IF($M33="",1,0)))</f>
        <v/>
      </c>
      <c r="P33" s="17">
        <f>IF($C33="","",IF(AND($N33="",$O33=0),"Yes","No"))</f>
        <v/>
      </c>
      <c r="Q33" s="17">
        <f>IF(Cadets!$B33="","",Cadets!$I33)</f>
        <v/>
      </c>
    </row>
    <row r="34">
      <c r="B34" s="17">
        <f>IF(Cadets!$B34="","",Cadets!$B34)</f>
        <v/>
      </c>
      <c r="C34" s="17">
        <f>IF(Cadets!$B34="","",Cadets!$F34)</f>
        <v/>
      </c>
      <c r="D34" s="16" t="n"/>
      <c r="E34" s="16" t="n"/>
      <c r="F34" s="16" t="n"/>
      <c r="G34" s="16" t="n"/>
      <c r="H34" s="16" t="n"/>
      <c r="I34" s="16" t="n"/>
      <c r="J34" s="16" t="n"/>
      <c r="K34" s="16" t="n"/>
      <c r="L34" s="16" t="n"/>
      <c r="M34" s="16" t="n"/>
      <c r="N34" s="17">
        <f>IF($C34="","",_xlfn.TEXTJOIN(", ",TRUE,IF($D34="Fail",SkillsMaster!$B$6,""),IF($E34="Fail",SkillsMaster!$B$7,""),IF($F34="Fail",SkillsMaster!$B$8,""),IF($G34="Fail",SkillsMaster!$B$9,""),IF($H34="Fail",SkillsMaster!$B$10,""),IF($I34="Fail",SkillsMaster!$B$11,""),IF($J34="Fail",SkillsMaster!$B$12,""),IF($K34="Fail",SkillsMaster!$B$13,""),IF($L34="Fail",SkillsMaster!$B$14,""),IF($M34="Fail",SkillsMaster!$B$15,"")))</f>
        <v/>
      </c>
      <c r="O34" s="17">
        <f>IF($C34="","",IF(SkillsMaster!$B$6="",0,IF($D34="",1,0))+IF(SkillsMaster!$B$7="",0,IF($E34="",1,0))+IF(SkillsMaster!$B$8="",0,IF($F34="",1,0))+IF(SkillsMaster!$B$9="",0,IF($G34="",1,0))+IF(SkillsMaster!$B$10="",0,IF($H34="",1,0))+IF(SkillsMaster!$B$11="",0,IF($I34="",1,0))+IF(SkillsMaster!$B$12="",0,IF($J34="",1,0))+IF(SkillsMaster!$B$13="",0,IF($K34="",1,0))+IF(SkillsMaster!$B$14="",0,IF($L34="",1,0))+IF(SkillsMaster!$B$15="",0,IF($M34="",1,0)))</f>
        <v/>
      </c>
      <c r="P34" s="17">
        <f>IF($C34="","",IF(AND($N34="",$O34=0),"Yes","No"))</f>
        <v/>
      </c>
      <c r="Q34" s="17">
        <f>IF(Cadets!$B34="","",Cadets!$I34)</f>
        <v/>
      </c>
    </row>
    <row r="35">
      <c r="B35" s="17">
        <f>IF(Cadets!$B35="","",Cadets!$B35)</f>
        <v/>
      </c>
      <c r="C35" s="17">
        <f>IF(Cadets!$B35="","",Cadets!$F35)</f>
        <v/>
      </c>
      <c r="D35" s="16" t="n"/>
      <c r="E35" s="16" t="n"/>
      <c r="F35" s="16" t="n"/>
      <c r="G35" s="16" t="n"/>
      <c r="H35" s="16" t="n"/>
      <c r="I35" s="16" t="n"/>
      <c r="J35" s="16" t="n"/>
      <c r="K35" s="16" t="n"/>
      <c r="L35" s="16" t="n"/>
      <c r="M35" s="16" t="n"/>
      <c r="N35" s="17">
        <f>IF($C35="","",_xlfn.TEXTJOIN(", ",TRUE,IF($D35="Fail",SkillsMaster!$B$6,""),IF($E35="Fail",SkillsMaster!$B$7,""),IF($F35="Fail",SkillsMaster!$B$8,""),IF($G35="Fail",SkillsMaster!$B$9,""),IF($H35="Fail",SkillsMaster!$B$10,""),IF($I35="Fail",SkillsMaster!$B$11,""),IF($J35="Fail",SkillsMaster!$B$12,""),IF($K35="Fail",SkillsMaster!$B$13,""),IF($L35="Fail",SkillsMaster!$B$14,""),IF($M35="Fail",SkillsMaster!$B$15,"")))</f>
        <v/>
      </c>
      <c r="O35" s="17">
        <f>IF($C35="","",IF(SkillsMaster!$B$6="",0,IF($D35="",1,0))+IF(SkillsMaster!$B$7="",0,IF($E35="",1,0))+IF(SkillsMaster!$B$8="",0,IF($F35="",1,0))+IF(SkillsMaster!$B$9="",0,IF($G35="",1,0))+IF(SkillsMaster!$B$10="",0,IF($H35="",1,0))+IF(SkillsMaster!$B$11="",0,IF($I35="",1,0))+IF(SkillsMaster!$B$12="",0,IF($J35="",1,0))+IF(SkillsMaster!$B$13="",0,IF($K35="",1,0))+IF(SkillsMaster!$B$14="",0,IF($L35="",1,0))+IF(SkillsMaster!$B$15="",0,IF($M35="",1,0)))</f>
        <v/>
      </c>
      <c r="P35" s="17">
        <f>IF($C35="","",IF(AND($N35="",$O35=0),"Yes","No"))</f>
        <v/>
      </c>
      <c r="Q35" s="17">
        <f>IF(Cadets!$B35="","",Cadets!$I35)</f>
        <v/>
      </c>
    </row>
    <row r="36">
      <c r="B36" s="17">
        <f>IF(Cadets!$B36="","",Cadets!$B36)</f>
        <v/>
      </c>
      <c r="C36" s="17">
        <f>IF(Cadets!$B36="","",Cadets!$F36)</f>
        <v/>
      </c>
      <c r="D36" s="16" t="n"/>
      <c r="E36" s="16" t="n"/>
      <c r="F36" s="16" t="n"/>
      <c r="G36" s="16" t="n"/>
      <c r="H36" s="16" t="n"/>
      <c r="I36" s="16" t="n"/>
      <c r="J36" s="16" t="n"/>
      <c r="K36" s="16" t="n"/>
      <c r="L36" s="16" t="n"/>
      <c r="M36" s="16" t="n"/>
      <c r="N36" s="17">
        <f>IF($C36="","",_xlfn.TEXTJOIN(", ",TRUE,IF($D36="Fail",SkillsMaster!$B$6,""),IF($E36="Fail",SkillsMaster!$B$7,""),IF($F36="Fail",SkillsMaster!$B$8,""),IF($G36="Fail",SkillsMaster!$B$9,""),IF($H36="Fail",SkillsMaster!$B$10,""),IF($I36="Fail",SkillsMaster!$B$11,""),IF($J36="Fail",SkillsMaster!$B$12,""),IF($K36="Fail",SkillsMaster!$B$13,""),IF($L36="Fail",SkillsMaster!$B$14,""),IF($M36="Fail",SkillsMaster!$B$15,"")))</f>
        <v/>
      </c>
      <c r="O36" s="17">
        <f>IF($C36="","",IF(SkillsMaster!$B$6="",0,IF($D36="",1,0))+IF(SkillsMaster!$B$7="",0,IF($E36="",1,0))+IF(SkillsMaster!$B$8="",0,IF($F36="",1,0))+IF(SkillsMaster!$B$9="",0,IF($G36="",1,0))+IF(SkillsMaster!$B$10="",0,IF($H36="",1,0))+IF(SkillsMaster!$B$11="",0,IF($I36="",1,0))+IF(SkillsMaster!$B$12="",0,IF($J36="",1,0))+IF(SkillsMaster!$B$13="",0,IF($K36="",1,0))+IF(SkillsMaster!$B$14="",0,IF($L36="",1,0))+IF(SkillsMaster!$B$15="",0,IF($M36="",1,0)))</f>
        <v/>
      </c>
      <c r="P36" s="17">
        <f>IF($C36="","",IF(AND($N36="",$O36=0),"Yes","No"))</f>
        <v/>
      </c>
      <c r="Q36" s="17">
        <f>IF(Cadets!$B36="","",Cadets!$I36)</f>
        <v/>
      </c>
    </row>
    <row r="37">
      <c r="B37" s="17">
        <f>IF(Cadets!$B37="","",Cadets!$B37)</f>
        <v/>
      </c>
      <c r="C37" s="17">
        <f>IF(Cadets!$B37="","",Cadets!$F37)</f>
        <v/>
      </c>
      <c r="D37" s="16" t="n"/>
      <c r="E37" s="16" t="n"/>
      <c r="F37" s="16" t="n"/>
      <c r="G37" s="16" t="n"/>
      <c r="H37" s="16" t="n"/>
      <c r="I37" s="16" t="n"/>
      <c r="J37" s="16" t="n"/>
      <c r="K37" s="16" t="n"/>
      <c r="L37" s="16" t="n"/>
      <c r="M37" s="16" t="n"/>
      <c r="N37" s="17">
        <f>IF($C37="","",_xlfn.TEXTJOIN(", ",TRUE,IF($D37="Fail",SkillsMaster!$B$6,""),IF($E37="Fail",SkillsMaster!$B$7,""),IF($F37="Fail",SkillsMaster!$B$8,""),IF($G37="Fail",SkillsMaster!$B$9,""),IF($H37="Fail",SkillsMaster!$B$10,""),IF($I37="Fail",SkillsMaster!$B$11,""),IF($J37="Fail",SkillsMaster!$B$12,""),IF($K37="Fail",SkillsMaster!$B$13,""),IF($L37="Fail",SkillsMaster!$B$14,""),IF($M37="Fail",SkillsMaster!$B$15,"")))</f>
        <v/>
      </c>
      <c r="O37" s="17">
        <f>IF($C37="","",IF(SkillsMaster!$B$6="",0,IF($D37="",1,0))+IF(SkillsMaster!$B$7="",0,IF($E37="",1,0))+IF(SkillsMaster!$B$8="",0,IF($F37="",1,0))+IF(SkillsMaster!$B$9="",0,IF($G37="",1,0))+IF(SkillsMaster!$B$10="",0,IF($H37="",1,0))+IF(SkillsMaster!$B$11="",0,IF($I37="",1,0))+IF(SkillsMaster!$B$12="",0,IF($J37="",1,0))+IF(SkillsMaster!$B$13="",0,IF($K37="",1,0))+IF(SkillsMaster!$B$14="",0,IF($L37="",1,0))+IF(SkillsMaster!$B$15="",0,IF($M37="",1,0)))</f>
        <v/>
      </c>
      <c r="P37" s="17">
        <f>IF($C37="","",IF(AND($N37="",$O37=0),"Yes","No"))</f>
        <v/>
      </c>
      <c r="Q37" s="17">
        <f>IF(Cadets!$B37="","",Cadets!$I37)</f>
        <v/>
      </c>
    </row>
    <row r="38">
      <c r="B38" s="17">
        <f>IF(Cadets!$B38="","",Cadets!$B38)</f>
        <v/>
      </c>
      <c r="C38" s="17">
        <f>IF(Cadets!$B38="","",Cadets!$F38)</f>
        <v/>
      </c>
      <c r="D38" s="16" t="n"/>
      <c r="E38" s="16" t="n"/>
      <c r="F38" s="16" t="n"/>
      <c r="G38" s="16" t="n"/>
      <c r="H38" s="16" t="n"/>
      <c r="I38" s="16" t="n"/>
      <c r="J38" s="16" t="n"/>
      <c r="K38" s="16" t="n"/>
      <c r="L38" s="16" t="n"/>
      <c r="M38" s="16" t="n"/>
      <c r="N38" s="17">
        <f>IF($C38="","",_xlfn.TEXTJOIN(", ",TRUE,IF($D38="Fail",SkillsMaster!$B$6,""),IF($E38="Fail",SkillsMaster!$B$7,""),IF($F38="Fail",SkillsMaster!$B$8,""),IF($G38="Fail",SkillsMaster!$B$9,""),IF($H38="Fail",SkillsMaster!$B$10,""),IF($I38="Fail",SkillsMaster!$B$11,""),IF($J38="Fail",SkillsMaster!$B$12,""),IF($K38="Fail",SkillsMaster!$B$13,""),IF($L38="Fail",SkillsMaster!$B$14,""),IF($M38="Fail",SkillsMaster!$B$15,"")))</f>
        <v/>
      </c>
      <c r="O38" s="17">
        <f>IF($C38="","",IF(SkillsMaster!$B$6="",0,IF($D38="",1,0))+IF(SkillsMaster!$B$7="",0,IF($E38="",1,0))+IF(SkillsMaster!$B$8="",0,IF($F38="",1,0))+IF(SkillsMaster!$B$9="",0,IF($G38="",1,0))+IF(SkillsMaster!$B$10="",0,IF($H38="",1,0))+IF(SkillsMaster!$B$11="",0,IF($I38="",1,0))+IF(SkillsMaster!$B$12="",0,IF($J38="",1,0))+IF(SkillsMaster!$B$13="",0,IF($K38="",1,0))+IF(SkillsMaster!$B$14="",0,IF($L38="",1,0))+IF(SkillsMaster!$B$15="",0,IF($M38="",1,0)))</f>
        <v/>
      </c>
      <c r="P38" s="17">
        <f>IF($C38="","",IF(AND($N38="",$O38=0),"Yes","No"))</f>
        <v/>
      </c>
      <c r="Q38" s="17">
        <f>IF(Cadets!$B38="","",Cadets!$I38)</f>
        <v/>
      </c>
    </row>
    <row r="39">
      <c r="B39" s="17">
        <f>IF(Cadets!$B39="","",Cadets!$B39)</f>
        <v/>
      </c>
      <c r="C39" s="17">
        <f>IF(Cadets!$B39="","",Cadets!$F39)</f>
        <v/>
      </c>
      <c r="D39" s="16" t="n"/>
      <c r="E39" s="16" t="n"/>
      <c r="F39" s="16" t="n"/>
      <c r="G39" s="16" t="n"/>
      <c r="H39" s="16" t="n"/>
      <c r="I39" s="16" t="n"/>
      <c r="J39" s="16" t="n"/>
      <c r="K39" s="16" t="n"/>
      <c r="L39" s="16" t="n"/>
      <c r="M39" s="16" t="n"/>
      <c r="N39" s="17">
        <f>IF($C39="","",_xlfn.TEXTJOIN(", ",TRUE,IF($D39="Fail",SkillsMaster!$B$6,""),IF($E39="Fail",SkillsMaster!$B$7,""),IF($F39="Fail",SkillsMaster!$B$8,""),IF($G39="Fail",SkillsMaster!$B$9,""),IF($H39="Fail",SkillsMaster!$B$10,""),IF($I39="Fail",SkillsMaster!$B$11,""),IF($J39="Fail",SkillsMaster!$B$12,""),IF($K39="Fail",SkillsMaster!$B$13,""),IF($L39="Fail",SkillsMaster!$B$14,""),IF($M39="Fail",SkillsMaster!$B$15,"")))</f>
        <v/>
      </c>
      <c r="O39" s="17">
        <f>IF($C39="","",IF(SkillsMaster!$B$6="",0,IF($D39="",1,0))+IF(SkillsMaster!$B$7="",0,IF($E39="",1,0))+IF(SkillsMaster!$B$8="",0,IF($F39="",1,0))+IF(SkillsMaster!$B$9="",0,IF($G39="",1,0))+IF(SkillsMaster!$B$10="",0,IF($H39="",1,0))+IF(SkillsMaster!$B$11="",0,IF($I39="",1,0))+IF(SkillsMaster!$B$12="",0,IF($J39="",1,0))+IF(SkillsMaster!$B$13="",0,IF($K39="",1,0))+IF(SkillsMaster!$B$14="",0,IF($L39="",1,0))+IF(SkillsMaster!$B$15="",0,IF($M39="",1,0)))</f>
        <v/>
      </c>
      <c r="P39" s="17">
        <f>IF($C39="","",IF(AND($N39="",$O39=0),"Yes","No"))</f>
        <v/>
      </c>
      <c r="Q39" s="17">
        <f>IF(Cadets!$B39="","",Cadets!$I39)</f>
        <v/>
      </c>
    </row>
    <row r="40">
      <c r="B40" s="17">
        <f>IF(Cadets!$B40="","",Cadets!$B40)</f>
        <v/>
      </c>
      <c r="C40" s="17">
        <f>IF(Cadets!$B40="","",Cadets!$F40)</f>
        <v/>
      </c>
      <c r="D40" s="16" t="n"/>
      <c r="E40" s="16" t="n"/>
      <c r="F40" s="16" t="n"/>
      <c r="G40" s="16" t="n"/>
      <c r="H40" s="16" t="n"/>
      <c r="I40" s="16" t="n"/>
      <c r="J40" s="16" t="n"/>
      <c r="K40" s="16" t="n"/>
      <c r="L40" s="16" t="n"/>
      <c r="M40" s="16" t="n"/>
      <c r="N40" s="17">
        <f>IF($C40="","",_xlfn.TEXTJOIN(", ",TRUE,IF($D40="Fail",SkillsMaster!$B$6,""),IF($E40="Fail",SkillsMaster!$B$7,""),IF($F40="Fail",SkillsMaster!$B$8,""),IF($G40="Fail",SkillsMaster!$B$9,""),IF($H40="Fail",SkillsMaster!$B$10,""),IF($I40="Fail",SkillsMaster!$B$11,""),IF($J40="Fail",SkillsMaster!$B$12,""),IF($K40="Fail",SkillsMaster!$B$13,""),IF($L40="Fail",SkillsMaster!$B$14,""),IF($M40="Fail",SkillsMaster!$B$15,"")))</f>
        <v/>
      </c>
      <c r="O40" s="17">
        <f>IF($C40="","",IF(SkillsMaster!$B$6="",0,IF($D40="",1,0))+IF(SkillsMaster!$B$7="",0,IF($E40="",1,0))+IF(SkillsMaster!$B$8="",0,IF($F40="",1,0))+IF(SkillsMaster!$B$9="",0,IF($G40="",1,0))+IF(SkillsMaster!$B$10="",0,IF($H40="",1,0))+IF(SkillsMaster!$B$11="",0,IF($I40="",1,0))+IF(SkillsMaster!$B$12="",0,IF($J40="",1,0))+IF(SkillsMaster!$B$13="",0,IF($K40="",1,0))+IF(SkillsMaster!$B$14="",0,IF($L40="",1,0))+IF(SkillsMaster!$B$15="",0,IF($M40="",1,0)))</f>
        <v/>
      </c>
      <c r="P40" s="17">
        <f>IF($C40="","",IF(AND($N40="",$O40=0),"Yes","No"))</f>
        <v/>
      </c>
      <c r="Q40" s="17">
        <f>IF(Cadets!$B40="","",Cadets!$I40)</f>
        <v/>
      </c>
    </row>
    <row r="41">
      <c r="B41" s="17">
        <f>IF(Cadets!$B41="","",Cadets!$B41)</f>
        <v/>
      </c>
      <c r="C41" s="17">
        <f>IF(Cadets!$B41="","",Cadets!$F41)</f>
        <v/>
      </c>
      <c r="D41" s="16" t="n"/>
      <c r="E41" s="16" t="n"/>
      <c r="F41" s="16" t="n"/>
      <c r="G41" s="16" t="n"/>
      <c r="H41" s="16" t="n"/>
      <c r="I41" s="16" t="n"/>
      <c r="J41" s="16" t="n"/>
      <c r="K41" s="16" t="n"/>
      <c r="L41" s="16" t="n"/>
      <c r="M41" s="16" t="n"/>
      <c r="N41" s="17">
        <f>IF($C41="","",_xlfn.TEXTJOIN(", ",TRUE,IF($D41="Fail",SkillsMaster!$B$6,""),IF($E41="Fail",SkillsMaster!$B$7,""),IF($F41="Fail",SkillsMaster!$B$8,""),IF($G41="Fail",SkillsMaster!$B$9,""),IF($H41="Fail",SkillsMaster!$B$10,""),IF($I41="Fail",SkillsMaster!$B$11,""),IF($J41="Fail",SkillsMaster!$B$12,""),IF($K41="Fail",SkillsMaster!$B$13,""),IF($L41="Fail",SkillsMaster!$B$14,""),IF($M41="Fail",SkillsMaster!$B$15,"")))</f>
        <v/>
      </c>
      <c r="O41" s="17">
        <f>IF($C41="","",IF(SkillsMaster!$B$6="",0,IF($D41="",1,0))+IF(SkillsMaster!$B$7="",0,IF($E41="",1,0))+IF(SkillsMaster!$B$8="",0,IF($F41="",1,0))+IF(SkillsMaster!$B$9="",0,IF($G41="",1,0))+IF(SkillsMaster!$B$10="",0,IF($H41="",1,0))+IF(SkillsMaster!$B$11="",0,IF($I41="",1,0))+IF(SkillsMaster!$B$12="",0,IF($J41="",1,0))+IF(SkillsMaster!$B$13="",0,IF($K41="",1,0))+IF(SkillsMaster!$B$14="",0,IF($L41="",1,0))+IF(SkillsMaster!$B$15="",0,IF($M41="",1,0)))</f>
        <v/>
      </c>
      <c r="P41" s="17">
        <f>IF($C41="","",IF(AND($N41="",$O41=0),"Yes","No"))</f>
        <v/>
      </c>
      <c r="Q41" s="17">
        <f>IF(Cadets!$B41="","",Cadets!$I41)</f>
        <v/>
      </c>
    </row>
    <row r="42">
      <c r="B42" s="17">
        <f>IF(Cadets!$B42="","",Cadets!$B42)</f>
        <v/>
      </c>
      <c r="C42" s="17">
        <f>IF(Cadets!$B42="","",Cadets!$F42)</f>
        <v/>
      </c>
      <c r="D42" s="16" t="n"/>
      <c r="E42" s="16" t="n"/>
      <c r="F42" s="16" t="n"/>
      <c r="G42" s="16" t="n"/>
      <c r="H42" s="16" t="n"/>
      <c r="I42" s="16" t="n"/>
      <c r="J42" s="16" t="n"/>
      <c r="K42" s="16" t="n"/>
      <c r="L42" s="16" t="n"/>
      <c r="M42" s="16" t="n"/>
      <c r="N42" s="17">
        <f>IF($C42="","",_xlfn.TEXTJOIN(", ",TRUE,IF($D42="Fail",SkillsMaster!$B$6,""),IF($E42="Fail",SkillsMaster!$B$7,""),IF($F42="Fail",SkillsMaster!$B$8,""),IF($G42="Fail",SkillsMaster!$B$9,""),IF($H42="Fail",SkillsMaster!$B$10,""),IF($I42="Fail",SkillsMaster!$B$11,""),IF($J42="Fail",SkillsMaster!$B$12,""),IF($K42="Fail",SkillsMaster!$B$13,""),IF($L42="Fail",SkillsMaster!$B$14,""),IF($M42="Fail",SkillsMaster!$B$15,"")))</f>
        <v/>
      </c>
      <c r="O42" s="17">
        <f>IF($C42="","",IF(SkillsMaster!$B$6="",0,IF($D42="",1,0))+IF(SkillsMaster!$B$7="",0,IF($E42="",1,0))+IF(SkillsMaster!$B$8="",0,IF($F42="",1,0))+IF(SkillsMaster!$B$9="",0,IF($G42="",1,0))+IF(SkillsMaster!$B$10="",0,IF($H42="",1,0))+IF(SkillsMaster!$B$11="",0,IF($I42="",1,0))+IF(SkillsMaster!$B$12="",0,IF($J42="",1,0))+IF(SkillsMaster!$B$13="",0,IF($K42="",1,0))+IF(SkillsMaster!$B$14="",0,IF($L42="",1,0))+IF(SkillsMaster!$B$15="",0,IF($M42="",1,0)))</f>
        <v/>
      </c>
      <c r="P42" s="17">
        <f>IF($C42="","",IF(AND($N42="",$O42=0),"Yes","No"))</f>
        <v/>
      </c>
      <c r="Q42" s="17">
        <f>IF(Cadets!$B42="","",Cadets!$I42)</f>
        <v/>
      </c>
    </row>
    <row r="43">
      <c r="B43" s="17">
        <f>IF(Cadets!$B43="","",Cadets!$B43)</f>
        <v/>
      </c>
      <c r="C43" s="17">
        <f>IF(Cadets!$B43="","",Cadets!$F43)</f>
        <v/>
      </c>
      <c r="D43" s="16" t="n"/>
      <c r="E43" s="16" t="n"/>
      <c r="F43" s="16" t="n"/>
      <c r="G43" s="16" t="n"/>
      <c r="H43" s="16" t="n"/>
      <c r="I43" s="16" t="n"/>
      <c r="J43" s="16" t="n"/>
      <c r="K43" s="16" t="n"/>
      <c r="L43" s="16" t="n"/>
      <c r="M43" s="16" t="n"/>
      <c r="N43" s="17">
        <f>IF($C43="","",_xlfn.TEXTJOIN(", ",TRUE,IF($D43="Fail",SkillsMaster!$B$6,""),IF($E43="Fail",SkillsMaster!$B$7,""),IF($F43="Fail",SkillsMaster!$B$8,""),IF($G43="Fail",SkillsMaster!$B$9,""),IF($H43="Fail",SkillsMaster!$B$10,""),IF($I43="Fail",SkillsMaster!$B$11,""),IF($J43="Fail",SkillsMaster!$B$12,""),IF($K43="Fail",SkillsMaster!$B$13,""),IF($L43="Fail",SkillsMaster!$B$14,""),IF($M43="Fail",SkillsMaster!$B$15,"")))</f>
        <v/>
      </c>
      <c r="O43" s="17">
        <f>IF($C43="","",IF(SkillsMaster!$B$6="",0,IF($D43="",1,0))+IF(SkillsMaster!$B$7="",0,IF($E43="",1,0))+IF(SkillsMaster!$B$8="",0,IF($F43="",1,0))+IF(SkillsMaster!$B$9="",0,IF($G43="",1,0))+IF(SkillsMaster!$B$10="",0,IF($H43="",1,0))+IF(SkillsMaster!$B$11="",0,IF($I43="",1,0))+IF(SkillsMaster!$B$12="",0,IF($J43="",1,0))+IF(SkillsMaster!$B$13="",0,IF($K43="",1,0))+IF(SkillsMaster!$B$14="",0,IF($L43="",1,0))+IF(SkillsMaster!$B$15="",0,IF($M43="",1,0)))</f>
        <v/>
      </c>
      <c r="P43" s="17">
        <f>IF($C43="","",IF(AND($N43="",$O43=0),"Yes","No"))</f>
        <v/>
      </c>
      <c r="Q43" s="17">
        <f>IF(Cadets!$B43="","",Cadets!$I43)</f>
        <v/>
      </c>
    </row>
    <row r="44">
      <c r="B44" s="17">
        <f>IF(Cadets!$B44="","",Cadets!$B44)</f>
        <v/>
      </c>
      <c r="C44" s="17">
        <f>IF(Cadets!$B44="","",Cadets!$F44)</f>
        <v/>
      </c>
      <c r="D44" s="16" t="n"/>
      <c r="E44" s="16" t="n"/>
      <c r="F44" s="16" t="n"/>
      <c r="G44" s="16" t="n"/>
      <c r="H44" s="16" t="n"/>
      <c r="I44" s="16" t="n"/>
      <c r="J44" s="16" t="n"/>
      <c r="K44" s="16" t="n"/>
      <c r="L44" s="16" t="n"/>
      <c r="M44" s="16" t="n"/>
      <c r="N44" s="17">
        <f>IF($C44="","",_xlfn.TEXTJOIN(", ",TRUE,IF($D44="Fail",SkillsMaster!$B$6,""),IF($E44="Fail",SkillsMaster!$B$7,""),IF($F44="Fail",SkillsMaster!$B$8,""),IF($G44="Fail",SkillsMaster!$B$9,""),IF($H44="Fail",SkillsMaster!$B$10,""),IF($I44="Fail",SkillsMaster!$B$11,""),IF($J44="Fail",SkillsMaster!$B$12,""),IF($K44="Fail",SkillsMaster!$B$13,""),IF($L44="Fail",SkillsMaster!$B$14,""),IF($M44="Fail",SkillsMaster!$B$15,"")))</f>
        <v/>
      </c>
      <c r="O44" s="17">
        <f>IF($C44="","",IF(SkillsMaster!$B$6="",0,IF($D44="",1,0))+IF(SkillsMaster!$B$7="",0,IF($E44="",1,0))+IF(SkillsMaster!$B$8="",0,IF($F44="",1,0))+IF(SkillsMaster!$B$9="",0,IF($G44="",1,0))+IF(SkillsMaster!$B$10="",0,IF($H44="",1,0))+IF(SkillsMaster!$B$11="",0,IF($I44="",1,0))+IF(SkillsMaster!$B$12="",0,IF($J44="",1,0))+IF(SkillsMaster!$B$13="",0,IF($K44="",1,0))+IF(SkillsMaster!$B$14="",0,IF($L44="",1,0))+IF(SkillsMaster!$B$15="",0,IF($M44="",1,0)))</f>
        <v/>
      </c>
      <c r="P44" s="17">
        <f>IF($C44="","",IF(AND($N44="",$O44=0),"Yes","No"))</f>
        <v/>
      </c>
      <c r="Q44" s="17">
        <f>IF(Cadets!$B44="","",Cadets!$I44)</f>
        <v/>
      </c>
    </row>
    <row r="45">
      <c r="B45" s="17">
        <f>IF(Cadets!$B45="","",Cadets!$B45)</f>
        <v/>
      </c>
      <c r="C45" s="17">
        <f>IF(Cadets!$B45="","",Cadets!$F45)</f>
        <v/>
      </c>
      <c r="D45" s="16" t="n"/>
      <c r="E45" s="16" t="n"/>
      <c r="F45" s="16" t="n"/>
      <c r="G45" s="16" t="n"/>
      <c r="H45" s="16" t="n"/>
      <c r="I45" s="16" t="n"/>
      <c r="J45" s="16" t="n"/>
      <c r="K45" s="16" t="n"/>
      <c r="L45" s="16" t="n"/>
      <c r="M45" s="16" t="n"/>
      <c r="N45" s="17">
        <f>IF($C45="","",_xlfn.TEXTJOIN(", ",TRUE,IF($D45="Fail",SkillsMaster!$B$6,""),IF($E45="Fail",SkillsMaster!$B$7,""),IF($F45="Fail",SkillsMaster!$B$8,""),IF($G45="Fail",SkillsMaster!$B$9,""),IF($H45="Fail",SkillsMaster!$B$10,""),IF($I45="Fail",SkillsMaster!$B$11,""),IF($J45="Fail",SkillsMaster!$B$12,""),IF($K45="Fail",SkillsMaster!$B$13,""),IF($L45="Fail",SkillsMaster!$B$14,""),IF($M45="Fail",SkillsMaster!$B$15,"")))</f>
        <v/>
      </c>
      <c r="O45" s="17">
        <f>IF($C45="","",IF(SkillsMaster!$B$6="",0,IF($D45="",1,0))+IF(SkillsMaster!$B$7="",0,IF($E45="",1,0))+IF(SkillsMaster!$B$8="",0,IF($F45="",1,0))+IF(SkillsMaster!$B$9="",0,IF($G45="",1,0))+IF(SkillsMaster!$B$10="",0,IF($H45="",1,0))+IF(SkillsMaster!$B$11="",0,IF($I45="",1,0))+IF(SkillsMaster!$B$12="",0,IF($J45="",1,0))+IF(SkillsMaster!$B$13="",0,IF($K45="",1,0))+IF(SkillsMaster!$B$14="",0,IF($L45="",1,0))+IF(SkillsMaster!$B$15="",0,IF($M45="",1,0)))</f>
        <v/>
      </c>
      <c r="P45" s="17">
        <f>IF($C45="","",IF(AND($N45="",$O45=0),"Yes","No"))</f>
        <v/>
      </c>
      <c r="Q45" s="17">
        <f>IF(Cadets!$B45="","",Cadets!$I45)</f>
        <v/>
      </c>
    </row>
    <row r="46">
      <c r="B46" s="17">
        <f>IF(Cadets!$B46="","",Cadets!$B46)</f>
        <v/>
      </c>
      <c r="C46" s="17">
        <f>IF(Cadets!$B46="","",Cadets!$F46)</f>
        <v/>
      </c>
      <c r="D46" s="16" t="n"/>
      <c r="E46" s="16" t="n"/>
      <c r="F46" s="16" t="n"/>
      <c r="G46" s="16" t="n"/>
      <c r="H46" s="16" t="n"/>
      <c r="I46" s="16" t="n"/>
      <c r="J46" s="16" t="n"/>
      <c r="K46" s="16" t="n"/>
      <c r="L46" s="16" t="n"/>
      <c r="M46" s="16" t="n"/>
      <c r="N46" s="17">
        <f>IF($C46="","",_xlfn.TEXTJOIN(", ",TRUE,IF($D46="Fail",SkillsMaster!$B$6,""),IF($E46="Fail",SkillsMaster!$B$7,""),IF($F46="Fail",SkillsMaster!$B$8,""),IF($G46="Fail",SkillsMaster!$B$9,""),IF($H46="Fail",SkillsMaster!$B$10,""),IF($I46="Fail",SkillsMaster!$B$11,""),IF($J46="Fail",SkillsMaster!$B$12,""),IF($K46="Fail",SkillsMaster!$B$13,""),IF($L46="Fail",SkillsMaster!$B$14,""),IF($M46="Fail",SkillsMaster!$B$15,"")))</f>
        <v/>
      </c>
      <c r="O46" s="17">
        <f>IF($C46="","",IF(SkillsMaster!$B$6="",0,IF($D46="",1,0))+IF(SkillsMaster!$B$7="",0,IF($E46="",1,0))+IF(SkillsMaster!$B$8="",0,IF($F46="",1,0))+IF(SkillsMaster!$B$9="",0,IF($G46="",1,0))+IF(SkillsMaster!$B$10="",0,IF($H46="",1,0))+IF(SkillsMaster!$B$11="",0,IF($I46="",1,0))+IF(SkillsMaster!$B$12="",0,IF($J46="",1,0))+IF(SkillsMaster!$B$13="",0,IF($K46="",1,0))+IF(SkillsMaster!$B$14="",0,IF($L46="",1,0))+IF(SkillsMaster!$B$15="",0,IF($M46="",1,0)))</f>
        <v/>
      </c>
      <c r="P46" s="17">
        <f>IF($C46="","",IF(AND($N46="",$O46=0),"Yes","No"))</f>
        <v/>
      </c>
      <c r="Q46" s="17">
        <f>IF(Cadets!$B46="","",Cadets!$I46)</f>
        <v/>
      </c>
    </row>
    <row r="47">
      <c r="B47" s="17">
        <f>IF(Cadets!$B47="","",Cadets!$B47)</f>
        <v/>
      </c>
      <c r="C47" s="17">
        <f>IF(Cadets!$B47="","",Cadets!$F47)</f>
        <v/>
      </c>
      <c r="D47" s="16" t="n"/>
      <c r="E47" s="16" t="n"/>
      <c r="F47" s="16" t="n"/>
      <c r="G47" s="16" t="n"/>
      <c r="H47" s="16" t="n"/>
      <c r="I47" s="16" t="n"/>
      <c r="J47" s="16" t="n"/>
      <c r="K47" s="16" t="n"/>
      <c r="L47" s="16" t="n"/>
      <c r="M47" s="16" t="n"/>
      <c r="N47" s="17">
        <f>IF($C47="","",_xlfn.TEXTJOIN(", ",TRUE,IF($D47="Fail",SkillsMaster!$B$6,""),IF($E47="Fail",SkillsMaster!$B$7,""),IF($F47="Fail",SkillsMaster!$B$8,""),IF($G47="Fail",SkillsMaster!$B$9,""),IF($H47="Fail",SkillsMaster!$B$10,""),IF($I47="Fail",SkillsMaster!$B$11,""),IF($J47="Fail",SkillsMaster!$B$12,""),IF($K47="Fail",SkillsMaster!$B$13,""),IF($L47="Fail",SkillsMaster!$B$14,""),IF($M47="Fail",SkillsMaster!$B$15,"")))</f>
        <v/>
      </c>
      <c r="O47" s="17">
        <f>IF($C47="","",IF(SkillsMaster!$B$6="",0,IF($D47="",1,0))+IF(SkillsMaster!$B$7="",0,IF($E47="",1,0))+IF(SkillsMaster!$B$8="",0,IF($F47="",1,0))+IF(SkillsMaster!$B$9="",0,IF($G47="",1,0))+IF(SkillsMaster!$B$10="",0,IF($H47="",1,0))+IF(SkillsMaster!$B$11="",0,IF($I47="",1,0))+IF(SkillsMaster!$B$12="",0,IF($J47="",1,0))+IF(SkillsMaster!$B$13="",0,IF($K47="",1,0))+IF(SkillsMaster!$B$14="",0,IF($L47="",1,0))+IF(SkillsMaster!$B$15="",0,IF($M47="",1,0)))</f>
        <v/>
      </c>
      <c r="P47" s="17">
        <f>IF($C47="","",IF(AND($N47="",$O47=0),"Yes","No"))</f>
        <v/>
      </c>
      <c r="Q47" s="17">
        <f>IF(Cadets!$B47="","",Cadets!$I47)</f>
        <v/>
      </c>
    </row>
    <row r="48">
      <c r="B48" s="17">
        <f>IF(Cadets!$B48="","",Cadets!$B48)</f>
        <v/>
      </c>
      <c r="C48" s="17">
        <f>IF(Cadets!$B48="","",Cadets!$F48)</f>
        <v/>
      </c>
      <c r="D48" s="16" t="n"/>
      <c r="E48" s="16" t="n"/>
      <c r="F48" s="16" t="n"/>
      <c r="G48" s="16" t="n"/>
      <c r="H48" s="16" t="n"/>
      <c r="I48" s="16" t="n"/>
      <c r="J48" s="16" t="n"/>
      <c r="K48" s="16" t="n"/>
      <c r="L48" s="16" t="n"/>
      <c r="M48" s="16" t="n"/>
      <c r="N48" s="17">
        <f>IF($C48="","",_xlfn.TEXTJOIN(", ",TRUE,IF($D48="Fail",SkillsMaster!$B$6,""),IF($E48="Fail",SkillsMaster!$B$7,""),IF($F48="Fail",SkillsMaster!$B$8,""),IF($G48="Fail",SkillsMaster!$B$9,""),IF($H48="Fail",SkillsMaster!$B$10,""),IF($I48="Fail",SkillsMaster!$B$11,""),IF($J48="Fail",SkillsMaster!$B$12,""),IF($K48="Fail",SkillsMaster!$B$13,""),IF($L48="Fail",SkillsMaster!$B$14,""),IF($M48="Fail",SkillsMaster!$B$15,"")))</f>
        <v/>
      </c>
      <c r="O48" s="17">
        <f>IF($C48="","",IF(SkillsMaster!$B$6="",0,IF($D48="",1,0))+IF(SkillsMaster!$B$7="",0,IF($E48="",1,0))+IF(SkillsMaster!$B$8="",0,IF($F48="",1,0))+IF(SkillsMaster!$B$9="",0,IF($G48="",1,0))+IF(SkillsMaster!$B$10="",0,IF($H48="",1,0))+IF(SkillsMaster!$B$11="",0,IF($I48="",1,0))+IF(SkillsMaster!$B$12="",0,IF($J48="",1,0))+IF(SkillsMaster!$B$13="",0,IF($K48="",1,0))+IF(SkillsMaster!$B$14="",0,IF($L48="",1,0))+IF(SkillsMaster!$B$15="",0,IF($M48="",1,0)))</f>
        <v/>
      </c>
      <c r="P48" s="17">
        <f>IF($C48="","",IF(AND($N48="",$O48=0),"Yes","No"))</f>
        <v/>
      </c>
      <c r="Q48" s="17">
        <f>IF(Cadets!$B48="","",Cadets!$I48)</f>
        <v/>
      </c>
    </row>
    <row r="49">
      <c r="B49" s="17">
        <f>IF(Cadets!$B49="","",Cadets!$B49)</f>
        <v/>
      </c>
      <c r="C49" s="17">
        <f>IF(Cadets!$B49="","",Cadets!$F49)</f>
        <v/>
      </c>
      <c r="D49" s="16" t="n"/>
      <c r="E49" s="16" t="n"/>
      <c r="F49" s="16" t="n"/>
      <c r="G49" s="16" t="n"/>
      <c r="H49" s="16" t="n"/>
      <c r="I49" s="16" t="n"/>
      <c r="J49" s="16" t="n"/>
      <c r="K49" s="16" t="n"/>
      <c r="L49" s="16" t="n"/>
      <c r="M49" s="16" t="n"/>
      <c r="N49" s="17">
        <f>IF($C49="","",_xlfn.TEXTJOIN(", ",TRUE,IF($D49="Fail",SkillsMaster!$B$6,""),IF($E49="Fail",SkillsMaster!$B$7,""),IF($F49="Fail",SkillsMaster!$B$8,""),IF($G49="Fail",SkillsMaster!$B$9,""),IF($H49="Fail",SkillsMaster!$B$10,""),IF($I49="Fail",SkillsMaster!$B$11,""),IF($J49="Fail",SkillsMaster!$B$12,""),IF($K49="Fail",SkillsMaster!$B$13,""),IF($L49="Fail",SkillsMaster!$B$14,""),IF($M49="Fail",SkillsMaster!$B$15,"")))</f>
        <v/>
      </c>
      <c r="O49" s="17">
        <f>IF($C49="","",IF(SkillsMaster!$B$6="",0,IF($D49="",1,0))+IF(SkillsMaster!$B$7="",0,IF($E49="",1,0))+IF(SkillsMaster!$B$8="",0,IF($F49="",1,0))+IF(SkillsMaster!$B$9="",0,IF($G49="",1,0))+IF(SkillsMaster!$B$10="",0,IF($H49="",1,0))+IF(SkillsMaster!$B$11="",0,IF($I49="",1,0))+IF(SkillsMaster!$B$12="",0,IF($J49="",1,0))+IF(SkillsMaster!$B$13="",0,IF($K49="",1,0))+IF(SkillsMaster!$B$14="",0,IF($L49="",1,0))+IF(SkillsMaster!$B$15="",0,IF($M49="",1,0)))</f>
        <v/>
      </c>
      <c r="P49" s="17">
        <f>IF($C49="","",IF(AND($N49="",$O49=0),"Yes","No"))</f>
        <v/>
      </c>
      <c r="Q49" s="17">
        <f>IF(Cadets!$B49="","",Cadets!$I49)</f>
        <v/>
      </c>
    </row>
    <row r="50">
      <c r="B50" s="17">
        <f>IF(Cadets!$B50="","",Cadets!$B50)</f>
        <v/>
      </c>
      <c r="C50" s="17">
        <f>IF(Cadets!$B50="","",Cadets!$F50)</f>
        <v/>
      </c>
      <c r="D50" s="16" t="n"/>
      <c r="E50" s="16" t="n"/>
      <c r="F50" s="16" t="n"/>
      <c r="G50" s="16" t="n"/>
      <c r="H50" s="16" t="n"/>
      <c r="I50" s="16" t="n"/>
      <c r="J50" s="16" t="n"/>
      <c r="K50" s="16" t="n"/>
      <c r="L50" s="16" t="n"/>
      <c r="M50" s="16" t="n"/>
      <c r="N50" s="17">
        <f>IF($C50="","",_xlfn.TEXTJOIN(", ",TRUE,IF($D50="Fail",SkillsMaster!$B$6,""),IF($E50="Fail",SkillsMaster!$B$7,""),IF($F50="Fail",SkillsMaster!$B$8,""),IF($G50="Fail",SkillsMaster!$B$9,""),IF($H50="Fail",SkillsMaster!$B$10,""),IF($I50="Fail",SkillsMaster!$B$11,""),IF($J50="Fail",SkillsMaster!$B$12,""),IF($K50="Fail",SkillsMaster!$B$13,""),IF($L50="Fail",SkillsMaster!$B$14,""),IF($M50="Fail",SkillsMaster!$B$15,"")))</f>
        <v/>
      </c>
      <c r="O50" s="17">
        <f>IF($C50="","",IF(SkillsMaster!$B$6="",0,IF($D50="",1,0))+IF(SkillsMaster!$B$7="",0,IF($E50="",1,0))+IF(SkillsMaster!$B$8="",0,IF($F50="",1,0))+IF(SkillsMaster!$B$9="",0,IF($G50="",1,0))+IF(SkillsMaster!$B$10="",0,IF($H50="",1,0))+IF(SkillsMaster!$B$11="",0,IF($I50="",1,0))+IF(SkillsMaster!$B$12="",0,IF($J50="",1,0))+IF(SkillsMaster!$B$13="",0,IF($K50="",1,0))+IF(SkillsMaster!$B$14="",0,IF($L50="",1,0))+IF(SkillsMaster!$B$15="",0,IF($M50="",1,0)))</f>
        <v/>
      </c>
      <c r="P50" s="17">
        <f>IF($C50="","",IF(AND($N50="",$O50=0),"Yes","No"))</f>
        <v/>
      </c>
      <c r="Q50" s="17">
        <f>IF(Cadets!$B50="","",Cadets!$I50)</f>
        <v/>
      </c>
    </row>
    <row r="51">
      <c r="B51" s="17">
        <f>IF(Cadets!$B51="","",Cadets!$B51)</f>
        <v/>
      </c>
      <c r="C51" s="17">
        <f>IF(Cadets!$B51="","",Cadets!$F51)</f>
        <v/>
      </c>
      <c r="D51" s="16" t="n"/>
      <c r="E51" s="16" t="n"/>
      <c r="F51" s="16" t="n"/>
      <c r="G51" s="16" t="n"/>
      <c r="H51" s="16" t="n"/>
      <c r="I51" s="16" t="n"/>
      <c r="J51" s="16" t="n"/>
      <c r="K51" s="16" t="n"/>
      <c r="L51" s="16" t="n"/>
      <c r="M51" s="16" t="n"/>
      <c r="N51" s="17">
        <f>IF($C51="","",_xlfn.TEXTJOIN(", ",TRUE,IF($D51="Fail",SkillsMaster!$B$6,""),IF($E51="Fail",SkillsMaster!$B$7,""),IF($F51="Fail",SkillsMaster!$B$8,""),IF($G51="Fail",SkillsMaster!$B$9,""),IF($H51="Fail",SkillsMaster!$B$10,""),IF($I51="Fail",SkillsMaster!$B$11,""),IF($J51="Fail",SkillsMaster!$B$12,""),IF($K51="Fail",SkillsMaster!$B$13,""),IF($L51="Fail",SkillsMaster!$B$14,""),IF($M51="Fail",SkillsMaster!$B$15,"")))</f>
        <v/>
      </c>
      <c r="O51" s="17">
        <f>IF($C51="","",IF(SkillsMaster!$B$6="",0,IF($D51="",1,0))+IF(SkillsMaster!$B$7="",0,IF($E51="",1,0))+IF(SkillsMaster!$B$8="",0,IF($F51="",1,0))+IF(SkillsMaster!$B$9="",0,IF($G51="",1,0))+IF(SkillsMaster!$B$10="",0,IF($H51="",1,0))+IF(SkillsMaster!$B$11="",0,IF($I51="",1,0))+IF(SkillsMaster!$B$12="",0,IF($J51="",1,0))+IF(SkillsMaster!$B$13="",0,IF($K51="",1,0))+IF(SkillsMaster!$B$14="",0,IF($L51="",1,0))+IF(SkillsMaster!$B$15="",0,IF($M51="",1,0)))</f>
        <v/>
      </c>
      <c r="P51" s="17">
        <f>IF($C51="","",IF(AND($N51="",$O51=0),"Yes","No"))</f>
        <v/>
      </c>
      <c r="Q51" s="17">
        <f>IF(Cadets!$B51="","",Cadets!$I51)</f>
        <v/>
      </c>
    </row>
    <row r="52">
      <c r="B52" s="17">
        <f>IF(Cadets!$B52="","",Cadets!$B52)</f>
        <v/>
      </c>
      <c r="C52" s="17">
        <f>IF(Cadets!$B52="","",Cadets!$F52)</f>
        <v/>
      </c>
      <c r="D52" s="16" t="n"/>
      <c r="E52" s="16" t="n"/>
      <c r="F52" s="16" t="n"/>
      <c r="G52" s="16" t="n"/>
      <c r="H52" s="16" t="n"/>
      <c r="I52" s="16" t="n"/>
      <c r="J52" s="16" t="n"/>
      <c r="K52" s="16" t="n"/>
      <c r="L52" s="16" t="n"/>
      <c r="M52" s="16" t="n"/>
      <c r="N52" s="17">
        <f>IF($C52="","",_xlfn.TEXTJOIN(", ",TRUE,IF($D52="Fail",SkillsMaster!$B$6,""),IF($E52="Fail",SkillsMaster!$B$7,""),IF($F52="Fail",SkillsMaster!$B$8,""),IF($G52="Fail",SkillsMaster!$B$9,""),IF($H52="Fail",SkillsMaster!$B$10,""),IF($I52="Fail",SkillsMaster!$B$11,""),IF($J52="Fail",SkillsMaster!$B$12,""),IF($K52="Fail",SkillsMaster!$B$13,""),IF($L52="Fail",SkillsMaster!$B$14,""),IF($M52="Fail",SkillsMaster!$B$15,"")))</f>
        <v/>
      </c>
      <c r="O52" s="17">
        <f>IF($C52="","",IF(SkillsMaster!$B$6="",0,IF($D52="",1,0))+IF(SkillsMaster!$B$7="",0,IF($E52="",1,0))+IF(SkillsMaster!$B$8="",0,IF($F52="",1,0))+IF(SkillsMaster!$B$9="",0,IF($G52="",1,0))+IF(SkillsMaster!$B$10="",0,IF($H52="",1,0))+IF(SkillsMaster!$B$11="",0,IF($I52="",1,0))+IF(SkillsMaster!$B$12="",0,IF($J52="",1,0))+IF(SkillsMaster!$B$13="",0,IF($K52="",1,0))+IF(SkillsMaster!$B$14="",0,IF($L52="",1,0))+IF(SkillsMaster!$B$15="",0,IF($M52="",1,0)))</f>
        <v/>
      </c>
      <c r="P52" s="17">
        <f>IF($C52="","",IF(AND($N52="",$O52=0),"Yes","No"))</f>
        <v/>
      </c>
      <c r="Q52" s="17">
        <f>IF(Cadets!$B52="","",Cadets!$I52)</f>
        <v/>
      </c>
    </row>
    <row r="53">
      <c r="B53" s="17">
        <f>IF(Cadets!$B53="","",Cadets!$B53)</f>
        <v/>
      </c>
      <c r="C53" s="17">
        <f>IF(Cadets!$B53="","",Cadets!$F53)</f>
        <v/>
      </c>
      <c r="D53" s="16" t="n"/>
      <c r="E53" s="16" t="n"/>
      <c r="F53" s="16" t="n"/>
      <c r="G53" s="16" t="n"/>
      <c r="H53" s="16" t="n"/>
      <c r="I53" s="16" t="n"/>
      <c r="J53" s="16" t="n"/>
      <c r="K53" s="16" t="n"/>
      <c r="L53" s="16" t="n"/>
      <c r="M53" s="16" t="n"/>
      <c r="N53" s="17">
        <f>IF($C53="","",_xlfn.TEXTJOIN(", ",TRUE,IF($D53="Fail",SkillsMaster!$B$6,""),IF($E53="Fail",SkillsMaster!$B$7,""),IF($F53="Fail",SkillsMaster!$B$8,""),IF($G53="Fail",SkillsMaster!$B$9,""),IF($H53="Fail",SkillsMaster!$B$10,""),IF($I53="Fail",SkillsMaster!$B$11,""),IF($J53="Fail",SkillsMaster!$B$12,""),IF($K53="Fail",SkillsMaster!$B$13,""),IF($L53="Fail",SkillsMaster!$B$14,""),IF($M53="Fail",SkillsMaster!$B$15,"")))</f>
        <v/>
      </c>
      <c r="O53" s="17">
        <f>IF($C53="","",IF(SkillsMaster!$B$6="",0,IF($D53="",1,0))+IF(SkillsMaster!$B$7="",0,IF($E53="",1,0))+IF(SkillsMaster!$B$8="",0,IF($F53="",1,0))+IF(SkillsMaster!$B$9="",0,IF($G53="",1,0))+IF(SkillsMaster!$B$10="",0,IF($H53="",1,0))+IF(SkillsMaster!$B$11="",0,IF($I53="",1,0))+IF(SkillsMaster!$B$12="",0,IF($J53="",1,0))+IF(SkillsMaster!$B$13="",0,IF($K53="",1,0))+IF(SkillsMaster!$B$14="",0,IF($L53="",1,0))+IF(SkillsMaster!$B$15="",0,IF($M53="",1,0)))</f>
        <v/>
      </c>
      <c r="P53" s="17">
        <f>IF($C53="","",IF(AND($N53="",$O53=0),"Yes","No"))</f>
        <v/>
      </c>
      <c r="Q53" s="17">
        <f>IF(Cadets!$B53="","",Cadets!$I53)</f>
        <v/>
      </c>
    </row>
    <row r="54">
      <c r="B54" s="17">
        <f>IF(Cadets!$B54="","",Cadets!$B54)</f>
        <v/>
      </c>
      <c r="C54" s="17">
        <f>IF(Cadets!$B54="","",Cadets!$F54)</f>
        <v/>
      </c>
      <c r="D54" s="16" t="n"/>
      <c r="E54" s="16" t="n"/>
      <c r="F54" s="16" t="n"/>
      <c r="G54" s="16" t="n"/>
      <c r="H54" s="16" t="n"/>
      <c r="I54" s="16" t="n"/>
      <c r="J54" s="16" t="n"/>
      <c r="K54" s="16" t="n"/>
      <c r="L54" s="16" t="n"/>
      <c r="M54" s="16" t="n"/>
      <c r="N54" s="17">
        <f>IF($C54="","",_xlfn.TEXTJOIN(", ",TRUE,IF($D54="Fail",SkillsMaster!$B$6,""),IF($E54="Fail",SkillsMaster!$B$7,""),IF($F54="Fail",SkillsMaster!$B$8,""),IF($G54="Fail",SkillsMaster!$B$9,""),IF($H54="Fail",SkillsMaster!$B$10,""),IF($I54="Fail",SkillsMaster!$B$11,""),IF($J54="Fail",SkillsMaster!$B$12,""),IF($K54="Fail",SkillsMaster!$B$13,""),IF($L54="Fail",SkillsMaster!$B$14,""),IF($M54="Fail",SkillsMaster!$B$15,"")))</f>
        <v/>
      </c>
      <c r="O54" s="17">
        <f>IF($C54="","",IF(SkillsMaster!$B$6="",0,IF($D54="",1,0))+IF(SkillsMaster!$B$7="",0,IF($E54="",1,0))+IF(SkillsMaster!$B$8="",0,IF($F54="",1,0))+IF(SkillsMaster!$B$9="",0,IF($G54="",1,0))+IF(SkillsMaster!$B$10="",0,IF($H54="",1,0))+IF(SkillsMaster!$B$11="",0,IF($I54="",1,0))+IF(SkillsMaster!$B$12="",0,IF($J54="",1,0))+IF(SkillsMaster!$B$13="",0,IF($K54="",1,0))+IF(SkillsMaster!$B$14="",0,IF($L54="",1,0))+IF(SkillsMaster!$B$15="",0,IF($M54="",1,0)))</f>
        <v/>
      </c>
      <c r="P54" s="17">
        <f>IF($C54="","",IF(AND($N54="",$O54=0),"Yes","No"))</f>
        <v/>
      </c>
      <c r="Q54" s="17">
        <f>IF(Cadets!$B54="","",Cadets!$I54)</f>
        <v/>
      </c>
    </row>
    <row r="55">
      <c r="B55" s="17">
        <f>IF(Cadets!$B55="","",Cadets!$B55)</f>
        <v/>
      </c>
      <c r="C55" s="17">
        <f>IF(Cadets!$B55="","",Cadets!$F55)</f>
        <v/>
      </c>
      <c r="D55" s="16" t="n"/>
      <c r="E55" s="16" t="n"/>
      <c r="F55" s="16" t="n"/>
      <c r="G55" s="16" t="n"/>
      <c r="H55" s="16" t="n"/>
      <c r="I55" s="16" t="n"/>
      <c r="J55" s="16" t="n"/>
      <c r="K55" s="16" t="n"/>
      <c r="L55" s="16" t="n"/>
      <c r="M55" s="16" t="n"/>
      <c r="N55" s="17">
        <f>IF($C55="","",_xlfn.TEXTJOIN(", ",TRUE,IF($D55="Fail",SkillsMaster!$B$6,""),IF($E55="Fail",SkillsMaster!$B$7,""),IF($F55="Fail",SkillsMaster!$B$8,""),IF($G55="Fail",SkillsMaster!$B$9,""),IF($H55="Fail",SkillsMaster!$B$10,""),IF($I55="Fail",SkillsMaster!$B$11,""),IF($J55="Fail",SkillsMaster!$B$12,""),IF($K55="Fail",SkillsMaster!$B$13,""),IF($L55="Fail",SkillsMaster!$B$14,""),IF($M55="Fail",SkillsMaster!$B$15,"")))</f>
        <v/>
      </c>
      <c r="O55" s="17">
        <f>IF($C55="","",IF(SkillsMaster!$B$6="",0,IF($D55="",1,0))+IF(SkillsMaster!$B$7="",0,IF($E55="",1,0))+IF(SkillsMaster!$B$8="",0,IF($F55="",1,0))+IF(SkillsMaster!$B$9="",0,IF($G55="",1,0))+IF(SkillsMaster!$B$10="",0,IF($H55="",1,0))+IF(SkillsMaster!$B$11="",0,IF($I55="",1,0))+IF(SkillsMaster!$B$12="",0,IF($J55="",1,0))+IF(SkillsMaster!$B$13="",0,IF($K55="",1,0))+IF(SkillsMaster!$B$14="",0,IF($L55="",1,0))+IF(SkillsMaster!$B$15="",0,IF($M55="",1,0)))</f>
        <v/>
      </c>
      <c r="P55" s="17">
        <f>IF($C55="","",IF(AND($N55="",$O55=0),"Yes","No"))</f>
        <v/>
      </c>
      <c r="Q55" s="17">
        <f>IF(Cadets!$B55="","",Cadets!$I55)</f>
        <v/>
      </c>
    </row>
  </sheetData>
  <sheetProtection selectLockedCells="0" selectUnlockedCells="0" sheet="1" objects="0" insertRows="1" insertHyperlinks="1" autoFilter="0" scenarios="0" formatColumns="1" deleteColumns="1" insertColumns="1" pivotTables="1" deleteRows="1" formatCells="1" formatRows="1" sort="1" password="B4BB"/>
  <autoFilter ref="B5:Q5"/>
  <conditionalFormatting sqref="D6:D55">
    <cfRule type="expression" priority="1" dxfId="0">
      <formula>$D6="Fail"</formula>
    </cfRule>
  </conditionalFormatting>
  <conditionalFormatting sqref="E6:E55">
    <cfRule type="expression" priority="2" dxfId="0">
      <formula>$E6="Fail"</formula>
    </cfRule>
  </conditionalFormatting>
  <conditionalFormatting sqref="F6:F55">
    <cfRule type="expression" priority="3" dxfId="0">
      <formula>$F6="Fail"</formula>
    </cfRule>
  </conditionalFormatting>
  <conditionalFormatting sqref="G6:G55">
    <cfRule type="expression" priority="4" dxfId="0">
      <formula>$G6="Fail"</formula>
    </cfRule>
  </conditionalFormatting>
  <conditionalFormatting sqref="H6:H55">
    <cfRule type="expression" priority="5" dxfId="0">
      <formula>$H6="Fail"</formula>
    </cfRule>
  </conditionalFormatting>
  <conditionalFormatting sqref="I6:I55">
    <cfRule type="expression" priority="6" dxfId="0">
      <formula>$I6="Fail"</formula>
    </cfRule>
  </conditionalFormatting>
  <conditionalFormatting sqref="J6:J55">
    <cfRule type="expression" priority="7" dxfId="0">
      <formula>$J6="Fail"</formula>
    </cfRule>
  </conditionalFormatting>
  <conditionalFormatting sqref="K6:K55">
    <cfRule type="expression" priority="8" dxfId="0">
      <formula>$K6="Fail"</formula>
    </cfRule>
  </conditionalFormatting>
  <conditionalFormatting sqref="L6:L55">
    <cfRule type="expression" priority="9" dxfId="0">
      <formula>$L6="Fail"</formula>
    </cfRule>
  </conditionalFormatting>
  <conditionalFormatting sqref="M6:M55">
    <cfRule type="expression" priority="10" dxfId="0">
      <formula>$M6="Fail"</formula>
    </cfRule>
  </conditionalFormatting>
  <conditionalFormatting sqref="N6:N55">
    <cfRule type="expression" priority="11" dxfId="0">
      <formula>$N6&lt;&gt;""</formula>
    </cfRule>
  </conditionalFormatting>
  <conditionalFormatting sqref="B6:Q55">
    <cfRule type="expression" priority="12" dxfId="1">
      <formula>AND(Cadets!$B6&lt;&gt;"",Cadets!$I6&lt;&gt;"Active")</formula>
    </cfRule>
  </conditionalFormatting>
  <dataValidations count="1">
    <dataValidation sqref="D6:D55 E6:E55 F6:F55 G6:G55 H6:H55 I6:I55 J6:J55 K6:K55 L6:L55 M6:M55" showDropDown="0" showInputMessage="0" showErrorMessage="1" allowBlank="1" type="list">
      <formula1>"Pass,Fail"</formula1>
    </dataValidation>
  </dataValidations>
  <pageMargins left="0.75" right="0.75" top="1" bottom="1" header="0.5" footer="0.5"/>
</worksheet>
</file>

<file path=xl/worksheets/sheet12.xml><?xml version="1.0" encoding="utf-8"?>
<worksheet xmlns="http://schemas.openxmlformats.org/spreadsheetml/2006/main">
  <sheetPr>
    <tabColor rgb="002E75B6"/>
    <outlinePr summaryBelow="1" summaryRight="1"/>
    <pageSetUpPr/>
  </sheetPr>
  <dimension ref="B1:AU55"/>
  <sheetViews>
    <sheetView showGridLines="0" workbookViewId="0">
      <pane xSplit="3" ySplit="5" topLeftCell="D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4"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5" customWidth="1" min="12" max="12"/>
    <col width="5" customWidth="1" min="13" max="13"/>
    <col width="5" customWidth="1" min="14" max="14"/>
    <col width="5" customWidth="1" min="15" max="15"/>
    <col width="5" customWidth="1" min="16" max="16"/>
    <col width="5" customWidth="1" min="17" max="17"/>
    <col width="5" customWidth="1" min="18" max="18"/>
    <col width="5" customWidth="1" min="19" max="19"/>
    <col width="5" customWidth="1" min="20" max="20"/>
    <col width="5" customWidth="1" min="21" max="21"/>
    <col width="5" customWidth="1" min="22" max="22"/>
    <col width="5" customWidth="1" min="23" max="23"/>
    <col width="5" customWidth="1" min="24" max="24"/>
    <col width="5" customWidth="1" min="25" max="25"/>
    <col width="5" customWidth="1" min="26" max="26"/>
    <col width="5" customWidth="1" min="27" max="27"/>
    <col width="5" customWidth="1" min="28" max="28"/>
    <col width="5" customWidth="1" min="29" max="29"/>
    <col width="5" customWidth="1" min="30" max="30"/>
    <col width="5" customWidth="1" min="31" max="31"/>
    <col width="5" customWidth="1" min="32" max="32"/>
    <col width="5" customWidth="1" min="33" max="33"/>
    <col width="5" customWidth="1" min="34" max="34"/>
    <col width="5" customWidth="1" min="35" max="35"/>
    <col width="5" customWidth="1" min="36" max="36"/>
    <col width="5" customWidth="1" min="37" max="37"/>
    <col width="5" customWidth="1" min="38" max="38"/>
    <col width="5" customWidth="1" min="39" max="39"/>
    <col width="5" customWidth="1" min="40" max="40"/>
    <col width="5" customWidth="1" min="41" max="41"/>
    <col width="5" customWidth="1" min="42" max="42"/>
    <col width="5" customWidth="1" min="43" max="43"/>
    <col width="13" customWidth="1" min="44" max="44"/>
    <col width="13" customWidth="1" min="45" max="45"/>
    <col width="13" customWidth="1" min="46" max="46"/>
    <col width="11" customWidth="1" min="47" max="47"/>
  </cols>
  <sheetData>
    <row r="1">
      <c r="B1" s="10">
        <f>HYPERLINK("#Dashboard!B5","◄ Dashboard")</f>
        <v/>
      </c>
    </row>
    <row r="4">
      <c r="B4" s="11" t="inlineStr">
        <is>
          <t>Type X when an assignment is received (lowercase x auto-capitalizes; blank = not done). Red cells are past their computed due date (see WritingMaster).</t>
        </is>
      </c>
    </row>
    <row r="5" ht="26" customHeight="1">
      <c r="B5" s="12" t="inlineStr">
        <is>
          <t>PID</t>
        </is>
      </c>
      <c r="C5" s="12" t="inlineStr">
        <is>
          <t>Cadet Name</t>
        </is>
      </c>
      <c r="D5" s="12" t="inlineStr">
        <is>
          <t>#1</t>
        </is>
      </c>
      <c r="E5" s="12" t="inlineStr">
        <is>
          <t>#2</t>
        </is>
      </c>
      <c r="F5" s="12" t="inlineStr">
        <is>
          <t>#3</t>
        </is>
      </c>
      <c r="G5" s="12" t="inlineStr">
        <is>
          <t>#4</t>
        </is>
      </c>
      <c r="H5" s="12" t="inlineStr">
        <is>
          <t>#5</t>
        </is>
      </c>
      <c r="I5" s="12" t="inlineStr">
        <is>
          <t>#6</t>
        </is>
      </c>
      <c r="J5" s="12" t="inlineStr">
        <is>
          <t>#7</t>
        </is>
      </c>
      <c r="K5" s="12" t="inlineStr">
        <is>
          <t>#8</t>
        </is>
      </c>
      <c r="L5" s="12" t="inlineStr">
        <is>
          <t>#9</t>
        </is>
      </c>
      <c r="M5" s="12" t="inlineStr">
        <is>
          <t>#10</t>
        </is>
      </c>
      <c r="N5" s="12" t="inlineStr">
        <is>
          <t>#11</t>
        </is>
      </c>
      <c r="O5" s="12" t="inlineStr">
        <is>
          <t>#12</t>
        </is>
      </c>
      <c r="P5" s="12" t="inlineStr">
        <is>
          <t>#13</t>
        </is>
      </c>
      <c r="Q5" s="12" t="inlineStr">
        <is>
          <t>#14</t>
        </is>
      </c>
      <c r="R5" s="12" t="inlineStr">
        <is>
          <t>#15</t>
        </is>
      </c>
      <c r="S5" s="12" t="inlineStr">
        <is>
          <t>#16</t>
        </is>
      </c>
      <c r="T5" s="12" t="inlineStr">
        <is>
          <t>#17</t>
        </is>
      </c>
      <c r="U5" s="12" t="inlineStr">
        <is>
          <t>#18</t>
        </is>
      </c>
      <c r="V5" s="12" t="inlineStr">
        <is>
          <t>#19</t>
        </is>
      </c>
      <c r="W5" s="12" t="inlineStr">
        <is>
          <t>#20</t>
        </is>
      </c>
      <c r="X5" s="12" t="inlineStr">
        <is>
          <t>#21</t>
        </is>
      </c>
      <c r="Y5" s="12" t="inlineStr">
        <is>
          <t>#22</t>
        </is>
      </c>
      <c r="Z5" s="12" t="inlineStr">
        <is>
          <t>#23</t>
        </is>
      </c>
      <c r="AA5" s="12" t="inlineStr">
        <is>
          <t>#24</t>
        </is>
      </c>
      <c r="AB5" s="12" t="inlineStr">
        <is>
          <t>#25</t>
        </is>
      </c>
      <c r="AC5" s="12" t="inlineStr">
        <is>
          <t>#26</t>
        </is>
      </c>
      <c r="AD5" s="12" t="inlineStr">
        <is>
          <t>#27</t>
        </is>
      </c>
      <c r="AE5" s="12" t="inlineStr">
        <is>
          <t>#28</t>
        </is>
      </c>
      <c r="AF5" s="12" t="inlineStr">
        <is>
          <t>#29</t>
        </is>
      </c>
      <c r="AG5" s="12" t="inlineStr">
        <is>
          <t>#30</t>
        </is>
      </c>
      <c r="AH5" s="12" t="inlineStr">
        <is>
          <t>#31</t>
        </is>
      </c>
      <c r="AI5" s="12" t="inlineStr">
        <is>
          <t>#32</t>
        </is>
      </c>
      <c r="AJ5" s="12" t="inlineStr">
        <is>
          <t>#33</t>
        </is>
      </c>
      <c r="AK5" s="12" t="inlineStr">
        <is>
          <t>#34</t>
        </is>
      </c>
      <c r="AL5" s="12" t="inlineStr">
        <is>
          <t>#35</t>
        </is>
      </c>
      <c r="AM5" s="12" t="inlineStr">
        <is>
          <t>#36</t>
        </is>
      </c>
      <c r="AN5" s="12" t="inlineStr">
        <is>
          <t>#37</t>
        </is>
      </c>
      <c r="AO5" s="12" t="inlineStr">
        <is>
          <t>#38</t>
        </is>
      </c>
      <c r="AP5" s="12" t="inlineStr">
        <is>
          <t>#39</t>
        </is>
      </c>
      <c r="AQ5" s="12" t="inlineStr">
        <is>
          <t>#40</t>
        </is>
      </c>
      <c r="AR5" s="12" t="inlineStr">
        <is>
          <t>Complete (of 40)</t>
        </is>
      </c>
      <c r="AS5" s="12" t="inlineStr">
        <is>
          <t>Overdue Missing</t>
        </is>
      </c>
      <c r="AT5" s="12" t="inlineStr">
        <is>
          <t>Writing Current?</t>
        </is>
      </c>
      <c r="AU5" s="20" t="inlineStr">
        <is>
          <t>Cadet Status</t>
        </is>
      </c>
    </row>
    <row r="6">
      <c r="B6" s="17">
        <f>IF(Cadets!$B6="","",Cadets!$B6)</f>
        <v/>
      </c>
      <c r="C6" s="17">
        <f>IF(Cadets!$B6="","",Cadets!$F6)</f>
        <v/>
      </c>
      <c r="D6" s="22" t="n"/>
      <c r="E6" s="22" t="n"/>
      <c r="F6" s="22" t="n"/>
      <c r="G6" s="22" t="n"/>
      <c r="H6" s="22" t="n"/>
      <c r="I6" s="22" t="n"/>
      <c r="J6" s="22" t="n"/>
      <c r="K6" s="22" t="n"/>
      <c r="L6" s="22" t="n"/>
      <c r="M6" s="22" t="n"/>
      <c r="N6" s="22" t="n"/>
      <c r="O6" s="22" t="n"/>
      <c r="P6" s="22" t="n"/>
      <c r="Q6" s="22" t="n"/>
      <c r="R6" s="22" t="n"/>
      <c r="S6" s="22" t="n"/>
      <c r="T6" s="22" t="n"/>
      <c r="U6" s="22" t="n"/>
      <c r="V6" s="22" t="n"/>
      <c r="W6" s="22" t="n"/>
      <c r="X6" s="22" t="n"/>
      <c r="Y6" s="22" t="n"/>
      <c r="Z6" s="22" t="n"/>
      <c r="AA6" s="22" t="n"/>
      <c r="AB6" s="22" t="n"/>
      <c r="AC6" s="22" t="n"/>
      <c r="AD6" s="22" t="n"/>
      <c r="AE6" s="22" t="n"/>
      <c r="AF6" s="22" t="n"/>
      <c r="AG6" s="22" t="n"/>
      <c r="AH6" s="22" t="n"/>
      <c r="AI6" s="22" t="n"/>
      <c r="AJ6" s="22" t="n"/>
      <c r="AK6" s="22" t="n"/>
      <c r="AL6" s="22" t="n"/>
      <c r="AM6" s="22" t="n"/>
      <c r="AN6" s="22" t="n"/>
      <c r="AO6" s="22" t="n"/>
      <c r="AP6" s="22" t="n"/>
      <c r="AQ6" s="22" t="n"/>
      <c r="AR6" s="17">
        <f>IF($B6="","",COUNTIF(D6:AQ6,"X"))</f>
        <v/>
      </c>
      <c r="AS6" s="17">
        <f>IF($B6="","",SUMPRODUCT((UPPER(D6:AQ6)&lt;&gt;"X")*(TRANSPOSE(rngWMdue)&lt;&gt;"")*(TRANSPOSE(rngWMdue)&lt;TODAY())))</f>
        <v/>
      </c>
      <c r="AT6" s="17">
        <f>IF($B6="","",IF(AS6=0,"Yes","No"))</f>
        <v/>
      </c>
      <c r="AU6" s="17">
        <f>IF(Cadets!$B6="","",Cadets!$I6)</f>
        <v/>
      </c>
    </row>
    <row r="7">
      <c r="B7" s="17">
        <f>IF(Cadets!$B7="","",Cadets!$B7)</f>
        <v/>
      </c>
      <c r="C7" s="17">
        <f>IF(Cadets!$B7="","",Cadets!$F7)</f>
        <v/>
      </c>
      <c r="D7" s="22" t="n"/>
      <c r="E7" s="22" t="n"/>
      <c r="F7" s="22" t="n"/>
      <c r="G7" s="22" t="n"/>
      <c r="H7" s="22" t="n"/>
      <c r="I7" s="22" t="n"/>
      <c r="J7" s="22" t="n"/>
      <c r="K7" s="22" t="n"/>
      <c r="L7" s="22" t="n"/>
      <c r="M7" s="22" t="n"/>
      <c r="N7" s="22" t="n"/>
      <c r="O7" s="22" t="n"/>
      <c r="P7" s="22" t="n"/>
      <c r="Q7" s="22" t="n"/>
      <c r="R7" s="22" t="n"/>
      <c r="S7" s="22" t="n"/>
      <c r="T7" s="22" t="n"/>
      <c r="U7" s="22" t="n"/>
      <c r="V7" s="22" t="n"/>
      <c r="W7" s="22" t="n"/>
      <c r="X7" s="22" t="n"/>
      <c r="Y7" s="22" t="n"/>
      <c r="Z7" s="22" t="n"/>
      <c r="AA7" s="22" t="n"/>
      <c r="AB7" s="22" t="n"/>
      <c r="AC7" s="22" t="n"/>
      <c r="AD7" s="22" t="n"/>
      <c r="AE7" s="22" t="n"/>
      <c r="AF7" s="22" t="n"/>
      <c r="AG7" s="22" t="n"/>
      <c r="AH7" s="22" t="n"/>
      <c r="AI7" s="22" t="n"/>
      <c r="AJ7" s="22" t="n"/>
      <c r="AK7" s="22" t="n"/>
      <c r="AL7" s="22" t="n"/>
      <c r="AM7" s="22" t="n"/>
      <c r="AN7" s="22" t="n"/>
      <c r="AO7" s="22" t="n"/>
      <c r="AP7" s="22" t="n"/>
      <c r="AQ7" s="22" t="n"/>
      <c r="AR7" s="17">
        <f>IF($B7="","",COUNTIF(D7:AQ7,"X"))</f>
        <v/>
      </c>
      <c r="AS7" s="17">
        <f>IF($B7="","",SUMPRODUCT((UPPER(D7:AQ7)&lt;&gt;"X")*(TRANSPOSE(rngWMdue)&lt;&gt;"")*(TRANSPOSE(rngWMdue)&lt;TODAY())))</f>
        <v/>
      </c>
      <c r="AT7" s="17">
        <f>IF($B7="","",IF(AS7=0,"Yes","No"))</f>
        <v/>
      </c>
      <c r="AU7" s="17">
        <f>IF(Cadets!$B7="","",Cadets!$I7)</f>
        <v/>
      </c>
    </row>
    <row r="8">
      <c r="B8" s="17">
        <f>IF(Cadets!$B8="","",Cadets!$B8)</f>
        <v/>
      </c>
      <c r="C8" s="17">
        <f>IF(Cadets!$B8="","",Cadets!$F8)</f>
        <v/>
      </c>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2" t="n"/>
      <c r="AG8" s="22" t="n"/>
      <c r="AH8" s="22" t="n"/>
      <c r="AI8" s="22" t="n"/>
      <c r="AJ8" s="22" t="n"/>
      <c r="AK8" s="22" t="n"/>
      <c r="AL8" s="22" t="n"/>
      <c r="AM8" s="22" t="n"/>
      <c r="AN8" s="22" t="n"/>
      <c r="AO8" s="22" t="n"/>
      <c r="AP8" s="22" t="n"/>
      <c r="AQ8" s="22" t="n"/>
      <c r="AR8" s="17">
        <f>IF($B8="","",COUNTIF(D8:AQ8,"X"))</f>
        <v/>
      </c>
      <c r="AS8" s="17">
        <f>IF($B8="","",SUMPRODUCT((UPPER(D8:AQ8)&lt;&gt;"X")*(TRANSPOSE(rngWMdue)&lt;&gt;"")*(TRANSPOSE(rngWMdue)&lt;TODAY())))</f>
        <v/>
      </c>
      <c r="AT8" s="17">
        <f>IF($B8="","",IF(AS8=0,"Yes","No"))</f>
        <v/>
      </c>
      <c r="AU8" s="17">
        <f>IF(Cadets!$B8="","",Cadets!$I8)</f>
        <v/>
      </c>
    </row>
    <row r="9">
      <c r="B9" s="17">
        <f>IF(Cadets!$B9="","",Cadets!$B9)</f>
        <v/>
      </c>
      <c r="C9" s="17">
        <f>IF(Cadets!$B9="","",Cadets!$F9)</f>
        <v/>
      </c>
      <c r="D9" s="22" t="n"/>
      <c r="E9" s="22" t="n"/>
      <c r="F9" s="22" t="n"/>
      <c r="G9" s="22" t="n"/>
      <c r="H9" s="22" t="n"/>
      <c r="I9" s="22" t="n"/>
      <c r="J9" s="22" t="n"/>
      <c r="K9" s="22" t="n"/>
      <c r="L9" s="22" t="n"/>
      <c r="M9" s="22" t="n"/>
      <c r="N9" s="22" t="n"/>
      <c r="O9" s="22" t="n"/>
      <c r="P9" s="22" t="n"/>
      <c r="Q9" s="22" t="n"/>
      <c r="R9" s="22" t="n"/>
      <c r="S9" s="22" t="n"/>
      <c r="T9" s="22" t="n"/>
      <c r="U9" s="22" t="n"/>
      <c r="V9" s="22" t="n"/>
      <c r="W9" s="22" t="n"/>
      <c r="X9" s="22" t="n"/>
      <c r="Y9" s="22" t="n"/>
      <c r="Z9" s="22" t="n"/>
      <c r="AA9" s="22" t="n"/>
      <c r="AB9" s="22" t="n"/>
      <c r="AC9" s="22" t="n"/>
      <c r="AD9" s="22" t="n"/>
      <c r="AE9" s="22" t="n"/>
      <c r="AF9" s="22" t="n"/>
      <c r="AG9" s="22" t="n"/>
      <c r="AH9" s="22" t="n"/>
      <c r="AI9" s="22" t="n"/>
      <c r="AJ9" s="22" t="n"/>
      <c r="AK9" s="22" t="n"/>
      <c r="AL9" s="22" t="n"/>
      <c r="AM9" s="22" t="n"/>
      <c r="AN9" s="22" t="n"/>
      <c r="AO9" s="22" t="n"/>
      <c r="AP9" s="22" t="n"/>
      <c r="AQ9" s="22" t="n"/>
      <c r="AR9" s="17">
        <f>IF($B9="","",COUNTIF(D9:AQ9,"X"))</f>
        <v/>
      </c>
      <c r="AS9" s="17">
        <f>IF($B9="","",SUMPRODUCT((UPPER(D9:AQ9)&lt;&gt;"X")*(TRANSPOSE(rngWMdue)&lt;&gt;"")*(TRANSPOSE(rngWMdue)&lt;TODAY())))</f>
        <v/>
      </c>
      <c r="AT9" s="17">
        <f>IF($B9="","",IF(AS9=0,"Yes","No"))</f>
        <v/>
      </c>
      <c r="AU9" s="17">
        <f>IF(Cadets!$B9="","",Cadets!$I9)</f>
        <v/>
      </c>
    </row>
    <row r="10">
      <c r="B10" s="17">
        <f>IF(Cadets!$B10="","",Cadets!$B10)</f>
        <v/>
      </c>
      <c r="C10" s="17">
        <f>IF(Cadets!$B10="","",Cadets!$F10)</f>
        <v/>
      </c>
      <c r="D10" s="22" t="n"/>
      <c r="E10" s="22" t="n"/>
      <c r="F10" s="22" t="n"/>
      <c r="G10" s="22" t="n"/>
      <c r="H10" s="22" t="n"/>
      <c r="I10" s="22" t="n"/>
      <c r="J10" s="22" t="n"/>
      <c r="K10" s="22" t="n"/>
      <c r="L10" s="22" t="n"/>
      <c r="M10" s="22" t="n"/>
      <c r="N10" s="22" t="n"/>
      <c r="O10" s="22" t="n"/>
      <c r="P10" s="22" t="n"/>
      <c r="Q10" s="22" t="n"/>
      <c r="R10" s="22" t="n"/>
      <c r="S10" s="22" t="n"/>
      <c r="T10" s="22" t="n"/>
      <c r="U10" s="22" t="n"/>
      <c r="V10" s="22" t="n"/>
      <c r="W10" s="22" t="n"/>
      <c r="X10" s="22" t="n"/>
      <c r="Y10" s="22" t="n"/>
      <c r="Z10" s="22" t="n"/>
      <c r="AA10" s="22" t="n"/>
      <c r="AB10" s="22" t="n"/>
      <c r="AC10" s="22" t="n"/>
      <c r="AD10" s="22" t="n"/>
      <c r="AE10" s="22" t="n"/>
      <c r="AF10" s="22" t="n"/>
      <c r="AG10" s="22" t="n"/>
      <c r="AH10" s="22" t="n"/>
      <c r="AI10" s="22" t="n"/>
      <c r="AJ10" s="22" t="n"/>
      <c r="AK10" s="22" t="n"/>
      <c r="AL10" s="22" t="n"/>
      <c r="AM10" s="22" t="n"/>
      <c r="AN10" s="22" t="n"/>
      <c r="AO10" s="22" t="n"/>
      <c r="AP10" s="22" t="n"/>
      <c r="AQ10" s="22" t="n"/>
      <c r="AR10" s="17">
        <f>IF($B10="","",COUNTIF(D10:AQ10,"X"))</f>
        <v/>
      </c>
      <c r="AS10" s="17">
        <f>IF($B10="","",SUMPRODUCT((UPPER(D10:AQ10)&lt;&gt;"X")*(TRANSPOSE(rngWMdue)&lt;&gt;"")*(TRANSPOSE(rngWMdue)&lt;TODAY())))</f>
        <v/>
      </c>
      <c r="AT10" s="17">
        <f>IF($B10="","",IF(AS10=0,"Yes","No"))</f>
        <v/>
      </c>
      <c r="AU10" s="17">
        <f>IF(Cadets!$B10="","",Cadets!$I10)</f>
        <v/>
      </c>
    </row>
    <row r="11">
      <c r="B11" s="17">
        <f>IF(Cadets!$B11="","",Cadets!$B11)</f>
        <v/>
      </c>
      <c r="C11" s="17">
        <f>IF(Cadets!$B11="","",Cadets!$F11)</f>
        <v/>
      </c>
      <c r="D11" s="22" t="n"/>
      <c r="E11" s="22" t="n"/>
      <c r="F11" s="22" t="n"/>
      <c r="G11" s="22" t="n"/>
      <c r="H11" s="22" t="n"/>
      <c r="I11" s="22" t="n"/>
      <c r="J11" s="22" t="n"/>
      <c r="K11" s="22" t="n"/>
      <c r="L11" s="22" t="n"/>
      <c r="M11" s="22" t="n"/>
      <c r="N11" s="22" t="n"/>
      <c r="O11" s="22" t="n"/>
      <c r="P11" s="22" t="n"/>
      <c r="Q11" s="22" t="n"/>
      <c r="R11" s="22" t="n"/>
      <c r="S11" s="22" t="n"/>
      <c r="T11" s="22" t="n"/>
      <c r="U11" s="22" t="n"/>
      <c r="V11" s="22" t="n"/>
      <c r="W11" s="22" t="n"/>
      <c r="X11" s="22" t="n"/>
      <c r="Y11" s="22" t="n"/>
      <c r="Z11" s="22" t="n"/>
      <c r="AA11" s="22" t="n"/>
      <c r="AB11" s="22" t="n"/>
      <c r="AC11" s="22" t="n"/>
      <c r="AD11" s="22" t="n"/>
      <c r="AE11" s="22" t="n"/>
      <c r="AF11" s="22" t="n"/>
      <c r="AG11" s="22" t="n"/>
      <c r="AH11" s="22" t="n"/>
      <c r="AI11" s="22" t="n"/>
      <c r="AJ11" s="22" t="n"/>
      <c r="AK11" s="22" t="n"/>
      <c r="AL11" s="22" t="n"/>
      <c r="AM11" s="22" t="n"/>
      <c r="AN11" s="22" t="n"/>
      <c r="AO11" s="22" t="n"/>
      <c r="AP11" s="22" t="n"/>
      <c r="AQ11" s="22" t="n"/>
      <c r="AR11" s="17">
        <f>IF($B11="","",COUNTIF(D11:AQ11,"X"))</f>
        <v/>
      </c>
      <c r="AS11" s="17">
        <f>IF($B11="","",SUMPRODUCT((UPPER(D11:AQ11)&lt;&gt;"X")*(TRANSPOSE(rngWMdue)&lt;&gt;"")*(TRANSPOSE(rngWMdue)&lt;TODAY())))</f>
        <v/>
      </c>
      <c r="AT11" s="17">
        <f>IF($B11="","",IF(AS11=0,"Yes","No"))</f>
        <v/>
      </c>
      <c r="AU11" s="17">
        <f>IF(Cadets!$B11="","",Cadets!$I11)</f>
        <v/>
      </c>
    </row>
    <row r="12">
      <c r="B12" s="17">
        <f>IF(Cadets!$B12="","",Cadets!$B12)</f>
        <v/>
      </c>
      <c r="C12" s="17">
        <f>IF(Cadets!$B12="","",Cadets!$F12)</f>
        <v/>
      </c>
      <c r="D12" s="22" t="n"/>
      <c r="E12" s="22" t="n"/>
      <c r="F12" s="22" t="n"/>
      <c r="G12" s="22" t="n"/>
      <c r="H12" s="22" t="n"/>
      <c r="I12" s="22" t="n"/>
      <c r="J12" s="22" t="n"/>
      <c r="K12" s="22" t="n"/>
      <c r="L12" s="22" t="n"/>
      <c r="M12" s="22" t="n"/>
      <c r="N12" s="22" t="n"/>
      <c r="O12" s="22" t="n"/>
      <c r="P12" s="22" t="n"/>
      <c r="Q12" s="22" t="n"/>
      <c r="R12" s="22" t="n"/>
      <c r="S12" s="22" t="n"/>
      <c r="T12" s="22" t="n"/>
      <c r="U12" s="22" t="n"/>
      <c r="V12" s="22" t="n"/>
      <c r="W12" s="22" t="n"/>
      <c r="X12" s="22" t="n"/>
      <c r="Y12" s="22" t="n"/>
      <c r="Z12" s="22" t="n"/>
      <c r="AA12" s="22" t="n"/>
      <c r="AB12" s="22" t="n"/>
      <c r="AC12" s="22" t="n"/>
      <c r="AD12" s="22" t="n"/>
      <c r="AE12" s="22" t="n"/>
      <c r="AF12" s="22" t="n"/>
      <c r="AG12" s="22" t="n"/>
      <c r="AH12" s="22" t="n"/>
      <c r="AI12" s="22" t="n"/>
      <c r="AJ12" s="22" t="n"/>
      <c r="AK12" s="22" t="n"/>
      <c r="AL12" s="22" t="n"/>
      <c r="AM12" s="22" t="n"/>
      <c r="AN12" s="22" t="n"/>
      <c r="AO12" s="22" t="n"/>
      <c r="AP12" s="22" t="n"/>
      <c r="AQ12" s="22" t="n"/>
      <c r="AR12" s="17">
        <f>IF($B12="","",COUNTIF(D12:AQ12,"X"))</f>
        <v/>
      </c>
      <c r="AS12" s="17">
        <f>IF($B12="","",SUMPRODUCT((UPPER(D12:AQ12)&lt;&gt;"X")*(TRANSPOSE(rngWMdue)&lt;&gt;"")*(TRANSPOSE(rngWMdue)&lt;TODAY())))</f>
        <v/>
      </c>
      <c r="AT12" s="17">
        <f>IF($B12="","",IF(AS12=0,"Yes","No"))</f>
        <v/>
      </c>
      <c r="AU12" s="17">
        <f>IF(Cadets!$B12="","",Cadets!$I12)</f>
        <v/>
      </c>
    </row>
    <row r="13">
      <c r="B13" s="17">
        <f>IF(Cadets!$B13="","",Cadets!$B13)</f>
        <v/>
      </c>
      <c r="C13" s="17">
        <f>IF(Cadets!$B13="","",Cadets!$F13)</f>
        <v/>
      </c>
      <c r="D13" s="22" t="n"/>
      <c r="E13" s="22" t="n"/>
      <c r="F13" s="22" t="n"/>
      <c r="G13" s="22" t="n"/>
      <c r="H13" s="22" t="n"/>
      <c r="I13" s="22" t="n"/>
      <c r="J13" s="22" t="n"/>
      <c r="K13" s="22" t="n"/>
      <c r="L13" s="22" t="n"/>
      <c r="M13" s="22" t="n"/>
      <c r="N13" s="22" t="n"/>
      <c r="O13" s="22" t="n"/>
      <c r="P13" s="22" t="n"/>
      <c r="Q13" s="22" t="n"/>
      <c r="R13" s="22" t="n"/>
      <c r="S13" s="22" t="n"/>
      <c r="T13" s="22" t="n"/>
      <c r="U13" s="22" t="n"/>
      <c r="V13" s="22" t="n"/>
      <c r="W13" s="22" t="n"/>
      <c r="X13" s="22" t="n"/>
      <c r="Y13" s="22" t="n"/>
      <c r="Z13" s="22" t="n"/>
      <c r="AA13" s="22" t="n"/>
      <c r="AB13" s="22" t="n"/>
      <c r="AC13" s="22" t="n"/>
      <c r="AD13" s="22" t="n"/>
      <c r="AE13" s="22" t="n"/>
      <c r="AF13" s="22" t="n"/>
      <c r="AG13" s="22" t="n"/>
      <c r="AH13" s="22" t="n"/>
      <c r="AI13" s="22" t="n"/>
      <c r="AJ13" s="22" t="n"/>
      <c r="AK13" s="22" t="n"/>
      <c r="AL13" s="22" t="n"/>
      <c r="AM13" s="22" t="n"/>
      <c r="AN13" s="22" t="n"/>
      <c r="AO13" s="22" t="n"/>
      <c r="AP13" s="22" t="n"/>
      <c r="AQ13" s="22" t="n"/>
      <c r="AR13" s="17">
        <f>IF($B13="","",COUNTIF(D13:AQ13,"X"))</f>
        <v/>
      </c>
      <c r="AS13" s="17">
        <f>IF($B13="","",SUMPRODUCT((UPPER(D13:AQ13)&lt;&gt;"X")*(TRANSPOSE(rngWMdue)&lt;&gt;"")*(TRANSPOSE(rngWMdue)&lt;TODAY())))</f>
        <v/>
      </c>
      <c r="AT13" s="17">
        <f>IF($B13="","",IF(AS13=0,"Yes","No"))</f>
        <v/>
      </c>
      <c r="AU13" s="17">
        <f>IF(Cadets!$B13="","",Cadets!$I13)</f>
        <v/>
      </c>
    </row>
    <row r="14">
      <c r="B14" s="17">
        <f>IF(Cadets!$B14="","",Cadets!$B14)</f>
        <v/>
      </c>
      <c r="C14" s="17">
        <f>IF(Cadets!$B14="","",Cadets!$F14)</f>
        <v/>
      </c>
      <c r="D14" s="22" t="n"/>
      <c r="E14" s="22" t="n"/>
      <c r="F14" s="22" t="n"/>
      <c r="G14" s="22" t="n"/>
      <c r="H14" s="22" t="n"/>
      <c r="I14" s="22" t="n"/>
      <c r="J14" s="22" t="n"/>
      <c r="K14" s="22" t="n"/>
      <c r="L14" s="22" t="n"/>
      <c r="M14" s="22" t="n"/>
      <c r="N14" s="22" t="n"/>
      <c r="O14" s="22" t="n"/>
      <c r="P14" s="22" t="n"/>
      <c r="Q14" s="22" t="n"/>
      <c r="R14" s="22" t="n"/>
      <c r="S14" s="22" t="n"/>
      <c r="T14" s="22" t="n"/>
      <c r="U14" s="22" t="n"/>
      <c r="V14" s="22" t="n"/>
      <c r="W14" s="22" t="n"/>
      <c r="X14" s="22" t="n"/>
      <c r="Y14" s="22" t="n"/>
      <c r="Z14" s="22" t="n"/>
      <c r="AA14" s="22" t="n"/>
      <c r="AB14" s="22" t="n"/>
      <c r="AC14" s="22" t="n"/>
      <c r="AD14" s="22" t="n"/>
      <c r="AE14" s="22" t="n"/>
      <c r="AF14" s="22" t="n"/>
      <c r="AG14" s="22" t="n"/>
      <c r="AH14" s="22" t="n"/>
      <c r="AI14" s="22" t="n"/>
      <c r="AJ14" s="22" t="n"/>
      <c r="AK14" s="22" t="n"/>
      <c r="AL14" s="22" t="n"/>
      <c r="AM14" s="22" t="n"/>
      <c r="AN14" s="22" t="n"/>
      <c r="AO14" s="22" t="n"/>
      <c r="AP14" s="22" t="n"/>
      <c r="AQ14" s="22" t="n"/>
      <c r="AR14" s="17">
        <f>IF($B14="","",COUNTIF(D14:AQ14,"X"))</f>
        <v/>
      </c>
      <c r="AS14" s="17">
        <f>IF($B14="","",SUMPRODUCT((UPPER(D14:AQ14)&lt;&gt;"X")*(TRANSPOSE(rngWMdue)&lt;&gt;"")*(TRANSPOSE(rngWMdue)&lt;TODAY())))</f>
        <v/>
      </c>
      <c r="AT14" s="17">
        <f>IF($B14="","",IF(AS14=0,"Yes","No"))</f>
        <v/>
      </c>
      <c r="AU14" s="17">
        <f>IF(Cadets!$B14="","",Cadets!$I14)</f>
        <v/>
      </c>
    </row>
    <row r="15">
      <c r="B15" s="17">
        <f>IF(Cadets!$B15="","",Cadets!$B15)</f>
        <v/>
      </c>
      <c r="C15" s="17">
        <f>IF(Cadets!$B15="","",Cadets!$F15)</f>
        <v/>
      </c>
      <c r="D15" s="22" t="n"/>
      <c r="E15" s="22" t="n"/>
      <c r="F15" s="22" t="n"/>
      <c r="G15" s="22" t="n"/>
      <c r="H15" s="22" t="n"/>
      <c r="I15" s="22" t="n"/>
      <c r="J15" s="22" t="n"/>
      <c r="K15" s="22" t="n"/>
      <c r="L15" s="22" t="n"/>
      <c r="M15" s="22" t="n"/>
      <c r="N15" s="22" t="n"/>
      <c r="O15" s="22" t="n"/>
      <c r="P15" s="22" t="n"/>
      <c r="Q15" s="22" t="n"/>
      <c r="R15" s="22" t="n"/>
      <c r="S15" s="22" t="n"/>
      <c r="T15" s="22" t="n"/>
      <c r="U15" s="22" t="n"/>
      <c r="V15" s="22" t="n"/>
      <c r="W15" s="22" t="n"/>
      <c r="X15" s="22" t="n"/>
      <c r="Y15" s="22" t="n"/>
      <c r="Z15" s="22" t="n"/>
      <c r="AA15" s="22" t="n"/>
      <c r="AB15" s="22" t="n"/>
      <c r="AC15" s="22" t="n"/>
      <c r="AD15" s="22" t="n"/>
      <c r="AE15" s="22" t="n"/>
      <c r="AF15" s="22" t="n"/>
      <c r="AG15" s="22" t="n"/>
      <c r="AH15" s="22" t="n"/>
      <c r="AI15" s="22" t="n"/>
      <c r="AJ15" s="22" t="n"/>
      <c r="AK15" s="22" t="n"/>
      <c r="AL15" s="22" t="n"/>
      <c r="AM15" s="22" t="n"/>
      <c r="AN15" s="22" t="n"/>
      <c r="AO15" s="22" t="n"/>
      <c r="AP15" s="22" t="n"/>
      <c r="AQ15" s="22" t="n"/>
      <c r="AR15" s="17">
        <f>IF($B15="","",COUNTIF(D15:AQ15,"X"))</f>
        <v/>
      </c>
      <c r="AS15" s="17">
        <f>IF($B15="","",SUMPRODUCT((UPPER(D15:AQ15)&lt;&gt;"X")*(TRANSPOSE(rngWMdue)&lt;&gt;"")*(TRANSPOSE(rngWMdue)&lt;TODAY())))</f>
        <v/>
      </c>
      <c r="AT15" s="17">
        <f>IF($B15="","",IF(AS15=0,"Yes","No"))</f>
        <v/>
      </c>
      <c r="AU15" s="17">
        <f>IF(Cadets!$B15="","",Cadets!$I15)</f>
        <v/>
      </c>
    </row>
    <row r="16">
      <c r="B16" s="17">
        <f>IF(Cadets!$B16="","",Cadets!$B16)</f>
        <v/>
      </c>
      <c r="C16" s="17">
        <f>IF(Cadets!$B16="","",Cadets!$F16)</f>
        <v/>
      </c>
      <c r="D16" s="22" t="n"/>
      <c r="E16" s="22" t="n"/>
      <c r="F16" s="22" t="n"/>
      <c r="G16" s="22" t="n"/>
      <c r="H16" s="22" t="n"/>
      <c r="I16" s="22" t="n"/>
      <c r="J16" s="22" t="n"/>
      <c r="K16" s="22" t="n"/>
      <c r="L16" s="22" t="n"/>
      <c r="M16" s="22" t="n"/>
      <c r="N16" s="22" t="n"/>
      <c r="O16" s="22" t="n"/>
      <c r="P16" s="22" t="n"/>
      <c r="Q16" s="22" t="n"/>
      <c r="R16" s="22" t="n"/>
      <c r="S16" s="22" t="n"/>
      <c r="T16" s="22" t="n"/>
      <c r="U16" s="22" t="n"/>
      <c r="V16" s="22" t="n"/>
      <c r="W16" s="22" t="n"/>
      <c r="X16" s="22" t="n"/>
      <c r="Y16" s="22" t="n"/>
      <c r="Z16" s="22" t="n"/>
      <c r="AA16" s="22" t="n"/>
      <c r="AB16" s="22" t="n"/>
      <c r="AC16" s="22" t="n"/>
      <c r="AD16" s="22" t="n"/>
      <c r="AE16" s="22" t="n"/>
      <c r="AF16" s="22" t="n"/>
      <c r="AG16" s="22" t="n"/>
      <c r="AH16" s="22" t="n"/>
      <c r="AI16" s="22" t="n"/>
      <c r="AJ16" s="22" t="n"/>
      <c r="AK16" s="22" t="n"/>
      <c r="AL16" s="22" t="n"/>
      <c r="AM16" s="22" t="n"/>
      <c r="AN16" s="22" t="n"/>
      <c r="AO16" s="22" t="n"/>
      <c r="AP16" s="22" t="n"/>
      <c r="AQ16" s="22" t="n"/>
      <c r="AR16" s="17">
        <f>IF($B16="","",COUNTIF(D16:AQ16,"X"))</f>
        <v/>
      </c>
      <c r="AS16" s="17">
        <f>IF($B16="","",SUMPRODUCT((UPPER(D16:AQ16)&lt;&gt;"X")*(TRANSPOSE(rngWMdue)&lt;&gt;"")*(TRANSPOSE(rngWMdue)&lt;TODAY())))</f>
        <v/>
      </c>
      <c r="AT16" s="17">
        <f>IF($B16="","",IF(AS16=0,"Yes","No"))</f>
        <v/>
      </c>
      <c r="AU16" s="17">
        <f>IF(Cadets!$B16="","",Cadets!$I16)</f>
        <v/>
      </c>
    </row>
    <row r="17">
      <c r="B17" s="17">
        <f>IF(Cadets!$B17="","",Cadets!$B17)</f>
        <v/>
      </c>
      <c r="C17" s="17">
        <f>IF(Cadets!$B17="","",Cadets!$F17)</f>
        <v/>
      </c>
      <c r="D17" s="22" t="n"/>
      <c r="E17" s="22" t="n"/>
      <c r="F17" s="22" t="n"/>
      <c r="G17" s="22" t="n"/>
      <c r="H17" s="22" t="n"/>
      <c r="I17" s="22" t="n"/>
      <c r="J17" s="22" t="n"/>
      <c r="K17" s="22" t="n"/>
      <c r="L17" s="22" t="n"/>
      <c r="M17" s="22" t="n"/>
      <c r="N17" s="22" t="n"/>
      <c r="O17" s="22" t="n"/>
      <c r="P17" s="22" t="n"/>
      <c r="Q17" s="22" t="n"/>
      <c r="R17" s="22" t="n"/>
      <c r="S17" s="22" t="n"/>
      <c r="T17" s="22" t="n"/>
      <c r="U17" s="22" t="n"/>
      <c r="V17" s="22" t="n"/>
      <c r="W17" s="22" t="n"/>
      <c r="X17" s="22" t="n"/>
      <c r="Y17" s="22" t="n"/>
      <c r="Z17" s="22" t="n"/>
      <c r="AA17" s="22" t="n"/>
      <c r="AB17" s="22" t="n"/>
      <c r="AC17" s="22" t="n"/>
      <c r="AD17" s="22" t="n"/>
      <c r="AE17" s="22" t="n"/>
      <c r="AF17" s="22" t="n"/>
      <c r="AG17" s="22" t="n"/>
      <c r="AH17" s="22" t="n"/>
      <c r="AI17" s="22" t="n"/>
      <c r="AJ17" s="22" t="n"/>
      <c r="AK17" s="22" t="n"/>
      <c r="AL17" s="22" t="n"/>
      <c r="AM17" s="22" t="n"/>
      <c r="AN17" s="22" t="n"/>
      <c r="AO17" s="22" t="n"/>
      <c r="AP17" s="22" t="n"/>
      <c r="AQ17" s="22" t="n"/>
      <c r="AR17" s="17">
        <f>IF($B17="","",COUNTIF(D17:AQ17,"X"))</f>
        <v/>
      </c>
      <c r="AS17" s="17">
        <f>IF($B17="","",SUMPRODUCT((UPPER(D17:AQ17)&lt;&gt;"X")*(TRANSPOSE(rngWMdue)&lt;&gt;"")*(TRANSPOSE(rngWMdue)&lt;TODAY())))</f>
        <v/>
      </c>
      <c r="AT17" s="17">
        <f>IF($B17="","",IF(AS17=0,"Yes","No"))</f>
        <v/>
      </c>
      <c r="AU17" s="17">
        <f>IF(Cadets!$B17="","",Cadets!$I17)</f>
        <v/>
      </c>
    </row>
    <row r="18">
      <c r="B18" s="17">
        <f>IF(Cadets!$B18="","",Cadets!$B18)</f>
        <v/>
      </c>
      <c r="C18" s="17">
        <f>IF(Cadets!$B18="","",Cadets!$F18)</f>
        <v/>
      </c>
      <c r="D18" s="22" t="n"/>
      <c r="E18" s="22" t="n"/>
      <c r="F18" s="22" t="n"/>
      <c r="G18" s="22" t="n"/>
      <c r="H18" s="22" t="n"/>
      <c r="I18" s="22" t="n"/>
      <c r="J18" s="22" t="n"/>
      <c r="K18" s="22" t="n"/>
      <c r="L18" s="22" t="n"/>
      <c r="M18" s="22" t="n"/>
      <c r="N18" s="22" t="n"/>
      <c r="O18" s="22" t="n"/>
      <c r="P18" s="22" t="n"/>
      <c r="Q18" s="22" t="n"/>
      <c r="R18" s="22" t="n"/>
      <c r="S18" s="22" t="n"/>
      <c r="T18" s="22" t="n"/>
      <c r="U18" s="22" t="n"/>
      <c r="V18" s="22" t="n"/>
      <c r="W18" s="22" t="n"/>
      <c r="X18" s="22" t="n"/>
      <c r="Y18" s="22" t="n"/>
      <c r="Z18" s="22" t="n"/>
      <c r="AA18" s="22" t="n"/>
      <c r="AB18" s="22" t="n"/>
      <c r="AC18" s="22" t="n"/>
      <c r="AD18" s="22" t="n"/>
      <c r="AE18" s="22" t="n"/>
      <c r="AF18" s="22" t="n"/>
      <c r="AG18" s="22" t="n"/>
      <c r="AH18" s="22" t="n"/>
      <c r="AI18" s="22" t="n"/>
      <c r="AJ18" s="22" t="n"/>
      <c r="AK18" s="22" t="n"/>
      <c r="AL18" s="22" t="n"/>
      <c r="AM18" s="22" t="n"/>
      <c r="AN18" s="22" t="n"/>
      <c r="AO18" s="22" t="n"/>
      <c r="AP18" s="22" t="n"/>
      <c r="AQ18" s="22" t="n"/>
      <c r="AR18" s="17">
        <f>IF($B18="","",COUNTIF(D18:AQ18,"X"))</f>
        <v/>
      </c>
      <c r="AS18" s="17">
        <f>IF($B18="","",SUMPRODUCT((UPPER(D18:AQ18)&lt;&gt;"X")*(TRANSPOSE(rngWMdue)&lt;&gt;"")*(TRANSPOSE(rngWMdue)&lt;TODAY())))</f>
        <v/>
      </c>
      <c r="AT18" s="17">
        <f>IF($B18="","",IF(AS18=0,"Yes","No"))</f>
        <v/>
      </c>
      <c r="AU18" s="17">
        <f>IF(Cadets!$B18="","",Cadets!$I18)</f>
        <v/>
      </c>
    </row>
    <row r="19">
      <c r="B19" s="17">
        <f>IF(Cadets!$B19="","",Cadets!$B19)</f>
        <v/>
      </c>
      <c r="C19" s="17">
        <f>IF(Cadets!$B19="","",Cadets!$F19)</f>
        <v/>
      </c>
      <c r="D19" s="22" t="n"/>
      <c r="E19" s="22" t="n"/>
      <c r="F19" s="22" t="n"/>
      <c r="G19" s="22" t="n"/>
      <c r="H19" s="22" t="n"/>
      <c r="I19" s="22" t="n"/>
      <c r="J19" s="22" t="n"/>
      <c r="K19" s="22" t="n"/>
      <c r="L19" s="22" t="n"/>
      <c r="M19" s="22" t="n"/>
      <c r="N19" s="22" t="n"/>
      <c r="O19" s="22" t="n"/>
      <c r="P19" s="22" t="n"/>
      <c r="Q19" s="22" t="n"/>
      <c r="R19" s="22" t="n"/>
      <c r="S19" s="22" t="n"/>
      <c r="T19" s="22" t="n"/>
      <c r="U19" s="22" t="n"/>
      <c r="V19" s="22" t="n"/>
      <c r="W19" s="22" t="n"/>
      <c r="X19" s="22" t="n"/>
      <c r="Y19" s="22" t="n"/>
      <c r="Z19" s="22" t="n"/>
      <c r="AA19" s="22" t="n"/>
      <c r="AB19" s="22" t="n"/>
      <c r="AC19" s="22" t="n"/>
      <c r="AD19" s="22" t="n"/>
      <c r="AE19" s="22" t="n"/>
      <c r="AF19" s="22" t="n"/>
      <c r="AG19" s="22" t="n"/>
      <c r="AH19" s="22" t="n"/>
      <c r="AI19" s="22" t="n"/>
      <c r="AJ19" s="22" t="n"/>
      <c r="AK19" s="22" t="n"/>
      <c r="AL19" s="22" t="n"/>
      <c r="AM19" s="22" t="n"/>
      <c r="AN19" s="22" t="n"/>
      <c r="AO19" s="22" t="n"/>
      <c r="AP19" s="22" t="n"/>
      <c r="AQ19" s="22" t="n"/>
      <c r="AR19" s="17">
        <f>IF($B19="","",COUNTIF(D19:AQ19,"X"))</f>
        <v/>
      </c>
      <c r="AS19" s="17">
        <f>IF($B19="","",SUMPRODUCT((UPPER(D19:AQ19)&lt;&gt;"X")*(TRANSPOSE(rngWMdue)&lt;&gt;"")*(TRANSPOSE(rngWMdue)&lt;TODAY())))</f>
        <v/>
      </c>
      <c r="AT19" s="17">
        <f>IF($B19="","",IF(AS19=0,"Yes","No"))</f>
        <v/>
      </c>
      <c r="AU19" s="17">
        <f>IF(Cadets!$B19="","",Cadets!$I19)</f>
        <v/>
      </c>
    </row>
    <row r="20">
      <c r="B20" s="17">
        <f>IF(Cadets!$B20="","",Cadets!$B20)</f>
        <v/>
      </c>
      <c r="C20" s="17">
        <f>IF(Cadets!$B20="","",Cadets!$F20)</f>
        <v/>
      </c>
      <c r="D20" s="22" t="n"/>
      <c r="E20" s="22" t="n"/>
      <c r="F20" s="22" t="n"/>
      <c r="G20" s="22" t="n"/>
      <c r="H20" s="22" t="n"/>
      <c r="I20" s="22" t="n"/>
      <c r="J20" s="22" t="n"/>
      <c r="K20" s="22" t="n"/>
      <c r="L20" s="22" t="n"/>
      <c r="M20" s="22" t="n"/>
      <c r="N20" s="22" t="n"/>
      <c r="O20" s="22" t="n"/>
      <c r="P20" s="22" t="n"/>
      <c r="Q20" s="22" t="n"/>
      <c r="R20" s="22" t="n"/>
      <c r="S20" s="22" t="n"/>
      <c r="T20" s="22" t="n"/>
      <c r="U20" s="22" t="n"/>
      <c r="V20" s="22" t="n"/>
      <c r="W20" s="22" t="n"/>
      <c r="X20" s="22" t="n"/>
      <c r="Y20" s="22" t="n"/>
      <c r="Z20" s="22" t="n"/>
      <c r="AA20" s="22" t="n"/>
      <c r="AB20" s="22" t="n"/>
      <c r="AC20" s="22" t="n"/>
      <c r="AD20" s="22" t="n"/>
      <c r="AE20" s="22" t="n"/>
      <c r="AF20" s="22" t="n"/>
      <c r="AG20" s="22" t="n"/>
      <c r="AH20" s="22" t="n"/>
      <c r="AI20" s="22" t="n"/>
      <c r="AJ20" s="22" t="n"/>
      <c r="AK20" s="22" t="n"/>
      <c r="AL20" s="22" t="n"/>
      <c r="AM20" s="22" t="n"/>
      <c r="AN20" s="22" t="n"/>
      <c r="AO20" s="22" t="n"/>
      <c r="AP20" s="22" t="n"/>
      <c r="AQ20" s="22" t="n"/>
      <c r="AR20" s="17">
        <f>IF($B20="","",COUNTIF(D20:AQ20,"X"))</f>
        <v/>
      </c>
      <c r="AS20" s="17">
        <f>IF($B20="","",SUMPRODUCT((UPPER(D20:AQ20)&lt;&gt;"X")*(TRANSPOSE(rngWMdue)&lt;&gt;"")*(TRANSPOSE(rngWMdue)&lt;TODAY())))</f>
        <v/>
      </c>
      <c r="AT20" s="17">
        <f>IF($B20="","",IF(AS20=0,"Yes","No"))</f>
        <v/>
      </c>
      <c r="AU20" s="17">
        <f>IF(Cadets!$B20="","",Cadets!$I20)</f>
        <v/>
      </c>
    </row>
    <row r="21">
      <c r="B21" s="17">
        <f>IF(Cadets!$B21="","",Cadets!$B21)</f>
        <v/>
      </c>
      <c r="C21" s="17">
        <f>IF(Cadets!$B21="","",Cadets!$F21)</f>
        <v/>
      </c>
      <c r="D21" s="22" t="n"/>
      <c r="E21" s="22" t="n"/>
      <c r="F21" s="22" t="n"/>
      <c r="G21" s="22" t="n"/>
      <c r="H21" s="22" t="n"/>
      <c r="I21" s="22" t="n"/>
      <c r="J21" s="22" t="n"/>
      <c r="K21" s="22" t="n"/>
      <c r="L21" s="22" t="n"/>
      <c r="M21" s="22" t="n"/>
      <c r="N21" s="22" t="n"/>
      <c r="O21" s="22" t="n"/>
      <c r="P21" s="22" t="n"/>
      <c r="Q21" s="22" t="n"/>
      <c r="R21" s="22" t="n"/>
      <c r="S21" s="22" t="n"/>
      <c r="T21" s="22" t="n"/>
      <c r="U21" s="22" t="n"/>
      <c r="V21" s="22" t="n"/>
      <c r="W21" s="22" t="n"/>
      <c r="X21" s="22" t="n"/>
      <c r="Y21" s="22" t="n"/>
      <c r="Z21" s="22" t="n"/>
      <c r="AA21" s="22" t="n"/>
      <c r="AB21" s="22" t="n"/>
      <c r="AC21" s="22" t="n"/>
      <c r="AD21" s="22" t="n"/>
      <c r="AE21" s="22" t="n"/>
      <c r="AF21" s="22" t="n"/>
      <c r="AG21" s="22" t="n"/>
      <c r="AH21" s="22" t="n"/>
      <c r="AI21" s="22" t="n"/>
      <c r="AJ21" s="22" t="n"/>
      <c r="AK21" s="22" t="n"/>
      <c r="AL21" s="22" t="n"/>
      <c r="AM21" s="22" t="n"/>
      <c r="AN21" s="22" t="n"/>
      <c r="AO21" s="22" t="n"/>
      <c r="AP21" s="22" t="n"/>
      <c r="AQ21" s="22" t="n"/>
      <c r="AR21" s="17">
        <f>IF($B21="","",COUNTIF(D21:AQ21,"X"))</f>
        <v/>
      </c>
      <c r="AS21" s="17">
        <f>IF($B21="","",SUMPRODUCT((UPPER(D21:AQ21)&lt;&gt;"X")*(TRANSPOSE(rngWMdue)&lt;&gt;"")*(TRANSPOSE(rngWMdue)&lt;TODAY())))</f>
        <v/>
      </c>
      <c r="AT21" s="17">
        <f>IF($B21="","",IF(AS21=0,"Yes","No"))</f>
        <v/>
      </c>
      <c r="AU21" s="17">
        <f>IF(Cadets!$B21="","",Cadets!$I21)</f>
        <v/>
      </c>
    </row>
    <row r="22">
      <c r="B22" s="17">
        <f>IF(Cadets!$B22="","",Cadets!$B22)</f>
        <v/>
      </c>
      <c r="C22" s="17">
        <f>IF(Cadets!$B22="","",Cadets!$F22)</f>
        <v/>
      </c>
      <c r="D22" s="22" t="n"/>
      <c r="E22" s="22" t="n"/>
      <c r="F22" s="22" t="n"/>
      <c r="G22" s="22" t="n"/>
      <c r="H22" s="22" t="n"/>
      <c r="I22" s="22" t="n"/>
      <c r="J22" s="22" t="n"/>
      <c r="K22" s="22" t="n"/>
      <c r="L22" s="22" t="n"/>
      <c r="M22" s="22" t="n"/>
      <c r="N22" s="22" t="n"/>
      <c r="O22" s="22" t="n"/>
      <c r="P22" s="22" t="n"/>
      <c r="Q22" s="22" t="n"/>
      <c r="R22" s="22" t="n"/>
      <c r="S22" s="22" t="n"/>
      <c r="T22" s="22" t="n"/>
      <c r="U22" s="22" t="n"/>
      <c r="V22" s="22" t="n"/>
      <c r="W22" s="22" t="n"/>
      <c r="X22" s="22" t="n"/>
      <c r="Y22" s="22" t="n"/>
      <c r="Z22" s="22" t="n"/>
      <c r="AA22" s="22" t="n"/>
      <c r="AB22" s="22" t="n"/>
      <c r="AC22" s="22" t="n"/>
      <c r="AD22" s="22" t="n"/>
      <c r="AE22" s="22" t="n"/>
      <c r="AF22" s="22" t="n"/>
      <c r="AG22" s="22" t="n"/>
      <c r="AH22" s="22" t="n"/>
      <c r="AI22" s="22" t="n"/>
      <c r="AJ22" s="22" t="n"/>
      <c r="AK22" s="22" t="n"/>
      <c r="AL22" s="22" t="n"/>
      <c r="AM22" s="22" t="n"/>
      <c r="AN22" s="22" t="n"/>
      <c r="AO22" s="22" t="n"/>
      <c r="AP22" s="22" t="n"/>
      <c r="AQ22" s="22" t="n"/>
      <c r="AR22" s="17">
        <f>IF($B22="","",COUNTIF(D22:AQ22,"X"))</f>
        <v/>
      </c>
      <c r="AS22" s="17">
        <f>IF($B22="","",SUMPRODUCT((UPPER(D22:AQ22)&lt;&gt;"X")*(TRANSPOSE(rngWMdue)&lt;&gt;"")*(TRANSPOSE(rngWMdue)&lt;TODAY())))</f>
        <v/>
      </c>
      <c r="AT22" s="17">
        <f>IF($B22="","",IF(AS22=0,"Yes","No"))</f>
        <v/>
      </c>
      <c r="AU22" s="17">
        <f>IF(Cadets!$B22="","",Cadets!$I22)</f>
        <v/>
      </c>
    </row>
    <row r="23">
      <c r="B23" s="17">
        <f>IF(Cadets!$B23="","",Cadets!$B23)</f>
        <v/>
      </c>
      <c r="C23" s="17">
        <f>IF(Cadets!$B23="","",Cadets!$F23)</f>
        <v/>
      </c>
      <c r="D23" s="22" t="n"/>
      <c r="E23" s="22" t="n"/>
      <c r="F23" s="22" t="n"/>
      <c r="G23" s="22" t="n"/>
      <c r="H23" s="22" t="n"/>
      <c r="I23" s="22" t="n"/>
      <c r="J23" s="22" t="n"/>
      <c r="K23" s="22" t="n"/>
      <c r="L23" s="22" t="n"/>
      <c r="M23" s="22" t="n"/>
      <c r="N23" s="22" t="n"/>
      <c r="O23" s="22" t="n"/>
      <c r="P23" s="22" t="n"/>
      <c r="Q23" s="22" t="n"/>
      <c r="R23" s="22" t="n"/>
      <c r="S23" s="22" t="n"/>
      <c r="T23" s="22" t="n"/>
      <c r="U23" s="22" t="n"/>
      <c r="V23" s="22" t="n"/>
      <c r="W23" s="22" t="n"/>
      <c r="X23" s="22" t="n"/>
      <c r="Y23" s="22" t="n"/>
      <c r="Z23" s="22" t="n"/>
      <c r="AA23" s="22" t="n"/>
      <c r="AB23" s="22" t="n"/>
      <c r="AC23" s="22" t="n"/>
      <c r="AD23" s="22" t="n"/>
      <c r="AE23" s="22" t="n"/>
      <c r="AF23" s="22" t="n"/>
      <c r="AG23" s="22" t="n"/>
      <c r="AH23" s="22" t="n"/>
      <c r="AI23" s="22" t="n"/>
      <c r="AJ23" s="22" t="n"/>
      <c r="AK23" s="22" t="n"/>
      <c r="AL23" s="22" t="n"/>
      <c r="AM23" s="22" t="n"/>
      <c r="AN23" s="22" t="n"/>
      <c r="AO23" s="22" t="n"/>
      <c r="AP23" s="22" t="n"/>
      <c r="AQ23" s="22" t="n"/>
      <c r="AR23" s="17">
        <f>IF($B23="","",COUNTIF(D23:AQ23,"X"))</f>
        <v/>
      </c>
      <c r="AS23" s="17">
        <f>IF($B23="","",SUMPRODUCT((UPPER(D23:AQ23)&lt;&gt;"X")*(TRANSPOSE(rngWMdue)&lt;&gt;"")*(TRANSPOSE(rngWMdue)&lt;TODAY())))</f>
        <v/>
      </c>
      <c r="AT23" s="17">
        <f>IF($B23="","",IF(AS23=0,"Yes","No"))</f>
        <v/>
      </c>
      <c r="AU23" s="17">
        <f>IF(Cadets!$B23="","",Cadets!$I23)</f>
        <v/>
      </c>
    </row>
    <row r="24">
      <c r="B24" s="17">
        <f>IF(Cadets!$B24="","",Cadets!$B24)</f>
        <v/>
      </c>
      <c r="C24" s="17">
        <f>IF(Cadets!$B24="","",Cadets!$F24)</f>
        <v/>
      </c>
      <c r="D24" s="22" t="n"/>
      <c r="E24" s="22" t="n"/>
      <c r="F24" s="22" t="n"/>
      <c r="G24" s="22" t="n"/>
      <c r="H24" s="22" t="n"/>
      <c r="I24" s="22" t="n"/>
      <c r="J24" s="22" t="n"/>
      <c r="K24" s="22" t="n"/>
      <c r="L24" s="22" t="n"/>
      <c r="M24" s="22" t="n"/>
      <c r="N24" s="22" t="n"/>
      <c r="O24" s="22" t="n"/>
      <c r="P24" s="22" t="n"/>
      <c r="Q24" s="22" t="n"/>
      <c r="R24" s="22" t="n"/>
      <c r="S24" s="22" t="n"/>
      <c r="T24" s="22" t="n"/>
      <c r="U24" s="22" t="n"/>
      <c r="V24" s="22" t="n"/>
      <c r="W24" s="22" t="n"/>
      <c r="X24" s="22" t="n"/>
      <c r="Y24" s="22" t="n"/>
      <c r="Z24" s="22" t="n"/>
      <c r="AA24" s="22" t="n"/>
      <c r="AB24" s="22" t="n"/>
      <c r="AC24" s="22" t="n"/>
      <c r="AD24" s="22" t="n"/>
      <c r="AE24" s="22" t="n"/>
      <c r="AF24" s="22" t="n"/>
      <c r="AG24" s="22" t="n"/>
      <c r="AH24" s="22" t="n"/>
      <c r="AI24" s="22" t="n"/>
      <c r="AJ24" s="22" t="n"/>
      <c r="AK24" s="22" t="n"/>
      <c r="AL24" s="22" t="n"/>
      <c r="AM24" s="22" t="n"/>
      <c r="AN24" s="22" t="n"/>
      <c r="AO24" s="22" t="n"/>
      <c r="AP24" s="22" t="n"/>
      <c r="AQ24" s="22" t="n"/>
      <c r="AR24" s="17">
        <f>IF($B24="","",COUNTIF(D24:AQ24,"X"))</f>
        <v/>
      </c>
      <c r="AS24" s="17">
        <f>IF($B24="","",SUMPRODUCT((UPPER(D24:AQ24)&lt;&gt;"X")*(TRANSPOSE(rngWMdue)&lt;&gt;"")*(TRANSPOSE(rngWMdue)&lt;TODAY())))</f>
        <v/>
      </c>
      <c r="AT24" s="17">
        <f>IF($B24="","",IF(AS24=0,"Yes","No"))</f>
        <v/>
      </c>
      <c r="AU24" s="17">
        <f>IF(Cadets!$B24="","",Cadets!$I24)</f>
        <v/>
      </c>
    </row>
    <row r="25">
      <c r="B25" s="17">
        <f>IF(Cadets!$B25="","",Cadets!$B25)</f>
        <v/>
      </c>
      <c r="C25" s="17">
        <f>IF(Cadets!$B25="","",Cadets!$F25)</f>
        <v/>
      </c>
      <c r="D25" s="22" t="n"/>
      <c r="E25" s="22" t="n"/>
      <c r="F25" s="22" t="n"/>
      <c r="G25" s="22" t="n"/>
      <c r="H25" s="22" t="n"/>
      <c r="I25" s="22" t="n"/>
      <c r="J25" s="22" t="n"/>
      <c r="K25" s="22" t="n"/>
      <c r="L25" s="22" t="n"/>
      <c r="M25" s="22" t="n"/>
      <c r="N25" s="22" t="n"/>
      <c r="O25" s="22" t="n"/>
      <c r="P25" s="22" t="n"/>
      <c r="Q25" s="22" t="n"/>
      <c r="R25" s="22" t="n"/>
      <c r="S25" s="22" t="n"/>
      <c r="T25" s="22" t="n"/>
      <c r="U25" s="22" t="n"/>
      <c r="V25" s="22" t="n"/>
      <c r="W25" s="22" t="n"/>
      <c r="X25" s="22" t="n"/>
      <c r="Y25" s="22" t="n"/>
      <c r="Z25" s="22" t="n"/>
      <c r="AA25" s="22" t="n"/>
      <c r="AB25" s="22" t="n"/>
      <c r="AC25" s="22" t="n"/>
      <c r="AD25" s="22" t="n"/>
      <c r="AE25" s="22" t="n"/>
      <c r="AF25" s="22" t="n"/>
      <c r="AG25" s="22" t="n"/>
      <c r="AH25" s="22" t="n"/>
      <c r="AI25" s="22" t="n"/>
      <c r="AJ25" s="22" t="n"/>
      <c r="AK25" s="22" t="n"/>
      <c r="AL25" s="22" t="n"/>
      <c r="AM25" s="22" t="n"/>
      <c r="AN25" s="22" t="n"/>
      <c r="AO25" s="22" t="n"/>
      <c r="AP25" s="22" t="n"/>
      <c r="AQ25" s="22" t="n"/>
      <c r="AR25" s="17">
        <f>IF($B25="","",COUNTIF(D25:AQ25,"X"))</f>
        <v/>
      </c>
      <c r="AS25" s="17">
        <f>IF($B25="","",SUMPRODUCT((UPPER(D25:AQ25)&lt;&gt;"X")*(TRANSPOSE(rngWMdue)&lt;&gt;"")*(TRANSPOSE(rngWMdue)&lt;TODAY())))</f>
        <v/>
      </c>
      <c r="AT25" s="17">
        <f>IF($B25="","",IF(AS25=0,"Yes","No"))</f>
        <v/>
      </c>
      <c r="AU25" s="17">
        <f>IF(Cadets!$B25="","",Cadets!$I25)</f>
        <v/>
      </c>
    </row>
    <row r="26">
      <c r="B26" s="17">
        <f>IF(Cadets!$B26="","",Cadets!$B26)</f>
        <v/>
      </c>
      <c r="C26" s="17">
        <f>IF(Cadets!$B26="","",Cadets!$F26)</f>
        <v/>
      </c>
      <c r="D26" s="22" t="n"/>
      <c r="E26" s="22" t="n"/>
      <c r="F26" s="22" t="n"/>
      <c r="G26" s="22" t="n"/>
      <c r="H26" s="22" t="n"/>
      <c r="I26" s="22" t="n"/>
      <c r="J26" s="22" t="n"/>
      <c r="K26" s="22" t="n"/>
      <c r="L26" s="22" t="n"/>
      <c r="M26" s="22" t="n"/>
      <c r="N26" s="22" t="n"/>
      <c r="O26" s="22" t="n"/>
      <c r="P26" s="22" t="n"/>
      <c r="Q26" s="22" t="n"/>
      <c r="R26" s="22" t="n"/>
      <c r="S26" s="22" t="n"/>
      <c r="T26" s="22" t="n"/>
      <c r="U26" s="22" t="n"/>
      <c r="V26" s="22" t="n"/>
      <c r="W26" s="22" t="n"/>
      <c r="X26" s="22" t="n"/>
      <c r="Y26" s="22" t="n"/>
      <c r="Z26" s="22" t="n"/>
      <c r="AA26" s="22" t="n"/>
      <c r="AB26" s="22" t="n"/>
      <c r="AC26" s="22" t="n"/>
      <c r="AD26" s="22" t="n"/>
      <c r="AE26" s="22" t="n"/>
      <c r="AF26" s="22" t="n"/>
      <c r="AG26" s="22" t="n"/>
      <c r="AH26" s="22" t="n"/>
      <c r="AI26" s="22" t="n"/>
      <c r="AJ26" s="22" t="n"/>
      <c r="AK26" s="22" t="n"/>
      <c r="AL26" s="22" t="n"/>
      <c r="AM26" s="22" t="n"/>
      <c r="AN26" s="22" t="n"/>
      <c r="AO26" s="22" t="n"/>
      <c r="AP26" s="22" t="n"/>
      <c r="AQ26" s="22" t="n"/>
      <c r="AR26" s="17">
        <f>IF($B26="","",COUNTIF(D26:AQ26,"X"))</f>
        <v/>
      </c>
      <c r="AS26" s="17">
        <f>IF($B26="","",SUMPRODUCT((UPPER(D26:AQ26)&lt;&gt;"X")*(TRANSPOSE(rngWMdue)&lt;&gt;"")*(TRANSPOSE(rngWMdue)&lt;TODAY())))</f>
        <v/>
      </c>
      <c r="AT26" s="17">
        <f>IF($B26="","",IF(AS26=0,"Yes","No"))</f>
        <v/>
      </c>
      <c r="AU26" s="17">
        <f>IF(Cadets!$B26="","",Cadets!$I26)</f>
        <v/>
      </c>
    </row>
    <row r="27">
      <c r="B27" s="17">
        <f>IF(Cadets!$B27="","",Cadets!$B27)</f>
        <v/>
      </c>
      <c r="C27" s="17">
        <f>IF(Cadets!$B27="","",Cadets!$F27)</f>
        <v/>
      </c>
      <c r="D27" s="22" t="n"/>
      <c r="E27" s="22" t="n"/>
      <c r="F27" s="22" t="n"/>
      <c r="G27" s="22" t="n"/>
      <c r="H27" s="22" t="n"/>
      <c r="I27" s="22" t="n"/>
      <c r="J27" s="22" t="n"/>
      <c r="K27" s="22" t="n"/>
      <c r="L27" s="22" t="n"/>
      <c r="M27" s="22" t="n"/>
      <c r="N27" s="22" t="n"/>
      <c r="O27" s="22" t="n"/>
      <c r="P27" s="22" t="n"/>
      <c r="Q27" s="22" t="n"/>
      <c r="R27" s="22" t="n"/>
      <c r="S27" s="22" t="n"/>
      <c r="T27" s="22" t="n"/>
      <c r="U27" s="22" t="n"/>
      <c r="V27" s="22" t="n"/>
      <c r="W27" s="22" t="n"/>
      <c r="X27" s="22" t="n"/>
      <c r="Y27" s="22" t="n"/>
      <c r="Z27" s="22" t="n"/>
      <c r="AA27" s="22" t="n"/>
      <c r="AB27" s="22" t="n"/>
      <c r="AC27" s="22" t="n"/>
      <c r="AD27" s="22" t="n"/>
      <c r="AE27" s="22" t="n"/>
      <c r="AF27" s="22" t="n"/>
      <c r="AG27" s="22" t="n"/>
      <c r="AH27" s="22" t="n"/>
      <c r="AI27" s="22" t="n"/>
      <c r="AJ27" s="22" t="n"/>
      <c r="AK27" s="22" t="n"/>
      <c r="AL27" s="22" t="n"/>
      <c r="AM27" s="22" t="n"/>
      <c r="AN27" s="22" t="n"/>
      <c r="AO27" s="22" t="n"/>
      <c r="AP27" s="22" t="n"/>
      <c r="AQ27" s="22" t="n"/>
      <c r="AR27" s="17">
        <f>IF($B27="","",COUNTIF(D27:AQ27,"X"))</f>
        <v/>
      </c>
      <c r="AS27" s="17">
        <f>IF($B27="","",SUMPRODUCT((UPPER(D27:AQ27)&lt;&gt;"X")*(TRANSPOSE(rngWMdue)&lt;&gt;"")*(TRANSPOSE(rngWMdue)&lt;TODAY())))</f>
        <v/>
      </c>
      <c r="AT27" s="17">
        <f>IF($B27="","",IF(AS27=0,"Yes","No"))</f>
        <v/>
      </c>
      <c r="AU27" s="17">
        <f>IF(Cadets!$B27="","",Cadets!$I27)</f>
        <v/>
      </c>
    </row>
    <row r="28">
      <c r="B28" s="17">
        <f>IF(Cadets!$B28="","",Cadets!$B28)</f>
        <v/>
      </c>
      <c r="C28" s="17">
        <f>IF(Cadets!$B28="","",Cadets!$F28)</f>
        <v/>
      </c>
      <c r="D28" s="22" t="n"/>
      <c r="E28" s="22" t="n"/>
      <c r="F28" s="22" t="n"/>
      <c r="G28" s="22" t="n"/>
      <c r="H28" s="22" t="n"/>
      <c r="I28" s="22" t="n"/>
      <c r="J28" s="22" t="n"/>
      <c r="K28" s="22" t="n"/>
      <c r="L28" s="22" t="n"/>
      <c r="M28" s="22" t="n"/>
      <c r="N28" s="22" t="n"/>
      <c r="O28" s="22" t="n"/>
      <c r="P28" s="22" t="n"/>
      <c r="Q28" s="22" t="n"/>
      <c r="R28" s="22" t="n"/>
      <c r="S28" s="22" t="n"/>
      <c r="T28" s="22" t="n"/>
      <c r="U28" s="22" t="n"/>
      <c r="V28" s="22" t="n"/>
      <c r="W28" s="22" t="n"/>
      <c r="X28" s="22" t="n"/>
      <c r="Y28" s="22" t="n"/>
      <c r="Z28" s="22" t="n"/>
      <c r="AA28" s="22" t="n"/>
      <c r="AB28" s="22" t="n"/>
      <c r="AC28" s="22" t="n"/>
      <c r="AD28" s="22" t="n"/>
      <c r="AE28" s="22" t="n"/>
      <c r="AF28" s="22" t="n"/>
      <c r="AG28" s="22" t="n"/>
      <c r="AH28" s="22" t="n"/>
      <c r="AI28" s="22" t="n"/>
      <c r="AJ28" s="22" t="n"/>
      <c r="AK28" s="22" t="n"/>
      <c r="AL28" s="22" t="n"/>
      <c r="AM28" s="22" t="n"/>
      <c r="AN28" s="22" t="n"/>
      <c r="AO28" s="22" t="n"/>
      <c r="AP28" s="22" t="n"/>
      <c r="AQ28" s="22" t="n"/>
      <c r="AR28" s="17">
        <f>IF($B28="","",COUNTIF(D28:AQ28,"X"))</f>
        <v/>
      </c>
      <c r="AS28" s="17">
        <f>IF($B28="","",SUMPRODUCT((UPPER(D28:AQ28)&lt;&gt;"X")*(TRANSPOSE(rngWMdue)&lt;&gt;"")*(TRANSPOSE(rngWMdue)&lt;TODAY())))</f>
        <v/>
      </c>
      <c r="AT28" s="17">
        <f>IF($B28="","",IF(AS28=0,"Yes","No"))</f>
        <v/>
      </c>
      <c r="AU28" s="17">
        <f>IF(Cadets!$B28="","",Cadets!$I28)</f>
        <v/>
      </c>
    </row>
    <row r="29">
      <c r="B29" s="17">
        <f>IF(Cadets!$B29="","",Cadets!$B29)</f>
        <v/>
      </c>
      <c r="C29" s="17">
        <f>IF(Cadets!$B29="","",Cadets!$F29)</f>
        <v/>
      </c>
      <c r="D29" s="22" t="n"/>
      <c r="E29" s="22" t="n"/>
      <c r="F29" s="22" t="n"/>
      <c r="G29" s="22" t="n"/>
      <c r="H29" s="22" t="n"/>
      <c r="I29" s="22" t="n"/>
      <c r="J29" s="22" t="n"/>
      <c r="K29" s="22" t="n"/>
      <c r="L29" s="22" t="n"/>
      <c r="M29" s="22" t="n"/>
      <c r="N29" s="22" t="n"/>
      <c r="O29" s="22" t="n"/>
      <c r="P29" s="22" t="n"/>
      <c r="Q29" s="22" t="n"/>
      <c r="R29" s="22" t="n"/>
      <c r="S29" s="22" t="n"/>
      <c r="T29" s="22" t="n"/>
      <c r="U29" s="22" t="n"/>
      <c r="V29" s="22" t="n"/>
      <c r="W29" s="22" t="n"/>
      <c r="X29" s="22" t="n"/>
      <c r="Y29" s="22" t="n"/>
      <c r="Z29" s="22" t="n"/>
      <c r="AA29" s="22" t="n"/>
      <c r="AB29" s="22" t="n"/>
      <c r="AC29" s="22" t="n"/>
      <c r="AD29" s="22" t="n"/>
      <c r="AE29" s="22" t="n"/>
      <c r="AF29" s="22" t="n"/>
      <c r="AG29" s="22" t="n"/>
      <c r="AH29" s="22" t="n"/>
      <c r="AI29" s="22" t="n"/>
      <c r="AJ29" s="22" t="n"/>
      <c r="AK29" s="22" t="n"/>
      <c r="AL29" s="22" t="n"/>
      <c r="AM29" s="22" t="n"/>
      <c r="AN29" s="22" t="n"/>
      <c r="AO29" s="22" t="n"/>
      <c r="AP29" s="22" t="n"/>
      <c r="AQ29" s="22" t="n"/>
      <c r="AR29" s="17">
        <f>IF($B29="","",COUNTIF(D29:AQ29,"X"))</f>
        <v/>
      </c>
      <c r="AS29" s="17">
        <f>IF($B29="","",SUMPRODUCT((UPPER(D29:AQ29)&lt;&gt;"X")*(TRANSPOSE(rngWMdue)&lt;&gt;"")*(TRANSPOSE(rngWMdue)&lt;TODAY())))</f>
        <v/>
      </c>
      <c r="AT29" s="17">
        <f>IF($B29="","",IF(AS29=0,"Yes","No"))</f>
        <v/>
      </c>
      <c r="AU29" s="17">
        <f>IF(Cadets!$B29="","",Cadets!$I29)</f>
        <v/>
      </c>
    </row>
    <row r="30">
      <c r="B30" s="17">
        <f>IF(Cadets!$B30="","",Cadets!$B30)</f>
        <v/>
      </c>
      <c r="C30" s="17">
        <f>IF(Cadets!$B30="","",Cadets!$F30)</f>
        <v/>
      </c>
      <c r="D30" s="22" t="n"/>
      <c r="E30" s="22" t="n"/>
      <c r="F30" s="22" t="n"/>
      <c r="G30" s="22" t="n"/>
      <c r="H30" s="22" t="n"/>
      <c r="I30" s="22" t="n"/>
      <c r="J30" s="22" t="n"/>
      <c r="K30" s="22" t="n"/>
      <c r="L30" s="22" t="n"/>
      <c r="M30" s="22" t="n"/>
      <c r="N30" s="22" t="n"/>
      <c r="O30" s="22" t="n"/>
      <c r="P30" s="22" t="n"/>
      <c r="Q30" s="22" t="n"/>
      <c r="R30" s="22" t="n"/>
      <c r="S30" s="22" t="n"/>
      <c r="T30" s="22" t="n"/>
      <c r="U30" s="22" t="n"/>
      <c r="V30" s="22" t="n"/>
      <c r="W30" s="22" t="n"/>
      <c r="X30" s="22" t="n"/>
      <c r="Y30" s="22" t="n"/>
      <c r="Z30" s="22" t="n"/>
      <c r="AA30" s="22" t="n"/>
      <c r="AB30" s="22" t="n"/>
      <c r="AC30" s="22" t="n"/>
      <c r="AD30" s="22" t="n"/>
      <c r="AE30" s="22" t="n"/>
      <c r="AF30" s="22" t="n"/>
      <c r="AG30" s="22" t="n"/>
      <c r="AH30" s="22" t="n"/>
      <c r="AI30" s="22" t="n"/>
      <c r="AJ30" s="22" t="n"/>
      <c r="AK30" s="22" t="n"/>
      <c r="AL30" s="22" t="n"/>
      <c r="AM30" s="22" t="n"/>
      <c r="AN30" s="22" t="n"/>
      <c r="AO30" s="22" t="n"/>
      <c r="AP30" s="22" t="n"/>
      <c r="AQ30" s="22" t="n"/>
      <c r="AR30" s="17">
        <f>IF($B30="","",COUNTIF(D30:AQ30,"X"))</f>
        <v/>
      </c>
      <c r="AS30" s="17">
        <f>IF($B30="","",SUMPRODUCT((UPPER(D30:AQ30)&lt;&gt;"X")*(TRANSPOSE(rngWMdue)&lt;&gt;"")*(TRANSPOSE(rngWMdue)&lt;TODAY())))</f>
        <v/>
      </c>
      <c r="AT30" s="17">
        <f>IF($B30="","",IF(AS30=0,"Yes","No"))</f>
        <v/>
      </c>
      <c r="AU30" s="17">
        <f>IF(Cadets!$B30="","",Cadets!$I30)</f>
        <v/>
      </c>
    </row>
    <row r="31">
      <c r="B31" s="17">
        <f>IF(Cadets!$B31="","",Cadets!$B31)</f>
        <v/>
      </c>
      <c r="C31" s="17">
        <f>IF(Cadets!$B31="","",Cadets!$F31)</f>
        <v/>
      </c>
      <c r="D31" s="22" t="n"/>
      <c r="E31" s="22" t="n"/>
      <c r="F31" s="22" t="n"/>
      <c r="G31" s="22" t="n"/>
      <c r="H31" s="22" t="n"/>
      <c r="I31" s="22" t="n"/>
      <c r="J31" s="22" t="n"/>
      <c r="K31" s="22" t="n"/>
      <c r="L31" s="22" t="n"/>
      <c r="M31" s="22" t="n"/>
      <c r="N31" s="22" t="n"/>
      <c r="O31" s="22" t="n"/>
      <c r="P31" s="22" t="n"/>
      <c r="Q31" s="22" t="n"/>
      <c r="R31" s="22" t="n"/>
      <c r="S31" s="22" t="n"/>
      <c r="T31" s="22" t="n"/>
      <c r="U31" s="22" t="n"/>
      <c r="V31" s="22" t="n"/>
      <c r="W31" s="22" t="n"/>
      <c r="X31" s="22" t="n"/>
      <c r="Y31" s="22" t="n"/>
      <c r="Z31" s="22" t="n"/>
      <c r="AA31" s="22" t="n"/>
      <c r="AB31" s="22" t="n"/>
      <c r="AC31" s="22" t="n"/>
      <c r="AD31" s="22" t="n"/>
      <c r="AE31" s="22" t="n"/>
      <c r="AF31" s="22" t="n"/>
      <c r="AG31" s="22" t="n"/>
      <c r="AH31" s="22" t="n"/>
      <c r="AI31" s="22" t="n"/>
      <c r="AJ31" s="22" t="n"/>
      <c r="AK31" s="22" t="n"/>
      <c r="AL31" s="22" t="n"/>
      <c r="AM31" s="22" t="n"/>
      <c r="AN31" s="22" t="n"/>
      <c r="AO31" s="22" t="n"/>
      <c r="AP31" s="22" t="n"/>
      <c r="AQ31" s="22" t="n"/>
      <c r="AR31" s="17">
        <f>IF($B31="","",COUNTIF(D31:AQ31,"X"))</f>
        <v/>
      </c>
      <c r="AS31" s="17">
        <f>IF($B31="","",SUMPRODUCT((UPPER(D31:AQ31)&lt;&gt;"X")*(TRANSPOSE(rngWMdue)&lt;&gt;"")*(TRANSPOSE(rngWMdue)&lt;TODAY())))</f>
        <v/>
      </c>
      <c r="AT31" s="17">
        <f>IF($B31="","",IF(AS31=0,"Yes","No"))</f>
        <v/>
      </c>
      <c r="AU31" s="17">
        <f>IF(Cadets!$B31="","",Cadets!$I31)</f>
        <v/>
      </c>
    </row>
    <row r="32">
      <c r="B32" s="17">
        <f>IF(Cadets!$B32="","",Cadets!$B32)</f>
        <v/>
      </c>
      <c r="C32" s="17">
        <f>IF(Cadets!$B32="","",Cadets!$F32)</f>
        <v/>
      </c>
      <c r="D32" s="22" t="n"/>
      <c r="E32" s="22" t="n"/>
      <c r="F32" s="22" t="n"/>
      <c r="G32" s="22" t="n"/>
      <c r="H32" s="22" t="n"/>
      <c r="I32" s="22" t="n"/>
      <c r="J32" s="22" t="n"/>
      <c r="K32" s="22" t="n"/>
      <c r="L32" s="22" t="n"/>
      <c r="M32" s="22" t="n"/>
      <c r="N32" s="22" t="n"/>
      <c r="O32" s="22" t="n"/>
      <c r="P32" s="22" t="n"/>
      <c r="Q32" s="22" t="n"/>
      <c r="R32" s="22" t="n"/>
      <c r="S32" s="22" t="n"/>
      <c r="T32" s="22" t="n"/>
      <c r="U32" s="22" t="n"/>
      <c r="V32" s="22" t="n"/>
      <c r="W32" s="22" t="n"/>
      <c r="X32" s="22" t="n"/>
      <c r="Y32" s="22" t="n"/>
      <c r="Z32" s="22" t="n"/>
      <c r="AA32" s="22" t="n"/>
      <c r="AB32" s="22" t="n"/>
      <c r="AC32" s="22" t="n"/>
      <c r="AD32" s="22" t="n"/>
      <c r="AE32" s="22" t="n"/>
      <c r="AF32" s="22" t="n"/>
      <c r="AG32" s="22" t="n"/>
      <c r="AH32" s="22" t="n"/>
      <c r="AI32" s="22" t="n"/>
      <c r="AJ32" s="22" t="n"/>
      <c r="AK32" s="22" t="n"/>
      <c r="AL32" s="22" t="n"/>
      <c r="AM32" s="22" t="n"/>
      <c r="AN32" s="22" t="n"/>
      <c r="AO32" s="22" t="n"/>
      <c r="AP32" s="22" t="n"/>
      <c r="AQ32" s="22" t="n"/>
      <c r="AR32" s="17">
        <f>IF($B32="","",COUNTIF(D32:AQ32,"X"))</f>
        <v/>
      </c>
      <c r="AS32" s="17">
        <f>IF($B32="","",SUMPRODUCT((UPPER(D32:AQ32)&lt;&gt;"X")*(TRANSPOSE(rngWMdue)&lt;&gt;"")*(TRANSPOSE(rngWMdue)&lt;TODAY())))</f>
        <v/>
      </c>
      <c r="AT32" s="17">
        <f>IF($B32="","",IF(AS32=0,"Yes","No"))</f>
        <v/>
      </c>
      <c r="AU32" s="17">
        <f>IF(Cadets!$B32="","",Cadets!$I32)</f>
        <v/>
      </c>
    </row>
    <row r="33">
      <c r="B33" s="17">
        <f>IF(Cadets!$B33="","",Cadets!$B33)</f>
        <v/>
      </c>
      <c r="C33" s="17">
        <f>IF(Cadets!$B33="","",Cadets!$F33)</f>
        <v/>
      </c>
      <c r="D33" s="22" t="n"/>
      <c r="E33" s="22" t="n"/>
      <c r="F33" s="22" t="n"/>
      <c r="G33" s="22" t="n"/>
      <c r="H33" s="22" t="n"/>
      <c r="I33" s="22" t="n"/>
      <c r="J33" s="22" t="n"/>
      <c r="K33" s="22" t="n"/>
      <c r="L33" s="22" t="n"/>
      <c r="M33" s="22" t="n"/>
      <c r="N33" s="22" t="n"/>
      <c r="O33" s="22" t="n"/>
      <c r="P33" s="22" t="n"/>
      <c r="Q33" s="22" t="n"/>
      <c r="R33" s="22" t="n"/>
      <c r="S33" s="22" t="n"/>
      <c r="T33" s="22" t="n"/>
      <c r="U33" s="22" t="n"/>
      <c r="V33" s="22" t="n"/>
      <c r="W33" s="22" t="n"/>
      <c r="X33" s="22" t="n"/>
      <c r="Y33" s="22" t="n"/>
      <c r="Z33" s="22" t="n"/>
      <c r="AA33" s="22" t="n"/>
      <c r="AB33" s="22" t="n"/>
      <c r="AC33" s="22" t="n"/>
      <c r="AD33" s="22" t="n"/>
      <c r="AE33" s="22" t="n"/>
      <c r="AF33" s="22" t="n"/>
      <c r="AG33" s="22" t="n"/>
      <c r="AH33" s="22" t="n"/>
      <c r="AI33" s="22" t="n"/>
      <c r="AJ33" s="22" t="n"/>
      <c r="AK33" s="22" t="n"/>
      <c r="AL33" s="22" t="n"/>
      <c r="AM33" s="22" t="n"/>
      <c r="AN33" s="22" t="n"/>
      <c r="AO33" s="22" t="n"/>
      <c r="AP33" s="22" t="n"/>
      <c r="AQ33" s="22" t="n"/>
      <c r="AR33" s="17">
        <f>IF($B33="","",COUNTIF(D33:AQ33,"X"))</f>
        <v/>
      </c>
      <c r="AS33" s="17">
        <f>IF($B33="","",SUMPRODUCT((UPPER(D33:AQ33)&lt;&gt;"X")*(TRANSPOSE(rngWMdue)&lt;&gt;"")*(TRANSPOSE(rngWMdue)&lt;TODAY())))</f>
        <v/>
      </c>
      <c r="AT33" s="17">
        <f>IF($B33="","",IF(AS33=0,"Yes","No"))</f>
        <v/>
      </c>
      <c r="AU33" s="17">
        <f>IF(Cadets!$B33="","",Cadets!$I33)</f>
        <v/>
      </c>
    </row>
    <row r="34">
      <c r="B34" s="17">
        <f>IF(Cadets!$B34="","",Cadets!$B34)</f>
        <v/>
      </c>
      <c r="C34" s="17">
        <f>IF(Cadets!$B34="","",Cadets!$F34)</f>
        <v/>
      </c>
      <c r="D34" s="22" t="n"/>
      <c r="E34" s="22" t="n"/>
      <c r="F34" s="22" t="n"/>
      <c r="G34" s="22" t="n"/>
      <c r="H34" s="22" t="n"/>
      <c r="I34" s="22" t="n"/>
      <c r="J34" s="22" t="n"/>
      <c r="K34" s="22" t="n"/>
      <c r="L34" s="22" t="n"/>
      <c r="M34" s="22" t="n"/>
      <c r="N34" s="22" t="n"/>
      <c r="O34" s="22" t="n"/>
      <c r="P34" s="22" t="n"/>
      <c r="Q34" s="22" t="n"/>
      <c r="R34" s="22" t="n"/>
      <c r="S34" s="22" t="n"/>
      <c r="T34" s="22" t="n"/>
      <c r="U34" s="22" t="n"/>
      <c r="V34" s="22" t="n"/>
      <c r="W34" s="22" t="n"/>
      <c r="X34" s="22" t="n"/>
      <c r="Y34" s="22" t="n"/>
      <c r="Z34" s="22" t="n"/>
      <c r="AA34" s="22" t="n"/>
      <c r="AB34" s="22" t="n"/>
      <c r="AC34" s="22" t="n"/>
      <c r="AD34" s="22" t="n"/>
      <c r="AE34" s="22" t="n"/>
      <c r="AF34" s="22" t="n"/>
      <c r="AG34" s="22" t="n"/>
      <c r="AH34" s="22" t="n"/>
      <c r="AI34" s="22" t="n"/>
      <c r="AJ34" s="22" t="n"/>
      <c r="AK34" s="22" t="n"/>
      <c r="AL34" s="22" t="n"/>
      <c r="AM34" s="22" t="n"/>
      <c r="AN34" s="22" t="n"/>
      <c r="AO34" s="22" t="n"/>
      <c r="AP34" s="22" t="n"/>
      <c r="AQ34" s="22" t="n"/>
      <c r="AR34" s="17">
        <f>IF($B34="","",COUNTIF(D34:AQ34,"X"))</f>
        <v/>
      </c>
      <c r="AS34" s="17">
        <f>IF($B34="","",SUMPRODUCT((UPPER(D34:AQ34)&lt;&gt;"X")*(TRANSPOSE(rngWMdue)&lt;&gt;"")*(TRANSPOSE(rngWMdue)&lt;TODAY())))</f>
        <v/>
      </c>
      <c r="AT34" s="17">
        <f>IF($B34="","",IF(AS34=0,"Yes","No"))</f>
        <v/>
      </c>
      <c r="AU34" s="17">
        <f>IF(Cadets!$B34="","",Cadets!$I34)</f>
        <v/>
      </c>
    </row>
    <row r="35">
      <c r="B35" s="17">
        <f>IF(Cadets!$B35="","",Cadets!$B35)</f>
        <v/>
      </c>
      <c r="C35" s="17">
        <f>IF(Cadets!$B35="","",Cadets!$F35)</f>
        <v/>
      </c>
      <c r="D35" s="22" t="n"/>
      <c r="E35" s="22" t="n"/>
      <c r="F35" s="22" t="n"/>
      <c r="G35" s="22" t="n"/>
      <c r="H35" s="22" t="n"/>
      <c r="I35" s="22" t="n"/>
      <c r="J35" s="22" t="n"/>
      <c r="K35" s="22" t="n"/>
      <c r="L35" s="22" t="n"/>
      <c r="M35" s="22" t="n"/>
      <c r="N35" s="22" t="n"/>
      <c r="O35" s="22" t="n"/>
      <c r="P35" s="22" t="n"/>
      <c r="Q35" s="22" t="n"/>
      <c r="R35" s="22" t="n"/>
      <c r="S35" s="22" t="n"/>
      <c r="T35" s="22" t="n"/>
      <c r="U35" s="22" t="n"/>
      <c r="V35" s="22" t="n"/>
      <c r="W35" s="22" t="n"/>
      <c r="X35" s="22" t="n"/>
      <c r="Y35" s="22" t="n"/>
      <c r="Z35" s="22" t="n"/>
      <c r="AA35" s="22" t="n"/>
      <c r="AB35" s="22" t="n"/>
      <c r="AC35" s="22" t="n"/>
      <c r="AD35" s="22" t="n"/>
      <c r="AE35" s="22" t="n"/>
      <c r="AF35" s="22" t="n"/>
      <c r="AG35" s="22" t="n"/>
      <c r="AH35" s="22" t="n"/>
      <c r="AI35" s="22" t="n"/>
      <c r="AJ35" s="22" t="n"/>
      <c r="AK35" s="22" t="n"/>
      <c r="AL35" s="22" t="n"/>
      <c r="AM35" s="22" t="n"/>
      <c r="AN35" s="22" t="n"/>
      <c r="AO35" s="22" t="n"/>
      <c r="AP35" s="22" t="n"/>
      <c r="AQ35" s="22" t="n"/>
      <c r="AR35" s="17">
        <f>IF($B35="","",COUNTIF(D35:AQ35,"X"))</f>
        <v/>
      </c>
      <c r="AS35" s="17">
        <f>IF($B35="","",SUMPRODUCT((UPPER(D35:AQ35)&lt;&gt;"X")*(TRANSPOSE(rngWMdue)&lt;&gt;"")*(TRANSPOSE(rngWMdue)&lt;TODAY())))</f>
        <v/>
      </c>
      <c r="AT35" s="17">
        <f>IF($B35="","",IF(AS35=0,"Yes","No"))</f>
        <v/>
      </c>
      <c r="AU35" s="17">
        <f>IF(Cadets!$B35="","",Cadets!$I35)</f>
        <v/>
      </c>
    </row>
    <row r="36">
      <c r="B36" s="17">
        <f>IF(Cadets!$B36="","",Cadets!$B36)</f>
        <v/>
      </c>
      <c r="C36" s="17">
        <f>IF(Cadets!$B36="","",Cadets!$F36)</f>
        <v/>
      </c>
      <c r="D36" s="22" t="n"/>
      <c r="E36" s="22" t="n"/>
      <c r="F36" s="22" t="n"/>
      <c r="G36" s="22" t="n"/>
      <c r="H36" s="22" t="n"/>
      <c r="I36" s="22" t="n"/>
      <c r="J36" s="22" t="n"/>
      <c r="K36" s="22" t="n"/>
      <c r="L36" s="22" t="n"/>
      <c r="M36" s="22" t="n"/>
      <c r="N36" s="22" t="n"/>
      <c r="O36" s="22" t="n"/>
      <c r="P36" s="22" t="n"/>
      <c r="Q36" s="22" t="n"/>
      <c r="R36" s="22" t="n"/>
      <c r="S36" s="22" t="n"/>
      <c r="T36" s="22" t="n"/>
      <c r="U36" s="22" t="n"/>
      <c r="V36" s="22" t="n"/>
      <c r="W36" s="22" t="n"/>
      <c r="X36" s="22" t="n"/>
      <c r="Y36" s="22" t="n"/>
      <c r="Z36" s="22" t="n"/>
      <c r="AA36" s="22" t="n"/>
      <c r="AB36" s="22" t="n"/>
      <c r="AC36" s="22" t="n"/>
      <c r="AD36" s="22" t="n"/>
      <c r="AE36" s="22" t="n"/>
      <c r="AF36" s="22" t="n"/>
      <c r="AG36" s="22" t="n"/>
      <c r="AH36" s="22" t="n"/>
      <c r="AI36" s="22" t="n"/>
      <c r="AJ36" s="22" t="n"/>
      <c r="AK36" s="22" t="n"/>
      <c r="AL36" s="22" t="n"/>
      <c r="AM36" s="22" t="n"/>
      <c r="AN36" s="22" t="n"/>
      <c r="AO36" s="22" t="n"/>
      <c r="AP36" s="22" t="n"/>
      <c r="AQ36" s="22" t="n"/>
      <c r="AR36" s="17">
        <f>IF($B36="","",COUNTIF(D36:AQ36,"X"))</f>
        <v/>
      </c>
      <c r="AS36" s="17">
        <f>IF($B36="","",SUMPRODUCT((UPPER(D36:AQ36)&lt;&gt;"X")*(TRANSPOSE(rngWMdue)&lt;&gt;"")*(TRANSPOSE(rngWMdue)&lt;TODAY())))</f>
        <v/>
      </c>
      <c r="AT36" s="17">
        <f>IF($B36="","",IF(AS36=0,"Yes","No"))</f>
        <v/>
      </c>
      <c r="AU36" s="17">
        <f>IF(Cadets!$B36="","",Cadets!$I36)</f>
        <v/>
      </c>
    </row>
    <row r="37">
      <c r="B37" s="17">
        <f>IF(Cadets!$B37="","",Cadets!$B37)</f>
        <v/>
      </c>
      <c r="C37" s="17">
        <f>IF(Cadets!$B37="","",Cadets!$F37)</f>
        <v/>
      </c>
      <c r="D37" s="22" t="n"/>
      <c r="E37" s="22" t="n"/>
      <c r="F37" s="22" t="n"/>
      <c r="G37" s="22" t="n"/>
      <c r="H37" s="22" t="n"/>
      <c r="I37" s="22" t="n"/>
      <c r="J37" s="22" t="n"/>
      <c r="K37" s="22" t="n"/>
      <c r="L37" s="22" t="n"/>
      <c r="M37" s="22" t="n"/>
      <c r="N37" s="22" t="n"/>
      <c r="O37" s="22" t="n"/>
      <c r="P37" s="22" t="n"/>
      <c r="Q37" s="22" t="n"/>
      <c r="R37" s="22" t="n"/>
      <c r="S37" s="22" t="n"/>
      <c r="T37" s="22" t="n"/>
      <c r="U37" s="22" t="n"/>
      <c r="V37" s="22" t="n"/>
      <c r="W37" s="22" t="n"/>
      <c r="X37" s="22" t="n"/>
      <c r="Y37" s="22" t="n"/>
      <c r="Z37" s="22" t="n"/>
      <c r="AA37" s="22" t="n"/>
      <c r="AB37" s="22" t="n"/>
      <c r="AC37" s="22" t="n"/>
      <c r="AD37" s="22" t="n"/>
      <c r="AE37" s="22" t="n"/>
      <c r="AF37" s="22" t="n"/>
      <c r="AG37" s="22" t="n"/>
      <c r="AH37" s="22" t="n"/>
      <c r="AI37" s="22" t="n"/>
      <c r="AJ37" s="22" t="n"/>
      <c r="AK37" s="22" t="n"/>
      <c r="AL37" s="22" t="n"/>
      <c r="AM37" s="22" t="n"/>
      <c r="AN37" s="22" t="n"/>
      <c r="AO37" s="22" t="n"/>
      <c r="AP37" s="22" t="n"/>
      <c r="AQ37" s="22" t="n"/>
      <c r="AR37" s="17">
        <f>IF($B37="","",COUNTIF(D37:AQ37,"X"))</f>
        <v/>
      </c>
      <c r="AS37" s="17">
        <f>IF($B37="","",SUMPRODUCT((UPPER(D37:AQ37)&lt;&gt;"X")*(TRANSPOSE(rngWMdue)&lt;&gt;"")*(TRANSPOSE(rngWMdue)&lt;TODAY())))</f>
        <v/>
      </c>
      <c r="AT37" s="17">
        <f>IF($B37="","",IF(AS37=0,"Yes","No"))</f>
        <v/>
      </c>
      <c r="AU37" s="17">
        <f>IF(Cadets!$B37="","",Cadets!$I37)</f>
        <v/>
      </c>
    </row>
    <row r="38">
      <c r="B38" s="17">
        <f>IF(Cadets!$B38="","",Cadets!$B38)</f>
        <v/>
      </c>
      <c r="C38" s="17">
        <f>IF(Cadets!$B38="","",Cadets!$F38)</f>
        <v/>
      </c>
      <c r="D38" s="22" t="n"/>
      <c r="E38" s="22" t="n"/>
      <c r="F38" s="22" t="n"/>
      <c r="G38" s="22" t="n"/>
      <c r="H38" s="22" t="n"/>
      <c r="I38" s="22" t="n"/>
      <c r="J38" s="22" t="n"/>
      <c r="K38" s="22" t="n"/>
      <c r="L38" s="22" t="n"/>
      <c r="M38" s="22" t="n"/>
      <c r="N38" s="22" t="n"/>
      <c r="O38" s="22" t="n"/>
      <c r="P38" s="22" t="n"/>
      <c r="Q38" s="22" t="n"/>
      <c r="R38" s="22" t="n"/>
      <c r="S38" s="22" t="n"/>
      <c r="T38" s="22" t="n"/>
      <c r="U38" s="22" t="n"/>
      <c r="V38" s="22" t="n"/>
      <c r="W38" s="22" t="n"/>
      <c r="X38" s="22" t="n"/>
      <c r="Y38" s="22" t="n"/>
      <c r="Z38" s="22" t="n"/>
      <c r="AA38" s="22" t="n"/>
      <c r="AB38" s="22" t="n"/>
      <c r="AC38" s="22" t="n"/>
      <c r="AD38" s="22" t="n"/>
      <c r="AE38" s="22" t="n"/>
      <c r="AF38" s="22" t="n"/>
      <c r="AG38" s="22" t="n"/>
      <c r="AH38" s="22" t="n"/>
      <c r="AI38" s="22" t="n"/>
      <c r="AJ38" s="22" t="n"/>
      <c r="AK38" s="22" t="n"/>
      <c r="AL38" s="22" t="n"/>
      <c r="AM38" s="22" t="n"/>
      <c r="AN38" s="22" t="n"/>
      <c r="AO38" s="22" t="n"/>
      <c r="AP38" s="22" t="n"/>
      <c r="AQ38" s="22" t="n"/>
      <c r="AR38" s="17">
        <f>IF($B38="","",COUNTIF(D38:AQ38,"X"))</f>
        <v/>
      </c>
      <c r="AS38" s="17">
        <f>IF($B38="","",SUMPRODUCT((UPPER(D38:AQ38)&lt;&gt;"X")*(TRANSPOSE(rngWMdue)&lt;&gt;"")*(TRANSPOSE(rngWMdue)&lt;TODAY())))</f>
        <v/>
      </c>
      <c r="AT38" s="17">
        <f>IF($B38="","",IF(AS38=0,"Yes","No"))</f>
        <v/>
      </c>
      <c r="AU38" s="17">
        <f>IF(Cadets!$B38="","",Cadets!$I38)</f>
        <v/>
      </c>
    </row>
    <row r="39">
      <c r="B39" s="17">
        <f>IF(Cadets!$B39="","",Cadets!$B39)</f>
        <v/>
      </c>
      <c r="C39" s="17">
        <f>IF(Cadets!$B39="","",Cadets!$F39)</f>
        <v/>
      </c>
      <c r="D39" s="22" t="n"/>
      <c r="E39" s="22" t="n"/>
      <c r="F39" s="22" t="n"/>
      <c r="G39" s="22" t="n"/>
      <c r="H39" s="22" t="n"/>
      <c r="I39" s="22" t="n"/>
      <c r="J39" s="22" t="n"/>
      <c r="K39" s="22" t="n"/>
      <c r="L39" s="22" t="n"/>
      <c r="M39" s="22" t="n"/>
      <c r="N39" s="22" t="n"/>
      <c r="O39" s="22" t="n"/>
      <c r="P39" s="22" t="n"/>
      <c r="Q39" s="22" t="n"/>
      <c r="R39" s="22" t="n"/>
      <c r="S39" s="22" t="n"/>
      <c r="T39" s="22" t="n"/>
      <c r="U39" s="22" t="n"/>
      <c r="V39" s="22" t="n"/>
      <c r="W39" s="22" t="n"/>
      <c r="X39" s="22" t="n"/>
      <c r="Y39" s="22" t="n"/>
      <c r="Z39" s="22" t="n"/>
      <c r="AA39" s="22" t="n"/>
      <c r="AB39" s="22" t="n"/>
      <c r="AC39" s="22" t="n"/>
      <c r="AD39" s="22" t="n"/>
      <c r="AE39" s="22" t="n"/>
      <c r="AF39" s="22" t="n"/>
      <c r="AG39" s="22" t="n"/>
      <c r="AH39" s="22" t="n"/>
      <c r="AI39" s="22" t="n"/>
      <c r="AJ39" s="22" t="n"/>
      <c r="AK39" s="22" t="n"/>
      <c r="AL39" s="22" t="n"/>
      <c r="AM39" s="22" t="n"/>
      <c r="AN39" s="22" t="n"/>
      <c r="AO39" s="22" t="n"/>
      <c r="AP39" s="22" t="n"/>
      <c r="AQ39" s="22" t="n"/>
      <c r="AR39" s="17">
        <f>IF($B39="","",COUNTIF(D39:AQ39,"X"))</f>
        <v/>
      </c>
      <c r="AS39" s="17">
        <f>IF($B39="","",SUMPRODUCT((UPPER(D39:AQ39)&lt;&gt;"X")*(TRANSPOSE(rngWMdue)&lt;&gt;"")*(TRANSPOSE(rngWMdue)&lt;TODAY())))</f>
        <v/>
      </c>
      <c r="AT39" s="17">
        <f>IF($B39="","",IF(AS39=0,"Yes","No"))</f>
        <v/>
      </c>
      <c r="AU39" s="17">
        <f>IF(Cadets!$B39="","",Cadets!$I39)</f>
        <v/>
      </c>
    </row>
    <row r="40">
      <c r="B40" s="17">
        <f>IF(Cadets!$B40="","",Cadets!$B40)</f>
        <v/>
      </c>
      <c r="C40" s="17">
        <f>IF(Cadets!$B40="","",Cadets!$F40)</f>
        <v/>
      </c>
      <c r="D40" s="22" t="n"/>
      <c r="E40" s="22" t="n"/>
      <c r="F40" s="22" t="n"/>
      <c r="G40" s="22" t="n"/>
      <c r="H40" s="22" t="n"/>
      <c r="I40" s="22" t="n"/>
      <c r="J40" s="22" t="n"/>
      <c r="K40" s="22" t="n"/>
      <c r="L40" s="22" t="n"/>
      <c r="M40" s="22" t="n"/>
      <c r="N40" s="22" t="n"/>
      <c r="O40" s="22" t="n"/>
      <c r="P40" s="22" t="n"/>
      <c r="Q40" s="22" t="n"/>
      <c r="R40" s="22" t="n"/>
      <c r="S40" s="22" t="n"/>
      <c r="T40" s="22" t="n"/>
      <c r="U40" s="22" t="n"/>
      <c r="V40" s="22" t="n"/>
      <c r="W40" s="22" t="n"/>
      <c r="X40" s="22" t="n"/>
      <c r="Y40" s="22" t="n"/>
      <c r="Z40" s="22" t="n"/>
      <c r="AA40" s="22" t="n"/>
      <c r="AB40" s="22" t="n"/>
      <c r="AC40" s="22" t="n"/>
      <c r="AD40" s="22" t="n"/>
      <c r="AE40" s="22" t="n"/>
      <c r="AF40" s="22" t="n"/>
      <c r="AG40" s="22" t="n"/>
      <c r="AH40" s="22" t="n"/>
      <c r="AI40" s="22" t="n"/>
      <c r="AJ40" s="22" t="n"/>
      <c r="AK40" s="22" t="n"/>
      <c r="AL40" s="22" t="n"/>
      <c r="AM40" s="22" t="n"/>
      <c r="AN40" s="22" t="n"/>
      <c r="AO40" s="22" t="n"/>
      <c r="AP40" s="22" t="n"/>
      <c r="AQ40" s="22" t="n"/>
      <c r="AR40" s="17">
        <f>IF($B40="","",COUNTIF(D40:AQ40,"X"))</f>
        <v/>
      </c>
      <c r="AS40" s="17">
        <f>IF($B40="","",SUMPRODUCT((UPPER(D40:AQ40)&lt;&gt;"X")*(TRANSPOSE(rngWMdue)&lt;&gt;"")*(TRANSPOSE(rngWMdue)&lt;TODAY())))</f>
        <v/>
      </c>
      <c r="AT40" s="17">
        <f>IF($B40="","",IF(AS40=0,"Yes","No"))</f>
        <v/>
      </c>
      <c r="AU40" s="17">
        <f>IF(Cadets!$B40="","",Cadets!$I40)</f>
        <v/>
      </c>
    </row>
    <row r="41">
      <c r="B41" s="17">
        <f>IF(Cadets!$B41="","",Cadets!$B41)</f>
        <v/>
      </c>
      <c r="C41" s="17">
        <f>IF(Cadets!$B41="","",Cadets!$F41)</f>
        <v/>
      </c>
      <c r="D41" s="22" t="n"/>
      <c r="E41" s="22" t="n"/>
      <c r="F41" s="22" t="n"/>
      <c r="G41" s="22" t="n"/>
      <c r="H41" s="22" t="n"/>
      <c r="I41" s="22" t="n"/>
      <c r="J41" s="22" t="n"/>
      <c r="K41" s="22" t="n"/>
      <c r="L41" s="22" t="n"/>
      <c r="M41" s="22" t="n"/>
      <c r="N41" s="22" t="n"/>
      <c r="O41" s="22" t="n"/>
      <c r="P41" s="22" t="n"/>
      <c r="Q41" s="22" t="n"/>
      <c r="R41" s="22" t="n"/>
      <c r="S41" s="22" t="n"/>
      <c r="T41" s="22" t="n"/>
      <c r="U41" s="22" t="n"/>
      <c r="V41" s="22" t="n"/>
      <c r="W41" s="22" t="n"/>
      <c r="X41" s="22" t="n"/>
      <c r="Y41" s="22" t="n"/>
      <c r="Z41" s="22" t="n"/>
      <c r="AA41" s="22" t="n"/>
      <c r="AB41" s="22" t="n"/>
      <c r="AC41" s="22" t="n"/>
      <c r="AD41" s="22" t="n"/>
      <c r="AE41" s="22" t="n"/>
      <c r="AF41" s="22" t="n"/>
      <c r="AG41" s="22" t="n"/>
      <c r="AH41" s="22" t="n"/>
      <c r="AI41" s="22" t="n"/>
      <c r="AJ41" s="22" t="n"/>
      <c r="AK41" s="22" t="n"/>
      <c r="AL41" s="22" t="n"/>
      <c r="AM41" s="22" t="n"/>
      <c r="AN41" s="22" t="n"/>
      <c r="AO41" s="22" t="n"/>
      <c r="AP41" s="22" t="n"/>
      <c r="AQ41" s="22" t="n"/>
      <c r="AR41" s="17">
        <f>IF($B41="","",COUNTIF(D41:AQ41,"X"))</f>
        <v/>
      </c>
      <c r="AS41" s="17">
        <f>IF($B41="","",SUMPRODUCT((UPPER(D41:AQ41)&lt;&gt;"X")*(TRANSPOSE(rngWMdue)&lt;&gt;"")*(TRANSPOSE(rngWMdue)&lt;TODAY())))</f>
        <v/>
      </c>
      <c r="AT41" s="17">
        <f>IF($B41="","",IF(AS41=0,"Yes","No"))</f>
        <v/>
      </c>
      <c r="AU41" s="17">
        <f>IF(Cadets!$B41="","",Cadets!$I41)</f>
        <v/>
      </c>
    </row>
    <row r="42">
      <c r="B42" s="17">
        <f>IF(Cadets!$B42="","",Cadets!$B42)</f>
        <v/>
      </c>
      <c r="C42" s="17">
        <f>IF(Cadets!$B42="","",Cadets!$F42)</f>
        <v/>
      </c>
      <c r="D42" s="22" t="n"/>
      <c r="E42" s="22" t="n"/>
      <c r="F42" s="22" t="n"/>
      <c r="G42" s="22" t="n"/>
      <c r="H42" s="22" t="n"/>
      <c r="I42" s="22" t="n"/>
      <c r="J42" s="22" t="n"/>
      <c r="K42" s="22" t="n"/>
      <c r="L42" s="22" t="n"/>
      <c r="M42" s="22" t="n"/>
      <c r="N42" s="22" t="n"/>
      <c r="O42" s="22" t="n"/>
      <c r="P42" s="22" t="n"/>
      <c r="Q42" s="22" t="n"/>
      <c r="R42" s="22" t="n"/>
      <c r="S42" s="22" t="n"/>
      <c r="T42" s="22" t="n"/>
      <c r="U42" s="22" t="n"/>
      <c r="V42" s="22" t="n"/>
      <c r="W42" s="22" t="n"/>
      <c r="X42" s="22" t="n"/>
      <c r="Y42" s="22" t="n"/>
      <c r="Z42" s="22" t="n"/>
      <c r="AA42" s="22" t="n"/>
      <c r="AB42" s="22" t="n"/>
      <c r="AC42" s="22" t="n"/>
      <c r="AD42" s="22" t="n"/>
      <c r="AE42" s="22" t="n"/>
      <c r="AF42" s="22" t="n"/>
      <c r="AG42" s="22" t="n"/>
      <c r="AH42" s="22" t="n"/>
      <c r="AI42" s="22" t="n"/>
      <c r="AJ42" s="22" t="n"/>
      <c r="AK42" s="22" t="n"/>
      <c r="AL42" s="22" t="n"/>
      <c r="AM42" s="22" t="n"/>
      <c r="AN42" s="22" t="n"/>
      <c r="AO42" s="22" t="n"/>
      <c r="AP42" s="22" t="n"/>
      <c r="AQ42" s="22" t="n"/>
      <c r="AR42" s="17">
        <f>IF($B42="","",COUNTIF(D42:AQ42,"X"))</f>
        <v/>
      </c>
      <c r="AS42" s="17">
        <f>IF($B42="","",SUMPRODUCT((UPPER(D42:AQ42)&lt;&gt;"X")*(TRANSPOSE(rngWMdue)&lt;&gt;"")*(TRANSPOSE(rngWMdue)&lt;TODAY())))</f>
        <v/>
      </c>
      <c r="AT42" s="17">
        <f>IF($B42="","",IF(AS42=0,"Yes","No"))</f>
        <v/>
      </c>
      <c r="AU42" s="17">
        <f>IF(Cadets!$B42="","",Cadets!$I42)</f>
        <v/>
      </c>
    </row>
    <row r="43">
      <c r="B43" s="17">
        <f>IF(Cadets!$B43="","",Cadets!$B43)</f>
        <v/>
      </c>
      <c r="C43" s="17">
        <f>IF(Cadets!$B43="","",Cadets!$F43)</f>
        <v/>
      </c>
      <c r="D43" s="22" t="n"/>
      <c r="E43" s="22" t="n"/>
      <c r="F43" s="22" t="n"/>
      <c r="G43" s="22" t="n"/>
      <c r="H43" s="22" t="n"/>
      <c r="I43" s="22" t="n"/>
      <c r="J43" s="22" t="n"/>
      <c r="K43" s="22" t="n"/>
      <c r="L43" s="22" t="n"/>
      <c r="M43" s="22" t="n"/>
      <c r="N43" s="22" t="n"/>
      <c r="O43" s="22" t="n"/>
      <c r="P43" s="22" t="n"/>
      <c r="Q43" s="22" t="n"/>
      <c r="R43" s="22" t="n"/>
      <c r="S43" s="22" t="n"/>
      <c r="T43" s="22" t="n"/>
      <c r="U43" s="22" t="n"/>
      <c r="V43" s="22" t="n"/>
      <c r="W43" s="22" t="n"/>
      <c r="X43" s="22" t="n"/>
      <c r="Y43" s="22" t="n"/>
      <c r="Z43" s="22" t="n"/>
      <c r="AA43" s="22" t="n"/>
      <c r="AB43" s="22" t="n"/>
      <c r="AC43" s="22" t="n"/>
      <c r="AD43" s="22" t="n"/>
      <c r="AE43" s="22" t="n"/>
      <c r="AF43" s="22" t="n"/>
      <c r="AG43" s="22" t="n"/>
      <c r="AH43" s="22" t="n"/>
      <c r="AI43" s="22" t="n"/>
      <c r="AJ43" s="22" t="n"/>
      <c r="AK43" s="22" t="n"/>
      <c r="AL43" s="22" t="n"/>
      <c r="AM43" s="22" t="n"/>
      <c r="AN43" s="22" t="n"/>
      <c r="AO43" s="22" t="n"/>
      <c r="AP43" s="22" t="n"/>
      <c r="AQ43" s="22" t="n"/>
      <c r="AR43" s="17">
        <f>IF($B43="","",COUNTIF(D43:AQ43,"X"))</f>
        <v/>
      </c>
      <c r="AS43" s="17">
        <f>IF($B43="","",SUMPRODUCT((UPPER(D43:AQ43)&lt;&gt;"X")*(TRANSPOSE(rngWMdue)&lt;&gt;"")*(TRANSPOSE(rngWMdue)&lt;TODAY())))</f>
        <v/>
      </c>
      <c r="AT43" s="17">
        <f>IF($B43="","",IF(AS43=0,"Yes","No"))</f>
        <v/>
      </c>
      <c r="AU43" s="17">
        <f>IF(Cadets!$B43="","",Cadets!$I43)</f>
        <v/>
      </c>
    </row>
    <row r="44">
      <c r="B44" s="17">
        <f>IF(Cadets!$B44="","",Cadets!$B44)</f>
        <v/>
      </c>
      <c r="C44" s="17">
        <f>IF(Cadets!$B44="","",Cadets!$F44)</f>
        <v/>
      </c>
      <c r="D44" s="22" t="n"/>
      <c r="E44" s="22" t="n"/>
      <c r="F44" s="22" t="n"/>
      <c r="G44" s="22" t="n"/>
      <c r="H44" s="22" t="n"/>
      <c r="I44" s="22" t="n"/>
      <c r="J44" s="22" t="n"/>
      <c r="K44" s="22" t="n"/>
      <c r="L44" s="22" t="n"/>
      <c r="M44" s="22" t="n"/>
      <c r="N44" s="22" t="n"/>
      <c r="O44" s="22" t="n"/>
      <c r="P44" s="22" t="n"/>
      <c r="Q44" s="22" t="n"/>
      <c r="R44" s="22" t="n"/>
      <c r="S44" s="22" t="n"/>
      <c r="T44" s="22" t="n"/>
      <c r="U44" s="22" t="n"/>
      <c r="V44" s="22" t="n"/>
      <c r="W44" s="22" t="n"/>
      <c r="X44" s="22" t="n"/>
      <c r="Y44" s="22" t="n"/>
      <c r="Z44" s="22" t="n"/>
      <c r="AA44" s="22" t="n"/>
      <c r="AB44" s="22" t="n"/>
      <c r="AC44" s="22" t="n"/>
      <c r="AD44" s="22" t="n"/>
      <c r="AE44" s="22" t="n"/>
      <c r="AF44" s="22" t="n"/>
      <c r="AG44" s="22" t="n"/>
      <c r="AH44" s="22" t="n"/>
      <c r="AI44" s="22" t="n"/>
      <c r="AJ44" s="22" t="n"/>
      <c r="AK44" s="22" t="n"/>
      <c r="AL44" s="22" t="n"/>
      <c r="AM44" s="22" t="n"/>
      <c r="AN44" s="22" t="n"/>
      <c r="AO44" s="22" t="n"/>
      <c r="AP44" s="22" t="n"/>
      <c r="AQ44" s="22" t="n"/>
      <c r="AR44" s="17">
        <f>IF($B44="","",COUNTIF(D44:AQ44,"X"))</f>
        <v/>
      </c>
      <c r="AS44" s="17">
        <f>IF($B44="","",SUMPRODUCT((UPPER(D44:AQ44)&lt;&gt;"X")*(TRANSPOSE(rngWMdue)&lt;&gt;"")*(TRANSPOSE(rngWMdue)&lt;TODAY())))</f>
        <v/>
      </c>
      <c r="AT44" s="17">
        <f>IF($B44="","",IF(AS44=0,"Yes","No"))</f>
        <v/>
      </c>
      <c r="AU44" s="17">
        <f>IF(Cadets!$B44="","",Cadets!$I44)</f>
        <v/>
      </c>
    </row>
    <row r="45">
      <c r="B45" s="17">
        <f>IF(Cadets!$B45="","",Cadets!$B45)</f>
        <v/>
      </c>
      <c r="C45" s="17">
        <f>IF(Cadets!$B45="","",Cadets!$F45)</f>
        <v/>
      </c>
      <c r="D45" s="22" t="n"/>
      <c r="E45" s="22" t="n"/>
      <c r="F45" s="22" t="n"/>
      <c r="G45" s="22" t="n"/>
      <c r="H45" s="22" t="n"/>
      <c r="I45" s="22" t="n"/>
      <c r="J45" s="22" t="n"/>
      <c r="K45" s="22" t="n"/>
      <c r="L45" s="22" t="n"/>
      <c r="M45" s="22" t="n"/>
      <c r="N45" s="22" t="n"/>
      <c r="O45" s="22" t="n"/>
      <c r="P45" s="22" t="n"/>
      <c r="Q45" s="22" t="n"/>
      <c r="R45" s="22" t="n"/>
      <c r="S45" s="22" t="n"/>
      <c r="T45" s="22" t="n"/>
      <c r="U45" s="22" t="n"/>
      <c r="V45" s="22" t="n"/>
      <c r="W45" s="22" t="n"/>
      <c r="X45" s="22" t="n"/>
      <c r="Y45" s="22" t="n"/>
      <c r="Z45" s="22" t="n"/>
      <c r="AA45" s="22" t="n"/>
      <c r="AB45" s="22" t="n"/>
      <c r="AC45" s="22" t="n"/>
      <c r="AD45" s="22" t="n"/>
      <c r="AE45" s="22" t="n"/>
      <c r="AF45" s="22" t="n"/>
      <c r="AG45" s="22" t="n"/>
      <c r="AH45" s="22" t="n"/>
      <c r="AI45" s="22" t="n"/>
      <c r="AJ45" s="22" t="n"/>
      <c r="AK45" s="22" t="n"/>
      <c r="AL45" s="22" t="n"/>
      <c r="AM45" s="22" t="n"/>
      <c r="AN45" s="22" t="n"/>
      <c r="AO45" s="22" t="n"/>
      <c r="AP45" s="22" t="n"/>
      <c r="AQ45" s="22" t="n"/>
      <c r="AR45" s="17">
        <f>IF($B45="","",COUNTIF(D45:AQ45,"X"))</f>
        <v/>
      </c>
      <c r="AS45" s="17">
        <f>IF($B45="","",SUMPRODUCT((UPPER(D45:AQ45)&lt;&gt;"X")*(TRANSPOSE(rngWMdue)&lt;&gt;"")*(TRANSPOSE(rngWMdue)&lt;TODAY())))</f>
        <v/>
      </c>
      <c r="AT45" s="17">
        <f>IF($B45="","",IF(AS45=0,"Yes","No"))</f>
        <v/>
      </c>
      <c r="AU45" s="17">
        <f>IF(Cadets!$B45="","",Cadets!$I45)</f>
        <v/>
      </c>
    </row>
    <row r="46">
      <c r="B46" s="17">
        <f>IF(Cadets!$B46="","",Cadets!$B46)</f>
        <v/>
      </c>
      <c r="C46" s="17">
        <f>IF(Cadets!$B46="","",Cadets!$F46)</f>
        <v/>
      </c>
      <c r="D46" s="22" t="n"/>
      <c r="E46" s="22" t="n"/>
      <c r="F46" s="22" t="n"/>
      <c r="G46" s="22" t="n"/>
      <c r="H46" s="22" t="n"/>
      <c r="I46" s="22" t="n"/>
      <c r="J46" s="22" t="n"/>
      <c r="K46" s="22" t="n"/>
      <c r="L46" s="22" t="n"/>
      <c r="M46" s="22" t="n"/>
      <c r="N46" s="22" t="n"/>
      <c r="O46" s="22" t="n"/>
      <c r="P46" s="22" t="n"/>
      <c r="Q46" s="22" t="n"/>
      <c r="R46" s="22" t="n"/>
      <c r="S46" s="22" t="n"/>
      <c r="T46" s="22" t="n"/>
      <c r="U46" s="22" t="n"/>
      <c r="V46" s="22" t="n"/>
      <c r="W46" s="22" t="n"/>
      <c r="X46" s="22" t="n"/>
      <c r="Y46" s="22" t="n"/>
      <c r="Z46" s="22" t="n"/>
      <c r="AA46" s="22" t="n"/>
      <c r="AB46" s="22" t="n"/>
      <c r="AC46" s="22" t="n"/>
      <c r="AD46" s="22" t="n"/>
      <c r="AE46" s="22" t="n"/>
      <c r="AF46" s="22" t="n"/>
      <c r="AG46" s="22" t="n"/>
      <c r="AH46" s="22" t="n"/>
      <c r="AI46" s="22" t="n"/>
      <c r="AJ46" s="22" t="n"/>
      <c r="AK46" s="22" t="n"/>
      <c r="AL46" s="22" t="n"/>
      <c r="AM46" s="22" t="n"/>
      <c r="AN46" s="22" t="n"/>
      <c r="AO46" s="22" t="n"/>
      <c r="AP46" s="22" t="n"/>
      <c r="AQ46" s="22" t="n"/>
      <c r="AR46" s="17">
        <f>IF($B46="","",COUNTIF(D46:AQ46,"X"))</f>
        <v/>
      </c>
      <c r="AS46" s="17">
        <f>IF($B46="","",SUMPRODUCT((UPPER(D46:AQ46)&lt;&gt;"X")*(TRANSPOSE(rngWMdue)&lt;&gt;"")*(TRANSPOSE(rngWMdue)&lt;TODAY())))</f>
        <v/>
      </c>
      <c r="AT46" s="17">
        <f>IF($B46="","",IF(AS46=0,"Yes","No"))</f>
        <v/>
      </c>
      <c r="AU46" s="17">
        <f>IF(Cadets!$B46="","",Cadets!$I46)</f>
        <v/>
      </c>
    </row>
    <row r="47">
      <c r="B47" s="17">
        <f>IF(Cadets!$B47="","",Cadets!$B47)</f>
        <v/>
      </c>
      <c r="C47" s="17">
        <f>IF(Cadets!$B47="","",Cadets!$F47)</f>
        <v/>
      </c>
      <c r="D47" s="22" t="n"/>
      <c r="E47" s="22" t="n"/>
      <c r="F47" s="22" t="n"/>
      <c r="G47" s="22" t="n"/>
      <c r="H47" s="22" t="n"/>
      <c r="I47" s="22" t="n"/>
      <c r="J47" s="22" t="n"/>
      <c r="K47" s="22" t="n"/>
      <c r="L47" s="22" t="n"/>
      <c r="M47" s="22" t="n"/>
      <c r="N47" s="22" t="n"/>
      <c r="O47" s="22" t="n"/>
      <c r="P47" s="22" t="n"/>
      <c r="Q47" s="22" t="n"/>
      <c r="R47" s="22" t="n"/>
      <c r="S47" s="22" t="n"/>
      <c r="T47" s="22" t="n"/>
      <c r="U47" s="22" t="n"/>
      <c r="V47" s="22" t="n"/>
      <c r="W47" s="22" t="n"/>
      <c r="X47" s="22" t="n"/>
      <c r="Y47" s="22" t="n"/>
      <c r="Z47" s="22" t="n"/>
      <c r="AA47" s="22" t="n"/>
      <c r="AB47" s="22" t="n"/>
      <c r="AC47" s="22" t="n"/>
      <c r="AD47" s="22" t="n"/>
      <c r="AE47" s="22" t="n"/>
      <c r="AF47" s="22" t="n"/>
      <c r="AG47" s="22" t="n"/>
      <c r="AH47" s="22" t="n"/>
      <c r="AI47" s="22" t="n"/>
      <c r="AJ47" s="22" t="n"/>
      <c r="AK47" s="22" t="n"/>
      <c r="AL47" s="22" t="n"/>
      <c r="AM47" s="22" t="n"/>
      <c r="AN47" s="22" t="n"/>
      <c r="AO47" s="22" t="n"/>
      <c r="AP47" s="22" t="n"/>
      <c r="AQ47" s="22" t="n"/>
      <c r="AR47" s="17">
        <f>IF($B47="","",COUNTIF(D47:AQ47,"X"))</f>
        <v/>
      </c>
      <c r="AS47" s="17">
        <f>IF($B47="","",SUMPRODUCT((UPPER(D47:AQ47)&lt;&gt;"X")*(TRANSPOSE(rngWMdue)&lt;&gt;"")*(TRANSPOSE(rngWMdue)&lt;TODAY())))</f>
        <v/>
      </c>
      <c r="AT47" s="17">
        <f>IF($B47="","",IF(AS47=0,"Yes","No"))</f>
        <v/>
      </c>
      <c r="AU47" s="17">
        <f>IF(Cadets!$B47="","",Cadets!$I47)</f>
        <v/>
      </c>
    </row>
    <row r="48">
      <c r="B48" s="17">
        <f>IF(Cadets!$B48="","",Cadets!$B48)</f>
        <v/>
      </c>
      <c r="C48" s="17">
        <f>IF(Cadets!$B48="","",Cadets!$F48)</f>
        <v/>
      </c>
      <c r="D48" s="22" t="n"/>
      <c r="E48" s="22" t="n"/>
      <c r="F48" s="22" t="n"/>
      <c r="G48" s="22" t="n"/>
      <c r="H48" s="22" t="n"/>
      <c r="I48" s="22" t="n"/>
      <c r="J48" s="22" t="n"/>
      <c r="K48" s="22" t="n"/>
      <c r="L48" s="22" t="n"/>
      <c r="M48" s="22" t="n"/>
      <c r="N48" s="22" t="n"/>
      <c r="O48" s="22" t="n"/>
      <c r="P48" s="22" t="n"/>
      <c r="Q48" s="22" t="n"/>
      <c r="R48" s="22" t="n"/>
      <c r="S48" s="22" t="n"/>
      <c r="T48" s="22" t="n"/>
      <c r="U48" s="22" t="n"/>
      <c r="V48" s="22" t="n"/>
      <c r="W48" s="22" t="n"/>
      <c r="X48" s="22" t="n"/>
      <c r="Y48" s="22" t="n"/>
      <c r="Z48" s="22" t="n"/>
      <c r="AA48" s="22" t="n"/>
      <c r="AB48" s="22" t="n"/>
      <c r="AC48" s="22" t="n"/>
      <c r="AD48" s="22" t="n"/>
      <c r="AE48" s="22" t="n"/>
      <c r="AF48" s="22" t="n"/>
      <c r="AG48" s="22" t="n"/>
      <c r="AH48" s="22" t="n"/>
      <c r="AI48" s="22" t="n"/>
      <c r="AJ48" s="22" t="n"/>
      <c r="AK48" s="22" t="n"/>
      <c r="AL48" s="22" t="n"/>
      <c r="AM48" s="22" t="n"/>
      <c r="AN48" s="22" t="n"/>
      <c r="AO48" s="22" t="n"/>
      <c r="AP48" s="22" t="n"/>
      <c r="AQ48" s="22" t="n"/>
      <c r="AR48" s="17">
        <f>IF($B48="","",COUNTIF(D48:AQ48,"X"))</f>
        <v/>
      </c>
      <c r="AS48" s="17">
        <f>IF($B48="","",SUMPRODUCT((UPPER(D48:AQ48)&lt;&gt;"X")*(TRANSPOSE(rngWMdue)&lt;&gt;"")*(TRANSPOSE(rngWMdue)&lt;TODAY())))</f>
        <v/>
      </c>
      <c r="AT48" s="17">
        <f>IF($B48="","",IF(AS48=0,"Yes","No"))</f>
        <v/>
      </c>
      <c r="AU48" s="17">
        <f>IF(Cadets!$B48="","",Cadets!$I48)</f>
        <v/>
      </c>
    </row>
    <row r="49">
      <c r="B49" s="17">
        <f>IF(Cadets!$B49="","",Cadets!$B49)</f>
        <v/>
      </c>
      <c r="C49" s="17">
        <f>IF(Cadets!$B49="","",Cadets!$F49)</f>
        <v/>
      </c>
      <c r="D49" s="22" t="n"/>
      <c r="E49" s="22" t="n"/>
      <c r="F49" s="22" t="n"/>
      <c r="G49" s="22" t="n"/>
      <c r="H49" s="22" t="n"/>
      <c r="I49" s="22" t="n"/>
      <c r="J49" s="22" t="n"/>
      <c r="K49" s="22" t="n"/>
      <c r="L49" s="22" t="n"/>
      <c r="M49" s="22" t="n"/>
      <c r="N49" s="22" t="n"/>
      <c r="O49" s="22" t="n"/>
      <c r="P49" s="22" t="n"/>
      <c r="Q49" s="22" t="n"/>
      <c r="R49" s="22" t="n"/>
      <c r="S49" s="22" t="n"/>
      <c r="T49" s="22" t="n"/>
      <c r="U49" s="22" t="n"/>
      <c r="V49" s="22" t="n"/>
      <c r="W49" s="22" t="n"/>
      <c r="X49" s="22" t="n"/>
      <c r="Y49" s="22" t="n"/>
      <c r="Z49" s="22" t="n"/>
      <c r="AA49" s="22" t="n"/>
      <c r="AB49" s="22" t="n"/>
      <c r="AC49" s="22" t="n"/>
      <c r="AD49" s="22" t="n"/>
      <c r="AE49" s="22" t="n"/>
      <c r="AF49" s="22" t="n"/>
      <c r="AG49" s="22" t="n"/>
      <c r="AH49" s="22" t="n"/>
      <c r="AI49" s="22" t="n"/>
      <c r="AJ49" s="22" t="n"/>
      <c r="AK49" s="22" t="n"/>
      <c r="AL49" s="22" t="n"/>
      <c r="AM49" s="22" t="n"/>
      <c r="AN49" s="22" t="n"/>
      <c r="AO49" s="22" t="n"/>
      <c r="AP49" s="22" t="n"/>
      <c r="AQ49" s="22" t="n"/>
      <c r="AR49" s="17">
        <f>IF($B49="","",COUNTIF(D49:AQ49,"X"))</f>
        <v/>
      </c>
      <c r="AS49" s="17">
        <f>IF($B49="","",SUMPRODUCT((UPPER(D49:AQ49)&lt;&gt;"X")*(TRANSPOSE(rngWMdue)&lt;&gt;"")*(TRANSPOSE(rngWMdue)&lt;TODAY())))</f>
        <v/>
      </c>
      <c r="AT49" s="17">
        <f>IF($B49="","",IF(AS49=0,"Yes","No"))</f>
        <v/>
      </c>
      <c r="AU49" s="17">
        <f>IF(Cadets!$B49="","",Cadets!$I49)</f>
        <v/>
      </c>
    </row>
    <row r="50">
      <c r="B50" s="17">
        <f>IF(Cadets!$B50="","",Cadets!$B50)</f>
        <v/>
      </c>
      <c r="C50" s="17">
        <f>IF(Cadets!$B50="","",Cadets!$F50)</f>
        <v/>
      </c>
      <c r="D50" s="22" t="n"/>
      <c r="E50" s="22" t="n"/>
      <c r="F50" s="22" t="n"/>
      <c r="G50" s="22" t="n"/>
      <c r="H50" s="22" t="n"/>
      <c r="I50" s="22" t="n"/>
      <c r="J50" s="22" t="n"/>
      <c r="K50" s="22" t="n"/>
      <c r="L50" s="22" t="n"/>
      <c r="M50" s="22" t="n"/>
      <c r="N50" s="22" t="n"/>
      <c r="O50" s="22" t="n"/>
      <c r="P50" s="22" t="n"/>
      <c r="Q50" s="22" t="n"/>
      <c r="R50" s="22" t="n"/>
      <c r="S50" s="22" t="n"/>
      <c r="T50" s="22" t="n"/>
      <c r="U50" s="22" t="n"/>
      <c r="V50" s="22" t="n"/>
      <c r="W50" s="22" t="n"/>
      <c r="X50" s="22" t="n"/>
      <c r="Y50" s="22" t="n"/>
      <c r="Z50" s="22" t="n"/>
      <c r="AA50" s="22" t="n"/>
      <c r="AB50" s="22" t="n"/>
      <c r="AC50" s="22" t="n"/>
      <c r="AD50" s="22" t="n"/>
      <c r="AE50" s="22" t="n"/>
      <c r="AF50" s="22" t="n"/>
      <c r="AG50" s="22" t="n"/>
      <c r="AH50" s="22" t="n"/>
      <c r="AI50" s="22" t="n"/>
      <c r="AJ50" s="22" t="n"/>
      <c r="AK50" s="22" t="n"/>
      <c r="AL50" s="22" t="n"/>
      <c r="AM50" s="22" t="n"/>
      <c r="AN50" s="22" t="n"/>
      <c r="AO50" s="22" t="n"/>
      <c r="AP50" s="22" t="n"/>
      <c r="AQ50" s="22" t="n"/>
      <c r="AR50" s="17">
        <f>IF($B50="","",COUNTIF(D50:AQ50,"X"))</f>
        <v/>
      </c>
      <c r="AS50" s="17">
        <f>IF($B50="","",SUMPRODUCT((UPPER(D50:AQ50)&lt;&gt;"X")*(TRANSPOSE(rngWMdue)&lt;&gt;"")*(TRANSPOSE(rngWMdue)&lt;TODAY())))</f>
        <v/>
      </c>
      <c r="AT50" s="17">
        <f>IF($B50="","",IF(AS50=0,"Yes","No"))</f>
        <v/>
      </c>
      <c r="AU50" s="17">
        <f>IF(Cadets!$B50="","",Cadets!$I50)</f>
        <v/>
      </c>
    </row>
    <row r="51">
      <c r="B51" s="17">
        <f>IF(Cadets!$B51="","",Cadets!$B51)</f>
        <v/>
      </c>
      <c r="C51" s="17">
        <f>IF(Cadets!$B51="","",Cadets!$F51)</f>
        <v/>
      </c>
      <c r="D51" s="22" t="n"/>
      <c r="E51" s="22" t="n"/>
      <c r="F51" s="22" t="n"/>
      <c r="G51" s="22" t="n"/>
      <c r="H51" s="22" t="n"/>
      <c r="I51" s="22" t="n"/>
      <c r="J51" s="22" t="n"/>
      <c r="K51" s="22" t="n"/>
      <c r="L51" s="22" t="n"/>
      <c r="M51" s="22" t="n"/>
      <c r="N51" s="22" t="n"/>
      <c r="O51" s="22" t="n"/>
      <c r="P51" s="22" t="n"/>
      <c r="Q51" s="22" t="n"/>
      <c r="R51" s="22" t="n"/>
      <c r="S51" s="22" t="n"/>
      <c r="T51" s="22" t="n"/>
      <c r="U51" s="22" t="n"/>
      <c r="V51" s="22" t="n"/>
      <c r="W51" s="22" t="n"/>
      <c r="X51" s="22" t="n"/>
      <c r="Y51" s="22" t="n"/>
      <c r="Z51" s="22" t="n"/>
      <c r="AA51" s="22" t="n"/>
      <c r="AB51" s="22" t="n"/>
      <c r="AC51" s="22" t="n"/>
      <c r="AD51" s="22" t="n"/>
      <c r="AE51" s="22" t="n"/>
      <c r="AF51" s="22" t="n"/>
      <c r="AG51" s="22" t="n"/>
      <c r="AH51" s="22" t="n"/>
      <c r="AI51" s="22" t="n"/>
      <c r="AJ51" s="22" t="n"/>
      <c r="AK51" s="22" t="n"/>
      <c r="AL51" s="22" t="n"/>
      <c r="AM51" s="22" t="n"/>
      <c r="AN51" s="22" t="n"/>
      <c r="AO51" s="22" t="n"/>
      <c r="AP51" s="22" t="n"/>
      <c r="AQ51" s="22" t="n"/>
      <c r="AR51" s="17">
        <f>IF($B51="","",COUNTIF(D51:AQ51,"X"))</f>
        <v/>
      </c>
      <c r="AS51" s="17">
        <f>IF($B51="","",SUMPRODUCT((UPPER(D51:AQ51)&lt;&gt;"X")*(TRANSPOSE(rngWMdue)&lt;&gt;"")*(TRANSPOSE(rngWMdue)&lt;TODAY())))</f>
        <v/>
      </c>
      <c r="AT51" s="17">
        <f>IF($B51="","",IF(AS51=0,"Yes","No"))</f>
        <v/>
      </c>
      <c r="AU51" s="17">
        <f>IF(Cadets!$B51="","",Cadets!$I51)</f>
        <v/>
      </c>
    </row>
    <row r="52">
      <c r="B52" s="17">
        <f>IF(Cadets!$B52="","",Cadets!$B52)</f>
        <v/>
      </c>
      <c r="C52" s="17">
        <f>IF(Cadets!$B52="","",Cadets!$F52)</f>
        <v/>
      </c>
      <c r="D52" s="22" t="n"/>
      <c r="E52" s="22" t="n"/>
      <c r="F52" s="22" t="n"/>
      <c r="G52" s="22" t="n"/>
      <c r="H52" s="22" t="n"/>
      <c r="I52" s="22" t="n"/>
      <c r="J52" s="22" t="n"/>
      <c r="K52" s="22" t="n"/>
      <c r="L52" s="22" t="n"/>
      <c r="M52" s="22" t="n"/>
      <c r="N52" s="22" t="n"/>
      <c r="O52" s="22" t="n"/>
      <c r="P52" s="22" t="n"/>
      <c r="Q52" s="22" t="n"/>
      <c r="R52" s="22" t="n"/>
      <c r="S52" s="22" t="n"/>
      <c r="T52" s="22" t="n"/>
      <c r="U52" s="22" t="n"/>
      <c r="V52" s="22" t="n"/>
      <c r="W52" s="22" t="n"/>
      <c r="X52" s="22" t="n"/>
      <c r="Y52" s="22" t="n"/>
      <c r="Z52" s="22" t="n"/>
      <c r="AA52" s="22" t="n"/>
      <c r="AB52" s="22" t="n"/>
      <c r="AC52" s="22" t="n"/>
      <c r="AD52" s="22" t="n"/>
      <c r="AE52" s="22" t="n"/>
      <c r="AF52" s="22" t="n"/>
      <c r="AG52" s="22" t="n"/>
      <c r="AH52" s="22" t="n"/>
      <c r="AI52" s="22" t="n"/>
      <c r="AJ52" s="22" t="n"/>
      <c r="AK52" s="22" t="n"/>
      <c r="AL52" s="22" t="n"/>
      <c r="AM52" s="22" t="n"/>
      <c r="AN52" s="22" t="n"/>
      <c r="AO52" s="22" t="n"/>
      <c r="AP52" s="22" t="n"/>
      <c r="AQ52" s="22" t="n"/>
      <c r="AR52" s="17">
        <f>IF($B52="","",COUNTIF(D52:AQ52,"X"))</f>
        <v/>
      </c>
      <c r="AS52" s="17">
        <f>IF($B52="","",SUMPRODUCT((UPPER(D52:AQ52)&lt;&gt;"X")*(TRANSPOSE(rngWMdue)&lt;&gt;"")*(TRANSPOSE(rngWMdue)&lt;TODAY())))</f>
        <v/>
      </c>
      <c r="AT52" s="17">
        <f>IF($B52="","",IF(AS52=0,"Yes","No"))</f>
        <v/>
      </c>
      <c r="AU52" s="17">
        <f>IF(Cadets!$B52="","",Cadets!$I52)</f>
        <v/>
      </c>
    </row>
    <row r="53">
      <c r="B53" s="17">
        <f>IF(Cadets!$B53="","",Cadets!$B53)</f>
        <v/>
      </c>
      <c r="C53" s="17">
        <f>IF(Cadets!$B53="","",Cadets!$F53)</f>
        <v/>
      </c>
      <c r="D53" s="22" t="n"/>
      <c r="E53" s="22" t="n"/>
      <c r="F53" s="22" t="n"/>
      <c r="G53" s="22" t="n"/>
      <c r="H53" s="22" t="n"/>
      <c r="I53" s="22" t="n"/>
      <c r="J53" s="22" t="n"/>
      <c r="K53" s="22" t="n"/>
      <c r="L53" s="22" t="n"/>
      <c r="M53" s="22" t="n"/>
      <c r="N53" s="22" t="n"/>
      <c r="O53" s="22" t="n"/>
      <c r="P53" s="22" t="n"/>
      <c r="Q53" s="22" t="n"/>
      <c r="R53" s="22" t="n"/>
      <c r="S53" s="22" t="n"/>
      <c r="T53" s="22" t="n"/>
      <c r="U53" s="22" t="n"/>
      <c r="V53" s="22" t="n"/>
      <c r="W53" s="22" t="n"/>
      <c r="X53" s="22" t="n"/>
      <c r="Y53" s="22" t="n"/>
      <c r="Z53" s="22" t="n"/>
      <c r="AA53" s="22" t="n"/>
      <c r="AB53" s="22" t="n"/>
      <c r="AC53" s="22" t="n"/>
      <c r="AD53" s="22" t="n"/>
      <c r="AE53" s="22" t="n"/>
      <c r="AF53" s="22" t="n"/>
      <c r="AG53" s="22" t="n"/>
      <c r="AH53" s="22" t="n"/>
      <c r="AI53" s="22" t="n"/>
      <c r="AJ53" s="22" t="n"/>
      <c r="AK53" s="22" t="n"/>
      <c r="AL53" s="22" t="n"/>
      <c r="AM53" s="22" t="n"/>
      <c r="AN53" s="22" t="n"/>
      <c r="AO53" s="22" t="n"/>
      <c r="AP53" s="22" t="n"/>
      <c r="AQ53" s="22" t="n"/>
      <c r="AR53" s="17">
        <f>IF($B53="","",COUNTIF(D53:AQ53,"X"))</f>
        <v/>
      </c>
      <c r="AS53" s="17">
        <f>IF($B53="","",SUMPRODUCT((UPPER(D53:AQ53)&lt;&gt;"X")*(TRANSPOSE(rngWMdue)&lt;&gt;"")*(TRANSPOSE(rngWMdue)&lt;TODAY())))</f>
        <v/>
      </c>
      <c r="AT53" s="17">
        <f>IF($B53="","",IF(AS53=0,"Yes","No"))</f>
        <v/>
      </c>
      <c r="AU53" s="17">
        <f>IF(Cadets!$B53="","",Cadets!$I53)</f>
        <v/>
      </c>
    </row>
    <row r="54">
      <c r="B54" s="17">
        <f>IF(Cadets!$B54="","",Cadets!$B54)</f>
        <v/>
      </c>
      <c r="C54" s="17">
        <f>IF(Cadets!$B54="","",Cadets!$F54)</f>
        <v/>
      </c>
      <c r="D54" s="22" t="n"/>
      <c r="E54" s="22" t="n"/>
      <c r="F54" s="22" t="n"/>
      <c r="G54" s="22" t="n"/>
      <c r="H54" s="22" t="n"/>
      <c r="I54" s="22" t="n"/>
      <c r="J54" s="22" t="n"/>
      <c r="K54" s="22" t="n"/>
      <c r="L54" s="22" t="n"/>
      <c r="M54" s="22" t="n"/>
      <c r="N54" s="22" t="n"/>
      <c r="O54" s="22" t="n"/>
      <c r="P54" s="22" t="n"/>
      <c r="Q54" s="22" t="n"/>
      <c r="R54" s="22" t="n"/>
      <c r="S54" s="22" t="n"/>
      <c r="T54" s="22" t="n"/>
      <c r="U54" s="22" t="n"/>
      <c r="V54" s="22" t="n"/>
      <c r="W54" s="22" t="n"/>
      <c r="X54" s="22" t="n"/>
      <c r="Y54" s="22" t="n"/>
      <c r="Z54" s="22" t="n"/>
      <c r="AA54" s="22" t="n"/>
      <c r="AB54" s="22" t="n"/>
      <c r="AC54" s="22" t="n"/>
      <c r="AD54" s="22" t="n"/>
      <c r="AE54" s="22" t="n"/>
      <c r="AF54" s="22" t="n"/>
      <c r="AG54" s="22" t="n"/>
      <c r="AH54" s="22" t="n"/>
      <c r="AI54" s="22" t="n"/>
      <c r="AJ54" s="22" t="n"/>
      <c r="AK54" s="22" t="n"/>
      <c r="AL54" s="22" t="n"/>
      <c r="AM54" s="22" t="n"/>
      <c r="AN54" s="22" t="n"/>
      <c r="AO54" s="22" t="n"/>
      <c r="AP54" s="22" t="n"/>
      <c r="AQ54" s="22" t="n"/>
      <c r="AR54" s="17">
        <f>IF($B54="","",COUNTIF(D54:AQ54,"X"))</f>
        <v/>
      </c>
      <c r="AS54" s="17">
        <f>IF($B54="","",SUMPRODUCT((UPPER(D54:AQ54)&lt;&gt;"X")*(TRANSPOSE(rngWMdue)&lt;&gt;"")*(TRANSPOSE(rngWMdue)&lt;TODAY())))</f>
        <v/>
      </c>
      <c r="AT54" s="17">
        <f>IF($B54="","",IF(AS54=0,"Yes","No"))</f>
        <v/>
      </c>
      <c r="AU54" s="17">
        <f>IF(Cadets!$B54="","",Cadets!$I54)</f>
        <v/>
      </c>
    </row>
    <row r="55">
      <c r="B55" s="17">
        <f>IF(Cadets!$B55="","",Cadets!$B55)</f>
        <v/>
      </c>
      <c r="C55" s="17">
        <f>IF(Cadets!$B55="","",Cadets!$F55)</f>
        <v/>
      </c>
      <c r="D55" s="22" t="n"/>
      <c r="E55" s="22" t="n"/>
      <c r="F55" s="22" t="n"/>
      <c r="G55" s="22" t="n"/>
      <c r="H55" s="22" t="n"/>
      <c r="I55" s="22" t="n"/>
      <c r="J55" s="22" t="n"/>
      <c r="K55" s="22" t="n"/>
      <c r="L55" s="22" t="n"/>
      <c r="M55" s="22" t="n"/>
      <c r="N55" s="22" t="n"/>
      <c r="O55" s="22" t="n"/>
      <c r="P55" s="22" t="n"/>
      <c r="Q55" s="22" t="n"/>
      <c r="R55" s="22" t="n"/>
      <c r="S55" s="22" t="n"/>
      <c r="T55" s="22" t="n"/>
      <c r="U55" s="22" t="n"/>
      <c r="V55" s="22" t="n"/>
      <c r="W55" s="22" t="n"/>
      <c r="X55" s="22" t="n"/>
      <c r="Y55" s="22" t="n"/>
      <c r="Z55" s="22" t="n"/>
      <c r="AA55" s="22" t="n"/>
      <c r="AB55" s="22" t="n"/>
      <c r="AC55" s="22" t="n"/>
      <c r="AD55" s="22" t="n"/>
      <c r="AE55" s="22" t="n"/>
      <c r="AF55" s="22" t="n"/>
      <c r="AG55" s="22" t="n"/>
      <c r="AH55" s="22" t="n"/>
      <c r="AI55" s="22" t="n"/>
      <c r="AJ55" s="22" t="n"/>
      <c r="AK55" s="22" t="n"/>
      <c r="AL55" s="22" t="n"/>
      <c r="AM55" s="22" t="n"/>
      <c r="AN55" s="22" t="n"/>
      <c r="AO55" s="22" t="n"/>
      <c r="AP55" s="22" t="n"/>
      <c r="AQ55" s="22" t="n"/>
      <c r="AR55" s="17">
        <f>IF($B55="","",COUNTIF(D55:AQ55,"X"))</f>
        <v/>
      </c>
      <c r="AS55" s="17">
        <f>IF($B55="","",SUMPRODUCT((UPPER(D55:AQ55)&lt;&gt;"X")*(TRANSPOSE(rngWMdue)&lt;&gt;"")*(TRANSPOSE(rngWMdue)&lt;TODAY())))</f>
        <v/>
      </c>
      <c r="AT55" s="17">
        <f>IF($B55="","",IF(AS55=0,"Yes","No"))</f>
        <v/>
      </c>
      <c r="AU55" s="17">
        <f>IF(Cadets!$B55="","",Cadets!$I55)</f>
        <v/>
      </c>
    </row>
  </sheetData>
  <sheetProtection selectLockedCells="0" selectUnlockedCells="0" sheet="1" objects="0" insertRows="1" insertHyperlinks="1" autoFilter="0" scenarios="0" formatColumns="1" deleteColumns="1" insertColumns="1" pivotTables="1" deleteRows="1" formatCells="1" formatRows="1" sort="1" password="B4BB"/>
  <autoFilter ref="B5:AU5"/>
  <conditionalFormatting sqref="AT6:AT55">
    <cfRule type="cellIs" priority="1" operator="equal" dxfId="3">
      <formula>"Yes"</formula>
    </cfRule>
    <cfRule type="cellIs" priority="2" operator="equal" dxfId="0">
      <formula>"No"</formula>
    </cfRule>
  </conditionalFormatting>
  <conditionalFormatting sqref="D6:D55">
    <cfRule type="expression" priority="3" dxfId="0">
      <formula>AND($B6&lt;&gt;"",UPPER(D6)&lt;&gt;"X",INDEX(rngWMdue,1)&lt;&gt;"",INDEX(rngWMdue,1)&lt;TODAY())</formula>
    </cfRule>
  </conditionalFormatting>
  <conditionalFormatting sqref="E6:E55">
    <cfRule type="expression" priority="4" dxfId="0">
      <formula>AND($B6&lt;&gt;"",UPPER(E6)&lt;&gt;"X",INDEX(rngWMdue,2)&lt;&gt;"",INDEX(rngWMdue,2)&lt;TODAY())</formula>
    </cfRule>
  </conditionalFormatting>
  <conditionalFormatting sqref="F6:F55">
    <cfRule type="expression" priority="5" dxfId="0">
      <formula>AND($B6&lt;&gt;"",UPPER(F6)&lt;&gt;"X",INDEX(rngWMdue,3)&lt;&gt;"",INDEX(rngWMdue,3)&lt;TODAY())</formula>
    </cfRule>
  </conditionalFormatting>
  <conditionalFormatting sqref="G6:G55">
    <cfRule type="expression" priority="6" dxfId="0">
      <formula>AND($B6&lt;&gt;"",UPPER(G6)&lt;&gt;"X",INDEX(rngWMdue,4)&lt;&gt;"",INDEX(rngWMdue,4)&lt;TODAY())</formula>
    </cfRule>
  </conditionalFormatting>
  <conditionalFormatting sqref="H6:H55">
    <cfRule type="expression" priority="7" dxfId="0">
      <formula>AND($B6&lt;&gt;"",UPPER(H6)&lt;&gt;"X",INDEX(rngWMdue,5)&lt;&gt;"",INDEX(rngWMdue,5)&lt;TODAY())</formula>
    </cfRule>
  </conditionalFormatting>
  <conditionalFormatting sqref="I6:I55">
    <cfRule type="expression" priority="8" dxfId="0">
      <formula>AND($B6&lt;&gt;"",UPPER(I6)&lt;&gt;"X",INDEX(rngWMdue,6)&lt;&gt;"",INDEX(rngWMdue,6)&lt;TODAY())</formula>
    </cfRule>
  </conditionalFormatting>
  <conditionalFormatting sqref="J6:J55">
    <cfRule type="expression" priority="9" dxfId="0">
      <formula>AND($B6&lt;&gt;"",UPPER(J6)&lt;&gt;"X",INDEX(rngWMdue,7)&lt;&gt;"",INDEX(rngWMdue,7)&lt;TODAY())</formula>
    </cfRule>
  </conditionalFormatting>
  <conditionalFormatting sqref="K6:K55">
    <cfRule type="expression" priority="10" dxfId="0">
      <formula>AND($B6&lt;&gt;"",UPPER(K6)&lt;&gt;"X",INDEX(rngWMdue,8)&lt;&gt;"",INDEX(rngWMdue,8)&lt;TODAY())</formula>
    </cfRule>
  </conditionalFormatting>
  <conditionalFormatting sqref="L6:L55">
    <cfRule type="expression" priority="11" dxfId="0">
      <formula>AND($B6&lt;&gt;"",UPPER(L6)&lt;&gt;"X",INDEX(rngWMdue,9)&lt;&gt;"",INDEX(rngWMdue,9)&lt;TODAY())</formula>
    </cfRule>
  </conditionalFormatting>
  <conditionalFormatting sqref="M6:M55">
    <cfRule type="expression" priority="12" dxfId="0">
      <formula>AND($B6&lt;&gt;"",UPPER(M6)&lt;&gt;"X",INDEX(rngWMdue,10)&lt;&gt;"",INDEX(rngWMdue,10)&lt;TODAY())</formula>
    </cfRule>
  </conditionalFormatting>
  <conditionalFormatting sqref="N6:N55">
    <cfRule type="expression" priority="13" dxfId="0">
      <formula>AND($B6&lt;&gt;"",UPPER(N6)&lt;&gt;"X",INDEX(rngWMdue,11)&lt;&gt;"",INDEX(rngWMdue,11)&lt;TODAY())</formula>
    </cfRule>
  </conditionalFormatting>
  <conditionalFormatting sqref="O6:O55">
    <cfRule type="expression" priority="14" dxfId="0">
      <formula>AND($B6&lt;&gt;"",UPPER(O6)&lt;&gt;"X",INDEX(rngWMdue,12)&lt;&gt;"",INDEX(rngWMdue,12)&lt;TODAY())</formula>
    </cfRule>
  </conditionalFormatting>
  <conditionalFormatting sqref="P6:P55">
    <cfRule type="expression" priority="15" dxfId="0">
      <formula>AND($B6&lt;&gt;"",UPPER(P6)&lt;&gt;"X",INDEX(rngWMdue,13)&lt;&gt;"",INDEX(rngWMdue,13)&lt;TODAY())</formula>
    </cfRule>
  </conditionalFormatting>
  <conditionalFormatting sqref="Q6:Q55">
    <cfRule type="expression" priority="16" dxfId="0">
      <formula>AND($B6&lt;&gt;"",UPPER(Q6)&lt;&gt;"X",INDEX(rngWMdue,14)&lt;&gt;"",INDEX(rngWMdue,14)&lt;TODAY())</formula>
    </cfRule>
  </conditionalFormatting>
  <conditionalFormatting sqref="R6:R55">
    <cfRule type="expression" priority="17" dxfId="0">
      <formula>AND($B6&lt;&gt;"",UPPER(R6)&lt;&gt;"X",INDEX(rngWMdue,15)&lt;&gt;"",INDEX(rngWMdue,15)&lt;TODAY())</formula>
    </cfRule>
  </conditionalFormatting>
  <conditionalFormatting sqref="S6:S55">
    <cfRule type="expression" priority="18" dxfId="0">
      <formula>AND($B6&lt;&gt;"",UPPER(S6)&lt;&gt;"X",INDEX(rngWMdue,16)&lt;&gt;"",INDEX(rngWMdue,16)&lt;TODAY())</formula>
    </cfRule>
  </conditionalFormatting>
  <conditionalFormatting sqref="T6:T55">
    <cfRule type="expression" priority="19" dxfId="0">
      <formula>AND($B6&lt;&gt;"",UPPER(T6)&lt;&gt;"X",INDEX(rngWMdue,17)&lt;&gt;"",INDEX(rngWMdue,17)&lt;TODAY())</formula>
    </cfRule>
  </conditionalFormatting>
  <conditionalFormatting sqref="U6:U55">
    <cfRule type="expression" priority="20" dxfId="0">
      <formula>AND($B6&lt;&gt;"",UPPER(U6)&lt;&gt;"X",INDEX(rngWMdue,18)&lt;&gt;"",INDEX(rngWMdue,18)&lt;TODAY())</formula>
    </cfRule>
  </conditionalFormatting>
  <conditionalFormatting sqref="V6:V55">
    <cfRule type="expression" priority="21" dxfId="0">
      <formula>AND($B6&lt;&gt;"",UPPER(V6)&lt;&gt;"X",INDEX(rngWMdue,19)&lt;&gt;"",INDEX(rngWMdue,19)&lt;TODAY())</formula>
    </cfRule>
  </conditionalFormatting>
  <conditionalFormatting sqref="W6:W55">
    <cfRule type="expression" priority="22" dxfId="0">
      <formula>AND($B6&lt;&gt;"",UPPER(W6)&lt;&gt;"X",INDEX(rngWMdue,20)&lt;&gt;"",INDEX(rngWMdue,20)&lt;TODAY())</formula>
    </cfRule>
  </conditionalFormatting>
  <conditionalFormatting sqref="X6:X55">
    <cfRule type="expression" priority="23" dxfId="0">
      <formula>AND($B6&lt;&gt;"",UPPER(X6)&lt;&gt;"X",INDEX(rngWMdue,21)&lt;&gt;"",INDEX(rngWMdue,21)&lt;TODAY())</formula>
    </cfRule>
  </conditionalFormatting>
  <conditionalFormatting sqref="Y6:Y55">
    <cfRule type="expression" priority="24" dxfId="0">
      <formula>AND($B6&lt;&gt;"",UPPER(Y6)&lt;&gt;"X",INDEX(rngWMdue,22)&lt;&gt;"",INDEX(rngWMdue,22)&lt;TODAY())</formula>
    </cfRule>
  </conditionalFormatting>
  <conditionalFormatting sqref="Z6:Z55">
    <cfRule type="expression" priority="25" dxfId="0">
      <formula>AND($B6&lt;&gt;"",UPPER(Z6)&lt;&gt;"X",INDEX(rngWMdue,23)&lt;&gt;"",INDEX(rngWMdue,23)&lt;TODAY())</formula>
    </cfRule>
  </conditionalFormatting>
  <conditionalFormatting sqref="AA6:AA55">
    <cfRule type="expression" priority="26" dxfId="0">
      <formula>AND($B6&lt;&gt;"",UPPER(AA6)&lt;&gt;"X",INDEX(rngWMdue,24)&lt;&gt;"",INDEX(rngWMdue,24)&lt;TODAY())</formula>
    </cfRule>
  </conditionalFormatting>
  <conditionalFormatting sqref="AB6:AB55">
    <cfRule type="expression" priority="27" dxfId="0">
      <formula>AND($B6&lt;&gt;"",UPPER(AB6)&lt;&gt;"X",INDEX(rngWMdue,25)&lt;&gt;"",INDEX(rngWMdue,25)&lt;TODAY())</formula>
    </cfRule>
  </conditionalFormatting>
  <conditionalFormatting sqref="AC6:AC55">
    <cfRule type="expression" priority="28" dxfId="0">
      <formula>AND($B6&lt;&gt;"",UPPER(AC6)&lt;&gt;"X",INDEX(rngWMdue,26)&lt;&gt;"",INDEX(rngWMdue,26)&lt;TODAY())</formula>
    </cfRule>
  </conditionalFormatting>
  <conditionalFormatting sqref="AD6:AD55">
    <cfRule type="expression" priority="29" dxfId="0">
      <formula>AND($B6&lt;&gt;"",UPPER(AD6)&lt;&gt;"X",INDEX(rngWMdue,27)&lt;&gt;"",INDEX(rngWMdue,27)&lt;TODAY())</formula>
    </cfRule>
  </conditionalFormatting>
  <conditionalFormatting sqref="AE6:AE55">
    <cfRule type="expression" priority="30" dxfId="0">
      <formula>AND($B6&lt;&gt;"",UPPER(AE6)&lt;&gt;"X",INDEX(rngWMdue,28)&lt;&gt;"",INDEX(rngWMdue,28)&lt;TODAY())</formula>
    </cfRule>
  </conditionalFormatting>
  <conditionalFormatting sqref="AF6:AF55">
    <cfRule type="expression" priority="31" dxfId="0">
      <formula>AND($B6&lt;&gt;"",UPPER(AF6)&lt;&gt;"X",INDEX(rngWMdue,29)&lt;&gt;"",INDEX(rngWMdue,29)&lt;TODAY())</formula>
    </cfRule>
  </conditionalFormatting>
  <conditionalFormatting sqref="AG6:AG55">
    <cfRule type="expression" priority="32" dxfId="0">
      <formula>AND($B6&lt;&gt;"",UPPER(AG6)&lt;&gt;"X",INDEX(rngWMdue,30)&lt;&gt;"",INDEX(rngWMdue,30)&lt;TODAY())</formula>
    </cfRule>
  </conditionalFormatting>
  <conditionalFormatting sqref="AH6:AH55">
    <cfRule type="expression" priority="33" dxfId="0">
      <formula>AND($B6&lt;&gt;"",UPPER(AH6)&lt;&gt;"X",INDEX(rngWMdue,31)&lt;&gt;"",INDEX(rngWMdue,31)&lt;TODAY())</formula>
    </cfRule>
  </conditionalFormatting>
  <conditionalFormatting sqref="AI6:AI55">
    <cfRule type="expression" priority="34" dxfId="0">
      <formula>AND($B6&lt;&gt;"",UPPER(AI6)&lt;&gt;"X",INDEX(rngWMdue,32)&lt;&gt;"",INDEX(rngWMdue,32)&lt;TODAY())</formula>
    </cfRule>
  </conditionalFormatting>
  <conditionalFormatting sqref="AJ6:AJ55">
    <cfRule type="expression" priority="35" dxfId="0">
      <formula>AND($B6&lt;&gt;"",UPPER(AJ6)&lt;&gt;"X",INDEX(rngWMdue,33)&lt;&gt;"",INDEX(rngWMdue,33)&lt;TODAY())</formula>
    </cfRule>
  </conditionalFormatting>
  <conditionalFormatting sqref="AK6:AK55">
    <cfRule type="expression" priority="36" dxfId="0">
      <formula>AND($B6&lt;&gt;"",UPPER(AK6)&lt;&gt;"X",INDEX(rngWMdue,34)&lt;&gt;"",INDEX(rngWMdue,34)&lt;TODAY())</formula>
    </cfRule>
  </conditionalFormatting>
  <conditionalFormatting sqref="AL6:AL55">
    <cfRule type="expression" priority="37" dxfId="0">
      <formula>AND($B6&lt;&gt;"",UPPER(AL6)&lt;&gt;"X",INDEX(rngWMdue,35)&lt;&gt;"",INDEX(rngWMdue,35)&lt;TODAY())</formula>
    </cfRule>
  </conditionalFormatting>
  <conditionalFormatting sqref="AM6:AM55">
    <cfRule type="expression" priority="38" dxfId="0">
      <formula>AND($B6&lt;&gt;"",UPPER(AM6)&lt;&gt;"X",INDEX(rngWMdue,36)&lt;&gt;"",INDEX(rngWMdue,36)&lt;TODAY())</formula>
    </cfRule>
  </conditionalFormatting>
  <conditionalFormatting sqref="AN6:AN55">
    <cfRule type="expression" priority="39" dxfId="0">
      <formula>AND($B6&lt;&gt;"",UPPER(AN6)&lt;&gt;"X",INDEX(rngWMdue,37)&lt;&gt;"",INDEX(rngWMdue,37)&lt;TODAY())</formula>
    </cfRule>
  </conditionalFormatting>
  <conditionalFormatting sqref="AO6:AO55">
    <cfRule type="expression" priority="40" dxfId="0">
      <formula>AND($B6&lt;&gt;"",UPPER(AO6)&lt;&gt;"X",INDEX(rngWMdue,38)&lt;&gt;"",INDEX(rngWMdue,38)&lt;TODAY())</formula>
    </cfRule>
  </conditionalFormatting>
  <conditionalFormatting sqref="AP6:AP55">
    <cfRule type="expression" priority="41" dxfId="0">
      <formula>AND($B6&lt;&gt;"",UPPER(AP6)&lt;&gt;"X",INDEX(rngWMdue,39)&lt;&gt;"",INDEX(rngWMdue,39)&lt;TODAY())</formula>
    </cfRule>
  </conditionalFormatting>
  <conditionalFormatting sqref="AQ6:AQ55">
    <cfRule type="expression" priority="42" dxfId="0">
      <formula>AND($B6&lt;&gt;"",UPPER(AQ6)&lt;&gt;"X",INDEX(rngWMdue,40)&lt;&gt;"",INDEX(rngWMdue,40)&lt;TODAY())</formula>
    </cfRule>
  </conditionalFormatting>
  <conditionalFormatting sqref="B6:AU55">
    <cfRule type="expression" priority="43" dxfId="1">
      <formula>AND(Cadets!$B6&lt;&gt;"",Cadets!$I6&lt;&gt;"Active")</formula>
    </cfRule>
  </conditionalFormatting>
  <dataValidations count="1">
    <dataValidation sqref="D6:AQ55" showDropDown="0" showInputMessage="0" showErrorMessage="1" allowBlank="1" type="list">
      <formula1>"X,x"</formula1>
    </dataValidation>
  </dataValidations>
  <pageMargins left="0.75" right="0.75" top="1" bottom="1" header="0.5" footer="0.5"/>
</worksheet>
</file>

<file path=xl/worksheets/sheet13.xml><?xml version="1.0" encoding="utf-8"?>
<worksheet xmlns="http://schemas.openxmlformats.org/spreadsheetml/2006/main">
  <sheetPr>
    <tabColor rgb="002E75B6"/>
    <outlinePr summaryBelow="1" summaryRight="1"/>
    <pageSetUpPr/>
  </sheetPr>
  <dimension ref="B1:O405"/>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11" customWidth="1" min="3" max="3"/>
    <col width="22" customWidth="1" min="4" max="4"/>
    <col width="9" customWidth="1" min="5" max="5"/>
    <col width="13" customWidth="1" min="6" max="6"/>
    <col width="13" customWidth="1" min="7" max="7"/>
    <col width="14" customWidth="1" min="8" max="8"/>
    <col width="44" customWidth="1" min="9" max="9"/>
    <col width="14" customWidth="1" min="10" max="10"/>
    <col width="12" customWidth="1" min="11" max="11"/>
    <col width="11" customWidth="1" min="12" max="12"/>
    <col width="11" customWidth="1" min="13" max="13"/>
    <col width="26" customWidth="1" min="14" max="14"/>
    <col width="15" customWidth="1" min="15" max="15"/>
  </cols>
  <sheetData>
    <row r="1">
      <c r="B1" s="10">
        <f>HYPERLINK("#Dashboard!B5","◄ Dashboard")</f>
        <v/>
      </c>
    </row>
    <row r="4">
      <c r="B4" s="11" t="inlineStr">
        <is>
          <t>Positive and negative incidents. Negative Major/Critical trigger chain-of-command review (policy 600). 'Report to Agency?' = Yes includes it in that agency's next email digest; blank keeps it an academy teaching moment.</t>
        </is>
      </c>
    </row>
    <row r="5" ht="26" customHeight="1">
      <c r="B5" s="12" t="inlineStr">
        <is>
          <t>IncidentID</t>
        </is>
      </c>
      <c r="C5" s="12" t="inlineStr">
        <is>
          <t>Date</t>
        </is>
      </c>
      <c r="D5" s="12" t="inlineStr">
        <is>
          <t>Cadet Name</t>
        </is>
      </c>
      <c r="E5" s="12" t="inlineStr">
        <is>
          <t>PID</t>
        </is>
      </c>
      <c r="F5" s="12" t="inlineStr">
        <is>
          <t>Direction</t>
        </is>
      </c>
      <c r="G5" s="12" t="inlineStr">
        <is>
          <t>Severity</t>
        </is>
      </c>
      <c r="H5" s="12" t="inlineStr">
        <is>
          <t>Category</t>
        </is>
      </c>
      <c r="I5" s="12" t="inlineStr">
        <is>
          <t>Description</t>
        </is>
      </c>
      <c r="J5" s="12" t="inlineStr">
        <is>
          <t>Reported By</t>
        </is>
      </c>
      <c r="K5" s="12" t="inlineStr">
        <is>
          <t>Doc Ref</t>
        </is>
      </c>
      <c r="L5" s="12" t="inlineStr">
        <is>
          <t>ChainReview</t>
        </is>
      </c>
      <c r="M5" s="12" t="inlineStr">
        <is>
          <t>Resolution</t>
        </is>
      </c>
      <c r="N5" s="12" t="inlineStr">
        <is>
          <t>Notes</t>
        </is>
      </c>
      <c r="O5" s="12" t="inlineStr">
        <is>
          <t>Report to Agency?</t>
        </is>
      </c>
    </row>
    <row r="6">
      <c r="B6" s="17">
        <f>IF($D6="","","I"&amp;TEXT(ROW()-5,"000"))</f>
        <v/>
      </c>
      <c r="C6" s="18" t="n"/>
      <c r="D6" s="16" t="n"/>
      <c r="E6" s="17">
        <f>IF($D6="","",IFERROR(INDEX(rngCadetPIDs,MATCH($D6,rngCadetNames,0)),"?"))</f>
        <v/>
      </c>
      <c r="F6" s="16" t="n"/>
      <c r="G6" s="16" t="n"/>
      <c r="H6" s="16" t="n"/>
      <c r="I6" s="16" t="n"/>
      <c r="J6" s="16" t="n"/>
      <c r="K6" s="16" t="n"/>
      <c r="L6" s="17">
        <f>IF($D6="","",IF(AND($F6="Negative",OR($G6="Critical",$G6="Major")),"Yes","No"))</f>
        <v/>
      </c>
      <c r="M6" s="16" t="n"/>
      <c r="N6" s="16" t="n"/>
      <c r="O6" s="16" t="n"/>
    </row>
    <row r="7">
      <c r="B7" s="17">
        <f>IF($D7="","","I"&amp;TEXT(ROW()-5,"000"))</f>
        <v/>
      </c>
      <c r="C7" s="18" t="n"/>
      <c r="D7" s="16" t="n"/>
      <c r="E7" s="17">
        <f>IF($D7="","",IFERROR(INDEX(rngCadetPIDs,MATCH($D7,rngCadetNames,0)),"?"))</f>
        <v/>
      </c>
      <c r="F7" s="16" t="n"/>
      <c r="G7" s="16" t="n"/>
      <c r="H7" s="16" t="n"/>
      <c r="I7" s="16" t="n"/>
      <c r="J7" s="16" t="n"/>
      <c r="K7" s="16" t="n"/>
      <c r="L7" s="17">
        <f>IF($D7="","",IF(AND($F7="Negative",OR($G7="Critical",$G7="Major")),"Yes","No"))</f>
        <v/>
      </c>
      <c r="M7" s="16" t="n"/>
      <c r="N7" s="16" t="n"/>
      <c r="O7" s="16" t="n"/>
    </row>
    <row r="8">
      <c r="B8" s="17">
        <f>IF($D8="","","I"&amp;TEXT(ROW()-5,"000"))</f>
        <v/>
      </c>
      <c r="C8" s="18" t="n"/>
      <c r="D8" s="16" t="n"/>
      <c r="E8" s="17">
        <f>IF($D8="","",IFERROR(INDEX(rngCadetPIDs,MATCH($D8,rngCadetNames,0)),"?"))</f>
        <v/>
      </c>
      <c r="F8" s="16" t="n"/>
      <c r="G8" s="16" t="n"/>
      <c r="H8" s="16" t="n"/>
      <c r="I8" s="16" t="n"/>
      <c r="J8" s="16" t="n"/>
      <c r="K8" s="16" t="n"/>
      <c r="L8" s="17">
        <f>IF($D8="","",IF(AND($F8="Negative",OR($G8="Critical",$G8="Major")),"Yes","No"))</f>
        <v/>
      </c>
      <c r="M8" s="16" t="n"/>
      <c r="N8" s="16" t="n"/>
      <c r="O8" s="16" t="n"/>
    </row>
    <row r="9">
      <c r="B9" s="17">
        <f>IF($D9="","","I"&amp;TEXT(ROW()-5,"000"))</f>
        <v/>
      </c>
      <c r="C9" s="18" t="n"/>
      <c r="D9" s="16" t="n"/>
      <c r="E9" s="17">
        <f>IF($D9="","",IFERROR(INDEX(rngCadetPIDs,MATCH($D9,rngCadetNames,0)),"?"))</f>
        <v/>
      </c>
      <c r="F9" s="16" t="n"/>
      <c r="G9" s="16" t="n"/>
      <c r="H9" s="16" t="n"/>
      <c r="I9" s="16" t="n"/>
      <c r="J9" s="16" t="n"/>
      <c r="K9" s="16" t="n"/>
      <c r="L9" s="17">
        <f>IF($D9="","",IF(AND($F9="Negative",OR($G9="Critical",$G9="Major")),"Yes","No"))</f>
        <v/>
      </c>
      <c r="M9" s="16" t="n"/>
      <c r="N9" s="16" t="n"/>
      <c r="O9" s="16" t="n"/>
    </row>
    <row r="10">
      <c r="B10" s="17">
        <f>IF($D10="","","I"&amp;TEXT(ROW()-5,"000"))</f>
        <v/>
      </c>
      <c r="C10" s="18" t="n"/>
      <c r="D10" s="16" t="n"/>
      <c r="E10" s="17">
        <f>IF($D10="","",IFERROR(INDEX(rngCadetPIDs,MATCH($D10,rngCadetNames,0)),"?"))</f>
        <v/>
      </c>
      <c r="F10" s="16" t="n"/>
      <c r="G10" s="16" t="n"/>
      <c r="H10" s="16" t="n"/>
      <c r="I10" s="16" t="n"/>
      <c r="J10" s="16" t="n"/>
      <c r="K10" s="16" t="n"/>
      <c r="L10" s="17">
        <f>IF($D10="","",IF(AND($F10="Negative",OR($G10="Critical",$G10="Major")),"Yes","No"))</f>
        <v/>
      </c>
      <c r="M10" s="16" t="n"/>
      <c r="N10" s="16" t="n"/>
      <c r="O10" s="16" t="n"/>
    </row>
    <row r="11">
      <c r="B11" s="17">
        <f>IF($D11="","","I"&amp;TEXT(ROW()-5,"000"))</f>
        <v/>
      </c>
      <c r="C11" s="18" t="n"/>
      <c r="D11" s="16" t="n"/>
      <c r="E11" s="17">
        <f>IF($D11="","",IFERROR(INDEX(rngCadetPIDs,MATCH($D11,rngCadetNames,0)),"?"))</f>
        <v/>
      </c>
      <c r="F11" s="16" t="n"/>
      <c r="G11" s="16" t="n"/>
      <c r="H11" s="16" t="n"/>
      <c r="I11" s="16" t="n"/>
      <c r="J11" s="16" t="n"/>
      <c r="K11" s="16" t="n"/>
      <c r="L11" s="17">
        <f>IF($D11="","",IF(AND($F11="Negative",OR($G11="Critical",$G11="Major")),"Yes","No"))</f>
        <v/>
      </c>
      <c r="M11" s="16" t="n"/>
      <c r="N11" s="16" t="n"/>
      <c r="O11" s="16" t="n"/>
    </row>
    <row r="12">
      <c r="B12" s="17">
        <f>IF($D12="","","I"&amp;TEXT(ROW()-5,"000"))</f>
        <v/>
      </c>
      <c r="C12" s="18" t="n"/>
      <c r="D12" s="16" t="n"/>
      <c r="E12" s="17">
        <f>IF($D12="","",IFERROR(INDEX(rngCadetPIDs,MATCH($D12,rngCadetNames,0)),"?"))</f>
        <v/>
      </c>
      <c r="F12" s="16" t="n"/>
      <c r="G12" s="16" t="n"/>
      <c r="H12" s="16" t="n"/>
      <c r="I12" s="16" t="n"/>
      <c r="J12" s="16" t="n"/>
      <c r="K12" s="16" t="n"/>
      <c r="L12" s="17">
        <f>IF($D12="","",IF(AND($F12="Negative",OR($G12="Critical",$G12="Major")),"Yes","No"))</f>
        <v/>
      </c>
      <c r="M12" s="16" t="n"/>
      <c r="N12" s="16" t="n"/>
      <c r="O12" s="16" t="n"/>
    </row>
    <row r="13">
      <c r="B13" s="17">
        <f>IF($D13="","","I"&amp;TEXT(ROW()-5,"000"))</f>
        <v/>
      </c>
      <c r="C13" s="18" t="n"/>
      <c r="D13" s="16" t="n"/>
      <c r="E13" s="17">
        <f>IF($D13="","",IFERROR(INDEX(rngCadetPIDs,MATCH($D13,rngCadetNames,0)),"?"))</f>
        <v/>
      </c>
      <c r="F13" s="16" t="n"/>
      <c r="G13" s="16" t="n"/>
      <c r="H13" s="16" t="n"/>
      <c r="I13" s="16" t="n"/>
      <c r="J13" s="16" t="n"/>
      <c r="K13" s="16" t="n"/>
      <c r="L13" s="17">
        <f>IF($D13="","",IF(AND($F13="Negative",OR($G13="Critical",$G13="Major")),"Yes","No"))</f>
        <v/>
      </c>
      <c r="M13" s="16" t="n"/>
      <c r="N13" s="16" t="n"/>
      <c r="O13" s="16" t="n"/>
    </row>
    <row r="14">
      <c r="B14" s="17">
        <f>IF($D14="","","I"&amp;TEXT(ROW()-5,"000"))</f>
        <v/>
      </c>
      <c r="C14" s="18" t="n"/>
      <c r="D14" s="16" t="n"/>
      <c r="E14" s="17">
        <f>IF($D14="","",IFERROR(INDEX(rngCadetPIDs,MATCH($D14,rngCadetNames,0)),"?"))</f>
        <v/>
      </c>
      <c r="F14" s="16" t="n"/>
      <c r="G14" s="16" t="n"/>
      <c r="H14" s="16" t="n"/>
      <c r="I14" s="16" t="n"/>
      <c r="J14" s="16" t="n"/>
      <c r="K14" s="16" t="n"/>
      <c r="L14" s="17">
        <f>IF($D14="","",IF(AND($F14="Negative",OR($G14="Critical",$G14="Major")),"Yes","No"))</f>
        <v/>
      </c>
      <c r="M14" s="16" t="n"/>
      <c r="N14" s="16" t="n"/>
      <c r="O14" s="16" t="n"/>
    </row>
    <row r="15">
      <c r="B15" s="17">
        <f>IF($D15="","","I"&amp;TEXT(ROW()-5,"000"))</f>
        <v/>
      </c>
      <c r="C15" s="18" t="n"/>
      <c r="D15" s="16" t="n"/>
      <c r="E15" s="17">
        <f>IF($D15="","",IFERROR(INDEX(rngCadetPIDs,MATCH($D15,rngCadetNames,0)),"?"))</f>
        <v/>
      </c>
      <c r="F15" s="16" t="n"/>
      <c r="G15" s="16" t="n"/>
      <c r="H15" s="16" t="n"/>
      <c r="I15" s="16" t="n"/>
      <c r="J15" s="16" t="n"/>
      <c r="K15" s="16" t="n"/>
      <c r="L15" s="17">
        <f>IF($D15="","",IF(AND($F15="Negative",OR($G15="Critical",$G15="Major")),"Yes","No"))</f>
        <v/>
      </c>
      <c r="M15" s="16" t="n"/>
      <c r="N15" s="16" t="n"/>
      <c r="O15" s="16" t="n"/>
    </row>
    <row r="16">
      <c r="B16" s="17">
        <f>IF($D16="","","I"&amp;TEXT(ROW()-5,"000"))</f>
        <v/>
      </c>
      <c r="C16" s="18" t="n"/>
      <c r="D16" s="16" t="n"/>
      <c r="E16" s="17">
        <f>IF($D16="","",IFERROR(INDEX(rngCadetPIDs,MATCH($D16,rngCadetNames,0)),"?"))</f>
        <v/>
      </c>
      <c r="F16" s="16" t="n"/>
      <c r="G16" s="16" t="n"/>
      <c r="H16" s="16" t="n"/>
      <c r="I16" s="16" t="n"/>
      <c r="J16" s="16" t="n"/>
      <c r="K16" s="16" t="n"/>
      <c r="L16" s="17">
        <f>IF($D16="","",IF(AND($F16="Negative",OR($G16="Critical",$G16="Major")),"Yes","No"))</f>
        <v/>
      </c>
      <c r="M16" s="16" t="n"/>
      <c r="N16" s="16" t="n"/>
      <c r="O16" s="16" t="n"/>
    </row>
    <row r="17">
      <c r="B17" s="17">
        <f>IF($D17="","","I"&amp;TEXT(ROW()-5,"000"))</f>
        <v/>
      </c>
      <c r="C17" s="18" t="n"/>
      <c r="D17" s="16" t="n"/>
      <c r="E17" s="17">
        <f>IF($D17="","",IFERROR(INDEX(rngCadetPIDs,MATCH($D17,rngCadetNames,0)),"?"))</f>
        <v/>
      </c>
      <c r="F17" s="16" t="n"/>
      <c r="G17" s="16" t="n"/>
      <c r="H17" s="16" t="n"/>
      <c r="I17" s="16" t="n"/>
      <c r="J17" s="16" t="n"/>
      <c r="K17" s="16" t="n"/>
      <c r="L17" s="17">
        <f>IF($D17="","",IF(AND($F17="Negative",OR($G17="Critical",$G17="Major")),"Yes","No"))</f>
        <v/>
      </c>
      <c r="M17" s="16" t="n"/>
      <c r="N17" s="16" t="n"/>
      <c r="O17" s="16" t="n"/>
    </row>
    <row r="18">
      <c r="B18" s="17">
        <f>IF($D18="","","I"&amp;TEXT(ROW()-5,"000"))</f>
        <v/>
      </c>
      <c r="C18" s="18" t="n"/>
      <c r="D18" s="16" t="n"/>
      <c r="E18" s="17">
        <f>IF($D18="","",IFERROR(INDEX(rngCadetPIDs,MATCH($D18,rngCadetNames,0)),"?"))</f>
        <v/>
      </c>
      <c r="F18" s="16" t="n"/>
      <c r="G18" s="16" t="n"/>
      <c r="H18" s="16" t="n"/>
      <c r="I18" s="16" t="n"/>
      <c r="J18" s="16" t="n"/>
      <c r="K18" s="16" t="n"/>
      <c r="L18" s="17">
        <f>IF($D18="","",IF(AND($F18="Negative",OR($G18="Critical",$G18="Major")),"Yes","No"))</f>
        <v/>
      </c>
      <c r="M18" s="16" t="n"/>
      <c r="N18" s="16" t="n"/>
      <c r="O18" s="16" t="n"/>
    </row>
    <row r="19">
      <c r="B19" s="17">
        <f>IF($D19="","","I"&amp;TEXT(ROW()-5,"000"))</f>
        <v/>
      </c>
      <c r="C19" s="18" t="n"/>
      <c r="D19" s="16" t="n"/>
      <c r="E19" s="17">
        <f>IF($D19="","",IFERROR(INDEX(rngCadetPIDs,MATCH($D19,rngCadetNames,0)),"?"))</f>
        <v/>
      </c>
      <c r="F19" s="16" t="n"/>
      <c r="G19" s="16" t="n"/>
      <c r="H19" s="16" t="n"/>
      <c r="I19" s="16" t="n"/>
      <c r="J19" s="16" t="n"/>
      <c r="K19" s="16" t="n"/>
      <c r="L19" s="17">
        <f>IF($D19="","",IF(AND($F19="Negative",OR($G19="Critical",$G19="Major")),"Yes","No"))</f>
        <v/>
      </c>
      <c r="M19" s="16" t="n"/>
      <c r="N19" s="16" t="n"/>
      <c r="O19" s="16" t="n"/>
    </row>
    <row r="20">
      <c r="B20" s="17">
        <f>IF($D20="","","I"&amp;TEXT(ROW()-5,"000"))</f>
        <v/>
      </c>
      <c r="C20" s="18" t="n"/>
      <c r="D20" s="16" t="n"/>
      <c r="E20" s="17">
        <f>IF($D20="","",IFERROR(INDEX(rngCadetPIDs,MATCH($D20,rngCadetNames,0)),"?"))</f>
        <v/>
      </c>
      <c r="F20" s="16" t="n"/>
      <c r="G20" s="16" t="n"/>
      <c r="H20" s="16" t="n"/>
      <c r="I20" s="16" t="n"/>
      <c r="J20" s="16" t="n"/>
      <c r="K20" s="16" t="n"/>
      <c r="L20" s="17">
        <f>IF($D20="","",IF(AND($F20="Negative",OR($G20="Critical",$G20="Major")),"Yes","No"))</f>
        <v/>
      </c>
      <c r="M20" s="16" t="n"/>
      <c r="N20" s="16" t="n"/>
      <c r="O20" s="16" t="n"/>
    </row>
    <row r="21">
      <c r="B21" s="17">
        <f>IF($D21="","","I"&amp;TEXT(ROW()-5,"000"))</f>
        <v/>
      </c>
      <c r="C21" s="18" t="n"/>
      <c r="D21" s="16" t="n"/>
      <c r="E21" s="17">
        <f>IF($D21="","",IFERROR(INDEX(rngCadetPIDs,MATCH($D21,rngCadetNames,0)),"?"))</f>
        <v/>
      </c>
      <c r="F21" s="16" t="n"/>
      <c r="G21" s="16" t="n"/>
      <c r="H21" s="16" t="n"/>
      <c r="I21" s="16" t="n"/>
      <c r="J21" s="16" t="n"/>
      <c r="K21" s="16" t="n"/>
      <c r="L21" s="17">
        <f>IF($D21="","",IF(AND($F21="Negative",OR($G21="Critical",$G21="Major")),"Yes","No"))</f>
        <v/>
      </c>
      <c r="M21" s="16" t="n"/>
      <c r="N21" s="16" t="n"/>
      <c r="O21" s="16" t="n"/>
    </row>
    <row r="22">
      <c r="B22" s="17">
        <f>IF($D22="","","I"&amp;TEXT(ROW()-5,"000"))</f>
        <v/>
      </c>
      <c r="C22" s="18" t="n"/>
      <c r="D22" s="16" t="n"/>
      <c r="E22" s="17">
        <f>IF($D22="","",IFERROR(INDEX(rngCadetPIDs,MATCH($D22,rngCadetNames,0)),"?"))</f>
        <v/>
      </c>
      <c r="F22" s="16" t="n"/>
      <c r="G22" s="16" t="n"/>
      <c r="H22" s="16" t="n"/>
      <c r="I22" s="16" t="n"/>
      <c r="J22" s="16" t="n"/>
      <c r="K22" s="16" t="n"/>
      <c r="L22" s="17">
        <f>IF($D22="","",IF(AND($F22="Negative",OR($G22="Critical",$G22="Major")),"Yes","No"))</f>
        <v/>
      </c>
      <c r="M22" s="16" t="n"/>
      <c r="N22" s="16" t="n"/>
      <c r="O22" s="16" t="n"/>
    </row>
    <row r="23">
      <c r="B23" s="17">
        <f>IF($D23="","","I"&amp;TEXT(ROW()-5,"000"))</f>
        <v/>
      </c>
      <c r="C23" s="18" t="n"/>
      <c r="D23" s="16" t="n"/>
      <c r="E23" s="17">
        <f>IF($D23="","",IFERROR(INDEX(rngCadetPIDs,MATCH($D23,rngCadetNames,0)),"?"))</f>
        <v/>
      </c>
      <c r="F23" s="16" t="n"/>
      <c r="G23" s="16" t="n"/>
      <c r="H23" s="16" t="n"/>
      <c r="I23" s="16" t="n"/>
      <c r="J23" s="16" t="n"/>
      <c r="K23" s="16" t="n"/>
      <c r="L23" s="17">
        <f>IF($D23="","",IF(AND($F23="Negative",OR($G23="Critical",$G23="Major")),"Yes","No"))</f>
        <v/>
      </c>
      <c r="M23" s="16" t="n"/>
      <c r="N23" s="16" t="n"/>
      <c r="O23" s="16" t="n"/>
    </row>
    <row r="24">
      <c r="B24" s="17">
        <f>IF($D24="","","I"&amp;TEXT(ROW()-5,"000"))</f>
        <v/>
      </c>
      <c r="C24" s="18" t="n"/>
      <c r="D24" s="16" t="n"/>
      <c r="E24" s="17">
        <f>IF($D24="","",IFERROR(INDEX(rngCadetPIDs,MATCH($D24,rngCadetNames,0)),"?"))</f>
        <v/>
      </c>
      <c r="F24" s="16" t="n"/>
      <c r="G24" s="16" t="n"/>
      <c r="H24" s="16" t="n"/>
      <c r="I24" s="16" t="n"/>
      <c r="J24" s="16" t="n"/>
      <c r="K24" s="16" t="n"/>
      <c r="L24" s="17">
        <f>IF($D24="","",IF(AND($F24="Negative",OR($G24="Critical",$G24="Major")),"Yes","No"))</f>
        <v/>
      </c>
      <c r="M24" s="16" t="n"/>
      <c r="N24" s="16" t="n"/>
      <c r="O24" s="16" t="n"/>
    </row>
    <row r="25">
      <c r="B25" s="17">
        <f>IF($D25="","","I"&amp;TEXT(ROW()-5,"000"))</f>
        <v/>
      </c>
      <c r="C25" s="18" t="n"/>
      <c r="D25" s="16" t="n"/>
      <c r="E25" s="17">
        <f>IF($D25="","",IFERROR(INDEX(rngCadetPIDs,MATCH($D25,rngCadetNames,0)),"?"))</f>
        <v/>
      </c>
      <c r="F25" s="16" t="n"/>
      <c r="G25" s="16" t="n"/>
      <c r="H25" s="16" t="n"/>
      <c r="I25" s="16" t="n"/>
      <c r="J25" s="16" t="n"/>
      <c r="K25" s="16" t="n"/>
      <c r="L25" s="17">
        <f>IF($D25="","",IF(AND($F25="Negative",OR($G25="Critical",$G25="Major")),"Yes","No"))</f>
        <v/>
      </c>
      <c r="M25" s="16" t="n"/>
      <c r="N25" s="16" t="n"/>
      <c r="O25" s="16" t="n"/>
    </row>
    <row r="26">
      <c r="B26" s="17">
        <f>IF($D26="","","I"&amp;TEXT(ROW()-5,"000"))</f>
        <v/>
      </c>
      <c r="C26" s="18" t="n"/>
      <c r="D26" s="16" t="n"/>
      <c r="E26" s="17">
        <f>IF($D26="","",IFERROR(INDEX(rngCadetPIDs,MATCH($D26,rngCadetNames,0)),"?"))</f>
        <v/>
      </c>
      <c r="F26" s="16" t="n"/>
      <c r="G26" s="16" t="n"/>
      <c r="H26" s="16" t="n"/>
      <c r="I26" s="16" t="n"/>
      <c r="J26" s="16" t="n"/>
      <c r="K26" s="16" t="n"/>
      <c r="L26" s="17">
        <f>IF($D26="","",IF(AND($F26="Negative",OR($G26="Critical",$G26="Major")),"Yes","No"))</f>
        <v/>
      </c>
      <c r="M26" s="16" t="n"/>
      <c r="N26" s="16" t="n"/>
      <c r="O26" s="16" t="n"/>
    </row>
    <row r="27">
      <c r="B27" s="17">
        <f>IF($D27="","","I"&amp;TEXT(ROW()-5,"000"))</f>
        <v/>
      </c>
      <c r="C27" s="18" t="n"/>
      <c r="D27" s="16" t="n"/>
      <c r="E27" s="17">
        <f>IF($D27="","",IFERROR(INDEX(rngCadetPIDs,MATCH($D27,rngCadetNames,0)),"?"))</f>
        <v/>
      </c>
      <c r="F27" s="16" t="n"/>
      <c r="G27" s="16" t="n"/>
      <c r="H27" s="16" t="n"/>
      <c r="I27" s="16" t="n"/>
      <c r="J27" s="16" t="n"/>
      <c r="K27" s="16" t="n"/>
      <c r="L27" s="17">
        <f>IF($D27="","",IF(AND($F27="Negative",OR($G27="Critical",$G27="Major")),"Yes","No"))</f>
        <v/>
      </c>
      <c r="M27" s="16" t="n"/>
      <c r="N27" s="16" t="n"/>
      <c r="O27" s="16" t="n"/>
    </row>
    <row r="28">
      <c r="B28" s="17">
        <f>IF($D28="","","I"&amp;TEXT(ROW()-5,"000"))</f>
        <v/>
      </c>
      <c r="C28" s="18" t="n"/>
      <c r="D28" s="16" t="n"/>
      <c r="E28" s="17">
        <f>IF($D28="","",IFERROR(INDEX(rngCadetPIDs,MATCH($D28,rngCadetNames,0)),"?"))</f>
        <v/>
      </c>
      <c r="F28" s="16" t="n"/>
      <c r="G28" s="16" t="n"/>
      <c r="H28" s="16" t="n"/>
      <c r="I28" s="16" t="n"/>
      <c r="J28" s="16" t="n"/>
      <c r="K28" s="16" t="n"/>
      <c r="L28" s="17">
        <f>IF($D28="","",IF(AND($F28="Negative",OR($G28="Critical",$G28="Major")),"Yes","No"))</f>
        <v/>
      </c>
      <c r="M28" s="16" t="n"/>
      <c r="N28" s="16" t="n"/>
      <c r="O28" s="16" t="n"/>
    </row>
    <row r="29">
      <c r="B29" s="17">
        <f>IF($D29="","","I"&amp;TEXT(ROW()-5,"000"))</f>
        <v/>
      </c>
      <c r="C29" s="18" t="n"/>
      <c r="D29" s="16" t="n"/>
      <c r="E29" s="17">
        <f>IF($D29="","",IFERROR(INDEX(rngCadetPIDs,MATCH($D29,rngCadetNames,0)),"?"))</f>
        <v/>
      </c>
      <c r="F29" s="16" t="n"/>
      <c r="G29" s="16" t="n"/>
      <c r="H29" s="16" t="n"/>
      <c r="I29" s="16" t="n"/>
      <c r="J29" s="16" t="n"/>
      <c r="K29" s="16" t="n"/>
      <c r="L29" s="17">
        <f>IF($D29="","",IF(AND($F29="Negative",OR($G29="Critical",$G29="Major")),"Yes","No"))</f>
        <v/>
      </c>
      <c r="M29" s="16" t="n"/>
      <c r="N29" s="16" t="n"/>
      <c r="O29" s="16" t="n"/>
    </row>
    <row r="30">
      <c r="B30" s="17">
        <f>IF($D30="","","I"&amp;TEXT(ROW()-5,"000"))</f>
        <v/>
      </c>
      <c r="C30" s="18" t="n"/>
      <c r="D30" s="16" t="n"/>
      <c r="E30" s="17">
        <f>IF($D30="","",IFERROR(INDEX(rngCadetPIDs,MATCH($D30,rngCadetNames,0)),"?"))</f>
        <v/>
      </c>
      <c r="F30" s="16" t="n"/>
      <c r="G30" s="16" t="n"/>
      <c r="H30" s="16" t="n"/>
      <c r="I30" s="16" t="n"/>
      <c r="J30" s="16" t="n"/>
      <c r="K30" s="16" t="n"/>
      <c r="L30" s="17">
        <f>IF($D30="","",IF(AND($F30="Negative",OR($G30="Critical",$G30="Major")),"Yes","No"))</f>
        <v/>
      </c>
      <c r="M30" s="16" t="n"/>
      <c r="N30" s="16" t="n"/>
      <c r="O30" s="16" t="n"/>
    </row>
    <row r="31">
      <c r="B31" s="17">
        <f>IF($D31="","","I"&amp;TEXT(ROW()-5,"000"))</f>
        <v/>
      </c>
      <c r="C31" s="18" t="n"/>
      <c r="D31" s="16" t="n"/>
      <c r="E31" s="17">
        <f>IF($D31="","",IFERROR(INDEX(rngCadetPIDs,MATCH($D31,rngCadetNames,0)),"?"))</f>
        <v/>
      </c>
      <c r="F31" s="16" t="n"/>
      <c r="G31" s="16" t="n"/>
      <c r="H31" s="16" t="n"/>
      <c r="I31" s="16" t="n"/>
      <c r="J31" s="16" t="n"/>
      <c r="K31" s="16" t="n"/>
      <c r="L31" s="17">
        <f>IF($D31="","",IF(AND($F31="Negative",OR($G31="Critical",$G31="Major")),"Yes","No"))</f>
        <v/>
      </c>
      <c r="M31" s="16" t="n"/>
      <c r="N31" s="16" t="n"/>
      <c r="O31" s="16" t="n"/>
    </row>
    <row r="32">
      <c r="B32" s="17">
        <f>IF($D32="","","I"&amp;TEXT(ROW()-5,"000"))</f>
        <v/>
      </c>
      <c r="C32" s="18" t="n"/>
      <c r="D32" s="16" t="n"/>
      <c r="E32" s="17">
        <f>IF($D32="","",IFERROR(INDEX(rngCadetPIDs,MATCH($D32,rngCadetNames,0)),"?"))</f>
        <v/>
      </c>
      <c r="F32" s="16" t="n"/>
      <c r="G32" s="16" t="n"/>
      <c r="H32" s="16" t="n"/>
      <c r="I32" s="16" t="n"/>
      <c r="J32" s="16" t="n"/>
      <c r="K32" s="16" t="n"/>
      <c r="L32" s="17">
        <f>IF($D32="","",IF(AND($F32="Negative",OR($G32="Critical",$G32="Major")),"Yes","No"))</f>
        <v/>
      </c>
      <c r="M32" s="16" t="n"/>
      <c r="N32" s="16" t="n"/>
      <c r="O32" s="16" t="n"/>
    </row>
    <row r="33">
      <c r="B33" s="17">
        <f>IF($D33="","","I"&amp;TEXT(ROW()-5,"000"))</f>
        <v/>
      </c>
      <c r="C33" s="18" t="n"/>
      <c r="D33" s="16" t="n"/>
      <c r="E33" s="17">
        <f>IF($D33="","",IFERROR(INDEX(rngCadetPIDs,MATCH($D33,rngCadetNames,0)),"?"))</f>
        <v/>
      </c>
      <c r="F33" s="16" t="n"/>
      <c r="G33" s="16" t="n"/>
      <c r="H33" s="16" t="n"/>
      <c r="I33" s="16" t="n"/>
      <c r="J33" s="16" t="n"/>
      <c r="K33" s="16" t="n"/>
      <c r="L33" s="17">
        <f>IF($D33="","",IF(AND($F33="Negative",OR($G33="Critical",$G33="Major")),"Yes","No"))</f>
        <v/>
      </c>
      <c r="M33" s="16" t="n"/>
      <c r="N33" s="16" t="n"/>
      <c r="O33" s="16" t="n"/>
    </row>
    <row r="34">
      <c r="B34" s="17">
        <f>IF($D34="","","I"&amp;TEXT(ROW()-5,"000"))</f>
        <v/>
      </c>
      <c r="C34" s="18" t="n"/>
      <c r="D34" s="16" t="n"/>
      <c r="E34" s="17">
        <f>IF($D34="","",IFERROR(INDEX(rngCadetPIDs,MATCH($D34,rngCadetNames,0)),"?"))</f>
        <v/>
      </c>
      <c r="F34" s="16" t="n"/>
      <c r="G34" s="16" t="n"/>
      <c r="H34" s="16" t="n"/>
      <c r="I34" s="16" t="n"/>
      <c r="J34" s="16" t="n"/>
      <c r="K34" s="16" t="n"/>
      <c r="L34" s="17">
        <f>IF($D34="","",IF(AND($F34="Negative",OR($G34="Critical",$G34="Major")),"Yes","No"))</f>
        <v/>
      </c>
      <c r="M34" s="16" t="n"/>
      <c r="N34" s="16" t="n"/>
      <c r="O34" s="16" t="n"/>
    </row>
    <row r="35">
      <c r="B35" s="17">
        <f>IF($D35="","","I"&amp;TEXT(ROW()-5,"000"))</f>
        <v/>
      </c>
      <c r="C35" s="18" t="n"/>
      <c r="D35" s="16" t="n"/>
      <c r="E35" s="17">
        <f>IF($D35="","",IFERROR(INDEX(rngCadetPIDs,MATCH($D35,rngCadetNames,0)),"?"))</f>
        <v/>
      </c>
      <c r="F35" s="16" t="n"/>
      <c r="G35" s="16" t="n"/>
      <c r="H35" s="16" t="n"/>
      <c r="I35" s="16" t="n"/>
      <c r="J35" s="16" t="n"/>
      <c r="K35" s="16" t="n"/>
      <c r="L35" s="17">
        <f>IF($D35="","",IF(AND($F35="Negative",OR($G35="Critical",$G35="Major")),"Yes","No"))</f>
        <v/>
      </c>
      <c r="M35" s="16" t="n"/>
      <c r="N35" s="16" t="n"/>
      <c r="O35" s="16" t="n"/>
    </row>
    <row r="36">
      <c r="B36" s="17">
        <f>IF($D36="","","I"&amp;TEXT(ROW()-5,"000"))</f>
        <v/>
      </c>
      <c r="C36" s="18" t="n"/>
      <c r="D36" s="16" t="n"/>
      <c r="E36" s="17">
        <f>IF($D36="","",IFERROR(INDEX(rngCadetPIDs,MATCH($D36,rngCadetNames,0)),"?"))</f>
        <v/>
      </c>
      <c r="F36" s="16" t="n"/>
      <c r="G36" s="16" t="n"/>
      <c r="H36" s="16" t="n"/>
      <c r="I36" s="16" t="n"/>
      <c r="J36" s="16" t="n"/>
      <c r="K36" s="16" t="n"/>
      <c r="L36" s="17">
        <f>IF($D36="","",IF(AND($F36="Negative",OR($G36="Critical",$G36="Major")),"Yes","No"))</f>
        <v/>
      </c>
      <c r="M36" s="16" t="n"/>
      <c r="N36" s="16" t="n"/>
      <c r="O36" s="16" t="n"/>
    </row>
    <row r="37">
      <c r="B37" s="17">
        <f>IF($D37="","","I"&amp;TEXT(ROW()-5,"000"))</f>
        <v/>
      </c>
      <c r="C37" s="18" t="n"/>
      <c r="D37" s="16" t="n"/>
      <c r="E37" s="17">
        <f>IF($D37="","",IFERROR(INDEX(rngCadetPIDs,MATCH($D37,rngCadetNames,0)),"?"))</f>
        <v/>
      </c>
      <c r="F37" s="16" t="n"/>
      <c r="G37" s="16" t="n"/>
      <c r="H37" s="16" t="n"/>
      <c r="I37" s="16" t="n"/>
      <c r="J37" s="16" t="n"/>
      <c r="K37" s="16" t="n"/>
      <c r="L37" s="17">
        <f>IF($D37="","",IF(AND($F37="Negative",OR($G37="Critical",$G37="Major")),"Yes","No"))</f>
        <v/>
      </c>
      <c r="M37" s="16" t="n"/>
      <c r="N37" s="16" t="n"/>
      <c r="O37" s="16" t="n"/>
    </row>
    <row r="38">
      <c r="B38" s="17">
        <f>IF($D38="","","I"&amp;TEXT(ROW()-5,"000"))</f>
        <v/>
      </c>
      <c r="C38" s="18" t="n"/>
      <c r="D38" s="16" t="n"/>
      <c r="E38" s="17">
        <f>IF($D38="","",IFERROR(INDEX(rngCadetPIDs,MATCH($D38,rngCadetNames,0)),"?"))</f>
        <v/>
      </c>
      <c r="F38" s="16" t="n"/>
      <c r="G38" s="16" t="n"/>
      <c r="H38" s="16" t="n"/>
      <c r="I38" s="16" t="n"/>
      <c r="J38" s="16" t="n"/>
      <c r="K38" s="16" t="n"/>
      <c r="L38" s="17">
        <f>IF($D38="","",IF(AND($F38="Negative",OR($G38="Critical",$G38="Major")),"Yes","No"))</f>
        <v/>
      </c>
      <c r="M38" s="16" t="n"/>
      <c r="N38" s="16" t="n"/>
      <c r="O38" s="16" t="n"/>
    </row>
    <row r="39">
      <c r="B39" s="17">
        <f>IF($D39="","","I"&amp;TEXT(ROW()-5,"000"))</f>
        <v/>
      </c>
      <c r="C39" s="18" t="n"/>
      <c r="D39" s="16" t="n"/>
      <c r="E39" s="17">
        <f>IF($D39="","",IFERROR(INDEX(rngCadetPIDs,MATCH($D39,rngCadetNames,0)),"?"))</f>
        <v/>
      </c>
      <c r="F39" s="16" t="n"/>
      <c r="G39" s="16" t="n"/>
      <c r="H39" s="16" t="n"/>
      <c r="I39" s="16" t="n"/>
      <c r="J39" s="16" t="n"/>
      <c r="K39" s="16" t="n"/>
      <c r="L39" s="17">
        <f>IF($D39="","",IF(AND($F39="Negative",OR($G39="Critical",$G39="Major")),"Yes","No"))</f>
        <v/>
      </c>
      <c r="M39" s="16" t="n"/>
      <c r="N39" s="16" t="n"/>
      <c r="O39" s="16" t="n"/>
    </row>
    <row r="40">
      <c r="B40" s="17">
        <f>IF($D40="","","I"&amp;TEXT(ROW()-5,"000"))</f>
        <v/>
      </c>
      <c r="C40" s="18" t="n"/>
      <c r="D40" s="16" t="n"/>
      <c r="E40" s="17">
        <f>IF($D40="","",IFERROR(INDEX(rngCadetPIDs,MATCH($D40,rngCadetNames,0)),"?"))</f>
        <v/>
      </c>
      <c r="F40" s="16" t="n"/>
      <c r="G40" s="16" t="n"/>
      <c r="H40" s="16" t="n"/>
      <c r="I40" s="16" t="n"/>
      <c r="J40" s="16" t="n"/>
      <c r="K40" s="16" t="n"/>
      <c r="L40" s="17">
        <f>IF($D40="","",IF(AND($F40="Negative",OR($G40="Critical",$G40="Major")),"Yes","No"))</f>
        <v/>
      </c>
      <c r="M40" s="16" t="n"/>
      <c r="N40" s="16" t="n"/>
      <c r="O40" s="16" t="n"/>
    </row>
    <row r="41">
      <c r="B41" s="17">
        <f>IF($D41="","","I"&amp;TEXT(ROW()-5,"000"))</f>
        <v/>
      </c>
      <c r="C41" s="18" t="n"/>
      <c r="D41" s="16" t="n"/>
      <c r="E41" s="17">
        <f>IF($D41="","",IFERROR(INDEX(rngCadetPIDs,MATCH($D41,rngCadetNames,0)),"?"))</f>
        <v/>
      </c>
      <c r="F41" s="16" t="n"/>
      <c r="G41" s="16" t="n"/>
      <c r="H41" s="16" t="n"/>
      <c r="I41" s="16" t="n"/>
      <c r="J41" s="16" t="n"/>
      <c r="K41" s="16" t="n"/>
      <c r="L41" s="17">
        <f>IF($D41="","",IF(AND($F41="Negative",OR($G41="Critical",$G41="Major")),"Yes","No"))</f>
        <v/>
      </c>
      <c r="M41" s="16" t="n"/>
      <c r="N41" s="16" t="n"/>
      <c r="O41" s="16" t="n"/>
    </row>
    <row r="42">
      <c r="B42" s="17">
        <f>IF($D42="","","I"&amp;TEXT(ROW()-5,"000"))</f>
        <v/>
      </c>
      <c r="C42" s="18" t="n"/>
      <c r="D42" s="16" t="n"/>
      <c r="E42" s="17">
        <f>IF($D42="","",IFERROR(INDEX(rngCadetPIDs,MATCH($D42,rngCadetNames,0)),"?"))</f>
        <v/>
      </c>
      <c r="F42" s="16" t="n"/>
      <c r="G42" s="16" t="n"/>
      <c r="H42" s="16" t="n"/>
      <c r="I42" s="16" t="n"/>
      <c r="J42" s="16" t="n"/>
      <c r="K42" s="16" t="n"/>
      <c r="L42" s="17">
        <f>IF($D42="","",IF(AND($F42="Negative",OR($G42="Critical",$G42="Major")),"Yes","No"))</f>
        <v/>
      </c>
      <c r="M42" s="16" t="n"/>
      <c r="N42" s="16" t="n"/>
      <c r="O42" s="16" t="n"/>
    </row>
    <row r="43">
      <c r="B43" s="17">
        <f>IF($D43="","","I"&amp;TEXT(ROW()-5,"000"))</f>
        <v/>
      </c>
      <c r="C43" s="18" t="n"/>
      <c r="D43" s="16" t="n"/>
      <c r="E43" s="17">
        <f>IF($D43="","",IFERROR(INDEX(rngCadetPIDs,MATCH($D43,rngCadetNames,0)),"?"))</f>
        <v/>
      </c>
      <c r="F43" s="16" t="n"/>
      <c r="G43" s="16" t="n"/>
      <c r="H43" s="16" t="n"/>
      <c r="I43" s="16" t="n"/>
      <c r="J43" s="16" t="n"/>
      <c r="K43" s="16" t="n"/>
      <c r="L43" s="17">
        <f>IF($D43="","",IF(AND($F43="Negative",OR($G43="Critical",$G43="Major")),"Yes","No"))</f>
        <v/>
      </c>
      <c r="M43" s="16" t="n"/>
      <c r="N43" s="16" t="n"/>
      <c r="O43" s="16" t="n"/>
    </row>
    <row r="44">
      <c r="B44" s="17">
        <f>IF($D44="","","I"&amp;TEXT(ROW()-5,"000"))</f>
        <v/>
      </c>
      <c r="C44" s="18" t="n"/>
      <c r="D44" s="16" t="n"/>
      <c r="E44" s="17">
        <f>IF($D44="","",IFERROR(INDEX(rngCadetPIDs,MATCH($D44,rngCadetNames,0)),"?"))</f>
        <v/>
      </c>
      <c r="F44" s="16" t="n"/>
      <c r="G44" s="16" t="n"/>
      <c r="H44" s="16" t="n"/>
      <c r="I44" s="16" t="n"/>
      <c r="J44" s="16" t="n"/>
      <c r="K44" s="16" t="n"/>
      <c r="L44" s="17">
        <f>IF($D44="","",IF(AND($F44="Negative",OR($G44="Critical",$G44="Major")),"Yes","No"))</f>
        <v/>
      </c>
      <c r="M44" s="16" t="n"/>
      <c r="N44" s="16" t="n"/>
      <c r="O44" s="16" t="n"/>
    </row>
    <row r="45">
      <c r="B45" s="17">
        <f>IF($D45="","","I"&amp;TEXT(ROW()-5,"000"))</f>
        <v/>
      </c>
      <c r="C45" s="18" t="n"/>
      <c r="D45" s="16" t="n"/>
      <c r="E45" s="17">
        <f>IF($D45="","",IFERROR(INDEX(rngCadetPIDs,MATCH($D45,rngCadetNames,0)),"?"))</f>
        <v/>
      </c>
      <c r="F45" s="16" t="n"/>
      <c r="G45" s="16" t="n"/>
      <c r="H45" s="16" t="n"/>
      <c r="I45" s="16" t="n"/>
      <c r="J45" s="16" t="n"/>
      <c r="K45" s="16" t="n"/>
      <c r="L45" s="17">
        <f>IF($D45="","",IF(AND($F45="Negative",OR($G45="Critical",$G45="Major")),"Yes","No"))</f>
        <v/>
      </c>
      <c r="M45" s="16" t="n"/>
      <c r="N45" s="16" t="n"/>
      <c r="O45" s="16" t="n"/>
    </row>
    <row r="46">
      <c r="B46" s="17">
        <f>IF($D46="","","I"&amp;TEXT(ROW()-5,"000"))</f>
        <v/>
      </c>
      <c r="C46" s="18" t="n"/>
      <c r="D46" s="16" t="n"/>
      <c r="E46" s="17">
        <f>IF($D46="","",IFERROR(INDEX(rngCadetPIDs,MATCH($D46,rngCadetNames,0)),"?"))</f>
        <v/>
      </c>
      <c r="F46" s="16" t="n"/>
      <c r="G46" s="16" t="n"/>
      <c r="H46" s="16" t="n"/>
      <c r="I46" s="16" t="n"/>
      <c r="J46" s="16" t="n"/>
      <c r="K46" s="16" t="n"/>
      <c r="L46" s="17">
        <f>IF($D46="","",IF(AND($F46="Negative",OR($G46="Critical",$G46="Major")),"Yes","No"))</f>
        <v/>
      </c>
      <c r="M46" s="16" t="n"/>
      <c r="N46" s="16" t="n"/>
      <c r="O46" s="16" t="n"/>
    </row>
    <row r="47">
      <c r="B47" s="17">
        <f>IF($D47="","","I"&amp;TEXT(ROW()-5,"000"))</f>
        <v/>
      </c>
      <c r="C47" s="18" t="n"/>
      <c r="D47" s="16" t="n"/>
      <c r="E47" s="17">
        <f>IF($D47="","",IFERROR(INDEX(rngCadetPIDs,MATCH($D47,rngCadetNames,0)),"?"))</f>
        <v/>
      </c>
      <c r="F47" s="16" t="n"/>
      <c r="G47" s="16" t="n"/>
      <c r="H47" s="16" t="n"/>
      <c r="I47" s="16" t="n"/>
      <c r="J47" s="16" t="n"/>
      <c r="K47" s="16" t="n"/>
      <c r="L47" s="17">
        <f>IF($D47="","",IF(AND($F47="Negative",OR($G47="Critical",$G47="Major")),"Yes","No"))</f>
        <v/>
      </c>
      <c r="M47" s="16" t="n"/>
      <c r="N47" s="16" t="n"/>
      <c r="O47" s="16" t="n"/>
    </row>
    <row r="48">
      <c r="B48" s="17">
        <f>IF($D48="","","I"&amp;TEXT(ROW()-5,"000"))</f>
        <v/>
      </c>
      <c r="C48" s="18" t="n"/>
      <c r="D48" s="16" t="n"/>
      <c r="E48" s="17">
        <f>IF($D48="","",IFERROR(INDEX(rngCadetPIDs,MATCH($D48,rngCadetNames,0)),"?"))</f>
        <v/>
      </c>
      <c r="F48" s="16" t="n"/>
      <c r="G48" s="16" t="n"/>
      <c r="H48" s="16" t="n"/>
      <c r="I48" s="16" t="n"/>
      <c r="J48" s="16" t="n"/>
      <c r="K48" s="16" t="n"/>
      <c r="L48" s="17">
        <f>IF($D48="","",IF(AND($F48="Negative",OR($G48="Critical",$G48="Major")),"Yes","No"))</f>
        <v/>
      </c>
      <c r="M48" s="16" t="n"/>
      <c r="N48" s="16" t="n"/>
      <c r="O48" s="16" t="n"/>
    </row>
    <row r="49">
      <c r="B49" s="17">
        <f>IF($D49="","","I"&amp;TEXT(ROW()-5,"000"))</f>
        <v/>
      </c>
      <c r="C49" s="18" t="n"/>
      <c r="D49" s="16" t="n"/>
      <c r="E49" s="17">
        <f>IF($D49="","",IFERROR(INDEX(rngCadetPIDs,MATCH($D49,rngCadetNames,0)),"?"))</f>
        <v/>
      </c>
      <c r="F49" s="16" t="n"/>
      <c r="G49" s="16" t="n"/>
      <c r="H49" s="16" t="n"/>
      <c r="I49" s="16" t="n"/>
      <c r="J49" s="16" t="n"/>
      <c r="K49" s="16" t="n"/>
      <c r="L49" s="17">
        <f>IF($D49="","",IF(AND($F49="Negative",OR($G49="Critical",$G49="Major")),"Yes","No"))</f>
        <v/>
      </c>
      <c r="M49" s="16" t="n"/>
      <c r="N49" s="16" t="n"/>
      <c r="O49" s="16" t="n"/>
    </row>
    <row r="50">
      <c r="B50" s="17">
        <f>IF($D50="","","I"&amp;TEXT(ROW()-5,"000"))</f>
        <v/>
      </c>
      <c r="C50" s="18" t="n"/>
      <c r="D50" s="16" t="n"/>
      <c r="E50" s="17">
        <f>IF($D50="","",IFERROR(INDEX(rngCadetPIDs,MATCH($D50,rngCadetNames,0)),"?"))</f>
        <v/>
      </c>
      <c r="F50" s="16" t="n"/>
      <c r="G50" s="16" t="n"/>
      <c r="H50" s="16" t="n"/>
      <c r="I50" s="16" t="n"/>
      <c r="J50" s="16" t="n"/>
      <c r="K50" s="16" t="n"/>
      <c r="L50" s="17">
        <f>IF($D50="","",IF(AND($F50="Negative",OR($G50="Critical",$G50="Major")),"Yes","No"))</f>
        <v/>
      </c>
      <c r="M50" s="16" t="n"/>
      <c r="N50" s="16" t="n"/>
      <c r="O50" s="16" t="n"/>
    </row>
    <row r="51">
      <c r="B51" s="17">
        <f>IF($D51="","","I"&amp;TEXT(ROW()-5,"000"))</f>
        <v/>
      </c>
      <c r="C51" s="18" t="n"/>
      <c r="D51" s="16" t="n"/>
      <c r="E51" s="17">
        <f>IF($D51="","",IFERROR(INDEX(rngCadetPIDs,MATCH($D51,rngCadetNames,0)),"?"))</f>
        <v/>
      </c>
      <c r="F51" s="16" t="n"/>
      <c r="G51" s="16" t="n"/>
      <c r="H51" s="16" t="n"/>
      <c r="I51" s="16" t="n"/>
      <c r="J51" s="16" t="n"/>
      <c r="K51" s="16" t="n"/>
      <c r="L51" s="17">
        <f>IF($D51="","",IF(AND($F51="Negative",OR($G51="Critical",$G51="Major")),"Yes","No"))</f>
        <v/>
      </c>
      <c r="M51" s="16" t="n"/>
      <c r="N51" s="16" t="n"/>
      <c r="O51" s="16" t="n"/>
    </row>
    <row r="52">
      <c r="B52" s="17">
        <f>IF($D52="","","I"&amp;TEXT(ROW()-5,"000"))</f>
        <v/>
      </c>
      <c r="C52" s="18" t="n"/>
      <c r="D52" s="16" t="n"/>
      <c r="E52" s="17">
        <f>IF($D52="","",IFERROR(INDEX(rngCadetPIDs,MATCH($D52,rngCadetNames,0)),"?"))</f>
        <v/>
      </c>
      <c r="F52" s="16" t="n"/>
      <c r="G52" s="16" t="n"/>
      <c r="H52" s="16" t="n"/>
      <c r="I52" s="16" t="n"/>
      <c r="J52" s="16" t="n"/>
      <c r="K52" s="16" t="n"/>
      <c r="L52" s="17">
        <f>IF($D52="","",IF(AND($F52="Negative",OR($G52="Critical",$G52="Major")),"Yes","No"))</f>
        <v/>
      </c>
      <c r="M52" s="16" t="n"/>
      <c r="N52" s="16" t="n"/>
      <c r="O52" s="16" t="n"/>
    </row>
    <row r="53">
      <c r="B53" s="17">
        <f>IF($D53="","","I"&amp;TEXT(ROW()-5,"000"))</f>
        <v/>
      </c>
      <c r="C53" s="18" t="n"/>
      <c r="D53" s="16" t="n"/>
      <c r="E53" s="17">
        <f>IF($D53="","",IFERROR(INDEX(rngCadetPIDs,MATCH($D53,rngCadetNames,0)),"?"))</f>
        <v/>
      </c>
      <c r="F53" s="16" t="n"/>
      <c r="G53" s="16" t="n"/>
      <c r="H53" s="16" t="n"/>
      <c r="I53" s="16" t="n"/>
      <c r="J53" s="16" t="n"/>
      <c r="K53" s="16" t="n"/>
      <c r="L53" s="17">
        <f>IF($D53="","",IF(AND($F53="Negative",OR($G53="Critical",$G53="Major")),"Yes","No"))</f>
        <v/>
      </c>
      <c r="M53" s="16" t="n"/>
      <c r="N53" s="16" t="n"/>
      <c r="O53" s="16" t="n"/>
    </row>
    <row r="54">
      <c r="B54" s="17">
        <f>IF($D54="","","I"&amp;TEXT(ROW()-5,"000"))</f>
        <v/>
      </c>
      <c r="C54" s="18" t="n"/>
      <c r="D54" s="16" t="n"/>
      <c r="E54" s="17">
        <f>IF($D54="","",IFERROR(INDEX(rngCadetPIDs,MATCH($D54,rngCadetNames,0)),"?"))</f>
        <v/>
      </c>
      <c r="F54" s="16" t="n"/>
      <c r="G54" s="16" t="n"/>
      <c r="H54" s="16" t="n"/>
      <c r="I54" s="16" t="n"/>
      <c r="J54" s="16" t="n"/>
      <c r="K54" s="16" t="n"/>
      <c r="L54" s="17">
        <f>IF($D54="","",IF(AND($F54="Negative",OR($G54="Critical",$G54="Major")),"Yes","No"))</f>
        <v/>
      </c>
      <c r="M54" s="16" t="n"/>
      <c r="N54" s="16" t="n"/>
      <c r="O54" s="16" t="n"/>
    </row>
    <row r="55">
      <c r="B55" s="17">
        <f>IF($D55="","","I"&amp;TEXT(ROW()-5,"000"))</f>
        <v/>
      </c>
      <c r="C55" s="18" t="n"/>
      <c r="D55" s="16" t="n"/>
      <c r="E55" s="17">
        <f>IF($D55="","",IFERROR(INDEX(rngCadetPIDs,MATCH($D55,rngCadetNames,0)),"?"))</f>
        <v/>
      </c>
      <c r="F55" s="16" t="n"/>
      <c r="G55" s="16" t="n"/>
      <c r="H55" s="16" t="n"/>
      <c r="I55" s="16" t="n"/>
      <c r="J55" s="16" t="n"/>
      <c r="K55" s="16" t="n"/>
      <c r="L55" s="17">
        <f>IF($D55="","",IF(AND($F55="Negative",OR($G55="Critical",$G55="Major")),"Yes","No"))</f>
        <v/>
      </c>
      <c r="M55" s="16" t="n"/>
      <c r="N55" s="16" t="n"/>
      <c r="O55" s="16" t="n"/>
    </row>
    <row r="56">
      <c r="B56" s="17">
        <f>IF($D56="","","I"&amp;TEXT(ROW()-5,"000"))</f>
        <v/>
      </c>
      <c r="C56" s="18" t="n"/>
      <c r="D56" s="16" t="n"/>
      <c r="E56" s="17">
        <f>IF($D56="","",IFERROR(INDEX(rngCadetPIDs,MATCH($D56,rngCadetNames,0)),"?"))</f>
        <v/>
      </c>
      <c r="F56" s="16" t="n"/>
      <c r="G56" s="16" t="n"/>
      <c r="H56" s="16" t="n"/>
      <c r="I56" s="16" t="n"/>
      <c r="J56" s="16" t="n"/>
      <c r="K56" s="16" t="n"/>
      <c r="L56" s="17">
        <f>IF($D56="","",IF(AND($F56="Negative",OR($G56="Critical",$G56="Major")),"Yes","No"))</f>
        <v/>
      </c>
      <c r="M56" s="16" t="n"/>
      <c r="N56" s="16" t="n"/>
      <c r="O56" s="16" t="n"/>
    </row>
    <row r="57">
      <c r="B57" s="17">
        <f>IF($D57="","","I"&amp;TEXT(ROW()-5,"000"))</f>
        <v/>
      </c>
      <c r="C57" s="18" t="n"/>
      <c r="D57" s="16" t="n"/>
      <c r="E57" s="17">
        <f>IF($D57="","",IFERROR(INDEX(rngCadetPIDs,MATCH($D57,rngCadetNames,0)),"?"))</f>
        <v/>
      </c>
      <c r="F57" s="16" t="n"/>
      <c r="G57" s="16" t="n"/>
      <c r="H57" s="16" t="n"/>
      <c r="I57" s="16" t="n"/>
      <c r="J57" s="16" t="n"/>
      <c r="K57" s="16" t="n"/>
      <c r="L57" s="17">
        <f>IF($D57="","",IF(AND($F57="Negative",OR($G57="Critical",$G57="Major")),"Yes","No"))</f>
        <v/>
      </c>
      <c r="M57" s="16" t="n"/>
      <c r="N57" s="16" t="n"/>
      <c r="O57" s="16" t="n"/>
    </row>
    <row r="58">
      <c r="B58" s="17">
        <f>IF($D58="","","I"&amp;TEXT(ROW()-5,"000"))</f>
        <v/>
      </c>
      <c r="C58" s="18" t="n"/>
      <c r="D58" s="16" t="n"/>
      <c r="E58" s="17">
        <f>IF($D58="","",IFERROR(INDEX(rngCadetPIDs,MATCH($D58,rngCadetNames,0)),"?"))</f>
        <v/>
      </c>
      <c r="F58" s="16" t="n"/>
      <c r="G58" s="16" t="n"/>
      <c r="H58" s="16" t="n"/>
      <c r="I58" s="16" t="n"/>
      <c r="J58" s="16" t="n"/>
      <c r="K58" s="16" t="n"/>
      <c r="L58" s="17">
        <f>IF($D58="","",IF(AND($F58="Negative",OR($G58="Critical",$G58="Major")),"Yes","No"))</f>
        <v/>
      </c>
      <c r="M58" s="16" t="n"/>
      <c r="N58" s="16" t="n"/>
      <c r="O58" s="16" t="n"/>
    </row>
    <row r="59">
      <c r="B59" s="17">
        <f>IF($D59="","","I"&amp;TEXT(ROW()-5,"000"))</f>
        <v/>
      </c>
      <c r="C59" s="18" t="n"/>
      <c r="D59" s="16" t="n"/>
      <c r="E59" s="17">
        <f>IF($D59="","",IFERROR(INDEX(rngCadetPIDs,MATCH($D59,rngCadetNames,0)),"?"))</f>
        <v/>
      </c>
      <c r="F59" s="16" t="n"/>
      <c r="G59" s="16" t="n"/>
      <c r="H59" s="16" t="n"/>
      <c r="I59" s="16" t="n"/>
      <c r="J59" s="16" t="n"/>
      <c r="K59" s="16" t="n"/>
      <c r="L59" s="17">
        <f>IF($D59="","",IF(AND($F59="Negative",OR($G59="Critical",$G59="Major")),"Yes","No"))</f>
        <v/>
      </c>
      <c r="M59" s="16" t="n"/>
      <c r="N59" s="16" t="n"/>
      <c r="O59" s="16" t="n"/>
    </row>
    <row r="60">
      <c r="B60" s="17">
        <f>IF($D60="","","I"&amp;TEXT(ROW()-5,"000"))</f>
        <v/>
      </c>
      <c r="C60" s="18" t="n"/>
      <c r="D60" s="16" t="n"/>
      <c r="E60" s="17">
        <f>IF($D60="","",IFERROR(INDEX(rngCadetPIDs,MATCH($D60,rngCadetNames,0)),"?"))</f>
        <v/>
      </c>
      <c r="F60" s="16" t="n"/>
      <c r="G60" s="16" t="n"/>
      <c r="H60" s="16" t="n"/>
      <c r="I60" s="16" t="n"/>
      <c r="J60" s="16" t="n"/>
      <c r="K60" s="16" t="n"/>
      <c r="L60" s="17">
        <f>IF($D60="","",IF(AND($F60="Negative",OR($G60="Critical",$G60="Major")),"Yes","No"))</f>
        <v/>
      </c>
      <c r="M60" s="16" t="n"/>
      <c r="N60" s="16" t="n"/>
      <c r="O60" s="16" t="n"/>
    </row>
    <row r="61">
      <c r="B61" s="17">
        <f>IF($D61="","","I"&amp;TEXT(ROW()-5,"000"))</f>
        <v/>
      </c>
      <c r="C61" s="18" t="n"/>
      <c r="D61" s="16" t="n"/>
      <c r="E61" s="17">
        <f>IF($D61="","",IFERROR(INDEX(rngCadetPIDs,MATCH($D61,rngCadetNames,0)),"?"))</f>
        <v/>
      </c>
      <c r="F61" s="16" t="n"/>
      <c r="G61" s="16" t="n"/>
      <c r="H61" s="16" t="n"/>
      <c r="I61" s="16" t="n"/>
      <c r="J61" s="16" t="n"/>
      <c r="K61" s="16" t="n"/>
      <c r="L61" s="17">
        <f>IF($D61="","",IF(AND($F61="Negative",OR($G61="Critical",$G61="Major")),"Yes","No"))</f>
        <v/>
      </c>
      <c r="M61" s="16" t="n"/>
      <c r="N61" s="16" t="n"/>
      <c r="O61" s="16" t="n"/>
    </row>
    <row r="62">
      <c r="B62" s="17">
        <f>IF($D62="","","I"&amp;TEXT(ROW()-5,"000"))</f>
        <v/>
      </c>
      <c r="C62" s="18" t="n"/>
      <c r="D62" s="16" t="n"/>
      <c r="E62" s="17">
        <f>IF($D62="","",IFERROR(INDEX(rngCadetPIDs,MATCH($D62,rngCadetNames,0)),"?"))</f>
        <v/>
      </c>
      <c r="F62" s="16" t="n"/>
      <c r="G62" s="16" t="n"/>
      <c r="H62" s="16" t="n"/>
      <c r="I62" s="16" t="n"/>
      <c r="J62" s="16" t="n"/>
      <c r="K62" s="16" t="n"/>
      <c r="L62" s="17">
        <f>IF($D62="","",IF(AND($F62="Negative",OR($G62="Critical",$G62="Major")),"Yes","No"))</f>
        <v/>
      </c>
      <c r="M62" s="16" t="n"/>
      <c r="N62" s="16" t="n"/>
      <c r="O62" s="16" t="n"/>
    </row>
    <row r="63">
      <c r="B63" s="17">
        <f>IF($D63="","","I"&amp;TEXT(ROW()-5,"000"))</f>
        <v/>
      </c>
      <c r="C63" s="18" t="n"/>
      <c r="D63" s="16" t="n"/>
      <c r="E63" s="17">
        <f>IF($D63="","",IFERROR(INDEX(rngCadetPIDs,MATCH($D63,rngCadetNames,0)),"?"))</f>
        <v/>
      </c>
      <c r="F63" s="16" t="n"/>
      <c r="G63" s="16" t="n"/>
      <c r="H63" s="16" t="n"/>
      <c r="I63" s="16" t="n"/>
      <c r="J63" s="16" t="n"/>
      <c r="K63" s="16" t="n"/>
      <c r="L63" s="17">
        <f>IF($D63="","",IF(AND($F63="Negative",OR($G63="Critical",$G63="Major")),"Yes","No"))</f>
        <v/>
      </c>
      <c r="M63" s="16" t="n"/>
      <c r="N63" s="16" t="n"/>
      <c r="O63" s="16" t="n"/>
    </row>
    <row r="64">
      <c r="B64" s="17">
        <f>IF($D64="","","I"&amp;TEXT(ROW()-5,"000"))</f>
        <v/>
      </c>
      <c r="C64" s="18" t="n"/>
      <c r="D64" s="16" t="n"/>
      <c r="E64" s="17">
        <f>IF($D64="","",IFERROR(INDEX(rngCadetPIDs,MATCH($D64,rngCadetNames,0)),"?"))</f>
        <v/>
      </c>
      <c r="F64" s="16" t="n"/>
      <c r="G64" s="16" t="n"/>
      <c r="H64" s="16" t="n"/>
      <c r="I64" s="16" t="n"/>
      <c r="J64" s="16" t="n"/>
      <c r="K64" s="16" t="n"/>
      <c r="L64" s="17">
        <f>IF($D64="","",IF(AND($F64="Negative",OR($G64="Critical",$G64="Major")),"Yes","No"))</f>
        <v/>
      </c>
      <c r="M64" s="16" t="n"/>
      <c r="N64" s="16" t="n"/>
      <c r="O64" s="16" t="n"/>
    </row>
    <row r="65">
      <c r="B65" s="17">
        <f>IF($D65="","","I"&amp;TEXT(ROW()-5,"000"))</f>
        <v/>
      </c>
      <c r="C65" s="18" t="n"/>
      <c r="D65" s="16" t="n"/>
      <c r="E65" s="17">
        <f>IF($D65="","",IFERROR(INDEX(rngCadetPIDs,MATCH($D65,rngCadetNames,0)),"?"))</f>
        <v/>
      </c>
      <c r="F65" s="16" t="n"/>
      <c r="G65" s="16" t="n"/>
      <c r="H65" s="16" t="n"/>
      <c r="I65" s="16" t="n"/>
      <c r="J65" s="16" t="n"/>
      <c r="K65" s="16" t="n"/>
      <c r="L65" s="17">
        <f>IF($D65="","",IF(AND($F65="Negative",OR($G65="Critical",$G65="Major")),"Yes","No"))</f>
        <v/>
      </c>
      <c r="M65" s="16" t="n"/>
      <c r="N65" s="16" t="n"/>
      <c r="O65" s="16" t="n"/>
    </row>
    <row r="66">
      <c r="B66" s="17">
        <f>IF($D66="","","I"&amp;TEXT(ROW()-5,"000"))</f>
        <v/>
      </c>
      <c r="C66" s="18" t="n"/>
      <c r="D66" s="16" t="n"/>
      <c r="E66" s="17">
        <f>IF($D66="","",IFERROR(INDEX(rngCadetPIDs,MATCH($D66,rngCadetNames,0)),"?"))</f>
        <v/>
      </c>
      <c r="F66" s="16" t="n"/>
      <c r="G66" s="16" t="n"/>
      <c r="H66" s="16" t="n"/>
      <c r="I66" s="16" t="n"/>
      <c r="J66" s="16" t="n"/>
      <c r="K66" s="16" t="n"/>
      <c r="L66" s="17">
        <f>IF($D66="","",IF(AND($F66="Negative",OR($G66="Critical",$G66="Major")),"Yes","No"))</f>
        <v/>
      </c>
      <c r="M66" s="16" t="n"/>
      <c r="N66" s="16" t="n"/>
      <c r="O66" s="16" t="n"/>
    </row>
    <row r="67">
      <c r="B67" s="17">
        <f>IF($D67="","","I"&amp;TEXT(ROW()-5,"000"))</f>
        <v/>
      </c>
      <c r="C67" s="18" t="n"/>
      <c r="D67" s="16" t="n"/>
      <c r="E67" s="17">
        <f>IF($D67="","",IFERROR(INDEX(rngCadetPIDs,MATCH($D67,rngCadetNames,0)),"?"))</f>
        <v/>
      </c>
      <c r="F67" s="16" t="n"/>
      <c r="G67" s="16" t="n"/>
      <c r="H67" s="16" t="n"/>
      <c r="I67" s="16" t="n"/>
      <c r="J67" s="16" t="n"/>
      <c r="K67" s="16" t="n"/>
      <c r="L67" s="17">
        <f>IF($D67="","",IF(AND($F67="Negative",OR($G67="Critical",$G67="Major")),"Yes","No"))</f>
        <v/>
      </c>
      <c r="M67" s="16" t="n"/>
      <c r="N67" s="16" t="n"/>
      <c r="O67" s="16" t="n"/>
    </row>
    <row r="68">
      <c r="B68" s="17">
        <f>IF($D68="","","I"&amp;TEXT(ROW()-5,"000"))</f>
        <v/>
      </c>
      <c r="C68" s="18" t="n"/>
      <c r="D68" s="16" t="n"/>
      <c r="E68" s="17">
        <f>IF($D68="","",IFERROR(INDEX(rngCadetPIDs,MATCH($D68,rngCadetNames,0)),"?"))</f>
        <v/>
      </c>
      <c r="F68" s="16" t="n"/>
      <c r="G68" s="16" t="n"/>
      <c r="H68" s="16" t="n"/>
      <c r="I68" s="16" t="n"/>
      <c r="J68" s="16" t="n"/>
      <c r="K68" s="16" t="n"/>
      <c r="L68" s="17">
        <f>IF($D68="","",IF(AND($F68="Negative",OR($G68="Critical",$G68="Major")),"Yes","No"))</f>
        <v/>
      </c>
      <c r="M68" s="16" t="n"/>
      <c r="N68" s="16" t="n"/>
      <c r="O68" s="16" t="n"/>
    </row>
    <row r="69">
      <c r="B69" s="17">
        <f>IF($D69="","","I"&amp;TEXT(ROW()-5,"000"))</f>
        <v/>
      </c>
      <c r="C69" s="18" t="n"/>
      <c r="D69" s="16" t="n"/>
      <c r="E69" s="17">
        <f>IF($D69="","",IFERROR(INDEX(rngCadetPIDs,MATCH($D69,rngCadetNames,0)),"?"))</f>
        <v/>
      </c>
      <c r="F69" s="16" t="n"/>
      <c r="G69" s="16" t="n"/>
      <c r="H69" s="16" t="n"/>
      <c r="I69" s="16" t="n"/>
      <c r="J69" s="16" t="n"/>
      <c r="K69" s="16" t="n"/>
      <c r="L69" s="17">
        <f>IF($D69="","",IF(AND($F69="Negative",OR($G69="Critical",$G69="Major")),"Yes","No"))</f>
        <v/>
      </c>
      <c r="M69" s="16" t="n"/>
      <c r="N69" s="16" t="n"/>
      <c r="O69" s="16" t="n"/>
    </row>
    <row r="70">
      <c r="B70" s="17">
        <f>IF($D70="","","I"&amp;TEXT(ROW()-5,"000"))</f>
        <v/>
      </c>
      <c r="C70" s="18" t="n"/>
      <c r="D70" s="16" t="n"/>
      <c r="E70" s="17">
        <f>IF($D70="","",IFERROR(INDEX(rngCadetPIDs,MATCH($D70,rngCadetNames,0)),"?"))</f>
        <v/>
      </c>
      <c r="F70" s="16" t="n"/>
      <c r="G70" s="16" t="n"/>
      <c r="H70" s="16" t="n"/>
      <c r="I70" s="16" t="n"/>
      <c r="J70" s="16" t="n"/>
      <c r="K70" s="16" t="n"/>
      <c r="L70" s="17">
        <f>IF($D70="","",IF(AND($F70="Negative",OR($G70="Critical",$G70="Major")),"Yes","No"))</f>
        <v/>
      </c>
      <c r="M70" s="16" t="n"/>
      <c r="N70" s="16" t="n"/>
      <c r="O70" s="16" t="n"/>
    </row>
    <row r="71">
      <c r="B71" s="17">
        <f>IF($D71="","","I"&amp;TEXT(ROW()-5,"000"))</f>
        <v/>
      </c>
      <c r="C71" s="18" t="n"/>
      <c r="D71" s="16" t="n"/>
      <c r="E71" s="17">
        <f>IF($D71="","",IFERROR(INDEX(rngCadetPIDs,MATCH($D71,rngCadetNames,0)),"?"))</f>
        <v/>
      </c>
      <c r="F71" s="16" t="n"/>
      <c r="G71" s="16" t="n"/>
      <c r="H71" s="16" t="n"/>
      <c r="I71" s="16" t="n"/>
      <c r="J71" s="16" t="n"/>
      <c r="K71" s="16" t="n"/>
      <c r="L71" s="17">
        <f>IF($D71="","",IF(AND($F71="Negative",OR($G71="Critical",$G71="Major")),"Yes","No"))</f>
        <v/>
      </c>
      <c r="M71" s="16" t="n"/>
      <c r="N71" s="16" t="n"/>
      <c r="O71" s="16" t="n"/>
    </row>
    <row r="72">
      <c r="B72" s="17">
        <f>IF($D72="","","I"&amp;TEXT(ROW()-5,"000"))</f>
        <v/>
      </c>
      <c r="C72" s="18" t="n"/>
      <c r="D72" s="16" t="n"/>
      <c r="E72" s="17">
        <f>IF($D72="","",IFERROR(INDEX(rngCadetPIDs,MATCH($D72,rngCadetNames,0)),"?"))</f>
        <v/>
      </c>
      <c r="F72" s="16" t="n"/>
      <c r="G72" s="16" t="n"/>
      <c r="H72" s="16" t="n"/>
      <c r="I72" s="16" t="n"/>
      <c r="J72" s="16" t="n"/>
      <c r="K72" s="16" t="n"/>
      <c r="L72" s="17">
        <f>IF($D72="","",IF(AND($F72="Negative",OR($G72="Critical",$G72="Major")),"Yes","No"))</f>
        <v/>
      </c>
      <c r="M72" s="16" t="n"/>
      <c r="N72" s="16" t="n"/>
      <c r="O72" s="16" t="n"/>
    </row>
    <row r="73">
      <c r="B73" s="17">
        <f>IF($D73="","","I"&amp;TEXT(ROW()-5,"000"))</f>
        <v/>
      </c>
      <c r="C73" s="18" t="n"/>
      <c r="D73" s="16" t="n"/>
      <c r="E73" s="17">
        <f>IF($D73="","",IFERROR(INDEX(rngCadetPIDs,MATCH($D73,rngCadetNames,0)),"?"))</f>
        <v/>
      </c>
      <c r="F73" s="16" t="n"/>
      <c r="G73" s="16" t="n"/>
      <c r="H73" s="16" t="n"/>
      <c r="I73" s="16" t="n"/>
      <c r="J73" s="16" t="n"/>
      <c r="K73" s="16" t="n"/>
      <c r="L73" s="17">
        <f>IF($D73="","",IF(AND($F73="Negative",OR($G73="Critical",$G73="Major")),"Yes","No"))</f>
        <v/>
      </c>
      <c r="M73" s="16" t="n"/>
      <c r="N73" s="16" t="n"/>
      <c r="O73" s="16" t="n"/>
    </row>
    <row r="74">
      <c r="B74" s="17">
        <f>IF($D74="","","I"&amp;TEXT(ROW()-5,"000"))</f>
        <v/>
      </c>
      <c r="C74" s="18" t="n"/>
      <c r="D74" s="16" t="n"/>
      <c r="E74" s="17">
        <f>IF($D74="","",IFERROR(INDEX(rngCadetPIDs,MATCH($D74,rngCadetNames,0)),"?"))</f>
        <v/>
      </c>
      <c r="F74" s="16" t="n"/>
      <c r="G74" s="16" t="n"/>
      <c r="H74" s="16" t="n"/>
      <c r="I74" s="16" t="n"/>
      <c r="J74" s="16" t="n"/>
      <c r="K74" s="16" t="n"/>
      <c r="L74" s="17">
        <f>IF($D74="","",IF(AND($F74="Negative",OR($G74="Critical",$G74="Major")),"Yes","No"))</f>
        <v/>
      </c>
      <c r="M74" s="16" t="n"/>
      <c r="N74" s="16" t="n"/>
      <c r="O74" s="16" t="n"/>
    </row>
    <row r="75">
      <c r="B75" s="17">
        <f>IF($D75="","","I"&amp;TEXT(ROW()-5,"000"))</f>
        <v/>
      </c>
      <c r="C75" s="18" t="n"/>
      <c r="D75" s="16" t="n"/>
      <c r="E75" s="17">
        <f>IF($D75="","",IFERROR(INDEX(rngCadetPIDs,MATCH($D75,rngCadetNames,0)),"?"))</f>
        <v/>
      </c>
      <c r="F75" s="16" t="n"/>
      <c r="G75" s="16" t="n"/>
      <c r="H75" s="16" t="n"/>
      <c r="I75" s="16" t="n"/>
      <c r="J75" s="16" t="n"/>
      <c r="K75" s="16" t="n"/>
      <c r="L75" s="17">
        <f>IF($D75="","",IF(AND($F75="Negative",OR($G75="Critical",$G75="Major")),"Yes","No"))</f>
        <v/>
      </c>
      <c r="M75" s="16" t="n"/>
      <c r="N75" s="16" t="n"/>
      <c r="O75" s="16" t="n"/>
    </row>
    <row r="76">
      <c r="B76" s="17">
        <f>IF($D76="","","I"&amp;TEXT(ROW()-5,"000"))</f>
        <v/>
      </c>
      <c r="C76" s="18" t="n"/>
      <c r="D76" s="16" t="n"/>
      <c r="E76" s="17">
        <f>IF($D76="","",IFERROR(INDEX(rngCadetPIDs,MATCH($D76,rngCadetNames,0)),"?"))</f>
        <v/>
      </c>
      <c r="F76" s="16" t="n"/>
      <c r="G76" s="16" t="n"/>
      <c r="H76" s="16" t="n"/>
      <c r="I76" s="16" t="n"/>
      <c r="J76" s="16" t="n"/>
      <c r="K76" s="16" t="n"/>
      <c r="L76" s="17">
        <f>IF($D76="","",IF(AND($F76="Negative",OR($G76="Critical",$G76="Major")),"Yes","No"))</f>
        <v/>
      </c>
      <c r="M76" s="16" t="n"/>
      <c r="N76" s="16" t="n"/>
      <c r="O76" s="16" t="n"/>
    </row>
    <row r="77">
      <c r="B77" s="17">
        <f>IF($D77="","","I"&amp;TEXT(ROW()-5,"000"))</f>
        <v/>
      </c>
      <c r="C77" s="18" t="n"/>
      <c r="D77" s="16" t="n"/>
      <c r="E77" s="17">
        <f>IF($D77="","",IFERROR(INDEX(rngCadetPIDs,MATCH($D77,rngCadetNames,0)),"?"))</f>
        <v/>
      </c>
      <c r="F77" s="16" t="n"/>
      <c r="G77" s="16" t="n"/>
      <c r="H77" s="16" t="n"/>
      <c r="I77" s="16" t="n"/>
      <c r="J77" s="16" t="n"/>
      <c r="K77" s="16" t="n"/>
      <c r="L77" s="17">
        <f>IF($D77="","",IF(AND($F77="Negative",OR($G77="Critical",$G77="Major")),"Yes","No"))</f>
        <v/>
      </c>
      <c r="M77" s="16" t="n"/>
      <c r="N77" s="16" t="n"/>
      <c r="O77" s="16" t="n"/>
    </row>
    <row r="78">
      <c r="B78" s="17">
        <f>IF($D78="","","I"&amp;TEXT(ROW()-5,"000"))</f>
        <v/>
      </c>
      <c r="C78" s="18" t="n"/>
      <c r="D78" s="16" t="n"/>
      <c r="E78" s="17">
        <f>IF($D78="","",IFERROR(INDEX(rngCadetPIDs,MATCH($D78,rngCadetNames,0)),"?"))</f>
        <v/>
      </c>
      <c r="F78" s="16" t="n"/>
      <c r="G78" s="16" t="n"/>
      <c r="H78" s="16" t="n"/>
      <c r="I78" s="16" t="n"/>
      <c r="J78" s="16" t="n"/>
      <c r="K78" s="16" t="n"/>
      <c r="L78" s="17">
        <f>IF($D78="","",IF(AND($F78="Negative",OR($G78="Critical",$G78="Major")),"Yes","No"))</f>
        <v/>
      </c>
      <c r="M78" s="16" t="n"/>
      <c r="N78" s="16" t="n"/>
      <c r="O78" s="16" t="n"/>
    </row>
    <row r="79">
      <c r="B79" s="17">
        <f>IF($D79="","","I"&amp;TEXT(ROW()-5,"000"))</f>
        <v/>
      </c>
      <c r="C79" s="18" t="n"/>
      <c r="D79" s="16" t="n"/>
      <c r="E79" s="17">
        <f>IF($D79="","",IFERROR(INDEX(rngCadetPIDs,MATCH($D79,rngCadetNames,0)),"?"))</f>
        <v/>
      </c>
      <c r="F79" s="16" t="n"/>
      <c r="G79" s="16" t="n"/>
      <c r="H79" s="16" t="n"/>
      <c r="I79" s="16" t="n"/>
      <c r="J79" s="16" t="n"/>
      <c r="K79" s="16" t="n"/>
      <c r="L79" s="17">
        <f>IF($D79="","",IF(AND($F79="Negative",OR($G79="Critical",$G79="Major")),"Yes","No"))</f>
        <v/>
      </c>
      <c r="M79" s="16" t="n"/>
      <c r="N79" s="16" t="n"/>
      <c r="O79" s="16" t="n"/>
    </row>
    <row r="80">
      <c r="B80" s="17">
        <f>IF($D80="","","I"&amp;TEXT(ROW()-5,"000"))</f>
        <v/>
      </c>
      <c r="C80" s="18" t="n"/>
      <c r="D80" s="16" t="n"/>
      <c r="E80" s="17">
        <f>IF($D80="","",IFERROR(INDEX(rngCadetPIDs,MATCH($D80,rngCadetNames,0)),"?"))</f>
        <v/>
      </c>
      <c r="F80" s="16" t="n"/>
      <c r="G80" s="16" t="n"/>
      <c r="H80" s="16" t="n"/>
      <c r="I80" s="16" t="n"/>
      <c r="J80" s="16" t="n"/>
      <c r="K80" s="16" t="n"/>
      <c r="L80" s="17">
        <f>IF($D80="","",IF(AND($F80="Negative",OR($G80="Critical",$G80="Major")),"Yes","No"))</f>
        <v/>
      </c>
      <c r="M80" s="16" t="n"/>
      <c r="N80" s="16" t="n"/>
      <c r="O80" s="16" t="n"/>
    </row>
    <row r="81">
      <c r="B81" s="17">
        <f>IF($D81="","","I"&amp;TEXT(ROW()-5,"000"))</f>
        <v/>
      </c>
      <c r="C81" s="18" t="n"/>
      <c r="D81" s="16" t="n"/>
      <c r="E81" s="17">
        <f>IF($D81="","",IFERROR(INDEX(rngCadetPIDs,MATCH($D81,rngCadetNames,0)),"?"))</f>
        <v/>
      </c>
      <c r="F81" s="16" t="n"/>
      <c r="G81" s="16" t="n"/>
      <c r="H81" s="16" t="n"/>
      <c r="I81" s="16" t="n"/>
      <c r="J81" s="16" t="n"/>
      <c r="K81" s="16" t="n"/>
      <c r="L81" s="17">
        <f>IF($D81="","",IF(AND($F81="Negative",OR($G81="Critical",$G81="Major")),"Yes","No"))</f>
        <v/>
      </c>
      <c r="M81" s="16" t="n"/>
      <c r="N81" s="16" t="n"/>
      <c r="O81" s="16" t="n"/>
    </row>
    <row r="82">
      <c r="B82" s="17">
        <f>IF($D82="","","I"&amp;TEXT(ROW()-5,"000"))</f>
        <v/>
      </c>
      <c r="C82" s="18" t="n"/>
      <c r="D82" s="16" t="n"/>
      <c r="E82" s="17">
        <f>IF($D82="","",IFERROR(INDEX(rngCadetPIDs,MATCH($D82,rngCadetNames,0)),"?"))</f>
        <v/>
      </c>
      <c r="F82" s="16" t="n"/>
      <c r="G82" s="16" t="n"/>
      <c r="H82" s="16" t="n"/>
      <c r="I82" s="16" t="n"/>
      <c r="J82" s="16" t="n"/>
      <c r="K82" s="16" t="n"/>
      <c r="L82" s="17">
        <f>IF($D82="","",IF(AND($F82="Negative",OR($G82="Critical",$G82="Major")),"Yes","No"))</f>
        <v/>
      </c>
      <c r="M82" s="16" t="n"/>
      <c r="N82" s="16" t="n"/>
      <c r="O82" s="16" t="n"/>
    </row>
    <row r="83">
      <c r="B83" s="17">
        <f>IF($D83="","","I"&amp;TEXT(ROW()-5,"000"))</f>
        <v/>
      </c>
      <c r="C83" s="18" t="n"/>
      <c r="D83" s="16" t="n"/>
      <c r="E83" s="17">
        <f>IF($D83="","",IFERROR(INDEX(rngCadetPIDs,MATCH($D83,rngCadetNames,0)),"?"))</f>
        <v/>
      </c>
      <c r="F83" s="16" t="n"/>
      <c r="G83" s="16" t="n"/>
      <c r="H83" s="16" t="n"/>
      <c r="I83" s="16" t="n"/>
      <c r="J83" s="16" t="n"/>
      <c r="K83" s="16" t="n"/>
      <c r="L83" s="17">
        <f>IF($D83="","",IF(AND($F83="Negative",OR($G83="Critical",$G83="Major")),"Yes","No"))</f>
        <v/>
      </c>
      <c r="M83" s="16" t="n"/>
      <c r="N83" s="16" t="n"/>
      <c r="O83" s="16" t="n"/>
    </row>
    <row r="84">
      <c r="B84" s="17">
        <f>IF($D84="","","I"&amp;TEXT(ROW()-5,"000"))</f>
        <v/>
      </c>
      <c r="C84" s="18" t="n"/>
      <c r="D84" s="16" t="n"/>
      <c r="E84" s="17">
        <f>IF($D84="","",IFERROR(INDEX(rngCadetPIDs,MATCH($D84,rngCadetNames,0)),"?"))</f>
        <v/>
      </c>
      <c r="F84" s="16" t="n"/>
      <c r="G84" s="16" t="n"/>
      <c r="H84" s="16" t="n"/>
      <c r="I84" s="16" t="n"/>
      <c r="J84" s="16" t="n"/>
      <c r="K84" s="16" t="n"/>
      <c r="L84" s="17">
        <f>IF($D84="","",IF(AND($F84="Negative",OR($G84="Critical",$G84="Major")),"Yes","No"))</f>
        <v/>
      </c>
      <c r="M84" s="16" t="n"/>
      <c r="N84" s="16" t="n"/>
      <c r="O84" s="16" t="n"/>
    </row>
    <row r="85">
      <c r="B85" s="17">
        <f>IF($D85="","","I"&amp;TEXT(ROW()-5,"000"))</f>
        <v/>
      </c>
      <c r="C85" s="18" t="n"/>
      <c r="D85" s="16" t="n"/>
      <c r="E85" s="17">
        <f>IF($D85="","",IFERROR(INDEX(rngCadetPIDs,MATCH($D85,rngCadetNames,0)),"?"))</f>
        <v/>
      </c>
      <c r="F85" s="16" t="n"/>
      <c r="G85" s="16" t="n"/>
      <c r="H85" s="16" t="n"/>
      <c r="I85" s="16" t="n"/>
      <c r="J85" s="16" t="n"/>
      <c r="K85" s="16" t="n"/>
      <c r="L85" s="17">
        <f>IF($D85="","",IF(AND($F85="Negative",OR($G85="Critical",$G85="Major")),"Yes","No"))</f>
        <v/>
      </c>
      <c r="M85" s="16" t="n"/>
      <c r="N85" s="16" t="n"/>
      <c r="O85" s="16" t="n"/>
    </row>
    <row r="86">
      <c r="B86" s="17">
        <f>IF($D86="","","I"&amp;TEXT(ROW()-5,"000"))</f>
        <v/>
      </c>
      <c r="C86" s="18" t="n"/>
      <c r="D86" s="16" t="n"/>
      <c r="E86" s="17">
        <f>IF($D86="","",IFERROR(INDEX(rngCadetPIDs,MATCH($D86,rngCadetNames,0)),"?"))</f>
        <v/>
      </c>
      <c r="F86" s="16" t="n"/>
      <c r="G86" s="16" t="n"/>
      <c r="H86" s="16" t="n"/>
      <c r="I86" s="16" t="n"/>
      <c r="J86" s="16" t="n"/>
      <c r="K86" s="16" t="n"/>
      <c r="L86" s="17">
        <f>IF($D86="","",IF(AND($F86="Negative",OR($G86="Critical",$G86="Major")),"Yes","No"))</f>
        <v/>
      </c>
      <c r="M86" s="16" t="n"/>
      <c r="N86" s="16" t="n"/>
      <c r="O86" s="16" t="n"/>
    </row>
    <row r="87">
      <c r="B87" s="17">
        <f>IF($D87="","","I"&amp;TEXT(ROW()-5,"000"))</f>
        <v/>
      </c>
      <c r="C87" s="18" t="n"/>
      <c r="D87" s="16" t="n"/>
      <c r="E87" s="17">
        <f>IF($D87="","",IFERROR(INDEX(rngCadetPIDs,MATCH($D87,rngCadetNames,0)),"?"))</f>
        <v/>
      </c>
      <c r="F87" s="16" t="n"/>
      <c r="G87" s="16" t="n"/>
      <c r="H87" s="16" t="n"/>
      <c r="I87" s="16" t="n"/>
      <c r="J87" s="16" t="n"/>
      <c r="K87" s="16" t="n"/>
      <c r="L87" s="17">
        <f>IF($D87="","",IF(AND($F87="Negative",OR($G87="Critical",$G87="Major")),"Yes","No"))</f>
        <v/>
      </c>
      <c r="M87" s="16" t="n"/>
      <c r="N87" s="16" t="n"/>
      <c r="O87" s="16" t="n"/>
    </row>
    <row r="88">
      <c r="B88" s="17">
        <f>IF($D88="","","I"&amp;TEXT(ROW()-5,"000"))</f>
        <v/>
      </c>
      <c r="C88" s="18" t="n"/>
      <c r="D88" s="16" t="n"/>
      <c r="E88" s="17">
        <f>IF($D88="","",IFERROR(INDEX(rngCadetPIDs,MATCH($D88,rngCadetNames,0)),"?"))</f>
        <v/>
      </c>
      <c r="F88" s="16" t="n"/>
      <c r="G88" s="16" t="n"/>
      <c r="H88" s="16" t="n"/>
      <c r="I88" s="16" t="n"/>
      <c r="J88" s="16" t="n"/>
      <c r="K88" s="16" t="n"/>
      <c r="L88" s="17">
        <f>IF($D88="","",IF(AND($F88="Negative",OR($G88="Critical",$G88="Major")),"Yes","No"))</f>
        <v/>
      </c>
      <c r="M88" s="16" t="n"/>
      <c r="N88" s="16" t="n"/>
      <c r="O88" s="16" t="n"/>
    </row>
    <row r="89">
      <c r="B89" s="17">
        <f>IF($D89="","","I"&amp;TEXT(ROW()-5,"000"))</f>
        <v/>
      </c>
      <c r="C89" s="18" t="n"/>
      <c r="D89" s="16" t="n"/>
      <c r="E89" s="17">
        <f>IF($D89="","",IFERROR(INDEX(rngCadetPIDs,MATCH($D89,rngCadetNames,0)),"?"))</f>
        <v/>
      </c>
      <c r="F89" s="16" t="n"/>
      <c r="G89" s="16" t="n"/>
      <c r="H89" s="16" t="n"/>
      <c r="I89" s="16" t="n"/>
      <c r="J89" s="16" t="n"/>
      <c r="K89" s="16" t="n"/>
      <c r="L89" s="17">
        <f>IF($D89="","",IF(AND($F89="Negative",OR($G89="Critical",$G89="Major")),"Yes","No"))</f>
        <v/>
      </c>
      <c r="M89" s="16" t="n"/>
      <c r="N89" s="16" t="n"/>
      <c r="O89" s="16" t="n"/>
    </row>
    <row r="90">
      <c r="B90" s="17">
        <f>IF($D90="","","I"&amp;TEXT(ROW()-5,"000"))</f>
        <v/>
      </c>
      <c r="C90" s="18" t="n"/>
      <c r="D90" s="16" t="n"/>
      <c r="E90" s="17">
        <f>IF($D90="","",IFERROR(INDEX(rngCadetPIDs,MATCH($D90,rngCadetNames,0)),"?"))</f>
        <v/>
      </c>
      <c r="F90" s="16" t="n"/>
      <c r="G90" s="16" t="n"/>
      <c r="H90" s="16" t="n"/>
      <c r="I90" s="16" t="n"/>
      <c r="J90" s="16" t="n"/>
      <c r="K90" s="16" t="n"/>
      <c r="L90" s="17">
        <f>IF($D90="","",IF(AND($F90="Negative",OR($G90="Critical",$G90="Major")),"Yes","No"))</f>
        <v/>
      </c>
      <c r="M90" s="16" t="n"/>
      <c r="N90" s="16" t="n"/>
      <c r="O90" s="16" t="n"/>
    </row>
    <row r="91">
      <c r="B91" s="17">
        <f>IF($D91="","","I"&amp;TEXT(ROW()-5,"000"))</f>
        <v/>
      </c>
      <c r="C91" s="18" t="n"/>
      <c r="D91" s="16" t="n"/>
      <c r="E91" s="17">
        <f>IF($D91="","",IFERROR(INDEX(rngCadetPIDs,MATCH($D91,rngCadetNames,0)),"?"))</f>
        <v/>
      </c>
      <c r="F91" s="16" t="n"/>
      <c r="G91" s="16" t="n"/>
      <c r="H91" s="16" t="n"/>
      <c r="I91" s="16" t="n"/>
      <c r="J91" s="16" t="n"/>
      <c r="K91" s="16" t="n"/>
      <c r="L91" s="17">
        <f>IF($D91="","",IF(AND($F91="Negative",OR($G91="Critical",$G91="Major")),"Yes","No"))</f>
        <v/>
      </c>
      <c r="M91" s="16" t="n"/>
      <c r="N91" s="16" t="n"/>
      <c r="O91" s="16" t="n"/>
    </row>
    <row r="92">
      <c r="B92" s="17">
        <f>IF($D92="","","I"&amp;TEXT(ROW()-5,"000"))</f>
        <v/>
      </c>
      <c r="C92" s="18" t="n"/>
      <c r="D92" s="16" t="n"/>
      <c r="E92" s="17">
        <f>IF($D92="","",IFERROR(INDEX(rngCadetPIDs,MATCH($D92,rngCadetNames,0)),"?"))</f>
        <v/>
      </c>
      <c r="F92" s="16" t="n"/>
      <c r="G92" s="16" t="n"/>
      <c r="H92" s="16" t="n"/>
      <c r="I92" s="16" t="n"/>
      <c r="J92" s="16" t="n"/>
      <c r="K92" s="16" t="n"/>
      <c r="L92" s="17">
        <f>IF($D92="","",IF(AND($F92="Negative",OR($G92="Critical",$G92="Major")),"Yes","No"))</f>
        <v/>
      </c>
      <c r="M92" s="16" t="n"/>
      <c r="N92" s="16" t="n"/>
      <c r="O92" s="16" t="n"/>
    </row>
    <row r="93">
      <c r="B93" s="17">
        <f>IF($D93="","","I"&amp;TEXT(ROW()-5,"000"))</f>
        <v/>
      </c>
      <c r="C93" s="18" t="n"/>
      <c r="D93" s="16" t="n"/>
      <c r="E93" s="17">
        <f>IF($D93="","",IFERROR(INDEX(rngCadetPIDs,MATCH($D93,rngCadetNames,0)),"?"))</f>
        <v/>
      </c>
      <c r="F93" s="16" t="n"/>
      <c r="G93" s="16" t="n"/>
      <c r="H93" s="16" t="n"/>
      <c r="I93" s="16" t="n"/>
      <c r="J93" s="16" t="n"/>
      <c r="K93" s="16" t="n"/>
      <c r="L93" s="17">
        <f>IF($D93="","",IF(AND($F93="Negative",OR($G93="Critical",$G93="Major")),"Yes","No"))</f>
        <v/>
      </c>
      <c r="M93" s="16" t="n"/>
      <c r="N93" s="16" t="n"/>
      <c r="O93" s="16" t="n"/>
    </row>
    <row r="94">
      <c r="B94" s="17">
        <f>IF($D94="","","I"&amp;TEXT(ROW()-5,"000"))</f>
        <v/>
      </c>
      <c r="C94" s="18" t="n"/>
      <c r="D94" s="16" t="n"/>
      <c r="E94" s="17">
        <f>IF($D94="","",IFERROR(INDEX(rngCadetPIDs,MATCH($D94,rngCadetNames,0)),"?"))</f>
        <v/>
      </c>
      <c r="F94" s="16" t="n"/>
      <c r="G94" s="16" t="n"/>
      <c r="H94" s="16" t="n"/>
      <c r="I94" s="16" t="n"/>
      <c r="J94" s="16" t="n"/>
      <c r="K94" s="16" t="n"/>
      <c r="L94" s="17">
        <f>IF($D94="","",IF(AND($F94="Negative",OR($G94="Critical",$G94="Major")),"Yes","No"))</f>
        <v/>
      </c>
      <c r="M94" s="16" t="n"/>
      <c r="N94" s="16" t="n"/>
      <c r="O94" s="16" t="n"/>
    </row>
    <row r="95">
      <c r="B95" s="17">
        <f>IF($D95="","","I"&amp;TEXT(ROW()-5,"000"))</f>
        <v/>
      </c>
      <c r="C95" s="18" t="n"/>
      <c r="D95" s="16" t="n"/>
      <c r="E95" s="17">
        <f>IF($D95="","",IFERROR(INDEX(rngCadetPIDs,MATCH($D95,rngCadetNames,0)),"?"))</f>
        <v/>
      </c>
      <c r="F95" s="16" t="n"/>
      <c r="G95" s="16" t="n"/>
      <c r="H95" s="16" t="n"/>
      <c r="I95" s="16" t="n"/>
      <c r="J95" s="16" t="n"/>
      <c r="K95" s="16" t="n"/>
      <c r="L95" s="17">
        <f>IF($D95="","",IF(AND($F95="Negative",OR($G95="Critical",$G95="Major")),"Yes","No"))</f>
        <v/>
      </c>
      <c r="M95" s="16" t="n"/>
      <c r="N95" s="16" t="n"/>
      <c r="O95" s="16" t="n"/>
    </row>
    <row r="96">
      <c r="B96" s="17">
        <f>IF($D96="","","I"&amp;TEXT(ROW()-5,"000"))</f>
        <v/>
      </c>
      <c r="C96" s="18" t="n"/>
      <c r="D96" s="16" t="n"/>
      <c r="E96" s="17">
        <f>IF($D96="","",IFERROR(INDEX(rngCadetPIDs,MATCH($D96,rngCadetNames,0)),"?"))</f>
        <v/>
      </c>
      <c r="F96" s="16" t="n"/>
      <c r="G96" s="16" t="n"/>
      <c r="H96" s="16" t="n"/>
      <c r="I96" s="16" t="n"/>
      <c r="J96" s="16" t="n"/>
      <c r="K96" s="16" t="n"/>
      <c r="L96" s="17">
        <f>IF($D96="","",IF(AND($F96="Negative",OR($G96="Critical",$G96="Major")),"Yes","No"))</f>
        <v/>
      </c>
      <c r="M96" s="16" t="n"/>
      <c r="N96" s="16" t="n"/>
      <c r="O96" s="16" t="n"/>
    </row>
    <row r="97">
      <c r="B97" s="17">
        <f>IF($D97="","","I"&amp;TEXT(ROW()-5,"000"))</f>
        <v/>
      </c>
      <c r="C97" s="18" t="n"/>
      <c r="D97" s="16" t="n"/>
      <c r="E97" s="17">
        <f>IF($D97="","",IFERROR(INDEX(rngCadetPIDs,MATCH($D97,rngCadetNames,0)),"?"))</f>
        <v/>
      </c>
      <c r="F97" s="16" t="n"/>
      <c r="G97" s="16" t="n"/>
      <c r="H97" s="16" t="n"/>
      <c r="I97" s="16" t="n"/>
      <c r="J97" s="16" t="n"/>
      <c r="K97" s="16" t="n"/>
      <c r="L97" s="17">
        <f>IF($D97="","",IF(AND($F97="Negative",OR($G97="Critical",$G97="Major")),"Yes","No"))</f>
        <v/>
      </c>
      <c r="M97" s="16" t="n"/>
      <c r="N97" s="16" t="n"/>
      <c r="O97" s="16" t="n"/>
    </row>
    <row r="98">
      <c r="B98" s="17">
        <f>IF($D98="","","I"&amp;TEXT(ROW()-5,"000"))</f>
        <v/>
      </c>
      <c r="C98" s="18" t="n"/>
      <c r="D98" s="16" t="n"/>
      <c r="E98" s="17">
        <f>IF($D98="","",IFERROR(INDEX(rngCadetPIDs,MATCH($D98,rngCadetNames,0)),"?"))</f>
        <v/>
      </c>
      <c r="F98" s="16" t="n"/>
      <c r="G98" s="16" t="n"/>
      <c r="H98" s="16" t="n"/>
      <c r="I98" s="16" t="n"/>
      <c r="J98" s="16" t="n"/>
      <c r="K98" s="16" t="n"/>
      <c r="L98" s="17">
        <f>IF($D98="","",IF(AND($F98="Negative",OR($G98="Critical",$G98="Major")),"Yes","No"))</f>
        <v/>
      </c>
      <c r="M98" s="16" t="n"/>
      <c r="N98" s="16" t="n"/>
      <c r="O98" s="16" t="n"/>
    </row>
    <row r="99">
      <c r="B99" s="17">
        <f>IF($D99="","","I"&amp;TEXT(ROW()-5,"000"))</f>
        <v/>
      </c>
      <c r="C99" s="18" t="n"/>
      <c r="D99" s="16" t="n"/>
      <c r="E99" s="17">
        <f>IF($D99="","",IFERROR(INDEX(rngCadetPIDs,MATCH($D99,rngCadetNames,0)),"?"))</f>
        <v/>
      </c>
      <c r="F99" s="16" t="n"/>
      <c r="G99" s="16" t="n"/>
      <c r="H99" s="16" t="n"/>
      <c r="I99" s="16" t="n"/>
      <c r="J99" s="16" t="n"/>
      <c r="K99" s="16" t="n"/>
      <c r="L99" s="17">
        <f>IF($D99="","",IF(AND($F99="Negative",OR($G99="Critical",$G99="Major")),"Yes","No"))</f>
        <v/>
      </c>
      <c r="M99" s="16" t="n"/>
      <c r="N99" s="16" t="n"/>
      <c r="O99" s="16" t="n"/>
    </row>
    <row r="100">
      <c r="B100" s="17">
        <f>IF($D100="","","I"&amp;TEXT(ROW()-5,"000"))</f>
        <v/>
      </c>
      <c r="C100" s="18" t="n"/>
      <c r="D100" s="16" t="n"/>
      <c r="E100" s="17">
        <f>IF($D100="","",IFERROR(INDEX(rngCadetPIDs,MATCH($D100,rngCadetNames,0)),"?"))</f>
        <v/>
      </c>
      <c r="F100" s="16" t="n"/>
      <c r="G100" s="16" t="n"/>
      <c r="H100" s="16" t="n"/>
      <c r="I100" s="16" t="n"/>
      <c r="J100" s="16" t="n"/>
      <c r="K100" s="16" t="n"/>
      <c r="L100" s="17">
        <f>IF($D100="","",IF(AND($F100="Negative",OR($G100="Critical",$G100="Major")),"Yes","No"))</f>
        <v/>
      </c>
      <c r="M100" s="16" t="n"/>
      <c r="N100" s="16" t="n"/>
      <c r="O100" s="16" t="n"/>
    </row>
    <row r="101">
      <c r="B101" s="17">
        <f>IF($D101="","","I"&amp;TEXT(ROW()-5,"000"))</f>
        <v/>
      </c>
      <c r="C101" s="18" t="n"/>
      <c r="D101" s="16" t="n"/>
      <c r="E101" s="17">
        <f>IF($D101="","",IFERROR(INDEX(rngCadetPIDs,MATCH($D101,rngCadetNames,0)),"?"))</f>
        <v/>
      </c>
      <c r="F101" s="16" t="n"/>
      <c r="G101" s="16" t="n"/>
      <c r="H101" s="16" t="n"/>
      <c r="I101" s="16" t="n"/>
      <c r="J101" s="16" t="n"/>
      <c r="K101" s="16" t="n"/>
      <c r="L101" s="17">
        <f>IF($D101="","",IF(AND($F101="Negative",OR($G101="Critical",$G101="Major")),"Yes","No"))</f>
        <v/>
      </c>
      <c r="M101" s="16" t="n"/>
      <c r="N101" s="16" t="n"/>
      <c r="O101" s="16" t="n"/>
    </row>
    <row r="102">
      <c r="B102" s="17">
        <f>IF($D102="","","I"&amp;TEXT(ROW()-5,"000"))</f>
        <v/>
      </c>
      <c r="C102" s="18" t="n"/>
      <c r="D102" s="16" t="n"/>
      <c r="E102" s="17">
        <f>IF($D102="","",IFERROR(INDEX(rngCadetPIDs,MATCH($D102,rngCadetNames,0)),"?"))</f>
        <v/>
      </c>
      <c r="F102" s="16" t="n"/>
      <c r="G102" s="16" t="n"/>
      <c r="H102" s="16" t="n"/>
      <c r="I102" s="16" t="n"/>
      <c r="J102" s="16" t="n"/>
      <c r="K102" s="16" t="n"/>
      <c r="L102" s="17">
        <f>IF($D102="","",IF(AND($F102="Negative",OR($G102="Critical",$G102="Major")),"Yes","No"))</f>
        <v/>
      </c>
      <c r="M102" s="16" t="n"/>
      <c r="N102" s="16" t="n"/>
      <c r="O102" s="16" t="n"/>
    </row>
    <row r="103">
      <c r="B103" s="17">
        <f>IF($D103="","","I"&amp;TEXT(ROW()-5,"000"))</f>
        <v/>
      </c>
      <c r="C103" s="18" t="n"/>
      <c r="D103" s="16" t="n"/>
      <c r="E103" s="17">
        <f>IF($D103="","",IFERROR(INDEX(rngCadetPIDs,MATCH($D103,rngCadetNames,0)),"?"))</f>
        <v/>
      </c>
      <c r="F103" s="16" t="n"/>
      <c r="G103" s="16" t="n"/>
      <c r="H103" s="16" t="n"/>
      <c r="I103" s="16" t="n"/>
      <c r="J103" s="16" t="n"/>
      <c r="K103" s="16" t="n"/>
      <c r="L103" s="17">
        <f>IF($D103="","",IF(AND($F103="Negative",OR($G103="Critical",$G103="Major")),"Yes","No"))</f>
        <v/>
      </c>
      <c r="M103" s="16" t="n"/>
      <c r="N103" s="16" t="n"/>
      <c r="O103" s="16" t="n"/>
    </row>
    <row r="104">
      <c r="B104" s="17">
        <f>IF($D104="","","I"&amp;TEXT(ROW()-5,"000"))</f>
        <v/>
      </c>
      <c r="C104" s="18" t="n"/>
      <c r="D104" s="16" t="n"/>
      <c r="E104" s="17">
        <f>IF($D104="","",IFERROR(INDEX(rngCadetPIDs,MATCH($D104,rngCadetNames,0)),"?"))</f>
        <v/>
      </c>
      <c r="F104" s="16" t="n"/>
      <c r="G104" s="16" t="n"/>
      <c r="H104" s="16" t="n"/>
      <c r="I104" s="16" t="n"/>
      <c r="J104" s="16" t="n"/>
      <c r="K104" s="16" t="n"/>
      <c r="L104" s="17">
        <f>IF($D104="","",IF(AND($F104="Negative",OR($G104="Critical",$G104="Major")),"Yes","No"))</f>
        <v/>
      </c>
      <c r="M104" s="16" t="n"/>
      <c r="N104" s="16" t="n"/>
      <c r="O104" s="16" t="n"/>
    </row>
    <row r="105">
      <c r="B105" s="17">
        <f>IF($D105="","","I"&amp;TEXT(ROW()-5,"000"))</f>
        <v/>
      </c>
      <c r="C105" s="18" t="n"/>
      <c r="D105" s="16" t="n"/>
      <c r="E105" s="17">
        <f>IF($D105="","",IFERROR(INDEX(rngCadetPIDs,MATCH($D105,rngCadetNames,0)),"?"))</f>
        <v/>
      </c>
      <c r="F105" s="16" t="n"/>
      <c r="G105" s="16" t="n"/>
      <c r="H105" s="16" t="n"/>
      <c r="I105" s="16" t="n"/>
      <c r="J105" s="16" t="n"/>
      <c r="K105" s="16" t="n"/>
      <c r="L105" s="17">
        <f>IF($D105="","",IF(AND($F105="Negative",OR($G105="Critical",$G105="Major")),"Yes","No"))</f>
        <v/>
      </c>
      <c r="M105" s="16" t="n"/>
      <c r="N105" s="16" t="n"/>
      <c r="O105" s="16" t="n"/>
    </row>
    <row r="106">
      <c r="B106" s="17">
        <f>IF($D106="","","I"&amp;TEXT(ROW()-5,"000"))</f>
        <v/>
      </c>
      <c r="C106" s="18" t="n"/>
      <c r="D106" s="16" t="n"/>
      <c r="E106" s="17">
        <f>IF($D106="","",IFERROR(INDEX(rngCadetPIDs,MATCH($D106,rngCadetNames,0)),"?"))</f>
        <v/>
      </c>
      <c r="F106" s="16" t="n"/>
      <c r="G106" s="16" t="n"/>
      <c r="H106" s="16" t="n"/>
      <c r="I106" s="16" t="n"/>
      <c r="J106" s="16" t="n"/>
      <c r="K106" s="16" t="n"/>
      <c r="L106" s="17">
        <f>IF($D106="","",IF(AND($F106="Negative",OR($G106="Critical",$G106="Major")),"Yes","No"))</f>
        <v/>
      </c>
      <c r="M106" s="16" t="n"/>
      <c r="N106" s="16" t="n"/>
      <c r="O106" s="16" t="n"/>
    </row>
    <row r="107">
      <c r="B107" s="17">
        <f>IF($D107="","","I"&amp;TEXT(ROW()-5,"000"))</f>
        <v/>
      </c>
      <c r="C107" s="18" t="n"/>
      <c r="D107" s="16" t="n"/>
      <c r="E107" s="17">
        <f>IF($D107="","",IFERROR(INDEX(rngCadetPIDs,MATCH($D107,rngCadetNames,0)),"?"))</f>
        <v/>
      </c>
      <c r="F107" s="16" t="n"/>
      <c r="G107" s="16" t="n"/>
      <c r="H107" s="16" t="n"/>
      <c r="I107" s="16" t="n"/>
      <c r="J107" s="16" t="n"/>
      <c r="K107" s="16" t="n"/>
      <c r="L107" s="17">
        <f>IF($D107="","",IF(AND($F107="Negative",OR($G107="Critical",$G107="Major")),"Yes","No"))</f>
        <v/>
      </c>
      <c r="M107" s="16" t="n"/>
      <c r="N107" s="16" t="n"/>
      <c r="O107" s="16" t="n"/>
    </row>
    <row r="108">
      <c r="B108" s="17">
        <f>IF($D108="","","I"&amp;TEXT(ROW()-5,"000"))</f>
        <v/>
      </c>
      <c r="C108" s="18" t="n"/>
      <c r="D108" s="16" t="n"/>
      <c r="E108" s="17">
        <f>IF($D108="","",IFERROR(INDEX(rngCadetPIDs,MATCH($D108,rngCadetNames,0)),"?"))</f>
        <v/>
      </c>
      <c r="F108" s="16" t="n"/>
      <c r="G108" s="16" t="n"/>
      <c r="H108" s="16" t="n"/>
      <c r="I108" s="16" t="n"/>
      <c r="J108" s="16" t="n"/>
      <c r="K108" s="16" t="n"/>
      <c r="L108" s="17">
        <f>IF($D108="","",IF(AND($F108="Negative",OR($G108="Critical",$G108="Major")),"Yes","No"))</f>
        <v/>
      </c>
      <c r="M108" s="16" t="n"/>
      <c r="N108" s="16" t="n"/>
      <c r="O108" s="16" t="n"/>
    </row>
    <row r="109">
      <c r="B109" s="17">
        <f>IF($D109="","","I"&amp;TEXT(ROW()-5,"000"))</f>
        <v/>
      </c>
      <c r="C109" s="18" t="n"/>
      <c r="D109" s="16" t="n"/>
      <c r="E109" s="17">
        <f>IF($D109="","",IFERROR(INDEX(rngCadetPIDs,MATCH($D109,rngCadetNames,0)),"?"))</f>
        <v/>
      </c>
      <c r="F109" s="16" t="n"/>
      <c r="G109" s="16" t="n"/>
      <c r="H109" s="16" t="n"/>
      <c r="I109" s="16" t="n"/>
      <c r="J109" s="16" t="n"/>
      <c r="K109" s="16" t="n"/>
      <c r="L109" s="17">
        <f>IF($D109="","",IF(AND($F109="Negative",OR($G109="Critical",$G109="Major")),"Yes","No"))</f>
        <v/>
      </c>
      <c r="M109" s="16" t="n"/>
      <c r="N109" s="16" t="n"/>
      <c r="O109" s="16" t="n"/>
    </row>
    <row r="110">
      <c r="B110" s="17">
        <f>IF($D110="","","I"&amp;TEXT(ROW()-5,"000"))</f>
        <v/>
      </c>
      <c r="C110" s="18" t="n"/>
      <c r="D110" s="16" t="n"/>
      <c r="E110" s="17">
        <f>IF($D110="","",IFERROR(INDEX(rngCadetPIDs,MATCH($D110,rngCadetNames,0)),"?"))</f>
        <v/>
      </c>
      <c r="F110" s="16" t="n"/>
      <c r="G110" s="16" t="n"/>
      <c r="H110" s="16" t="n"/>
      <c r="I110" s="16" t="n"/>
      <c r="J110" s="16" t="n"/>
      <c r="K110" s="16" t="n"/>
      <c r="L110" s="17">
        <f>IF($D110="","",IF(AND($F110="Negative",OR($G110="Critical",$G110="Major")),"Yes","No"))</f>
        <v/>
      </c>
      <c r="M110" s="16" t="n"/>
      <c r="N110" s="16" t="n"/>
      <c r="O110" s="16" t="n"/>
    </row>
    <row r="111">
      <c r="B111" s="17">
        <f>IF($D111="","","I"&amp;TEXT(ROW()-5,"000"))</f>
        <v/>
      </c>
      <c r="C111" s="18" t="n"/>
      <c r="D111" s="16" t="n"/>
      <c r="E111" s="17">
        <f>IF($D111="","",IFERROR(INDEX(rngCadetPIDs,MATCH($D111,rngCadetNames,0)),"?"))</f>
        <v/>
      </c>
      <c r="F111" s="16" t="n"/>
      <c r="G111" s="16" t="n"/>
      <c r="H111" s="16" t="n"/>
      <c r="I111" s="16" t="n"/>
      <c r="J111" s="16" t="n"/>
      <c r="K111" s="16" t="n"/>
      <c r="L111" s="17">
        <f>IF($D111="","",IF(AND($F111="Negative",OR($G111="Critical",$G111="Major")),"Yes","No"))</f>
        <v/>
      </c>
      <c r="M111" s="16" t="n"/>
      <c r="N111" s="16" t="n"/>
      <c r="O111" s="16" t="n"/>
    </row>
    <row r="112">
      <c r="B112" s="17">
        <f>IF($D112="","","I"&amp;TEXT(ROW()-5,"000"))</f>
        <v/>
      </c>
      <c r="C112" s="18" t="n"/>
      <c r="D112" s="16" t="n"/>
      <c r="E112" s="17">
        <f>IF($D112="","",IFERROR(INDEX(rngCadetPIDs,MATCH($D112,rngCadetNames,0)),"?"))</f>
        <v/>
      </c>
      <c r="F112" s="16" t="n"/>
      <c r="G112" s="16" t="n"/>
      <c r="H112" s="16" t="n"/>
      <c r="I112" s="16" t="n"/>
      <c r="J112" s="16" t="n"/>
      <c r="K112" s="16" t="n"/>
      <c r="L112" s="17">
        <f>IF($D112="","",IF(AND($F112="Negative",OR($G112="Critical",$G112="Major")),"Yes","No"))</f>
        <v/>
      </c>
      <c r="M112" s="16" t="n"/>
      <c r="N112" s="16" t="n"/>
      <c r="O112" s="16" t="n"/>
    </row>
    <row r="113">
      <c r="B113" s="17">
        <f>IF($D113="","","I"&amp;TEXT(ROW()-5,"000"))</f>
        <v/>
      </c>
      <c r="C113" s="18" t="n"/>
      <c r="D113" s="16" t="n"/>
      <c r="E113" s="17">
        <f>IF($D113="","",IFERROR(INDEX(rngCadetPIDs,MATCH($D113,rngCadetNames,0)),"?"))</f>
        <v/>
      </c>
      <c r="F113" s="16" t="n"/>
      <c r="G113" s="16" t="n"/>
      <c r="H113" s="16" t="n"/>
      <c r="I113" s="16" t="n"/>
      <c r="J113" s="16" t="n"/>
      <c r="K113" s="16" t="n"/>
      <c r="L113" s="17">
        <f>IF($D113="","",IF(AND($F113="Negative",OR($G113="Critical",$G113="Major")),"Yes","No"))</f>
        <v/>
      </c>
      <c r="M113" s="16" t="n"/>
      <c r="N113" s="16" t="n"/>
      <c r="O113" s="16" t="n"/>
    </row>
    <row r="114">
      <c r="B114" s="17">
        <f>IF($D114="","","I"&amp;TEXT(ROW()-5,"000"))</f>
        <v/>
      </c>
      <c r="C114" s="18" t="n"/>
      <c r="D114" s="16" t="n"/>
      <c r="E114" s="17">
        <f>IF($D114="","",IFERROR(INDEX(rngCadetPIDs,MATCH($D114,rngCadetNames,0)),"?"))</f>
        <v/>
      </c>
      <c r="F114" s="16" t="n"/>
      <c r="G114" s="16" t="n"/>
      <c r="H114" s="16" t="n"/>
      <c r="I114" s="16" t="n"/>
      <c r="J114" s="16" t="n"/>
      <c r="K114" s="16" t="n"/>
      <c r="L114" s="17">
        <f>IF($D114="","",IF(AND($F114="Negative",OR($G114="Critical",$G114="Major")),"Yes","No"))</f>
        <v/>
      </c>
      <c r="M114" s="16" t="n"/>
      <c r="N114" s="16" t="n"/>
      <c r="O114" s="16" t="n"/>
    </row>
    <row r="115">
      <c r="B115" s="17">
        <f>IF($D115="","","I"&amp;TEXT(ROW()-5,"000"))</f>
        <v/>
      </c>
      <c r="C115" s="18" t="n"/>
      <c r="D115" s="16" t="n"/>
      <c r="E115" s="17">
        <f>IF($D115="","",IFERROR(INDEX(rngCadetPIDs,MATCH($D115,rngCadetNames,0)),"?"))</f>
        <v/>
      </c>
      <c r="F115" s="16" t="n"/>
      <c r="G115" s="16" t="n"/>
      <c r="H115" s="16" t="n"/>
      <c r="I115" s="16" t="n"/>
      <c r="J115" s="16" t="n"/>
      <c r="K115" s="16" t="n"/>
      <c r="L115" s="17">
        <f>IF($D115="","",IF(AND($F115="Negative",OR($G115="Critical",$G115="Major")),"Yes","No"))</f>
        <v/>
      </c>
      <c r="M115" s="16" t="n"/>
      <c r="N115" s="16" t="n"/>
      <c r="O115" s="16" t="n"/>
    </row>
    <row r="116">
      <c r="B116" s="17">
        <f>IF($D116="","","I"&amp;TEXT(ROW()-5,"000"))</f>
        <v/>
      </c>
      <c r="C116" s="18" t="n"/>
      <c r="D116" s="16" t="n"/>
      <c r="E116" s="17">
        <f>IF($D116="","",IFERROR(INDEX(rngCadetPIDs,MATCH($D116,rngCadetNames,0)),"?"))</f>
        <v/>
      </c>
      <c r="F116" s="16" t="n"/>
      <c r="G116" s="16" t="n"/>
      <c r="H116" s="16" t="n"/>
      <c r="I116" s="16" t="n"/>
      <c r="J116" s="16" t="n"/>
      <c r="K116" s="16" t="n"/>
      <c r="L116" s="17">
        <f>IF($D116="","",IF(AND($F116="Negative",OR($G116="Critical",$G116="Major")),"Yes","No"))</f>
        <v/>
      </c>
      <c r="M116" s="16" t="n"/>
      <c r="N116" s="16" t="n"/>
      <c r="O116" s="16" t="n"/>
    </row>
    <row r="117">
      <c r="B117" s="17">
        <f>IF($D117="","","I"&amp;TEXT(ROW()-5,"000"))</f>
        <v/>
      </c>
      <c r="C117" s="18" t="n"/>
      <c r="D117" s="16" t="n"/>
      <c r="E117" s="17">
        <f>IF($D117="","",IFERROR(INDEX(rngCadetPIDs,MATCH($D117,rngCadetNames,0)),"?"))</f>
        <v/>
      </c>
      <c r="F117" s="16" t="n"/>
      <c r="G117" s="16" t="n"/>
      <c r="H117" s="16" t="n"/>
      <c r="I117" s="16" t="n"/>
      <c r="J117" s="16" t="n"/>
      <c r="K117" s="16" t="n"/>
      <c r="L117" s="17">
        <f>IF($D117="","",IF(AND($F117="Negative",OR($G117="Critical",$G117="Major")),"Yes","No"))</f>
        <v/>
      </c>
      <c r="M117" s="16" t="n"/>
      <c r="N117" s="16" t="n"/>
      <c r="O117" s="16" t="n"/>
    </row>
    <row r="118">
      <c r="B118" s="17">
        <f>IF($D118="","","I"&amp;TEXT(ROW()-5,"000"))</f>
        <v/>
      </c>
      <c r="C118" s="18" t="n"/>
      <c r="D118" s="16" t="n"/>
      <c r="E118" s="17">
        <f>IF($D118="","",IFERROR(INDEX(rngCadetPIDs,MATCH($D118,rngCadetNames,0)),"?"))</f>
        <v/>
      </c>
      <c r="F118" s="16" t="n"/>
      <c r="G118" s="16" t="n"/>
      <c r="H118" s="16" t="n"/>
      <c r="I118" s="16" t="n"/>
      <c r="J118" s="16" t="n"/>
      <c r="K118" s="16" t="n"/>
      <c r="L118" s="17">
        <f>IF($D118="","",IF(AND($F118="Negative",OR($G118="Critical",$G118="Major")),"Yes","No"))</f>
        <v/>
      </c>
      <c r="M118" s="16" t="n"/>
      <c r="N118" s="16" t="n"/>
      <c r="O118" s="16" t="n"/>
    </row>
    <row r="119">
      <c r="B119" s="17">
        <f>IF($D119="","","I"&amp;TEXT(ROW()-5,"000"))</f>
        <v/>
      </c>
      <c r="C119" s="18" t="n"/>
      <c r="D119" s="16" t="n"/>
      <c r="E119" s="17">
        <f>IF($D119="","",IFERROR(INDEX(rngCadetPIDs,MATCH($D119,rngCadetNames,0)),"?"))</f>
        <v/>
      </c>
      <c r="F119" s="16" t="n"/>
      <c r="G119" s="16" t="n"/>
      <c r="H119" s="16" t="n"/>
      <c r="I119" s="16" t="n"/>
      <c r="J119" s="16" t="n"/>
      <c r="K119" s="16" t="n"/>
      <c r="L119" s="17">
        <f>IF($D119="","",IF(AND($F119="Negative",OR($G119="Critical",$G119="Major")),"Yes","No"))</f>
        <v/>
      </c>
      <c r="M119" s="16" t="n"/>
      <c r="N119" s="16" t="n"/>
      <c r="O119" s="16" t="n"/>
    </row>
    <row r="120">
      <c r="B120" s="17">
        <f>IF($D120="","","I"&amp;TEXT(ROW()-5,"000"))</f>
        <v/>
      </c>
      <c r="C120" s="18" t="n"/>
      <c r="D120" s="16" t="n"/>
      <c r="E120" s="17">
        <f>IF($D120="","",IFERROR(INDEX(rngCadetPIDs,MATCH($D120,rngCadetNames,0)),"?"))</f>
        <v/>
      </c>
      <c r="F120" s="16" t="n"/>
      <c r="G120" s="16" t="n"/>
      <c r="H120" s="16" t="n"/>
      <c r="I120" s="16" t="n"/>
      <c r="J120" s="16" t="n"/>
      <c r="K120" s="16" t="n"/>
      <c r="L120" s="17">
        <f>IF($D120="","",IF(AND($F120="Negative",OR($G120="Critical",$G120="Major")),"Yes","No"))</f>
        <v/>
      </c>
      <c r="M120" s="16" t="n"/>
      <c r="N120" s="16" t="n"/>
      <c r="O120" s="16" t="n"/>
    </row>
    <row r="121">
      <c r="B121" s="17">
        <f>IF($D121="","","I"&amp;TEXT(ROW()-5,"000"))</f>
        <v/>
      </c>
      <c r="C121" s="18" t="n"/>
      <c r="D121" s="16" t="n"/>
      <c r="E121" s="17">
        <f>IF($D121="","",IFERROR(INDEX(rngCadetPIDs,MATCH($D121,rngCadetNames,0)),"?"))</f>
        <v/>
      </c>
      <c r="F121" s="16" t="n"/>
      <c r="G121" s="16" t="n"/>
      <c r="H121" s="16" t="n"/>
      <c r="I121" s="16" t="n"/>
      <c r="J121" s="16" t="n"/>
      <c r="K121" s="16" t="n"/>
      <c r="L121" s="17">
        <f>IF($D121="","",IF(AND($F121="Negative",OR($G121="Critical",$G121="Major")),"Yes","No"))</f>
        <v/>
      </c>
      <c r="M121" s="16" t="n"/>
      <c r="N121" s="16" t="n"/>
      <c r="O121" s="16" t="n"/>
    </row>
    <row r="122">
      <c r="B122" s="17">
        <f>IF($D122="","","I"&amp;TEXT(ROW()-5,"000"))</f>
        <v/>
      </c>
      <c r="C122" s="18" t="n"/>
      <c r="D122" s="16" t="n"/>
      <c r="E122" s="17">
        <f>IF($D122="","",IFERROR(INDEX(rngCadetPIDs,MATCH($D122,rngCadetNames,0)),"?"))</f>
        <v/>
      </c>
      <c r="F122" s="16" t="n"/>
      <c r="G122" s="16" t="n"/>
      <c r="H122" s="16" t="n"/>
      <c r="I122" s="16" t="n"/>
      <c r="J122" s="16" t="n"/>
      <c r="K122" s="16" t="n"/>
      <c r="L122" s="17">
        <f>IF($D122="","",IF(AND($F122="Negative",OR($G122="Critical",$G122="Major")),"Yes","No"))</f>
        <v/>
      </c>
      <c r="M122" s="16" t="n"/>
      <c r="N122" s="16" t="n"/>
      <c r="O122" s="16" t="n"/>
    </row>
    <row r="123">
      <c r="B123" s="17">
        <f>IF($D123="","","I"&amp;TEXT(ROW()-5,"000"))</f>
        <v/>
      </c>
      <c r="C123" s="18" t="n"/>
      <c r="D123" s="16" t="n"/>
      <c r="E123" s="17">
        <f>IF($D123="","",IFERROR(INDEX(rngCadetPIDs,MATCH($D123,rngCadetNames,0)),"?"))</f>
        <v/>
      </c>
      <c r="F123" s="16" t="n"/>
      <c r="G123" s="16" t="n"/>
      <c r="H123" s="16" t="n"/>
      <c r="I123" s="16" t="n"/>
      <c r="J123" s="16" t="n"/>
      <c r="K123" s="16" t="n"/>
      <c r="L123" s="17">
        <f>IF($D123="","",IF(AND($F123="Negative",OR($G123="Critical",$G123="Major")),"Yes","No"))</f>
        <v/>
      </c>
      <c r="M123" s="16" t="n"/>
      <c r="N123" s="16" t="n"/>
      <c r="O123" s="16" t="n"/>
    </row>
    <row r="124">
      <c r="B124" s="17">
        <f>IF($D124="","","I"&amp;TEXT(ROW()-5,"000"))</f>
        <v/>
      </c>
      <c r="C124" s="18" t="n"/>
      <c r="D124" s="16" t="n"/>
      <c r="E124" s="17">
        <f>IF($D124="","",IFERROR(INDEX(rngCadetPIDs,MATCH($D124,rngCadetNames,0)),"?"))</f>
        <v/>
      </c>
      <c r="F124" s="16" t="n"/>
      <c r="G124" s="16" t="n"/>
      <c r="H124" s="16" t="n"/>
      <c r="I124" s="16" t="n"/>
      <c r="J124" s="16" t="n"/>
      <c r="K124" s="16" t="n"/>
      <c r="L124" s="17">
        <f>IF($D124="","",IF(AND($F124="Negative",OR($G124="Critical",$G124="Major")),"Yes","No"))</f>
        <v/>
      </c>
      <c r="M124" s="16" t="n"/>
      <c r="N124" s="16" t="n"/>
      <c r="O124" s="16" t="n"/>
    </row>
    <row r="125">
      <c r="B125" s="17">
        <f>IF($D125="","","I"&amp;TEXT(ROW()-5,"000"))</f>
        <v/>
      </c>
      <c r="C125" s="18" t="n"/>
      <c r="D125" s="16" t="n"/>
      <c r="E125" s="17">
        <f>IF($D125="","",IFERROR(INDEX(rngCadetPIDs,MATCH($D125,rngCadetNames,0)),"?"))</f>
        <v/>
      </c>
      <c r="F125" s="16" t="n"/>
      <c r="G125" s="16" t="n"/>
      <c r="H125" s="16" t="n"/>
      <c r="I125" s="16" t="n"/>
      <c r="J125" s="16" t="n"/>
      <c r="K125" s="16" t="n"/>
      <c r="L125" s="17">
        <f>IF($D125="","",IF(AND($F125="Negative",OR($G125="Critical",$G125="Major")),"Yes","No"))</f>
        <v/>
      </c>
      <c r="M125" s="16" t="n"/>
      <c r="N125" s="16" t="n"/>
      <c r="O125" s="16" t="n"/>
    </row>
    <row r="126">
      <c r="B126" s="17">
        <f>IF($D126="","","I"&amp;TEXT(ROW()-5,"000"))</f>
        <v/>
      </c>
      <c r="C126" s="18" t="n"/>
      <c r="D126" s="16" t="n"/>
      <c r="E126" s="17">
        <f>IF($D126="","",IFERROR(INDEX(rngCadetPIDs,MATCH($D126,rngCadetNames,0)),"?"))</f>
        <v/>
      </c>
      <c r="F126" s="16" t="n"/>
      <c r="G126" s="16" t="n"/>
      <c r="H126" s="16" t="n"/>
      <c r="I126" s="16" t="n"/>
      <c r="J126" s="16" t="n"/>
      <c r="K126" s="16" t="n"/>
      <c r="L126" s="17">
        <f>IF($D126="","",IF(AND($F126="Negative",OR($G126="Critical",$G126="Major")),"Yes","No"))</f>
        <v/>
      </c>
      <c r="M126" s="16" t="n"/>
      <c r="N126" s="16" t="n"/>
      <c r="O126" s="16" t="n"/>
    </row>
    <row r="127">
      <c r="B127" s="17">
        <f>IF($D127="","","I"&amp;TEXT(ROW()-5,"000"))</f>
        <v/>
      </c>
      <c r="C127" s="18" t="n"/>
      <c r="D127" s="16" t="n"/>
      <c r="E127" s="17">
        <f>IF($D127="","",IFERROR(INDEX(rngCadetPIDs,MATCH($D127,rngCadetNames,0)),"?"))</f>
        <v/>
      </c>
      <c r="F127" s="16" t="n"/>
      <c r="G127" s="16" t="n"/>
      <c r="H127" s="16" t="n"/>
      <c r="I127" s="16" t="n"/>
      <c r="J127" s="16" t="n"/>
      <c r="K127" s="16" t="n"/>
      <c r="L127" s="17">
        <f>IF($D127="","",IF(AND($F127="Negative",OR($G127="Critical",$G127="Major")),"Yes","No"))</f>
        <v/>
      </c>
      <c r="M127" s="16" t="n"/>
      <c r="N127" s="16" t="n"/>
      <c r="O127" s="16" t="n"/>
    </row>
    <row r="128">
      <c r="B128" s="17">
        <f>IF($D128="","","I"&amp;TEXT(ROW()-5,"000"))</f>
        <v/>
      </c>
      <c r="C128" s="18" t="n"/>
      <c r="D128" s="16" t="n"/>
      <c r="E128" s="17">
        <f>IF($D128="","",IFERROR(INDEX(rngCadetPIDs,MATCH($D128,rngCadetNames,0)),"?"))</f>
        <v/>
      </c>
      <c r="F128" s="16" t="n"/>
      <c r="G128" s="16" t="n"/>
      <c r="H128" s="16" t="n"/>
      <c r="I128" s="16" t="n"/>
      <c r="J128" s="16" t="n"/>
      <c r="K128" s="16" t="n"/>
      <c r="L128" s="17">
        <f>IF($D128="","",IF(AND($F128="Negative",OR($G128="Critical",$G128="Major")),"Yes","No"))</f>
        <v/>
      </c>
      <c r="M128" s="16" t="n"/>
      <c r="N128" s="16" t="n"/>
      <c r="O128" s="16" t="n"/>
    </row>
    <row r="129">
      <c r="B129" s="17">
        <f>IF($D129="","","I"&amp;TEXT(ROW()-5,"000"))</f>
        <v/>
      </c>
      <c r="C129" s="18" t="n"/>
      <c r="D129" s="16" t="n"/>
      <c r="E129" s="17">
        <f>IF($D129="","",IFERROR(INDEX(rngCadetPIDs,MATCH($D129,rngCadetNames,0)),"?"))</f>
        <v/>
      </c>
      <c r="F129" s="16" t="n"/>
      <c r="G129" s="16" t="n"/>
      <c r="H129" s="16" t="n"/>
      <c r="I129" s="16" t="n"/>
      <c r="J129" s="16" t="n"/>
      <c r="K129" s="16" t="n"/>
      <c r="L129" s="17">
        <f>IF($D129="","",IF(AND($F129="Negative",OR($G129="Critical",$G129="Major")),"Yes","No"))</f>
        <v/>
      </c>
      <c r="M129" s="16" t="n"/>
      <c r="N129" s="16" t="n"/>
      <c r="O129" s="16" t="n"/>
    </row>
    <row r="130">
      <c r="B130" s="17">
        <f>IF($D130="","","I"&amp;TEXT(ROW()-5,"000"))</f>
        <v/>
      </c>
      <c r="C130" s="18" t="n"/>
      <c r="D130" s="16" t="n"/>
      <c r="E130" s="17">
        <f>IF($D130="","",IFERROR(INDEX(rngCadetPIDs,MATCH($D130,rngCadetNames,0)),"?"))</f>
        <v/>
      </c>
      <c r="F130" s="16" t="n"/>
      <c r="G130" s="16" t="n"/>
      <c r="H130" s="16" t="n"/>
      <c r="I130" s="16" t="n"/>
      <c r="J130" s="16" t="n"/>
      <c r="K130" s="16" t="n"/>
      <c r="L130" s="17">
        <f>IF($D130="","",IF(AND($F130="Negative",OR($G130="Critical",$G130="Major")),"Yes","No"))</f>
        <v/>
      </c>
      <c r="M130" s="16" t="n"/>
      <c r="N130" s="16" t="n"/>
      <c r="O130" s="16" t="n"/>
    </row>
    <row r="131">
      <c r="B131" s="17">
        <f>IF($D131="","","I"&amp;TEXT(ROW()-5,"000"))</f>
        <v/>
      </c>
      <c r="C131" s="18" t="n"/>
      <c r="D131" s="16" t="n"/>
      <c r="E131" s="17">
        <f>IF($D131="","",IFERROR(INDEX(rngCadetPIDs,MATCH($D131,rngCadetNames,0)),"?"))</f>
        <v/>
      </c>
      <c r="F131" s="16" t="n"/>
      <c r="G131" s="16" t="n"/>
      <c r="H131" s="16" t="n"/>
      <c r="I131" s="16" t="n"/>
      <c r="J131" s="16" t="n"/>
      <c r="K131" s="16" t="n"/>
      <c r="L131" s="17">
        <f>IF($D131="","",IF(AND($F131="Negative",OR($G131="Critical",$G131="Major")),"Yes","No"))</f>
        <v/>
      </c>
      <c r="M131" s="16" t="n"/>
      <c r="N131" s="16" t="n"/>
      <c r="O131" s="16" t="n"/>
    </row>
    <row r="132">
      <c r="B132" s="17">
        <f>IF($D132="","","I"&amp;TEXT(ROW()-5,"000"))</f>
        <v/>
      </c>
      <c r="C132" s="18" t="n"/>
      <c r="D132" s="16" t="n"/>
      <c r="E132" s="17">
        <f>IF($D132="","",IFERROR(INDEX(rngCadetPIDs,MATCH($D132,rngCadetNames,0)),"?"))</f>
        <v/>
      </c>
      <c r="F132" s="16" t="n"/>
      <c r="G132" s="16" t="n"/>
      <c r="H132" s="16" t="n"/>
      <c r="I132" s="16" t="n"/>
      <c r="J132" s="16" t="n"/>
      <c r="K132" s="16" t="n"/>
      <c r="L132" s="17">
        <f>IF($D132="","",IF(AND($F132="Negative",OR($G132="Critical",$G132="Major")),"Yes","No"))</f>
        <v/>
      </c>
      <c r="M132" s="16" t="n"/>
      <c r="N132" s="16" t="n"/>
      <c r="O132" s="16" t="n"/>
    </row>
    <row r="133">
      <c r="B133" s="17">
        <f>IF($D133="","","I"&amp;TEXT(ROW()-5,"000"))</f>
        <v/>
      </c>
      <c r="C133" s="18" t="n"/>
      <c r="D133" s="16" t="n"/>
      <c r="E133" s="17">
        <f>IF($D133="","",IFERROR(INDEX(rngCadetPIDs,MATCH($D133,rngCadetNames,0)),"?"))</f>
        <v/>
      </c>
      <c r="F133" s="16" t="n"/>
      <c r="G133" s="16" t="n"/>
      <c r="H133" s="16" t="n"/>
      <c r="I133" s="16" t="n"/>
      <c r="J133" s="16" t="n"/>
      <c r="K133" s="16" t="n"/>
      <c r="L133" s="17">
        <f>IF($D133="","",IF(AND($F133="Negative",OR($G133="Critical",$G133="Major")),"Yes","No"))</f>
        <v/>
      </c>
      <c r="M133" s="16" t="n"/>
      <c r="N133" s="16" t="n"/>
      <c r="O133" s="16" t="n"/>
    </row>
    <row r="134">
      <c r="B134" s="17">
        <f>IF($D134="","","I"&amp;TEXT(ROW()-5,"000"))</f>
        <v/>
      </c>
      <c r="C134" s="18" t="n"/>
      <c r="D134" s="16" t="n"/>
      <c r="E134" s="17">
        <f>IF($D134="","",IFERROR(INDEX(rngCadetPIDs,MATCH($D134,rngCadetNames,0)),"?"))</f>
        <v/>
      </c>
      <c r="F134" s="16" t="n"/>
      <c r="G134" s="16" t="n"/>
      <c r="H134" s="16" t="n"/>
      <c r="I134" s="16" t="n"/>
      <c r="J134" s="16" t="n"/>
      <c r="K134" s="16" t="n"/>
      <c r="L134" s="17">
        <f>IF($D134="","",IF(AND($F134="Negative",OR($G134="Critical",$G134="Major")),"Yes","No"))</f>
        <v/>
      </c>
      <c r="M134" s="16" t="n"/>
      <c r="N134" s="16" t="n"/>
      <c r="O134" s="16" t="n"/>
    </row>
    <row r="135">
      <c r="B135" s="17">
        <f>IF($D135="","","I"&amp;TEXT(ROW()-5,"000"))</f>
        <v/>
      </c>
      <c r="C135" s="18" t="n"/>
      <c r="D135" s="16" t="n"/>
      <c r="E135" s="17">
        <f>IF($D135="","",IFERROR(INDEX(rngCadetPIDs,MATCH($D135,rngCadetNames,0)),"?"))</f>
        <v/>
      </c>
      <c r="F135" s="16" t="n"/>
      <c r="G135" s="16" t="n"/>
      <c r="H135" s="16" t="n"/>
      <c r="I135" s="16" t="n"/>
      <c r="J135" s="16" t="n"/>
      <c r="K135" s="16" t="n"/>
      <c r="L135" s="17">
        <f>IF($D135="","",IF(AND($F135="Negative",OR($G135="Critical",$G135="Major")),"Yes","No"))</f>
        <v/>
      </c>
      <c r="M135" s="16" t="n"/>
      <c r="N135" s="16" t="n"/>
      <c r="O135" s="16" t="n"/>
    </row>
    <row r="136">
      <c r="B136" s="17">
        <f>IF($D136="","","I"&amp;TEXT(ROW()-5,"000"))</f>
        <v/>
      </c>
      <c r="C136" s="18" t="n"/>
      <c r="D136" s="16" t="n"/>
      <c r="E136" s="17">
        <f>IF($D136="","",IFERROR(INDEX(rngCadetPIDs,MATCH($D136,rngCadetNames,0)),"?"))</f>
        <v/>
      </c>
      <c r="F136" s="16" t="n"/>
      <c r="G136" s="16" t="n"/>
      <c r="H136" s="16" t="n"/>
      <c r="I136" s="16" t="n"/>
      <c r="J136" s="16" t="n"/>
      <c r="K136" s="16" t="n"/>
      <c r="L136" s="17">
        <f>IF($D136="","",IF(AND($F136="Negative",OR($G136="Critical",$G136="Major")),"Yes","No"))</f>
        <v/>
      </c>
      <c r="M136" s="16" t="n"/>
      <c r="N136" s="16" t="n"/>
      <c r="O136" s="16" t="n"/>
    </row>
    <row r="137">
      <c r="B137" s="17">
        <f>IF($D137="","","I"&amp;TEXT(ROW()-5,"000"))</f>
        <v/>
      </c>
      <c r="C137" s="18" t="n"/>
      <c r="D137" s="16" t="n"/>
      <c r="E137" s="17">
        <f>IF($D137="","",IFERROR(INDEX(rngCadetPIDs,MATCH($D137,rngCadetNames,0)),"?"))</f>
        <v/>
      </c>
      <c r="F137" s="16" t="n"/>
      <c r="G137" s="16" t="n"/>
      <c r="H137" s="16" t="n"/>
      <c r="I137" s="16" t="n"/>
      <c r="J137" s="16" t="n"/>
      <c r="K137" s="16" t="n"/>
      <c r="L137" s="17">
        <f>IF($D137="","",IF(AND($F137="Negative",OR($G137="Critical",$G137="Major")),"Yes","No"))</f>
        <v/>
      </c>
      <c r="M137" s="16" t="n"/>
      <c r="N137" s="16" t="n"/>
      <c r="O137" s="16" t="n"/>
    </row>
    <row r="138">
      <c r="B138" s="17">
        <f>IF($D138="","","I"&amp;TEXT(ROW()-5,"000"))</f>
        <v/>
      </c>
      <c r="C138" s="18" t="n"/>
      <c r="D138" s="16" t="n"/>
      <c r="E138" s="17">
        <f>IF($D138="","",IFERROR(INDEX(rngCadetPIDs,MATCH($D138,rngCadetNames,0)),"?"))</f>
        <v/>
      </c>
      <c r="F138" s="16" t="n"/>
      <c r="G138" s="16" t="n"/>
      <c r="H138" s="16" t="n"/>
      <c r="I138" s="16" t="n"/>
      <c r="J138" s="16" t="n"/>
      <c r="K138" s="16" t="n"/>
      <c r="L138" s="17">
        <f>IF($D138="","",IF(AND($F138="Negative",OR($G138="Critical",$G138="Major")),"Yes","No"))</f>
        <v/>
      </c>
      <c r="M138" s="16" t="n"/>
      <c r="N138" s="16" t="n"/>
      <c r="O138" s="16" t="n"/>
    </row>
    <row r="139">
      <c r="B139" s="17">
        <f>IF($D139="","","I"&amp;TEXT(ROW()-5,"000"))</f>
        <v/>
      </c>
      <c r="C139" s="18" t="n"/>
      <c r="D139" s="16" t="n"/>
      <c r="E139" s="17">
        <f>IF($D139="","",IFERROR(INDEX(rngCadetPIDs,MATCH($D139,rngCadetNames,0)),"?"))</f>
        <v/>
      </c>
      <c r="F139" s="16" t="n"/>
      <c r="G139" s="16" t="n"/>
      <c r="H139" s="16" t="n"/>
      <c r="I139" s="16" t="n"/>
      <c r="J139" s="16" t="n"/>
      <c r="K139" s="16" t="n"/>
      <c r="L139" s="17">
        <f>IF($D139="","",IF(AND($F139="Negative",OR($G139="Critical",$G139="Major")),"Yes","No"))</f>
        <v/>
      </c>
      <c r="M139" s="16" t="n"/>
      <c r="N139" s="16" t="n"/>
      <c r="O139" s="16" t="n"/>
    </row>
    <row r="140">
      <c r="B140" s="17">
        <f>IF($D140="","","I"&amp;TEXT(ROW()-5,"000"))</f>
        <v/>
      </c>
      <c r="C140" s="18" t="n"/>
      <c r="D140" s="16" t="n"/>
      <c r="E140" s="17">
        <f>IF($D140="","",IFERROR(INDEX(rngCadetPIDs,MATCH($D140,rngCadetNames,0)),"?"))</f>
        <v/>
      </c>
      <c r="F140" s="16" t="n"/>
      <c r="G140" s="16" t="n"/>
      <c r="H140" s="16" t="n"/>
      <c r="I140" s="16" t="n"/>
      <c r="J140" s="16" t="n"/>
      <c r="K140" s="16" t="n"/>
      <c r="L140" s="17">
        <f>IF($D140="","",IF(AND($F140="Negative",OR($G140="Critical",$G140="Major")),"Yes","No"))</f>
        <v/>
      </c>
      <c r="M140" s="16" t="n"/>
      <c r="N140" s="16" t="n"/>
      <c r="O140" s="16" t="n"/>
    </row>
    <row r="141">
      <c r="B141" s="17">
        <f>IF($D141="","","I"&amp;TEXT(ROW()-5,"000"))</f>
        <v/>
      </c>
      <c r="C141" s="18" t="n"/>
      <c r="D141" s="16" t="n"/>
      <c r="E141" s="17">
        <f>IF($D141="","",IFERROR(INDEX(rngCadetPIDs,MATCH($D141,rngCadetNames,0)),"?"))</f>
        <v/>
      </c>
      <c r="F141" s="16" t="n"/>
      <c r="G141" s="16" t="n"/>
      <c r="H141" s="16" t="n"/>
      <c r="I141" s="16" t="n"/>
      <c r="J141" s="16" t="n"/>
      <c r="K141" s="16" t="n"/>
      <c r="L141" s="17">
        <f>IF($D141="","",IF(AND($F141="Negative",OR($G141="Critical",$G141="Major")),"Yes","No"))</f>
        <v/>
      </c>
      <c r="M141" s="16" t="n"/>
      <c r="N141" s="16" t="n"/>
      <c r="O141" s="16" t="n"/>
    </row>
    <row r="142">
      <c r="B142" s="17">
        <f>IF($D142="","","I"&amp;TEXT(ROW()-5,"000"))</f>
        <v/>
      </c>
      <c r="C142" s="18" t="n"/>
      <c r="D142" s="16" t="n"/>
      <c r="E142" s="17">
        <f>IF($D142="","",IFERROR(INDEX(rngCadetPIDs,MATCH($D142,rngCadetNames,0)),"?"))</f>
        <v/>
      </c>
      <c r="F142" s="16" t="n"/>
      <c r="G142" s="16" t="n"/>
      <c r="H142" s="16" t="n"/>
      <c r="I142" s="16" t="n"/>
      <c r="J142" s="16" t="n"/>
      <c r="K142" s="16" t="n"/>
      <c r="L142" s="17">
        <f>IF($D142="","",IF(AND($F142="Negative",OR($G142="Critical",$G142="Major")),"Yes","No"))</f>
        <v/>
      </c>
      <c r="M142" s="16" t="n"/>
      <c r="N142" s="16" t="n"/>
      <c r="O142" s="16" t="n"/>
    </row>
    <row r="143">
      <c r="B143" s="17">
        <f>IF($D143="","","I"&amp;TEXT(ROW()-5,"000"))</f>
        <v/>
      </c>
      <c r="C143" s="18" t="n"/>
      <c r="D143" s="16" t="n"/>
      <c r="E143" s="17">
        <f>IF($D143="","",IFERROR(INDEX(rngCadetPIDs,MATCH($D143,rngCadetNames,0)),"?"))</f>
        <v/>
      </c>
      <c r="F143" s="16" t="n"/>
      <c r="G143" s="16" t="n"/>
      <c r="H143" s="16" t="n"/>
      <c r="I143" s="16" t="n"/>
      <c r="J143" s="16" t="n"/>
      <c r="K143" s="16" t="n"/>
      <c r="L143" s="17">
        <f>IF($D143="","",IF(AND($F143="Negative",OR($G143="Critical",$G143="Major")),"Yes","No"))</f>
        <v/>
      </c>
      <c r="M143" s="16" t="n"/>
      <c r="N143" s="16" t="n"/>
      <c r="O143" s="16" t="n"/>
    </row>
    <row r="144">
      <c r="B144" s="17">
        <f>IF($D144="","","I"&amp;TEXT(ROW()-5,"000"))</f>
        <v/>
      </c>
      <c r="C144" s="18" t="n"/>
      <c r="D144" s="16" t="n"/>
      <c r="E144" s="17">
        <f>IF($D144="","",IFERROR(INDEX(rngCadetPIDs,MATCH($D144,rngCadetNames,0)),"?"))</f>
        <v/>
      </c>
      <c r="F144" s="16" t="n"/>
      <c r="G144" s="16" t="n"/>
      <c r="H144" s="16" t="n"/>
      <c r="I144" s="16" t="n"/>
      <c r="J144" s="16" t="n"/>
      <c r="K144" s="16" t="n"/>
      <c r="L144" s="17">
        <f>IF($D144="","",IF(AND($F144="Negative",OR($G144="Critical",$G144="Major")),"Yes","No"))</f>
        <v/>
      </c>
      <c r="M144" s="16" t="n"/>
      <c r="N144" s="16" t="n"/>
      <c r="O144" s="16" t="n"/>
    </row>
    <row r="145">
      <c r="B145" s="17">
        <f>IF($D145="","","I"&amp;TEXT(ROW()-5,"000"))</f>
        <v/>
      </c>
      <c r="C145" s="18" t="n"/>
      <c r="D145" s="16" t="n"/>
      <c r="E145" s="17">
        <f>IF($D145="","",IFERROR(INDEX(rngCadetPIDs,MATCH($D145,rngCadetNames,0)),"?"))</f>
        <v/>
      </c>
      <c r="F145" s="16" t="n"/>
      <c r="G145" s="16" t="n"/>
      <c r="H145" s="16" t="n"/>
      <c r="I145" s="16" t="n"/>
      <c r="J145" s="16" t="n"/>
      <c r="K145" s="16" t="n"/>
      <c r="L145" s="17">
        <f>IF($D145="","",IF(AND($F145="Negative",OR($G145="Critical",$G145="Major")),"Yes","No"))</f>
        <v/>
      </c>
      <c r="M145" s="16" t="n"/>
      <c r="N145" s="16" t="n"/>
      <c r="O145" s="16" t="n"/>
    </row>
    <row r="146">
      <c r="B146" s="17">
        <f>IF($D146="","","I"&amp;TEXT(ROW()-5,"000"))</f>
        <v/>
      </c>
      <c r="C146" s="18" t="n"/>
      <c r="D146" s="16" t="n"/>
      <c r="E146" s="17">
        <f>IF($D146="","",IFERROR(INDEX(rngCadetPIDs,MATCH($D146,rngCadetNames,0)),"?"))</f>
        <v/>
      </c>
      <c r="F146" s="16" t="n"/>
      <c r="G146" s="16" t="n"/>
      <c r="H146" s="16" t="n"/>
      <c r="I146" s="16" t="n"/>
      <c r="J146" s="16" t="n"/>
      <c r="K146" s="16" t="n"/>
      <c r="L146" s="17">
        <f>IF($D146="","",IF(AND($F146="Negative",OR($G146="Critical",$G146="Major")),"Yes","No"))</f>
        <v/>
      </c>
      <c r="M146" s="16" t="n"/>
      <c r="N146" s="16" t="n"/>
      <c r="O146" s="16" t="n"/>
    </row>
    <row r="147">
      <c r="B147" s="17">
        <f>IF($D147="","","I"&amp;TEXT(ROW()-5,"000"))</f>
        <v/>
      </c>
      <c r="C147" s="18" t="n"/>
      <c r="D147" s="16" t="n"/>
      <c r="E147" s="17">
        <f>IF($D147="","",IFERROR(INDEX(rngCadetPIDs,MATCH($D147,rngCadetNames,0)),"?"))</f>
        <v/>
      </c>
      <c r="F147" s="16" t="n"/>
      <c r="G147" s="16" t="n"/>
      <c r="H147" s="16" t="n"/>
      <c r="I147" s="16" t="n"/>
      <c r="J147" s="16" t="n"/>
      <c r="K147" s="16" t="n"/>
      <c r="L147" s="17">
        <f>IF($D147="","",IF(AND($F147="Negative",OR($G147="Critical",$G147="Major")),"Yes","No"))</f>
        <v/>
      </c>
      <c r="M147" s="16" t="n"/>
      <c r="N147" s="16" t="n"/>
      <c r="O147" s="16" t="n"/>
    </row>
    <row r="148">
      <c r="B148" s="17">
        <f>IF($D148="","","I"&amp;TEXT(ROW()-5,"000"))</f>
        <v/>
      </c>
      <c r="C148" s="18" t="n"/>
      <c r="D148" s="16" t="n"/>
      <c r="E148" s="17">
        <f>IF($D148="","",IFERROR(INDEX(rngCadetPIDs,MATCH($D148,rngCadetNames,0)),"?"))</f>
        <v/>
      </c>
      <c r="F148" s="16" t="n"/>
      <c r="G148" s="16" t="n"/>
      <c r="H148" s="16" t="n"/>
      <c r="I148" s="16" t="n"/>
      <c r="J148" s="16" t="n"/>
      <c r="K148" s="16" t="n"/>
      <c r="L148" s="17">
        <f>IF($D148="","",IF(AND($F148="Negative",OR($G148="Critical",$G148="Major")),"Yes","No"))</f>
        <v/>
      </c>
      <c r="M148" s="16" t="n"/>
      <c r="N148" s="16" t="n"/>
      <c r="O148" s="16" t="n"/>
    </row>
    <row r="149">
      <c r="B149" s="17">
        <f>IF($D149="","","I"&amp;TEXT(ROW()-5,"000"))</f>
        <v/>
      </c>
      <c r="C149" s="18" t="n"/>
      <c r="D149" s="16" t="n"/>
      <c r="E149" s="17">
        <f>IF($D149="","",IFERROR(INDEX(rngCadetPIDs,MATCH($D149,rngCadetNames,0)),"?"))</f>
        <v/>
      </c>
      <c r="F149" s="16" t="n"/>
      <c r="G149" s="16" t="n"/>
      <c r="H149" s="16" t="n"/>
      <c r="I149" s="16" t="n"/>
      <c r="J149" s="16" t="n"/>
      <c r="K149" s="16" t="n"/>
      <c r="L149" s="17">
        <f>IF($D149="","",IF(AND($F149="Negative",OR($G149="Critical",$G149="Major")),"Yes","No"))</f>
        <v/>
      </c>
      <c r="M149" s="16" t="n"/>
      <c r="N149" s="16" t="n"/>
      <c r="O149" s="16" t="n"/>
    </row>
    <row r="150">
      <c r="B150" s="17">
        <f>IF($D150="","","I"&amp;TEXT(ROW()-5,"000"))</f>
        <v/>
      </c>
      <c r="C150" s="18" t="n"/>
      <c r="D150" s="16" t="n"/>
      <c r="E150" s="17">
        <f>IF($D150="","",IFERROR(INDEX(rngCadetPIDs,MATCH($D150,rngCadetNames,0)),"?"))</f>
        <v/>
      </c>
      <c r="F150" s="16" t="n"/>
      <c r="G150" s="16" t="n"/>
      <c r="H150" s="16" t="n"/>
      <c r="I150" s="16" t="n"/>
      <c r="J150" s="16" t="n"/>
      <c r="K150" s="16" t="n"/>
      <c r="L150" s="17">
        <f>IF($D150="","",IF(AND($F150="Negative",OR($G150="Critical",$G150="Major")),"Yes","No"))</f>
        <v/>
      </c>
      <c r="M150" s="16" t="n"/>
      <c r="N150" s="16" t="n"/>
      <c r="O150" s="16" t="n"/>
    </row>
    <row r="151">
      <c r="B151" s="17">
        <f>IF($D151="","","I"&amp;TEXT(ROW()-5,"000"))</f>
        <v/>
      </c>
      <c r="C151" s="18" t="n"/>
      <c r="D151" s="16" t="n"/>
      <c r="E151" s="17">
        <f>IF($D151="","",IFERROR(INDEX(rngCadetPIDs,MATCH($D151,rngCadetNames,0)),"?"))</f>
        <v/>
      </c>
      <c r="F151" s="16" t="n"/>
      <c r="G151" s="16" t="n"/>
      <c r="H151" s="16" t="n"/>
      <c r="I151" s="16" t="n"/>
      <c r="J151" s="16" t="n"/>
      <c r="K151" s="16" t="n"/>
      <c r="L151" s="17">
        <f>IF($D151="","",IF(AND($F151="Negative",OR($G151="Critical",$G151="Major")),"Yes","No"))</f>
        <v/>
      </c>
      <c r="M151" s="16" t="n"/>
      <c r="N151" s="16" t="n"/>
      <c r="O151" s="16" t="n"/>
    </row>
    <row r="152">
      <c r="B152" s="17">
        <f>IF($D152="","","I"&amp;TEXT(ROW()-5,"000"))</f>
        <v/>
      </c>
      <c r="C152" s="18" t="n"/>
      <c r="D152" s="16" t="n"/>
      <c r="E152" s="17">
        <f>IF($D152="","",IFERROR(INDEX(rngCadetPIDs,MATCH($D152,rngCadetNames,0)),"?"))</f>
        <v/>
      </c>
      <c r="F152" s="16" t="n"/>
      <c r="G152" s="16" t="n"/>
      <c r="H152" s="16" t="n"/>
      <c r="I152" s="16" t="n"/>
      <c r="J152" s="16" t="n"/>
      <c r="K152" s="16" t="n"/>
      <c r="L152" s="17">
        <f>IF($D152="","",IF(AND($F152="Negative",OR($G152="Critical",$G152="Major")),"Yes","No"))</f>
        <v/>
      </c>
      <c r="M152" s="16" t="n"/>
      <c r="N152" s="16" t="n"/>
      <c r="O152" s="16" t="n"/>
    </row>
    <row r="153">
      <c r="B153" s="17">
        <f>IF($D153="","","I"&amp;TEXT(ROW()-5,"000"))</f>
        <v/>
      </c>
      <c r="C153" s="18" t="n"/>
      <c r="D153" s="16" t="n"/>
      <c r="E153" s="17">
        <f>IF($D153="","",IFERROR(INDEX(rngCadetPIDs,MATCH($D153,rngCadetNames,0)),"?"))</f>
        <v/>
      </c>
      <c r="F153" s="16" t="n"/>
      <c r="G153" s="16" t="n"/>
      <c r="H153" s="16" t="n"/>
      <c r="I153" s="16" t="n"/>
      <c r="J153" s="16" t="n"/>
      <c r="K153" s="16" t="n"/>
      <c r="L153" s="17">
        <f>IF($D153="","",IF(AND($F153="Negative",OR($G153="Critical",$G153="Major")),"Yes","No"))</f>
        <v/>
      </c>
      <c r="M153" s="16" t="n"/>
      <c r="N153" s="16" t="n"/>
      <c r="O153" s="16" t="n"/>
    </row>
    <row r="154">
      <c r="B154" s="17">
        <f>IF($D154="","","I"&amp;TEXT(ROW()-5,"000"))</f>
        <v/>
      </c>
      <c r="C154" s="18" t="n"/>
      <c r="D154" s="16" t="n"/>
      <c r="E154" s="17">
        <f>IF($D154="","",IFERROR(INDEX(rngCadetPIDs,MATCH($D154,rngCadetNames,0)),"?"))</f>
        <v/>
      </c>
      <c r="F154" s="16" t="n"/>
      <c r="G154" s="16" t="n"/>
      <c r="H154" s="16" t="n"/>
      <c r="I154" s="16" t="n"/>
      <c r="J154" s="16" t="n"/>
      <c r="K154" s="16" t="n"/>
      <c r="L154" s="17">
        <f>IF($D154="","",IF(AND($F154="Negative",OR($G154="Critical",$G154="Major")),"Yes","No"))</f>
        <v/>
      </c>
      <c r="M154" s="16" t="n"/>
      <c r="N154" s="16" t="n"/>
      <c r="O154" s="16" t="n"/>
    </row>
    <row r="155">
      <c r="B155" s="17">
        <f>IF($D155="","","I"&amp;TEXT(ROW()-5,"000"))</f>
        <v/>
      </c>
      <c r="C155" s="18" t="n"/>
      <c r="D155" s="16" t="n"/>
      <c r="E155" s="17">
        <f>IF($D155="","",IFERROR(INDEX(rngCadetPIDs,MATCH($D155,rngCadetNames,0)),"?"))</f>
        <v/>
      </c>
      <c r="F155" s="16" t="n"/>
      <c r="G155" s="16" t="n"/>
      <c r="H155" s="16" t="n"/>
      <c r="I155" s="16" t="n"/>
      <c r="J155" s="16" t="n"/>
      <c r="K155" s="16" t="n"/>
      <c r="L155" s="17">
        <f>IF($D155="","",IF(AND($F155="Negative",OR($G155="Critical",$G155="Major")),"Yes","No"))</f>
        <v/>
      </c>
      <c r="M155" s="16" t="n"/>
      <c r="N155" s="16" t="n"/>
      <c r="O155" s="16" t="n"/>
    </row>
    <row r="156">
      <c r="B156" s="17">
        <f>IF($D156="","","I"&amp;TEXT(ROW()-5,"000"))</f>
        <v/>
      </c>
      <c r="C156" s="18" t="n"/>
      <c r="D156" s="16" t="n"/>
      <c r="E156" s="17">
        <f>IF($D156="","",IFERROR(INDEX(rngCadetPIDs,MATCH($D156,rngCadetNames,0)),"?"))</f>
        <v/>
      </c>
      <c r="F156" s="16" t="n"/>
      <c r="G156" s="16" t="n"/>
      <c r="H156" s="16" t="n"/>
      <c r="I156" s="16" t="n"/>
      <c r="J156" s="16" t="n"/>
      <c r="K156" s="16" t="n"/>
      <c r="L156" s="17">
        <f>IF($D156="","",IF(AND($F156="Negative",OR($G156="Critical",$G156="Major")),"Yes","No"))</f>
        <v/>
      </c>
      <c r="M156" s="16" t="n"/>
      <c r="N156" s="16" t="n"/>
      <c r="O156" s="16" t="n"/>
    </row>
    <row r="157">
      <c r="B157" s="17">
        <f>IF($D157="","","I"&amp;TEXT(ROW()-5,"000"))</f>
        <v/>
      </c>
      <c r="C157" s="18" t="n"/>
      <c r="D157" s="16" t="n"/>
      <c r="E157" s="17">
        <f>IF($D157="","",IFERROR(INDEX(rngCadetPIDs,MATCH($D157,rngCadetNames,0)),"?"))</f>
        <v/>
      </c>
      <c r="F157" s="16" t="n"/>
      <c r="G157" s="16" t="n"/>
      <c r="H157" s="16" t="n"/>
      <c r="I157" s="16" t="n"/>
      <c r="J157" s="16" t="n"/>
      <c r="K157" s="16" t="n"/>
      <c r="L157" s="17">
        <f>IF($D157="","",IF(AND($F157="Negative",OR($G157="Critical",$G157="Major")),"Yes","No"))</f>
        <v/>
      </c>
      <c r="M157" s="16" t="n"/>
      <c r="N157" s="16" t="n"/>
      <c r="O157" s="16" t="n"/>
    </row>
    <row r="158">
      <c r="B158" s="17">
        <f>IF($D158="","","I"&amp;TEXT(ROW()-5,"000"))</f>
        <v/>
      </c>
      <c r="C158" s="18" t="n"/>
      <c r="D158" s="16" t="n"/>
      <c r="E158" s="17">
        <f>IF($D158="","",IFERROR(INDEX(rngCadetPIDs,MATCH($D158,rngCadetNames,0)),"?"))</f>
        <v/>
      </c>
      <c r="F158" s="16" t="n"/>
      <c r="G158" s="16" t="n"/>
      <c r="H158" s="16" t="n"/>
      <c r="I158" s="16" t="n"/>
      <c r="J158" s="16" t="n"/>
      <c r="K158" s="16" t="n"/>
      <c r="L158" s="17">
        <f>IF($D158="","",IF(AND($F158="Negative",OR($G158="Critical",$G158="Major")),"Yes","No"))</f>
        <v/>
      </c>
      <c r="M158" s="16" t="n"/>
      <c r="N158" s="16" t="n"/>
      <c r="O158" s="16" t="n"/>
    </row>
    <row r="159">
      <c r="B159" s="17">
        <f>IF($D159="","","I"&amp;TEXT(ROW()-5,"000"))</f>
        <v/>
      </c>
      <c r="C159" s="18" t="n"/>
      <c r="D159" s="16" t="n"/>
      <c r="E159" s="17">
        <f>IF($D159="","",IFERROR(INDEX(rngCadetPIDs,MATCH($D159,rngCadetNames,0)),"?"))</f>
        <v/>
      </c>
      <c r="F159" s="16" t="n"/>
      <c r="G159" s="16" t="n"/>
      <c r="H159" s="16" t="n"/>
      <c r="I159" s="16" t="n"/>
      <c r="J159" s="16" t="n"/>
      <c r="K159" s="16" t="n"/>
      <c r="L159" s="17">
        <f>IF($D159="","",IF(AND($F159="Negative",OR($G159="Critical",$G159="Major")),"Yes","No"))</f>
        <v/>
      </c>
      <c r="M159" s="16" t="n"/>
      <c r="N159" s="16" t="n"/>
      <c r="O159" s="16" t="n"/>
    </row>
    <row r="160">
      <c r="B160" s="17">
        <f>IF($D160="","","I"&amp;TEXT(ROW()-5,"000"))</f>
        <v/>
      </c>
      <c r="C160" s="18" t="n"/>
      <c r="D160" s="16" t="n"/>
      <c r="E160" s="17">
        <f>IF($D160="","",IFERROR(INDEX(rngCadetPIDs,MATCH($D160,rngCadetNames,0)),"?"))</f>
        <v/>
      </c>
      <c r="F160" s="16" t="n"/>
      <c r="G160" s="16" t="n"/>
      <c r="H160" s="16" t="n"/>
      <c r="I160" s="16" t="n"/>
      <c r="J160" s="16" t="n"/>
      <c r="K160" s="16" t="n"/>
      <c r="L160" s="17">
        <f>IF($D160="","",IF(AND($F160="Negative",OR($G160="Critical",$G160="Major")),"Yes","No"))</f>
        <v/>
      </c>
      <c r="M160" s="16" t="n"/>
      <c r="N160" s="16" t="n"/>
      <c r="O160" s="16" t="n"/>
    </row>
    <row r="161">
      <c r="B161" s="17">
        <f>IF($D161="","","I"&amp;TEXT(ROW()-5,"000"))</f>
        <v/>
      </c>
      <c r="C161" s="18" t="n"/>
      <c r="D161" s="16" t="n"/>
      <c r="E161" s="17">
        <f>IF($D161="","",IFERROR(INDEX(rngCadetPIDs,MATCH($D161,rngCadetNames,0)),"?"))</f>
        <v/>
      </c>
      <c r="F161" s="16" t="n"/>
      <c r="G161" s="16" t="n"/>
      <c r="H161" s="16" t="n"/>
      <c r="I161" s="16" t="n"/>
      <c r="J161" s="16" t="n"/>
      <c r="K161" s="16" t="n"/>
      <c r="L161" s="17">
        <f>IF($D161="","",IF(AND($F161="Negative",OR($G161="Critical",$G161="Major")),"Yes","No"))</f>
        <v/>
      </c>
      <c r="M161" s="16" t="n"/>
      <c r="N161" s="16" t="n"/>
      <c r="O161" s="16" t="n"/>
    </row>
    <row r="162">
      <c r="B162" s="17">
        <f>IF($D162="","","I"&amp;TEXT(ROW()-5,"000"))</f>
        <v/>
      </c>
      <c r="C162" s="18" t="n"/>
      <c r="D162" s="16" t="n"/>
      <c r="E162" s="17">
        <f>IF($D162="","",IFERROR(INDEX(rngCadetPIDs,MATCH($D162,rngCadetNames,0)),"?"))</f>
        <v/>
      </c>
      <c r="F162" s="16" t="n"/>
      <c r="G162" s="16" t="n"/>
      <c r="H162" s="16" t="n"/>
      <c r="I162" s="16" t="n"/>
      <c r="J162" s="16" t="n"/>
      <c r="K162" s="16" t="n"/>
      <c r="L162" s="17">
        <f>IF($D162="","",IF(AND($F162="Negative",OR($G162="Critical",$G162="Major")),"Yes","No"))</f>
        <v/>
      </c>
      <c r="M162" s="16" t="n"/>
      <c r="N162" s="16" t="n"/>
      <c r="O162" s="16" t="n"/>
    </row>
    <row r="163">
      <c r="B163" s="17">
        <f>IF($D163="","","I"&amp;TEXT(ROW()-5,"000"))</f>
        <v/>
      </c>
      <c r="C163" s="18" t="n"/>
      <c r="D163" s="16" t="n"/>
      <c r="E163" s="17">
        <f>IF($D163="","",IFERROR(INDEX(rngCadetPIDs,MATCH($D163,rngCadetNames,0)),"?"))</f>
        <v/>
      </c>
      <c r="F163" s="16" t="n"/>
      <c r="G163" s="16" t="n"/>
      <c r="H163" s="16" t="n"/>
      <c r="I163" s="16" t="n"/>
      <c r="J163" s="16" t="n"/>
      <c r="K163" s="16" t="n"/>
      <c r="L163" s="17">
        <f>IF($D163="","",IF(AND($F163="Negative",OR($G163="Critical",$G163="Major")),"Yes","No"))</f>
        <v/>
      </c>
      <c r="M163" s="16" t="n"/>
      <c r="N163" s="16" t="n"/>
      <c r="O163" s="16" t="n"/>
    </row>
    <row r="164">
      <c r="B164" s="17">
        <f>IF($D164="","","I"&amp;TEXT(ROW()-5,"000"))</f>
        <v/>
      </c>
      <c r="C164" s="18" t="n"/>
      <c r="D164" s="16" t="n"/>
      <c r="E164" s="17">
        <f>IF($D164="","",IFERROR(INDEX(rngCadetPIDs,MATCH($D164,rngCadetNames,0)),"?"))</f>
        <v/>
      </c>
      <c r="F164" s="16" t="n"/>
      <c r="G164" s="16" t="n"/>
      <c r="H164" s="16" t="n"/>
      <c r="I164" s="16" t="n"/>
      <c r="J164" s="16" t="n"/>
      <c r="K164" s="16" t="n"/>
      <c r="L164" s="17">
        <f>IF($D164="","",IF(AND($F164="Negative",OR($G164="Critical",$G164="Major")),"Yes","No"))</f>
        <v/>
      </c>
      <c r="M164" s="16" t="n"/>
      <c r="N164" s="16" t="n"/>
      <c r="O164" s="16" t="n"/>
    </row>
    <row r="165">
      <c r="B165" s="17">
        <f>IF($D165="","","I"&amp;TEXT(ROW()-5,"000"))</f>
        <v/>
      </c>
      <c r="C165" s="18" t="n"/>
      <c r="D165" s="16" t="n"/>
      <c r="E165" s="17">
        <f>IF($D165="","",IFERROR(INDEX(rngCadetPIDs,MATCH($D165,rngCadetNames,0)),"?"))</f>
        <v/>
      </c>
      <c r="F165" s="16" t="n"/>
      <c r="G165" s="16" t="n"/>
      <c r="H165" s="16" t="n"/>
      <c r="I165" s="16" t="n"/>
      <c r="J165" s="16" t="n"/>
      <c r="K165" s="16" t="n"/>
      <c r="L165" s="17">
        <f>IF($D165="","",IF(AND($F165="Negative",OR($G165="Critical",$G165="Major")),"Yes","No"))</f>
        <v/>
      </c>
      <c r="M165" s="16" t="n"/>
      <c r="N165" s="16" t="n"/>
      <c r="O165" s="16" t="n"/>
    </row>
    <row r="166">
      <c r="B166" s="17">
        <f>IF($D166="","","I"&amp;TEXT(ROW()-5,"000"))</f>
        <v/>
      </c>
      <c r="C166" s="18" t="n"/>
      <c r="D166" s="16" t="n"/>
      <c r="E166" s="17">
        <f>IF($D166="","",IFERROR(INDEX(rngCadetPIDs,MATCH($D166,rngCadetNames,0)),"?"))</f>
        <v/>
      </c>
      <c r="F166" s="16" t="n"/>
      <c r="G166" s="16" t="n"/>
      <c r="H166" s="16" t="n"/>
      <c r="I166" s="16" t="n"/>
      <c r="J166" s="16" t="n"/>
      <c r="K166" s="16" t="n"/>
      <c r="L166" s="17">
        <f>IF($D166="","",IF(AND($F166="Negative",OR($G166="Critical",$G166="Major")),"Yes","No"))</f>
        <v/>
      </c>
      <c r="M166" s="16" t="n"/>
      <c r="N166" s="16" t="n"/>
      <c r="O166" s="16" t="n"/>
    </row>
    <row r="167">
      <c r="B167" s="17">
        <f>IF($D167="","","I"&amp;TEXT(ROW()-5,"000"))</f>
        <v/>
      </c>
      <c r="C167" s="18" t="n"/>
      <c r="D167" s="16" t="n"/>
      <c r="E167" s="17">
        <f>IF($D167="","",IFERROR(INDEX(rngCadetPIDs,MATCH($D167,rngCadetNames,0)),"?"))</f>
        <v/>
      </c>
      <c r="F167" s="16" t="n"/>
      <c r="G167" s="16" t="n"/>
      <c r="H167" s="16" t="n"/>
      <c r="I167" s="16" t="n"/>
      <c r="J167" s="16" t="n"/>
      <c r="K167" s="16" t="n"/>
      <c r="L167" s="17">
        <f>IF($D167="","",IF(AND($F167="Negative",OR($G167="Critical",$G167="Major")),"Yes","No"))</f>
        <v/>
      </c>
      <c r="M167" s="16" t="n"/>
      <c r="N167" s="16" t="n"/>
      <c r="O167" s="16" t="n"/>
    </row>
    <row r="168">
      <c r="B168" s="17">
        <f>IF($D168="","","I"&amp;TEXT(ROW()-5,"000"))</f>
        <v/>
      </c>
      <c r="C168" s="18" t="n"/>
      <c r="D168" s="16" t="n"/>
      <c r="E168" s="17">
        <f>IF($D168="","",IFERROR(INDEX(rngCadetPIDs,MATCH($D168,rngCadetNames,0)),"?"))</f>
        <v/>
      </c>
      <c r="F168" s="16" t="n"/>
      <c r="G168" s="16" t="n"/>
      <c r="H168" s="16" t="n"/>
      <c r="I168" s="16" t="n"/>
      <c r="J168" s="16" t="n"/>
      <c r="K168" s="16" t="n"/>
      <c r="L168" s="17">
        <f>IF($D168="","",IF(AND($F168="Negative",OR($G168="Critical",$G168="Major")),"Yes","No"))</f>
        <v/>
      </c>
      <c r="M168" s="16" t="n"/>
      <c r="N168" s="16" t="n"/>
      <c r="O168" s="16" t="n"/>
    </row>
    <row r="169">
      <c r="B169" s="17">
        <f>IF($D169="","","I"&amp;TEXT(ROW()-5,"000"))</f>
        <v/>
      </c>
      <c r="C169" s="18" t="n"/>
      <c r="D169" s="16" t="n"/>
      <c r="E169" s="17">
        <f>IF($D169="","",IFERROR(INDEX(rngCadetPIDs,MATCH($D169,rngCadetNames,0)),"?"))</f>
        <v/>
      </c>
      <c r="F169" s="16" t="n"/>
      <c r="G169" s="16" t="n"/>
      <c r="H169" s="16" t="n"/>
      <c r="I169" s="16" t="n"/>
      <c r="J169" s="16" t="n"/>
      <c r="K169" s="16" t="n"/>
      <c r="L169" s="17">
        <f>IF($D169="","",IF(AND($F169="Negative",OR($G169="Critical",$G169="Major")),"Yes","No"))</f>
        <v/>
      </c>
      <c r="M169" s="16" t="n"/>
      <c r="N169" s="16" t="n"/>
      <c r="O169" s="16" t="n"/>
    </row>
    <row r="170">
      <c r="B170" s="17">
        <f>IF($D170="","","I"&amp;TEXT(ROW()-5,"000"))</f>
        <v/>
      </c>
      <c r="C170" s="18" t="n"/>
      <c r="D170" s="16" t="n"/>
      <c r="E170" s="17">
        <f>IF($D170="","",IFERROR(INDEX(rngCadetPIDs,MATCH($D170,rngCadetNames,0)),"?"))</f>
        <v/>
      </c>
      <c r="F170" s="16" t="n"/>
      <c r="G170" s="16" t="n"/>
      <c r="H170" s="16" t="n"/>
      <c r="I170" s="16" t="n"/>
      <c r="J170" s="16" t="n"/>
      <c r="K170" s="16" t="n"/>
      <c r="L170" s="17">
        <f>IF($D170="","",IF(AND($F170="Negative",OR($G170="Critical",$G170="Major")),"Yes","No"))</f>
        <v/>
      </c>
      <c r="M170" s="16" t="n"/>
      <c r="N170" s="16" t="n"/>
      <c r="O170" s="16" t="n"/>
    </row>
    <row r="171">
      <c r="B171" s="17">
        <f>IF($D171="","","I"&amp;TEXT(ROW()-5,"000"))</f>
        <v/>
      </c>
      <c r="C171" s="18" t="n"/>
      <c r="D171" s="16" t="n"/>
      <c r="E171" s="17">
        <f>IF($D171="","",IFERROR(INDEX(rngCadetPIDs,MATCH($D171,rngCadetNames,0)),"?"))</f>
        <v/>
      </c>
      <c r="F171" s="16" t="n"/>
      <c r="G171" s="16" t="n"/>
      <c r="H171" s="16" t="n"/>
      <c r="I171" s="16" t="n"/>
      <c r="J171" s="16" t="n"/>
      <c r="K171" s="16" t="n"/>
      <c r="L171" s="17">
        <f>IF($D171="","",IF(AND($F171="Negative",OR($G171="Critical",$G171="Major")),"Yes","No"))</f>
        <v/>
      </c>
      <c r="M171" s="16" t="n"/>
      <c r="N171" s="16" t="n"/>
      <c r="O171" s="16" t="n"/>
    </row>
    <row r="172">
      <c r="B172" s="17">
        <f>IF($D172="","","I"&amp;TEXT(ROW()-5,"000"))</f>
        <v/>
      </c>
      <c r="C172" s="18" t="n"/>
      <c r="D172" s="16" t="n"/>
      <c r="E172" s="17">
        <f>IF($D172="","",IFERROR(INDEX(rngCadetPIDs,MATCH($D172,rngCadetNames,0)),"?"))</f>
        <v/>
      </c>
      <c r="F172" s="16" t="n"/>
      <c r="G172" s="16" t="n"/>
      <c r="H172" s="16" t="n"/>
      <c r="I172" s="16" t="n"/>
      <c r="J172" s="16" t="n"/>
      <c r="K172" s="16" t="n"/>
      <c r="L172" s="17">
        <f>IF($D172="","",IF(AND($F172="Negative",OR($G172="Critical",$G172="Major")),"Yes","No"))</f>
        <v/>
      </c>
      <c r="M172" s="16" t="n"/>
      <c r="N172" s="16" t="n"/>
      <c r="O172" s="16" t="n"/>
    </row>
    <row r="173">
      <c r="B173" s="17">
        <f>IF($D173="","","I"&amp;TEXT(ROW()-5,"000"))</f>
        <v/>
      </c>
      <c r="C173" s="18" t="n"/>
      <c r="D173" s="16" t="n"/>
      <c r="E173" s="17">
        <f>IF($D173="","",IFERROR(INDEX(rngCadetPIDs,MATCH($D173,rngCadetNames,0)),"?"))</f>
        <v/>
      </c>
      <c r="F173" s="16" t="n"/>
      <c r="G173" s="16" t="n"/>
      <c r="H173" s="16" t="n"/>
      <c r="I173" s="16" t="n"/>
      <c r="J173" s="16" t="n"/>
      <c r="K173" s="16" t="n"/>
      <c r="L173" s="17">
        <f>IF($D173="","",IF(AND($F173="Negative",OR($G173="Critical",$G173="Major")),"Yes","No"))</f>
        <v/>
      </c>
      <c r="M173" s="16" t="n"/>
      <c r="N173" s="16" t="n"/>
      <c r="O173" s="16" t="n"/>
    </row>
    <row r="174">
      <c r="B174" s="17">
        <f>IF($D174="","","I"&amp;TEXT(ROW()-5,"000"))</f>
        <v/>
      </c>
      <c r="C174" s="18" t="n"/>
      <c r="D174" s="16" t="n"/>
      <c r="E174" s="17">
        <f>IF($D174="","",IFERROR(INDEX(rngCadetPIDs,MATCH($D174,rngCadetNames,0)),"?"))</f>
        <v/>
      </c>
      <c r="F174" s="16" t="n"/>
      <c r="G174" s="16" t="n"/>
      <c r="H174" s="16" t="n"/>
      <c r="I174" s="16" t="n"/>
      <c r="J174" s="16" t="n"/>
      <c r="K174" s="16" t="n"/>
      <c r="L174" s="17">
        <f>IF($D174="","",IF(AND($F174="Negative",OR($G174="Critical",$G174="Major")),"Yes","No"))</f>
        <v/>
      </c>
      <c r="M174" s="16" t="n"/>
      <c r="N174" s="16" t="n"/>
      <c r="O174" s="16" t="n"/>
    </row>
    <row r="175">
      <c r="B175" s="17">
        <f>IF($D175="","","I"&amp;TEXT(ROW()-5,"000"))</f>
        <v/>
      </c>
      <c r="C175" s="18" t="n"/>
      <c r="D175" s="16" t="n"/>
      <c r="E175" s="17">
        <f>IF($D175="","",IFERROR(INDEX(rngCadetPIDs,MATCH($D175,rngCadetNames,0)),"?"))</f>
        <v/>
      </c>
      <c r="F175" s="16" t="n"/>
      <c r="G175" s="16" t="n"/>
      <c r="H175" s="16" t="n"/>
      <c r="I175" s="16" t="n"/>
      <c r="J175" s="16" t="n"/>
      <c r="K175" s="16" t="n"/>
      <c r="L175" s="17">
        <f>IF($D175="","",IF(AND($F175="Negative",OR($G175="Critical",$G175="Major")),"Yes","No"))</f>
        <v/>
      </c>
      <c r="M175" s="16" t="n"/>
      <c r="N175" s="16" t="n"/>
      <c r="O175" s="16" t="n"/>
    </row>
    <row r="176">
      <c r="B176" s="17">
        <f>IF($D176="","","I"&amp;TEXT(ROW()-5,"000"))</f>
        <v/>
      </c>
      <c r="C176" s="18" t="n"/>
      <c r="D176" s="16" t="n"/>
      <c r="E176" s="17">
        <f>IF($D176="","",IFERROR(INDEX(rngCadetPIDs,MATCH($D176,rngCadetNames,0)),"?"))</f>
        <v/>
      </c>
      <c r="F176" s="16" t="n"/>
      <c r="G176" s="16" t="n"/>
      <c r="H176" s="16" t="n"/>
      <c r="I176" s="16" t="n"/>
      <c r="J176" s="16" t="n"/>
      <c r="K176" s="16" t="n"/>
      <c r="L176" s="17">
        <f>IF($D176="","",IF(AND($F176="Negative",OR($G176="Critical",$G176="Major")),"Yes","No"))</f>
        <v/>
      </c>
      <c r="M176" s="16" t="n"/>
      <c r="N176" s="16" t="n"/>
      <c r="O176" s="16" t="n"/>
    </row>
    <row r="177">
      <c r="B177" s="17">
        <f>IF($D177="","","I"&amp;TEXT(ROW()-5,"000"))</f>
        <v/>
      </c>
      <c r="C177" s="18" t="n"/>
      <c r="D177" s="16" t="n"/>
      <c r="E177" s="17">
        <f>IF($D177="","",IFERROR(INDEX(rngCadetPIDs,MATCH($D177,rngCadetNames,0)),"?"))</f>
        <v/>
      </c>
      <c r="F177" s="16" t="n"/>
      <c r="G177" s="16" t="n"/>
      <c r="H177" s="16" t="n"/>
      <c r="I177" s="16" t="n"/>
      <c r="J177" s="16" t="n"/>
      <c r="K177" s="16" t="n"/>
      <c r="L177" s="17">
        <f>IF($D177="","",IF(AND($F177="Negative",OR($G177="Critical",$G177="Major")),"Yes","No"))</f>
        <v/>
      </c>
      <c r="M177" s="16" t="n"/>
      <c r="N177" s="16" t="n"/>
      <c r="O177" s="16" t="n"/>
    </row>
    <row r="178">
      <c r="B178" s="17">
        <f>IF($D178="","","I"&amp;TEXT(ROW()-5,"000"))</f>
        <v/>
      </c>
      <c r="C178" s="18" t="n"/>
      <c r="D178" s="16" t="n"/>
      <c r="E178" s="17">
        <f>IF($D178="","",IFERROR(INDEX(rngCadetPIDs,MATCH($D178,rngCadetNames,0)),"?"))</f>
        <v/>
      </c>
      <c r="F178" s="16" t="n"/>
      <c r="G178" s="16" t="n"/>
      <c r="H178" s="16" t="n"/>
      <c r="I178" s="16" t="n"/>
      <c r="J178" s="16" t="n"/>
      <c r="K178" s="16" t="n"/>
      <c r="L178" s="17">
        <f>IF($D178="","",IF(AND($F178="Negative",OR($G178="Critical",$G178="Major")),"Yes","No"))</f>
        <v/>
      </c>
      <c r="M178" s="16" t="n"/>
      <c r="N178" s="16" t="n"/>
      <c r="O178" s="16" t="n"/>
    </row>
    <row r="179">
      <c r="B179" s="17">
        <f>IF($D179="","","I"&amp;TEXT(ROW()-5,"000"))</f>
        <v/>
      </c>
      <c r="C179" s="18" t="n"/>
      <c r="D179" s="16" t="n"/>
      <c r="E179" s="17">
        <f>IF($D179="","",IFERROR(INDEX(rngCadetPIDs,MATCH($D179,rngCadetNames,0)),"?"))</f>
        <v/>
      </c>
      <c r="F179" s="16" t="n"/>
      <c r="G179" s="16" t="n"/>
      <c r="H179" s="16" t="n"/>
      <c r="I179" s="16" t="n"/>
      <c r="J179" s="16" t="n"/>
      <c r="K179" s="16" t="n"/>
      <c r="L179" s="17">
        <f>IF($D179="","",IF(AND($F179="Negative",OR($G179="Critical",$G179="Major")),"Yes","No"))</f>
        <v/>
      </c>
      <c r="M179" s="16" t="n"/>
      <c r="N179" s="16" t="n"/>
      <c r="O179" s="16" t="n"/>
    </row>
    <row r="180">
      <c r="B180" s="17">
        <f>IF($D180="","","I"&amp;TEXT(ROW()-5,"000"))</f>
        <v/>
      </c>
      <c r="C180" s="18" t="n"/>
      <c r="D180" s="16" t="n"/>
      <c r="E180" s="17">
        <f>IF($D180="","",IFERROR(INDEX(rngCadetPIDs,MATCH($D180,rngCadetNames,0)),"?"))</f>
        <v/>
      </c>
      <c r="F180" s="16" t="n"/>
      <c r="G180" s="16" t="n"/>
      <c r="H180" s="16" t="n"/>
      <c r="I180" s="16" t="n"/>
      <c r="J180" s="16" t="n"/>
      <c r="K180" s="16" t="n"/>
      <c r="L180" s="17">
        <f>IF($D180="","",IF(AND($F180="Negative",OR($G180="Critical",$G180="Major")),"Yes","No"))</f>
        <v/>
      </c>
      <c r="M180" s="16" t="n"/>
      <c r="N180" s="16" t="n"/>
      <c r="O180" s="16" t="n"/>
    </row>
    <row r="181">
      <c r="B181" s="17">
        <f>IF($D181="","","I"&amp;TEXT(ROW()-5,"000"))</f>
        <v/>
      </c>
      <c r="C181" s="18" t="n"/>
      <c r="D181" s="16" t="n"/>
      <c r="E181" s="17">
        <f>IF($D181="","",IFERROR(INDEX(rngCadetPIDs,MATCH($D181,rngCadetNames,0)),"?"))</f>
        <v/>
      </c>
      <c r="F181" s="16" t="n"/>
      <c r="G181" s="16" t="n"/>
      <c r="H181" s="16" t="n"/>
      <c r="I181" s="16" t="n"/>
      <c r="J181" s="16" t="n"/>
      <c r="K181" s="16" t="n"/>
      <c r="L181" s="17">
        <f>IF($D181="","",IF(AND($F181="Negative",OR($G181="Critical",$G181="Major")),"Yes","No"))</f>
        <v/>
      </c>
      <c r="M181" s="16" t="n"/>
      <c r="N181" s="16" t="n"/>
      <c r="O181" s="16" t="n"/>
    </row>
    <row r="182">
      <c r="B182" s="17">
        <f>IF($D182="","","I"&amp;TEXT(ROW()-5,"000"))</f>
        <v/>
      </c>
      <c r="C182" s="18" t="n"/>
      <c r="D182" s="16" t="n"/>
      <c r="E182" s="17">
        <f>IF($D182="","",IFERROR(INDEX(rngCadetPIDs,MATCH($D182,rngCadetNames,0)),"?"))</f>
        <v/>
      </c>
      <c r="F182" s="16" t="n"/>
      <c r="G182" s="16" t="n"/>
      <c r="H182" s="16" t="n"/>
      <c r="I182" s="16" t="n"/>
      <c r="J182" s="16" t="n"/>
      <c r="K182" s="16" t="n"/>
      <c r="L182" s="17">
        <f>IF($D182="","",IF(AND($F182="Negative",OR($G182="Critical",$G182="Major")),"Yes","No"))</f>
        <v/>
      </c>
      <c r="M182" s="16" t="n"/>
      <c r="N182" s="16" t="n"/>
      <c r="O182" s="16" t="n"/>
    </row>
    <row r="183">
      <c r="B183" s="17">
        <f>IF($D183="","","I"&amp;TEXT(ROW()-5,"000"))</f>
        <v/>
      </c>
      <c r="C183" s="18" t="n"/>
      <c r="D183" s="16" t="n"/>
      <c r="E183" s="17">
        <f>IF($D183="","",IFERROR(INDEX(rngCadetPIDs,MATCH($D183,rngCadetNames,0)),"?"))</f>
        <v/>
      </c>
      <c r="F183" s="16" t="n"/>
      <c r="G183" s="16" t="n"/>
      <c r="H183" s="16" t="n"/>
      <c r="I183" s="16" t="n"/>
      <c r="J183" s="16" t="n"/>
      <c r="K183" s="16" t="n"/>
      <c r="L183" s="17">
        <f>IF($D183="","",IF(AND($F183="Negative",OR($G183="Critical",$G183="Major")),"Yes","No"))</f>
        <v/>
      </c>
      <c r="M183" s="16" t="n"/>
      <c r="N183" s="16" t="n"/>
      <c r="O183" s="16" t="n"/>
    </row>
    <row r="184">
      <c r="B184" s="17">
        <f>IF($D184="","","I"&amp;TEXT(ROW()-5,"000"))</f>
        <v/>
      </c>
      <c r="C184" s="18" t="n"/>
      <c r="D184" s="16" t="n"/>
      <c r="E184" s="17">
        <f>IF($D184="","",IFERROR(INDEX(rngCadetPIDs,MATCH($D184,rngCadetNames,0)),"?"))</f>
        <v/>
      </c>
      <c r="F184" s="16" t="n"/>
      <c r="G184" s="16" t="n"/>
      <c r="H184" s="16" t="n"/>
      <c r="I184" s="16" t="n"/>
      <c r="J184" s="16" t="n"/>
      <c r="K184" s="16" t="n"/>
      <c r="L184" s="17">
        <f>IF($D184="","",IF(AND($F184="Negative",OR($G184="Critical",$G184="Major")),"Yes","No"))</f>
        <v/>
      </c>
      <c r="M184" s="16" t="n"/>
      <c r="N184" s="16" t="n"/>
      <c r="O184" s="16" t="n"/>
    </row>
    <row r="185">
      <c r="B185" s="17">
        <f>IF($D185="","","I"&amp;TEXT(ROW()-5,"000"))</f>
        <v/>
      </c>
      <c r="C185" s="18" t="n"/>
      <c r="D185" s="16" t="n"/>
      <c r="E185" s="17">
        <f>IF($D185="","",IFERROR(INDEX(rngCadetPIDs,MATCH($D185,rngCadetNames,0)),"?"))</f>
        <v/>
      </c>
      <c r="F185" s="16" t="n"/>
      <c r="G185" s="16" t="n"/>
      <c r="H185" s="16" t="n"/>
      <c r="I185" s="16" t="n"/>
      <c r="J185" s="16" t="n"/>
      <c r="K185" s="16" t="n"/>
      <c r="L185" s="17">
        <f>IF($D185="","",IF(AND($F185="Negative",OR($G185="Critical",$G185="Major")),"Yes","No"))</f>
        <v/>
      </c>
      <c r="M185" s="16" t="n"/>
      <c r="N185" s="16" t="n"/>
      <c r="O185" s="16" t="n"/>
    </row>
    <row r="186">
      <c r="B186" s="17">
        <f>IF($D186="","","I"&amp;TEXT(ROW()-5,"000"))</f>
        <v/>
      </c>
      <c r="C186" s="18" t="n"/>
      <c r="D186" s="16" t="n"/>
      <c r="E186" s="17">
        <f>IF($D186="","",IFERROR(INDEX(rngCadetPIDs,MATCH($D186,rngCadetNames,0)),"?"))</f>
        <v/>
      </c>
      <c r="F186" s="16" t="n"/>
      <c r="G186" s="16" t="n"/>
      <c r="H186" s="16" t="n"/>
      <c r="I186" s="16" t="n"/>
      <c r="J186" s="16" t="n"/>
      <c r="K186" s="16" t="n"/>
      <c r="L186" s="17">
        <f>IF($D186="","",IF(AND($F186="Negative",OR($G186="Critical",$G186="Major")),"Yes","No"))</f>
        <v/>
      </c>
      <c r="M186" s="16" t="n"/>
      <c r="N186" s="16" t="n"/>
      <c r="O186" s="16" t="n"/>
    </row>
    <row r="187">
      <c r="B187" s="17">
        <f>IF($D187="","","I"&amp;TEXT(ROW()-5,"000"))</f>
        <v/>
      </c>
      <c r="C187" s="18" t="n"/>
      <c r="D187" s="16" t="n"/>
      <c r="E187" s="17">
        <f>IF($D187="","",IFERROR(INDEX(rngCadetPIDs,MATCH($D187,rngCadetNames,0)),"?"))</f>
        <v/>
      </c>
      <c r="F187" s="16" t="n"/>
      <c r="G187" s="16" t="n"/>
      <c r="H187" s="16" t="n"/>
      <c r="I187" s="16" t="n"/>
      <c r="J187" s="16" t="n"/>
      <c r="K187" s="16" t="n"/>
      <c r="L187" s="17">
        <f>IF($D187="","",IF(AND($F187="Negative",OR($G187="Critical",$G187="Major")),"Yes","No"))</f>
        <v/>
      </c>
      <c r="M187" s="16" t="n"/>
      <c r="N187" s="16" t="n"/>
      <c r="O187" s="16" t="n"/>
    </row>
    <row r="188">
      <c r="B188" s="17">
        <f>IF($D188="","","I"&amp;TEXT(ROW()-5,"000"))</f>
        <v/>
      </c>
      <c r="C188" s="18" t="n"/>
      <c r="D188" s="16" t="n"/>
      <c r="E188" s="17">
        <f>IF($D188="","",IFERROR(INDEX(rngCadetPIDs,MATCH($D188,rngCadetNames,0)),"?"))</f>
        <v/>
      </c>
      <c r="F188" s="16" t="n"/>
      <c r="G188" s="16" t="n"/>
      <c r="H188" s="16" t="n"/>
      <c r="I188" s="16" t="n"/>
      <c r="J188" s="16" t="n"/>
      <c r="K188" s="16" t="n"/>
      <c r="L188" s="17">
        <f>IF($D188="","",IF(AND($F188="Negative",OR($G188="Critical",$G188="Major")),"Yes","No"))</f>
        <v/>
      </c>
      <c r="M188" s="16" t="n"/>
      <c r="N188" s="16" t="n"/>
      <c r="O188" s="16" t="n"/>
    </row>
    <row r="189">
      <c r="B189" s="17">
        <f>IF($D189="","","I"&amp;TEXT(ROW()-5,"000"))</f>
        <v/>
      </c>
      <c r="C189" s="18" t="n"/>
      <c r="D189" s="16" t="n"/>
      <c r="E189" s="17">
        <f>IF($D189="","",IFERROR(INDEX(rngCadetPIDs,MATCH($D189,rngCadetNames,0)),"?"))</f>
        <v/>
      </c>
      <c r="F189" s="16" t="n"/>
      <c r="G189" s="16" t="n"/>
      <c r="H189" s="16" t="n"/>
      <c r="I189" s="16" t="n"/>
      <c r="J189" s="16" t="n"/>
      <c r="K189" s="16" t="n"/>
      <c r="L189" s="17">
        <f>IF($D189="","",IF(AND($F189="Negative",OR($G189="Critical",$G189="Major")),"Yes","No"))</f>
        <v/>
      </c>
      <c r="M189" s="16" t="n"/>
      <c r="N189" s="16" t="n"/>
      <c r="O189" s="16" t="n"/>
    </row>
    <row r="190">
      <c r="B190" s="17">
        <f>IF($D190="","","I"&amp;TEXT(ROW()-5,"000"))</f>
        <v/>
      </c>
      <c r="C190" s="18" t="n"/>
      <c r="D190" s="16" t="n"/>
      <c r="E190" s="17">
        <f>IF($D190="","",IFERROR(INDEX(rngCadetPIDs,MATCH($D190,rngCadetNames,0)),"?"))</f>
        <v/>
      </c>
      <c r="F190" s="16" t="n"/>
      <c r="G190" s="16" t="n"/>
      <c r="H190" s="16" t="n"/>
      <c r="I190" s="16" t="n"/>
      <c r="J190" s="16" t="n"/>
      <c r="K190" s="16" t="n"/>
      <c r="L190" s="17">
        <f>IF($D190="","",IF(AND($F190="Negative",OR($G190="Critical",$G190="Major")),"Yes","No"))</f>
        <v/>
      </c>
      <c r="M190" s="16" t="n"/>
      <c r="N190" s="16" t="n"/>
      <c r="O190" s="16" t="n"/>
    </row>
    <row r="191">
      <c r="B191" s="17">
        <f>IF($D191="","","I"&amp;TEXT(ROW()-5,"000"))</f>
        <v/>
      </c>
      <c r="C191" s="18" t="n"/>
      <c r="D191" s="16" t="n"/>
      <c r="E191" s="17">
        <f>IF($D191="","",IFERROR(INDEX(rngCadetPIDs,MATCH($D191,rngCadetNames,0)),"?"))</f>
        <v/>
      </c>
      <c r="F191" s="16" t="n"/>
      <c r="G191" s="16" t="n"/>
      <c r="H191" s="16" t="n"/>
      <c r="I191" s="16" t="n"/>
      <c r="J191" s="16" t="n"/>
      <c r="K191" s="16" t="n"/>
      <c r="L191" s="17">
        <f>IF($D191="","",IF(AND($F191="Negative",OR($G191="Critical",$G191="Major")),"Yes","No"))</f>
        <v/>
      </c>
      <c r="M191" s="16" t="n"/>
      <c r="N191" s="16" t="n"/>
      <c r="O191" s="16" t="n"/>
    </row>
    <row r="192">
      <c r="B192" s="17">
        <f>IF($D192="","","I"&amp;TEXT(ROW()-5,"000"))</f>
        <v/>
      </c>
      <c r="C192" s="18" t="n"/>
      <c r="D192" s="16" t="n"/>
      <c r="E192" s="17">
        <f>IF($D192="","",IFERROR(INDEX(rngCadetPIDs,MATCH($D192,rngCadetNames,0)),"?"))</f>
        <v/>
      </c>
      <c r="F192" s="16" t="n"/>
      <c r="G192" s="16" t="n"/>
      <c r="H192" s="16" t="n"/>
      <c r="I192" s="16" t="n"/>
      <c r="J192" s="16" t="n"/>
      <c r="K192" s="16" t="n"/>
      <c r="L192" s="17">
        <f>IF($D192="","",IF(AND($F192="Negative",OR($G192="Critical",$G192="Major")),"Yes","No"))</f>
        <v/>
      </c>
      <c r="M192" s="16" t="n"/>
      <c r="N192" s="16" t="n"/>
      <c r="O192" s="16" t="n"/>
    </row>
    <row r="193">
      <c r="B193" s="17">
        <f>IF($D193="","","I"&amp;TEXT(ROW()-5,"000"))</f>
        <v/>
      </c>
      <c r="C193" s="18" t="n"/>
      <c r="D193" s="16" t="n"/>
      <c r="E193" s="17">
        <f>IF($D193="","",IFERROR(INDEX(rngCadetPIDs,MATCH($D193,rngCadetNames,0)),"?"))</f>
        <v/>
      </c>
      <c r="F193" s="16" t="n"/>
      <c r="G193" s="16" t="n"/>
      <c r="H193" s="16" t="n"/>
      <c r="I193" s="16" t="n"/>
      <c r="J193" s="16" t="n"/>
      <c r="K193" s="16" t="n"/>
      <c r="L193" s="17">
        <f>IF($D193="","",IF(AND($F193="Negative",OR($G193="Critical",$G193="Major")),"Yes","No"))</f>
        <v/>
      </c>
      <c r="M193" s="16" t="n"/>
      <c r="N193" s="16" t="n"/>
      <c r="O193" s="16" t="n"/>
    </row>
    <row r="194">
      <c r="B194" s="17">
        <f>IF($D194="","","I"&amp;TEXT(ROW()-5,"000"))</f>
        <v/>
      </c>
      <c r="C194" s="18" t="n"/>
      <c r="D194" s="16" t="n"/>
      <c r="E194" s="17">
        <f>IF($D194="","",IFERROR(INDEX(rngCadetPIDs,MATCH($D194,rngCadetNames,0)),"?"))</f>
        <v/>
      </c>
      <c r="F194" s="16" t="n"/>
      <c r="G194" s="16" t="n"/>
      <c r="H194" s="16" t="n"/>
      <c r="I194" s="16" t="n"/>
      <c r="J194" s="16" t="n"/>
      <c r="K194" s="16" t="n"/>
      <c r="L194" s="17">
        <f>IF($D194="","",IF(AND($F194="Negative",OR($G194="Critical",$G194="Major")),"Yes","No"))</f>
        <v/>
      </c>
      <c r="M194" s="16" t="n"/>
      <c r="N194" s="16" t="n"/>
      <c r="O194" s="16" t="n"/>
    </row>
    <row r="195">
      <c r="B195" s="17">
        <f>IF($D195="","","I"&amp;TEXT(ROW()-5,"000"))</f>
        <v/>
      </c>
      <c r="C195" s="18" t="n"/>
      <c r="D195" s="16" t="n"/>
      <c r="E195" s="17">
        <f>IF($D195="","",IFERROR(INDEX(rngCadetPIDs,MATCH($D195,rngCadetNames,0)),"?"))</f>
        <v/>
      </c>
      <c r="F195" s="16" t="n"/>
      <c r="G195" s="16" t="n"/>
      <c r="H195" s="16" t="n"/>
      <c r="I195" s="16" t="n"/>
      <c r="J195" s="16" t="n"/>
      <c r="K195" s="16" t="n"/>
      <c r="L195" s="17">
        <f>IF($D195="","",IF(AND($F195="Negative",OR($G195="Critical",$G195="Major")),"Yes","No"))</f>
        <v/>
      </c>
      <c r="M195" s="16" t="n"/>
      <c r="N195" s="16" t="n"/>
      <c r="O195" s="16" t="n"/>
    </row>
    <row r="196">
      <c r="B196" s="17">
        <f>IF($D196="","","I"&amp;TEXT(ROW()-5,"000"))</f>
        <v/>
      </c>
      <c r="C196" s="18" t="n"/>
      <c r="D196" s="16" t="n"/>
      <c r="E196" s="17">
        <f>IF($D196="","",IFERROR(INDEX(rngCadetPIDs,MATCH($D196,rngCadetNames,0)),"?"))</f>
        <v/>
      </c>
      <c r="F196" s="16" t="n"/>
      <c r="G196" s="16" t="n"/>
      <c r="H196" s="16" t="n"/>
      <c r="I196" s="16" t="n"/>
      <c r="J196" s="16" t="n"/>
      <c r="K196" s="16" t="n"/>
      <c r="L196" s="17">
        <f>IF($D196="","",IF(AND($F196="Negative",OR($G196="Critical",$G196="Major")),"Yes","No"))</f>
        <v/>
      </c>
      <c r="M196" s="16" t="n"/>
      <c r="N196" s="16" t="n"/>
      <c r="O196" s="16" t="n"/>
    </row>
    <row r="197">
      <c r="B197" s="17">
        <f>IF($D197="","","I"&amp;TEXT(ROW()-5,"000"))</f>
        <v/>
      </c>
      <c r="C197" s="18" t="n"/>
      <c r="D197" s="16" t="n"/>
      <c r="E197" s="17">
        <f>IF($D197="","",IFERROR(INDEX(rngCadetPIDs,MATCH($D197,rngCadetNames,0)),"?"))</f>
        <v/>
      </c>
      <c r="F197" s="16" t="n"/>
      <c r="G197" s="16" t="n"/>
      <c r="H197" s="16" t="n"/>
      <c r="I197" s="16" t="n"/>
      <c r="J197" s="16" t="n"/>
      <c r="K197" s="16" t="n"/>
      <c r="L197" s="17">
        <f>IF($D197="","",IF(AND($F197="Negative",OR($G197="Critical",$G197="Major")),"Yes","No"))</f>
        <v/>
      </c>
      <c r="M197" s="16" t="n"/>
      <c r="N197" s="16" t="n"/>
      <c r="O197" s="16" t="n"/>
    </row>
    <row r="198">
      <c r="B198" s="17">
        <f>IF($D198="","","I"&amp;TEXT(ROW()-5,"000"))</f>
        <v/>
      </c>
      <c r="C198" s="18" t="n"/>
      <c r="D198" s="16" t="n"/>
      <c r="E198" s="17">
        <f>IF($D198="","",IFERROR(INDEX(rngCadetPIDs,MATCH($D198,rngCadetNames,0)),"?"))</f>
        <v/>
      </c>
      <c r="F198" s="16" t="n"/>
      <c r="G198" s="16" t="n"/>
      <c r="H198" s="16" t="n"/>
      <c r="I198" s="16" t="n"/>
      <c r="J198" s="16" t="n"/>
      <c r="K198" s="16" t="n"/>
      <c r="L198" s="17">
        <f>IF($D198="","",IF(AND($F198="Negative",OR($G198="Critical",$G198="Major")),"Yes","No"))</f>
        <v/>
      </c>
      <c r="M198" s="16" t="n"/>
      <c r="N198" s="16" t="n"/>
      <c r="O198" s="16" t="n"/>
    </row>
    <row r="199">
      <c r="B199" s="17">
        <f>IF($D199="","","I"&amp;TEXT(ROW()-5,"000"))</f>
        <v/>
      </c>
      <c r="C199" s="18" t="n"/>
      <c r="D199" s="16" t="n"/>
      <c r="E199" s="17">
        <f>IF($D199="","",IFERROR(INDEX(rngCadetPIDs,MATCH($D199,rngCadetNames,0)),"?"))</f>
        <v/>
      </c>
      <c r="F199" s="16" t="n"/>
      <c r="G199" s="16" t="n"/>
      <c r="H199" s="16" t="n"/>
      <c r="I199" s="16" t="n"/>
      <c r="J199" s="16" t="n"/>
      <c r="K199" s="16" t="n"/>
      <c r="L199" s="17">
        <f>IF($D199="","",IF(AND($F199="Negative",OR($G199="Critical",$G199="Major")),"Yes","No"))</f>
        <v/>
      </c>
      <c r="M199" s="16" t="n"/>
      <c r="N199" s="16" t="n"/>
      <c r="O199" s="16" t="n"/>
    </row>
    <row r="200">
      <c r="B200" s="17">
        <f>IF($D200="","","I"&amp;TEXT(ROW()-5,"000"))</f>
        <v/>
      </c>
      <c r="C200" s="18" t="n"/>
      <c r="D200" s="16" t="n"/>
      <c r="E200" s="17">
        <f>IF($D200="","",IFERROR(INDEX(rngCadetPIDs,MATCH($D200,rngCadetNames,0)),"?"))</f>
        <v/>
      </c>
      <c r="F200" s="16" t="n"/>
      <c r="G200" s="16" t="n"/>
      <c r="H200" s="16" t="n"/>
      <c r="I200" s="16" t="n"/>
      <c r="J200" s="16" t="n"/>
      <c r="K200" s="16" t="n"/>
      <c r="L200" s="17">
        <f>IF($D200="","",IF(AND($F200="Negative",OR($G200="Critical",$G200="Major")),"Yes","No"))</f>
        <v/>
      </c>
      <c r="M200" s="16" t="n"/>
      <c r="N200" s="16" t="n"/>
      <c r="O200" s="16" t="n"/>
    </row>
    <row r="201">
      <c r="B201" s="17">
        <f>IF($D201="","","I"&amp;TEXT(ROW()-5,"000"))</f>
        <v/>
      </c>
      <c r="C201" s="18" t="n"/>
      <c r="D201" s="16" t="n"/>
      <c r="E201" s="17">
        <f>IF($D201="","",IFERROR(INDEX(rngCadetPIDs,MATCH($D201,rngCadetNames,0)),"?"))</f>
        <v/>
      </c>
      <c r="F201" s="16" t="n"/>
      <c r="G201" s="16" t="n"/>
      <c r="H201" s="16" t="n"/>
      <c r="I201" s="16" t="n"/>
      <c r="J201" s="16" t="n"/>
      <c r="K201" s="16" t="n"/>
      <c r="L201" s="17">
        <f>IF($D201="","",IF(AND($F201="Negative",OR($G201="Critical",$G201="Major")),"Yes","No"))</f>
        <v/>
      </c>
      <c r="M201" s="16" t="n"/>
      <c r="N201" s="16" t="n"/>
      <c r="O201" s="16" t="n"/>
    </row>
    <row r="202">
      <c r="B202" s="17">
        <f>IF($D202="","","I"&amp;TEXT(ROW()-5,"000"))</f>
        <v/>
      </c>
      <c r="C202" s="18" t="n"/>
      <c r="D202" s="16" t="n"/>
      <c r="E202" s="17">
        <f>IF($D202="","",IFERROR(INDEX(rngCadetPIDs,MATCH($D202,rngCadetNames,0)),"?"))</f>
        <v/>
      </c>
      <c r="F202" s="16" t="n"/>
      <c r="G202" s="16" t="n"/>
      <c r="H202" s="16" t="n"/>
      <c r="I202" s="16" t="n"/>
      <c r="J202" s="16" t="n"/>
      <c r="K202" s="16" t="n"/>
      <c r="L202" s="17">
        <f>IF($D202="","",IF(AND($F202="Negative",OR($G202="Critical",$G202="Major")),"Yes","No"))</f>
        <v/>
      </c>
      <c r="M202" s="16" t="n"/>
      <c r="N202" s="16" t="n"/>
      <c r="O202" s="16" t="n"/>
    </row>
    <row r="203">
      <c r="B203" s="17">
        <f>IF($D203="","","I"&amp;TEXT(ROW()-5,"000"))</f>
        <v/>
      </c>
      <c r="C203" s="18" t="n"/>
      <c r="D203" s="16" t="n"/>
      <c r="E203" s="17">
        <f>IF($D203="","",IFERROR(INDEX(rngCadetPIDs,MATCH($D203,rngCadetNames,0)),"?"))</f>
        <v/>
      </c>
      <c r="F203" s="16" t="n"/>
      <c r="G203" s="16" t="n"/>
      <c r="H203" s="16" t="n"/>
      <c r="I203" s="16" t="n"/>
      <c r="J203" s="16" t="n"/>
      <c r="K203" s="16" t="n"/>
      <c r="L203" s="17">
        <f>IF($D203="","",IF(AND($F203="Negative",OR($G203="Critical",$G203="Major")),"Yes","No"))</f>
        <v/>
      </c>
      <c r="M203" s="16" t="n"/>
      <c r="N203" s="16" t="n"/>
      <c r="O203" s="16" t="n"/>
    </row>
    <row r="204">
      <c r="B204" s="17">
        <f>IF($D204="","","I"&amp;TEXT(ROW()-5,"000"))</f>
        <v/>
      </c>
      <c r="C204" s="18" t="n"/>
      <c r="D204" s="16" t="n"/>
      <c r="E204" s="17">
        <f>IF($D204="","",IFERROR(INDEX(rngCadetPIDs,MATCH($D204,rngCadetNames,0)),"?"))</f>
        <v/>
      </c>
      <c r="F204" s="16" t="n"/>
      <c r="G204" s="16" t="n"/>
      <c r="H204" s="16" t="n"/>
      <c r="I204" s="16" t="n"/>
      <c r="J204" s="16" t="n"/>
      <c r="K204" s="16" t="n"/>
      <c r="L204" s="17">
        <f>IF($D204="","",IF(AND($F204="Negative",OR($G204="Critical",$G204="Major")),"Yes","No"))</f>
        <v/>
      </c>
      <c r="M204" s="16" t="n"/>
      <c r="N204" s="16" t="n"/>
      <c r="O204" s="16" t="n"/>
    </row>
    <row r="205">
      <c r="B205" s="17">
        <f>IF($D205="","","I"&amp;TEXT(ROW()-5,"000"))</f>
        <v/>
      </c>
      <c r="C205" s="18" t="n"/>
      <c r="D205" s="16" t="n"/>
      <c r="E205" s="17">
        <f>IF($D205="","",IFERROR(INDEX(rngCadetPIDs,MATCH($D205,rngCadetNames,0)),"?"))</f>
        <v/>
      </c>
      <c r="F205" s="16" t="n"/>
      <c r="G205" s="16" t="n"/>
      <c r="H205" s="16" t="n"/>
      <c r="I205" s="16" t="n"/>
      <c r="J205" s="16" t="n"/>
      <c r="K205" s="16" t="n"/>
      <c r="L205" s="17">
        <f>IF($D205="","",IF(AND($F205="Negative",OR($G205="Critical",$G205="Major")),"Yes","No"))</f>
        <v/>
      </c>
      <c r="M205" s="16" t="n"/>
      <c r="N205" s="16" t="n"/>
      <c r="O205" s="16" t="n"/>
    </row>
    <row r="206">
      <c r="B206" s="17">
        <f>IF($D206="","","I"&amp;TEXT(ROW()-5,"000"))</f>
        <v/>
      </c>
      <c r="C206" s="18" t="n"/>
      <c r="D206" s="16" t="n"/>
      <c r="E206" s="17">
        <f>IF($D206="","",IFERROR(INDEX(rngCadetPIDs,MATCH($D206,rngCadetNames,0)),"?"))</f>
        <v/>
      </c>
      <c r="F206" s="16" t="n"/>
      <c r="G206" s="16" t="n"/>
      <c r="H206" s="16" t="n"/>
      <c r="I206" s="16" t="n"/>
      <c r="J206" s="16" t="n"/>
      <c r="K206" s="16" t="n"/>
      <c r="L206" s="17">
        <f>IF($D206="","",IF(AND($F206="Negative",OR($G206="Critical",$G206="Major")),"Yes","No"))</f>
        <v/>
      </c>
      <c r="M206" s="16" t="n"/>
      <c r="N206" s="16" t="n"/>
      <c r="O206" s="16" t="n"/>
    </row>
    <row r="207">
      <c r="B207" s="17">
        <f>IF($D207="","","I"&amp;TEXT(ROW()-5,"000"))</f>
        <v/>
      </c>
      <c r="C207" s="18" t="n"/>
      <c r="D207" s="16" t="n"/>
      <c r="E207" s="17">
        <f>IF($D207="","",IFERROR(INDEX(rngCadetPIDs,MATCH($D207,rngCadetNames,0)),"?"))</f>
        <v/>
      </c>
      <c r="F207" s="16" t="n"/>
      <c r="G207" s="16" t="n"/>
      <c r="H207" s="16" t="n"/>
      <c r="I207" s="16" t="n"/>
      <c r="J207" s="16" t="n"/>
      <c r="K207" s="16" t="n"/>
      <c r="L207" s="17">
        <f>IF($D207="","",IF(AND($F207="Negative",OR($G207="Critical",$G207="Major")),"Yes","No"))</f>
        <v/>
      </c>
      <c r="M207" s="16" t="n"/>
      <c r="N207" s="16" t="n"/>
      <c r="O207" s="16" t="n"/>
    </row>
    <row r="208">
      <c r="B208" s="17">
        <f>IF($D208="","","I"&amp;TEXT(ROW()-5,"000"))</f>
        <v/>
      </c>
      <c r="C208" s="18" t="n"/>
      <c r="D208" s="16" t="n"/>
      <c r="E208" s="17">
        <f>IF($D208="","",IFERROR(INDEX(rngCadetPIDs,MATCH($D208,rngCadetNames,0)),"?"))</f>
        <v/>
      </c>
      <c r="F208" s="16" t="n"/>
      <c r="G208" s="16" t="n"/>
      <c r="H208" s="16" t="n"/>
      <c r="I208" s="16" t="n"/>
      <c r="J208" s="16" t="n"/>
      <c r="K208" s="16" t="n"/>
      <c r="L208" s="17">
        <f>IF($D208="","",IF(AND($F208="Negative",OR($G208="Critical",$G208="Major")),"Yes","No"))</f>
        <v/>
      </c>
      <c r="M208" s="16" t="n"/>
      <c r="N208" s="16" t="n"/>
      <c r="O208" s="16" t="n"/>
    </row>
    <row r="209">
      <c r="B209" s="17">
        <f>IF($D209="","","I"&amp;TEXT(ROW()-5,"000"))</f>
        <v/>
      </c>
      <c r="C209" s="18" t="n"/>
      <c r="D209" s="16" t="n"/>
      <c r="E209" s="17">
        <f>IF($D209="","",IFERROR(INDEX(rngCadetPIDs,MATCH($D209,rngCadetNames,0)),"?"))</f>
        <v/>
      </c>
      <c r="F209" s="16" t="n"/>
      <c r="G209" s="16" t="n"/>
      <c r="H209" s="16" t="n"/>
      <c r="I209" s="16" t="n"/>
      <c r="J209" s="16" t="n"/>
      <c r="K209" s="16" t="n"/>
      <c r="L209" s="17">
        <f>IF($D209="","",IF(AND($F209="Negative",OR($G209="Critical",$G209="Major")),"Yes","No"))</f>
        <v/>
      </c>
      <c r="M209" s="16" t="n"/>
      <c r="N209" s="16" t="n"/>
      <c r="O209" s="16" t="n"/>
    </row>
    <row r="210">
      <c r="B210" s="17">
        <f>IF($D210="","","I"&amp;TEXT(ROW()-5,"000"))</f>
        <v/>
      </c>
      <c r="C210" s="18" t="n"/>
      <c r="D210" s="16" t="n"/>
      <c r="E210" s="17">
        <f>IF($D210="","",IFERROR(INDEX(rngCadetPIDs,MATCH($D210,rngCadetNames,0)),"?"))</f>
        <v/>
      </c>
      <c r="F210" s="16" t="n"/>
      <c r="G210" s="16" t="n"/>
      <c r="H210" s="16" t="n"/>
      <c r="I210" s="16" t="n"/>
      <c r="J210" s="16" t="n"/>
      <c r="K210" s="16" t="n"/>
      <c r="L210" s="17">
        <f>IF($D210="","",IF(AND($F210="Negative",OR($G210="Critical",$G210="Major")),"Yes","No"))</f>
        <v/>
      </c>
      <c r="M210" s="16" t="n"/>
      <c r="N210" s="16" t="n"/>
      <c r="O210" s="16" t="n"/>
    </row>
    <row r="211">
      <c r="B211" s="17">
        <f>IF($D211="","","I"&amp;TEXT(ROW()-5,"000"))</f>
        <v/>
      </c>
      <c r="C211" s="18" t="n"/>
      <c r="D211" s="16" t="n"/>
      <c r="E211" s="17">
        <f>IF($D211="","",IFERROR(INDEX(rngCadetPIDs,MATCH($D211,rngCadetNames,0)),"?"))</f>
        <v/>
      </c>
      <c r="F211" s="16" t="n"/>
      <c r="G211" s="16" t="n"/>
      <c r="H211" s="16" t="n"/>
      <c r="I211" s="16" t="n"/>
      <c r="J211" s="16" t="n"/>
      <c r="K211" s="16" t="n"/>
      <c r="L211" s="17">
        <f>IF($D211="","",IF(AND($F211="Negative",OR($G211="Critical",$G211="Major")),"Yes","No"))</f>
        <v/>
      </c>
      <c r="M211" s="16" t="n"/>
      <c r="N211" s="16" t="n"/>
      <c r="O211" s="16" t="n"/>
    </row>
    <row r="212">
      <c r="B212" s="17">
        <f>IF($D212="","","I"&amp;TEXT(ROW()-5,"000"))</f>
        <v/>
      </c>
      <c r="C212" s="18" t="n"/>
      <c r="D212" s="16" t="n"/>
      <c r="E212" s="17">
        <f>IF($D212="","",IFERROR(INDEX(rngCadetPIDs,MATCH($D212,rngCadetNames,0)),"?"))</f>
        <v/>
      </c>
      <c r="F212" s="16" t="n"/>
      <c r="G212" s="16" t="n"/>
      <c r="H212" s="16" t="n"/>
      <c r="I212" s="16" t="n"/>
      <c r="J212" s="16" t="n"/>
      <c r="K212" s="16" t="n"/>
      <c r="L212" s="17">
        <f>IF($D212="","",IF(AND($F212="Negative",OR($G212="Critical",$G212="Major")),"Yes","No"))</f>
        <v/>
      </c>
      <c r="M212" s="16" t="n"/>
      <c r="N212" s="16" t="n"/>
      <c r="O212" s="16" t="n"/>
    </row>
    <row r="213">
      <c r="B213" s="17">
        <f>IF($D213="","","I"&amp;TEXT(ROW()-5,"000"))</f>
        <v/>
      </c>
      <c r="C213" s="18" t="n"/>
      <c r="D213" s="16" t="n"/>
      <c r="E213" s="17">
        <f>IF($D213="","",IFERROR(INDEX(rngCadetPIDs,MATCH($D213,rngCadetNames,0)),"?"))</f>
        <v/>
      </c>
      <c r="F213" s="16" t="n"/>
      <c r="G213" s="16" t="n"/>
      <c r="H213" s="16" t="n"/>
      <c r="I213" s="16" t="n"/>
      <c r="J213" s="16" t="n"/>
      <c r="K213" s="16" t="n"/>
      <c r="L213" s="17">
        <f>IF($D213="","",IF(AND($F213="Negative",OR($G213="Critical",$G213="Major")),"Yes","No"))</f>
        <v/>
      </c>
      <c r="M213" s="16" t="n"/>
      <c r="N213" s="16" t="n"/>
      <c r="O213" s="16" t="n"/>
    </row>
    <row r="214">
      <c r="B214" s="17">
        <f>IF($D214="","","I"&amp;TEXT(ROW()-5,"000"))</f>
        <v/>
      </c>
      <c r="C214" s="18" t="n"/>
      <c r="D214" s="16" t="n"/>
      <c r="E214" s="17">
        <f>IF($D214="","",IFERROR(INDEX(rngCadetPIDs,MATCH($D214,rngCadetNames,0)),"?"))</f>
        <v/>
      </c>
      <c r="F214" s="16" t="n"/>
      <c r="G214" s="16" t="n"/>
      <c r="H214" s="16" t="n"/>
      <c r="I214" s="16" t="n"/>
      <c r="J214" s="16" t="n"/>
      <c r="K214" s="16" t="n"/>
      <c r="L214" s="17">
        <f>IF($D214="","",IF(AND($F214="Negative",OR($G214="Critical",$G214="Major")),"Yes","No"))</f>
        <v/>
      </c>
      <c r="M214" s="16" t="n"/>
      <c r="N214" s="16" t="n"/>
      <c r="O214" s="16" t="n"/>
    </row>
    <row r="215">
      <c r="B215" s="17">
        <f>IF($D215="","","I"&amp;TEXT(ROW()-5,"000"))</f>
        <v/>
      </c>
      <c r="C215" s="18" t="n"/>
      <c r="D215" s="16" t="n"/>
      <c r="E215" s="17">
        <f>IF($D215="","",IFERROR(INDEX(rngCadetPIDs,MATCH($D215,rngCadetNames,0)),"?"))</f>
        <v/>
      </c>
      <c r="F215" s="16" t="n"/>
      <c r="G215" s="16" t="n"/>
      <c r="H215" s="16" t="n"/>
      <c r="I215" s="16" t="n"/>
      <c r="J215" s="16" t="n"/>
      <c r="K215" s="16" t="n"/>
      <c r="L215" s="17">
        <f>IF($D215="","",IF(AND($F215="Negative",OR($G215="Critical",$G215="Major")),"Yes","No"))</f>
        <v/>
      </c>
      <c r="M215" s="16" t="n"/>
      <c r="N215" s="16" t="n"/>
      <c r="O215" s="16" t="n"/>
    </row>
    <row r="216">
      <c r="B216" s="17">
        <f>IF($D216="","","I"&amp;TEXT(ROW()-5,"000"))</f>
        <v/>
      </c>
      <c r="C216" s="18" t="n"/>
      <c r="D216" s="16" t="n"/>
      <c r="E216" s="17">
        <f>IF($D216="","",IFERROR(INDEX(rngCadetPIDs,MATCH($D216,rngCadetNames,0)),"?"))</f>
        <v/>
      </c>
      <c r="F216" s="16" t="n"/>
      <c r="G216" s="16" t="n"/>
      <c r="H216" s="16" t="n"/>
      <c r="I216" s="16" t="n"/>
      <c r="J216" s="16" t="n"/>
      <c r="K216" s="16" t="n"/>
      <c r="L216" s="17">
        <f>IF($D216="","",IF(AND($F216="Negative",OR($G216="Critical",$G216="Major")),"Yes","No"))</f>
        <v/>
      </c>
      <c r="M216" s="16" t="n"/>
      <c r="N216" s="16" t="n"/>
      <c r="O216" s="16" t="n"/>
    </row>
    <row r="217">
      <c r="B217" s="17">
        <f>IF($D217="","","I"&amp;TEXT(ROW()-5,"000"))</f>
        <v/>
      </c>
      <c r="C217" s="18" t="n"/>
      <c r="D217" s="16" t="n"/>
      <c r="E217" s="17">
        <f>IF($D217="","",IFERROR(INDEX(rngCadetPIDs,MATCH($D217,rngCadetNames,0)),"?"))</f>
        <v/>
      </c>
      <c r="F217" s="16" t="n"/>
      <c r="G217" s="16" t="n"/>
      <c r="H217" s="16" t="n"/>
      <c r="I217" s="16" t="n"/>
      <c r="J217" s="16" t="n"/>
      <c r="K217" s="16" t="n"/>
      <c r="L217" s="17">
        <f>IF($D217="","",IF(AND($F217="Negative",OR($G217="Critical",$G217="Major")),"Yes","No"))</f>
        <v/>
      </c>
      <c r="M217" s="16" t="n"/>
      <c r="N217" s="16" t="n"/>
      <c r="O217" s="16" t="n"/>
    </row>
    <row r="218">
      <c r="B218" s="17">
        <f>IF($D218="","","I"&amp;TEXT(ROW()-5,"000"))</f>
        <v/>
      </c>
      <c r="C218" s="18" t="n"/>
      <c r="D218" s="16" t="n"/>
      <c r="E218" s="17">
        <f>IF($D218="","",IFERROR(INDEX(rngCadetPIDs,MATCH($D218,rngCadetNames,0)),"?"))</f>
        <v/>
      </c>
      <c r="F218" s="16" t="n"/>
      <c r="G218" s="16" t="n"/>
      <c r="H218" s="16" t="n"/>
      <c r="I218" s="16" t="n"/>
      <c r="J218" s="16" t="n"/>
      <c r="K218" s="16" t="n"/>
      <c r="L218" s="17">
        <f>IF($D218="","",IF(AND($F218="Negative",OR($G218="Critical",$G218="Major")),"Yes","No"))</f>
        <v/>
      </c>
      <c r="M218" s="16" t="n"/>
      <c r="N218" s="16" t="n"/>
      <c r="O218" s="16" t="n"/>
    </row>
    <row r="219">
      <c r="B219" s="17">
        <f>IF($D219="","","I"&amp;TEXT(ROW()-5,"000"))</f>
        <v/>
      </c>
      <c r="C219" s="18" t="n"/>
      <c r="D219" s="16" t="n"/>
      <c r="E219" s="17">
        <f>IF($D219="","",IFERROR(INDEX(rngCadetPIDs,MATCH($D219,rngCadetNames,0)),"?"))</f>
        <v/>
      </c>
      <c r="F219" s="16" t="n"/>
      <c r="G219" s="16" t="n"/>
      <c r="H219" s="16" t="n"/>
      <c r="I219" s="16" t="n"/>
      <c r="J219" s="16" t="n"/>
      <c r="K219" s="16" t="n"/>
      <c r="L219" s="17">
        <f>IF($D219="","",IF(AND($F219="Negative",OR($G219="Critical",$G219="Major")),"Yes","No"))</f>
        <v/>
      </c>
      <c r="M219" s="16" t="n"/>
      <c r="N219" s="16" t="n"/>
      <c r="O219" s="16" t="n"/>
    </row>
    <row r="220">
      <c r="B220" s="17">
        <f>IF($D220="","","I"&amp;TEXT(ROW()-5,"000"))</f>
        <v/>
      </c>
      <c r="C220" s="18" t="n"/>
      <c r="D220" s="16" t="n"/>
      <c r="E220" s="17">
        <f>IF($D220="","",IFERROR(INDEX(rngCadetPIDs,MATCH($D220,rngCadetNames,0)),"?"))</f>
        <v/>
      </c>
      <c r="F220" s="16" t="n"/>
      <c r="G220" s="16" t="n"/>
      <c r="H220" s="16" t="n"/>
      <c r="I220" s="16" t="n"/>
      <c r="J220" s="16" t="n"/>
      <c r="K220" s="16" t="n"/>
      <c r="L220" s="17">
        <f>IF($D220="","",IF(AND($F220="Negative",OR($G220="Critical",$G220="Major")),"Yes","No"))</f>
        <v/>
      </c>
      <c r="M220" s="16" t="n"/>
      <c r="N220" s="16" t="n"/>
      <c r="O220" s="16" t="n"/>
    </row>
    <row r="221">
      <c r="B221" s="17">
        <f>IF($D221="","","I"&amp;TEXT(ROW()-5,"000"))</f>
        <v/>
      </c>
      <c r="C221" s="18" t="n"/>
      <c r="D221" s="16" t="n"/>
      <c r="E221" s="17">
        <f>IF($D221="","",IFERROR(INDEX(rngCadetPIDs,MATCH($D221,rngCadetNames,0)),"?"))</f>
        <v/>
      </c>
      <c r="F221" s="16" t="n"/>
      <c r="G221" s="16" t="n"/>
      <c r="H221" s="16" t="n"/>
      <c r="I221" s="16" t="n"/>
      <c r="J221" s="16" t="n"/>
      <c r="K221" s="16" t="n"/>
      <c r="L221" s="17">
        <f>IF($D221="","",IF(AND($F221="Negative",OR($G221="Critical",$G221="Major")),"Yes","No"))</f>
        <v/>
      </c>
      <c r="M221" s="16" t="n"/>
      <c r="N221" s="16" t="n"/>
      <c r="O221" s="16" t="n"/>
    </row>
    <row r="222">
      <c r="B222" s="17">
        <f>IF($D222="","","I"&amp;TEXT(ROW()-5,"000"))</f>
        <v/>
      </c>
      <c r="C222" s="18" t="n"/>
      <c r="D222" s="16" t="n"/>
      <c r="E222" s="17">
        <f>IF($D222="","",IFERROR(INDEX(rngCadetPIDs,MATCH($D222,rngCadetNames,0)),"?"))</f>
        <v/>
      </c>
      <c r="F222" s="16" t="n"/>
      <c r="G222" s="16" t="n"/>
      <c r="H222" s="16" t="n"/>
      <c r="I222" s="16" t="n"/>
      <c r="J222" s="16" t="n"/>
      <c r="K222" s="16" t="n"/>
      <c r="L222" s="17">
        <f>IF($D222="","",IF(AND($F222="Negative",OR($G222="Critical",$G222="Major")),"Yes","No"))</f>
        <v/>
      </c>
      <c r="M222" s="16" t="n"/>
      <c r="N222" s="16" t="n"/>
      <c r="O222" s="16" t="n"/>
    </row>
    <row r="223">
      <c r="B223" s="17">
        <f>IF($D223="","","I"&amp;TEXT(ROW()-5,"000"))</f>
        <v/>
      </c>
      <c r="C223" s="18" t="n"/>
      <c r="D223" s="16" t="n"/>
      <c r="E223" s="17">
        <f>IF($D223="","",IFERROR(INDEX(rngCadetPIDs,MATCH($D223,rngCadetNames,0)),"?"))</f>
        <v/>
      </c>
      <c r="F223" s="16" t="n"/>
      <c r="G223" s="16" t="n"/>
      <c r="H223" s="16" t="n"/>
      <c r="I223" s="16" t="n"/>
      <c r="J223" s="16" t="n"/>
      <c r="K223" s="16" t="n"/>
      <c r="L223" s="17">
        <f>IF($D223="","",IF(AND($F223="Negative",OR($G223="Critical",$G223="Major")),"Yes","No"))</f>
        <v/>
      </c>
      <c r="M223" s="16" t="n"/>
      <c r="N223" s="16" t="n"/>
      <c r="O223" s="16" t="n"/>
    </row>
    <row r="224">
      <c r="B224" s="17">
        <f>IF($D224="","","I"&amp;TEXT(ROW()-5,"000"))</f>
        <v/>
      </c>
      <c r="C224" s="18" t="n"/>
      <c r="D224" s="16" t="n"/>
      <c r="E224" s="17">
        <f>IF($D224="","",IFERROR(INDEX(rngCadetPIDs,MATCH($D224,rngCadetNames,0)),"?"))</f>
        <v/>
      </c>
      <c r="F224" s="16" t="n"/>
      <c r="G224" s="16" t="n"/>
      <c r="H224" s="16" t="n"/>
      <c r="I224" s="16" t="n"/>
      <c r="J224" s="16" t="n"/>
      <c r="K224" s="16" t="n"/>
      <c r="L224" s="17">
        <f>IF($D224="","",IF(AND($F224="Negative",OR($G224="Critical",$G224="Major")),"Yes","No"))</f>
        <v/>
      </c>
      <c r="M224" s="16" t="n"/>
      <c r="N224" s="16" t="n"/>
      <c r="O224" s="16" t="n"/>
    </row>
    <row r="225">
      <c r="B225" s="17">
        <f>IF($D225="","","I"&amp;TEXT(ROW()-5,"000"))</f>
        <v/>
      </c>
      <c r="C225" s="18" t="n"/>
      <c r="D225" s="16" t="n"/>
      <c r="E225" s="17">
        <f>IF($D225="","",IFERROR(INDEX(rngCadetPIDs,MATCH($D225,rngCadetNames,0)),"?"))</f>
        <v/>
      </c>
      <c r="F225" s="16" t="n"/>
      <c r="G225" s="16" t="n"/>
      <c r="H225" s="16" t="n"/>
      <c r="I225" s="16" t="n"/>
      <c r="J225" s="16" t="n"/>
      <c r="K225" s="16" t="n"/>
      <c r="L225" s="17">
        <f>IF($D225="","",IF(AND($F225="Negative",OR($G225="Critical",$G225="Major")),"Yes","No"))</f>
        <v/>
      </c>
      <c r="M225" s="16" t="n"/>
      <c r="N225" s="16" t="n"/>
      <c r="O225" s="16" t="n"/>
    </row>
    <row r="226">
      <c r="B226" s="17">
        <f>IF($D226="","","I"&amp;TEXT(ROW()-5,"000"))</f>
        <v/>
      </c>
      <c r="C226" s="18" t="n"/>
      <c r="D226" s="16" t="n"/>
      <c r="E226" s="17">
        <f>IF($D226="","",IFERROR(INDEX(rngCadetPIDs,MATCH($D226,rngCadetNames,0)),"?"))</f>
        <v/>
      </c>
      <c r="F226" s="16" t="n"/>
      <c r="G226" s="16" t="n"/>
      <c r="H226" s="16" t="n"/>
      <c r="I226" s="16" t="n"/>
      <c r="J226" s="16" t="n"/>
      <c r="K226" s="16" t="n"/>
      <c r="L226" s="17">
        <f>IF($D226="","",IF(AND($F226="Negative",OR($G226="Critical",$G226="Major")),"Yes","No"))</f>
        <v/>
      </c>
      <c r="M226" s="16" t="n"/>
      <c r="N226" s="16" t="n"/>
      <c r="O226" s="16" t="n"/>
    </row>
    <row r="227">
      <c r="B227" s="17">
        <f>IF($D227="","","I"&amp;TEXT(ROW()-5,"000"))</f>
        <v/>
      </c>
      <c r="C227" s="18" t="n"/>
      <c r="D227" s="16" t="n"/>
      <c r="E227" s="17">
        <f>IF($D227="","",IFERROR(INDEX(rngCadetPIDs,MATCH($D227,rngCadetNames,0)),"?"))</f>
        <v/>
      </c>
      <c r="F227" s="16" t="n"/>
      <c r="G227" s="16" t="n"/>
      <c r="H227" s="16" t="n"/>
      <c r="I227" s="16" t="n"/>
      <c r="J227" s="16" t="n"/>
      <c r="K227" s="16" t="n"/>
      <c r="L227" s="17">
        <f>IF($D227="","",IF(AND($F227="Negative",OR($G227="Critical",$G227="Major")),"Yes","No"))</f>
        <v/>
      </c>
      <c r="M227" s="16" t="n"/>
      <c r="N227" s="16" t="n"/>
      <c r="O227" s="16" t="n"/>
    </row>
    <row r="228">
      <c r="B228" s="17">
        <f>IF($D228="","","I"&amp;TEXT(ROW()-5,"000"))</f>
        <v/>
      </c>
      <c r="C228" s="18" t="n"/>
      <c r="D228" s="16" t="n"/>
      <c r="E228" s="17">
        <f>IF($D228="","",IFERROR(INDEX(rngCadetPIDs,MATCH($D228,rngCadetNames,0)),"?"))</f>
        <v/>
      </c>
      <c r="F228" s="16" t="n"/>
      <c r="G228" s="16" t="n"/>
      <c r="H228" s="16" t="n"/>
      <c r="I228" s="16" t="n"/>
      <c r="J228" s="16" t="n"/>
      <c r="K228" s="16" t="n"/>
      <c r="L228" s="17">
        <f>IF($D228="","",IF(AND($F228="Negative",OR($G228="Critical",$G228="Major")),"Yes","No"))</f>
        <v/>
      </c>
      <c r="M228" s="16" t="n"/>
      <c r="N228" s="16" t="n"/>
      <c r="O228" s="16" t="n"/>
    </row>
    <row r="229">
      <c r="B229" s="17">
        <f>IF($D229="","","I"&amp;TEXT(ROW()-5,"000"))</f>
        <v/>
      </c>
      <c r="C229" s="18" t="n"/>
      <c r="D229" s="16" t="n"/>
      <c r="E229" s="17">
        <f>IF($D229="","",IFERROR(INDEX(rngCadetPIDs,MATCH($D229,rngCadetNames,0)),"?"))</f>
        <v/>
      </c>
      <c r="F229" s="16" t="n"/>
      <c r="G229" s="16" t="n"/>
      <c r="H229" s="16" t="n"/>
      <c r="I229" s="16" t="n"/>
      <c r="J229" s="16" t="n"/>
      <c r="K229" s="16" t="n"/>
      <c r="L229" s="17">
        <f>IF($D229="","",IF(AND($F229="Negative",OR($G229="Critical",$G229="Major")),"Yes","No"))</f>
        <v/>
      </c>
      <c r="M229" s="16" t="n"/>
      <c r="N229" s="16" t="n"/>
      <c r="O229" s="16" t="n"/>
    </row>
    <row r="230">
      <c r="B230" s="17">
        <f>IF($D230="","","I"&amp;TEXT(ROW()-5,"000"))</f>
        <v/>
      </c>
      <c r="C230" s="18" t="n"/>
      <c r="D230" s="16" t="n"/>
      <c r="E230" s="17">
        <f>IF($D230="","",IFERROR(INDEX(rngCadetPIDs,MATCH($D230,rngCadetNames,0)),"?"))</f>
        <v/>
      </c>
      <c r="F230" s="16" t="n"/>
      <c r="G230" s="16" t="n"/>
      <c r="H230" s="16" t="n"/>
      <c r="I230" s="16" t="n"/>
      <c r="J230" s="16" t="n"/>
      <c r="K230" s="16" t="n"/>
      <c r="L230" s="17">
        <f>IF($D230="","",IF(AND($F230="Negative",OR($G230="Critical",$G230="Major")),"Yes","No"))</f>
        <v/>
      </c>
      <c r="M230" s="16" t="n"/>
      <c r="N230" s="16" t="n"/>
      <c r="O230" s="16" t="n"/>
    </row>
    <row r="231">
      <c r="B231" s="17">
        <f>IF($D231="","","I"&amp;TEXT(ROW()-5,"000"))</f>
        <v/>
      </c>
      <c r="C231" s="18" t="n"/>
      <c r="D231" s="16" t="n"/>
      <c r="E231" s="17">
        <f>IF($D231="","",IFERROR(INDEX(rngCadetPIDs,MATCH($D231,rngCadetNames,0)),"?"))</f>
        <v/>
      </c>
      <c r="F231" s="16" t="n"/>
      <c r="G231" s="16" t="n"/>
      <c r="H231" s="16" t="n"/>
      <c r="I231" s="16" t="n"/>
      <c r="J231" s="16" t="n"/>
      <c r="K231" s="16" t="n"/>
      <c r="L231" s="17">
        <f>IF($D231="","",IF(AND($F231="Negative",OR($G231="Critical",$G231="Major")),"Yes","No"))</f>
        <v/>
      </c>
      <c r="M231" s="16" t="n"/>
      <c r="N231" s="16" t="n"/>
      <c r="O231" s="16" t="n"/>
    </row>
    <row r="232">
      <c r="B232" s="17">
        <f>IF($D232="","","I"&amp;TEXT(ROW()-5,"000"))</f>
        <v/>
      </c>
      <c r="C232" s="18" t="n"/>
      <c r="D232" s="16" t="n"/>
      <c r="E232" s="17">
        <f>IF($D232="","",IFERROR(INDEX(rngCadetPIDs,MATCH($D232,rngCadetNames,0)),"?"))</f>
        <v/>
      </c>
      <c r="F232" s="16" t="n"/>
      <c r="G232" s="16" t="n"/>
      <c r="H232" s="16" t="n"/>
      <c r="I232" s="16" t="n"/>
      <c r="J232" s="16" t="n"/>
      <c r="K232" s="16" t="n"/>
      <c r="L232" s="17">
        <f>IF($D232="","",IF(AND($F232="Negative",OR($G232="Critical",$G232="Major")),"Yes","No"))</f>
        <v/>
      </c>
      <c r="M232" s="16" t="n"/>
      <c r="N232" s="16" t="n"/>
      <c r="O232" s="16" t="n"/>
    </row>
    <row r="233">
      <c r="B233" s="17">
        <f>IF($D233="","","I"&amp;TEXT(ROW()-5,"000"))</f>
        <v/>
      </c>
      <c r="C233" s="18" t="n"/>
      <c r="D233" s="16" t="n"/>
      <c r="E233" s="17">
        <f>IF($D233="","",IFERROR(INDEX(rngCadetPIDs,MATCH($D233,rngCadetNames,0)),"?"))</f>
        <v/>
      </c>
      <c r="F233" s="16" t="n"/>
      <c r="G233" s="16" t="n"/>
      <c r="H233" s="16" t="n"/>
      <c r="I233" s="16" t="n"/>
      <c r="J233" s="16" t="n"/>
      <c r="K233" s="16" t="n"/>
      <c r="L233" s="17">
        <f>IF($D233="","",IF(AND($F233="Negative",OR($G233="Critical",$G233="Major")),"Yes","No"))</f>
        <v/>
      </c>
      <c r="M233" s="16" t="n"/>
      <c r="N233" s="16" t="n"/>
      <c r="O233" s="16" t="n"/>
    </row>
    <row r="234">
      <c r="B234" s="17">
        <f>IF($D234="","","I"&amp;TEXT(ROW()-5,"000"))</f>
        <v/>
      </c>
      <c r="C234" s="18" t="n"/>
      <c r="D234" s="16" t="n"/>
      <c r="E234" s="17">
        <f>IF($D234="","",IFERROR(INDEX(rngCadetPIDs,MATCH($D234,rngCadetNames,0)),"?"))</f>
        <v/>
      </c>
      <c r="F234" s="16" t="n"/>
      <c r="G234" s="16" t="n"/>
      <c r="H234" s="16" t="n"/>
      <c r="I234" s="16" t="n"/>
      <c r="J234" s="16" t="n"/>
      <c r="K234" s="16" t="n"/>
      <c r="L234" s="17">
        <f>IF($D234="","",IF(AND($F234="Negative",OR($G234="Critical",$G234="Major")),"Yes","No"))</f>
        <v/>
      </c>
      <c r="M234" s="16" t="n"/>
      <c r="N234" s="16" t="n"/>
      <c r="O234" s="16" t="n"/>
    </row>
    <row r="235">
      <c r="B235" s="17">
        <f>IF($D235="","","I"&amp;TEXT(ROW()-5,"000"))</f>
        <v/>
      </c>
      <c r="C235" s="18" t="n"/>
      <c r="D235" s="16" t="n"/>
      <c r="E235" s="17">
        <f>IF($D235="","",IFERROR(INDEX(rngCadetPIDs,MATCH($D235,rngCadetNames,0)),"?"))</f>
        <v/>
      </c>
      <c r="F235" s="16" t="n"/>
      <c r="G235" s="16" t="n"/>
      <c r="H235" s="16" t="n"/>
      <c r="I235" s="16" t="n"/>
      <c r="J235" s="16" t="n"/>
      <c r="K235" s="16" t="n"/>
      <c r="L235" s="17">
        <f>IF($D235="","",IF(AND($F235="Negative",OR($G235="Critical",$G235="Major")),"Yes","No"))</f>
        <v/>
      </c>
      <c r="M235" s="16" t="n"/>
      <c r="N235" s="16" t="n"/>
      <c r="O235" s="16" t="n"/>
    </row>
    <row r="236">
      <c r="B236" s="17">
        <f>IF($D236="","","I"&amp;TEXT(ROW()-5,"000"))</f>
        <v/>
      </c>
      <c r="C236" s="18" t="n"/>
      <c r="D236" s="16" t="n"/>
      <c r="E236" s="17">
        <f>IF($D236="","",IFERROR(INDEX(rngCadetPIDs,MATCH($D236,rngCadetNames,0)),"?"))</f>
        <v/>
      </c>
      <c r="F236" s="16" t="n"/>
      <c r="G236" s="16" t="n"/>
      <c r="H236" s="16" t="n"/>
      <c r="I236" s="16" t="n"/>
      <c r="J236" s="16" t="n"/>
      <c r="K236" s="16" t="n"/>
      <c r="L236" s="17">
        <f>IF($D236="","",IF(AND($F236="Negative",OR($G236="Critical",$G236="Major")),"Yes","No"))</f>
        <v/>
      </c>
      <c r="M236" s="16" t="n"/>
      <c r="N236" s="16" t="n"/>
      <c r="O236" s="16" t="n"/>
    </row>
    <row r="237">
      <c r="B237" s="17">
        <f>IF($D237="","","I"&amp;TEXT(ROW()-5,"000"))</f>
        <v/>
      </c>
      <c r="C237" s="18" t="n"/>
      <c r="D237" s="16" t="n"/>
      <c r="E237" s="17">
        <f>IF($D237="","",IFERROR(INDEX(rngCadetPIDs,MATCH($D237,rngCadetNames,0)),"?"))</f>
        <v/>
      </c>
      <c r="F237" s="16" t="n"/>
      <c r="G237" s="16" t="n"/>
      <c r="H237" s="16" t="n"/>
      <c r="I237" s="16" t="n"/>
      <c r="J237" s="16" t="n"/>
      <c r="K237" s="16" t="n"/>
      <c r="L237" s="17">
        <f>IF($D237="","",IF(AND($F237="Negative",OR($G237="Critical",$G237="Major")),"Yes","No"))</f>
        <v/>
      </c>
      <c r="M237" s="16" t="n"/>
      <c r="N237" s="16" t="n"/>
      <c r="O237" s="16" t="n"/>
    </row>
    <row r="238">
      <c r="B238" s="17">
        <f>IF($D238="","","I"&amp;TEXT(ROW()-5,"000"))</f>
        <v/>
      </c>
      <c r="C238" s="18" t="n"/>
      <c r="D238" s="16" t="n"/>
      <c r="E238" s="17">
        <f>IF($D238="","",IFERROR(INDEX(rngCadetPIDs,MATCH($D238,rngCadetNames,0)),"?"))</f>
        <v/>
      </c>
      <c r="F238" s="16" t="n"/>
      <c r="G238" s="16" t="n"/>
      <c r="H238" s="16" t="n"/>
      <c r="I238" s="16" t="n"/>
      <c r="J238" s="16" t="n"/>
      <c r="K238" s="16" t="n"/>
      <c r="L238" s="17">
        <f>IF($D238="","",IF(AND($F238="Negative",OR($G238="Critical",$G238="Major")),"Yes","No"))</f>
        <v/>
      </c>
      <c r="M238" s="16" t="n"/>
      <c r="N238" s="16" t="n"/>
      <c r="O238" s="16" t="n"/>
    </row>
    <row r="239">
      <c r="B239" s="17">
        <f>IF($D239="","","I"&amp;TEXT(ROW()-5,"000"))</f>
        <v/>
      </c>
      <c r="C239" s="18" t="n"/>
      <c r="D239" s="16" t="n"/>
      <c r="E239" s="17">
        <f>IF($D239="","",IFERROR(INDEX(rngCadetPIDs,MATCH($D239,rngCadetNames,0)),"?"))</f>
        <v/>
      </c>
      <c r="F239" s="16" t="n"/>
      <c r="G239" s="16" t="n"/>
      <c r="H239" s="16" t="n"/>
      <c r="I239" s="16" t="n"/>
      <c r="J239" s="16" t="n"/>
      <c r="K239" s="16" t="n"/>
      <c r="L239" s="17">
        <f>IF($D239="","",IF(AND($F239="Negative",OR($G239="Critical",$G239="Major")),"Yes","No"))</f>
        <v/>
      </c>
      <c r="M239" s="16" t="n"/>
      <c r="N239" s="16" t="n"/>
      <c r="O239" s="16" t="n"/>
    </row>
    <row r="240">
      <c r="B240" s="17">
        <f>IF($D240="","","I"&amp;TEXT(ROW()-5,"000"))</f>
        <v/>
      </c>
      <c r="C240" s="18" t="n"/>
      <c r="D240" s="16" t="n"/>
      <c r="E240" s="17">
        <f>IF($D240="","",IFERROR(INDEX(rngCadetPIDs,MATCH($D240,rngCadetNames,0)),"?"))</f>
        <v/>
      </c>
      <c r="F240" s="16" t="n"/>
      <c r="G240" s="16" t="n"/>
      <c r="H240" s="16" t="n"/>
      <c r="I240" s="16" t="n"/>
      <c r="J240" s="16" t="n"/>
      <c r="K240" s="16" t="n"/>
      <c r="L240" s="17">
        <f>IF($D240="","",IF(AND($F240="Negative",OR($G240="Critical",$G240="Major")),"Yes","No"))</f>
        <v/>
      </c>
      <c r="M240" s="16" t="n"/>
      <c r="N240" s="16" t="n"/>
      <c r="O240" s="16" t="n"/>
    </row>
    <row r="241">
      <c r="B241" s="17">
        <f>IF($D241="","","I"&amp;TEXT(ROW()-5,"000"))</f>
        <v/>
      </c>
      <c r="C241" s="18" t="n"/>
      <c r="D241" s="16" t="n"/>
      <c r="E241" s="17">
        <f>IF($D241="","",IFERROR(INDEX(rngCadetPIDs,MATCH($D241,rngCadetNames,0)),"?"))</f>
        <v/>
      </c>
      <c r="F241" s="16" t="n"/>
      <c r="G241" s="16" t="n"/>
      <c r="H241" s="16" t="n"/>
      <c r="I241" s="16" t="n"/>
      <c r="J241" s="16" t="n"/>
      <c r="K241" s="16" t="n"/>
      <c r="L241" s="17">
        <f>IF($D241="","",IF(AND($F241="Negative",OR($G241="Critical",$G241="Major")),"Yes","No"))</f>
        <v/>
      </c>
      <c r="M241" s="16" t="n"/>
      <c r="N241" s="16" t="n"/>
      <c r="O241" s="16" t="n"/>
    </row>
    <row r="242">
      <c r="B242" s="17">
        <f>IF($D242="","","I"&amp;TEXT(ROW()-5,"000"))</f>
        <v/>
      </c>
      <c r="C242" s="18" t="n"/>
      <c r="D242" s="16" t="n"/>
      <c r="E242" s="17">
        <f>IF($D242="","",IFERROR(INDEX(rngCadetPIDs,MATCH($D242,rngCadetNames,0)),"?"))</f>
        <v/>
      </c>
      <c r="F242" s="16" t="n"/>
      <c r="G242" s="16" t="n"/>
      <c r="H242" s="16" t="n"/>
      <c r="I242" s="16" t="n"/>
      <c r="J242" s="16" t="n"/>
      <c r="K242" s="16" t="n"/>
      <c r="L242" s="17">
        <f>IF($D242="","",IF(AND($F242="Negative",OR($G242="Critical",$G242="Major")),"Yes","No"))</f>
        <v/>
      </c>
      <c r="M242" s="16" t="n"/>
      <c r="N242" s="16" t="n"/>
      <c r="O242" s="16" t="n"/>
    </row>
    <row r="243">
      <c r="B243" s="17">
        <f>IF($D243="","","I"&amp;TEXT(ROW()-5,"000"))</f>
        <v/>
      </c>
      <c r="C243" s="18" t="n"/>
      <c r="D243" s="16" t="n"/>
      <c r="E243" s="17">
        <f>IF($D243="","",IFERROR(INDEX(rngCadetPIDs,MATCH($D243,rngCadetNames,0)),"?"))</f>
        <v/>
      </c>
      <c r="F243" s="16" t="n"/>
      <c r="G243" s="16" t="n"/>
      <c r="H243" s="16" t="n"/>
      <c r="I243" s="16" t="n"/>
      <c r="J243" s="16" t="n"/>
      <c r="K243" s="16" t="n"/>
      <c r="L243" s="17">
        <f>IF($D243="","",IF(AND($F243="Negative",OR($G243="Critical",$G243="Major")),"Yes","No"))</f>
        <v/>
      </c>
      <c r="M243" s="16" t="n"/>
      <c r="N243" s="16" t="n"/>
      <c r="O243" s="16" t="n"/>
    </row>
    <row r="244">
      <c r="B244" s="17">
        <f>IF($D244="","","I"&amp;TEXT(ROW()-5,"000"))</f>
        <v/>
      </c>
      <c r="C244" s="18" t="n"/>
      <c r="D244" s="16" t="n"/>
      <c r="E244" s="17">
        <f>IF($D244="","",IFERROR(INDEX(rngCadetPIDs,MATCH($D244,rngCadetNames,0)),"?"))</f>
        <v/>
      </c>
      <c r="F244" s="16" t="n"/>
      <c r="G244" s="16" t="n"/>
      <c r="H244" s="16" t="n"/>
      <c r="I244" s="16" t="n"/>
      <c r="J244" s="16" t="n"/>
      <c r="K244" s="16" t="n"/>
      <c r="L244" s="17">
        <f>IF($D244="","",IF(AND($F244="Negative",OR($G244="Critical",$G244="Major")),"Yes","No"))</f>
        <v/>
      </c>
      <c r="M244" s="16" t="n"/>
      <c r="N244" s="16" t="n"/>
      <c r="O244" s="16" t="n"/>
    </row>
    <row r="245">
      <c r="B245" s="17">
        <f>IF($D245="","","I"&amp;TEXT(ROW()-5,"000"))</f>
        <v/>
      </c>
      <c r="C245" s="18" t="n"/>
      <c r="D245" s="16" t="n"/>
      <c r="E245" s="17">
        <f>IF($D245="","",IFERROR(INDEX(rngCadetPIDs,MATCH($D245,rngCadetNames,0)),"?"))</f>
        <v/>
      </c>
      <c r="F245" s="16" t="n"/>
      <c r="G245" s="16" t="n"/>
      <c r="H245" s="16" t="n"/>
      <c r="I245" s="16" t="n"/>
      <c r="J245" s="16" t="n"/>
      <c r="K245" s="16" t="n"/>
      <c r="L245" s="17">
        <f>IF($D245="","",IF(AND($F245="Negative",OR($G245="Critical",$G245="Major")),"Yes","No"))</f>
        <v/>
      </c>
      <c r="M245" s="16" t="n"/>
      <c r="N245" s="16" t="n"/>
      <c r="O245" s="16" t="n"/>
    </row>
    <row r="246">
      <c r="B246" s="17">
        <f>IF($D246="","","I"&amp;TEXT(ROW()-5,"000"))</f>
        <v/>
      </c>
      <c r="C246" s="18" t="n"/>
      <c r="D246" s="16" t="n"/>
      <c r="E246" s="17">
        <f>IF($D246="","",IFERROR(INDEX(rngCadetPIDs,MATCH($D246,rngCadetNames,0)),"?"))</f>
        <v/>
      </c>
      <c r="F246" s="16" t="n"/>
      <c r="G246" s="16" t="n"/>
      <c r="H246" s="16" t="n"/>
      <c r="I246" s="16" t="n"/>
      <c r="J246" s="16" t="n"/>
      <c r="K246" s="16" t="n"/>
      <c r="L246" s="17">
        <f>IF($D246="","",IF(AND($F246="Negative",OR($G246="Critical",$G246="Major")),"Yes","No"))</f>
        <v/>
      </c>
      <c r="M246" s="16" t="n"/>
      <c r="N246" s="16" t="n"/>
      <c r="O246" s="16" t="n"/>
    </row>
    <row r="247">
      <c r="B247" s="17">
        <f>IF($D247="","","I"&amp;TEXT(ROW()-5,"000"))</f>
        <v/>
      </c>
      <c r="C247" s="18" t="n"/>
      <c r="D247" s="16" t="n"/>
      <c r="E247" s="17">
        <f>IF($D247="","",IFERROR(INDEX(rngCadetPIDs,MATCH($D247,rngCadetNames,0)),"?"))</f>
        <v/>
      </c>
      <c r="F247" s="16" t="n"/>
      <c r="G247" s="16" t="n"/>
      <c r="H247" s="16" t="n"/>
      <c r="I247" s="16" t="n"/>
      <c r="J247" s="16" t="n"/>
      <c r="K247" s="16" t="n"/>
      <c r="L247" s="17">
        <f>IF($D247="","",IF(AND($F247="Negative",OR($G247="Critical",$G247="Major")),"Yes","No"))</f>
        <v/>
      </c>
      <c r="M247" s="16" t="n"/>
      <c r="N247" s="16" t="n"/>
      <c r="O247" s="16" t="n"/>
    </row>
    <row r="248">
      <c r="B248" s="17">
        <f>IF($D248="","","I"&amp;TEXT(ROW()-5,"000"))</f>
        <v/>
      </c>
      <c r="C248" s="18" t="n"/>
      <c r="D248" s="16" t="n"/>
      <c r="E248" s="17">
        <f>IF($D248="","",IFERROR(INDEX(rngCadetPIDs,MATCH($D248,rngCadetNames,0)),"?"))</f>
        <v/>
      </c>
      <c r="F248" s="16" t="n"/>
      <c r="G248" s="16" t="n"/>
      <c r="H248" s="16" t="n"/>
      <c r="I248" s="16" t="n"/>
      <c r="J248" s="16" t="n"/>
      <c r="K248" s="16" t="n"/>
      <c r="L248" s="17">
        <f>IF($D248="","",IF(AND($F248="Negative",OR($G248="Critical",$G248="Major")),"Yes","No"))</f>
        <v/>
      </c>
      <c r="M248" s="16" t="n"/>
      <c r="N248" s="16" t="n"/>
      <c r="O248" s="16" t="n"/>
    </row>
    <row r="249">
      <c r="B249" s="17">
        <f>IF($D249="","","I"&amp;TEXT(ROW()-5,"000"))</f>
        <v/>
      </c>
      <c r="C249" s="18" t="n"/>
      <c r="D249" s="16" t="n"/>
      <c r="E249" s="17">
        <f>IF($D249="","",IFERROR(INDEX(rngCadetPIDs,MATCH($D249,rngCadetNames,0)),"?"))</f>
        <v/>
      </c>
      <c r="F249" s="16" t="n"/>
      <c r="G249" s="16" t="n"/>
      <c r="H249" s="16" t="n"/>
      <c r="I249" s="16" t="n"/>
      <c r="J249" s="16" t="n"/>
      <c r="K249" s="16" t="n"/>
      <c r="L249" s="17">
        <f>IF($D249="","",IF(AND($F249="Negative",OR($G249="Critical",$G249="Major")),"Yes","No"))</f>
        <v/>
      </c>
      <c r="M249" s="16" t="n"/>
      <c r="N249" s="16" t="n"/>
      <c r="O249" s="16" t="n"/>
    </row>
    <row r="250">
      <c r="B250" s="17">
        <f>IF($D250="","","I"&amp;TEXT(ROW()-5,"000"))</f>
        <v/>
      </c>
      <c r="C250" s="18" t="n"/>
      <c r="D250" s="16" t="n"/>
      <c r="E250" s="17">
        <f>IF($D250="","",IFERROR(INDEX(rngCadetPIDs,MATCH($D250,rngCadetNames,0)),"?"))</f>
        <v/>
      </c>
      <c r="F250" s="16" t="n"/>
      <c r="G250" s="16" t="n"/>
      <c r="H250" s="16" t="n"/>
      <c r="I250" s="16" t="n"/>
      <c r="J250" s="16" t="n"/>
      <c r="K250" s="16" t="n"/>
      <c r="L250" s="17">
        <f>IF($D250="","",IF(AND($F250="Negative",OR($G250="Critical",$G250="Major")),"Yes","No"))</f>
        <v/>
      </c>
      <c r="M250" s="16" t="n"/>
      <c r="N250" s="16" t="n"/>
      <c r="O250" s="16" t="n"/>
    </row>
    <row r="251">
      <c r="B251" s="17">
        <f>IF($D251="","","I"&amp;TEXT(ROW()-5,"000"))</f>
        <v/>
      </c>
      <c r="C251" s="18" t="n"/>
      <c r="D251" s="16" t="n"/>
      <c r="E251" s="17">
        <f>IF($D251="","",IFERROR(INDEX(rngCadetPIDs,MATCH($D251,rngCadetNames,0)),"?"))</f>
        <v/>
      </c>
      <c r="F251" s="16" t="n"/>
      <c r="G251" s="16" t="n"/>
      <c r="H251" s="16" t="n"/>
      <c r="I251" s="16" t="n"/>
      <c r="J251" s="16" t="n"/>
      <c r="K251" s="16" t="n"/>
      <c r="L251" s="17">
        <f>IF($D251="","",IF(AND($F251="Negative",OR($G251="Critical",$G251="Major")),"Yes","No"))</f>
        <v/>
      </c>
      <c r="M251" s="16" t="n"/>
      <c r="N251" s="16" t="n"/>
      <c r="O251" s="16" t="n"/>
    </row>
    <row r="252">
      <c r="B252" s="17">
        <f>IF($D252="","","I"&amp;TEXT(ROW()-5,"000"))</f>
        <v/>
      </c>
      <c r="C252" s="18" t="n"/>
      <c r="D252" s="16" t="n"/>
      <c r="E252" s="17">
        <f>IF($D252="","",IFERROR(INDEX(rngCadetPIDs,MATCH($D252,rngCadetNames,0)),"?"))</f>
        <v/>
      </c>
      <c r="F252" s="16" t="n"/>
      <c r="G252" s="16" t="n"/>
      <c r="H252" s="16" t="n"/>
      <c r="I252" s="16" t="n"/>
      <c r="J252" s="16" t="n"/>
      <c r="K252" s="16" t="n"/>
      <c r="L252" s="17">
        <f>IF($D252="","",IF(AND($F252="Negative",OR($G252="Critical",$G252="Major")),"Yes","No"))</f>
        <v/>
      </c>
      <c r="M252" s="16" t="n"/>
      <c r="N252" s="16" t="n"/>
      <c r="O252" s="16" t="n"/>
    </row>
    <row r="253">
      <c r="B253" s="17">
        <f>IF($D253="","","I"&amp;TEXT(ROW()-5,"000"))</f>
        <v/>
      </c>
      <c r="C253" s="18" t="n"/>
      <c r="D253" s="16" t="n"/>
      <c r="E253" s="17">
        <f>IF($D253="","",IFERROR(INDEX(rngCadetPIDs,MATCH($D253,rngCadetNames,0)),"?"))</f>
        <v/>
      </c>
      <c r="F253" s="16" t="n"/>
      <c r="G253" s="16" t="n"/>
      <c r="H253" s="16" t="n"/>
      <c r="I253" s="16" t="n"/>
      <c r="J253" s="16" t="n"/>
      <c r="K253" s="16" t="n"/>
      <c r="L253" s="17">
        <f>IF($D253="","",IF(AND($F253="Negative",OR($G253="Critical",$G253="Major")),"Yes","No"))</f>
        <v/>
      </c>
      <c r="M253" s="16" t="n"/>
      <c r="N253" s="16" t="n"/>
      <c r="O253" s="16" t="n"/>
    </row>
    <row r="254">
      <c r="B254" s="17">
        <f>IF($D254="","","I"&amp;TEXT(ROW()-5,"000"))</f>
        <v/>
      </c>
      <c r="C254" s="18" t="n"/>
      <c r="D254" s="16" t="n"/>
      <c r="E254" s="17">
        <f>IF($D254="","",IFERROR(INDEX(rngCadetPIDs,MATCH($D254,rngCadetNames,0)),"?"))</f>
        <v/>
      </c>
      <c r="F254" s="16" t="n"/>
      <c r="G254" s="16" t="n"/>
      <c r="H254" s="16" t="n"/>
      <c r="I254" s="16" t="n"/>
      <c r="J254" s="16" t="n"/>
      <c r="K254" s="16" t="n"/>
      <c r="L254" s="17">
        <f>IF($D254="","",IF(AND($F254="Negative",OR($G254="Critical",$G254="Major")),"Yes","No"))</f>
        <v/>
      </c>
      <c r="M254" s="16" t="n"/>
      <c r="N254" s="16" t="n"/>
      <c r="O254" s="16" t="n"/>
    </row>
    <row r="255">
      <c r="B255" s="17">
        <f>IF($D255="","","I"&amp;TEXT(ROW()-5,"000"))</f>
        <v/>
      </c>
      <c r="C255" s="18" t="n"/>
      <c r="D255" s="16" t="n"/>
      <c r="E255" s="17">
        <f>IF($D255="","",IFERROR(INDEX(rngCadetPIDs,MATCH($D255,rngCadetNames,0)),"?"))</f>
        <v/>
      </c>
      <c r="F255" s="16" t="n"/>
      <c r="G255" s="16" t="n"/>
      <c r="H255" s="16" t="n"/>
      <c r="I255" s="16" t="n"/>
      <c r="J255" s="16" t="n"/>
      <c r="K255" s="16" t="n"/>
      <c r="L255" s="17">
        <f>IF($D255="","",IF(AND($F255="Negative",OR($G255="Critical",$G255="Major")),"Yes","No"))</f>
        <v/>
      </c>
      <c r="M255" s="16" t="n"/>
      <c r="N255" s="16" t="n"/>
      <c r="O255" s="16" t="n"/>
    </row>
    <row r="256">
      <c r="B256" s="17">
        <f>IF($D256="","","I"&amp;TEXT(ROW()-5,"000"))</f>
        <v/>
      </c>
      <c r="C256" s="18" t="n"/>
      <c r="D256" s="16" t="n"/>
      <c r="E256" s="17">
        <f>IF($D256="","",IFERROR(INDEX(rngCadetPIDs,MATCH($D256,rngCadetNames,0)),"?"))</f>
        <v/>
      </c>
      <c r="F256" s="16" t="n"/>
      <c r="G256" s="16" t="n"/>
      <c r="H256" s="16" t="n"/>
      <c r="I256" s="16" t="n"/>
      <c r="J256" s="16" t="n"/>
      <c r="K256" s="16" t="n"/>
      <c r="L256" s="17">
        <f>IF($D256="","",IF(AND($F256="Negative",OR($G256="Critical",$G256="Major")),"Yes","No"))</f>
        <v/>
      </c>
      <c r="M256" s="16" t="n"/>
      <c r="N256" s="16" t="n"/>
      <c r="O256" s="16" t="n"/>
    </row>
    <row r="257">
      <c r="B257" s="17">
        <f>IF($D257="","","I"&amp;TEXT(ROW()-5,"000"))</f>
        <v/>
      </c>
      <c r="C257" s="18" t="n"/>
      <c r="D257" s="16" t="n"/>
      <c r="E257" s="17">
        <f>IF($D257="","",IFERROR(INDEX(rngCadetPIDs,MATCH($D257,rngCadetNames,0)),"?"))</f>
        <v/>
      </c>
      <c r="F257" s="16" t="n"/>
      <c r="G257" s="16" t="n"/>
      <c r="H257" s="16" t="n"/>
      <c r="I257" s="16" t="n"/>
      <c r="J257" s="16" t="n"/>
      <c r="K257" s="16" t="n"/>
      <c r="L257" s="17">
        <f>IF($D257="","",IF(AND($F257="Negative",OR($G257="Critical",$G257="Major")),"Yes","No"))</f>
        <v/>
      </c>
      <c r="M257" s="16" t="n"/>
      <c r="N257" s="16" t="n"/>
      <c r="O257" s="16" t="n"/>
    </row>
    <row r="258">
      <c r="B258" s="17">
        <f>IF($D258="","","I"&amp;TEXT(ROW()-5,"000"))</f>
        <v/>
      </c>
      <c r="C258" s="18" t="n"/>
      <c r="D258" s="16" t="n"/>
      <c r="E258" s="17">
        <f>IF($D258="","",IFERROR(INDEX(rngCadetPIDs,MATCH($D258,rngCadetNames,0)),"?"))</f>
        <v/>
      </c>
      <c r="F258" s="16" t="n"/>
      <c r="G258" s="16" t="n"/>
      <c r="H258" s="16" t="n"/>
      <c r="I258" s="16" t="n"/>
      <c r="J258" s="16" t="n"/>
      <c r="K258" s="16" t="n"/>
      <c r="L258" s="17">
        <f>IF($D258="","",IF(AND($F258="Negative",OR($G258="Critical",$G258="Major")),"Yes","No"))</f>
        <v/>
      </c>
      <c r="M258" s="16" t="n"/>
      <c r="N258" s="16" t="n"/>
      <c r="O258" s="16" t="n"/>
    </row>
    <row r="259">
      <c r="B259" s="17">
        <f>IF($D259="","","I"&amp;TEXT(ROW()-5,"000"))</f>
        <v/>
      </c>
      <c r="C259" s="18" t="n"/>
      <c r="D259" s="16" t="n"/>
      <c r="E259" s="17">
        <f>IF($D259="","",IFERROR(INDEX(rngCadetPIDs,MATCH($D259,rngCadetNames,0)),"?"))</f>
        <v/>
      </c>
      <c r="F259" s="16" t="n"/>
      <c r="G259" s="16" t="n"/>
      <c r="H259" s="16" t="n"/>
      <c r="I259" s="16" t="n"/>
      <c r="J259" s="16" t="n"/>
      <c r="K259" s="16" t="n"/>
      <c r="L259" s="17">
        <f>IF($D259="","",IF(AND($F259="Negative",OR($G259="Critical",$G259="Major")),"Yes","No"))</f>
        <v/>
      </c>
      <c r="M259" s="16" t="n"/>
      <c r="N259" s="16" t="n"/>
      <c r="O259" s="16" t="n"/>
    </row>
    <row r="260">
      <c r="B260" s="17">
        <f>IF($D260="","","I"&amp;TEXT(ROW()-5,"000"))</f>
        <v/>
      </c>
      <c r="C260" s="18" t="n"/>
      <c r="D260" s="16" t="n"/>
      <c r="E260" s="17">
        <f>IF($D260="","",IFERROR(INDEX(rngCadetPIDs,MATCH($D260,rngCadetNames,0)),"?"))</f>
        <v/>
      </c>
      <c r="F260" s="16" t="n"/>
      <c r="G260" s="16" t="n"/>
      <c r="H260" s="16" t="n"/>
      <c r="I260" s="16" t="n"/>
      <c r="J260" s="16" t="n"/>
      <c r="K260" s="16" t="n"/>
      <c r="L260" s="17">
        <f>IF($D260="","",IF(AND($F260="Negative",OR($G260="Critical",$G260="Major")),"Yes","No"))</f>
        <v/>
      </c>
      <c r="M260" s="16" t="n"/>
      <c r="N260" s="16" t="n"/>
      <c r="O260" s="16" t="n"/>
    </row>
    <row r="261">
      <c r="B261" s="17">
        <f>IF($D261="","","I"&amp;TEXT(ROW()-5,"000"))</f>
        <v/>
      </c>
      <c r="C261" s="18" t="n"/>
      <c r="D261" s="16" t="n"/>
      <c r="E261" s="17">
        <f>IF($D261="","",IFERROR(INDEX(rngCadetPIDs,MATCH($D261,rngCadetNames,0)),"?"))</f>
        <v/>
      </c>
      <c r="F261" s="16" t="n"/>
      <c r="G261" s="16" t="n"/>
      <c r="H261" s="16" t="n"/>
      <c r="I261" s="16" t="n"/>
      <c r="J261" s="16" t="n"/>
      <c r="K261" s="16" t="n"/>
      <c r="L261" s="17">
        <f>IF($D261="","",IF(AND($F261="Negative",OR($G261="Critical",$G261="Major")),"Yes","No"))</f>
        <v/>
      </c>
      <c r="M261" s="16" t="n"/>
      <c r="N261" s="16" t="n"/>
      <c r="O261" s="16" t="n"/>
    </row>
    <row r="262">
      <c r="B262" s="17">
        <f>IF($D262="","","I"&amp;TEXT(ROW()-5,"000"))</f>
        <v/>
      </c>
      <c r="C262" s="18" t="n"/>
      <c r="D262" s="16" t="n"/>
      <c r="E262" s="17">
        <f>IF($D262="","",IFERROR(INDEX(rngCadetPIDs,MATCH($D262,rngCadetNames,0)),"?"))</f>
        <v/>
      </c>
      <c r="F262" s="16" t="n"/>
      <c r="G262" s="16" t="n"/>
      <c r="H262" s="16" t="n"/>
      <c r="I262" s="16" t="n"/>
      <c r="J262" s="16" t="n"/>
      <c r="K262" s="16" t="n"/>
      <c r="L262" s="17">
        <f>IF($D262="","",IF(AND($F262="Negative",OR($G262="Critical",$G262="Major")),"Yes","No"))</f>
        <v/>
      </c>
      <c r="M262" s="16" t="n"/>
      <c r="N262" s="16" t="n"/>
      <c r="O262" s="16" t="n"/>
    </row>
    <row r="263">
      <c r="B263" s="17">
        <f>IF($D263="","","I"&amp;TEXT(ROW()-5,"000"))</f>
        <v/>
      </c>
      <c r="C263" s="18" t="n"/>
      <c r="D263" s="16" t="n"/>
      <c r="E263" s="17">
        <f>IF($D263="","",IFERROR(INDEX(rngCadetPIDs,MATCH($D263,rngCadetNames,0)),"?"))</f>
        <v/>
      </c>
      <c r="F263" s="16" t="n"/>
      <c r="G263" s="16" t="n"/>
      <c r="H263" s="16" t="n"/>
      <c r="I263" s="16" t="n"/>
      <c r="J263" s="16" t="n"/>
      <c r="K263" s="16" t="n"/>
      <c r="L263" s="17">
        <f>IF($D263="","",IF(AND($F263="Negative",OR($G263="Critical",$G263="Major")),"Yes","No"))</f>
        <v/>
      </c>
      <c r="M263" s="16" t="n"/>
      <c r="N263" s="16" t="n"/>
      <c r="O263" s="16" t="n"/>
    </row>
    <row r="264">
      <c r="B264" s="17">
        <f>IF($D264="","","I"&amp;TEXT(ROW()-5,"000"))</f>
        <v/>
      </c>
      <c r="C264" s="18" t="n"/>
      <c r="D264" s="16" t="n"/>
      <c r="E264" s="17">
        <f>IF($D264="","",IFERROR(INDEX(rngCadetPIDs,MATCH($D264,rngCadetNames,0)),"?"))</f>
        <v/>
      </c>
      <c r="F264" s="16" t="n"/>
      <c r="G264" s="16" t="n"/>
      <c r="H264" s="16" t="n"/>
      <c r="I264" s="16" t="n"/>
      <c r="J264" s="16" t="n"/>
      <c r="K264" s="16" t="n"/>
      <c r="L264" s="17">
        <f>IF($D264="","",IF(AND($F264="Negative",OR($G264="Critical",$G264="Major")),"Yes","No"))</f>
        <v/>
      </c>
      <c r="M264" s="16" t="n"/>
      <c r="N264" s="16" t="n"/>
      <c r="O264" s="16" t="n"/>
    </row>
    <row r="265">
      <c r="B265" s="17">
        <f>IF($D265="","","I"&amp;TEXT(ROW()-5,"000"))</f>
        <v/>
      </c>
      <c r="C265" s="18" t="n"/>
      <c r="D265" s="16" t="n"/>
      <c r="E265" s="17">
        <f>IF($D265="","",IFERROR(INDEX(rngCadetPIDs,MATCH($D265,rngCadetNames,0)),"?"))</f>
        <v/>
      </c>
      <c r="F265" s="16" t="n"/>
      <c r="G265" s="16" t="n"/>
      <c r="H265" s="16" t="n"/>
      <c r="I265" s="16" t="n"/>
      <c r="J265" s="16" t="n"/>
      <c r="K265" s="16" t="n"/>
      <c r="L265" s="17">
        <f>IF($D265="","",IF(AND($F265="Negative",OR($G265="Critical",$G265="Major")),"Yes","No"))</f>
        <v/>
      </c>
      <c r="M265" s="16" t="n"/>
      <c r="N265" s="16" t="n"/>
      <c r="O265" s="16" t="n"/>
    </row>
    <row r="266">
      <c r="B266" s="17">
        <f>IF($D266="","","I"&amp;TEXT(ROW()-5,"000"))</f>
        <v/>
      </c>
      <c r="C266" s="18" t="n"/>
      <c r="D266" s="16" t="n"/>
      <c r="E266" s="17">
        <f>IF($D266="","",IFERROR(INDEX(rngCadetPIDs,MATCH($D266,rngCadetNames,0)),"?"))</f>
        <v/>
      </c>
      <c r="F266" s="16" t="n"/>
      <c r="G266" s="16" t="n"/>
      <c r="H266" s="16" t="n"/>
      <c r="I266" s="16" t="n"/>
      <c r="J266" s="16" t="n"/>
      <c r="K266" s="16" t="n"/>
      <c r="L266" s="17">
        <f>IF($D266="","",IF(AND($F266="Negative",OR($G266="Critical",$G266="Major")),"Yes","No"))</f>
        <v/>
      </c>
      <c r="M266" s="16" t="n"/>
      <c r="N266" s="16" t="n"/>
      <c r="O266" s="16" t="n"/>
    </row>
    <row r="267">
      <c r="B267" s="17">
        <f>IF($D267="","","I"&amp;TEXT(ROW()-5,"000"))</f>
        <v/>
      </c>
      <c r="C267" s="18" t="n"/>
      <c r="D267" s="16" t="n"/>
      <c r="E267" s="17">
        <f>IF($D267="","",IFERROR(INDEX(rngCadetPIDs,MATCH($D267,rngCadetNames,0)),"?"))</f>
        <v/>
      </c>
      <c r="F267" s="16" t="n"/>
      <c r="G267" s="16" t="n"/>
      <c r="H267" s="16" t="n"/>
      <c r="I267" s="16" t="n"/>
      <c r="J267" s="16" t="n"/>
      <c r="K267" s="16" t="n"/>
      <c r="L267" s="17">
        <f>IF($D267="","",IF(AND($F267="Negative",OR($G267="Critical",$G267="Major")),"Yes","No"))</f>
        <v/>
      </c>
      <c r="M267" s="16" t="n"/>
      <c r="N267" s="16" t="n"/>
      <c r="O267" s="16" t="n"/>
    </row>
    <row r="268">
      <c r="B268" s="17">
        <f>IF($D268="","","I"&amp;TEXT(ROW()-5,"000"))</f>
        <v/>
      </c>
      <c r="C268" s="18" t="n"/>
      <c r="D268" s="16" t="n"/>
      <c r="E268" s="17">
        <f>IF($D268="","",IFERROR(INDEX(rngCadetPIDs,MATCH($D268,rngCadetNames,0)),"?"))</f>
        <v/>
      </c>
      <c r="F268" s="16" t="n"/>
      <c r="G268" s="16" t="n"/>
      <c r="H268" s="16" t="n"/>
      <c r="I268" s="16" t="n"/>
      <c r="J268" s="16" t="n"/>
      <c r="K268" s="16" t="n"/>
      <c r="L268" s="17">
        <f>IF($D268="","",IF(AND($F268="Negative",OR($G268="Critical",$G268="Major")),"Yes","No"))</f>
        <v/>
      </c>
      <c r="M268" s="16" t="n"/>
      <c r="N268" s="16" t="n"/>
      <c r="O268" s="16" t="n"/>
    </row>
    <row r="269">
      <c r="B269" s="17">
        <f>IF($D269="","","I"&amp;TEXT(ROW()-5,"000"))</f>
        <v/>
      </c>
      <c r="C269" s="18" t="n"/>
      <c r="D269" s="16" t="n"/>
      <c r="E269" s="17">
        <f>IF($D269="","",IFERROR(INDEX(rngCadetPIDs,MATCH($D269,rngCadetNames,0)),"?"))</f>
        <v/>
      </c>
      <c r="F269" s="16" t="n"/>
      <c r="G269" s="16" t="n"/>
      <c r="H269" s="16" t="n"/>
      <c r="I269" s="16" t="n"/>
      <c r="J269" s="16" t="n"/>
      <c r="K269" s="16" t="n"/>
      <c r="L269" s="17">
        <f>IF($D269="","",IF(AND($F269="Negative",OR($G269="Critical",$G269="Major")),"Yes","No"))</f>
        <v/>
      </c>
      <c r="M269" s="16" t="n"/>
      <c r="N269" s="16" t="n"/>
      <c r="O269" s="16" t="n"/>
    </row>
    <row r="270">
      <c r="B270" s="17">
        <f>IF($D270="","","I"&amp;TEXT(ROW()-5,"000"))</f>
        <v/>
      </c>
      <c r="C270" s="18" t="n"/>
      <c r="D270" s="16" t="n"/>
      <c r="E270" s="17">
        <f>IF($D270="","",IFERROR(INDEX(rngCadetPIDs,MATCH($D270,rngCadetNames,0)),"?"))</f>
        <v/>
      </c>
      <c r="F270" s="16" t="n"/>
      <c r="G270" s="16" t="n"/>
      <c r="H270" s="16" t="n"/>
      <c r="I270" s="16" t="n"/>
      <c r="J270" s="16" t="n"/>
      <c r="K270" s="16" t="n"/>
      <c r="L270" s="17">
        <f>IF($D270="","",IF(AND($F270="Negative",OR($G270="Critical",$G270="Major")),"Yes","No"))</f>
        <v/>
      </c>
      <c r="M270" s="16" t="n"/>
      <c r="N270" s="16" t="n"/>
      <c r="O270" s="16" t="n"/>
    </row>
    <row r="271">
      <c r="B271" s="17">
        <f>IF($D271="","","I"&amp;TEXT(ROW()-5,"000"))</f>
        <v/>
      </c>
      <c r="C271" s="18" t="n"/>
      <c r="D271" s="16" t="n"/>
      <c r="E271" s="17">
        <f>IF($D271="","",IFERROR(INDEX(rngCadetPIDs,MATCH($D271,rngCadetNames,0)),"?"))</f>
        <v/>
      </c>
      <c r="F271" s="16" t="n"/>
      <c r="G271" s="16" t="n"/>
      <c r="H271" s="16" t="n"/>
      <c r="I271" s="16" t="n"/>
      <c r="J271" s="16" t="n"/>
      <c r="K271" s="16" t="n"/>
      <c r="L271" s="17">
        <f>IF($D271="","",IF(AND($F271="Negative",OR($G271="Critical",$G271="Major")),"Yes","No"))</f>
        <v/>
      </c>
      <c r="M271" s="16" t="n"/>
      <c r="N271" s="16" t="n"/>
      <c r="O271" s="16" t="n"/>
    </row>
    <row r="272">
      <c r="B272" s="17">
        <f>IF($D272="","","I"&amp;TEXT(ROW()-5,"000"))</f>
        <v/>
      </c>
      <c r="C272" s="18" t="n"/>
      <c r="D272" s="16" t="n"/>
      <c r="E272" s="17">
        <f>IF($D272="","",IFERROR(INDEX(rngCadetPIDs,MATCH($D272,rngCadetNames,0)),"?"))</f>
        <v/>
      </c>
      <c r="F272" s="16" t="n"/>
      <c r="G272" s="16" t="n"/>
      <c r="H272" s="16" t="n"/>
      <c r="I272" s="16" t="n"/>
      <c r="J272" s="16" t="n"/>
      <c r="K272" s="16" t="n"/>
      <c r="L272" s="17">
        <f>IF($D272="","",IF(AND($F272="Negative",OR($G272="Critical",$G272="Major")),"Yes","No"))</f>
        <v/>
      </c>
      <c r="M272" s="16" t="n"/>
      <c r="N272" s="16" t="n"/>
      <c r="O272" s="16" t="n"/>
    </row>
    <row r="273">
      <c r="B273" s="17">
        <f>IF($D273="","","I"&amp;TEXT(ROW()-5,"000"))</f>
        <v/>
      </c>
      <c r="C273" s="18" t="n"/>
      <c r="D273" s="16" t="n"/>
      <c r="E273" s="17">
        <f>IF($D273="","",IFERROR(INDEX(rngCadetPIDs,MATCH($D273,rngCadetNames,0)),"?"))</f>
        <v/>
      </c>
      <c r="F273" s="16" t="n"/>
      <c r="G273" s="16" t="n"/>
      <c r="H273" s="16" t="n"/>
      <c r="I273" s="16" t="n"/>
      <c r="J273" s="16" t="n"/>
      <c r="K273" s="16" t="n"/>
      <c r="L273" s="17">
        <f>IF($D273="","",IF(AND($F273="Negative",OR($G273="Critical",$G273="Major")),"Yes","No"))</f>
        <v/>
      </c>
      <c r="M273" s="16" t="n"/>
      <c r="N273" s="16" t="n"/>
      <c r="O273" s="16" t="n"/>
    </row>
    <row r="274">
      <c r="B274" s="17">
        <f>IF($D274="","","I"&amp;TEXT(ROW()-5,"000"))</f>
        <v/>
      </c>
      <c r="C274" s="18" t="n"/>
      <c r="D274" s="16" t="n"/>
      <c r="E274" s="17">
        <f>IF($D274="","",IFERROR(INDEX(rngCadetPIDs,MATCH($D274,rngCadetNames,0)),"?"))</f>
        <v/>
      </c>
      <c r="F274" s="16" t="n"/>
      <c r="G274" s="16" t="n"/>
      <c r="H274" s="16" t="n"/>
      <c r="I274" s="16" t="n"/>
      <c r="J274" s="16" t="n"/>
      <c r="K274" s="16" t="n"/>
      <c r="L274" s="17">
        <f>IF($D274="","",IF(AND($F274="Negative",OR($G274="Critical",$G274="Major")),"Yes","No"))</f>
        <v/>
      </c>
      <c r="M274" s="16" t="n"/>
      <c r="N274" s="16" t="n"/>
      <c r="O274" s="16" t="n"/>
    </row>
    <row r="275">
      <c r="B275" s="17">
        <f>IF($D275="","","I"&amp;TEXT(ROW()-5,"000"))</f>
        <v/>
      </c>
      <c r="C275" s="18" t="n"/>
      <c r="D275" s="16" t="n"/>
      <c r="E275" s="17">
        <f>IF($D275="","",IFERROR(INDEX(rngCadetPIDs,MATCH($D275,rngCadetNames,0)),"?"))</f>
        <v/>
      </c>
      <c r="F275" s="16" t="n"/>
      <c r="G275" s="16" t="n"/>
      <c r="H275" s="16" t="n"/>
      <c r="I275" s="16" t="n"/>
      <c r="J275" s="16" t="n"/>
      <c r="K275" s="16" t="n"/>
      <c r="L275" s="17">
        <f>IF($D275="","",IF(AND($F275="Negative",OR($G275="Critical",$G275="Major")),"Yes","No"))</f>
        <v/>
      </c>
      <c r="M275" s="16" t="n"/>
      <c r="N275" s="16" t="n"/>
      <c r="O275" s="16" t="n"/>
    </row>
    <row r="276">
      <c r="B276" s="17">
        <f>IF($D276="","","I"&amp;TEXT(ROW()-5,"000"))</f>
        <v/>
      </c>
      <c r="C276" s="18" t="n"/>
      <c r="D276" s="16" t="n"/>
      <c r="E276" s="17">
        <f>IF($D276="","",IFERROR(INDEX(rngCadetPIDs,MATCH($D276,rngCadetNames,0)),"?"))</f>
        <v/>
      </c>
      <c r="F276" s="16" t="n"/>
      <c r="G276" s="16" t="n"/>
      <c r="H276" s="16" t="n"/>
      <c r="I276" s="16" t="n"/>
      <c r="J276" s="16" t="n"/>
      <c r="K276" s="16" t="n"/>
      <c r="L276" s="17">
        <f>IF($D276="","",IF(AND($F276="Negative",OR($G276="Critical",$G276="Major")),"Yes","No"))</f>
        <v/>
      </c>
      <c r="M276" s="16" t="n"/>
      <c r="N276" s="16" t="n"/>
      <c r="O276" s="16" t="n"/>
    </row>
    <row r="277">
      <c r="B277" s="17">
        <f>IF($D277="","","I"&amp;TEXT(ROW()-5,"000"))</f>
        <v/>
      </c>
      <c r="C277" s="18" t="n"/>
      <c r="D277" s="16" t="n"/>
      <c r="E277" s="17">
        <f>IF($D277="","",IFERROR(INDEX(rngCadetPIDs,MATCH($D277,rngCadetNames,0)),"?"))</f>
        <v/>
      </c>
      <c r="F277" s="16" t="n"/>
      <c r="G277" s="16" t="n"/>
      <c r="H277" s="16" t="n"/>
      <c r="I277" s="16" t="n"/>
      <c r="J277" s="16" t="n"/>
      <c r="K277" s="16" t="n"/>
      <c r="L277" s="17">
        <f>IF($D277="","",IF(AND($F277="Negative",OR($G277="Critical",$G277="Major")),"Yes","No"))</f>
        <v/>
      </c>
      <c r="M277" s="16" t="n"/>
      <c r="N277" s="16" t="n"/>
      <c r="O277" s="16" t="n"/>
    </row>
    <row r="278">
      <c r="B278" s="17">
        <f>IF($D278="","","I"&amp;TEXT(ROW()-5,"000"))</f>
        <v/>
      </c>
      <c r="C278" s="18" t="n"/>
      <c r="D278" s="16" t="n"/>
      <c r="E278" s="17">
        <f>IF($D278="","",IFERROR(INDEX(rngCadetPIDs,MATCH($D278,rngCadetNames,0)),"?"))</f>
        <v/>
      </c>
      <c r="F278" s="16" t="n"/>
      <c r="G278" s="16" t="n"/>
      <c r="H278" s="16" t="n"/>
      <c r="I278" s="16" t="n"/>
      <c r="J278" s="16" t="n"/>
      <c r="K278" s="16" t="n"/>
      <c r="L278" s="17">
        <f>IF($D278="","",IF(AND($F278="Negative",OR($G278="Critical",$G278="Major")),"Yes","No"))</f>
        <v/>
      </c>
      <c r="M278" s="16" t="n"/>
      <c r="N278" s="16" t="n"/>
      <c r="O278" s="16" t="n"/>
    </row>
    <row r="279">
      <c r="B279" s="17">
        <f>IF($D279="","","I"&amp;TEXT(ROW()-5,"000"))</f>
        <v/>
      </c>
      <c r="C279" s="18" t="n"/>
      <c r="D279" s="16" t="n"/>
      <c r="E279" s="17">
        <f>IF($D279="","",IFERROR(INDEX(rngCadetPIDs,MATCH($D279,rngCadetNames,0)),"?"))</f>
        <v/>
      </c>
      <c r="F279" s="16" t="n"/>
      <c r="G279" s="16" t="n"/>
      <c r="H279" s="16" t="n"/>
      <c r="I279" s="16" t="n"/>
      <c r="J279" s="16" t="n"/>
      <c r="K279" s="16" t="n"/>
      <c r="L279" s="17">
        <f>IF($D279="","",IF(AND($F279="Negative",OR($G279="Critical",$G279="Major")),"Yes","No"))</f>
        <v/>
      </c>
      <c r="M279" s="16" t="n"/>
      <c r="N279" s="16" t="n"/>
      <c r="O279" s="16" t="n"/>
    </row>
    <row r="280">
      <c r="B280" s="17">
        <f>IF($D280="","","I"&amp;TEXT(ROW()-5,"000"))</f>
        <v/>
      </c>
      <c r="C280" s="18" t="n"/>
      <c r="D280" s="16" t="n"/>
      <c r="E280" s="17">
        <f>IF($D280="","",IFERROR(INDEX(rngCadetPIDs,MATCH($D280,rngCadetNames,0)),"?"))</f>
        <v/>
      </c>
      <c r="F280" s="16" t="n"/>
      <c r="G280" s="16" t="n"/>
      <c r="H280" s="16" t="n"/>
      <c r="I280" s="16" t="n"/>
      <c r="J280" s="16" t="n"/>
      <c r="K280" s="16" t="n"/>
      <c r="L280" s="17">
        <f>IF($D280="","",IF(AND($F280="Negative",OR($G280="Critical",$G280="Major")),"Yes","No"))</f>
        <v/>
      </c>
      <c r="M280" s="16" t="n"/>
      <c r="N280" s="16" t="n"/>
      <c r="O280" s="16" t="n"/>
    </row>
    <row r="281">
      <c r="B281" s="17">
        <f>IF($D281="","","I"&amp;TEXT(ROW()-5,"000"))</f>
        <v/>
      </c>
      <c r="C281" s="18" t="n"/>
      <c r="D281" s="16" t="n"/>
      <c r="E281" s="17">
        <f>IF($D281="","",IFERROR(INDEX(rngCadetPIDs,MATCH($D281,rngCadetNames,0)),"?"))</f>
        <v/>
      </c>
      <c r="F281" s="16" t="n"/>
      <c r="G281" s="16" t="n"/>
      <c r="H281" s="16" t="n"/>
      <c r="I281" s="16" t="n"/>
      <c r="J281" s="16" t="n"/>
      <c r="K281" s="16" t="n"/>
      <c r="L281" s="17">
        <f>IF($D281="","",IF(AND($F281="Negative",OR($G281="Critical",$G281="Major")),"Yes","No"))</f>
        <v/>
      </c>
      <c r="M281" s="16" t="n"/>
      <c r="N281" s="16" t="n"/>
      <c r="O281" s="16" t="n"/>
    </row>
    <row r="282">
      <c r="B282" s="17">
        <f>IF($D282="","","I"&amp;TEXT(ROW()-5,"000"))</f>
        <v/>
      </c>
      <c r="C282" s="18" t="n"/>
      <c r="D282" s="16" t="n"/>
      <c r="E282" s="17">
        <f>IF($D282="","",IFERROR(INDEX(rngCadetPIDs,MATCH($D282,rngCadetNames,0)),"?"))</f>
        <v/>
      </c>
      <c r="F282" s="16" t="n"/>
      <c r="G282" s="16" t="n"/>
      <c r="H282" s="16" t="n"/>
      <c r="I282" s="16" t="n"/>
      <c r="J282" s="16" t="n"/>
      <c r="K282" s="16" t="n"/>
      <c r="L282" s="17">
        <f>IF($D282="","",IF(AND($F282="Negative",OR($G282="Critical",$G282="Major")),"Yes","No"))</f>
        <v/>
      </c>
      <c r="M282" s="16" t="n"/>
      <c r="N282" s="16" t="n"/>
      <c r="O282" s="16" t="n"/>
    </row>
    <row r="283">
      <c r="B283" s="17">
        <f>IF($D283="","","I"&amp;TEXT(ROW()-5,"000"))</f>
        <v/>
      </c>
      <c r="C283" s="18" t="n"/>
      <c r="D283" s="16" t="n"/>
      <c r="E283" s="17">
        <f>IF($D283="","",IFERROR(INDEX(rngCadetPIDs,MATCH($D283,rngCadetNames,0)),"?"))</f>
        <v/>
      </c>
      <c r="F283" s="16" t="n"/>
      <c r="G283" s="16" t="n"/>
      <c r="H283" s="16" t="n"/>
      <c r="I283" s="16" t="n"/>
      <c r="J283" s="16" t="n"/>
      <c r="K283" s="16" t="n"/>
      <c r="L283" s="17">
        <f>IF($D283="","",IF(AND($F283="Negative",OR($G283="Critical",$G283="Major")),"Yes","No"))</f>
        <v/>
      </c>
      <c r="M283" s="16" t="n"/>
      <c r="N283" s="16" t="n"/>
      <c r="O283" s="16" t="n"/>
    </row>
    <row r="284">
      <c r="B284" s="17">
        <f>IF($D284="","","I"&amp;TEXT(ROW()-5,"000"))</f>
        <v/>
      </c>
      <c r="C284" s="18" t="n"/>
      <c r="D284" s="16" t="n"/>
      <c r="E284" s="17">
        <f>IF($D284="","",IFERROR(INDEX(rngCadetPIDs,MATCH($D284,rngCadetNames,0)),"?"))</f>
        <v/>
      </c>
      <c r="F284" s="16" t="n"/>
      <c r="G284" s="16" t="n"/>
      <c r="H284" s="16" t="n"/>
      <c r="I284" s="16" t="n"/>
      <c r="J284" s="16" t="n"/>
      <c r="K284" s="16" t="n"/>
      <c r="L284" s="17">
        <f>IF($D284="","",IF(AND($F284="Negative",OR($G284="Critical",$G284="Major")),"Yes","No"))</f>
        <v/>
      </c>
      <c r="M284" s="16" t="n"/>
      <c r="N284" s="16" t="n"/>
      <c r="O284" s="16" t="n"/>
    </row>
    <row r="285">
      <c r="B285" s="17">
        <f>IF($D285="","","I"&amp;TEXT(ROW()-5,"000"))</f>
        <v/>
      </c>
      <c r="C285" s="18" t="n"/>
      <c r="D285" s="16" t="n"/>
      <c r="E285" s="17">
        <f>IF($D285="","",IFERROR(INDEX(rngCadetPIDs,MATCH($D285,rngCadetNames,0)),"?"))</f>
        <v/>
      </c>
      <c r="F285" s="16" t="n"/>
      <c r="G285" s="16" t="n"/>
      <c r="H285" s="16" t="n"/>
      <c r="I285" s="16" t="n"/>
      <c r="J285" s="16" t="n"/>
      <c r="K285" s="16" t="n"/>
      <c r="L285" s="17">
        <f>IF($D285="","",IF(AND($F285="Negative",OR($G285="Critical",$G285="Major")),"Yes","No"))</f>
        <v/>
      </c>
      <c r="M285" s="16" t="n"/>
      <c r="N285" s="16" t="n"/>
      <c r="O285" s="16" t="n"/>
    </row>
    <row r="286">
      <c r="B286" s="17">
        <f>IF($D286="","","I"&amp;TEXT(ROW()-5,"000"))</f>
        <v/>
      </c>
      <c r="C286" s="18" t="n"/>
      <c r="D286" s="16" t="n"/>
      <c r="E286" s="17">
        <f>IF($D286="","",IFERROR(INDEX(rngCadetPIDs,MATCH($D286,rngCadetNames,0)),"?"))</f>
        <v/>
      </c>
      <c r="F286" s="16" t="n"/>
      <c r="G286" s="16" t="n"/>
      <c r="H286" s="16" t="n"/>
      <c r="I286" s="16" t="n"/>
      <c r="J286" s="16" t="n"/>
      <c r="K286" s="16" t="n"/>
      <c r="L286" s="17">
        <f>IF($D286="","",IF(AND($F286="Negative",OR($G286="Critical",$G286="Major")),"Yes","No"))</f>
        <v/>
      </c>
      <c r="M286" s="16" t="n"/>
      <c r="N286" s="16" t="n"/>
      <c r="O286" s="16" t="n"/>
    </row>
    <row r="287">
      <c r="B287" s="17">
        <f>IF($D287="","","I"&amp;TEXT(ROW()-5,"000"))</f>
        <v/>
      </c>
      <c r="C287" s="18" t="n"/>
      <c r="D287" s="16" t="n"/>
      <c r="E287" s="17">
        <f>IF($D287="","",IFERROR(INDEX(rngCadetPIDs,MATCH($D287,rngCadetNames,0)),"?"))</f>
        <v/>
      </c>
      <c r="F287" s="16" t="n"/>
      <c r="G287" s="16" t="n"/>
      <c r="H287" s="16" t="n"/>
      <c r="I287" s="16" t="n"/>
      <c r="J287" s="16" t="n"/>
      <c r="K287" s="16" t="n"/>
      <c r="L287" s="17">
        <f>IF($D287="","",IF(AND($F287="Negative",OR($G287="Critical",$G287="Major")),"Yes","No"))</f>
        <v/>
      </c>
      <c r="M287" s="16" t="n"/>
      <c r="N287" s="16" t="n"/>
      <c r="O287" s="16" t="n"/>
    </row>
    <row r="288">
      <c r="B288" s="17">
        <f>IF($D288="","","I"&amp;TEXT(ROW()-5,"000"))</f>
        <v/>
      </c>
      <c r="C288" s="18" t="n"/>
      <c r="D288" s="16" t="n"/>
      <c r="E288" s="17">
        <f>IF($D288="","",IFERROR(INDEX(rngCadetPIDs,MATCH($D288,rngCadetNames,0)),"?"))</f>
        <v/>
      </c>
      <c r="F288" s="16" t="n"/>
      <c r="G288" s="16" t="n"/>
      <c r="H288" s="16" t="n"/>
      <c r="I288" s="16" t="n"/>
      <c r="J288" s="16" t="n"/>
      <c r="K288" s="16" t="n"/>
      <c r="L288" s="17">
        <f>IF($D288="","",IF(AND($F288="Negative",OR($G288="Critical",$G288="Major")),"Yes","No"))</f>
        <v/>
      </c>
      <c r="M288" s="16" t="n"/>
      <c r="N288" s="16" t="n"/>
      <c r="O288" s="16" t="n"/>
    </row>
    <row r="289">
      <c r="B289" s="17">
        <f>IF($D289="","","I"&amp;TEXT(ROW()-5,"000"))</f>
        <v/>
      </c>
      <c r="C289" s="18" t="n"/>
      <c r="D289" s="16" t="n"/>
      <c r="E289" s="17">
        <f>IF($D289="","",IFERROR(INDEX(rngCadetPIDs,MATCH($D289,rngCadetNames,0)),"?"))</f>
        <v/>
      </c>
      <c r="F289" s="16" t="n"/>
      <c r="G289" s="16" t="n"/>
      <c r="H289" s="16" t="n"/>
      <c r="I289" s="16" t="n"/>
      <c r="J289" s="16" t="n"/>
      <c r="K289" s="16" t="n"/>
      <c r="L289" s="17">
        <f>IF($D289="","",IF(AND($F289="Negative",OR($G289="Critical",$G289="Major")),"Yes","No"))</f>
        <v/>
      </c>
      <c r="M289" s="16" t="n"/>
      <c r="N289" s="16" t="n"/>
      <c r="O289" s="16" t="n"/>
    </row>
    <row r="290">
      <c r="B290" s="17">
        <f>IF($D290="","","I"&amp;TEXT(ROW()-5,"000"))</f>
        <v/>
      </c>
      <c r="C290" s="18" t="n"/>
      <c r="D290" s="16" t="n"/>
      <c r="E290" s="17">
        <f>IF($D290="","",IFERROR(INDEX(rngCadetPIDs,MATCH($D290,rngCadetNames,0)),"?"))</f>
        <v/>
      </c>
      <c r="F290" s="16" t="n"/>
      <c r="G290" s="16" t="n"/>
      <c r="H290" s="16" t="n"/>
      <c r="I290" s="16" t="n"/>
      <c r="J290" s="16" t="n"/>
      <c r="K290" s="16" t="n"/>
      <c r="L290" s="17">
        <f>IF($D290="","",IF(AND($F290="Negative",OR($G290="Critical",$G290="Major")),"Yes","No"))</f>
        <v/>
      </c>
      <c r="M290" s="16" t="n"/>
      <c r="N290" s="16" t="n"/>
      <c r="O290" s="16" t="n"/>
    </row>
    <row r="291">
      <c r="B291" s="17">
        <f>IF($D291="","","I"&amp;TEXT(ROW()-5,"000"))</f>
        <v/>
      </c>
      <c r="C291" s="18" t="n"/>
      <c r="D291" s="16" t="n"/>
      <c r="E291" s="17">
        <f>IF($D291="","",IFERROR(INDEX(rngCadetPIDs,MATCH($D291,rngCadetNames,0)),"?"))</f>
        <v/>
      </c>
      <c r="F291" s="16" t="n"/>
      <c r="G291" s="16" t="n"/>
      <c r="H291" s="16" t="n"/>
      <c r="I291" s="16" t="n"/>
      <c r="J291" s="16" t="n"/>
      <c r="K291" s="16" t="n"/>
      <c r="L291" s="17">
        <f>IF($D291="","",IF(AND($F291="Negative",OR($G291="Critical",$G291="Major")),"Yes","No"))</f>
        <v/>
      </c>
      <c r="M291" s="16" t="n"/>
      <c r="N291" s="16" t="n"/>
      <c r="O291" s="16" t="n"/>
    </row>
    <row r="292">
      <c r="B292" s="17">
        <f>IF($D292="","","I"&amp;TEXT(ROW()-5,"000"))</f>
        <v/>
      </c>
      <c r="C292" s="18" t="n"/>
      <c r="D292" s="16" t="n"/>
      <c r="E292" s="17">
        <f>IF($D292="","",IFERROR(INDEX(rngCadetPIDs,MATCH($D292,rngCadetNames,0)),"?"))</f>
        <v/>
      </c>
      <c r="F292" s="16" t="n"/>
      <c r="G292" s="16" t="n"/>
      <c r="H292" s="16" t="n"/>
      <c r="I292" s="16" t="n"/>
      <c r="J292" s="16" t="n"/>
      <c r="K292" s="16" t="n"/>
      <c r="L292" s="17">
        <f>IF($D292="","",IF(AND($F292="Negative",OR($G292="Critical",$G292="Major")),"Yes","No"))</f>
        <v/>
      </c>
      <c r="M292" s="16" t="n"/>
      <c r="N292" s="16" t="n"/>
      <c r="O292" s="16" t="n"/>
    </row>
    <row r="293">
      <c r="B293" s="17">
        <f>IF($D293="","","I"&amp;TEXT(ROW()-5,"000"))</f>
        <v/>
      </c>
      <c r="C293" s="18" t="n"/>
      <c r="D293" s="16" t="n"/>
      <c r="E293" s="17">
        <f>IF($D293="","",IFERROR(INDEX(rngCadetPIDs,MATCH($D293,rngCadetNames,0)),"?"))</f>
        <v/>
      </c>
      <c r="F293" s="16" t="n"/>
      <c r="G293" s="16" t="n"/>
      <c r="H293" s="16" t="n"/>
      <c r="I293" s="16" t="n"/>
      <c r="J293" s="16" t="n"/>
      <c r="K293" s="16" t="n"/>
      <c r="L293" s="17">
        <f>IF($D293="","",IF(AND($F293="Negative",OR($G293="Critical",$G293="Major")),"Yes","No"))</f>
        <v/>
      </c>
      <c r="M293" s="16" t="n"/>
      <c r="N293" s="16" t="n"/>
      <c r="O293" s="16" t="n"/>
    </row>
    <row r="294">
      <c r="B294" s="17">
        <f>IF($D294="","","I"&amp;TEXT(ROW()-5,"000"))</f>
        <v/>
      </c>
      <c r="C294" s="18" t="n"/>
      <c r="D294" s="16" t="n"/>
      <c r="E294" s="17">
        <f>IF($D294="","",IFERROR(INDEX(rngCadetPIDs,MATCH($D294,rngCadetNames,0)),"?"))</f>
        <v/>
      </c>
      <c r="F294" s="16" t="n"/>
      <c r="G294" s="16" t="n"/>
      <c r="H294" s="16" t="n"/>
      <c r="I294" s="16" t="n"/>
      <c r="J294" s="16" t="n"/>
      <c r="K294" s="16" t="n"/>
      <c r="L294" s="17">
        <f>IF($D294="","",IF(AND($F294="Negative",OR($G294="Critical",$G294="Major")),"Yes","No"))</f>
        <v/>
      </c>
      <c r="M294" s="16" t="n"/>
      <c r="N294" s="16" t="n"/>
      <c r="O294" s="16" t="n"/>
    </row>
    <row r="295">
      <c r="B295" s="17">
        <f>IF($D295="","","I"&amp;TEXT(ROW()-5,"000"))</f>
        <v/>
      </c>
      <c r="C295" s="18" t="n"/>
      <c r="D295" s="16" t="n"/>
      <c r="E295" s="17">
        <f>IF($D295="","",IFERROR(INDEX(rngCadetPIDs,MATCH($D295,rngCadetNames,0)),"?"))</f>
        <v/>
      </c>
      <c r="F295" s="16" t="n"/>
      <c r="G295" s="16" t="n"/>
      <c r="H295" s="16" t="n"/>
      <c r="I295" s="16" t="n"/>
      <c r="J295" s="16" t="n"/>
      <c r="K295" s="16" t="n"/>
      <c r="L295" s="17">
        <f>IF($D295="","",IF(AND($F295="Negative",OR($G295="Critical",$G295="Major")),"Yes","No"))</f>
        <v/>
      </c>
      <c r="M295" s="16" t="n"/>
      <c r="N295" s="16" t="n"/>
      <c r="O295" s="16" t="n"/>
    </row>
    <row r="296">
      <c r="B296" s="17">
        <f>IF($D296="","","I"&amp;TEXT(ROW()-5,"000"))</f>
        <v/>
      </c>
      <c r="C296" s="18" t="n"/>
      <c r="D296" s="16" t="n"/>
      <c r="E296" s="17">
        <f>IF($D296="","",IFERROR(INDEX(rngCadetPIDs,MATCH($D296,rngCadetNames,0)),"?"))</f>
        <v/>
      </c>
      <c r="F296" s="16" t="n"/>
      <c r="G296" s="16" t="n"/>
      <c r="H296" s="16" t="n"/>
      <c r="I296" s="16" t="n"/>
      <c r="J296" s="16" t="n"/>
      <c r="K296" s="16" t="n"/>
      <c r="L296" s="17">
        <f>IF($D296="","",IF(AND($F296="Negative",OR($G296="Critical",$G296="Major")),"Yes","No"))</f>
        <v/>
      </c>
      <c r="M296" s="16" t="n"/>
      <c r="N296" s="16" t="n"/>
      <c r="O296" s="16" t="n"/>
    </row>
    <row r="297">
      <c r="B297" s="17">
        <f>IF($D297="","","I"&amp;TEXT(ROW()-5,"000"))</f>
        <v/>
      </c>
      <c r="C297" s="18" t="n"/>
      <c r="D297" s="16" t="n"/>
      <c r="E297" s="17">
        <f>IF($D297="","",IFERROR(INDEX(rngCadetPIDs,MATCH($D297,rngCadetNames,0)),"?"))</f>
        <v/>
      </c>
      <c r="F297" s="16" t="n"/>
      <c r="G297" s="16" t="n"/>
      <c r="H297" s="16" t="n"/>
      <c r="I297" s="16" t="n"/>
      <c r="J297" s="16" t="n"/>
      <c r="K297" s="16" t="n"/>
      <c r="L297" s="17">
        <f>IF($D297="","",IF(AND($F297="Negative",OR($G297="Critical",$G297="Major")),"Yes","No"))</f>
        <v/>
      </c>
      <c r="M297" s="16" t="n"/>
      <c r="N297" s="16" t="n"/>
      <c r="O297" s="16" t="n"/>
    </row>
    <row r="298">
      <c r="B298" s="17">
        <f>IF($D298="","","I"&amp;TEXT(ROW()-5,"000"))</f>
        <v/>
      </c>
      <c r="C298" s="18" t="n"/>
      <c r="D298" s="16" t="n"/>
      <c r="E298" s="17">
        <f>IF($D298="","",IFERROR(INDEX(rngCadetPIDs,MATCH($D298,rngCadetNames,0)),"?"))</f>
        <v/>
      </c>
      <c r="F298" s="16" t="n"/>
      <c r="G298" s="16" t="n"/>
      <c r="H298" s="16" t="n"/>
      <c r="I298" s="16" t="n"/>
      <c r="J298" s="16" t="n"/>
      <c r="K298" s="16" t="n"/>
      <c r="L298" s="17">
        <f>IF($D298="","",IF(AND($F298="Negative",OR($G298="Critical",$G298="Major")),"Yes","No"))</f>
        <v/>
      </c>
      <c r="M298" s="16" t="n"/>
      <c r="N298" s="16" t="n"/>
      <c r="O298" s="16" t="n"/>
    </row>
    <row r="299">
      <c r="B299" s="17">
        <f>IF($D299="","","I"&amp;TEXT(ROW()-5,"000"))</f>
        <v/>
      </c>
      <c r="C299" s="18" t="n"/>
      <c r="D299" s="16" t="n"/>
      <c r="E299" s="17">
        <f>IF($D299="","",IFERROR(INDEX(rngCadetPIDs,MATCH($D299,rngCadetNames,0)),"?"))</f>
        <v/>
      </c>
      <c r="F299" s="16" t="n"/>
      <c r="G299" s="16" t="n"/>
      <c r="H299" s="16" t="n"/>
      <c r="I299" s="16" t="n"/>
      <c r="J299" s="16" t="n"/>
      <c r="K299" s="16" t="n"/>
      <c r="L299" s="17">
        <f>IF($D299="","",IF(AND($F299="Negative",OR($G299="Critical",$G299="Major")),"Yes","No"))</f>
        <v/>
      </c>
      <c r="M299" s="16" t="n"/>
      <c r="N299" s="16" t="n"/>
      <c r="O299" s="16" t="n"/>
    </row>
    <row r="300">
      <c r="B300" s="17">
        <f>IF($D300="","","I"&amp;TEXT(ROW()-5,"000"))</f>
        <v/>
      </c>
      <c r="C300" s="18" t="n"/>
      <c r="D300" s="16" t="n"/>
      <c r="E300" s="17">
        <f>IF($D300="","",IFERROR(INDEX(rngCadetPIDs,MATCH($D300,rngCadetNames,0)),"?"))</f>
        <v/>
      </c>
      <c r="F300" s="16" t="n"/>
      <c r="G300" s="16" t="n"/>
      <c r="H300" s="16" t="n"/>
      <c r="I300" s="16" t="n"/>
      <c r="J300" s="16" t="n"/>
      <c r="K300" s="16" t="n"/>
      <c r="L300" s="17">
        <f>IF($D300="","",IF(AND($F300="Negative",OR($G300="Critical",$G300="Major")),"Yes","No"))</f>
        <v/>
      </c>
      <c r="M300" s="16" t="n"/>
      <c r="N300" s="16" t="n"/>
      <c r="O300" s="16" t="n"/>
    </row>
    <row r="301">
      <c r="B301" s="17">
        <f>IF($D301="","","I"&amp;TEXT(ROW()-5,"000"))</f>
        <v/>
      </c>
      <c r="C301" s="18" t="n"/>
      <c r="D301" s="16" t="n"/>
      <c r="E301" s="17">
        <f>IF($D301="","",IFERROR(INDEX(rngCadetPIDs,MATCH($D301,rngCadetNames,0)),"?"))</f>
        <v/>
      </c>
      <c r="F301" s="16" t="n"/>
      <c r="G301" s="16" t="n"/>
      <c r="H301" s="16" t="n"/>
      <c r="I301" s="16" t="n"/>
      <c r="J301" s="16" t="n"/>
      <c r="K301" s="16" t="n"/>
      <c r="L301" s="17">
        <f>IF($D301="","",IF(AND($F301="Negative",OR($G301="Critical",$G301="Major")),"Yes","No"))</f>
        <v/>
      </c>
      <c r="M301" s="16" t="n"/>
      <c r="N301" s="16" t="n"/>
      <c r="O301" s="16" t="n"/>
    </row>
    <row r="302">
      <c r="B302" s="17">
        <f>IF($D302="","","I"&amp;TEXT(ROW()-5,"000"))</f>
        <v/>
      </c>
      <c r="C302" s="18" t="n"/>
      <c r="D302" s="16" t="n"/>
      <c r="E302" s="17">
        <f>IF($D302="","",IFERROR(INDEX(rngCadetPIDs,MATCH($D302,rngCadetNames,0)),"?"))</f>
        <v/>
      </c>
      <c r="F302" s="16" t="n"/>
      <c r="G302" s="16" t="n"/>
      <c r="H302" s="16" t="n"/>
      <c r="I302" s="16" t="n"/>
      <c r="J302" s="16" t="n"/>
      <c r="K302" s="16" t="n"/>
      <c r="L302" s="17">
        <f>IF($D302="","",IF(AND($F302="Negative",OR($G302="Critical",$G302="Major")),"Yes","No"))</f>
        <v/>
      </c>
      <c r="M302" s="16" t="n"/>
      <c r="N302" s="16" t="n"/>
      <c r="O302" s="16" t="n"/>
    </row>
    <row r="303">
      <c r="B303" s="17">
        <f>IF($D303="","","I"&amp;TEXT(ROW()-5,"000"))</f>
        <v/>
      </c>
      <c r="C303" s="18" t="n"/>
      <c r="D303" s="16" t="n"/>
      <c r="E303" s="17">
        <f>IF($D303="","",IFERROR(INDEX(rngCadetPIDs,MATCH($D303,rngCadetNames,0)),"?"))</f>
        <v/>
      </c>
      <c r="F303" s="16" t="n"/>
      <c r="G303" s="16" t="n"/>
      <c r="H303" s="16" t="n"/>
      <c r="I303" s="16" t="n"/>
      <c r="J303" s="16" t="n"/>
      <c r="K303" s="16" t="n"/>
      <c r="L303" s="17">
        <f>IF($D303="","",IF(AND($F303="Negative",OR($G303="Critical",$G303="Major")),"Yes","No"))</f>
        <v/>
      </c>
      <c r="M303" s="16" t="n"/>
      <c r="N303" s="16" t="n"/>
      <c r="O303" s="16" t="n"/>
    </row>
    <row r="304">
      <c r="B304" s="17">
        <f>IF($D304="","","I"&amp;TEXT(ROW()-5,"000"))</f>
        <v/>
      </c>
      <c r="C304" s="18" t="n"/>
      <c r="D304" s="16" t="n"/>
      <c r="E304" s="17">
        <f>IF($D304="","",IFERROR(INDEX(rngCadetPIDs,MATCH($D304,rngCadetNames,0)),"?"))</f>
        <v/>
      </c>
      <c r="F304" s="16" t="n"/>
      <c r="G304" s="16" t="n"/>
      <c r="H304" s="16" t="n"/>
      <c r="I304" s="16" t="n"/>
      <c r="J304" s="16" t="n"/>
      <c r="K304" s="16" t="n"/>
      <c r="L304" s="17">
        <f>IF($D304="","",IF(AND($F304="Negative",OR($G304="Critical",$G304="Major")),"Yes","No"))</f>
        <v/>
      </c>
      <c r="M304" s="16" t="n"/>
      <c r="N304" s="16" t="n"/>
      <c r="O304" s="16" t="n"/>
    </row>
    <row r="305">
      <c r="B305" s="17">
        <f>IF($D305="","","I"&amp;TEXT(ROW()-5,"000"))</f>
        <v/>
      </c>
      <c r="C305" s="18" t="n"/>
      <c r="D305" s="16" t="n"/>
      <c r="E305" s="17">
        <f>IF($D305="","",IFERROR(INDEX(rngCadetPIDs,MATCH($D305,rngCadetNames,0)),"?"))</f>
        <v/>
      </c>
      <c r="F305" s="16" t="n"/>
      <c r="G305" s="16" t="n"/>
      <c r="H305" s="16" t="n"/>
      <c r="I305" s="16" t="n"/>
      <c r="J305" s="16" t="n"/>
      <c r="K305" s="16" t="n"/>
      <c r="L305" s="17">
        <f>IF($D305="","",IF(AND($F305="Negative",OR($G305="Critical",$G305="Major")),"Yes","No"))</f>
        <v/>
      </c>
      <c r="M305" s="16" t="n"/>
      <c r="N305" s="16" t="n"/>
      <c r="O305" s="16" t="n"/>
    </row>
    <row r="306">
      <c r="B306" s="17">
        <f>IF($D306="","","I"&amp;TEXT(ROW()-5,"000"))</f>
        <v/>
      </c>
      <c r="C306" s="18" t="n"/>
      <c r="D306" s="16" t="n"/>
      <c r="E306" s="17">
        <f>IF($D306="","",IFERROR(INDEX(rngCadetPIDs,MATCH($D306,rngCadetNames,0)),"?"))</f>
        <v/>
      </c>
      <c r="F306" s="16" t="n"/>
      <c r="G306" s="16" t="n"/>
      <c r="H306" s="16" t="n"/>
      <c r="I306" s="16" t="n"/>
      <c r="J306" s="16" t="n"/>
      <c r="K306" s="16" t="n"/>
      <c r="L306" s="17">
        <f>IF($D306="","",IF(AND($F306="Negative",OR($G306="Critical",$G306="Major")),"Yes","No"))</f>
        <v/>
      </c>
      <c r="M306" s="16" t="n"/>
      <c r="N306" s="16" t="n"/>
      <c r="O306" s="16" t="n"/>
    </row>
    <row r="307">
      <c r="B307" s="17">
        <f>IF($D307="","","I"&amp;TEXT(ROW()-5,"000"))</f>
        <v/>
      </c>
      <c r="C307" s="18" t="n"/>
      <c r="D307" s="16" t="n"/>
      <c r="E307" s="17">
        <f>IF($D307="","",IFERROR(INDEX(rngCadetPIDs,MATCH($D307,rngCadetNames,0)),"?"))</f>
        <v/>
      </c>
      <c r="F307" s="16" t="n"/>
      <c r="G307" s="16" t="n"/>
      <c r="H307" s="16" t="n"/>
      <c r="I307" s="16" t="n"/>
      <c r="J307" s="16" t="n"/>
      <c r="K307" s="16" t="n"/>
      <c r="L307" s="17">
        <f>IF($D307="","",IF(AND($F307="Negative",OR($G307="Critical",$G307="Major")),"Yes","No"))</f>
        <v/>
      </c>
      <c r="M307" s="16" t="n"/>
      <c r="N307" s="16" t="n"/>
      <c r="O307" s="16" t="n"/>
    </row>
    <row r="308">
      <c r="B308" s="17">
        <f>IF($D308="","","I"&amp;TEXT(ROW()-5,"000"))</f>
        <v/>
      </c>
      <c r="C308" s="18" t="n"/>
      <c r="D308" s="16" t="n"/>
      <c r="E308" s="17">
        <f>IF($D308="","",IFERROR(INDEX(rngCadetPIDs,MATCH($D308,rngCadetNames,0)),"?"))</f>
        <v/>
      </c>
      <c r="F308" s="16" t="n"/>
      <c r="G308" s="16" t="n"/>
      <c r="H308" s="16" t="n"/>
      <c r="I308" s="16" t="n"/>
      <c r="J308" s="16" t="n"/>
      <c r="K308" s="16" t="n"/>
      <c r="L308" s="17">
        <f>IF($D308="","",IF(AND($F308="Negative",OR($G308="Critical",$G308="Major")),"Yes","No"))</f>
        <v/>
      </c>
      <c r="M308" s="16" t="n"/>
      <c r="N308" s="16" t="n"/>
      <c r="O308" s="16" t="n"/>
    </row>
    <row r="309">
      <c r="B309" s="17">
        <f>IF($D309="","","I"&amp;TEXT(ROW()-5,"000"))</f>
        <v/>
      </c>
      <c r="C309" s="18" t="n"/>
      <c r="D309" s="16" t="n"/>
      <c r="E309" s="17">
        <f>IF($D309="","",IFERROR(INDEX(rngCadetPIDs,MATCH($D309,rngCadetNames,0)),"?"))</f>
        <v/>
      </c>
      <c r="F309" s="16" t="n"/>
      <c r="G309" s="16" t="n"/>
      <c r="H309" s="16" t="n"/>
      <c r="I309" s="16" t="n"/>
      <c r="J309" s="16" t="n"/>
      <c r="K309" s="16" t="n"/>
      <c r="L309" s="17">
        <f>IF($D309="","",IF(AND($F309="Negative",OR($G309="Critical",$G309="Major")),"Yes","No"))</f>
        <v/>
      </c>
      <c r="M309" s="16" t="n"/>
      <c r="N309" s="16" t="n"/>
      <c r="O309" s="16" t="n"/>
    </row>
    <row r="310">
      <c r="B310" s="17">
        <f>IF($D310="","","I"&amp;TEXT(ROW()-5,"000"))</f>
        <v/>
      </c>
      <c r="C310" s="18" t="n"/>
      <c r="D310" s="16" t="n"/>
      <c r="E310" s="17">
        <f>IF($D310="","",IFERROR(INDEX(rngCadetPIDs,MATCH($D310,rngCadetNames,0)),"?"))</f>
        <v/>
      </c>
      <c r="F310" s="16" t="n"/>
      <c r="G310" s="16" t="n"/>
      <c r="H310" s="16" t="n"/>
      <c r="I310" s="16" t="n"/>
      <c r="J310" s="16" t="n"/>
      <c r="K310" s="16" t="n"/>
      <c r="L310" s="17">
        <f>IF($D310="","",IF(AND($F310="Negative",OR($G310="Critical",$G310="Major")),"Yes","No"))</f>
        <v/>
      </c>
      <c r="M310" s="16" t="n"/>
      <c r="N310" s="16" t="n"/>
      <c r="O310" s="16" t="n"/>
    </row>
    <row r="311">
      <c r="B311" s="17">
        <f>IF($D311="","","I"&amp;TEXT(ROW()-5,"000"))</f>
        <v/>
      </c>
      <c r="C311" s="18" t="n"/>
      <c r="D311" s="16" t="n"/>
      <c r="E311" s="17">
        <f>IF($D311="","",IFERROR(INDEX(rngCadetPIDs,MATCH($D311,rngCadetNames,0)),"?"))</f>
        <v/>
      </c>
      <c r="F311" s="16" t="n"/>
      <c r="G311" s="16" t="n"/>
      <c r="H311" s="16" t="n"/>
      <c r="I311" s="16" t="n"/>
      <c r="J311" s="16" t="n"/>
      <c r="K311" s="16" t="n"/>
      <c r="L311" s="17">
        <f>IF($D311="","",IF(AND($F311="Negative",OR($G311="Critical",$G311="Major")),"Yes","No"))</f>
        <v/>
      </c>
      <c r="M311" s="16" t="n"/>
      <c r="N311" s="16" t="n"/>
      <c r="O311" s="16" t="n"/>
    </row>
    <row r="312">
      <c r="B312" s="17">
        <f>IF($D312="","","I"&amp;TEXT(ROW()-5,"000"))</f>
        <v/>
      </c>
      <c r="C312" s="18" t="n"/>
      <c r="D312" s="16" t="n"/>
      <c r="E312" s="17">
        <f>IF($D312="","",IFERROR(INDEX(rngCadetPIDs,MATCH($D312,rngCadetNames,0)),"?"))</f>
        <v/>
      </c>
      <c r="F312" s="16" t="n"/>
      <c r="G312" s="16" t="n"/>
      <c r="H312" s="16" t="n"/>
      <c r="I312" s="16" t="n"/>
      <c r="J312" s="16" t="n"/>
      <c r="K312" s="16" t="n"/>
      <c r="L312" s="17">
        <f>IF($D312="","",IF(AND($F312="Negative",OR($G312="Critical",$G312="Major")),"Yes","No"))</f>
        <v/>
      </c>
      <c r="M312" s="16" t="n"/>
      <c r="N312" s="16" t="n"/>
      <c r="O312" s="16" t="n"/>
    </row>
    <row r="313">
      <c r="B313" s="17">
        <f>IF($D313="","","I"&amp;TEXT(ROW()-5,"000"))</f>
        <v/>
      </c>
      <c r="C313" s="18" t="n"/>
      <c r="D313" s="16" t="n"/>
      <c r="E313" s="17">
        <f>IF($D313="","",IFERROR(INDEX(rngCadetPIDs,MATCH($D313,rngCadetNames,0)),"?"))</f>
        <v/>
      </c>
      <c r="F313" s="16" t="n"/>
      <c r="G313" s="16" t="n"/>
      <c r="H313" s="16" t="n"/>
      <c r="I313" s="16" t="n"/>
      <c r="J313" s="16" t="n"/>
      <c r="K313" s="16" t="n"/>
      <c r="L313" s="17">
        <f>IF($D313="","",IF(AND($F313="Negative",OR($G313="Critical",$G313="Major")),"Yes","No"))</f>
        <v/>
      </c>
      <c r="M313" s="16" t="n"/>
      <c r="N313" s="16" t="n"/>
      <c r="O313" s="16" t="n"/>
    </row>
    <row r="314">
      <c r="B314" s="17">
        <f>IF($D314="","","I"&amp;TEXT(ROW()-5,"000"))</f>
        <v/>
      </c>
      <c r="C314" s="18" t="n"/>
      <c r="D314" s="16" t="n"/>
      <c r="E314" s="17">
        <f>IF($D314="","",IFERROR(INDEX(rngCadetPIDs,MATCH($D314,rngCadetNames,0)),"?"))</f>
        <v/>
      </c>
      <c r="F314" s="16" t="n"/>
      <c r="G314" s="16" t="n"/>
      <c r="H314" s="16" t="n"/>
      <c r="I314" s="16" t="n"/>
      <c r="J314" s="16" t="n"/>
      <c r="K314" s="16" t="n"/>
      <c r="L314" s="17">
        <f>IF($D314="","",IF(AND($F314="Negative",OR($G314="Critical",$G314="Major")),"Yes","No"))</f>
        <v/>
      </c>
      <c r="M314" s="16" t="n"/>
      <c r="N314" s="16" t="n"/>
      <c r="O314" s="16" t="n"/>
    </row>
    <row r="315">
      <c r="B315" s="17">
        <f>IF($D315="","","I"&amp;TEXT(ROW()-5,"000"))</f>
        <v/>
      </c>
      <c r="C315" s="18" t="n"/>
      <c r="D315" s="16" t="n"/>
      <c r="E315" s="17">
        <f>IF($D315="","",IFERROR(INDEX(rngCadetPIDs,MATCH($D315,rngCadetNames,0)),"?"))</f>
        <v/>
      </c>
      <c r="F315" s="16" t="n"/>
      <c r="G315" s="16" t="n"/>
      <c r="H315" s="16" t="n"/>
      <c r="I315" s="16" t="n"/>
      <c r="J315" s="16" t="n"/>
      <c r="K315" s="16" t="n"/>
      <c r="L315" s="17">
        <f>IF($D315="","",IF(AND($F315="Negative",OR($G315="Critical",$G315="Major")),"Yes","No"))</f>
        <v/>
      </c>
      <c r="M315" s="16" t="n"/>
      <c r="N315" s="16" t="n"/>
      <c r="O315" s="16" t="n"/>
    </row>
    <row r="316">
      <c r="B316" s="17">
        <f>IF($D316="","","I"&amp;TEXT(ROW()-5,"000"))</f>
        <v/>
      </c>
      <c r="C316" s="18" t="n"/>
      <c r="D316" s="16" t="n"/>
      <c r="E316" s="17">
        <f>IF($D316="","",IFERROR(INDEX(rngCadetPIDs,MATCH($D316,rngCadetNames,0)),"?"))</f>
        <v/>
      </c>
      <c r="F316" s="16" t="n"/>
      <c r="G316" s="16" t="n"/>
      <c r="H316" s="16" t="n"/>
      <c r="I316" s="16" t="n"/>
      <c r="J316" s="16" t="n"/>
      <c r="K316" s="16" t="n"/>
      <c r="L316" s="17">
        <f>IF($D316="","",IF(AND($F316="Negative",OR($G316="Critical",$G316="Major")),"Yes","No"))</f>
        <v/>
      </c>
      <c r="M316" s="16" t="n"/>
      <c r="N316" s="16" t="n"/>
      <c r="O316" s="16" t="n"/>
    </row>
    <row r="317">
      <c r="B317" s="17">
        <f>IF($D317="","","I"&amp;TEXT(ROW()-5,"000"))</f>
        <v/>
      </c>
      <c r="C317" s="18" t="n"/>
      <c r="D317" s="16" t="n"/>
      <c r="E317" s="17">
        <f>IF($D317="","",IFERROR(INDEX(rngCadetPIDs,MATCH($D317,rngCadetNames,0)),"?"))</f>
        <v/>
      </c>
      <c r="F317" s="16" t="n"/>
      <c r="G317" s="16" t="n"/>
      <c r="H317" s="16" t="n"/>
      <c r="I317" s="16" t="n"/>
      <c r="J317" s="16" t="n"/>
      <c r="K317" s="16" t="n"/>
      <c r="L317" s="17">
        <f>IF($D317="","",IF(AND($F317="Negative",OR($G317="Critical",$G317="Major")),"Yes","No"))</f>
        <v/>
      </c>
      <c r="M317" s="16" t="n"/>
      <c r="N317" s="16" t="n"/>
      <c r="O317" s="16" t="n"/>
    </row>
    <row r="318">
      <c r="B318" s="17">
        <f>IF($D318="","","I"&amp;TEXT(ROW()-5,"000"))</f>
        <v/>
      </c>
      <c r="C318" s="18" t="n"/>
      <c r="D318" s="16" t="n"/>
      <c r="E318" s="17">
        <f>IF($D318="","",IFERROR(INDEX(rngCadetPIDs,MATCH($D318,rngCadetNames,0)),"?"))</f>
        <v/>
      </c>
      <c r="F318" s="16" t="n"/>
      <c r="G318" s="16" t="n"/>
      <c r="H318" s="16" t="n"/>
      <c r="I318" s="16" t="n"/>
      <c r="J318" s="16" t="n"/>
      <c r="K318" s="16" t="n"/>
      <c r="L318" s="17">
        <f>IF($D318="","",IF(AND($F318="Negative",OR($G318="Critical",$G318="Major")),"Yes","No"))</f>
        <v/>
      </c>
      <c r="M318" s="16" t="n"/>
      <c r="N318" s="16" t="n"/>
      <c r="O318" s="16" t="n"/>
    </row>
    <row r="319">
      <c r="B319" s="17">
        <f>IF($D319="","","I"&amp;TEXT(ROW()-5,"000"))</f>
        <v/>
      </c>
      <c r="C319" s="18" t="n"/>
      <c r="D319" s="16" t="n"/>
      <c r="E319" s="17">
        <f>IF($D319="","",IFERROR(INDEX(rngCadetPIDs,MATCH($D319,rngCadetNames,0)),"?"))</f>
        <v/>
      </c>
      <c r="F319" s="16" t="n"/>
      <c r="G319" s="16" t="n"/>
      <c r="H319" s="16" t="n"/>
      <c r="I319" s="16" t="n"/>
      <c r="J319" s="16" t="n"/>
      <c r="K319" s="16" t="n"/>
      <c r="L319" s="17">
        <f>IF($D319="","",IF(AND($F319="Negative",OR($G319="Critical",$G319="Major")),"Yes","No"))</f>
        <v/>
      </c>
      <c r="M319" s="16" t="n"/>
      <c r="N319" s="16" t="n"/>
      <c r="O319" s="16" t="n"/>
    </row>
    <row r="320">
      <c r="B320" s="17">
        <f>IF($D320="","","I"&amp;TEXT(ROW()-5,"000"))</f>
        <v/>
      </c>
      <c r="C320" s="18" t="n"/>
      <c r="D320" s="16" t="n"/>
      <c r="E320" s="17">
        <f>IF($D320="","",IFERROR(INDEX(rngCadetPIDs,MATCH($D320,rngCadetNames,0)),"?"))</f>
        <v/>
      </c>
      <c r="F320" s="16" t="n"/>
      <c r="G320" s="16" t="n"/>
      <c r="H320" s="16" t="n"/>
      <c r="I320" s="16" t="n"/>
      <c r="J320" s="16" t="n"/>
      <c r="K320" s="16" t="n"/>
      <c r="L320" s="17">
        <f>IF($D320="","",IF(AND($F320="Negative",OR($G320="Critical",$G320="Major")),"Yes","No"))</f>
        <v/>
      </c>
      <c r="M320" s="16" t="n"/>
      <c r="N320" s="16" t="n"/>
      <c r="O320" s="16" t="n"/>
    </row>
    <row r="321">
      <c r="B321" s="17">
        <f>IF($D321="","","I"&amp;TEXT(ROW()-5,"000"))</f>
        <v/>
      </c>
      <c r="C321" s="18" t="n"/>
      <c r="D321" s="16" t="n"/>
      <c r="E321" s="17">
        <f>IF($D321="","",IFERROR(INDEX(rngCadetPIDs,MATCH($D321,rngCadetNames,0)),"?"))</f>
        <v/>
      </c>
      <c r="F321" s="16" t="n"/>
      <c r="G321" s="16" t="n"/>
      <c r="H321" s="16" t="n"/>
      <c r="I321" s="16" t="n"/>
      <c r="J321" s="16" t="n"/>
      <c r="K321" s="16" t="n"/>
      <c r="L321" s="17">
        <f>IF($D321="","",IF(AND($F321="Negative",OR($G321="Critical",$G321="Major")),"Yes","No"))</f>
        <v/>
      </c>
      <c r="M321" s="16" t="n"/>
      <c r="N321" s="16" t="n"/>
      <c r="O321" s="16" t="n"/>
    </row>
    <row r="322">
      <c r="B322" s="17">
        <f>IF($D322="","","I"&amp;TEXT(ROW()-5,"000"))</f>
        <v/>
      </c>
      <c r="C322" s="18" t="n"/>
      <c r="D322" s="16" t="n"/>
      <c r="E322" s="17">
        <f>IF($D322="","",IFERROR(INDEX(rngCadetPIDs,MATCH($D322,rngCadetNames,0)),"?"))</f>
        <v/>
      </c>
      <c r="F322" s="16" t="n"/>
      <c r="G322" s="16" t="n"/>
      <c r="H322" s="16" t="n"/>
      <c r="I322" s="16" t="n"/>
      <c r="J322" s="16" t="n"/>
      <c r="K322" s="16" t="n"/>
      <c r="L322" s="17">
        <f>IF($D322="","",IF(AND($F322="Negative",OR($G322="Critical",$G322="Major")),"Yes","No"))</f>
        <v/>
      </c>
      <c r="M322" s="16" t="n"/>
      <c r="N322" s="16" t="n"/>
      <c r="O322" s="16" t="n"/>
    </row>
    <row r="323">
      <c r="B323" s="17">
        <f>IF($D323="","","I"&amp;TEXT(ROW()-5,"000"))</f>
        <v/>
      </c>
      <c r="C323" s="18" t="n"/>
      <c r="D323" s="16" t="n"/>
      <c r="E323" s="17">
        <f>IF($D323="","",IFERROR(INDEX(rngCadetPIDs,MATCH($D323,rngCadetNames,0)),"?"))</f>
        <v/>
      </c>
      <c r="F323" s="16" t="n"/>
      <c r="G323" s="16" t="n"/>
      <c r="H323" s="16" t="n"/>
      <c r="I323" s="16" t="n"/>
      <c r="J323" s="16" t="n"/>
      <c r="K323" s="16" t="n"/>
      <c r="L323" s="17">
        <f>IF($D323="","",IF(AND($F323="Negative",OR($G323="Critical",$G323="Major")),"Yes","No"))</f>
        <v/>
      </c>
      <c r="M323" s="16" t="n"/>
      <c r="N323" s="16" t="n"/>
      <c r="O323" s="16" t="n"/>
    </row>
    <row r="324">
      <c r="B324" s="17">
        <f>IF($D324="","","I"&amp;TEXT(ROW()-5,"000"))</f>
        <v/>
      </c>
      <c r="C324" s="18" t="n"/>
      <c r="D324" s="16" t="n"/>
      <c r="E324" s="17">
        <f>IF($D324="","",IFERROR(INDEX(rngCadetPIDs,MATCH($D324,rngCadetNames,0)),"?"))</f>
        <v/>
      </c>
      <c r="F324" s="16" t="n"/>
      <c r="G324" s="16" t="n"/>
      <c r="H324" s="16" t="n"/>
      <c r="I324" s="16" t="n"/>
      <c r="J324" s="16" t="n"/>
      <c r="K324" s="16" t="n"/>
      <c r="L324" s="17">
        <f>IF($D324="","",IF(AND($F324="Negative",OR($G324="Critical",$G324="Major")),"Yes","No"))</f>
        <v/>
      </c>
      <c r="M324" s="16" t="n"/>
      <c r="N324" s="16" t="n"/>
      <c r="O324" s="16" t="n"/>
    </row>
    <row r="325">
      <c r="B325" s="17">
        <f>IF($D325="","","I"&amp;TEXT(ROW()-5,"000"))</f>
        <v/>
      </c>
      <c r="C325" s="18" t="n"/>
      <c r="D325" s="16" t="n"/>
      <c r="E325" s="17">
        <f>IF($D325="","",IFERROR(INDEX(rngCadetPIDs,MATCH($D325,rngCadetNames,0)),"?"))</f>
        <v/>
      </c>
      <c r="F325" s="16" t="n"/>
      <c r="G325" s="16" t="n"/>
      <c r="H325" s="16" t="n"/>
      <c r="I325" s="16" t="n"/>
      <c r="J325" s="16" t="n"/>
      <c r="K325" s="16" t="n"/>
      <c r="L325" s="17">
        <f>IF($D325="","",IF(AND($F325="Negative",OR($G325="Critical",$G325="Major")),"Yes","No"))</f>
        <v/>
      </c>
      <c r="M325" s="16" t="n"/>
      <c r="N325" s="16" t="n"/>
      <c r="O325" s="16" t="n"/>
    </row>
    <row r="326">
      <c r="B326" s="17">
        <f>IF($D326="","","I"&amp;TEXT(ROW()-5,"000"))</f>
        <v/>
      </c>
      <c r="C326" s="18" t="n"/>
      <c r="D326" s="16" t="n"/>
      <c r="E326" s="17">
        <f>IF($D326="","",IFERROR(INDEX(rngCadetPIDs,MATCH($D326,rngCadetNames,0)),"?"))</f>
        <v/>
      </c>
      <c r="F326" s="16" t="n"/>
      <c r="G326" s="16" t="n"/>
      <c r="H326" s="16" t="n"/>
      <c r="I326" s="16" t="n"/>
      <c r="J326" s="16" t="n"/>
      <c r="K326" s="16" t="n"/>
      <c r="L326" s="17">
        <f>IF($D326="","",IF(AND($F326="Negative",OR($G326="Critical",$G326="Major")),"Yes","No"))</f>
        <v/>
      </c>
      <c r="M326" s="16" t="n"/>
      <c r="N326" s="16" t="n"/>
      <c r="O326" s="16" t="n"/>
    </row>
    <row r="327">
      <c r="B327" s="17">
        <f>IF($D327="","","I"&amp;TEXT(ROW()-5,"000"))</f>
        <v/>
      </c>
      <c r="C327" s="18" t="n"/>
      <c r="D327" s="16" t="n"/>
      <c r="E327" s="17">
        <f>IF($D327="","",IFERROR(INDEX(rngCadetPIDs,MATCH($D327,rngCadetNames,0)),"?"))</f>
        <v/>
      </c>
      <c r="F327" s="16" t="n"/>
      <c r="G327" s="16" t="n"/>
      <c r="H327" s="16" t="n"/>
      <c r="I327" s="16" t="n"/>
      <c r="J327" s="16" t="n"/>
      <c r="K327" s="16" t="n"/>
      <c r="L327" s="17">
        <f>IF($D327="","",IF(AND($F327="Negative",OR($G327="Critical",$G327="Major")),"Yes","No"))</f>
        <v/>
      </c>
      <c r="M327" s="16" t="n"/>
      <c r="N327" s="16" t="n"/>
      <c r="O327" s="16" t="n"/>
    </row>
    <row r="328">
      <c r="B328" s="17">
        <f>IF($D328="","","I"&amp;TEXT(ROW()-5,"000"))</f>
        <v/>
      </c>
      <c r="C328" s="18" t="n"/>
      <c r="D328" s="16" t="n"/>
      <c r="E328" s="17">
        <f>IF($D328="","",IFERROR(INDEX(rngCadetPIDs,MATCH($D328,rngCadetNames,0)),"?"))</f>
        <v/>
      </c>
      <c r="F328" s="16" t="n"/>
      <c r="G328" s="16" t="n"/>
      <c r="H328" s="16" t="n"/>
      <c r="I328" s="16" t="n"/>
      <c r="J328" s="16" t="n"/>
      <c r="K328" s="16" t="n"/>
      <c r="L328" s="17">
        <f>IF($D328="","",IF(AND($F328="Negative",OR($G328="Critical",$G328="Major")),"Yes","No"))</f>
        <v/>
      </c>
      <c r="M328" s="16" t="n"/>
      <c r="N328" s="16" t="n"/>
      <c r="O328" s="16" t="n"/>
    </row>
    <row r="329">
      <c r="B329" s="17">
        <f>IF($D329="","","I"&amp;TEXT(ROW()-5,"000"))</f>
        <v/>
      </c>
      <c r="C329" s="18" t="n"/>
      <c r="D329" s="16" t="n"/>
      <c r="E329" s="17">
        <f>IF($D329="","",IFERROR(INDEX(rngCadetPIDs,MATCH($D329,rngCadetNames,0)),"?"))</f>
        <v/>
      </c>
      <c r="F329" s="16" t="n"/>
      <c r="G329" s="16" t="n"/>
      <c r="H329" s="16" t="n"/>
      <c r="I329" s="16" t="n"/>
      <c r="J329" s="16" t="n"/>
      <c r="K329" s="16" t="n"/>
      <c r="L329" s="17">
        <f>IF($D329="","",IF(AND($F329="Negative",OR($G329="Critical",$G329="Major")),"Yes","No"))</f>
        <v/>
      </c>
      <c r="M329" s="16" t="n"/>
      <c r="N329" s="16" t="n"/>
      <c r="O329" s="16" t="n"/>
    </row>
    <row r="330">
      <c r="B330" s="17">
        <f>IF($D330="","","I"&amp;TEXT(ROW()-5,"000"))</f>
        <v/>
      </c>
      <c r="C330" s="18" t="n"/>
      <c r="D330" s="16" t="n"/>
      <c r="E330" s="17">
        <f>IF($D330="","",IFERROR(INDEX(rngCadetPIDs,MATCH($D330,rngCadetNames,0)),"?"))</f>
        <v/>
      </c>
      <c r="F330" s="16" t="n"/>
      <c r="G330" s="16" t="n"/>
      <c r="H330" s="16" t="n"/>
      <c r="I330" s="16" t="n"/>
      <c r="J330" s="16" t="n"/>
      <c r="K330" s="16" t="n"/>
      <c r="L330" s="17">
        <f>IF($D330="","",IF(AND($F330="Negative",OR($G330="Critical",$G330="Major")),"Yes","No"))</f>
        <v/>
      </c>
      <c r="M330" s="16" t="n"/>
      <c r="N330" s="16" t="n"/>
      <c r="O330" s="16" t="n"/>
    </row>
    <row r="331">
      <c r="B331" s="17">
        <f>IF($D331="","","I"&amp;TEXT(ROW()-5,"000"))</f>
        <v/>
      </c>
      <c r="C331" s="18" t="n"/>
      <c r="D331" s="16" t="n"/>
      <c r="E331" s="17">
        <f>IF($D331="","",IFERROR(INDEX(rngCadetPIDs,MATCH($D331,rngCadetNames,0)),"?"))</f>
        <v/>
      </c>
      <c r="F331" s="16" t="n"/>
      <c r="G331" s="16" t="n"/>
      <c r="H331" s="16" t="n"/>
      <c r="I331" s="16" t="n"/>
      <c r="J331" s="16" t="n"/>
      <c r="K331" s="16" t="n"/>
      <c r="L331" s="17">
        <f>IF($D331="","",IF(AND($F331="Negative",OR($G331="Critical",$G331="Major")),"Yes","No"))</f>
        <v/>
      </c>
      <c r="M331" s="16" t="n"/>
      <c r="N331" s="16" t="n"/>
      <c r="O331" s="16" t="n"/>
    </row>
    <row r="332">
      <c r="B332" s="17">
        <f>IF($D332="","","I"&amp;TEXT(ROW()-5,"000"))</f>
        <v/>
      </c>
      <c r="C332" s="18" t="n"/>
      <c r="D332" s="16" t="n"/>
      <c r="E332" s="17">
        <f>IF($D332="","",IFERROR(INDEX(rngCadetPIDs,MATCH($D332,rngCadetNames,0)),"?"))</f>
        <v/>
      </c>
      <c r="F332" s="16" t="n"/>
      <c r="G332" s="16" t="n"/>
      <c r="H332" s="16" t="n"/>
      <c r="I332" s="16" t="n"/>
      <c r="J332" s="16" t="n"/>
      <c r="K332" s="16" t="n"/>
      <c r="L332" s="17">
        <f>IF($D332="","",IF(AND($F332="Negative",OR($G332="Critical",$G332="Major")),"Yes","No"))</f>
        <v/>
      </c>
      <c r="M332" s="16" t="n"/>
      <c r="N332" s="16" t="n"/>
      <c r="O332" s="16" t="n"/>
    </row>
    <row r="333">
      <c r="B333" s="17">
        <f>IF($D333="","","I"&amp;TEXT(ROW()-5,"000"))</f>
        <v/>
      </c>
      <c r="C333" s="18" t="n"/>
      <c r="D333" s="16" t="n"/>
      <c r="E333" s="17">
        <f>IF($D333="","",IFERROR(INDEX(rngCadetPIDs,MATCH($D333,rngCadetNames,0)),"?"))</f>
        <v/>
      </c>
      <c r="F333" s="16" t="n"/>
      <c r="G333" s="16" t="n"/>
      <c r="H333" s="16" t="n"/>
      <c r="I333" s="16" t="n"/>
      <c r="J333" s="16" t="n"/>
      <c r="K333" s="16" t="n"/>
      <c r="L333" s="17">
        <f>IF($D333="","",IF(AND($F333="Negative",OR($G333="Critical",$G333="Major")),"Yes","No"))</f>
        <v/>
      </c>
      <c r="M333" s="16" t="n"/>
      <c r="N333" s="16" t="n"/>
      <c r="O333" s="16" t="n"/>
    </row>
    <row r="334">
      <c r="B334" s="17">
        <f>IF($D334="","","I"&amp;TEXT(ROW()-5,"000"))</f>
        <v/>
      </c>
      <c r="C334" s="18" t="n"/>
      <c r="D334" s="16" t="n"/>
      <c r="E334" s="17">
        <f>IF($D334="","",IFERROR(INDEX(rngCadetPIDs,MATCH($D334,rngCadetNames,0)),"?"))</f>
        <v/>
      </c>
      <c r="F334" s="16" t="n"/>
      <c r="G334" s="16" t="n"/>
      <c r="H334" s="16" t="n"/>
      <c r="I334" s="16" t="n"/>
      <c r="J334" s="16" t="n"/>
      <c r="K334" s="16" t="n"/>
      <c r="L334" s="17">
        <f>IF($D334="","",IF(AND($F334="Negative",OR($G334="Critical",$G334="Major")),"Yes","No"))</f>
        <v/>
      </c>
      <c r="M334" s="16" t="n"/>
      <c r="N334" s="16" t="n"/>
      <c r="O334" s="16" t="n"/>
    </row>
    <row r="335">
      <c r="B335" s="17">
        <f>IF($D335="","","I"&amp;TEXT(ROW()-5,"000"))</f>
        <v/>
      </c>
      <c r="C335" s="18" t="n"/>
      <c r="D335" s="16" t="n"/>
      <c r="E335" s="17">
        <f>IF($D335="","",IFERROR(INDEX(rngCadetPIDs,MATCH($D335,rngCadetNames,0)),"?"))</f>
        <v/>
      </c>
      <c r="F335" s="16" t="n"/>
      <c r="G335" s="16" t="n"/>
      <c r="H335" s="16" t="n"/>
      <c r="I335" s="16" t="n"/>
      <c r="J335" s="16" t="n"/>
      <c r="K335" s="16" t="n"/>
      <c r="L335" s="17">
        <f>IF($D335="","",IF(AND($F335="Negative",OR($G335="Critical",$G335="Major")),"Yes","No"))</f>
        <v/>
      </c>
      <c r="M335" s="16" t="n"/>
      <c r="N335" s="16" t="n"/>
      <c r="O335" s="16" t="n"/>
    </row>
    <row r="336">
      <c r="B336" s="17">
        <f>IF($D336="","","I"&amp;TEXT(ROW()-5,"000"))</f>
        <v/>
      </c>
      <c r="C336" s="18" t="n"/>
      <c r="D336" s="16" t="n"/>
      <c r="E336" s="17">
        <f>IF($D336="","",IFERROR(INDEX(rngCadetPIDs,MATCH($D336,rngCadetNames,0)),"?"))</f>
        <v/>
      </c>
      <c r="F336" s="16" t="n"/>
      <c r="G336" s="16" t="n"/>
      <c r="H336" s="16" t="n"/>
      <c r="I336" s="16" t="n"/>
      <c r="J336" s="16" t="n"/>
      <c r="K336" s="16" t="n"/>
      <c r="L336" s="17">
        <f>IF($D336="","",IF(AND($F336="Negative",OR($G336="Critical",$G336="Major")),"Yes","No"))</f>
        <v/>
      </c>
      <c r="M336" s="16" t="n"/>
      <c r="N336" s="16" t="n"/>
      <c r="O336" s="16" t="n"/>
    </row>
    <row r="337">
      <c r="B337" s="17">
        <f>IF($D337="","","I"&amp;TEXT(ROW()-5,"000"))</f>
        <v/>
      </c>
      <c r="C337" s="18" t="n"/>
      <c r="D337" s="16" t="n"/>
      <c r="E337" s="17">
        <f>IF($D337="","",IFERROR(INDEX(rngCadetPIDs,MATCH($D337,rngCadetNames,0)),"?"))</f>
        <v/>
      </c>
      <c r="F337" s="16" t="n"/>
      <c r="G337" s="16" t="n"/>
      <c r="H337" s="16" t="n"/>
      <c r="I337" s="16" t="n"/>
      <c r="J337" s="16" t="n"/>
      <c r="K337" s="16" t="n"/>
      <c r="L337" s="17">
        <f>IF($D337="","",IF(AND($F337="Negative",OR($G337="Critical",$G337="Major")),"Yes","No"))</f>
        <v/>
      </c>
      <c r="M337" s="16" t="n"/>
      <c r="N337" s="16" t="n"/>
      <c r="O337" s="16" t="n"/>
    </row>
    <row r="338">
      <c r="B338" s="17">
        <f>IF($D338="","","I"&amp;TEXT(ROW()-5,"000"))</f>
        <v/>
      </c>
      <c r="C338" s="18" t="n"/>
      <c r="D338" s="16" t="n"/>
      <c r="E338" s="17">
        <f>IF($D338="","",IFERROR(INDEX(rngCadetPIDs,MATCH($D338,rngCadetNames,0)),"?"))</f>
        <v/>
      </c>
      <c r="F338" s="16" t="n"/>
      <c r="G338" s="16" t="n"/>
      <c r="H338" s="16" t="n"/>
      <c r="I338" s="16" t="n"/>
      <c r="J338" s="16" t="n"/>
      <c r="K338" s="16" t="n"/>
      <c r="L338" s="17">
        <f>IF($D338="","",IF(AND($F338="Negative",OR($G338="Critical",$G338="Major")),"Yes","No"))</f>
        <v/>
      </c>
      <c r="M338" s="16" t="n"/>
      <c r="N338" s="16" t="n"/>
      <c r="O338" s="16" t="n"/>
    </row>
    <row r="339">
      <c r="B339" s="17">
        <f>IF($D339="","","I"&amp;TEXT(ROW()-5,"000"))</f>
        <v/>
      </c>
      <c r="C339" s="18" t="n"/>
      <c r="D339" s="16" t="n"/>
      <c r="E339" s="17">
        <f>IF($D339="","",IFERROR(INDEX(rngCadetPIDs,MATCH($D339,rngCadetNames,0)),"?"))</f>
        <v/>
      </c>
      <c r="F339" s="16" t="n"/>
      <c r="G339" s="16" t="n"/>
      <c r="H339" s="16" t="n"/>
      <c r="I339" s="16" t="n"/>
      <c r="J339" s="16" t="n"/>
      <c r="K339" s="16" t="n"/>
      <c r="L339" s="17">
        <f>IF($D339="","",IF(AND($F339="Negative",OR($G339="Critical",$G339="Major")),"Yes","No"))</f>
        <v/>
      </c>
      <c r="M339" s="16" t="n"/>
      <c r="N339" s="16" t="n"/>
      <c r="O339" s="16" t="n"/>
    </row>
    <row r="340">
      <c r="B340" s="17">
        <f>IF($D340="","","I"&amp;TEXT(ROW()-5,"000"))</f>
        <v/>
      </c>
      <c r="C340" s="18" t="n"/>
      <c r="D340" s="16" t="n"/>
      <c r="E340" s="17">
        <f>IF($D340="","",IFERROR(INDEX(rngCadetPIDs,MATCH($D340,rngCadetNames,0)),"?"))</f>
        <v/>
      </c>
      <c r="F340" s="16" t="n"/>
      <c r="G340" s="16" t="n"/>
      <c r="H340" s="16" t="n"/>
      <c r="I340" s="16" t="n"/>
      <c r="J340" s="16" t="n"/>
      <c r="K340" s="16" t="n"/>
      <c r="L340" s="17">
        <f>IF($D340="","",IF(AND($F340="Negative",OR($G340="Critical",$G340="Major")),"Yes","No"))</f>
        <v/>
      </c>
      <c r="M340" s="16" t="n"/>
      <c r="N340" s="16" t="n"/>
      <c r="O340" s="16" t="n"/>
    </row>
    <row r="341">
      <c r="B341" s="17">
        <f>IF($D341="","","I"&amp;TEXT(ROW()-5,"000"))</f>
        <v/>
      </c>
      <c r="C341" s="18" t="n"/>
      <c r="D341" s="16" t="n"/>
      <c r="E341" s="17">
        <f>IF($D341="","",IFERROR(INDEX(rngCadetPIDs,MATCH($D341,rngCadetNames,0)),"?"))</f>
        <v/>
      </c>
      <c r="F341" s="16" t="n"/>
      <c r="G341" s="16" t="n"/>
      <c r="H341" s="16" t="n"/>
      <c r="I341" s="16" t="n"/>
      <c r="J341" s="16" t="n"/>
      <c r="K341" s="16" t="n"/>
      <c r="L341" s="17">
        <f>IF($D341="","",IF(AND($F341="Negative",OR($G341="Critical",$G341="Major")),"Yes","No"))</f>
        <v/>
      </c>
      <c r="M341" s="16" t="n"/>
      <c r="N341" s="16" t="n"/>
      <c r="O341" s="16" t="n"/>
    </row>
    <row r="342">
      <c r="B342" s="17">
        <f>IF($D342="","","I"&amp;TEXT(ROW()-5,"000"))</f>
        <v/>
      </c>
      <c r="C342" s="18" t="n"/>
      <c r="D342" s="16" t="n"/>
      <c r="E342" s="17">
        <f>IF($D342="","",IFERROR(INDEX(rngCadetPIDs,MATCH($D342,rngCadetNames,0)),"?"))</f>
        <v/>
      </c>
      <c r="F342" s="16" t="n"/>
      <c r="G342" s="16" t="n"/>
      <c r="H342" s="16" t="n"/>
      <c r="I342" s="16" t="n"/>
      <c r="J342" s="16" t="n"/>
      <c r="K342" s="16" t="n"/>
      <c r="L342" s="17">
        <f>IF($D342="","",IF(AND($F342="Negative",OR($G342="Critical",$G342="Major")),"Yes","No"))</f>
        <v/>
      </c>
      <c r="M342" s="16" t="n"/>
      <c r="N342" s="16" t="n"/>
      <c r="O342" s="16" t="n"/>
    </row>
    <row r="343">
      <c r="B343" s="17">
        <f>IF($D343="","","I"&amp;TEXT(ROW()-5,"000"))</f>
        <v/>
      </c>
      <c r="C343" s="18" t="n"/>
      <c r="D343" s="16" t="n"/>
      <c r="E343" s="17">
        <f>IF($D343="","",IFERROR(INDEX(rngCadetPIDs,MATCH($D343,rngCadetNames,0)),"?"))</f>
        <v/>
      </c>
      <c r="F343" s="16" t="n"/>
      <c r="G343" s="16" t="n"/>
      <c r="H343" s="16" t="n"/>
      <c r="I343" s="16" t="n"/>
      <c r="J343" s="16" t="n"/>
      <c r="K343" s="16" t="n"/>
      <c r="L343" s="17">
        <f>IF($D343="","",IF(AND($F343="Negative",OR($G343="Critical",$G343="Major")),"Yes","No"))</f>
        <v/>
      </c>
      <c r="M343" s="16" t="n"/>
      <c r="N343" s="16" t="n"/>
      <c r="O343" s="16" t="n"/>
    </row>
    <row r="344">
      <c r="B344" s="17">
        <f>IF($D344="","","I"&amp;TEXT(ROW()-5,"000"))</f>
        <v/>
      </c>
      <c r="C344" s="18" t="n"/>
      <c r="D344" s="16" t="n"/>
      <c r="E344" s="17">
        <f>IF($D344="","",IFERROR(INDEX(rngCadetPIDs,MATCH($D344,rngCadetNames,0)),"?"))</f>
        <v/>
      </c>
      <c r="F344" s="16" t="n"/>
      <c r="G344" s="16" t="n"/>
      <c r="H344" s="16" t="n"/>
      <c r="I344" s="16" t="n"/>
      <c r="J344" s="16" t="n"/>
      <c r="K344" s="16" t="n"/>
      <c r="L344" s="17">
        <f>IF($D344="","",IF(AND($F344="Negative",OR($G344="Critical",$G344="Major")),"Yes","No"))</f>
        <v/>
      </c>
      <c r="M344" s="16" t="n"/>
      <c r="N344" s="16" t="n"/>
      <c r="O344" s="16" t="n"/>
    </row>
    <row r="345">
      <c r="B345" s="17">
        <f>IF($D345="","","I"&amp;TEXT(ROW()-5,"000"))</f>
        <v/>
      </c>
      <c r="C345" s="18" t="n"/>
      <c r="D345" s="16" t="n"/>
      <c r="E345" s="17">
        <f>IF($D345="","",IFERROR(INDEX(rngCadetPIDs,MATCH($D345,rngCadetNames,0)),"?"))</f>
        <v/>
      </c>
      <c r="F345" s="16" t="n"/>
      <c r="G345" s="16" t="n"/>
      <c r="H345" s="16" t="n"/>
      <c r="I345" s="16" t="n"/>
      <c r="J345" s="16" t="n"/>
      <c r="K345" s="16" t="n"/>
      <c r="L345" s="17">
        <f>IF($D345="","",IF(AND($F345="Negative",OR($G345="Critical",$G345="Major")),"Yes","No"))</f>
        <v/>
      </c>
      <c r="M345" s="16" t="n"/>
      <c r="N345" s="16" t="n"/>
      <c r="O345" s="16" t="n"/>
    </row>
    <row r="346">
      <c r="B346" s="17">
        <f>IF($D346="","","I"&amp;TEXT(ROW()-5,"000"))</f>
        <v/>
      </c>
      <c r="C346" s="18" t="n"/>
      <c r="D346" s="16" t="n"/>
      <c r="E346" s="17">
        <f>IF($D346="","",IFERROR(INDEX(rngCadetPIDs,MATCH($D346,rngCadetNames,0)),"?"))</f>
        <v/>
      </c>
      <c r="F346" s="16" t="n"/>
      <c r="G346" s="16" t="n"/>
      <c r="H346" s="16" t="n"/>
      <c r="I346" s="16" t="n"/>
      <c r="J346" s="16" t="n"/>
      <c r="K346" s="16" t="n"/>
      <c r="L346" s="17">
        <f>IF($D346="","",IF(AND($F346="Negative",OR($G346="Critical",$G346="Major")),"Yes","No"))</f>
        <v/>
      </c>
      <c r="M346" s="16" t="n"/>
      <c r="N346" s="16" t="n"/>
      <c r="O346" s="16" t="n"/>
    </row>
    <row r="347">
      <c r="B347" s="17">
        <f>IF($D347="","","I"&amp;TEXT(ROW()-5,"000"))</f>
        <v/>
      </c>
      <c r="C347" s="18" t="n"/>
      <c r="D347" s="16" t="n"/>
      <c r="E347" s="17">
        <f>IF($D347="","",IFERROR(INDEX(rngCadetPIDs,MATCH($D347,rngCadetNames,0)),"?"))</f>
        <v/>
      </c>
      <c r="F347" s="16" t="n"/>
      <c r="G347" s="16" t="n"/>
      <c r="H347" s="16" t="n"/>
      <c r="I347" s="16" t="n"/>
      <c r="J347" s="16" t="n"/>
      <c r="K347" s="16" t="n"/>
      <c r="L347" s="17">
        <f>IF($D347="","",IF(AND($F347="Negative",OR($G347="Critical",$G347="Major")),"Yes","No"))</f>
        <v/>
      </c>
      <c r="M347" s="16" t="n"/>
      <c r="N347" s="16" t="n"/>
      <c r="O347" s="16" t="n"/>
    </row>
    <row r="348">
      <c r="B348" s="17">
        <f>IF($D348="","","I"&amp;TEXT(ROW()-5,"000"))</f>
        <v/>
      </c>
      <c r="C348" s="18" t="n"/>
      <c r="D348" s="16" t="n"/>
      <c r="E348" s="17">
        <f>IF($D348="","",IFERROR(INDEX(rngCadetPIDs,MATCH($D348,rngCadetNames,0)),"?"))</f>
        <v/>
      </c>
      <c r="F348" s="16" t="n"/>
      <c r="G348" s="16" t="n"/>
      <c r="H348" s="16" t="n"/>
      <c r="I348" s="16" t="n"/>
      <c r="J348" s="16" t="n"/>
      <c r="K348" s="16" t="n"/>
      <c r="L348" s="17">
        <f>IF($D348="","",IF(AND($F348="Negative",OR($G348="Critical",$G348="Major")),"Yes","No"))</f>
        <v/>
      </c>
      <c r="M348" s="16" t="n"/>
      <c r="N348" s="16" t="n"/>
      <c r="O348" s="16" t="n"/>
    </row>
    <row r="349">
      <c r="B349" s="17">
        <f>IF($D349="","","I"&amp;TEXT(ROW()-5,"000"))</f>
        <v/>
      </c>
      <c r="C349" s="18" t="n"/>
      <c r="D349" s="16" t="n"/>
      <c r="E349" s="17">
        <f>IF($D349="","",IFERROR(INDEX(rngCadetPIDs,MATCH($D349,rngCadetNames,0)),"?"))</f>
        <v/>
      </c>
      <c r="F349" s="16" t="n"/>
      <c r="G349" s="16" t="n"/>
      <c r="H349" s="16" t="n"/>
      <c r="I349" s="16" t="n"/>
      <c r="J349" s="16" t="n"/>
      <c r="K349" s="16" t="n"/>
      <c r="L349" s="17">
        <f>IF($D349="","",IF(AND($F349="Negative",OR($G349="Critical",$G349="Major")),"Yes","No"))</f>
        <v/>
      </c>
      <c r="M349" s="16" t="n"/>
      <c r="N349" s="16" t="n"/>
      <c r="O349" s="16" t="n"/>
    </row>
    <row r="350">
      <c r="B350" s="17">
        <f>IF($D350="","","I"&amp;TEXT(ROW()-5,"000"))</f>
        <v/>
      </c>
      <c r="C350" s="18" t="n"/>
      <c r="D350" s="16" t="n"/>
      <c r="E350" s="17">
        <f>IF($D350="","",IFERROR(INDEX(rngCadetPIDs,MATCH($D350,rngCadetNames,0)),"?"))</f>
        <v/>
      </c>
      <c r="F350" s="16" t="n"/>
      <c r="G350" s="16" t="n"/>
      <c r="H350" s="16" t="n"/>
      <c r="I350" s="16" t="n"/>
      <c r="J350" s="16" t="n"/>
      <c r="K350" s="16" t="n"/>
      <c r="L350" s="17">
        <f>IF($D350="","",IF(AND($F350="Negative",OR($G350="Critical",$G350="Major")),"Yes","No"))</f>
        <v/>
      </c>
      <c r="M350" s="16" t="n"/>
      <c r="N350" s="16" t="n"/>
      <c r="O350" s="16" t="n"/>
    </row>
    <row r="351">
      <c r="B351" s="17">
        <f>IF($D351="","","I"&amp;TEXT(ROW()-5,"000"))</f>
        <v/>
      </c>
      <c r="C351" s="18" t="n"/>
      <c r="D351" s="16" t="n"/>
      <c r="E351" s="17">
        <f>IF($D351="","",IFERROR(INDEX(rngCadetPIDs,MATCH($D351,rngCadetNames,0)),"?"))</f>
        <v/>
      </c>
      <c r="F351" s="16" t="n"/>
      <c r="G351" s="16" t="n"/>
      <c r="H351" s="16" t="n"/>
      <c r="I351" s="16" t="n"/>
      <c r="J351" s="16" t="n"/>
      <c r="K351" s="16" t="n"/>
      <c r="L351" s="17">
        <f>IF($D351="","",IF(AND($F351="Negative",OR($G351="Critical",$G351="Major")),"Yes","No"))</f>
        <v/>
      </c>
      <c r="M351" s="16" t="n"/>
      <c r="N351" s="16" t="n"/>
      <c r="O351" s="16" t="n"/>
    </row>
    <row r="352">
      <c r="B352" s="17">
        <f>IF($D352="","","I"&amp;TEXT(ROW()-5,"000"))</f>
        <v/>
      </c>
      <c r="C352" s="18" t="n"/>
      <c r="D352" s="16" t="n"/>
      <c r="E352" s="17">
        <f>IF($D352="","",IFERROR(INDEX(rngCadetPIDs,MATCH($D352,rngCadetNames,0)),"?"))</f>
        <v/>
      </c>
      <c r="F352" s="16" t="n"/>
      <c r="G352" s="16" t="n"/>
      <c r="H352" s="16" t="n"/>
      <c r="I352" s="16" t="n"/>
      <c r="J352" s="16" t="n"/>
      <c r="K352" s="16" t="n"/>
      <c r="L352" s="17">
        <f>IF($D352="","",IF(AND($F352="Negative",OR($G352="Critical",$G352="Major")),"Yes","No"))</f>
        <v/>
      </c>
      <c r="M352" s="16" t="n"/>
      <c r="N352" s="16" t="n"/>
      <c r="O352" s="16" t="n"/>
    </row>
    <row r="353">
      <c r="B353" s="17">
        <f>IF($D353="","","I"&amp;TEXT(ROW()-5,"000"))</f>
        <v/>
      </c>
      <c r="C353" s="18" t="n"/>
      <c r="D353" s="16" t="n"/>
      <c r="E353" s="17">
        <f>IF($D353="","",IFERROR(INDEX(rngCadetPIDs,MATCH($D353,rngCadetNames,0)),"?"))</f>
        <v/>
      </c>
      <c r="F353" s="16" t="n"/>
      <c r="G353" s="16" t="n"/>
      <c r="H353" s="16" t="n"/>
      <c r="I353" s="16" t="n"/>
      <c r="J353" s="16" t="n"/>
      <c r="K353" s="16" t="n"/>
      <c r="L353" s="17">
        <f>IF($D353="","",IF(AND($F353="Negative",OR($G353="Critical",$G353="Major")),"Yes","No"))</f>
        <v/>
      </c>
      <c r="M353" s="16" t="n"/>
      <c r="N353" s="16" t="n"/>
      <c r="O353" s="16" t="n"/>
    </row>
    <row r="354">
      <c r="B354" s="17">
        <f>IF($D354="","","I"&amp;TEXT(ROW()-5,"000"))</f>
        <v/>
      </c>
      <c r="C354" s="18" t="n"/>
      <c r="D354" s="16" t="n"/>
      <c r="E354" s="17">
        <f>IF($D354="","",IFERROR(INDEX(rngCadetPIDs,MATCH($D354,rngCadetNames,0)),"?"))</f>
        <v/>
      </c>
      <c r="F354" s="16" t="n"/>
      <c r="G354" s="16" t="n"/>
      <c r="H354" s="16" t="n"/>
      <c r="I354" s="16" t="n"/>
      <c r="J354" s="16" t="n"/>
      <c r="K354" s="16" t="n"/>
      <c r="L354" s="17">
        <f>IF($D354="","",IF(AND($F354="Negative",OR($G354="Critical",$G354="Major")),"Yes","No"))</f>
        <v/>
      </c>
      <c r="M354" s="16" t="n"/>
      <c r="N354" s="16" t="n"/>
      <c r="O354" s="16" t="n"/>
    </row>
    <row r="355">
      <c r="B355" s="17">
        <f>IF($D355="","","I"&amp;TEXT(ROW()-5,"000"))</f>
        <v/>
      </c>
      <c r="C355" s="18" t="n"/>
      <c r="D355" s="16" t="n"/>
      <c r="E355" s="17">
        <f>IF($D355="","",IFERROR(INDEX(rngCadetPIDs,MATCH($D355,rngCadetNames,0)),"?"))</f>
        <v/>
      </c>
      <c r="F355" s="16" t="n"/>
      <c r="G355" s="16" t="n"/>
      <c r="H355" s="16" t="n"/>
      <c r="I355" s="16" t="n"/>
      <c r="J355" s="16" t="n"/>
      <c r="K355" s="16" t="n"/>
      <c r="L355" s="17">
        <f>IF($D355="","",IF(AND($F355="Negative",OR($G355="Critical",$G355="Major")),"Yes","No"))</f>
        <v/>
      </c>
      <c r="M355" s="16" t="n"/>
      <c r="N355" s="16" t="n"/>
      <c r="O355" s="16" t="n"/>
    </row>
    <row r="356">
      <c r="B356" s="17">
        <f>IF($D356="","","I"&amp;TEXT(ROW()-5,"000"))</f>
        <v/>
      </c>
      <c r="C356" s="18" t="n"/>
      <c r="D356" s="16" t="n"/>
      <c r="E356" s="17">
        <f>IF($D356="","",IFERROR(INDEX(rngCadetPIDs,MATCH($D356,rngCadetNames,0)),"?"))</f>
        <v/>
      </c>
      <c r="F356" s="16" t="n"/>
      <c r="G356" s="16" t="n"/>
      <c r="H356" s="16" t="n"/>
      <c r="I356" s="16" t="n"/>
      <c r="J356" s="16" t="n"/>
      <c r="K356" s="16" t="n"/>
      <c r="L356" s="17">
        <f>IF($D356="","",IF(AND($F356="Negative",OR($G356="Critical",$G356="Major")),"Yes","No"))</f>
        <v/>
      </c>
      <c r="M356" s="16" t="n"/>
      <c r="N356" s="16" t="n"/>
      <c r="O356" s="16" t="n"/>
    </row>
    <row r="357">
      <c r="B357" s="17">
        <f>IF($D357="","","I"&amp;TEXT(ROW()-5,"000"))</f>
        <v/>
      </c>
      <c r="C357" s="18" t="n"/>
      <c r="D357" s="16" t="n"/>
      <c r="E357" s="17">
        <f>IF($D357="","",IFERROR(INDEX(rngCadetPIDs,MATCH($D357,rngCadetNames,0)),"?"))</f>
        <v/>
      </c>
      <c r="F357" s="16" t="n"/>
      <c r="G357" s="16" t="n"/>
      <c r="H357" s="16" t="n"/>
      <c r="I357" s="16" t="n"/>
      <c r="J357" s="16" t="n"/>
      <c r="K357" s="16" t="n"/>
      <c r="L357" s="17">
        <f>IF($D357="","",IF(AND($F357="Negative",OR($G357="Critical",$G357="Major")),"Yes","No"))</f>
        <v/>
      </c>
      <c r="M357" s="16" t="n"/>
      <c r="N357" s="16" t="n"/>
      <c r="O357" s="16" t="n"/>
    </row>
    <row r="358">
      <c r="B358" s="17">
        <f>IF($D358="","","I"&amp;TEXT(ROW()-5,"000"))</f>
        <v/>
      </c>
      <c r="C358" s="18" t="n"/>
      <c r="D358" s="16" t="n"/>
      <c r="E358" s="17">
        <f>IF($D358="","",IFERROR(INDEX(rngCadetPIDs,MATCH($D358,rngCadetNames,0)),"?"))</f>
        <v/>
      </c>
      <c r="F358" s="16" t="n"/>
      <c r="G358" s="16" t="n"/>
      <c r="H358" s="16" t="n"/>
      <c r="I358" s="16" t="n"/>
      <c r="J358" s="16" t="n"/>
      <c r="K358" s="16" t="n"/>
      <c r="L358" s="17">
        <f>IF($D358="","",IF(AND($F358="Negative",OR($G358="Critical",$G358="Major")),"Yes","No"))</f>
        <v/>
      </c>
      <c r="M358" s="16" t="n"/>
      <c r="N358" s="16" t="n"/>
      <c r="O358" s="16" t="n"/>
    </row>
    <row r="359">
      <c r="B359" s="17">
        <f>IF($D359="","","I"&amp;TEXT(ROW()-5,"000"))</f>
        <v/>
      </c>
      <c r="C359" s="18" t="n"/>
      <c r="D359" s="16" t="n"/>
      <c r="E359" s="17">
        <f>IF($D359="","",IFERROR(INDEX(rngCadetPIDs,MATCH($D359,rngCadetNames,0)),"?"))</f>
        <v/>
      </c>
      <c r="F359" s="16" t="n"/>
      <c r="G359" s="16" t="n"/>
      <c r="H359" s="16" t="n"/>
      <c r="I359" s="16" t="n"/>
      <c r="J359" s="16" t="n"/>
      <c r="K359" s="16" t="n"/>
      <c r="L359" s="17">
        <f>IF($D359="","",IF(AND($F359="Negative",OR($G359="Critical",$G359="Major")),"Yes","No"))</f>
        <v/>
      </c>
      <c r="M359" s="16" t="n"/>
      <c r="N359" s="16" t="n"/>
      <c r="O359" s="16" t="n"/>
    </row>
    <row r="360">
      <c r="B360" s="17">
        <f>IF($D360="","","I"&amp;TEXT(ROW()-5,"000"))</f>
        <v/>
      </c>
      <c r="C360" s="18" t="n"/>
      <c r="D360" s="16" t="n"/>
      <c r="E360" s="17">
        <f>IF($D360="","",IFERROR(INDEX(rngCadetPIDs,MATCH($D360,rngCadetNames,0)),"?"))</f>
        <v/>
      </c>
      <c r="F360" s="16" t="n"/>
      <c r="G360" s="16" t="n"/>
      <c r="H360" s="16" t="n"/>
      <c r="I360" s="16" t="n"/>
      <c r="J360" s="16" t="n"/>
      <c r="K360" s="16" t="n"/>
      <c r="L360" s="17">
        <f>IF($D360="","",IF(AND($F360="Negative",OR($G360="Critical",$G360="Major")),"Yes","No"))</f>
        <v/>
      </c>
      <c r="M360" s="16" t="n"/>
      <c r="N360" s="16" t="n"/>
      <c r="O360" s="16" t="n"/>
    </row>
    <row r="361">
      <c r="B361" s="17">
        <f>IF($D361="","","I"&amp;TEXT(ROW()-5,"000"))</f>
        <v/>
      </c>
      <c r="C361" s="18" t="n"/>
      <c r="D361" s="16" t="n"/>
      <c r="E361" s="17">
        <f>IF($D361="","",IFERROR(INDEX(rngCadetPIDs,MATCH($D361,rngCadetNames,0)),"?"))</f>
        <v/>
      </c>
      <c r="F361" s="16" t="n"/>
      <c r="G361" s="16" t="n"/>
      <c r="H361" s="16" t="n"/>
      <c r="I361" s="16" t="n"/>
      <c r="J361" s="16" t="n"/>
      <c r="K361" s="16" t="n"/>
      <c r="L361" s="17">
        <f>IF($D361="","",IF(AND($F361="Negative",OR($G361="Critical",$G361="Major")),"Yes","No"))</f>
        <v/>
      </c>
      <c r="M361" s="16" t="n"/>
      <c r="N361" s="16" t="n"/>
      <c r="O361" s="16" t="n"/>
    </row>
    <row r="362">
      <c r="B362" s="17">
        <f>IF($D362="","","I"&amp;TEXT(ROW()-5,"000"))</f>
        <v/>
      </c>
      <c r="C362" s="18" t="n"/>
      <c r="D362" s="16" t="n"/>
      <c r="E362" s="17">
        <f>IF($D362="","",IFERROR(INDEX(rngCadetPIDs,MATCH($D362,rngCadetNames,0)),"?"))</f>
        <v/>
      </c>
      <c r="F362" s="16" t="n"/>
      <c r="G362" s="16" t="n"/>
      <c r="H362" s="16" t="n"/>
      <c r="I362" s="16" t="n"/>
      <c r="J362" s="16" t="n"/>
      <c r="K362" s="16" t="n"/>
      <c r="L362" s="17">
        <f>IF($D362="","",IF(AND($F362="Negative",OR($G362="Critical",$G362="Major")),"Yes","No"))</f>
        <v/>
      </c>
      <c r="M362" s="16" t="n"/>
      <c r="N362" s="16" t="n"/>
      <c r="O362" s="16" t="n"/>
    </row>
    <row r="363">
      <c r="B363" s="17">
        <f>IF($D363="","","I"&amp;TEXT(ROW()-5,"000"))</f>
        <v/>
      </c>
      <c r="C363" s="18" t="n"/>
      <c r="D363" s="16" t="n"/>
      <c r="E363" s="17">
        <f>IF($D363="","",IFERROR(INDEX(rngCadetPIDs,MATCH($D363,rngCadetNames,0)),"?"))</f>
        <v/>
      </c>
      <c r="F363" s="16" t="n"/>
      <c r="G363" s="16" t="n"/>
      <c r="H363" s="16" t="n"/>
      <c r="I363" s="16" t="n"/>
      <c r="J363" s="16" t="n"/>
      <c r="K363" s="16" t="n"/>
      <c r="L363" s="17">
        <f>IF($D363="","",IF(AND($F363="Negative",OR($G363="Critical",$G363="Major")),"Yes","No"))</f>
        <v/>
      </c>
      <c r="M363" s="16" t="n"/>
      <c r="N363" s="16" t="n"/>
      <c r="O363" s="16" t="n"/>
    </row>
    <row r="364">
      <c r="B364" s="17">
        <f>IF($D364="","","I"&amp;TEXT(ROW()-5,"000"))</f>
        <v/>
      </c>
      <c r="C364" s="18" t="n"/>
      <c r="D364" s="16" t="n"/>
      <c r="E364" s="17">
        <f>IF($D364="","",IFERROR(INDEX(rngCadetPIDs,MATCH($D364,rngCadetNames,0)),"?"))</f>
        <v/>
      </c>
      <c r="F364" s="16" t="n"/>
      <c r="G364" s="16" t="n"/>
      <c r="H364" s="16" t="n"/>
      <c r="I364" s="16" t="n"/>
      <c r="J364" s="16" t="n"/>
      <c r="K364" s="16" t="n"/>
      <c r="L364" s="17">
        <f>IF($D364="","",IF(AND($F364="Negative",OR($G364="Critical",$G364="Major")),"Yes","No"))</f>
        <v/>
      </c>
      <c r="M364" s="16" t="n"/>
      <c r="N364" s="16" t="n"/>
      <c r="O364" s="16" t="n"/>
    </row>
    <row r="365">
      <c r="B365" s="17">
        <f>IF($D365="","","I"&amp;TEXT(ROW()-5,"000"))</f>
        <v/>
      </c>
      <c r="C365" s="18" t="n"/>
      <c r="D365" s="16" t="n"/>
      <c r="E365" s="17">
        <f>IF($D365="","",IFERROR(INDEX(rngCadetPIDs,MATCH($D365,rngCadetNames,0)),"?"))</f>
        <v/>
      </c>
      <c r="F365" s="16" t="n"/>
      <c r="G365" s="16" t="n"/>
      <c r="H365" s="16" t="n"/>
      <c r="I365" s="16" t="n"/>
      <c r="J365" s="16" t="n"/>
      <c r="K365" s="16" t="n"/>
      <c r="L365" s="17">
        <f>IF($D365="","",IF(AND($F365="Negative",OR($G365="Critical",$G365="Major")),"Yes","No"))</f>
        <v/>
      </c>
      <c r="M365" s="16" t="n"/>
      <c r="N365" s="16" t="n"/>
      <c r="O365" s="16" t="n"/>
    </row>
    <row r="366">
      <c r="B366" s="17">
        <f>IF($D366="","","I"&amp;TEXT(ROW()-5,"000"))</f>
        <v/>
      </c>
      <c r="C366" s="18" t="n"/>
      <c r="D366" s="16" t="n"/>
      <c r="E366" s="17">
        <f>IF($D366="","",IFERROR(INDEX(rngCadetPIDs,MATCH($D366,rngCadetNames,0)),"?"))</f>
        <v/>
      </c>
      <c r="F366" s="16" t="n"/>
      <c r="G366" s="16" t="n"/>
      <c r="H366" s="16" t="n"/>
      <c r="I366" s="16" t="n"/>
      <c r="J366" s="16" t="n"/>
      <c r="K366" s="16" t="n"/>
      <c r="L366" s="17">
        <f>IF($D366="","",IF(AND($F366="Negative",OR($G366="Critical",$G366="Major")),"Yes","No"))</f>
        <v/>
      </c>
      <c r="M366" s="16" t="n"/>
      <c r="N366" s="16" t="n"/>
      <c r="O366" s="16" t="n"/>
    </row>
    <row r="367">
      <c r="B367" s="17">
        <f>IF($D367="","","I"&amp;TEXT(ROW()-5,"000"))</f>
        <v/>
      </c>
      <c r="C367" s="18" t="n"/>
      <c r="D367" s="16" t="n"/>
      <c r="E367" s="17">
        <f>IF($D367="","",IFERROR(INDEX(rngCadetPIDs,MATCH($D367,rngCadetNames,0)),"?"))</f>
        <v/>
      </c>
      <c r="F367" s="16" t="n"/>
      <c r="G367" s="16" t="n"/>
      <c r="H367" s="16" t="n"/>
      <c r="I367" s="16" t="n"/>
      <c r="J367" s="16" t="n"/>
      <c r="K367" s="16" t="n"/>
      <c r="L367" s="17">
        <f>IF($D367="","",IF(AND($F367="Negative",OR($G367="Critical",$G367="Major")),"Yes","No"))</f>
        <v/>
      </c>
      <c r="M367" s="16" t="n"/>
      <c r="N367" s="16" t="n"/>
      <c r="O367" s="16" t="n"/>
    </row>
    <row r="368">
      <c r="B368" s="17">
        <f>IF($D368="","","I"&amp;TEXT(ROW()-5,"000"))</f>
        <v/>
      </c>
      <c r="C368" s="18" t="n"/>
      <c r="D368" s="16" t="n"/>
      <c r="E368" s="17">
        <f>IF($D368="","",IFERROR(INDEX(rngCadetPIDs,MATCH($D368,rngCadetNames,0)),"?"))</f>
        <v/>
      </c>
      <c r="F368" s="16" t="n"/>
      <c r="G368" s="16" t="n"/>
      <c r="H368" s="16" t="n"/>
      <c r="I368" s="16" t="n"/>
      <c r="J368" s="16" t="n"/>
      <c r="K368" s="16" t="n"/>
      <c r="L368" s="17">
        <f>IF($D368="","",IF(AND($F368="Negative",OR($G368="Critical",$G368="Major")),"Yes","No"))</f>
        <v/>
      </c>
      <c r="M368" s="16" t="n"/>
      <c r="N368" s="16" t="n"/>
      <c r="O368" s="16" t="n"/>
    </row>
    <row r="369">
      <c r="B369" s="17">
        <f>IF($D369="","","I"&amp;TEXT(ROW()-5,"000"))</f>
        <v/>
      </c>
      <c r="C369" s="18" t="n"/>
      <c r="D369" s="16" t="n"/>
      <c r="E369" s="17">
        <f>IF($D369="","",IFERROR(INDEX(rngCadetPIDs,MATCH($D369,rngCadetNames,0)),"?"))</f>
        <v/>
      </c>
      <c r="F369" s="16" t="n"/>
      <c r="G369" s="16" t="n"/>
      <c r="H369" s="16" t="n"/>
      <c r="I369" s="16" t="n"/>
      <c r="J369" s="16" t="n"/>
      <c r="K369" s="16" t="n"/>
      <c r="L369" s="17">
        <f>IF($D369="","",IF(AND($F369="Negative",OR($G369="Critical",$G369="Major")),"Yes","No"))</f>
        <v/>
      </c>
      <c r="M369" s="16" t="n"/>
      <c r="N369" s="16" t="n"/>
      <c r="O369" s="16" t="n"/>
    </row>
    <row r="370">
      <c r="B370" s="17">
        <f>IF($D370="","","I"&amp;TEXT(ROW()-5,"000"))</f>
        <v/>
      </c>
      <c r="C370" s="18" t="n"/>
      <c r="D370" s="16" t="n"/>
      <c r="E370" s="17">
        <f>IF($D370="","",IFERROR(INDEX(rngCadetPIDs,MATCH($D370,rngCadetNames,0)),"?"))</f>
        <v/>
      </c>
      <c r="F370" s="16" t="n"/>
      <c r="G370" s="16" t="n"/>
      <c r="H370" s="16" t="n"/>
      <c r="I370" s="16" t="n"/>
      <c r="J370" s="16" t="n"/>
      <c r="K370" s="16" t="n"/>
      <c r="L370" s="17">
        <f>IF($D370="","",IF(AND($F370="Negative",OR($G370="Critical",$G370="Major")),"Yes","No"))</f>
        <v/>
      </c>
      <c r="M370" s="16" t="n"/>
      <c r="N370" s="16" t="n"/>
      <c r="O370" s="16" t="n"/>
    </row>
    <row r="371">
      <c r="B371" s="17">
        <f>IF($D371="","","I"&amp;TEXT(ROW()-5,"000"))</f>
        <v/>
      </c>
      <c r="C371" s="18" t="n"/>
      <c r="D371" s="16" t="n"/>
      <c r="E371" s="17">
        <f>IF($D371="","",IFERROR(INDEX(rngCadetPIDs,MATCH($D371,rngCadetNames,0)),"?"))</f>
        <v/>
      </c>
      <c r="F371" s="16" t="n"/>
      <c r="G371" s="16" t="n"/>
      <c r="H371" s="16" t="n"/>
      <c r="I371" s="16" t="n"/>
      <c r="J371" s="16" t="n"/>
      <c r="K371" s="16" t="n"/>
      <c r="L371" s="17">
        <f>IF($D371="","",IF(AND($F371="Negative",OR($G371="Critical",$G371="Major")),"Yes","No"))</f>
        <v/>
      </c>
      <c r="M371" s="16" t="n"/>
      <c r="N371" s="16" t="n"/>
      <c r="O371" s="16" t="n"/>
    </row>
    <row r="372">
      <c r="B372" s="17">
        <f>IF($D372="","","I"&amp;TEXT(ROW()-5,"000"))</f>
        <v/>
      </c>
      <c r="C372" s="18" t="n"/>
      <c r="D372" s="16" t="n"/>
      <c r="E372" s="17">
        <f>IF($D372="","",IFERROR(INDEX(rngCadetPIDs,MATCH($D372,rngCadetNames,0)),"?"))</f>
        <v/>
      </c>
      <c r="F372" s="16" t="n"/>
      <c r="G372" s="16" t="n"/>
      <c r="H372" s="16" t="n"/>
      <c r="I372" s="16" t="n"/>
      <c r="J372" s="16" t="n"/>
      <c r="K372" s="16" t="n"/>
      <c r="L372" s="17">
        <f>IF($D372="","",IF(AND($F372="Negative",OR($G372="Critical",$G372="Major")),"Yes","No"))</f>
        <v/>
      </c>
      <c r="M372" s="16" t="n"/>
      <c r="N372" s="16" t="n"/>
      <c r="O372" s="16" t="n"/>
    </row>
    <row r="373">
      <c r="B373" s="17">
        <f>IF($D373="","","I"&amp;TEXT(ROW()-5,"000"))</f>
        <v/>
      </c>
      <c r="C373" s="18" t="n"/>
      <c r="D373" s="16" t="n"/>
      <c r="E373" s="17">
        <f>IF($D373="","",IFERROR(INDEX(rngCadetPIDs,MATCH($D373,rngCadetNames,0)),"?"))</f>
        <v/>
      </c>
      <c r="F373" s="16" t="n"/>
      <c r="G373" s="16" t="n"/>
      <c r="H373" s="16" t="n"/>
      <c r="I373" s="16" t="n"/>
      <c r="J373" s="16" t="n"/>
      <c r="K373" s="16" t="n"/>
      <c r="L373" s="17">
        <f>IF($D373="","",IF(AND($F373="Negative",OR($G373="Critical",$G373="Major")),"Yes","No"))</f>
        <v/>
      </c>
      <c r="M373" s="16" t="n"/>
      <c r="N373" s="16" t="n"/>
      <c r="O373" s="16" t="n"/>
    </row>
    <row r="374">
      <c r="B374" s="17">
        <f>IF($D374="","","I"&amp;TEXT(ROW()-5,"000"))</f>
        <v/>
      </c>
      <c r="C374" s="18" t="n"/>
      <c r="D374" s="16" t="n"/>
      <c r="E374" s="17">
        <f>IF($D374="","",IFERROR(INDEX(rngCadetPIDs,MATCH($D374,rngCadetNames,0)),"?"))</f>
        <v/>
      </c>
      <c r="F374" s="16" t="n"/>
      <c r="G374" s="16" t="n"/>
      <c r="H374" s="16" t="n"/>
      <c r="I374" s="16" t="n"/>
      <c r="J374" s="16" t="n"/>
      <c r="K374" s="16" t="n"/>
      <c r="L374" s="17">
        <f>IF($D374="","",IF(AND($F374="Negative",OR($G374="Critical",$G374="Major")),"Yes","No"))</f>
        <v/>
      </c>
      <c r="M374" s="16" t="n"/>
      <c r="N374" s="16" t="n"/>
      <c r="O374" s="16" t="n"/>
    </row>
    <row r="375">
      <c r="B375" s="17">
        <f>IF($D375="","","I"&amp;TEXT(ROW()-5,"000"))</f>
        <v/>
      </c>
      <c r="C375" s="18" t="n"/>
      <c r="D375" s="16" t="n"/>
      <c r="E375" s="17">
        <f>IF($D375="","",IFERROR(INDEX(rngCadetPIDs,MATCH($D375,rngCadetNames,0)),"?"))</f>
        <v/>
      </c>
      <c r="F375" s="16" t="n"/>
      <c r="G375" s="16" t="n"/>
      <c r="H375" s="16" t="n"/>
      <c r="I375" s="16" t="n"/>
      <c r="J375" s="16" t="n"/>
      <c r="K375" s="16" t="n"/>
      <c r="L375" s="17">
        <f>IF($D375="","",IF(AND($F375="Negative",OR($G375="Critical",$G375="Major")),"Yes","No"))</f>
        <v/>
      </c>
      <c r="M375" s="16" t="n"/>
      <c r="N375" s="16" t="n"/>
      <c r="O375" s="16" t="n"/>
    </row>
    <row r="376">
      <c r="B376" s="17">
        <f>IF($D376="","","I"&amp;TEXT(ROW()-5,"000"))</f>
        <v/>
      </c>
      <c r="C376" s="18" t="n"/>
      <c r="D376" s="16" t="n"/>
      <c r="E376" s="17">
        <f>IF($D376="","",IFERROR(INDEX(rngCadetPIDs,MATCH($D376,rngCadetNames,0)),"?"))</f>
        <v/>
      </c>
      <c r="F376" s="16" t="n"/>
      <c r="G376" s="16" t="n"/>
      <c r="H376" s="16" t="n"/>
      <c r="I376" s="16" t="n"/>
      <c r="J376" s="16" t="n"/>
      <c r="K376" s="16" t="n"/>
      <c r="L376" s="17">
        <f>IF($D376="","",IF(AND($F376="Negative",OR($G376="Critical",$G376="Major")),"Yes","No"))</f>
        <v/>
      </c>
      <c r="M376" s="16" t="n"/>
      <c r="N376" s="16" t="n"/>
      <c r="O376" s="16" t="n"/>
    </row>
    <row r="377">
      <c r="B377" s="17">
        <f>IF($D377="","","I"&amp;TEXT(ROW()-5,"000"))</f>
        <v/>
      </c>
      <c r="C377" s="18" t="n"/>
      <c r="D377" s="16" t="n"/>
      <c r="E377" s="17">
        <f>IF($D377="","",IFERROR(INDEX(rngCadetPIDs,MATCH($D377,rngCadetNames,0)),"?"))</f>
        <v/>
      </c>
      <c r="F377" s="16" t="n"/>
      <c r="G377" s="16" t="n"/>
      <c r="H377" s="16" t="n"/>
      <c r="I377" s="16" t="n"/>
      <c r="J377" s="16" t="n"/>
      <c r="K377" s="16" t="n"/>
      <c r="L377" s="17">
        <f>IF($D377="","",IF(AND($F377="Negative",OR($G377="Critical",$G377="Major")),"Yes","No"))</f>
        <v/>
      </c>
      <c r="M377" s="16" t="n"/>
      <c r="N377" s="16" t="n"/>
      <c r="O377" s="16" t="n"/>
    </row>
    <row r="378">
      <c r="B378" s="17">
        <f>IF($D378="","","I"&amp;TEXT(ROW()-5,"000"))</f>
        <v/>
      </c>
      <c r="C378" s="18" t="n"/>
      <c r="D378" s="16" t="n"/>
      <c r="E378" s="17">
        <f>IF($D378="","",IFERROR(INDEX(rngCadetPIDs,MATCH($D378,rngCadetNames,0)),"?"))</f>
        <v/>
      </c>
      <c r="F378" s="16" t="n"/>
      <c r="G378" s="16" t="n"/>
      <c r="H378" s="16" t="n"/>
      <c r="I378" s="16" t="n"/>
      <c r="J378" s="16" t="n"/>
      <c r="K378" s="16" t="n"/>
      <c r="L378" s="17">
        <f>IF($D378="","",IF(AND($F378="Negative",OR($G378="Critical",$G378="Major")),"Yes","No"))</f>
        <v/>
      </c>
      <c r="M378" s="16" t="n"/>
      <c r="N378" s="16" t="n"/>
      <c r="O378" s="16" t="n"/>
    </row>
    <row r="379">
      <c r="B379" s="17">
        <f>IF($D379="","","I"&amp;TEXT(ROW()-5,"000"))</f>
        <v/>
      </c>
      <c r="C379" s="18" t="n"/>
      <c r="D379" s="16" t="n"/>
      <c r="E379" s="17">
        <f>IF($D379="","",IFERROR(INDEX(rngCadetPIDs,MATCH($D379,rngCadetNames,0)),"?"))</f>
        <v/>
      </c>
      <c r="F379" s="16" t="n"/>
      <c r="G379" s="16" t="n"/>
      <c r="H379" s="16" t="n"/>
      <c r="I379" s="16" t="n"/>
      <c r="J379" s="16" t="n"/>
      <c r="K379" s="16" t="n"/>
      <c r="L379" s="17">
        <f>IF($D379="","",IF(AND($F379="Negative",OR($G379="Critical",$G379="Major")),"Yes","No"))</f>
        <v/>
      </c>
      <c r="M379" s="16" t="n"/>
      <c r="N379" s="16" t="n"/>
      <c r="O379" s="16" t="n"/>
    </row>
    <row r="380">
      <c r="B380" s="17">
        <f>IF($D380="","","I"&amp;TEXT(ROW()-5,"000"))</f>
        <v/>
      </c>
      <c r="C380" s="18" t="n"/>
      <c r="D380" s="16" t="n"/>
      <c r="E380" s="17">
        <f>IF($D380="","",IFERROR(INDEX(rngCadetPIDs,MATCH($D380,rngCadetNames,0)),"?"))</f>
        <v/>
      </c>
      <c r="F380" s="16" t="n"/>
      <c r="G380" s="16" t="n"/>
      <c r="H380" s="16" t="n"/>
      <c r="I380" s="16" t="n"/>
      <c r="J380" s="16" t="n"/>
      <c r="K380" s="16" t="n"/>
      <c r="L380" s="17">
        <f>IF($D380="","",IF(AND($F380="Negative",OR($G380="Critical",$G380="Major")),"Yes","No"))</f>
        <v/>
      </c>
      <c r="M380" s="16" t="n"/>
      <c r="N380" s="16" t="n"/>
      <c r="O380" s="16" t="n"/>
    </row>
    <row r="381">
      <c r="B381" s="17">
        <f>IF($D381="","","I"&amp;TEXT(ROW()-5,"000"))</f>
        <v/>
      </c>
      <c r="C381" s="18" t="n"/>
      <c r="D381" s="16" t="n"/>
      <c r="E381" s="17">
        <f>IF($D381="","",IFERROR(INDEX(rngCadetPIDs,MATCH($D381,rngCadetNames,0)),"?"))</f>
        <v/>
      </c>
      <c r="F381" s="16" t="n"/>
      <c r="G381" s="16" t="n"/>
      <c r="H381" s="16" t="n"/>
      <c r="I381" s="16" t="n"/>
      <c r="J381" s="16" t="n"/>
      <c r="K381" s="16" t="n"/>
      <c r="L381" s="17">
        <f>IF($D381="","",IF(AND($F381="Negative",OR($G381="Critical",$G381="Major")),"Yes","No"))</f>
        <v/>
      </c>
      <c r="M381" s="16" t="n"/>
      <c r="N381" s="16" t="n"/>
      <c r="O381" s="16" t="n"/>
    </row>
    <row r="382">
      <c r="B382" s="17">
        <f>IF($D382="","","I"&amp;TEXT(ROW()-5,"000"))</f>
        <v/>
      </c>
      <c r="C382" s="18" t="n"/>
      <c r="D382" s="16" t="n"/>
      <c r="E382" s="17">
        <f>IF($D382="","",IFERROR(INDEX(rngCadetPIDs,MATCH($D382,rngCadetNames,0)),"?"))</f>
        <v/>
      </c>
      <c r="F382" s="16" t="n"/>
      <c r="G382" s="16" t="n"/>
      <c r="H382" s="16" t="n"/>
      <c r="I382" s="16" t="n"/>
      <c r="J382" s="16" t="n"/>
      <c r="K382" s="16" t="n"/>
      <c r="L382" s="17">
        <f>IF($D382="","",IF(AND($F382="Negative",OR($G382="Critical",$G382="Major")),"Yes","No"))</f>
        <v/>
      </c>
      <c r="M382" s="16" t="n"/>
      <c r="N382" s="16" t="n"/>
      <c r="O382" s="16" t="n"/>
    </row>
    <row r="383">
      <c r="B383" s="17">
        <f>IF($D383="","","I"&amp;TEXT(ROW()-5,"000"))</f>
        <v/>
      </c>
      <c r="C383" s="18" t="n"/>
      <c r="D383" s="16" t="n"/>
      <c r="E383" s="17">
        <f>IF($D383="","",IFERROR(INDEX(rngCadetPIDs,MATCH($D383,rngCadetNames,0)),"?"))</f>
        <v/>
      </c>
      <c r="F383" s="16" t="n"/>
      <c r="G383" s="16" t="n"/>
      <c r="H383" s="16" t="n"/>
      <c r="I383" s="16" t="n"/>
      <c r="J383" s="16" t="n"/>
      <c r="K383" s="16" t="n"/>
      <c r="L383" s="17">
        <f>IF($D383="","",IF(AND($F383="Negative",OR($G383="Critical",$G383="Major")),"Yes","No"))</f>
        <v/>
      </c>
      <c r="M383" s="16" t="n"/>
      <c r="N383" s="16" t="n"/>
      <c r="O383" s="16" t="n"/>
    </row>
    <row r="384">
      <c r="B384" s="17">
        <f>IF($D384="","","I"&amp;TEXT(ROW()-5,"000"))</f>
        <v/>
      </c>
      <c r="C384" s="18" t="n"/>
      <c r="D384" s="16" t="n"/>
      <c r="E384" s="17">
        <f>IF($D384="","",IFERROR(INDEX(rngCadetPIDs,MATCH($D384,rngCadetNames,0)),"?"))</f>
        <v/>
      </c>
      <c r="F384" s="16" t="n"/>
      <c r="G384" s="16" t="n"/>
      <c r="H384" s="16" t="n"/>
      <c r="I384" s="16" t="n"/>
      <c r="J384" s="16" t="n"/>
      <c r="K384" s="16" t="n"/>
      <c r="L384" s="17">
        <f>IF($D384="","",IF(AND($F384="Negative",OR($G384="Critical",$G384="Major")),"Yes","No"))</f>
        <v/>
      </c>
      <c r="M384" s="16" t="n"/>
      <c r="N384" s="16" t="n"/>
      <c r="O384" s="16" t="n"/>
    </row>
    <row r="385">
      <c r="B385" s="17">
        <f>IF($D385="","","I"&amp;TEXT(ROW()-5,"000"))</f>
        <v/>
      </c>
      <c r="C385" s="18" t="n"/>
      <c r="D385" s="16" t="n"/>
      <c r="E385" s="17">
        <f>IF($D385="","",IFERROR(INDEX(rngCadetPIDs,MATCH($D385,rngCadetNames,0)),"?"))</f>
        <v/>
      </c>
      <c r="F385" s="16" t="n"/>
      <c r="G385" s="16" t="n"/>
      <c r="H385" s="16" t="n"/>
      <c r="I385" s="16" t="n"/>
      <c r="J385" s="16" t="n"/>
      <c r="K385" s="16" t="n"/>
      <c r="L385" s="17">
        <f>IF($D385="","",IF(AND($F385="Negative",OR($G385="Critical",$G385="Major")),"Yes","No"))</f>
        <v/>
      </c>
      <c r="M385" s="16" t="n"/>
      <c r="N385" s="16" t="n"/>
      <c r="O385" s="16" t="n"/>
    </row>
    <row r="386">
      <c r="B386" s="17">
        <f>IF($D386="","","I"&amp;TEXT(ROW()-5,"000"))</f>
        <v/>
      </c>
      <c r="C386" s="18" t="n"/>
      <c r="D386" s="16" t="n"/>
      <c r="E386" s="17">
        <f>IF($D386="","",IFERROR(INDEX(rngCadetPIDs,MATCH($D386,rngCadetNames,0)),"?"))</f>
        <v/>
      </c>
      <c r="F386" s="16" t="n"/>
      <c r="G386" s="16" t="n"/>
      <c r="H386" s="16" t="n"/>
      <c r="I386" s="16" t="n"/>
      <c r="J386" s="16" t="n"/>
      <c r="K386" s="16" t="n"/>
      <c r="L386" s="17">
        <f>IF($D386="","",IF(AND($F386="Negative",OR($G386="Critical",$G386="Major")),"Yes","No"))</f>
        <v/>
      </c>
      <c r="M386" s="16" t="n"/>
      <c r="N386" s="16" t="n"/>
      <c r="O386" s="16" t="n"/>
    </row>
    <row r="387">
      <c r="B387" s="17">
        <f>IF($D387="","","I"&amp;TEXT(ROW()-5,"000"))</f>
        <v/>
      </c>
      <c r="C387" s="18" t="n"/>
      <c r="D387" s="16" t="n"/>
      <c r="E387" s="17">
        <f>IF($D387="","",IFERROR(INDEX(rngCadetPIDs,MATCH($D387,rngCadetNames,0)),"?"))</f>
        <v/>
      </c>
      <c r="F387" s="16" t="n"/>
      <c r="G387" s="16" t="n"/>
      <c r="H387" s="16" t="n"/>
      <c r="I387" s="16" t="n"/>
      <c r="J387" s="16" t="n"/>
      <c r="K387" s="16" t="n"/>
      <c r="L387" s="17">
        <f>IF($D387="","",IF(AND($F387="Negative",OR($G387="Critical",$G387="Major")),"Yes","No"))</f>
        <v/>
      </c>
      <c r="M387" s="16" t="n"/>
      <c r="N387" s="16" t="n"/>
      <c r="O387" s="16" t="n"/>
    </row>
    <row r="388">
      <c r="B388" s="17">
        <f>IF($D388="","","I"&amp;TEXT(ROW()-5,"000"))</f>
        <v/>
      </c>
      <c r="C388" s="18" t="n"/>
      <c r="D388" s="16" t="n"/>
      <c r="E388" s="17">
        <f>IF($D388="","",IFERROR(INDEX(rngCadetPIDs,MATCH($D388,rngCadetNames,0)),"?"))</f>
        <v/>
      </c>
      <c r="F388" s="16" t="n"/>
      <c r="G388" s="16" t="n"/>
      <c r="H388" s="16" t="n"/>
      <c r="I388" s="16" t="n"/>
      <c r="J388" s="16" t="n"/>
      <c r="K388" s="16" t="n"/>
      <c r="L388" s="17">
        <f>IF($D388="","",IF(AND($F388="Negative",OR($G388="Critical",$G388="Major")),"Yes","No"))</f>
        <v/>
      </c>
      <c r="M388" s="16" t="n"/>
      <c r="N388" s="16" t="n"/>
      <c r="O388" s="16" t="n"/>
    </row>
    <row r="389">
      <c r="B389" s="17">
        <f>IF($D389="","","I"&amp;TEXT(ROW()-5,"000"))</f>
        <v/>
      </c>
      <c r="C389" s="18" t="n"/>
      <c r="D389" s="16" t="n"/>
      <c r="E389" s="17">
        <f>IF($D389="","",IFERROR(INDEX(rngCadetPIDs,MATCH($D389,rngCadetNames,0)),"?"))</f>
        <v/>
      </c>
      <c r="F389" s="16" t="n"/>
      <c r="G389" s="16" t="n"/>
      <c r="H389" s="16" t="n"/>
      <c r="I389" s="16" t="n"/>
      <c r="J389" s="16" t="n"/>
      <c r="K389" s="16" t="n"/>
      <c r="L389" s="17">
        <f>IF($D389="","",IF(AND($F389="Negative",OR($G389="Critical",$G389="Major")),"Yes","No"))</f>
        <v/>
      </c>
      <c r="M389" s="16" t="n"/>
      <c r="N389" s="16" t="n"/>
      <c r="O389" s="16" t="n"/>
    </row>
    <row r="390">
      <c r="B390" s="17">
        <f>IF($D390="","","I"&amp;TEXT(ROW()-5,"000"))</f>
        <v/>
      </c>
      <c r="C390" s="18" t="n"/>
      <c r="D390" s="16" t="n"/>
      <c r="E390" s="17">
        <f>IF($D390="","",IFERROR(INDEX(rngCadetPIDs,MATCH($D390,rngCadetNames,0)),"?"))</f>
        <v/>
      </c>
      <c r="F390" s="16" t="n"/>
      <c r="G390" s="16" t="n"/>
      <c r="H390" s="16" t="n"/>
      <c r="I390" s="16" t="n"/>
      <c r="J390" s="16" t="n"/>
      <c r="K390" s="16" t="n"/>
      <c r="L390" s="17">
        <f>IF($D390="","",IF(AND($F390="Negative",OR($G390="Critical",$G390="Major")),"Yes","No"))</f>
        <v/>
      </c>
      <c r="M390" s="16" t="n"/>
      <c r="N390" s="16" t="n"/>
      <c r="O390" s="16" t="n"/>
    </row>
    <row r="391">
      <c r="B391" s="17">
        <f>IF($D391="","","I"&amp;TEXT(ROW()-5,"000"))</f>
        <v/>
      </c>
      <c r="C391" s="18" t="n"/>
      <c r="D391" s="16" t="n"/>
      <c r="E391" s="17">
        <f>IF($D391="","",IFERROR(INDEX(rngCadetPIDs,MATCH($D391,rngCadetNames,0)),"?"))</f>
        <v/>
      </c>
      <c r="F391" s="16" t="n"/>
      <c r="G391" s="16" t="n"/>
      <c r="H391" s="16" t="n"/>
      <c r="I391" s="16" t="n"/>
      <c r="J391" s="16" t="n"/>
      <c r="K391" s="16" t="n"/>
      <c r="L391" s="17">
        <f>IF($D391="","",IF(AND($F391="Negative",OR($G391="Critical",$G391="Major")),"Yes","No"))</f>
        <v/>
      </c>
      <c r="M391" s="16" t="n"/>
      <c r="N391" s="16" t="n"/>
      <c r="O391" s="16" t="n"/>
    </row>
    <row r="392">
      <c r="B392" s="17">
        <f>IF($D392="","","I"&amp;TEXT(ROW()-5,"000"))</f>
        <v/>
      </c>
      <c r="C392" s="18" t="n"/>
      <c r="D392" s="16" t="n"/>
      <c r="E392" s="17">
        <f>IF($D392="","",IFERROR(INDEX(rngCadetPIDs,MATCH($D392,rngCadetNames,0)),"?"))</f>
        <v/>
      </c>
      <c r="F392" s="16" t="n"/>
      <c r="G392" s="16" t="n"/>
      <c r="H392" s="16" t="n"/>
      <c r="I392" s="16" t="n"/>
      <c r="J392" s="16" t="n"/>
      <c r="K392" s="16" t="n"/>
      <c r="L392" s="17">
        <f>IF($D392="","",IF(AND($F392="Negative",OR($G392="Critical",$G392="Major")),"Yes","No"))</f>
        <v/>
      </c>
      <c r="M392" s="16" t="n"/>
      <c r="N392" s="16" t="n"/>
      <c r="O392" s="16" t="n"/>
    </row>
    <row r="393">
      <c r="B393" s="17">
        <f>IF($D393="","","I"&amp;TEXT(ROW()-5,"000"))</f>
        <v/>
      </c>
      <c r="C393" s="18" t="n"/>
      <c r="D393" s="16" t="n"/>
      <c r="E393" s="17">
        <f>IF($D393="","",IFERROR(INDEX(rngCadetPIDs,MATCH($D393,rngCadetNames,0)),"?"))</f>
        <v/>
      </c>
      <c r="F393" s="16" t="n"/>
      <c r="G393" s="16" t="n"/>
      <c r="H393" s="16" t="n"/>
      <c r="I393" s="16" t="n"/>
      <c r="J393" s="16" t="n"/>
      <c r="K393" s="16" t="n"/>
      <c r="L393" s="17">
        <f>IF($D393="","",IF(AND($F393="Negative",OR($G393="Critical",$G393="Major")),"Yes","No"))</f>
        <v/>
      </c>
      <c r="M393" s="16" t="n"/>
      <c r="N393" s="16" t="n"/>
      <c r="O393" s="16" t="n"/>
    </row>
    <row r="394">
      <c r="B394" s="17">
        <f>IF($D394="","","I"&amp;TEXT(ROW()-5,"000"))</f>
        <v/>
      </c>
      <c r="C394" s="18" t="n"/>
      <c r="D394" s="16" t="n"/>
      <c r="E394" s="17">
        <f>IF($D394="","",IFERROR(INDEX(rngCadetPIDs,MATCH($D394,rngCadetNames,0)),"?"))</f>
        <v/>
      </c>
      <c r="F394" s="16" t="n"/>
      <c r="G394" s="16" t="n"/>
      <c r="H394" s="16" t="n"/>
      <c r="I394" s="16" t="n"/>
      <c r="J394" s="16" t="n"/>
      <c r="K394" s="16" t="n"/>
      <c r="L394" s="17">
        <f>IF($D394="","",IF(AND($F394="Negative",OR($G394="Critical",$G394="Major")),"Yes","No"))</f>
        <v/>
      </c>
      <c r="M394" s="16" t="n"/>
      <c r="N394" s="16" t="n"/>
      <c r="O394" s="16" t="n"/>
    </row>
    <row r="395">
      <c r="B395" s="17">
        <f>IF($D395="","","I"&amp;TEXT(ROW()-5,"000"))</f>
        <v/>
      </c>
      <c r="C395" s="18" t="n"/>
      <c r="D395" s="16" t="n"/>
      <c r="E395" s="17">
        <f>IF($D395="","",IFERROR(INDEX(rngCadetPIDs,MATCH($D395,rngCadetNames,0)),"?"))</f>
        <v/>
      </c>
      <c r="F395" s="16" t="n"/>
      <c r="G395" s="16" t="n"/>
      <c r="H395" s="16" t="n"/>
      <c r="I395" s="16" t="n"/>
      <c r="J395" s="16" t="n"/>
      <c r="K395" s="16" t="n"/>
      <c r="L395" s="17">
        <f>IF($D395="","",IF(AND($F395="Negative",OR($G395="Critical",$G395="Major")),"Yes","No"))</f>
        <v/>
      </c>
      <c r="M395" s="16" t="n"/>
      <c r="N395" s="16" t="n"/>
      <c r="O395" s="16" t="n"/>
    </row>
    <row r="396">
      <c r="B396" s="17">
        <f>IF($D396="","","I"&amp;TEXT(ROW()-5,"000"))</f>
        <v/>
      </c>
      <c r="C396" s="18" t="n"/>
      <c r="D396" s="16" t="n"/>
      <c r="E396" s="17">
        <f>IF($D396="","",IFERROR(INDEX(rngCadetPIDs,MATCH($D396,rngCadetNames,0)),"?"))</f>
        <v/>
      </c>
      <c r="F396" s="16" t="n"/>
      <c r="G396" s="16" t="n"/>
      <c r="H396" s="16" t="n"/>
      <c r="I396" s="16" t="n"/>
      <c r="J396" s="16" t="n"/>
      <c r="K396" s="16" t="n"/>
      <c r="L396" s="17">
        <f>IF($D396="","",IF(AND($F396="Negative",OR($G396="Critical",$G396="Major")),"Yes","No"))</f>
        <v/>
      </c>
      <c r="M396" s="16" t="n"/>
      <c r="N396" s="16" t="n"/>
      <c r="O396" s="16" t="n"/>
    </row>
    <row r="397">
      <c r="B397" s="17">
        <f>IF($D397="","","I"&amp;TEXT(ROW()-5,"000"))</f>
        <v/>
      </c>
      <c r="C397" s="18" t="n"/>
      <c r="D397" s="16" t="n"/>
      <c r="E397" s="17">
        <f>IF($D397="","",IFERROR(INDEX(rngCadetPIDs,MATCH($D397,rngCadetNames,0)),"?"))</f>
        <v/>
      </c>
      <c r="F397" s="16" t="n"/>
      <c r="G397" s="16" t="n"/>
      <c r="H397" s="16" t="n"/>
      <c r="I397" s="16" t="n"/>
      <c r="J397" s="16" t="n"/>
      <c r="K397" s="16" t="n"/>
      <c r="L397" s="17">
        <f>IF($D397="","",IF(AND($F397="Negative",OR($G397="Critical",$G397="Major")),"Yes","No"))</f>
        <v/>
      </c>
      <c r="M397" s="16" t="n"/>
      <c r="N397" s="16" t="n"/>
      <c r="O397" s="16" t="n"/>
    </row>
    <row r="398">
      <c r="B398" s="17">
        <f>IF($D398="","","I"&amp;TEXT(ROW()-5,"000"))</f>
        <v/>
      </c>
      <c r="C398" s="18" t="n"/>
      <c r="D398" s="16" t="n"/>
      <c r="E398" s="17">
        <f>IF($D398="","",IFERROR(INDEX(rngCadetPIDs,MATCH($D398,rngCadetNames,0)),"?"))</f>
        <v/>
      </c>
      <c r="F398" s="16" t="n"/>
      <c r="G398" s="16" t="n"/>
      <c r="H398" s="16" t="n"/>
      <c r="I398" s="16" t="n"/>
      <c r="J398" s="16" t="n"/>
      <c r="K398" s="16" t="n"/>
      <c r="L398" s="17">
        <f>IF($D398="","",IF(AND($F398="Negative",OR($G398="Critical",$G398="Major")),"Yes","No"))</f>
        <v/>
      </c>
      <c r="M398" s="16" t="n"/>
      <c r="N398" s="16" t="n"/>
      <c r="O398" s="16" t="n"/>
    </row>
    <row r="399">
      <c r="B399" s="17">
        <f>IF($D399="","","I"&amp;TEXT(ROW()-5,"000"))</f>
        <v/>
      </c>
      <c r="C399" s="18" t="n"/>
      <c r="D399" s="16" t="n"/>
      <c r="E399" s="17">
        <f>IF($D399="","",IFERROR(INDEX(rngCadetPIDs,MATCH($D399,rngCadetNames,0)),"?"))</f>
        <v/>
      </c>
      <c r="F399" s="16" t="n"/>
      <c r="G399" s="16" t="n"/>
      <c r="H399" s="16" t="n"/>
      <c r="I399" s="16" t="n"/>
      <c r="J399" s="16" t="n"/>
      <c r="K399" s="16" t="n"/>
      <c r="L399" s="17">
        <f>IF($D399="","",IF(AND($F399="Negative",OR($G399="Critical",$G399="Major")),"Yes","No"))</f>
        <v/>
      </c>
      <c r="M399" s="16" t="n"/>
      <c r="N399" s="16" t="n"/>
      <c r="O399" s="16" t="n"/>
    </row>
    <row r="400">
      <c r="B400" s="17">
        <f>IF($D400="","","I"&amp;TEXT(ROW()-5,"000"))</f>
        <v/>
      </c>
      <c r="C400" s="18" t="n"/>
      <c r="D400" s="16" t="n"/>
      <c r="E400" s="17">
        <f>IF($D400="","",IFERROR(INDEX(rngCadetPIDs,MATCH($D400,rngCadetNames,0)),"?"))</f>
        <v/>
      </c>
      <c r="F400" s="16" t="n"/>
      <c r="G400" s="16" t="n"/>
      <c r="H400" s="16" t="n"/>
      <c r="I400" s="16" t="n"/>
      <c r="J400" s="16" t="n"/>
      <c r="K400" s="16" t="n"/>
      <c r="L400" s="17">
        <f>IF($D400="","",IF(AND($F400="Negative",OR($G400="Critical",$G400="Major")),"Yes","No"))</f>
        <v/>
      </c>
      <c r="M400" s="16" t="n"/>
      <c r="N400" s="16" t="n"/>
      <c r="O400" s="16" t="n"/>
    </row>
    <row r="401">
      <c r="B401" s="17">
        <f>IF($D401="","","I"&amp;TEXT(ROW()-5,"000"))</f>
        <v/>
      </c>
      <c r="C401" s="18" t="n"/>
      <c r="D401" s="16" t="n"/>
      <c r="E401" s="17">
        <f>IF($D401="","",IFERROR(INDEX(rngCadetPIDs,MATCH($D401,rngCadetNames,0)),"?"))</f>
        <v/>
      </c>
      <c r="F401" s="16" t="n"/>
      <c r="G401" s="16" t="n"/>
      <c r="H401" s="16" t="n"/>
      <c r="I401" s="16" t="n"/>
      <c r="J401" s="16" t="n"/>
      <c r="K401" s="16" t="n"/>
      <c r="L401" s="17">
        <f>IF($D401="","",IF(AND($F401="Negative",OR($G401="Critical",$G401="Major")),"Yes","No"))</f>
        <v/>
      </c>
      <c r="M401" s="16" t="n"/>
      <c r="N401" s="16" t="n"/>
      <c r="O401" s="16" t="n"/>
    </row>
    <row r="402">
      <c r="B402" s="17">
        <f>IF($D402="","","I"&amp;TEXT(ROW()-5,"000"))</f>
        <v/>
      </c>
      <c r="C402" s="18" t="n"/>
      <c r="D402" s="16" t="n"/>
      <c r="E402" s="17">
        <f>IF($D402="","",IFERROR(INDEX(rngCadetPIDs,MATCH($D402,rngCadetNames,0)),"?"))</f>
        <v/>
      </c>
      <c r="F402" s="16" t="n"/>
      <c r="G402" s="16" t="n"/>
      <c r="H402" s="16" t="n"/>
      <c r="I402" s="16" t="n"/>
      <c r="J402" s="16" t="n"/>
      <c r="K402" s="16" t="n"/>
      <c r="L402" s="17">
        <f>IF($D402="","",IF(AND($F402="Negative",OR($G402="Critical",$G402="Major")),"Yes","No"))</f>
        <v/>
      </c>
      <c r="M402" s="16" t="n"/>
      <c r="N402" s="16" t="n"/>
      <c r="O402" s="16" t="n"/>
    </row>
    <row r="403">
      <c r="B403" s="17">
        <f>IF($D403="","","I"&amp;TEXT(ROW()-5,"000"))</f>
        <v/>
      </c>
      <c r="C403" s="18" t="n"/>
      <c r="D403" s="16" t="n"/>
      <c r="E403" s="17">
        <f>IF($D403="","",IFERROR(INDEX(rngCadetPIDs,MATCH($D403,rngCadetNames,0)),"?"))</f>
        <v/>
      </c>
      <c r="F403" s="16" t="n"/>
      <c r="G403" s="16" t="n"/>
      <c r="H403" s="16" t="n"/>
      <c r="I403" s="16" t="n"/>
      <c r="J403" s="16" t="n"/>
      <c r="K403" s="16" t="n"/>
      <c r="L403" s="17">
        <f>IF($D403="","",IF(AND($F403="Negative",OR($G403="Critical",$G403="Major")),"Yes","No"))</f>
        <v/>
      </c>
      <c r="M403" s="16" t="n"/>
      <c r="N403" s="16" t="n"/>
      <c r="O403" s="16" t="n"/>
    </row>
    <row r="404">
      <c r="B404" s="17">
        <f>IF($D404="","","I"&amp;TEXT(ROW()-5,"000"))</f>
        <v/>
      </c>
      <c r="C404" s="18" t="n"/>
      <c r="D404" s="16" t="n"/>
      <c r="E404" s="17">
        <f>IF($D404="","",IFERROR(INDEX(rngCadetPIDs,MATCH($D404,rngCadetNames,0)),"?"))</f>
        <v/>
      </c>
      <c r="F404" s="16" t="n"/>
      <c r="G404" s="16" t="n"/>
      <c r="H404" s="16" t="n"/>
      <c r="I404" s="16" t="n"/>
      <c r="J404" s="16" t="n"/>
      <c r="K404" s="16" t="n"/>
      <c r="L404" s="17">
        <f>IF($D404="","",IF(AND($F404="Negative",OR($G404="Critical",$G404="Major")),"Yes","No"))</f>
        <v/>
      </c>
      <c r="M404" s="16" t="n"/>
      <c r="N404" s="16" t="n"/>
      <c r="O404" s="16" t="n"/>
    </row>
    <row r="405">
      <c r="B405" s="17">
        <f>IF($D405="","","I"&amp;TEXT(ROW()-5,"000"))</f>
        <v/>
      </c>
      <c r="C405" s="18" t="n"/>
      <c r="D405" s="16" t="n"/>
      <c r="E405" s="17">
        <f>IF($D405="","",IFERROR(INDEX(rngCadetPIDs,MATCH($D405,rngCadetNames,0)),"?"))</f>
        <v/>
      </c>
      <c r="F405" s="16" t="n"/>
      <c r="G405" s="16" t="n"/>
      <c r="H405" s="16" t="n"/>
      <c r="I405" s="16" t="n"/>
      <c r="J405" s="16" t="n"/>
      <c r="K405" s="16" t="n"/>
      <c r="L405" s="17">
        <f>IF($D405="","",IF(AND($F405="Negative",OR($G405="Critical",$G405="Major")),"Yes","No"))</f>
        <v/>
      </c>
      <c r="M405" s="16" t="n"/>
      <c r="N405" s="16" t="n"/>
      <c r="O405" s="16" t="n"/>
    </row>
  </sheetData>
  <sheetProtection selectLockedCells="0" selectUnlockedCells="0" sheet="1" objects="0" insertRows="1" insertHyperlinks="1" autoFilter="0" scenarios="0" formatColumns="1" deleteColumns="1" insertColumns="1" pivotTables="1" deleteRows="1" formatCells="1" formatRows="1" sort="1" password="B4BB"/>
  <autoFilter ref="B5:O5"/>
  <dataValidations count="6">
    <dataValidation sqref="D6:D405" showDropDown="0" showInputMessage="0" showErrorMessage="1" allowBlank="1" type="list">
      <formula1>=rngCadetNames</formula1>
    </dataValidation>
    <dataValidation sqref="F6:F405" showDropDown="0" showInputMessage="0" showErrorMessage="1" allowBlank="1" type="list">
      <formula1>=lstIncidentDirection</formula1>
    </dataValidation>
    <dataValidation sqref="G6:G405" showDropDown="0" showInputMessage="0" showErrorMessage="1" allowBlank="1" type="list">
      <formula1>=lstSeverity</formula1>
    </dataValidation>
    <dataValidation sqref="H6:H405" showDropDown="0" showInputMessage="0" showErrorMessage="1" allowBlank="1" type="list">
      <formula1>=lstIssuetype</formula1>
    </dataValidation>
    <dataValidation sqref="M6:M405" showDropDown="0" showInputMessage="0" showErrorMessage="1" allowBlank="1" type="list">
      <formula1>=lstResolution</formula1>
    </dataValidation>
    <dataValidation sqref="O6:O405" showDropDown="0" showInputMessage="0" showErrorMessage="1" allowBlank="1" type="list">
      <formula1>=lstYesNo</formula1>
    </dataValidation>
  </dataValidations>
  <pageMargins left="0.75" right="0.75" top="1" bottom="1" header="0.5" footer="0.5"/>
</worksheet>
</file>

<file path=xl/worksheets/sheet14.xml><?xml version="1.0" encoding="utf-8"?>
<worksheet xmlns="http://schemas.openxmlformats.org/spreadsheetml/2006/main">
  <sheetPr>
    <tabColor rgb="002E75B6"/>
    <outlinePr summaryBelow="1" summaryRight="1"/>
    <pageSetUpPr/>
  </sheetPr>
  <dimension ref="B1:N405"/>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9" customWidth="1" min="2" max="2"/>
    <col width="11" customWidth="1" min="3" max="3"/>
    <col width="22" customWidth="1" min="4" max="4"/>
    <col width="9" customWidth="1" min="5" max="5"/>
    <col width="18" customWidth="1" min="6" max="6"/>
    <col width="24" customWidth="1" min="7" max="7"/>
    <col width="40" customWidth="1" min="8" max="8"/>
    <col width="16" customWidth="1" min="9" max="9"/>
    <col width="13" customWidth="1" min="10" max="10"/>
    <col width="12" customWidth="1" min="11" max="11"/>
    <col width="12" customWidth="1" min="12" max="12"/>
    <col width="11" customWidth="1" min="13" max="13"/>
    <col width="26" customWidth="1" min="14" max="14"/>
  </cols>
  <sheetData>
    <row r="1">
      <c r="B1" s="10">
        <f>HYPERLINK("#Dashboard!B5","◄ Dashboard")</f>
        <v/>
      </c>
    </row>
    <row r="4">
      <c r="B4" s="11" t="inlineStr">
        <is>
          <t>Documents every intervention (tutoring, counseling, agency notification, performance plan) — the early-intervention paper trail policy 300.4.B expects. 'Agency Notified?' = Yes includes the entry in that agency's next email digest; blank keeps it academy-only.</t>
        </is>
      </c>
    </row>
    <row r="5" ht="26" customHeight="1">
      <c r="B5" s="12" t="inlineStr">
        <is>
          <t>EntryID</t>
        </is>
      </c>
      <c r="C5" s="12" t="inlineStr">
        <is>
          <t>Date</t>
        </is>
      </c>
      <c r="D5" s="12" t="inlineStr">
        <is>
          <t>Cadet Name</t>
        </is>
      </c>
      <c r="E5" s="12" t="inlineStr">
        <is>
          <t>PID</t>
        </is>
      </c>
      <c r="F5" s="12" t="inlineStr">
        <is>
          <t>Type</t>
        </is>
      </c>
      <c r="G5" s="12" t="inlineStr">
        <is>
          <t>Trigger / Related Flag</t>
        </is>
      </c>
      <c r="H5" s="12" t="inlineStr">
        <is>
          <t>Description / Plan</t>
        </is>
      </c>
      <c r="I5" s="12" t="inlineStr">
        <is>
          <t>Conducted By</t>
        </is>
      </c>
      <c r="J5" s="12" t="inlineStr">
        <is>
          <t>Agency Notified?</t>
        </is>
      </c>
      <c r="K5" s="12" t="inlineStr">
        <is>
          <t>Notified Date</t>
        </is>
      </c>
      <c r="L5" s="12" t="inlineStr">
        <is>
          <t>Follow-up Date</t>
        </is>
      </c>
      <c r="M5" s="12" t="inlineStr">
        <is>
          <t>Status</t>
        </is>
      </c>
      <c r="N5" s="12" t="inlineStr">
        <is>
          <t>Notes</t>
        </is>
      </c>
    </row>
    <row r="6">
      <c r="B6" s="17">
        <f>IF($D6="","","C"&amp;TEXT(ROW()-5,"000"))</f>
        <v/>
      </c>
      <c r="C6" s="18" t="n"/>
      <c r="D6" s="16" t="n"/>
      <c r="E6" s="17">
        <f>IF($D6="","",IFERROR(INDEX(rngCadetPIDs,MATCH($D6,rngCadetNames,0)),"?"))</f>
        <v/>
      </c>
      <c r="F6" s="16" t="n"/>
      <c r="G6" s="16" t="n"/>
      <c r="H6" s="16" t="n"/>
      <c r="I6" s="16" t="n"/>
      <c r="J6" s="16" t="n"/>
      <c r="K6" s="18" t="n"/>
      <c r="L6" s="18" t="n"/>
      <c r="M6" s="16" t="n"/>
      <c r="N6" s="16" t="n"/>
    </row>
    <row r="7">
      <c r="B7" s="17">
        <f>IF($D7="","","C"&amp;TEXT(ROW()-5,"000"))</f>
        <v/>
      </c>
      <c r="C7" s="18" t="n"/>
      <c r="D7" s="16" t="n"/>
      <c r="E7" s="17">
        <f>IF($D7="","",IFERROR(INDEX(rngCadetPIDs,MATCH($D7,rngCadetNames,0)),"?"))</f>
        <v/>
      </c>
      <c r="F7" s="16" t="n"/>
      <c r="G7" s="16" t="n"/>
      <c r="H7" s="16" t="n"/>
      <c r="I7" s="16" t="n"/>
      <c r="J7" s="16" t="n"/>
      <c r="K7" s="18" t="n"/>
      <c r="L7" s="18" t="n"/>
      <c r="M7" s="16" t="n"/>
      <c r="N7" s="16" t="n"/>
    </row>
    <row r="8">
      <c r="B8" s="17">
        <f>IF($D8="","","C"&amp;TEXT(ROW()-5,"000"))</f>
        <v/>
      </c>
      <c r="C8" s="18" t="n"/>
      <c r="D8" s="16" t="n"/>
      <c r="E8" s="17">
        <f>IF($D8="","",IFERROR(INDEX(rngCadetPIDs,MATCH($D8,rngCadetNames,0)),"?"))</f>
        <v/>
      </c>
      <c r="F8" s="16" t="n"/>
      <c r="G8" s="16" t="n"/>
      <c r="H8" s="16" t="n"/>
      <c r="I8" s="16" t="n"/>
      <c r="J8" s="16" t="n"/>
      <c r="K8" s="18" t="n"/>
      <c r="L8" s="18" t="n"/>
      <c r="M8" s="16" t="n"/>
      <c r="N8" s="16" t="n"/>
    </row>
    <row r="9">
      <c r="B9" s="17">
        <f>IF($D9="","","C"&amp;TEXT(ROW()-5,"000"))</f>
        <v/>
      </c>
      <c r="C9" s="18" t="n"/>
      <c r="D9" s="16" t="n"/>
      <c r="E9" s="17">
        <f>IF($D9="","",IFERROR(INDEX(rngCadetPIDs,MATCH($D9,rngCadetNames,0)),"?"))</f>
        <v/>
      </c>
      <c r="F9" s="16" t="n"/>
      <c r="G9" s="16" t="n"/>
      <c r="H9" s="16" t="n"/>
      <c r="I9" s="16" t="n"/>
      <c r="J9" s="16" t="n"/>
      <c r="K9" s="18" t="n"/>
      <c r="L9" s="18" t="n"/>
      <c r="M9" s="16" t="n"/>
      <c r="N9" s="16" t="n"/>
    </row>
    <row r="10">
      <c r="B10" s="17">
        <f>IF($D10="","","C"&amp;TEXT(ROW()-5,"000"))</f>
        <v/>
      </c>
      <c r="C10" s="18" t="n"/>
      <c r="D10" s="16" t="n"/>
      <c r="E10" s="17">
        <f>IF($D10="","",IFERROR(INDEX(rngCadetPIDs,MATCH($D10,rngCadetNames,0)),"?"))</f>
        <v/>
      </c>
      <c r="F10" s="16" t="n"/>
      <c r="G10" s="16" t="n"/>
      <c r="H10" s="16" t="n"/>
      <c r="I10" s="16" t="n"/>
      <c r="J10" s="16" t="n"/>
      <c r="K10" s="18" t="n"/>
      <c r="L10" s="18" t="n"/>
      <c r="M10" s="16" t="n"/>
      <c r="N10" s="16" t="n"/>
    </row>
    <row r="11">
      <c r="B11" s="17">
        <f>IF($D11="","","C"&amp;TEXT(ROW()-5,"000"))</f>
        <v/>
      </c>
      <c r="C11" s="18" t="n"/>
      <c r="D11" s="16" t="n"/>
      <c r="E11" s="17">
        <f>IF($D11="","",IFERROR(INDEX(rngCadetPIDs,MATCH($D11,rngCadetNames,0)),"?"))</f>
        <v/>
      </c>
      <c r="F11" s="16" t="n"/>
      <c r="G11" s="16" t="n"/>
      <c r="H11" s="16" t="n"/>
      <c r="I11" s="16" t="n"/>
      <c r="J11" s="16" t="n"/>
      <c r="K11" s="18" t="n"/>
      <c r="L11" s="18" t="n"/>
      <c r="M11" s="16" t="n"/>
      <c r="N11" s="16" t="n"/>
    </row>
    <row r="12">
      <c r="B12" s="17">
        <f>IF($D12="","","C"&amp;TEXT(ROW()-5,"000"))</f>
        <v/>
      </c>
      <c r="C12" s="18" t="n"/>
      <c r="D12" s="16" t="n"/>
      <c r="E12" s="17">
        <f>IF($D12="","",IFERROR(INDEX(rngCadetPIDs,MATCH($D12,rngCadetNames,0)),"?"))</f>
        <v/>
      </c>
      <c r="F12" s="16" t="n"/>
      <c r="G12" s="16" t="n"/>
      <c r="H12" s="16" t="n"/>
      <c r="I12" s="16" t="n"/>
      <c r="J12" s="16" t="n"/>
      <c r="K12" s="18" t="n"/>
      <c r="L12" s="18" t="n"/>
      <c r="M12" s="16" t="n"/>
      <c r="N12" s="16" t="n"/>
    </row>
    <row r="13">
      <c r="B13" s="17">
        <f>IF($D13="","","C"&amp;TEXT(ROW()-5,"000"))</f>
        <v/>
      </c>
      <c r="C13" s="18" t="n"/>
      <c r="D13" s="16" t="n"/>
      <c r="E13" s="17">
        <f>IF($D13="","",IFERROR(INDEX(rngCadetPIDs,MATCH($D13,rngCadetNames,0)),"?"))</f>
        <v/>
      </c>
      <c r="F13" s="16" t="n"/>
      <c r="G13" s="16" t="n"/>
      <c r="H13" s="16" t="n"/>
      <c r="I13" s="16" t="n"/>
      <c r="J13" s="16" t="n"/>
      <c r="K13" s="18" t="n"/>
      <c r="L13" s="18" t="n"/>
      <c r="M13" s="16" t="n"/>
      <c r="N13" s="16" t="n"/>
    </row>
    <row r="14">
      <c r="B14" s="17">
        <f>IF($D14="","","C"&amp;TEXT(ROW()-5,"000"))</f>
        <v/>
      </c>
      <c r="C14" s="18" t="n"/>
      <c r="D14" s="16" t="n"/>
      <c r="E14" s="17">
        <f>IF($D14="","",IFERROR(INDEX(rngCadetPIDs,MATCH($D14,rngCadetNames,0)),"?"))</f>
        <v/>
      </c>
      <c r="F14" s="16" t="n"/>
      <c r="G14" s="16" t="n"/>
      <c r="H14" s="16" t="n"/>
      <c r="I14" s="16" t="n"/>
      <c r="J14" s="16" t="n"/>
      <c r="K14" s="18" t="n"/>
      <c r="L14" s="18" t="n"/>
      <c r="M14" s="16" t="n"/>
      <c r="N14" s="16" t="n"/>
    </row>
    <row r="15">
      <c r="B15" s="17">
        <f>IF($D15="","","C"&amp;TEXT(ROW()-5,"000"))</f>
        <v/>
      </c>
      <c r="C15" s="18" t="n"/>
      <c r="D15" s="16" t="n"/>
      <c r="E15" s="17">
        <f>IF($D15="","",IFERROR(INDEX(rngCadetPIDs,MATCH($D15,rngCadetNames,0)),"?"))</f>
        <v/>
      </c>
      <c r="F15" s="16" t="n"/>
      <c r="G15" s="16" t="n"/>
      <c r="H15" s="16" t="n"/>
      <c r="I15" s="16" t="n"/>
      <c r="J15" s="16" t="n"/>
      <c r="K15" s="18" t="n"/>
      <c r="L15" s="18" t="n"/>
      <c r="M15" s="16" t="n"/>
      <c r="N15" s="16" t="n"/>
    </row>
    <row r="16">
      <c r="B16" s="17">
        <f>IF($D16="","","C"&amp;TEXT(ROW()-5,"000"))</f>
        <v/>
      </c>
      <c r="C16" s="18" t="n"/>
      <c r="D16" s="16" t="n"/>
      <c r="E16" s="17">
        <f>IF($D16="","",IFERROR(INDEX(rngCadetPIDs,MATCH($D16,rngCadetNames,0)),"?"))</f>
        <v/>
      </c>
      <c r="F16" s="16" t="n"/>
      <c r="G16" s="16" t="n"/>
      <c r="H16" s="16" t="n"/>
      <c r="I16" s="16" t="n"/>
      <c r="J16" s="16" t="n"/>
      <c r="K16" s="18" t="n"/>
      <c r="L16" s="18" t="n"/>
      <c r="M16" s="16" t="n"/>
      <c r="N16" s="16" t="n"/>
    </row>
    <row r="17">
      <c r="B17" s="17">
        <f>IF($D17="","","C"&amp;TEXT(ROW()-5,"000"))</f>
        <v/>
      </c>
      <c r="C17" s="18" t="n"/>
      <c r="D17" s="16" t="n"/>
      <c r="E17" s="17">
        <f>IF($D17="","",IFERROR(INDEX(rngCadetPIDs,MATCH($D17,rngCadetNames,0)),"?"))</f>
        <v/>
      </c>
      <c r="F17" s="16" t="n"/>
      <c r="G17" s="16" t="n"/>
      <c r="H17" s="16" t="n"/>
      <c r="I17" s="16" t="n"/>
      <c r="J17" s="16" t="n"/>
      <c r="K17" s="18" t="n"/>
      <c r="L17" s="18" t="n"/>
      <c r="M17" s="16" t="n"/>
      <c r="N17" s="16" t="n"/>
    </row>
    <row r="18">
      <c r="B18" s="17">
        <f>IF($D18="","","C"&amp;TEXT(ROW()-5,"000"))</f>
        <v/>
      </c>
      <c r="C18" s="18" t="n"/>
      <c r="D18" s="16" t="n"/>
      <c r="E18" s="17">
        <f>IF($D18="","",IFERROR(INDEX(rngCadetPIDs,MATCH($D18,rngCadetNames,0)),"?"))</f>
        <v/>
      </c>
      <c r="F18" s="16" t="n"/>
      <c r="G18" s="16" t="n"/>
      <c r="H18" s="16" t="n"/>
      <c r="I18" s="16" t="n"/>
      <c r="J18" s="16" t="n"/>
      <c r="K18" s="18" t="n"/>
      <c r="L18" s="18" t="n"/>
      <c r="M18" s="16" t="n"/>
      <c r="N18" s="16" t="n"/>
    </row>
    <row r="19">
      <c r="B19" s="17">
        <f>IF($D19="","","C"&amp;TEXT(ROW()-5,"000"))</f>
        <v/>
      </c>
      <c r="C19" s="18" t="n"/>
      <c r="D19" s="16" t="n"/>
      <c r="E19" s="17">
        <f>IF($D19="","",IFERROR(INDEX(rngCadetPIDs,MATCH($D19,rngCadetNames,0)),"?"))</f>
        <v/>
      </c>
      <c r="F19" s="16" t="n"/>
      <c r="G19" s="16" t="n"/>
      <c r="H19" s="16" t="n"/>
      <c r="I19" s="16" t="n"/>
      <c r="J19" s="16" t="n"/>
      <c r="K19" s="18" t="n"/>
      <c r="L19" s="18" t="n"/>
      <c r="M19" s="16" t="n"/>
      <c r="N19" s="16" t="n"/>
    </row>
    <row r="20">
      <c r="B20" s="17">
        <f>IF($D20="","","C"&amp;TEXT(ROW()-5,"000"))</f>
        <v/>
      </c>
      <c r="C20" s="18" t="n"/>
      <c r="D20" s="16" t="n"/>
      <c r="E20" s="17">
        <f>IF($D20="","",IFERROR(INDEX(rngCadetPIDs,MATCH($D20,rngCadetNames,0)),"?"))</f>
        <v/>
      </c>
      <c r="F20" s="16" t="n"/>
      <c r="G20" s="16" t="n"/>
      <c r="H20" s="16" t="n"/>
      <c r="I20" s="16" t="n"/>
      <c r="J20" s="16" t="n"/>
      <c r="K20" s="18" t="n"/>
      <c r="L20" s="18" t="n"/>
      <c r="M20" s="16" t="n"/>
      <c r="N20" s="16" t="n"/>
    </row>
    <row r="21">
      <c r="B21" s="17">
        <f>IF($D21="","","C"&amp;TEXT(ROW()-5,"000"))</f>
        <v/>
      </c>
      <c r="C21" s="18" t="n"/>
      <c r="D21" s="16" t="n"/>
      <c r="E21" s="17">
        <f>IF($D21="","",IFERROR(INDEX(rngCadetPIDs,MATCH($D21,rngCadetNames,0)),"?"))</f>
        <v/>
      </c>
      <c r="F21" s="16" t="n"/>
      <c r="G21" s="16" t="n"/>
      <c r="H21" s="16" t="n"/>
      <c r="I21" s="16" t="n"/>
      <c r="J21" s="16" t="n"/>
      <c r="K21" s="18" t="n"/>
      <c r="L21" s="18" t="n"/>
      <c r="M21" s="16" t="n"/>
      <c r="N21" s="16" t="n"/>
    </row>
    <row r="22">
      <c r="B22" s="17">
        <f>IF($D22="","","C"&amp;TEXT(ROW()-5,"000"))</f>
        <v/>
      </c>
      <c r="C22" s="18" t="n"/>
      <c r="D22" s="16" t="n"/>
      <c r="E22" s="17">
        <f>IF($D22="","",IFERROR(INDEX(rngCadetPIDs,MATCH($D22,rngCadetNames,0)),"?"))</f>
        <v/>
      </c>
      <c r="F22" s="16" t="n"/>
      <c r="G22" s="16" t="n"/>
      <c r="H22" s="16" t="n"/>
      <c r="I22" s="16" t="n"/>
      <c r="J22" s="16" t="n"/>
      <c r="K22" s="18" t="n"/>
      <c r="L22" s="18" t="n"/>
      <c r="M22" s="16" t="n"/>
      <c r="N22" s="16" t="n"/>
    </row>
    <row r="23">
      <c r="B23" s="17">
        <f>IF($D23="","","C"&amp;TEXT(ROW()-5,"000"))</f>
        <v/>
      </c>
      <c r="C23" s="18" t="n"/>
      <c r="D23" s="16" t="n"/>
      <c r="E23" s="17">
        <f>IF($D23="","",IFERROR(INDEX(rngCadetPIDs,MATCH($D23,rngCadetNames,0)),"?"))</f>
        <v/>
      </c>
      <c r="F23" s="16" t="n"/>
      <c r="G23" s="16" t="n"/>
      <c r="H23" s="16" t="n"/>
      <c r="I23" s="16" t="n"/>
      <c r="J23" s="16" t="n"/>
      <c r="K23" s="18" t="n"/>
      <c r="L23" s="18" t="n"/>
      <c r="M23" s="16" t="n"/>
      <c r="N23" s="16" t="n"/>
    </row>
    <row r="24">
      <c r="B24" s="17">
        <f>IF($D24="","","C"&amp;TEXT(ROW()-5,"000"))</f>
        <v/>
      </c>
      <c r="C24" s="18" t="n"/>
      <c r="D24" s="16" t="n"/>
      <c r="E24" s="17">
        <f>IF($D24="","",IFERROR(INDEX(rngCadetPIDs,MATCH($D24,rngCadetNames,0)),"?"))</f>
        <v/>
      </c>
      <c r="F24" s="16" t="n"/>
      <c r="G24" s="16" t="n"/>
      <c r="H24" s="16" t="n"/>
      <c r="I24" s="16" t="n"/>
      <c r="J24" s="16" t="n"/>
      <c r="K24" s="18" t="n"/>
      <c r="L24" s="18" t="n"/>
      <c r="M24" s="16" t="n"/>
      <c r="N24" s="16" t="n"/>
    </row>
    <row r="25">
      <c r="B25" s="17">
        <f>IF($D25="","","C"&amp;TEXT(ROW()-5,"000"))</f>
        <v/>
      </c>
      <c r="C25" s="18" t="n"/>
      <c r="D25" s="16" t="n"/>
      <c r="E25" s="17">
        <f>IF($D25="","",IFERROR(INDEX(rngCadetPIDs,MATCH($D25,rngCadetNames,0)),"?"))</f>
        <v/>
      </c>
      <c r="F25" s="16" t="n"/>
      <c r="G25" s="16" t="n"/>
      <c r="H25" s="16" t="n"/>
      <c r="I25" s="16" t="n"/>
      <c r="J25" s="16" t="n"/>
      <c r="K25" s="18" t="n"/>
      <c r="L25" s="18" t="n"/>
      <c r="M25" s="16" t="n"/>
      <c r="N25" s="16" t="n"/>
    </row>
    <row r="26">
      <c r="B26" s="17">
        <f>IF($D26="","","C"&amp;TEXT(ROW()-5,"000"))</f>
        <v/>
      </c>
      <c r="C26" s="18" t="n"/>
      <c r="D26" s="16" t="n"/>
      <c r="E26" s="17">
        <f>IF($D26="","",IFERROR(INDEX(rngCadetPIDs,MATCH($D26,rngCadetNames,0)),"?"))</f>
        <v/>
      </c>
      <c r="F26" s="16" t="n"/>
      <c r="G26" s="16" t="n"/>
      <c r="H26" s="16" t="n"/>
      <c r="I26" s="16" t="n"/>
      <c r="J26" s="16" t="n"/>
      <c r="K26" s="18" t="n"/>
      <c r="L26" s="18" t="n"/>
      <c r="M26" s="16" t="n"/>
      <c r="N26" s="16" t="n"/>
    </row>
    <row r="27">
      <c r="B27" s="17">
        <f>IF($D27="","","C"&amp;TEXT(ROW()-5,"000"))</f>
        <v/>
      </c>
      <c r="C27" s="18" t="n"/>
      <c r="D27" s="16" t="n"/>
      <c r="E27" s="17">
        <f>IF($D27="","",IFERROR(INDEX(rngCadetPIDs,MATCH($D27,rngCadetNames,0)),"?"))</f>
        <v/>
      </c>
      <c r="F27" s="16" t="n"/>
      <c r="G27" s="16" t="n"/>
      <c r="H27" s="16" t="n"/>
      <c r="I27" s="16" t="n"/>
      <c r="J27" s="16" t="n"/>
      <c r="K27" s="18" t="n"/>
      <c r="L27" s="18" t="n"/>
      <c r="M27" s="16" t="n"/>
      <c r="N27" s="16" t="n"/>
    </row>
    <row r="28">
      <c r="B28" s="17">
        <f>IF($D28="","","C"&amp;TEXT(ROW()-5,"000"))</f>
        <v/>
      </c>
      <c r="C28" s="18" t="n"/>
      <c r="D28" s="16" t="n"/>
      <c r="E28" s="17">
        <f>IF($D28="","",IFERROR(INDEX(rngCadetPIDs,MATCH($D28,rngCadetNames,0)),"?"))</f>
        <v/>
      </c>
      <c r="F28" s="16" t="n"/>
      <c r="G28" s="16" t="n"/>
      <c r="H28" s="16" t="n"/>
      <c r="I28" s="16" t="n"/>
      <c r="J28" s="16" t="n"/>
      <c r="K28" s="18" t="n"/>
      <c r="L28" s="18" t="n"/>
      <c r="M28" s="16" t="n"/>
      <c r="N28" s="16" t="n"/>
    </row>
    <row r="29">
      <c r="B29" s="17">
        <f>IF($D29="","","C"&amp;TEXT(ROW()-5,"000"))</f>
        <v/>
      </c>
      <c r="C29" s="18" t="n"/>
      <c r="D29" s="16" t="n"/>
      <c r="E29" s="17">
        <f>IF($D29="","",IFERROR(INDEX(rngCadetPIDs,MATCH($D29,rngCadetNames,0)),"?"))</f>
        <v/>
      </c>
      <c r="F29" s="16" t="n"/>
      <c r="G29" s="16" t="n"/>
      <c r="H29" s="16" t="n"/>
      <c r="I29" s="16" t="n"/>
      <c r="J29" s="16" t="n"/>
      <c r="K29" s="18" t="n"/>
      <c r="L29" s="18" t="n"/>
      <c r="M29" s="16" t="n"/>
      <c r="N29" s="16" t="n"/>
    </row>
    <row r="30">
      <c r="B30" s="17">
        <f>IF($D30="","","C"&amp;TEXT(ROW()-5,"000"))</f>
        <v/>
      </c>
      <c r="C30" s="18" t="n"/>
      <c r="D30" s="16" t="n"/>
      <c r="E30" s="17">
        <f>IF($D30="","",IFERROR(INDEX(rngCadetPIDs,MATCH($D30,rngCadetNames,0)),"?"))</f>
        <v/>
      </c>
      <c r="F30" s="16" t="n"/>
      <c r="G30" s="16" t="n"/>
      <c r="H30" s="16" t="n"/>
      <c r="I30" s="16" t="n"/>
      <c r="J30" s="16" t="n"/>
      <c r="K30" s="18" t="n"/>
      <c r="L30" s="18" t="n"/>
      <c r="M30" s="16" t="n"/>
      <c r="N30" s="16" t="n"/>
    </row>
    <row r="31">
      <c r="B31" s="17">
        <f>IF($D31="","","C"&amp;TEXT(ROW()-5,"000"))</f>
        <v/>
      </c>
      <c r="C31" s="18" t="n"/>
      <c r="D31" s="16" t="n"/>
      <c r="E31" s="17">
        <f>IF($D31="","",IFERROR(INDEX(rngCadetPIDs,MATCH($D31,rngCadetNames,0)),"?"))</f>
        <v/>
      </c>
      <c r="F31" s="16" t="n"/>
      <c r="G31" s="16" t="n"/>
      <c r="H31" s="16" t="n"/>
      <c r="I31" s="16" t="n"/>
      <c r="J31" s="16" t="n"/>
      <c r="K31" s="18" t="n"/>
      <c r="L31" s="18" t="n"/>
      <c r="M31" s="16" t="n"/>
      <c r="N31" s="16" t="n"/>
    </row>
    <row r="32">
      <c r="B32" s="17">
        <f>IF($D32="","","C"&amp;TEXT(ROW()-5,"000"))</f>
        <v/>
      </c>
      <c r="C32" s="18" t="n"/>
      <c r="D32" s="16" t="n"/>
      <c r="E32" s="17">
        <f>IF($D32="","",IFERROR(INDEX(rngCadetPIDs,MATCH($D32,rngCadetNames,0)),"?"))</f>
        <v/>
      </c>
      <c r="F32" s="16" t="n"/>
      <c r="G32" s="16" t="n"/>
      <c r="H32" s="16" t="n"/>
      <c r="I32" s="16" t="n"/>
      <c r="J32" s="16" t="n"/>
      <c r="K32" s="18" t="n"/>
      <c r="L32" s="18" t="n"/>
      <c r="M32" s="16" t="n"/>
      <c r="N32" s="16" t="n"/>
    </row>
    <row r="33">
      <c r="B33" s="17">
        <f>IF($D33="","","C"&amp;TEXT(ROW()-5,"000"))</f>
        <v/>
      </c>
      <c r="C33" s="18" t="n"/>
      <c r="D33" s="16" t="n"/>
      <c r="E33" s="17">
        <f>IF($D33="","",IFERROR(INDEX(rngCadetPIDs,MATCH($D33,rngCadetNames,0)),"?"))</f>
        <v/>
      </c>
      <c r="F33" s="16" t="n"/>
      <c r="G33" s="16" t="n"/>
      <c r="H33" s="16" t="n"/>
      <c r="I33" s="16" t="n"/>
      <c r="J33" s="16" t="n"/>
      <c r="K33" s="18" t="n"/>
      <c r="L33" s="18" t="n"/>
      <c r="M33" s="16" t="n"/>
      <c r="N33" s="16" t="n"/>
    </row>
    <row r="34">
      <c r="B34" s="17">
        <f>IF($D34="","","C"&amp;TEXT(ROW()-5,"000"))</f>
        <v/>
      </c>
      <c r="C34" s="18" t="n"/>
      <c r="D34" s="16" t="n"/>
      <c r="E34" s="17">
        <f>IF($D34="","",IFERROR(INDEX(rngCadetPIDs,MATCH($D34,rngCadetNames,0)),"?"))</f>
        <v/>
      </c>
      <c r="F34" s="16" t="n"/>
      <c r="G34" s="16" t="n"/>
      <c r="H34" s="16" t="n"/>
      <c r="I34" s="16" t="n"/>
      <c r="J34" s="16" t="n"/>
      <c r="K34" s="18" t="n"/>
      <c r="L34" s="18" t="n"/>
      <c r="M34" s="16" t="n"/>
      <c r="N34" s="16" t="n"/>
    </row>
    <row r="35">
      <c r="B35" s="17">
        <f>IF($D35="","","C"&amp;TEXT(ROW()-5,"000"))</f>
        <v/>
      </c>
      <c r="C35" s="18" t="n"/>
      <c r="D35" s="16" t="n"/>
      <c r="E35" s="17">
        <f>IF($D35="","",IFERROR(INDEX(rngCadetPIDs,MATCH($D35,rngCadetNames,0)),"?"))</f>
        <v/>
      </c>
      <c r="F35" s="16" t="n"/>
      <c r="G35" s="16" t="n"/>
      <c r="H35" s="16" t="n"/>
      <c r="I35" s="16" t="n"/>
      <c r="J35" s="16" t="n"/>
      <c r="K35" s="18" t="n"/>
      <c r="L35" s="18" t="n"/>
      <c r="M35" s="16" t="n"/>
      <c r="N35" s="16" t="n"/>
    </row>
    <row r="36">
      <c r="B36" s="17">
        <f>IF($D36="","","C"&amp;TEXT(ROW()-5,"000"))</f>
        <v/>
      </c>
      <c r="C36" s="18" t="n"/>
      <c r="D36" s="16" t="n"/>
      <c r="E36" s="17">
        <f>IF($D36="","",IFERROR(INDEX(rngCadetPIDs,MATCH($D36,rngCadetNames,0)),"?"))</f>
        <v/>
      </c>
      <c r="F36" s="16" t="n"/>
      <c r="G36" s="16" t="n"/>
      <c r="H36" s="16" t="n"/>
      <c r="I36" s="16" t="n"/>
      <c r="J36" s="16" t="n"/>
      <c r="K36" s="18" t="n"/>
      <c r="L36" s="18" t="n"/>
      <c r="M36" s="16" t="n"/>
      <c r="N36" s="16" t="n"/>
    </row>
    <row r="37">
      <c r="B37" s="17">
        <f>IF($D37="","","C"&amp;TEXT(ROW()-5,"000"))</f>
        <v/>
      </c>
      <c r="C37" s="18" t="n"/>
      <c r="D37" s="16" t="n"/>
      <c r="E37" s="17">
        <f>IF($D37="","",IFERROR(INDEX(rngCadetPIDs,MATCH($D37,rngCadetNames,0)),"?"))</f>
        <v/>
      </c>
      <c r="F37" s="16" t="n"/>
      <c r="G37" s="16" t="n"/>
      <c r="H37" s="16" t="n"/>
      <c r="I37" s="16" t="n"/>
      <c r="J37" s="16" t="n"/>
      <c r="K37" s="18" t="n"/>
      <c r="L37" s="18" t="n"/>
      <c r="M37" s="16" t="n"/>
      <c r="N37" s="16" t="n"/>
    </row>
    <row r="38">
      <c r="B38" s="17">
        <f>IF($D38="","","C"&amp;TEXT(ROW()-5,"000"))</f>
        <v/>
      </c>
      <c r="C38" s="18" t="n"/>
      <c r="D38" s="16" t="n"/>
      <c r="E38" s="17">
        <f>IF($D38="","",IFERROR(INDEX(rngCadetPIDs,MATCH($D38,rngCadetNames,0)),"?"))</f>
        <v/>
      </c>
      <c r="F38" s="16" t="n"/>
      <c r="G38" s="16" t="n"/>
      <c r="H38" s="16" t="n"/>
      <c r="I38" s="16" t="n"/>
      <c r="J38" s="16" t="n"/>
      <c r="K38" s="18" t="n"/>
      <c r="L38" s="18" t="n"/>
      <c r="M38" s="16" t="n"/>
      <c r="N38" s="16" t="n"/>
    </row>
    <row r="39">
      <c r="B39" s="17">
        <f>IF($D39="","","C"&amp;TEXT(ROW()-5,"000"))</f>
        <v/>
      </c>
      <c r="C39" s="18" t="n"/>
      <c r="D39" s="16" t="n"/>
      <c r="E39" s="17">
        <f>IF($D39="","",IFERROR(INDEX(rngCadetPIDs,MATCH($D39,rngCadetNames,0)),"?"))</f>
        <v/>
      </c>
      <c r="F39" s="16" t="n"/>
      <c r="G39" s="16" t="n"/>
      <c r="H39" s="16" t="n"/>
      <c r="I39" s="16" t="n"/>
      <c r="J39" s="16" t="n"/>
      <c r="K39" s="18" t="n"/>
      <c r="L39" s="18" t="n"/>
      <c r="M39" s="16" t="n"/>
      <c r="N39" s="16" t="n"/>
    </row>
    <row r="40">
      <c r="B40" s="17">
        <f>IF($D40="","","C"&amp;TEXT(ROW()-5,"000"))</f>
        <v/>
      </c>
      <c r="C40" s="18" t="n"/>
      <c r="D40" s="16" t="n"/>
      <c r="E40" s="17">
        <f>IF($D40="","",IFERROR(INDEX(rngCadetPIDs,MATCH($D40,rngCadetNames,0)),"?"))</f>
        <v/>
      </c>
      <c r="F40" s="16" t="n"/>
      <c r="G40" s="16" t="n"/>
      <c r="H40" s="16" t="n"/>
      <c r="I40" s="16" t="n"/>
      <c r="J40" s="16" t="n"/>
      <c r="K40" s="18" t="n"/>
      <c r="L40" s="18" t="n"/>
      <c r="M40" s="16" t="n"/>
      <c r="N40" s="16" t="n"/>
    </row>
    <row r="41">
      <c r="B41" s="17">
        <f>IF($D41="","","C"&amp;TEXT(ROW()-5,"000"))</f>
        <v/>
      </c>
      <c r="C41" s="18" t="n"/>
      <c r="D41" s="16" t="n"/>
      <c r="E41" s="17">
        <f>IF($D41="","",IFERROR(INDEX(rngCadetPIDs,MATCH($D41,rngCadetNames,0)),"?"))</f>
        <v/>
      </c>
      <c r="F41" s="16" t="n"/>
      <c r="G41" s="16" t="n"/>
      <c r="H41" s="16" t="n"/>
      <c r="I41" s="16" t="n"/>
      <c r="J41" s="16" t="n"/>
      <c r="K41" s="18" t="n"/>
      <c r="L41" s="18" t="n"/>
      <c r="M41" s="16" t="n"/>
      <c r="N41" s="16" t="n"/>
    </row>
    <row r="42">
      <c r="B42" s="17">
        <f>IF($D42="","","C"&amp;TEXT(ROW()-5,"000"))</f>
        <v/>
      </c>
      <c r="C42" s="18" t="n"/>
      <c r="D42" s="16" t="n"/>
      <c r="E42" s="17">
        <f>IF($D42="","",IFERROR(INDEX(rngCadetPIDs,MATCH($D42,rngCadetNames,0)),"?"))</f>
        <v/>
      </c>
      <c r="F42" s="16" t="n"/>
      <c r="G42" s="16" t="n"/>
      <c r="H42" s="16" t="n"/>
      <c r="I42" s="16" t="n"/>
      <c r="J42" s="16" t="n"/>
      <c r="K42" s="18" t="n"/>
      <c r="L42" s="18" t="n"/>
      <c r="M42" s="16" t="n"/>
      <c r="N42" s="16" t="n"/>
    </row>
    <row r="43">
      <c r="B43" s="17">
        <f>IF($D43="","","C"&amp;TEXT(ROW()-5,"000"))</f>
        <v/>
      </c>
      <c r="C43" s="18" t="n"/>
      <c r="D43" s="16" t="n"/>
      <c r="E43" s="17">
        <f>IF($D43="","",IFERROR(INDEX(rngCadetPIDs,MATCH($D43,rngCadetNames,0)),"?"))</f>
        <v/>
      </c>
      <c r="F43" s="16" t="n"/>
      <c r="G43" s="16" t="n"/>
      <c r="H43" s="16" t="n"/>
      <c r="I43" s="16" t="n"/>
      <c r="J43" s="16" t="n"/>
      <c r="K43" s="18" t="n"/>
      <c r="L43" s="18" t="n"/>
      <c r="M43" s="16" t="n"/>
      <c r="N43" s="16" t="n"/>
    </row>
    <row r="44">
      <c r="B44" s="17">
        <f>IF($D44="","","C"&amp;TEXT(ROW()-5,"000"))</f>
        <v/>
      </c>
      <c r="C44" s="18" t="n"/>
      <c r="D44" s="16" t="n"/>
      <c r="E44" s="17">
        <f>IF($D44="","",IFERROR(INDEX(rngCadetPIDs,MATCH($D44,rngCadetNames,0)),"?"))</f>
        <v/>
      </c>
      <c r="F44" s="16" t="n"/>
      <c r="G44" s="16" t="n"/>
      <c r="H44" s="16" t="n"/>
      <c r="I44" s="16" t="n"/>
      <c r="J44" s="16" t="n"/>
      <c r="K44" s="18" t="n"/>
      <c r="L44" s="18" t="n"/>
      <c r="M44" s="16" t="n"/>
      <c r="N44" s="16" t="n"/>
    </row>
    <row r="45">
      <c r="B45" s="17">
        <f>IF($D45="","","C"&amp;TEXT(ROW()-5,"000"))</f>
        <v/>
      </c>
      <c r="C45" s="18" t="n"/>
      <c r="D45" s="16" t="n"/>
      <c r="E45" s="17">
        <f>IF($D45="","",IFERROR(INDEX(rngCadetPIDs,MATCH($D45,rngCadetNames,0)),"?"))</f>
        <v/>
      </c>
      <c r="F45" s="16" t="n"/>
      <c r="G45" s="16" t="n"/>
      <c r="H45" s="16" t="n"/>
      <c r="I45" s="16" t="n"/>
      <c r="J45" s="16" t="n"/>
      <c r="K45" s="18" t="n"/>
      <c r="L45" s="18" t="n"/>
      <c r="M45" s="16" t="n"/>
      <c r="N45" s="16" t="n"/>
    </row>
    <row r="46">
      <c r="B46" s="17">
        <f>IF($D46="","","C"&amp;TEXT(ROW()-5,"000"))</f>
        <v/>
      </c>
      <c r="C46" s="18" t="n"/>
      <c r="D46" s="16" t="n"/>
      <c r="E46" s="17">
        <f>IF($D46="","",IFERROR(INDEX(rngCadetPIDs,MATCH($D46,rngCadetNames,0)),"?"))</f>
        <v/>
      </c>
      <c r="F46" s="16" t="n"/>
      <c r="G46" s="16" t="n"/>
      <c r="H46" s="16" t="n"/>
      <c r="I46" s="16" t="n"/>
      <c r="J46" s="16" t="n"/>
      <c r="K46" s="18" t="n"/>
      <c r="L46" s="18" t="n"/>
      <c r="M46" s="16" t="n"/>
      <c r="N46" s="16" t="n"/>
    </row>
    <row r="47">
      <c r="B47" s="17">
        <f>IF($D47="","","C"&amp;TEXT(ROW()-5,"000"))</f>
        <v/>
      </c>
      <c r="C47" s="18" t="n"/>
      <c r="D47" s="16" t="n"/>
      <c r="E47" s="17">
        <f>IF($D47="","",IFERROR(INDEX(rngCadetPIDs,MATCH($D47,rngCadetNames,0)),"?"))</f>
        <v/>
      </c>
      <c r="F47" s="16" t="n"/>
      <c r="G47" s="16" t="n"/>
      <c r="H47" s="16" t="n"/>
      <c r="I47" s="16" t="n"/>
      <c r="J47" s="16" t="n"/>
      <c r="K47" s="18" t="n"/>
      <c r="L47" s="18" t="n"/>
      <c r="M47" s="16" t="n"/>
      <c r="N47" s="16" t="n"/>
    </row>
    <row r="48">
      <c r="B48" s="17">
        <f>IF($D48="","","C"&amp;TEXT(ROW()-5,"000"))</f>
        <v/>
      </c>
      <c r="C48" s="18" t="n"/>
      <c r="D48" s="16" t="n"/>
      <c r="E48" s="17">
        <f>IF($D48="","",IFERROR(INDEX(rngCadetPIDs,MATCH($D48,rngCadetNames,0)),"?"))</f>
        <v/>
      </c>
      <c r="F48" s="16" t="n"/>
      <c r="G48" s="16" t="n"/>
      <c r="H48" s="16" t="n"/>
      <c r="I48" s="16" t="n"/>
      <c r="J48" s="16" t="n"/>
      <c r="K48" s="18" t="n"/>
      <c r="L48" s="18" t="n"/>
      <c r="M48" s="16" t="n"/>
      <c r="N48" s="16" t="n"/>
    </row>
    <row r="49">
      <c r="B49" s="17">
        <f>IF($D49="","","C"&amp;TEXT(ROW()-5,"000"))</f>
        <v/>
      </c>
      <c r="C49" s="18" t="n"/>
      <c r="D49" s="16" t="n"/>
      <c r="E49" s="17">
        <f>IF($D49="","",IFERROR(INDEX(rngCadetPIDs,MATCH($D49,rngCadetNames,0)),"?"))</f>
        <v/>
      </c>
      <c r="F49" s="16" t="n"/>
      <c r="G49" s="16" t="n"/>
      <c r="H49" s="16" t="n"/>
      <c r="I49" s="16" t="n"/>
      <c r="J49" s="16" t="n"/>
      <c r="K49" s="18" t="n"/>
      <c r="L49" s="18" t="n"/>
      <c r="M49" s="16" t="n"/>
      <c r="N49" s="16" t="n"/>
    </row>
    <row r="50">
      <c r="B50" s="17">
        <f>IF($D50="","","C"&amp;TEXT(ROW()-5,"000"))</f>
        <v/>
      </c>
      <c r="C50" s="18" t="n"/>
      <c r="D50" s="16" t="n"/>
      <c r="E50" s="17">
        <f>IF($D50="","",IFERROR(INDEX(rngCadetPIDs,MATCH($D50,rngCadetNames,0)),"?"))</f>
        <v/>
      </c>
      <c r="F50" s="16" t="n"/>
      <c r="G50" s="16" t="n"/>
      <c r="H50" s="16" t="n"/>
      <c r="I50" s="16" t="n"/>
      <c r="J50" s="16" t="n"/>
      <c r="K50" s="18" t="n"/>
      <c r="L50" s="18" t="n"/>
      <c r="M50" s="16" t="n"/>
      <c r="N50" s="16" t="n"/>
    </row>
    <row r="51">
      <c r="B51" s="17">
        <f>IF($D51="","","C"&amp;TEXT(ROW()-5,"000"))</f>
        <v/>
      </c>
      <c r="C51" s="18" t="n"/>
      <c r="D51" s="16" t="n"/>
      <c r="E51" s="17">
        <f>IF($D51="","",IFERROR(INDEX(rngCadetPIDs,MATCH($D51,rngCadetNames,0)),"?"))</f>
        <v/>
      </c>
      <c r="F51" s="16" t="n"/>
      <c r="G51" s="16" t="n"/>
      <c r="H51" s="16" t="n"/>
      <c r="I51" s="16" t="n"/>
      <c r="J51" s="16" t="n"/>
      <c r="K51" s="18" t="n"/>
      <c r="L51" s="18" t="n"/>
      <c r="M51" s="16" t="n"/>
      <c r="N51" s="16" t="n"/>
    </row>
    <row r="52">
      <c r="B52" s="17">
        <f>IF($D52="","","C"&amp;TEXT(ROW()-5,"000"))</f>
        <v/>
      </c>
      <c r="C52" s="18" t="n"/>
      <c r="D52" s="16" t="n"/>
      <c r="E52" s="17">
        <f>IF($D52="","",IFERROR(INDEX(rngCadetPIDs,MATCH($D52,rngCadetNames,0)),"?"))</f>
        <v/>
      </c>
      <c r="F52" s="16" t="n"/>
      <c r="G52" s="16" t="n"/>
      <c r="H52" s="16" t="n"/>
      <c r="I52" s="16" t="n"/>
      <c r="J52" s="16" t="n"/>
      <c r="K52" s="18" t="n"/>
      <c r="L52" s="18" t="n"/>
      <c r="M52" s="16" t="n"/>
      <c r="N52" s="16" t="n"/>
    </row>
    <row r="53">
      <c r="B53" s="17">
        <f>IF($D53="","","C"&amp;TEXT(ROW()-5,"000"))</f>
        <v/>
      </c>
      <c r="C53" s="18" t="n"/>
      <c r="D53" s="16" t="n"/>
      <c r="E53" s="17">
        <f>IF($D53="","",IFERROR(INDEX(rngCadetPIDs,MATCH($D53,rngCadetNames,0)),"?"))</f>
        <v/>
      </c>
      <c r="F53" s="16" t="n"/>
      <c r="G53" s="16" t="n"/>
      <c r="H53" s="16" t="n"/>
      <c r="I53" s="16" t="n"/>
      <c r="J53" s="16" t="n"/>
      <c r="K53" s="18" t="n"/>
      <c r="L53" s="18" t="n"/>
      <c r="M53" s="16" t="n"/>
      <c r="N53" s="16" t="n"/>
    </row>
    <row r="54">
      <c r="B54" s="17">
        <f>IF($D54="","","C"&amp;TEXT(ROW()-5,"000"))</f>
        <v/>
      </c>
      <c r="C54" s="18" t="n"/>
      <c r="D54" s="16" t="n"/>
      <c r="E54" s="17">
        <f>IF($D54="","",IFERROR(INDEX(rngCadetPIDs,MATCH($D54,rngCadetNames,0)),"?"))</f>
        <v/>
      </c>
      <c r="F54" s="16" t="n"/>
      <c r="G54" s="16" t="n"/>
      <c r="H54" s="16" t="n"/>
      <c r="I54" s="16" t="n"/>
      <c r="J54" s="16" t="n"/>
      <c r="K54" s="18" t="n"/>
      <c r="L54" s="18" t="n"/>
      <c r="M54" s="16" t="n"/>
      <c r="N54" s="16" t="n"/>
    </row>
    <row r="55">
      <c r="B55" s="17">
        <f>IF($D55="","","C"&amp;TEXT(ROW()-5,"000"))</f>
        <v/>
      </c>
      <c r="C55" s="18" t="n"/>
      <c r="D55" s="16" t="n"/>
      <c r="E55" s="17">
        <f>IF($D55="","",IFERROR(INDEX(rngCadetPIDs,MATCH($D55,rngCadetNames,0)),"?"))</f>
        <v/>
      </c>
      <c r="F55" s="16" t="n"/>
      <c r="G55" s="16" t="n"/>
      <c r="H55" s="16" t="n"/>
      <c r="I55" s="16" t="n"/>
      <c r="J55" s="16" t="n"/>
      <c r="K55" s="18" t="n"/>
      <c r="L55" s="18" t="n"/>
      <c r="M55" s="16" t="n"/>
      <c r="N55" s="16" t="n"/>
    </row>
    <row r="56">
      <c r="B56" s="17">
        <f>IF($D56="","","C"&amp;TEXT(ROW()-5,"000"))</f>
        <v/>
      </c>
      <c r="C56" s="18" t="n"/>
      <c r="D56" s="16" t="n"/>
      <c r="E56" s="17">
        <f>IF($D56="","",IFERROR(INDEX(rngCadetPIDs,MATCH($D56,rngCadetNames,0)),"?"))</f>
        <v/>
      </c>
      <c r="F56" s="16" t="n"/>
      <c r="G56" s="16" t="n"/>
      <c r="H56" s="16" t="n"/>
      <c r="I56" s="16" t="n"/>
      <c r="J56" s="16" t="n"/>
      <c r="K56" s="18" t="n"/>
      <c r="L56" s="18" t="n"/>
      <c r="M56" s="16" t="n"/>
      <c r="N56" s="16" t="n"/>
    </row>
    <row r="57">
      <c r="B57" s="17">
        <f>IF($D57="","","C"&amp;TEXT(ROW()-5,"000"))</f>
        <v/>
      </c>
      <c r="C57" s="18" t="n"/>
      <c r="D57" s="16" t="n"/>
      <c r="E57" s="17">
        <f>IF($D57="","",IFERROR(INDEX(rngCadetPIDs,MATCH($D57,rngCadetNames,0)),"?"))</f>
        <v/>
      </c>
      <c r="F57" s="16" t="n"/>
      <c r="G57" s="16" t="n"/>
      <c r="H57" s="16" t="n"/>
      <c r="I57" s="16" t="n"/>
      <c r="J57" s="16" t="n"/>
      <c r="K57" s="18" t="n"/>
      <c r="L57" s="18" t="n"/>
      <c r="M57" s="16" t="n"/>
      <c r="N57" s="16" t="n"/>
    </row>
    <row r="58">
      <c r="B58" s="17">
        <f>IF($D58="","","C"&amp;TEXT(ROW()-5,"000"))</f>
        <v/>
      </c>
      <c r="C58" s="18" t="n"/>
      <c r="D58" s="16" t="n"/>
      <c r="E58" s="17">
        <f>IF($D58="","",IFERROR(INDEX(rngCadetPIDs,MATCH($D58,rngCadetNames,0)),"?"))</f>
        <v/>
      </c>
      <c r="F58" s="16" t="n"/>
      <c r="G58" s="16" t="n"/>
      <c r="H58" s="16" t="n"/>
      <c r="I58" s="16" t="n"/>
      <c r="J58" s="16" t="n"/>
      <c r="K58" s="18" t="n"/>
      <c r="L58" s="18" t="n"/>
      <c r="M58" s="16" t="n"/>
      <c r="N58" s="16" t="n"/>
    </row>
    <row r="59">
      <c r="B59" s="17">
        <f>IF($D59="","","C"&amp;TEXT(ROW()-5,"000"))</f>
        <v/>
      </c>
      <c r="C59" s="18" t="n"/>
      <c r="D59" s="16" t="n"/>
      <c r="E59" s="17">
        <f>IF($D59="","",IFERROR(INDEX(rngCadetPIDs,MATCH($D59,rngCadetNames,0)),"?"))</f>
        <v/>
      </c>
      <c r="F59" s="16" t="n"/>
      <c r="G59" s="16" t="n"/>
      <c r="H59" s="16" t="n"/>
      <c r="I59" s="16" t="n"/>
      <c r="J59" s="16" t="n"/>
      <c r="K59" s="18" t="n"/>
      <c r="L59" s="18" t="n"/>
      <c r="M59" s="16" t="n"/>
      <c r="N59" s="16" t="n"/>
    </row>
    <row r="60">
      <c r="B60" s="17">
        <f>IF($D60="","","C"&amp;TEXT(ROW()-5,"000"))</f>
        <v/>
      </c>
      <c r="C60" s="18" t="n"/>
      <c r="D60" s="16" t="n"/>
      <c r="E60" s="17">
        <f>IF($D60="","",IFERROR(INDEX(rngCadetPIDs,MATCH($D60,rngCadetNames,0)),"?"))</f>
        <v/>
      </c>
      <c r="F60" s="16" t="n"/>
      <c r="G60" s="16" t="n"/>
      <c r="H60" s="16" t="n"/>
      <c r="I60" s="16" t="n"/>
      <c r="J60" s="16" t="n"/>
      <c r="K60" s="18" t="n"/>
      <c r="L60" s="18" t="n"/>
      <c r="M60" s="16" t="n"/>
      <c r="N60" s="16" t="n"/>
    </row>
    <row r="61">
      <c r="B61" s="17">
        <f>IF($D61="","","C"&amp;TEXT(ROW()-5,"000"))</f>
        <v/>
      </c>
      <c r="C61" s="18" t="n"/>
      <c r="D61" s="16" t="n"/>
      <c r="E61" s="17">
        <f>IF($D61="","",IFERROR(INDEX(rngCadetPIDs,MATCH($D61,rngCadetNames,0)),"?"))</f>
        <v/>
      </c>
      <c r="F61" s="16" t="n"/>
      <c r="G61" s="16" t="n"/>
      <c r="H61" s="16" t="n"/>
      <c r="I61" s="16" t="n"/>
      <c r="J61" s="16" t="n"/>
      <c r="K61" s="18" t="n"/>
      <c r="L61" s="18" t="n"/>
      <c r="M61" s="16" t="n"/>
      <c r="N61" s="16" t="n"/>
    </row>
    <row r="62">
      <c r="B62" s="17">
        <f>IF($D62="","","C"&amp;TEXT(ROW()-5,"000"))</f>
        <v/>
      </c>
      <c r="C62" s="18" t="n"/>
      <c r="D62" s="16" t="n"/>
      <c r="E62" s="17">
        <f>IF($D62="","",IFERROR(INDEX(rngCadetPIDs,MATCH($D62,rngCadetNames,0)),"?"))</f>
        <v/>
      </c>
      <c r="F62" s="16" t="n"/>
      <c r="G62" s="16" t="n"/>
      <c r="H62" s="16" t="n"/>
      <c r="I62" s="16" t="n"/>
      <c r="J62" s="16" t="n"/>
      <c r="K62" s="18" t="n"/>
      <c r="L62" s="18" t="n"/>
      <c r="M62" s="16" t="n"/>
      <c r="N62" s="16" t="n"/>
    </row>
    <row r="63">
      <c r="B63" s="17">
        <f>IF($D63="","","C"&amp;TEXT(ROW()-5,"000"))</f>
        <v/>
      </c>
      <c r="C63" s="18" t="n"/>
      <c r="D63" s="16" t="n"/>
      <c r="E63" s="17">
        <f>IF($D63="","",IFERROR(INDEX(rngCadetPIDs,MATCH($D63,rngCadetNames,0)),"?"))</f>
        <v/>
      </c>
      <c r="F63" s="16" t="n"/>
      <c r="G63" s="16" t="n"/>
      <c r="H63" s="16" t="n"/>
      <c r="I63" s="16" t="n"/>
      <c r="J63" s="16" t="n"/>
      <c r="K63" s="18" t="n"/>
      <c r="L63" s="18" t="n"/>
      <c r="M63" s="16" t="n"/>
      <c r="N63" s="16" t="n"/>
    </row>
    <row r="64">
      <c r="B64" s="17">
        <f>IF($D64="","","C"&amp;TEXT(ROW()-5,"000"))</f>
        <v/>
      </c>
      <c r="C64" s="18" t="n"/>
      <c r="D64" s="16" t="n"/>
      <c r="E64" s="17">
        <f>IF($D64="","",IFERROR(INDEX(rngCadetPIDs,MATCH($D64,rngCadetNames,0)),"?"))</f>
        <v/>
      </c>
      <c r="F64" s="16" t="n"/>
      <c r="G64" s="16" t="n"/>
      <c r="H64" s="16" t="n"/>
      <c r="I64" s="16" t="n"/>
      <c r="J64" s="16" t="n"/>
      <c r="K64" s="18" t="n"/>
      <c r="L64" s="18" t="n"/>
      <c r="M64" s="16" t="n"/>
      <c r="N64" s="16" t="n"/>
    </row>
    <row r="65">
      <c r="B65" s="17">
        <f>IF($D65="","","C"&amp;TEXT(ROW()-5,"000"))</f>
        <v/>
      </c>
      <c r="C65" s="18" t="n"/>
      <c r="D65" s="16" t="n"/>
      <c r="E65" s="17">
        <f>IF($D65="","",IFERROR(INDEX(rngCadetPIDs,MATCH($D65,rngCadetNames,0)),"?"))</f>
        <v/>
      </c>
      <c r="F65" s="16" t="n"/>
      <c r="G65" s="16" t="n"/>
      <c r="H65" s="16" t="n"/>
      <c r="I65" s="16" t="n"/>
      <c r="J65" s="16" t="n"/>
      <c r="K65" s="18" t="n"/>
      <c r="L65" s="18" t="n"/>
      <c r="M65" s="16" t="n"/>
      <c r="N65" s="16" t="n"/>
    </row>
    <row r="66">
      <c r="B66" s="17">
        <f>IF($D66="","","C"&amp;TEXT(ROW()-5,"000"))</f>
        <v/>
      </c>
      <c r="C66" s="18" t="n"/>
      <c r="D66" s="16" t="n"/>
      <c r="E66" s="17">
        <f>IF($D66="","",IFERROR(INDEX(rngCadetPIDs,MATCH($D66,rngCadetNames,0)),"?"))</f>
        <v/>
      </c>
      <c r="F66" s="16" t="n"/>
      <c r="G66" s="16" t="n"/>
      <c r="H66" s="16" t="n"/>
      <c r="I66" s="16" t="n"/>
      <c r="J66" s="16" t="n"/>
      <c r="K66" s="18" t="n"/>
      <c r="L66" s="18" t="n"/>
      <c r="M66" s="16" t="n"/>
      <c r="N66" s="16" t="n"/>
    </row>
    <row r="67">
      <c r="B67" s="17">
        <f>IF($D67="","","C"&amp;TEXT(ROW()-5,"000"))</f>
        <v/>
      </c>
      <c r="C67" s="18" t="n"/>
      <c r="D67" s="16" t="n"/>
      <c r="E67" s="17">
        <f>IF($D67="","",IFERROR(INDEX(rngCadetPIDs,MATCH($D67,rngCadetNames,0)),"?"))</f>
        <v/>
      </c>
      <c r="F67" s="16" t="n"/>
      <c r="G67" s="16" t="n"/>
      <c r="H67" s="16" t="n"/>
      <c r="I67" s="16" t="n"/>
      <c r="J67" s="16" t="n"/>
      <c r="K67" s="18" t="n"/>
      <c r="L67" s="18" t="n"/>
      <c r="M67" s="16" t="n"/>
      <c r="N67" s="16" t="n"/>
    </row>
    <row r="68">
      <c r="B68" s="17">
        <f>IF($D68="","","C"&amp;TEXT(ROW()-5,"000"))</f>
        <v/>
      </c>
      <c r="C68" s="18" t="n"/>
      <c r="D68" s="16" t="n"/>
      <c r="E68" s="17">
        <f>IF($D68="","",IFERROR(INDEX(rngCadetPIDs,MATCH($D68,rngCadetNames,0)),"?"))</f>
        <v/>
      </c>
      <c r="F68" s="16" t="n"/>
      <c r="G68" s="16" t="n"/>
      <c r="H68" s="16" t="n"/>
      <c r="I68" s="16" t="n"/>
      <c r="J68" s="16" t="n"/>
      <c r="K68" s="18" t="n"/>
      <c r="L68" s="18" t="n"/>
      <c r="M68" s="16" t="n"/>
      <c r="N68" s="16" t="n"/>
    </row>
    <row r="69">
      <c r="B69" s="17">
        <f>IF($D69="","","C"&amp;TEXT(ROW()-5,"000"))</f>
        <v/>
      </c>
      <c r="C69" s="18" t="n"/>
      <c r="D69" s="16" t="n"/>
      <c r="E69" s="17">
        <f>IF($D69="","",IFERROR(INDEX(rngCadetPIDs,MATCH($D69,rngCadetNames,0)),"?"))</f>
        <v/>
      </c>
      <c r="F69" s="16" t="n"/>
      <c r="G69" s="16" t="n"/>
      <c r="H69" s="16" t="n"/>
      <c r="I69" s="16" t="n"/>
      <c r="J69" s="16" t="n"/>
      <c r="K69" s="18" t="n"/>
      <c r="L69" s="18" t="n"/>
      <c r="M69" s="16" t="n"/>
      <c r="N69" s="16" t="n"/>
    </row>
    <row r="70">
      <c r="B70" s="17">
        <f>IF($D70="","","C"&amp;TEXT(ROW()-5,"000"))</f>
        <v/>
      </c>
      <c r="C70" s="18" t="n"/>
      <c r="D70" s="16" t="n"/>
      <c r="E70" s="17">
        <f>IF($D70="","",IFERROR(INDEX(rngCadetPIDs,MATCH($D70,rngCadetNames,0)),"?"))</f>
        <v/>
      </c>
      <c r="F70" s="16" t="n"/>
      <c r="G70" s="16" t="n"/>
      <c r="H70" s="16" t="n"/>
      <c r="I70" s="16" t="n"/>
      <c r="J70" s="16" t="n"/>
      <c r="K70" s="18" t="n"/>
      <c r="L70" s="18" t="n"/>
      <c r="M70" s="16" t="n"/>
      <c r="N70" s="16" t="n"/>
    </row>
    <row r="71">
      <c r="B71" s="17">
        <f>IF($D71="","","C"&amp;TEXT(ROW()-5,"000"))</f>
        <v/>
      </c>
      <c r="C71" s="18" t="n"/>
      <c r="D71" s="16" t="n"/>
      <c r="E71" s="17">
        <f>IF($D71="","",IFERROR(INDEX(rngCadetPIDs,MATCH($D71,rngCadetNames,0)),"?"))</f>
        <v/>
      </c>
      <c r="F71" s="16" t="n"/>
      <c r="G71" s="16" t="n"/>
      <c r="H71" s="16" t="n"/>
      <c r="I71" s="16" t="n"/>
      <c r="J71" s="16" t="n"/>
      <c r="K71" s="18" t="n"/>
      <c r="L71" s="18" t="n"/>
      <c r="M71" s="16" t="n"/>
      <c r="N71" s="16" t="n"/>
    </row>
    <row r="72">
      <c r="B72" s="17">
        <f>IF($D72="","","C"&amp;TEXT(ROW()-5,"000"))</f>
        <v/>
      </c>
      <c r="C72" s="18" t="n"/>
      <c r="D72" s="16" t="n"/>
      <c r="E72" s="17">
        <f>IF($D72="","",IFERROR(INDEX(rngCadetPIDs,MATCH($D72,rngCadetNames,0)),"?"))</f>
        <v/>
      </c>
      <c r="F72" s="16" t="n"/>
      <c r="G72" s="16" t="n"/>
      <c r="H72" s="16" t="n"/>
      <c r="I72" s="16" t="n"/>
      <c r="J72" s="16" t="n"/>
      <c r="K72" s="18" t="n"/>
      <c r="L72" s="18" t="n"/>
      <c r="M72" s="16" t="n"/>
      <c r="N72" s="16" t="n"/>
    </row>
    <row r="73">
      <c r="B73" s="17">
        <f>IF($D73="","","C"&amp;TEXT(ROW()-5,"000"))</f>
        <v/>
      </c>
      <c r="C73" s="18" t="n"/>
      <c r="D73" s="16" t="n"/>
      <c r="E73" s="17">
        <f>IF($D73="","",IFERROR(INDEX(rngCadetPIDs,MATCH($D73,rngCadetNames,0)),"?"))</f>
        <v/>
      </c>
      <c r="F73" s="16" t="n"/>
      <c r="G73" s="16" t="n"/>
      <c r="H73" s="16" t="n"/>
      <c r="I73" s="16" t="n"/>
      <c r="J73" s="16" t="n"/>
      <c r="K73" s="18" t="n"/>
      <c r="L73" s="18" t="n"/>
      <c r="M73" s="16" t="n"/>
      <c r="N73" s="16" t="n"/>
    </row>
    <row r="74">
      <c r="B74" s="17">
        <f>IF($D74="","","C"&amp;TEXT(ROW()-5,"000"))</f>
        <v/>
      </c>
      <c r="C74" s="18" t="n"/>
      <c r="D74" s="16" t="n"/>
      <c r="E74" s="17">
        <f>IF($D74="","",IFERROR(INDEX(rngCadetPIDs,MATCH($D74,rngCadetNames,0)),"?"))</f>
        <v/>
      </c>
      <c r="F74" s="16" t="n"/>
      <c r="G74" s="16" t="n"/>
      <c r="H74" s="16" t="n"/>
      <c r="I74" s="16" t="n"/>
      <c r="J74" s="16" t="n"/>
      <c r="K74" s="18" t="n"/>
      <c r="L74" s="18" t="n"/>
      <c r="M74" s="16" t="n"/>
      <c r="N74" s="16" t="n"/>
    </row>
    <row r="75">
      <c r="B75" s="17">
        <f>IF($D75="","","C"&amp;TEXT(ROW()-5,"000"))</f>
        <v/>
      </c>
      <c r="C75" s="18" t="n"/>
      <c r="D75" s="16" t="n"/>
      <c r="E75" s="17">
        <f>IF($D75="","",IFERROR(INDEX(rngCadetPIDs,MATCH($D75,rngCadetNames,0)),"?"))</f>
        <v/>
      </c>
      <c r="F75" s="16" t="n"/>
      <c r="G75" s="16" t="n"/>
      <c r="H75" s="16" t="n"/>
      <c r="I75" s="16" t="n"/>
      <c r="J75" s="16" t="n"/>
      <c r="K75" s="18" t="n"/>
      <c r="L75" s="18" t="n"/>
      <c r="M75" s="16" t="n"/>
      <c r="N75" s="16" t="n"/>
    </row>
    <row r="76">
      <c r="B76" s="17">
        <f>IF($D76="","","C"&amp;TEXT(ROW()-5,"000"))</f>
        <v/>
      </c>
      <c r="C76" s="18" t="n"/>
      <c r="D76" s="16" t="n"/>
      <c r="E76" s="17">
        <f>IF($D76="","",IFERROR(INDEX(rngCadetPIDs,MATCH($D76,rngCadetNames,0)),"?"))</f>
        <v/>
      </c>
      <c r="F76" s="16" t="n"/>
      <c r="G76" s="16" t="n"/>
      <c r="H76" s="16" t="n"/>
      <c r="I76" s="16" t="n"/>
      <c r="J76" s="16" t="n"/>
      <c r="K76" s="18" t="n"/>
      <c r="L76" s="18" t="n"/>
      <c r="M76" s="16" t="n"/>
      <c r="N76" s="16" t="n"/>
    </row>
    <row r="77">
      <c r="B77" s="17">
        <f>IF($D77="","","C"&amp;TEXT(ROW()-5,"000"))</f>
        <v/>
      </c>
      <c r="C77" s="18" t="n"/>
      <c r="D77" s="16" t="n"/>
      <c r="E77" s="17">
        <f>IF($D77="","",IFERROR(INDEX(rngCadetPIDs,MATCH($D77,rngCadetNames,0)),"?"))</f>
        <v/>
      </c>
      <c r="F77" s="16" t="n"/>
      <c r="G77" s="16" t="n"/>
      <c r="H77" s="16" t="n"/>
      <c r="I77" s="16" t="n"/>
      <c r="J77" s="16" t="n"/>
      <c r="K77" s="18" t="n"/>
      <c r="L77" s="18" t="n"/>
      <c r="M77" s="16" t="n"/>
      <c r="N77" s="16" t="n"/>
    </row>
    <row r="78">
      <c r="B78" s="17">
        <f>IF($D78="","","C"&amp;TEXT(ROW()-5,"000"))</f>
        <v/>
      </c>
      <c r="C78" s="18" t="n"/>
      <c r="D78" s="16" t="n"/>
      <c r="E78" s="17">
        <f>IF($D78="","",IFERROR(INDEX(rngCadetPIDs,MATCH($D78,rngCadetNames,0)),"?"))</f>
        <v/>
      </c>
      <c r="F78" s="16" t="n"/>
      <c r="G78" s="16" t="n"/>
      <c r="H78" s="16" t="n"/>
      <c r="I78" s="16" t="n"/>
      <c r="J78" s="16" t="n"/>
      <c r="K78" s="18" t="n"/>
      <c r="L78" s="18" t="n"/>
      <c r="M78" s="16" t="n"/>
      <c r="N78" s="16" t="n"/>
    </row>
    <row r="79">
      <c r="B79" s="17">
        <f>IF($D79="","","C"&amp;TEXT(ROW()-5,"000"))</f>
        <v/>
      </c>
      <c r="C79" s="18" t="n"/>
      <c r="D79" s="16" t="n"/>
      <c r="E79" s="17">
        <f>IF($D79="","",IFERROR(INDEX(rngCadetPIDs,MATCH($D79,rngCadetNames,0)),"?"))</f>
        <v/>
      </c>
      <c r="F79" s="16" t="n"/>
      <c r="G79" s="16" t="n"/>
      <c r="H79" s="16" t="n"/>
      <c r="I79" s="16" t="n"/>
      <c r="J79" s="16" t="n"/>
      <c r="K79" s="18" t="n"/>
      <c r="L79" s="18" t="n"/>
      <c r="M79" s="16" t="n"/>
      <c r="N79" s="16" t="n"/>
    </row>
    <row r="80">
      <c r="B80" s="17">
        <f>IF($D80="","","C"&amp;TEXT(ROW()-5,"000"))</f>
        <v/>
      </c>
      <c r="C80" s="18" t="n"/>
      <c r="D80" s="16" t="n"/>
      <c r="E80" s="17">
        <f>IF($D80="","",IFERROR(INDEX(rngCadetPIDs,MATCH($D80,rngCadetNames,0)),"?"))</f>
        <v/>
      </c>
      <c r="F80" s="16" t="n"/>
      <c r="G80" s="16" t="n"/>
      <c r="H80" s="16" t="n"/>
      <c r="I80" s="16" t="n"/>
      <c r="J80" s="16" t="n"/>
      <c r="K80" s="18" t="n"/>
      <c r="L80" s="18" t="n"/>
      <c r="M80" s="16" t="n"/>
      <c r="N80" s="16" t="n"/>
    </row>
    <row r="81">
      <c r="B81" s="17">
        <f>IF($D81="","","C"&amp;TEXT(ROW()-5,"000"))</f>
        <v/>
      </c>
      <c r="C81" s="18" t="n"/>
      <c r="D81" s="16" t="n"/>
      <c r="E81" s="17">
        <f>IF($D81="","",IFERROR(INDEX(rngCadetPIDs,MATCH($D81,rngCadetNames,0)),"?"))</f>
        <v/>
      </c>
      <c r="F81" s="16" t="n"/>
      <c r="G81" s="16" t="n"/>
      <c r="H81" s="16" t="n"/>
      <c r="I81" s="16" t="n"/>
      <c r="J81" s="16" t="n"/>
      <c r="K81" s="18" t="n"/>
      <c r="L81" s="18" t="n"/>
      <c r="M81" s="16" t="n"/>
      <c r="N81" s="16" t="n"/>
    </row>
    <row r="82">
      <c r="B82" s="17">
        <f>IF($D82="","","C"&amp;TEXT(ROW()-5,"000"))</f>
        <v/>
      </c>
      <c r="C82" s="18" t="n"/>
      <c r="D82" s="16" t="n"/>
      <c r="E82" s="17">
        <f>IF($D82="","",IFERROR(INDEX(rngCadetPIDs,MATCH($D82,rngCadetNames,0)),"?"))</f>
        <v/>
      </c>
      <c r="F82" s="16" t="n"/>
      <c r="G82" s="16" t="n"/>
      <c r="H82" s="16" t="n"/>
      <c r="I82" s="16" t="n"/>
      <c r="J82" s="16" t="n"/>
      <c r="K82" s="18" t="n"/>
      <c r="L82" s="18" t="n"/>
      <c r="M82" s="16" t="n"/>
      <c r="N82" s="16" t="n"/>
    </row>
    <row r="83">
      <c r="B83" s="17">
        <f>IF($D83="","","C"&amp;TEXT(ROW()-5,"000"))</f>
        <v/>
      </c>
      <c r="C83" s="18" t="n"/>
      <c r="D83" s="16" t="n"/>
      <c r="E83" s="17">
        <f>IF($D83="","",IFERROR(INDEX(rngCadetPIDs,MATCH($D83,rngCadetNames,0)),"?"))</f>
        <v/>
      </c>
      <c r="F83" s="16" t="n"/>
      <c r="G83" s="16" t="n"/>
      <c r="H83" s="16" t="n"/>
      <c r="I83" s="16" t="n"/>
      <c r="J83" s="16" t="n"/>
      <c r="K83" s="18" t="n"/>
      <c r="L83" s="18" t="n"/>
      <c r="M83" s="16" t="n"/>
      <c r="N83" s="16" t="n"/>
    </row>
    <row r="84">
      <c r="B84" s="17">
        <f>IF($D84="","","C"&amp;TEXT(ROW()-5,"000"))</f>
        <v/>
      </c>
      <c r="C84" s="18" t="n"/>
      <c r="D84" s="16" t="n"/>
      <c r="E84" s="17">
        <f>IF($D84="","",IFERROR(INDEX(rngCadetPIDs,MATCH($D84,rngCadetNames,0)),"?"))</f>
        <v/>
      </c>
      <c r="F84" s="16" t="n"/>
      <c r="G84" s="16" t="n"/>
      <c r="H84" s="16" t="n"/>
      <c r="I84" s="16" t="n"/>
      <c r="J84" s="16" t="n"/>
      <c r="K84" s="18" t="n"/>
      <c r="L84" s="18" t="n"/>
      <c r="M84" s="16" t="n"/>
      <c r="N84" s="16" t="n"/>
    </row>
    <row r="85">
      <c r="B85" s="17">
        <f>IF($D85="","","C"&amp;TEXT(ROW()-5,"000"))</f>
        <v/>
      </c>
      <c r="C85" s="18" t="n"/>
      <c r="D85" s="16" t="n"/>
      <c r="E85" s="17">
        <f>IF($D85="","",IFERROR(INDEX(rngCadetPIDs,MATCH($D85,rngCadetNames,0)),"?"))</f>
        <v/>
      </c>
      <c r="F85" s="16" t="n"/>
      <c r="G85" s="16" t="n"/>
      <c r="H85" s="16" t="n"/>
      <c r="I85" s="16" t="n"/>
      <c r="J85" s="16" t="n"/>
      <c r="K85" s="18" t="n"/>
      <c r="L85" s="18" t="n"/>
      <c r="M85" s="16" t="n"/>
      <c r="N85" s="16" t="n"/>
    </row>
    <row r="86">
      <c r="B86" s="17">
        <f>IF($D86="","","C"&amp;TEXT(ROW()-5,"000"))</f>
        <v/>
      </c>
      <c r="C86" s="18" t="n"/>
      <c r="D86" s="16" t="n"/>
      <c r="E86" s="17">
        <f>IF($D86="","",IFERROR(INDEX(rngCadetPIDs,MATCH($D86,rngCadetNames,0)),"?"))</f>
        <v/>
      </c>
      <c r="F86" s="16" t="n"/>
      <c r="G86" s="16" t="n"/>
      <c r="H86" s="16" t="n"/>
      <c r="I86" s="16" t="n"/>
      <c r="J86" s="16" t="n"/>
      <c r="K86" s="18" t="n"/>
      <c r="L86" s="18" t="n"/>
      <c r="M86" s="16" t="n"/>
      <c r="N86" s="16" t="n"/>
    </row>
    <row r="87">
      <c r="B87" s="17">
        <f>IF($D87="","","C"&amp;TEXT(ROW()-5,"000"))</f>
        <v/>
      </c>
      <c r="C87" s="18" t="n"/>
      <c r="D87" s="16" t="n"/>
      <c r="E87" s="17">
        <f>IF($D87="","",IFERROR(INDEX(rngCadetPIDs,MATCH($D87,rngCadetNames,0)),"?"))</f>
        <v/>
      </c>
      <c r="F87" s="16" t="n"/>
      <c r="G87" s="16" t="n"/>
      <c r="H87" s="16" t="n"/>
      <c r="I87" s="16" t="n"/>
      <c r="J87" s="16" t="n"/>
      <c r="K87" s="18" t="n"/>
      <c r="L87" s="18" t="n"/>
      <c r="M87" s="16" t="n"/>
      <c r="N87" s="16" t="n"/>
    </row>
    <row r="88">
      <c r="B88" s="17">
        <f>IF($D88="","","C"&amp;TEXT(ROW()-5,"000"))</f>
        <v/>
      </c>
      <c r="C88" s="18" t="n"/>
      <c r="D88" s="16" t="n"/>
      <c r="E88" s="17">
        <f>IF($D88="","",IFERROR(INDEX(rngCadetPIDs,MATCH($D88,rngCadetNames,0)),"?"))</f>
        <v/>
      </c>
      <c r="F88" s="16" t="n"/>
      <c r="G88" s="16" t="n"/>
      <c r="H88" s="16" t="n"/>
      <c r="I88" s="16" t="n"/>
      <c r="J88" s="16" t="n"/>
      <c r="K88" s="18" t="n"/>
      <c r="L88" s="18" t="n"/>
      <c r="M88" s="16" t="n"/>
      <c r="N88" s="16" t="n"/>
    </row>
    <row r="89">
      <c r="B89" s="17">
        <f>IF($D89="","","C"&amp;TEXT(ROW()-5,"000"))</f>
        <v/>
      </c>
      <c r="C89" s="18" t="n"/>
      <c r="D89" s="16" t="n"/>
      <c r="E89" s="17">
        <f>IF($D89="","",IFERROR(INDEX(rngCadetPIDs,MATCH($D89,rngCadetNames,0)),"?"))</f>
        <v/>
      </c>
      <c r="F89" s="16" t="n"/>
      <c r="G89" s="16" t="n"/>
      <c r="H89" s="16" t="n"/>
      <c r="I89" s="16" t="n"/>
      <c r="J89" s="16" t="n"/>
      <c r="K89" s="18" t="n"/>
      <c r="L89" s="18" t="n"/>
      <c r="M89" s="16" t="n"/>
      <c r="N89" s="16" t="n"/>
    </row>
    <row r="90">
      <c r="B90" s="17">
        <f>IF($D90="","","C"&amp;TEXT(ROW()-5,"000"))</f>
        <v/>
      </c>
      <c r="C90" s="18" t="n"/>
      <c r="D90" s="16" t="n"/>
      <c r="E90" s="17">
        <f>IF($D90="","",IFERROR(INDEX(rngCadetPIDs,MATCH($D90,rngCadetNames,0)),"?"))</f>
        <v/>
      </c>
      <c r="F90" s="16" t="n"/>
      <c r="G90" s="16" t="n"/>
      <c r="H90" s="16" t="n"/>
      <c r="I90" s="16" t="n"/>
      <c r="J90" s="16" t="n"/>
      <c r="K90" s="18" t="n"/>
      <c r="L90" s="18" t="n"/>
      <c r="M90" s="16" t="n"/>
      <c r="N90" s="16" t="n"/>
    </row>
    <row r="91">
      <c r="B91" s="17">
        <f>IF($D91="","","C"&amp;TEXT(ROW()-5,"000"))</f>
        <v/>
      </c>
      <c r="C91" s="18" t="n"/>
      <c r="D91" s="16" t="n"/>
      <c r="E91" s="17">
        <f>IF($D91="","",IFERROR(INDEX(rngCadetPIDs,MATCH($D91,rngCadetNames,0)),"?"))</f>
        <v/>
      </c>
      <c r="F91" s="16" t="n"/>
      <c r="G91" s="16" t="n"/>
      <c r="H91" s="16" t="n"/>
      <c r="I91" s="16" t="n"/>
      <c r="J91" s="16" t="n"/>
      <c r="K91" s="18" t="n"/>
      <c r="L91" s="18" t="n"/>
      <c r="M91" s="16" t="n"/>
      <c r="N91" s="16" t="n"/>
    </row>
    <row r="92">
      <c r="B92" s="17">
        <f>IF($D92="","","C"&amp;TEXT(ROW()-5,"000"))</f>
        <v/>
      </c>
      <c r="C92" s="18" t="n"/>
      <c r="D92" s="16" t="n"/>
      <c r="E92" s="17">
        <f>IF($D92="","",IFERROR(INDEX(rngCadetPIDs,MATCH($D92,rngCadetNames,0)),"?"))</f>
        <v/>
      </c>
      <c r="F92" s="16" t="n"/>
      <c r="G92" s="16" t="n"/>
      <c r="H92" s="16" t="n"/>
      <c r="I92" s="16" t="n"/>
      <c r="J92" s="16" t="n"/>
      <c r="K92" s="18" t="n"/>
      <c r="L92" s="18" t="n"/>
      <c r="M92" s="16" t="n"/>
      <c r="N92" s="16" t="n"/>
    </row>
    <row r="93">
      <c r="B93" s="17">
        <f>IF($D93="","","C"&amp;TEXT(ROW()-5,"000"))</f>
        <v/>
      </c>
      <c r="C93" s="18" t="n"/>
      <c r="D93" s="16" t="n"/>
      <c r="E93" s="17">
        <f>IF($D93="","",IFERROR(INDEX(rngCadetPIDs,MATCH($D93,rngCadetNames,0)),"?"))</f>
        <v/>
      </c>
      <c r="F93" s="16" t="n"/>
      <c r="G93" s="16" t="n"/>
      <c r="H93" s="16" t="n"/>
      <c r="I93" s="16" t="n"/>
      <c r="J93" s="16" t="n"/>
      <c r="K93" s="18" t="n"/>
      <c r="L93" s="18" t="n"/>
      <c r="M93" s="16" t="n"/>
      <c r="N93" s="16" t="n"/>
    </row>
    <row r="94">
      <c r="B94" s="17">
        <f>IF($D94="","","C"&amp;TEXT(ROW()-5,"000"))</f>
        <v/>
      </c>
      <c r="C94" s="18" t="n"/>
      <c r="D94" s="16" t="n"/>
      <c r="E94" s="17">
        <f>IF($D94="","",IFERROR(INDEX(rngCadetPIDs,MATCH($D94,rngCadetNames,0)),"?"))</f>
        <v/>
      </c>
      <c r="F94" s="16" t="n"/>
      <c r="G94" s="16" t="n"/>
      <c r="H94" s="16" t="n"/>
      <c r="I94" s="16" t="n"/>
      <c r="J94" s="16" t="n"/>
      <c r="K94" s="18" t="n"/>
      <c r="L94" s="18" t="n"/>
      <c r="M94" s="16" t="n"/>
      <c r="N94" s="16" t="n"/>
    </row>
    <row r="95">
      <c r="B95" s="17">
        <f>IF($D95="","","C"&amp;TEXT(ROW()-5,"000"))</f>
        <v/>
      </c>
      <c r="C95" s="18" t="n"/>
      <c r="D95" s="16" t="n"/>
      <c r="E95" s="17">
        <f>IF($D95="","",IFERROR(INDEX(rngCadetPIDs,MATCH($D95,rngCadetNames,0)),"?"))</f>
        <v/>
      </c>
      <c r="F95" s="16" t="n"/>
      <c r="G95" s="16" t="n"/>
      <c r="H95" s="16" t="n"/>
      <c r="I95" s="16" t="n"/>
      <c r="J95" s="16" t="n"/>
      <c r="K95" s="18" t="n"/>
      <c r="L95" s="18" t="n"/>
      <c r="M95" s="16" t="n"/>
      <c r="N95" s="16" t="n"/>
    </row>
    <row r="96">
      <c r="B96" s="17">
        <f>IF($D96="","","C"&amp;TEXT(ROW()-5,"000"))</f>
        <v/>
      </c>
      <c r="C96" s="18" t="n"/>
      <c r="D96" s="16" t="n"/>
      <c r="E96" s="17">
        <f>IF($D96="","",IFERROR(INDEX(rngCadetPIDs,MATCH($D96,rngCadetNames,0)),"?"))</f>
        <v/>
      </c>
      <c r="F96" s="16" t="n"/>
      <c r="G96" s="16" t="n"/>
      <c r="H96" s="16" t="n"/>
      <c r="I96" s="16" t="n"/>
      <c r="J96" s="16" t="n"/>
      <c r="K96" s="18" t="n"/>
      <c r="L96" s="18" t="n"/>
      <c r="M96" s="16" t="n"/>
      <c r="N96" s="16" t="n"/>
    </row>
    <row r="97">
      <c r="B97" s="17">
        <f>IF($D97="","","C"&amp;TEXT(ROW()-5,"000"))</f>
        <v/>
      </c>
      <c r="C97" s="18" t="n"/>
      <c r="D97" s="16" t="n"/>
      <c r="E97" s="17">
        <f>IF($D97="","",IFERROR(INDEX(rngCadetPIDs,MATCH($D97,rngCadetNames,0)),"?"))</f>
        <v/>
      </c>
      <c r="F97" s="16" t="n"/>
      <c r="G97" s="16" t="n"/>
      <c r="H97" s="16" t="n"/>
      <c r="I97" s="16" t="n"/>
      <c r="J97" s="16" t="n"/>
      <c r="K97" s="18" t="n"/>
      <c r="L97" s="18" t="n"/>
      <c r="M97" s="16" t="n"/>
      <c r="N97" s="16" t="n"/>
    </row>
    <row r="98">
      <c r="B98" s="17">
        <f>IF($D98="","","C"&amp;TEXT(ROW()-5,"000"))</f>
        <v/>
      </c>
      <c r="C98" s="18" t="n"/>
      <c r="D98" s="16" t="n"/>
      <c r="E98" s="17">
        <f>IF($D98="","",IFERROR(INDEX(rngCadetPIDs,MATCH($D98,rngCadetNames,0)),"?"))</f>
        <v/>
      </c>
      <c r="F98" s="16" t="n"/>
      <c r="G98" s="16" t="n"/>
      <c r="H98" s="16" t="n"/>
      <c r="I98" s="16" t="n"/>
      <c r="J98" s="16" t="n"/>
      <c r="K98" s="18" t="n"/>
      <c r="L98" s="18" t="n"/>
      <c r="M98" s="16" t="n"/>
      <c r="N98" s="16" t="n"/>
    </row>
    <row r="99">
      <c r="B99" s="17">
        <f>IF($D99="","","C"&amp;TEXT(ROW()-5,"000"))</f>
        <v/>
      </c>
      <c r="C99" s="18" t="n"/>
      <c r="D99" s="16" t="n"/>
      <c r="E99" s="17">
        <f>IF($D99="","",IFERROR(INDEX(rngCadetPIDs,MATCH($D99,rngCadetNames,0)),"?"))</f>
        <v/>
      </c>
      <c r="F99" s="16" t="n"/>
      <c r="G99" s="16" t="n"/>
      <c r="H99" s="16" t="n"/>
      <c r="I99" s="16" t="n"/>
      <c r="J99" s="16" t="n"/>
      <c r="K99" s="18" t="n"/>
      <c r="L99" s="18" t="n"/>
      <c r="M99" s="16" t="n"/>
      <c r="N99" s="16" t="n"/>
    </row>
    <row r="100">
      <c r="B100" s="17">
        <f>IF($D100="","","C"&amp;TEXT(ROW()-5,"000"))</f>
        <v/>
      </c>
      <c r="C100" s="18" t="n"/>
      <c r="D100" s="16" t="n"/>
      <c r="E100" s="17">
        <f>IF($D100="","",IFERROR(INDEX(rngCadetPIDs,MATCH($D100,rngCadetNames,0)),"?"))</f>
        <v/>
      </c>
      <c r="F100" s="16" t="n"/>
      <c r="G100" s="16" t="n"/>
      <c r="H100" s="16" t="n"/>
      <c r="I100" s="16" t="n"/>
      <c r="J100" s="16" t="n"/>
      <c r="K100" s="18" t="n"/>
      <c r="L100" s="18" t="n"/>
      <c r="M100" s="16" t="n"/>
      <c r="N100" s="16" t="n"/>
    </row>
    <row r="101">
      <c r="B101" s="17">
        <f>IF($D101="","","C"&amp;TEXT(ROW()-5,"000"))</f>
        <v/>
      </c>
      <c r="C101" s="18" t="n"/>
      <c r="D101" s="16" t="n"/>
      <c r="E101" s="17">
        <f>IF($D101="","",IFERROR(INDEX(rngCadetPIDs,MATCH($D101,rngCadetNames,0)),"?"))</f>
        <v/>
      </c>
      <c r="F101" s="16" t="n"/>
      <c r="G101" s="16" t="n"/>
      <c r="H101" s="16" t="n"/>
      <c r="I101" s="16" t="n"/>
      <c r="J101" s="16" t="n"/>
      <c r="K101" s="18" t="n"/>
      <c r="L101" s="18" t="n"/>
      <c r="M101" s="16" t="n"/>
      <c r="N101" s="16" t="n"/>
    </row>
    <row r="102">
      <c r="B102" s="17">
        <f>IF($D102="","","C"&amp;TEXT(ROW()-5,"000"))</f>
        <v/>
      </c>
      <c r="C102" s="18" t="n"/>
      <c r="D102" s="16" t="n"/>
      <c r="E102" s="17">
        <f>IF($D102="","",IFERROR(INDEX(rngCadetPIDs,MATCH($D102,rngCadetNames,0)),"?"))</f>
        <v/>
      </c>
      <c r="F102" s="16" t="n"/>
      <c r="G102" s="16" t="n"/>
      <c r="H102" s="16" t="n"/>
      <c r="I102" s="16" t="n"/>
      <c r="J102" s="16" t="n"/>
      <c r="K102" s="18" t="n"/>
      <c r="L102" s="18" t="n"/>
      <c r="M102" s="16" t="n"/>
      <c r="N102" s="16" t="n"/>
    </row>
    <row r="103">
      <c r="B103" s="17">
        <f>IF($D103="","","C"&amp;TEXT(ROW()-5,"000"))</f>
        <v/>
      </c>
      <c r="C103" s="18" t="n"/>
      <c r="D103" s="16" t="n"/>
      <c r="E103" s="17">
        <f>IF($D103="","",IFERROR(INDEX(rngCadetPIDs,MATCH($D103,rngCadetNames,0)),"?"))</f>
        <v/>
      </c>
      <c r="F103" s="16" t="n"/>
      <c r="G103" s="16" t="n"/>
      <c r="H103" s="16" t="n"/>
      <c r="I103" s="16" t="n"/>
      <c r="J103" s="16" t="n"/>
      <c r="K103" s="18" t="n"/>
      <c r="L103" s="18" t="n"/>
      <c r="M103" s="16" t="n"/>
      <c r="N103" s="16" t="n"/>
    </row>
    <row r="104">
      <c r="B104" s="17">
        <f>IF($D104="","","C"&amp;TEXT(ROW()-5,"000"))</f>
        <v/>
      </c>
      <c r="C104" s="18" t="n"/>
      <c r="D104" s="16" t="n"/>
      <c r="E104" s="17">
        <f>IF($D104="","",IFERROR(INDEX(rngCadetPIDs,MATCH($D104,rngCadetNames,0)),"?"))</f>
        <v/>
      </c>
      <c r="F104" s="16" t="n"/>
      <c r="G104" s="16" t="n"/>
      <c r="H104" s="16" t="n"/>
      <c r="I104" s="16" t="n"/>
      <c r="J104" s="16" t="n"/>
      <c r="K104" s="18" t="n"/>
      <c r="L104" s="18" t="n"/>
      <c r="M104" s="16" t="n"/>
      <c r="N104" s="16" t="n"/>
    </row>
    <row r="105">
      <c r="B105" s="17">
        <f>IF($D105="","","C"&amp;TEXT(ROW()-5,"000"))</f>
        <v/>
      </c>
      <c r="C105" s="18" t="n"/>
      <c r="D105" s="16" t="n"/>
      <c r="E105" s="17">
        <f>IF($D105="","",IFERROR(INDEX(rngCadetPIDs,MATCH($D105,rngCadetNames,0)),"?"))</f>
        <v/>
      </c>
      <c r="F105" s="16" t="n"/>
      <c r="G105" s="16" t="n"/>
      <c r="H105" s="16" t="n"/>
      <c r="I105" s="16" t="n"/>
      <c r="J105" s="16" t="n"/>
      <c r="K105" s="18" t="n"/>
      <c r="L105" s="18" t="n"/>
      <c r="M105" s="16" t="n"/>
      <c r="N105" s="16" t="n"/>
    </row>
    <row r="106">
      <c r="B106" s="17">
        <f>IF($D106="","","C"&amp;TEXT(ROW()-5,"000"))</f>
        <v/>
      </c>
      <c r="C106" s="18" t="n"/>
      <c r="D106" s="16" t="n"/>
      <c r="E106" s="17">
        <f>IF($D106="","",IFERROR(INDEX(rngCadetPIDs,MATCH($D106,rngCadetNames,0)),"?"))</f>
        <v/>
      </c>
      <c r="F106" s="16" t="n"/>
      <c r="G106" s="16" t="n"/>
      <c r="H106" s="16" t="n"/>
      <c r="I106" s="16" t="n"/>
      <c r="J106" s="16" t="n"/>
      <c r="K106" s="18" t="n"/>
      <c r="L106" s="18" t="n"/>
      <c r="M106" s="16" t="n"/>
      <c r="N106" s="16" t="n"/>
    </row>
    <row r="107">
      <c r="B107" s="17">
        <f>IF($D107="","","C"&amp;TEXT(ROW()-5,"000"))</f>
        <v/>
      </c>
      <c r="C107" s="18" t="n"/>
      <c r="D107" s="16" t="n"/>
      <c r="E107" s="17">
        <f>IF($D107="","",IFERROR(INDEX(rngCadetPIDs,MATCH($D107,rngCadetNames,0)),"?"))</f>
        <v/>
      </c>
      <c r="F107" s="16" t="n"/>
      <c r="G107" s="16" t="n"/>
      <c r="H107" s="16" t="n"/>
      <c r="I107" s="16" t="n"/>
      <c r="J107" s="16" t="n"/>
      <c r="K107" s="18" t="n"/>
      <c r="L107" s="18" t="n"/>
      <c r="M107" s="16" t="n"/>
      <c r="N107" s="16" t="n"/>
    </row>
    <row r="108">
      <c r="B108" s="17">
        <f>IF($D108="","","C"&amp;TEXT(ROW()-5,"000"))</f>
        <v/>
      </c>
      <c r="C108" s="18" t="n"/>
      <c r="D108" s="16" t="n"/>
      <c r="E108" s="17">
        <f>IF($D108="","",IFERROR(INDEX(rngCadetPIDs,MATCH($D108,rngCadetNames,0)),"?"))</f>
        <v/>
      </c>
      <c r="F108" s="16" t="n"/>
      <c r="G108" s="16" t="n"/>
      <c r="H108" s="16" t="n"/>
      <c r="I108" s="16" t="n"/>
      <c r="J108" s="16" t="n"/>
      <c r="K108" s="18" t="n"/>
      <c r="L108" s="18" t="n"/>
      <c r="M108" s="16" t="n"/>
      <c r="N108" s="16" t="n"/>
    </row>
    <row r="109">
      <c r="B109" s="17">
        <f>IF($D109="","","C"&amp;TEXT(ROW()-5,"000"))</f>
        <v/>
      </c>
      <c r="C109" s="18" t="n"/>
      <c r="D109" s="16" t="n"/>
      <c r="E109" s="17">
        <f>IF($D109="","",IFERROR(INDEX(rngCadetPIDs,MATCH($D109,rngCadetNames,0)),"?"))</f>
        <v/>
      </c>
      <c r="F109" s="16" t="n"/>
      <c r="G109" s="16" t="n"/>
      <c r="H109" s="16" t="n"/>
      <c r="I109" s="16" t="n"/>
      <c r="J109" s="16" t="n"/>
      <c r="K109" s="18" t="n"/>
      <c r="L109" s="18" t="n"/>
      <c r="M109" s="16" t="n"/>
      <c r="N109" s="16" t="n"/>
    </row>
    <row r="110">
      <c r="B110" s="17">
        <f>IF($D110="","","C"&amp;TEXT(ROW()-5,"000"))</f>
        <v/>
      </c>
      <c r="C110" s="18" t="n"/>
      <c r="D110" s="16" t="n"/>
      <c r="E110" s="17">
        <f>IF($D110="","",IFERROR(INDEX(rngCadetPIDs,MATCH($D110,rngCadetNames,0)),"?"))</f>
        <v/>
      </c>
      <c r="F110" s="16" t="n"/>
      <c r="G110" s="16" t="n"/>
      <c r="H110" s="16" t="n"/>
      <c r="I110" s="16" t="n"/>
      <c r="J110" s="16" t="n"/>
      <c r="K110" s="18" t="n"/>
      <c r="L110" s="18" t="n"/>
      <c r="M110" s="16" t="n"/>
      <c r="N110" s="16" t="n"/>
    </row>
    <row r="111">
      <c r="B111" s="17">
        <f>IF($D111="","","C"&amp;TEXT(ROW()-5,"000"))</f>
        <v/>
      </c>
      <c r="C111" s="18" t="n"/>
      <c r="D111" s="16" t="n"/>
      <c r="E111" s="17">
        <f>IF($D111="","",IFERROR(INDEX(rngCadetPIDs,MATCH($D111,rngCadetNames,0)),"?"))</f>
        <v/>
      </c>
      <c r="F111" s="16" t="n"/>
      <c r="G111" s="16" t="n"/>
      <c r="H111" s="16" t="n"/>
      <c r="I111" s="16" t="n"/>
      <c r="J111" s="16" t="n"/>
      <c r="K111" s="18" t="n"/>
      <c r="L111" s="18" t="n"/>
      <c r="M111" s="16" t="n"/>
      <c r="N111" s="16" t="n"/>
    </row>
    <row r="112">
      <c r="B112" s="17">
        <f>IF($D112="","","C"&amp;TEXT(ROW()-5,"000"))</f>
        <v/>
      </c>
      <c r="C112" s="18" t="n"/>
      <c r="D112" s="16" t="n"/>
      <c r="E112" s="17">
        <f>IF($D112="","",IFERROR(INDEX(rngCadetPIDs,MATCH($D112,rngCadetNames,0)),"?"))</f>
        <v/>
      </c>
      <c r="F112" s="16" t="n"/>
      <c r="G112" s="16" t="n"/>
      <c r="H112" s="16" t="n"/>
      <c r="I112" s="16" t="n"/>
      <c r="J112" s="16" t="n"/>
      <c r="K112" s="18" t="n"/>
      <c r="L112" s="18" t="n"/>
      <c r="M112" s="16" t="n"/>
      <c r="N112" s="16" t="n"/>
    </row>
    <row r="113">
      <c r="B113" s="17">
        <f>IF($D113="","","C"&amp;TEXT(ROW()-5,"000"))</f>
        <v/>
      </c>
      <c r="C113" s="18" t="n"/>
      <c r="D113" s="16" t="n"/>
      <c r="E113" s="17">
        <f>IF($D113="","",IFERROR(INDEX(rngCadetPIDs,MATCH($D113,rngCadetNames,0)),"?"))</f>
        <v/>
      </c>
      <c r="F113" s="16" t="n"/>
      <c r="G113" s="16" t="n"/>
      <c r="H113" s="16" t="n"/>
      <c r="I113" s="16" t="n"/>
      <c r="J113" s="16" t="n"/>
      <c r="K113" s="18" t="n"/>
      <c r="L113" s="18" t="n"/>
      <c r="M113" s="16" t="n"/>
      <c r="N113" s="16" t="n"/>
    </row>
    <row r="114">
      <c r="B114" s="17">
        <f>IF($D114="","","C"&amp;TEXT(ROW()-5,"000"))</f>
        <v/>
      </c>
      <c r="C114" s="18" t="n"/>
      <c r="D114" s="16" t="n"/>
      <c r="E114" s="17">
        <f>IF($D114="","",IFERROR(INDEX(rngCadetPIDs,MATCH($D114,rngCadetNames,0)),"?"))</f>
        <v/>
      </c>
      <c r="F114" s="16" t="n"/>
      <c r="G114" s="16" t="n"/>
      <c r="H114" s="16" t="n"/>
      <c r="I114" s="16" t="n"/>
      <c r="J114" s="16" t="n"/>
      <c r="K114" s="18" t="n"/>
      <c r="L114" s="18" t="n"/>
      <c r="M114" s="16" t="n"/>
      <c r="N114" s="16" t="n"/>
    </row>
    <row r="115">
      <c r="B115" s="17">
        <f>IF($D115="","","C"&amp;TEXT(ROW()-5,"000"))</f>
        <v/>
      </c>
      <c r="C115" s="18" t="n"/>
      <c r="D115" s="16" t="n"/>
      <c r="E115" s="17">
        <f>IF($D115="","",IFERROR(INDEX(rngCadetPIDs,MATCH($D115,rngCadetNames,0)),"?"))</f>
        <v/>
      </c>
      <c r="F115" s="16" t="n"/>
      <c r="G115" s="16" t="n"/>
      <c r="H115" s="16" t="n"/>
      <c r="I115" s="16" t="n"/>
      <c r="J115" s="16" t="n"/>
      <c r="K115" s="18" t="n"/>
      <c r="L115" s="18" t="n"/>
      <c r="M115" s="16" t="n"/>
      <c r="N115" s="16" t="n"/>
    </row>
    <row r="116">
      <c r="B116" s="17">
        <f>IF($D116="","","C"&amp;TEXT(ROW()-5,"000"))</f>
        <v/>
      </c>
      <c r="C116" s="18" t="n"/>
      <c r="D116" s="16" t="n"/>
      <c r="E116" s="17">
        <f>IF($D116="","",IFERROR(INDEX(rngCadetPIDs,MATCH($D116,rngCadetNames,0)),"?"))</f>
        <v/>
      </c>
      <c r="F116" s="16" t="n"/>
      <c r="G116" s="16" t="n"/>
      <c r="H116" s="16" t="n"/>
      <c r="I116" s="16" t="n"/>
      <c r="J116" s="16" t="n"/>
      <c r="K116" s="18" t="n"/>
      <c r="L116" s="18" t="n"/>
      <c r="M116" s="16" t="n"/>
      <c r="N116" s="16" t="n"/>
    </row>
    <row r="117">
      <c r="B117" s="17">
        <f>IF($D117="","","C"&amp;TEXT(ROW()-5,"000"))</f>
        <v/>
      </c>
      <c r="C117" s="18" t="n"/>
      <c r="D117" s="16" t="n"/>
      <c r="E117" s="17">
        <f>IF($D117="","",IFERROR(INDEX(rngCadetPIDs,MATCH($D117,rngCadetNames,0)),"?"))</f>
        <v/>
      </c>
      <c r="F117" s="16" t="n"/>
      <c r="G117" s="16" t="n"/>
      <c r="H117" s="16" t="n"/>
      <c r="I117" s="16" t="n"/>
      <c r="J117" s="16" t="n"/>
      <c r="K117" s="18" t="n"/>
      <c r="L117" s="18" t="n"/>
      <c r="M117" s="16" t="n"/>
      <c r="N117" s="16" t="n"/>
    </row>
    <row r="118">
      <c r="B118" s="17">
        <f>IF($D118="","","C"&amp;TEXT(ROW()-5,"000"))</f>
        <v/>
      </c>
      <c r="C118" s="18" t="n"/>
      <c r="D118" s="16" t="n"/>
      <c r="E118" s="17">
        <f>IF($D118="","",IFERROR(INDEX(rngCadetPIDs,MATCH($D118,rngCadetNames,0)),"?"))</f>
        <v/>
      </c>
      <c r="F118" s="16" t="n"/>
      <c r="G118" s="16" t="n"/>
      <c r="H118" s="16" t="n"/>
      <c r="I118" s="16" t="n"/>
      <c r="J118" s="16" t="n"/>
      <c r="K118" s="18" t="n"/>
      <c r="L118" s="18" t="n"/>
      <c r="M118" s="16" t="n"/>
      <c r="N118" s="16" t="n"/>
    </row>
    <row r="119">
      <c r="B119" s="17">
        <f>IF($D119="","","C"&amp;TEXT(ROW()-5,"000"))</f>
        <v/>
      </c>
      <c r="C119" s="18" t="n"/>
      <c r="D119" s="16" t="n"/>
      <c r="E119" s="17">
        <f>IF($D119="","",IFERROR(INDEX(rngCadetPIDs,MATCH($D119,rngCadetNames,0)),"?"))</f>
        <v/>
      </c>
      <c r="F119" s="16" t="n"/>
      <c r="G119" s="16" t="n"/>
      <c r="H119" s="16" t="n"/>
      <c r="I119" s="16" t="n"/>
      <c r="J119" s="16" t="n"/>
      <c r="K119" s="18" t="n"/>
      <c r="L119" s="18" t="n"/>
      <c r="M119" s="16" t="n"/>
      <c r="N119" s="16" t="n"/>
    </row>
    <row r="120">
      <c r="B120" s="17">
        <f>IF($D120="","","C"&amp;TEXT(ROW()-5,"000"))</f>
        <v/>
      </c>
      <c r="C120" s="18" t="n"/>
      <c r="D120" s="16" t="n"/>
      <c r="E120" s="17">
        <f>IF($D120="","",IFERROR(INDEX(rngCadetPIDs,MATCH($D120,rngCadetNames,0)),"?"))</f>
        <v/>
      </c>
      <c r="F120" s="16" t="n"/>
      <c r="G120" s="16" t="n"/>
      <c r="H120" s="16" t="n"/>
      <c r="I120" s="16" t="n"/>
      <c r="J120" s="16" t="n"/>
      <c r="K120" s="18" t="n"/>
      <c r="L120" s="18" t="n"/>
      <c r="M120" s="16" t="n"/>
      <c r="N120" s="16" t="n"/>
    </row>
    <row r="121">
      <c r="B121" s="17">
        <f>IF($D121="","","C"&amp;TEXT(ROW()-5,"000"))</f>
        <v/>
      </c>
      <c r="C121" s="18" t="n"/>
      <c r="D121" s="16" t="n"/>
      <c r="E121" s="17">
        <f>IF($D121="","",IFERROR(INDEX(rngCadetPIDs,MATCH($D121,rngCadetNames,0)),"?"))</f>
        <v/>
      </c>
      <c r="F121" s="16" t="n"/>
      <c r="G121" s="16" t="n"/>
      <c r="H121" s="16" t="n"/>
      <c r="I121" s="16" t="n"/>
      <c r="J121" s="16" t="n"/>
      <c r="K121" s="18" t="n"/>
      <c r="L121" s="18" t="n"/>
      <c r="M121" s="16" t="n"/>
      <c r="N121" s="16" t="n"/>
    </row>
    <row r="122">
      <c r="B122" s="17">
        <f>IF($D122="","","C"&amp;TEXT(ROW()-5,"000"))</f>
        <v/>
      </c>
      <c r="C122" s="18" t="n"/>
      <c r="D122" s="16" t="n"/>
      <c r="E122" s="17">
        <f>IF($D122="","",IFERROR(INDEX(rngCadetPIDs,MATCH($D122,rngCadetNames,0)),"?"))</f>
        <v/>
      </c>
      <c r="F122" s="16" t="n"/>
      <c r="G122" s="16" t="n"/>
      <c r="H122" s="16" t="n"/>
      <c r="I122" s="16" t="n"/>
      <c r="J122" s="16" t="n"/>
      <c r="K122" s="18" t="n"/>
      <c r="L122" s="18" t="n"/>
      <c r="M122" s="16" t="n"/>
      <c r="N122" s="16" t="n"/>
    </row>
    <row r="123">
      <c r="B123" s="17">
        <f>IF($D123="","","C"&amp;TEXT(ROW()-5,"000"))</f>
        <v/>
      </c>
      <c r="C123" s="18" t="n"/>
      <c r="D123" s="16" t="n"/>
      <c r="E123" s="17">
        <f>IF($D123="","",IFERROR(INDEX(rngCadetPIDs,MATCH($D123,rngCadetNames,0)),"?"))</f>
        <v/>
      </c>
      <c r="F123" s="16" t="n"/>
      <c r="G123" s="16" t="n"/>
      <c r="H123" s="16" t="n"/>
      <c r="I123" s="16" t="n"/>
      <c r="J123" s="16" t="n"/>
      <c r="K123" s="18" t="n"/>
      <c r="L123" s="18" t="n"/>
      <c r="M123" s="16" t="n"/>
      <c r="N123" s="16" t="n"/>
    </row>
    <row r="124">
      <c r="B124" s="17">
        <f>IF($D124="","","C"&amp;TEXT(ROW()-5,"000"))</f>
        <v/>
      </c>
      <c r="C124" s="18" t="n"/>
      <c r="D124" s="16" t="n"/>
      <c r="E124" s="17">
        <f>IF($D124="","",IFERROR(INDEX(rngCadetPIDs,MATCH($D124,rngCadetNames,0)),"?"))</f>
        <v/>
      </c>
      <c r="F124" s="16" t="n"/>
      <c r="G124" s="16" t="n"/>
      <c r="H124" s="16" t="n"/>
      <c r="I124" s="16" t="n"/>
      <c r="J124" s="16" t="n"/>
      <c r="K124" s="18" t="n"/>
      <c r="L124" s="18" t="n"/>
      <c r="M124" s="16" t="n"/>
      <c r="N124" s="16" t="n"/>
    </row>
    <row r="125">
      <c r="B125" s="17">
        <f>IF($D125="","","C"&amp;TEXT(ROW()-5,"000"))</f>
        <v/>
      </c>
      <c r="C125" s="18" t="n"/>
      <c r="D125" s="16" t="n"/>
      <c r="E125" s="17">
        <f>IF($D125="","",IFERROR(INDEX(rngCadetPIDs,MATCH($D125,rngCadetNames,0)),"?"))</f>
        <v/>
      </c>
      <c r="F125" s="16" t="n"/>
      <c r="G125" s="16" t="n"/>
      <c r="H125" s="16" t="n"/>
      <c r="I125" s="16" t="n"/>
      <c r="J125" s="16" t="n"/>
      <c r="K125" s="18" t="n"/>
      <c r="L125" s="18" t="n"/>
      <c r="M125" s="16" t="n"/>
      <c r="N125" s="16" t="n"/>
    </row>
    <row r="126">
      <c r="B126" s="17">
        <f>IF($D126="","","C"&amp;TEXT(ROW()-5,"000"))</f>
        <v/>
      </c>
      <c r="C126" s="18" t="n"/>
      <c r="D126" s="16" t="n"/>
      <c r="E126" s="17">
        <f>IF($D126="","",IFERROR(INDEX(rngCadetPIDs,MATCH($D126,rngCadetNames,0)),"?"))</f>
        <v/>
      </c>
      <c r="F126" s="16" t="n"/>
      <c r="G126" s="16" t="n"/>
      <c r="H126" s="16" t="n"/>
      <c r="I126" s="16" t="n"/>
      <c r="J126" s="16" t="n"/>
      <c r="K126" s="18" t="n"/>
      <c r="L126" s="18" t="n"/>
      <c r="M126" s="16" t="n"/>
      <c r="N126" s="16" t="n"/>
    </row>
    <row r="127">
      <c r="B127" s="17">
        <f>IF($D127="","","C"&amp;TEXT(ROW()-5,"000"))</f>
        <v/>
      </c>
      <c r="C127" s="18" t="n"/>
      <c r="D127" s="16" t="n"/>
      <c r="E127" s="17">
        <f>IF($D127="","",IFERROR(INDEX(rngCadetPIDs,MATCH($D127,rngCadetNames,0)),"?"))</f>
        <v/>
      </c>
      <c r="F127" s="16" t="n"/>
      <c r="G127" s="16" t="n"/>
      <c r="H127" s="16" t="n"/>
      <c r="I127" s="16" t="n"/>
      <c r="J127" s="16" t="n"/>
      <c r="K127" s="18" t="n"/>
      <c r="L127" s="18" t="n"/>
      <c r="M127" s="16" t="n"/>
      <c r="N127" s="16" t="n"/>
    </row>
    <row r="128">
      <c r="B128" s="17">
        <f>IF($D128="","","C"&amp;TEXT(ROW()-5,"000"))</f>
        <v/>
      </c>
      <c r="C128" s="18" t="n"/>
      <c r="D128" s="16" t="n"/>
      <c r="E128" s="17">
        <f>IF($D128="","",IFERROR(INDEX(rngCadetPIDs,MATCH($D128,rngCadetNames,0)),"?"))</f>
        <v/>
      </c>
      <c r="F128" s="16" t="n"/>
      <c r="G128" s="16" t="n"/>
      <c r="H128" s="16" t="n"/>
      <c r="I128" s="16" t="n"/>
      <c r="J128" s="16" t="n"/>
      <c r="K128" s="18" t="n"/>
      <c r="L128" s="18" t="n"/>
      <c r="M128" s="16" t="n"/>
      <c r="N128" s="16" t="n"/>
    </row>
    <row r="129">
      <c r="B129" s="17">
        <f>IF($D129="","","C"&amp;TEXT(ROW()-5,"000"))</f>
        <v/>
      </c>
      <c r="C129" s="18" t="n"/>
      <c r="D129" s="16" t="n"/>
      <c r="E129" s="17">
        <f>IF($D129="","",IFERROR(INDEX(rngCadetPIDs,MATCH($D129,rngCadetNames,0)),"?"))</f>
        <v/>
      </c>
      <c r="F129" s="16" t="n"/>
      <c r="G129" s="16" t="n"/>
      <c r="H129" s="16" t="n"/>
      <c r="I129" s="16" t="n"/>
      <c r="J129" s="16" t="n"/>
      <c r="K129" s="18" t="n"/>
      <c r="L129" s="18" t="n"/>
      <c r="M129" s="16" t="n"/>
      <c r="N129" s="16" t="n"/>
    </row>
    <row r="130">
      <c r="B130" s="17">
        <f>IF($D130="","","C"&amp;TEXT(ROW()-5,"000"))</f>
        <v/>
      </c>
      <c r="C130" s="18" t="n"/>
      <c r="D130" s="16" t="n"/>
      <c r="E130" s="17">
        <f>IF($D130="","",IFERROR(INDEX(rngCadetPIDs,MATCH($D130,rngCadetNames,0)),"?"))</f>
        <v/>
      </c>
      <c r="F130" s="16" t="n"/>
      <c r="G130" s="16" t="n"/>
      <c r="H130" s="16" t="n"/>
      <c r="I130" s="16" t="n"/>
      <c r="J130" s="16" t="n"/>
      <c r="K130" s="18" t="n"/>
      <c r="L130" s="18" t="n"/>
      <c r="M130" s="16" t="n"/>
      <c r="N130" s="16" t="n"/>
    </row>
    <row r="131">
      <c r="B131" s="17">
        <f>IF($D131="","","C"&amp;TEXT(ROW()-5,"000"))</f>
        <v/>
      </c>
      <c r="C131" s="18" t="n"/>
      <c r="D131" s="16" t="n"/>
      <c r="E131" s="17">
        <f>IF($D131="","",IFERROR(INDEX(rngCadetPIDs,MATCH($D131,rngCadetNames,0)),"?"))</f>
        <v/>
      </c>
      <c r="F131" s="16" t="n"/>
      <c r="G131" s="16" t="n"/>
      <c r="H131" s="16" t="n"/>
      <c r="I131" s="16" t="n"/>
      <c r="J131" s="16" t="n"/>
      <c r="K131" s="18" t="n"/>
      <c r="L131" s="18" t="n"/>
      <c r="M131" s="16" t="n"/>
      <c r="N131" s="16" t="n"/>
    </row>
    <row r="132">
      <c r="B132" s="17">
        <f>IF($D132="","","C"&amp;TEXT(ROW()-5,"000"))</f>
        <v/>
      </c>
      <c r="C132" s="18" t="n"/>
      <c r="D132" s="16" t="n"/>
      <c r="E132" s="17">
        <f>IF($D132="","",IFERROR(INDEX(rngCadetPIDs,MATCH($D132,rngCadetNames,0)),"?"))</f>
        <v/>
      </c>
      <c r="F132" s="16" t="n"/>
      <c r="G132" s="16" t="n"/>
      <c r="H132" s="16" t="n"/>
      <c r="I132" s="16" t="n"/>
      <c r="J132" s="16" t="n"/>
      <c r="K132" s="18" t="n"/>
      <c r="L132" s="18" t="n"/>
      <c r="M132" s="16" t="n"/>
      <c r="N132" s="16" t="n"/>
    </row>
    <row r="133">
      <c r="B133" s="17">
        <f>IF($D133="","","C"&amp;TEXT(ROW()-5,"000"))</f>
        <v/>
      </c>
      <c r="C133" s="18" t="n"/>
      <c r="D133" s="16" t="n"/>
      <c r="E133" s="17">
        <f>IF($D133="","",IFERROR(INDEX(rngCadetPIDs,MATCH($D133,rngCadetNames,0)),"?"))</f>
        <v/>
      </c>
      <c r="F133" s="16" t="n"/>
      <c r="G133" s="16" t="n"/>
      <c r="H133" s="16" t="n"/>
      <c r="I133" s="16" t="n"/>
      <c r="J133" s="16" t="n"/>
      <c r="K133" s="18" t="n"/>
      <c r="L133" s="18" t="n"/>
      <c r="M133" s="16" t="n"/>
      <c r="N133" s="16" t="n"/>
    </row>
    <row r="134">
      <c r="B134" s="17">
        <f>IF($D134="","","C"&amp;TEXT(ROW()-5,"000"))</f>
        <v/>
      </c>
      <c r="C134" s="18" t="n"/>
      <c r="D134" s="16" t="n"/>
      <c r="E134" s="17">
        <f>IF($D134="","",IFERROR(INDEX(rngCadetPIDs,MATCH($D134,rngCadetNames,0)),"?"))</f>
        <v/>
      </c>
      <c r="F134" s="16" t="n"/>
      <c r="G134" s="16" t="n"/>
      <c r="H134" s="16" t="n"/>
      <c r="I134" s="16" t="n"/>
      <c r="J134" s="16" t="n"/>
      <c r="K134" s="18" t="n"/>
      <c r="L134" s="18" t="n"/>
      <c r="M134" s="16" t="n"/>
      <c r="N134" s="16" t="n"/>
    </row>
    <row r="135">
      <c r="B135" s="17">
        <f>IF($D135="","","C"&amp;TEXT(ROW()-5,"000"))</f>
        <v/>
      </c>
      <c r="C135" s="18" t="n"/>
      <c r="D135" s="16" t="n"/>
      <c r="E135" s="17">
        <f>IF($D135="","",IFERROR(INDEX(rngCadetPIDs,MATCH($D135,rngCadetNames,0)),"?"))</f>
        <v/>
      </c>
      <c r="F135" s="16" t="n"/>
      <c r="G135" s="16" t="n"/>
      <c r="H135" s="16" t="n"/>
      <c r="I135" s="16" t="n"/>
      <c r="J135" s="16" t="n"/>
      <c r="K135" s="18" t="n"/>
      <c r="L135" s="18" t="n"/>
      <c r="M135" s="16" t="n"/>
      <c r="N135" s="16" t="n"/>
    </row>
    <row r="136">
      <c r="B136" s="17">
        <f>IF($D136="","","C"&amp;TEXT(ROW()-5,"000"))</f>
        <v/>
      </c>
      <c r="C136" s="18" t="n"/>
      <c r="D136" s="16" t="n"/>
      <c r="E136" s="17">
        <f>IF($D136="","",IFERROR(INDEX(rngCadetPIDs,MATCH($D136,rngCadetNames,0)),"?"))</f>
        <v/>
      </c>
      <c r="F136" s="16" t="n"/>
      <c r="G136" s="16" t="n"/>
      <c r="H136" s="16" t="n"/>
      <c r="I136" s="16" t="n"/>
      <c r="J136" s="16" t="n"/>
      <c r="K136" s="18" t="n"/>
      <c r="L136" s="18" t="n"/>
      <c r="M136" s="16" t="n"/>
      <c r="N136" s="16" t="n"/>
    </row>
    <row r="137">
      <c r="B137" s="17">
        <f>IF($D137="","","C"&amp;TEXT(ROW()-5,"000"))</f>
        <v/>
      </c>
      <c r="C137" s="18" t="n"/>
      <c r="D137" s="16" t="n"/>
      <c r="E137" s="17">
        <f>IF($D137="","",IFERROR(INDEX(rngCadetPIDs,MATCH($D137,rngCadetNames,0)),"?"))</f>
        <v/>
      </c>
      <c r="F137" s="16" t="n"/>
      <c r="G137" s="16" t="n"/>
      <c r="H137" s="16" t="n"/>
      <c r="I137" s="16" t="n"/>
      <c r="J137" s="16" t="n"/>
      <c r="K137" s="18" t="n"/>
      <c r="L137" s="18" t="n"/>
      <c r="M137" s="16" t="n"/>
      <c r="N137" s="16" t="n"/>
    </row>
    <row r="138">
      <c r="B138" s="17">
        <f>IF($D138="","","C"&amp;TEXT(ROW()-5,"000"))</f>
        <v/>
      </c>
      <c r="C138" s="18" t="n"/>
      <c r="D138" s="16" t="n"/>
      <c r="E138" s="17">
        <f>IF($D138="","",IFERROR(INDEX(rngCadetPIDs,MATCH($D138,rngCadetNames,0)),"?"))</f>
        <v/>
      </c>
      <c r="F138" s="16" t="n"/>
      <c r="G138" s="16" t="n"/>
      <c r="H138" s="16" t="n"/>
      <c r="I138" s="16" t="n"/>
      <c r="J138" s="16" t="n"/>
      <c r="K138" s="18" t="n"/>
      <c r="L138" s="18" t="n"/>
      <c r="M138" s="16" t="n"/>
      <c r="N138" s="16" t="n"/>
    </row>
    <row r="139">
      <c r="B139" s="17">
        <f>IF($D139="","","C"&amp;TEXT(ROW()-5,"000"))</f>
        <v/>
      </c>
      <c r="C139" s="18" t="n"/>
      <c r="D139" s="16" t="n"/>
      <c r="E139" s="17">
        <f>IF($D139="","",IFERROR(INDEX(rngCadetPIDs,MATCH($D139,rngCadetNames,0)),"?"))</f>
        <v/>
      </c>
      <c r="F139" s="16" t="n"/>
      <c r="G139" s="16" t="n"/>
      <c r="H139" s="16" t="n"/>
      <c r="I139" s="16" t="n"/>
      <c r="J139" s="16" t="n"/>
      <c r="K139" s="18" t="n"/>
      <c r="L139" s="18" t="n"/>
      <c r="M139" s="16" t="n"/>
      <c r="N139" s="16" t="n"/>
    </row>
    <row r="140">
      <c r="B140" s="17">
        <f>IF($D140="","","C"&amp;TEXT(ROW()-5,"000"))</f>
        <v/>
      </c>
      <c r="C140" s="18" t="n"/>
      <c r="D140" s="16" t="n"/>
      <c r="E140" s="17">
        <f>IF($D140="","",IFERROR(INDEX(rngCadetPIDs,MATCH($D140,rngCadetNames,0)),"?"))</f>
        <v/>
      </c>
      <c r="F140" s="16" t="n"/>
      <c r="G140" s="16" t="n"/>
      <c r="H140" s="16" t="n"/>
      <c r="I140" s="16" t="n"/>
      <c r="J140" s="16" t="n"/>
      <c r="K140" s="18" t="n"/>
      <c r="L140" s="18" t="n"/>
      <c r="M140" s="16" t="n"/>
      <c r="N140" s="16" t="n"/>
    </row>
    <row r="141">
      <c r="B141" s="17">
        <f>IF($D141="","","C"&amp;TEXT(ROW()-5,"000"))</f>
        <v/>
      </c>
      <c r="C141" s="18" t="n"/>
      <c r="D141" s="16" t="n"/>
      <c r="E141" s="17">
        <f>IF($D141="","",IFERROR(INDEX(rngCadetPIDs,MATCH($D141,rngCadetNames,0)),"?"))</f>
        <v/>
      </c>
      <c r="F141" s="16" t="n"/>
      <c r="G141" s="16" t="n"/>
      <c r="H141" s="16" t="n"/>
      <c r="I141" s="16" t="n"/>
      <c r="J141" s="16" t="n"/>
      <c r="K141" s="18" t="n"/>
      <c r="L141" s="18" t="n"/>
      <c r="M141" s="16" t="n"/>
      <c r="N141" s="16" t="n"/>
    </row>
    <row r="142">
      <c r="B142" s="17">
        <f>IF($D142="","","C"&amp;TEXT(ROW()-5,"000"))</f>
        <v/>
      </c>
      <c r="C142" s="18" t="n"/>
      <c r="D142" s="16" t="n"/>
      <c r="E142" s="17">
        <f>IF($D142="","",IFERROR(INDEX(rngCadetPIDs,MATCH($D142,rngCadetNames,0)),"?"))</f>
        <v/>
      </c>
      <c r="F142" s="16" t="n"/>
      <c r="G142" s="16" t="n"/>
      <c r="H142" s="16" t="n"/>
      <c r="I142" s="16" t="n"/>
      <c r="J142" s="16" t="n"/>
      <c r="K142" s="18" t="n"/>
      <c r="L142" s="18" t="n"/>
      <c r="M142" s="16" t="n"/>
      <c r="N142" s="16" t="n"/>
    </row>
    <row r="143">
      <c r="B143" s="17">
        <f>IF($D143="","","C"&amp;TEXT(ROW()-5,"000"))</f>
        <v/>
      </c>
      <c r="C143" s="18" t="n"/>
      <c r="D143" s="16" t="n"/>
      <c r="E143" s="17">
        <f>IF($D143="","",IFERROR(INDEX(rngCadetPIDs,MATCH($D143,rngCadetNames,0)),"?"))</f>
        <v/>
      </c>
      <c r="F143" s="16" t="n"/>
      <c r="G143" s="16" t="n"/>
      <c r="H143" s="16" t="n"/>
      <c r="I143" s="16" t="n"/>
      <c r="J143" s="16" t="n"/>
      <c r="K143" s="18" t="n"/>
      <c r="L143" s="18" t="n"/>
      <c r="M143" s="16" t="n"/>
      <c r="N143" s="16" t="n"/>
    </row>
    <row r="144">
      <c r="B144" s="17">
        <f>IF($D144="","","C"&amp;TEXT(ROW()-5,"000"))</f>
        <v/>
      </c>
      <c r="C144" s="18" t="n"/>
      <c r="D144" s="16" t="n"/>
      <c r="E144" s="17">
        <f>IF($D144="","",IFERROR(INDEX(rngCadetPIDs,MATCH($D144,rngCadetNames,0)),"?"))</f>
        <v/>
      </c>
      <c r="F144" s="16" t="n"/>
      <c r="G144" s="16" t="n"/>
      <c r="H144" s="16" t="n"/>
      <c r="I144" s="16" t="n"/>
      <c r="J144" s="16" t="n"/>
      <c r="K144" s="18" t="n"/>
      <c r="L144" s="18" t="n"/>
      <c r="M144" s="16" t="n"/>
      <c r="N144" s="16" t="n"/>
    </row>
    <row r="145">
      <c r="B145" s="17">
        <f>IF($D145="","","C"&amp;TEXT(ROW()-5,"000"))</f>
        <v/>
      </c>
      <c r="C145" s="18" t="n"/>
      <c r="D145" s="16" t="n"/>
      <c r="E145" s="17">
        <f>IF($D145="","",IFERROR(INDEX(rngCadetPIDs,MATCH($D145,rngCadetNames,0)),"?"))</f>
        <v/>
      </c>
      <c r="F145" s="16" t="n"/>
      <c r="G145" s="16" t="n"/>
      <c r="H145" s="16" t="n"/>
      <c r="I145" s="16" t="n"/>
      <c r="J145" s="16" t="n"/>
      <c r="K145" s="18" t="n"/>
      <c r="L145" s="18" t="n"/>
      <c r="M145" s="16" t="n"/>
      <c r="N145" s="16" t="n"/>
    </row>
    <row r="146">
      <c r="B146" s="17">
        <f>IF($D146="","","C"&amp;TEXT(ROW()-5,"000"))</f>
        <v/>
      </c>
      <c r="C146" s="18" t="n"/>
      <c r="D146" s="16" t="n"/>
      <c r="E146" s="17">
        <f>IF($D146="","",IFERROR(INDEX(rngCadetPIDs,MATCH($D146,rngCadetNames,0)),"?"))</f>
        <v/>
      </c>
      <c r="F146" s="16" t="n"/>
      <c r="G146" s="16" t="n"/>
      <c r="H146" s="16" t="n"/>
      <c r="I146" s="16" t="n"/>
      <c r="J146" s="16" t="n"/>
      <c r="K146" s="18" t="n"/>
      <c r="L146" s="18" t="n"/>
      <c r="M146" s="16" t="n"/>
      <c r="N146" s="16" t="n"/>
    </row>
    <row r="147">
      <c r="B147" s="17">
        <f>IF($D147="","","C"&amp;TEXT(ROW()-5,"000"))</f>
        <v/>
      </c>
      <c r="C147" s="18" t="n"/>
      <c r="D147" s="16" t="n"/>
      <c r="E147" s="17">
        <f>IF($D147="","",IFERROR(INDEX(rngCadetPIDs,MATCH($D147,rngCadetNames,0)),"?"))</f>
        <v/>
      </c>
      <c r="F147" s="16" t="n"/>
      <c r="G147" s="16" t="n"/>
      <c r="H147" s="16" t="n"/>
      <c r="I147" s="16" t="n"/>
      <c r="J147" s="16" t="n"/>
      <c r="K147" s="18" t="n"/>
      <c r="L147" s="18" t="n"/>
      <c r="M147" s="16" t="n"/>
      <c r="N147" s="16" t="n"/>
    </row>
    <row r="148">
      <c r="B148" s="17">
        <f>IF($D148="","","C"&amp;TEXT(ROW()-5,"000"))</f>
        <v/>
      </c>
      <c r="C148" s="18" t="n"/>
      <c r="D148" s="16" t="n"/>
      <c r="E148" s="17">
        <f>IF($D148="","",IFERROR(INDEX(rngCadetPIDs,MATCH($D148,rngCadetNames,0)),"?"))</f>
        <v/>
      </c>
      <c r="F148" s="16" t="n"/>
      <c r="G148" s="16" t="n"/>
      <c r="H148" s="16" t="n"/>
      <c r="I148" s="16" t="n"/>
      <c r="J148" s="16" t="n"/>
      <c r="K148" s="18" t="n"/>
      <c r="L148" s="18" t="n"/>
      <c r="M148" s="16" t="n"/>
      <c r="N148" s="16" t="n"/>
    </row>
    <row r="149">
      <c r="B149" s="17">
        <f>IF($D149="","","C"&amp;TEXT(ROW()-5,"000"))</f>
        <v/>
      </c>
      <c r="C149" s="18" t="n"/>
      <c r="D149" s="16" t="n"/>
      <c r="E149" s="17">
        <f>IF($D149="","",IFERROR(INDEX(rngCadetPIDs,MATCH($D149,rngCadetNames,0)),"?"))</f>
        <v/>
      </c>
      <c r="F149" s="16" t="n"/>
      <c r="G149" s="16" t="n"/>
      <c r="H149" s="16" t="n"/>
      <c r="I149" s="16" t="n"/>
      <c r="J149" s="16" t="n"/>
      <c r="K149" s="18" t="n"/>
      <c r="L149" s="18" t="n"/>
      <c r="M149" s="16" t="n"/>
      <c r="N149" s="16" t="n"/>
    </row>
    <row r="150">
      <c r="B150" s="17">
        <f>IF($D150="","","C"&amp;TEXT(ROW()-5,"000"))</f>
        <v/>
      </c>
      <c r="C150" s="18" t="n"/>
      <c r="D150" s="16" t="n"/>
      <c r="E150" s="17">
        <f>IF($D150="","",IFERROR(INDEX(rngCadetPIDs,MATCH($D150,rngCadetNames,0)),"?"))</f>
        <v/>
      </c>
      <c r="F150" s="16" t="n"/>
      <c r="G150" s="16" t="n"/>
      <c r="H150" s="16" t="n"/>
      <c r="I150" s="16" t="n"/>
      <c r="J150" s="16" t="n"/>
      <c r="K150" s="18" t="n"/>
      <c r="L150" s="18" t="n"/>
      <c r="M150" s="16" t="n"/>
      <c r="N150" s="16" t="n"/>
    </row>
    <row r="151">
      <c r="B151" s="17">
        <f>IF($D151="","","C"&amp;TEXT(ROW()-5,"000"))</f>
        <v/>
      </c>
      <c r="C151" s="18" t="n"/>
      <c r="D151" s="16" t="n"/>
      <c r="E151" s="17">
        <f>IF($D151="","",IFERROR(INDEX(rngCadetPIDs,MATCH($D151,rngCadetNames,0)),"?"))</f>
        <v/>
      </c>
      <c r="F151" s="16" t="n"/>
      <c r="G151" s="16" t="n"/>
      <c r="H151" s="16" t="n"/>
      <c r="I151" s="16" t="n"/>
      <c r="J151" s="16" t="n"/>
      <c r="K151" s="18" t="n"/>
      <c r="L151" s="18" t="n"/>
      <c r="M151" s="16" t="n"/>
      <c r="N151" s="16" t="n"/>
    </row>
    <row r="152">
      <c r="B152" s="17">
        <f>IF($D152="","","C"&amp;TEXT(ROW()-5,"000"))</f>
        <v/>
      </c>
      <c r="C152" s="18" t="n"/>
      <c r="D152" s="16" t="n"/>
      <c r="E152" s="17">
        <f>IF($D152="","",IFERROR(INDEX(rngCadetPIDs,MATCH($D152,rngCadetNames,0)),"?"))</f>
        <v/>
      </c>
      <c r="F152" s="16" t="n"/>
      <c r="G152" s="16" t="n"/>
      <c r="H152" s="16" t="n"/>
      <c r="I152" s="16" t="n"/>
      <c r="J152" s="16" t="n"/>
      <c r="K152" s="18" t="n"/>
      <c r="L152" s="18" t="n"/>
      <c r="M152" s="16" t="n"/>
      <c r="N152" s="16" t="n"/>
    </row>
    <row r="153">
      <c r="B153" s="17">
        <f>IF($D153="","","C"&amp;TEXT(ROW()-5,"000"))</f>
        <v/>
      </c>
      <c r="C153" s="18" t="n"/>
      <c r="D153" s="16" t="n"/>
      <c r="E153" s="17">
        <f>IF($D153="","",IFERROR(INDEX(rngCadetPIDs,MATCH($D153,rngCadetNames,0)),"?"))</f>
        <v/>
      </c>
      <c r="F153" s="16" t="n"/>
      <c r="G153" s="16" t="n"/>
      <c r="H153" s="16" t="n"/>
      <c r="I153" s="16" t="n"/>
      <c r="J153" s="16" t="n"/>
      <c r="K153" s="18" t="n"/>
      <c r="L153" s="18" t="n"/>
      <c r="M153" s="16" t="n"/>
      <c r="N153" s="16" t="n"/>
    </row>
    <row r="154">
      <c r="B154" s="17">
        <f>IF($D154="","","C"&amp;TEXT(ROW()-5,"000"))</f>
        <v/>
      </c>
      <c r="C154" s="18" t="n"/>
      <c r="D154" s="16" t="n"/>
      <c r="E154" s="17">
        <f>IF($D154="","",IFERROR(INDEX(rngCadetPIDs,MATCH($D154,rngCadetNames,0)),"?"))</f>
        <v/>
      </c>
      <c r="F154" s="16" t="n"/>
      <c r="G154" s="16" t="n"/>
      <c r="H154" s="16" t="n"/>
      <c r="I154" s="16" t="n"/>
      <c r="J154" s="16" t="n"/>
      <c r="K154" s="18" t="n"/>
      <c r="L154" s="18" t="n"/>
      <c r="M154" s="16" t="n"/>
      <c r="N154" s="16" t="n"/>
    </row>
    <row r="155">
      <c r="B155" s="17">
        <f>IF($D155="","","C"&amp;TEXT(ROW()-5,"000"))</f>
        <v/>
      </c>
      <c r="C155" s="18" t="n"/>
      <c r="D155" s="16" t="n"/>
      <c r="E155" s="17">
        <f>IF($D155="","",IFERROR(INDEX(rngCadetPIDs,MATCH($D155,rngCadetNames,0)),"?"))</f>
        <v/>
      </c>
      <c r="F155" s="16" t="n"/>
      <c r="G155" s="16" t="n"/>
      <c r="H155" s="16" t="n"/>
      <c r="I155" s="16" t="n"/>
      <c r="J155" s="16" t="n"/>
      <c r="K155" s="18" t="n"/>
      <c r="L155" s="18" t="n"/>
      <c r="M155" s="16" t="n"/>
      <c r="N155" s="16" t="n"/>
    </row>
    <row r="156">
      <c r="B156" s="17">
        <f>IF($D156="","","C"&amp;TEXT(ROW()-5,"000"))</f>
        <v/>
      </c>
      <c r="C156" s="18" t="n"/>
      <c r="D156" s="16" t="n"/>
      <c r="E156" s="17">
        <f>IF($D156="","",IFERROR(INDEX(rngCadetPIDs,MATCH($D156,rngCadetNames,0)),"?"))</f>
        <v/>
      </c>
      <c r="F156" s="16" t="n"/>
      <c r="G156" s="16" t="n"/>
      <c r="H156" s="16" t="n"/>
      <c r="I156" s="16" t="n"/>
      <c r="J156" s="16" t="n"/>
      <c r="K156" s="18" t="n"/>
      <c r="L156" s="18" t="n"/>
      <c r="M156" s="16" t="n"/>
      <c r="N156" s="16" t="n"/>
    </row>
    <row r="157">
      <c r="B157" s="17">
        <f>IF($D157="","","C"&amp;TEXT(ROW()-5,"000"))</f>
        <v/>
      </c>
      <c r="C157" s="18" t="n"/>
      <c r="D157" s="16" t="n"/>
      <c r="E157" s="17">
        <f>IF($D157="","",IFERROR(INDEX(rngCadetPIDs,MATCH($D157,rngCadetNames,0)),"?"))</f>
        <v/>
      </c>
      <c r="F157" s="16" t="n"/>
      <c r="G157" s="16" t="n"/>
      <c r="H157" s="16" t="n"/>
      <c r="I157" s="16" t="n"/>
      <c r="J157" s="16" t="n"/>
      <c r="K157" s="18" t="n"/>
      <c r="L157" s="18" t="n"/>
      <c r="M157" s="16" t="n"/>
      <c r="N157" s="16" t="n"/>
    </row>
    <row r="158">
      <c r="B158" s="17">
        <f>IF($D158="","","C"&amp;TEXT(ROW()-5,"000"))</f>
        <v/>
      </c>
      <c r="C158" s="18" t="n"/>
      <c r="D158" s="16" t="n"/>
      <c r="E158" s="17">
        <f>IF($D158="","",IFERROR(INDEX(rngCadetPIDs,MATCH($D158,rngCadetNames,0)),"?"))</f>
        <v/>
      </c>
      <c r="F158" s="16" t="n"/>
      <c r="G158" s="16" t="n"/>
      <c r="H158" s="16" t="n"/>
      <c r="I158" s="16" t="n"/>
      <c r="J158" s="16" t="n"/>
      <c r="K158" s="18" t="n"/>
      <c r="L158" s="18" t="n"/>
      <c r="M158" s="16" t="n"/>
      <c r="N158" s="16" t="n"/>
    </row>
    <row r="159">
      <c r="B159" s="17">
        <f>IF($D159="","","C"&amp;TEXT(ROW()-5,"000"))</f>
        <v/>
      </c>
      <c r="C159" s="18" t="n"/>
      <c r="D159" s="16" t="n"/>
      <c r="E159" s="17">
        <f>IF($D159="","",IFERROR(INDEX(rngCadetPIDs,MATCH($D159,rngCadetNames,0)),"?"))</f>
        <v/>
      </c>
      <c r="F159" s="16" t="n"/>
      <c r="G159" s="16" t="n"/>
      <c r="H159" s="16" t="n"/>
      <c r="I159" s="16" t="n"/>
      <c r="J159" s="16" t="n"/>
      <c r="K159" s="18" t="n"/>
      <c r="L159" s="18" t="n"/>
      <c r="M159" s="16" t="n"/>
      <c r="N159" s="16" t="n"/>
    </row>
    <row r="160">
      <c r="B160" s="17">
        <f>IF($D160="","","C"&amp;TEXT(ROW()-5,"000"))</f>
        <v/>
      </c>
      <c r="C160" s="18" t="n"/>
      <c r="D160" s="16" t="n"/>
      <c r="E160" s="17">
        <f>IF($D160="","",IFERROR(INDEX(rngCadetPIDs,MATCH($D160,rngCadetNames,0)),"?"))</f>
        <v/>
      </c>
      <c r="F160" s="16" t="n"/>
      <c r="G160" s="16" t="n"/>
      <c r="H160" s="16" t="n"/>
      <c r="I160" s="16" t="n"/>
      <c r="J160" s="16" t="n"/>
      <c r="K160" s="18" t="n"/>
      <c r="L160" s="18" t="n"/>
      <c r="M160" s="16" t="n"/>
      <c r="N160" s="16" t="n"/>
    </row>
    <row r="161">
      <c r="B161" s="17">
        <f>IF($D161="","","C"&amp;TEXT(ROW()-5,"000"))</f>
        <v/>
      </c>
      <c r="C161" s="18" t="n"/>
      <c r="D161" s="16" t="n"/>
      <c r="E161" s="17">
        <f>IF($D161="","",IFERROR(INDEX(rngCadetPIDs,MATCH($D161,rngCadetNames,0)),"?"))</f>
        <v/>
      </c>
      <c r="F161" s="16" t="n"/>
      <c r="G161" s="16" t="n"/>
      <c r="H161" s="16" t="n"/>
      <c r="I161" s="16" t="n"/>
      <c r="J161" s="16" t="n"/>
      <c r="K161" s="18" t="n"/>
      <c r="L161" s="18" t="n"/>
      <c r="M161" s="16" t="n"/>
      <c r="N161" s="16" t="n"/>
    </row>
    <row r="162">
      <c r="B162" s="17">
        <f>IF($D162="","","C"&amp;TEXT(ROW()-5,"000"))</f>
        <v/>
      </c>
      <c r="C162" s="18" t="n"/>
      <c r="D162" s="16" t="n"/>
      <c r="E162" s="17">
        <f>IF($D162="","",IFERROR(INDEX(rngCadetPIDs,MATCH($D162,rngCadetNames,0)),"?"))</f>
        <v/>
      </c>
      <c r="F162" s="16" t="n"/>
      <c r="G162" s="16" t="n"/>
      <c r="H162" s="16" t="n"/>
      <c r="I162" s="16" t="n"/>
      <c r="J162" s="16" t="n"/>
      <c r="K162" s="18" t="n"/>
      <c r="L162" s="18" t="n"/>
      <c r="M162" s="16" t="n"/>
      <c r="N162" s="16" t="n"/>
    </row>
    <row r="163">
      <c r="B163" s="17">
        <f>IF($D163="","","C"&amp;TEXT(ROW()-5,"000"))</f>
        <v/>
      </c>
      <c r="C163" s="18" t="n"/>
      <c r="D163" s="16" t="n"/>
      <c r="E163" s="17">
        <f>IF($D163="","",IFERROR(INDEX(rngCadetPIDs,MATCH($D163,rngCadetNames,0)),"?"))</f>
        <v/>
      </c>
      <c r="F163" s="16" t="n"/>
      <c r="G163" s="16" t="n"/>
      <c r="H163" s="16" t="n"/>
      <c r="I163" s="16" t="n"/>
      <c r="J163" s="16" t="n"/>
      <c r="K163" s="18" t="n"/>
      <c r="L163" s="18" t="n"/>
      <c r="M163" s="16" t="n"/>
      <c r="N163" s="16" t="n"/>
    </row>
    <row r="164">
      <c r="B164" s="17">
        <f>IF($D164="","","C"&amp;TEXT(ROW()-5,"000"))</f>
        <v/>
      </c>
      <c r="C164" s="18" t="n"/>
      <c r="D164" s="16" t="n"/>
      <c r="E164" s="17">
        <f>IF($D164="","",IFERROR(INDEX(rngCadetPIDs,MATCH($D164,rngCadetNames,0)),"?"))</f>
        <v/>
      </c>
      <c r="F164" s="16" t="n"/>
      <c r="G164" s="16" t="n"/>
      <c r="H164" s="16" t="n"/>
      <c r="I164" s="16" t="n"/>
      <c r="J164" s="16" t="n"/>
      <c r="K164" s="18" t="n"/>
      <c r="L164" s="18" t="n"/>
      <c r="M164" s="16" t="n"/>
      <c r="N164" s="16" t="n"/>
    </row>
    <row r="165">
      <c r="B165" s="17">
        <f>IF($D165="","","C"&amp;TEXT(ROW()-5,"000"))</f>
        <v/>
      </c>
      <c r="C165" s="18" t="n"/>
      <c r="D165" s="16" t="n"/>
      <c r="E165" s="17">
        <f>IF($D165="","",IFERROR(INDEX(rngCadetPIDs,MATCH($D165,rngCadetNames,0)),"?"))</f>
        <v/>
      </c>
      <c r="F165" s="16" t="n"/>
      <c r="G165" s="16" t="n"/>
      <c r="H165" s="16" t="n"/>
      <c r="I165" s="16" t="n"/>
      <c r="J165" s="16" t="n"/>
      <c r="K165" s="18" t="n"/>
      <c r="L165" s="18" t="n"/>
      <c r="M165" s="16" t="n"/>
      <c r="N165" s="16" t="n"/>
    </row>
    <row r="166">
      <c r="B166" s="17">
        <f>IF($D166="","","C"&amp;TEXT(ROW()-5,"000"))</f>
        <v/>
      </c>
      <c r="C166" s="18" t="n"/>
      <c r="D166" s="16" t="n"/>
      <c r="E166" s="17">
        <f>IF($D166="","",IFERROR(INDEX(rngCadetPIDs,MATCH($D166,rngCadetNames,0)),"?"))</f>
        <v/>
      </c>
      <c r="F166" s="16" t="n"/>
      <c r="G166" s="16" t="n"/>
      <c r="H166" s="16" t="n"/>
      <c r="I166" s="16" t="n"/>
      <c r="J166" s="16" t="n"/>
      <c r="K166" s="18" t="n"/>
      <c r="L166" s="18" t="n"/>
      <c r="M166" s="16" t="n"/>
      <c r="N166" s="16" t="n"/>
    </row>
    <row r="167">
      <c r="B167" s="17">
        <f>IF($D167="","","C"&amp;TEXT(ROW()-5,"000"))</f>
        <v/>
      </c>
      <c r="C167" s="18" t="n"/>
      <c r="D167" s="16" t="n"/>
      <c r="E167" s="17">
        <f>IF($D167="","",IFERROR(INDEX(rngCadetPIDs,MATCH($D167,rngCadetNames,0)),"?"))</f>
        <v/>
      </c>
      <c r="F167" s="16" t="n"/>
      <c r="G167" s="16" t="n"/>
      <c r="H167" s="16" t="n"/>
      <c r="I167" s="16" t="n"/>
      <c r="J167" s="16" t="n"/>
      <c r="K167" s="18" t="n"/>
      <c r="L167" s="18" t="n"/>
      <c r="M167" s="16" t="n"/>
      <c r="N167" s="16" t="n"/>
    </row>
    <row r="168">
      <c r="B168" s="17">
        <f>IF($D168="","","C"&amp;TEXT(ROW()-5,"000"))</f>
        <v/>
      </c>
      <c r="C168" s="18" t="n"/>
      <c r="D168" s="16" t="n"/>
      <c r="E168" s="17">
        <f>IF($D168="","",IFERROR(INDEX(rngCadetPIDs,MATCH($D168,rngCadetNames,0)),"?"))</f>
        <v/>
      </c>
      <c r="F168" s="16" t="n"/>
      <c r="G168" s="16" t="n"/>
      <c r="H168" s="16" t="n"/>
      <c r="I168" s="16" t="n"/>
      <c r="J168" s="16" t="n"/>
      <c r="K168" s="18" t="n"/>
      <c r="L168" s="18" t="n"/>
      <c r="M168" s="16" t="n"/>
      <c r="N168" s="16" t="n"/>
    </row>
    <row r="169">
      <c r="B169" s="17">
        <f>IF($D169="","","C"&amp;TEXT(ROW()-5,"000"))</f>
        <v/>
      </c>
      <c r="C169" s="18" t="n"/>
      <c r="D169" s="16" t="n"/>
      <c r="E169" s="17">
        <f>IF($D169="","",IFERROR(INDEX(rngCadetPIDs,MATCH($D169,rngCadetNames,0)),"?"))</f>
        <v/>
      </c>
      <c r="F169" s="16" t="n"/>
      <c r="G169" s="16" t="n"/>
      <c r="H169" s="16" t="n"/>
      <c r="I169" s="16" t="n"/>
      <c r="J169" s="16" t="n"/>
      <c r="K169" s="18" t="n"/>
      <c r="L169" s="18" t="n"/>
      <c r="M169" s="16" t="n"/>
      <c r="N169" s="16" t="n"/>
    </row>
    <row r="170">
      <c r="B170" s="17">
        <f>IF($D170="","","C"&amp;TEXT(ROW()-5,"000"))</f>
        <v/>
      </c>
      <c r="C170" s="18" t="n"/>
      <c r="D170" s="16" t="n"/>
      <c r="E170" s="17">
        <f>IF($D170="","",IFERROR(INDEX(rngCadetPIDs,MATCH($D170,rngCadetNames,0)),"?"))</f>
        <v/>
      </c>
      <c r="F170" s="16" t="n"/>
      <c r="G170" s="16" t="n"/>
      <c r="H170" s="16" t="n"/>
      <c r="I170" s="16" t="n"/>
      <c r="J170" s="16" t="n"/>
      <c r="K170" s="18" t="n"/>
      <c r="L170" s="18" t="n"/>
      <c r="M170" s="16" t="n"/>
      <c r="N170" s="16" t="n"/>
    </row>
    <row r="171">
      <c r="B171" s="17">
        <f>IF($D171="","","C"&amp;TEXT(ROW()-5,"000"))</f>
        <v/>
      </c>
      <c r="C171" s="18" t="n"/>
      <c r="D171" s="16" t="n"/>
      <c r="E171" s="17">
        <f>IF($D171="","",IFERROR(INDEX(rngCadetPIDs,MATCH($D171,rngCadetNames,0)),"?"))</f>
        <v/>
      </c>
      <c r="F171" s="16" t="n"/>
      <c r="G171" s="16" t="n"/>
      <c r="H171" s="16" t="n"/>
      <c r="I171" s="16" t="n"/>
      <c r="J171" s="16" t="n"/>
      <c r="K171" s="18" t="n"/>
      <c r="L171" s="18" t="n"/>
      <c r="M171" s="16" t="n"/>
      <c r="N171" s="16" t="n"/>
    </row>
    <row r="172">
      <c r="B172" s="17">
        <f>IF($D172="","","C"&amp;TEXT(ROW()-5,"000"))</f>
        <v/>
      </c>
      <c r="C172" s="18" t="n"/>
      <c r="D172" s="16" t="n"/>
      <c r="E172" s="17">
        <f>IF($D172="","",IFERROR(INDEX(rngCadetPIDs,MATCH($D172,rngCadetNames,0)),"?"))</f>
        <v/>
      </c>
      <c r="F172" s="16" t="n"/>
      <c r="G172" s="16" t="n"/>
      <c r="H172" s="16" t="n"/>
      <c r="I172" s="16" t="n"/>
      <c r="J172" s="16" t="n"/>
      <c r="K172" s="18" t="n"/>
      <c r="L172" s="18" t="n"/>
      <c r="M172" s="16" t="n"/>
      <c r="N172" s="16" t="n"/>
    </row>
    <row r="173">
      <c r="B173" s="17">
        <f>IF($D173="","","C"&amp;TEXT(ROW()-5,"000"))</f>
        <v/>
      </c>
      <c r="C173" s="18" t="n"/>
      <c r="D173" s="16" t="n"/>
      <c r="E173" s="17">
        <f>IF($D173="","",IFERROR(INDEX(rngCadetPIDs,MATCH($D173,rngCadetNames,0)),"?"))</f>
        <v/>
      </c>
      <c r="F173" s="16" t="n"/>
      <c r="G173" s="16" t="n"/>
      <c r="H173" s="16" t="n"/>
      <c r="I173" s="16" t="n"/>
      <c r="J173" s="16" t="n"/>
      <c r="K173" s="18" t="n"/>
      <c r="L173" s="18" t="n"/>
      <c r="M173" s="16" t="n"/>
      <c r="N173" s="16" t="n"/>
    </row>
    <row r="174">
      <c r="B174" s="17">
        <f>IF($D174="","","C"&amp;TEXT(ROW()-5,"000"))</f>
        <v/>
      </c>
      <c r="C174" s="18" t="n"/>
      <c r="D174" s="16" t="n"/>
      <c r="E174" s="17">
        <f>IF($D174="","",IFERROR(INDEX(rngCadetPIDs,MATCH($D174,rngCadetNames,0)),"?"))</f>
        <v/>
      </c>
      <c r="F174" s="16" t="n"/>
      <c r="G174" s="16" t="n"/>
      <c r="H174" s="16" t="n"/>
      <c r="I174" s="16" t="n"/>
      <c r="J174" s="16" t="n"/>
      <c r="K174" s="18" t="n"/>
      <c r="L174" s="18" t="n"/>
      <c r="M174" s="16" t="n"/>
      <c r="N174" s="16" t="n"/>
    </row>
    <row r="175">
      <c r="B175" s="17">
        <f>IF($D175="","","C"&amp;TEXT(ROW()-5,"000"))</f>
        <v/>
      </c>
      <c r="C175" s="18" t="n"/>
      <c r="D175" s="16" t="n"/>
      <c r="E175" s="17">
        <f>IF($D175="","",IFERROR(INDEX(rngCadetPIDs,MATCH($D175,rngCadetNames,0)),"?"))</f>
        <v/>
      </c>
      <c r="F175" s="16" t="n"/>
      <c r="G175" s="16" t="n"/>
      <c r="H175" s="16" t="n"/>
      <c r="I175" s="16" t="n"/>
      <c r="J175" s="16" t="n"/>
      <c r="K175" s="18" t="n"/>
      <c r="L175" s="18" t="n"/>
      <c r="M175" s="16" t="n"/>
      <c r="N175" s="16" t="n"/>
    </row>
    <row r="176">
      <c r="B176" s="17">
        <f>IF($D176="","","C"&amp;TEXT(ROW()-5,"000"))</f>
        <v/>
      </c>
      <c r="C176" s="18" t="n"/>
      <c r="D176" s="16" t="n"/>
      <c r="E176" s="17">
        <f>IF($D176="","",IFERROR(INDEX(rngCadetPIDs,MATCH($D176,rngCadetNames,0)),"?"))</f>
        <v/>
      </c>
      <c r="F176" s="16" t="n"/>
      <c r="G176" s="16" t="n"/>
      <c r="H176" s="16" t="n"/>
      <c r="I176" s="16" t="n"/>
      <c r="J176" s="16" t="n"/>
      <c r="K176" s="18" t="n"/>
      <c r="L176" s="18" t="n"/>
      <c r="M176" s="16" t="n"/>
      <c r="N176" s="16" t="n"/>
    </row>
    <row r="177">
      <c r="B177" s="17">
        <f>IF($D177="","","C"&amp;TEXT(ROW()-5,"000"))</f>
        <v/>
      </c>
      <c r="C177" s="18" t="n"/>
      <c r="D177" s="16" t="n"/>
      <c r="E177" s="17">
        <f>IF($D177="","",IFERROR(INDEX(rngCadetPIDs,MATCH($D177,rngCadetNames,0)),"?"))</f>
        <v/>
      </c>
      <c r="F177" s="16" t="n"/>
      <c r="G177" s="16" t="n"/>
      <c r="H177" s="16" t="n"/>
      <c r="I177" s="16" t="n"/>
      <c r="J177" s="16" t="n"/>
      <c r="K177" s="18" t="n"/>
      <c r="L177" s="18" t="n"/>
      <c r="M177" s="16" t="n"/>
      <c r="N177" s="16" t="n"/>
    </row>
    <row r="178">
      <c r="B178" s="17">
        <f>IF($D178="","","C"&amp;TEXT(ROW()-5,"000"))</f>
        <v/>
      </c>
      <c r="C178" s="18" t="n"/>
      <c r="D178" s="16" t="n"/>
      <c r="E178" s="17">
        <f>IF($D178="","",IFERROR(INDEX(rngCadetPIDs,MATCH($D178,rngCadetNames,0)),"?"))</f>
        <v/>
      </c>
      <c r="F178" s="16" t="n"/>
      <c r="G178" s="16" t="n"/>
      <c r="H178" s="16" t="n"/>
      <c r="I178" s="16" t="n"/>
      <c r="J178" s="16" t="n"/>
      <c r="K178" s="18" t="n"/>
      <c r="L178" s="18" t="n"/>
      <c r="M178" s="16" t="n"/>
      <c r="N178" s="16" t="n"/>
    </row>
    <row r="179">
      <c r="B179" s="17">
        <f>IF($D179="","","C"&amp;TEXT(ROW()-5,"000"))</f>
        <v/>
      </c>
      <c r="C179" s="18" t="n"/>
      <c r="D179" s="16" t="n"/>
      <c r="E179" s="17">
        <f>IF($D179="","",IFERROR(INDEX(rngCadetPIDs,MATCH($D179,rngCadetNames,0)),"?"))</f>
        <v/>
      </c>
      <c r="F179" s="16" t="n"/>
      <c r="G179" s="16" t="n"/>
      <c r="H179" s="16" t="n"/>
      <c r="I179" s="16" t="n"/>
      <c r="J179" s="16" t="n"/>
      <c r="K179" s="18" t="n"/>
      <c r="L179" s="18" t="n"/>
      <c r="M179" s="16" t="n"/>
      <c r="N179" s="16" t="n"/>
    </row>
    <row r="180">
      <c r="B180" s="17">
        <f>IF($D180="","","C"&amp;TEXT(ROW()-5,"000"))</f>
        <v/>
      </c>
      <c r="C180" s="18" t="n"/>
      <c r="D180" s="16" t="n"/>
      <c r="E180" s="17">
        <f>IF($D180="","",IFERROR(INDEX(rngCadetPIDs,MATCH($D180,rngCadetNames,0)),"?"))</f>
        <v/>
      </c>
      <c r="F180" s="16" t="n"/>
      <c r="G180" s="16" t="n"/>
      <c r="H180" s="16" t="n"/>
      <c r="I180" s="16" t="n"/>
      <c r="J180" s="16" t="n"/>
      <c r="K180" s="18" t="n"/>
      <c r="L180" s="18" t="n"/>
      <c r="M180" s="16" t="n"/>
      <c r="N180" s="16" t="n"/>
    </row>
    <row r="181">
      <c r="B181" s="17">
        <f>IF($D181="","","C"&amp;TEXT(ROW()-5,"000"))</f>
        <v/>
      </c>
      <c r="C181" s="18" t="n"/>
      <c r="D181" s="16" t="n"/>
      <c r="E181" s="17">
        <f>IF($D181="","",IFERROR(INDEX(rngCadetPIDs,MATCH($D181,rngCadetNames,0)),"?"))</f>
        <v/>
      </c>
      <c r="F181" s="16" t="n"/>
      <c r="G181" s="16" t="n"/>
      <c r="H181" s="16" t="n"/>
      <c r="I181" s="16" t="n"/>
      <c r="J181" s="16" t="n"/>
      <c r="K181" s="18" t="n"/>
      <c r="L181" s="18" t="n"/>
      <c r="M181" s="16" t="n"/>
      <c r="N181" s="16" t="n"/>
    </row>
    <row r="182">
      <c r="B182" s="17">
        <f>IF($D182="","","C"&amp;TEXT(ROW()-5,"000"))</f>
        <v/>
      </c>
      <c r="C182" s="18" t="n"/>
      <c r="D182" s="16" t="n"/>
      <c r="E182" s="17">
        <f>IF($D182="","",IFERROR(INDEX(rngCadetPIDs,MATCH($D182,rngCadetNames,0)),"?"))</f>
        <v/>
      </c>
      <c r="F182" s="16" t="n"/>
      <c r="G182" s="16" t="n"/>
      <c r="H182" s="16" t="n"/>
      <c r="I182" s="16" t="n"/>
      <c r="J182" s="16" t="n"/>
      <c r="K182" s="18" t="n"/>
      <c r="L182" s="18" t="n"/>
      <c r="M182" s="16" t="n"/>
      <c r="N182" s="16" t="n"/>
    </row>
    <row r="183">
      <c r="B183" s="17">
        <f>IF($D183="","","C"&amp;TEXT(ROW()-5,"000"))</f>
        <v/>
      </c>
      <c r="C183" s="18" t="n"/>
      <c r="D183" s="16" t="n"/>
      <c r="E183" s="17">
        <f>IF($D183="","",IFERROR(INDEX(rngCadetPIDs,MATCH($D183,rngCadetNames,0)),"?"))</f>
        <v/>
      </c>
      <c r="F183" s="16" t="n"/>
      <c r="G183" s="16" t="n"/>
      <c r="H183" s="16" t="n"/>
      <c r="I183" s="16" t="n"/>
      <c r="J183" s="16" t="n"/>
      <c r="K183" s="18" t="n"/>
      <c r="L183" s="18" t="n"/>
      <c r="M183" s="16" t="n"/>
      <c r="N183" s="16" t="n"/>
    </row>
    <row r="184">
      <c r="B184" s="17">
        <f>IF($D184="","","C"&amp;TEXT(ROW()-5,"000"))</f>
        <v/>
      </c>
      <c r="C184" s="18" t="n"/>
      <c r="D184" s="16" t="n"/>
      <c r="E184" s="17">
        <f>IF($D184="","",IFERROR(INDEX(rngCadetPIDs,MATCH($D184,rngCadetNames,0)),"?"))</f>
        <v/>
      </c>
      <c r="F184" s="16" t="n"/>
      <c r="G184" s="16" t="n"/>
      <c r="H184" s="16" t="n"/>
      <c r="I184" s="16" t="n"/>
      <c r="J184" s="16" t="n"/>
      <c r="K184" s="18" t="n"/>
      <c r="L184" s="18" t="n"/>
      <c r="M184" s="16" t="n"/>
      <c r="N184" s="16" t="n"/>
    </row>
    <row r="185">
      <c r="B185" s="17">
        <f>IF($D185="","","C"&amp;TEXT(ROW()-5,"000"))</f>
        <v/>
      </c>
      <c r="C185" s="18" t="n"/>
      <c r="D185" s="16" t="n"/>
      <c r="E185" s="17">
        <f>IF($D185="","",IFERROR(INDEX(rngCadetPIDs,MATCH($D185,rngCadetNames,0)),"?"))</f>
        <v/>
      </c>
      <c r="F185" s="16" t="n"/>
      <c r="G185" s="16" t="n"/>
      <c r="H185" s="16" t="n"/>
      <c r="I185" s="16" t="n"/>
      <c r="J185" s="16" t="n"/>
      <c r="K185" s="18" t="n"/>
      <c r="L185" s="18" t="n"/>
      <c r="M185" s="16" t="n"/>
      <c r="N185" s="16" t="n"/>
    </row>
    <row r="186">
      <c r="B186" s="17">
        <f>IF($D186="","","C"&amp;TEXT(ROW()-5,"000"))</f>
        <v/>
      </c>
      <c r="C186" s="18" t="n"/>
      <c r="D186" s="16" t="n"/>
      <c r="E186" s="17">
        <f>IF($D186="","",IFERROR(INDEX(rngCadetPIDs,MATCH($D186,rngCadetNames,0)),"?"))</f>
        <v/>
      </c>
      <c r="F186" s="16" t="n"/>
      <c r="G186" s="16" t="n"/>
      <c r="H186" s="16" t="n"/>
      <c r="I186" s="16" t="n"/>
      <c r="J186" s="16" t="n"/>
      <c r="K186" s="18" t="n"/>
      <c r="L186" s="18" t="n"/>
      <c r="M186" s="16" t="n"/>
      <c r="N186" s="16" t="n"/>
    </row>
    <row r="187">
      <c r="B187" s="17">
        <f>IF($D187="","","C"&amp;TEXT(ROW()-5,"000"))</f>
        <v/>
      </c>
      <c r="C187" s="18" t="n"/>
      <c r="D187" s="16" t="n"/>
      <c r="E187" s="17">
        <f>IF($D187="","",IFERROR(INDEX(rngCadetPIDs,MATCH($D187,rngCadetNames,0)),"?"))</f>
        <v/>
      </c>
      <c r="F187" s="16" t="n"/>
      <c r="G187" s="16" t="n"/>
      <c r="H187" s="16" t="n"/>
      <c r="I187" s="16" t="n"/>
      <c r="J187" s="16" t="n"/>
      <c r="K187" s="18" t="n"/>
      <c r="L187" s="18" t="n"/>
      <c r="M187" s="16" t="n"/>
      <c r="N187" s="16" t="n"/>
    </row>
    <row r="188">
      <c r="B188" s="17">
        <f>IF($D188="","","C"&amp;TEXT(ROW()-5,"000"))</f>
        <v/>
      </c>
      <c r="C188" s="18" t="n"/>
      <c r="D188" s="16" t="n"/>
      <c r="E188" s="17">
        <f>IF($D188="","",IFERROR(INDEX(rngCadetPIDs,MATCH($D188,rngCadetNames,0)),"?"))</f>
        <v/>
      </c>
      <c r="F188" s="16" t="n"/>
      <c r="G188" s="16" t="n"/>
      <c r="H188" s="16" t="n"/>
      <c r="I188" s="16" t="n"/>
      <c r="J188" s="16" t="n"/>
      <c r="K188" s="18" t="n"/>
      <c r="L188" s="18" t="n"/>
      <c r="M188" s="16" t="n"/>
      <c r="N188" s="16" t="n"/>
    </row>
    <row r="189">
      <c r="B189" s="17">
        <f>IF($D189="","","C"&amp;TEXT(ROW()-5,"000"))</f>
        <v/>
      </c>
      <c r="C189" s="18" t="n"/>
      <c r="D189" s="16" t="n"/>
      <c r="E189" s="17">
        <f>IF($D189="","",IFERROR(INDEX(rngCadetPIDs,MATCH($D189,rngCadetNames,0)),"?"))</f>
        <v/>
      </c>
      <c r="F189" s="16" t="n"/>
      <c r="G189" s="16" t="n"/>
      <c r="H189" s="16" t="n"/>
      <c r="I189" s="16" t="n"/>
      <c r="J189" s="16" t="n"/>
      <c r="K189" s="18" t="n"/>
      <c r="L189" s="18" t="n"/>
      <c r="M189" s="16" t="n"/>
      <c r="N189" s="16" t="n"/>
    </row>
    <row r="190">
      <c r="B190" s="17">
        <f>IF($D190="","","C"&amp;TEXT(ROW()-5,"000"))</f>
        <v/>
      </c>
      <c r="C190" s="18" t="n"/>
      <c r="D190" s="16" t="n"/>
      <c r="E190" s="17">
        <f>IF($D190="","",IFERROR(INDEX(rngCadetPIDs,MATCH($D190,rngCadetNames,0)),"?"))</f>
        <v/>
      </c>
      <c r="F190" s="16" t="n"/>
      <c r="G190" s="16" t="n"/>
      <c r="H190" s="16" t="n"/>
      <c r="I190" s="16" t="n"/>
      <c r="J190" s="16" t="n"/>
      <c r="K190" s="18" t="n"/>
      <c r="L190" s="18" t="n"/>
      <c r="M190" s="16" t="n"/>
      <c r="N190" s="16" t="n"/>
    </row>
    <row r="191">
      <c r="B191" s="17">
        <f>IF($D191="","","C"&amp;TEXT(ROW()-5,"000"))</f>
        <v/>
      </c>
      <c r="C191" s="18" t="n"/>
      <c r="D191" s="16" t="n"/>
      <c r="E191" s="17">
        <f>IF($D191="","",IFERROR(INDEX(rngCadetPIDs,MATCH($D191,rngCadetNames,0)),"?"))</f>
        <v/>
      </c>
      <c r="F191" s="16" t="n"/>
      <c r="G191" s="16" t="n"/>
      <c r="H191" s="16" t="n"/>
      <c r="I191" s="16" t="n"/>
      <c r="J191" s="16" t="n"/>
      <c r="K191" s="18" t="n"/>
      <c r="L191" s="18" t="n"/>
      <c r="M191" s="16" t="n"/>
      <c r="N191" s="16" t="n"/>
    </row>
    <row r="192">
      <c r="B192" s="17">
        <f>IF($D192="","","C"&amp;TEXT(ROW()-5,"000"))</f>
        <v/>
      </c>
      <c r="C192" s="18" t="n"/>
      <c r="D192" s="16" t="n"/>
      <c r="E192" s="17">
        <f>IF($D192="","",IFERROR(INDEX(rngCadetPIDs,MATCH($D192,rngCadetNames,0)),"?"))</f>
        <v/>
      </c>
      <c r="F192" s="16" t="n"/>
      <c r="G192" s="16" t="n"/>
      <c r="H192" s="16" t="n"/>
      <c r="I192" s="16" t="n"/>
      <c r="J192" s="16" t="n"/>
      <c r="K192" s="18" t="n"/>
      <c r="L192" s="18" t="n"/>
      <c r="M192" s="16" t="n"/>
      <c r="N192" s="16" t="n"/>
    </row>
    <row r="193">
      <c r="B193" s="17">
        <f>IF($D193="","","C"&amp;TEXT(ROW()-5,"000"))</f>
        <v/>
      </c>
      <c r="C193" s="18" t="n"/>
      <c r="D193" s="16" t="n"/>
      <c r="E193" s="17">
        <f>IF($D193="","",IFERROR(INDEX(rngCadetPIDs,MATCH($D193,rngCadetNames,0)),"?"))</f>
        <v/>
      </c>
      <c r="F193" s="16" t="n"/>
      <c r="G193" s="16" t="n"/>
      <c r="H193" s="16" t="n"/>
      <c r="I193" s="16" t="n"/>
      <c r="J193" s="16" t="n"/>
      <c r="K193" s="18" t="n"/>
      <c r="L193" s="18" t="n"/>
      <c r="M193" s="16" t="n"/>
      <c r="N193" s="16" t="n"/>
    </row>
    <row r="194">
      <c r="B194" s="17">
        <f>IF($D194="","","C"&amp;TEXT(ROW()-5,"000"))</f>
        <v/>
      </c>
      <c r="C194" s="18" t="n"/>
      <c r="D194" s="16" t="n"/>
      <c r="E194" s="17">
        <f>IF($D194="","",IFERROR(INDEX(rngCadetPIDs,MATCH($D194,rngCadetNames,0)),"?"))</f>
        <v/>
      </c>
      <c r="F194" s="16" t="n"/>
      <c r="G194" s="16" t="n"/>
      <c r="H194" s="16" t="n"/>
      <c r="I194" s="16" t="n"/>
      <c r="J194" s="16" t="n"/>
      <c r="K194" s="18" t="n"/>
      <c r="L194" s="18" t="n"/>
      <c r="M194" s="16" t="n"/>
      <c r="N194" s="16" t="n"/>
    </row>
    <row r="195">
      <c r="B195" s="17">
        <f>IF($D195="","","C"&amp;TEXT(ROW()-5,"000"))</f>
        <v/>
      </c>
      <c r="C195" s="18" t="n"/>
      <c r="D195" s="16" t="n"/>
      <c r="E195" s="17">
        <f>IF($D195="","",IFERROR(INDEX(rngCadetPIDs,MATCH($D195,rngCadetNames,0)),"?"))</f>
        <v/>
      </c>
      <c r="F195" s="16" t="n"/>
      <c r="G195" s="16" t="n"/>
      <c r="H195" s="16" t="n"/>
      <c r="I195" s="16" t="n"/>
      <c r="J195" s="16" t="n"/>
      <c r="K195" s="18" t="n"/>
      <c r="L195" s="18" t="n"/>
      <c r="M195" s="16" t="n"/>
      <c r="N195" s="16" t="n"/>
    </row>
    <row r="196">
      <c r="B196" s="17">
        <f>IF($D196="","","C"&amp;TEXT(ROW()-5,"000"))</f>
        <v/>
      </c>
      <c r="C196" s="18" t="n"/>
      <c r="D196" s="16" t="n"/>
      <c r="E196" s="17">
        <f>IF($D196="","",IFERROR(INDEX(rngCadetPIDs,MATCH($D196,rngCadetNames,0)),"?"))</f>
        <v/>
      </c>
      <c r="F196" s="16" t="n"/>
      <c r="G196" s="16" t="n"/>
      <c r="H196" s="16" t="n"/>
      <c r="I196" s="16" t="n"/>
      <c r="J196" s="16" t="n"/>
      <c r="K196" s="18" t="n"/>
      <c r="L196" s="18" t="n"/>
      <c r="M196" s="16" t="n"/>
      <c r="N196" s="16" t="n"/>
    </row>
    <row r="197">
      <c r="B197" s="17">
        <f>IF($D197="","","C"&amp;TEXT(ROW()-5,"000"))</f>
        <v/>
      </c>
      <c r="C197" s="18" t="n"/>
      <c r="D197" s="16" t="n"/>
      <c r="E197" s="17">
        <f>IF($D197="","",IFERROR(INDEX(rngCadetPIDs,MATCH($D197,rngCadetNames,0)),"?"))</f>
        <v/>
      </c>
      <c r="F197" s="16" t="n"/>
      <c r="G197" s="16" t="n"/>
      <c r="H197" s="16" t="n"/>
      <c r="I197" s="16" t="n"/>
      <c r="J197" s="16" t="n"/>
      <c r="K197" s="18" t="n"/>
      <c r="L197" s="18" t="n"/>
      <c r="M197" s="16" t="n"/>
      <c r="N197" s="16" t="n"/>
    </row>
    <row r="198">
      <c r="B198" s="17">
        <f>IF($D198="","","C"&amp;TEXT(ROW()-5,"000"))</f>
        <v/>
      </c>
      <c r="C198" s="18" t="n"/>
      <c r="D198" s="16" t="n"/>
      <c r="E198" s="17">
        <f>IF($D198="","",IFERROR(INDEX(rngCadetPIDs,MATCH($D198,rngCadetNames,0)),"?"))</f>
        <v/>
      </c>
      <c r="F198" s="16" t="n"/>
      <c r="G198" s="16" t="n"/>
      <c r="H198" s="16" t="n"/>
      <c r="I198" s="16" t="n"/>
      <c r="J198" s="16" t="n"/>
      <c r="K198" s="18" t="n"/>
      <c r="L198" s="18" t="n"/>
      <c r="M198" s="16" t="n"/>
      <c r="N198" s="16" t="n"/>
    </row>
    <row r="199">
      <c r="B199" s="17">
        <f>IF($D199="","","C"&amp;TEXT(ROW()-5,"000"))</f>
        <v/>
      </c>
      <c r="C199" s="18" t="n"/>
      <c r="D199" s="16" t="n"/>
      <c r="E199" s="17">
        <f>IF($D199="","",IFERROR(INDEX(rngCadetPIDs,MATCH($D199,rngCadetNames,0)),"?"))</f>
        <v/>
      </c>
      <c r="F199" s="16" t="n"/>
      <c r="G199" s="16" t="n"/>
      <c r="H199" s="16" t="n"/>
      <c r="I199" s="16" t="n"/>
      <c r="J199" s="16" t="n"/>
      <c r="K199" s="18" t="n"/>
      <c r="L199" s="18" t="n"/>
      <c r="M199" s="16" t="n"/>
      <c r="N199" s="16" t="n"/>
    </row>
    <row r="200">
      <c r="B200" s="17">
        <f>IF($D200="","","C"&amp;TEXT(ROW()-5,"000"))</f>
        <v/>
      </c>
      <c r="C200" s="18" t="n"/>
      <c r="D200" s="16" t="n"/>
      <c r="E200" s="17">
        <f>IF($D200="","",IFERROR(INDEX(rngCadetPIDs,MATCH($D200,rngCadetNames,0)),"?"))</f>
        <v/>
      </c>
      <c r="F200" s="16" t="n"/>
      <c r="G200" s="16" t="n"/>
      <c r="H200" s="16" t="n"/>
      <c r="I200" s="16" t="n"/>
      <c r="J200" s="16" t="n"/>
      <c r="K200" s="18" t="n"/>
      <c r="L200" s="18" t="n"/>
      <c r="M200" s="16" t="n"/>
      <c r="N200" s="16" t="n"/>
    </row>
    <row r="201">
      <c r="B201" s="17">
        <f>IF($D201="","","C"&amp;TEXT(ROW()-5,"000"))</f>
        <v/>
      </c>
      <c r="C201" s="18" t="n"/>
      <c r="D201" s="16" t="n"/>
      <c r="E201" s="17">
        <f>IF($D201="","",IFERROR(INDEX(rngCadetPIDs,MATCH($D201,rngCadetNames,0)),"?"))</f>
        <v/>
      </c>
      <c r="F201" s="16" t="n"/>
      <c r="G201" s="16" t="n"/>
      <c r="H201" s="16" t="n"/>
      <c r="I201" s="16" t="n"/>
      <c r="J201" s="16" t="n"/>
      <c r="K201" s="18" t="n"/>
      <c r="L201" s="18" t="n"/>
      <c r="M201" s="16" t="n"/>
      <c r="N201" s="16" t="n"/>
    </row>
    <row r="202">
      <c r="B202" s="17">
        <f>IF($D202="","","C"&amp;TEXT(ROW()-5,"000"))</f>
        <v/>
      </c>
      <c r="C202" s="18" t="n"/>
      <c r="D202" s="16" t="n"/>
      <c r="E202" s="17">
        <f>IF($D202="","",IFERROR(INDEX(rngCadetPIDs,MATCH($D202,rngCadetNames,0)),"?"))</f>
        <v/>
      </c>
      <c r="F202" s="16" t="n"/>
      <c r="G202" s="16" t="n"/>
      <c r="H202" s="16" t="n"/>
      <c r="I202" s="16" t="n"/>
      <c r="J202" s="16" t="n"/>
      <c r="K202" s="18" t="n"/>
      <c r="L202" s="18" t="n"/>
      <c r="M202" s="16" t="n"/>
      <c r="N202" s="16" t="n"/>
    </row>
    <row r="203">
      <c r="B203" s="17">
        <f>IF($D203="","","C"&amp;TEXT(ROW()-5,"000"))</f>
        <v/>
      </c>
      <c r="C203" s="18" t="n"/>
      <c r="D203" s="16" t="n"/>
      <c r="E203" s="17">
        <f>IF($D203="","",IFERROR(INDEX(rngCadetPIDs,MATCH($D203,rngCadetNames,0)),"?"))</f>
        <v/>
      </c>
      <c r="F203" s="16" t="n"/>
      <c r="G203" s="16" t="n"/>
      <c r="H203" s="16" t="n"/>
      <c r="I203" s="16" t="n"/>
      <c r="J203" s="16" t="n"/>
      <c r="K203" s="18" t="n"/>
      <c r="L203" s="18" t="n"/>
      <c r="M203" s="16" t="n"/>
      <c r="N203" s="16" t="n"/>
    </row>
    <row r="204">
      <c r="B204" s="17">
        <f>IF($D204="","","C"&amp;TEXT(ROW()-5,"000"))</f>
        <v/>
      </c>
      <c r="C204" s="18" t="n"/>
      <c r="D204" s="16" t="n"/>
      <c r="E204" s="17">
        <f>IF($D204="","",IFERROR(INDEX(rngCadetPIDs,MATCH($D204,rngCadetNames,0)),"?"))</f>
        <v/>
      </c>
      <c r="F204" s="16" t="n"/>
      <c r="G204" s="16" t="n"/>
      <c r="H204" s="16" t="n"/>
      <c r="I204" s="16" t="n"/>
      <c r="J204" s="16" t="n"/>
      <c r="K204" s="18" t="n"/>
      <c r="L204" s="18" t="n"/>
      <c r="M204" s="16" t="n"/>
      <c r="N204" s="16" t="n"/>
    </row>
    <row r="205">
      <c r="B205" s="17">
        <f>IF($D205="","","C"&amp;TEXT(ROW()-5,"000"))</f>
        <v/>
      </c>
      <c r="C205" s="18" t="n"/>
      <c r="D205" s="16" t="n"/>
      <c r="E205" s="17">
        <f>IF($D205="","",IFERROR(INDEX(rngCadetPIDs,MATCH($D205,rngCadetNames,0)),"?"))</f>
        <v/>
      </c>
      <c r="F205" s="16" t="n"/>
      <c r="G205" s="16" t="n"/>
      <c r="H205" s="16" t="n"/>
      <c r="I205" s="16" t="n"/>
      <c r="J205" s="16" t="n"/>
      <c r="K205" s="18" t="n"/>
      <c r="L205" s="18" t="n"/>
      <c r="M205" s="16" t="n"/>
      <c r="N205" s="16" t="n"/>
    </row>
    <row r="206">
      <c r="B206" s="17">
        <f>IF($D206="","","C"&amp;TEXT(ROW()-5,"000"))</f>
        <v/>
      </c>
      <c r="C206" s="18" t="n"/>
      <c r="D206" s="16" t="n"/>
      <c r="E206" s="17">
        <f>IF($D206="","",IFERROR(INDEX(rngCadetPIDs,MATCH($D206,rngCadetNames,0)),"?"))</f>
        <v/>
      </c>
      <c r="F206" s="16" t="n"/>
      <c r="G206" s="16" t="n"/>
      <c r="H206" s="16" t="n"/>
      <c r="I206" s="16" t="n"/>
      <c r="J206" s="16" t="n"/>
      <c r="K206" s="18" t="n"/>
      <c r="L206" s="18" t="n"/>
      <c r="M206" s="16" t="n"/>
      <c r="N206" s="16" t="n"/>
    </row>
    <row r="207">
      <c r="B207" s="17">
        <f>IF($D207="","","C"&amp;TEXT(ROW()-5,"000"))</f>
        <v/>
      </c>
      <c r="C207" s="18" t="n"/>
      <c r="D207" s="16" t="n"/>
      <c r="E207" s="17">
        <f>IF($D207="","",IFERROR(INDEX(rngCadetPIDs,MATCH($D207,rngCadetNames,0)),"?"))</f>
        <v/>
      </c>
      <c r="F207" s="16" t="n"/>
      <c r="G207" s="16" t="n"/>
      <c r="H207" s="16" t="n"/>
      <c r="I207" s="16" t="n"/>
      <c r="J207" s="16" t="n"/>
      <c r="K207" s="18" t="n"/>
      <c r="L207" s="18" t="n"/>
      <c r="M207" s="16" t="n"/>
      <c r="N207" s="16" t="n"/>
    </row>
    <row r="208">
      <c r="B208" s="17">
        <f>IF($D208="","","C"&amp;TEXT(ROW()-5,"000"))</f>
        <v/>
      </c>
      <c r="C208" s="18" t="n"/>
      <c r="D208" s="16" t="n"/>
      <c r="E208" s="17">
        <f>IF($D208="","",IFERROR(INDEX(rngCadetPIDs,MATCH($D208,rngCadetNames,0)),"?"))</f>
        <v/>
      </c>
      <c r="F208" s="16" t="n"/>
      <c r="G208" s="16" t="n"/>
      <c r="H208" s="16" t="n"/>
      <c r="I208" s="16" t="n"/>
      <c r="J208" s="16" t="n"/>
      <c r="K208" s="18" t="n"/>
      <c r="L208" s="18" t="n"/>
      <c r="M208" s="16" t="n"/>
      <c r="N208" s="16" t="n"/>
    </row>
    <row r="209">
      <c r="B209" s="17">
        <f>IF($D209="","","C"&amp;TEXT(ROW()-5,"000"))</f>
        <v/>
      </c>
      <c r="C209" s="18" t="n"/>
      <c r="D209" s="16" t="n"/>
      <c r="E209" s="17">
        <f>IF($D209="","",IFERROR(INDEX(rngCadetPIDs,MATCH($D209,rngCadetNames,0)),"?"))</f>
        <v/>
      </c>
      <c r="F209" s="16" t="n"/>
      <c r="G209" s="16" t="n"/>
      <c r="H209" s="16" t="n"/>
      <c r="I209" s="16" t="n"/>
      <c r="J209" s="16" t="n"/>
      <c r="K209" s="18" t="n"/>
      <c r="L209" s="18" t="n"/>
      <c r="M209" s="16" t="n"/>
      <c r="N209" s="16" t="n"/>
    </row>
    <row r="210">
      <c r="B210" s="17">
        <f>IF($D210="","","C"&amp;TEXT(ROW()-5,"000"))</f>
        <v/>
      </c>
      <c r="C210" s="18" t="n"/>
      <c r="D210" s="16" t="n"/>
      <c r="E210" s="17">
        <f>IF($D210="","",IFERROR(INDEX(rngCadetPIDs,MATCH($D210,rngCadetNames,0)),"?"))</f>
        <v/>
      </c>
      <c r="F210" s="16" t="n"/>
      <c r="G210" s="16" t="n"/>
      <c r="H210" s="16" t="n"/>
      <c r="I210" s="16" t="n"/>
      <c r="J210" s="16" t="n"/>
      <c r="K210" s="18" t="n"/>
      <c r="L210" s="18" t="n"/>
      <c r="M210" s="16" t="n"/>
      <c r="N210" s="16" t="n"/>
    </row>
    <row r="211">
      <c r="B211" s="17">
        <f>IF($D211="","","C"&amp;TEXT(ROW()-5,"000"))</f>
        <v/>
      </c>
      <c r="C211" s="18" t="n"/>
      <c r="D211" s="16" t="n"/>
      <c r="E211" s="17">
        <f>IF($D211="","",IFERROR(INDEX(rngCadetPIDs,MATCH($D211,rngCadetNames,0)),"?"))</f>
        <v/>
      </c>
      <c r="F211" s="16" t="n"/>
      <c r="G211" s="16" t="n"/>
      <c r="H211" s="16" t="n"/>
      <c r="I211" s="16" t="n"/>
      <c r="J211" s="16" t="n"/>
      <c r="K211" s="18" t="n"/>
      <c r="L211" s="18" t="n"/>
      <c r="M211" s="16" t="n"/>
      <c r="N211" s="16" t="n"/>
    </row>
    <row r="212">
      <c r="B212" s="17">
        <f>IF($D212="","","C"&amp;TEXT(ROW()-5,"000"))</f>
        <v/>
      </c>
      <c r="C212" s="18" t="n"/>
      <c r="D212" s="16" t="n"/>
      <c r="E212" s="17">
        <f>IF($D212="","",IFERROR(INDEX(rngCadetPIDs,MATCH($D212,rngCadetNames,0)),"?"))</f>
        <v/>
      </c>
      <c r="F212" s="16" t="n"/>
      <c r="G212" s="16" t="n"/>
      <c r="H212" s="16" t="n"/>
      <c r="I212" s="16" t="n"/>
      <c r="J212" s="16" t="n"/>
      <c r="K212" s="18" t="n"/>
      <c r="L212" s="18" t="n"/>
      <c r="M212" s="16" t="n"/>
      <c r="N212" s="16" t="n"/>
    </row>
    <row r="213">
      <c r="B213" s="17">
        <f>IF($D213="","","C"&amp;TEXT(ROW()-5,"000"))</f>
        <v/>
      </c>
      <c r="C213" s="18" t="n"/>
      <c r="D213" s="16" t="n"/>
      <c r="E213" s="17">
        <f>IF($D213="","",IFERROR(INDEX(rngCadetPIDs,MATCH($D213,rngCadetNames,0)),"?"))</f>
        <v/>
      </c>
      <c r="F213" s="16" t="n"/>
      <c r="G213" s="16" t="n"/>
      <c r="H213" s="16" t="n"/>
      <c r="I213" s="16" t="n"/>
      <c r="J213" s="16" t="n"/>
      <c r="K213" s="18" t="n"/>
      <c r="L213" s="18" t="n"/>
      <c r="M213" s="16" t="n"/>
      <c r="N213" s="16" t="n"/>
    </row>
    <row r="214">
      <c r="B214" s="17">
        <f>IF($D214="","","C"&amp;TEXT(ROW()-5,"000"))</f>
        <v/>
      </c>
      <c r="C214" s="18" t="n"/>
      <c r="D214" s="16" t="n"/>
      <c r="E214" s="17">
        <f>IF($D214="","",IFERROR(INDEX(rngCadetPIDs,MATCH($D214,rngCadetNames,0)),"?"))</f>
        <v/>
      </c>
      <c r="F214" s="16" t="n"/>
      <c r="G214" s="16" t="n"/>
      <c r="H214" s="16" t="n"/>
      <c r="I214" s="16" t="n"/>
      <c r="J214" s="16" t="n"/>
      <c r="K214" s="18" t="n"/>
      <c r="L214" s="18" t="n"/>
      <c r="M214" s="16" t="n"/>
      <c r="N214" s="16" t="n"/>
    </row>
    <row r="215">
      <c r="B215" s="17">
        <f>IF($D215="","","C"&amp;TEXT(ROW()-5,"000"))</f>
        <v/>
      </c>
      <c r="C215" s="18" t="n"/>
      <c r="D215" s="16" t="n"/>
      <c r="E215" s="17">
        <f>IF($D215="","",IFERROR(INDEX(rngCadetPIDs,MATCH($D215,rngCadetNames,0)),"?"))</f>
        <v/>
      </c>
      <c r="F215" s="16" t="n"/>
      <c r="G215" s="16" t="n"/>
      <c r="H215" s="16" t="n"/>
      <c r="I215" s="16" t="n"/>
      <c r="J215" s="16" t="n"/>
      <c r="K215" s="18" t="n"/>
      <c r="L215" s="18" t="n"/>
      <c r="M215" s="16" t="n"/>
      <c r="N215" s="16" t="n"/>
    </row>
    <row r="216">
      <c r="B216" s="17">
        <f>IF($D216="","","C"&amp;TEXT(ROW()-5,"000"))</f>
        <v/>
      </c>
      <c r="C216" s="18" t="n"/>
      <c r="D216" s="16" t="n"/>
      <c r="E216" s="17">
        <f>IF($D216="","",IFERROR(INDEX(rngCadetPIDs,MATCH($D216,rngCadetNames,0)),"?"))</f>
        <v/>
      </c>
      <c r="F216" s="16" t="n"/>
      <c r="G216" s="16" t="n"/>
      <c r="H216" s="16" t="n"/>
      <c r="I216" s="16" t="n"/>
      <c r="J216" s="16" t="n"/>
      <c r="K216" s="18" t="n"/>
      <c r="L216" s="18" t="n"/>
      <c r="M216" s="16" t="n"/>
      <c r="N216" s="16" t="n"/>
    </row>
    <row r="217">
      <c r="B217" s="17">
        <f>IF($D217="","","C"&amp;TEXT(ROW()-5,"000"))</f>
        <v/>
      </c>
      <c r="C217" s="18" t="n"/>
      <c r="D217" s="16" t="n"/>
      <c r="E217" s="17">
        <f>IF($D217="","",IFERROR(INDEX(rngCadetPIDs,MATCH($D217,rngCadetNames,0)),"?"))</f>
        <v/>
      </c>
      <c r="F217" s="16" t="n"/>
      <c r="G217" s="16" t="n"/>
      <c r="H217" s="16" t="n"/>
      <c r="I217" s="16" t="n"/>
      <c r="J217" s="16" t="n"/>
      <c r="K217" s="18" t="n"/>
      <c r="L217" s="18" t="n"/>
      <c r="M217" s="16" t="n"/>
      <c r="N217" s="16" t="n"/>
    </row>
    <row r="218">
      <c r="B218" s="17">
        <f>IF($D218="","","C"&amp;TEXT(ROW()-5,"000"))</f>
        <v/>
      </c>
      <c r="C218" s="18" t="n"/>
      <c r="D218" s="16" t="n"/>
      <c r="E218" s="17">
        <f>IF($D218="","",IFERROR(INDEX(rngCadetPIDs,MATCH($D218,rngCadetNames,0)),"?"))</f>
        <v/>
      </c>
      <c r="F218" s="16" t="n"/>
      <c r="G218" s="16" t="n"/>
      <c r="H218" s="16" t="n"/>
      <c r="I218" s="16" t="n"/>
      <c r="J218" s="16" t="n"/>
      <c r="K218" s="18" t="n"/>
      <c r="L218" s="18" t="n"/>
      <c r="M218" s="16" t="n"/>
      <c r="N218" s="16" t="n"/>
    </row>
    <row r="219">
      <c r="B219" s="17">
        <f>IF($D219="","","C"&amp;TEXT(ROW()-5,"000"))</f>
        <v/>
      </c>
      <c r="C219" s="18" t="n"/>
      <c r="D219" s="16" t="n"/>
      <c r="E219" s="17">
        <f>IF($D219="","",IFERROR(INDEX(rngCadetPIDs,MATCH($D219,rngCadetNames,0)),"?"))</f>
        <v/>
      </c>
      <c r="F219" s="16" t="n"/>
      <c r="G219" s="16" t="n"/>
      <c r="H219" s="16" t="n"/>
      <c r="I219" s="16" t="n"/>
      <c r="J219" s="16" t="n"/>
      <c r="K219" s="18" t="n"/>
      <c r="L219" s="18" t="n"/>
      <c r="M219" s="16" t="n"/>
      <c r="N219" s="16" t="n"/>
    </row>
    <row r="220">
      <c r="B220" s="17">
        <f>IF($D220="","","C"&amp;TEXT(ROW()-5,"000"))</f>
        <v/>
      </c>
      <c r="C220" s="18" t="n"/>
      <c r="D220" s="16" t="n"/>
      <c r="E220" s="17">
        <f>IF($D220="","",IFERROR(INDEX(rngCadetPIDs,MATCH($D220,rngCadetNames,0)),"?"))</f>
        <v/>
      </c>
      <c r="F220" s="16" t="n"/>
      <c r="G220" s="16" t="n"/>
      <c r="H220" s="16" t="n"/>
      <c r="I220" s="16" t="n"/>
      <c r="J220" s="16" t="n"/>
      <c r="K220" s="18" t="n"/>
      <c r="L220" s="18" t="n"/>
      <c r="M220" s="16" t="n"/>
      <c r="N220" s="16" t="n"/>
    </row>
    <row r="221">
      <c r="B221" s="17">
        <f>IF($D221="","","C"&amp;TEXT(ROW()-5,"000"))</f>
        <v/>
      </c>
      <c r="C221" s="18" t="n"/>
      <c r="D221" s="16" t="n"/>
      <c r="E221" s="17">
        <f>IF($D221="","",IFERROR(INDEX(rngCadetPIDs,MATCH($D221,rngCadetNames,0)),"?"))</f>
        <v/>
      </c>
      <c r="F221" s="16" t="n"/>
      <c r="G221" s="16" t="n"/>
      <c r="H221" s="16" t="n"/>
      <c r="I221" s="16" t="n"/>
      <c r="J221" s="16" t="n"/>
      <c r="K221" s="18" t="n"/>
      <c r="L221" s="18" t="n"/>
      <c r="M221" s="16" t="n"/>
      <c r="N221" s="16" t="n"/>
    </row>
    <row r="222">
      <c r="B222" s="17">
        <f>IF($D222="","","C"&amp;TEXT(ROW()-5,"000"))</f>
        <v/>
      </c>
      <c r="C222" s="18" t="n"/>
      <c r="D222" s="16" t="n"/>
      <c r="E222" s="17">
        <f>IF($D222="","",IFERROR(INDEX(rngCadetPIDs,MATCH($D222,rngCadetNames,0)),"?"))</f>
        <v/>
      </c>
      <c r="F222" s="16" t="n"/>
      <c r="G222" s="16" t="n"/>
      <c r="H222" s="16" t="n"/>
      <c r="I222" s="16" t="n"/>
      <c r="J222" s="16" t="n"/>
      <c r="K222" s="18" t="n"/>
      <c r="L222" s="18" t="n"/>
      <c r="M222" s="16" t="n"/>
      <c r="N222" s="16" t="n"/>
    </row>
    <row r="223">
      <c r="B223" s="17">
        <f>IF($D223="","","C"&amp;TEXT(ROW()-5,"000"))</f>
        <v/>
      </c>
      <c r="C223" s="18" t="n"/>
      <c r="D223" s="16" t="n"/>
      <c r="E223" s="17">
        <f>IF($D223="","",IFERROR(INDEX(rngCadetPIDs,MATCH($D223,rngCadetNames,0)),"?"))</f>
        <v/>
      </c>
      <c r="F223" s="16" t="n"/>
      <c r="G223" s="16" t="n"/>
      <c r="H223" s="16" t="n"/>
      <c r="I223" s="16" t="n"/>
      <c r="J223" s="16" t="n"/>
      <c r="K223" s="18" t="n"/>
      <c r="L223" s="18" t="n"/>
      <c r="M223" s="16" t="n"/>
      <c r="N223" s="16" t="n"/>
    </row>
    <row r="224">
      <c r="B224" s="17">
        <f>IF($D224="","","C"&amp;TEXT(ROW()-5,"000"))</f>
        <v/>
      </c>
      <c r="C224" s="18" t="n"/>
      <c r="D224" s="16" t="n"/>
      <c r="E224" s="17">
        <f>IF($D224="","",IFERROR(INDEX(rngCadetPIDs,MATCH($D224,rngCadetNames,0)),"?"))</f>
        <v/>
      </c>
      <c r="F224" s="16" t="n"/>
      <c r="G224" s="16" t="n"/>
      <c r="H224" s="16" t="n"/>
      <c r="I224" s="16" t="n"/>
      <c r="J224" s="16" t="n"/>
      <c r="K224" s="18" t="n"/>
      <c r="L224" s="18" t="n"/>
      <c r="M224" s="16" t="n"/>
      <c r="N224" s="16" t="n"/>
    </row>
    <row r="225">
      <c r="B225" s="17">
        <f>IF($D225="","","C"&amp;TEXT(ROW()-5,"000"))</f>
        <v/>
      </c>
      <c r="C225" s="18" t="n"/>
      <c r="D225" s="16" t="n"/>
      <c r="E225" s="17">
        <f>IF($D225="","",IFERROR(INDEX(rngCadetPIDs,MATCH($D225,rngCadetNames,0)),"?"))</f>
        <v/>
      </c>
      <c r="F225" s="16" t="n"/>
      <c r="G225" s="16" t="n"/>
      <c r="H225" s="16" t="n"/>
      <c r="I225" s="16" t="n"/>
      <c r="J225" s="16" t="n"/>
      <c r="K225" s="18" t="n"/>
      <c r="L225" s="18" t="n"/>
      <c r="M225" s="16" t="n"/>
      <c r="N225" s="16" t="n"/>
    </row>
    <row r="226">
      <c r="B226" s="17">
        <f>IF($D226="","","C"&amp;TEXT(ROW()-5,"000"))</f>
        <v/>
      </c>
      <c r="C226" s="18" t="n"/>
      <c r="D226" s="16" t="n"/>
      <c r="E226" s="17">
        <f>IF($D226="","",IFERROR(INDEX(rngCadetPIDs,MATCH($D226,rngCadetNames,0)),"?"))</f>
        <v/>
      </c>
      <c r="F226" s="16" t="n"/>
      <c r="G226" s="16" t="n"/>
      <c r="H226" s="16" t="n"/>
      <c r="I226" s="16" t="n"/>
      <c r="J226" s="16" t="n"/>
      <c r="K226" s="18" t="n"/>
      <c r="L226" s="18" t="n"/>
      <c r="M226" s="16" t="n"/>
      <c r="N226" s="16" t="n"/>
    </row>
    <row r="227">
      <c r="B227" s="17">
        <f>IF($D227="","","C"&amp;TEXT(ROW()-5,"000"))</f>
        <v/>
      </c>
      <c r="C227" s="18" t="n"/>
      <c r="D227" s="16" t="n"/>
      <c r="E227" s="17">
        <f>IF($D227="","",IFERROR(INDEX(rngCadetPIDs,MATCH($D227,rngCadetNames,0)),"?"))</f>
        <v/>
      </c>
      <c r="F227" s="16" t="n"/>
      <c r="G227" s="16" t="n"/>
      <c r="H227" s="16" t="n"/>
      <c r="I227" s="16" t="n"/>
      <c r="J227" s="16" t="n"/>
      <c r="K227" s="18" t="n"/>
      <c r="L227" s="18" t="n"/>
      <c r="M227" s="16" t="n"/>
      <c r="N227" s="16" t="n"/>
    </row>
    <row r="228">
      <c r="B228" s="17">
        <f>IF($D228="","","C"&amp;TEXT(ROW()-5,"000"))</f>
        <v/>
      </c>
      <c r="C228" s="18" t="n"/>
      <c r="D228" s="16" t="n"/>
      <c r="E228" s="17">
        <f>IF($D228="","",IFERROR(INDEX(rngCadetPIDs,MATCH($D228,rngCadetNames,0)),"?"))</f>
        <v/>
      </c>
      <c r="F228" s="16" t="n"/>
      <c r="G228" s="16" t="n"/>
      <c r="H228" s="16" t="n"/>
      <c r="I228" s="16" t="n"/>
      <c r="J228" s="16" t="n"/>
      <c r="K228" s="18" t="n"/>
      <c r="L228" s="18" t="n"/>
      <c r="M228" s="16" t="n"/>
      <c r="N228" s="16" t="n"/>
    </row>
    <row r="229">
      <c r="B229" s="17">
        <f>IF($D229="","","C"&amp;TEXT(ROW()-5,"000"))</f>
        <v/>
      </c>
      <c r="C229" s="18" t="n"/>
      <c r="D229" s="16" t="n"/>
      <c r="E229" s="17">
        <f>IF($D229="","",IFERROR(INDEX(rngCadetPIDs,MATCH($D229,rngCadetNames,0)),"?"))</f>
        <v/>
      </c>
      <c r="F229" s="16" t="n"/>
      <c r="G229" s="16" t="n"/>
      <c r="H229" s="16" t="n"/>
      <c r="I229" s="16" t="n"/>
      <c r="J229" s="16" t="n"/>
      <c r="K229" s="18" t="n"/>
      <c r="L229" s="18" t="n"/>
      <c r="M229" s="16" t="n"/>
      <c r="N229" s="16" t="n"/>
    </row>
    <row r="230">
      <c r="B230" s="17">
        <f>IF($D230="","","C"&amp;TEXT(ROW()-5,"000"))</f>
        <v/>
      </c>
      <c r="C230" s="18" t="n"/>
      <c r="D230" s="16" t="n"/>
      <c r="E230" s="17">
        <f>IF($D230="","",IFERROR(INDEX(rngCadetPIDs,MATCH($D230,rngCadetNames,0)),"?"))</f>
        <v/>
      </c>
      <c r="F230" s="16" t="n"/>
      <c r="G230" s="16" t="n"/>
      <c r="H230" s="16" t="n"/>
      <c r="I230" s="16" t="n"/>
      <c r="J230" s="16" t="n"/>
      <c r="K230" s="18" t="n"/>
      <c r="L230" s="18" t="n"/>
      <c r="M230" s="16" t="n"/>
      <c r="N230" s="16" t="n"/>
    </row>
    <row r="231">
      <c r="B231" s="17">
        <f>IF($D231="","","C"&amp;TEXT(ROW()-5,"000"))</f>
        <v/>
      </c>
      <c r="C231" s="18" t="n"/>
      <c r="D231" s="16" t="n"/>
      <c r="E231" s="17">
        <f>IF($D231="","",IFERROR(INDEX(rngCadetPIDs,MATCH($D231,rngCadetNames,0)),"?"))</f>
        <v/>
      </c>
      <c r="F231" s="16" t="n"/>
      <c r="G231" s="16" t="n"/>
      <c r="H231" s="16" t="n"/>
      <c r="I231" s="16" t="n"/>
      <c r="J231" s="16" t="n"/>
      <c r="K231" s="18" t="n"/>
      <c r="L231" s="18" t="n"/>
      <c r="M231" s="16" t="n"/>
      <c r="N231" s="16" t="n"/>
    </row>
    <row r="232">
      <c r="B232" s="17">
        <f>IF($D232="","","C"&amp;TEXT(ROW()-5,"000"))</f>
        <v/>
      </c>
      <c r="C232" s="18" t="n"/>
      <c r="D232" s="16" t="n"/>
      <c r="E232" s="17">
        <f>IF($D232="","",IFERROR(INDEX(rngCadetPIDs,MATCH($D232,rngCadetNames,0)),"?"))</f>
        <v/>
      </c>
      <c r="F232" s="16" t="n"/>
      <c r="G232" s="16" t="n"/>
      <c r="H232" s="16" t="n"/>
      <c r="I232" s="16" t="n"/>
      <c r="J232" s="16" t="n"/>
      <c r="K232" s="18" t="n"/>
      <c r="L232" s="18" t="n"/>
      <c r="M232" s="16" t="n"/>
      <c r="N232" s="16" t="n"/>
    </row>
    <row r="233">
      <c r="B233" s="17">
        <f>IF($D233="","","C"&amp;TEXT(ROW()-5,"000"))</f>
        <v/>
      </c>
      <c r="C233" s="18" t="n"/>
      <c r="D233" s="16" t="n"/>
      <c r="E233" s="17">
        <f>IF($D233="","",IFERROR(INDEX(rngCadetPIDs,MATCH($D233,rngCadetNames,0)),"?"))</f>
        <v/>
      </c>
      <c r="F233" s="16" t="n"/>
      <c r="G233" s="16" t="n"/>
      <c r="H233" s="16" t="n"/>
      <c r="I233" s="16" t="n"/>
      <c r="J233" s="16" t="n"/>
      <c r="K233" s="18" t="n"/>
      <c r="L233" s="18" t="n"/>
      <c r="M233" s="16" t="n"/>
      <c r="N233" s="16" t="n"/>
    </row>
    <row r="234">
      <c r="B234" s="17">
        <f>IF($D234="","","C"&amp;TEXT(ROW()-5,"000"))</f>
        <v/>
      </c>
      <c r="C234" s="18" t="n"/>
      <c r="D234" s="16" t="n"/>
      <c r="E234" s="17">
        <f>IF($D234="","",IFERROR(INDEX(rngCadetPIDs,MATCH($D234,rngCadetNames,0)),"?"))</f>
        <v/>
      </c>
      <c r="F234" s="16" t="n"/>
      <c r="G234" s="16" t="n"/>
      <c r="H234" s="16" t="n"/>
      <c r="I234" s="16" t="n"/>
      <c r="J234" s="16" t="n"/>
      <c r="K234" s="18" t="n"/>
      <c r="L234" s="18" t="n"/>
      <c r="M234" s="16" t="n"/>
      <c r="N234" s="16" t="n"/>
    </row>
    <row r="235">
      <c r="B235" s="17">
        <f>IF($D235="","","C"&amp;TEXT(ROW()-5,"000"))</f>
        <v/>
      </c>
      <c r="C235" s="18" t="n"/>
      <c r="D235" s="16" t="n"/>
      <c r="E235" s="17">
        <f>IF($D235="","",IFERROR(INDEX(rngCadetPIDs,MATCH($D235,rngCadetNames,0)),"?"))</f>
        <v/>
      </c>
      <c r="F235" s="16" t="n"/>
      <c r="G235" s="16" t="n"/>
      <c r="H235" s="16" t="n"/>
      <c r="I235" s="16" t="n"/>
      <c r="J235" s="16" t="n"/>
      <c r="K235" s="18" t="n"/>
      <c r="L235" s="18" t="n"/>
      <c r="M235" s="16" t="n"/>
      <c r="N235" s="16" t="n"/>
    </row>
    <row r="236">
      <c r="B236" s="17">
        <f>IF($D236="","","C"&amp;TEXT(ROW()-5,"000"))</f>
        <v/>
      </c>
      <c r="C236" s="18" t="n"/>
      <c r="D236" s="16" t="n"/>
      <c r="E236" s="17">
        <f>IF($D236="","",IFERROR(INDEX(rngCadetPIDs,MATCH($D236,rngCadetNames,0)),"?"))</f>
        <v/>
      </c>
      <c r="F236" s="16" t="n"/>
      <c r="G236" s="16" t="n"/>
      <c r="H236" s="16" t="n"/>
      <c r="I236" s="16" t="n"/>
      <c r="J236" s="16" t="n"/>
      <c r="K236" s="18" t="n"/>
      <c r="L236" s="18" t="n"/>
      <c r="M236" s="16" t="n"/>
      <c r="N236" s="16" t="n"/>
    </row>
    <row r="237">
      <c r="B237" s="17">
        <f>IF($D237="","","C"&amp;TEXT(ROW()-5,"000"))</f>
        <v/>
      </c>
      <c r="C237" s="18" t="n"/>
      <c r="D237" s="16" t="n"/>
      <c r="E237" s="17">
        <f>IF($D237="","",IFERROR(INDEX(rngCadetPIDs,MATCH($D237,rngCadetNames,0)),"?"))</f>
        <v/>
      </c>
      <c r="F237" s="16" t="n"/>
      <c r="G237" s="16" t="n"/>
      <c r="H237" s="16" t="n"/>
      <c r="I237" s="16" t="n"/>
      <c r="J237" s="16" t="n"/>
      <c r="K237" s="18" t="n"/>
      <c r="L237" s="18" t="n"/>
      <c r="M237" s="16" t="n"/>
      <c r="N237" s="16" t="n"/>
    </row>
    <row r="238">
      <c r="B238" s="17">
        <f>IF($D238="","","C"&amp;TEXT(ROW()-5,"000"))</f>
        <v/>
      </c>
      <c r="C238" s="18" t="n"/>
      <c r="D238" s="16" t="n"/>
      <c r="E238" s="17">
        <f>IF($D238="","",IFERROR(INDEX(rngCadetPIDs,MATCH($D238,rngCadetNames,0)),"?"))</f>
        <v/>
      </c>
      <c r="F238" s="16" t="n"/>
      <c r="G238" s="16" t="n"/>
      <c r="H238" s="16" t="n"/>
      <c r="I238" s="16" t="n"/>
      <c r="J238" s="16" t="n"/>
      <c r="K238" s="18" t="n"/>
      <c r="L238" s="18" t="n"/>
      <c r="M238" s="16" t="n"/>
      <c r="N238" s="16" t="n"/>
    </row>
    <row r="239">
      <c r="B239" s="17">
        <f>IF($D239="","","C"&amp;TEXT(ROW()-5,"000"))</f>
        <v/>
      </c>
      <c r="C239" s="18" t="n"/>
      <c r="D239" s="16" t="n"/>
      <c r="E239" s="17">
        <f>IF($D239="","",IFERROR(INDEX(rngCadetPIDs,MATCH($D239,rngCadetNames,0)),"?"))</f>
        <v/>
      </c>
      <c r="F239" s="16" t="n"/>
      <c r="G239" s="16" t="n"/>
      <c r="H239" s="16" t="n"/>
      <c r="I239" s="16" t="n"/>
      <c r="J239" s="16" t="n"/>
      <c r="K239" s="18" t="n"/>
      <c r="L239" s="18" t="n"/>
      <c r="M239" s="16" t="n"/>
      <c r="N239" s="16" t="n"/>
    </row>
    <row r="240">
      <c r="B240" s="17">
        <f>IF($D240="","","C"&amp;TEXT(ROW()-5,"000"))</f>
        <v/>
      </c>
      <c r="C240" s="18" t="n"/>
      <c r="D240" s="16" t="n"/>
      <c r="E240" s="17">
        <f>IF($D240="","",IFERROR(INDEX(rngCadetPIDs,MATCH($D240,rngCadetNames,0)),"?"))</f>
        <v/>
      </c>
      <c r="F240" s="16" t="n"/>
      <c r="G240" s="16" t="n"/>
      <c r="H240" s="16" t="n"/>
      <c r="I240" s="16" t="n"/>
      <c r="J240" s="16" t="n"/>
      <c r="K240" s="18" t="n"/>
      <c r="L240" s="18" t="n"/>
      <c r="M240" s="16" t="n"/>
      <c r="N240" s="16" t="n"/>
    </row>
    <row r="241">
      <c r="B241" s="17">
        <f>IF($D241="","","C"&amp;TEXT(ROW()-5,"000"))</f>
        <v/>
      </c>
      <c r="C241" s="18" t="n"/>
      <c r="D241" s="16" t="n"/>
      <c r="E241" s="17">
        <f>IF($D241="","",IFERROR(INDEX(rngCadetPIDs,MATCH($D241,rngCadetNames,0)),"?"))</f>
        <v/>
      </c>
      <c r="F241" s="16" t="n"/>
      <c r="G241" s="16" t="n"/>
      <c r="H241" s="16" t="n"/>
      <c r="I241" s="16" t="n"/>
      <c r="J241" s="16" t="n"/>
      <c r="K241" s="18" t="n"/>
      <c r="L241" s="18" t="n"/>
      <c r="M241" s="16" t="n"/>
      <c r="N241" s="16" t="n"/>
    </row>
    <row r="242">
      <c r="B242" s="17">
        <f>IF($D242="","","C"&amp;TEXT(ROW()-5,"000"))</f>
        <v/>
      </c>
      <c r="C242" s="18" t="n"/>
      <c r="D242" s="16" t="n"/>
      <c r="E242" s="17">
        <f>IF($D242="","",IFERROR(INDEX(rngCadetPIDs,MATCH($D242,rngCadetNames,0)),"?"))</f>
        <v/>
      </c>
      <c r="F242" s="16" t="n"/>
      <c r="G242" s="16" t="n"/>
      <c r="H242" s="16" t="n"/>
      <c r="I242" s="16" t="n"/>
      <c r="J242" s="16" t="n"/>
      <c r="K242" s="18" t="n"/>
      <c r="L242" s="18" t="n"/>
      <c r="M242" s="16" t="n"/>
      <c r="N242" s="16" t="n"/>
    </row>
    <row r="243">
      <c r="B243" s="17">
        <f>IF($D243="","","C"&amp;TEXT(ROW()-5,"000"))</f>
        <v/>
      </c>
      <c r="C243" s="18" t="n"/>
      <c r="D243" s="16" t="n"/>
      <c r="E243" s="17">
        <f>IF($D243="","",IFERROR(INDEX(rngCadetPIDs,MATCH($D243,rngCadetNames,0)),"?"))</f>
        <v/>
      </c>
      <c r="F243" s="16" t="n"/>
      <c r="G243" s="16" t="n"/>
      <c r="H243" s="16" t="n"/>
      <c r="I243" s="16" t="n"/>
      <c r="J243" s="16" t="n"/>
      <c r="K243" s="18" t="n"/>
      <c r="L243" s="18" t="n"/>
      <c r="M243" s="16" t="n"/>
      <c r="N243" s="16" t="n"/>
    </row>
    <row r="244">
      <c r="B244" s="17">
        <f>IF($D244="","","C"&amp;TEXT(ROW()-5,"000"))</f>
        <v/>
      </c>
      <c r="C244" s="18" t="n"/>
      <c r="D244" s="16" t="n"/>
      <c r="E244" s="17">
        <f>IF($D244="","",IFERROR(INDEX(rngCadetPIDs,MATCH($D244,rngCadetNames,0)),"?"))</f>
        <v/>
      </c>
      <c r="F244" s="16" t="n"/>
      <c r="G244" s="16" t="n"/>
      <c r="H244" s="16" t="n"/>
      <c r="I244" s="16" t="n"/>
      <c r="J244" s="16" t="n"/>
      <c r="K244" s="18" t="n"/>
      <c r="L244" s="18" t="n"/>
      <c r="M244" s="16" t="n"/>
      <c r="N244" s="16" t="n"/>
    </row>
    <row r="245">
      <c r="B245" s="17">
        <f>IF($D245="","","C"&amp;TEXT(ROW()-5,"000"))</f>
        <v/>
      </c>
      <c r="C245" s="18" t="n"/>
      <c r="D245" s="16" t="n"/>
      <c r="E245" s="17">
        <f>IF($D245="","",IFERROR(INDEX(rngCadetPIDs,MATCH($D245,rngCadetNames,0)),"?"))</f>
        <v/>
      </c>
      <c r="F245" s="16" t="n"/>
      <c r="G245" s="16" t="n"/>
      <c r="H245" s="16" t="n"/>
      <c r="I245" s="16" t="n"/>
      <c r="J245" s="16" t="n"/>
      <c r="K245" s="18" t="n"/>
      <c r="L245" s="18" t="n"/>
      <c r="M245" s="16" t="n"/>
      <c r="N245" s="16" t="n"/>
    </row>
    <row r="246">
      <c r="B246" s="17">
        <f>IF($D246="","","C"&amp;TEXT(ROW()-5,"000"))</f>
        <v/>
      </c>
      <c r="C246" s="18" t="n"/>
      <c r="D246" s="16" t="n"/>
      <c r="E246" s="17">
        <f>IF($D246="","",IFERROR(INDEX(rngCadetPIDs,MATCH($D246,rngCadetNames,0)),"?"))</f>
        <v/>
      </c>
      <c r="F246" s="16" t="n"/>
      <c r="G246" s="16" t="n"/>
      <c r="H246" s="16" t="n"/>
      <c r="I246" s="16" t="n"/>
      <c r="J246" s="16" t="n"/>
      <c r="K246" s="18" t="n"/>
      <c r="L246" s="18" t="n"/>
      <c r="M246" s="16" t="n"/>
      <c r="N246" s="16" t="n"/>
    </row>
    <row r="247">
      <c r="B247" s="17">
        <f>IF($D247="","","C"&amp;TEXT(ROW()-5,"000"))</f>
        <v/>
      </c>
      <c r="C247" s="18" t="n"/>
      <c r="D247" s="16" t="n"/>
      <c r="E247" s="17">
        <f>IF($D247="","",IFERROR(INDEX(rngCadetPIDs,MATCH($D247,rngCadetNames,0)),"?"))</f>
        <v/>
      </c>
      <c r="F247" s="16" t="n"/>
      <c r="G247" s="16" t="n"/>
      <c r="H247" s="16" t="n"/>
      <c r="I247" s="16" t="n"/>
      <c r="J247" s="16" t="n"/>
      <c r="K247" s="18" t="n"/>
      <c r="L247" s="18" t="n"/>
      <c r="M247" s="16" t="n"/>
      <c r="N247" s="16" t="n"/>
    </row>
    <row r="248">
      <c r="B248" s="17">
        <f>IF($D248="","","C"&amp;TEXT(ROW()-5,"000"))</f>
        <v/>
      </c>
      <c r="C248" s="18" t="n"/>
      <c r="D248" s="16" t="n"/>
      <c r="E248" s="17">
        <f>IF($D248="","",IFERROR(INDEX(rngCadetPIDs,MATCH($D248,rngCadetNames,0)),"?"))</f>
        <v/>
      </c>
      <c r="F248" s="16" t="n"/>
      <c r="G248" s="16" t="n"/>
      <c r="H248" s="16" t="n"/>
      <c r="I248" s="16" t="n"/>
      <c r="J248" s="16" t="n"/>
      <c r="K248" s="18" t="n"/>
      <c r="L248" s="18" t="n"/>
      <c r="M248" s="16" t="n"/>
      <c r="N248" s="16" t="n"/>
    </row>
    <row r="249">
      <c r="B249" s="17">
        <f>IF($D249="","","C"&amp;TEXT(ROW()-5,"000"))</f>
        <v/>
      </c>
      <c r="C249" s="18" t="n"/>
      <c r="D249" s="16" t="n"/>
      <c r="E249" s="17">
        <f>IF($D249="","",IFERROR(INDEX(rngCadetPIDs,MATCH($D249,rngCadetNames,0)),"?"))</f>
        <v/>
      </c>
      <c r="F249" s="16" t="n"/>
      <c r="G249" s="16" t="n"/>
      <c r="H249" s="16" t="n"/>
      <c r="I249" s="16" t="n"/>
      <c r="J249" s="16" t="n"/>
      <c r="K249" s="18" t="n"/>
      <c r="L249" s="18" t="n"/>
      <c r="M249" s="16" t="n"/>
      <c r="N249" s="16" t="n"/>
    </row>
    <row r="250">
      <c r="B250" s="17">
        <f>IF($D250="","","C"&amp;TEXT(ROW()-5,"000"))</f>
        <v/>
      </c>
      <c r="C250" s="18" t="n"/>
      <c r="D250" s="16" t="n"/>
      <c r="E250" s="17">
        <f>IF($D250="","",IFERROR(INDEX(rngCadetPIDs,MATCH($D250,rngCadetNames,0)),"?"))</f>
        <v/>
      </c>
      <c r="F250" s="16" t="n"/>
      <c r="G250" s="16" t="n"/>
      <c r="H250" s="16" t="n"/>
      <c r="I250" s="16" t="n"/>
      <c r="J250" s="16" t="n"/>
      <c r="K250" s="18" t="n"/>
      <c r="L250" s="18" t="n"/>
      <c r="M250" s="16" t="n"/>
      <c r="N250" s="16" t="n"/>
    </row>
    <row r="251">
      <c r="B251" s="17">
        <f>IF($D251="","","C"&amp;TEXT(ROW()-5,"000"))</f>
        <v/>
      </c>
      <c r="C251" s="18" t="n"/>
      <c r="D251" s="16" t="n"/>
      <c r="E251" s="17">
        <f>IF($D251="","",IFERROR(INDEX(rngCadetPIDs,MATCH($D251,rngCadetNames,0)),"?"))</f>
        <v/>
      </c>
      <c r="F251" s="16" t="n"/>
      <c r="G251" s="16" t="n"/>
      <c r="H251" s="16" t="n"/>
      <c r="I251" s="16" t="n"/>
      <c r="J251" s="16" t="n"/>
      <c r="K251" s="18" t="n"/>
      <c r="L251" s="18" t="n"/>
      <c r="M251" s="16" t="n"/>
      <c r="N251" s="16" t="n"/>
    </row>
    <row r="252">
      <c r="B252" s="17">
        <f>IF($D252="","","C"&amp;TEXT(ROW()-5,"000"))</f>
        <v/>
      </c>
      <c r="C252" s="18" t="n"/>
      <c r="D252" s="16" t="n"/>
      <c r="E252" s="17">
        <f>IF($D252="","",IFERROR(INDEX(rngCadetPIDs,MATCH($D252,rngCadetNames,0)),"?"))</f>
        <v/>
      </c>
      <c r="F252" s="16" t="n"/>
      <c r="G252" s="16" t="n"/>
      <c r="H252" s="16" t="n"/>
      <c r="I252" s="16" t="n"/>
      <c r="J252" s="16" t="n"/>
      <c r="K252" s="18" t="n"/>
      <c r="L252" s="18" t="n"/>
      <c r="M252" s="16" t="n"/>
      <c r="N252" s="16" t="n"/>
    </row>
    <row r="253">
      <c r="B253" s="17">
        <f>IF($D253="","","C"&amp;TEXT(ROW()-5,"000"))</f>
        <v/>
      </c>
      <c r="C253" s="18" t="n"/>
      <c r="D253" s="16" t="n"/>
      <c r="E253" s="17">
        <f>IF($D253="","",IFERROR(INDEX(rngCadetPIDs,MATCH($D253,rngCadetNames,0)),"?"))</f>
        <v/>
      </c>
      <c r="F253" s="16" t="n"/>
      <c r="G253" s="16" t="n"/>
      <c r="H253" s="16" t="n"/>
      <c r="I253" s="16" t="n"/>
      <c r="J253" s="16" t="n"/>
      <c r="K253" s="18" t="n"/>
      <c r="L253" s="18" t="n"/>
      <c r="M253" s="16" t="n"/>
      <c r="N253" s="16" t="n"/>
    </row>
    <row r="254">
      <c r="B254" s="17">
        <f>IF($D254="","","C"&amp;TEXT(ROW()-5,"000"))</f>
        <v/>
      </c>
      <c r="C254" s="18" t="n"/>
      <c r="D254" s="16" t="n"/>
      <c r="E254" s="17">
        <f>IF($D254="","",IFERROR(INDEX(rngCadetPIDs,MATCH($D254,rngCadetNames,0)),"?"))</f>
        <v/>
      </c>
      <c r="F254" s="16" t="n"/>
      <c r="G254" s="16" t="n"/>
      <c r="H254" s="16" t="n"/>
      <c r="I254" s="16" t="n"/>
      <c r="J254" s="16" t="n"/>
      <c r="K254" s="18" t="n"/>
      <c r="L254" s="18" t="n"/>
      <c r="M254" s="16" t="n"/>
      <c r="N254" s="16" t="n"/>
    </row>
    <row r="255">
      <c r="B255" s="17">
        <f>IF($D255="","","C"&amp;TEXT(ROW()-5,"000"))</f>
        <v/>
      </c>
      <c r="C255" s="18" t="n"/>
      <c r="D255" s="16" t="n"/>
      <c r="E255" s="17">
        <f>IF($D255="","",IFERROR(INDEX(rngCadetPIDs,MATCH($D255,rngCadetNames,0)),"?"))</f>
        <v/>
      </c>
      <c r="F255" s="16" t="n"/>
      <c r="G255" s="16" t="n"/>
      <c r="H255" s="16" t="n"/>
      <c r="I255" s="16" t="n"/>
      <c r="J255" s="16" t="n"/>
      <c r="K255" s="18" t="n"/>
      <c r="L255" s="18" t="n"/>
      <c r="M255" s="16" t="n"/>
      <c r="N255" s="16" t="n"/>
    </row>
    <row r="256">
      <c r="B256" s="17">
        <f>IF($D256="","","C"&amp;TEXT(ROW()-5,"000"))</f>
        <v/>
      </c>
      <c r="C256" s="18" t="n"/>
      <c r="D256" s="16" t="n"/>
      <c r="E256" s="17">
        <f>IF($D256="","",IFERROR(INDEX(rngCadetPIDs,MATCH($D256,rngCadetNames,0)),"?"))</f>
        <v/>
      </c>
      <c r="F256" s="16" t="n"/>
      <c r="G256" s="16" t="n"/>
      <c r="H256" s="16" t="n"/>
      <c r="I256" s="16" t="n"/>
      <c r="J256" s="16" t="n"/>
      <c r="K256" s="18" t="n"/>
      <c r="L256" s="18" t="n"/>
      <c r="M256" s="16" t="n"/>
      <c r="N256" s="16" t="n"/>
    </row>
    <row r="257">
      <c r="B257" s="17">
        <f>IF($D257="","","C"&amp;TEXT(ROW()-5,"000"))</f>
        <v/>
      </c>
      <c r="C257" s="18" t="n"/>
      <c r="D257" s="16" t="n"/>
      <c r="E257" s="17">
        <f>IF($D257="","",IFERROR(INDEX(rngCadetPIDs,MATCH($D257,rngCadetNames,0)),"?"))</f>
        <v/>
      </c>
      <c r="F257" s="16" t="n"/>
      <c r="G257" s="16" t="n"/>
      <c r="H257" s="16" t="n"/>
      <c r="I257" s="16" t="n"/>
      <c r="J257" s="16" t="n"/>
      <c r="K257" s="18" t="n"/>
      <c r="L257" s="18" t="n"/>
      <c r="M257" s="16" t="n"/>
      <c r="N257" s="16" t="n"/>
    </row>
    <row r="258">
      <c r="B258" s="17">
        <f>IF($D258="","","C"&amp;TEXT(ROW()-5,"000"))</f>
        <v/>
      </c>
      <c r="C258" s="18" t="n"/>
      <c r="D258" s="16" t="n"/>
      <c r="E258" s="17">
        <f>IF($D258="","",IFERROR(INDEX(rngCadetPIDs,MATCH($D258,rngCadetNames,0)),"?"))</f>
        <v/>
      </c>
      <c r="F258" s="16" t="n"/>
      <c r="G258" s="16" t="n"/>
      <c r="H258" s="16" t="n"/>
      <c r="I258" s="16" t="n"/>
      <c r="J258" s="16" t="n"/>
      <c r="K258" s="18" t="n"/>
      <c r="L258" s="18" t="n"/>
      <c r="M258" s="16" t="n"/>
      <c r="N258" s="16" t="n"/>
    </row>
    <row r="259">
      <c r="B259" s="17">
        <f>IF($D259="","","C"&amp;TEXT(ROW()-5,"000"))</f>
        <v/>
      </c>
      <c r="C259" s="18" t="n"/>
      <c r="D259" s="16" t="n"/>
      <c r="E259" s="17">
        <f>IF($D259="","",IFERROR(INDEX(rngCadetPIDs,MATCH($D259,rngCadetNames,0)),"?"))</f>
        <v/>
      </c>
      <c r="F259" s="16" t="n"/>
      <c r="G259" s="16" t="n"/>
      <c r="H259" s="16" t="n"/>
      <c r="I259" s="16" t="n"/>
      <c r="J259" s="16" t="n"/>
      <c r="K259" s="18" t="n"/>
      <c r="L259" s="18" t="n"/>
      <c r="M259" s="16" t="n"/>
      <c r="N259" s="16" t="n"/>
    </row>
    <row r="260">
      <c r="B260" s="17">
        <f>IF($D260="","","C"&amp;TEXT(ROW()-5,"000"))</f>
        <v/>
      </c>
      <c r="C260" s="18" t="n"/>
      <c r="D260" s="16" t="n"/>
      <c r="E260" s="17">
        <f>IF($D260="","",IFERROR(INDEX(rngCadetPIDs,MATCH($D260,rngCadetNames,0)),"?"))</f>
        <v/>
      </c>
      <c r="F260" s="16" t="n"/>
      <c r="G260" s="16" t="n"/>
      <c r="H260" s="16" t="n"/>
      <c r="I260" s="16" t="n"/>
      <c r="J260" s="16" t="n"/>
      <c r="K260" s="18" t="n"/>
      <c r="L260" s="18" t="n"/>
      <c r="M260" s="16" t="n"/>
      <c r="N260" s="16" t="n"/>
    </row>
    <row r="261">
      <c r="B261" s="17">
        <f>IF($D261="","","C"&amp;TEXT(ROW()-5,"000"))</f>
        <v/>
      </c>
      <c r="C261" s="18" t="n"/>
      <c r="D261" s="16" t="n"/>
      <c r="E261" s="17">
        <f>IF($D261="","",IFERROR(INDEX(rngCadetPIDs,MATCH($D261,rngCadetNames,0)),"?"))</f>
        <v/>
      </c>
      <c r="F261" s="16" t="n"/>
      <c r="G261" s="16" t="n"/>
      <c r="H261" s="16" t="n"/>
      <c r="I261" s="16" t="n"/>
      <c r="J261" s="16" t="n"/>
      <c r="K261" s="18" t="n"/>
      <c r="L261" s="18" t="n"/>
      <c r="M261" s="16" t="n"/>
      <c r="N261" s="16" t="n"/>
    </row>
    <row r="262">
      <c r="B262" s="17">
        <f>IF($D262="","","C"&amp;TEXT(ROW()-5,"000"))</f>
        <v/>
      </c>
      <c r="C262" s="18" t="n"/>
      <c r="D262" s="16" t="n"/>
      <c r="E262" s="17">
        <f>IF($D262="","",IFERROR(INDEX(rngCadetPIDs,MATCH($D262,rngCadetNames,0)),"?"))</f>
        <v/>
      </c>
      <c r="F262" s="16" t="n"/>
      <c r="G262" s="16" t="n"/>
      <c r="H262" s="16" t="n"/>
      <c r="I262" s="16" t="n"/>
      <c r="J262" s="16" t="n"/>
      <c r="K262" s="18" t="n"/>
      <c r="L262" s="18" t="n"/>
      <c r="M262" s="16" t="n"/>
      <c r="N262" s="16" t="n"/>
    </row>
    <row r="263">
      <c r="B263" s="17">
        <f>IF($D263="","","C"&amp;TEXT(ROW()-5,"000"))</f>
        <v/>
      </c>
      <c r="C263" s="18" t="n"/>
      <c r="D263" s="16" t="n"/>
      <c r="E263" s="17">
        <f>IF($D263="","",IFERROR(INDEX(rngCadetPIDs,MATCH($D263,rngCadetNames,0)),"?"))</f>
        <v/>
      </c>
      <c r="F263" s="16" t="n"/>
      <c r="G263" s="16" t="n"/>
      <c r="H263" s="16" t="n"/>
      <c r="I263" s="16" t="n"/>
      <c r="J263" s="16" t="n"/>
      <c r="K263" s="18" t="n"/>
      <c r="L263" s="18" t="n"/>
      <c r="M263" s="16" t="n"/>
      <c r="N263" s="16" t="n"/>
    </row>
    <row r="264">
      <c r="B264" s="17">
        <f>IF($D264="","","C"&amp;TEXT(ROW()-5,"000"))</f>
        <v/>
      </c>
      <c r="C264" s="18" t="n"/>
      <c r="D264" s="16" t="n"/>
      <c r="E264" s="17">
        <f>IF($D264="","",IFERROR(INDEX(rngCadetPIDs,MATCH($D264,rngCadetNames,0)),"?"))</f>
        <v/>
      </c>
      <c r="F264" s="16" t="n"/>
      <c r="G264" s="16" t="n"/>
      <c r="H264" s="16" t="n"/>
      <c r="I264" s="16" t="n"/>
      <c r="J264" s="16" t="n"/>
      <c r="K264" s="18" t="n"/>
      <c r="L264" s="18" t="n"/>
      <c r="M264" s="16" t="n"/>
      <c r="N264" s="16" t="n"/>
    </row>
    <row r="265">
      <c r="B265" s="17">
        <f>IF($D265="","","C"&amp;TEXT(ROW()-5,"000"))</f>
        <v/>
      </c>
      <c r="C265" s="18" t="n"/>
      <c r="D265" s="16" t="n"/>
      <c r="E265" s="17">
        <f>IF($D265="","",IFERROR(INDEX(rngCadetPIDs,MATCH($D265,rngCadetNames,0)),"?"))</f>
        <v/>
      </c>
      <c r="F265" s="16" t="n"/>
      <c r="G265" s="16" t="n"/>
      <c r="H265" s="16" t="n"/>
      <c r="I265" s="16" t="n"/>
      <c r="J265" s="16" t="n"/>
      <c r="K265" s="18" t="n"/>
      <c r="L265" s="18" t="n"/>
      <c r="M265" s="16" t="n"/>
      <c r="N265" s="16" t="n"/>
    </row>
    <row r="266">
      <c r="B266" s="17">
        <f>IF($D266="","","C"&amp;TEXT(ROW()-5,"000"))</f>
        <v/>
      </c>
      <c r="C266" s="18" t="n"/>
      <c r="D266" s="16" t="n"/>
      <c r="E266" s="17">
        <f>IF($D266="","",IFERROR(INDEX(rngCadetPIDs,MATCH($D266,rngCadetNames,0)),"?"))</f>
        <v/>
      </c>
      <c r="F266" s="16" t="n"/>
      <c r="G266" s="16" t="n"/>
      <c r="H266" s="16" t="n"/>
      <c r="I266" s="16" t="n"/>
      <c r="J266" s="16" t="n"/>
      <c r="K266" s="18" t="n"/>
      <c r="L266" s="18" t="n"/>
      <c r="M266" s="16" t="n"/>
      <c r="N266" s="16" t="n"/>
    </row>
    <row r="267">
      <c r="B267" s="17">
        <f>IF($D267="","","C"&amp;TEXT(ROW()-5,"000"))</f>
        <v/>
      </c>
      <c r="C267" s="18" t="n"/>
      <c r="D267" s="16" t="n"/>
      <c r="E267" s="17">
        <f>IF($D267="","",IFERROR(INDEX(rngCadetPIDs,MATCH($D267,rngCadetNames,0)),"?"))</f>
        <v/>
      </c>
      <c r="F267" s="16" t="n"/>
      <c r="G267" s="16" t="n"/>
      <c r="H267" s="16" t="n"/>
      <c r="I267" s="16" t="n"/>
      <c r="J267" s="16" t="n"/>
      <c r="K267" s="18" t="n"/>
      <c r="L267" s="18" t="n"/>
      <c r="M267" s="16" t="n"/>
      <c r="N267" s="16" t="n"/>
    </row>
    <row r="268">
      <c r="B268" s="17">
        <f>IF($D268="","","C"&amp;TEXT(ROW()-5,"000"))</f>
        <v/>
      </c>
      <c r="C268" s="18" t="n"/>
      <c r="D268" s="16" t="n"/>
      <c r="E268" s="17">
        <f>IF($D268="","",IFERROR(INDEX(rngCadetPIDs,MATCH($D268,rngCadetNames,0)),"?"))</f>
        <v/>
      </c>
      <c r="F268" s="16" t="n"/>
      <c r="G268" s="16" t="n"/>
      <c r="H268" s="16" t="n"/>
      <c r="I268" s="16" t="n"/>
      <c r="J268" s="16" t="n"/>
      <c r="K268" s="18" t="n"/>
      <c r="L268" s="18" t="n"/>
      <c r="M268" s="16" t="n"/>
      <c r="N268" s="16" t="n"/>
    </row>
    <row r="269">
      <c r="B269" s="17">
        <f>IF($D269="","","C"&amp;TEXT(ROW()-5,"000"))</f>
        <v/>
      </c>
      <c r="C269" s="18" t="n"/>
      <c r="D269" s="16" t="n"/>
      <c r="E269" s="17">
        <f>IF($D269="","",IFERROR(INDEX(rngCadetPIDs,MATCH($D269,rngCadetNames,0)),"?"))</f>
        <v/>
      </c>
      <c r="F269" s="16" t="n"/>
      <c r="G269" s="16" t="n"/>
      <c r="H269" s="16" t="n"/>
      <c r="I269" s="16" t="n"/>
      <c r="J269" s="16" t="n"/>
      <c r="K269" s="18" t="n"/>
      <c r="L269" s="18" t="n"/>
      <c r="M269" s="16" t="n"/>
      <c r="N269" s="16" t="n"/>
    </row>
    <row r="270">
      <c r="B270" s="17">
        <f>IF($D270="","","C"&amp;TEXT(ROW()-5,"000"))</f>
        <v/>
      </c>
      <c r="C270" s="18" t="n"/>
      <c r="D270" s="16" t="n"/>
      <c r="E270" s="17">
        <f>IF($D270="","",IFERROR(INDEX(rngCadetPIDs,MATCH($D270,rngCadetNames,0)),"?"))</f>
        <v/>
      </c>
      <c r="F270" s="16" t="n"/>
      <c r="G270" s="16" t="n"/>
      <c r="H270" s="16" t="n"/>
      <c r="I270" s="16" t="n"/>
      <c r="J270" s="16" t="n"/>
      <c r="K270" s="18" t="n"/>
      <c r="L270" s="18" t="n"/>
      <c r="M270" s="16" t="n"/>
      <c r="N270" s="16" t="n"/>
    </row>
    <row r="271">
      <c r="B271" s="17">
        <f>IF($D271="","","C"&amp;TEXT(ROW()-5,"000"))</f>
        <v/>
      </c>
      <c r="C271" s="18" t="n"/>
      <c r="D271" s="16" t="n"/>
      <c r="E271" s="17">
        <f>IF($D271="","",IFERROR(INDEX(rngCadetPIDs,MATCH($D271,rngCadetNames,0)),"?"))</f>
        <v/>
      </c>
      <c r="F271" s="16" t="n"/>
      <c r="G271" s="16" t="n"/>
      <c r="H271" s="16" t="n"/>
      <c r="I271" s="16" t="n"/>
      <c r="J271" s="16" t="n"/>
      <c r="K271" s="18" t="n"/>
      <c r="L271" s="18" t="n"/>
      <c r="M271" s="16" t="n"/>
      <c r="N271" s="16" t="n"/>
    </row>
    <row r="272">
      <c r="B272" s="17">
        <f>IF($D272="","","C"&amp;TEXT(ROW()-5,"000"))</f>
        <v/>
      </c>
      <c r="C272" s="18" t="n"/>
      <c r="D272" s="16" t="n"/>
      <c r="E272" s="17">
        <f>IF($D272="","",IFERROR(INDEX(rngCadetPIDs,MATCH($D272,rngCadetNames,0)),"?"))</f>
        <v/>
      </c>
      <c r="F272" s="16" t="n"/>
      <c r="G272" s="16" t="n"/>
      <c r="H272" s="16" t="n"/>
      <c r="I272" s="16" t="n"/>
      <c r="J272" s="16" t="n"/>
      <c r="K272" s="18" t="n"/>
      <c r="L272" s="18" t="n"/>
      <c r="M272" s="16" t="n"/>
      <c r="N272" s="16" t="n"/>
    </row>
    <row r="273">
      <c r="B273" s="17">
        <f>IF($D273="","","C"&amp;TEXT(ROW()-5,"000"))</f>
        <v/>
      </c>
      <c r="C273" s="18" t="n"/>
      <c r="D273" s="16" t="n"/>
      <c r="E273" s="17">
        <f>IF($D273="","",IFERROR(INDEX(rngCadetPIDs,MATCH($D273,rngCadetNames,0)),"?"))</f>
        <v/>
      </c>
      <c r="F273" s="16" t="n"/>
      <c r="G273" s="16" t="n"/>
      <c r="H273" s="16" t="n"/>
      <c r="I273" s="16" t="n"/>
      <c r="J273" s="16" t="n"/>
      <c r="K273" s="18" t="n"/>
      <c r="L273" s="18" t="n"/>
      <c r="M273" s="16" t="n"/>
      <c r="N273" s="16" t="n"/>
    </row>
    <row r="274">
      <c r="B274" s="17">
        <f>IF($D274="","","C"&amp;TEXT(ROW()-5,"000"))</f>
        <v/>
      </c>
      <c r="C274" s="18" t="n"/>
      <c r="D274" s="16" t="n"/>
      <c r="E274" s="17">
        <f>IF($D274="","",IFERROR(INDEX(rngCadetPIDs,MATCH($D274,rngCadetNames,0)),"?"))</f>
        <v/>
      </c>
      <c r="F274" s="16" t="n"/>
      <c r="G274" s="16" t="n"/>
      <c r="H274" s="16" t="n"/>
      <c r="I274" s="16" t="n"/>
      <c r="J274" s="16" t="n"/>
      <c r="K274" s="18" t="n"/>
      <c r="L274" s="18" t="n"/>
      <c r="M274" s="16" t="n"/>
      <c r="N274" s="16" t="n"/>
    </row>
    <row r="275">
      <c r="B275" s="17">
        <f>IF($D275="","","C"&amp;TEXT(ROW()-5,"000"))</f>
        <v/>
      </c>
      <c r="C275" s="18" t="n"/>
      <c r="D275" s="16" t="n"/>
      <c r="E275" s="17">
        <f>IF($D275="","",IFERROR(INDEX(rngCadetPIDs,MATCH($D275,rngCadetNames,0)),"?"))</f>
        <v/>
      </c>
      <c r="F275" s="16" t="n"/>
      <c r="G275" s="16" t="n"/>
      <c r="H275" s="16" t="n"/>
      <c r="I275" s="16" t="n"/>
      <c r="J275" s="16" t="n"/>
      <c r="K275" s="18" t="n"/>
      <c r="L275" s="18" t="n"/>
      <c r="M275" s="16" t="n"/>
      <c r="N275" s="16" t="n"/>
    </row>
    <row r="276">
      <c r="B276" s="17">
        <f>IF($D276="","","C"&amp;TEXT(ROW()-5,"000"))</f>
        <v/>
      </c>
      <c r="C276" s="18" t="n"/>
      <c r="D276" s="16" t="n"/>
      <c r="E276" s="17">
        <f>IF($D276="","",IFERROR(INDEX(rngCadetPIDs,MATCH($D276,rngCadetNames,0)),"?"))</f>
        <v/>
      </c>
      <c r="F276" s="16" t="n"/>
      <c r="G276" s="16" t="n"/>
      <c r="H276" s="16" t="n"/>
      <c r="I276" s="16" t="n"/>
      <c r="J276" s="16" t="n"/>
      <c r="K276" s="18" t="n"/>
      <c r="L276" s="18" t="n"/>
      <c r="M276" s="16" t="n"/>
      <c r="N276" s="16" t="n"/>
    </row>
    <row r="277">
      <c r="B277" s="17">
        <f>IF($D277="","","C"&amp;TEXT(ROW()-5,"000"))</f>
        <v/>
      </c>
      <c r="C277" s="18" t="n"/>
      <c r="D277" s="16" t="n"/>
      <c r="E277" s="17">
        <f>IF($D277="","",IFERROR(INDEX(rngCadetPIDs,MATCH($D277,rngCadetNames,0)),"?"))</f>
        <v/>
      </c>
      <c r="F277" s="16" t="n"/>
      <c r="G277" s="16" t="n"/>
      <c r="H277" s="16" t="n"/>
      <c r="I277" s="16" t="n"/>
      <c r="J277" s="16" t="n"/>
      <c r="K277" s="18" t="n"/>
      <c r="L277" s="18" t="n"/>
      <c r="M277" s="16" t="n"/>
      <c r="N277" s="16" t="n"/>
    </row>
    <row r="278">
      <c r="B278" s="17">
        <f>IF($D278="","","C"&amp;TEXT(ROW()-5,"000"))</f>
        <v/>
      </c>
      <c r="C278" s="18" t="n"/>
      <c r="D278" s="16" t="n"/>
      <c r="E278" s="17">
        <f>IF($D278="","",IFERROR(INDEX(rngCadetPIDs,MATCH($D278,rngCadetNames,0)),"?"))</f>
        <v/>
      </c>
      <c r="F278" s="16" t="n"/>
      <c r="G278" s="16" t="n"/>
      <c r="H278" s="16" t="n"/>
      <c r="I278" s="16" t="n"/>
      <c r="J278" s="16" t="n"/>
      <c r="K278" s="18" t="n"/>
      <c r="L278" s="18" t="n"/>
      <c r="M278" s="16" t="n"/>
      <c r="N278" s="16" t="n"/>
    </row>
    <row r="279">
      <c r="B279" s="17">
        <f>IF($D279="","","C"&amp;TEXT(ROW()-5,"000"))</f>
        <v/>
      </c>
      <c r="C279" s="18" t="n"/>
      <c r="D279" s="16" t="n"/>
      <c r="E279" s="17">
        <f>IF($D279="","",IFERROR(INDEX(rngCadetPIDs,MATCH($D279,rngCadetNames,0)),"?"))</f>
        <v/>
      </c>
      <c r="F279" s="16" t="n"/>
      <c r="G279" s="16" t="n"/>
      <c r="H279" s="16" t="n"/>
      <c r="I279" s="16" t="n"/>
      <c r="J279" s="16" t="n"/>
      <c r="K279" s="18" t="n"/>
      <c r="L279" s="18" t="n"/>
      <c r="M279" s="16" t="n"/>
      <c r="N279" s="16" t="n"/>
    </row>
    <row r="280">
      <c r="B280" s="17">
        <f>IF($D280="","","C"&amp;TEXT(ROW()-5,"000"))</f>
        <v/>
      </c>
      <c r="C280" s="18" t="n"/>
      <c r="D280" s="16" t="n"/>
      <c r="E280" s="17">
        <f>IF($D280="","",IFERROR(INDEX(rngCadetPIDs,MATCH($D280,rngCadetNames,0)),"?"))</f>
        <v/>
      </c>
      <c r="F280" s="16" t="n"/>
      <c r="G280" s="16" t="n"/>
      <c r="H280" s="16" t="n"/>
      <c r="I280" s="16" t="n"/>
      <c r="J280" s="16" t="n"/>
      <c r="K280" s="18" t="n"/>
      <c r="L280" s="18" t="n"/>
      <c r="M280" s="16" t="n"/>
      <c r="N280" s="16" t="n"/>
    </row>
    <row r="281">
      <c r="B281" s="17">
        <f>IF($D281="","","C"&amp;TEXT(ROW()-5,"000"))</f>
        <v/>
      </c>
      <c r="C281" s="18" t="n"/>
      <c r="D281" s="16" t="n"/>
      <c r="E281" s="17">
        <f>IF($D281="","",IFERROR(INDEX(rngCadetPIDs,MATCH($D281,rngCadetNames,0)),"?"))</f>
        <v/>
      </c>
      <c r="F281" s="16" t="n"/>
      <c r="G281" s="16" t="n"/>
      <c r="H281" s="16" t="n"/>
      <c r="I281" s="16" t="n"/>
      <c r="J281" s="16" t="n"/>
      <c r="K281" s="18" t="n"/>
      <c r="L281" s="18" t="n"/>
      <c r="M281" s="16" t="n"/>
      <c r="N281" s="16" t="n"/>
    </row>
    <row r="282">
      <c r="B282" s="17">
        <f>IF($D282="","","C"&amp;TEXT(ROW()-5,"000"))</f>
        <v/>
      </c>
      <c r="C282" s="18" t="n"/>
      <c r="D282" s="16" t="n"/>
      <c r="E282" s="17">
        <f>IF($D282="","",IFERROR(INDEX(rngCadetPIDs,MATCH($D282,rngCadetNames,0)),"?"))</f>
        <v/>
      </c>
      <c r="F282" s="16" t="n"/>
      <c r="G282" s="16" t="n"/>
      <c r="H282" s="16" t="n"/>
      <c r="I282" s="16" t="n"/>
      <c r="J282" s="16" t="n"/>
      <c r="K282" s="18" t="n"/>
      <c r="L282" s="18" t="n"/>
      <c r="M282" s="16" t="n"/>
      <c r="N282" s="16" t="n"/>
    </row>
    <row r="283">
      <c r="B283" s="17">
        <f>IF($D283="","","C"&amp;TEXT(ROW()-5,"000"))</f>
        <v/>
      </c>
      <c r="C283" s="18" t="n"/>
      <c r="D283" s="16" t="n"/>
      <c r="E283" s="17">
        <f>IF($D283="","",IFERROR(INDEX(rngCadetPIDs,MATCH($D283,rngCadetNames,0)),"?"))</f>
        <v/>
      </c>
      <c r="F283" s="16" t="n"/>
      <c r="G283" s="16" t="n"/>
      <c r="H283" s="16" t="n"/>
      <c r="I283" s="16" t="n"/>
      <c r="J283" s="16" t="n"/>
      <c r="K283" s="18" t="n"/>
      <c r="L283" s="18" t="n"/>
      <c r="M283" s="16" t="n"/>
      <c r="N283" s="16" t="n"/>
    </row>
    <row r="284">
      <c r="B284" s="17">
        <f>IF($D284="","","C"&amp;TEXT(ROW()-5,"000"))</f>
        <v/>
      </c>
      <c r="C284" s="18" t="n"/>
      <c r="D284" s="16" t="n"/>
      <c r="E284" s="17">
        <f>IF($D284="","",IFERROR(INDEX(rngCadetPIDs,MATCH($D284,rngCadetNames,0)),"?"))</f>
        <v/>
      </c>
      <c r="F284" s="16" t="n"/>
      <c r="G284" s="16" t="n"/>
      <c r="H284" s="16" t="n"/>
      <c r="I284" s="16" t="n"/>
      <c r="J284" s="16" t="n"/>
      <c r="K284" s="18" t="n"/>
      <c r="L284" s="18" t="n"/>
      <c r="M284" s="16" t="n"/>
      <c r="N284" s="16" t="n"/>
    </row>
    <row r="285">
      <c r="B285" s="17">
        <f>IF($D285="","","C"&amp;TEXT(ROW()-5,"000"))</f>
        <v/>
      </c>
      <c r="C285" s="18" t="n"/>
      <c r="D285" s="16" t="n"/>
      <c r="E285" s="17">
        <f>IF($D285="","",IFERROR(INDEX(rngCadetPIDs,MATCH($D285,rngCadetNames,0)),"?"))</f>
        <v/>
      </c>
      <c r="F285" s="16" t="n"/>
      <c r="G285" s="16" t="n"/>
      <c r="H285" s="16" t="n"/>
      <c r="I285" s="16" t="n"/>
      <c r="J285" s="16" t="n"/>
      <c r="K285" s="18" t="n"/>
      <c r="L285" s="18" t="n"/>
      <c r="M285" s="16" t="n"/>
      <c r="N285" s="16" t="n"/>
    </row>
    <row r="286">
      <c r="B286" s="17">
        <f>IF($D286="","","C"&amp;TEXT(ROW()-5,"000"))</f>
        <v/>
      </c>
      <c r="C286" s="18" t="n"/>
      <c r="D286" s="16" t="n"/>
      <c r="E286" s="17">
        <f>IF($D286="","",IFERROR(INDEX(rngCadetPIDs,MATCH($D286,rngCadetNames,0)),"?"))</f>
        <v/>
      </c>
      <c r="F286" s="16" t="n"/>
      <c r="G286" s="16" t="n"/>
      <c r="H286" s="16" t="n"/>
      <c r="I286" s="16" t="n"/>
      <c r="J286" s="16" t="n"/>
      <c r="K286" s="18" t="n"/>
      <c r="L286" s="18" t="n"/>
      <c r="M286" s="16" t="n"/>
      <c r="N286" s="16" t="n"/>
    </row>
    <row r="287">
      <c r="B287" s="17">
        <f>IF($D287="","","C"&amp;TEXT(ROW()-5,"000"))</f>
        <v/>
      </c>
      <c r="C287" s="18" t="n"/>
      <c r="D287" s="16" t="n"/>
      <c r="E287" s="17">
        <f>IF($D287="","",IFERROR(INDEX(rngCadetPIDs,MATCH($D287,rngCadetNames,0)),"?"))</f>
        <v/>
      </c>
      <c r="F287" s="16" t="n"/>
      <c r="G287" s="16" t="n"/>
      <c r="H287" s="16" t="n"/>
      <c r="I287" s="16" t="n"/>
      <c r="J287" s="16" t="n"/>
      <c r="K287" s="18" t="n"/>
      <c r="L287" s="18" t="n"/>
      <c r="M287" s="16" t="n"/>
      <c r="N287" s="16" t="n"/>
    </row>
    <row r="288">
      <c r="B288" s="17">
        <f>IF($D288="","","C"&amp;TEXT(ROW()-5,"000"))</f>
        <v/>
      </c>
      <c r="C288" s="18" t="n"/>
      <c r="D288" s="16" t="n"/>
      <c r="E288" s="17">
        <f>IF($D288="","",IFERROR(INDEX(rngCadetPIDs,MATCH($D288,rngCadetNames,0)),"?"))</f>
        <v/>
      </c>
      <c r="F288" s="16" t="n"/>
      <c r="G288" s="16" t="n"/>
      <c r="H288" s="16" t="n"/>
      <c r="I288" s="16" t="n"/>
      <c r="J288" s="16" t="n"/>
      <c r="K288" s="18" t="n"/>
      <c r="L288" s="18" t="n"/>
      <c r="M288" s="16" t="n"/>
      <c r="N288" s="16" t="n"/>
    </row>
    <row r="289">
      <c r="B289" s="17">
        <f>IF($D289="","","C"&amp;TEXT(ROW()-5,"000"))</f>
        <v/>
      </c>
      <c r="C289" s="18" t="n"/>
      <c r="D289" s="16" t="n"/>
      <c r="E289" s="17">
        <f>IF($D289="","",IFERROR(INDEX(rngCadetPIDs,MATCH($D289,rngCadetNames,0)),"?"))</f>
        <v/>
      </c>
      <c r="F289" s="16" t="n"/>
      <c r="G289" s="16" t="n"/>
      <c r="H289" s="16" t="n"/>
      <c r="I289" s="16" t="n"/>
      <c r="J289" s="16" t="n"/>
      <c r="K289" s="18" t="n"/>
      <c r="L289" s="18" t="n"/>
      <c r="M289" s="16" t="n"/>
      <c r="N289" s="16" t="n"/>
    </row>
    <row r="290">
      <c r="B290" s="17">
        <f>IF($D290="","","C"&amp;TEXT(ROW()-5,"000"))</f>
        <v/>
      </c>
      <c r="C290" s="18" t="n"/>
      <c r="D290" s="16" t="n"/>
      <c r="E290" s="17">
        <f>IF($D290="","",IFERROR(INDEX(rngCadetPIDs,MATCH($D290,rngCadetNames,0)),"?"))</f>
        <v/>
      </c>
      <c r="F290" s="16" t="n"/>
      <c r="G290" s="16" t="n"/>
      <c r="H290" s="16" t="n"/>
      <c r="I290" s="16" t="n"/>
      <c r="J290" s="16" t="n"/>
      <c r="K290" s="18" t="n"/>
      <c r="L290" s="18" t="n"/>
      <c r="M290" s="16" t="n"/>
      <c r="N290" s="16" t="n"/>
    </row>
    <row r="291">
      <c r="B291" s="17">
        <f>IF($D291="","","C"&amp;TEXT(ROW()-5,"000"))</f>
        <v/>
      </c>
      <c r="C291" s="18" t="n"/>
      <c r="D291" s="16" t="n"/>
      <c r="E291" s="17">
        <f>IF($D291="","",IFERROR(INDEX(rngCadetPIDs,MATCH($D291,rngCadetNames,0)),"?"))</f>
        <v/>
      </c>
      <c r="F291" s="16" t="n"/>
      <c r="G291" s="16" t="n"/>
      <c r="H291" s="16" t="n"/>
      <c r="I291" s="16" t="n"/>
      <c r="J291" s="16" t="n"/>
      <c r="K291" s="18" t="n"/>
      <c r="L291" s="18" t="n"/>
      <c r="M291" s="16" t="n"/>
      <c r="N291" s="16" t="n"/>
    </row>
    <row r="292">
      <c r="B292" s="17">
        <f>IF($D292="","","C"&amp;TEXT(ROW()-5,"000"))</f>
        <v/>
      </c>
      <c r="C292" s="18" t="n"/>
      <c r="D292" s="16" t="n"/>
      <c r="E292" s="17">
        <f>IF($D292="","",IFERROR(INDEX(rngCadetPIDs,MATCH($D292,rngCadetNames,0)),"?"))</f>
        <v/>
      </c>
      <c r="F292" s="16" t="n"/>
      <c r="G292" s="16" t="n"/>
      <c r="H292" s="16" t="n"/>
      <c r="I292" s="16" t="n"/>
      <c r="J292" s="16" t="n"/>
      <c r="K292" s="18" t="n"/>
      <c r="L292" s="18" t="n"/>
      <c r="M292" s="16" t="n"/>
      <c r="N292" s="16" t="n"/>
    </row>
    <row r="293">
      <c r="B293" s="17">
        <f>IF($D293="","","C"&amp;TEXT(ROW()-5,"000"))</f>
        <v/>
      </c>
      <c r="C293" s="18" t="n"/>
      <c r="D293" s="16" t="n"/>
      <c r="E293" s="17">
        <f>IF($D293="","",IFERROR(INDEX(rngCadetPIDs,MATCH($D293,rngCadetNames,0)),"?"))</f>
        <v/>
      </c>
      <c r="F293" s="16" t="n"/>
      <c r="G293" s="16" t="n"/>
      <c r="H293" s="16" t="n"/>
      <c r="I293" s="16" t="n"/>
      <c r="J293" s="16" t="n"/>
      <c r="K293" s="18" t="n"/>
      <c r="L293" s="18" t="n"/>
      <c r="M293" s="16" t="n"/>
      <c r="N293" s="16" t="n"/>
    </row>
    <row r="294">
      <c r="B294" s="17">
        <f>IF($D294="","","C"&amp;TEXT(ROW()-5,"000"))</f>
        <v/>
      </c>
      <c r="C294" s="18" t="n"/>
      <c r="D294" s="16" t="n"/>
      <c r="E294" s="17">
        <f>IF($D294="","",IFERROR(INDEX(rngCadetPIDs,MATCH($D294,rngCadetNames,0)),"?"))</f>
        <v/>
      </c>
      <c r="F294" s="16" t="n"/>
      <c r="G294" s="16" t="n"/>
      <c r="H294" s="16" t="n"/>
      <c r="I294" s="16" t="n"/>
      <c r="J294" s="16" t="n"/>
      <c r="K294" s="18" t="n"/>
      <c r="L294" s="18" t="n"/>
      <c r="M294" s="16" t="n"/>
      <c r="N294" s="16" t="n"/>
    </row>
    <row r="295">
      <c r="B295" s="17">
        <f>IF($D295="","","C"&amp;TEXT(ROW()-5,"000"))</f>
        <v/>
      </c>
      <c r="C295" s="18" t="n"/>
      <c r="D295" s="16" t="n"/>
      <c r="E295" s="17">
        <f>IF($D295="","",IFERROR(INDEX(rngCadetPIDs,MATCH($D295,rngCadetNames,0)),"?"))</f>
        <v/>
      </c>
      <c r="F295" s="16" t="n"/>
      <c r="G295" s="16" t="n"/>
      <c r="H295" s="16" t="n"/>
      <c r="I295" s="16" t="n"/>
      <c r="J295" s="16" t="n"/>
      <c r="K295" s="18" t="n"/>
      <c r="L295" s="18" t="n"/>
      <c r="M295" s="16" t="n"/>
      <c r="N295" s="16" t="n"/>
    </row>
    <row r="296">
      <c r="B296" s="17">
        <f>IF($D296="","","C"&amp;TEXT(ROW()-5,"000"))</f>
        <v/>
      </c>
      <c r="C296" s="18" t="n"/>
      <c r="D296" s="16" t="n"/>
      <c r="E296" s="17">
        <f>IF($D296="","",IFERROR(INDEX(rngCadetPIDs,MATCH($D296,rngCadetNames,0)),"?"))</f>
        <v/>
      </c>
      <c r="F296" s="16" t="n"/>
      <c r="G296" s="16" t="n"/>
      <c r="H296" s="16" t="n"/>
      <c r="I296" s="16" t="n"/>
      <c r="J296" s="16" t="n"/>
      <c r="K296" s="18" t="n"/>
      <c r="L296" s="18" t="n"/>
      <c r="M296" s="16" t="n"/>
      <c r="N296" s="16" t="n"/>
    </row>
    <row r="297">
      <c r="B297" s="17">
        <f>IF($D297="","","C"&amp;TEXT(ROW()-5,"000"))</f>
        <v/>
      </c>
      <c r="C297" s="18" t="n"/>
      <c r="D297" s="16" t="n"/>
      <c r="E297" s="17">
        <f>IF($D297="","",IFERROR(INDEX(rngCadetPIDs,MATCH($D297,rngCadetNames,0)),"?"))</f>
        <v/>
      </c>
      <c r="F297" s="16" t="n"/>
      <c r="G297" s="16" t="n"/>
      <c r="H297" s="16" t="n"/>
      <c r="I297" s="16" t="n"/>
      <c r="J297" s="16" t="n"/>
      <c r="K297" s="18" t="n"/>
      <c r="L297" s="18" t="n"/>
      <c r="M297" s="16" t="n"/>
      <c r="N297" s="16" t="n"/>
    </row>
    <row r="298">
      <c r="B298" s="17">
        <f>IF($D298="","","C"&amp;TEXT(ROW()-5,"000"))</f>
        <v/>
      </c>
      <c r="C298" s="18" t="n"/>
      <c r="D298" s="16" t="n"/>
      <c r="E298" s="17">
        <f>IF($D298="","",IFERROR(INDEX(rngCadetPIDs,MATCH($D298,rngCadetNames,0)),"?"))</f>
        <v/>
      </c>
      <c r="F298" s="16" t="n"/>
      <c r="G298" s="16" t="n"/>
      <c r="H298" s="16" t="n"/>
      <c r="I298" s="16" t="n"/>
      <c r="J298" s="16" t="n"/>
      <c r="K298" s="18" t="n"/>
      <c r="L298" s="18" t="n"/>
      <c r="M298" s="16" t="n"/>
      <c r="N298" s="16" t="n"/>
    </row>
    <row r="299">
      <c r="B299" s="17">
        <f>IF($D299="","","C"&amp;TEXT(ROW()-5,"000"))</f>
        <v/>
      </c>
      <c r="C299" s="18" t="n"/>
      <c r="D299" s="16" t="n"/>
      <c r="E299" s="17">
        <f>IF($D299="","",IFERROR(INDEX(rngCadetPIDs,MATCH($D299,rngCadetNames,0)),"?"))</f>
        <v/>
      </c>
      <c r="F299" s="16" t="n"/>
      <c r="G299" s="16" t="n"/>
      <c r="H299" s="16" t="n"/>
      <c r="I299" s="16" t="n"/>
      <c r="J299" s="16" t="n"/>
      <c r="K299" s="18" t="n"/>
      <c r="L299" s="18" t="n"/>
      <c r="M299" s="16" t="n"/>
      <c r="N299" s="16" t="n"/>
    </row>
    <row r="300">
      <c r="B300" s="17">
        <f>IF($D300="","","C"&amp;TEXT(ROW()-5,"000"))</f>
        <v/>
      </c>
      <c r="C300" s="18" t="n"/>
      <c r="D300" s="16" t="n"/>
      <c r="E300" s="17">
        <f>IF($D300="","",IFERROR(INDEX(rngCadetPIDs,MATCH($D300,rngCadetNames,0)),"?"))</f>
        <v/>
      </c>
      <c r="F300" s="16" t="n"/>
      <c r="G300" s="16" t="n"/>
      <c r="H300" s="16" t="n"/>
      <c r="I300" s="16" t="n"/>
      <c r="J300" s="16" t="n"/>
      <c r="K300" s="18" t="n"/>
      <c r="L300" s="18" t="n"/>
      <c r="M300" s="16" t="n"/>
      <c r="N300" s="16" t="n"/>
    </row>
    <row r="301">
      <c r="B301" s="17">
        <f>IF($D301="","","C"&amp;TEXT(ROW()-5,"000"))</f>
        <v/>
      </c>
      <c r="C301" s="18" t="n"/>
      <c r="D301" s="16" t="n"/>
      <c r="E301" s="17">
        <f>IF($D301="","",IFERROR(INDEX(rngCadetPIDs,MATCH($D301,rngCadetNames,0)),"?"))</f>
        <v/>
      </c>
      <c r="F301" s="16" t="n"/>
      <c r="G301" s="16" t="n"/>
      <c r="H301" s="16" t="n"/>
      <c r="I301" s="16" t="n"/>
      <c r="J301" s="16" t="n"/>
      <c r="K301" s="18" t="n"/>
      <c r="L301" s="18" t="n"/>
      <c r="M301" s="16" t="n"/>
      <c r="N301" s="16" t="n"/>
    </row>
    <row r="302">
      <c r="B302" s="17">
        <f>IF($D302="","","C"&amp;TEXT(ROW()-5,"000"))</f>
        <v/>
      </c>
      <c r="C302" s="18" t="n"/>
      <c r="D302" s="16" t="n"/>
      <c r="E302" s="17">
        <f>IF($D302="","",IFERROR(INDEX(rngCadetPIDs,MATCH($D302,rngCadetNames,0)),"?"))</f>
        <v/>
      </c>
      <c r="F302" s="16" t="n"/>
      <c r="G302" s="16" t="n"/>
      <c r="H302" s="16" t="n"/>
      <c r="I302" s="16" t="n"/>
      <c r="J302" s="16" t="n"/>
      <c r="K302" s="18" t="n"/>
      <c r="L302" s="18" t="n"/>
      <c r="M302" s="16" t="n"/>
      <c r="N302" s="16" t="n"/>
    </row>
    <row r="303">
      <c r="B303" s="17">
        <f>IF($D303="","","C"&amp;TEXT(ROW()-5,"000"))</f>
        <v/>
      </c>
      <c r="C303" s="18" t="n"/>
      <c r="D303" s="16" t="n"/>
      <c r="E303" s="17">
        <f>IF($D303="","",IFERROR(INDEX(rngCadetPIDs,MATCH($D303,rngCadetNames,0)),"?"))</f>
        <v/>
      </c>
      <c r="F303" s="16" t="n"/>
      <c r="G303" s="16" t="n"/>
      <c r="H303" s="16" t="n"/>
      <c r="I303" s="16" t="n"/>
      <c r="J303" s="16" t="n"/>
      <c r="K303" s="18" t="n"/>
      <c r="L303" s="18" t="n"/>
      <c r="M303" s="16" t="n"/>
      <c r="N303" s="16" t="n"/>
    </row>
    <row r="304">
      <c r="B304" s="17">
        <f>IF($D304="","","C"&amp;TEXT(ROW()-5,"000"))</f>
        <v/>
      </c>
      <c r="C304" s="18" t="n"/>
      <c r="D304" s="16" t="n"/>
      <c r="E304" s="17">
        <f>IF($D304="","",IFERROR(INDEX(rngCadetPIDs,MATCH($D304,rngCadetNames,0)),"?"))</f>
        <v/>
      </c>
      <c r="F304" s="16" t="n"/>
      <c r="G304" s="16" t="n"/>
      <c r="H304" s="16" t="n"/>
      <c r="I304" s="16" t="n"/>
      <c r="J304" s="16" t="n"/>
      <c r="K304" s="18" t="n"/>
      <c r="L304" s="18" t="n"/>
      <c r="M304" s="16" t="n"/>
      <c r="N304" s="16" t="n"/>
    </row>
    <row r="305">
      <c r="B305" s="17">
        <f>IF($D305="","","C"&amp;TEXT(ROW()-5,"000"))</f>
        <v/>
      </c>
      <c r="C305" s="18" t="n"/>
      <c r="D305" s="16" t="n"/>
      <c r="E305" s="17">
        <f>IF($D305="","",IFERROR(INDEX(rngCadetPIDs,MATCH($D305,rngCadetNames,0)),"?"))</f>
        <v/>
      </c>
      <c r="F305" s="16" t="n"/>
      <c r="G305" s="16" t="n"/>
      <c r="H305" s="16" t="n"/>
      <c r="I305" s="16" t="n"/>
      <c r="J305" s="16" t="n"/>
      <c r="K305" s="18" t="n"/>
      <c r="L305" s="18" t="n"/>
      <c r="M305" s="16" t="n"/>
      <c r="N305" s="16" t="n"/>
    </row>
    <row r="306">
      <c r="B306" s="17">
        <f>IF($D306="","","C"&amp;TEXT(ROW()-5,"000"))</f>
        <v/>
      </c>
      <c r="C306" s="18" t="n"/>
      <c r="D306" s="16" t="n"/>
      <c r="E306" s="17">
        <f>IF($D306="","",IFERROR(INDEX(rngCadetPIDs,MATCH($D306,rngCadetNames,0)),"?"))</f>
        <v/>
      </c>
      <c r="F306" s="16" t="n"/>
      <c r="G306" s="16" t="n"/>
      <c r="H306" s="16" t="n"/>
      <c r="I306" s="16" t="n"/>
      <c r="J306" s="16" t="n"/>
      <c r="K306" s="18" t="n"/>
      <c r="L306" s="18" t="n"/>
      <c r="M306" s="16" t="n"/>
      <c r="N306" s="16" t="n"/>
    </row>
    <row r="307">
      <c r="B307" s="17">
        <f>IF($D307="","","C"&amp;TEXT(ROW()-5,"000"))</f>
        <v/>
      </c>
      <c r="C307" s="18" t="n"/>
      <c r="D307" s="16" t="n"/>
      <c r="E307" s="17">
        <f>IF($D307="","",IFERROR(INDEX(rngCadetPIDs,MATCH($D307,rngCadetNames,0)),"?"))</f>
        <v/>
      </c>
      <c r="F307" s="16" t="n"/>
      <c r="G307" s="16" t="n"/>
      <c r="H307" s="16" t="n"/>
      <c r="I307" s="16" t="n"/>
      <c r="J307" s="16" t="n"/>
      <c r="K307" s="18" t="n"/>
      <c r="L307" s="18" t="n"/>
      <c r="M307" s="16" t="n"/>
      <c r="N307" s="16" t="n"/>
    </row>
    <row r="308">
      <c r="B308" s="17">
        <f>IF($D308="","","C"&amp;TEXT(ROW()-5,"000"))</f>
        <v/>
      </c>
      <c r="C308" s="18" t="n"/>
      <c r="D308" s="16" t="n"/>
      <c r="E308" s="17">
        <f>IF($D308="","",IFERROR(INDEX(rngCadetPIDs,MATCH($D308,rngCadetNames,0)),"?"))</f>
        <v/>
      </c>
      <c r="F308" s="16" t="n"/>
      <c r="G308" s="16" t="n"/>
      <c r="H308" s="16" t="n"/>
      <c r="I308" s="16" t="n"/>
      <c r="J308" s="16" t="n"/>
      <c r="K308" s="18" t="n"/>
      <c r="L308" s="18" t="n"/>
      <c r="M308" s="16" t="n"/>
      <c r="N308" s="16" t="n"/>
    </row>
    <row r="309">
      <c r="B309" s="17">
        <f>IF($D309="","","C"&amp;TEXT(ROW()-5,"000"))</f>
        <v/>
      </c>
      <c r="C309" s="18" t="n"/>
      <c r="D309" s="16" t="n"/>
      <c r="E309" s="17">
        <f>IF($D309="","",IFERROR(INDEX(rngCadetPIDs,MATCH($D309,rngCadetNames,0)),"?"))</f>
        <v/>
      </c>
      <c r="F309" s="16" t="n"/>
      <c r="G309" s="16" t="n"/>
      <c r="H309" s="16" t="n"/>
      <c r="I309" s="16" t="n"/>
      <c r="J309" s="16" t="n"/>
      <c r="K309" s="18" t="n"/>
      <c r="L309" s="18" t="n"/>
      <c r="M309" s="16" t="n"/>
      <c r="N309" s="16" t="n"/>
    </row>
    <row r="310">
      <c r="B310" s="17">
        <f>IF($D310="","","C"&amp;TEXT(ROW()-5,"000"))</f>
        <v/>
      </c>
      <c r="C310" s="18" t="n"/>
      <c r="D310" s="16" t="n"/>
      <c r="E310" s="17">
        <f>IF($D310="","",IFERROR(INDEX(rngCadetPIDs,MATCH($D310,rngCadetNames,0)),"?"))</f>
        <v/>
      </c>
      <c r="F310" s="16" t="n"/>
      <c r="G310" s="16" t="n"/>
      <c r="H310" s="16" t="n"/>
      <c r="I310" s="16" t="n"/>
      <c r="J310" s="16" t="n"/>
      <c r="K310" s="18" t="n"/>
      <c r="L310" s="18" t="n"/>
      <c r="M310" s="16" t="n"/>
      <c r="N310" s="16" t="n"/>
    </row>
    <row r="311">
      <c r="B311" s="17">
        <f>IF($D311="","","C"&amp;TEXT(ROW()-5,"000"))</f>
        <v/>
      </c>
      <c r="C311" s="18" t="n"/>
      <c r="D311" s="16" t="n"/>
      <c r="E311" s="17">
        <f>IF($D311="","",IFERROR(INDEX(rngCadetPIDs,MATCH($D311,rngCadetNames,0)),"?"))</f>
        <v/>
      </c>
      <c r="F311" s="16" t="n"/>
      <c r="G311" s="16" t="n"/>
      <c r="H311" s="16" t="n"/>
      <c r="I311" s="16" t="n"/>
      <c r="J311" s="16" t="n"/>
      <c r="K311" s="18" t="n"/>
      <c r="L311" s="18" t="n"/>
      <c r="M311" s="16" t="n"/>
      <c r="N311" s="16" t="n"/>
    </row>
    <row r="312">
      <c r="B312" s="17">
        <f>IF($D312="","","C"&amp;TEXT(ROW()-5,"000"))</f>
        <v/>
      </c>
      <c r="C312" s="18" t="n"/>
      <c r="D312" s="16" t="n"/>
      <c r="E312" s="17">
        <f>IF($D312="","",IFERROR(INDEX(rngCadetPIDs,MATCH($D312,rngCadetNames,0)),"?"))</f>
        <v/>
      </c>
      <c r="F312" s="16" t="n"/>
      <c r="G312" s="16" t="n"/>
      <c r="H312" s="16" t="n"/>
      <c r="I312" s="16" t="n"/>
      <c r="J312" s="16" t="n"/>
      <c r="K312" s="18" t="n"/>
      <c r="L312" s="18" t="n"/>
      <c r="M312" s="16" t="n"/>
      <c r="N312" s="16" t="n"/>
    </row>
    <row r="313">
      <c r="B313" s="17">
        <f>IF($D313="","","C"&amp;TEXT(ROW()-5,"000"))</f>
        <v/>
      </c>
      <c r="C313" s="18" t="n"/>
      <c r="D313" s="16" t="n"/>
      <c r="E313" s="17">
        <f>IF($D313="","",IFERROR(INDEX(rngCadetPIDs,MATCH($D313,rngCadetNames,0)),"?"))</f>
        <v/>
      </c>
      <c r="F313" s="16" t="n"/>
      <c r="G313" s="16" t="n"/>
      <c r="H313" s="16" t="n"/>
      <c r="I313" s="16" t="n"/>
      <c r="J313" s="16" t="n"/>
      <c r="K313" s="18" t="n"/>
      <c r="L313" s="18" t="n"/>
      <c r="M313" s="16" t="n"/>
      <c r="N313" s="16" t="n"/>
    </row>
    <row r="314">
      <c r="B314" s="17">
        <f>IF($D314="","","C"&amp;TEXT(ROW()-5,"000"))</f>
        <v/>
      </c>
      <c r="C314" s="18" t="n"/>
      <c r="D314" s="16" t="n"/>
      <c r="E314" s="17">
        <f>IF($D314="","",IFERROR(INDEX(rngCadetPIDs,MATCH($D314,rngCadetNames,0)),"?"))</f>
        <v/>
      </c>
      <c r="F314" s="16" t="n"/>
      <c r="G314" s="16" t="n"/>
      <c r="H314" s="16" t="n"/>
      <c r="I314" s="16" t="n"/>
      <c r="J314" s="16" t="n"/>
      <c r="K314" s="18" t="n"/>
      <c r="L314" s="18" t="n"/>
      <c r="M314" s="16" t="n"/>
      <c r="N314" s="16" t="n"/>
    </row>
    <row r="315">
      <c r="B315" s="17">
        <f>IF($D315="","","C"&amp;TEXT(ROW()-5,"000"))</f>
        <v/>
      </c>
      <c r="C315" s="18" t="n"/>
      <c r="D315" s="16" t="n"/>
      <c r="E315" s="17">
        <f>IF($D315="","",IFERROR(INDEX(rngCadetPIDs,MATCH($D315,rngCadetNames,0)),"?"))</f>
        <v/>
      </c>
      <c r="F315" s="16" t="n"/>
      <c r="G315" s="16" t="n"/>
      <c r="H315" s="16" t="n"/>
      <c r="I315" s="16" t="n"/>
      <c r="J315" s="16" t="n"/>
      <c r="K315" s="18" t="n"/>
      <c r="L315" s="18" t="n"/>
      <c r="M315" s="16" t="n"/>
      <c r="N315" s="16" t="n"/>
    </row>
    <row r="316">
      <c r="B316" s="17">
        <f>IF($D316="","","C"&amp;TEXT(ROW()-5,"000"))</f>
        <v/>
      </c>
      <c r="C316" s="18" t="n"/>
      <c r="D316" s="16" t="n"/>
      <c r="E316" s="17">
        <f>IF($D316="","",IFERROR(INDEX(rngCadetPIDs,MATCH($D316,rngCadetNames,0)),"?"))</f>
        <v/>
      </c>
      <c r="F316" s="16" t="n"/>
      <c r="G316" s="16" t="n"/>
      <c r="H316" s="16" t="n"/>
      <c r="I316" s="16" t="n"/>
      <c r="J316" s="16" t="n"/>
      <c r="K316" s="18" t="n"/>
      <c r="L316" s="18" t="n"/>
      <c r="M316" s="16" t="n"/>
      <c r="N316" s="16" t="n"/>
    </row>
    <row r="317">
      <c r="B317" s="17">
        <f>IF($D317="","","C"&amp;TEXT(ROW()-5,"000"))</f>
        <v/>
      </c>
      <c r="C317" s="18" t="n"/>
      <c r="D317" s="16" t="n"/>
      <c r="E317" s="17">
        <f>IF($D317="","",IFERROR(INDEX(rngCadetPIDs,MATCH($D317,rngCadetNames,0)),"?"))</f>
        <v/>
      </c>
      <c r="F317" s="16" t="n"/>
      <c r="G317" s="16" t="n"/>
      <c r="H317" s="16" t="n"/>
      <c r="I317" s="16" t="n"/>
      <c r="J317" s="16" t="n"/>
      <c r="K317" s="18" t="n"/>
      <c r="L317" s="18" t="n"/>
      <c r="M317" s="16" t="n"/>
      <c r="N317" s="16" t="n"/>
    </row>
    <row r="318">
      <c r="B318" s="17">
        <f>IF($D318="","","C"&amp;TEXT(ROW()-5,"000"))</f>
        <v/>
      </c>
      <c r="C318" s="18" t="n"/>
      <c r="D318" s="16" t="n"/>
      <c r="E318" s="17">
        <f>IF($D318="","",IFERROR(INDEX(rngCadetPIDs,MATCH($D318,rngCadetNames,0)),"?"))</f>
        <v/>
      </c>
      <c r="F318" s="16" t="n"/>
      <c r="G318" s="16" t="n"/>
      <c r="H318" s="16" t="n"/>
      <c r="I318" s="16" t="n"/>
      <c r="J318" s="16" t="n"/>
      <c r="K318" s="18" t="n"/>
      <c r="L318" s="18" t="n"/>
      <c r="M318" s="16" t="n"/>
      <c r="N318" s="16" t="n"/>
    </row>
    <row r="319">
      <c r="B319" s="17">
        <f>IF($D319="","","C"&amp;TEXT(ROW()-5,"000"))</f>
        <v/>
      </c>
      <c r="C319" s="18" t="n"/>
      <c r="D319" s="16" t="n"/>
      <c r="E319" s="17">
        <f>IF($D319="","",IFERROR(INDEX(rngCadetPIDs,MATCH($D319,rngCadetNames,0)),"?"))</f>
        <v/>
      </c>
      <c r="F319" s="16" t="n"/>
      <c r="G319" s="16" t="n"/>
      <c r="H319" s="16" t="n"/>
      <c r="I319" s="16" t="n"/>
      <c r="J319" s="16" t="n"/>
      <c r="K319" s="18" t="n"/>
      <c r="L319" s="18" t="n"/>
      <c r="M319" s="16" t="n"/>
      <c r="N319" s="16" t="n"/>
    </row>
    <row r="320">
      <c r="B320" s="17">
        <f>IF($D320="","","C"&amp;TEXT(ROW()-5,"000"))</f>
        <v/>
      </c>
      <c r="C320" s="18" t="n"/>
      <c r="D320" s="16" t="n"/>
      <c r="E320" s="17">
        <f>IF($D320="","",IFERROR(INDEX(rngCadetPIDs,MATCH($D320,rngCadetNames,0)),"?"))</f>
        <v/>
      </c>
      <c r="F320" s="16" t="n"/>
      <c r="G320" s="16" t="n"/>
      <c r="H320" s="16" t="n"/>
      <c r="I320" s="16" t="n"/>
      <c r="J320" s="16" t="n"/>
      <c r="K320" s="18" t="n"/>
      <c r="L320" s="18" t="n"/>
      <c r="M320" s="16" t="n"/>
      <c r="N320" s="16" t="n"/>
    </row>
    <row r="321">
      <c r="B321" s="17">
        <f>IF($D321="","","C"&amp;TEXT(ROW()-5,"000"))</f>
        <v/>
      </c>
      <c r="C321" s="18" t="n"/>
      <c r="D321" s="16" t="n"/>
      <c r="E321" s="17">
        <f>IF($D321="","",IFERROR(INDEX(rngCadetPIDs,MATCH($D321,rngCadetNames,0)),"?"))</f>
        <v/>
      </c>
      <c r="F321" s="16" t="n"/>
      <c r="G321" s="16" t="n"/>
      <c r="H321" s="16" t="n"/>
      <c r="I321" s="16" t="n"/>
      <c r="J321" s="16" t="n"/>
      <c r="K321" s="18" t="n"/>
      <c r="L321" s="18" t="n"/>
      <c r="M321" s="16" t="n"/>
      <c r="N321" s="16" t="n"/>
    </row>
    <row r="322">
      <c r="B322" s="17">
        <f>IF($D322="","","C"&amp;TEXT(ROW()-5,"000"))</f>
        <v/>
      </c>
      <c r="C322" s="18" t="n"/>
      <c r="D322" s="16" t="n"/>
      <c r="E322" s="17">
        <f>IF($D322="","",IFERROR(INDEX(rngCadetPIDs,MATCH($D322,rngCadetNames,0)),"?"))</f>
        <v/>
      </c>
      <c r="F322" s="16" t="n"/>
      <c r="G322" s="16" t="n"/>
      <c r="H322" s="16" t="n"/>
      <c r="I322" s="16" t="n"/>
      <c r="J322" s="16" t="n"/>
      <c r="K322" s="18" t="n"/>
      <c r="L322" s="18" t="n"/>
      <c r="M322" s="16" t="n"/>
      <c r="N322" s="16" t="n"/>
    </row>
    <row r="323">
      <c r="B323" s="17">
        <f>IF($D323="","","C"&amp;TEXT(ROW()-5,"000"))</f>
        <v/>
      </c>
      <c r="C323" s="18" t="n"/>
      <c r="D323" s="16" t="n"/>
      <c r="E323" s="17">
        <f>IF($D323="","",IFERROR(INDEX(rngCadetPIDs,MATCH($D323,rngCadetNames,0)),"?"))</f>
        <v/>
      </c>
      <c r="F323" s="16" t="n"/>
      <c r="G323" s="16" t="n"/>
      <c r="H323" s="16" t="n"/>
      <c r="I323" s="16" t="n"/>
      <c r="J323" s="16" t="n"/>
      <c r="K323" s="18" t="n"/>
      <c r="L323" s="18" t="n"/>
      <c r="M323" s="16" t="n"/>
      <c r="N323" s="16" t="n"/>
    </row>
    <row r="324">
      <c r="B324" s="17">
        <f>IF($D324="","","C"&amp;TEXT(ROW()-5,"000"))</f>
        <v/>
      </c>
      <c r="C324" s="18" t="n"/>
      <c r="D324" s="16" t="n"/>
      <c r="E324" s="17">
        <f>IF($D324="","",IFERROR(INDEX(rngCadetPIDs,MATCH($D324,rngCadetNames,0)),"?"))</f>
        <v/>
      </c>
      <c r="F324" s="16" t="n"/>
      <c r="G324" s="16" t="n"/>
      <c r="H324" s="16" t="n"/>
      <c r="I324" s="16" t="n"/>
      <c r="J324" s="16" t="n"/>
      <c r="K324" s="18" t="n"/>
      <c r="L324" s="18" t="n"/>
      <c r="M324" s="16" t="n"/>
      <c r="N324" s="16" t="n"/>
    </row>
    <row r="325">
      <c r="B325" s="17">
        <f>IF($D325="","","C"&amp;TEXT(ROW()-5,"000"))</f>
        <v/>
      </c>
      <c r="C325" s="18" t="n"/>
      <c r="D325" s="16" t="n"/>
      <c r="E325" s="17">
        <f>IF($D325="","",IFERROR(INDEX(rngCadetPIDs,MATCH($D325,rngCadetNames,0)),"?"))</f>
        <v/>
      </c>
      <c r="F325" s="16" t="n"/>
      <c r="G325" s="16" t="n"/>
      <c r="H325" s="16" t="n"/>
      <c r="I325" s="16" t="n"/>
      <c r="J325" s="16" t="n"/>
      <c r="K325" s="18" t="n"/>
      <c r="L325" s="18" t="n"/>
      <c r="M325" s="16" t="n"/>
      <c r="N325" s="16" t="n"/>
    </row>
    <row r="326">
      <c r="B326" s="17">
        <f>IF($D326="","","C"&amp;TEXT(ROW()-5,"000"))</f>
        <v/>
      </c>
      <c r="C326" s="18" t="n"/>
      <c r="D326" s="16" t="n"/>
      <c r="E326" s="17">
        <f>IF($D326="","",IFERROR(INDEX(rngCadetPIDs,MATCH($D326,rngCadetNames,0)),"?"))</f>
        <v/>
      </c>
      <c r="F326" s="16" t="n"/>
      <c r="G326" s="16" t="n"/>
      <c r="H326" s="16" t="n"/>
      <c r="I326" s="16" t="n"/>
      <c r="J326" s="16" t="n"/>
      <c r="K326" s="18" t="n"/>
      <c r="L326" s="18" t="n"/>
      <c r="M326" s="16" t="n"/>
      <c r="N326" s="16" t="n"/>
    </row>
    <row r="327">
      <c r="B327" s="17">
        <f>IF($D327="","","C"&amp;TEXT(ROW()-5,"000"))</f>
        <v/>
      </c>
      <c r="C327" s="18" t="n"/>
      <c r="D327" s="16" t="n"/>
      <c r="E327" s="17">
        <f>IF($D327="","",IFERROR(INDEX(rngCadetPIDs,MATCH($D327,rngCadetNames,0)),"?"))</f>
        <v/>
      </c>
      <c r="F327" s="16" t="n"/>
      <c r="G327" s="16" t="n"/>
      <c r="H327" s="16" t="n"/>
      <c r="I327" s="16" t="n"/>
      <c r="J327" s="16" t="n"/>
      <c r="K327" s="18" t="n"/>
      <c r="L327" s="18" t="n"/>
      <c r="M327" s="16" t="n"/>
      <c r="N327" s="16" t="n"/>
    </row>
    <row r="328">
      <c r="B328" s="17">
        <f>IF($D328="","","C"&amp;TEXT(ROW()-5,"000"))</f>
        <v/>
      </c>
      <c r="C328" s="18" t="n"/>
      <c r="D328" s="16" t="n"/>
      <c r="E328" s="17">
        <f>IF($D328="","",IFERROR(INDEX(rngCadetPIDs,MATCH($D328,rngCadetNames,0)),"?"))</f>
        <v/>
      </c>
      <c r="F328" s="16" t="n"/>
      <c r="G328" s="16" t="n"/>
      <c r="H328" s="16" t="n"/>
      <c r="I328" s="16" t="n"/>
      <c r="J328" s="16" t="n"/>
      <c r="K328" s="18" t="n"/>
      <c r="L328" s="18" t="n"/>
      <c r="M328" s="16" t="n"/>
      <c r="N328" s="16" t="n"/>
    </row>
    <row r="329">
      <c r="B329" s="17">
        <f>IF($D329="","","C"&amp;TEXT(ROW()-5,"000"))</f>
        <v/>
      </c>
      <c r="C329" s="18" t="n"/>
      <c r="D329" s="16" t="n"/>
      <c r="E329" s="17">
        <f>IF($D329="","",IFERROR(INDEX(rngCadetPIDs,MATCH($D329,rngCadetNames,0)),"?"))</f>
        <v/>
      </c>
      <c r="F329" s="16" t="n"/>
      <c r="G329" s="16" t="n"/>
      <c r="H329" s="16" t="n"/>
      <c r="I329" s="16" t="n"/>
      <c r="J329" s="16" t="n"/>
      <c r="K329" s="18" t="n"/>
      <c r="L329" s="18" t="n"/>
      <c r="M329" s="16" t="n"/>
      <c r="N329" s="16" t="n"/>
    </row>
    <row r="330">
      <c r="B330" s="17">
        <f>IF($D330="","","C"&amp;TEXT(ROW()-5,"000"))</f>
        <v/>
      </c>
      <c r="C330" s="18" t="n"/>
      <c r="D330" s="16" t="n"/>
      <c r="E330" s="17">
        <f>IF($D330="","",IFERROR(INDEX(rngCadetPIDs,MATCH($D330,rngCadetNames,0)),"?"))</f>
        <v/>
      </c>
      <c r="F330" s="16" t="n"/>
      <c r="G330" s="16" t="n"/>
      <c r="H330" s="16" t="n"/>
      <c r="I330" s="16" t="n"/>
      <c r="J330" s="16" t="n"/>
      <c r="K330" s="18" t="n"/>
      <c r="L330" s="18" t="n"/>
      <c r="M330" s="16" t="n"/>
      <c r="N330" s="16" t="n"/>
    </row>
    <row r="331">
      <c r="B331" s="17">
        <f>IF($D331="","","C"&amp;TEXT(ROW()-5,"000"))</f>
        <v/>
      </c>
      <c r="C331" s="18" t="n"/>
      <c r="D331" s="16" t="n"/>
      <c r="E331" s="17">
        <f>IF($D331="","",IFERROR(INDEX(rngCadetPIDs,MATCH($D331,rngCadetNames,0)),"?"))</f>
        <v/>
      </c>
      <c r="F331" s="16" t="n"/>
      <c r="G331" s="16" t="n"/>
      <c r="H331" s="16" t="n"/>
      <c r="I331" s="16" t="n"/>
      <c r="J331" s="16" t="n"/>
      <c r="K331" s="18" t="n"/>
      <c r="L331" s="18" t="n"/>
      <c r="M331" s="16" t="n"/>
      <c r="N331" s="16" t="n"/>
    </row>
    <row r="332">
      <c r="B332" s="17">
        <f>IF($D332="","","C"&amp;TEXT(ROW()-5,"000"))</f>
        <v/>
      </c>
      <c r="C332" s="18" t="n"/>
      <c r="D332" s="16" t="n"/>
      <c r="E332" s="17">
        <f>IF($D332="","",IFERROR(INDEX(rngCadetPIDs,MATCH($D332,rngCadetNames,0)),"?"))</f>
        <v/>
      </c>
      <c r="F332" s="16" t="n"/>
      <c r="G332" s="16" t="n"/>
      <c r="H332" s="16" t="n"/>
      <c r="I332" s="16" t="n"/>
      <c r="J332" s="16" t="n"/>
      <c r="K332" s="18" t="n"/>
      <c r="L332" s="18" t="n"/>
      <c r="M332" s="16" t="n"/>
      <c r="N332" s="16" t="n"/>
    </row>
    <row r="333">
      <c r="B333" s="17">
        <f>IF($D333="","","C"&amp;TEXT(ROW()-5,"000"))</f>
        <v/>
      </c>
      <c r="C333" s="18" t="n"/>
      <c r="D333" s="16" t="n"/>
      <c r="E333" s="17">
        <f>IF($D333="","",IFERROR(INDEX(rngCadetPIDs,MATCH($D333,rngCadetNames,0)),"?"))</f>
        <v/>
      </c>
      <c r="F333" s="16" t="n"/>
      <c r="G333" s="16" t="n"/>
      <c r="H333" s="16" t="n"/>
      <c r="I333" s="16" t="n"/>
      <c r="J333" s="16" t="n"/>
      <c r="K333" s="18" t="n"/>
      <c r="L333" s="18" t="n"/>
      <c r="M333" s="16" t="n"/>
      <c r="N333" s="16" t="n"/>
    </row>
    <row r="334">
      <c r="B334" s="17">
        <f>IF($D334="","","C"&amp;TEXT(ROW()-5,"000"))</f>
        <v/>
      </c>
      <c r="C334" s="18" t="n"/>
      <c r="D334" s="16" t="n"/>
      <c r="E334" s="17">
        <f>IF($D334="","",IFERROR(INDEX(rngCadetPIDs,MATCH($D334,rngCadetNames,0)),"?"))</f>
        <v/>
      </c>
      <c r="F334" s="16" t="n"/>
      <c r="G334" s="16" t="n"/>
      <c r="H334" s="16" t="n"/>
      <c r="I334" s="16" t="n"/>
      <c r="J334" s="16" t="n"/>
      <c r="K334" s="18" t="n"/>
      <c r="L334" s="18" t="n"/>
      <c r="M334" s="16" t="n"/>
      <c r="N334" s="16" t="n"/>
    </row>
    <row r="335">
      <c r="B335" s="17">
        <f>IF($D335="","","C"&amp;TEXT(ROW()-5,"000"))</f>
        <v/>
      </c>
      <c r="C335" s="18" t="n"/>
      <c r="D335" s="16" t="n"/>
      <c r="E335" s="17">
        <f>IF($D335="","",IFERROR(INDEX(rngCadetPIDs,MATCH($D335,rngCadetNames,0)),"?"))</f>
        <v/>
      </c>
      <c r="F335" s="16" t="n"/>
      <c r="G335" s="16" t="n"/>
      <c r="H335" s="16" t="n"/>
      <c r="I335" s="16" t="n"/>
      <c r="J335" s="16" t="n"/>
      <c r="K335" s="18" t="n"/>
      <c r="L335" s="18" t="n"/>
      <c r="M335" s="16" t="n"/>
      <c r="N335" s="16" t="n"/>
    </row>
    <row r="336">
      <c r="B336" s="17">
        <f>IF($D336="","","C"&amp;TEXT(ROW()-5,"000"))</f>
        <v/>
      </c>
      <c r="C336" s="18" t="n"/>
      <c r="D336" s="16" t="n"/>
      <c r="E336" s="17">
        <f>IF($D336="","",IFERROR(INDEX(rngCadetPIDs,MATCH($D336,rngCadetNames,0)),"?"))</f>
        <v/>
      </c>
      <c r="F336" s="16" t="n"/>
      <c r="G336" s="16" t="n"/>
      <c r="H336" s="16" t="n"/>
      <c r="I336" s="16" t="n"/>
      <c r="J336" s="16" t="n"/>
      <c r="K336" s="18" t="n"/>
      <c r="L336" s="18" t="n"/>
      <c r="M336" s="16" t="n"/>
      <c r="N336" s="16" t="n"/>
    </row>
    <row r="337">
      <c r="B337" s="17">
        <f>IF($D337="","","C"&amp;TEXT(ROW()-5,"000"))</f>
        <v/>
      </c>
      <c r="C337" s="18" t="n"/>
      <c r="D337" s="16" t="n"/>
      <c r="E337" s="17">
        <f>IF($D337="","",IFERROR(INDEX(rngCadetPIDs,MATCH($D337,rngCadetNames,0)),"?"))</f>
        <v/>
      </c>
      <c r="F337" s="16" t="n"/>
      <c r="G337" s="16" t="n"/>
      <c r="H337" s="16" t="n"/>
      <c r="I337" s="16" t="n"/>
      <c r="J337" s="16" t="n"/>
      <c r="K337" s="18" t="n"/>
      <c r="L337" s="18" t="n"/>
      <c r="M337" s="16" t="n"/>
      <c r="N337" s="16" t="n"/>
    </row>
    <row r="338">
      <c r="B338" s="17">
        <f>IF($D338="","","C"&amp;TEXT(ROW()-5,"000"))</f>
        <v/>
      </c>
      <c r="C338" s="18" t="n"/>
      <c r="D338" s="16" t="n"/>
      <c r="E338" s="17">
        <f>IF($D338="","",IFERROR(INDEX(rngCadetPIDs,MATCH($D338,rngCadetNames,0)),"?"))</f>
        <v/>
      </c>
      <c r="F338" s="16" t="n"/>
      <c r="G338" s="16" t="n"/>
      <c r="H338" s="16" t="n"/>
      <c r="I338" s="16" t="n"/>
      <c r="J338" s="16" t="n"/>
      <c r="K338" s="18" t="n"/>
      <c r="L338" s="18" t="n"/>
      <c r="M338" s="16" t="n"/>
      <c r="N338" s="16" t="n"/>
    </row>
    <row r="339">
      <c r="B339" s="17">
        <f>IF($D339="","","C"&amp;TEXT(ROW()-5,"000"))</f>
        <v/>
      </c>
      <c r="C339" s="18" t="n"/>
      <c r="D339" s="16" t="n"/>
      <c r="E339" s="17">
        <f>IF($D339="","",IFERROR(INDEX(rngCadetPIDs,MATCH($D339,rngCadetNames,0)),"?"))</f>
        <v/>
      </c>
      <c r="F339" s="16" t="n"/>
      <c r="G339" s="16" t="n"/>
      <c r="H339" s="16" t="n"/>
      <c r="I339" s="16" t="n"/>
      <c r="J339" s="16" t="n"/>
      <c r="K339" s="18" t="n"/>
      <c r="L339" s="18" t="n"/>
      <c r="M339" s="16" t="n"/>
      <c r="N339" s="16" t="n"/>
    </row>
    <row r="340">
      <c r="B340" s="17">
        <f>IF($D340="","","C"&amp;TEXT(ROW()-5,"000"))</f>
        <v/>
      </c>
      <c r="C340" s="18" t="n"/>
      <c r="D340" s="16" t="n"/>
      <c r="E340" s="17">
        <f>IF($D340="","",IFERROR(INDEX(rngCadetPIDs,MATCH($D340,rngCadetNames,0)),"?"))</f>
        <v/>
      </c>
      <c r="F340" s="16" t="n"/>
      <c r="G340" s="16" t="n"/>
      <c r="H340" s="16" t="n"/>
      <c r="I340" s="16" t="n"/>
      <c r="J340" s="16" t="n"/>
      <c r="K340" s="18" t="n"/>
      <c r="L340" s="18" t="n"/>
      <c r="M340" s="16" t="n"/>
      <c r="N340" s="16" t="n"/>
    </row>
    <row r="341">
      <c r="B341" s="17">
        <f>IF($D341="","","C"&amp;TEXT(ROW()-5,"000"))</f>
        <v/>
      </c>
      <c r="C341" s="18" t="n"/>
      <c r="D341" s="16" t="n"/>
      <c r="E341" s="17">
        <f>IF($D341="","",IFERROR(INDEX(rngCadetPIDs,MATCH($D341,rngCadetNames,0)),"?"))</f>
        <v/>
      </c>
      <c r="F341" s="16" t="n"/>
      <c r="G341" s="16" t="n"/>
      <c r="H341" s="16" t="n"/>
      <c r="I341" s="16" t="n"/>
      <c r="J341" s="16" t="n"/>
      <c r="K341" s="18" t="n"/>
      <c r="L341" s="18" t="n"/>
      <c r="M341" s="16" t="n"/>
      <c r="N341" s="16" t="n"/>
    </row>
    <row r="342">
      <c r="B342" s="17">
        <f>IF($D342="","","C"&amp;TEXT(ROW()-5,"000"))</f>
        <v/>
      </c>
      <c r="C342" s="18" t="n"/>
      <c r="D342" s="16" t="n"/>
      <c r="E342" s="17">
        <f>IF($D342="","",IFERROR(INDEX(rngCadetPIDs,MATCH($D342,rngCadetNames,0)),"?"))</f>
        <v/>
      </c>
      <c r="F342" s="16" t="n"/>
      <c r="G342" s="16" t="n"/>
      <c r="H342" s="16" t="n"/>
      <c r="I342" s="16" t="n"/>
      <c r="J342" s="16" t="n"/>
      <c r="K342" s="18" t="n"/>
      <c r="L342" s="18" t="n"/>
      <c r="M342" s="16" t="n"/>
      <c r="N342" s="16" t="n"/>
    </row>
    <row r="343">
      <c r="B343" s="17">
        <f>IF($D343="","","C"&amp;TEXT(ROW()-5,"000"))</f>
        <v/>
      </c>
      <c r="C343" s="18" t="n"/>
      <c r="D343" s="16" t="n"/>
      <c r="E343" s="17">
        <f>IF($D343="","",IFERROR(INDEX(rngCadetPIDs,MATCH($D343,rngCadetNames,0)),"?"))</f>
        <v/>
      </c>
      <c r="F343" s="16" t="n"/>
      <c r="G343" s="16" t="n"/>
      <c r="H343" s="16" t="n"/>
      <c r="I343" s="16" t="n"/>
      <c r="J343" s="16" t="n"/>
      <c r="K343" s="18" t="n"/>
      <c r="L343" s="18" t="n"/>
      <c r="M343" s="16" t="n"/>
      <c r="N343" s="16" t="n"/>
    </row>
    <row r="344">
      <c r="B344" s="17">
        <f>IF($D344="","","C"&amp;TEXT(ROW()-5,"000"))</f>
        <v/>
      </c>
      <c r="C344" s="18" t="n"/>
      <c r="D344" s="16" t="n"/>
      <c r="E344" s="17">
        <f>IF($D344="","",IFERROR(INDEX(rngCadetPIDs,MATCH($D344,rngCadetNames,0)),"?"))</f>
        <v/>
      </c>
      <c r="F344" s="16" t="n"/>
      <c r="G344" s="16" t="n"/>
      <c r="H344" s="16" t="n"/>
      <c r="I344" s="16" t="n"/>
      <c r="J344" s="16" t="n"/>
      <c r="K344" s="18" t="n"/>
      <c r="L344" s="18" t="n"/>
      <c r="M344" s="16" t="n"/>
      <c r="N344" s="16" t="n"/>
    </row>
    <row r="345">
      <c r="B345" s="17">
        <f>IF($D345="","","C"&amp;TEXT(ROW()-5,"000"))</f>
        <v/>
      </c>
      <c r="C345" s="18" t="n"/>
      <c r="D345" s="16" t="n"/>
      <c r="E345" s="17">
        <f>IF($D345="","",IFERROR(INDEX(rngCadetPIDs,MATCH($D345,rngCadetNames,0)),"?"))</f>
        <v/>
      </c>
      <c r="F345" s="16" t="n"/>
      <c r="G345" s="16" t="n"/>
      <c r="H345" s="16" t="n"/>
      <c r="I345" s="16" t="n"/>
      <c r="J345" s="16" t="n"/>
      <c r="K345" s="18" t="n"/>
      <c r="L345" s="18" t="n"/>
      <c r="M345" s="16" t="n"/>
      <c r="N345" s="16" t="n"/>
    </row>
    <row r="346">
      <c r="B346" s="17">
        <f>IF($D346="","","C"&amp;TEXT(ROW()-5,"000"))</f>
        <v/>
      </c>
      <c r="C346" s="18" t="n"/>
      <c r="D346" s="16" t="n"/>
      <c r="E346" s="17">
        <f>IF($D346="","",IFERROR(INDEX(rngCadetPIDs,MATCH($D346,rngCadetNames,0)),"?"))</f>
        <v/>
      </c>
      <c r="F346" s="16" t="n"/>
      <c r="G346" s="16" t="n"/>
      <c r="H346" s="16" t="n"/>
      <c r="I346" s="16" t="n"/>
      <c r="J346" s="16" t="n"/>
      <c r="K346" s="18" t="n"/>
      <c r="L346" s="18" t="n"/>
      <c r="M346" s="16" t="n"/>
      <c r="N346" s="16" t="n"/>
    </row>
    <row r="347">
      <c r="B347" s="17">
        <f>IF($D347="","","C"&amp;TEXT(ROW()-5,"000"))</f>
        <v/>
      </c>
      <c r="C347" s="18" t="n"/>
      <c r="D347" s="16" t="n"/>
      <c r="E347" s="17">
        <f>IF($D347="","",IFERROR(INDEX(rngCadetPIDs,MATCH($D347,rngCadetNames,0)),"?"))</f>
        <v/>
      </c>
      <c r="F347" s="16" t="n"/>
      <c r="G347" s="16" t="n"/>
      <c r="H347" s="16" t="n"/>
      <c r="I347" s="16" t="n"/>
      <c r="J347" s="16" t="n"/>
      <c r="K347" s="18" t="n"/>
      <c r="L347" s="18" t="n"/>
      <c r="M347" s="16" t="n"/>
      <c r="N347" s="16" t="n"/>
    </row>
    <row r="348">
      <c r="B348" s="17">
        <f>IF($D348="","","C"&amp;TEXT(ROW()-5,"000"))</f>
        <v/>
      </c>
      <c r="C348" s="18" t="n"/>
      <c r="D348" s="16" t="n"/>
      <c r="E348" s="17">
        <f>IF($D348="","",IFERROR(INDEX(rngCadetPIDs,MATCH($D348,rngCadetNames,0)),"?"))</f>
        <v/>
      </c>
      <c r="F348" s="16" t="n"/>
      <c r="G348" s="16" t="n"/>
      <c r="H348" s="16" t="n"/>
      <c r="I348" s="16" t="n"/>
      <c r="J348" s="16" t="n"/>
      <c r="K348" s="18" t="n"/>
      <c r="L348" s="18" t="n"/>
      <c r="M348" s="16" t="n"/>
      <c r="N348" s="16" t="n"/>
    </row>
    <row r="349">
      <c r="B349" s="17">
        <f>IF($D349="","","C"&amp;TEXT(ROW()-5,"000"))</f>
        <v/>
      </c>
      <c r="C349" s="18" t="n"/>
      <c r="D349" s="16" t="n"/>
      <c r="E349" s="17">
        <f>IF($D349="","",IFERROR(INDEX(rngCadetPIDs,MATCH($D349,rngCadetNames,0)),"?"))</f>
        <v/>
      </c>
      <c r="F349" s="16" t="n"/>
      <c r="G349" s="16" t="n"/>
      <c r="H349" s="16" t="n"/>
      <c r="I349" s="16" t="n"/>
      <c r="J349" s="16" t="n"/>
      <c r="K349" s="18" t="n"/>
      <c r="L349" s="18" t="n"/>
      <c r="M349" s="16" t="n"/>
      <c r="N349" s="16" t="n"/>
    </row>
    <row r="350">
      <c r="B350" s="17">
        <f>IF($D350="","","C"&amp;TEXT(ROW()-5,"000"))</f>
        <v/>
      </c>
      <c r="C350" s="18" t="n"/>
      <c r="D350" s="16" t="n"/>
      <c r="E350" s="17">
        <f>IF($D350="","",IFERROR(INDEX(rngCadetPIDs,MATCH($D350,rngCadetNames,0)),"?"))</f>
        <v/>
      </c>
      <c r="F350" s="16" t="n"/>
      <c r="G350" s="16" t="n"/>
      <c r="H350" s="16" t="n"/>
      <c r="I350" s="16" t="n"/>
      <c r="J350" s="16" t="n"/>
      <c r="K350" s="18" t="n"/>
      <c r="L350" s="18" t="n"/>
      <c r="M350" s="16" t="n"/>
      <c r="N350" s="16" t="n"/>
    </row>
    <row r="351">
      <c r="B351" s="17">
        <f>IF($D351="","","C"&amp;TEXT(ROW()-5,"000"))</f>
        <v/>
      </c>
      <c r="C351" s="18" t="n"/>
      <c r="D351" s="16" t="n"/>
      <c r="E351" s="17">
        <f>IF($D351="","",IFERROR(INDEX(rngCadetPIDs,MATCH($D351,rngCadetNames,0)),"?"))</f>
        <v/>
      </c>
      <c r="F351" s="16" t="n"/>
      <c r="G351" s="16" t="n"/>
      <c r="H351" s="16" t="n"/>
      <c r="I351" s="16" t="n"/>
      <c r="J351" s="16" t="n"/>
      <c r="K351" s="18" t="n"/>
      <c r="L351" s="18" t="n"/>
      <c r="M351" s="16" t="n"/>
      <c r="N351" s="16" t="n"/>
    </row>
    <row r="352">
      <c r="B352" s="17">
        <f>IF($D352="","","C"&amp;TEXT(ROW()-5,"000"))</f>
        <v/>
      </c>
      <c r="C352" s="18" t="n"/>
      <c r="D352" s="16" t="n"/>
      <c r="E352" s="17">
        <f>IF($D352="","",IFERROR(INDEX(rngCadetPIDs,MATCH($D352,rngCadetNames,0)),"?"))</f>
        <v/>
      </c>
      <c r="F352" s="16" t="n"/>
      <c r="G352" s="16" t="n"/>
      <c r="H352" s="16" t="n"/>
      <c r="I352" s="16" t="n"/>
      <c r="J352" s="16" t="n"/>
      <c r="K352" s="18" t="n"/>
      <c r="L352" s="18" t="n"/>
      <c r="M352" s="16" t="n"/>
      <c r="N352" s="16" t="n"/>
    </row>
    <row r="353">
      <c r="B353" s="17">
        <f>IF($D353="","","C"&amp;TEXT(ROW()-5,"000"))</f>
        <v/>
      </c>
      <c r="C353" s="18" t="n"/>
      <c r="D353" s="16" t="n"/>
      <c r="E353" s="17">
        <f>IF($D353="","",IFERROR(INDEX(rngCadetPIDs,MATCH($D353,rngCadetNames,0)),"?"))</f>
        <v/>
      </c>
      <c r="F353" s="16" t="n"/>
      <c r="G353" s="16" t="n"/>
      <c r="H353" s="16" t="n"/>
      <c r="I353" s="16" t="n"/>
      <c r="J353" s="16" t="n"/>
      <c r="K353" s="18" t="n"/>
      <c r="L353" s="18" t="n"/>
      <c r="M353" s="16" t="n"/>
      <c r="N353" s="16" t="n"/>
    </row>
    <row r="354">
      <c r="B354" s="17">
        <f>IF($D354="","","C"&amp;TEXT(ROW()-5,"000"))</f>
        <v/>
      </c>
      <c r="C354" s="18" t="n"/>
      <c r="D354" s="16" t="n"/>
      <c r="E354" s="17">
        <f>IF($D354="","",IFERROR(INDEX(rngCadetPIDs,MATCH($D354,rngCadetNames,0)),"?"))</f>
        <v/>
      </c>
      <c r="F354" s="16" t="n"/>
      <c r="G354" s="16" t="n"/>
      <c r="H354" s="16" t="n"/>
      <c r="I354" s="16" t="n"/>
      <c r="J354" s="16" t="n"/>
      <c r="K354" s="18" t="n"/>
      <c r="L354" s="18" t="n"/>
      <c r="M354" s="16" t="n"/>
      <c r="N354" s="16" t="n"/>
    </row>
    <row r="355">
      <c r="B355" s="17">
        <f>IF($D355="","","C"&amp;TEXT(ROW()-5,"000"))</f>
        <v/>
      </c>
      <c r="C355" s="18" t="n"/>
      <c r="D355" s="16" t="n"/>
      <c r="E355" s="17">
        <f>IF($D355="","",IFERROR(INDEX(rngCadetPIDs,MATCH($D355,rngCadetNames,0)),"?"))</f>
        <v/>
      </c>
      <c r="F355" s="16" t="n"/>
      <c r="G355" s="16" t="n"/>
      <c r="H355" s="16" t="n"/>
      <c r="I355" s="16" t="n"/>
      <c r="J355" s="16" t="n"/>
      <c r="K355" s="18" t="n"/>
      <c r="L355" s="18" t="n"/>
      <c r="M355" s="16" t="n"/>
      <c r="N355" s="16" t="n"/>
    </row>
    <row r="356">
      <c r="B356" s="17">
        <f>IF($D356="","","C"&amp;TEXT(ROW()-5,"000"))</f>
        <v/>
      </c>
      <c r="C356" s="18" t="n"/>
      <c r="D356" s="16" t="n"/>
      <c r="E356" s="17">
        <f>IF($D356="","",IFERROR(INDEX(rngCadetPIDs,MATCH($D356,rngCadetNames,0)),"?"))</f>
        <v/>
      </c>
      <c r="F356" s="16" t="n"/>
      <c r="G356" s="16" t="n"/>
      <c r="H356" s="16" t="n"/>
      <c r="I356" s="16" t="n"/>
      <c r="J356" s="16" t="n"/>
      <c r="K356" s="18" t="n"/>
      <c r="L356" s="18" t="n"/>
      <c r="M356" s="16" t="n"/>
      <c r="N356" s="16" t="n"/>
    </row>
    <row r="357">
      <c r="B357" s="17">
        <f>IF($D357="","","C"&amp;TEXT(ROW()-5,"000"))</f>
        <v/>
      </c>
      <c r="C357" s="18" t="n"/>
      <c r="D357" s="16" t="n"/>
      <c r="E357" s="17">
        <f>IF($D357="","",IFERROR(INDEX(rngCadetPIDs,MATCH($D357,rngCadetNames,0)),"?"))</f>
        <v/>
      </c>
      <c r="F357" s="16" t="n"/>
      <c r="G357" s="16" t="n"/>
      <c r="H357" s="16" t="n"/>
      <c r="I357" s="16" t="n"/>
      <c r="J357" s="16" t="n"/>
      <c r="K357" s="18" t="n"/>
      <c r="L357" s="18" t="n"/>
      <c r="M357" s="16" t="n"/>
      <c r="N357" s="16" t="n"/>
    </row>
    <row r="358">
      <c r="B358" s="17">
        <f>IF($D358="","","C"&amp;TEXT(ROW()-5,"000"))</f>
        <v/>
      </c>
      <c r="C358" s="18" t="n"/>
      <c r="D358" s="16" t="n"/>
      <c r="E358" s="17">
        <f>IF($D358="","",IFERROR(INDEX(rngCadetPIDs,MATCH($D358,rngCadetNames,0)),"?"))</f>
        <v/>
      </c>
      <c r="F358" s="16" t="n"/>
      <c r="G358" s="16" t="n"/>
      <c r="H358" s="16" t="n"/>
      <c r="I358" s="16" t="n"/>
      <c r="J358" s="16" t="n"/>
      <c r="K358" s="18" t="n"/>
      <c r="L358" s="18" t="n"/>
      <c r="M358" s="16" t="n"/>
      <c r="N358" s="16" t="n"/>
    </row>
    <row r="359">
      <c r="B359" s="17">
        <f>IF($D359="","","C"&amp;TEXT(ROW()-5,"000"))</f>
        <v/>
      </c>
      <c r="C359" s="18" t="n"/>
      <c r="D359" s="16" t="n"/>
      <c r="E359" s="17">
        <f>IF($D359="","",IFERROR(INDEX(rngCadetPIDs,MATCH($D359,rngCadetNames,0)),"?"))</f>
        <v/>
      </c>
      <c r="F359" s="16" t="n"/>
      <c r="G359" s="16" t="n"/>
      <c r="H359" s="16" t="n"/>
      <c r="I359" s="16" t="n"/>
      <c r="J359" s="16" t="n"/>
      <c r="K359" s="18" t="n"/>
      <c r="L359" s="18" t="n"/>
      <c r="M359" s="16" t="n"/>
      <c r="N359" s="16" t="n"/>
    </row>
    <row r="360">
      <c r="B360" s="17">
        <f>IF($D360="","","C"&amp;TEXT(ROW()-5,"000"))</f>
        <v/>
      </c>
      <c r="C360" s="18" t="n"/>
      <c r="D360" s="16" t="n"/>
      <c r="E360" s="17">
        <f>IF($D360="","",IFERROR(INDEX(rngCadetPIDs,MATCH($D360,rngCadetNames,0)),"?"))</f>
        <v/>
      </c>
      <c r="F360" s="16" t="n"/>
      <c r="G360" s="16" t="n"/>
      <c r="H360" s="16" t="n"/>
      <c r="I360" s="16" t="n"/>
      <c r="J360" s="16" t="n"/>
      <c r="K360" s="18" t="n"/>
      <c r="L360" s="18" t="n"/>
      <c r="M360" s="16" t="n"/>
      <c r="N360" s="16" t="n"/>
    </row>
    <row r="361">
      <c r="B361" s="17">
        <f>IF($D361="","","C"&amp;TEXT(ROW()-5,"000"))</f>
        <v/>
      </c>
      <c r="C361" s="18" t="n"/>
      <c r="D361" s="16" t="n"/>
      <c r="E361" s="17">
        <f>IF($D361="","",IFERROR(INDEX(rngCadetPIDs,MATCH($D361,rngCadetNames,0)),"?"))</f>
        <v/>
      </c>
      <c r="F361" s="16" t="n"/>
      <c r="G361" s="16" t="n"/>
      <c r="H361" s="16" t="n"/>
      <c r="I361" s="16" t="n"/>
      <c r="J361" s="16" t="n"/>
      <c r="K361" s="18" t="n"/>
      <c r="L361" s="18" t="n"/>
      <c r="M361" s="16" t="n"/>
      <c r="N361" s="16" t="n"/>
    </row>
    <row r="362">
      <c r="B362" s="17">
        <f>IF($D362="","","C"&amp;TEXT(ROW()-5,"000"))</f>
        <v/>
      </c>
      <c r="C362" s="18" t="n"/>
      <c r="D362" s="16" t="n"/>
      <c r="E362" s="17">
        <f>IF($D362="","",IFERROR(INDEX(rngCadetPIDs,MATCH($D362,rngCadetNames,0)),"?"))</f>
        <v/>
      </c>
      <c r="F362" s="16" t="n"/>
      <c r="G362" s="16" t="n"/>
      <c r="H362" s="16" t="n"/>
      <c r="I362" s="16" t="n"/>
      <c r="J362" s="16" t="n"/>
      <c r="K362" s="18" t="n"/>
      <c r="L362" s="18" t="n"/>
      <c r="M362" s="16" t="n"/>
      <c r="N362" s="16" t="n"/>
    </row>
    <row r="363">
      <c r="B363" s="17">
        <f>IF($D363="","","C"&amp;TEXT(ROW()-5,"000"))</f>
        <v/>
      </c>
      <c r="C363" s="18" t="n"/>
      <c r="D363" s="16" t="n"/>
      <c r="E363" s="17">
        <f>IF($D363="","",IFERROR(INDEX(rngCadetPIDs,MATCH($D363,rngCadetNames,0)),"?"))</f>
        <v/>
      </c>
      <c r="F363" s="16" t="n"/>
      <c r="G363" s="16" t="n"/>
      <c r="H363" s="16" t="n"/>
      <c r="I363" s="16" t="n"/>
      <c r="J363" s="16" t="n"/>
      <c r="K363" s="18" t="n"/>
      <c r="L363" s="18" t="n"/>
      <c r="M363" s="16" t="n"/>
      <c r="N363" s="16" t="n"/>
    </row>
    <row r="364">
      <c r="B364" s="17">
        <f>IF($D364="","","C"&amp;TEXT(ROW()-5,"000"))</f>
        <v/>
      </c>
      <c r="C364" s="18" t="n"/>
      <c r="D364" s="16" t="n"/>
      <c r="E364" s="17">
        <f>IF($D364="","",IFERROR(INDEX(rngCadetPIDs,MATCH($D364,rngCadetNames,0)),"?"))</f>
        <v/>
      </c>
      <c r="F364" s="16" t="n"/>
      <c r="G364" s="16" t="n"/>
      <c r="H364" s="16" t="n"/>
      <c r="I364" s="16" t="n"/>
      <c r="J364" s="16" t="n"/>
      <c r="K364" s="18" t="n"/>
      <c r="L364" s="18" t="n"/>
      <c r="M364" s="16" t="n"/>
      <c r="N364" s="16" t="n"/>
    </row>
    <row r="365">
      <c r="B365" s="17">
        <f>IF($D365="","","C"&amp;TEXT(ROW()-5,"000"))</f>
        <v/>
      </c>
      <c r="C365" s="18" t="n"/>
      <c r="D365" s="16" t="n"/>
      <c r="E365" s="17">
        <f>IF($D365="","",IFERROR(INDEX(rngCadetPIDs,MATCH($D365,rngCadetNames,0)),"?"))</f>
        <v/>
      </c>
      <c r="F365" s="16" t="n"/>
      <c r="G365" s="16" t="n"/>
      <c r="H365" s="16" t="n"/>
      <c r="I365" s="16" t="n"/>
      <c r="J365" s="16" t="n"/>
      <c r="K365" s="18" t="n"/>
      <c r="L365" s="18" t="n"/>
      <c r="M365" s="16" t="n"/>
      <c r="N365" s="16" t="n"/>
    </row>
    <row r="366">
      <c r="B366" s="17">
        <f>IF($D366="","","C"&amp;TEXT(ROW()-5,"000"))</f>
        <v/>
      </c>
      <c r="C366" s="18" t="n"/>
      <c r="D366" s="16" t="n"/>
      <c r="E366" s="17">
        <f>IF($D366="","",IFERROR(INDEX(rngCadetPIDs,MATCH($D366,rngCadetNames,0)),"?"))</f>
        <v/>
      </c>
      <c r="F366" s="16" t="n"/>
      <c r="G366" s="16" t="n"/>
      <c r="H366" s="16" t="n"/>
      <c r="I366" s="16" t="n"/>
      <c r="J366" s="16" t="n"/>
      <c r="K366" s="18" t="n"/>
      <c r="L366" s="18" t="n"/>
      <c r="M366" s="16" t="n"/>
      <c r="N366" s="16" t="n"/>
    </row>
    <row r="367">
      <c r="B367" s="17">
        <f>IF($D367="","","C"&amp;TEXT(ROW()-5,"000"))</f>
        <v/>
      </c>
      <c r="C367" s="18" t="n"/>
      <c r="D367" s="16" t="n"/>
      <c r="E367" s="17">
        <f>IF($D367="","",IFERROR(INDEX(rngCadetPIDs,MATCH($D367,rngCadetNames,0)),"?"))</f>
        <v/>
      </c>
      <c r="F367" s="16" t="n"/>
      <c r="G367" s="16" t="n"/>
      <c r="H367" s="16" t="n"/>
      <c r="I367" s="16" t="n"/>
      <c r="J367" s="16" t="n"/>
      <c r="K367" s="18" t="n"/>
      <c r="L367" s="18" t="n"/>
      <c r="M367" s="16" t="n"/>
      <c r="N367" s="16" t="n"/>
    </row>
    <row r="368">
      <c r="B368" s="17">
        <f>IF($D368="","","C"&amp;TEXT(ROW()-5,"000"))</f>
        <v/>
      </c>
      <c r="C368" s="18" t="n"/>
      <c r="D368" s="16" t="n"/>
      <c r="E368" s="17">
        <f>IF($D368="","",IFERROR(INDEX(rngCadetPIDs,MATCH($D368,rngCadetNames,0)),"?"))</f>
        <v/>
      </c>
      <c r="F368" s="16" t="n"/>
      <c r="G368" s="16" t="n"/>
      <c r="H368" s="16" t="n"/>
      <c r="I368" s="16" t="n"/>
      <c r="J368" s="16" t="n"/>
      <c r="K368" s="18" t="n"/>
      <c r="L368" s="18" t="n"/>
      <c r="M368" s="16" t="n"/>
      <c r="N368" s="16" t="n"/>
    </row>
    <row r="369">
      <c r="B369" s="17">
        <f>IF($D369="","","C"&amp;TEXT(ROW()-5,"000"))</f>
        <v/>
      </c>
      <c r="C369" s="18" t="n"/>
      <c r="D369" s="16" t="n"/>
      <c r="E369" s="17">
        <f>IF($D369="","",IFERROR(INDEX(rngCadetPIDs,MATCH($D369,rngCadetNames,0)),"?"))</f>
        <v/>
      </c>
      <c r="F369" s="16" t="n"/>
      <c r="G369" s="16" t="n"/>
      <c r="H369" s="16" t="n"/>
      <c r="I369" s="16" t="n"/>
      <c r="J369" s="16" t="n"/>
      <c r="K369" s="18" t="n"/>
      <c r="L369" s="18" t="n"/>
      <c r="M369" s="16" t="n"/>
      <c r="N369" s="16" t="n"/>
    </row>
    <row r="370">
      <c r="B370" s="17">
        <f>IF($D370="","","C"&amp;TEXT(ROW()-5,"000"))</f>
        <v/>
      </c>
      <c r="C370" s="18" t="n"/>
      <c r="D370" s="16" t="n"/>
      <c r="E370" s="17">
        <f>IF($D370="","",IFERROR(INDEX(rngCadetPIDs,MATCH($D370,rngCadetNames,0)),"?"))</f>
        <v/>
      </c>
      <c r="F370" s="16" t="n"/>
      <c r="G370" s="16" t="n"/>
      <c r="H370" s="16" t="n"/>
      <c r="I370" s="16" t="n"/>
      <c r="J370" s="16" t="n"/>
      <c r="K370" s="18" t="n"/>
      <c r="L370" s="18" t="n"/>
      <c r="M370" s="16" t="n"/>
      <c r="N370" s="16" t="n"/>
    </row>
    <row r="371">
      <c r="B371" s="17">
        <f>IF($D371="","","C"&amp;TEXT(ROW()-5,"000"))</f>
        <v/>
      </c>
      <c r="C371" s="18" t="n"/>
      <c r="D371" s="16" t="n"/>
      <c r="E371" s="17">
        <f>IF($D371="","",IFERROR(INDEX(rngCadetPIDs,MATCH($D371,rngCadetNames,0)),"?"))</f>
        <v/>
      </c>
      <c r="F371" s="16" t="n"/>
      <c r="G371" s="16" t="n"/>
      <c r="H371" s="16" t="n"/>
      <c r="I371" s="16" t="n"/>
      <c r="J371" s="16" t="n"/>
      <c r="K371" s="18" t="n"/>
      <c r="L371" s="18" t="n"/>
      <c r="M371" s="16" t="n"/>
      <c r="N371" s="16" t="n"/>
    </row>
    <row r="372">
      <c r="B372" s="17">
        <f>IF($D372="","","C"&amp;TEXT(ROW()-5,"000"))</f>
        <v/>
      </c>
      <c r="C372" s="18" t="n"/>
      <c r="D372" s="16" t="n"/>
      <c r="E372" s="17">
        <f>IF($D372="","",IFERROR(INDEX(rngCadetPIDs,MATCH($D372,rngCadetNames,0)),"?"))</f>
        <v/>
      </c>
      <c r="F372" s="16" t="n"/>
      <c r="G372" s="16" t="n"/>
      <c r="H372" s="16" t="n"/>
      <c r="I372" s="16" t="n"/>
      <c r="J372" s="16" t="n"/>
      <c r="K372" s="18" t="n"/>
      <c r="L372" s="18" t="n"/>
      <c r="M372" s="16" t="n"/>
      <c r="N372" s="16" t="n"/>
    </row>
    <row r="373">
      <c r="B373" s="17">
        <f>IF($D373="","","C"&amp;TEXT(ROW()-5,"000"))</f>
        <v/>
      </c>
      <c r="C373" s="18" t="n"/>
      <c r="D373" s="16" t="n"/>
      <c r="E373" s="17">
        <f>IF($D373="","",IFERROR(INDEX(rngCadetPIDs,MATCH($D373,rngCadetNames,0)),"?"))</f>
        <v/>
      </c>
      <c r="F373" s="16" t="n"/>
      <c r="G373" s="16" t="n"/>
      <c r="H373" s="16" t="n"/>
      <c r="I373" s="16" t="n"/>
      <c r="J373" s="16" t="n"/>
      <c r="K373" s="18" t="n"/>
      <c r="L373" s="18" t="n"/>
      <c r="M373" s="16" t="n"/>
      <c r="N373" s="16" t="n"/>
    </row>
    <row r="374">
      <c r="B374" s="17">
        <f>IF($D374="","","C"&amp;TEXT(ROW()-5,"000"))</f>
        <v/>
      </c>
      <c r="C374" s="18" t="n"/>
      <c r="D374" s="16" t="n"/>
      <c r="E374" s="17">
        <f>IF($D374="","",IFERROR(INDEX(rngCadetPIDs,MATCH($D374,rngCadetNames,0)),"?"))</f>
        <v/>
      </c>
      <c r="F374" s="16" t="n"/>
      <c r="G374" s="16" t="n"/>
      <c r="H374" s="16" t="n"/>
      <c r="I374" s="16" t="n"/>
      <c r="J374" s="16" t="n"/>
      <c r="K374" s="18" t="n"/>
      <c r="L374" s="18" t="n"/>
      <c r="M374" s="16" t="n"/>
      <c r="N374" s="16" t="n"/>
    </row>
    <row r="375">
      <c r="B375" s="17">
        <f>IF($D375="","","C"&amp;TEXT(ROW()-5,"000"))</f>
        <v/>
      </c>
      <c r="C375" s="18" t="n"/>
      <c r="D375" s="16" t="n"/>
      <c r="E375" s="17">
        <f>IF($D375="","",IFERROR(INDEX(rngCadetPIDs,MATCH($D375,rngCadetNames,0)),"?"))</f>
        <v/>
      </c>
      <c r="F375" s="16" t="n"/>
      <c r="G375" s="16" t="n"/>
      <c r="H375" s="16" t="n"/>
      <c r="I375" s="16" t="n"/>
      <c r="J375" s="16" t="n"/>
      <c r="K375" s="18" t="n"/>
      <c r="L375" s="18" t="n"/>
      <c r="M375" s="16" t="n"/>
      <c r="N375" s="16" t="n"/>
    </row>
    <row r="376">
      <c r="B376" s="17">
        <f>IF($D376="","","C"&amp;TEXT(ROW()-5,"000"))</f>
        <v/>
      </c>
      <c r="C376" s="18" t="n"/>
      <c r="D376" s="16" t="n"/>
      <c r="E376" s="17">
        <f>IF($D376="","",IFERROR(INDEX(rngCadetPIDs,MATCH($D376,rngCadetNames,0)),"?"))</f>
        <v/>
      </c>
      <c r="F376" s="16" t="n"/>
      <c r="G376" s="16" t="n"/>
      <c r="H376" s="16" t="n"/>
      <c r="I376" s="16" t="n"/>
      <c r="J376" s="16" t="n"/>
      <c r="K376" s="18" t="n"/>
      <c r="L376" s="18" t="n"/>
      <c r="M376" s="16" t="n"/>
      <c r="N376" s="16" t="n"/>
    </row>
    <row r="377">
      <c r="B377" s="17">
        <f>IF($D377="","","C"&amp;TEXT(ROW()-5,"000"))</f>
        <v/>
      </c>
      <c r="C377" s="18" t="n"/>
      <c r="D377" s="16" t="n"/>
      <c r="E377" s="17">
        <f>IF($D377="","",IFERROR(INDEX(rngCadetPIDs,MATCH($D377,rngCadetNames,0)),"?"))</f>
        <v/>
      </c>
      <c r="F377" s="16" t="n"/>
      <c r="G377" s="16" t="n"/>
      <c r="H377" s="16" t="n"/>
      <c r="I377" s="16" t="n"/>
      <c r="J377" s="16" t="n"/>
      <c r="K377" s="18" t="n"/>
      <c r="L377" s="18" t="n"/>
      <c r="M377" s="16" t="n"/>
      <c r="N377" s="16" t="n"/>
    </row>
    <row r="378">
      <c r="B378" s="17">
        <f>IF($D378="","","C"&amp;TEXT(ROW()-5,"000"))</f>
        <v/>
      </c>
      <c r="C378" s="18" t="n"/>
      <c r="D378" s="16" t="n"/>
      <c r="E378" s="17">
        <f>IF($D378="","",IFERROR(INDEX(rngCadetPIDs,MATCH($D378,rngCadetNames,0)),"?"))</f>
        <v/>
      </c>
      <c r="F378" s="16" t="n"/>
      <c r="G378" s="16" t="n"/>
      <c r="H378" s="16" t="n"/>
      <c r="I378" s="16" t="n"/>
      <c r="J378" s="16" t="n"/>
      <c r="K378" s="18" t="n"/>
      <c r="L378" s="18" t="n"/>
      <c r="M378" s="16" t="n"/>
      <c r="N378" s="16" t="n"/>
    </row>
    <row r="379">
      <c r="B379" s="17">
        <f>IF($D379="","","C"&amp;TEXT(ROW()-5,"000"))</f>
        <v/>
      </c>
      <c r="C379" s="18" t="n"/>
      <c r="D379" s="16" t="n"/>
      <c r="E379" s="17">
        <f>IF($D379="","",IFERROR(INDEX(rngCadetPIDs,MATCH($D379,rngCadetNames,0)),"?"))</f>
        <v/>
      </c>
      <c r="F379" s="16" t="n"/>
      <c r="G379" s="16" t="n"/>
      <c r="H379" s="16" t="n"/>
      <c r="I379" s="16" t="n"/>
      <c r="J379" s="16" t="n"/>
      <c r="K379" s="18" t="n"/>
      <c r="L379" s="18" t="n"/>
      <c r="M379" s="16" t="n"/>
      <c r="N379" s="16" t="n"/>
    </row>
    <row r="380">
      <c r="B380" s="17">
        <f>IF($D380="","","C"&amp;TEXT(ROW()-5,"000"))</f>
        <v/>
      </c>
      <c r="C380" s="18" t="n"/>
      <c r="D380" s="16" t="n"/>
      <c r="E380" s="17">
        <f>IF($D380="","",IFERROR(INDEX(rngCadetPIDs,MATCH($D380,rngCadetNames,0)),"?"))</f>
        <v/>
      </c>
      <c r="F380" s="16" t="n"/>
      <c r="G380" s="16" t="n"/>
      <c r="H380" s="16" t="n"/>
      <c r="I380" s="16" t="n"/>
      <c r="J380" s="16" t="n"/>
      <c r="K380" s="18" t="n"/>
      <c r="L380" s="18" t="n"/>
      <c r="M380" s="16" t="n"/>
      <c r="N380" s="16" t="n"/>
    </row>
    <row r="381">
      <c r="B381" s="17">
        <f>IF($D381="","","C"&amp;TEXT(ROW()-5,"000"))</f>
        <v/>
      </c>
      <c r="C381" s="18" t="n"/>
      <c r="D381" s="16" t="n"/>
      <c r="E381" s="17">
        <f>IF($D381="","",IFERROR(INDEX(rngCadetPIDs,MATCH($D381,rngCadetNames,0)),"?"))</f>
        <v/>
      </c>
      <c r="F381" s="16" t="n"/>
      <c r="G381" s="16" t="n"/>
      <c r="H381" s="16" t="n"/>
      <c r="I381" s="16" t="n"/>
      <c r="J381" s="16" t="n"/>
      <c r="K381" s="18" t="n"/>
      <c r="L381" s="18" t="n"/>
      <c r="M381" s="16" t="n"/>
      <c r="N381" s="16" t="n"/>
    </row>
    <row r="382">
      <c r="B382" s="17">
        <f>IF($D382="","","C"&amp;TEXT(ROW()-5,"000"))</f>
        <v/>
      </c>
      <c r="C382" s="18" t="n"/>
      <c r="D382" s="16" t="n"/>
      <c r="E382" s="17">
        <f>IF($D382="","",IFERROR(INDEX(rngCadetPIDs,MATCH($D382,rngCadetNames,0)),"?"))</f>
        <v/>
      </c>
      <c r="F382" s="16" t="n"/>
      <c r="G382" s="16" t="n"/>
      <c r="H382" s="16" t="n"/>
      <c r="I382" s="16" t="n"/>
      <c r="J382" s="16" t="n"/>
      <c r="K382" s="18" t="n"/>
      <c r="L382" s="18" t="n"/>
      <c r="M382" s="16" t="n"/>
      <c r="N382" s="16" t="n"/>
    </row>
    <row r="383">
      <c r="B383" s="17">
        <f>IF($D383="","","C"&amp;TEXT(ROW()-5,"000"))</f>
        <v/>
      </c>
      <c r="C383" s="18" t="n"/>
      <c r="D383" s="16" t="n"/>
      <c r="E383" s="17">
        <f>IF($D383="","",IFERROR(INDEX(rngCadetPIDs,MATCH($D383,rngCadetNames,0)),"?"))</f>
        <v/>
      </c>
      <c r="F383" s="16" t="n"/>
      <c r="G383" s="16" t="n"/>
      <c r="H383" s="16" t="n"/>
      <c r="I383" s="16" t="n"/>
      <c r="J383" s="16" t="n"/>
      <c r="K383" s="18" t="n"/>
      <c r="L383" s="18" t="n"/>
      <c r="M383" s="16" t="n"/>
      <c r="N383" s="16" t="n"/>
    </row>
    <row r="384">
      <c r="B384" s="17">
        <f>IF($D384="","","C"&amp;TEXT(ROW()-5,"000"))</f>
        <v/>
      </c>
      <c r="C384" s="18" t="n"/>
      <c r="D384" s="16" t="n"/>
      <c r="E384" s="17">
        <f>IF($D384="","",IFERROR(INDEX(rngCadetPIDs,MATCH($D384,rngCadetNames,0)),"?"))</f>
        <v/>
      </c>
      <c r="F384" s="16" t="n"/>
      <c r="G384" s="16" t="n"/>
      <c r="H384" s="16" t="n"/>
      <c r="I384" s="16" t="n"/>
      <c r="J384" s="16" t="n"/>
      <c r="K384" s="18" t="n"/>
      <c r="L384" s="18" t="n"/>
      <c r="M384" s="16" t="n"/>
      <c r="N384" s="16" t="n"/>
    </row>
    <row r="385">
      <c r="B385" s="17">
        <f>IF($D385="","","C"&amp;TEXT(ROW()-5,"000"))</f>
        <v/>
      </c>
      <c r="C385" s="18" t="n"/>
      <c r="D385" s="16" t="n"/>
      <c r="E385" s="17">
        <f>IF($D385="","",IFERROR(INDEX(rngCadetPIDs,MATCH($D385,rngCadetNames,0)),"?"))</f>
        <v/>
      </c>
      <c r="F385" s="16" t="n"/>
      <c r="G385" s="16" t="n"/>
      <c r="H385" s="16" t="n"/>
      <c r="I385" s="16" t="n"/>
      <c r="J385" s="16" t="n"/>
      <c r="K385" s="18" t="n"/>
      <c r="L385" s="18" t="n"/>
      <c r="M385" s="16" t="n"/>
      <c r="N385" s="16" t="n"/>
    </row>
    <row r="386">
      <c r="B386" s="17">
        <f>IF($D386="","","C"&amp;TEXT(ROW()-5,"000"))</f>
        <v/>
      </c>
      <c r="C386" s="18" t="n"/>
      <c r="D386" s="16" t="n"/>
      <c r="E386" s="17">
        <f>IF($D386="","",IFERROR(INDEX(rngCadetPIDs,MATCH($D386,rngCadetNames,0)),"?"))</f>
        <v/>
      </c>
      <c r="F386" s="16" t="n"/>
      <c r="G386" s="16" t="n"/>
      <c r="H386" s="16" t="n"/>
      <c r="I386" s="16" t="n"/>
      <c r="J386" s="16" t="n"/>
      <c r="K386" s="18" t="n"/>
      <c r="L386" s="18" t="n"/>
      <c r="M386" s="16" t="n"/>
      <c r="N386" s="16" t="n"/>
    </row>
    <row r="387">
      <c r="B387" s="17">
        <f>IF($D387="","","C"&amp;TEXT(ROW()-5,"000"))</f>
        <v/>
      </c>
      <c r="C387" s="18" t="n"/>
      <c r="D387" s="16" t="n"/>
      <c r="E387" s="17">
        <f>IF($D387="","",IFERROR(INDEX(rngCadetPIDs,MATCH($D387,rngCadetNames,0)),"?"))</f>
        <v/>
      </c>
      <c r="F387" s="16" t="n"/>
      <c r="G387" s="16" t="n"/>
      <c r="H387" s="16" t="n"/>
      <c r="I387" s="16" t="n"/>
      <c r="J387" s="16" t="n"/>
      <c r="K387" s="18" t="n"/>
      <c r="L387" s="18" t="n"/>
      <c r="M387" s="16" t="n"/>
      <c r="N387" s="16" t="n"/>
    </row>
    <row r="388">
      <c r="B388" s="17">
        <f>IF($D388="","","C"&amp;TEXT(ROW()-5,"000"))</f>
        <v/>
      </c>
      <c r="C388" s="18" t="n"/>
      <c r="D388" s="16" t="n"/>
      <c r="E388" s="17">
        <f>IF($D388="","",IFERROR(INDEX(rngCadetPIDs,MATCH($D388,rngCadetNames,0)),"?"))</f>
        <v/>
      </c>
      <c r="F388" s="16" t="n"/>
      <c r="G388" s="16" t="n"/>
      <c r="H388" s="16" t="n"/>
      <c r="I388" s="16" t="n"/>
      <c r="J388" s="16" t="n"/>
      <c r="K388" s="18" t="n"/>
      <c r="L388" s="18" t="n"/>
      <c r="M388" s="16" t="n"/>
      <c r="N388" s="16" t="n"/>
    </row>
    <row r="389">
      <c r="B389" s="17">
        <f>IF($D389="","","C"&amp;TEXT(ROW()-5,"000"))</f>
        <v/>
      </c>
      <c r="C389" s="18" t="n"/>
      <c r="D389" s="16" t="n"/>
      <c r="E389" s="17">
        <f>IF($D389="","",IFERROR(INDEX(rngCadetPIDs,MATCH($D389,rngCadetNames,0)),"?"))</f>
        <v/>
      </c>
      <c r="F389" s="16" t="n"/>
      <c r="G389" s="16" t="n"/>
      <c r="H389" s="16" t="n"/>
      <c r="I389" s="16" t="n"/>
      <c r="J389" s="16" t="n"/>
      <c r="K389" s="18" t="n"/>
      <c r="L389" s="18" t="n"/>
      <c r="M389" s="16" t="n"/>
      <c r="N389" s="16" t="n"/>
    </row>
    <row r="390">
      <c r="B390" s="17">
        <f>IF($D390="","","C"&amp;TEXT(ROW()-5,"000"))</f>
        <v/>
      </c>
      <c r="C390" s="18" t="n"/>
      <c r="D390" s="16" t="n"/>
      <c r="E390" s="17">
        <f>IF($D390="","",IFERROR(INDEX(rngCadetPIDs,MATCH($D390,rngCadetNames,0)),"?"))</f>
        <v/>
      </c>
      <c r="F390" s="16" t="n"/>
      <c r="G390" s="16" t="n"/>
      <c r="H390" s="16" t="n"/>
      <c r="I390" s="16" t="n"/>
      <c r="J390" s="16" t="n"/>
      <c r="K390" s="18" t="n"/>
      <c r="L390" s="18" t="n"/>
      <c r="M390" s="16" t="n"/>
      <c r="N390" s="16" t="n"/>
    </row>
    <row r="391">
      <c r="B391" s="17">
        <f>IF($D391="","","C"&amp;TEXT(ROW()-5,"000"))</f>
        <v/>
      </c>
      <c r="C391" s="18" t="n"/>
      <c r="D391" s="16" t="n"/>
      <c r="E391" s="17">
        <f>IF($D391="","",IFERROR(INDEX(rngCadetPIDs,MATCH($D391,rngCadetNames,0)),"?"))</f>
        <v/>
      </c>
      <c r="F391" s="16" t="n"/>
      <c r="G391" s="16" t="n"/>
      <c r="H391" s="16" t="n"/>
      <c r="I391" s="16" t="n"/>
      <c r="J391" s="16" t="n"/>
      <c r="K391" s="18" t="n"/>
      <c r="L391" s="18" t="n"/>
      <c r="M391" s="16" t="n"/>
      <c r="N391" s="16" t="n"/>
    </row>
    <row r="392">
      <c r="B392" s="17">
        <f>IF($D392="","","C"&amp;TEXT(ROW()-5,"000"))</f>
        <v/>
      </c>
      <c r="C392" s="18" t="n"/>
      <c r="D392" s="16" t="n"/>
      <c r="E392" s="17">
        <f>IF($D392="","",IFERROR(INDEX(rngCadetPIDs,MATCH($D392,rngCadetNames,0)),"?"))</f>
        <v/>
      </c>
      <c r="F392" s="16" t="n"/>
      <c r="G392" s="16" t="n"/>
      <c r="H392" s="16" t="n"/>
      <c r="I392" s="16" t="n"/>
      <c r="J392" s="16" t="n"/>
      <c r="K392" s="18" t="n"/>
      <c r="L392" s="18" t="n"/>
      <c r="M392" s="16" t="n"/>
      <c r="N392" s="16" t="n"/>
    </row>
    <row r="393">
      <c r="B393" s="17">
        <f>IF($D393="","","C"&amp;TEXT(ROW()-5,"000"))</f>
        <v/>
      </c>
      <c r="C393" s="18" t="n"/>
      <c r="D393" s="16" t="n"/>
      <c r="E393" s="17">
        <f>IF($D393="","",IFERROR(INDEX(rngCadetPIDs,MATCH($D393,rngCadetNames,0)),"?"))</f>
        <v/>
      </c>
      <c r="F393" s="16" t="n"/>
      <c r="G393" s="16" t="n"/>
      <c r="H393" s="16" t="n"/>
      <c r="I393" s="16" t="n"/>
      <c r="J393" s="16" t="n"/>
      <c r="K393" s="18" t="n"/>
      <c r="L393" s="18" t="n"/>
      <c r="M393" s="16" t="n"/>
      <c r="N393" s="16" t="n"/>
    </row>
    <row r="394">
      <c r="B394" s="17">
        <f>IF($D394="","","C"&amp;TEXT(ROW()-5,"000"))</f>
        <v/>
      </c>
      <c r="C394" s="18" t="n"/>
      <c r="D394" s="16" t="n"/>
      <c r="E394" s="17">
        <f>IF($D394="","",IFERROR(INDEX(rngCadetPIDs,MATCH($D394,rngCadetNames,0)),"?"))</f>
        <v/>
      </c>
      <c r="F394" s="16" t="n"/>
      <c r="G394" s="16" t="n"/>
      <c r="H394" s="16" t="n"/>
      <c r="I394" s="16" t="n"/>
      <c r="J394" s="16" t="n"/>
      <c r="K394" s="18" t="n"/>
      <c r="L394" s="18" t="n"/>
      <c r="M394" s="16" t="n"/>
      <c r="N394" s="16" t="n"/>
    </row>
    <row r="395">
      <c r="B395" s="17">
        <f>IF($D395="","","C"&amp;TEXT(ROW()-5,"000"))</f>
        <v/>
      </c>
      <c r="C395" s="18" t="n"/>
      <c r="D395" s="16" t="n"/>
      <c r="E395" s="17">
        <f>IF($D395="","",IFERROR(INDEX(rngCadetPIDs,MATCH($D395,rngCadetNames,0)),"?"))</f>
        <v/>
      </c>
      <c r="F395" s="16" t="n"/>
      <c r="G395" s="16" t="n"/>
      <c r="H395" s="16" t="n"/>
      <c r="I395" s="16" t="n"/>
      <c r="J395" s="16" t="n"/>
      <c r="K395" s="18" t="n"/>
      <c r="L395" s="18" t="n"/>
      <c r="M395" s="16" t="n"/>
      <c r="N395" s="16" t="n"/>
    </row>
    <row r="396">
      <c r="B396" s="17">
        <f>IF($D396="","","C"&amp;TEXT(ROW()-5,"000"))</f>
        <v/>
      </c>
      <c r="C396" s="18" t="n"/>
      <c r="D396" s="16" t="n"/>
      <c r="E396" s="17">
        <f>IF($D396="","",IFERROR(INDEX(rngCadetPIDs,MATCH($D396,rngCadetNames,0)),"?"))</f>
        <v/>
      </c>
      <c r="F396" s="16" t="n"/>
      <c r="G396" s="16" t="n"/>
      <c r="H396" s="16" t="n"/>
      <c r="I396" s="16" t="n"/>
      <c r="J396" s="16" t="n"/>
      <c r="K396" s="18" t="n"/>
      <c r="L396" s="18" t="n"/>
      <c r="M396" s="16" t="n"/>
      <c r="N396" s="16" t="n"/>
    </row>
    <row r="397">
      <c r="B397" s="17">
        <f>IF($D397="","","C"&amp;TEXT(ROW()-5,"000"))</f>
        <v/>
      </c>
      <c r="C397" s="18" t="n"/>
      <c r="D397" s="16" t="n"/>
      <c r="E397" s="17">
        <f>IF($D397="","",IFERROR(INDEX(rngCadetPIDs,MATCH($D397,rngCadetNames,0)),"?"))</f>
        <v/>
      </c>
      <c r="F397" s="16" t="n"/>
      <c r="G397" s="16" t="n"/>
      <c r="H397" s="16" t="n"/>
      <c r="I397" s="16" t="n"/>
      <c r="J397" s="16" t="n"/>
      <c r="K397" s="18" t="n"/>
      <c r="L397" s="18" t="n"/>
      <c r="M397" s="16" t="n"/>
      <c r="N397" s="16" t="n"/>
    </row>
    <row r="398">
      <c r="B398" s="17">
        <f>IF($D398="","","C"&amp;TEXT(ROW()-5,"000"))</f>
        <v/>
      </c>
      <c r="C398" s="18" t="n"/>
      <c r="D398" s="16" t="n"/>
      <c r="E398" s="17">
        <f>IF($D398="","",IFERROR(INDEX(rngCadetPIDs,MATCH($D398,rngCadetNames,0)),"?"))</f>
        <v/>
      </c>
      <c r="F398" s="16" t="n"/>
      <c r="G398" s="16" t="n"/>
      <c r="H398" s="16" t="n"/>
      <c r="I398" s="16" t="n"/>
      <c r="J398" s="16" t="n"/>
      <c r="K398" s="18" t="n"/>
      <c r="L398" s="18" t="n"/>
      <c r="M398" s="16" t="n"/>
      <c r="N398" s="16" t="n"/>
    </row>
    <row r="399">
      <c r="B399" s="17">
        <f>IF($D399="","","C"&amp;TEXT(ROW()-5,"000"))</f>
        <v/>
      </c>
      <c r="C399" s="18" t="n"/>
      <c r="D399" s="16" t="n"/>
      <c r="E399" s="17">
        <f>IF($D399="","",IFERROR(INDEX(rngCadetPIDs,MATCH($D399,rngCadetNames,0)),"?"))</f>
        <v/>
      </c>
      <c r="F399" s="16" t="n"/>
      <c r="G399" s="16" t="n"/>
      <c r="H399" s="16" t="n"/>
      <c r="I399" s="16" t="n"/>
      <c r="J399" s="16" t="n"/>
      <c r="K399" s="18" t="n"/>
      <c r="L399" s="18" t="n"/>
      <c r="M399" s="16" t="n"/>
      <c r="N399" s="16" t="n"/>
    </row>
    <row r="400">
      <c r="B400" s="17">
        <f>IF($D400="","","C"&amp;TEXT(ROW()-5,"000"))</f>
        <v/>
      </c>
      <c r="C400" s="18" t="n"/>
      <c r="D400" s="16" t="n"/>
      <c r="E400" s="17">
        <f>IF($D400="","",IFERROR(INDEX(rngCadetPIDs,MATCH($D400,rngCadetNames,0)),"?"))</f>
        <v/>
      </c>
      <c r="F400" s="16" t="n"/>
      <c r="G400" s="16" t="n"/>
      <c r="H400" s="16" t="n"/>
      <c r="I400" s="16" t="n"/>
      <c r="J400" s="16" t="n"/>
      <c r="K400" s="18" t="n"/>
      <c r="L400" s="18" t="n"/>
      <c r="M400" s="16" t="n"/>
      <c r="N400" s="16" t="n"/>
    </row>
    <row r="401">
      <c r="B401" s="17">
        <f>IF($D401="","","C"&amp;TEXT(ROW()-5,"000"))</f>
        <v/>
      </c>
      <c r="C401" s="18" t="n"/>
      <c r="D401" s="16" t="n"/>
      <c r="E401" s="17">
        <f>IF($D401="","",IFERROR(INDEX(rngCadetPIDs,MATCH($D401,rngCadetNames,0)),"?"))</f>
        <v/>
      </c>
      <c r="F401" s="16" t="n"/>
      <c r="G401" s="16" t="n"/>
      <c r="H401" s="16" t="n"/>
      <c r="I401" s="16" t="n"/>
      <c r="J401" s="16" t="n"/>
      <c r="K401" s="18" t="n"/>
      <c r="L401" s="18" t="n"/>
      <c r="M401" s="16" t="n"/>
      <c r="N401" s="16" t="n"/>
    </row>
    <row r="402">
      <c r="B402" s="17">
        <f>IF($D402="","","C"&amp;TEXT(ROW()-5,"000"))</f>
        <v/>
      </c>
      <c r="C402" s="18" t="n"/>
      <c r="D402" s="16" t="n"/>
      <c r="E402" s="17">
        <f>IF($D402="","",IFERROR(INDEX(rngCadetPIDs,MATCH($D402,rngCadetNames,0)),"?"))</f>
        <v/>
      </c>
      <c r="F402" s="16" t="n"/>
      <c r="G402" s="16" t="n"/>
      <c r="H402" s="16" t="n"/>
      <c r="I402" s="16" t="n"/>
      <c r="J402" s="16" t="n"/>
      <c r="K402" s="18" t="n"/>
      <c r="L402" s="18" t="n"/>
      <c r="M402" s="16" t="n"/>
      <c r="N402" s="16" t="n"/>
    </row>
    <row r="403">
      <c r="B403" s="17">
        <f>IF($D403="","","C"&amp;TEXT(ROW()-5,"000"))</f>
        <v/>
      </c>
      <c r="C403" s="18" t="n"/>
      <c r="D403" s="16" t="n"/>
      <c r="E403" s="17">
        <f>IF($D403="","",IFERROR(INDEX(rngCadetPIDs,MATCH($D403,rngCadetNames,0)),"?"))</f>
        <v/>
      </c>
      <c r="F403" s="16" t="n"/>
      <c r="G403" s="16" t="n"/>
      <c r="H403" s="16" t="n"/>
      <c r="I403" s="16" t="n"/>
      <c r="J403" s="16" t="n"/>
      <c r="K403" s="18" t="n"/>
      <c r="L403" s="18" t="n"/>
      <c r="M403" s="16" t="n"/>
      <c r="N403" s="16" t="n"/>
    </row>
    <row r="404">
      <c r="B404" s="17">
        <f>IF($D404="","","C"&amp;TEXT(ROW()-5,"000"))</f>
        <v/>
      </c>
      <c r="C404" s="18" t="n"/>
      <c r="D404" s="16" t="n"/>
      <c r="E404" s="17">
        <f>IF($D404="","",IFERROR(INDEX(rngCadetPIDs,MATCH($D404,rngCadetNames,0)),"?"))</f>
        <v/>
      </c>
      <c r="F404" s="16" t="n"/>
      <c r="G404" s="16" t="n"/>
      <c r="H404" s="16" t="n"/>
      <c r="I404" s="16" t="n"/>
      <c r="J404" s="16" t="n"/>
      <c r="K404" s="18" t="n"/>
      <c r="L404" s="18" t="n"/>
      <c r="M404" s="16" t="n"/>
      <c r="N404" s="16" t="n"/>
    </row>
    <row r="405">
      <c r="B405" s="17">
        <f>IF($D405="","","C"&amp;TEXT(ROW()-5,"000"))</f>
        <v/>
      </c>
      <c r="C405" s="18" t="n"/>
      <c r="D405" s="16" t="n"/>
      <c r="E405" s="17">
        <f>IF($D405="","",IFERROR(INDEX(rngCadetPIDs,MATCH($D405,rngCadetNames,0)),"?"))</f>
        <v/>
      </c>
      <c r="F405" s="16" t="n"/>
      <c r="G405" s="16" t="n"/>
      <c r="H405" s="16" t="n"/>
      <c r="I405" s="16" t="n"/>
      <c r="J405" s="16" t="n"/>
      <c r="K405" s="18" t="n"/>
      <c r="L405" s="18" t="n"/>
      <c r="M405" s="16" t="n"/>
      <c r="N405" s="16" t="n"/>
    </row>
  </sheetData>
  <sheetProtection selectLockedCells="0" selectUnlockedCells="0" sheet="1" objects="0" insertRows="1" insertHyperlinks="1" autoFilter="0" scenarios="0" formatColumns="1" deleteColumns="1" insertColumns="1" pivotTables="1" deleteRows="1" formatCells="1" formatRows="1" sort="1" password="B4BB"/>
  <autoFilter ref="B5:N5"/>
  <dataValidations count="4">
    <dataValidation sqref="D6:D405" showDropDown="0" showInputMessage="0" showErrorMessage="1" allowBlank="1" type="list">
      <formula1>=rngCadetNames</formula1>
    </dataValidation>
    <dataValidation sqref="F6:F405" showDropDown="0" showInputMessage="0" showErrorMessage="1" allowBlank="1" type="list">
      <formula1>=lstCounselingType</formula1>
    </dataValidation>
    <dataValidation sqref="J6:J405" showDropDown="0" showInputMessage="0" showErrorMessage="1" allowBlank="1" type="list">
      <formula1>=lstYesNo</formula1>
    </dataValidation>
    <dataValidation sqref="M6:M405" showDropDown="0" showInputMessage="0" showErrorMessage="1" allowBlank="1" type="list">
      <formula1>=lstResolution</formula1>
    </dataValidation>
  </dataValidations>
  <pageMargins left="0.75" right="0.75" top="1" bottom="1" header="0.5" footer="0.5"/>
</worksheet>
</file>

<file path=xl/worksheets/sheet15.xml><?xml version="1.0" encoding="utf-8"?>
<worksheet xmlns="http://schemas.openxmlformats.org/spreadsheetml/2006/main">
  <sheetPr>
    <tabColor rgb="002E75B6"/>
    <outlinePr summaryBelow="1" summaryRight="1"/>
    <pageSetUpPr/>
  </sheetPr>
  <dimension ref="B1:N305"/>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9" customWidth="1" min="2" max="2"/>
    <col width="11" customWidth="1" min="3" max="3"/>
    <col width="22" customWidth="1" min="4" max="4"/>
    <col width="9" customWidth="1" min="5" max="5"/>
    <col width="12" customWidth="1" min="6" max="6"/>
    <col width="40" customWidth="1" min="7" max="7"/>
    <col width="13" customWidth="1" min="8" max="8"/>
    <col width="13" customWidth="1" min="9" max="9"/>
    <col width="11" customWidth="1" min="10" max="10"/>
    <col width="11" customWidth="1" min="11" max="11"/>
    <col width="14" customWidth="1" min="12" max="12"/>
    <col width="15" customWidth="1" min="13" max="13"/>
    <col width="26" customWidth="1" min="14" max="14"/>
  </cols>
  <sheetData>
    <row r="1">
      <c r="B1" s="10">
        <f>HYPERLINK("#Dashboard!B5","◄ Dashboard")</f>
        <v/>
      </c>
    </row>
    <row r="4">
      <c r="B4" s="11" t="inlineStr">
        <is>
          <t>Assigned for deficiencies: lessons learned + plan of action. Linked Ref dropdown offers Incident (I), Attendance (A) and Counseling (C) IDs — or leave blank for stand-alone. Due auto-computes from the class-day calendar (Settings: Memo Due). 'Report to Agency?' = Yes puts it in that agency's next email digest; blank keeps it an academy teaching moment.</t>
        </is>
      </c>
    </row>
    <row r="5" ht="26" customHeight="1">
      <c r="B5" s="12" t="inlineStr">
        <is>
          <t>MemoID</t>
        </is>
      </c>
      <c r="C5" s="12" t="inlineStr">
        <is>
          <t>Assigned</t>
        </is>
      </c>
      <c r="D5" s="12" t="inlineStr">
        <is>
          <t>Cadet Name</t>
        </is>
      </c>
      <c r="E5" s="12" t="inlineStr">
        <is>
          <t>PID</t>
        </is>
      </c>
      <c r="F5" s="12" t="inlineStr">
        <is>
          <t>Linked Ref</t>
        </is>
      </c>
      <c r="G5" s="12" t="inlineStr">
        <is>
          <t>Deficiency / Subject</t>
        </is>
      </c>
      <c r="H5" s="12" t="inlineStr">
        <is>
          <t>Due (computed)</t>
        </is>
      </c>
      <c r="I5" s="12" t="inlineStr">
        <is>
          <t>Due Override</t>
        </is>
      </c>
      <c r="J5" s="12" t="inlineStr">
        <is>
          <t>Due</t>
        </is>
      </c>
      <c r="K5" s="12" t="inlineStr">
        <is>
          <t>Received</t>
        </is>
      </c>
      <c r="L5" s="12" t="inlineStr">
        <is>
          <t>Status</t>
        </is>
      </c>
      <c r="M5" s="12" t="inlineStr">
        <is>
          <t>Report to Agency?</t>
        </is>
      </c>
      <c r="N5" s="12" t="inlineStr">
        <is>
          <t>Notes</t>
        </is>
      </c>
    </row>
    <row r="6">
      <c r="B6" s="17">
        <f>IF($D6="","","ME"&amp;TEXT(ROW()-5,"000"))</f>
        <v/>
      </c>
      <c r="C6" s="18" t="n"/>
      <c r="D6" s="16" t="n"/>
      <c r="E6" s="17">
        <f>IF($D6="","",IFERROR(INDEX(rngCadetPIDs,MATCH($D6,rngCadetNames,0)),"?"))</f>
        <v/>
      </c>
      <c r="F6" s="16" t="n"/>
      <c r="G6" s="16" t="n"/>
      <c r="H6" s="19">
        <f>IF($D6="","",IF($C6="","(enter date)",_xlfn.LET(_xlpm.dn,_xlfn.XLOOKUP($C6,nrCDdate,nrCDnum,"",1),IF(_xlpm.dn="","(after last class day)",_xlfn.LET(_xlpm.dd,_xlfn.XLOOKUP(_xlpm.dn+cfgMemoDueClassDays,nrCDnum,nrCDdate,""),_xlpm.ok,_xlfn.XLOOKUP(_xlpm.dn+cfgMemoDueClassDays,nrCDnum,nrCDinsession,"No"),IF(OR(_xlpm.dd="",_xlpm.ok&lt;&gt;"Yes"),"(after last class day)",_xlpm.dd))))))</f>
        <v/>
      </c>
      <c r="I6" s="18" t="n"/>
      <c r="J6" s="19">
        <f>IF($D6="","",IF($I6&lt;&gt;"",$I6,IF(ISNUMBER($H6),$H6,"")))</f>
        <v/>
      </c>
      <c r="K6" s="18" t="n"/>
      <c r="L6" s="17">
        <f>IF($D6="","",IF($K6&lt;&gt;"","Received "&amp;TEXT($K6,"mm/dd"),IF(ISNUMBER($J6),IF(TODAY()&gt;$J6,"OVERDUE","Pending"),IF($H6="","Pending","CHECK DATE"))))</f>
        <v/>
      </c>
      <c r="M6" s="16" t="n"/>
      <c r="N6" s="16" t="n"/>
    </row>
    <row r="7">
      <c r="B7" s="17">
        <f>IF($D7="","","ME"&amp;TEXT(ROW()-5,"000"))</f>
        <v/>
      </c>
      <c r="C7" s="18" t="n"/>
      <c r="D7" s="16" t="n"/>
      <c r="E7" s="17">
        <f>IF($D7="","",IFERROR(INDEX(rngCadetPIDs,MATCH($D7,rngCadetNames,0)),"?"))</f>
        <v/>
      </c>
      <c r="F7" s="16" t="n"/>
      <c r="G7" s="16" t="n"/>
      <c r="H7" s="19">
        <f>IF($D7="","",IF($C7="","(enter date)",_xlfn.LET(_xlpm.dn,_xlfn.XLOOKUP($C7,nrCDdate,nrCDnum,"",1),IF(_xlpm.dn="","(after last class day)",_xlfn.LET(_xlpm.dd,_xlfn.XLOOKUP(_xlpm.dn+cfgMemoDueClassDays,nrCDnum,nrCDdate,""),_xlpm.ok,_xlfn.XLOOKUP(_xlpm.dn+cfgMemoDueClassDays,nrCDnum,nrCDinsession,"No"),IF(OR(_xlpm.dd="",_xlpm.ok&lt;&gt;"Yes"),"(after last class day)",_xlpm.dd))))))</f>
        <v/>
      </c>
      <c r="I7" s="18" t="n"/>
      <c r="J7" s="19">
        <f>IF($D7="","",IF($I7&lt;&gt;"",$I7,IF(ISNUMBER($H7),$H7,"")))</f>
        <v/>
      </c>
      <c r="K7" s="18" t="n"/>
      <c r="L7" s="17">
        <f>IF($D7="","",IF($K7&lt;&gt;"","Received "&amp;TEXT($K7,"mm/dd"),IF(ISNUMBER($J7),IF(TODAY()&gt;$J7,"OVERDUE","Pending"),IF($H7="","Pending","CHECK DATE"))))</f>
        <v/>
      </c>
      <c r="M7" s="16" t="n"/>
      <c r="N7" s="16" t="n"/>
    </row>
    <row r="8">
      <c r="B8" s="17">
        <f>IF($D8="","","ME"&amp;TEXT(ROW()-5,"000"))</f>
        <v/>
      </c>
      <c r="C8" s="18" t="n"/>
      <c r="D8" s="16" t="n"/>
      <c r="E8" s="17">
        <f>IF($D8="","",IFERROR(INDEX(rngCadetPIDs,MATCH($D8,rngCadetNames,0)),"?"))</f>
        <v/>
      </c>
      <c r="F8" s="16" t="n"/>
      <c r="G8" s="16" t="n"/>
      <c r="H8" s="19">
        <f>IF($D8="","",IF($C8="","(enter date)",_xlfn.LET(_xlpm.dn,_xlfn.XLOOKUP($C8,nrCDdate,nrCDnum,"",1),IF(_xlpm.dn="","(after last class day)",_xlfn.LET(_xlpm.dd,_xlfn.XLOOKUP(_xlpm.dn+cfgMemoDueClassDays,nrCDnum,nrCDdate,""),_xlpm.ok,_xlfn.XLOOKUP(_xlpm.dn+cfgMemoDueClassDays,nrCDnum,nrCDinsession,"No"),IF(OR(_xlpm.dd="",_xlpm.ok&lt;&gt;"Yes"),"(after last class day)",_xlpm.dd))))))</f>
        <v/>
      </c>
      <c r="I8" s="18" t="n"/>
      <c r="J8" s="19">
        <f>IF($D8="","",IF($I8&lt;&gt;"",$I8,IF(ISNUMBER($H8),$H8,"")))</f>
        <v/>
      </c>
      <c r="K8" s="18" t="n"/>
      <c r="L8" s="17">
        <f>IF($D8="","",IF($K8&lt;&gt;"","Received "&amp;TEXT($K8,"mm/dd"),IF(ISNUMBER($J8),IF(TODAY()&gt;$J8,"OVERDUE","Pending"),IF($H8="","Pending","CHECK DATE"))))</f>
        <v/>
      </c>
      <c r="M8" s="16" t="n"/>
      <c r="N8" s="16" t="n"/>
    </row>
    <row r="9">
      <c r="B9" s="17">
        <f>IF($D9="","","ME"&amp;TEXT(ROW()-5,"000"))</f>
        <v/>
      </c>
      <c r="C9" s="18" t="n"/>
      <c r="D9" s="16" t="n"/>
      <c r="E9" s="17">
        <f>IF($D9="","",IFERROR(INDEX(rngCadetPIDs,MATCH($D9,rngCadetNames,0)),"?"))</f>
        <v/>
      </c>
      <c r="F9" s="16" t="n"/>
      <c r="G9" s="16" t="n"/>
      <c r="H9" s="19">
        <f>IF($D9="","",IF($C9="","(enter date)",_xlfn.LET(_xlpm.dn,_xlfn.XLOOKUP($C9,nrCDdate,nrCDnum,"",1),IF(_xlpm.dn="","(after last class day)",_xlfn.LET(_xlpm.dd,_xlfn.XLOOKUP(_xlpm.dn+cfgMemoDueClassDays,nrCDnum,nrCDdate,""),_xlpm.ok,_xlfn.XLOOKUP(_xlpm.dn+cfgMemoDueClassDays,nrCDnum,nrCDinsession,"No"),IF(OR(_xlpm.dd="",_xlpm.ok&lt;&gt;"Yes"),"(after last class day)",_xlpm.dd))))))</f>
        <v/>
      </c>
      <c r="I9" s="18" t="n"/>
      <c r="J9" s="19">
        <f>IF($D9="","",IF($I9&lt;&gt;"",$I9,IF(ISNUMBER($H9),$H9,"")))</f>
        <v/>
      </c>
      <c r="K9" s="18" t="n"/>
      <c r="L9" s="17">
        <f>IF($D9="","",IF($K9&lt;&gt;"","Received "&amp;TEXT($K9,"mm/dd"),IF(ISNUMBER($J9),IF(TODAY()&gt;$J9,"OVERDUE","Pending"),IF($H9="","Pending","CHECK DATE"))))</f>
        <v/>
      </c>
      <c r="M9" s="16" t="n"/>
      <c r="N9" s="16" t="n"/>
    </row>
    <row r="10">
      <c r="B10" s="17">
        <f>IF($D10="","","ME"&amp;TEXT(ROW()-5,"000"))</f>
        <v/>
      </c>
      <c r="C10" s="18" t="n"/>
      <c r="D10" s="16" t="n"/>
      <c r="E10" s="17">
        <f>IF($D10="","",IFERROR(INDEX(rngCadetPIDs,MATCH($D10,rngCadetNames,0)),"?"))</f>
        <v/>
      </c>
      <c r="F10" s="16" t="n"/>
      <c r="G10" s="16" t="n"/>
      <c r="H10" s="19">
        <f>IF($D10="","",IF($C10="","(enter date)",_xlfn.LET(_xlpm.dn,_xlfn.XLOOKUP($C10,nrCDdate,nrCDnum,"",1),IF(_xlpm.dn="","(after last class day)",_xlfn.LET(_xlpm.dd,_xlfn.XLOOKUP(_xlpm.dn+cfgMemoDueClassDays,nrCDnum,nrCDdate,""),_xlpm.ok,_xlfn.XLOOKUP(_xlpm.dn+cfgMemoDueClassDays,nrCDnum,nrCDinsession,"No"),IF(OR(_xlpm.dd="",_xlpm.ok&lt;&gt;"Yes"),"(after last class day)",_xlpm.dd))))))</f>
        <v/>
      </c>
      <c r="I10" s="18" t="n"/>
      <c r="J10" s="19">
        <f>IF($D10="","",IF($I10&lt;&gt;"",$I10,IF(ISNUMBER($H10),$H10,"")))</f>
        <v/>
      </c>
      <c r="K10" s="18" t="n"/>
      <c r="L10" s="17">
        <f>IF($D10="","",IF($K10&lt;&gt;"","Received "&amp;TEXT($K10,"mm/dd"),IF(ISNUMBER($J10),IF(TODAY()&gt;$J10,"OVERDUE","Pending"),IF($H10="","Pending","CHECK DATE"))))</f>
        <v/>
      </c>
      <c r="M10" s="16" t="n"/>
      <c r="N10" s="16" t="n"/>
    </row>
    <row r="11">
      <c r="B11" s="17">
        <f>IF($D11="","","ME"&amp;TEXT(ROW()-5,"000"))</f>
        <v/>
      </c>
      <c r="C11" s="18" t="n"/>
      <c r="D11" s="16" t="n"/>
      <c r="E11" s="17">
        <f>IF($D11="","",IFERROR(INDEX(rngCadetPIDs,MATCH($D11,rngCadetNames,0)),"?"))</f>
        <v/>
      </c>
      <c r="F11" s="16" t="n"/>
      <c r="G11" s="16" t="n"/>
      <c r="H11" s="19">
        <f>IF($D11="","",IF($C11="","(enter date)",_xlfn.LET(_xlpm.dn,_xlfn.XLOOKUP($C11,nrCDdate,nrCDnum,"",1),IF(_xlpm.dn="","(after last class day)",_xlfn.LET(_xlpm.dd,_xlfn.XLOOKUP(_xlpm.dn+cfgMemoDueClassDays,nrCDnum,nrCDdate,""),_xlpm.ok,_xlfn.XLOOKUP(_xlpm.dn+cfgMemoDueClassDays,nrCDnum,nrCDinsession,"No"),IF(OR(_xlpm.dd="",_xlpm.ok&lt;&gt;"Yes"),"(after last class day)",_xlpm.dd))))))</f>
        <v/>
      </c>
      <c r="I11" s="18" t="n"/>
      <c r="J11" s="19">
        <f>IF($D11="","",IF($I11&lt;&gt;"",$I11,IF(ISNUMBER($H11),$H11,"")))</f>
        <v/>
      </c>
      <c r="K11" s="18" t="n"/>
      <c r="L11" s="17">
        <f>IF($D11="","",IF($K11&lt;&gt;"","Received "&amp;TEXT($K11,"mm/dd"),IF(ISNUMBER($J11),IF(TODAY()&gt;$J11,"OVERDUE","Pending"),IF($H11="","Pending","CHECK DATE"))))</f>
        <v/>
      </c>
      <c r="M11" s="16" t="n"/>
      <c r="N11" s="16" t="n"/>
    </row>
    <row r="12">
      <c r="B12" s="17">
        <f>IF($D12="","","ME"&amp;TEXT(ROW()-5,"000"))</f>
        <v/>
      </c>
      <c r="C12" s="18" t="n"/>
      <c r="D12" s="16" t="n"/>
      <c r="E12" s="17">
        <f>IF($D12="","",IFERROR(INDEX(rngCadetPIDs,MATCH($D12,rngCadetNames,0)),"?"))</f>
        <v/>
      </c>
      <c r="F12" s="16" t="n"/>
      <c r="G12" s="16" t="n"/>
      <c r="H12" s="19">
        <f>IF($D12="","",IF($C12="","(enter date)",_xlfn.LET(_xlpm.dn,_xlfn.XLOOKUP($C12,nrCDdate,nrCDnum,"",1),IF(_xlpm.dn="","(after last class day)",_xlfn.LET(_xlpm.dd,_xlfn.XLOOKUP(_xlpm.dn+cfgMemoDueClassDays,nrCDnum,nrCDdate,""),_xlpm.ok,_xlfn.XLOOKUP(_xlpm.dn+cfgMemoDueClassDays,nrCDnum,nrCDinsession,"No"),IF(OR(_xlpm.dd="",_xlpm.ok&lt;&gt;"Yes"),"(after last class day)",_xlpm.dd))))))</f>
        <v/>
      </c>
      <c r="I12" s="18" t="n"/>
      <c r="J12" s="19">
        <f>IF($D12="","",IF($I12&lt;&gt;"",$I12,IF(ISNUMBER($H12),$H12,"")))</f>
        <v/>
      </c>
      <c r="K12" s="18" t="n"/>
      <c r="L12" s="17">
        <f>IF($D12="","",IF($K12&lt;&gt;"","Received "&amp;TEXT($K12,"mm/dd"),IF(ISNUMBER($J12),IF(TODAY()&gt;$J12,"OVERDUE","Pending"),IF($H12="","Pending","CHECK DATE"))))</f>
        <v/>
      </c>
      <c r="M12" s="16" t="n"/>
      <c r="N12" s="16" t="n"/>
    </row>
    <row r="13">
      <c r="B13" s="17">
        <f>IF($D13="","","ME"&amp;TEXT(ROW()-5,"000"))</f>
        <v/>
      </c>
      <c r="C13" s="18" t="n"/>
      <c r="D13" s="16" t="n"/>
      <c r="E13" s="17">
        <f>IF($D13="","",IFERROR(INDEX(rngCadetPIDs,MATCH($D13,rngCadetNames,0)),"?"))</f>
        <v/>
      </c>
      <c r="F13" s="16" t="n"/>
      <c r="G13" s="16" t="n"/>
      <c r="H13" s="19">
        <f>IF($D13="","",IF($C13="","(enter date)",_xlfn.LET(_xlpm.dn,_xlfn.XLOOKUP($C13,nrCDdate,nrCDnum,"",1),IF(_xlpm.dn="","(after last class day)",_xlfn.LET(_xlpm.dd,_xlfn.XLOOKUP(_xlpm.dn+cfgMemoDueClassDays,nrCDnum,nrCDdate,""),_xlpm.ok,_xlfn.XLOOKUP(_xlpm.dn+cfgMemoDueClassDays,nrCDnum,nrCDinsession,"No"),IF(OR(_xlpm.dd="",_xlpm.ok&lt;&gt;"Yes"),"(after last class day)",_xlpm.dd))))))</f>
        <v/>
      </c>
      <c r="I13" s="18" t="n"/>
      <c r="J13" s="19">
        <f>IF($D13="","",IF($I13&lt;&gt;"",$I13,IF(ISNUMBER($H13),$H13,"")))</f>
        <v/>
      </c>
      <c r="K13" s="18" t="n"/>
      <c r="L13" s="17">
        <f>IF($D13="","",IF($K13&lt;&gt;"","Received "&amp;TEXT($K13,"mm/dd"),IF(ISNUMBER($J13),IF(TODAY()&gt;$J13,"OVERDUE","Pending"),IF($H13="","Pending","CHECK DATE"))))</f>
        <v/>
      </c>
      <c r="M13" s="16" t="n"/>
      <c r="N13" s="16" t="n"/>
    </row>
    <row r="14">
      <c r="B14" s="17">
        <f>IF($D14="","","ME"&amp;TEXT(ROW()-5,"000"))</f>
        <v/>
      </c>
      <c r="C14" s="18" t="n"/>
      <c r="D14" s="16" t="n"/>
      <c r="E14" s="17">
        <f>IF($D14="","",IFERROR(INDEX(rngCadetPIDs,MATCH($D14,rngCadetNames,0)),"?"))</f>
        <v/>
      </c>
      <c r="F14" s="16" t="n"/>
      <c r="G14" s="16" t="n"/>
      <c r="H14" s="19">
        <f>IF($D14="","",IF($C14="","(enter date)",_xlfn.LET(_xlpm.dn,_xlfn.XLOOKUP($C14,nrCDdate,nrCDnum,"",1),IF(_xlpm.dn="","(after last class day)",_xlfn.LET(_xlpm.dd,_xlfn.XLOOKUP(_xlpm.dn+cfgMemoDueClassDays,nrCDnum,nrCDdate,""),_xlpm.ok,_xlfn.XLOOKUP(_xlpm.dn+cfgMemoDueClassDays,nrCDnum,nrCDinsession,"No"),IF(OR(_xlpm.dd="",_xlpm.ok&lt;&gt;"Yes"),"(after last class day)",_xlpm.dd))))))</f>
        <v/>
      </c>
      <c r="I14" s="18" t="n"/>
      <c r="J14" s="19">
        <f>IF($D14="","",IF($I14&lt;&gt;"",$I14,IF(ISNUMBER($H14),$H14,"")))</f>
        <v/>
      </c>
      <c r="K14" s="18" t="n"/>
      <c r="L14" s="17">
        <f>IF($D14="","",IF($K14&lt;&gt;"","Received "&amp;TEXT($K14,"mm/dd"),IF(ISNUMBER($J14),IF(TODAY()&gt;$J14,"OVERDUE","Pending"),IF($H14="","Pending","CHECK DATE"))))</f>
        <v/>
      </c>
      <c r="M14" s="16" t="n"/>
      <c r="N14" s="16" t="n"/>
    </row>
    <row r="15">
      <c r="B15" s="17">
        <f>IF($D15="","","ME"&amp;TEXT(ROW()-5,"000"))</f>
        <v/>
      </c>
      <c r="C15" s="18" t="n"/>
      <c r="D15" s="16" t="n"/>
      <c r="E15" s="17">
        <f>IF($D15="","",IFERROR(INDEX(rngCadetPIDs,MATCH($D15,rngCadetNames,0)),"?"))</f>
        <v/>
      </c>
      <c r="F15" s="16" t="n"/>
      <c r="G15" s="16" t="n"/>
      <c r="H15" s="19">
        <f>IF($D15="","",IF($C15="","(enter date)",_xlfn.LET(_xlpm.dn,_xlfn.XLOOKUP($C15,nrCDdate,nrCDnum,"",1),IF(_xlpm.dn="","(after last class day)",_xlfn.LET(_xlpm.dd,_xlfn.XLOOKUP(_xlpm.dn+cfgMemoDueClassDays,nrCDnum,nrCDdate,""),_xlpm.ok,_xlfn.XLOOKUP(_xlpm.dn+cfgMemoDueClassDays,nrCDnum,nrCDinsession,"No"),IF(OR(_xlpm.dd="",_xlpm.ok&lt;&gt;"Yes"),"(after last class day)",_xlpm.dd))))))</f>
        <v/>
      </c>
      <c r="I15" s="18" t="n"/>
      <c r="J15" s="19">
        <f>IF($D15="","",IF($I15&lt;&gt;"",$I15,IF(ISNUMBER($H15),$H15,"")))</f>
        <v/>
      </c>
      <c r="K15" s="18" t="n"/>
      <c r="L15" s="17">
        <f>IF($D15="","",IF($K15&lt;&gt;"","Received "&amp;TEXT($K15,"mm/dd"),IF(ISNUMBER($J15),IF(TODAY()&gt;$J15,"OVERDUE","Pending"),IF($H15="","Pending","CHECK DATE"))))</f>
        <v/>
      </c>
      <c r="M15" s="16" t="n"/>
      <c r="N15" s="16" t="n"/>
    </row>
    <row r="16">
      <c r="B16" s="17">
        <f>IF($D16="","","ME"&amp;TEXT(ROW()-5,"000"))</f>
        <v/>
      </c>
      <c r="C16" s="18" t="n"/>
      <c r="D16" s="16" t="n"/>
      <c r="E16" s="17">
        <f>IF($D16="","",IFERROR(INDEX(rngCadetPIDs,MATCH($D16,rngCadetNames,0)),"?"))</f>
        <v/>
      </c>
      <c r="F16" s="16" t="n"/>
      <c r="G16" s="16" t="n"/>
      <c r="H16" s="19">
        <f>IF($D16="","",IF($C16="","(enter date)",_xlfn.LET(_xlpm.dn,_xlfn.XLOOKUP($C16,nrCDdate,nrCDnum,"",1),IF(_xlpm.dn="","(after last class day)",_xlfn.LET(_xlpm.dd,_xlfn.XLOOKUP(_xlpm.dn+cfgMemoDueClassDays,nrCDnum,nrCDdate,""),_xlpm.ok,_xlfn.XLOOKUP(_xlpm.dn+cfgMemoDueClassDays,nrCDnum,nrCDinsession,"No"),IF(OR(_xlpm.dd="",_xlpm.ok&lt;&gt;"Yes"),"(after last class day)",_xlpm.dd))))))</f>
        <v/>
      </c>
      <c r="I16" s="18" t="n"/>
      <c r="J16" s="19">
        <f>IF($D16="","",IF($I16&lt;&gt;"",$I16,IF(ISNUMBER($H16),$H16,"")))</f>
        <v/>
      </c>
      <c r="K16" s="18" t="n"/>
      <c r="L16" s="17">
        <f>IF($D16="","",IF($K16&lt;&gt;"","Received "&amp;TEXT($K16,"mm/dd"),IF(ISNUMBER($J16),IF(TODAY()&gt;$J16,"OVERDUE","Pending"),IF($H16="","Pending","CHECK DATE"))))</f>
        <v/>
      </c>
      <c r="M16" s="16" t="n"/>
      <c r="N16" s="16" t="n"/>
    </row>
    <row r="17">
      <c r="B17" s="17">
        <f>IF($D17="","","ME"&amp;TEXT(ROW()-5,"000"))</f>
        <v/>
      </c>
      <c r="C17" s="18" t="n"/>
      <c r="D17" s="16" t="n"/>
      <c r="E17" s="17">
        <f>IF($D17="","",IFERROR(INDEX(rngCadetPIDs,MATCH($D17,rngCadetNames,0)),"?"))</f>
        <v/>
      </c>
      <c r="F17" s="16" t="n"/>
      <c r="G17" s="16" t="n"/>
      <c r="H17" s="19">
        <f>IF($D17="","",IF($C17="","(enter date)",_xlfn.LET(_xlpm.dn,_xlfn.XLOOKUP($C17,nrCDdate,nrCDnum,"",1),IF(_xlpm.dn="","(after last class day)",_xlfn.LET(_xlpm.dd,_xlfn.XLOOKUP(_xlpm.dn+cfgMemoDueClassDays,nrCDnum,nrCDdate,""),_xlpm.ok,_xlfn.XLOOKUP(_xlpm.dn+cfgMemoDueClassDays,nrCDnum,nrCDinsession,"No"),IF(OR(_xlpm.dd="",_xlpm.ok&lt;&gt;"Yes"),"(after last class day)",_xlpm.dd))))))</f>
        <v/>
      </c>
      <c r="I17" s="18" t="n"/>
      <c r="J17" s="19">
        <f>IF($D17="","",IF($I17&lt;&gt;"",$I17,IF(ISNUMBER($H17),$H17,"")))</f>
        <v/>
      </c>
      <c r="K17" s="18" t="n"/>
      <c r="L17" s="17">
        <f>IF($D17="","",IF($K17&lt;&gt;"","Received "&amp;TEXT($K17,"mm/dd"),IF(ISNUMBER($J17),IF(TODAY()&gt;$J17,"OVERDUE","Pending"),IF($H17="","Pending","CHECK DATE"))))</f>
        <v/>
      </c>
      <c r="M17" s="16" t="n"/>
      <c r="N17" s="16" t="n"/>
    </row>
    <row r="18">
      <c r="B18" s="17">
        <f>IF($D18="","","ME"&amp;TEXT(ROW()-5,"000"))</f>
        <v/>
      </c>
      <c r="C18" s="18" t="n"/>
      <c r="D18" s="16" t="n"/>
      <c r="E18" s="17">
        <f>IF($D18="","",IFERROR(INDEX(rngCadetPIDs,MATCH($D18,rngCadetNames,0)),"?"))</f>
        <v/>
      </c>
      <c r="F18" s="16" t="n"/>
      <c r="G18" s="16" t="n"/>
      <c r="H18" s="19">
        <f>IF($D18="","",IF($C18="","(enter date)",_xlfn.LET(_xlpm.dn,_xlfn.XLOOKUP($C18,nrCDdate,nrCDnum,"",1),IF(_xlpm.dn="","(after last class day)",_xlfn.LET(_xlpm.dd,_xlfn.XLOOKUP(_xlpm.dn+cfgMemoDueClassDays,nrCDnum,nrCDdate,""),_xlpm.ok,_xlfn.XLOOKUP(_xlpm.dn+cfgMemoDueClassDays,nrCDnum,nrCDinsession,"No"),IF(OR(_xlpm.dd="",_xlpm.ok&lt;&gt;"Yes"),"(after last class day)",_xlpm.dd))))))</f>
        <v/>
      </c>
      <c r="I18" s="18" t="n"/>
      <c r="J18" s="19">
        <f>IF($D18="","",IF($I18&lt;&gt;"",$I18,IF(ISNUMBER($H18),$H18,"")))</f>
        <v/>
      </c>
      <c r="K18" s="18" t="n"/>
      <c r="L18" s="17">
        <f>IF($D18="","",IF($K18&lt;&gt;"","Received "&amp;TEXT($K18,"mm/dd"),IF(ISNUMBER($J18),IF(TODAY()&gt;$J18,"OVERDUE","Pending"),IF($H18="","Pending","CHECK DATE"))))</f>
        <v/>
      </c>
      <c r="M18" s="16" t="n"/>
      <c r="N18" s="16" t="n"/>
    </row>
    <row r="19">
      <c r="B19" s="17">
        <f>IF($D19="","","ME"&amp;TEXT(ROW()-5,"000"))</f>
        <v/>
      </c>
      <c r="C19" s="18" t="n"/>
      <c r="D19" s="16" t="n"/>
      <c r="E19" s="17">
        <f>IF($D19="","",IFERROR(INDEX(rngCadetPIDs,MATCH($D19,rngCadetNames,0)),"?"))</f>
        <v/>
      </c>
      <c r="F19" s="16" t="n"/>
      <c r="G19" s="16" t="n"/>
      <c r="H19" s="19">
        <f>IF($D19="","",IF($C19="","(enter date)",_xlfn.LET(_xlpm.dn,_xlfn.XLOOKUP($C19,nrCDdate,nrCDnum,"",1),IF(_xlpm.dn="","(after last class day)",_xlfn.LET(_xlpm.dd,_xlfn.XLOOKUP(_xlpm.dn+cfgMemoDueClassDays,nrCDnum,nrCDdate,""),_xlpm.ok,_xlfn.XLOOKUP(_xlpm.dn+cfgMemoDueClassDays,nrCDnum,nrCDinsession,"No"),IF(OR(_xlpm.dd="",_xlpm.ok&lt;&gt;"Yes"),"(after last class day)",_xlpm.dd))))))</f>
        <v/>
      </c>
      <c r="I19" s="18" t="n"/>
      <c r="J19" s="19">
        <f>IF($D19="","",IF($I19&lt;&gt;"",$I19,IF(ISNUMBER($H19),$H19,"")))</f>
        <v/>
      </c>
      <c r="K19" s="18" t="n"/>
      <c r="L19" s="17">
        <f>IF($D19="","",IF($K19&lt;&gt;"","Received "&amp;TEXT($K19,"mm/dd"),IF(ISNUMBER($J19),IF(TODAY()&gt;$J19,"OVERDUE","Pending"),IF($H19="","Pending","CHECK DATE"))))</f>
        <v/>
      </c>
      <c r="M19" s="16" t="n"/>
      <c r="N19" s="16" t="n"/>
    </row>
    <row r="20">
      <c r="B20" s="17">
        <f>IF($D20="","","ME"&amp;TEXT(ROW()-5,"000"))</f>
        <v/>
      </c>
      <c r="C20" s="18" t="n"/>
      <c r="D20" s="16" t="n"/>
      <c r="E20" s="17">
        <f>IF($D20="","",IFERROR(INDEX(rngCadetPIDs,MATCH($D20,rngCadetNames,0)),"?"))</f>
        <v/>
      </c>
      <c r="F20" s="16" t="n"/>
      <c r="G20" s="16" t="n"/>
      <c r="H20" s="19">
        <f>IF($D20="","",IF($C20="","(enter date)",_xlfn.LET(_xlpm.dn,_xlfn.XLOOKUP($C20,nrCDdate,nrCDnum,"",1),IF(_xlpm.dn="","(after last class day)",_xlfn.LET(_xlpm.dd,_xlfn.XLOOKUP(_xlpm.dn+cfgMemoDueClassDays,nrCDnum,nrCDdate,""),_xlpm.ok,_xlfn.XLOOKUP(_xlpm.dn+cfgMemoDueClassDays,nrCDnum,nrCDinsession,"No"),IF(OR(_xlpm.dd="",_xlpm.ok&lt;&gt;"Yes"),"(after last class day)",_xlpm.dd))))))</f>
        <v/>
      </c>
      <c r="I20" s="18" t="n"/>
      <c r="J20" s="19">
        <f>IF($D20="","",IF($I20&lt;&gt;"",$I20,IF(ISNUMBER($H20),$H20,"")))</f>
        <v/>
      </c>
      <c r="K20" s="18" t="n"/>
      <c r="L20" s="17">
        <f>IF($D20="","",IF($K20&lt;&gt;"","Received "&amp;TEXT($K20,"mm/dd"),IF(ISNUMBER($J20),IF(TODAY()&gt;$J20,"OVERDUE","Pending"),IF($H20="","Pending","CHECK DATE"))))</f>
        <v/>
      </c>
      <c r="M20" s="16" t="n"/>
      <c r="N20" s="16" t="n"/>
    </row>
    <row r="21">
      <c r="B21" s="17">
        <f>IF($D21="","","ME"&amp;TEXT(ROW()-5,"000"))</f>
        <v/>
      </c>
      <c r="C21" s="18" t="n"/>
      <c r="D21" s="16" t="n"/>
      <c r="E21" s="17">
        <f>IF($D21="","",IFERROR(INDEX(rngCadetPIDs,MATCH($D21,rngCadetNames,0)),"?"))</f>
        <v/>
      </c>
      <c r="F21" s="16" t="n"/>
      <c r="G21" s="16" t="n"/>
      <c r="H21" s="19">
        <f>IF($D21="","",IF($C21="","(enter date)",_xlfn.LET(_xlpm.dn,_xlfn.XLOOKUP($C21,nrCDdate,nrCDnum,"",1),IF(_xlpm.dn="","(after last class day)",_xlfn.LET(_xlpm.dd,_xlfn.XLOOKUP(_xlpm.dn+cfgMemoDueClassDays,nrCDnum,nrCDdate,""),_xlpm.ok,_xlfn.XLOOKUP(_xlpm.dn+cfgMemoDueClassDays,nrCDnum,nrCDinsession,"No"),IF(OR(_xlpm.dd="",_xlpm.ok&lt;&gt;"Yes"),"(after last class day)",_xlpm.dd))))))</f>
        <v/>
      </c>
      <c r="I21" s="18" t="n"/>
      <c r="J21" s="19">
        <f>IF($D21="","",IF($I21&lt;&gt;"",$I21,IF(ISNUMBER($H21),$H21,"")))</f>
        <v/>
      </c>
      <c r="K21" s="18" t="n"/>
      <c r="L21" s="17">
        <f>IF($D21="","",IF($K21&lt;&gt;"","Received "&amp;TEXT($K21,"mm/dd"),IF(ISNUMBER($J21),IF(TODAY()&gt;$J21,"OVERDUE","Pending"),IF($H21="","Pending","CHECK DATE"))))</f>
        <v/>
      </c>
      <c r="M21" s="16" t="n"/>
      <c r="N21" s="16" t="n"/>
    </row>
    <row r="22">
      <c r="B22" s="17">
        <f>IF($D22="","","ME"&amp;TEXT(ROW()-5,"000"))</f>
        <v/>
      </c>
      <c r="C22" s="18" t="n"/>
      <c r="D22" s="16" t="n"/>
      <c r="E22" s="17">
        <f>IF($D22="","",IFERROR(INDEX(rngCadetPIDs,MATCH($D22,rngCadetNames,0)),"?"))</f>
        <v/>
      </c>
      <c r="F22" s="16" t="n"/>
      <c r="G22" s="16" t="n"/>
      <c r="H22" s="19">
        <f>IF($D22="","",IF($C22="","(enter date)",_xlfn.LET(_xlpm.dn,_xlfn.XLOOKUP($C22,nrCDdate,nrCDnum,"",1),IF(_xlpm.dn="","(after last class day)",_xlfn.LET(_xlpm.dd,_xlfn.XLOOKUP(_xlpm.dn+cfgMemoDueClassDays,nrCDnum,nrCDdate,""),_xlpm.ok,_xlfn.XLOOKUP(_xlpm.dn+cfgMemoDueClassDays,nrCDnum,nrCDinsession,"No"),IF(OR(_xlpm.dd="",_xlpm.ok&lt;&gt;"Yes"),"(after last class day)",_xlpm.dd))))))</f>
        <v/>
      </c>
      <c r="I22" s="18" t="n"/>
      <c r="J22" s="19">
        <f>IF($D22="","",IF($I22&lt;&gt;"",$I22,IF(ISNUMBER($H22),$H22,"")))</f>
        <v/>
      </c>
      <c r="K22" s="18" t="n"/>
      <c r="L22" s="17">
        <f>IF($D22="","",IF($K22&lt;&gt;"","Received "&amp;TEXT($K22,"mm/dd"),IF(ISNUMBER($J22),IF(TODAY()&gt;$J22,"OVERDUE","Pending"),IF($H22="","Pending","CHECK DATE"))))</f>
        <v/>
      </c>
      <c r="M22" s="16" t="n"/>
      <c r="N22" s="16" t="n"/>
    </row>
    <row r="23">
      <c r="B23" s="17">
        <f>IF($D23="","","ME"&amp;TEXT(ROW()-5,"000"))</f>
        <v/>
      </c>
      <c r="C23" s="18" t="n"/>
      <c r="D23" s="16" t="n"/>
      <c r="E23" s="17">
        <f>IF($D23="","",IFERROR(INDEX(rngCadetPIDs,MATCH($D23,rngCadetNames,0)),"?"))</f>
        <v/>
      </c>
      <c r="F23" s="16" t="n"/>
      <c r="G23" s="16" t="n"/>
      <c r="H23" s="19">
        <f>IF($D23="","",IF($C23="","(enter date)",_xlfn.LET(_xlpm.dn,_xlfn.XLOOKUP($C23,nrCDdate,nrCDnum,"",1),IF(_xlpm.dn="","(after last class day)",_xlfn.LET(_xlpm.dd,_xlfn.XLOOKUP(_xlpm.dn+cfgMemoDueClassDays,nrCDnum,nrCDdate,""),_xlpm.ok,_xlfn.XLOOKUP(_xlpm.dn+cfgMemoDueClassDays,nrCDnum,nrCDinsession,"No"),IF(OR(_xlpm.dd="",_xlpm.ok&lt;&gt;"Yes"),"(after last class day)",_xlpm.dd))))))</f>
        <v/>
      </c>
      <c r="I23" s="18" t="n"/>
      <c r="J23" s="19">
        <f>IF($D23="","",IF($I23&lt;&gt;"",$I23,IF(ISNUMBER($H23),$H23,"")))</f>
        <v/>
      </c>
      <c r="K23" s="18" t="n"/>
      <c r="L23" s="17">
        <f>IF($D23="","",IF($K23&lt;&gt;"","Received "&amp;TEXT($K23,"mm/dd"),IF(ISNUMBER($J23),IF(TODAY()&gt;$J23,"OVERDUE","Pending"),IF($H23="","Pending","CHECK DATE"))))</f>
        <v/>
      </c>
      <c r="M23" s="16" t="n"/>
      <c r="N23" s="16" t="n"/>
    </row>
    <row r="24">
      <c r="B24" s="17">
        <f>IF($D24="","","ME"&amp;TEXT(ROW()-5,"000"))</f>
        <v/>
      </c>
      <c r="C24" s="18" t="n"/>
      <c r="D24" s="16" t="n"/>
      <c r="E24" s="17">
        <f>IF($D24="","",IFERROR(INDEX(rngCadetPIDs,MATCH($D24,rngCadetNames,0)),"?"))</f>
        <v/>
      </c>
      <c r="F24" s="16" t="n"/>
      <c r="G24" s="16" t="n"/>
      <c r="H24" s="19">
        <f>IF($D24="","",IF($C24="","(enter date)",_xlfn.LET(_xlpm.dn,_xlfn.XLOOKUP($C24,nrCDdate,nrCDnum,"",1),IF(_xlpm.dn="","(after last class day)",_xlfn.LET(_xlpm.dd,_xlfn.XLOOKUP(_xlpm.dn+cfgMemoDueClassDays,nrCDnum,nrCDdate,""),_xlpm.ok,_xlfn.XLOOKUP(_xlpm.dn+cfgMemoDueClassDays,nrCDnum,nrCDinsession,"No"),IF(OR(_xlpm.dd="",_xlpm.ok&lt;&gt;"Yes"),"(after last class day)",_xlpm.dd))))))</f>
        <v/>
      </c>
      <c r="I24" s="18" t="n"/>
      <c r="J24" s="19">
        <f>IF($D24="","",IF($I24&lt;&gt;"",$I24,IF(ISNUMBER($H24),$H24,"")))</f>
        <v/>
      </c>
      <c r="K24" s="18" t="n"/>
      <c r="L24" s="17">
        <f>IF($D24="","",IF($K24&lt;&gt;"","Received "&amp;TEXT($K24,"mm/dd"),IF(ISNUMBER($J24),IF(TODAY()&gt;$J24,"OVERDUE","Pending"),IF($H24="","Pending","CHECK DATE"))))</f>
        <v/>
      </c>
      <c r="M24" s="16" t="n"/>
      <c r="N24" s="16" t="n"/>
    </row>
    <row r="25">
      <c r="B25" s="17">
        <f>IF($D25="","","ME"&amp;TEXT(ROW()-5,"000"))</f>
        <v/>
      </c>
      <c r="C25" s="18" t="n"/>
      <c r="D25" s="16" t="n"/>
      <c r="E25" s="17">
        <f>IF($D25="","",IFERROR(INDEX(rngCadetPIDs,MATCH($D25,rngCadetNames,0)),"?"))</f>
        <v/>
      </c>
      <c r="F25" s="16" t="n"/>
      <c r="G25" s="16" t="n"/>
      <c r="H25" s="19">
        <f>IF($D25="","",IF($C25="","(enter date)",_xlfn.LET(_xlpm.dn,_xlfn.XLOOKUP($C25,nrCDdate,nrCDnum,"",1),IF(_xlpm.dn="","(after last class day)",_xlfn.LET(_xlpm.dd,_xlfn.XLOOKUP(_xlpm.dn+cfgMemoDueClassDays,nrCDnum,nrCDdate,""),_xlpm.ok,_xlfn.XLOOKUP(_xlpm.dn+cfgMemoDueClassDays,nrCDnum,nrCDinsession,"No"),IF(OR(_xlpm.dd="",_xlpm.ok&lt;&gt;"Yes"),"(after last class day)",_xlpm.dd))))))</f>
        <v/>
      </c>
      <c r="I25" s="18" t="n"/>
      <c r="J25" s="19">
        <f>IF($D25="","",IF($I25&lt;&gt;"",$I25,IF(ISNUMBER($H25),$H25,"")))</f>
        <v/>
      </c>
      <c r="K25" s="18" t="n"/>
      <c r="L25" s="17">
        <f>IF($D25="","",IF($K25&lt;&gt;"","Received "&amp;TEXT($K25,"mm/dd"),IF(ISNUMBER($J25),IF(TODAY()&gt;$J25,"OVERDUE","Pending"),IF($H25="","Pending","CHECK DATE"))))</f>
        <v/>
      </c>
      <c r="M25" s="16" t="n"/>
      <c r="N25" s="16" t="n"/>
    </row>
    <row r="26">
      <c r="B26" s="17">
        <f>IF($D26="","","ME"&amp;TEXT(ROW()-5,"000"))</f>
        <v/>
      </c>
      <c r="C26" s="18" t="n"/>
      <c r="D26" s="16" t="n"/>
      <c r="E26" s="17">
        <f>IF($D26="","",IFERROR(INDEX(rngCadetPIDs,MATCH($D26,rngCadetNames,0)),"?"))</f>
        <v/>
      </c>
      <c r="F26" s="16" t="n"/>
      <c r="G26" s="16" t="n"/>
      <c r="H26" s="19">
        <f>IF($D26="","",IF($C26="","(enter date)",_xlfn.LET(_xlpm.dn,_xlfn.XLOOKUP($C26,nrCDdate,nrCDnum,"",1),IF(_xlpm.dn="","(after last class day)",_xlfn.LET(_xlpm.dd,_xlfn.XLOOKUP(_xlpm.dn+cfgMemoDueClassDays,nrCDnum,nrCDdate,""),_xlpm.ok,_xlfn.XLOOKUP(_xlpm.dn+cfgMemoDueClassDays,nrCDnum,nrCDinsession,"No"),IF(OR(_xlpm.dd="",_xlpm.ok&lt;&gt;"Yes"),"(after last class day)",_xlpm.dd))))))</f>
        <v/>
      </c>
      <c r="I26" s="18" t="n"/>
      <c r="J26" s="19">
        <f>IF($D26="","",IF($I26&lt;&gt;"",$I26,IF(ISNUMBER($H26),$H26,"")))</f>
        <v/>
      </c>
      <c r="K26" s="18" t="n"/>
      <c r="L26" s="17">
        <f>IF($D26="","",IF($K26&lt;&gt;"","Received "&amp;TEXT($K26,"mm/dd"),IF(ISNUMBER($J26),IF(TODAY()&gt;$J26,"OVERDUE","Pending"),IF($H26="","Pending","CHECK DATE"))))</f>
        <v/>
      </c>
      <c r="M26" s="16" t="n"/>
      <c r="N26" s="16" t="n"/>
    </row>
    <row r="27">
      <c r="B27" s="17">
        <f>IF($D27="","","ME"&amp;TEXT(ROW()-5,"000"))</f>
        <v/>
      </c>
      <c r="C27" s="18" t="n"/>
      <c r="D27" s="16" t="n"/>
      <c r="E27" s="17">
        <f>IF($D27="","",IFERROR(INDEX(rngCadetPIDs,MATCH($D27,rngCadetNames,0)),"?"))</f>
        <v/>
      </c>
      <c r="F27" s="16" t="n"/>
      <c r="G27" s="16" t="n"/>
      <c r="H27" s="19">
        <f>IF($D27="","",IF($C27="","(enter date)",_xlfn.LET(_xlpm.dn,_xlfn.XLOOKUP($C27,nrCDdate,nrCDnum,"",1),IF(_xlpm.dn="","(after last class day)",_xlfn.LET(_xlpm.dd,_xlfn.XLOOKUP(_xlpm.dn+cfgMemoDueClassDays,nrCDnum,nrCDdate,""),_xlpm.ok,_xlfn.XLOOKUP(_xlpm.dn+cfgMemoDueClassDays,nrCDnum,nrCDinsession,"No"),IF(OR(_xlpm.dd="",_xlpm.ok&lt;&gt;"Yes"),"(after last class day)",_xlpm.dd))))))</f>
        <v/>
      </c>
      <c r="I27" s="18" t="n"/>
      <c r="J27" s="19">
        <f>IF($D27="","",IF($I27&lt;&gt;"",$I27,IF(ISNUMBER($H27),$H27,"")))</f>
        <v/>
      </c>
      <c r="K27" s="18" t="n"/>
      <c r="L27" s="17">
        <f>IF($D27="","",IF($K27&lt;&gt;"","Received "&amp;TEXT($K27,"mm/dd"),IF(ISNUMBER($J27),IF(TODAY()&gt;$J27,"OVERDUE","Pending"),IF($H27="","Pending","CHECK DATE"))))</f>
        <v/>
      </c>
      <c r="M27" s="16" t="n"/>
      <c r="N27" s="16" t="n"/>
    </row>
    <row r="28">
      <c r="B28" s="17">
        <f>IF($D28="","","ME"&amp;TEXT(ROW()-5,"000"))</f>
        <v/>
      </c>
      <c r="C28" s="18" t="n"/>
      <c r="D28" s="16" t="n"/>
      <c r="E28" s="17">
        <f>IF($D28="","",IFERROR(INDEX(rngCadetPIDs,MATCH($D28,rngCadetNames,0)),"?"))</f>
        <v/>
      </c>
      <c r="F28" s="16" t="n"/>
      <c r="G28" s="16" t="n"/>
      <c r="H28" s="19">
        <f>IF($D28="","",IF($C28="","(enter date)",_xlfn.LET(_xlpm.dn,_xlfn.XLOOKUP($C28,nrCDdate,nrCDnum,"",1),IF(_xlpm.dn="","(after last class day)",_xlfn.LET(_xlpm.dd,_xlfn.XLOOKUP(_xlpm.dn+cfgMemoDueClassDays,nrCDnum,nrCDdate,""),_xlpm.ok,_xlfn.XLOOKUP(_xlpm.dn+cfgMemoDueClassDays,nrCDnum,nrCDinsession,"No"),IF(OR(_xlpm.dd="",_xlpm.ok&lt;&gt;"Yes"),"(after last class day)",_xlpm.dd))))))</f>
        <v/>
      </c>
      <c r="I28" s="18" t="n"/>
      <c r="J28" s="19">
        <f>IF($D28="","",IF($I28&lt;&gt;"",$I28,IF(ISNUMBER($H28),$H28,"")))</f>
        <v/>
      </c>
      <c r="K28" s="18" t="n"/>
      <c r="L28" s="17">
        <f>IF($D28="","",IF($K28&lt;&gt;"","Received "&amp;TEXT($K28,"mm/dd"),IF(ISNUMBER($J28),IF(TODAY()&gt;$J28,"OVERDUE","Pending"),IF($H28="","Pending","CHECK DATE"))))</f>
        <v/>
      </c>
      <c r="M28" s="16" t="n"/>
      <c r="N28" s="16" t="n"/>
    </row>
    <row r="29">
      <c r="B29" s="17">
        <f>IF($D29="","","ME"&amp;TEXT(ROW()-5,"000"))</f>
        <v/>
      </c>
      <c r="C29" s="18" t="n"/>
      <c r="D29" s="16" t="n"/>
      <c r="E29" s="17">
        <f>IF($D29="","",IFERROR(INDEX(rngCadetPIDs,MATCH($D29,rngCadetNames,0)),"?"))</f>
        <v/>
      </c>
      <c r="F29" s="16" t="n"/>
      <c r="G29" s="16" t="n"/>
      <c r="H29" s="19">
        <f>IF($D29="","",IF($C29="","(enter date)",_xlfn.LET(_xlpm.dn,_xlfn.XLOOKUP($C29,nrCDdate,nrCDnum,"",1),IF(_xlpm.dn="","(after last class day)",_xlfn.LET(_xlpm.dd,_xlfn.XLOOKUP(_xlpm.dn+cfgMemoDueClassDays,nrCDnum,nrCDdate,""),_xlpm.ok,_xlfn.XLOOKUP(_xlpm.dn+cfgMemoDueClassDays,nrCDnum,nrCDinsession,"No"),IF(OR(_xlpm.dd="",_xlpm.ok&lt;&gt;"Yes"),"(after last class day)",_xlpm.dd))))))</f>
        <v/>
      </c>
      <c r="I29" s="18" t="n"/>
      <c r="J29" s="19">
        <f>IF($D29="","",IF($I29&lt;&gt;"",$I29,IF(ISNUMBER($H29),$H29,"")))</f>
        <v/>
      </c>
      <c r="K29" s="18" t="n"/>
      <c r="L29" s="17">
        <f>IF($D29="","",IF($K29&lt;&gt;"","Received "&amp;TEXT($K29,"mm/dd"),IF(ISNUMBER($J29),IF(TODAY()&gt;$J29,"OVERDUE","Pending"),IF($H29="","Pending","CHECK DATE"))))</f>
        <v/>
      </c>
      <c r="M29" s="16" t="n"/>
      <c r="N29" s="16" t="n"/>
    </row>
    <row r="30">
      <c r="B30" s="17">
        <f>IF($D30="","","ME"&amp;TEXT(ROW()-5,"000"))</f>
        <v/>
      </c>
      <c r="C30" s="18" t="n"/>
      <c r="D30" s="16" t="n"/>
      <c r="E30" s="17">
        <f>IF($D30="","",IFERROR(INDEX(rngCadetPIDs,MATCH($D30,rngCadetNames,0)),"?"))</f>
        <v/>
      </c>
      <c r="F30" s="16" t="n"/>
      <c r="G30" s="16" t="n"/>
      <c r="H30" s="19">
        <f>IF($D30="","",IF($C30="","(enter date)",_xlfn.LET(_xlpm.dn,_xlfn.XLOOKUP($C30,nrCDdate,nrCDnum,"",1),IF(_xlpm.dn="","(after last class day)",_xlfn.LET(_xlpm.dd,_xlfn.XLOOKUP(_xlpm.dn+cfgMemoDueClassDays,nrCDnum,nrCDdate,""),_xlpm.ok,_xlfn.XLOOKUP(_xlpm.dn+cfgMemoDueClassDays,nrCDnum,nrCDinsession,"No"),IF(OR(_xlpm.dd="",_xlpm.ok&lt;&gt;"Yes"),"(after last class day)",_xlpm.dd))))))</f>
        <v/>
      </c>
      <c r="I30" s="18" t="n"/>
      <c r="J30" s="19">
        <f>IF($D30="","",IF($I30&lt;&gt;"",$I30,IF(ISNUMBER($H30),$H30,"")))</f>
        <v/>
      </c>
      <c r="K30" s="18" t="n"/>
      <c r="L30" s="17">
        <f>IF($D30="","",IF($K30&lt;&gt;"","Received "&amp;TEXT($K30,"mm/dd"),IF(ISNUMBER($J30),IF(TODAY()&gt;$J30,"OVERDUE","Pending"),IF($H30="","Pending","CHECK DATE"))))</f>
        <v/>
      </c>
      <c r="M30" s="16" t="n"/>
      <c r="N30" s="16" t="n"/>
    </row>
    <row r="31">
      <c r="B31" s="17">
        <f>IF($D31="","","ME"&amp;TEXT(ROW()-5,"000"))</f>
        <v/>
      </c>
      <c r="C31" s="18" t="n"/>
      <c r="D31" s="16" t="n"/>
      <c r="E31" s="17">
        <f>IF($D31="","",IFERROR(INDEX(rngCadetPIDs,MATCH($D31,rngCadetNames,0)),"?"))</f>
        <v/>
      </c>
      <c r="F31" s="16" t="n"/>
      <c r="G31" s="16" t="n"/>
      <c r="H31" s="19">
        <f>IF($D31="","",IF($C31="","(enter date)",_xlfn.LET(_xlpm.dn,_xlfn.XLOOKUP($C31,nrCDdate,nrCDnum,"",1),IF(_xlpm.dn="","(after last class day)",_xlfn.LET(_xlpm.dd,_xlfn.XLOOKUP(_xlpm.dn+cfgMemoDueClassDays,nrCDnum,nrCDdate,""),_xlpm.ok,_xlfn.XLOOKUP(_xlpm.dn+cfgMemoDueClassDays,nrCDnum,nrCDinsession,"No"),IF(OR(_xlpm.dd="",_xlpm.ok&lt;&gt;"Yes"),"(after last class day)",_xlpm.dd))))))</f>
        <v/>
      </c>
      <c r="I31" s="18" t="n"/>
      <c r="J31" s="19">
        <f>IF($D31="","",IF($I31&lt;&gt;"",$I31,IF(ISNUMBER($H31),$H31,"")))</f>
        <v/>
      </c>
      <c r="K31" s="18" t="n"/>
      <c r="L31" s="17">
        <f>IF($D31="","",IF($K31&lt;&gt;"","Received "&amp;TEXT($K31,"mm/dd"),IF(ISNUMBER($J31),IF(TODAY()&gt;$J31,"OVERDUE","Pending"),IF($H31="","Pending","CHECK DATE"))))</f>
        <v/>
      </c>
      <c r="M31" s="16" t="n"/>
      <c r="N31" s="16" t="n"/>
    </row>
    <row r="32">
      <c r="B32" s="17">
        <f>IF($D32="","","ME"&amp;TEXT(ROW()-5,"000"))</f>
        <v/>
      </c>
      <c r="C32" s="18" t="n"/>
      <c r="D32" s="16" t="n"/>
      <c r="E32" s="17">
        <f>IF($D32="","",IFERROR(INDEX(rngCadetPIDs,MATCH($D32,rngCadetNames,0)),"?"))</f>
        <v/>
      </c>
      <c r="F32" s="16" t="n"/>
      <c r="G32" s="16" t="n"/>
      <c r="H32" s="19">
        <f>IF($D32="","",IF($C32="","(enter date)",_xlfn.LET(_xlpm.dn,_xlfn.XLOOKUP($C32,nrCDdate,nrCDnum,"",1),IF(_xlpm.dn="","(after last class day)",_xlfn.LET(_xlpm.dd,_xlfn.XLOOKUP(_xlpm.dn+cfgMemoDueClassDays,nrCDnum,nrCDdate,""),_xlpm.ok,_xlfn.XLOOKUP(_xlpm.dn+cfgMemoDueClassDays,nrCDnum,nrCDinsession,"No"),IF(OR(_xlpm.dd="",_xlpm.ok&lt;&gt;"Yes"),"(after last class day)",_xlpm.dd))))))</f>
        <v/>
      </c>
      <c r="I32" s="18" t="n"/>
      <c r="J32" s="19">
        <f>IF($D32="","",IF($I32&lt;&gt;"",$I32,IF(ISNUMBER($H32),$H32,"")))</f>
        <v/>
      </c>
      <c r="K32" s="18" t="n"/>
      <c r="L32" s="17">
        <f>IF($D32="","",IF($K32&lt;&gt;"","Received "&amp;TEXT($K32,"mm/dd"),IF(ISNUMBER($J32),IF(TODAY()&gt;$J32,"OVERDUE","Pending"),IF($H32="","Pending","CHECK DATE"))))</f>
        <v/>
      </c>
      <c r="M32" s="16" t="n"/>
      <c r="N32" s="16" t="n"/>
    </row>
    <row r="33">
      <c r="B33" s="17">
        <f>IF($D33="","","ME"&amp;TEXT(ROW()-5,"000"))</f>
        <v/>
      </c>
      <c r="C33" s="18" t="n"/>
      <c r="D33" s="16" t="n"/>
      <c r="E33" s="17">
        <f>IF($D33="","",IFERROR(INDEX(rngCadetPIDs,MATCH($D33,rngCadetNames,0)),"?"))</f>
        <v/>
      </c>
      <c r="F33" s="16" t="n"/>
      <c r="G33" s="16" t="n"/>
      <c r="H33" s="19">
        <f>IF($D33="","",IF($C33="","(enter date)",_xlfn.LET(_xlpm.dn,_xlfn.XLOOKUP($C33,nrCDdate,nrCDnum,"",1),IF(_xlpm.dn="","(after last class day)",_xlfn.LET(_xlpm.dd,_xlfn.XLOOKUP(_xlpm.dn+cfgMemoDueClassDays,nrCDnum,nrCDdate,""),_xlpm.ok,_xlfn.XLOOKUP(_xlpm.dn+cfgMemoDueClassDays,nrCDnum,nrCDinsession,"No"),IF(OR(_xlpm.dd="",_xlpm.ok&lt;&gt;"Yes"),"(after last class day)",_xlpm.dd))))))</f>
        <v/>
      </c>
      <c r="I33" s="18" t="n"/>
      <c r="J33" s="19">
        <f>IF($D33="","",IF($I33&lt;&gt;"",$I33,IF(ISNUMBER($H33),$H33,"")))</f>
        <v/>
      </c>
      <c r="K33" s="18" t="n"/>
      <c r="L33" s="17">
        <f>IF($D33="","",IF($K33&lt;&gt;"","Received "&amp;TEXT($K33,"mm/dd"),IF(ISNUMBER($J33),IF(TODAY()&gt;$J33,"OVERDUE","Pending"),IF($H33="","Pending","CHECK DATE"))))</f>
        <v/>
      </c>
      <c r="M33" s="16" t="n"/>
      <c r="N33" s="16" t="n"/>
    </row>
    <row r="34">
      <c r="B34" s="17">
        <f>IF($D34="","","ME"&amp;TEXT(ROW()-5,"000"))</f>
        <v/>
      </c>
      <c r="C34" s="18" t="n"/>
      <c r="D34" s="16" t="n"/>
      <c r="E34" s="17">
        <f>IF($D34="","",IFERROR(INDEX(rngCadetPIDs,MATCH($D34,rngCadetNames,0)),"?"))</f>
        <v/>
      </c>
      <c r="F34" s="16" t="n"/>
      <c r="G34" s="16" t="n"/>
      <c r="H34" s="19">
        <f>IF($D34="","",IF($C34="","(enter date)",_xlfn.LET(_xlpm.dn,_xlfn.XLOOKUP($C34,nrCDdate,nrCDnum,"",1),IF(_xlpm.dn="","(after last class day)",_xlfn.LET(_xlpm.dd,_xlfn.XLOOKUP(_xlpm.dn+cfgMemoDueClassDays,nrCDnum,nrCDdate,""),_xlpm.ok,_xlfn.XLOOKUP(_xlpm.dn+cfgMemoDueClassDays,nrCDnum,nrCDinsession,"No"),IF(OR(_xlpm.dd="",_xlpm.ok&lt;&gt;"Yes"),"(after last class day)",_xlpm.dd))))))</f>
        <v/>
      </c>
      <c r="I34" s="18" t="n"/>
      <c r="J34" s="19">
        <f>IF($D34="","",IF($I34&lt;&gt;"",$I34,IF(ISNUMBER($H34),$H34,"")))</f>
        <v/>
      </c>
      <c r="K34" s="18" t="n"/>
      <c r="L34" s="17">
        <f>IF($D34="","",IF($K34&lt;&gt;"","Received "&amp;TEXT($K34,"mm/dd"),IF(ISNUMBER($J34),IF(TODAY()&gt;$J34,"OVERDUE","Pending"),IF($H34="","Pending","CHECK DATE"))))</f>
        <v/>
      </c>
      <c r="M34" s="16" t="n"/>
      <c r="N34" s="16" t="n"/>
    </row>
    <row r="35">
      <c r="B35" s="17">
        <f>IF($D35="","","ME"&amp;TEXT(ROW()-5,"000"))</f>
        <v/>
      </c>
      <c r="C35" s="18" t="n"/>
      <c r="D35" s="16" t="n"/>
      <c r="E35" s="17">
        <f>IF($D35="","",IFERROR(INDEX(rngCadetPIDs,MATCH($D35,rngCadetNames,0)),"?"))</f>
        <v/>
      </c>
      <c r="F35" s="16" t="n"/>
      <c r="G35" s="16" t="n"/>
      <c r="H35" s="19">
        <f>IF($D35="","",IF($C35="","(enter date)",_xlfn.LET(_xlpm.dn,_xlfn.XLOOKUP($C35,nrCDdate,nrCDnum,"",1),IF(_xlpm.dn="","(after last class day)",_xlfn.LET(_xlpm.dd,_xlfn.XLOOKUP(_xlpm.dn+cfgMemoDueClassDays,nrCDnum,nrCDdate,""),_xlpm.ok,_xlfn.XLOOKUP(_xlpm.dn+cfgMemoDueClassDays,nrCDnum,nrCDinsession,"No"),IF(OR(_xlpm.dd="",_xlpm.ok&lt;&gt;"Yes"),"(after last class day)",_xlpm.dd))))))</f>
        <v/>
      </c>
      <c r="I35" s="18" t="n"/>
      <c r="J35" s="19">
        <f>IF($D35="","",IF($I35&lt;&gt;"",$I35,IF(ISNUMBER($H35),$H35,"")))</f>
        <v/>
      </c>
      <c r="K35" s="18" t="n"/>
      <c r="L35" s="17">
        <f>IF($D35="","",IF($K35&lt;&gt;"","Received "&amp;TEXT($K35,"mm/dd"),IF(ISNUMBER($J35),IF(TODAY()&gt;$J35,"OVERDUE","Pending"),IF($H35="","Pending","CHECK DATE"))))</f>
        <v/>
      </c>
      <c r="M35" s="16" t="n"/>
      <c r="N35" s="16" t="n"/>
    </row>
    <row r="36">
      <c r="B36" s="17">
        <f>IF($D36="","","ME"&amp;TEXT(ROW()-5,"000"))</f>
        <v/>
      </c>
      <c r="C36" s="18" t="n"/>
      <c r="D36" s="16" t="n"/>
      <c r="E36" s="17">
        <f>IF($D36="","",IFERROR(INDEX(rngCadetPIDs,MATCH($D36,rngCadetNames,0)),"?"))</f>
        <v/>
      </c>
      <c r="F36" s="16" t="n"/>
      <c r="G36" s="16" t="n"/>
      <c r="H36" s="19">
        <f>IF($D36="","",IF($C36="","(enter date)",_xlfn.LET(_xlpm.dn,_xlfn.XLOOKUP($C36,nrCDdate,nrCDnum,"",1),IF(_xlpm.dn="","(after last class day)",_xlfn.LET(_xlpm.dd,_xlfn.XLOOKUP(_xlpm.dn+cfgMemoDueClassDays,nrCDnum,nrCDdate,""),_xlpm.ok,_xlfn.XLOOKUP(_xlpm.dn+cfgMemoDueClassDays,nrCDnum,nrCDinsession,"No"),IF(OR(_xlpm.dd="",_xlpm.ok&lt;&gt;"Yes"),"(after last class day)",_xlpm.dd))))))</f>
        <v/>
      </c>
      <c r="I36" s="18" t="n"/>
      <c r="J36" s="19">
        <f>IF($D36="","",IF($I36&lt;&gt;"",$I36,IF(ISNUMBER($H36),$H36,"")))</f>
        <v/>
      </c>
      <c r="K36" s="18" t="n"/>
      <c r="L36" s="17">
        <f>IF($D36="","",IF($K36&lt;&gt;"","Received "&amp;TEXT($K36,"mm/dd"),IF(ISNUMBER($J36),IF(TODAY()&gt;$J36,"OVERDUE","Pending"),IF($H36="","Pending","CHECK DATE"))))</f>
        <v/>
      </c>
      <c r="M36" s="16" t="n"/>
      <c r="N36" s="16" t="n"/>
    </row>
    <row r="37">
      <c r="B37" s="17">
        <f>IF($D37="","","ME"&amp;TEXT(ROW()-5,"000"))</f>
        <v/>
      </c>
      <c r="C37" s="18" t="n"/>
      <c r="D37" s="16" t="n"/>
      <c r="E37" s="17">
        <f>IF($D37="","",IFERROR(INDEX(rngCadetPIDs,MATCH($D37,rngCadetNames,0)),"?"))</f>
        <v/>
      </c>
      <c r="F37" s="16" t="n"/>
      <c r="G37" s="16" t="n"/>
      <c r="H37" s="19">
        <f>IF($D37="","",IF($C37="","(enter date)",_xlfn.LET(_xlpm.dn,_xlfn.XLOOKUP($C37,nrCDdate,nrCDnum,"",1),IF(_xlpm.dn="","(after last class day)",_xlfn.LET(_xlpm.dd,_xlfn.XLOOKUP(_xlpm.dn+cfgMemoDueClassDays,nrCDnum,nrCDdate,""),_xlpm.ok,_xlfn.XLOOKUP(_xlpm.dn+cfgMemoDueClassDays,nrCDnum,nrCDinsession,"No"),IF(OR(_xlpm.dd="",_xlpm.ok&lt;&gt;"Yes"),"(after last class day)",_xlpm.dd))))))</f>
        <v/>
      </c>
      <c r="I37" s="18" t="n"/>
      <c r="J37" s="19">
        <f>IF($D37="","",IF($I37&lt;&gt;"",$I37,IF(ISNUMBER($H37),$H37,"")))</f>
        <v/>
      </c>
      <c r="K37" s="18" t="n"/>
      <c r="L37" s="17">
        <f>IF($D37="","",IF($K37&lt;&gt;"","Received "&amp;TEXT($K37,"mm/dd"),IF(ISNUMBER($J37),IF(TODAY()&gt;$J37,"OVERDUE","Pending"),IF($H37="","Pending","CHECK DATE"))))</f>
        <v/>
      </c>
      <c r="M37" s="16" t="n"/>
      <c r="N37" s="16" t="n"/>
    </row>
    <row r="38">
      <c r="B38" s="17">
        <f>IF($D38="","","ME"&amp;TEXT(ROW()-5,"000"))</f>
        <v/>
      </c>
      <c r="C38" s="18" t="n"/>
      <c r="D38" s="16" t="n"/>
      <c r="E38" s="17">
        <f>IF($D38="","",IFERROR(INDEX(rngCadetPIDs,MATCH($D38,rngCadetNames,0)),"?"))</f>
        <v/>
      </c>
      <c r="F38" s="16" t="n"/>
      <c r="G38" s="16" t="n"/>
      <c r="H38" s="19">
        <f>IF($D38="","",IF($C38="","(enter date)",_xlfn.LET(_xlpm.dn,_xlfn.XLOOKUP($C38,nrCDdate,nrCDnum,"",1),IF(_xlpm.dn="","(after last class day)",_xlfn.LET(_xlpm.dd,_xlfn.XLOOKUP(_xlpm.dn+cfgMemoDueClassDays,nrCDnum,nrCDdate,""),_xlpm.ok,_xlfn.XLOOKUP(_xlpm.dn+cfgMemoDueClassDays,nrCDnum,nrCDinsession,"No"),IF(OR(_xlpm.dd="",_xlpm.ok&lt;&gt;"Yes"),"(after last class day)",_xlpm.dd))))))</f>
        <v/>
      </c>
      <c r="I38" s="18" t="n"/>
      <c r="J38" s="19">
        <f>IF($D38="","",IF($I38&lt;&gt;"",$I38,IF(ISNUMBER($H38),$H38,"")))</f>
        <v/>
      </c>
      <c r="K38" s="18" t="n"/>
      <c r="L38" s="17">
        <f>IF($D38="","",IF($K38&lt;&gt;"","Received "&amp;TEXT($K38,"mm/dd"),IF(ISNUMBER($J38),IF(TODAY()&gt;$J38,"OVERDUE","Pending"),IF($H38="","Pending","CHECK DATE"))))</f>
        <v/>
      </c>
      <c r="M38" s="16" t="n"/>
      <c r="N38" s="16" t="n"/>
    </row>
    <row r="39">
      <c r="B39" s="17">
        <f>IF($D39="","","ME"&amp;TEXT(ROW()-5,"000"))</f>
        <v/>
      </c>
      <c r="C39" s="18" t="n"/>
      <c r="D39" s="16" t="n"/>
      <c r="E39" s="17">
        <f>IF($D39="","",IFERROR(INDEX(rngCadetPIDs,MATCH($D39,rngCadetNames,0)),"?"))</f>
        <v/>
      </c>
      <c r="F39" s="16" t="n"/>
      <c r="G39" s="16" t="n"/>
      <c r="H39" s="19">
        <f>IF($D39="","",IF($C39="","(enter date)",_xlfn.LET(_xlpm.dn,_xlfn.XLOOKUP($C39,nrCDdate,nrCDnum,"",1),IF(_xlpm.dn="","(after last class day)",_xlfn.LET(_xlpm.dd,_xlfn.XLOOKUP(_xlpm.dn+cfgMemoDueClassDays,nrCDnum,nrCDdate,""),_xlpm.ok,_xlfn.XLOOKUP(_xlpm.dn+cfgMemoDueClassDays,nrCDnum,nrCDinsession,"No"),IF(OR(_xlpm.dd="",_xlpm.ok&lt;&gt;"Yes"),"(after last class day)",_xlpm.dd))))))</f>
        <v/>
      </c>
      <c r="I39" s="18" t="n"/>
      <c r="J39" s="19">
        <f>IF($D39="","",IF($I39&lt;&gt;"",$I39,IF(ISNUMBER($H39),$H39,"")))</f>
        <v/>
      </c>
      <c r="K39" s="18" t="n"/>
      <c r="L39" s="17">
        <f>IF($D39="","",IF($K39&lt;&gt;"","Received "&amp;TEXT($K39,"mm/dd"),IF(ISNUMBER($J39),IF(TODAY()&gt;$J39,"OVERDUE","Pending"),IF($H39="","Pending","CHECK DATE"))))</f>
        <v/>
      </c>
      <c r="M39" s="16" t="n"/>
      <c r="N39" s="16" t="n"/>
    </row>
    <row r="40">
      <c r="B40" s="17">
        <f>IF($D40="","","ME"&amp;TEXT(ROW()-5,"000"))</f>
        <v/>
      </c>
      <c r="C40" s="18" t="n"/>
      <c r="D40" s="16" t="n"/>
      <c r="E40" s="17">
        <f>IF($D40="","",IFERROR(INDEX(rngCadetPIDs,MATCH($D40,rngCadetNames,0)),"?"))</f>
        <v/>
      </c>
      <c r="F40" s="16" t="n"/>
      <c r="G40" s="16" t="n"/>
      <c r="H40" s="19">
        <f>IF($D40="","",IF($C40="","(enter date)",_xlfn.LET(_xlpm.dn,_xlfn.XLOOKUP($C40,nrCDdate,nrCDnum,"",1),IF(_xlpm.dn="","(after last class day)",_xlfn.LET(_xlpm.dd,_xlfn.XLOOKUP(_xlpm.dn+cfgMemoDueClassDays,nrCDnum,nrCDdate,""),_xlpm.ok,_xlfn.XLOOKUP(_xlpm.dn+cfgMemoDueClassDays,nrCDnum,nrCDinsession,"No"),IF(OR(_xlpm.dd="",_xlpm.ok&lt;&gt;"Yes"),"(after last class day)",_xlpm.dd))))))</f>
        <v/>
      </c>
      <c r="I40" s="18" t="n"/>
      <c r="J40" s="19">
        <f>IF($D40="","",IF($I40&lt;&gt;"",$I40,IF(ISNUMBER($H40),$H40,"")))</f>
        <v/>
      </c>
      <c r="K40" s="18" t="n"/>
      <c r="L40" s="17">
        <f>IF($D40="","",IF($K40&lt;&gt;"","Received "&amp;TEXT($K40,"mm/dd"),IF(ISNUMBER($J40),IF(TODAY()&gt;$J40,"OVERDUE","Pending"),IF($H40="","Pending","CHECK DATE"))))</f>
        <v/>
      </c>
      <c r="M40" s="16" t="n"/>
      <c r="N40" s="16" t="n"/>
    </row>
    <row r="41">
      <c r="B41" s="17">
        <f>IF($D41="","","ME"&amp;TEXT(ROW()-5,"000"))</f>
        <v/>
      </c>
      <c r="C41" s="18" t="n"/>
      <c r="D41" s="16" t="n"/>
      <c r="E41" s="17">
        <f>IF($D41="","",IFERROR(INDEX(rngCadetPIDs,MATCH($D41,rngCadetNames,0)),"?"))</f>
        <v/>
      </c>
      <c r="F41" s="16" t="n"/>
      <c r="G41" s="16" t="n"/>
      <c r="H41" s="19">
        <f>IF($D41="","",IF($C41="","(enter date)",_xlfn.LET(_xlpm.dn,_xlfn.XLOOKUP($C41,nrCDdate,nrCDnum,"",1),IF(_xlpm.dn="","(after last class day)",_xlfn.LET(_xlpm.dd,_xlfn.XLOOKUP(_xlpm.dn+cfgMemoDueClassDays,nrCDnum,nrCDdate,""),_xlpm.ok,_xlfn.XLOOKUP(_xlpm.dn+cfgMemoDueClassDays,nrCDnum,nrCDinsession,"No"),IF(OR(_xlpm.dd="",_xlpm.ok&lt;&gt;"Yes"),"(after last class day)",_xlpm.dd))))))</f>
        <v/>
      </c>
      <c r="I41" s="18" t="n"/>
      <c r="J41" s="19">
        <f>IF($D41="","",IF($I41&lt;&gt;"",$I41,IF(ISNUMBER($H41),$H41,"")))</f>
        <v/>
      </c>
      <c r="K41" s="18" t="n"/>
      <c r="L41" s="17">
        <f>IF($D41="","",IF($K41&lt;&gt;"","Received "&amp;TEXT($K41,"mm/dd"),IF(ISNUMBER($J41),IF(TODAY()&gt;$J41,"OVERDUE","Pending"),IF($H41="","Pending","CHECK DATE"))))</f>
        <v/>
      </c>
      <c r="M41" s="16" t="n"/>
      <c r="N41" s="16" t="n"/>
    </row>
    <row r="42">
      <c r="B42" s="17">
        <f>IF($D42="","","ME"&amp;TEXT(ROW()-5,"000"))</f>
        <v/>
      </c>
      <c r="C42" s="18" t="n"/>
      <c r="D42" s="16" t="n"/>
      <c r="E42" s="17">
        <f>IF($D42="","",IFERROR(INDEX(rngCadetPIDs,MATCH($D42,rngCadetNames,0)),"?"))</f>
        <v/>
      </c>
      <c r="F42" s="16" t="n"/>
      <c r="G42" s="16" t="n"/>
      <c r="H42" s="19">
        <f>IF($D42="","",IF($C42="","(enter date)",_xlfn.LET(_xlpm.dn,_xlfn.XLOOKUP($C42,nrCDdate,nrCDnum,"",1),IF(_xlpm.dn="","(after last class day)",_xlfn.LET(_xlpm.dd,_xlfn.XLOOKUP(_xlpm.dn+cfgMemoDueClassDays,nrCDnum,nrCDdate,""),_xlpm.ok,_xlfn.XLOOKUP(_xlpm.dn+cfgMemoDueClassDays,nrCDnum,nrCDinsession,"No"),IF(OR(_xlpm.dd="",_xlpm.ok&lt;&gt;"Yes"),"(after last class day)",_xlpm.dd))))))</f>
        <v/>
      </c>
      <c r="I42" s="18" t="n"/>
      <c r="J42" s="19">
        <f>IF($D42="","",IF($I42&lt;&gt;"",$I42,IF(ISNUMBER($H42),$H42,"")))</f>
        <v/>
      </c>
      <c r="K42" s="18" t="n"/>
      <c r="L42" s="17">
        <f>IF($D42="","",IF($K42&lt;&gt;"","Received "&amp;TEXT($K42,"mm/dd"),IF(ISNUMBER($J42),IF(TODAY()&gt;$J42,"OVERDUE","Pending"),IF($H42="","Pending","CHECK DATE"))))</f>
        <v/>
      </c>
      <c r="M42" s="16" t="n"/>
      <c r="N42" s="16" t="n"/>
    </row>
    <row r="43">
      <c r="B43" s="17">
        <f>IF($D43="","","ME"&amp;TEXT(ROW()-5,"000"))</f>
        <v/>
      </c>
      <c r="C43" s="18" t="n"/>
      <c r="D43" s="16" t="n"/>
      <c r="E43" s="17">
        <f>IF($D43="","",IFERROR(INDEX(rngCadetPIDs,MATCH($D43,rngCadetNames,0)),"?"))</f>
        <v/>
      </c>
      <c r="F43" s="16" t="n"/>
      <c r="G43" s="16" t="n"/>
      <c r="H43" s="19">
        <f>IF($D43="","",IF($C43="","(enter date)",_xlfn.LET(_xlpm.dn,_xlfn.XLOOKUP($C43,nrCDdate,nrCDnum,"",1),IF(_xlpm.dn="","(after last class day)",_xlfn.LET(_xlpm.dd,_xlfn.XLOOKUP(_xlpm.dn+cfgMemoDueClassDays,nrCDnum,nrCDdate,""),_xlpm.ok,_xlfn.XLOOKUP(_xlpm.dn+cfgMemoDueClassDays,nrCDnum,nrCDinsession,"No"),IF(OR(_xlpm.dd="",_xlpm.ok&lt;&gt;"Yes"),"(after last class day)",_xlpm.dd))))))</f>
        <v/>
      </c>
      <c r="I43" s="18" t="n"/>
      <c r="J43" s="19">
        <f>IF($D43="","",IF($I43&lt;&gt;"",$I43,IF(ISNUMBER($H43),$H43,"")))</f>
        <v/>
      </c>
      <c r="K43" s="18" t="n"/>
      <c r="L43" s="17">
        <f>IF($D43="","",IF($K43&lt;&gt;"","Received "&amp;TEXT($K43,"mm/dd"),IF(ISNUMBER($J43),IF(TODAY()&gt;$J43,"OVERDUE","Pending"),IF($H43="","Pending","CHECK DATE"))))</f>
        <v/>
      </c>
      <c r="M43" s="16" t="n"/>
      <c r="N43" s="16" t="n"/>
    </row>
    <row r="44">
      <c r="B44" s="17">
        <f>IF($D44="","","ME"&amp;TEXT(ROW()-5,"000"))</f>
        <v/>
      </c>
      <c r="C44" s="18" t="n"/>
      <c r="D44" s="16" t="n"/>
      <c r="E44" s="17">
        <f>IF($D44="","",IFERROR(INDEX(rngCadetPIDs,MATCH($D44,rngCadetNames,0)),"?"))</f>
        <v/>
      </c>
      <c r="F44" s="16" t="n"/>
      <c r="G44" s="16" t="n"/>
      <c r="H44" s="19">
        <f>IF($D44="","",IF($C44="","(enter date)",_xlfn.LET(_xlpm.dn,_xlfn.XLOOKUP($C44,nrCDdate,nrCDnum,"",1),IF(_xlpm.dn="","(after last class day)",_xlfn.LET(_xlpm.dd,_xlfn.XLOOKUP(_xlpm.dn+cfgMemoDueClassDays,nrCDnum,nrCDdate,""),_xlpm.ok,_xlfn.XLOOKUP(_xlpm.dn+cfgMemoDueClassDays,nrCDnum,nrCDinsession,"No"),IF(OR(_xlpm.dd="",_xlpm.ok&lt;&gt;"Yes"),"(after last class day)",_xlpm.dd))))))</f>
        <v/>
      </c>
      <c r="I44" s="18" t="n"/>
      <c r="J44" s="19">
        <f>IF($D44="","",IF($I44&lt;&gt;"",$I44,IF(ISNUMBER($H44),$H44,"")))</f>
        <v/>
      </c>
      <c r="K44" s="18" t="n"/>
      <c r="L44" s="17">
        <f>IF($D44="","",IF($K44&lt;&gt;"","Received "&amp;TEXT($K44,"mm/dd"),IF(ISNUMBER($J44),IF(TODAY()&gt;$J44,"OVERDUE","Pending"),IF($H44="","Pending","CHECK DATE"))))</f>
        <v/>
      </c>
      <c r="M44" s="16" t="n"/>
      <c r="N44" s="16" t="n"/>
    </row>
    <row r="45">
      <c r="B45" s="17">
        <f>IF($D45="","","ME"&amp;TEXT(ROW()-5,"000"))</f>
        <v/>
      </c>
      <c r="C45" s="18" t="n"/>
      <c r="D45" s="16" t="n"/>
      <c r="E45" s="17">
        <f>IF($D45="","",IFERROR(INDEX(rngCadetPIDs,MATCH($D45,rngCadetNames,0)),"?"))</f>
        <v/>
      </c>
      <c r="F45" s="16" t="n"/>
      <c r="G45" s="16" t="n"/>
      <c r="H45" s="19">
        <f>IF($D45="","",IF($C45="","(enter date)",_xlfn.LET(_xlpm.dn,_xlfn.XLOOKUP($C45,nrCDdate,nrCDnum,"",1),IF(_xlpm.dn="","(after last class day)",_xlfn.LET(_xlpm.dd,_xlfn.XLOOKUP(_xlpm.dn+cfgMemoDueClassDays,nrCDnum,nrCDdate,""),_xlpm.ok,_xlfn.XLOOKUP(_xlpm.dn+cfgMemoDueClassDays,nrCDnum,nrCDinsession,"No"),IF(OR(_xlpm.dd="",_xlpm.ok&lt;&gt;"Yes"),"(after last class day)",_xlpm.dd))))))</f>
        <v/>
      </c>
      <c r="I45" s="18" t="n"/>
      <c r="J45" s="19">
        <f>IF($D45="","",IF($I45&lt;&gt;"",$I45,IF(ISNUMBER($H45),$H45,"")))</f>
        <v/>
      </c>
      <c r="K45" s="18" t="n"/>
      <c r="L45" s="17">
        <f>IF($D45="","",IF($K45&lt;&gt;"","Received "&amp;TEXT($K45,"mm/dd"),IF(ISNUMBER($J45),IF(TODAY()&gt;$J45,"OVERDUE","Pending"),IF($H45="","Pending","CHECK DATE"))))</f>
        <v/>
      </c>
      <c r="M45" s="16" t="n"/>
      <c r="N45" s="16" t="n"/>
    </row>
    <row r="46">
      <c r="B46" s="17">
        <f>IF($D46="","","ME"&amp;TEXT(ROW()-5,"000"))</f>
        <v/>
      </c>
      <c r="C46" s="18" t="n"/>
      <c r="D46" s="16" t="n"/>
      <c r="E46" s="17">
        <f>IF($D46="","",IFERROR(INDEX(rngCadetPIDs,MATCH($D46,rngCadetNames,0)),"?"))</f>
        <v/>
      </c>
      <c r="F46" s="16" t="n"/>
      <c r="G46" s="16" t="n"/>
      <c r="H46" s="19">
        <f>IF($D46="","",IF($C46="","(enter date)",_xlfn.LET(_xlpm.dn,_xlfn.XLOOKUP($C46,nrCDdate,nrCDnum,"",1),IF(_xlpm.dn="","(after last class day)",_xlfn.LET(_xlpm.dd,_xlfn.XLOOKUP(_xlpm.dn+cfgMemoDueClassDays,nrCDnum,nrCDdate,""),_xlpm.ok,_xlfn.XLOOKUP(_xlpm.dn+cfgMemoDueClassDays,nrCDnum,nrCDinsession,"No"),IF(OR(_xlpm.dd="",_xlpm.ok&lt;&gt;"Yes"),"(after last class day)",_xlpm.dd))))))</f>
        <v/>
      </c>
      <c r="I46" s="18" t="n"/>
      <c r="J46" s="19">
        <f>IF($D46="","",IF($I46&lt;&gt;"",$I46,IF(ISNUMBER($H46),$H46,"")))</f>
        <v/>
      </c>
      <c r="K46" s="18" t="n"/>
      <c r="L46" s="17">
        <f>IF($D46="","",IF($K46&lt;&gt;"","Received "&amp;TEXT($K46,"mm/dd"),IF(ISNUMBER($J46),IF(TODAY()&gt;$J46,"OVERDUE","Pending"),IF($H46="","Pending","CHECK DATE"))))</f>
        <v/>
      </c>
      <c r="M46" s="16" t="n"/>
      <c r="N46" s="16" t="n"/>
    </row>
    <row r="47">
      <c r="B47" s="17">
        <f>IF($D47="","","ME"&amp;TEXT(ROW()-5,"000"))</f>
        <v/>
      </c>
      <c r="C47" s="18" t="n"/>
      <c r="D47" s="16" t="n"/>
      <c r="E47" s="17">
        <f>IF($D47="","",IFERROR(INDEX(rngCadetPIDs,MATCH($D47,rngCadetNames,0)),"?"))</f>
        <v/>
      </c>
      <c r="F47" s="16" t="n"/>
      <c r="G47" s="16" t="n"/>
      <c r="H47" s="19">
        <f>IF($D47="","",IF($C47="","(enter date)",_xlfn.LET(_xlpm.dn,_xlfn.XLOOKUP($C47,nrCDdate,nrCDnum,"",1),IF(_xlpm.dn="","(after last class day)",_xlfn.LET(_xlpm.dd,_xlfn.XLOOKUP(_xlpm.dn+cfgMemoDueClassDays,nrCDnum,nrCDdate,""),_xlpm.ok,_xlfn.XLOOKUP(_xlpm.dn+cfgMemoDueClassDays,nrCDnum,nrCDinsession,"No"),IF(OR(_xlpm.dd="",_xlpm.ok&lt;&gt;"Yes"),"(after last class day)",_xlpm.dd))))))</f>
        <v/>
      </c>
      <c r="I47" s="18" t="n"/>
      <c r="J47" s="19">
        <f>IF($D47="","",IF($I47&lt;&gt;"",$I47,IF(ISNUMBER($H47),$H47,"")))</f>
        <v/>
      </c>
      <c r="K47" s="18" t="n"/>
      <c r="L47" s="17">
        <f>IF($D47="","",IF($K47&lt;&gt;"","Received "&amp;TEXT($K47,"mm/dd"),IF(ISNUMBER($J47),IF(TODAY()&gt;$J47,"OVERDUE","Pending"),IF($H47="","Pending","CHECK DATE"))))</f>
        <v/>
      </c>
      <c r="M47" s="16" t="n"/>
      <c r="N47" s="16" t="n"/>
    </row>
    <row r="48">
      <c r="B48" s="17">
        <f>IF($D48="","","ME"&amp;TEXT(ROW()-5,"000"))</f>
        <v/>
      </c>
      <c r="C48" s="18" t="n"/>
      <c r="D48" s="16" t="n"/>
      <c r="E48" s="17">
        <f>IF($D48="","",IFERROR(INDEX(rngCadetPIDs,MATCH($D48,rngCadetNames,0)),"?"))</f>
        <v/>
      </c>
      <c r="F48" s="16" t="n"/>
      <c r="G48" s="16" t="n"/>
      <c r="H48" s="19">
        <f>IF($D48="","",IF($C48="","(enter date)",_xlfn.LET(_xlpm.dn,_xlfn.XLOOKUP($C48,nrCDdate,nrCDnum,"",1),IF(_xlpm.dn="","(after last class day)",_xlfn.LET(_xlpm.dd,_xlfn.XLOOKUP(_xlpm.dn+cfgMemoDueClassDays,nrCDnum,nrCDdate,""),_xlpm.ok,_xlfn.XLOOKUP(_xlpm.dn+cfgMemoDueClassDays,nrCDnum,nrCDinsession,"No"),IF(OR(_xlpm.dd="",_xlpm.ok&lt;&gt;"Yes"),"(after last class day)",_xlpm.dd))))))</f>
        <v/>
      </c>
      <c r="I48" s="18" t="n"/>
      <c r="J48" s="19">
        <f>IF($D48="","",IF($I48&lt;&gt;"",$I48,IF(ISNUMBER($H48),$H48,"")))</f>
        <v/>
      </c>
      <c r="K48" s="18" t="n"/>
      <c r="L48" s="17">
        <f>IF($D48="","",IF($K48&lt;&gt;"","Received "&amp;TEXT($K48,"mm/dd"),IF(ISNUMBER($J48),IF(TODAY()&gt;$J48,"OVERDUE","Pending"),IF($H48="","Pending","CHECK DATE"))))</f>
        <v/>
      </c>
      <c r="M48" s="16" t="n"/>
      <c r="N48" s="16" t="n"/>
    </row>
    <row r="49">
      <c r="B49" s="17">
        <f>IF($D49="","","ME"&amp;TEXT(ROW()-5,"000"))</f>
        <v/>
      </c>
      <c r="C49" s="18" t="n"/>
      <c r="D49" s="16" t="n"/>
      <c r="E49" s="17">
        <f>IF($D49="","",IFERROR(INDEX(rngCadetPIDs,MATCH($D49,rngCadetNames,0)),"?"))</f>
        <v/>
      </c>
      <c r="F49" s="16" t="n"/>
      <c r="G49" s="16" t="n"/>
      <c r="H49" s="19">
        <f>IF($D49="","",IF($C49="","(enter date)",_xlfn.LET(_xlpm.dn,_xlfn.XLOOKUP($C49,nrCDdate,nrCDnum,"",1),IF(_xlpm.dn="","(after last class day)",_xlfn.LET(_xlpm.dd,_xlfn.XLOOKUP(_xlpm.dn+cfgMemoDueClassDays,nrCDnum,nrCDdate,""),_xlpm.ok,_xlfn.XLOOKUP(_xlpm.dn+cfgMemoDueClassDays,nrCDnum,nrCDinsession,"No"),IF(OR(_xlpm.dd="",_xlpm.ok&lt;&gt;"Yes"),"(after last class day)",_xlpm.dd))))))</f>
        <v/>
      </c>
      <c r="I49" s="18" t="n"/>
      <c r="J49" s="19">
        <f>IF($D49="","",IF($I49&lt;&gt;"",$I49,IF(ISNUMBER($H49),$H49,"")))</f>
        <v/>
      </c>
      <c r="K49" s="18" t="n"/>
      <c r="L49" s="17">
        <f>IF($D49="","",IF($K49&lt;&gt;"","Received "&amp;TEXT($K49,"mm/dd"),IF(ISNUMBER($J49),IF(TODAY()&gt;$J49,"OVERDUE","Pending"),IF($H49="","Pending","CHECK DATE"))))</f>
        <v/>
      </c>
      <c r="M49" s="16" t="n"/>
      <c r="N49" s="16" t="n"/>
    </row>
    <row r="50">
      <c r="B50" s="17">
        <f>IF($D50="","","ME"&amp;TEXT(ROW()-5,"000"))</f>
        <v/>
      </c>
      <c r="C50" s="18" t="n"/>
      <c r="D50" s="16" t="n"/>
      <c r="E50" s="17">
        <f>IF($D50="","",IFERROR(INDEX(rngCadetPIDs,MATCH($D50,rngCadetNames,0)),"?"))</f>
        <v/>
      </c>
      <c r="F50" s="16" t="n"/>
      <c r="G50" s="16" t="n"/>
      <c r="H50" s="19">
        <f>IF($D50="","",IF($C50="","(enter date)",_xlfn.LET(_xlpm.dn,_xlfn.XLOOKUP($C50,nrCDdate,nrCDnum,"",1),IF(_xlpm.dn="","(after last class day)",_xlfn.LET(_xlpm.dd,_xlfn.XLOOKUP(_xlpm.dn+cfgMemoDueClassDays,nrCDnum,nrCDdate,""),_xlpm.ok,_xlfn.XLOOKUP(_xlpm.dn+cfgMemoDueClassDays,nrCDnum,nrCDinsession,"No"),IF(OR(_xlpm.dd="",_xlpm.ok&lt;&gt;"Yes"),"(after last class day)",_xlpm.dd))))))</f>
        <v/>
      </c>
      <c r="I50" s="18" t="n"/>
      <c r="J50" s="19">
        <f>IF($D50="","",IF($I50&lt;&gt;"",$I50,IF(ISNUMBER($H50),$H50,"")))</f>
        <v/>
      </c>
      <c r="K50" s="18" t="n"/>
      <c r="L50" s="17">
        <f>IF($D50="","",IF($K50&lt;&gt;"","Received "&amp;TEXT($K50,"mm/dd"),IF(ISNUMBER($J50),IF(TODAY()&gt;$J50,"OVERDUE","Pending"),IF($H50="","Pending","CHECK DATE"))))</f>
        <v/>
      </c>
      <c r="M50" s="16" t="n"/>
      <c r="N50" s="16" t="n"/>
    </row>
    <row r="51">
      <c r="B51" s="17">
        <f>IF($D51="","","ME"&amp;TEXT(ROW()-5,"000"))</f>
        <v/>
      </c>
      <c r="C51" s="18" t="n"/>
      <c r="D51" s="16" t="n"/>
      <c r="E51" s="17">
        <f>IF($D51="","",IFERROR(INDEX(rngCadetPIDs,MATCH($D51,rngCadetNames,0)),"?"))</f>
        <v/>
      </c>
      <c r="F51" s="16" t="n"/>
      <c r="G51" s="16" t="n"/>
      <c r="H51" s="19">
        <f>IF($D51="","",IF($C51="","(enter date)",_xlfn.LET(_xlpm.dn,_xlfn.XLOOKUP($C51,nrCDdate,nrCDnum,"",1),IF(_xlpm.dn="","(after last class day)",_xlfn.LET(_xlpm.dd,_xlfn.XLOOKUP(_xlpm.dn+cfgMemoDueClassDays,nrCDnum,nrCDdate,""),_xlpm.ok,_xlfn.XLOOKUP(_xlpm.dn+cfgMemoDueClassDays,nrCDnum,nrCDinsession,"No"),IF(OR(_xlpm.dd="",_xlpm.ok&lt;&gt;"Yes"),"(after last class day)",_xlpm.dd))))))</f>
        <v/>
      </c>
      <c r="I51" s="18" t="n"/>
      <c r="J51" s="19">
        <f>IF($D51="","",IF($I51&lt;&gt;"",$I51,IF(ISNUMBER($H51),$H51,"")))</f>
        <v/>
      </c>
      <c r="K51" s="18" t="n"/>
      <c r="L51" s="17">
        <f>IF($D51="","",IF($K51&lt;&gt;"","Received "&amp;TEXT($K51,"mm/dd"),IF(ISNUMBER($J51),IF(TODAY()&gt;$J51,"OVERDUE","Pending"),IF($H51="","Pending","CHECK DATE"))))</f>
        <v/>
      </c>
      <c r="M51" s="16" t="n"/>
      <c r="N51" s="16" t="n"/>
    </row>
    <row r="52">
      <c r="B52" s="17">
        <f>IF($D52="","","ME"&amp;TEXT(ROW()-5,"000"))</f>
        <v/>
      </c>
      <c r="C52" s="18" t="n"/>
      <c r="D52" s="16" t="n"/>
      <c r="E52" s="17">
        <f>IF($D52="","",IFERROR(INDEX(rngCadetPIDs,MATCH($D52,rngCadetNames,0)),"?"))</f>
        <v/>
      </c>
      <c r="F52" s="16" t="n"/>
      <c r="G52" s="16" t="n"/>
      <c r="H52" s="19">
        <f>IF($D52="","",IF($C52="","(enter date)",_xlfn.LET(_xlpm.dn,_xlfn.XLOOKUP($C52,nrCDdate,nrCDnum,"",1),IF(_xlpm.dn="","(after last class day)",_xlfn.LET(_xlpm.dd,_xlfn.XLOOKUP(_xlpm.dn+cfgMemoDueClassDays,nrCDnum,nrCDdate,""),_xlpm.ok,_xlfn.XLOOKUP(_xlpm.dn+cfgMemoDueClassDays,nrCDnum,nrCDinsession,"No"),IF(OR(_xlpm.dd="",_xlpm.ok&lt;&gt;"Yes"),"(after last class day)",_xlpm.dd))))))</f>
        <v/>
      </c>
      <c r="I52" s="18" t="n"/>
      <c r="J52" s="19">
        <f>IF($D52="","",IF($I52&lt;&gt;"",$I52,IF(ISNUMBER($H52),$H52,"")))</f>
        <v/>
      </c>
      <c r="K52" s="18" t="n"/>
      <c r="L52" s="17">
        <f>IF($D52="","",IF($K52&lt;&gt;"","Received "&amp;TEXT($K52,"mm/dd"),IF(ISNUMBER($J52),IF(TODAY()&gt;$J52,"OVERDUE","Pending"),IF($H52="","Pending","CHECK DATE"))))</f>
        <v/>
      </c>
      <c r="M52" s="16" t="n"/>
      <c r="N52" s="16" t="n"/>
    </row>
    <row r="53">
      <c r="B53" s="17">
        <f>IF($D53="","","ME"&amp;TEXT(ROW()-5,"000"))</f>
        <v/>
      </c>
      <c r="C53" s="18" t="n"/>
      <c r="D53" s="16" t="n"/>
      <c r="E53" s="17">
        <f>IF($D53="","",IFERROR(INDEX(rngCadetPIDs,MATCH($D53,rngCadetNames,0)),"?"))</f>
        <v/>
      </c>
      <c r="F53" s="16" t="n"/>
      <c r="G53" s="16" t="n"/>
      <c r="H53" s="19">
        <f>IF($D53="","",IF($C53="","(enter date)",_xlfn.LET(_xlpm.dn,_xlfn.XLOOKUP($C53,nrCDdate,nrCDnum,"",1),IF(_xlpm.dn="","(after last class day)",_xlfn.LET(_xlpm.dd,_xlfn.XLOOKUP(_xlpm.dn+cfgMemoDueClassDays,nrCDnum,nrCDdate,""),_xlpm.ok,_xlfn.XLOOKUP(_xlpm.dn+cfgMemoDueClassDays,nrCDnum,nrCDinsession,"No"),IF(OR(_xlpm.dd="",_xlpm.ok&lt;&gt;"Yes"),"(after last class day)",_xlpm.dd))))))</f>
        <v/>
      </c>
      <c r="I53" s="18" t="n"/>
      <c r="J53" s="19">
        <f>IF($D53="","",IF($I53&lt;&gt;"",$I53,IF(ISNUMBER($H53),$H53,"")))</f>
        <v/>
      </c>
      <c r="K53" s="18" t="n"/>
      <c r="L53" s="17">
        <f>IF($D53="","",IF($K53&lt;&gt;"","Received "&amp;TEXT($K53,"mm/dd"),IF(ISNUMBER($J53),IF(TODAY()&gt;$J53,"OVERDUE","Pending"),IF($H53="","Pending","CHECK DATE"))))</f>
        <v/>
      </c>
      <c r="M53" s="16" t="n"/>
      <c r="N53" s="16" t="n"/>
    </row>
    <row r="54">
      <c r="B54" s="17">
        <f>IF($D54="","","ME"&amp;TEXT(ROW()-5,"000"))</f>
        <v/>
      </c>
      <c r="C54" s="18" t="n"/>
      <c r="D54" s="16" t="n"/>
      <c r="E54" s="17">
        <f>IF($D54="","",IFERROR(INDEX(rngCadetPIDs,MATCH($D54,rngCadetNames,0)),"?"))</f>
        <v/>
      </c>
      <c r="F54" s="16" t="n"/>
      <c r="G54" s="16" t="n"/>
      <c r="H54" s="19">
        <f>IF($D54="","",IF($C54="","(enter date)",_xlfn.LET(_xlpm.dn,_xlfn.XLOOKUP($C54,nrCDdate,nrCDnum,"",1),IF(_xlpm.dn="","(after last class day)",_xlfn.LET(_xlpm.dd,_xlfn.XLOOKUP(_xlpm.dn+cfgMemoDueClassDays,nrCDnum,nrCDdate,""),_xlpm.ok,_xlfn.XLOOKUP(_xlpm.dn+cfgMemoDueClassDays,nrCDnum,nrCDinsession,"No"),IF(OR(_xlpm.dd="",_xlpm.ok&lt;&gt;"Yes"),"(after last class day)",_xlpm.dd))))))</f>
        <v/>
      </c>
      <c r="I54" s="18" t="n"/>
      <c r="J54" s="19">
        <f>IF($D54="","",IF($I54&lt;&gt;"",$I54,IF(ISNUMBER($H54),$H54,"")))</f>
        <v/>
      </c>
      <c r="K54" s="18" t="n"/>
      <c r="L54" s="17">
        <f>IF($D54="","",IF($K54&lt;&gt;"","Received "&amp;TEXT($K54,"mm/dd"),IF(ISNUMBER($J54),IF(TODAY()&gt;$J54,"OVERDUE","Pending"),IF($H54="","Pending","CHECK DATE"))))</f>
        <v/>
      </c>
      <c r="M54" s="16" t="n"/>
      <c r="N54" s="16" t="n"/>
    </row>
    <row r="55">
      <c r="B55" s="17">
        <f>IF($D55="","","ME"&amp;TEXT(ROW()-5,"000"))</f>
        <v/>
      </c>
      <c r="C55" s="18" t="n"/>
      <c r="D55" s="16" t="n"/>
      <c r="E55" s="17">
        <f>IF($D55="","",IFERROR(INDEX(rngCadetPIDs,MATCH($D55,rngCadetNames,0)),"?"))</f>
        <v/>
      </c>
      <c r="F55" s="16" t="n"/>
      <c r="G55" s="16" t="n"/>
      <c r="H55" s="19">
        <f>IF($D55="","",IF($C55="","(enter date)",_xlfn.LET(_xlpm.dn,_xlfn.XLOOKUP($C55,nrCDdate,nrCDnum,"",1),IF(_xlpm.dn="","(after last class day)",_xlfn.LET(_xlpm.dd,_xlfn.XLOOKUP(_xlpm.dn+cfgMemoDueClassDays,nrCDnum,nrCDdate,""),_xlpm.ok,_xlfn.XLOOKUP(_xlpm.dn+cfgMemoDueClassDays,nrCDnum,nrCDinsession,"No"),IF(OR(_xlpm.dd="",_xlpm.ok&lt;&gt;"Yes"),"(after last class day)",_xlpm.dd))))))</f>
        <v/>
      </c>
      <c r="I55" s="18" t="n"/>
      <c r="J55" s="19">
        <f>IF($D55="","",IF($I55&lt;&gt;"",$I55,IF(ISNUMBER($H55),$H55,"")))</f>
        <v/>
      </c>
      <c r="K55" s="18" t="n"/>
      <c r="L55" s="17">
        <f>IF($D55="","",IF($K55&lt;&gt;"","Received "&amp;TEXT($K55,"mm/dd"),IF(ISNUMBER($J55),IF(TODAY()&gt;$J55,"OVERDUE","Pending"),IF($H55="","Pending","CHECK DATE"))))</f>
        <v/>
      </c>
      <c r="M55" s="16" t="n"/>
      <c r="N55" s="16" t="n"/>
    </row>
    <row r="56">
      <c r="B56" s="17">
        <f>IF($D56="","","ME"&amp;TEXT(ROW()-5,"000"))</f>
        <v/>
      </c>
      <c r="C56" s="18" t="n"/>
      <c r="D56" s="16" t="n"/>
      <c r="E56" s="17">
        <f>IF($D56="","",IFERROR(INDEX(rngCadetPIDs,MATCH($D56,rngCadetNames,0)),"?"))</f>
        <v/>
      </c>
      <c r="F56" s="16" t="n"/>
      <c r="G56" s="16" t="n"/>
      <c r="H56" s="19">
        <f>IF($D56="","",IF($C56="","(enter date)",_xlfn.LET(_xlpm.dn,_xlfn.XLOOKUP($C56,nrCDdate,nrCDnum,"",1),IF(_xlpm.dn="","(after last class day)",_xlfn.LET(_xlpm.dd,_xlfn.XLOOKUP(_xlpm.dn+cfgMemoDueClassDays,nrCDnum,nrCDdate,""),_xlpm.ok,_xlfn.XLOOKUP(_xlpm.dn+cfgMemoDueClassDays,nrCDnum,nrCDinsession,"No"),IF(OR(_xlpm.dd="",_xlpm.ok&lt;&gt;"Yes"),"(after last class day)",_xlpm.dd))))))</f>
        <v/>
      </c>
      <c r="I56" s="18" t="n"/>
      <c r="J56" s="19">
        <f>IF($D56="","",IF($I56&lt;&gt;"",$I56,IF(ISNUMBER($H56),$H56,"")))</f>
        <v/>
      </c>
      <c r="K56" s="18" t="n"/>
      <c r="L56" s="17">
        <f>IF($D56="","",IF($K56&lt;&gt;"","Received "&amp;TEXT($K56,"mm/dd"),IF(ISNUMBER($J56),IF(TODAY()&gt;$J56,"OVERDUE","Pending"),IF($H56="","Pending","CHECK DATE"))))</f>
        <v/>
      </c>
      <c r="M56" s="16" t="n"/>
      <c r="N56" s="16" t="n"/>
    </row>
    <row r="57">
      <c r="B57" s="17">
        <f>IF($D57="","","ME"&amp;TEXT(ROW()-5,"000"))</f>
        <v/>
      </c>
      <c r="C57" s="18" t="n"/>
      <c r="D57" s="16" t="n"/>
      <c r="E57" s="17">
        <f>IF($D57="","",IFERROR(INDEX(rngCadetPIDs,MATCH($D57,rngCadetNames,0)),"?"))</f>
        <v/>
      </c>
      <c r="F57" s="16" t="n"/>
      <c r="G57" s="16" t="n"/>
      <c r="H57" s="19">
        <f>IF($D57="","",IF($C57="","(enter date)",_xlfn.LET(_xlpm.dn,_xlfn.XLOOKUP($C57,nrCDdate,nrCDnum,"",1),IF(_xlpm.dn="","(after last class day)",_xlfn.LET(_xlpm.dd,_xlfn.XLOOKUP(_xlpm.dn+cfgMemoDueClassDays,nrCDnum,nrCDdate,""),_xlpm.ok,_xlfn.XLOOKUP(_xlpm.dn+cfgMemoDueClassDays,nrCDnum,nrCDinsession,"No"),IF(OR(_xlpm.dd="",_xlpm.ok&lt;&gt;"Yes"),"(after last class day)",_xlpm.dd))))))</f>
        <v/>
      </c>
      <c r="I57" s="18" t="n"/>
      <c r="J57" s="19">
        <f>IF($D57="","",IF($I57&lt;&gt;"",$I57,IF(ISNUMBER($H57),$H57,"")))</f>
        <v/>
      </c>
      <c r="K57" s="18" t="n"/>
      <c r="L57" s="17">
        <f>IF($D57="","",IF($K57&lt;&gt;"","Received "&amp;TEXT($K57,"mm/dd"),IF(ISNUMBER($J57),IF(TODAY()&gt;$J57,"OVERDUE","Pending"),IF($H57="","Pending","CHECK DATE"))))</f>
        <v/>
      </c>
      <c r="M57" s="16" t="n"/>
      <c r="N57" s="16" t="n"/>
    </row>
    <row r="58">
      <c r="B58" s="17">
        <f>IF($D58="","","ME"&amp;TEXT(ROW()-5,"000"))</f>
        <v/>
      </c>
      <c r="C58" s="18" t="n"/>
      <c r="D58" s="16" t="n"/>
      <c r="E58" s="17">
        <f>IF($D58="","",IFERROR(INDEX(rngCadetPIDs,MATCH($D58,rngCadetNames,0)),"?"))</f>
        <v/>
      </c>
      <c r="F58" s="16" t="n"/>
      <c r="G58" s="16" t="n"/>
      <c r="H58" s="19">
        <f>IF($D58="","",IF($C58="","(enter date)",_xlfn.LET(_xlpm.dn,_xlfn.XLOOKUP($C58,nrCDdate,nrCDnum,"",1),IF(_xlpm.dn="","(after last class day)",_xlfn.LET(_xlpm.dd,_xlfn.XLOOKUP(_xlpm.dn+cfgMemoDueClassDays,nrCDnum,nrCDdate,""),_xlpm.ok,_xlfn.XLOOKUP(_xlpm.dn+cfgMemoDueClassDays,nrCDnum,nrCDinsession,"No"),IF(OR(_xlpm.dd="",_xlpm.ok&lt;&gt;"Yes"),"(after last class day)",_xlpm.dd))))))</f>
        <v/>
      </c>
      <c r="I58" s="18" t="n"/>
      <c r="J58" s="19">
        <f>IF($D58="","",IF($I58&lt;&gt;"",$I58,IF(ISNUMBER($H58),$H58,"")))</f>
        <v/>
      </c>
      <c r="K58" s="18" t="n"/>
      <c r="L58" s="17">
        <f>IF($D58="","",IF($K58&lt;&gt;"","Received "&amp;TEXT($K58,"mm/dd"),IF(ISNUMBER($J58),IF(TODAY()&gt;$J58,"OVERDUE","Pending"),IF($H58="","Pending","CHECK DATE"))))</f>
        <v/>
      </c>
      <c r="M58" s="16" t="n"/>
      <c r="N58" s="16" t="n"/>
    </row>
    <row r="59">
      <c r="B59" s="17">
        <f>IF($D59="","","ME"&amp;TEXT(ROW()-5,"000"))</f>
        <v/>
      </c>
      <c r="C59" s="18" t="n"/>
      <c r="D59" s="16" t="n"/>
      <c r="E59" s="17">
        <f>IF($D59="","",IFERROR(INDEX(rngCadetPIDs,MATCH($D59,rngCadetNames,0)),"?"))</f>
        <v/>
      </c>
      <c r="F59" s="16" t="n"/>
      <c r="G59" s="16" t="n"/>
      <c r="H59" s="19">
        <f>IF($D59="","",IF($C59="","(enter date)",_xlfn.LET(_xlpm.dn,_xlfn.XLOOKUP($C59,nrCDdate,nrCDnum,"",1),IF(_xlpm.dn="","(after last class day)",_xlfn.LET(_xlpm.dd,_xlfn.XLOOKUP(_xlpm.dn+cfgMemoDueClassDays,nrCDnum,nrCDdate,""),_xlpm.ok,_xlfn.XLOOKUP(_xlpm.dn+cfgMemoDueClassDays,nrCDnum,nrCDinsession,"No"),IF(OR(_xlpm.dd="",_xlpm.ok&lt;&gt;"Yes"),"(after last class day)",_xlpm.dd))))))</f>
        <v/>
      </c>
      <c r="I59" s="18" t="n"/>
      <c r="J59" s="19">
        <f>IF($D59="","",IF($I59&lt;&gt;"",$I59,IF(ISNUMBER($H59),$H59,"")))</f>
        <v/>
      </c>
      <c r="K59" s="18" t="n"/>
      <c r="L59" s="17">
        <f>IF($D59="","",IF($K59&lt;&gt;"","Received "&amp;TEXT($K59,"mm/dd"),IF(ISNUMBER($J59),IF(TODAY()&gt;$J59,"OVERDUE","Pending"),IF($H59="","Pending","CHECK DATE"))))</f>
        <v/>
      </c>
      <c r="M59" s="16" t="n"/>
      <c r="N59" s="16" t="n"/>
    </row>
    <row r="60">
      <c r="B60" s="17">
        <f>IF($D60="","","ME"&amp;TEXT(ROW()-5,"000"))</f>
        <v/>
      </c>
      <c r="C60" s="18" t="n"/>
      <c r="D60" s="16" t="n"/>
      <c r="E60" s="17">
        <f>IF($D60="","",IFERROR(INDEX(rngCadetPIDs,MATCH($D60,rngCadetNames,0)),"?"))</f>
        <v/>
      </c>
      <c r="F60" s="16" t="n"/>
      <c r="G60" s="16" t="n"/>
      <c r="H60" s="19">
        <f>IF($D60="","",IF($C60="","(enter date)",_xlfn.LET(_xlpm.dn,_xlfn.XLOOKUP($C60,nrCDdate,nrCDnum,"",1),IF(_xlpm.dn="","(after last class day)",_xlfn.LET(_xlpm.dd,_xlfn.XLOOKUP(_xlpm.dn+cfgMemoDueClassDays,nrCDnum,nrCDdate,""),_xlpm.ok,_xlfn.XLOOKUP(_xlpm.dn+cfgMemoDueClassDays,nrCDnum,nrCDinsession,"No"),IF(OR(_xlpm.dd="",_xlpm.ok&lt;&gt;"Yes"),"(after last class day)",_xlpm.dd))))))</f>
        <v/>
      </c>
      <c r="I60" s="18" t="n"/>
      <c r="J60" s="19">
        <f>IF($D60="","",IF($I60&lt;&gt;"",$I60,IF(ISNUMBER($H60),$H60,"")))</f>
        <v/>
      </c>
      <c r="K60" s="18" t="n"/>
      <c r="L60" s="17">
        <f>IF($D60="","",IF($K60&lt;&gt;"","Received "&amp;TEXT($K60,"mm/dd"),IF(ISNUMBER($J60),IF(TODAY()&gt;$J60,"OVERDUE","Pending"),IF($H60="","Pending","CHECK DATE"))))</f>
        <v/>
      </c>
      <c r="M60" s="16" t="n"/>
      <c r="N60" s="16" t="n"/>
    </row>
    <row r="61">
      <c r="B61" s="17">
        <f>IF($D61="","","ME"&amp;TEXT(ROW()-5,"000"))</f>
        <v/>
      </c>
      <c r="C61" s="18" t="n"/>
      <c r="D61" s="16" t="n"/>
      <c r="E61" s="17">
        <f>IF($D61="","",IFERROR(INDEX(rngCadetPIDs,MATCH($D61,rngCadetNames,0)),"?"))</f>
        <v/>
      </c>
      <c r="F61" s="16" t="n"/>
      <c r="G61" s="16" t="n"/>
      <c r="H61" s="19">
        <f>IF($D61="","",IF($C61="","(enter date)",_xlfn.LET(_xlpm.dn,_xlfn.XLOOKUP($C61,nrCDdate,nrCDnum,"",1),IF(_xlpm.dn="","(after last class day)",_xlfn.LET(_xlpm.dd,_xlfn.XLOOKUP(_xlpm.dn+cfgMemoDueClassDays,nrCDnum,nrCDdate,""),_xlpm.ok,_xlfn.XLOOKUP(_xlpm.dn+cfgMemoDueClassDays,nrCDnum,nrCDinsession,"No"),IF(OR(_xlpm.dd="",_xlpm.ok&lt;&gt;"Yes"),"(after last class day)",_xlpm.dd))))))</f>
        <v/>
      </c>
      <c r="I61" s="18" t="n"/>
      <c r="J61" s="19">
        <f>IF($D61="","",IF($I61&lt;&gt;"",$I61,IF(ISNUMBER($H61),$H61,"")))</f>
        <v/>
      </c>
      <c r="K61" s="18" t="n"/>
      <c r="L61" s="17">
        <f>IF($D61="","",IF($K61&lt;&gt;"","Received "&amp;TEXT($K61,"mm/dd"),IF(ISNUMBER($J61),IF(TODAY()&gt;$J61,"OVERDUE","Pending"),IF($H61="","Pending","CHECK DATE"))))</f>
        <v/>
      </c>
      <c r="M61" s="16" t="n"/>
      <c r="N61" s="16" t="n"/>
    </row>
    <row r="62">
      <c r="B62" s="17">
        <f>IF($D62="","","ME"&amp;TEXT(ROW()-5,"000"))</f>
        <v/>
      </c>
      <c r="C62" s="18" t="n"/>
      <c r="D62" s="16" t="n"/>
      <c r="E62" s="17">
        <f>IF($D62="","",IFERROR(INDEX(rngCadetPIDs,MATCH($D62,rngCadetNames,0)),"?"))</f>
        <v/>
      </c>
      <c r="F62" s="16" t="n"/>
      <c r="G62" s="16" t="n"/>
      <c r="H62" s="19">
        <f>IF($D62="","",IF($C62="","(enter date)",_xlfn.LET(_xlpm.dn,_xlfn.XLOOKUP($C62,nrCDdate,nrCDnum,"",1),IF(_xlpm.dn="","(after last class day)",_xlfn.LET(_xlpm.dd,_xlfn.XLOOKUP(_xlpm.dn+cfgMemoDueClassDays,nrCDnum,nrCDdate,""),_xlpm.ok,_xlfn.XLOOKUP(_xlpm.dn+cfgMemoDueClassDays,nrCDnum,nrCDinsession,"No"),IF(OR(_xlpm.dd="",_xlpm.ok&lt;&gt;"Yes"),"(after last class day)",_xlpm.dd))))))</f>
        <v/>
      </c>
      <c r="I62" s="18" t="n"/>
      <c r="J62" s="19">
        <f>IF($D62="","",IF($I62&lt;&gt;"",$I62,IF(ISNUMBER($H62),$H62,"")))</f>
        <v/>
      </c>
      <c r="K62" s="18" t="n"/>
      <c r="L62" s="17">
        <f>IF($D62="","",IF($K62&lt;&gt;"","Received "&amp;TEXT($K62,"mm/dd"),IF(ISNUMBER($J62),IF(TODAY()&gt;$J62,"OVERDUE","Pending"),IF($H62="","Pending","CHECK DATE"))))</f>
        <v/>
      </c>
      <c r="M62" s="16" t="n"/>
      <c r="N62" s="16" t="n"/>
    </row>
    <row r="63">
      <c r="B63" s="17">
        <f>IF($D63="","","ME"&amp;TEXT(ROW()-5,"000"))</f>
        <v/>
      </c>
      <c r="C63" s="18" t="n"/>
      <c r="D63" s="16" t="n"/>
      <c r="E63" s="17">
        <f>IF($D63="","",IFERROR(INDEX(rngCadetPIDs,MATCH($D63,rngCadetNames,0)),"?"))</f>
        <v/>
      </c>
      <c r="F63" s="16" t="n"/>
      <c r="G63" s="16" t="n"/>
      <c r="H63" s="19">
        <f>IF($D63="","",IF($C63="","(enter date)",_xlfn.LET(_xlpm.dn,_xlfn.XLOOKUP($C63,nrCDdate,nrCDnum,"",1),IF(_xlpm.dn="","(after last class day)",_xlfn.LET(_xlpm.dd,_xlfn.XLOOKUP(_xlpm.dn+cfgMemoDueClassDays,nrCDnum,nrCDdate,""),_xlpm.ok,_xlfn.XLOOKUP(_xlpm.dn+cfgMemoDueClassDays,nrCDnum,nrCDinsession,"No"),IF(OR(_xlpm.dd="",_xlpm.ok&lt;&gt;"Yes"),"(after last class day)",_xlpm.dd))))))</f>
        <v/>
      </c>
      <c r="I63" s="18" t="n"/>
      <c r="J63" s="19">
        <f>IF($D63="","",IF($I63&lt;&gt;"",$I63,IF(ISNUMBER($H63),$H63,"")))</f>
        <v/>
      </c>
      <c r="K63" s="18" t="n"/>
      <c r="L63" s="17">
        <f>IF($D63="","",IF($K63&lt;&gt;"","Received "&amp;TEXT($K63,"mm/dd"),IF(ISNUMBER($J63),IF(TODAY()&gt;$J63,"OVERDUE","Pending"),IF($H63="","Pending","CHECK DATE"))))</f>
        <v/>
      </c>
      <c r="M63" s="16" t="n"/>
      <c r="N63" s="16" t="n"/>
    </row>
    <row r="64">
      <c r="B64" s="17">
        <f>IF($D64="","","ME"&amp;TEXT(ROW()-5,"000"))</f>
        <v/>
      </c>
      <c r="C64" s="18" t="n"/>
      <c r="D64" s="16" t="n"/>
      <c r="E64" s="17">
        <f>IF($D64="","",IFERROR(INDEX(rngCadetPIDs,MATCH($D64,rngCadetNames,0)),"?"))</f>
        <v/>
      </c>
      <c r="F64" s="16" t="n"/>
      <c r="G64" s="16" t="n"/>
      <c r="H64" s="19">
        <f>IF($D64="","",IF($C64="","(enter date)",_xlfn.LET(_xlpm.dn,_xlfn.XLOOKUP($C64,nrCDdate,nrCDnum,"",1),IF(_xlpm.dn="","(after last class day)",_xlfn.LET(_xlpm.dd,_xlfn.XLOOKUP(_xlpm.dn+cfgMemoDueClassDays,nrCDnum,nrCDdate,""),_xlpm.ok,_xlfn.XLOOKUP(_xlpm.dn+cfgMemoDueClassDays,nrCDnum,nrCDinsession,"No"),IF(OR(_xlpm.dd="",_xlpm.ok&lt;&gt;"Yes"),"(after last class day)",_xlpm.dd))))))</f>
        <v/>
      </c>
      <c r="I64" s="18" t="n"/>
      <c r="J64" s="19">
        <f>IF($D64="","",IF($I64&lt;&gt;"",$I64,IF(ISNUMBER($H64),$H64,"")))</f>
        <v/>
      </c>
      <c r="K64" s="18" t="n"/>
      <c r="L64" s="17">
        <f>IF($D64="","",IF($K64&lt;&gt;"","Received "&amp;TEXT($K64,"mm/dd"),IF(ISNUMBER($J64),IF(TODAY()&gt;$J64,"OVERDUE","Pending"),IF($H64="","Pending","CHECK DATE"))))</f>
        <v/>
      </c>
      <c r="M64" s="16" t="n"/>
      <c r="N64" s="16" t="n"/>
    </row>
    <row r="65">
      <c r="B65" s="17">
        <f>IF($D65="","","ME"&amp;TEXT(ROW()-5,"000"))</f>
        <v/>
      </c>
      <c r="C65" s="18" t="n"/>
      <c r="D65" s="16" t="n"/>
      <c r="E65" s="17">
        <f>IF($D65="","",IFERROR(INDEX(rngCadetPIDs,MATCH($D65,rngCadetNames,0)),"?"))</f>
        <v/>
      </c>
      <c r="F65" s="16" t="n"/>
      <c r="G65" s="16" t="n"/>
      <c r="H65" s="19">
        <f>IF($D65="","",IF($C65="","(enter date)",_xlfn.LET(_xlpm.dn,_xlfn.XLOOKUP($C65,nrCDdate,nrCDnum,"",1),IF(_xlpm.dn="","(after last class day)",_xlfn.LET(_xlpm.dd,_xlfn.XLOOKUP(_xlpm.dn+cfgMemoDueClassDays,nrCDnum,nrCDdate,""),_xlpm.ok,_xlfn.XLOOKUP(_xlpm.dn+cfgMemoDueClassDays,nrCDnum,nrCDinsession,"No"),IF(OR(_xlpm.dd="",_xlpm.ok&lt;&gt;"Yes"),"(after last class day)",_xlpm.dd))))))</f>
        <v/>
      </c>
      <c r="I65" s="18" t="n"/>
      <c r="J65" s="19">
        <f>IF($D65="","",IF($I65&lt;&gt;"",$I65,IF(ISNUMBER($H65),$H65,"")))</f>
        <v/>
      </c>
      <c r="K65" s="18" t="n"/>
      <c r="L65" s="17">
        <f>IF($D65="","",IF($K65&lt;&gt;"","Received "&amp;TEXT($K65,"mm/dd"),IF(ISNUMBER($J65),IF(TODAY()&gt;$J65,"OVERDUE","Pending"),IF($H65="","Pending","CHECK DATE"))))</f>
        <v/>
      </c>
      <c r="M65" s="16" t="n"/>
      <c r="N65" s="16" t="n"/>
    </row>
    <row r="66">
      <c r="B66" s="17">
        <f>IF($D66="","","ME"&amp;TEXT(ROW()-5,"000"))</f>
        <v/>
      </c>
      <c r="C66" s="18" t="n"/>
      <c r="D66" s="16" t="n"/>
      <c r="E66" s="17">
        <f>IF($D66="","",IFERROR(INDEX(rngCadetPIDs,MATCH($D66,rngCadetNames,0)),"?"))</f>
        <v/>
      </c>
      <c r="F66" s="16" t="n"/>
      <c r="G66" s="16" t="n"/>
      <c r="H66" s="19">
        <f>IF($D66="","",IF($C66="","(enter date)",_xlfn.LET(_xlpm.dn,_xlfn.XLOOKUP($C66,nrCDdate,nrCDnum,"",1),IF(_xlpm.dn="","(after last class day)",_xlfn.LET(_xlpm.dd,_xlfn.XLOOKUP(_xlpm.dn+cfgMemoDueClassDays,nrCDnum,nrCDdate,""),_xlpm.ok,_xlfn.XLOOKUP(_xlpm.dn+cfgMemoDueClassDays,nrCDnum,nrCDinsession,"No"),IF(OR(_xlpm.dd="",_xlpm.ok&lt;&gt;"Yes"),"(after last class day)",_xlpm.dd))))))</f>
        <v/>
      </c>
      <c r="I66" s="18" t="n"/>
      <c r="J66" s="19">
        <f>IF($D66="","",IF($I66&lt;&gt;"",$I66,IF(ISNUMBER($H66),$H66,"")))</f>
        <v/>
      </c>
      <c r="K66" s="18" t="n"/>
      <c r="L66" s="17">
        <f>IF($D66="","",IF($K66&lt;&gt;"","Received "&amp;TEXT($K66,"mm/dd"),IF(ISNUMBER($J66),IF(TODAY()&gt;$J66,"OVERDUE","Pending"),IF($H66="","Pending","CHECK DATE"))))</f>
        <v/>
      </c>
      <c r="M66" s="16" t="n"/>
      <c r="N66" s="16" t="n"/>
    </row>
    <row r="67">
      <c r="B67" s="17">
        <f>IF($D67="","","ME"&amp;TEXT(ROW()-5,"000"))</f>
        <v/>
      </c>
      <c r="C67" s="18" t="n"/>
      <c r="D67" s="16" t="n"/>
      <c r="E67" s="17">
        <f>IF($D67="","",IFERROR(INDEX(rngCadetPIDs,MATCH($D67,rngCadetNames,0)),"?"))</f>
        <v/>
      </c>
      <c r="F67" s="16" t="n"/>
      <c r="G67" s="16" t="n"/>
      <c r="H67" s="19">
        <f>IF($D67="","",IF($C67="","(enter date)",_xlfn.LET(_xlpm.dn,_xlfn.XLOOKUP($C67,nrCDdate,nrCDnum,"",1),IF(_xlpm.dn="","(after last class day)",_xlfn.LET(_xlpm.dd,_xlfn.XLOOKUP(_xlpm.dn+cfgMemoDueClassDays,nrCDnum,nrCDdate,""),_xlpm.ok,_xlfn.XLOOKUP(_xlpm.dn+cfgMemoDueClassDays,nrCDnum,nrCDinsession,"No"),IF(OR(_xlpm.dd="",_xlpm.ok&lt;&gt;"Yes"),"(after last class day)",_xlpm.dd))))))</f>
        <v/>
      </c>
      <c r="I67" s="18" t="n"/>
      <c r="J67" s="19">
        <f>IF($D67="","",IF($I67&lt;&gt;"",$I67,IF(ISNUMBER($H67),$H67,"")))</f>
        <v/>
      </c>
      <c r="K67" s="18" t="n"/>
      <c r="L67" s="17">
        <f>IF($D67="","",IF($K67&lt;&gt;"","Received "&amp;TEXT($K67,"mm/dd"),IF(ISNUMBER($J67),IF(TODAY()&gt;$J67,"OVERDUE","Pending"),IF($H67="","Pending","CHECK DATE"))))</f>
        <v/>
      </c>
      <c r="M67" s="16" t="n"/>
      <c r="N67" s="16" t="n"/>
    </row>
    <row r="68">
      <c r="B68" s="17">
        <f>IF($D68="","","ME"&amp;TEXT(ROW()-5,"000"))</f>
        <v/>
      </c>
      <c r="C68" s="18" t="n"/>
      <c r="D68" s="16" t="n"/>
      <c r="E68" s="17">
        <f>IF($D68="","",IFERROR(INDEX(rngCadetPIDs,MATCH($D68,rngCadetNames,0)),"?"))</f>
        <v/>
      </c>
      <c r="F68" s="16" t="n"/>
      <c r="G68" s="16" t="n"/>
      <c r="H68" s="19">
        <f>IF($D68="","",IF($C68="","(enter date)",_xlfn.LET(_xlpm.dn,_xlfn.XLOOKUP($C68,nrCDdate,nrCDnum,"",1),IF(_xlpm.dn="","(after last class day)",_xlfn.LET(_xlpm.dd,_xlfn.XLOOKUP(_xlpm.dn+cfgMemoDueClassDays,nrCDnum,nrCDdate,""),_xlpm.ok,_xlfn.XLOOKUP(_xlpm.dn+cfgMemoDueClassDays,nrCDnum,nrCDinsession,"No"),IF(OR(_xlpm.dd="",_xlpm.ok&lt;&gt;"Yes"),"(after last class day)",_xlpm.dd))))))</f>
        <v/>
      </c>
      <c r="I68" s="18" t="n"/>
      <c r="J68" s="19">
        <f>IF($D68="","",IF($I68&lt;&gt;"",$I68,IF(ISNUMBER($H68),$H68,"")))</f>
        <v/>
      </c>
      <c r="K68" s="18" t="n"/>
      <c r="L68" s="17">
        <f>IF($D68="","",IF($K68&lt;&gt;"","Received "&amp;TEXT($K68,"mm/dd"),IF(ISNUMBER($J68),IF(TODAY()&gt;$J68,"OVERDUE","Pending"),IF($H68="","Pending","CHECK DATE"))))</f>
        <v/>
      </c>
      <c r="M68" s="16" t="n"/>
      <c r="N68" s="16" t="n"/>
    </row>
    <row r="69">
      <c r="B69" s="17">
        <f>IF($D69="","","ME"&amp;TEXT(ROW()-5,"000"))</f>
        <v/>
      </c>
      <c r="C69" s="18" t="n"/>
      <c r="D69" s="16" t="n"/>
      <c r="E69" s="17">
        <f>IF($D69="","",IFERROR(INDEX(rngCadetPIDs,MATCH($D69,rngCadetNames,0)),"?"))</f>
        <v/>
      </c>
      <c r="F69" s="16" t="n"/>
      <c r="G69" s="16" t="n"/>
      <c r="H69" s="19">
        <f>IF($D69="","",IF($C69="","(enter date)",_xlfn.LET(_xlpm.dn,_xlfn.XLOOKUP($C69,nrCDdate,nrCDnum,"",1),IF(_xlpm.dn="","(after last class day)",_xlfn.LET(_xlpm.dd,_xlfn.XLOOKUP(_xlpm.dn+cfgMemoDueClassDays,nrCDnum,nrCDdate,""),_xlpm.ok,_xlfn.XLOOKUP(_xlpm.dn+cfgMemoDueClassDays,nrCDnum,nrCDinsession,"No"),IF(OR(_xlpm.dd="",_xlpm.ok&lt;&gt;"Yes"),"(after last class day)",_xlpm.dd))))))</f>
        <v/>
      </c>
      <c r="I69" s="18" t="n"/>
      <c r="J69" s="19">
        <f>IF($D69="","",IF($I69&lt;&gt;"",$I69,IF(ISNUMBER($H69),$H69,"")))</f>
        <v/>
      </c>
      <c r="K69" s="18" t="n"/>
      <c r="L69" s="17">
        <f>IF($D69="","",IF($K69&lt;&gt;"","Received "&amp;TEXT($K69,"mm/dd"),IF(ISNUMBER($J69),IF(TODAY()&gt;$J69,"OVERDUE","Pending"),IF($H69="","Pending","CHECK DATE"))))</f>
        <v/>
      </c>
      <c r="M69" s="16" t="n"/>
      <c r="N69" s="16" t="n"/>
    </row>
    <row r="70">
      <c r="B70" s="17">
        <f>IF($D70="","","ME"&amp;TEXT(ROW()-5,"000"))</f>
        <v/>
      </c>
      <c r="C70" s="18" t="n"/>
      <c r="D70" s="16" t="n"/>
      <c r="E70" s="17">
        <f>IF($D70="","",IFERROR(INDEX(rngCadetPIDs,MATCH($D70,rngCadetNames,0)),"?"))</f>
        <v/>
      </c>
      <c r="F70" s="16" t="n"/>
      <c r="G70" s="16" t="n"/>
      <c r="H70" s="19">
        <f>IF($D70="","",IF($C70="","(enter date)",_xlfn.LET(_xlpm.dn,_xlfn.XLOOKUP($C70,nrCDdate,nrCDnum,"",1),IF(_xlpm.dn="","(after last class day)",_xlfn.LET(_xlpm.dd,_xlfn.XLOOKUP(_xlpm.dn+cfgMemoDueClassDays,nrCDnum,nrCDdate,""),_xlpm.ok,_xlfn.XLOOKUP(_xlpm.dn+cfgMemoDueClassDays,nrCDnum,nrCDinsession,"No"),IF(OR(_xlpm.dd="",_xlpm.ok&lt;&gt;"Yes"),"(after last class day)",_xlpm.dd))))))</f>
        <v/>
      </c>
      <c r="I70" s="18" t="n"/>
      <c r="J70" s="19">
        <f>IF($D70="","",IF($I70&lt;&gt;"",$I70,IF(ISNUMBER($H70),$H70,"")))</f>
        <v/>
      </c>
      <c r="K70" s="18" t="n"/>
      <c r="L70" s="17">
        <f>IF($D70="","",IF($K70&lt;&gt;"","Received "&amp;TEXT($K70,"mm/dd"),IF(ISNUMBER($J70),IF(TODAY()&gt;$J70,"OVERDUE","Pending"),IF($H70="","Pending","CHECK DATE"))))</f>
        <v/>
      </c>
      <c r="M70" s="16" t="n"/>
      <c r="N70" s="16" t="n"/>
    </row>
    <row r="71">
      <c r="B71" s="17">
        <f>IF($D71="","","ME"&amp;TEXT(ROW()-5,"000"))</f>
        <v/>
      </c>
      <c r="C71" s="18" t="n"/>
      <c r="D71" s="16" t="n"/>
      <c r="E71" s="17">
        <f>IF($D71="","",IFERROR(INDEX(rngCadetPIDs,MATCH($D71,rngCadetNames,0)),"?"))</f>
        <v/>
      </c>
      <c r="F71" s="16" t="n"/>
      <c r="G71" s="16" t="n"/>
      <c r="H71" s="19">
        <f>IF($D71="","",IF($C71="","(enter date)",_xlfn.LET(_xlpm.dn,_xlfn.XLOOKUP($C71,nrCDdate,nrCDnum,"",1),IF(_xlpm.dn="","(after last class day)",_xlfn.LET(_xlpm.dd,_xlfn.XLOOKUP(_xlpm.dn+cfgMemoDueClassDays,nrCDnum,nrCDdate,""),_xlpm.ok,_xlfn.XLOOKUP(_xlpm.dn+cfgMemoDueClassDays,nrCDnum,nrCDinsession,"No"),IF(OR(_xlpm.dd="",_xlpm.ok&lt;&gt;"Yes"),"(after last class day)",_xlpm.dd))))))</f>
        <v/>
      </c>
      <c r="I71" s="18" t="n"/>
      <c r="J71" s="19">
        <f>IF($D71="","",IF($I71&lt;&gt;"",$I71,IF(ISNUMBER($H71),$H71,"")))</f>
        <v/>
      </c>
      <c r="K71" s="18" t="n"/>
      <c r="L71" s="17">
        <f>IF($D71="","",IF($K71&lt;&gt;"","Received "&amp;TEXT($K71,"mm/dd"),IF(ISNUMBER($J71),IF(TODAY()&gt;$J71,"OVERDUE","Pending"),IF($H71="","Pending","CHECK DATE"))))</f>
        <v/>
      </c>
      <c r="M71" s="16" t="n"/>
      <c r="N71" s="16" t="n"/>
    </row>
    <row r="72">
      <c r="B72" s="17">
        <f>IF($D72="","","ME"&amp;TEXT(ROW()-5,"000"))</f>
        <v/>
      </c>
      <c r="C72" s="18" t="n"/>
      <c r="D72" s="16" t="n"/>
      <c r="E72" s="17">
        <f>IF($D72="","",IFERROR(INDEX(rngCadetPIDs,MATCH($D72,rngCadetNames,0)),"?"))</f>
        <v/>
      </c>
      <c r="F72" s="16" t="n"/>
      <c r="G72" s="16" t="n"/>
      <c r="H72" s="19">
        <f>IF($D72="","",IF($C72="","(enter date)",_xlfn.LET(_xlpm.dn,_xlfn.XLOOKUP($C72,nrCDdate,nrCDnum,"",1),IF(_xlpm.dn="","(after last class day)",_xlfn.LET(_xlpm.dd,_xlfn.XLOOKUP(_xlpm.dn+cfgMemoDueClassDays,nrCDnum,nrCDdate,""),_xlpm.ok,_xlfn.XLOOKUP(_xlpm.dn+cfgMemoDueClassDays,nrCDnum,nrCDinsession,"No"),IF(OR(_xlpm.dd="",_xlpm.ok&lt;&gt;"Yes"),"(after last class day)",_xlpm.dd))))))</f>
        <v/>
      </c>
      <c r="I72" s="18" t="n"/>
      <c r="J72" s="19">
        <f>IF($D72="","",IF($I72&lt;&gt;"",$I72,IF(ISNUMBER($H72),$H72,"")))</f>
        <v/>
      </c>
      <c r="K72" s="18" t="n"/>
      <c r="L72" s="17">
        <f>IF($D72="","",IF($K72&lt;&gt;"","Received "&amp;TEXT($K72,"mm/dd"),IF(ISNUMBER($J72),IF(TODAY()&gt;$J72,"OVERDUE","Pending"),IF($H72="","Pending","CHECK DATE"))))</f>
        <v/>
      </c>
      <c r="M72" s="16" t="n"/>
      <c r="N72" s="16" t="n"/>
    </row>
    <row r="73">
      <c r="B73" s="17">
        <f>IF($D73="","","ME"&amp;TEXT(ROW()-5,"000"))</f>
        <v/>
      </c>
      <c r="C73" s="18" t="n"/>
      <c r="D73" s="16" t="n"/>
      <c r="E73" s="17">
        <f>IF($D73="","",IFERROR(INDEX(rngCadetPIDs,MATCH($D73,rngCadetNames,0)),"?"))</f>
        <v/>
      </c>
      <c r="F73" s="16" t="n"/>
      <c r="G73" s="16" t="n"/>
      <c r="H73" s="19">
        <f>IF($D73="","",IF($C73="","(enter date)",_xlfn.LET(_xlpm.dn,_xlfn.XLOOKUP($C73,nrCDdate,nrCDnum,"",1),IF(_xlpm.dn="","(after last class day)",_xlfn.LET(_xlpm.dd,_xlfn.XLOOKUP(_xlpm.dn+cfgMemoDueClassDays,nrCDnum,nrCDdate,""),_xlpm.ok,_xlfn.XLOOKUP(_xlpm.dn+cfgMemoDueClassDays,nrCDnum,nrCDinsession,"No"),IF(OR(_xlpm.dd="",_xlpm.ok&lt;&gt;"Yes"),"(after last class day)",_xlpm.dd))))))</f>
        <v/>
      </c>
      <c r="I73" s="18" t="n"/>
      <c r="J73" s="19">
        <f>IF($D73="","",IF($I73&lt;&gt;"",$I73,IF(ISNUMBER($H73),$H73,"")))</f>
        <v/>
      </c>
      <c r="K73" s="18" t="n"/>
      <c r="L73" s="17">
        <f>IF($D73="","",IF($K73&lt;&gt;"","Received "&amp;TEXT($K73,"mm/dd"),IF(ISNUMBER($J73),IF(TODAY()&gt;$J73,"OVERDUE","Pending"),IF($H73="","Pending","CHECK DATE"))))</f>
        <v/>
      </c>
      <c r="M73" s="16" t="n"/>
      <c r="N73" s="16" t="n"/>
    </row>
    <row r="74">
      <c r="B74" s="17">
        <f>IF($D74="","","ME"&amp;TEXT(ROW()-5,"000"))</f>
        <v/>
      </c>
      <c r="C74" s="18" t="n"/>
      <c r="D74" s="16" t="n"/>
      <c r="E74" s="17">
        <f>IF($D74="","",IFERROR(INDEX(rngCadetPIDs,MATCH($D74,rngCadetNames,0)),"?"))</f>
        <v/>
      </c>
      <c r="F74" s="16" t="n"/>
      <c r="G74" s="16" t="n"/>
      <c r="H74" s="19">
        <f>IF($D74="","",IF($C74="","(enter date)",_xlfn.LET(_xlpm.dn,_xlfn.XLOOKUP($C74,nrCDdate,nrCDnum,"",1),IF(_xlpm.dn="","(after last class day)",_xlfn.LET(_xlpm.dd,_xlfn.XLOOKUP(_xlpm.dn+cfgMemoDueClassDays,nrCDnum,nrCDdate,""),_xlpm.ok,_xlfn.XLOOKUP(_xlpm.dn+cfgMemoDueClassDays,nrCDnum,nrCDinsession,"No"),IF(OR(_xlpm.dd="",_xlpm.ok&lt;&gt;"Yes"),"(after last class day)",_xlpm.dd))))))</f>
        <v/>
      </c>
      <c r="I74" s="18" t="n"/>
      <c r="J74" s="19">
        <f>IF($D74="","",IF($I74&lt;&gt;"",$I74,IF(ISNUMBER($H74),$H74,"")))</f>
        <v/>
      </c>
      <c r="K74" s="18" t="n"/>
      <c r="L74" s="17">
        <f>IF($D74="","",IF($K74&lt;&gt;"","Received "&amp;TEXT($K74,"mm/dd"),IF(ISNUMBER($J74),IF(TODAY()&gt;$J74,"OVERDUE","Pending"),IF($H74="","Pending","CHECK DATE"))))</f>
        <v/>
      </c>
      <c r="M74" s="16" t="n"/>
      <c r="N74" s="16" t="n"/>
    </row>
    <row r="75">
      <c r="B75" s="17">
        <f>IF($D75="","","ME"&amp;TEXT(ROW()-5,"000"))</f>
        <v/>
      </c>
      <c r="C75" s="18" t="n"/>
      <c r="D75" s="16" t="n"/>
      <c r="E75" s="17">
        <f>IF($D75="","",IFERROR(INDEX(rngCadetPIDs,MATCH($D75,rngCadetNames,0)),"?"))</f>
        <v/>
      </c>
      <c r="F75" s="16" t="n"/>
      <c r="G75" s="16" t="n"/>
      <c r="H75" s="19">
        <f>IF($D75="","",IF($C75="","(enter date)",_xlfn.LET(_xlpm.dn,_xlfn.XLOOKUP($C75,nrCDdate,nrCDnum,"",1),IF(_xlpm.dn="","(after last class day)",_xlfn.LET(_xlpm.dd,_xlfn.XLOOKUP(_xlpm.dn+cfgMemoDueClassDays,nrCDnum,nrCDdate,""),_xlpm.ok,_xlfn.XLOOKUP(_xlpm.dn+cfgMemoDueClassDays,nrCDnum,nrCDinsession,"No"),IF(OR(_xlpm.dd="",_xlpm.ok&lt;&gt;"Yes"),"(after last class day)",_xlpm.dd))))))</f>
        <v/>
      </c>
      <c r="I75" s="18" t="n"/>
      <c r="J75" s="19">
        <f>IF($D75="","",IF($I75&lt;&gt;"",$I75,IF(ISNUMBER($H75),$H75,"")))</f>
        <v/>
      </c>
      <c r="K75" s="18" t="n"/>
      <c r="L75" s="17">
        <f>IF($D75="","",IF($K75&lt;&gt;"","Received "&amp;TEXT($K75,"mm/dd"),IF(ISNUMBER($J75),IF(TODAY()&gt;$J75,"OVERDUE","Pending"),IF($H75="","Pending","CHECK DATE"))))</f>
        <v/>
      </c>
      <c r="M75" s="16" t="n"/>
      <c r="N75" s="16" t="n"/>
    </row>
    <row r="76">
      <c r="B76" s="17">
        <f>IF($D76="","","ME"&amp;TEXT(ROW()-5,"000"))</f>
        <v/>
      </c>
      <c r="C76" s="18" t="n"/>
      <c r="D76" s="16" t="n"/>
      <c r="E76" s="17">
        <f>IF($D76="","",IFERROR(INDEX(rngCadetPIDs,MATCH($D76,rngCadetNames,0)),"?"))</f>
        <v/>
      </c>
      <c r="F76" s="16" t="n"/>
      <c r="G76" s="16" t="n"/>
      <c r="H76" s="19">
        <f>IF($D76="","",IF($C76="","(enter date)",_xlfn.LET(_xlpm.dn,_xlfn.XLOOKUP($C76,nrCDdate,nrCDnum,"",1),IF(_xlpm.dn="","(after last class day)",_xlfn.LET(_xlpm.dd,_xlfn.XLOOKUP(_xlpm.dn+cfgMemoDueClassDays,nrCDnum,nrCDdate,""),_xlpm.ok,_xlfn.XLOOKUP(_xlpm.dn+cfgMemoDueClassDays,nrCDnum,nrCDinsession,"No"),IF(OR(_xlpm.dd="",_xlpm.ok&lt;&gt;"Yes"),"(after last class day)",_xlpm.dd))))))</f>
        <v/>
      </c>
      <c r="I76" s="18" t="n"/>
      <c r="J76" s="19">
        <f>IF($D76="","",IF($I76&lt;&gt;"",$I76,IF(ISNUMBER($H76),$H76,"")))</f>
        <v/>
      </c>
      <c r="K76" s="18" t="n"/>
      <c r="L76" s="17">
        <f>IF($D76="","",IF($K76&lt;&gt;"","Received "&amp;TEXT($K76,"mm/dd"),IF(ISNUMBER($J76),IF(TODAY()&gt;$J76,"OVERDUE","Pending"),IF($H76="","Pending","CHECK DATE"))))</f>
        <v/>
      </c>
      <c r="M76" s="16" t="n"/>
      <c r="N76" s="16" t="n"/>
    </row>
    <row r="77">
      <c r="B77" s="17">
        <f>IF($D77="","","ME"&amp;TEXT(ROW()-5,"000"))</f>
        <v/>
      </c>
      <c r="C77" s="18" t="n"/>
      <c r="D77" s="16" t="n"/>
      <c r="E77" s="17">
        <f>IF($D77="","",IFERROR(INDEX(rngCadetPIDs,MATCH($D77,rngCadetNames,0)),"?"))</f>
        <v/>
      </c>
      <c r="F77" s="16" t="n"/>
      <c r="G77" s="16" t="n"/>
      <c r="H77" s="19">
        <f>IF($D77="","",IF($C77="","(enter date)",_xlfn.LET(_xlpm.dn,_xlfn.XLOOKUP($C77,nrCDdate,nrCDnum,"",1),IF(_xlpm.dn="","(after last class day)",_xlfn.LET(_xlpm.dd,_xlfn.XLOOKUP(_xlpm.dn+cfgMemoDueClassDays,nrCDnum,nrCDdate,""),_xlpm.ok,_xlfn.XLOOKUP(_xlpm.dn+cfgMemoDueClassDays,nrCDnum,nrCDinsession,"No"),IF(OR(_xlpm.dd="",_xlpm.ok&lt;&gt;"Yes"),"(after last class day)",_xlpm.dd))))))</f>
        <v/>
      </c>
      <c r="I77" s="18" t="n"/>
      <c r="J77" s="19">
        <f>IF($D77="","",IF($I77&lt;&gt;"",$I77,IF(ISNUMBER($H77),$H77,"")))</f>
        <v/>
      </c>
      <c r="K77" s="18" t="n"/>
      <c r="L77" s="17">
        <f>IF($D77="","",IF($K77&lt;&gt;"","Received "&amp;TEXT($K77,"mm/dd"),IF(ISNUMBER($J77),IF(TODAY()&gt;$J77,"OVERDUE","Pending"),IF($H77="","Pending","CHECK DATE"))))</f>
        <v/>
      </c>
      <c r="M77" s="16" t="n"/>
      <c r="N77" s="16" t="n"/>
    </row>
    <row r="78">
      <c r="B78" s="17">
        <f>IF($D78="","","ME"&amp;TEXT(ROW()-5,"000"))</f>
        <v/>
      </c>
      <c r="C78" s="18" t="n"/>
      <c r="D78" s="16" t="n"/>
      <c r="E78" s="17">
        <f>IF($D78="","",IFERROR(INDEX(rngCadetPIDs,MATCH($D78,rngCadetNames,0)),"?"))</f>
        <v/>
      </c>
      <c r="F78" s="16" t="n"/>
      <c r="G78" s="16" t="n"/>
      <c r="H78" s="19">
        <f>IF($D78="","",IF($C78="","(enter date)",_xlfn.LET(_xlpm.dn,_xlfn.XLOOKUP($C78,nrCDdate,nrCDnum,"",1),IF(_xlpm.dn="","(after last class day)",_xlfn.LET(_xlpm.dd,_xlfn.XLOOKUP(_xlpm.dn+cfgMemoDueClassDays,nrCDnum,nrCDdate,""),_xlpm.ok,_xlfn.XLOOKUP(_xlpm.dn+cfgMemoDueClassDays,nrCDnum,nrCDinsession,"No"),IF(OR(_xlpm.dd="",_xlpm.ok&lt;&gt;"Yes"),"(after last class day)",_xlpm.dd))))))</f>
        <v/>
      </c>
      <c r="I78" s="18" t="n"/>
      <c r="J78" s="19">
        <f>IF($D78="","",IF($I78&lt;&gt;"",$I78,IF(ISNUMBER($H78),$H78,"")))</f>
        <v/>
      </c>
      <c r="K78" s="18" t="n"/>
      <c r="L78" s="17">
        <f>IF($D78="","",IF($K78&lt;&gt;"","Received "&amp;TEXT($K78,"mm/dd"),IF(ISNUMBER($J78),IF(TODAY()&gt;$J78,"OVERDUE","Pending"),IF($H78="","Pending","CHECK DATE"))))</f>
        <v/>
      </c>
      <c r="M78" s="16" t="n"/>
      <c r="N78" s="16" t="n"/>
    </row>
    <row r="79">
      <c r="B79" s="17">
        <f>IF($D79="","","ME"&amp;TEXT(ROW()-5,"000"))</f>
        <v/>
      </c>
      <c r="C79" s="18" t="n"/>
      <c r="D79" s="16" t="n"/>
      <c r="E79" s="17">
        <f>IF($D79="","",IFERROR(INDEX(rngCadetPIDs,MATCH($D79,rngCadetNames,0)),"?"))</f>
        <v/>
      </c>
      <c r="F79" s="16" t="n"/>
      <c r="G79" s="16" t="n"/>
      <c r="H79" s="19">
        <f>IF($D79="","",IF($C79="","(enter date)",_xlfn.LET(_xlpm.dn,_xlfn.XLOOKUP($C79,nrCDdate,nrCDnum,"",1),IF(_xlpm.dn="","(after last class day)",_xlfn.LET(_xlpm.dd,_xlfn.XLOOKUP(_xlpm.dn+cfgMemoDueClassDays,nrCDnum,nrCDdate,""),_xlpm.ok,_xlfn.XLOOKUP(_xlpm.dn+cfgMemoDueClassDays,nrCDnum,nrCDinsession,"No"),IF(OR(_xlpm.dd="",_xlpm.ok&lt;&gt;"Yes"),"(after last class day)",_xlpm.dd))))))</f>
        <v/>
      </c>
      <c r="I79" s="18" t="n"/>
      <c r="J79" s="19">
        <f>IF($D79="","",IF($I79&lt;&gt;"",$I79,IF(ISNUMBER($H79),$H79,"")))</f>
        <v/>
      </c>
      <c r="K79" s="18" t="n"/>
      <c r="L79" s="17">
        <f>IF($D79="","",IF($K79&lt;&gt;"","Received "&amp;TEXT($K79,"mm/dd"),IF(ISNUMBER($J79),IF(TODAY()&gt;$J79,"OVERDUE","Pending"),IF($H79="","Pending","CHECK DATE"))))</f>
        <v/>
      </c>
      <c r="M79" s="16" t="n"/>
      <c r="N79" s="16" t="n"/>
    </row>
    <row r="80">
      <c r="B80" s="17">
        <f>IF($D80="","","ME"&amp;TEXT(ROW()-5,"000"))</f>
        <v/>
      </c>
      <c r="C80" s="18" t="n"/>
      <c r="D80" s="16" t="n"/>
      <c r="E80" s="17">
        <f>IF($D80="","",IFERROR(INDEX(rngCadetPIDs,MATCH($D80,rngCadetNames,0)),"?"))</f>
        <v/>
      </c>
      <c r="F80" s="16" t="n"/>
      <c r="G80" s="16" t="n"/>
      <c r="H80" s="19">
        <f>IF($D80="","",IF($C80="","(enter date)",_xlfn.LET(_xlpm.dn,_xlfn.XLOOKUP($C80,nrCDdate,nrCDnum,"",1),IF(_xlpm.dn="","(after last class day)",_xlfn.LET(_xlpm.dd,_xlfn.XLOOKUP(_xlpm.dn+cfgMemoDueClassDays,nrCDnum,nrCDdate,""),_xlpm.ok,_xlfn.XLOOKUP(_xlpm.dn+cfgMemoDueClassDays,nrCDnum,nrCDinsession,"No"),IF(OR(_xlpm.dd="",_xlpm.ok&lt;&gt;"Yes"),"(after last class day)",_xlpm.dd))))))</f>
        <v/>
      </c>
      <c r="I80" s="18" t="n"/>
      <c r="J80" s="19">
        <f>IF($D80="","",IF($I80&lt;&gt;"",$I80,IF(ISNUMBER($H80),$H80,"")))</f>
        <v/>
      </c>
      <c r="K80" s="18" t="n"/>
      <c r="L80" s="17">
        <f>IF($D80="","",IF($K80&lt;&gt;"","Received "&amp;TEXT($K80,"mm/dd"),IF(ISNUMBER($J80),IF(TODAY()&gt;$J80,"OVERDUE","Pending"),IF($H80="","Pending","CHECK DATE"))))</f>
        <v/>
      </c>
      <c r="M80" s="16" t="n"/>
      <c r="N80" s="16" t="n"/>
    </row>
    <row r="81">
      <c r="B81" s="17">
        <f>IF($D81="","","ME"&amp;TEXT(ROW()-5,"000"))</f>
        <v/>
      </c>
      <c r="C81" s="18" t="n"/>
      <c r="D81" s="16" t="n"/>
      <c r="E81" s="17">
        <f>IF($D81="","",IFERROR(INDEX(rngCadetPIDs,MATCH($D81,rngCadetNames,0)),"?"))</f>
        <v/>
      </c>
      <c r="F81" s="16" t="n"/>
      <c r="G81" s="16" t="n"/>
      <c r="H81" s="19">
        <f>IF($D81="","",IF($C81="","(enter date)",_xlfn.LET(_xlpm.dn,_xlfn.XLOOKUP($C81,nrCDdate,nrCDnum,"",1),IF(_xlpm.dn="","(after last class day)",_xlfn.LET(_xlpm.dd,_xlfn.XLOOKUP(_xlpm.dn+cfgMemoDueClassDays,nrCDnum,nrCDdate,""),_xlpm.ok,_xlfn.XLOOKUP(_xlpm.dn+cfgMemoDueClassDays,nrCDnum,nrCDinsession,"No"),IF(OR(_xlpm.dd="",_xlpm.ok&lt;&gt;"Yes"),"(after last class day)",_xlpm.dd))))))</f>
        <v/>
      </c>
      <c r="I81" s="18" t="n"/>
      <c r="J81" s="19">
        <f>IF($D81="","",IF($I81&lt;&gt;"",$I81,IF(ISNUMBER($H81),$H81,"")))</f>
        <v/>
      </c>
      <c r="K81" s="18" t="n"/>
      <c r="L81" s="17">
        <f>IF($D81="","",IF($K81&lt;&gt;"","Received "&amp;TEXT($K81,"mm/dd"),IF(ISNUMBER($J81),IF(TODAY()&gt;$J81,"OVERDUE","Pending"),IF($H81="","Pending","CHECK DATE"))))</f>
        <v/>
      </c>
      <c r="M81" s="16" t="n"/>
      <c r="N81" s="16" t="n"/>
    </row>
    <row r="82">
      <c r="B82" s="17">
        <f>IF($D82="","","ME"&amp;TEXT(ROW()-5,"000"))</f>
        <v/>
      </c>
      <c r="C82" s="18" t="n"/>
      <c r="D82" s="16" t="n"/>
      <c r="E82" s="17">
        <f>IF($D82="","",IFERROR(INDEX(rngCadetPIDs,MATCH($D82,rngCadetNames,0)),"?"))</f>
        <v/>
      </c>
      <c r="F82" s="16" t="n"/>
      <c r="G82" s="16" t="n"/>
      <c r="H82" s="19">
        <f>IF($D82="","",IF($C82="","(enter date)",_xlfn.LET(_xlpm.dn,_xlfn.XLOOKUP($C82,nrCDdate,nrCDnum,"",1),IF(_xlpm.dn="","(after last class day)",_xlfn.LET(_xlpm.dd,_xlfn.XLOOKUP(_xlpm.dn+cfgMemoDueClassDays,nrCDnum,nrCDdate,""),_xlpm.ok,_xlfn.XLOOKUP(_xlpm.dn+cfgMemoDueClassDays,nrCDnum,nrCDinsession,"No"),IF(OR(_xlpm.dd="",_xlpm.ok&lt;&gt;"Yes"),"(after last class day)",_xlpm.dd))))))</f>
        <v/>
      </c>
      <c r="I82" s="18" t="n"/>
      <c r="J82" s="19">
        <f>IF($D82="","",IF($I82&lt;&gt;"",$I82,IF(ISNUMBER($H82),$H82,"")))</f>
        <v/>
      </c>
      <c r="K82" s="18" t="n"/>
      <c r="L82" s="17">
        <f>IF($D82="","",IF($K82&lt;&gt;"","Received "&amp;TEXT($K82,"mm/dd"),IF(ISNUMBER($J82),IF(TODAY()&gt;$J82,"OVERDUE","Pending"),IF($H82="","Pending","CHECK DATE"))))</f>
        <v/>
      </c>
      <c r="M82" s="16" t="n"/>
      <c r="N82" s="16" t="n"/>
    </row>
    <row r="83">
      <c r="B83" s="17">
        <f>IF($D83="","","ME"&amp;TEXT(ROW()-5,"000"))</f>
        <v/>
      </c>
      <c r="C83" s="18" t="n"/>
      <c r="D83" s="16" t="n"/>
      <c r="E83" s="17">
        <f>IF($D83="","",IFERROR(INDEX(rngCadetPIDs,MATCH($D83,rngCadetNames,0)),"?"))</f>
        <v/>
      </c>
      <c r="F83" s="16" t="n"/>
      <c r="G83" s="16" t="n"/>
      <c r="H83" s="19">
        <f>IF($D83="","",IF($C83="","(enter date)",_xlfn.LET(_xlpm.dn,_xlfn.XLOOKUP($C83,nrCDdate,nrCDnum,"",1),IF(_xlpm.dn="","(after last class day)",_xlfn.LET(_xlpm.dd,_xlfn.XLOOKUP(_xlpm.dn+cfgMemoDueClassDays,nrCDnum,nrCDdate,""),_xlpm.ok,_xlfn.XLOOKUP(_xlpm.dn+cfgMemoDueClassDays,nrCDnum,nrCDinsession,"No"),IF(OR(_xlpm.dd="",_xlpm.ok&lt;&gt;"Yes"),"(after last class day)",_xlpm.dd))))))</f>
        <v/>
      </c>
      <c r="I83" s="18" t="n"/>
      <c r="J83" s="19">
        <f>IF($D83="","",IF($I83&lt;&gt;"",$I83,IF(ISNUMBER($H83),$H83,"")))</f>
        <v/>
      </c>
      <c r="K83" s="18" t="n"/>
      <c r="L83" s="17">
        <f>IF($D83="","",IF($K83&lt;&gt;"","Received "&amp;TEXT($K83,"mm/dd"),IF(ISNUMBER($J83),IF(TODAY()&gt;$J83,"OVERDUE","Pending"),IF($H83="","Pending","CHECK DATE"))))</f>
        <v/>
      </c>
      <c r="M83" s="16" t="n"/>
      <c r="N83" s="16" t="n"/>
    </row>
    <row r="84">
      <c r="B84" s="17">
        <f>IF($D84="","","ME"&amp;TEXT(ROW()-5,"000"))</f>
        <v/>
      </c>
      <c r="C84" s="18" t="n"/>
      <c r="D84" s="16" t="n"/>
      <c r="E84" s="17">
        <f>IF($D84="","",IFERROR(INDEX(rngCadetPIDs,MATCH($D84,rngCadetNames,0)),"?"))</f>
        <v/>
      </c>
      <c r="F84" s="16" t="n"/>
      <c r="G84" s="16" t="n"/>
      <c r="H84" s="19">
        <f>IF($D84="","",IF($C84="","(enter date)",_xlfn.LET(_xlpm.dn,_xlfn.XLOOKUP($C84,nrCDdate,nrCDnum,"",1),IF(_xlpm.dn="","(after last class day)",_xlfn.LET(_xlpm.dd,_xlfn.XLOOKUP(_xlpm.dn+cfgMemoDueClassDays,nrCDnum,nrCDdate,""),_xlpm.ok,_xlfn.XLOOKUP(_xlpm.dn+cfgMemoDueClassDays,nrCDnum,nrCDinsession,"No"),IF(OR(_xlpm.dd="",_xlpm.ok&lt;&gt;"Yes"),"(after last class day)",_xlpm.dd))))))</f>
        <v/>
      </c>
      <c r="I84" s="18" t="n"/>
      <c r="J84" s="19">
        <f>IF($D84="","",IF($I84&lt;&gt;"",$I84,IF(ISNUMBER($H84),$H84,"")))</f>
        <v/>
      </c>
      <c r="K84" s="18" t="n"/>
      <c r="L84" s="17">
        <f>IF($D84="","",IF($K84&lt;&gt;"","Received "&amp;TEXT($K84,"mm/dd"),IF(ISNUMBER($J84),IF(TODAY()&gt;$J84,"OVERDUE","Pending"),IF($H84="","Pending","CHECK DATE"))))</f>
        <v/>
      </c>
      <c r="M84" s="16" t="n"/>
      <c r="N84" s="16" t="n"/>
    </row>
    <row r="85">
      <c r="B85" s="17">
        <f>IF($D85="","","ME"&amp;TEXT(ROW()-5,"000"))</f>
        <v/>
      </c>
      <c r="C85" s="18" t="n"/>
      <c r="D85" s="16" t="n"/>
      <c r="E85" s="17">
        <f>IF($D85="","",IFERROR(INDEX(rngCadetPIDs,MATCH($D85,rngCadetNames,0)),"?"))</f>
        <v/>
      </c>
      <c r="F85" s="16" t="n"/>
      <c r="G85" s="16" t="n"/>
      <c r="H85" s="19">
        <f>IF($D85="","",IF($C85="","(enter date)",_xlfn.LET(_xlpm.dn,_xlfn.XLOOKUP($C85,nrCDdate,nrCDnum,"",1),IF(_xlpm.dn="","(after last class day)",_xlfn.LET(_xlpm.dd,_xlfn.XLOOKUP(_xlpm.dn+cfgMemoDueClassDays,nrCDnum,nrCDdate,""),_xlpm.ok,_xlfn.XLOOKUP(_xlpm.dn+cfgMemoDueClassDays,nrCDnum,nrCDinsession,"No"),IF(OR(_xlpm.dd="",_xlpm.ok&lt;&gt;"Yes"),"(after last class day)",_xlpm.dd))))))</f>
        <v/>
      </c>
      <c r="I85" s="18" t="n"/>
      <c r="J85" s="19">
        <f>IF($D85="","",IF($I85&lt;&gt;"",$I85,IF(ISNUMBER($H85),$H85,"")))</f>
        <v/>
      </c>
      <c r="K85" s="18" t="n"/>
      <c r="L85" s="17">
        <f>IF($D85="","",IF($K85&lt;&gt;"","Received "&amp;TEXT($K85,"mm/dd"),IF(ISNUMBER($J85),IF(TODAY()&gt;$J85,"OVERDUE","Pending"),IF($H85="","Pending","CHECK DATE"))))</f>
        <v/>
      </c>
      <c r="M85" s="16" t="n"/>
      <c r="N85" s="16" t="n"/>
    </row>
    <row r="86">
      <c r="B86" s="17">
        <f>IF($D86="","","ME"&amp;TEXT(ROW()-5,"000"))</f>
        <v/>
      </c>
      <c r="C86" s="18" t="n"/>
      <c r="D86" s="16" t="n"/>
      <c r="E86" s="17">
        <f>IF($D86="","",IFERROR(INDEX(rngCadetPIDs,MATCH($D86,rngCadetNames,0)),"?"))</f>
        <v/>
      </c>
      <c r="F86" s="16" t="n"/>
      <c r="G86" s="16" t="n"/>
      <c r="H86" s="19">
        <f>IF($D86="","",IF($C86="","(enter date)",_xlfn.LET(_xlpm.dn,_xlfn.XLOOKUP($C86,nrCDdate,nrCDnum,"",1),IF(_xlpm.dn="","(after last class day)",_xlfn.LET(_xlpm.dd,_xlfn.XLOOKUP(_xlpm.dn+cfgMemoDueClassDays,nrCDnum,nrCDdate,""),_xlpm.ok,_xlfn.XLOOKUP(_xlpm.dn+cfgMemoDueClassDays,nrCDnum,nrCDinsession,"No"),IF(OR(_xlpm.dd="",_xlpm.ok&lt;&gt;"Yes"),"(after last class day)",_xlpm.dd))))))</f>
        <v/>
      </c>
      <c r="I86" s="18" t="n"/>
      <c r="J86" s="19">
        <f>IF($D86="","",IF($I86&lt;&gt;"",$I86,IF(ISNUMBER($H86),$H86,"")))</f>
        <v/>
      </c>
      <c r="K86" s="18" t="n"/>
      <c r="L86" s="17">
        <f>IF($D86="","",IF($K86&lt;&gt;"","Received "&amp;TEXT($K86,"mm/dd"),IF(ISNUMBER($J86),IF(TODAY()&gt;$J86,"OVERDUE","Pending"),IF($H86="","Pending","CHECK DATE"))))</f>
        <v/>
      </c>
      <c r="M86" s="16" t="n"/>
      <c r="N86" s="16" t="n"/>
    </row>
    <row r="87">
      <c r="B87" s="17">
        <f>IF($D87="","","ME"&amp;TEXT(ROW()-5,"000"))</f>
        <v/>
      </c>
      <c r="C87" s="18" t="n"/>
      <c r="D87" s="16" t="n"/>
      <c r="E87" s="17">
        <f>IF($D87="","",IFERROR(INDEX(rngCadetPIDs,MATCH($D87,rngCadetNames,0)),"?"))</f>
        <v/>
      </c>
      <c r="F87" s="16" t="n"/>
      <c r="G87" s="16" t="n"/>
      <c r="H87" s="19">
        <f>IF($D87="","",IF($C87="","(enter date)",_xlfn.LET(_xlpm.dn,_xlfn.XLOOKUP($C87,nrCDdate,nrCDnum,"",1),IF(_xlpm.dn="","(after last class day)",_xlfn.LET(_xlpm.dd,_xlfn.XLOOKUP(_xlpm.dn+cfgMemoDueClassDays,nrCDnum,nrCDdate,""),_xlpm.ok,_xlfn.XLOOKUP(_xlpm.dn+cfgMemoDueClassDays,nrCDnum,nrCDinsession,"No"),IF(OR(_xlpm.dd="",_xlpm.ok&lt;&gt;"Yes"),"(after last class day)",_xlpm.dd))))))</f>
        <v/>
      </c>
      <c r="I87" s="18" t="n"/>
      <c r="J87" s="19">
        <f>IF($D87="","",IF($I87&lt;&gt;"",$I87,IF(ISNUMBER($H87),$H87,"")))</f>
        <v/>
      </c>
      <c r="K87" s="18" t="n"/>
      <c r="L87" s="17">
        <f>IF($D87="","",IF($K87&lt;&gt;"","Received "&amp;TEXT($K87,"mm/dd"),IF(ISNUMBER($J87),IF(TODAY()&gt;$J87,"OVERDUE","Pending"),IF($H87="","Pending","CHECK DATE"))))</f>
        <v/>
      </c>
      <c r="M87" s="16" t="n"/>
      <c r="N87" s="16" t="n"/>
    </row>
    <row r="88">
      <c r="B88" s="17">
        <f>IF($D88="","","ME"&amp;TEXT(ROW()-5,"000"))</f>
        <v/>
      </c>
      <c r="C88" s="18" t="n"/>
      <c r="D88" s="16" t="n"/>
      <c r="E88" s="17">
        <f>IF($D88="","",IFERROR(INDEX(rngCadetPIDs,MATCH($D88,rngCadetNames,0)),"?"))</f>
        <v/>
      </c>
      <c r="F88" s="16" t="n"/>
      <c r="G88" s="16" t="n"/>
      <c r="H88" s="19">
        <f>IF($D88="","",IF($C88="","(enter date)",_xlfn.LET(_xlpm.dn,_xlfn.XLOOKUP($C88,nrCDdate,nrCDnum,"",1),IF(_xlpm.dn="","(after last class day)",_xlfn.LET(_xlpm.dd,_xlfn.XLOOKUP(_xlpm.dn+cfgMemoDueClassDays,nrCDnum,nrCDdate,""),_xlpm.ok,_xlfn.XLOOKUP(_xlpm.dn+cfgMemoDueClassDays,nrCDnum,nrCDinsession,"No"),IF(OR(_xlpm.dd="",_xlpm.ok&lt;&gt;"Yes"),"(after last class day)",_xlpm.dd))))))</f>
        <v/>
      </c>
      <c r="I88" s="18" t="n"/>
      <c r="J88" s="19">
        <f>IF($D88="","",IF($I88&lt;&gt;"",$I88,IF(ISNUMBER($H88),$H88,"")))</f>
        <v/>
      </c>
      <c r="K88" s="18" t="n"/>
      <c r="L88" s="17">
        <f>IF($D88="","",IF($K88&lt;&gt;"","Received "&amp;TEXT($K88,"mm/dd"),IF(ISNUMBER($J88),IF(TODAY()&gt;$J88,"OVERDUE","Pending"),IF($H88="","Pending","CHECK DATE"))))</f>
        <v/>
      </c>
      <c r="M88" s="16" t="n"/>
      <c r="N88" s="16" t="n"/>
    </row>
    <row r="89">
      <c r="B89" s="17">
        <f>IF($D89="","","ME"&amp;TEXT(ROW()-5,"000"))</f>
        <v/>
      </c>
      <c r="C89" s="18" t="n"/>
      <c r="D89" s="16" t="n"/>
      <c r="E89" s="17">
        <f>IF($D89="","",IFERROR(INDEX(rngCadetPIDs,MATCH($D89,rngCadetNames,0)),"?"))</f>
        <v/>
      </c>
      <c r="F89" s="16" t="n"/>
      <c r="G89" s="16" t="n"/>
      <c r="H89" s="19">
        <f>IF($D89="","",IF($C89="","(enter date)",_xlfn.LET(_xlpm.dn,_xlfn.XLOOKUP($C89,nrCDdate,nrCDnum,"",1),IF(_xlpm.dn="","(after last class day)",_xlfn.LET(_xlpm.dd,_xlfn.XLOOKUP(_xlpm.dn+cfgMemoDueClassDays,nrCDnum,nrCDdate,""),_xlpm.ok,_xlfn.XLOOKUP(_xlpm.dn+cfgMemoDueClassDays,nrCDnum,nrCDinsession,"No"),IF(OR(_xlpm.dd="",_xlpm.ok&lt;&gt;"Yes"),"(after last class day)",_xlpm.dd))))))</f>
        <v/>
      </c>
      <c r="I89" s="18" t="n"/>
      <c r="J89" s="19">
        <f>IF($D89="","",IF($I89&lt;&gt;"",$I89,IF(ISNUMBER($H89),$H89,"")))</f>
        <v/>
      </c>
      <c r="K89" s="18" t="n"/>
      <c r="L89" s="17">
        <f>IF($D89="","",IF($K89&lt;&gt;"","Received "&amp;TEXT($K89,"mm/dd"),IF(ISNUMBER($J89),IF(TODAY()&gt;$J89,"OVERDUE","Pending"),IF($H89="","Pending","CHECK DATE"))))</f>
        <v/>
      </c>
      <c r="M89" s="16" t="n"/>
      <c r="N89" s="16" t="n"/>
    </row>
    <row r="90">
      <c r="B90" s="17">
        <f>IF($D90="","","ME"&amp;TEXT(ROW()-5,"000"))</f>
        <v/>
      </c>
      <c r="C90" s="18" t="n"/>
      <c r="D90" s="16" t="n"/>
      <c r="E90" s="17">
        <f>IF($D90="","",IFERROR(INDEX(rngCadetPIDs,MATCH($D90,rngCadetNames,0)),"?"))</f>
        <v/>
      </c>
      <c r="F90" s="16" t="n"/>
      <c r="G90" s="16" t="n"/>
      <c r="H90" s="19">
        <f>IF($D90="","",IF($C90="","(enter date)",_xlfn.LET(_xlpm.dn,_xlfn.XLOOKUP($C90,nrCDdate,nrCDnum,"",1),IF(_xlpm.dn="","(after last class day)",_xlfn.LET(_xlpm.dd,_xlfn.XLOOKUP(_xlpm.dn+cfgMemoDueClassDays,nrCDnum,nrCDdate,""),_xlpm.ok,_xlfn.XLOOKUP(_xlpm.dn+cfgMemoDueClassDays,nrCDnum,nrCDinsession,"No"),IF(OR(_xlpm.dd="",_xlpm.ok&lt;&gt;"Yes"),"(after last class day)",_xlpm.dd))))))</f>
        <v/>
      </c>
      <c r="I90" s="18" t="n"/>
      <c r="J90" s="19">
        <f>IF($D90="","",IF($I90&lt;&gt;"",$I90,IF(ISNUMBER($H90),$H90,"")))</f>
        <v/>
      </c>
      <c r="K90" s="18" t="n"/>
      <c r="L90" s="17">
        <f>IF($D90="","",IF($K90&lt;&gt;"","Received "&amp;TEXT($K90,"mm/dd"),IF(ISNUMBER($J90),IF(TODAY()&gt;$J90,"OVERDUE","Pending"),IF($H90="","Pending","CHECK DATE"))))</f>
        <v/>
      </c>
      <c r="M90" s="16" t="n"/>
      <c r="N90" s="16" t="n"/>
    </row>
    <row r="91">
      <c r="B91" s="17">
        <f>IF($D91="","","ME"&amp;TEXT(ROW()-5,"000"))</f>
        <v/>
      </c>
      <c r="C91" s="18" t="n"/>
      <c r="D91" s="16" t="n"/>
      <c r="E91" s="17">
        <f>IF($D91="","",IFERROR(INDEX(rngCadetPIDs,MATCH($D91,rngCadetNames,0)),"?"))</f>
        <v/>
      </c>
      <c r="F91" s="16" t="n"/>
      <c r="G91" s="16" t="n"/>
      <c r="H91" s="19">
        <f>IF($D91="","",IF($C91="","(enter date)",_xlfn.LET(_xlpm.dn,_xlfn.XLOOKUP($C91,nrCDdate,nrCDnum,"",1),IF(_xlpm.dn="","(after last class day)",_xlfn.LET(_xlpm.dd,_xlfn.XLOOKUP(_xlpm.dn+cfgMemoDueClassDays,nrCDnum,nrCDdate,""),_xlpm.ok,_xlfn.XLOOKUP(_xlpm.dn+cfgMemoDueClassDays,nrCDnum,nrCDinsession,"No"),IF(OR(_xlpm.dd="",_xlpm.ok&lt;&gt;"Yes"),"(after last class day)",_xlpm.dd))))))</f>
        <v/>
      </c>
      <c r="I91" s="18" t="n"/>
      <c r="J91" s="19">
        <f>IF($D91="","",IF($I91&lt;&gt;"",$I91,IF(ISNUMBER($H91),$H91,"")))</f>
        <v/>
      </c>
      <c r="K91" s="18" t="n"/>
      <c r="L91" s="17">
        <f>IF($D91="","",IF($K91&lt;&gt;"","Received "&amp;TEXT($K91,"mm/dd"),IF(ISNUMBER($J91),IF(TODAY()&gt;$J91,"OVERDUE","Pending"),IF($H91="","Pending","CHECK DATE"))))</f>
        <v/>
      </c>
      <c r="M91" s="16" t="n"/>
      <c r="N91" s="16" t="n"/>
    </row>
    <row r="92">
      <c r="B92" s="17">
        <f>IF($D92="","","ME"&amp;TEXT(ROW()-5,"000"))</f>
        <v/>
      </c>
      <c r="C92" s="18" t="n"/>
      <c r="D92" s="16" t="n"/>
      <c r="E92" s="17">
        <f>IF($D92="","",IFERROR(INDEX(rngCadetPIDs,MATCH($D92,rngCadetNames,0)),"?"))</f>
        <v/>
      </c>
      <c r="F92" s="16" t="n"/>
      <c r="G92" s="16" t="n"/>
      <c r="H92" s="19">
        <f>IF($D92="","",IF($C92="","(enter date)",_xlfn.LET(_xlpm.dn,_xlfn.XLOOKUP($C92,nrCDdate,nrCDnum,"",1),IF(_xlpm.dn="","(after last class day)",_xlfn.LET(_xlpm.dd,_xlfn.XLOOKUP(_xlpm.dn+cfgMemoDueClassDays,nrCDnum,nrCDdate,""),_xlpm.ok,_xlfn.XLOOKUP(_xlpm.dn+cfgMemoDueClassDays,nrCDnum,nrCDinsession,"No"),IF(OR(_xlpm.dd="",_xlpm.ok&lt;&gt;"Yes"),"(after last class day)",_xlpm.dd))))))</f>
        <v/>
      </c>
      <c r="I92" s="18" t="n"/>
      <c r="J92" s="19">
        <f>IF($D92="","",IF($I92&lt;&gt;"",$I92,IF(ISNUMBER($H92),$H92,"")))</f>
        <v/>
      </c>
      <c r="K92" s="18" t="n"/>
      <c r="L92" s="17">
        <f>IF($D92="","",IF($K92&lt;&gt;"","Received "&amp;TEXT($K92,"mm/dd"),IF(ISNUMBER($J92),IF(TODAY()&gt;$J92,"OVERDUE","Pending"),IF($H92="","Pending","CHECK DATE"))))</f>
        <v/>
      </c>
      <c r="M92" s="16" t="n"/>
      <c r="N92" s="16" t="n"/>
    </row>
    <row r="93">
      <c r="B93" s="17">
        <f>IF($D93="","","ME"&amp;TEXT(ROW()-5,"000"))</f>
        <v/>
      </c>
      <c r="C93" s="18" t="n"/>
      <c r="D93" s="16" t="n"/>
      <c r="E93" s="17">
        <f>IF($D93="","",IFERROR(INDEX(rngCadetPIDs,MATCH($D93,rngCadetNames,0)),"?"))</f>
        <v/>
      </c>
      <c r="F93" s="16" t="n"/>
      <c r="G93" s="16" t="n"/>
      <c r="H93" s="19">
        <f>IF($D93="","",IF($C93="","(enter date)",_xlfn.LET(_xlpm.dn,_xlfn.XLOOKUP($C93,nrCDdate,nrCDnum,"",1),IF(_xlpm.dn="","(after last class day)",_xlfn.LET(_xlpm.dd,_xlfn.XLOOKUP(_xlpm.dn+cfgMemoDueClassDays,nrCDnum,nrCDdate,""),_xlpm.ok,_xlfn.XLOOKUP(_xlpm.dn+cfgMemoDueClassDays,nrCDnum,nrCDinsession,"No"),IF(OR(_xlpm.dd="",_xlpm.ok&lt;&gt;"Yes"),"(after last class day)",_xlpm.dd))))))</f>
        <v/>
      </c>
      <c r="I93" s="18" t="n"/>
      <c r="J93" s="19">
        <f>IF($D93="","",IF($I93&lt;&gt;"",$I93,IF(ISNUMBER($H93),$H93,"")))</f>
        <v/>
      </c>
      <c r="K93" s="18" t="n"/>
      <c r="L93" s="17">
        <f>IF($D93="","",IF($K93&lt;&gt;"","Received "&amp;TEXT($K93,"mm/dd"),IF(ISNUMBER($J93),IF(TODAY()&gt;$J93,"OVERDUE","Pending"),IF($H93="","Pending","CHECK DATE"))))</f>
        <v/>
      </c>
      <c r="M93" s="16" t="n"/>
      <c r="N93" s="16" t="n"/>
    </row>
    <row r="94">
      <c r="B94" s="17">
        <f>IF($D94="","","ME"&amp;TEXT(ROW()-5,"000"))</f>
        <v/>
      </c>
      <c r="C94" s="18" t="n"/>
      <c r="D94" s="16" t="n"/>
      <c r="E94" s="17">
        <f>IF($D94="","",IFERROR(INDEX(rngCadetPIDs,MATCH($D94,rngCadetNames,0)),"?"))</f>
        <v/>
      </c>
      <c r="F94" s="16" t="n"/>
      <c r="G94" s="16" t="n"/>
      <c r="H94" s="19">
        <f>IF($D94="","",IF($C94="","(enter date)",_xlfn.LET(_xlpm.dn,_xlfn.XLOOKUP($C94,nrCDdate,nrCDnum,"",1),IF(_xlpm.dn="","(after last class day)",_xlfn.LET(_xlpm.dd,_xlfn.XLOOKUP(_xlpm.dn+cfgMemoDueClassDays,nrCDnum,nrCDdate,""),_xlpm.ok,_xlfn.XLOOKUP(_xlpm.dn+cfgMemoDueClassDays,nrCDnum,nrCDinsession,"No"),IF(OR(_xlpm.dd="",_xlpm.ok&lt;&gt;"Yes"),"(after last class day)",_xlpm.dd))))))</f>
        <v/>
      </c>
      <c r="I94" s="18" t="n"/>
      <c r="J94" s="19">
        <f>IF($D94="","",IF($I94&lt;&gt;"",$I94,IF(ISNUMBER($H94),$H94,"")))</f>
        <v/>
      </c>
      <c r="K94" s="18" t="n"/>
      <c r="L94" s="17">
        <f>IF($D94="","",IF($K94&lt;&gt;"","Received "&amp;TEXT($K94,"mm/dd"),IF(ISNUMBER($J94),IF(TODAY()&gt;$J94,"OVERDUE","Pending"),IF($H94="","Pending","CHECK DATE"))))</f>
        <v/>
      </c>
      <c r="M94" s="16" t="n"/>
      <c r="N94" s="16" t="n"/>
    </row>
    <row r="95">
      <c r="B95" s="17">
        <f>IF($D95="","","ME"&amp;TEXT(ROW()-5,"000"))</f>
        <v/>
      </c>
      <c r="C95" s="18" t="n"/>
      <c r="D95" s="16" t="n"/>
      <c r="E95" s="17">
        <f>IF($D95="","",IFERROR(INDEX(rngCadetPIDs,MATCH($D95,rngCadetNames,0)),"?"))</f>
        <v/>
      </c>
      <c r="F95" s="16" t="n"/>
      <c r="G95" s="16" t="n"/>
      <c r="H95" s="19">
        <f>IF($D95="","",IF($C95="","(enter date)",_xlfn.LET(_xlpm.dn,_xlfn.XLOOKUP($C95,nrCDdate,nrCDnum,"",1),IF(_xlpm.dn="","(after last class day)",_xlfn.LET(_xlpm.dd,_xlfn.XLOOKUP(_xlpm.dn+cfgMemoDueClassDays,nrCDnum,nrCDdate,""),_xlpm.ok,_xlfn.XLOOKUP(_xlpm.dn+cfgMemoDueClassDays,nrCDnum,nrCDinsession,"No"),IF(OR(_xlpm.dd="",_xlpm.ok&lt;&gt;"Yes"),"(after last class day)",_xlpm.dd))))))</f>
        <v/>
      </c>
      <c r="I95" s="18" t="n"/>
      <c r="J95" s="19">
        <f>IF($D95="","",IF($I95&lt;&gt;"",$I95,IF(ISNUMBER($H95),$H95,"")))</f>
        <v/>
      </c>
      <c r="K95" s="18" t="n"/>
      <c r="L95" s="17">
        <f>IF($D95="","",IF($K95&lt;&gt;"","Received "&amp;TEXT($K95,"mm/dd"),IF(ISNUMBER($J95),IF(TODAY()&gt;$J95,"OVERDUE","Pending"),IF($H95="","Pending","CHECK DATE"))))</f>
        <v/>
      </c>
      <c r="M95" s="16" t="n"/>
      <c r="N95" s="16" t="n"/>
    </row>
    <row r="96">
      <c r="B96" s="17">
        <f>IF($D96="","","ME"&amp;TEXT(ROW()-5,"000"))</f>
        <v/>
      </c>
      <c r="C96" s="18" t="n"/>
      <c r="D96" s="16" t="n"/>
      <c r="E96" s="17">
        <f>IF($D96="","",IFERROR(INDEX(rngCadetPIDs,MATCH($D96,rngCadetNames,0)),"?"))</f>
        <v/>
      </c>
      <c r="F96" s="16" t="n"/>
      <c r="G96" s="16" t="n"/>
      <c r="H96" s="19">
        <f>IF($D96="","",IF($C96="","(enter date)",_xlfn.LET(_xlpm.dn,_xlfn.XLOOKUP($C96,nrCDdate,nrCDnum,"",1),IF(_xlpm.dn="","(after last class day)",_xlfn.LET(_xlpm.dd,_xlfn.XLOOKUP(_xlpm.dn+cfgMemoDueClassDays,nrCDnum,nrCDdate,""),_xlpm.ok,_xlfn.XLOOKUP(_xlpm.dn+cfgMemoDueClassDays,nrCDnum,nrCDinsession,"No"),IF(OR(_xlpm.dd="",_xlpm.ok&lt;&gt;"Yes"),"(after last class day)",_xlpm.dd))))))</f>
        <v/>
      </c>
      <c r="I96" s="18" t="n"/>
      <c r="J96" s="19">
        <f>IF($D96="","",IF($I96&lt;&gt;"",$I96,IF(ISNUMBER($H96),$H96,"")))</f>
        <v/>
      </c>
      <c r="K96" s="18" t="n"/>
      <c r="L96" s="17">
        <f>IF($D96="","",IF($K96&lt;&gt;"","Received "&amp;TEXT($K96,"mm/dd"),IF(ISNUMBER($J96),IF(TODAY()&gt;$J96,"OVERDUE","Pending"),IF($H96="","Pending","CHECK DATE"))))</f>
        <v/>
      </c>
      <c r="M96" s="16" t="n"/>
      <c r="N96" s="16" t="n"/>
    </row>
    <row r="97">
      <c r="B97" s="17">
        <f>IF($D97="","","ME"&amp;TEXT(ROW()-5,"000"))</f>
        <v/>
      </c>
      <c r="C97" s="18" t="n"/>
      <c r="D97" s="16" t="n"/>
      <c r="E97" s="17">
        <f>IF($D97="","",IFERROR(INDEX(rngCadetPIDs,MATCH($D97,rngCadetNames,0)),"?"))</f>
        <v/>
      </c>
      <c r="F97" s="16" t="n"/>
      <c r="G97" s="16" t="n"/>
      <c r="H97" s="19">
        <f>IF($D97="","",IF($C97="","(enter date)",_xlfn.LET(_xlpm.dn,_xlfn.XLOOKUP($C97,nrCDdate,nrCDnum,"",1),IF(_xlpm.dn="","(after last class day)",_xlfn.LET(_xlpm.dd,_xlfn.XLOOKUP(_xlpm.dn+cfgMemoDueClassDays,nrCDnum,nrCDdate,""),_xlpm.ok,_xlfn.XLOOKUP(_xlpm.dn+cfgMemoDueClassDays,nrCDnum,nrCDinsession,"No"),IF(OR(_xlpm.dd="",_xlpm.ok&lt;&gt;"Yes"),"(after last class day)",_xlpm.dd))))))</f>
        <v/>
      </c>
      <c r="I97" s="18" t="n"/>
      <c r="J97" s="19">
        <f>IF($D97="","",IF($I97&lt;&gt;"",$I97,IF(ISNUMBER($H97),$H97,"")))</f>
        <v/>
      </c>
      <c r="K97" s="18" t="n"/>
      <c r="L97" s="17">
        <f>IF($D97="","",IF($K97&lt;&gt;"","Received "&amp;TEXT($K97,"mm/dd"),IF(ISNUMBER($J97),IF(TODAY()&gt;$J97,"OVERDUE","Pending"),IF($H97="","Pending","CHECK DATE"))))</f>
        <v/>
      </c>
      <c r="M97" s="16" t="n"/>
      <c r="N97" s="16" t="n"/>
    </row>
    <row r="98">
      <c r="B98" s="17">
        <f>IF($D98="","","ME"&amp;TEXT(ROW()-5,"000"))</f>
        <v/>
      </c>
      <c r="C98" s="18" t="n"/>
      <c r="D98" s="16" t="n"/>
      <c r="E98" s="17">
        <f>IF($D98="","",IFERROR(INDEX(rngCadetPIDs,MATCH($D98,rngCadetNames,0)),"?"))</f>
        <v/>
      </c>
      <c r="F98" s="16" t="n"/>
      <c r="G98" s="16" t="n"/>
      <c r="H98" s="19">
        <f>IF($D98="","",IF($C98="","(enter date)",_xlfn.LET(_xlpm.dn,_xlfn.XLOOKUP($C98,nrCDdate,nrCDnum,"",1),IF(_xlpm.dn="","(after last class day)",_xlfn.LET(_xlpm.dd,_xlfn.XLOOKUP(_xlpm.dn+cfgMemoDueClassDays,nrCDnum,nrCDdate,""),_xlpm.ok,_xlfn.XLOOKUP(_xlpm.dn+cfgMemoDueClassDays,nrCDnum,nrCDinsession,"No"),IF(OR(_xlpm.dd="",_xlpm.ok&lt;&gt;"Yes"),"(after last class day)",_xlpm.dd))))))</f>
        <v/>
      </c>
      <c r="I98" s="18" t="n"/>
      <c r="J98" s="19">
        <f>IF($D98="","",IF($I98&lt;&gt;"",$I98,IF(ISNUMBER($H98),$H98,"")))</f>
        <v/>
      </c>
      <c r="K98" s="18" t="n"/>
      <c r="L98" s="17">
        <f>IF($D98="","",IF($K98&lt;&gt;"","Received "&amp;TEXT($K98,"mm/dd"),IF(ISNUMBER($J98),IF(TODAY()&gt;$J98,"OVERDUE","Pending"),IF($H98="","Pending","CHECK DATE"))))</f>
        <v/>
      </c>
      <c r="M98" s="16" t="n"/>
      <c r="N98" s="16" t="n"/>
    </row>
    <row r="99">
      <c r="B99" s="17">
        <f>IF($D99="","","ME"&amp;TEXT(ROW()-5,"000"))</f>
        <v/>
      </c>
      <c r="C99" s="18" t="n"/>
      <c r="D99" s="16" t="n"/>
      <c r="E99" s="17">
        <f>IF($D99="","",IFERROR(INDEX(rngCadetPIDs,MATCH($D99,rngCadetNames,0)),"?"))</f>
        <v/>
      </c>
      <c r="F99" s="16" t="n"/>
      <c r="G99" s="16" t="n"/>
      <c r="H99" s="19">
        <f>IF($D99="","",IF($C99="","(enter date)",_xlfn.LET(_xlpm.dn,_xlfn.XLOOKUP($C99,nrCDdate,nrCDnum,"",1),IF(_xlpm.dn="","(after last class day)",_xlfn.LET(_xlpm.dd,_xlfn.XLOOKUP(_xlpm.dn+cfgMemoDueClassDays,nrCDnum,nrCDdate,""),_xlpm.ok,_xlfn.XLOOKUP(_xlpm.dn+cfgMemoDueClassDays,nrCDnum,nrCDinsession,"No"),IF(OR(_xlpm.dd="",_xlpm.ok&lt;&gt;"Yes"),"(after last class day)",_xlpm.dd))))))</f>
        <v/>
      </c>
      <c r="I99" s="18" t="n"/>
      <c r="J99" s="19">
        <f>IF($D99="","",IF($I99&lt;&gt;"",$I99,IF(ISNUMBER($H99),$H99,"")))</f>
        <v/>
      </c>
      <c r="K99" s="18" t="n"/>
      <c r="L99" s="17">
        <f>IF($D99="","",IF($K99&lt;&gt;"","Received "&amp;TEXT($K99,"mm/dd"),IF(ISNUMBER($J99),IF(TODAY()&gt;$J99,"OVERDUE","Pending"),IF($H99="","Pending","CHECK DATE"))))</f>
        <v/>
      </c>
      <c r="M99" s="16" t="n"/>
      <c r="N99" s="16" t="n"/>
    </row>
    <row r="100">
      <c r="B100" s="17">
        <f>IF($D100="","","ME"&amp;TEXT(ROW()-5,"000"))</f>
        <v/>
      </c>
      <c r="C100" s="18" t="n"/>
      <c r="D100" s="16" t="n"/>
      <c r="E100" s="17">
        <f>IF($D100="","",IFERROR(INDEX(rngCadetPIDs,MATCH($D100,rngCadetNames,0)),"?"))</f>
        <v/>
      </c>
      <c r="F100" s="16" t="n"/>
      <c r="G100" s="16" t="n"/>
      <c r="H100" s="19">
        <f>IF($D100="","",IF($C100="","(enter date)",_xlfn.LET(_xlpm.dn,_xlfn.XLOOKUP($C100,nrCDdate,nrCDnum,"",1),IF(_xlpm.dn="","(after last class day)",_xlfn.LET(_xlpm.dd,_xlfn.XLOOKUP(_xlpm.dn+cfgMemoDueClassDays,nrCDnum,nrCDdate,""),_xlpm.ok,_xlfn.XLOOKUP(_xlpm.dn+cfgMemoDueClassDays,nrCDnum,nrCDinsession,"No"),IF(OR(_xlpm.dd="",_xlpm.ok&lt;&gt;"Yes"),"(after last class day)",_xlpm.dd))))))</f>
        <v/>
      </c>
      <c r="I100" s="18" t="n"/>
      <c r="J100" s="19">
        <f>IF($D100="","",IF($I100&lt;&gt;"",$I100,IF(ISNUMBER($H100),$H100,"")))</f>
        <v/>
      </c>
      <c r="K100" s="18" t="n"/>
      <c r="L100" s="17">
        <f>IF($D100="","",IF($K100&lt;&gt;"","Received "&amp;TEXT($K100,"mm/dd"),IF(ISNUMBER($J100),IF(TODAY()&gt;$J100,"OVERDUE","Pending"),IF($H100="","Pending","CHECK DATE"))))</f>
        <v/>
      </c>
      <c r="M100" s="16" t="n"/>
      <c r="N100" s="16" t="n"/>
    </row>
    <row r="101">
      <c r="B101" s="17">
        <f>IF($D101="","","ME"&amp;TEXT(ROW()-5,"000"))</f>
        <v/>
      </c>
      <c r="C101" s="18" t="n"/>
      <c r="D101" s="16" t="n"/>
      <c r="E101" s="17">
        <f>IF($D101="","",IFERROR(INDEX(rngCadetPIDs,MATCH($D101,rngCadetNames,0)),"?"))</f>
        <v/>
      </c>
      <c r="F101" s="16" t="n"/>
      <c r="G101" s="16" t="n"/>
      <c r="H101" s="19">
        <f>IF($D101="","",IF($C101="","(enter date)",_xlfn.LET(_xlpm.dn,_xlfn.XLOOKUP($C101,nrCDdate,nrCDnum,"",1),IF(_xlpm.dn="","(after last class day)",_xlfn.LET(_xlpm.dd,_xlfn.XLOOKUP(_xlpm.dn+cfgMemoDueClassDays,nrCDnum,nrCDdate,""),_xlpm.ok,_xlfn.XLOOKUP(_xlpm.dn+cfgMemoDueClassDays,nrCDnum,nrCDinsession,"No"),IF(OR(_xlpm.dd="",_xlpm.ok&lt;&gt;"Yes"),"(after last class day)",_xlpm.dd))))))</f>
        <v/>
      </c>
      <c r="I101" s="18" t="n"/>
      <c r="J101" s="19">
        <f>IF($D101="","",IF($I101&lt;&gt;"",$I101,IF(ISNUMBER($H101),$H101,"")))</f>
        <v/>
      </c>
      <c r="K101" s="18" t="n"/>
      <c r="L101" s="17">
        <f>IF($D101="","",IF($K101&lt;&gt;"","Received "&amp;TEXT($K101,"mm/dd"),IF(ISNUMBER($J101),IF(TODAY()&gt;$J101,"OVERDUE","Pending"),IF($H101="","Pending","CHECK DATE"))))</f>
        <v/>
      </c>
      <c r="M101" s="16" t="n"/>
      <c r="N101" s="16" t="n"/>
    </row>
    <row r="102">
      <c r="B102" s="17">
        <f>IF($D102="","","ME"&amp;TEXT(ROW()-5,"000"))</f>
        <v/>
      </c>
      <c r="C102" s="18" t="n"/>
      <c r="D102" s="16" t="n"/>
      <c r="E102" s="17">
        <f>IF($D102="","",IFERROR(INDEX(rngCadetPIDs,MATCH($D102,rngCadetNames,0)),"?"))</f>
        <v/>
      </c>
      <c r="F102" s="16" t="n"/>
      <c r="G102" s="16" t="n"/>
      <c r="H102" s="19">
        <f>IF($D102="","",IF($C102="","(enter date)",_xlfn.LET(_xlpm.dn,_xlfn.XLOOKUP($C102,nrCDdate,nrCDnum,"",1),IF(_xlpm.dn="","(after last class day)",_xlfn.LET(_xlpm.dd,_xlfn.XLOOKUP(_xlpm.dn+cfgMemoDueClassDays,nrCDnum,nrCDdate,""),_xlpm.ok,_xlfn.XLOOKUP(_xlpm.dn+cfgMemoDueClassDays,nrCDnum,nrCDinsession,"No"),IF(OR(_xlpm.dd="",_xlpm.ok&lt;&gt;"Yes"),"(after last class day)",_xlpm.dd))))))</f>
        <v/>
      </c>
      <c r="I102" s="18" t="n"/>
      <c r="J102" s="19">
        <f>IF($D102="","",IF($I102&lt;&gt;"",$I102,IF(ISNUMBER($H102),$H102,"")))</f>
        <v/>
      </c>
      <c r="K102" s="18" t="n"/>
      <c r="L102" s="17">
        <f>IF($D102="","",IF($K102&lt;&gt;"","Received "&amp;TEXT($K102,"mm/dd"),IF(ISNUMBER($J102),IF(TODAY()&gt;$J102,"OVERDUE","Pending"),IF($H102="","Pending","CHECK DATE"))))</f>
        <v/>
      </c>
      <c r="M102" s="16" t="n"/>
      <c r="N102" s="16" t="n"/>
    </row>
    <row r="103">
      <c r="B103" s="17">
        <f>IF($D103="","","ME"&amp;TEXT(ROW()-5,"000"))</f>
        <v/>
      </c>
      <c r="C103" s="18" t="n"/>
      <c r="D103" s="16" t="n"/>
      <c r="E103" s="17">
        <f>IF($D103="","",IFERROR(INDEX(rngCadetPIDs,MATCH($D103,rngCadetNames,0)),"?"))</f>
        <v/>
      </c>
      <c r="F103" s="16" t="n"/>
      <c r="G103" s="16" t="n"/>
      <c r="H103" s="19">
        <f>IF($D103="","",IF($C103="","(enter date)",_xlfn.LET(_xlpm.dn,_xlfn.XLOOKUP($C103,nrCDdate,nrCDnum,"",1),IF(_xlpm.dn="","(after last class day)",_xlfn.LET(_xlpm.dd,_xlfn.XLOOKUP(_xlpm.dn+cfgMemoDueClassDays,nrCDnum,nrCDdate,""),_xlpm.ok,_xlfn.XLOOKUP(_xlpm.dn+cfgMemoDueClassDays,nrCDnum,nrCDinsession,"No"),IF(OR(_xlpm.dd="",_xlpm.ok&lt;&gt;"Yes"),"(after last class day)",_xlpm.dd))))))</f>
        <v/>
      </c>
      <c r="I103" s="18" t="n"/>
      <c r="J103" s="19">
        <f>IF($D103="","",IF($I103&lt;&gt;"",$I103,IF(ISNUMBER($H103),$H103,"")))</f>
        <v/>
      </c>
      <c r="K103" s="18" t="n"/>
      <c r="L103" s="17">
        <f>IF($D103="","",IF($K103&lt;&gt;"","Received "&amp;TEXT($K103,"mm/dd"),IF(ISNUMBER($J103),IF(TODAY()&gt;$J103,"OVERDUE","Pending"),IF($H103="","Pending","CHECK DATE"))))</f>
        <v/>
      </c>
      <c r="M103" s="16" t="n"/>
      <c r="N103" s="16" t="n"/>
    </row>
    <row r="104">
      <c r="B104" s="17">
        <f>IF($D104="","","ME"&amp;TEXT(ROW()-5,"000"))</f>
        <v/>
      </c>
      <c r="C104" s="18" t="n"/>
      <c r="D104" s="16" t="n"/>
      <c r="E104" s="17">
        <f>IF($D104="","",IFERROR(INDEX(rngCadetPIDs,MATCH($D104,rngCadetNames,0)),"?"))</f>
        <v/>
      </c>
      <c r="F104" s="16" t="n"/>
      <c r="G104" s="16" t="n"/>
      <c r="H104" s="19">
        <f>IF($D104="","",IF($C104="","(enter date)",_xlfn.LET(_xlpm.dn,_xlfn.XLOOKUP($C104,nrCDdate,nrCDnum,"",1),IF(_xlpm.dn="","(after last class day)",_xlfn.LET(_xlpm.dd,_xlfn.XLOOKUP(_xlpm.dn+cfgMemoDueClassDays,nrCDnum,nrCDdate,""),_xlpm.ok,_xlfn.XLOOKUP(_xlpm.dn+cfgMemoDueClassDays,nrCDnum,nrCDinsession,"No"),IF(OR(_xlpm.dd="",_xlpm.ok&lt;&gt;"Yes"),"(after last class day)",_xlpm.dd))))))</f>
        <v/>
      </c>
      <c r="I104" s="18" t="n"/>
      <c r="J104" s="19">
        <f>IF($D104="","",IF($I104&lt;&gt;"",$I104,IF(ISNUMBER($H104),$H104,"")))</f>
        <v/>
      </c>
      <c r="K104" s="18" t="n"/>
      <c r="L104" s="17">
        <f>IF($D104="","",IF($K104&lt;&gt;"","Received "&amp;TEXT($K104,"mm/dd"),IF(ISNUMBER($J104),IF(TODAY()&gt;$J104,"OVERDUE","Pending"),IF($H104="","Pending","CHECK DATE"))))</f>
        <v/>
      </c>
      <c r="M104" s="16" t="n"/>
      <c r="N104" s="16" t="n"/>
    </row>
    <row r="105">
      <c r="B105" s="17">
        <f>IF($D105="","","ME"&amp;TEXT(ROW()-5,"000"))</f>
        <v/>
      </c>
      <c r="C105" s="18" t="n"/>
      <c r="D105" s="16" t="n"/>
      <c r="E105" s="17">
        <f>IF($D105="","",IFERROR(INDEX(rngCadetPIDs,MATCH($D105,rngCadetNames,0)),"?"))</f>
        <v/>
      </c>
      <c r="F105" s="16" t="n"/>
      <c r="G105" s="16" t="n"/>
      <c r="H105" s="19">
        <f>IF($D105="","",IF($C105="","(enter date)",_xlfn.LET(_xlpm.dn,_xlfn.XLOOKUP($C105,nrCDdate,nrCDnum,"",1),IF(_xlpm.dn="","(after last class day)",_xlfn.LET(_xlpm.dd,_xlfn.XLOOKUP(_xlpm.dn+cfgMemoDueClassDays,nrCDnum,nrCDdate,""),_xlpm.ok,_xlfn.XLOOKUP(_xlpm.dn+cfgMemoDueClassDays,nrCDnum,nrCDinsession,"No"),IF(OR(_xlpm.dd="",_xlpm.ok&lt;&gt;"Yes"),"(after last class day)",_xlpm.dd))))))</f>
        <v/>
      </c>
      <c r="I105" s="18" t="n"/>
      <c r="J105" s="19">
        <f>IF($D105="","",IF($I105&lt;&gt;"",$I105,IF(ISNUMBER($H105),$H105,"")))</f>
        <v/>
      </c>
      <c r="K105" s="18" t="n"/>
      <c r="L105" s="17">
        <f>IF($D105="","",IF($K105&lt;&gt;"","Received "&amp;TEXT($K105,"mm/dd"),IF(ISNUMBER($J105),IF(TODAY()&gt;$J105,"OVERDUE","Pending"),IF($H105="","Pending","CHECK DATE"))))</f>
        <v/>
      </c>
      <c r="M105" s="16" t="n"/>
      <c r="N105" s="16" t="n"/>
    </row>
    <row r="106">
      <c r="B106" s="17">
        <f>IF($D106="","","ME"&amp;TEXT(ROW()-5,"000"))</f>
        <v/>
      </c>
      <c r="C106" s="18" t="n"/>
      <c r="D106" s="16" t="n"/>
      <c r="E106" s="17">
        <f>IF($D106="","",IFERROR(INDEX(rngCadetPIDs,MATCH($D106,rngCadetNames,0)),"?"))</f>
        <v/>
      </c>
      <c r="F106" s="16" t="n"/>
      <c r="G106" s="16" t="n"/>
      <c r="H106" s="19">
        <f>IF($D106="","",IF($C106="","(enter date)",_xlfn.LET(_xlpm.dn,_xlfn.XLOOKUP($C106,nrCDdate,nrCDnum,"",1),IF(_xlpm.dn="","(after last class day)",_xlfn.LET(_xlpm.dd,_xlfn.XLOOKUP(_xlpm.dn+cfgMemoDueClassDays,nrCDnum,nrCDdate,""),_xlpm.ok,_xlfn.XLOOKUP(_xlpm.dn+cfgMemoDueClassDays,nrCDnum,nrCDinsession,"No"),IF(OR(_xlpm.dd="",_xlpm.ok&lt;&gt;"Yes"),"(after last class day)",_xlpm.dd))))))</f>
        <v/>
      </c>
      <c r="I106" s="18" t="n"/>
      <c r="J106" s="19">
        <f>IF($D106="","",IF($I106&lt;&gt;"",$I106,IF(ISNUMBER($H106),$H106,"")))</f>
        <v/>
      </c>
      <c r="K106" s="18" t="n"/>
      <c r="L106" s="17">
        <f>IF($D106="","",IF($K106&lt;&gt;"","Received "&amp;TEXT($K106,"mm/dd"),IF(ISNUMBER($J106),IF(TODAY()&gt;$J106,"OVERDUE","Pending"),IF($H106="","Pending","CHECK DATE"))))</f>
        <v/>
      </c>
      <c r="M106" s="16" t="n"/>
      <c r="N106" s="16" t="n"/>
    </row>
    <row r="107">
      <c r="B107" s="17">
        <f>IF($D107="","","ME"&amp;TEXT(ROW()-5,"000"))</f>
        <v/>
      </c>
      <c r="C107" s="18" t="n"/>
      <c r="D107" s="16" t="n"/>
      <c r="E107" s="17">
        <f>IF($D107="","",IFERROR(INDEX(rngCadetPIDs,MATCH($D107,rngCadetNames,0)),"?"))</f>
        <v/>
      </c>
      <c r="F107" s="16" t="n"/>
      <c r="G107" s="16" t="n"/>
      <c r="H107" s="19">
        <f>IF($D107="","",IF($C107="","(enter date)",_xlfn.LET(_xlpm.dn,_xlfn.XLOOKUP($C107,nrCDdate,nrCDnum,"",1),IF(_xlpm.dn="","(after last class day)",_xlfn.LET(_xlpm.dd,_xlfn.XLOOKUP(_xlpm.dn+cfgMemoDueClassDays,nrCDnum,nrCDdate,""),_xlpm.ok,_xlfn.XLOOKUP(_xlpm.dn+cfgMemoDueClassDays,nrCDnum,nrCDinsession,"No"),IF(OR(_xlpm.dd="",_xlpm.ok&lt;&gt;"Yes"),"(after last class day)",_xlpm.dd))))))</f>
        <v/>
      </c>
      <c r="I107" s="18" t="n"/>
      <c r="J107" s="19">
        <f>IF($D107="","",IF($I107&lt;&gt;"",$I107,IF(ISNUMBER($H107),$H107,"")))</f>
        <v/>
      </c>
      <c r="K107" s="18" t="n"/>
      <c r="L107" s="17">
        <f>IF($D107="","",IF($K107&lt;&gt;"","Received "&amp;TEXT($K107,"mm/dd"),IF(ISNUMBER($J107),IF(TODAY()&gt;$J107,"OVERDUE","Pending"),IF($H107="","Pending","CHECK DATE"))))</f>
        <v/>
      </c>
      <c r="M107" s="16" t="n"/>
      <c r="N107" s="16" t="n"/>
    </row>
    <row r="108">
      <c r="B108" s="17">
        <f>IF($D108="","","ME"&amp;TEXT(ROW()-5,"000"))</f>
        <v/>
      </c>
      <c r="C108" s="18" t="n"/>
      <c r="D108" s="16" t="n"/>
      <c r="E108" s="17">
        <f>IF($D108="","",IFERROR(INDEX(rngCadetPIDs,MATCH($D108,rngCadetNames,0)),"?"))</f>
        <v/>
      </c>
      <c r="F108" s="16" t="n"/>
      <c r="G108" s="16" t="n"/>
      <c r="H108" s="19">
        <f>IF($D108="","",IF($C108="","(enter date)",_xlfn.LET(_xlpm.dn,_xlfn.XLOOKUP($C108,nrCDdate,nrCDnum,"",1),IF(_xlpm.dn="","(after last class day)",_xlfn.LET(_xlpm.dd,_xlfn.XLOOKUP(_xlpm.dn+cfgMemoDueClassDays,nrCDnum,nrCDdate,""),_xlpm.ok,_xlfn.XLOOKUP(_xlpm.dn+cfgMemoDueClassDays,nrCDnum,nrCDinsession,"No"),IF(OR(_xlpm.dd="",_xlpm.ok&lt;&gt;"Yes"),"(after last class day)",_xlpm.dd))))))</f>
        <v/>
      </c>
      <c r="I108" s="18" t="n"/>
      <c r="J108" s="19">
        <f>IF($D108="","",IF($I108&lt;&gt;"",$I108,IF(ISNUMBER($H108),$H108,"")))</f>
        <v/>
      </c>
      <c r="K108" s="18" t="n"/>
      <c r="L108" s="17">
        <f>IF($D108="","",IF($K108&lt;&gt;"","Received "&amp;TEXT($K108,"mm/dd"),IF(ISNUMBER($J108),IF(TODAY()&gt;$J108,"OVERDUE","Pending"),IF($H108="","Pending","CHECK DATE"))))</f>
        <v/>
      </c>
      <c r="M108" s="16" t="n"/>
      <c r="N108" s="16" t="n"/>
    </row>
    <row r="109">
      <c r="B109" s="17">
        <f>IF($D109="","","ME"&amp;TEXT(ROW()-5,"000"))</f>
        <v/>
      </c>
      <c r="C109" s="18" t="n"/>
      <c r="D109" s="16" t="n"/>
      <c r="E109" s="17">
        <f>IF($D109="","",IFERROR(INDEX(rngCadetPIDs,MATCH($D109,rngCadetNames,0)),"?"))</f>
        <v/>
      </c>
      <c r="F109" s="16" t="n"/>
      <c r="G109" s="16" t="n"/>
      <c r="H109" s="19">
        <f>IF($D109="","",IF($C109="","(enter date)",_xlfn.LET(_xlpm.dn,_xlfn.XLOOKUP($C109,nrCDdate,nrCDnum,"",1),IF(_xlpm.dn="","(after last class day)",_xlfn.LET(_xlpm.dd,_xlfn.XLOOKUP(_xlpm.dn+cfgMemoDueClassDays,nrCDnum,nrCDdate,""),_xlpm.ok,_xlfn.XLOOKUP(_xlpm.dn+cfgMemoDueClassDays,nrCDnum,nrCDinsession,"No"),IF(OR(_xlpm.dd="",_xlpm.ok&lt;&gt;"Yes"),"(after last class day)",_xlpm.dd))))))</f>
        <v/>
      </c>
      <c r="I109" s="18" t="n"/>
      <c r="J109" s="19">
        <f>IF($D109="","",IF($I109&lt;&gt;"",$I109,IF(ISNUMBER($H109),$H109,"")))</f>
        <v/>
      </c>
      <c r="K109" s="18" t="n"/>
      <c r="L109" s="17">
        <f>IF($D109="","",IF($K109&lt;&gt;"","Received "&amp;TEXT($K109,"mm/dd"),IF(ISNUMBER($J109),IF(TODAY()&gt;$J109,"OVERDUE","Pending"),IF($H109="","Pending","CHECK DATE"))))</f>
        <v/>
      </c>
      <c r="M109" s="16" t="n"/>
      <c r="N109" s="16" t="n"/>
    </row>
    <row r="110">
      <c r="B110" s="17">
        <f>IF($D110="","","ME"&amp;TEXT(ROW()-5,"000"))</f>
        <v/>
      </c>
      <c r="C110" s="18" t="n"/>
      <c r="D110" s="16" t="n"/>
      <c r="E110" s="17">
        <f>IF($D110="","",IFERROR(INDEX(rngCadetPIDs,MATCH($D110,rngCadetNames,0)),"?"))</f>
        <v/>
      </c>
      <c r="F110" s="16" t="n"/>
      <c r="G110" s="16" t="n"/>
      <c r="H110" s="19">
        <f>IF($D110="","",IF($C110="","(enter date)",_xlfn.LET(_xlpm.dn,_xlfn.XLOOKUP($C110,nrCDdate,nrCDnum,"",1),IF(_xlpm.dn="","(after last class day)",_xlfn.LET(_xlpm.dd,_xlfn.XLOOKUP(_xlpm.dn+cfgMemoDueClassDays,nrCDnum,nrCDdate,""),_xlpm.ok,_xlfn.XLOOKUP(_xlpm.dn+cfgMemoDueClassDays,nrCDnum,nrCDinsession,"No"),IF(OR(_xlpm.dd="",_xlpm.ok&lt;&gt;"Yes"),"(after last class day)",_xlpm.dd))))))</f>
        <v/>
      </c>
      <c r="I110" s="18" t="n"/>
      <c r="J110" s="19">
        <f>IF($D110="","",IF($I110&lt;&gt;"",$I110,IF(ISNUMBER($H110),$H110,"")))</f>
        <v/>
      </c>
      <c r="K110" s="18" t="n"/>
      <c r="L110" s="17">
        <f>IF($D110="","",IF($K110&lt;&gt;"","Received "&amp;TEXT($K110,"mm/dd"),IF(ISNUMBER($J110),IF(TODAY()&gt;$J110,"OVERDUE","Pending"),IF($H110="","Pending","CHECK DATE"))))</f>
        <v/>
      </c>
      <c r="M110" s="16" t="n"/>
      <c r="N110" s="16" t="n"/>
    </row>
    <row r="111">
      <c r="B111" s="17">
        <f>IF($D111="","","ME"&amp;TEXT(ROW()-5,"000"))</f>
        <v/>
      </c>
      <c r="C111" s="18" t="n"/>
      <c r="D111" s="16" t="n"/>
      <c r="E111" s="17">
        <f>IF($D111="","",IFERROR(INDEX(rngCadetPIDs,MATCH($D111,rngCadetNames,0)),"?"))</f>
        <v/>
      </c>
      <c r="F111" s="16" t="n"/>
      <c r="G111" s="16" t="n"/>
      <c r="H111" s="19">
        <f>IF($D111="","",IF($C111="","(enter date)",_xlfn.LET(_xlpm.dn,_xlfn.XLOOKUP($C111,nrCDdate,nrCDnum,"",1),IF(_xlpm.dn="","(after last class day)",_xlfn.LET(_xlpm.dd,_xlfn.XLOOKUP(_xlpm.dn+cfgMemoDueClassDays,nrCDnum,nrCDdate,""),_xlpm.ok,_xlfn.XLOOKUP(_xlpm.dn+cfgMemoDueClassDays,nrCDnum,nrCDinsession,"No"),IF(OR(_xlpm.dd="",_xlpm.ok&lt;&gt;"Yes"),"(after last class day)",_xlpm.dd))))))</f>
        <v/>
      </c>
      <c r="I111" s="18" t="n"/>
      <c r="J111" s="19">
        <f>IF($D111="","",IF($I111&lt;&gt;"",$I111,IF(ISNUMBER($H111),$H111,"")))</f>
        <v/>
      </c>
      <c r="K111" s="18" t="n"/>
      <c r="L111" s="17">
        <f>IF($D111="","",IF($K111&lt;&gt;"","Received "&amp;TEXT($K111,"mm/dd"),IF(ISNUMBER($J111),IF(TODAY()&gt;$J111,"OVERDUE","Pending"),IF($H111="","Pending","CHECK DATE"))))</f>
        <v/>
      </c>
      <c r="M111" s="16" t="n"/>
      <c r="N111" s="16" t="n"/>
    </row>
    <row r="112">
      <c r="B112" s="17">
        <f>IF($D112="","","ME"&amp;TEXT(ROW()-5,"000"))</f>
        <v/>
      </c>
      <c r="C112" s="18" t="n"/>
      <c r="D112" s="16" t="n"/>
      <c r="E112" s="17">
        <f>IF($D112="","",IFERROR(INDEX(rngCadetPIDs,MATCH($D112,rngCadetNames,0)),"?"))</f>
        <v/>
      </c>
      <c r="F112" s="16" t="n"/>
      <c r="G112" s="16" t="n"/>
      <c r="H112" s="19">
        <f>IF($D112="","",IF($C112="","(enter date)",_xlfn.LET(_xlpm.dn,_xlfn.XLOOKUP($C112,nrCDdate,nrCDnum,"",1),IF(_xlpm.dn="","(after last class day)",_xlfn.LET(_xlpm.dd,_xlfn.XLOOKUP(_xlpm.dn+cfgMemoDueClassDays,nrCDnum,nrCDdate,""),_xlpm.ok,_xlfn.XLOOKUP(_xlpm.dn+cfgMemoDueClassDays,nrCDnum,nrCDinsession,"No"),IF(OR(_xlpm.dd="",_xlpm.ok&lt;&gt;"Yes"),"(after last class day)",_xlpm.dd))))))</f>
        <v/>
      </c>
      <c r="I112" s="18" t="n"/>
      <c r="J112" s="19">
        <f>IF($D112="","",IF($I112&lt;&gt;"",$I112,IF(ISNUMBER($H112),$H112,"")))</f>
        <v/>
      </c>
      <c r="K112" s="18" t="n"/>
      <c r="L112" s="17">
        <f>IF($D112="","",IF($K112&lt;&gt;"","Received "&amp;TEXT($K112,"mm/dd"),IF(ISNUMBER($J112),IF(TODAY()&gt;$J112,"OVERDUE","Pending"),IF($H112="","Pending","CHECK DATE"))))</f>
        <v/>
      </c>
      <c r="M112" s="16" t="n"/>
      <c r="N112" s="16" t="n"/>
    </row>
    <row r="113">
      <c r="B113" s="17">
        <f>IF($D113="","","ME"&amp;TEXT(ROW()-5,"000"))</f>
        <v/>
      </c>
      <c r="C113" s="18" t="n"/>
      <c r="D113" s="16" t="n"/>
      <c r="E113" s="17">
        <f>IF($D113="","",IFERROR(INDEX(rngCadetPIDs,MATCH($D113,rngCadetNames,0)),"?"))</f>
        <v/>
      </c>
      <c r="F113" s="16" t="n"/>
      <c r="G113" s="16" t="n"/>
      <c r="H113" s="19">
        <f>IF($D113="","",IF($C113="","(enter date)",_xlfn.LET(_xlpm.dn,_xlfn.XLOOKUP($C113,nrCDdate,nrCDnum,"",1),IF(_xlpm.dn="","(after last class day)",_xlfn.LET(_xlpm.dd,_xlfn.XLOOKUP(_xlpm.dn+cfgMemoDueClassDays,nrCDnum,nrCDdate,""),_xlpm.ok,_xlfn.XLOOKUP(_xlpm.dn+cfgMemoDueClassDays,nrCDnum,nrCDinsession,"No"),IF(OR(_xlpm.dd="",_xlpm.ok&lt;&gt;"Yes"),"(after last class day)",_xlpm.dd))))))</f>
        <v/>
      </c>
      <c r="I113" s="18" t="n"/>
      <c r="J113" s="19">
        <f>IF($D113="","",IF($I113&lt;&gt;"",$I113,IF(ISNUMBER($H113),$H113,"")))</f>
        <v/>
      </c>
      <c r="K113" s="18" t="n"/>
      <c r="L113" s="17">
        <f>IF($D113="","",IF($K113&lt;&gt;"","Received "&amp;TEXT($K113,"mm/dd"),IF(ISNUMBER($J113),IF(TODAY()&gt;$J113,"OVERDUE","Pending"),IF($H113="","Pending","CHECK DATE"))))</f>
        <v/>
      </c>
      <c r="M113" s="16" t="n"/>
      <c r="N113" s="16" t="n"/>
    </row>
    <row r="114">
      <c r="B114" s="17">
        <f>IF($D114="","","ME"&amp;TEXT(ROW()-5,"000"))</f>
        <v/>
      </c>
      <c r="C114" s="18" t="n"/>
      <c r="D114" s="16" t="n"/>
      <c r="E114" s="17">
        <f>IF($D114="","",IFERROR(INDEX(rngCadetPIDs,MATCH($D114,rngCadetNames,0)),"?"))</f>
        <v/>
      </c>
      <c r="F114" s="16" t="n"/>
      <c r="G114" s="16" t="n"/>
      <c r="H114" s="19">
        <f>IF($D114="","",IF($C114="","(enter date)",_xlfn.LET(_xlpm.dn,_xlfn.XLOOKUP($C114,nrCDdate,nrCDnum,"",1),IF(_xlpm.dn="","(after last class day)",_xlfn.LET(_xlpm.dd,_xlfn.XLOOKUP(_xlpm.dn+cfgMemoDueClassDays,nrCDnum,nrCDdate,""),_xlpm.ok,_xlfn.XLOOKUP(_xlpm.dn+cfgMemoDueClassDays,nrCDnum,nrCDinsession,"No"),IF(OR(_xlpm.dd="",_xlpm.ok&lt;&gt;"Yes"),"(after last class day)",_xlpm.dd))))))</f>
        <v/>
      </c>
      <c r="I114" s="18" t="n"/>
      <c r="J114" s="19">
        <f>IF($D114="","",IF($I114&lt;&gt;"",$I114,IF(ISNUMBER($H114),$H114,"")))</f>
        <v/>
      </c>
      <c r="K114" s="18" t="n"/>
      <c r="L114" s="17">
        <f>IF($D114="","",IF($K114&lt;&gt;"","Received "&amp;TEXT($K114,"mm/dd"),IF(ISNUMBER($J114),IF(TODAY()&gt;$J114,"OVERDUE","Pending"),IF($H114="","Pending","CHECK DATE"))))</f>
        <v/>
      </c>
      <c r="M114" s="16" t="n"/>
      <c r="N114" s="16" t="n"/>
    </row>
    <row r="115">
      <c r="B115" s="17">
        <f>IF($D115="","","ME"&amp;TEXT(ROW()-5,"000"))</f>
        <v/>
      </c>
      <c r="C115" s="18" t="n"/>
      <c r="D115" s="16" t="n"/>
      <c r="E115" s="17">
        <f>IF($D115="","",IFERROR(INDEX(rngCadetPIDs,MATCH($D115,rngCadetNames,0)),"?"))</f>
        <v/>
      </c>
      <c r="F115" s="16" t="n"/>
      <c r="G115" s="16" t="n"/>
      <c r="H115" s="19">
        <f>IF($D115="","",IF($C115="","(enter date)",_xlfn.LET(_xlpm.dn,_xlfn.XLOOKUP($C115,nrCDdate,nrCDnum,"",1),IF(_xlpm.dn="","(after last class day)",_xlfn.LET(_xlpm.dd,_xlfn.XLOOKUP(_xlpm.dn+cfgMemoDueClassDays,nrCDnum,nrCDdate,""),_xlpm.ok,_xlfn.XLOOKUP(_xlpm.dn+cfgMemoDueClassDays,nrCDnum,nrCDinsession,"No"),IF(OR(_xlpm.dd="",_xlpm.ok&lt;&gt;"Yes"),"(after last class day)",_xlpm.dd))))))</f>
        <v/>
      </c>
      <c r="I115" s="18" t="n"/>
      <c r="J115" s="19">
        <f>IF($D115="","",IF($I115&lt;&gt;"",$I115,IF(ISNUMBER($H115),$H115,"")))</f>
        <v/>
      </c>
      <c r="K115" s="18" t="n"/>
      <c r="L115" s="17">
        <f>IF($D115="","",IF($K115&lt;&gt;"","Received "&amp;TEXT($K115,"mm/dd"),IF(ISNUMBER($J115),IF(TODAY()&gt;$J115,"OVERDUE","Pending"),IF($H115="","Pending","CHECK DATE"))))</f>
        <v/>
      </c>
      <c r="M115" s="16" t="n"/>
      <c r="N115" s="16" t="n"/>
    </row>
    <row r="116">
      <c r="B116" s="17">
        <f>IF($D116="","","ME"&amp;TEXT(ROW()-5,"000"))</f>
        <v/>
      </c>
      <c r="C116" s="18" t="n"/>
      <c r="D116" s="16" t="n"/>
      <c r="E116" s="17">
        <f>IF($D116="","",IFERROR(INDEX(rngCadetPIDs,MATCH($D116,rngCadetNames,0)),"?"))</f>
        <v/>
      </c>
      <c r="F116" s="16" t="n"/>
      <c r="G116" s="16" t="n"/>
      <c r="H116" s="19">
        <f>IF($D116="","",IF($C116="","(enter date)",_xlfn.LET(_xlpm.dn,_xlfn.XLOOKUP($C116,nrCDdate,nrCDnum,"",1),IF(_xlpm.dn="","(after last class day)",_xlfn.LET(_xlpm.dd,_xlfn.XLOOKUP(_xlpm.dn+cfgMemoDueClassDays,nrCDnum,nrCDdate,""),_xlpm.ok,_xlfn.XLOOKUP(_xlpm.dn+cfgMemoDueClassDays,nrCDnum,nrCDinsession,"No"),IF(OR(_xlpm.dd="",_xlpm.ok&lt;&gt;"Yes"),"(after last class day)",_xlpm.dd))))))</f>
        <v/>
      </c>
      <c r="I116" s="18" t="n"/>
      <c r="J116" s="19">
        <f>IF($D116="","",IF($I116&lt;&gt;"",$I116,IF(ISNUMBER($H116),$H116,"")))</f>
        <v/>
      </c>
      <c r="K116" s="18" t="n"/>
      <c r="L116" s="17">
        <f>IF($D116="","",IF($K116&lt;&gt;"","Received "&amp;TEXT($K116,"mm/dd"),IF(ISNUMBER($J116),IF(TODAY()&gt;$J116,"OVERDUE","Pending"),IF($H116="","Pending","CHECK DATE"))))</f>
        <v/>
      </c>
      <c r="M116" s="16" t="n"/>
      <c r="N116" s="16" t="n"/>
    </row>
    <row r="117">
      <c r="B117" s="17">
        <f>IF($D117="","","ME"&amp;TEXT(ROW()-5,"000"))</f>
        <v/>
      </c>
      <c r="C117" s="18" t="n"/>
      <c r="D117" s="16" t="n"/>
      <c r="E117" s="17">
        <f>IF($D117="","",IFERROR(INDEX(rngCadetPIDs,MATCH($D117,rngCadetNames,0)),"?"))</f>
        <v/>
      </c>
      <c r="F117" s="16" t="n"/>
      <c r="G117" s="16" t="n"/>
      <c r="H117" s="19">
        <f>IF($D117="","",IF($C117="","(enter date)",_xlfn.LET(_xlpm.dn,_xlfn.XLOOKUP($C117,nrCDdate,nrCDnum,"",1),IF(_xlpm.dn="","(after last class day)",_xlfn.LET(_xlpm.dd,_xlfn.XLOOKUP(_xlpm.dn+cfgMemoDueClassDays,nrCDnum,nrCDdate,""),_xlpm.ok,_xlfn.XLOOKUP(_xlpm.dn+cfgMemoDueClassDays,nrCDnum,nrCDinsession,"No"),IF(OR(_xlpm.dd="",_xlpm.ok&lt;&gt;"Yes"),"(after last class day)",_xlpm.dd))))))</f>
        <v/>
      </c>
      <c r="I117" s="18" t="n"/>
      <c r="J117" s="19">
        <f>IF($D117="","",IF($I117&lt;&gt;"",$I117,IF(ISNUMBER($H117),$H117,"")))</f>
        <v/>
      </c>
      <c r="K117" s="18" t="n"/>
      <c r="L117" s="17">
        <f>IF($D117="","",IF($K117&lt;&gt;"","Received "&amp;TEXT($K117,"mm/dd"),IF(ISNUMBER($J117),IF(TODAY()&gt;$J117,"OVERDUE","Pending"),IF($H117="","Pending","CHECK DATE"))))</f>
        <v/>
      </c>
      <c r="M117" s="16" t="n"/>
      <c r="N117" s="16" t="n"/>
    </row>
    <row r="118">
      <c r="B118" s="17">
        <f>IF($D118="","","ME"&amp;TEXT(ROW()-5,"000"))</f>
        <v/>
      </c>
      <c r="C118" s="18" t="n"/>
      <c r="D118" s="16" t="n"/>
      <c r="E118" s="17">
        <f>IF($D118="","",IFERROR(INDEX(rngCadetPIDs,MATCH($D118,rngCadetNames,0)),"?"))</f>
        <v/>
      </c>
      <c r="F118" s="16" t="n"/>
      <c r="G118" s="16" t="n"/>
      <c r="H118" s="19">
        <f>IF($D118="","",IF($C118="","(enter date)",_xlfn.LET(_xlpm.dn,_xlfn.XLOOKUP($C118,nrCDdate,nrCDnum,"",1),IF(_xlpm.dn="","(after last class day)",_xlfn.LET(_xlpm.dd,_xlfn.XLOOKUP(_xlpm.dn+cfgMemoDueClassDays,nrCDnum,nrCDdate,""),_xlpm.ok,_xlfn.XLOOKUP(_xlpm.dn+cfgMemoDueClassDays,nrCDnum,nrCDinsession,"No"),IF(OR(_xlpm.dd="",_xlpm.ok&lt;&gt;"Yes"),"(after last class day)",_xlpm.dd))))))</f>
        <v/>
      </c>
      <c r="I118" s="18" t="n"/>
      <c r="J118" s="19">
        <f>IF($D118="","",IF($I118&lt;&gt;"",$I118,IF(ISNUMBER($H118),$H118,"")))</f>
        <v/>
      </c>
      <c r="K118" s="18" t="n"/>
      <c r="L118" s="17">
        <f>IF($D118="","",IF($K118&lt;&gt;"","Received "&amp;TEXT($K118,"mm/dd"),IF(ISNUMBER($J118),IF(TODAY()&gt;$J118,"OVERDUE","Pending"),IF($H118="","Pending","CHECK DATE"))))</f>
        <v/>
      </c>
      <c r="M118" s="16" t="n"/>
      <c r="N118" s="16" t="n"/>
    </row>
    <row r="119">
      <c r="B119" s="17">
        <f>IF($D119="","","ME"&amp;TEXT(ROW()-5,"000"))</f>
        <v/>
      </c>
      <c r="C119" s="18" t="n"/>
      <c r="D119" s="16" t="n"/>
      <c r="E119" s="17">
        <f>IF($D119="","",IFERROR(INDEX(rngCadetPIDs,MATCH($D119,rngCadetNames,0)),"?"))</f>
        <v/>
      </c>
      <c r="F119" s="16" t="n"/>
      <c r="G119" s="16" t="n"/>
      <c r="H119" s="19">
        <f>IF($D119="","",IF($C119="","(enter date)",_xlfn.LET(_xlpm.dn,_xlfn.XLOOKUP($C119,nrCDdate,nrCDnum,"",1),IF(_xlpm.dn="","(after last class day)",_xlfn.LET(_xlpm.dd,_xlfn.XLOOKUP(_xlpm.dn+cfgMemoDueClassDays,nrCDnum,nrCDdate,""),_xlpm.ok,_xlfn.XLOOKUP(_xlpm.dn+cfgMemoDueClassDays,nrCDnum,nrCDinsession,"No"),IF(OR(_xlpm.dd="",_xlpm.ok&lt;&gt;"Yes"),"(after last class day)",_xlpm.dd))))))</f>
        <v/>
      </c>
      <c r="I119" s="18" t="n"/>
      <c r="J119" s="19">
        <f>IF($D119="","",IF($I119&lt;&gt;"",$I119,IF(ISNUMBER($H119),$H119,"")))</f>
        <v/>
      </c>
      <c r="K119" s="18" t="n"/>
      <c r="L119" s="17">
        <f>IF($D119="","",IF($K119&lt;&gt;"","Received "&amp;TEXT($K119,"mm/dd"),IF(ISNUMBER($J119),IF(TODAY()&gt;$J119,"OVERDUE","Pending"),IF($H119="","Pending","CHECK DATE"))))</f>
        <v/>
      </c>
      <c r="M119" s="16" t="n"/>
      <c r="N119" s="16" t="n"/>
    </row>
    <row r="120">
      <c r="B120" s="17">
        <f>IF($D120="","","ME"&amp;TEXT(ROW()-5,"000"))</f>
        <v/>
      </c>
      <c r="C120" s="18" t="n"/>
      <c r="D120" s="16" t="n"/>
      <c r="E120" s="17">
        <f>IF($D120="","",IFERROR(INDEX(rngCadetPIDs,MATCH($D120,rngCadetNames,0)),"?"))</f>
        <v/>
      </c>
      <c r="F120" s="16" t="n"/>
      <c r="G120" s="16" t="n"/>
      <c r="H120" s="19">
        <f>IF($D120="","",IF($C120="","(enter date)",_xlfn.LET(_xlpm.dn,_xlfn.XLOOKUP($C120,nrCDdate,nrCDnum,"",1),IF(_xlpm.dn="","(after last class day)",_xlfn.LET(_xlpm.dd,_xlfn.XLOOKUP(_xlpm.dn+cfgMemoDueClassDays,nrCDnum,nrCDdate,""),_xlpm.ok,_xlfn.XLOOKUP(_xlpm.dn+cfgMemoDueClassDays,nrCDnum,nrCDinsession,"No"),IF(OR(_xlpm.dd="",_xlpm.ok&lt;&gt;"Yes"),"(after last class day)",_xlpm.dd))))))</f>
        <v/>
      </c>
      <c r="I120" s="18" t="n"/>
      <c r="J120" s="19">
        <f>IF($D120="","",IF($I120&lt;&gt;"",$I120,IF(ISNUMBER($H120),$H120,"")))</f>
        <v/>
      </c>
      <c r="K120" s="18" t="n"/>
      <c r="L120" s="17">
        <f>IF($D120="","",IF($K120&lt;&gt;"","Received "&amp;TEXT($K120,"mm/dd"),IF(ISNUMBER($J120),IF(TODAY()&gt;$J120,"OVERDUE","Pending"),IF($H120="","Pending","CHECK DATE"))))</f>
        <v/>
      </c>
      <c r="M120" s="16" t="n"/>
      <c r="N120" s="16" t="n"/>
    </row>
    <row r="121">
      <c r="B121" s="17">
        <f>IF($D121="","","ME"&amp;TEXT(ROW()-5,"000"))</f>
        <v/>
      </c>
      <c r="C121" s="18" t="n"/>
      <c r="D121" s="16" t="n"/>
      <c r="E121" s="17">
        <f>IF($D121="","",IFERROR(INDEX(rngCadetPIDs,MATCH($D121,rngCadetNames,0)),"?"))</f>
        <v/>
      </c>
      <c r="F121" s="16" t="n"/>
      <c r="G121" s="16" t="n"/>
      <c r="H121" s="19">
        <f>IF($D121="","",IF($C121="","(enter date)",_xlfn.LET(_xlpm.dn,_xlfn.XLOOKUP($C121,nrCDdate,nrCDnum,"",1),IF(_xlpm.dn="","(after last class day)",_xlfn.LET(_xlpm.dd,_xlfn.XLOOKUP(_xlpm.dn+cfgMemoDueClassDays,nrCDnum,nrCDdate,""),_xlpm.ok,_xlfn.XLOOKUP(_xlpm.dn+cfgMemoDueClassDays,nrCDnum,nrCDinsession,"No"),IF(OR(_xlpm.dd="",_xlpm.ok&lt;&gt;"Yes"),"(after last class day)",_xlpm.dd))))))</f>
        <v/>
      </c>
      <c r="I121" s="18" t="n"/>
      <c r="J121" s="19">
        <f>IF($D121="","",IF($I121&lt;&gt;"",$I121,IF(ISNUMBER($H121),$H121,"")))</f>
        <v/>
      </c>
      <c r="K121" s="18" t="n"/>
      <c r="L121" s="17">
        <f>IF($D121="","",IF($K121&lt;&gt;"","Received "&amp;TEXT($K121,"mm/dd"),IF(ISNUMBER($J121),IF(TODAY()&gt;$J121,"OVERDUE","Pending"),IF($H121="","Pending","CHECK DATE"))))</f>
        <v/>
      </c>
      <c r="M121" s="16" t="n"/>
      <c r="N121" s="16" t="n"/>
    </row>
    <row r="122">
      <c r="B122" s="17">
        <f>IF($D122="","","ME"&amp;TEXT(ROW()-5,"000"))</f>
        <v/>
      </c>
      <c r="C122" s="18" t="n"/>
      <c r="D122" s="16" t="n"/>
      <c r="E122" s="17">
        <f>IF($D122="","",IFERROR(INDEX(rngCadetPIDs,MATCH($D122,rngCadetNames,0)),"?"))</f>
        <v/>
      </c>
      <c r="F122" s="16" t="n"/>
      <c r="G122" s="16" t="n"/>
      <c r="H122" s="19">
        <f>IF($D122="","",IF($C122="","(enter date)",_xlfn.LET(_xlpm.dn,_xlfn.XLOOKUP($C122,nrCDdate,nrCDnum,"",1),IF(_xlpm.dn="","(after last class day)",_xlfn.LET(_xlpm.dd,_xlfn.XLOOKUP(_xlpm.dn+cfgMemoDueClassDays,nrCDnum,nrCDdate,""),_xlpm.ok,_xlfn.XLOOKUP(_xlpm.dn+cfgMemoDueClassDays,nrCDnum,nrCDinsession,"No"),IF(OR(_xlpm.dd="",_xlpm.ok&lt;&gt;"Yes"),"(after last class day)",_xlpm.dd))))))</f>
        <v/>
      </c>
      <c r="I122" s="18" t="n"/>
      <c r="J122" s="19">
        <f>IF($D122="","",IF($I122&lt;&gt;"",$I122,IF(ISNUMBER($H122),$H122,"")))</f>
        <v/>
      </c>
      <c r="K122" s="18" t="n"/>
      <c r="L122" s="17">
        <f>IF($D122="","",IF($K122&lt;&gt;"","Received "&amp;TEXT($K122,"mm/dd"),IF(ISNUMBER($J122),IF(TODAY()&gt;$J122,"OVERDUE","Pending"),IF($H122="","Pending","CHECK DATE"))))</f>
        <v/>
      </c>
      <c r="M122" s="16" t="n"/>
      <c r="N122" s="16" t="n"/>
    </row>
    <row r="123">
      <c r="B123" s="17">
        <f>IF($D123="","","ME"&amp;TEXT(ROW()-5,"000"))</f>
        <v/>
      </c>
      <c r="C123" s="18" t="n"/>
      <c r="D123" s="16" t="n"/>
      <c r="E123" s="17">
        <f>IF($D123="","",IFERROR(INDEX(rngCadetPIDs,MATCH($D123,rngCadetNames,0)),"?"))</f>
        <v/>
      </c>
      <c r="F123" s="16" t="n"/>
      <c r="G123" s="16" t="n"/>
      <c r="H123" s="19">
        <f>IF($D123="","",IF($C123="","(enter date)",_xlfn.LET(_xlpm.dn,_xlfn.XLOOKUP($C123,nrCDdate,nrCDnum,"",1),IF(_xlpm.dn="","(after last class day)",_xlfn.LET(_xlpm.dd,_xlfn.XLOOKUP(_xlpm.dn+cfgMemoDueClassDays,nrCDnum,nrCDdate,""),_xlpm.ok,_xlfn.XLOOKUP(_xlpm.dn+cfgMemoDueClassDays,nrCDnum,nrCDinsession,"No"),IF(OR(_xlpm.dd="",_xlpm.ok&lt;&gt;"Yes"),"(after last class day)",_xlpm.dd))))))</f>
        <v/>
      </c>
      <c r="I123" s="18" t="n"/>
      <c r="J123" s="19">
        <f>IF($D123="","",IF($I123&lt;&gt;"",$I123,IF(ISNUMBER($H123),$H123,"")))</f>
        <v/>
      </c>
      <c r="K123" s="18" t="n"/>
      <c r="L123" s="17">
        <f>IF($D123="","",IF($K123&lt;&gt;"","Received "&amp;TEXT($K123,"mm/dd"),IF(ISNUMBER($J123),IF(TODAY()&gt;$J123,"OVERDUE","Pending"),IF($H123="","Pending","CHECK DATE"))))</f>
        <v/>
      </c>
      <c r="M123" s="16" t="n"/>
      <c r="N123" s="16" t="n"/>
    </row>
    <row r="124">
      <c r="B124" s="17">
        <f>IF($D124="","","ME"&amp;TEXT(ROW()-5,"000"))</f>
        <v/>
      </c>
      <c r="C124" s="18" t="n"/>
      <c r="D124" s="16" t="n"/>
      <c r="E124" s="17">
        <f>IF($D124="","",IFERROR(INDEX(rngCadetPIDs,MATCH($D124,rngCadetNames,0)),"?"))</f>
        <v/>
      </c>
      <c r="F124" s="16" t="n"/>
      <c r="G124" s="16" t="n"/>
      <c r="H124" s="19">
        <f>IF($D124="","",IF($C124="","(enter date)",_xlfn.LET(_xlpm.dn,_xlfn.XLOOKUP($C124,nrCDdate,nrCDnum,"",1),IF(_xlpm.dn="","(after last class day)",_xlfn.LET(_xlpm.dd,_xlfn.XLOOKUP(_xlpm.dn+cfgMemoDueClassDays,nrCDnum,nrCDdate,""),_xlpm.ok,_xlfn.XLOOKUP(_xlpm.dn+cfgMemoDueClassDays,nrCDnum,nrCDinsession,"No"),IF(OR(_xlpm.dd="",_xlpm.ok&lt;&gt;"Yes"),"(after last class day)",_xlpm.dd))))))</f>
        <v/>
      </c>
      <c r="I124" s="18" t="n"/>
      <c r="J124" s="19">
        <f>IF($D124="","",IF($I124&lt;&gt;"",$I124,IF(ISNUMBER($H124),$H124,"")))</f>
        <v/>
      </c>
      <c r="K124" s="18" t="n"/>
      <c r="L124" s="17">
        <f>IF($D124="","",IF($K124&lt;&gt;"","Received "&amp;TEXT($K124,"mm/dd"),IF(ISNUMBER($J124),IF(TODAY()&gt;$J124,"OVERDUE","Pending"),IF($H124="","Pending","CHECK DATE"))))</f>
        <v/>
      </c>
      <c r="M124" s="16" t="n"/>
      <c r="N124" s="16" t="n"/>
    </row>
    <row r="125">
      <c r="B125" s="17">
        <f>IF($D125="","","ME"&amp;TEXT(ROW()-5,"000"))</f>
        <v/>
      </c>
      <c r="C125" s="18" t="n"/>
      <c r="D125" s="16" t="n"/>
      <c r="E125" s="17">
        <f>IF($D125="","",IFERROR(INDEX(rngCadetPIDs,MATCH($D125,rngCadetNames,0)),"?"))</f>
        <v/>
      </c>
      <c r="F125" s="16" t="n"/>
      <c r="G125" s="16" t="n"/>
      <c r="H125" s="19">
        <f>IF($D125="","",IF($C125="","(enter date)",_xlfn.LET(_xlpm.dn,_xlfn.XLOOKUP($C125,nrCDdate,nrCDnum,"",1),IF(_xlpm.dn="","(after last class day)",_xlfn.LET(_xlpm.dd,_xlfn.XLOOKUP(_xlpm.dn+cfgMemoDueClassDays,nrCDnum,nrCDdate,""),_xlpm.ok,_xlfn.XLOOKUP(_xlpm.dn+cfgMemoDueClassDays,nrCDnum,nrCDinsession,"No"),IF(OR(_xlpm.dd="",_xlpm.ok&lt;&gt;"Yes"),"(after last class day)",_xlpm.dd))))))</f>
        <v/>
      </c>
      <c r="I125" s="18" t="n"/>
      <c r="J125" s="19">
        <f>IF($D125="","",IF($I125&lt;&gt;"",$I125,IF(ISNUMBER($H125),$H125,"")))</f>
        <v/>
      </c>
      <c r="K125" s="18" t="n"/>
      <c r="L125" s="17">
        <f>IF($D125="","",IF($K125&lt;&gt;"","Received "&amp;TEXT($K125,"mm/dd"),IF(ISNUMBER($J125),IF(TODAY()&gt;$J125,"OVERDUE","Pending"),IF($H125="","Pending","CHECK DATE"))))</f>
        <v/>
      </c>
      <c r="M125" s="16" t="n"/>
      <c r="N125" s="16" t="n"/>
    </row>
    <row r="126">
      <c r="B126" s="17">
        <f>IF($D126="","","ME"&amp;TEXT(ROW()-5,"000"))</f>
        <v/>
      </c>
      <c r="C126" s="18" t="n"/>
      <c r="D126" s="16" t="n"/>
      <c r="E126" s="17">
        <f>IF($D126="","",IFERROR(INDEX(rngCadetPIDs,MATCH($D126,rngCadetNames,0)),"?"))</f>
        <v/>
      </c>
      <c r="F126" s="16" t="n"/>
      <c r="G126" s="16" t="n"/>
      <c r="H126" s="19">
        <f>IF($D126="","",IF($C126="","(enter date)",_xlfn.LET(_xlpm.dn,_xlfn.XLOOKUP($C126,nrCDdate,nrCDnum,"",1),IF(_xlpm.dn="","(after last class day)",_xlfn.LET(_xlpm.dd,_xlfn.XLOOKUP(_xlpm.dn+cfgMemoDueClassDays,nrCDnum,nrCDdate,""),_xlpm.ok,_xlfn.XLOOKUP(_xlpm.dn+cfgMemoDueClassDays,nrCDnum,nrCDinsession,"No"),IF(OR(_xlpm.dd="",_xlpm.ok&lt;&gt;"Yes"),"(after last class day)",_xlpm.dd))))))</f>
        <v/>
      </c>
      <c r="I126" s="18" t="n"/>
      <c r="J126" s="19">
        <f>IF($D126="","",IF($I126&lt;&gt;"",$I126,IF(ISNUMBER($H126),$H126,"")))</f>
        <v/>
      </c>
      <c r="K126" s="18" t="n"/>
      <c r="L126" s="17">
        <f>IF($D126="","",IF($K126&lt;&gt;"","Received "&amp;TEXT($K126,"mm/dd"),IF(ISNUMBER($J126),IF(TODAY()&gt;$J126,"OVERDUE","Pending"),IF($H126="","Pending","CHECK DATE"))))</f>
        <v/>
      </c>
      <c r="M126" s="16" t="n"/>
      <c r="N126" s="16" t="n"/>
    </row>
    <row r="127">
      <c r="B127" s="17">
        <f>IF($D127="","","ME"&amp;TEXT(ROW()-5,"000"))</f>
        <v/>
      </c>
      <c r="C127" s="18" t="n"/>
      <c r="D127" s="16" t="n"/>
      <c r="E127" s="17">
        <f>IF($D127="","",IFERROR(INDEX(rngCadetPIDs,MATCH($D127,rngCadetNames,0)),"?"))</f>
        <v/>
      </c>
      <c r="F127" s="16" t="n"/>
      <c r="G127" s="16" t="n"/>
      <c r="H127" s="19">
        <f>IF($D127="","",IF($C127="","(enter date)",_xlfn.LET(_xlpm.dn,_xlfn.XLOOKUP($C127,nrCDdate,nrCDnum,"",1),IF(_xlpm.dn="","(after last class day)",_xlfn.LET(_xlpm.dd,_xlfn.XLOOKUP(_xlpm.dn+cfgMemoDueClassDays,nrCDnum,nrCDdate,""),_xlpm.ok,_xlfn.XLOOKUP(_xlpm.dn+cfgMemoDueClassDays,nrCDnum,nrCDinsession,"No"),IF(OR(_xlpm.dd="",_xlpm.ok&lt;&gt;"Yes"),"(after last class day)",_xlpm.dd))))))</f>
        <v/>
      </c>
      <c r="I127" s="18" t="n"/>
      <c r="J127" s="19">
        <f>IF($D127="","",IF($I127&lt;&gt;"",$I127,IF(ISNUMBER($H127),$H127,"")))</f>
        <v/>
      </c>
      <c r="K127" s="18" t="n"/>
      <c r="L127" s="17">
        <f>IF($D127="","",IF($K127&lt;&gt;"","Received "&amp;TEXT($K127,"mm/dd"),IF(ISNUMBER($J127),IF(TODAY()&gt;$J127,"OVERDUE","Pending"),IF($H127="","Pending","CHECK DATE"))))</f>
        <v/>
      </c>
      <c r="M127" s="16" t="n"/>
      <c r="N127" s="16" t="n"/>
    </row>
    <row r="128">
      <c r="B128" s="17">
        <f>IF($D128="","","ME"&amp;TEXT(ROW()-5,"000"))</f>
        <v/>
      </c>
      <c r="C128" s="18" t="n"/>
      <c r="D128" s="16" t="n"/>
      <c r="E128" s="17">
        <f>IF($D128="","",IFERROR(INDEX(rngCadetPIDs,MATCH($D128,rngCadetNames,0)),"?"))</f>
        <v/>
      </c>
      <c r="F128" s="16" t="n"/>
      <c r="G128" s="16" t="n"/>
      <c r="H128" s="19">
        <f>IF($D128="","",IF($C128="","(enter date)",_xlfn.LET(_xlpm.dn,_xlfn.XLOOKUP($C128,nrCDdate,nrCDnum,"",1),IF(_xlpm.dn="","(after last class day)",_xlfn.LET(_xlpm.dd,_xlfn.XLOOKUP(_xlpm.dn+cfgMemoDueClassDays,nrCDnum,nrCDdate,""),_xlpm.ok,_xlfn.XLOOKUP(_xlpm.dn+cfgMemoDueClassDays,nrCDnum,nrCDinsession,"No"),IF(OR(_xlpm.dd="",_xlpm.ok&lt;&gt;"Yes"),"(after last class day)",_xlpm.dd))))))</f>
        <v/>
      </c>
      <c r="I128" s="18" t="n"/>
      <c r="J128" s="19">
        <f>IF($D128="","",IF($I128&lt;&gt;"",$I128,IF(ISNUMBER($H128),$H128,"")))</f>
        <v/>
      </c>
      <c r="K128" s="18" t="n"/>
      <c r="L128" s="17">
        <f>IF($D128="","",IF($K128&lt;&gt;"","Received "&amp;TEXT($K128,"mm/dd"),IF(ISNUMBER($J128),IF(TODAY()&gt;$J128,"OVERDUE","Pending"),IF($H128="","Pending","CHECK DATE"))))</f>
        <v/>
      </c>
      <c r="M128" s="16" t="n"/>
      <c r="N128" s="16" t="n"/>
    </row>
    <row r="129">
      <c r="B129" s="17">
        <f>IF($D129="","","ME"&amp;TEXT(ROW()-5,"000"))</f>
        <v/>
      </c>
      <c r="C129" s="18" t="n"/>
      <c r="D129" s="16" t="n"/>
      <c r="E129" s="17">
        <f>IF($D129="","",IFERROR(INDEX(rngCadetPIDs,MATCH($D129,rngCadetNames,0)),"?"))</f>
        <v/>
      </c>
      <c r="F129" s="16" t="n"/>
      <c r="G129" s="16" t="n"/>
      <c r="H129" s="19">
        <f>IF($D129="","",IF($C129="","(enter date)",_xlfn.LET(_xlpm.dn,_xlfn.XLOOKUP($C129,nrCDdate,nrCDnum,"",1),IF(_xlpm.dn="","(after last class day)",_xlfn.LET(_xlpm.dd,_xlfn.XLOOKUP(_xlpm.dn+cfgMemoDueClassDays,nrCDnum,nrCDdate,""),_xlpm.ok,_xlfn.XLOOKUP(_xlpm.dn+cfgMemoDueClassDays,nrCDnum,nrCDinsession,"No"),IF(OR(_xlpm.dd="",_xlpm.ok&lt;&gt;"Yes"),"(after last class day)",_xlpm.dd))))))</f>
        <v/>
      </c>
      <c r="I129" s="18" t="n"/>
      <c r="J129" s="19">
        <f>IF($D129="","",IF($I129&lt;&gt;"",$I129,IF(ISNUMBER($H129),$H129,"")))</f>
        <v/>
      </c>
      <c r="K129" s="18" t="n"/>
      <c r="L129" s="17">
        <f>IF($D129="","",IF($K129&lt;&gt;"","Received "&amp;TEXT($K129,"mm/dd"),IF(ISNUMBER($J129),IF(TODAY()&gt;$J129,"OVERDUE","Pending"),IF($H129="","Pending","CHECK DATE"))))</f>
        <v/>
      </c>
      <c r="M129" s="16" t="n"/>
      <c r="N129" s="16" t="n"/>
    </row>
    <row r="130">
      <c r="B130" s="17">
        <f>IF($D130="","","ME"&amp;TEXT(ROW()-5,"000"))</f>
        <v/>
      </c>
      <c r="C130" s="18" t="n"/>
      <c r="D130" s="16" t="n"/>
      <c r="E130" s="17">
        <f>IF($D130="","",IFERROR(INDEX(rngCadetPIDs,MATCH($D130,rngCadetNames,0)),"?"))</f>
        <v/>
      </c>
      <c r="F130" s="16" t="n"/>
      <c r="G130" s="16" t="n"/>
      <c r="H130" s="19">
        <f>IF($D130="","",IF($C130="","(enter date)",_xlfn.LET(_xlpm.dn,_xlfn.XLOOKUP($C130,nrCDdate,nrCDnum,"",1),IF(_xlpm.dn="","(after last class day)",_xlfn.LET(_xlpm.dd,_xlfn.XLOOKUP(_xlpm.dn+cfgMemoDueClassDays,nrCDnum,nrCDdate,""),_xlpm.ok,_xlfn.XLOOKUP(_xlpm.dn+cfgMemoDueClassDays,nrCDnum,nrCDinsession,"No"),IF(OR(_xlpm.dd="",_xlpm.ok&lt;&gt;"Yes"),"(after last class day)",_xlpm.dd))))))</f>
        <v/>
      </c>
      <c r="I130" s="18" t="n"/>
      <c r="J130" s="19">
        <f>IF($D130="","",IF($I130&lt;&gt;"",$I130,IF(ISNUMBER($H130),$H130,"")))</f>
        <v/>
      </c>
      <c r="K130" s="18" t="n"/>
      <c r="L130" s="17">
        <f>IF($D130="","",IF($K130&lt;&gt;"","Received "&amp;TEXT($K130,"mm/dd"),IF(ISNUMBER($J130),IF(TODAY()&gt;$J130,"OVERDUE","Pending"),IF($H130="","Pending","CHECK DATE"))))</f>
        <v/>
      </c>
      <c r="M130" s="16" t="n"/>
      <c r="N130" s="16" t="n"/>
    </row>
    <row r="131">
      <c r="B131" s="17">
        <f>IF($D131="","","ME"&amp;TEXT(ROW()-5,"000"))</f>
        <v/>
      </c>
      <c r="C131" s="18" t="n"/>
      <c r="D131" s="16" t="n"/>
      <c r="E131" s="17">
        <f>IF($D131="","",IFERROR(INDEX(rngCadetPIDs,MATCH($D131,rngCadetNames,0)),"?"))</f>
        <v/>
      </c>
      <c r="F131" s="16" t="n"/>
      <c r="G131" s="16" t="n"/>
      <c r="H131" s="19">
        <f>IF($D131="","",IF($C131="","(enter date)",_xlfn.LET(_xlpm.dn,_xlfn.XLOOKUP($C131,nrCDdate,nrCDnum,"",1),IF(_xlpm.dn="","(after last class day)",_xlfn.LET(_xlpm.dd,_xlfn.XLOOKUP(_xlpm.dn+cfgMemoDueClassDays,nrCDnum,nrCDdate,""),_xlpm.ok,_xlfn.XLOOKUP(_xlpm.dn+cfgMemoDueClassDays,nrCDnum,nrCDinsession,"No"),IF(OR(_xlpm.dd="",_xlpm.ok&lt;&gt;"Yes"),"(after last class day)",_xlpm.dd))))))</f>
        <v/>
      </c>
      <c r="I131" s="18" t="n"/>
      <c r="J131" s="19">
        <f>IF($D131="","",IF($I131&lt;&gt;"",$I131,IF(ISNUMBER($H131),$H131,"")))</f>
        <v/>
      </c>
      <c r="K131" s="18" t="n"/>
      <c r="L131" s="17">
        <f>IF($D131="","",IF($K131&lt;&gt;"","Received "&amp;TEXT($K131,"mm/dd"),IF(ISNUMBER($J131),IF(TODAY()&gt;$J131,"OVERDUE","Pending"),IF($H131="","Pending","CHECK DATE"))))</f>
        <v/>
      </c>
      <c r="M131" s="16" t="n"/>
      <c r="N131" s="16" t="n"/>
    </row>
    <row r="132">
      <c r="B132" s="17">
        <f>IF($D132="","","ME"&amp;TEXT(ROW()-5,"000"))</f>
        <v/>
      </c>
      <c r="C132" s="18" t="n"/>
      <c r="D132" s="16" t="n"/>
      <c r="E132" s="17">
        <f>IF($D132="","",IFERROR(INDEX(rngCadetPIDs,MATCH($D132,rngCadetNames,0)),"?"))</f>
        <v/>
      </c>
      <c r="F132" s="16" t="n"/>
      <c r="G132" s="16" t="n"/>
      <c r="H132" s="19">
        <f>IF($D132="","",IF($C132="","(enter date)",_xlfn.LET(_xlpm.dn,_xlfn.XLOOKUP($C132,nrCDdate,nrCDnum,"",1),IF(_xlpm.dn="","(after last class day)",_xlfn.LET(_xlpm.dd,_xlfn.XLOOKUP(_xlpm.dn+cfgMemoDueClassDays,nrCDnum,nrCDdate,""),_xlpm.ok,_xlfn.XLOOKUP(_xlpm.dn+cfgMemoDueClassDays,nrCDnum,nrCDinsession,"No"),IF(OR(_xlpm.dd="",_xlpm.ok&lt;&gt;"Yes"),"(after last class day)",_xlpm.dd))))))</f>
        <v/>
      </c>
      <c r="I132" s="18" t="n"/>
      <c r="J132" s="19">
        <f>IF($D132="","",IF($I132&lt;&gt;"",$I132,IF(ISNUMBER($H132),$H132,"")))</f>
        <v/>
      </c>
      <c r="K132" s="18" t="n"/>
      <c r="L132" s="17">
        <f>IF($D132="","",IF($K132&lt;&gt;"","Received "&amp;TEXT($K132,"mm/dd"),IF(ISNUMBER($J132),IF(TODAY()&gt;$J132,"OVERDUE","Pending"),IF($H132="","Pending","CHECK DATE"))))</f>
        <v/>
      </c>
      <c r="M132" s="16" t="n"/>
      <c r="N132" s="16" t="n"/>
    </row>
    <row r="133">
      <c r="B133" s="17">
        <f>IF($D133="","","ME"&amp;TEXT(ROW()-5,"000"))</f>
        <v/>
      </c>
      <c r="C133" s="18" t="n"/>
      <c r="D133" s="16" t="n"/>
      <c r="E133" s="17">
        <f>IF($D133="","",IFERROR(INDEX(rngCadetPIDs,MATCH($D133,rngCadetNames,0)),"?"))</f>
        <v/>
      </c>
      <c r="F133" s="16" t="n"/>
      <c r="G133" s="16" t="n"/>
      <c r="H133" s="19">
        <f>IF($D133="","",IF($C133="","(enter date)",_xlfn.LET(_xlpm.dn,_xlfn.XLOOKUP($C133,nrCDdate,nrCDnum,"",1),IF(_xlpm.dn="","(after last class day)",_xlfn.LET(_xlpm.dd,_xlfn.XLOOKUP(_xlpm.dn+cfgMemoDueClassDays,nrCDnum,nrCDdate,""),_xlpm.ok,_xlfn.XLOOKUP(_xlpm.dn+cfgMemoDueClassDays,nrCDnum,nrCDinsession,"No"),IF(OR(_xlpm.dd="",_xlpm.ok&lt;&gt;"Yes"),"(after last class day)",_xlpm.dd))))))</f>
        <v/>
      </c>
      <c r="I133" s="18" t="n"/>
      <c r="J133" s="19">
        <f>IF($D133="","",IF($I133&lt;&gt;"",$I133,IF(ISNUMBER($H133),$H133,"")))</f>
        <v/>
      </c>
      <c r="K133" s="18" t="n"/>
      <c r="L133" s="17">
        <f>IF($D133="","",IF($K133&lt;&gt;"","Received "&amp;TEXT($K133,"mm/dd"),IF(ISNUMBER($J133),IF(TODAY()&gt;$J133,"OVERDUE","Pending"),IF($H133="","Pending","CHECK DATE"))))</f>
        <v/>
      </c>
      <c r="M133" s="16" t="n"/>
      <c r="N133" s="16" t="n"/>
    </row>
    <row r="134">
      <c r="B134" s="17">
        <f>IF($D134="","","ME"&amp;TEXT(ROW()-5,"000"))</f>
        <v/>
      </c>
      <c r="C134" s="18" t="n"/>
      <c r="D134" s="16" t="n"/>
      <c r="E134" s="17">
        <f>IF($D134="","",IFERROR(INDEX(rngCadetPIDs,MATCH($D134,rngCadetNames,0)),"?"))</f>
        <v/>
      </c>
      <c r="F134" s="16" t="n"/>
      <c r="G134" s="16" t="n"/>
      <c r="H134" s="19">
        <f>IF($D134="","",IF($C134="","(enter date)",_xlfn.LET(_xlpm.dn,_xlfn.XLOOKUP($C134,nrCDdate,nrCDnum,"",1),IF(_xlpm.dn="","(after last class day)",_xlfn.LET(_xlpm.dd,_xlfn.XLOOKUP(_xlpm.dn+cfgMemoDueClassDays,nrCDnum,nrCDdate,""),_xlpm.ok,_xlfn.XLOOKUP(_xlpm.dn+cfgMemoDueClassDays,nrCDnum,nrCDinsession,"No"),IF(OR(_xlpm.dd="",_xlpm.ok&lt;&gt;"Yes"),"(after last class day)",_xlpm.dd))))))</f>
        <v/>
      </c>
      <c r="I134" s="18" t="n"/>
      <c r="J134" s="19">
        <f>IF($D134="","",IF($I134&lt;&gt;"",$I134,IF(ISNUMBER($H134),$H134,"")))</f>
        <v/>
      </c>
      <c r="K134" s="18" t="n"/>
      <c r="L134" s="17">
        <f>IF($D134="","",IF($K134&lt;&gt;"","Received "&amp;TEXT($K134,"mm/dd"),IF(ISNUMBER($J134),IF(TODAY()&gt;$J134,"OVERDUE","Pending"),IF($H134="","Pending","CHECK DATE"))))</f>
        <v/>
      </c>
      <c r="M134" s="16" t="n"/>
      <c r="N134" s="16" t="n"/>
    </row>
    <row r="135">
      <c r="B135" s="17">
        <f>IF($D135="","","ME"&amp;TEXT(ROW()-5,"000"))</f>
        <v/>
      </c>
      <c r="C135" s="18" t="n"/>
      <c r="D135" s="16" t="n"/>
      <c r="E135" s="17">
        <f>IF($D135="","",IFERROR(INDEX(rngCadetPIDs,MATCH($D135,rngCadetNames,0)),"?"))</f>
        <v/>
      </c>
      <c r="F135" s="16" t="n"/>
      <c r="G135" s="16" t="n"/>
      <c r="H135" s="19">
        <f>IF($D135="","",IF($C135="","(enter date)",_xlfn.LET(_xlpm.dn,_xlfn.XLOOKUP($C135,nrCDdate,nrCDnum,"",1),IF(_xlpm.dn="","(after last class day)",_xlfn.LET(_xlpm.dd,_xlfn.XLOOKUP(_xlpm.dn+cfgMemoDueClassDays,nrCDnum,nrCDdate,""),_xlpm.ok,_xlfn.XLOOKUP(_xlpm.dn+cfgMemoDueClassDays,nrCDnum,nrCDinsession,"No"),IF(OR(_xlpm.dd="",_xlpm.ok&lt;&gt;"Yes"),"(after last class day)",_xlpm.dd))))))</f>
        <v/>
      </c>
      <c r="I135" s="18" t="n"/>
      <c r="J135" s="19">
        <f>IF($D135="","",IF($I135&lt;&gt;"",$I135,IF(ISNUMBER($H135),$H135,"")))</f>
        <v/>
      </c>
      <c r="K135" s="18" t="n"/>
      <c r="L135" s="17">
        <f>IF($D135="","",IF($K135&lt;&gt;"","Received "&amp;TEXT($K135,"mm/dd"),IF(ISNUMBER($J135),IF(TODAY()&gt;$J135,"OVERDUE","Pending"),IF($H135="","Pending","CHECK DATE"))))</f>
        <v/>
      </c>
      <c r="M135" s="16" t="n"/>
      <c r="N135" s="16" t="n"/>
    </row>
    <row r="136">
      <c r="B136" s="17">
        <f>IF($D136="","","ME"&amp;TEXT(ROW()-5,"000"))</f>
        <v/>
      </c>
      <c r="C136" s="18" t="n"/>
      <c r="D136" s="16" t="n"/>
      <c r="E136" s="17">
        <f>IF($D136="","",IFERROR(INDEX(rngCadetPIDs,MATCH($D136,rngCadetNames,0)),"?"))</f>
        <v/>
      </c>
      <c r="F136" s="16" t="n"/>
      <c r="G136" s="16" t="n"/>
      <c r="H136" s="19">
        <f>IF($D136="","",IF($C136="","(enter date)",_xlfn.LET(_xlpm.dn,_xlfn.XLOOKUP($C136,nrCDdate,nrCDnum,"",1),IF(_xlpm.dn="","(after last class day)",_xlfn.LET(_xlpm.dd,_xlfn.XLOOKUP(_xlpm.dn+cfgMemoDueClassDays,nrCDnum,nrCDdate,""),_xlpm.ok,_xlfn.XLOOKUP(_xlpm.dn+cfgMemoDueClassDays,nrCDnum,nrCDinsession,"No"),IF(OR(_xlpm.dd="",_xlpm.ok&lt;&gt;"Yes"),"(after last class day)",_xlpm.dd))))))</f>
        <v/>
      </c>
      <c r="I136" s="18" t="n"/>
      <c r="J136" s="19">
        <f>IF($D136="","",IF($I136&lt;&gt;"",$I136,IF(ISNUMBER($H136),$H136,"")))</f>
        <v/>
      </c>
      <c r="K136" s="18" t="n"/>
      <c r="L136" s="17">
        <f>IF($D136="","",IF($K136&lt;&gt;"","Received "&amp;TEXT($K136,"mm/dd"),IF(ISNUMBER($J136),IF(TODAY()&gt;$J136,"OVERDUE","Pending"),IF($H136="","Pending","CHECK DATE"))))</f>
        <v/>
      </c>
      <c r="M136" s="16" t="n"/>
      <c r="N136" s="16" t="n"/>
    </row>
    <row r="137">
      <c r="B137" s="17">
        <f>IF($D137="","","ME"&amp;TEXT(ROW()-5,"000"))</f>
        <v/>
      </c>
      <c r="C137" s="18" t="n"/>
      <c r="D137" s="16" t="n"/>
      <c r="E137" s="17">
        <f>IF($D137="","",IFERROR(INDEX(rngCadetPIDs,MATCH($D137,rngCadetNames,0)),"?"))</f>
        <v/>
      </c>
      <c r="F137" s="16" t="n"/>
      <c r="G137" s="16" t="n"/>
      <c r="H137" s="19">
        <f>IF($D137="","",IF($C137="","(enter date)",_xlfn.LET(_xlpm.dn,_xlfn.XLOOKUP($C137,nrCDdate,nrCDnum,"",1),IF(_xlpm.dn="","(after last class day)",_xlfn.LET(_xlpm.dd,_xlfn.XLOOKUP(_xlpm.dn+cfgMemoDueClassDays,nrCDnum,nrCDdate,""),_xlpm.ok,_xlfn.XLOOKUP(_xlpm.dn+cfgMemoDueClassDays,nrCDnum,nrCDinsession,"No"),IF(OR(_xlpm.dd="",_xlpm.ok&lt;&gt;"Yes"),"(after last class day)",_xlpm.dd))))))</f>
        <v/>
      </c>
      <c r="I137" s="18" t="n"/>
      <c r="J137" s="19">
        <f>IF($D137="","",IF($I137&lt;&gt;"",$I137,IF(ISNUMBER($H137),$H137,"")))</f>
        <v/>
      </c>
      <c r="K137" s="18" t="n"/>
      <c r="L137" s="17">
        <f>IF($D137="","",IF($K137&lt;&gt;"","Received "&amp;TEXT($K137,"mm/dd"),IF(ISNUMBER($J137),IF(TODAY()&gt;$J137,"OVERDUE","Pending"),IF($H137="","Pending","CHECK DATE"))))</f>
        <v/>
      </c>
      <c r="M137" s="16" t="n"/>
      <c r="N137" s="16" t="n"/>
    </row>
    <row r="138">
      <c r="B138" s="17">
        <f>IF($D138="","","ME"&amp;TEXT(ROW()-5,"000"))</f>
        <v/>
      </c>
      <c r="C138" s="18" t="n"/>
      <c r="D138" s="16" t="n"/>
      <c r="E138" s="17">
        <f>IF($D138="","",IFERROR(INDEX(rngCadetPIDs,MATCH($D138,rngCadetNames,0)),"?"))</f>
        <v/>
      </c>
      <c r="F138" s="16" t="n"/>
      <c r="G138" s="16" t="n"/>
      <c r="H138" s="19">
        <f>IF($D138="","",IF($C138="","(enter date)",_xlfn.LET(_xlpm.dn,_xlfn.XLOOKUP($C138,nrCDdate,nrCDnum,"",1),IF(_xlpm.dn="","(after last class day)",_xlfn.LET(_xlpm.dd,_xlfn.XLOOKUP(_xlpm.dn+cfgMemoDueClassDays,nrCDnum,nrCDdate,""),_xlpm.ok,_xlfn.XLOOKUP(_xlpm.dn+cfgMemoDueClassDays,nrCDnum,nrCDinsession,"No"),IF(OR(_xlpm.dd="",_xlpm.ok&lt;&gt;"Yes"),"(after last class day)",_xlpm.dd))))))</f>
        <v/>
      </c>
      <c r="I138" s="18" t="n"/>
      <c r="J138" s="19">
        <f>IF($D138="","",IF($I138&lt;&gt;"",$I138,IF(ISNUMBER($H138),$H138,"")))</f>
        <v/>
      </c>
      <c r="K138" s="18" t="n"/>
      <c r="L138" s="17">
        <f>IF($D138="","",IF($K138&lt;&gt;"","Received "&amp;TEXT($K138,"mm/dd"),IF(ISNUMBER($J138),IF(TODAY()&gt;$J138,"OVERDUE","Pending"),IF($H138="","Pending","CHECK DATE"))))</f>
        <v/>
      </c>
      <c r="M138" s="16" t="n"/>
      <c r="N138" s="16" t="n"/>
    </row>
    <row r="139">
      <c r="B139" s="17">
        <f>IF($D139="","","ME"&amp;TEXT(ROW()-5,"000"))</f>
        <v/>
      </c>
      <c r="C139" s="18" t="n"/>
      <c r="D139" s="16" t="n"/>
      <c r="E139" s="17">
        <f>IF($D139="","",IFERROR(INDEX(rngCadetPIDs,MATCH($D139,rngCadetNames,0)),"?"))</f>
        <v/>
      </c>
      <c r="F139" s="16" t="n"/>
      <c r="G139" s="16" t="n"/>
      <c r="H139" s="19">
        <f>IF($D139="","",IF($C139="","(enter date)",_xlfn.LET(_xlpm.dn,_xlfn.XLOOKUP($C139,nrCDdate,nrCDnum,"",1),IF(_xlpm.dn="","(after last class day)",_xlfn.LET(_xlpm.dd,_xlfn.XLOOKUP(_xlpm.dn+cfgMemoDueClassDays,nrCDnum,nrCDdate,""),_xlpm.ok,_xlfn.XLOOKUP(_xlpm.dn+cfgMemoDueClassDays,nrCDnum,nrCDinsession,"No"),IF(OR(_xlpm.dd="",_xlpm.ok&lt;&gt;"Yes"),"(after last class day)",_xlpm.dd))))))</f>
        <v/>
      </c>
      <c r="I139" s="18" t="n"/>
      <c r="J139" s="19">
        <f>IF($D139="","",IF($I139&lt;&gt;"",$I139,IF(ISNUMBER($H139),$H139,"")))</f>
        <v/>
      </c>
      <c r="K139" s="18" t="n"/>
      <c r="L139" s="17">
        <f>IF($D139="","",IF($K139&lt;&gt;"","Received "&amp;TEXT($K139,"mm/dd"),IF(ISNUMBER($J139),IF(TODAY()&gt;$J139,"OVERDUE","Pending"),IF($H139="","Pending","CHECK DATE"))))</f>
        <v/>
      </c>
      <c r="M139" s="16" t="n"/>
      <c r="N139" s="16" t="n"/>
    </row>
    <row r="140">
      <c r="B140" s="17">
        <f>IF($D140="","","ME"&amp;TEXT(ROW()-5,"000"))</f>
        <v/>
      </c>
      <c r="C140" s="18" t="n"/>
      <c r="D140" s="16" t="n"/>
      <c r="E140" s="17">
        <f>IF($D140="","",IFERROR(INDEX(rngCadetPIDs,MATCH($D140,rngCadetNames,0)),"?"))</f>
        <v/>
      </c>
      <c r="F140" s="16" t="n"/>
      <c r="G140" s="16" t="n"/>
      <c r="H140" s="19">
        <f>IF($D140="","",IF($C140="","(enter date)",_xlfn.LET(_xlpm.dn,_xlfn.XLOOKUP($C140,nrCDdate,nrCDnum,"",1),IF(_xlpm.dn="","(after last class day)",_xlfn.LET(_xlpm.dd,_xlfn.XLOOKUP(_xlpm.dn+cfgMemoDueClassDays,nrCDnum,nrCDdate,""),_xlpm.ok,_xlfn.XLOOKUP(_xlpm.dn+cfgMemoDueClassDays,nrCDnum,nrCDinsession,"No"),IF(OR(_xlpm.dd="",_xlpm.ok&lt;&gt;"Yes"),"(after last class day)",_xlpm.dd))))))</f>
        <v/>
      </c>
      <c r="I140" s="18" t="n"/>
      <c r="J140" s="19">
        <f>IF($D140="","",IF($I140&lt;&gt;"",$I140,IF(ISNUMBER($H140),$H140,"")))</f>
        <v/>
      </c>
      <c r="K140" s="18" t="n"/>
      <c r="L140" s="17">
        <f>IF($D140="","",IF($K140&lt;&gt;"","Received "&amp;TEXT($K140,"mm/dd"),IF(ISNUMBER($J140),IF(TODAY()&gt;$J140,"OVERDUE","Pending"),IF($H140="","Pending","CHECK DATE"))))</f>
        <v/>
      </c>
      <c r="M140" s="16" t="n"/>
      <c r="N140" s="16" t="n"/>
    </row>
    <row r="141">
      <c r="B141" s="17">
        <f>IF($D141="","","ME"&amp;TEXT(ROW()-5,"000"))</f>
        <v/>
      </c>
      <c r="C141" s="18" t="n"/>
      <c r="D141" s="16" t="n"/>
      <c r="E141" s="17">
        <f>IF($D141="","",IFERROR(INDEX(rngCadetPIDs,MATCH($D141,rngCadetNames,0)),"?"))</f>
        <v/>
      </c>
      <c r="F141" s="16" t="n"/>
      <c r="G141" s="16" t="n"/>
      <c r="H141" s="19">
        <f>IF($D141="","",IF($C141="","(enter date)",_xlfn.LET(_xlpm.dn,_xlfn.XLOOKUP($C141,nrCDdate,nrCDnum,"",1),IF(_xlpm.dn="","(after last class day)",_xlfn.LET(_xlpm.dd,_xlfn.XLOOKUP(_xlpm.dn+cfgMemoDueClassDays,nrCDnum,nrCDdate,""),_xlpm.ok,_xlfn.XLOOKUP(_xlpm.dn+cfgMemoDueClassDays,nrCDnum,nrCDinsession,"No"),IF(OR(_xlpm.dd="",_xlpm.ok&lt;&gt;"Yes"),"(after last class day)",_xlpm.dd))))))</f>
        <v/>
      </c>
      <c r="I141" s="18" t="n"/>
      <c r="J141" s="19">
        <f>IF($D141="","",IF($I141&lt;&gt;"",$I141,IF(ISNUMBER($H141),$H141,"")))</f>
        <v/>
      </c>
      <c r="K141" s="18" t="n"/>
      <c r="L141" s="17">
        <f>IF($D141="","",IF($K141&lt;&gt;"","Received "&amp;TEXT($K141,"mm/dd"),IF(ISNUMBER($J141),IF(TODAY()&gt;$J141,"OVERDUE","Pending"),IF($H141="","Pending","CHECK DATE"))))</f>
        <v/>
      </c>
      <c r="M141" s="16" t="n"/>
      <c r="N141" s="16" t="n"/>
    </row>
    <row r="142">
      <c r="B142" s="17">
        <f>IF($D142="","","ME"&amp;TEXT(ROW()-5,"000"))</f>
        <v/>
      </c>
      <c r="C142" s="18" t="n"/>
      <c r="D142" s="16" t="n"/>
      <c r="E142" s="17">
        <f>IF($D142="","",IFERROR(INDEX(rngCadetPIDs,MATCH($D142,rngCadetNames,0)),"?"))</f>
        <v/>
      </c>
      <c r="F142" s="16" t="n"/>
      <c r="G142" s="16" t="n"/>
      <c r="H142" s="19">
        <f>IF($D142="","",IF($C142="","(enter date)",_xlfn.LET(_xlpm.dn,_xlfn.XLOOKUP($C142,nrCDdate,nrCDnum,"",1),IF(_xlpm.dn="","(after last class day)",_xlfn.LET(_xlpm.dd,_xlfn.XLOOKUP(_xlpm.dn+cfgMemoDueClassDays,nrCDnum,nrCDdate,""),_xlpm.ok,_xlfn.XLOOKUP(_xlpm.dn+cfgMemoDueClassDays,nrCDnum,nrCDinsession,"No"),IF(OR(_xlpm.dd="",_xlpm.ok&lt;&gt;"Yes"),"(after last class day)",_xlpm.dd))))))</f>
        <v/>
      </c>
      <c r="I142" s="18" t="n"/>
      <c r="J142" s="19">
        <f>IF($D142="","",IF($I142&lt;&gt;"",$I142,IF(ISNUMBER($H142),$H142,"")))</f>
        <v/>
      </c>
      <c r="K142" s="18" t="n"/>
      <c r="L142" s="17">
        <f>IF($D142="","",IF($K142&lt;&gt;"","Received "&amp;TEXT($K142,"mm/dd"),IF(ISNUMBER($J142),IF(TODAY()&gt;$J142,"OVERDUE","Pending"),IF($H142="","Pending","CHECK DATE"))))</f>
        <v/>
      </c>
      <c r="M142" s="16" t="n"/>
      <c r="N142" s="16" t="n"/>
    </row>
    <row r="143">
      <c r="B143" s="17">
        <f>IF($D143="","","ME"&amp;TEXT(ROW()-5,"000"))</f>
        <v/>
      </c>
      <c r="C143" s="18" t="n"/>
      <c r="D143" s="16" t="n"/>
      <c r="E143" s="17">
        <f>IF($D143="","",IFERROR(INDEX(rngCadetPIDs,MATCH($D143,rngCadetNames,0)),"?"))</f>
        <v/>
      </c>
      <c r="F143" s="16" t="n"/>
      <c r="G143" s="16" t="n"/>
      <c r="H143" s="19">
        <f>IF($D143="","",IF($C143="","(enter date)",_xlfn.LET(_xlpm.dn,_xlfn.XLOOKUP($C143,nrCDdate,nrCDnum,"",1),IF(_xlpm.dn="","(after last class day)",_xlfn.LET(_xlpm.dd,_xlfn.XLOOKUP(_xlpm.dn+cfgMemoDueClassDays,nrCDnum,nrCDdate,""),_xlpm.ok,_xlfn.XLOOKUP(_xlpm.dn+cfgMemoDueClassDays,nrCDnum,nrCDinsession,"No"),IF(OR(_xlpm.dd="",_xlpm.ok&lt;&gt;"Yes"),"(after last class day)",_xlpm.dd))))))</f>
        <v/>
      </c>
      <c r="I143" s="18" t="n"/>
      <c r="J143" s="19">
        <f>IF($D143="","",IF($I143&lt;&gt;"",$I143,IF(ISNUMBER($H143),$H143,"")))</f>
        <v/>
      </c>
      <c r="K143" s="18" t="n"/>
      <c r="L143" s="17">
        <f>IF($D143="","",IF($K143&lt;&gt;"","Received "&amp;TEXT($K143,"mm/dd"),IF(ISNUMBER($J143),IF(TODAY()&gt;$J143,"OVERDUE","Pending"),IF($H143="","Pending","CHECK DATE"))))</f>
        <v/>
      </c>
      <c r="M143" s="16" t="n"/>
      <c r="N143" s="16" t="n"/>
    </row>
    <row r="144">
      <c r="B144" s="17">
        <f>IF($D144="","","ME"&amp;TEXT(ROW()-5,"000"))</f>
        <v/>
      </c>
      <c r="C144" s="18" t="n"/>
      <c r="D144" s="16" t="n"/>
      <c r="E144" s="17">
        <f>IF($D144="","",IFERROR(INDEX(rngCadetPIDs,MATCH($D144,rngCadetNames,0)),"?"))</f>
        <v/>
      </c>
      <c r="F144" s="16" t="n"/>
      <c r="G144" s="16" t="n"/>
      <c r="H144" s="19">
        <f>IF($D144="","",IF($C144="","(enter date)",_xlfn.LET(_xlpm.dn,_xlfn.XLOOKUP($C144,nrCDdate,nrCDnum,"",1),IF(_xlpm.dn="","(after last class day)",_xlfn.LET(_xlpm.dd,_xlfn.XLOOKUP(_xlpm.dn+cfgMemoDueClassDays,nrCDnum,nrCDdate,""),_xlpm.ok,_xlfn.XLOOKUP(_xlpm.dn+cfgMemoDueClassDays,nrCDnum,nrCDinsession,"No"),IF(OR(_xlpm.dd="",_xlpm.ok&lt;&gt;"Yes"),"(after last class day)",_xlpm.dd))))))</f>
        <v/>
      </c>
      <c r="I144" s="18" t="n"/>
      <c r="J144" s="19">
        <f>IF($D144="","",IF($I144&lt;&gt;"",$I144,IF(ISNUMBER($H144),$H144,"")))</f>
        <v/>
      </c>
      <c r="K144" s="18" t="n"/>
      <c r="L144" s="17">
        <f>IF($D144="","",IF($K144&lt;&gt;"","Received "&amp;TEXT($K144,"mm/dd"),IF(ISNUMBER($J144),IF(TODAY()&gt;$J144,"OVERDUE","Pending"),IF($H144="","Pending","CHECK DATE"))))</f>
        <v/>
      </c>
      <c r="M144" s="16" t="n"/>
      <c r="N144" s="16" t="n"/>
    </row>
    <row r="145">
      <c r="B145" s="17">
        <f>IF($D145="","","ME"&amp;TEXT(ROW()-5,"000"))</f>
        <v/>
      </c>
      <c r="C145" s="18" t="n"/>
      <c r="D145" s="16" t="n"/>
      <c r="E145" s="17">
        <f>IF($D145="","",IFERROR(INDEX(rngCadetPIDs,MATCH($D145,rngCadetNames,0)),"?"))</f>
        <v/>
      </c>
      <c r="F145" s="16" t="n"/>
      <c r="G145" s="16" t="n"/>
      <c r="H145" s="19">
        <f>IF($D145="","",IF($C145="","(enter date)",_xlfn.LET(_xlpm.dn,_xlfn.XLOOKUP($C145,nrCDdate,nrCDnum,"",1),IF(_xlpm.dn="","(after last class day)",_xlfn.LET(_xlpm.dd,_xlfn.XLOOKUP(_xlpm.dn+cfgMemoDueClassDays,nrCDnum,nrCDdate,""),_xlpm.ok,_xlfn.XLOOKUP(_xlpm.dn+cfgMemoDueClassDays,nrCDnum,nrCDinsession,"No"),IF(OR(_xlpm.dd="",_xlpm.ok&lt;&gt;"Yes"),"(after last class day)",_xlpm.dd))))))</f>
        <v/>
      </c>
      <c r="I145" s="18" t="n"/>
      <c r="J145" s="19">
        <f>IF($D145="","",IF($I145&lt;&gt;"",$I145,IF(ISNUMBER($H145),$H145,"")))</f>
        <v/>
      </c>
      <c r="K145" s="18" t="n"/>
      <c r="L145" s="17">
        <f>IF($D145="","",IF($K145&lt;&gt;"","Received "&amp;TEXT($K145,"mm/dd"),IF(ISNUMBER($J145),IF(TODAY()&gt;$J145,"OVERDUE","Pending"),IF($H145="","Pending","CHECK DATE"))))</f>
        <v/>
      </c>
      <c r="M145" s="16" t="n"/>
      <c r="N145" s="16" t="n"/>
    </row>
    <row r="146">
      <c r="B146" s="17">
        <f>IF($D146="","","ME"&amp;TEXT(ROW()-5,"000"))</f>
        <v/>
      </c>
      <c r="C146" s="18" t="n"/>
      <c r="D146" s="16" t="n"/>
      <c r="E146" s="17">
        <f>IF($D146="","",IFERROR(INDEX(rngCadetPIDs,MATCH($D146,rngCadetNames,0)),"?"))</f>
        <v/>
      </c>
      <c r="F146" s="16" t="n"/>
      <c r="G146" s="16" t="n"/>
      <c r="H146" s="19">
        <f>IF($D146="","",IF($C146="","(enter date)",_xlfn.LET(_xlpm.dn,_xlfn.XLOOKUP($C146,nrCDdate,nrCDnum,"",1),IF(_xlpm.dn="","(after last class day)",_xlfn.LET(_xlpm.dd,_xlfn.XLOOKUP(_xlpm.dn+cfgMemoDueClassDays,nrCDnum,nrCDdate,""),_xlpm.ok,_xlfn.XLOOKUP(_xlpm.dn+cfgMemoDueClassDays,nrCDnum,nrCDinsession,"No"),IF(OR(_xlpm.dd="",_xlpm.ok&lt;&gt;"Yes"),"(after last class day)",_xlpm.dd))))))</f>
        <v/>
      </c>
      <c r="I146" s="18" t="n"/>
      <c r="J146" s="19">
        <f>IF($D146="","",IF($I146&lt;&gt;"",$I146,IF(ISNUMBER($H146),$H146,"")))</f>
        <v/>
      </c>
      <c r="K146" s="18" t="n"/>
      <c r="L146" s="17">
        <f>IF($D146="","",IF($K146&lt;&gt;"","Received "&amp;TEXT($K146,"mm/dd"),IF(ISNUMBER($J146),IF(TODAY()&gt;$J146,"OVERDUE","Pending"),IF($H146="","Pending","CHECK DATE"))))</f>
        <v/>
      </c>
      <c r="M146" s="16" t="n"/>
      <c r="N146" s="16" t="n"/>
    </row>
    <row r="147">
      <c r="B147" s="17">
        <f>IF($D147="","","ME"&amp;TEXT(ROW()-5,"000"))</f>
        <v/>
      </c>
      <c r="C147" s="18" t="n"/>
      <c r="D147" s="16" t="n"/>
      <c r="E147" s="17">
        <f>IF($D147="","",IFERROR(INDEX(rngCadetPIDs,MATCH($D147,rngCadetNames,0)),"?"))</f>
        <v/>
      </c>
      <c r="F147" s="16" t="n"/>
      <c r="G147" s="16" t="n"/>
      <c r="H147" s="19">
        <f>IF($D147="","",IF($C147="","(enter date)",_xlfn.LET(_xlpm.dn,_xlfn.XLOOKUP($C147,nrCDdate,nrCDnum,"",1),IF(_xlpm.dn="","(after last class day)",_xlfn.LET(_xlpm.dd,_xlfn.XLOOKUP(_xlpm.dn+cfgMemoDueClassDays,nrCDnum,nrCDdate,""),_xlpm.ok,_xlfn.XLOOKUP(_xlpm.dn+cfgMemoDueClassDays,nrCDnum,nrCDinsession,"No"),IF(OR(_xlpm.dd="",_xlpm.ok&lt;&gt;"Yes"),"(after last class day)",_xlpm.dd))))))</f>
        <v/>
      </c>
      <c r="I147" s="18" t="n"/>
      <c r="J147" s="19">
        <f>IF($D147="","",IF($I147&lt;&gt;"",$I147,IF(ISNUMBER($H147),$H147,"")))</f>
        <v/>
      </c>
      <c r="K147" s="18" t="n"/>
      <c r="L147" s="17">
        <f>IF($D147="","",IF($K147&lt;&gt;"","Received "&amp;TEXT($K147,"mm/dd"),IF(ISNUMBER($J147),IF(TODAY()&gt;$J147,"OVERDUE","Pending"),IF($H147="","Pending","CHECK DATE"))))</f>
        <v/>
      </c>
      <c r="M147" s="16" t="n"/>
      <c r="N147" s="16" t="n"/>
    </row>
    <row r="148">
      <c r="B148" s="17">
        <f>IF($D148="","","ME"&amp;TEXT(ROW()-5,"000"))</f>
        <v/>
      </c>
      <c r="C148" s="18" t="n"/>
      <c r="D148" s="16" t="n"/>
      <c r="E148" s="17">
        <f>IF($D148="","",IFERROR(INDEX(rngCadetPIDs,MATCH($D148,rngCadetNames,0)),"?"))</f>
        <v/>
      </c>
      <c r="F148" s="16" t="n"/>
      <c r="G148" s="16" t="n"/>
      <c r="H148" s="19">
        <f>IF($D148="","",IF($C148="","(enter date)",_xlfn.LET(_xlpm.dn,_xlfn.XLOOKUP($C148,nrCDdate,nrCDnum,"",1),IF(_xlpm.dn="","(after last class day)",_xlfn.LET(_xlpm.dd,_xlfn.XLOOKUP(_xlpm.dn+cfgMemoDueClassDays,nrCDnum,nrCDdate,""),_xlpm.ok,_xlfn.XLOOKUP(_xlpm.dn+cfgMemoDueClassDays,nrCDnum,nrCDinsession,"No"),IF(OR(_xlpm.dd="",_xlpm.ok&lt;&gt;"Yes"),"(after last class day)",_xlpm.dd))))))</f>
        <v/>
      </c>
      <c r="I148" s="18" t="n"/>
      <c r="J148" s="19">
        <f>IF($D148="","",IF($I148&lt;&gt;"",$I148,IF(ISNUMBER($H148),$H148,"")))</f>
        <v/>
      </c>
      <c r="K148" s="18" t="n"/>
      <c r="L148" s="17">
        <f>IF($D148="","",IF($K148&lt;&gt;"","Received "&amp;TEXT($K148,"mm/dd"),IF(ISNUMBER($J148),IF(TODAY()&gt;$J148,"OVERDUE","Pending"),IF($H148="","Pending","CHECK DATE"))))</f>
        <v/>
      </c>
      <c r="M148" s="16" t="n"/>
      <c r="N148" s="16" t="n"/>
    </row>
    <row r="149">
      <c r="B149" s="17">
        <f>IF($D149="","","ME"&amp;TEXT(ROW()-5,"000"))</f>
        <v/>
      </c>
      <c r="C149" s="18" t="n"/>
      <c r="D149" s="16" t="n"/>
      <c r="E149" s="17">
        <f>IF($D149="","",IFERROR(INDEX(rngCadetPIDs,MATCH($D149,rngCadetNames,0)),"?"))</f>
        <v/>
      </c>
      <c r="F149" s="16" t="n"/>
      <c r="G149" s="16" t="n"/>
      <c r="H149" s="19">
        <f>IF($D149="","",IF($C149="","(enter date)",_xlfn.LET(_xlpm.dn,_xlfn.XLOOKUP($C149,nrCDdate,nrCDnum,"",1),IF(_xlpm.dn="","(after last class day)",_xlfn.LET(_xlpm.dd,_xlfn.XLOOKUP(_xlpm.dn+cfgMemoDueClassDays,nrCDnum,nrCDdate,""),_xlpm.ok,_xlfn.XLOOKUP(_xlpm.dn+cfgMemoDueClassDays,nrCDnum,nrCDinsession,"No"),IF(OR(_xlpm.dd="",_xlpm.ok&lt;&gt;"Yes"),"(after last class day)",_xlpm.dd))))))</f>
        <v/>
      </c>
      <c r="I149" s="18" t="n"/>
      <c r="J149" s="19">
        <f>IF($D149="","",IF($I149&lt;&gt;"",$I149,IF(ISNUMBER($H149),$H149,"")))</f>
        <v/>
      </c>
      <c r="K149" s="18" t="n"/>
      <c r="L149" s="17">
        <f>IF($D149="","",IF($K149&lt;&gt;"","Received "&amp;TEXT($K149,"mm/dd"),IF(ISNUMBER($J149),IF(TODAY()&gt;$J149,"OVERDUE","Pending"),IF($H149="","Pending","CHECK DATE"))))</f>
        <v/>
      </c>
      <c r="M149" s="16" t="n"/>
      <c r="N149" s="16" t="n"/>
    </row>
    <row r="150">
      <c r="B150" s="17">
        <f>IF($D150="","","ME"&amp;TEXT(ROW()-5,"000"))</f>
        <v/>
      </c>
      <c r="C150" s="18" t="n"/>
      <c r="D150" s="16" t="n"/>
      <c r="E150" s="17">
        <f>IF($D150="","",IFERROR(INDEX(rngCadetPIDs,MATCH($D150,rngCadetNames,0)),"?"))</f>
        <v/>
      </c>
      <c r="F150" s="16" t="n"/>
      <c r="G150" s="16" t="n"/>
      <c r="H150" s="19">
        <f>IF($D150="","",IF($C150="","(enter date)",_xlfn.LET(_xlpm.dn,_xlfn.XLOOKUP($C150,nrCDdate,nrCDnum,"",1),IF(_xlpm.dn="","(after last class day)",_xlfn.LET(_xlpm.dd,_xlfn.XLOOKUP(_xlpm.dn+cfgMemoDueClassDays,nrCDnum,nrCDdate,""),_xlpm.ok,_xlfn.XLOOKUP(_xlpm.dn+cfgMemoDueClassDays,nrCDnum,nrCDinsession,"No"),IF(OR(_xlpm.dd="",_xlpm.ok&lt;&gt;"Yes"),"(after last class day)",_xlpm.dd))))))</f>
        <v/>
      </c>
      <c r="I150" s="18" t="n"/>
      <c r="J150" s="19">
        <f>IF($D150="","",IF($I150&lt;&gt;"",$I150,IF(ISNUMBER($H150),$H150,"")))</f>
        <v/>
      </c>
      <c r="K150" s="18" t="n"/>
      <c r="L150" s="17">
        <f>IF($D150="","",IF($K150&lt;&gt;"","Received "&amp;TEXT($K150,"mm/dd"),IF(ISNUMBER($J150),IF(TODAY()&gt;$J150,"OVERDUE","Pending"),IF($H150="","Pending","CHECK DATE"))))</f>
        <v/>
      </c>
      <c r="M150" s="16" t="n"/>
      <c r="N150" s="16" t="n"/>
    </row>
    <row r="151">
      <c r="B151" s="17">
        <f>IF($D151="","","ME"&amp;TEXT(ROW()-5,"000"))</f>
        <v/>
      </c>
      <c r="C151" s="18" t="n"/>
      <c r="D151" s="16" t="n"/>
      <c r="E151" s="17">
        <f>IF($D151="","",IFERROR(INDEX(rngCadetPIDs,MATCH($D151,rngCadetNames,0)),"?"))</f>
        <v/>
      </c>
      <c r="F151" s="16" t="n"/>
      <c r="G151" s="16" t="n"/>
      <c r="H151" s="19">
        <f>IF($D151="","",IF($C151="","(enter date)",_xlfn.LET(_xlpm.dn,_xlfn.XLOOKUP($C151,nrCDdate,nrCDnum,"",1),IF(_xlpm.dn="","(after last class day)",_xlfn.LET(_xlpm.dd,_xlfn.XLOOKUP(_xlpm.dn+cfgMemoDueClassDays,nrCDnum,nrCDdate,""),_xlpm.ok,_xlfn.XLOOKUP(_xlpm.dn+cfgMemoDueClassDays,nrCDnum,nrCDinsession,"No"),IF(OR(_xlpm.dd="",_xlpm.ok&lt;&gt;"Yes"),"(after last class day)",_xlpm.dd))))))</f>
        <v/>
      </c>
      <c r="I151" s="18" t="n"/>
      <c r="J151" s="19">
        <f>IF($D151="","",IF($I151&lt;&gt;"",$I151,IF(ISNUMBER($H151),$H151,"")))</f>
        <v/>
      </c>
      <c r="K151" s="18" t="n"/>
      <c r="L151" s="17">
        <f>IF($D151="","",IF($K151&lt;&gt;"","Received "&amp;TEXT($K151,"mm/dd"),IF(ISNUMBER($J151),IF(TODAY()&gt;$J151,"OVERDUE","Pending"),IF($H151="","Pending","CHECK DATE"))))</f>
        <v/>
      </c>
      <c r="M151" s="16" t="n"/>
      <c r="N151" s="16" t="n"/>
    </row>
    <row r="152">
      <c r="B152" s="17">
        <f>IF($D152="","","ME"&amp;TEXT(ROW()-5,"000"))</f>
        <v/>
      </c>
      <c r="C152" s="18" t="n"/>
      <c r="D152" s="16" t="n"/>
      <c r="E152" s="17">
        <f>IF($D152="","",IFERROR(INDEX(rngCadetPIDs,MATCH($D152,rngCadetNames,0)),"?"))</f>
        <v/>
      </c>
      <c r="F152" s="16" t="n"/>
      <c r="G152" s="16" t="n"/>
      <c r="H152" s="19">
        <f>IF($D152="","",IF($C152="","(enter date)",_xlfn.LET(_xlpm.dn,_xlfn.XLOOKUP($C152,nrCDdate,nrCDnum,"",1),IF(_xlpm.dn="","(after last class day)",_xlfn.LET(_xlpm.dd,_xlfn.XLOOKUP(_xlpm.dn+cfgMemoDueClassDays,nrCDnum,nrCDdate,""),_xlpm.ok,_xlfn.XLOOKUP(_xlpm.dn+cfgMemoDueClassDays,nrCDnum,nrCDinsession,"No"),IF(OR(_xlpm.dd="",_xlpm.ok&lt;&gt;"Yes"),"(after last class day)",_xlpm.dd))))))</f>
        <v/>
      </c>
      <c r="I152" s="18" t="n"/>
      <c r="J152" s="19">
        <f>IF($D152="","",IF($I152&lt;&gt;"",$I152,IF(ISNUMBER($H152),$H152,"")))</f>
        <v/>
      </c>
      <c r="K152" s="18" t="n"/>
      <c r="L152" s="17">
        <f>IF($D152="","",IF($K152&lt;&gt;"","Received "&amp;TEXT($K152,"mm/dd"),IF(ISNUMBER($J152),IF(TODAY()&gt;$J152,"OVERDUE","Pending"),IF($H152="","Pending","CHECK DATE"))))</f>
        <v/>
      </c>
      <c r="M152" s="16" t="n"/>
      <c r="N152" s="16" t="n"/>
    </row>
    <row r="153">
      <c r="B153" s="17">
        <f>IF($D153="","","ME"&amp;TEXT(ROW()-5,"000"))</f>
        <v/>
      </c>
      <c r="C153" s="18" t="n"/>
      <c r="D153" s="16" t="n"/>
      <c r="E153" s="17">
        <f>IF($D153="","",IFERROR(INDEX(rngCadetPIDs,MATCH($D153,rngCadetNames,0)),"?"))</f>
        <v/>
      </c>
      <c r="F153" s="16" t="n"/>
      <c r="G153" s="16" t="n"/>
      <c r="H153" s="19">
        <f>IF($D153="","",IF($C153="","(enter date)",_xlfn.LET(_xlpm.dn,_xlfn.XLOOKUP($C153,nrCDdate,nrCDnum,"",1),IF(_xlpm.dn="","(after last class day)",_xlfn.LET(_xlpm.dd,_xlfn.XLOOKUP(_xlpm.dn+cfgMemoDueClassDays,nrCDnum,nrCDdate,""),_xlpm.ok,_xlfn.XLOOKUP(_xlpm.dn+cfgMemoDueClassDays,nrCDnum,nrCDinsession,"No"),IF(OR(_xlpm.dd="",_xlpm.ok&lt;&gt;"Yes"),"(after last class day)",_xlpm.dd))))))</f>
        <v/>
      </c>
      <c r="I153" s="18" t="n"/>
      <c r="J153" s="19">
        <f>IF($D153="","",IF($I153&lt;&gt;"",$I153,IF(ISNUMBER($H153),$H153,"")))</f>
        <v/>
      </c>
      <c r="K153" s="18" t="n"/>
      <c r="L153" s="17">
        <f>IF($D153="","",IF($K153&lt;&gt;"","Received "&amp;TEXT($K153,"mm/dd"),IF(ISNUMBER($J153),IF(TODAY()&gt;$J153,"OVERDUE","Pending"),IF($H153="","Pending","CHECK DATE"))))</f>
        <v/>
      </c>
      <c r="M153" s="16" t="n"/>
      <c r="N153" s="16" t="n"/>
    </row>
    <row r="154">
      <c r="B154" s="17">
        <f>IF($D154="","","ME"&amp;TEXT(ROW()-5,"000"))</f>
        <v/>
      </c>
      <c r="C154" s="18" t="n"/>
      <c r="D154" s="16" t="n"/>
      <c r="E154" s="17">
        <f>IF($D154="","",IFERROR(INDEX(rngCadetPIDs,MATCH($D154,rngCadetNames,0)),"?"))</f>
        <v/>
      </c>
      <c r="F154" s="16" t="n"/>
      <c r="G154" s="16" t="n"/>
      <c r="H154" s="19">
        <f>IF($D154="","",IF($C154="","(enter date)",_xlfn.LET(_xlpm.dn,_xlfn.XLOOKUP($C154,nrCDdate,nrCDnum,"",1),IF(_xlpm.dn="","(after last class day)",_xlfn.LET(_xlpm.dd,_xlfn.XLOOKUP(_xlpm.dn+cfgMemoDueClassDays,nrCDnum,nrCDdate,""),_xlpm.ok,_xlfn.XLOOKUP(_xlpm.dn+cfgMemoDueClassDays,nrCDnum,nrCDinsession,"No"),IF(OR(_xlpm.dd="",_xlpm.ok&lt;&gt;"Yes"),"(after last class day)",_xlpm.dd))))))</f>
        <v/>
      </c>
      <c r="I154" s="18" t="n"/>
      <c r="J154" s="19">
        <f>IF($D154="","",IF($I154&lt;&gt;"",$I154,IF(ISNUMBER($H154),$H154,"")))</f>
        <v/>
      </c>
      <c r="K154" s="18" t="n"/>
      <c r="L154" s="17">
        <f>IF($D154="","",IF($K154&lt;&gt;"","Received "&amp;TEXT($K154,"mm/dd"),IF(ISNUMBER($J154),IF(TODAY()&gt;$J154,"OVERDUE","Pending"),IF($H154="","Pending","CHECK DATE"))))</f>
        <v/>
      </c>
      <c r="M154" s="16" t="n"/>
      <c r="N154" s="16" t="n"/>
    </row>
    <row r="155">
      <c r="B155" s="17">
        <f>IF($D155="","","ME"&amp;TEXT(ROW()-5,"000"))</f>
        <v/>
      </c>
      <c r="C155" s="18" t="n"/>
      <c r="D155" s="16" t="n"/>
      <c r="E155" s="17">
        <f>IF($D155="","",IFERROR(INDEX(rngCadetPIDs,MATCH($D155,rngCadetNames,0)),"?"))</f>
        <v/>
      </c>
      <c r="F155" s="16" t="n"/>
      <c r="G155" s="16" t="n"/>
      <c r="H155" s="19">
        <f>IF($D155="","",IF($C155="","(enter date)",_xlfn.LET(_xlpm.dn,_xlfn.XLOOKUP($C155,nrCDdate,nrCDnum,"",1),IF(_xlpm.dn="","(after last class day)",_xlfn.LET(_xlpm.dd,_xlfn.XLOOKUP(_xlpm.dn+cfgMemoDueClassDays,nrCDnum,nrCDdate,""),_xlpm.ok,_xlfn.XLOOKUP(_xlpm.dn+cfgMemoDueClassDays,nrCDnum,nrCDinsession,"No"),IF(OR(_xlpm.dd="",_xlpm.ok&lt;&gt;"Yes"),"(after last class day)",_xlpm.dd))))))</f>
        <v/>
      </c>
      <c r="I155" s="18" t="n"/>
      <c r="J155" s="19">
        <f>IF($D155="","",IF($I155&lt;&gt;"",$I155,IF(ISNUMBER($H155),$H155,"")))</f>
        <v/>
      </c>
      <c r="K155" s="18" t="n"/>
      <c r="L155" s="17">
        <f>IF($D155="","",IF($K155&lt;&gt;"","Received "&amp;TEXT($K155,"mm/dd"),IF(ISNUMBER($J155),IF(TODAY()&gt;$J155,"OVERDUE","Pending"),IF($H155="","Pending","CHECK DATE"))))</f>
        <v/>
      </c>
      <c r="M155" s="16" t="n"/>
      <c r="N155" s="16" t="n"/>
    </row>
    <row r="156">
      <c r="B156" s="17">
        <f>IF($D156="","","ME"&amp;TEXT(ROW()-5,"000"))</f>
        <v/>
      </c>
      <c r="C156" s="18" t="n"/>
      <c r="D156" s="16" t="n"/>
      <c r="E156" s="17">
        <f>IF($D156="","",IFERROR(INDEX(rngCadetPIDs,MATCH($D156,rngCadetNames,0)),"?"))</f>
        <v/>
      </c>
      <c r="F156" s="16" t="n"/>
      <c r="G156" s="16" t="n"/>
      <c r="H156" s="19">
        <f>IF($D156="","",IF($C156="","(enter date)",_xlfn.LET(_xlpm.dn,_xlfn.XLOOKUP($C156,nrCDdate,nrCDnum,"",1),IF(_xlpm.dn="","(after last class day)",_xlfn.LET(_xlpm.dd,_xlfn.XLOOKUP(_xlpm.dn+cfgMemoDueClassDays,nrCDnum,nrCDdate,""),_xlpm.ok,_xlfn.XLOOKUP(_xlpm.dn+cfgMemoDueClassDays,nrCDnum,nrCDinsession,"No"),IF(OR(_xlpm.dd="",_xlpm.ok&lt;&gt;"Yes"),"(after last class day)",_xlpm.dd))))))</f>
        <v/>
      </c>
      <c r="I156" s="18" t="n"/>
      <c r="J156" s="19">
        <f>IF($D156="","",IF($I156&lt;&gt;"",$I156,IF(ISNUMBER($H156),$H156,"")))</f>
        <v/>
      </c>
      <c r="K156" s="18" t="n"/>
      <c r="L156" s="17">
        <f>IF($D156="","",IF($K156&lt;&gt;"","Received "&amp;TEXT($K156,"mm/dd"),IF(ISNUMBER($J156),IF(TODAY()&gt;$J156,"OVERDUE","Pending"),IF($H156="","Pending","CHECK DATE"))))</f>
        <v/>
      </c>
      <c r="M156" s="16" t="n"/>
      <c r="N156" s="16" t="n"/>
    </row>
    <row r="157">
      <c r="B157" s="17">
        <f>IF($D157="","","ME"&amp;TEXT(ROW()-5,"000"))</f>
        <v/>
      </c>
      <c r="C157" s="18" t="n"/>
      <c r="D157" s="16" t="n"/>
      <c r="E157" s="17">
        <f>IF($D157="","",IFERROR(INDEX(rngCadetPIDs,MATCH($D157,rngCadetNames,0)),"?"))</f>
        <v/>
      </c>
      <c r="F157" s="16" t="n"/>
      <c r="G157" s="16" t="n"/>
      <c r="H157" s="19">
        <f>IF($D157="","",IF($C157="","(enter date)",_xlfn.LET(_xlpm.dn,_xlfn.XLOOKUP($C157,nrCDdate,nrCDnum,"",1),IF(_xlpm.dn="","(after last class day)",_xlfn.LET(_xlpm.dd,_xlfn.XLOOKUP(_xlpm.dn+cfgMemoDueClassDays,nrCDnum,nrCDdate,""),_xlpm.ok,_xlfn.XLOOKUP(_xlpm.dn+cfgMemoDueClassDays,nrCDnum,nrCDinsession,"No"),IF(OR(_xlpm.dd="",_xlpm.ok&lt;&gt;"Yes"),"(after last class day)",_xlpm.dd))))))</f>
        <v/>
      </c>
      <c r="I157" s="18" t="n"/>
      <c r="J157" s="19">
        <f>IF($D157="","",IF($I157&lt;&gt;"",$I157,IF(ISNUMBER($H157),$H157,"")))</f>
        <v/>
      </c>
      <c r="K157" s="18" t="n"/>
      <c r="L157" s="17">
        <f>IF($D157="","",IF($K157&lt;&gt;"","Received "&amp;TEXT($K157,"mm/dd"),IF(ISNUMBER($J157),IF(TODAY()&gt;$J157,"OVERDUE","Pending"),IF($H157="","Pending","CHECK DATE"))))</f>
        <v/>
      </c>
      <c r="M157" s="16" t="n"/>
      <c r="N157" s="16" t="n"/>
    </row>
    <row r="158">
      <c r="B158" s="17">
        <f>IF($D158="","","ME"&amp;TEXT(ROW()-5,"000"))</f>
        <v/>
      </c>
      <c r="C158" s="18" t="n"/>
      <c r="D158" s="16" t="n"/>
      <c r="E158" s="17">
        <f>IF($D158="","",IFERROR(INDEX(rngCadetPIDs,MATCH($D158,rngCadetNames,0)),"?"))</f>
        <v/>
      </c>
      <c r="F158" s="16" t="n"/>
      <c r="G158" s="16" t="n"/>
      <c r="H158" s="19">
        <f>IF($D158="","",IF($C158="","(enter date)",_xlfn.LET(_xlpm.dn,_xlfn.XLOOKUP($C158,nrCDdate,nrCDnum,"",1),IF(_xlpm.dn="","(after last class day)",_xlfn.LET(_xlpm.dd,_xlfn.XLOOKUP(_xlpm.dn+cfgMemoDueClassDays,nrCDnum,nrCDdate,""),_xlpm.ok,_xlfn.XLOOKUP(_xlpm.dn+cfgMemoDueClassDays,nrCDnum,nrCDinsession,"No"),IF(OR(_xlpm.dd="",_xlpm.ok&lt;&gt;"Yes"),"(after last class day)",_xlpm.dd))))))</f>
        <v/>
      </c>
      <c r="I158" s="18" t="n"/>
      <c r="J158" s="19">
        <f>IF($D158="","",IF($I158&lt;&gt;"",$I158,IF(ISNUMBER($H158),$H158,"")))</f>
        <v/>
      </c>
      <c r="K158" s="18" t="n"/>
      <c r="L158" s="17">
        <f>IF($D158="","",IF($K158&lt;&gt;"","Received "&amp;TEXT($K158,"mm/dd"),IF(ISNUMBER($J158),IF(TODAY()&gt;$J158,"OVERDUE","Pending"),IF($H158="","Pending","CHECK DATE"))))</f>
        <v/>
      </c>
      <c r="M158" s="16" t="n"/>
      <c r="N158" s="16" t="n"/>
    </row>
    <row r="159">
      <c r="B159" s="17">
        <f>IF($D159="","","ME"&amp;TEXT(ROW()-5,"000"))</f>
        <v/>
      </c>
      <c r="C159" s="18" t="n"/>
      <c r="D159" s="16" t="n"/>
      <c r="E159" s="17">
        <f>IF($D159="","",IFERROR(INDEX(rngCadetPIDs,MATCH($D159,rngCadetNames,0)),"?"))</f>
        <v/>
      </c>
      <c r="F159" s="16" t="n"/>
      <c r="G159" s="16" t="n"/>
      <c r="H159" s="19">
        <f>IF($D159="","",IF($C159="","(enter date)",_xlfn.LET(_xlpm.dn,_xlfn.XLOOKUP($C159,nrCDdate,nrCDnum,"",1),IF(_xlpm.dn="","(after last class day)",_xlfn.LET(_xlpm.dd,_xlfn.XLOOKUP(_xlpm.dn+cfgMemoDueClassDays,nrCDnum,nrCDdate,""),_xlpm.ok,_xlfn.XLOOKUP(_xlpm.dn+cfgMemoDueClassDays,nrCDnum,nrCDinsession,"No"),IF(OR(_xlpm.dd="",_xlpm.ok&lt;&gt;"Yes"),"(after last class day)",_xlpm.dd))))))</f>
        <v/>
      </c>
      <c r="I159" s="18" t="n"/>
      <c r="J159" s="19">
        <f>IF($D159="","",IF($I159&lt;&gt;"",$I159,IF(ISNUMBER($H159),$H159,"")))</f>
        <v/>
      </c>
      <c r="K159" s="18" t="n"/>
      <c r="L159" s="17">
        <f>IF($D159="","",IF($K159&lt;&gt;"","Received "&amp;TEXT($K159,"mm/dd"),IF(ISNUMBER($J159),IF(TODAY()&gt;$J159,"OVERDUE","Pending"),IF($H159="","Pending","CHECK DATE"))))</f>
        <v/>
      </c>
      <c r="M159" s="16" t="n"/>
      <c r="N159" s="16" t="n"/>
    </row>
    <row r="160">
      <c r="B160" s="17">
        <f>IF($D160="","","ME"&amp;TEXT(ROW()-5,"000"))</f>
        <v/>
      </c>
      <c r="C160" s="18" t="n"/>
      <c r="D160" s="16" t="n"/>
      <c r="E160" s="17">
        <f>IF($D160="","",IFERROR(INDEX(rngCadetPIDs,MATCH($D160,rngCadetNames,0)),"?"))</f>
        <v/>
      </c>
      <c r="F160" s="16" t="n"/>
      <c r="G160" s="16" t="n"/>
      <c r="H160" s="19">
        <f>IF($D160="","",IF($C160="","(enter date)",_xlfn.LET(_xlpm.dn,_xlfn.XLOOKUP($C160,nrCDdate,nrCDnum,"",1),IF(_xlpm.dn="","(after last class day)",_xlfn.LET(_xlpm.dd,_xlfn.XLOOKUP(_xlpm.dn+cfgMemoDueClassDays,nrCDnum,nrCDdate,""),_xlpm.ok,_xlfn.XLOOKUP(_xlpm.dn+cfgMemoDueClassDays,nrCDnum,nrCDinsession,"No"),IF(OR(_xlpm.dd="",_xlpm.ok&lt;&gt;"Yes"),"(after last class day)",_xlpm.dd))))))</f>
        <v/>
      </c>
      <c r="I160" s="18" t="n"/>
      <c r="J160" s="19">
        <f>IF($D160="","",IF($I160&lt;&gt;"",$I160,IF(ISNUMBER($H160),$H160,"")))</f>
        <v/>
      </c>
      <c r="K160" s="18" t="n"/>
      <c r="L160" s="17">
        <f>IF($D160="","",IF($K160&lt;&gt;"","Received "&amp;TEXT($K160,"mm/dd"),IF(ISNUMBER($J160),IF(TODAY()&gt;$J160,"OVERDUE","Pending"),IF($H160="","Pending","CHECK DATE"))))</f>
        <v/>
      </c>
      <c r="M160" s="16" t="n"/>
      <c r="N160" s="16" t="n"/>
    </row>
    <row r="161">
      <c r="B161" s="17">
        <f>IF($D161="","","ME"&amp;TEXT(ROW()-5,"000"))</f>
        <v/>
      </c>
      <c r="C161" s="18" t="n"/>
      <c r="D161" s="16" t="n"/>
      <c r="E161" s="17">
        <f>IF($D161="","",IFERROR(INDEX(rngCadetPIDs,MATCH($D161,rngCadetNames,0)),"?"))</f>
        <v/>
      </c>
      <c r="F161" s="16" t="n"/>
      <c r="G161" s="16" t="n"/>
      <c r="H161" s="19">
        <f>IF($D161="","",IF($C161="","(enter date)",_xlfn.LET(_xlpm.dn,_xlfn.XLOOKUP($C161,nrCDdate,nrCDnum,"",1),IF(_xlpm.dn="","(after last class day)",_xlfn.LET(_xlpm.dd,_xlfn.XLOOKUP(_xlpm.dn+cfgMemoDueClassDays,nrCDnum,nrCDdate,""),_xlpm.ok,_xlfn.XLOOKUP(_xlpm.dn+cfgMemoDueClassDays,nrCDnum,nrCDinsession,"No"),IF(OR(_xlpm.dd="",_xlpm.ok&lt;&gt;"Yes"),"(after last class day)",_xlpm.dd))))))</f>
        <v/>
      </c>
      <c r="I161" s="18" t="n"/>
      <c r="J161" s="19">
        <f>IF($D161="","",IF($I161&lt;&gt;"",$I161,IF(ISNUMBER($H161),$H161,"")))</f>
        <v/>
      </c>
      <c r="K161" s="18" t="n"/>
      <c r="L161" s="17">
        <f>IF($D161="","",IF($K161&lt;&gt;"","Received "&amp;TEXT($K161,"mm/dd"),IF(ISNUMBER($J161),IF(TODAY()&gt;$J161,"OVERDUE","Pending"),IF($H161="","Pending","CHECK DATE"))))</f>
        <v/>
      </c>
      <c r="M161" s="16" t="n"/>
      <c r="N161" s="16" t="n"/>
    </row>
    <row r="162">
      <c r="B162" s="17">
        <f>IF($D162="","","ME"&amp;TEXT(ROW()-5,"000"))</f>
        <v/>
      </c>
      <c r="C162" s="18" t="n"/>
      <c r="D162" s="16" t="n"/>
      <c r="E162" s="17">
        <f>IF($D162="","",IFERROR(INDEX(rngCadetPIDs,MATCH($D162,rngCadetNames,0)),"?"))</f>
        <v/>
      </c>
      <c r="F162" s="16" t="n"/>
      <c r="G162" s="16" t="n"/>
      <c r="H162" s="19">
        <f>IF($D162="","",IF($C162="","(enter date)",_xlfn.LET(_xlpm.dn,_xlfn.XLOOKUP($C162,nrCDdate,nrCDnum,"",1),IF(_xlpm.dn="","(after last class day)",_xlfn.LET(_xlpm.dd,_xlfn.XLOOKUP(_xlpm.dn+cfgMemoDueClassDays,nrCDnum,nrCDdate,""),_xlpm.ok,_xlfn.XLOOKUP(_xlpm.dn+cfgMemoDueClassDays,nrCDnum,nrCDinsession,"No"),IF(OR(_xlpm.dd="",_xlpm.ok&lt;&gt;"Yes"),"(after last class day)",_xlpm.dd))))))</f>
        <v/>
      </c>
      <c r="I162" s="18" t="n"/>
      <c r="J162" s="19">
        <f>IF($D162="","",IF($I162&lt;&gt;"",$I162,IF(ISNUMBER($H162),$H162,"")))</f>
        <v/>
      </c>
      <c r="K162" s="18" t="n"/>
      <c r="L162" s="17">
        <f>IF($D162="","",IF($K162&lt;&gt;"","Received "&amp;TEXT($K162,"mm/dd"),IF(ISNUMBER($J162),IF(TODAY()&gt;$J162,"OVERDUE","Pending"),IF($H162="","Pending","CHECK DATE"))))</f>
        <v/>
      </c>
      <c r="M162" s="16" t="n"/>
      <c r="N162" s="16" t="n"/>
    </row>
    <row r="163">
      <c r="B163" s="17">
        <f>IF($D163="","","ME"&amp;TEXT(ROW()-5,"000"))</f>
        <v/>
      </c>
      <c r="C163" s="18" t="n"/>
      <c r="D163" s="16" t="n"/>
      <c r="E163" s="17">
        <f>IF($D163="","",IFERROR(INDEX(rngCadetPIDs,MATCH($D163,rngCadetNames,0)),"?"))</f>
        <v/>
      </c>
      <c r="F163" s="16" t="n"/>
      <c r="G163" s="16" t="n"/>
      <c r="H163" s="19">
        <f>IF($D163="","",IF($C163="","(enter date)",_xlfn.LET(_xlpm.dn,_xlfn.XLOOKUP($C163,nrCDdate,nrCDnum,"",1),IF(_xlpm.dn="","(after last class day)",_xlfn.LET(_xlpm.dd,_xlfn.XLOOKUP(_xlpm.dn+cfgMemoDueClassDays,nrCDnum,nrCDdate,""),_xlpm.ok,_xlfn.XLOOKUP(_xlpm.dn+cfgMemoDueClassDays,nrCDnum,nrCDinsession,"No"),IF(OR(_xlpm.dd="",_xlpm.ok&lt;&gt;"Yes"),"(after last class day)",_xlpm.dd))))))</f>
        <v/>
      </c>
      <c r="I163" s="18" t="n"/>
      <c r="J163" s="19">
        <f>IF($D163="","",IF($I163&lt;&gt;"",$I163,IF(ISNUMBER($H163),$H163,"")))</f>
        <v/>
      </c>
      <c r="K163" s="18" t="n"/>
      <c r="L163" s="17">
        <f>IF($D163="","",IF($K163&lt;&gt;"","Received "&amp;TEXT($K163,"mm/dd"),IF(ISNUMBER($J163),IF(TODAY()&gt;$J163,"OVERDUE","Pending"),IF($H163="","Pending","CHECK DATE"))))</f>
        <v/>
      </c>
      <c r="M163" s="16" t="n"/>
      <c r="N163" s="16" t="n"/>
    </row>
    <row r="164">
      <c r="B164" s="17">
        <f>IF($D164="","","ME"&amp;TEXT(ROW()-5,"000"))</f>
        <v/>
      </c>
      <c r="C164" s="18" t="n"/>
      <c r="D164" s="16" t="n"/>
      <c r="E164" s="17">
        <f>IF($D164="","",IFERROR(INDEX(rngCadetPIDs,MATCH($D164,rngCadetNames,0)),"?"))</f>
        <v/>
      </c>
      <c r="F164" s="16" t="n"/>
      <c r="G164" s="16" t="n"/>
      <c r="H164" s="19">
        <f>IF($D164="","",IF($C164="","(enter date)",_xlfn.LET(_xlpm.dn,_xlfn.XLOOKUP($C164,nrCDdate,nrCDnum,"",1),IF(_xlpm.dn="","(after last class day)",_xlfn.LET(_xlpm.dd,_xlfn.XLOOKUP(_xlpm.dn+cfgMemoDueClassDays,nrCDnum,nrCDdate,""),_xlpm.ok,_xlfn.XLOOKUP(_xlpm.dn+cfgMemoDueClassDays,nrCDnum,nrCDinsession,"No"),IF(OR(_xlpm.dd="",_xlpm.ok&lt;&gt;"Yes"),"(after last class day)",_xlpm.dd))))))</f>
        <v/>
      </c>
      <c r="I164" s="18" t="n"/>
      <c r="J164" s="19">
        <f>IF($D164="","",IF($I164&lt;&gt;"",$I164,IF(ISNUMBER($H164),$H164,"")))</f>
        <v/>
      </c>
      <c r="K164" s="18" t="n"/>
      <c r="L164" s="17">
        <f>IF($D164="","",IF($K164&lt;&gt;"","Received "&amp;TEXT($K164,"mm/dd"),IF(ISNUMBER($J164),IF(TODAY()&gt;$J164,"OVERDUE","Pending"),IF($H164="","Pending","CHECK DATE"))))</f>
        <v/>
      </c>
      <c r="M164" s="16" t="n"/>
      <c r="N164" s="16" t="n"/>
    </row>
    <row r="165">
      <c r="B165" s="17">
        <f>IF($D165="","","ME"&amp;TEXT(ROW()-5,"000"))</f>
        <v/>
      </c>
      <c r="C165" s="18" t="n"/>
      <c r="D165" s="16" t="n"/>
      <c r="E165" s="17">
        <f>IF($D165="","",IFERROR(INDEX(rngCadetPIDs,MATCH($D165,rngCadetNames,0)),"?"))</f>
        <v/>
      </c>
      <c r="F165" s="16" t="n"/>
      <c r="G165" s="16" t="n"/>
      <c r="H165" s="19">
        <f>IF($D165="","",IF($C165="","(enter date)",_xlfn.LET(_xlpm.dn,_xlfn.XLOOKUP($C165,nrCDdate,nrCDnum,"",1),IF(_xlpm.dn="","(after last class day)",_xlfn.LET(_xlpm.dd,_xlfn.XLOOKUP(_xlpm.dn+cfgMemoDueClassDays,nrCDnum,nrCDdate,""),_xlpm.ok,_xlfn.XLOOKUP(_xlpm.dn+cfgMemoDueClassDays,nrCDnum,nrCDinsession,"No"),IF(OR(_xlpm.dd="",_xlpm.ok&lt;&gt;"Yes"),"(after last class day)",_xlpm.dd))))))</f>
        <v/>
      </c>
      <c r="I165" s="18" t="n"/>
      <c r="J165" s="19">
        <f>IF($D165="","",IF($I165&lt;&gt;"",$I165,IF(ISNUMBER($H165),$H165,"")))</f>
        <v/>
      </c>
      <c r="K165" s="18" t="n"/>
      <c r="L165" s="17">
        <f>IF($D165="","",IF($K165&lt;&gt;"","Received "&amp;TEXT($K165,"mm/dd"),IF(ISNUMBER($J165),IF(TODAY()&gt;$J165,"OVERDUE","Pending"),IF($H165="","Pending","CHECK DATE"))))</f>
        <v/>
      </c>
      <c r="M165" s="16" t="n"/>
      <c r="N165" s="16" t="n"/>
    </row>
    <row r="166">
      <c r="B166" s="17">
        <f>IF($D166="","","ME"&amp;TEXT(ROW()-5,"000"))</f>
        <v/>
      </c>
      <c r="C166" s="18" t="n"/>
      <c r="D166" s="16" t="n"/>
      <c r="E166" s="17">
        <f>IF($D166="","",IFERROR(INDEX(rngCadetPIDs,MATCH($D166,rngCadetNames,0)),"?"))</f>
        <v/>
      </c>
      <c r="F166" s="16" t="n"/>
      <c r="G166" s="16" t="n"/>
      <c r="H166" s="19">
        <f>IF($D166="","",IF($C166="","(enter date)",_xlfn.LET(_xlpm.dn,_xlfn.XLOOKUP($C166,nrCDdate,nrCDnum,"",1),IF(_xlpm.dn="","(after last class day)",_xlfn.LET(_xlpm.dd,_xlfn.XLOOKUP(_xlpm.dn+cfgMemoDueClassDays,nrCDnum,nrCDdate,""),_xlpm.ok,_xlfn.XLOOKUP(_xlpm.dn+cfgMemoDueClassDays,nrCDnum,nrCDinsession,"No"),IF(OR(_xlpm.dd="",_xlpm.ok&lt;&gt;"Yes"),"(after last class day)",_xlpm.dd))))))</f>
        <v/>
      </c>
      <c r="I166" s="18" t="n"/>
      <c r="J166" s="19">
        <f>IF($D166="","",IF($I166&lt;&gt;"",$I166,IF(ISNUMBER($H166),$H166,"")))</f>
        <v/>
      </c>
      <c r="K166" s="18" t="n"/>
      <c r="L166" s="17">
        <f>IF($D166="","",IF($K166&lt;&gt;"","Received "&amp;TEXT($K166,"mm/dd"),IF(ISNUMBER($J166),IF(TODAY()&gt;$J166,"OVERDUE","Pending"),IF($H166="","Pending","CHECK DATE"))))</f>
        <v/>
      </c>
      <c r="M166" s="16" t="n"/>
      <c r="N166" s="16" t="n"/>
    </row>
    <row r="167">
      <c r="B167" s="17">
        <f>IF($D167="","","ME"&amp;TEXT(ROW()-5,"000"))</f>
        <v/>
      </c>
      <c r="C167" s="18" t="n"/>
      <c r="D167" s="16" t="n"/>
      <c r="E167" s="17">
        <f>IF($D167="","",IFERROR(INDEX(rngCadetPIDs,MATCH($D167,rngCadetNames,0)),"?"))</f>
        <v/>
      </c>
      <c r="F167" s="16" t="n"/>
      <c r="G167" s="16" t="n"/>
      <c r="H167" s="19">
        <f>IF($D167="","",IF($C167="","(enter date)",_xlfn.LET(_xlpm.dn,_xlfn.XLOOKUP($C167,nrCDdate,nrCDnum,"",1),IF(_xlpm.dn="","(after last class day)",_xlfn.LET(_xlpm.dd,_xlfn.XLOOKUP(_xlpm.dn+cfgMemoDueClassDays,nrCDnum,nrCDdate,""),_xlpm.ok,_xlfn.XLOOKUP(_xlpm.dn+cfgMemoDueClassDays,nrCDnum,nrCDinsession,"No"),IF(OR(_xlpm.dd="",_xlpm.ok&lt;&gt;"Yes"),"(after last class day)",_xlpm.dd))))))</f>
        <v/>
      </c>
      <c r="I167" s="18" t="n"/>
      <c r="J167" s="19">
        <f>IF($D167="","",IF($I167&lt;&gt;"",$I167,IF(ISNUMBER($H167),$H167,"")))</f>
        <v/>
      </c>
      <c r="K167" s="18" t="n"/>
      <c r="L167" s="17">
        <f>IF($D167="","",IF($K167&lt;&gt;"","Received "&amp;TEXT($K167,"mm/dd"),IF(ISNUMBER($J167),IF(TODAY()&gt;$J167,"OVERDUE","Pending"),IF($H167="","Pending","CHECK DATE"))))</f>
        <v/>
      </c>
      <c r="M167" s="16" t="n"/>
      <c r="N167" s="16" t="n"/>
    </row>
    <row r="168">
      <c r="B168" s="17">
        <f>IF($D168="","","ME"&amp;TEXT(ROW()-5,"000"))</f>
        <v/>
      </c>
      <c r="C168" s="18" t="n"/>
      <c r="D168" s="16" t="n"/>
      <c r="E168" s="17">
        <f>IF($D168="","",IFERROR(INDEX(rngCadetPIDs,MATCH($D168,rngCadetNames,0)),"?"))</f>
        <v/>
      </c>
      <c r="F168" s="16" t="n"/>
      <c r="G168" s="16" t="n"/>
      <c r="H168" s="19">
        <f>IF($D168="","",IF($C168="","(enter date)",_xlfn.LET(_xlpm.dn,_xlfn.XLOOKUP($C168,nrCDdate,nrCDnum,"",1),IF(_xlpm.dn="","(after last class day)",_xlfn.LET(_xlpm.dd,_xlfn.XLOOKUP(_xlpm.dn+cfgMemoDueClassDays,nrCDnum,nrCDdate,""),_xlpm.ok,_xlfn.XLOOKUP(_xlpm.dn+cfgMemoDueClassDays,nrCDnum,nrCDinsession,"No"),IF(OR(_xlpm.dd="",_xlpm.ok&lt;&gt;"Yes"),"(after last class day)",_xlpm.dd))))))</f>
        <v/>
      </c>
      <c r="I168" s="18" t="n"/>
      <c r="J168" s="19">
        <f>IF($D168="","",IF($I168&lt;&gt;"",$I168,IF(ISNUMBER($H168),$H168,"")))</f>
        <v/>
      </c>
      <c r="K168" s="18" t="n"/>
      <c r="L168" s="17">
        <f>IF($D168="","",IF($K168&lt;&gt;"","Received "&amp;TEXT($K168,"mm/dd"),IF(ISNUMBER($J168),IF(TODAY()&gt;$J168,"OVERDUE","Pending"),IF($H168="","Pending","CHECK DATE"))))</f>
        <v/>
      </c>
      <c r="M168" s="16" t="n"/>
      <c r="N168" s="16" t="n"/>
    </row>
    <row r="169">
      <c r="B169" s="17">
        <f>IF($D169="","","ME"&amp;TEXT(ROW()-5,"000"))</f>
        <v/>
      </c>
      <c r="C169" s="18" t="n"/>
      <c r="D169" s="16" t="n"/>
      <c r="E169" s="17">
        <f>IF($D169="","",IFERROR(INDEX(rngCadetPIDs,MATCH($D169,rngCadetNames,0)),"?"))</f>
        <v/>
      </c>
      <c r="F169" s="16" t="n"/>
      <c r="G169" s="16" t="n"/>
      <c r="H169" s="19">
        <f>IF($D169="","",IF($C169="","(enter date)",_xlfn.LET(_xlpm.dn,_xlfn.XLOOKUP($C169,nrCDdate,nrCDnum,"",1),IF(_xlpm.dn="","(after last class day)",_xlfn.LET(_xlpm.dd,_xlfn.XLOOKUP(_xlpm.dn+cfgMemoDueClassDays,nrCDnum,nrCDdate,""),_xlpm.ok,_xlfn.XLOOKUP(_xlpm.dn+cfgMemoDueClassDays,nrCDnum,nrCDinsession,"No"),IF(OR(_xlpm.dd="",_xlpm.ok&lt;&gt;"Yes"),"(after last class day)",_xlpm.dd))))))</f>
        <v/>
      </c>
      <c r="I169" s="18" t="n"/>
      <c r="J169" s="19">
        <f>IF($D169="","",IF($I169&lt;&gt;"",$I169,IF(ISNUMBER($H169),$H169,"")))</f>
        <v/>
      </c>
      <c r="K169" s="18" t="n"/>
      <c r="L169" s="17">
        <f>IF($D169="","",IF($K169&lt;&gt;"","Received "&amp;TEXT($K169,"mm/dd"),IF(ISNUMBER($J169),IF(TODAY()&gt;$J169,"OVERDUE","Pending"),IF($H169="","Pending","CHECK DATE"))))</f>
        <v/>
      </c>
      <c r="M169" s="16" t="n"/>
      <c r="N169" s="16" t="n"/>
    </row>
    <row r="170">
      <c r="B170" s="17">
        <f>IF($D170="","","ME"&amp;TEXT(ROW()-5,"000"))</f>
        <v/>
      </c>
      <c r="C170" s="18" t="n"/>
      <c r="D170" s="16" t="n"/>
      <c r="E170" s="17">
        <f>IF($D170="","",IFERROR(INDEX(rngCadetPIDs,MATCH($D170,rngCadetNames,0)),"?"))</f>
        <v/>
      </c>
      <c r="F170" s="16" t="n"/>
      <c r="G170" s="16" t="n"/>
      <c r="H170" s="19">
        <f>IF($D170="","",IF($C170="","(enter date)",_xlfn.LET(_xlpm.dn,_xlfn.XLOOKUP($C170,nrCDdate,nrCDnum,"",1),IF(_xlpm.dn="","(after last class day)",_xlfn.LET(_xlpm.dd,_xlfn.XLOOKUP(_xlpm.dn+cfgMemoDueClassDays,nrCDnum,nrCDdate,""),_xlpm.ok,_xlfn.XLOOKUP(_xlpm.dn+cfgMemoDueClassDays,nrCDnum,nrCDinsession,"No"),IF(OR(_xlpm.dd="",_xlpm.ok&lt;&gt;"Yes"),"(after last class day)",_xlpm.dd))))))</f>
        <v/>
      </c>
      <c r="I170" s="18" t="n"/>
      <c r="J170" s="19">
        <f>IF($D170="","",IF($I170&lt;&gt;"",$I170,IF(ISNUMBER($H170),$H170,"")))</f>
        <v/>
      </c>
      <c r="K170" s="18" t="n"/>
      <c r="L170" s="17">
        <f>IF($D170="","",IF($K170&lt;&gt;"","Received "&amp;TEXT($K170,"mm/dd"),IF(ISNUMBER($J170),IF(TODAY()&gt;$J170,"OVERDUE","Pending"),IF($H170="","Pending","CHECK DATE"))))</f>
        <v/>
      </c>
      <c r="M170" s="16" t="n"/>
      <c r="N170" s="16" t="n"/>
    </row>
    <row r="171">
      <c r="B171" s="17">
        <f>IF($D171="","","ME"&amp;TEXT(ROW()-5,"000"))</f>
        <v/>
      </c>
      <c r="C171" s="18" t="n"/>
      <c r="D171" s="16" t="n"/>
      <c r="E171" s="17">
        <f>IF($D171="","",IFERROR(INDEX(rngCadetPIDs,MATCH($D171,rngCadetNames,0)),"?"))</f>
        <v/>
      </c>
      <c r="F171" s="16" t="n"/>
      <c r="G171" s="16" t="n"/>
      <c r="H171" s="19">
        <f>IF($D171="","",IF($C171="","(enter date)",_xlfn.LET(_xlpm.dn,_xlfn.XLOOKUP($C171,nrCDdate,nrCDnum,"",1),IF(_xlpm.dn="","(after last class day)",_xlfn.LET(_xlpm.dd,_xlfn.XLOOKUP(_xlpm.dn+cfgMemoDueClassDays,nrCDnum,nrCDdate,""),_xlpm.ok,_xlfn.XLOOKUP(_xlpm.dn+cfgMemoDueClassDays,nrCDnum,nrCDinsession,"No"),IF(OR(_xlpm.dd="",_xlpm.ok&lt;&gt;"Yes"),"(after last class day)",_xlpm.dd))))))</f>
        <v/>
      </c>
      <c r="I171" s="18" t="n"/>
      <c r="J171" s="19">
        <f>IF($D171="","",IF($I171&lt;&gt;"",$I171,IF(ISNUMBER($H171),$H171,"")))</f>
        <v/>
      </c>
      <c r="K171" s="18" t="n"/>
      <c r="L171" s="17">
        <f>IF($D171="","",IF($K171&lt;&gt;"","Received "&amp;TEXT($K171,"mm/dd"),IF(ISNUMBER($J171),IF(TODAY()&gt;$J171,"OVERDUE","Pending"),IF($H171="","Pending","CHECK DATE"))))</f>
        <v/>
      </c>
      <c r="M171" s="16" t="n"/>
      <c r="N171" s="16" t="n"/>
    </row>
    <row r="172">
      <c r="B172" s="17">
        <f>IF($D172="","","ME"&amp;TEXT(ROW()-5,"000"))</f>
        <v/>
      </c>
      <c r="C172" s="18" t="n"/>
      <c r="D172" s="16" t="n"/>
      <c r="E172" s="17">
        <f>IF($D172="","",IFERROR(INDEX(rngCadetPIDs,MATCH($D172,rngCadetNames,0)),"?"))</f>
        <v/>
      </c>
      <c r="F172" s="16" t="n"/>
      <c r="G172" s="16" t="n"/>
      <c r="H172" s="19">
        <f>IF($D172="","",IF($C172="","(enter date)",_xlfn.LET(_xlpm.dn,_xlfn.XLOOKUP($C172,nrCDdate,nrCDnum,"",1),IF(_xlpm.dn="","(after last class day)",_xlfn.LET(_xlpm.dd,_xlfn.XLOOKUP(_xlpm.dn+cfgMemoDueClassDays,nrCDnum,nrCDdate,""),_xlpm.ok,_xlfn.XLOOKUP(_xlpm.dn+cfgMemoDueClassDays,nrCDnum,nrCDinsession,"No"),IF(OR(_xlpm.dd="",_xlpm.ok&lt;&gt;"Yes"),"(after last class day)",_xlpm.dd))))))</f>
        <v/>
      </c>
      <c r="I172" s="18" t="n"/>
      <c r="J172" s="19">
        <f>IF($D172="","",IF($I172&lt;&gt;"",$I172,IF(ISNUMBER($H172),$H172,"")))</f>
        <v/>
      </c>
      <c r="K172" s="18" t="n"/>
      <c r="L172" s="17">
        <f>IF($D172="","",IF($K172&lt;&gt;"","Received "&amp;TEXT($K172,"mm/dd"),IF(ISNUMBER($J172),IF(TODAY()&gt;$J172,"OVERDUE","Pending"),IF($H172="","Pending","CHECK DATE"))))</f>
        <v/>
      </c>
      <c r="M172" s="16" t="n"/>
      <c r="N172" s="16" t="n"/>
    </row>
    <row r="173">
      <c r="B173" s="17">
        <f>IF($D173="","","ME"&amp;TEXT(ROW()-5,"000"))</f>
        <v/>
      </c>
      <c r="C173" s="18" t="n"/>
      <c r="D173" s="16" t="n"/>
      <c r="E173" s="17">
        <f>IF($D173="","",IFERROR(INDEX(rngCadetPIDs,MATCH($D173,rngCadetNames,0)),"?"))</f>
        <v/>
      </c>
      <c r="F173" s="16" t="n"/>
      <c r="G173" s="16" t="n"/>
      <c r="H173" s="19">
        <f>IF($D173="","",IF($C173="","(enter date)",_xlfn.LET(_xlpm.dn,_xlfn.XLOOKUP($C173,nrCDdate,nrCDnum,"",1),IF(_xlpm.dn="","(after last class day)",_xlfn.LET(_xlpm.dd,_xlfn.XLOOKUP(_xlpm.dn+cfgMemoDueClassDays,nrCDnum,nrCDdate,""),_xlpm.ok,_xlfn.XLOOKUP(_xlpm.dn+cfgMemoDueClassDays,nrCDnum,nrCDinsession,"No"),IF(OR(_xlpm.dd="",_xlpm.ok&lt;&gt;"Yes"),"(after last class day)",_xlpm.dd))))))</f>
        <v/>
      </c>
      <c r="I173" s="18" t="n"/>
      <c r="J173" s="19">
        <f>IF($D173="","",IF($I173&lt;&gt;"",$I173,IF(ISNUMBER($H173),$H173,"")))</f>
        <v/>
      </c>
      <c r="K173" s="18" t="n"/>
      <c r="L173" s="17">
        <f>IF($D173="","",IF($K173&lt;&gt;"","Received "&amp;TEXT($K173,"mm/dd"),IF(ISNUMBER($J173),IF(TODAY()&gt;$J173,"OVERDUE","Pending"),IF($H173="","Pending","CHECK DATE"))))</f>
        <v/>
      </c>
      <c r="M173" s="16" t="n"/>
      <c r="N173" s="16" t="n"/>
    </row>
    <row r="174">
      <c r="B174" s="17">
        <f>IF($D174="","","ME"&amp;TEXT(ROW()-5,"000"))</f>
        <v/>
      </c>
      <c r="C174" s="18" t="n"/>
      <c r="D174" s="16" t="n"/>
      <c r="E174" s="17">
        <f>IF($D174="","",IFERROR(INDEX(rngCadetPIDs,MATCH($D174,rngCadetNames,0)),"?"))</f>
        <v/>
      </c>
      <c r="F174" s="16" t="n"/>
      <c r="G174" s="16" t="n"/>
      <c r="H174" s="19">
        <f>IF($D174="","",IF($C174="","(enter date)",_xlfn.LET(_xlpm.dn,_xlfn.XLOOKUP($C174,nrCDdate,nrCDnum,"",1),IF(_xlpm.dn="","(after last class day)",_xlfn.LET(_xlpm.dd,_xlfn.XLOOKUP(_xlpm.dn+cfgMemoDueClassDays,nrCDnum,nrCDdate,""),_xlpm.ok,_xlfn.XLOOKUP(_xlpm.dn+cfgMemoDueClassDays,nrCDnum,nrCDinsession,"No"),IF(OR(_xlpm.dd="",_xlpm.ok&lt;&gt;"Yes"),"(after last class day)",_xlpm.dd))))))</f>
        <v/>
      </c>
      <c r="I174" s="18" t="n"/>
      <c r="J174" s="19">
        <f>IF($D174="","",IF($I174&lt;&gt;"",$I174,IF(ISNUMBER($H174),$H174,"")))</f>
        <v/>
      </c>
      <c r="K174" s="18" t="n"/>
      <c r="L174" s="17">
        <f>IF($D174="","",IF($K174&lt;&gt;"","Received "&amp;TEXT($K174,"mm/dd"),IF(ISNUMBER($J174),IF(TODAY()&gt;$J174,"OVERDUE","Pending"),IF($H174="","Pending","CHECK DATE"))))</f>
        <v/>
      </c>
      <c r="M174" s="16" t="n"/>
      <c r="N174" s="16" t="n"/>
    </row>
    <row r="175">
      <c r="B175" s="17">
        <f>IF($D175="","","ME"&amp;TEXT(ROW()-5,"000"))</f>
        <v/>
      </c>
      <c r="C175" s="18" t="n"/>
      <c r="D175" s="16" t="n"/>
      <c r="E175" s="17">
        <f>IF($D175="","",IFERROR(INDEX(rngCadetPIDs,MATCH($D175,rngCadetNames,0)),"?"))</f>
        <v/>
      </c>
      <c r="F175" s="16" t="n"/>
      <c r="G175" s="16" t="n"/>
      <c r="H175" s="19">
        <f>IF($D175="","",IF($C175="","(enter date)",_xlfn.LET(_xlpm.dn,_xlfn.XLOOKUP($C175,nrCDdate,nrCDnum,"",1),IF(_xlpm.dn="","(after last class day)",_xlfn.LET(_xlpm.dd,_xlfn.XLOOKUP(_xlpm.dn+cfgMemoDueClassDays,nrCDnum,nrCDdate,""),_xlpm.ok,_xlfn.XLOOKUP(_xlpm.dn+cfgMemoDueClassDays,nrCDnum,nrCDinsession,"No"),IF(OR(_xlpm.dd="",_xlpm.ok&lt;&gt;"Yes"),"(after last class day)",_xlpm.dd))))))</f>
        <v/>
      </c>
      <c r="I175" s="18" t="n"/>
      <c r="J175" s="19">
        <f>IF($D175="","",IF($I175&lt;&gt;"",$I175,IF(ISNUMBER($H175),$H175,"")))</f>
        <v/>
      </c>
      <c r="K175" s="18" t="n"/>
      <c r="L175" s="17">
        <f>IF($D175="","",IF($K175&lt;&gt;"","Received "&amp;TEXT($K175,"mm/dd"),IF(ISNUMBER($J175),IF(TODAY()&gt;$J175,"OVERDUE","Pending"),IF($H175="","Pending","CHECK DATE"))))</f>
        <v/>
      </c>
      <c r="M175" s="16" t="n"/>
      <c r="N175" s="16" t="n"/>
    </row>
    <row r="176">
      <c r="B176" s="17">
        <f>IF($D176="","","ME"&amp;TEXT(ROW()-5,"000"))</f>
        <v/>
      </c>
      <c r="C176" s="18" t="n"/>
      <c r="D176" s="16" t="n"/>
      <c r="E176" s="17">
        <f>IF($D176="","",IFERROR(INDEX(rngCadetPIDs,MATCH($D176,rngCadetNames,0)),"?"))</f>
        <v/>
      </c>
      <c r="F176" s="16" t="n"/>
      <c r="G176" s="16" t="n"/>
      <c r="H176" s="19">
        <f>IF($D176="","",IF($C176="","(enter date)",_xlfn.LET(_xlpm.dn,_xlfn.XLOOKUP($C176,nrCDdate,nrCDnum,"",1),IF(_xlpm.dn="","(after last class day)",_xlfn.LET(_xlpm.dd,_xlfn.XLOOKUP(_xlpm.dn+cfgMemoDueClassDays,nrCDnum,nrCDdate,""),_xlpm.ok,_xlfn.XLOOKUP(_xlpm.dn+cfgMemoDueClassDays,nrCDnum,nrCDinsession,"No"),IF(OR(_xlpm.dd="",_xlpm.ok&lt;&gt;"Yes"),"(after last class day)",_xlpm.dd))))))</f>
        <v/>
      </c>
      <c r="I176" s="18" t="n"/>
      <c r="J176" s="19">
        <f>IF($D176="","",IF($I176&lt;&gt;"",$I176,IF(ISNUMBER($H176),$H176,"")))</f>
        <v/>
      </c>
      <c r="K176" s="18" t="n"/>
      <c r="L176" s="17">
        <f>IF($D176="","",IF($K176&lt;&gt;"","Received "&amp;TEXT($K176,"mm/dd"),IF(ISNUMBER($J176),IF(TODAY()&gt;$J176,"OVERDUE","Pending"),IF($H176="","Pending","CHECK DATE"))))</f>
        <v/>
      </c>
      <c r="M176" s="16" t="n"/>
      <c r="N176" s="16" t="n"/>
    </row>
    <row r="177">
      <c r="B177" s="17">
        <f>IF($D177="","","ME"&amp;TEXT(ROW()-5,"000"))</f>
        <v/>
      </c>
      <c r="C177" s="18" t="n"/>
      <c r="D177" s="16" t="n"/>
      <c r="E177" s="17">
        <f>IF($D177="","",IFERROR(INDEX(rngCadetPIDs,MATCH($D177,rngCadetNames,0)),"?"))</f>
        <v/>
      </c>
      <c r="F177" s="16" t="n"/>
      <c r="G177" s="16" t="n"/>
      <c r="H177" s="19">
        <f>IF($D177="","",IF($C177="","(enter date)",_xlfn.LET(_xlpm.dn,_xlfn.XLOOKUP($C177,nrCDdate,nrCDnum,"",1),IF(_xlpm.dn="","(after last class day)",_xlfn.LET(_xlpm.dd,_xlfn.XLOOKUP(_xlpm.dn+cfgMemoDueClassDays,nrCDnum,nrCDdate,""),_xlpm.ok,_xlfn.XLOOKUP(_xlpm.dn+cfgMemoDueClassDays,nrCDnum,nrCDinsession,"No"),IF(OR(_xlpm.dd="",_xlpm.ok&lt;&gt;"Yes"),"(after last class day)",_xlpm.dd))))))</f>
        <v/>
      </c>
      <c r="I177" s="18" t="n"/>
      <c r="J177" s="19">
        <f>IF($D177="","",IF($I177&lt;&gt;"",$I177,IF(ISNUMBER($H177),$H177,"")))</f>
        <v/>
      </c>
      <c r="K177" s="18" t="n"/>
      <c r="L177" s="17">
        <f>IF($D177="","",IF($K177&lt;&gt;"","Received "&amp;TEXT($K177,"mm/dd"),IF(ISNUMBER($J177),IF(TODAY()&gt;$J177,"OVERDUE","Pending"),IF($H177="","Pending","CHECK DATE"))))</f>
        <v/>
      </c>
      <c r="M177" s="16" t="n"/>
      <c r="N177" s="16" t="n"/>
    </row>
    <row r="178">
      <c r="B178" s="17">
        <f>IF($D178="","","ME"&amp;TEXT(ROW()-5,"000"))</f>
        <v/>
      </c>
      <c r="C178" s="18" t="n"/>
      <c r="D178" s="16" t="n"/>
      <c r="E178" s="17">
        <f>IF($D178="","",IFERROR(INDEX(rngCadetPIDs,MATCH($D178,rngCadetNames,0)),"?"))</f>
        <v/>
      </c>
      <c r="F178" s="16" t="n"/>
      <c r="G178" s="16" t="n"/>
      <c r="H178" s="19">
        <f>IF($D178="","",IF($C178="","(enter date)",_xlfn.LET(_xlpm.dn,_xlfn.XLOOKUP($C178,nrCDdate,nrCDnum,"",1),IF(_xlpm.dn="","(after last class day)",_xlfn.LET(_xlpm.dd,_xlfn.XLOOKUP(_xlpm.dn+cfgMemoDueClassDays,nrCDnum,nrCDdate,""),_xlpm.ok,_xlfn.XLOOKUP(_xlpm.dn+cfgMemoDueClassDays,nrCDnum,nrCDinsession,"No"),IF(OR(_xlpm.dd="",_xlpm.ok&lt;&gt;"Yes"),"(after last class day)",_xlpm.dd))))))</f>
        <v/>
      </c>
      <c r="I178" s="18" t="n"/>
      <c r="J178" s="19">
        <f>IF($D178="","",IF($I178&lt;&gt;"",$I178,IF(ISNUMBER($H178),$H178,"")))</f>
        <v/>
      </c>
      <c r="K178" s="18" t="n"/>
      <c r="L178" s="17">
        <f>IF($D178="","",IF($K178&lt;&gt;"","Received "&amp;TEXT($K178,"mm/dd"),IF(ISNUMBER($J178),IF(TODAY()&gt;$J178,"OVERDUE","Pending"),IF($H178="","Pending","CHECK DATE"))))</f>
        <v/>
      </c>
      <c r="M178" s="16" t="n"/>
      <c r="N178" s="16" t="n"/>
    </row>
    <row r="179">
      <c r="B179" s="17">
        <f>IF($D179="","","ME"&amp;TEXT(ROW()-5,"000"))</f>
        <v/>
      </c>
      <c r="C179" s="18" t="n"/>
      <c r="D179" s="16" t="n"/>
      <c r="E179" s="17">
        <f>IF($D179="","",IFERROR(INDEX(rngCadetPIDs,MATCH($D179,rngCadetNames,0)),"?"))</f>
        <v/>
      </c>
      <c r="F179" s="16" t="n"/>
      <c r="G179" s="16" t="n"/>
      <c r="H179" s="19">
        <f>IF($D179="","",IF($C179="","(enter date)",_xlfn.LET(_xlpm.dn,_xlfn.XLOOKUP($C179,nrCDdate,nrCDnum,"",1),IF(_xlpm.dn="","(after last class day)",_xlfn.LET(_xlpm.dd,_xlfn.XLOOKUP(_xlpm.dn+cfgMemoDueClassDays,nrCDnum,nrCDdate,""),_xlpm.ok,_xlfn.XLOOKUP(_xlpm.dn+cfgMemoDueClassDays,nrCDnum,nrCDinsession,"No"),IF(OR(_xlpm.dd="",_xlpm.ok&lt;&gt;"Yes"),"(after last class day)",_xlpm.dd))))))</f>
        <v/>
      </c>
      <c r="I179" s="18" t="n"/>
      <c r="J179" s="19">
        <f>IF($D179="","",IF($I179&lt;&gt;"",$I179,IF(ISNUMBER($H179),$H179,"")))</f>
        <v/>
      </c>
      <c r="K179" s="18" t="n"/>
      <c r="L179" s="17">
        <f>IF($D179="","",IF($K179&lt;&gt;"","Received "&amp;TEXT($K179,"mm/dd"),IF(ISNUMBER($J179),IF(TODAY()&gt;$J179,"OVERDUE","Pending"),IF($H179="","Pending","CHECK DATE"))))</f>
        <v/>
      </c>
      <c r="M179" s="16" t="n"/>
      <c r="N179" s="16" t="n"/>
    </row>
    <row r="180">
      <c r="B180" s="17">
        <f>IF($D180="","","ME"&amp;TEXT(ROW()-5,"000"))</f>
        <v/>
      </c>
      <c r="C180" s="18" t="n"/>
      <c r="D180" s="16" t="n"/>
      <c r="E180" s="17">
        <f>IF($D180="","",IFERROR(INDEX(rngCadetPIDs,MATCH($D180,rngCadetNames,0)),"?"))</f>
        <v/>
      </c>
      <c r="F180" s="16" t="n"/>
      <c r="G180" s="16" t="n"/>
      <c r="H180" s="19">
        <f>IF($D180="","",IF($C180="","(enter date)",_xlfn.LET(_xlpm.dn,_xlfn.XLOOKUP($C180,nrCDdate,nrCDnum,"",1),IF(_xlpm.dn="","(after last class day)",_xlfn.LET(_xlpm.dd,_xlfn.XLOOKUP(_xlpm.dn+cfgMemoDueClassDays,nrCDnum,nrCDdate,""),_xlpm.ok,_xlfn.XLOOKUP(_xlpm.dn+cfgMemoDueClassDays,nrCDnum,nrCDinsession,"No"),IF(OR(_xlpm.dd="",_xlpm.ok&lt;&gt;"Yes"),"(after last class day)",_xlpm.dd))))))</f>
        <v/>
      </c>
      <c r="I180" s="18" t="n"/>
      <c r="J180" s="19">
        <f>IF($D180="","",IF($I180&lt;&gt;"",$I180,IF(ISNUMBER($H180),$H180,"")))</f>
        <v/>
      </c>
      <c r="K180" s="18" t="n"/>
      <c r="L180" s="17">
        <f>IF($D180="","",IF($K180&lt;&gt;"","Received "&amp;TEXT($K180,"mm/dd"),IF(ISNUMBER($J180),IF(TODAY()&gt;$J180,"OVERDUE","Pending"),IF($H180="","Pending","CHECK DATE"))))</f>
        <v/>
      </c>
      <c r="M180" s="16" t="n"/>
      <c r="N180" s="16" t="n"/>
    </row>
    <row r="181">
      <c r="B181" s="17">
        <f>IF($D181="","","ME"&amp;TEXT(ROW()-5,"000"))</f>
        <v/>
      </c>
      <c r="C181" s="18" t="n"/>
      <c r="D181" s="16" t="n"/>
      <c r="E181" s="17">
        <f>IF($D181="","",IFERROR(INDEX(rngCadetPIDs,MATCH($D181,rngCadetNames,0)),"?"))</f>
        <v/>
      </c>
      <c r="F181" s="16" t="n"/>
      <c r="G181" s="16" t="n"/>
      <c r="H181" s="19">
        <f>IF($D181="","",IF($C181="","(enter date)",_xlfn.LET(_xlpm.dn,_xlfn.XLOOKUP($C181,nrCDdate,nrCDnum,"",1),IF(_xlpm.dn="","(after last class day)",_xlfn.LET(_xlpm.dd,_xlfn.XLOOKUP(_xlpm.dn+cfgMemoDueClassDays,nrCDnum,nrCDdate,""),_xlpm.ok,_xlfn.XLOOKUP(_xlpm.dn+cfgMemoDueClassDays,nrCDnum,nrCDinsession,"No"),IF(OR(_xlpm.dd="",_xlpm.ok&lt;&gt;"Yes"),"(after last class day)",_xlpm.dd))))))</f>
        <v/>
      </c>
      <c r="I181" s="18" t="n"/>
      <c r="J181" s="19">
        <f>IF($D181="","",IF($I181&lt;&gt;"",$I181,IF(ISNUMBER($H181),$H181,"")))</f>
        <v/>
      </c>
      <c r="K181" s="18" t="n"/>
      <c r="L181" s="17">
        <f>IF($D181="","",IF($K181&lt;&gt;"","Received "&amp;TEXT($K181,"mm/dd"),IF(ISNUMBER($J181),IF(TODAY()&gt;$J181,"OVERDUE","Pending"),IF($H181="","Pending","CHECK DATE"))))</f>
        <v/>
      </c>
      <c r="M181" s="16" t="n"/>
      <c r="N181" s="16" t="n"/>
    </row>
    <row r="182">
      <c r="B182" s="17">
        <f>IF($D182="","","ME"&amp;TEXT(ROW()-5,"000"))</f>
        <v/>
      </c>
      <c r="C182" s="18" t="n"/>
      <c r="D182" s="16" t="n"/>
      <c r="E182" s="17">
        <f>IF($D182="","",IFERROR(INDEX(rngCadetPIDs,MATCH($D182,rngCadetNames,0)),"?"))</f>
        <v/>
      </c>
      <c r="F182" s="16" t="n"/>
      <c r="G182" s="16" t="n"/>
      <c r="H182" s="19">
        <f>IF($D182="","",IF($C182="","(enter date)",_xlfn.LET(_xlpm.dn,_xlfn.XLOOKUP($C182,nrCDdate,nrCDnum,"",1),IF(_xlpm.dn="","(after last class day)",_xlfn.LET(_xlpm.dd,_xlfn.XLOOKUP(_xlpm.dn+cfgMemoDueClassDays,nrCDnum,nrCDdate,""),_xlpm.ok,_xlfn.XLOOKUP(_xlpm.dn+cfgMemoDueClassDays,nrCDnum,nrCDinsession,"No"),IF(OR(_xlpm.dd="",_xlpm.ok&lt;&gt;"Yes"),"(after last class day)",_xlpm.dd))))))</f>
        <v/>
      </c>
      <c r="I182" s="18" t="n"/>
      <c r="J182" s="19">
        <f>IF($D182="","",IF($I182&lt;&gt;"",$I182,IF(ISNUMBER($H182),$H182,"")))</f>
        <v/>
      </c>
      <c r="K182" s="18" t="n"/>
      <c r="L182" s="17">
        <f>IF($D182="","",IF($K182&lt;&gt;"","Received "&amp;TEXT($K182,"mm/dd"),IF(ISNUMBER($J182),IF(TODAY()&gt;$J182,"OVERDUE","Pending"),IF($H182="","Pending","CHECK DATE"))))</f>
        <v/>
      </c>
      <c r="M182" s="16" t="n"/>
      <c r="N182" s="16" t="n"/>
    </row>
    <row r="183">
      <c r="B183" s="17">
        <f>IF($D183="","","ME"&amp;TEXT(ROW()-5,"000"))</f>
        <v/>
      </c>
      <c r="C183" s="18" t="n"/>
      <c r="D183" s="16" t="n"/>
      <c r="E183" s="17">
        <f>IF($D183="","",IFERROR(INDEX(rngCadetPIDs,MATCH($D183,rngCadetNames,0)),"?"))</f>
        <v/>
      </c>
      <c r="F183" s="16" t="n"/>
      <c r="G183" s="16" t="n"/>
      <c r="H183" s="19">
        <f>IF($D183="","",IF($C183="","(enter date)",_xlfn.LET(_xlpm.dn,_xlfn.XLOOKUP($C183,nrCDdate,nrCDnum,"",1),IF(_xlpm.dn="","(after last class day)",_xlfn.LET(_xlpm.dd,_xlfn.XLOOKUP(_xlpm.dn+cfgMemoDueClassDays,nrCDnum,nrCDdate,""),_xlpm.ok,_xlfn.XLOOKUP(_xlpm.dn+cfgMemoDueClassDays,nrCDnum,nrCDinsession,"No"),IF(OR(_xlpm.dd="",_xlpm.ok&lt;&gt;"Yes"),"(after last class day)",_xlpm.dd))))))</f>
        <v/>
      </c>
      <c r="I183" s="18" t="n"/>
      <c r="J183" s="19">
        <f>IF($D183="","",IF($I183&lt;&gt;"",$I183,IF(ISNUMBER($H183),$H183,"")))</f>
        <v/>
      </c>
      <c r="K183" s="18" t="n"/>
      <c r="L183" s="17">
        <f>IF($D183="","",IF($K183&lt;&gt;"","Received "&amp;TEXT($K183,"mm/dd"),IF(ISNUMBER($J183),IF(TODAY()&gt;$J183,"OVERDUE","Pending"),IF($H183="","Pending","CHECK DATE"))))</f>
        <v/>
      </c>
      <c r="M183" s="16" t="n"/>
      <c r="N183" s="16" t="n"/>
    </row>
    <row r="184">
      <c r="B184" s="17">
        <f>IF($D184="","","ME"&amp;TEXT(ROW()-5,"000"))</f>
        <v/>
      </c>
      <c r="C184" s="18" t="n"/>
      <c r="D184" s="16" t="n"/>
      <c r="E184" s="17">
        <f>IF($D184="","",IFERROR(INDEX(rngCadetPIDs,MATCH($D184,rngCadetNames,0)),"?"))</f>
        <v/>
      </c>
      <c r="F184" s="16" t="n"/>
      <c r="G184" s="16" t="n"/>
      <c r="H184" s="19">
        <f>IF($D184="","",IF($C184="","(enter date)",_xlfn.LET(_xlpm.dn,_xlfn.XLOOKUP($C184,nrCDdate,nrCDnum,"",1),IF(_xlpm.dn="","(after last class day)",_xlfn.LET(_xlpm.dd,_xlfn.XLOOKUP(_xlpm.dn+cfgMemoDueClassDays,nrCDnum,nrCDdate,""),_xlpm.ok,_xlfn.XLOOKUP(_xlpm.dn+cfgMemoDueClassDays,nrCDnum,nrCDinsession,"No"),IF(OR(_xlpm.dd="",_xlpm.ok&lt;&gt;"Yes"),"(after last class day)",_xlpm.dd))))))</f>
        <v/>
      </c>
      <c r="I184" s="18" t="n"/>
      <c r="J184" s="19">
        <f>IF($D184="","",IF($I184&lt;&gt;"",$I184,IF(ISNUMBER($H184),$H184,"")))</f>
        <v/>
      </c>
      <c r="K184" s="18" t="n"/>
      <c r="L184" s="17">
        <f>IF($D184="","",IF($K184&lt;&gt;"","Received "&amp;TEXT($K184,"mm/dd"),IF(ISNUMBER($J184),IF(TODAY()&gt;$J184,"OVERDUE","Pending"),IF($H184="","Pending","CHECK DATE"))))</f>
        <v/>
      </c>
      <c r="M184" s="16" t="n"/>
      <c r="N184" s="16" t="n"/>
    </row>
    <row r="185">
      <c r="B185" s="17">
        <f>IF($D185="","","ME"&amp;TEXT(ROW()-5,"000"))</f>
        <v/>
      </c>
      <c r="C185" s="18" t="n"/>
      <c r="D185" s="16" t="n"/>
      <c r="E185" s="17">
        <f>IF($D185="","",IFERROR(INDEX(rngCadetPIDs,MATCH($D185,rngCadetNames,0)),"?"))</f>
        <v/>
      </c>
      <c r="F185" s="16" t="n"/>
      <c r="G185" s="16" t="n"/>
      <c r="H185" s="19">
        <f>IF($D185="","",IF($C185="","(enter date)",_xlfn.LET(_xlpm.dn,_xlfn.XLOOKUP($C185,nrCDdate,nrCDnum,"",1),IF(_xlpm.dn="","(after last class day)",_xlfn.LET(_xlpm.dd,_xlfn.XLOOKUP(_xlpm.dn+cfgMemoDueClassDays,nrCDnum,nrCDdate,""),_xlpm.ok,_xlfn.XLOOKUP(_xlpm.dn+cfgMemoDueClassDays,nrCDnum,nrCDinsession,"No"),IF(OR(_xlpm.dd="",_xlpm.ok&lt;&gt;"Yes"),"(after last class day)",_xlpm.dd))))))</f>
        <v/>
      </c>
      <c r="I185" s="18" t="n"/>
      <c r="J185" s="19">
        <f>IF($D185="","",IF($I185&lt;&gt;"",$I185,IF(ISNUMBER($H185),$H185,"")))</f>
        <v/>
      </c>
      <c r="K185" s="18" t="n"/>
      <c r="L185" s="17">
        <f>IF($D185="","",IF($K185&lt;&gt;"","Received "&amp;TEXT($K185,"mm/dd"),IF(ISNUMBER($J185),IF(TODAY()&gt;$J185,"OVERDUE","Pending"),IF($H185="","Pending","CHECK DATE"))))</f>
        <v/>
      </c>
      <c r="M185" s="16" t="n"/>
      <c r="N185" s="16" t="n"/>
    </row>
    <row r="186">
      <c r="B186" s="17">
        <f>IF($D186="","","ME"&amp;TEXT(ROW()-5,"000"))</f>
        <v/>
      </c>
      <c r="C186" s="18" t="n"/>
      <c r="D186" s="16" t="n"/>
      <c r="E186" s="17">
        <f>IF($D186="","",IFERROR(INDEX(rngCadetPIDs,MATCH($D186,rngCadetNames,0)),"?"))</f>
        <v/>
      </c>
      <c r="F186" s="16" t="n"/>
      <c r="G186" s="16" t="n"/>
      <c r="H186" s="19">
        <f>IF($D186="","",IF($C186="","(enter date)",_xlfn.LET(_xlpm.dn,_xlfn.XLOOKUP($C186,nrCDdate,nrCDnum,"",1),IF(_xlpm.dn="","(after last class day)",_xlfn.LET(_xlpm.dd,_xlfn.XLOOKUP(_xlpm.dn+cfgMemoDueClassDays,nrCDnum,nrCDdate,""),_xlpm.ok,_xlfn.XLOOKUP(_xlpm.dn+cfgMemoDueClassDays,nrCDnum,nrCDinsession,"No"),IF(OR(_xlpm.dd="",_xlpm.ok&lt;&gt;"Yes"),"(after last class day)",_xlpm.dd))))))</f>
        <v/>
      </c>
      <c r="I186" s="18" t="n"/>
      <c r="J186" s="19">
        <f>IF($D186="","",IF($I186&lt;&gt;"",$I186,IF(ISNUMBER($H186),$H186,"")))</f>
        <v/>
      </c>
      <c r="K186" s="18" t="n"/>
      <c r="L186" s="17">
        <f>IF($D186="","",IF($K186&lt;&gt;"","Received "&amp;TEXT($K186,"mm/dd"),IF(ISNUMBER($J186),IF(TODAY()&gt;$J186,"OVERDUE","Pending"),IF($H186="","Pending","CHECK DATE"))))</f>
        <v/>
      </c>
      <c r="M186" s="16" t="n"/>
      <c r="N186" s="16" t="n"/>
    </row>
    <row r="187">
      <c r="B187" s="17">
        <f>IF($D187="","","ME"&amp;TEXT(ROW()-5,"000"))</f>
        <v/>
      </c>
      <c r="C187" s="18" t="n"/>
      <c r="D187" s="16" t="n"/>
      <c r="E187" s="17">
        <f>IF($D187="","",IFERROR(INDEX(rngCadetPIDs,MATCH($D187,rngCadetNames,0)),"?"))</f>
        <v/>
      </c>
      <c r="F187" s="16" t="n"/>
      <c r="G187" s="16" t="n"/>
      <c r="H187" s="19">
        <f>IF($D187="","",IF($C187="","(enter date)",_xlfn.LET(_xlpm.dn,_xlfn.XLOOKUP($C187,nrCDdate,nrCDnum,"",1),IF(_xlpm.dn="","(after last class day)",_xlfn.LET(_xlpm.dd,_xlfn.XLOOKUP(_xlpm.dn+cfgMemoDueClassDays,nrCDnum,nrCDdate,""),_xlpm.ok,_xlfn.XLOOKUP(_xlpm.dn+cfgMemoDueClassDays,nrCDnum,nrCDinsession,"No"),IF(OR(_xlpm.dd="",_xlpm.ok&lt;&gt;"Yes"),"(after last class day)",_xlpm.dd))))))</f>
        <v/>
      </c>
      <c r="I187" s="18" t="n"/>
      <c r="J187" s="19">
        <f>IF($D187="","",IF($I187&lt;&gt;"",$I187,IF(ISNUMBER($H187),$H187,"")))</f>
        <v/>
      </c>
      <c r="K187" s="18" t="n"/>
      <c r="L187" s="17">
        <f>IF($D187="","",IF($K187&lt;&gt;"","Received "&amp;TEXT($K187,"mm/dd"),IF(ISNUMBER($J187),IF(TODAY()&gt;$J187,"OVERDUE","Pending"),IF($H187="","Pending","CHECK DATE"))))</f>
        <v/>
      </c>
      <c r="M187" s="16" t="n"/>
      <c r="N187" s="16" t="n"/>
    </row>
    <row r="188">
      <c r="B188" s="17">
        <f>IF($D188="","","ME"&amp;TEXT(ROW()-5,"000"))</f>
        <v/>
      </c>
      <c r="C188" s="18" t="n"/>
      <c r="D188" s="16" t="n"/>
      <c r="E188" s="17">
        <f>IF($D188="","",IFERROR(INDEX(rngCadetPIDs,MATCH($D188,rngCadetNames,0)),"?"))</f>
        <v/>
      </c>
      <c r="F188" s="16" t="n"/>
      <c r="G188" s="16" t="n"/>
      <c r="H188" s="19">
        <f>IF($D188="","",IF($C188="","(enter date)",_xlfn.LET(_xlpm.dn,_xlfn.XLOOKUP($C188,nrCDdate,nrCDnum,"",1),IF(_xlpm.dn="","(after last class day)",_xlfn.LET(_xlpm.dd,_xlfn.XLOOKUP(_xlpm.dn+cfgMemoDueClassDays,nrCDnum,nrCDdate,""),_xlpm.ok,_xlfn.XLOOKUP(_xlpm.dn+cfgMemoDueClassDays,nrCDnum,nrCDinsession,"No"),IF(OR(_xlpm.dd="",_xlpm.ok&lt;&gt;"Yes"),"(after last class day)",_xlpm.dd))))))</f>
        <v/>
      </c>
      <c r="I188" s="18" t="n"/>
      <c r="J188" s="19">
        <f>IF($D188="","",IF($I188&lt;&gt;"",$I188,IF(ISNUMBER($H188),$H188,"")))</f>
        <v/>
      </c>
      <c r="K188" s="18" t="n"/>
      <c r="L188" s="17">
        <f>IF($D188="","",IF($K188&lt;&gt;"","Received "&amp;TEXT($K188,"mm/dd"),IF(ISNUMBER($J188),IF(TODAY()&gt;$J188,"OVERDUE","Pending"),IF($H188="","Pending","CHECK DATE"))))</f>
        <v/>
      </c>
      <c r="M188" s="16" t="n"/>
      <c r="N188" s="16" t="n"/>
    </row>
    <row r="189">
      <c r="B189" s="17">
        <f>IF($D189="","","ME"&amp;TEXT(ROW()-5,"000"))</f>
        <v/>
      </c>
      <c r="C189" s="18" t="n"/>
      <c r="D189" s="16" t="n"/>
      <c r="E189" s="17">
        <f>IF($D189="","",IFERROR(INDEX(rngCadetPIDs,MATCH($D189,rngCadetNames,0)),"?"))</f>
        <v/>
      </c>
      <c r="F189" s="16" t="n"/>
      <c r="G189" s="16" t="n"/>
      <c r="H189" s="19">
        <f>IF($D189="","",IF($C189="","(enter date)",_xlfn.LET(_xlpm.dn,_xlfn.XLOOKUP($C189,nrCDdate,nrCDnum,"",1),IF(_xlpm.dn="","(after last class day)",_xlfn.LET(_xlpm.dd,_xlfn.XLOOKUP(_xlpm.dn+cfgMemoDueClassDays,nrCDnum,nrCDdate,""),_xlpm.ok,_xlfn.XLOOKUP(_xlpm.dn+cfgMemoDueClassDays,nrCDnum,nrCDinsession,"No"),IF(OR(_xlpm.dd="",_xlpm.ok&lt;&gt;"Yes"),"(after last class day)",_xlpm.dd))))))</f>
        <v/>
      </c>
      <c r="I189" s="18" t="n"/>
      <c r="J189" s="19">
        <f>IF($D189="","",IF($I189&lt;&gt;"",$I189,IF(ISNUMBER($H189),$H189,"")))</f>
        <v/>
      </c>
      <c r="K189" s="18" t="n"/>
      <c r="L189" s="17">
        <f>IF($D189="","",IF($K189&lt;&gt;"","Received "&amp;TEXT($K189,"mm/dd"),IF(ISNUMBER($J189),IF(TODAY()&gt;$J189,"OVERDUE","Pending"),IF($H189="","Pending","CHECK DATE"))))</f>
        <v/>
      </c>
      <c r="M189" s="16" t="n"/>
      <c r="N189" s="16" t="n"/>
    </row>
    <row r="190">
      <c r="B190" s="17">
        <f>IF($D190="","","ME"&amp;TEXT(ROW()-5,"000"))</f>
        <v/>
      </c>
      <c r="C190" s="18" t="n"/>
      <c r="D190" s="16" t="n"/>
      <c r="E190" s="17">
        <f>IF($D190="","",IFERROR(INDEX(rngCadetPIDs,MATCH($D190,rngCadetNames,0)),"?"))</f>
        <v/>
      </c>
      <c r="F190" s="16" t="n"/>
      <c r="G190" s="16" t="n"/>
      <c r="H190" s="19">
        <f>IF($D190="","",IF($C190="","(enter date)",_xlfn.LET(_xlpm.dn,_xlfn.XLOOKUP($C190,nrCDdate,nrCDnum,"",1),IF(_xlpm.dn="","(after last class day)",_xlfn.LET(_xlpm.dd,_xlfn.XLOOKUP(_xlpm.dn+cfgMemoDueClassDays,nrCDnum,nrCDdate,""),_xlpm.ok,_xlfn.XLOOKUP(_xlpm.dn+cfgMemoDueClassDays,nrCDnum,nrCDinsession,"No"),IF(OR(_xlpm.dd="",_xlpm.ok&lt;&gt;"Yes"),"(after last class day)",_xlpm.dd))))))</f>
        <v/>
      </c>
      <c r="I190" s="18" t="n"/>
      <c r="J190" s="19">
        <f>IF($D190="","",IF($I190&lt;&gt;"",$I190,IF(ISNUMBER($H190),$H190,"")))</f>
        <v/>
      </c>
      <c r="K190" s="18" t="n"/>
      <c r="L190" s="17">
        <f>IF($D190="","",IF($K190&lt;&gt;"","Received "&amp;TEXT($K190,"mm/dd"),IF(ISNUMBER($J190),IF(TODAY()&gt;$J190,"OVERDUE","Pending"),IF($H190="","Pending","CHECK DATE"))))</f>
        <v/>
      </c>
      <c r="M190" s="16" t="n"/>
      <c r="N190" s="16" t="n"/>
    </row>
    <row r="191">
      <c r="B191" s="17">
        <f>IF($D191="","","ME"&amp;TEXT(ROW()-5,"000"))</f>
        <v/>
      </c>
      <c r="C191" s="18" t="n"/>
      <c r="D191" s="16" t="n"/>
      <c r="E191" s="17">
        <f>IF($D191="","",IFERROR(INDEX(rngCadetPIDs,MATCH($D191,rngCadetNames,0)),"?"))</f>
        <v/>
      </c>
      <c r="F191" s="16" t="n"/>
      <c r="G191" s="16" t="n"/>
      <c r="H191" s="19">
        <f>IF($D191="","",IF($C191="","(enter date)",_xlfn.LET(_xlpm.dn,_xlfn.XLOOKUP($C191,nrCDdate,nrCDnum,"",1),IF(_xlpm.dn="","(after last class day)",_xlfn.LET(_xlpm.dd,_xlfn.XLOOKUP(_xlpm.dn+cfgMemoDueClassDays,nrCDnum,nrCDdate,""),_xlpm.ok,_xlfn.XLOOKUP(_xlpm.dn+cfgMemoDueClassDays,nrCDnum,nrCDinsession,"No"),IF(OR(_xlpm.dd="",_xlpm.ok&lt;&gt;"Yes"),"(after last class day)",_xlpm.dd))))))</f>
        <v/>
      </c>
      <c r="I191" s="18" t="n"/>
      <c r="J191" s="19">
        <f>IF($D191="","",IF($I191&lt;&gt;"",$I191,IF(ISNUMBER($H191),$H191,"")))</f>
        <v/>
      </c>
      <c r="K191" s="18" t="n"/>
      <c r="L191" s="17">
        <f>IF($D191="","",IF($K191&lt;&gt;"","Received "&amp;TEXT($K191,"mm/dd"),IF(ISNUMBER($J191),IF(TODAY()&gt;$J191,"OVERDUE","Pending"),IF($H191="","Pending","CHECK DATE"))))</f>
        <v/>
      </c>
      <c r="M191" s="16" t="n"/>
      <c r="N191" s="16" t="n"/>
    </row>
    <row r="192">
      <c r="B192" s="17">
        <f>IF($D192="","","ME"&amp;TEXT(ROW()-5,"000"))</f>
        <v/>
      </c>
      <c r="C192" s="18" t="n"/>
      <c r="D192" s="16" t="n"/>
      <c r="E192" s="17">
        <f>IF($D192="","",IFERROR(INDEX(rngCadetPIDs,MATCH($D192,rngCadetNames,0)),"?"))</f>
        <v/>
      </c>
      <c r="F192" s="16" t="n"/>
      <c r="G192" s="16" t="n"/>
      <c r="H192" s="19">
        <f>IF($D192="","",IF($C192="","(enter date)",_xlfn.LET(_xlpm.dn,_xlfn.XLOOKUP($C192,nrCDdate,nrCDnum,"",1),IF(_xlpm.dn="","(after last class day)",_xlfn.LET(_xlpm.dd,_xlfn.XLOOKUP(_xlpm.dn+cfgMemoDueClassDays,nrCDnum,nrCDdate,""),_xlpm.ok,_xlfn.XLOOKUP(_xlpm.dn+cfgMemoDueClassDays,nrCDnum,nrCDinsession,"No"),IF(OR(_xlpm.dd="",_xlpm.ok&lt;&gt;"Yes"),"(after last class day)",_xlpm.dd))))))</f>
        <v/>
      </c>
      <c r="I192" s="18" t="n"/>
      <c r="J192" s="19">
        <f>IF($D192="","",IF($I192&lt;&gt;"",$I192,IF(ISNUMBER($H192),$H192,"")))</f>
        <v/>
      </c>
      <c r="K192" s="18" t="n"/>
      <c r="L192" s="17">
        <f>IF($D192="","",IF($K192&lt;&gt;"","Received "&amp;TEXT($K192,"mm/dd"),IF(ISNUMBER($J192),IF(TODAY()&gt;$J192,"OVERDUE","Pending"),IF($H192="","Pending","CHECK DATE"))))</f>
        <v/>
      </c>
      <c r="M192" s="16" t="n"/>
      <c r="N192" s="16" t="n"/>
    </row>
    <row r="193">
      <c r="B193" s="17">
        <f>IF($D193="","","ME"&amp;TEXT(ROW()-5,"000"))</f>
        <v/>
      </c>
      <c r="C193" s="18" t="n"/>
      <c r="D193" s="16" t="n"/>
      <c r="E193" s="17">
        <f>IF($D193="","",IFERROR(INDEX(rngCadetPIDs,MATCH($D193,rngCadetNames,0)),"?"))</f>
        <v/>
      </c>
      <c r="F193" s="16" t="n"/>
      <c r="G193" s="16" t="n"/>
      <c r="H193" s="19">
        <f>IF($D193="","",IF($C193="","(enter date)",_xlfn.LET(_xlpm.dn,_xlfn.XLOOKUP($C193,nrCDdate,nrCDnum,"",1),IF(_xlpm.dn="","(after last class day)",_xlfn.LET(_xlpm.dd,_xlfn.XLOOKUP(_xlpm.dn+cfgMemoDueClassDays,nrCDnum,nrCDdate,""),_xlpm.ok,_xlfn.XLOOKUP(_xlpm.dn+cfgMemoDueClassDays,nrCDnum,nrCDinsession,"No"),IF(OR(_xlpm.dd="",_xlpm.ok&lt;&gt;"Yes"),"(after last class day)",_xlpm.dd))))))</f>
        <v/>
      </c>
      <c r="I193" s="18" t="n"/>
      <c r="J193" s="19">
        <f>IF($D193="","",IF($I193&lt;&gt;"",$I193,IF(ISNUMBER($H193),$H193,"")))</f>
        <v/>
      </c>
      <c r="K193" s="18" t="n"/>
      <c r="L193" s="17">
        <f>IF($D193="","",IF($K193&lt;&gt;"","Received "&amp;TEXT($K193,"mm/dd"),IF(ISNUMBER($J193),IF(TODAY()&gt;$J193,"OVERDUE","Pending"),IF($H193="","Pending","CHECK DATE"))))</f>
        <v/>
      </c>
      <c r="M193" s="16" t="n"/>
      <c r="N193" s="16" t="n"/>
    </row>
    <row r="194">
      <c r="B194" s="17">
        <f>IF($D194="","","ME"&amp;TEXT(ROW()-5,"000"))</f>
        <v/>
      </c>
      <c r="C194" s="18" t="n"/>
      <c r="D194" s="16" t="n"/>
      <c r="E194" s="17">
        <f>IF($D194="","",IFERROR(INDEX(rngCadetPIDs,MATCH($D194,rngCadetNames,0)),"?"))</f>
        <v/>
      </c>
      <c r="F194" s="16" t="n"/>
      <c r="G194" s="16" t="n"/>
      <c r="H194" s="19">
        <f>IF($D194="","",IF($C194="","(enter date)",_xlfn.LET(_xlpm.dn,_xlfn.XLOOKUP($C194,nrCDdate,nrCDnum,"",1),IF(_xlpm.dn="","(after last class day)",_xlfn.LET(_xlpm.dd,_xlfn.XLOOKUP(_xlpm.dn+cfgMemoDueClassDays,nrCDnum,nrCDdate,""),_xlpm.ok,_xlfn.XLOOKUP(_xlpm.dn+cfgMemoDueClassDays,nrCDnum,nrCDinsession,"No"),IF(OR(_xlpm.dd="",_xlpm.ok&lt;&gt;"Yes"),"(after last class day)",_xlpm.dd))))))</f>
        <v/>
      </c>
      <c r="I194" s="18" t="n"/>
      <c r="J194" s="19">
        <f>IF($D194="","",IF($I194&lt;&gt;"",$I194,IF(ISNUMBER($H194),$H194,"")))</f>
        <v/>
      </c>
      <c r="K194" s="18" t="n"/>
      <c r="L194" s="17">
        <f>IF($D194="","",IF($K194&lt;&gt;"","Received "&amp;TEXT($K194,"mm/dd"),IF(ISNUMBER($J194),IF(TODAY()&gt;$J194,"OVERDUE","Pending"),IF($H194="","Pending","CHECK DATE"))))</f>
        <v/>
      </c>
      <c r="M194" s="16" t="n"/>
      <c r="N194" s="16" t="n"/>
    </row>
    <row r="195">
      <c r="B195" s="17">
        <f>IF($D195="","","ME"&amp;TEXT(ROW()-5,"000"))</f>
        <v/>
      </c>
      <c r="C195" s="18" t="n"/>
      <c r="D195" s="16" t="n"/>
      <c r="E195" s="17">
        <f>IF($D195="","",IFERROR(INDEX(rngCadetPIDs,MATCH($D195,rngCadetNames,0)),"?"))</f>
        <v/>
      </c>
      <c r="F195" s="16" t="n"/>
      <c r="G195" s="16" t="n"/>
      <c r="H195" s="19">
        <f>IF($D195="","",IF($C195="","(enter date)",_xlfn.LET(_xlpm.dn,_xlfn.XLOOKUP($C195,nrCDdate,nrCDnum,"",1),IF(_xlpm.dn="","(after last class day)",_xlfn.LET(_xlpm.dd,_xlfn.XLOOKUP(_xlpm.dn+cfgMemoDueClassDays,nrCDnum,nrCDdate,""),_xlpm.ok,_xlfn.XLOOKUP(_xlpm.dn+cfgMemoDueClassDays,nrCDnum,nrCDinsession,"No"),IF(OR(_xlpm.dd="",_xlpm.ok&lt;&gt;"Yes"),"(after last class day)",_xlpm.dd))))))</f>
        <v/>
      </c>
      <c r="I195" s="18" t="n"/>
      <c r="J195" s="19">
        <f>IF($D195="","",IF($I195&lt;&gt;"",$I195,IF(ISNUMBER($H195),$H195,"")))</f>
        <v/>
      </c>
      <c r="K195" s="18" t="n"/>
      <c r="L195" s="17">
        <f>IF($D195="","",IF($K195&lt;&gt;"","Received "&amp;TEXT($K195,"mm/dd"),IF(ISNUMBER($J195),IF(TODAY()&gt;$J195,"OVERDUE","Pending"),IF($H195="","Pending","CHECK DATE"))))</f>
        <v/>
      </c>
      <c r="M195" s="16" t="n"/>
      <c r="N195" s="16" t="n"/>
    </row>
    <row r="196">
      <c r="B196" s="17">
        <f>IF($D196="","","ME"&amp;TEXT(ROW()-5,"000"))</f>
        <v/>
      </c>
      <c r="C196" s="18" t="n"/>
      <c r="D196" s="16" t="n"/>
      <c r="E196" s="17">
        <f>IF($D196="","",IFERROR(INDEX(rngCadetPIDs,MATCH($D196,rngCadetNames,0)),"?"))</f>
        <v/>
      </c>
      <c r="F196" s="16" t="n"/>
      <c r="G196" s="16" t="n"/>
      <c r="H196" s="19">
        <f>IF($D196="","",IF($C196="","(enter date)",_xlfn.LET(_xlpm.dn,_xlfn.XLOOKUP($C196,nrCDdate,nrCDnum,"",1),IF(_xlpm.dn="","(after last class day)",_xlfn.LET(_xlpm.dd,_xlfn.XLOOKUP(_xlpm.dn+cfgMemoDueClassDays,nrCDnum,nrCDdate,""),_xlpm.ok,_xlfn.XLOOKUP(_xlpm.dn+cfgMemoDueClassDays,nrCDnum,nrCDinsession,"No"),IF(OR(_xlpm.dd="",_xlpm.ok&lt;&gt;"Yes"),"(after last class day)",_xlpm.dd))))))</f>
        <v/>
      </c>
      <c r="I196" s="18" t="n"/>
      <c r="J196" s="19">
        <f>IF($D196="","",IF($I196&lt;&gt;"",$I196,IF(ISNUMBER($H196),$H196,"")))</f>
        <v/>
      </c>
      <c r="K196" s="18" t="n"/>
      <c r="L196" s="17">
        <f>IF($D196="","",IF($K196&lt;&gt;"","Received "&amp;TEXT($K196,"mm/dd"),IF(ISNUMBER($J196),IF(TODAY()&gt;$J196,"OVERDUE","Pending"),IF($H196="","Pending","CHECK DATE"))))</f>
        <v/>
      </c>
      <c r="M196" s="16" t="n"/>
      <c r="N196" s="16" t="n"/>
    </row>
    <row r="197">
      <c r="B197" s="17">
        <f>IF($D197="","","ME"&amp;TEXT(ROW()-5,"000"))</f>
        <v/>
      </c>
      <c r="C197" s="18" t="n"/>
      <c r="D197" s="16" t="n"/>
      <c r="E197" s="17">
        <f>IF($D197="","",IFERROR(INDEX(rngCadetPIDs,MATCH($D197,rngCadetNames,0)),"?"))</f>
        <v/>
      </c>
      <c r="F197" s="16" t="n"/>
      <c r="G197" s="16" t="n"/>
      <c r="H197" s="19">
        <f>IF($D197="","",IF($C197="","(enter date)",_xlfn.LET(_xlpm.dn,_xlfn.XLOOKUP($C197,nrCDdate,nrCDnum,"",1),IF(_xlpm.dn="","(after last class day)",_xlfn.LET(_xlpm.dd,_xlfn.XLOOKUP(_xlpm.dn+cfgMemoDueClassDays,nrCDnum,nrCDdate,""),_xlpm.ok,_xlfn.XLOOKUP(_xlpm.dn+cfgMemoDueClassDays,nrCDnum,nrCDinsession,"No"),IF(OR(_xlpm.dd="",_xlpm.ok&lt;&gt;"Yes"),"(after last class day)",_xlpm.dd))))))</f>
        <v/>
      </c>
      <c r="I197" s="18" t="n"/>
      <c r="J197" s="19">
        <f>IF($D197="","",IF($I197&lt;&gt;"",$I197,IF(ISNUMBER($H197),$H197,"")))</f>
        <v/>
      </c>
      <c r="K197" s="18" t="n"/>
      <c r="L197" s="17">
        <f>IF($D197="","",IF($K197&lt;&gt;"","Received "&amp;TEXT($K197,"mm/dd"),IF(ISNUMBER($J197),IF(TODAY()&gt;$J197,"OVERDUE","Pending"),IF($H197="","Pending","CHECK DATE"))))</f>
        <v/>
      </c>
      <c r="M197" s="16" t="n"/>
      <c r="N197" s="16" t="n"/>
    </row>
    <row r="198">
      <c r="B198" s="17">
        <f>IF($D198="","","ME"&amp;TEXT(ROW()-5,"000"))</f>
        <v/>
      </c>
      <c r="C198" s="18" t="n"/>
      <c r="D198" s="16" t="n"/>
      <c r="E198" s="17">
        <f>IF($D198="","",IFERROR(INDEX(rngCadetPIDs,MATCH($D198,rngCadetNames,0)),"?"))</f>
        <v/>
      </c>
      <c r="F198" s="16" t="n"/>
      <c r="G198" s="16" t="n"/>
      <c r="H198" s="19">
        <f>IF($D198="","",IF($C198="","(enter date)",_xlfn.LET(_xlpm.dn,_xlfn.XLOOKUP($C198,nrCDdate,nrCDnum,"",1),IF(_xlpm.dn="","(after last class day)",_xlfn.LET(_xlpm.dd,_xlfn.XLOOKUP(_xlpm.dn+cfgMemoDueClassDays,nrCDnum,nrCDdate,""),_xlpm.ok,_xlfn.XLOOKUP(_xlpm.dn+cfgMemoDueClassDays,nrCDnum,nrCDinsession,"No"),IF(OR(_xlpm.dd="",_xlpm.ok&lt;&gt;"Yes"),"(after last class day)",_xlpm.dd))))))</f>
        <v/>
      </c>
      <c r="I198" s="18" t="n"/>
      <c r="J198" s="19">
        <f>IF($D198="","",IF($I198&lt;&gt;"",$I198,IF(ISNUMBER($H198),$H198,"")))</f>
        <v/>
      </c>
      <c r="K198" s="18" t="n"/>
      <c r="L198" s="17">
        <f>IF($D198="","",IF($K198&lt;&gt;"","Received "&amp;TEXT($K198,"mm/dd"),IF(ISNUMBER($J198),IF(TODAY()&gt;$J198,"OVERDUE","Pending"),IF($H198="","Pending","CHECK DATE"))))</f>
        <v/>
      </c>
      <c r="M198" s="16" t="n"/>
      <c r="N198" s="16" t="n"/>
    </row>
    <row r="199">
      <c r="B199" s="17">
        <f>IF($D199="","","ME"&amp;TEXT(ROW()-5,"000"))</f>
        <v/>
      </c>
      <c r="C199" s="18" t="n"/>
      <c r="D199" s="16" t="n"/>
      <c r="E199" s="17">
        <f>IF($D199="","",IFERROR(INDEX(rngCadetPIDs,MATCH($D199,rngCadetNames,0)),"?"))</f>
        <v/>
      </c>
      <c r="F199" s="16" t="n"/>
      <c r="G199" s="16" t="n"/>
      <c r="H199" s="19">
        <f>IF($D199="","",IF($C199="","(enter date)",_xlfn.LET(_xlpm.dn,_xlfn.XLOOKUP($C199,nrCDdate,nrCDnum,"",1),IF(_xlpm.dn="","(after last class day)",_xlfn.LET(_xlpm.dd,_xlfn.XLOOKUP(_xlpm.dn+cfgMemoDueClassDays,nrCDnum,nrCDdate,""),_xlpm.ok,_xlfn.XLOOKUP(_xlpm.dn+cfgMemoDueClassDays,nrCDnum,nrCDinsession,"No"),IF(OR(_xlpm.dd="",_xlpm.ok&lt;&gt;"Yes"),"(after last class day)",_xlpm.dd))))))</f>
        <v/>
      </c>
      <c r="I199" s="18" t="n"/>
      <c r="J199" s="19">
        <f>IF($D199="","",IF($I199&lt;&gt;"",$I199,IF(ISNUMBER($H199),$H199,"")))</f>
        <v/>
      </c>
      <c r="K199" s="18" t="n"/>
      <c r="L199" s="17">
        <f>IF($D199="","",IF($K199&lt;&gt;"","Received "&amp;TEXT($K199,"mm/dd"),IF(ISNUMBER($J199),IF(TODAY()&gt;$J199,"OVERDUE","Pending"),IF($H199="","Pending","CHECK DATE"))))</f>
        <v/>
      </c>
      <c r="M199" s="16" t="n"/>
      <c r="N199" s="16" t="n"/>
    </row>
    <row r="200">
      <c r="B200" s="17">
        <f>IF($D200="","","ME"&amp;TEXT(ROW()-5,"000"))</f>
        <v/>
      </c>
      <c r="C200" s="18" t="n"/>
      <c r="D200" s="16" t="n"/>
      <c r="E200" s="17">
        <f>IF($D200="","",IFERROR(INDEX(rngCadetPIDs,MATCH($D200,rngCadetNames,0)),"?"))</f>
        <v/>
      </c>
      <c r="F200" s="16" t="n"/>
      <c r="G200" s="16" t="n"/>
      <c r="H200" s="19">
        <f>IF($D200="","",IF($C200="","(enter date)",_xlfn.LET(_xlpm.dn,_xlfn.XLOOKUP($C200,nrCDdate,nrCDnum,"",1),IF(_xlpm.dn="","(after last class day)",_xlfn.LET(_xlpm.dd,_xlfn.XLOOKUP(_xlpm.dn+cfgMemoDueClassDays,nrCDnum,nrCDdate,""),_xlpm.ok,_xlfn.XLOOKUP(_xlpm.dn+cfgMemoDueClassDays,nrCDnum,nrCDinsession,"No"),IF(OR(_xlpm.dd="",_xlpm.ok&lt;&gt;"Yes"),"(after last class day)",_xlpm.dd))))))</f>
        <v/>
      </c>
      <c r="I200" s="18" t="n"/>
      <c r="J200" s="19">
        <f>IF($D200="","",IF($I200&lt;&gt;"",$I200,IF(ISNUMBER($H200),$H200,"")))</f>
        <v/>
      </c>
      <c r="K200" s="18" t="n"/>
      <c r="L200" s="17">
        <f>IF($D200="","",IF($K200&lt;&gt;"","Received "&amp;TEXT($K200,"mm/dd"),IF(ISNUMBER($J200),IF(TODAY()&gt;$J200,"OVERDUE","Pending"),IF($H200="","Pending","CHECK DATE"))))</f>
        <v/>
      </c>
      <c r="M200" s="16" t="n"/>
      <c r="N200" s="16" t="n"/>
    </row>
    <row r="201">
      <c r="B201" s="17">
        <f>IF($D201="","","ME"&amp;TEXT(ROW()-5,"000"))</f>
        <v/>
      </c>
      <c r="C201" s="18" t="n"/>
      <c r="D201" s="16" t="n"/>
      <c r="E201" s="17">
        <f>IF($D201="","",IFERROR(INDEX(rngCadetPIDs,MATCH($D201,rngCadetNames,0)),"?"))</f>
        <v/>
      </c>
      <c r="F201" s="16" t="n"/>
      <c r="G201" s="16" t="n"/>
      <c r="H201" s="19">
        <f>IF($D201="","",IF($C201="","(enter date)",_xlfn.LET(_xlpm.dn,_xlfn.XLOOKUP($C201,nrCDdate,nrCDnum,"",1),IF(_xlpm.dn="","(after last class day)",_xlfn.LET(_xlpm.dd,_xlfn.XLOOKUP(_xlpm.dn+cfgMemoDueClassDays,nrCDnum,nrCDdate,""),_xlpm.ok,_xlfn.XLOOKUP(_xlpm.dn+cfgMemoDueClassDays,nrCDnum,nrCDinsession,"No"),IF(OR(_xlpm.dd="",_xlpm.ok&lt;&gt;"Yes"),"(after last class day)",_xlpm.dd))))))</f>
        <v/>
      </c>
      <c r="I201" s="18" t="n"/>
      <c r="J201" s="19">
        <f>IF($D201="","",IF($I201&lt;&gt;"",$I201,IF(ISNUMBER($H201),$H201,"")))</f>
        <v/>
      </c>
      <c r="K201" s="18" t="n"/>
      <c r="L201" s="17">
        <f>IF($D201="","",IF($K201&lt;&gt;"","Received "&amp;TEXT($K201,"mm/dd"),IF(ISNUMBER($J201),IF(TODAY()&gt;$J201,"OVERDUE","Pending"),IF($H201="","Pending","CHECK DATE"))))</f>
        <v/>
      </c>
      <c r="M201" s="16" t="n"/>
      <c r="N201" s="16" t="n"/>
    </row>
    <row r="202">
      <c r="B202" s="17">
        <f>IF($D202="","","ME"&amp;TEXT(ROW()-5,"000"))</f>
        <v/>
      </c>
      <c r="C202" s="18" t="n"/>
      <c r="D202" s="16" t="n"/>
      <c r="E202" s="17">
        <f>IF($D202="","",IFERROR(INDEX(rngCadetPIDs,MATCH($D202,rngCadetNames,0)),"?"))</f>
        <v/>
      </c>
      <c r="F202" s="16" t="n"/>
      <c r="G202" s="16" t="n"/>
      <c r="H202" s="19">
        <f>IF($D202="","",IF($C202="","(enter date)",_xlfn.LET(_xlpm.dn,_xlfn.XLOOKUP($C202,nrCDdate,nrCDnum,"",1),IF(_xlpm.dn="","(after last class day)",_xlfn.LET(_xlpm.dd,_xlfn.XLOOKUP(_xlpm.dn+cfgMemoDueClassDays,nrCDnum,nrCDdate,""),_xlpm.ok,_xlfn.XLOOKUP(_xlpm.dn+cfgMemoDueClassDays,nrCDnum,nrCDinsession,"No"),IF(OR(_xlpm.dd="",_xlpm.ok&lt;&gt;"Yes"),"(after last class day)",_xlpm.dd))))))</f>
        <v/>
      </c>
      <c r="I202" s="18" t="n"/>
      <c r="J202" s="19">
        <f>IF($D202="","",IF($I202&lt;&gt;"",$I202,IF(ISNUMBER($H202),$H202,"")))</f>
        <v/>
      </c>
      <c r="K202" s="18" t="n"/>
      <c r="L202" s="17">
        <f>IF($D202="","",IF($K202&lt;&gt;"","Received "&amp;TEXT($K202,"mm/dd"),IF(ISNUMBER($J202),IF(TODAY()&gt;$J202,"OVERDUE","Pending"),IF($H202="","Pending","CHECK DATE"))))</f>
        <v/>
      </c>
      <c r="M202" s="16" t="n"/>
      <c r="N202" s="16" t="n"/>
    </row>
    <row r="203">
      <c r="B203" s="17">
        <f>IF($D203="","","ME"&amp;TEXT(ROW()-5,"000"))</f>
        <v/>
      </c>
      <c r="C203" s="18" t="n"/>
      <c r="D203" s="16" t="n"/>
      <c r="E203" s="17">
        <f>IF($D203="","",IFERROR(INDEX(rngCadetPIDs,MATCH($D203,rngCadetNames,0)),"?"))</f>
        <v/>
      </c>
      <c r="F203" s="16" t="n"/>
      <c r="G203" s="16" t="n"/>
      <c r="H203" s="19">
        <f>IF($D203="","",IF($C203="","(enter date)",_xlfn.LET(_xlpm.dn,_xlfn.XLOOKUP($C203,nrCDdate,nrCDnum,"",1),IF(_xlpm.dn="","(after last class day)",_xlfn.LET(_xlpm.dd,_xlfn.XLOOKUP(_xlpm.dn+cfgMemoDueClassDays,nrCDnum,nrCDdate,""),_xlpm.ok,_xlfn.XLOOKUP(_xlpm.dn+cfgMemoDueClassDays,nrCDnum,nrCDinsession,"No"),IF(OR(_xlpm.dd="",_xlpm.ok&lt;&gt;"Yes"),"(after last class day)",_xlpm.dd))))))</f>
        <v/>
      </c>
      <c r="I203" s="18" t="n"/>
      <c r="J203" s="19">
        <f>IF($D203="","",IF($I203&lt;&gt;"",$I203,IF(ISNUMBER($H203),$H203,"")))</f>
        <v/>
      </c>
      <c r="K203" s="18" t="n"/>
      <c r="L203" s="17">
        <f>IF($D203="","",IF($K203&lt;&gt;"","Received "&amp;TEXT($K203,"mm/dd"),IF(ISNUMBER($J203),IF(TODAY()&gt;$J203,"OVERDUE","Pending"),IF($H203="","Pending","CHECK DATE"))))</f>
        <v/>
      </c>
      <c r="M203" s="16" t="n"/>
      <c r="N203" s="16" t="n"/>
    </row>
    <row r="204">
      <c r="B204" s="17">
        <f>IF($D204="","","ME"&amp;TEXT(ROW()-5,"000"))</f>
        <v/>
      </c>
      <c r="C204" s="18" t="n"/>
      <c r="D204" s="16" t="n"/>
      <c r="E204" s="17">
        <f>IF($D204="","",IFERROR(INDEX(rngCadetPIDs,MATCH($D204,rngCadetNames,0)),"?"))</f>
        <v/>
      </c>
      <c r="F204" s="16" t="n"/>
      <c r="G204" s="16" t="n"/>
      <c r="H204" s="19">
        <f>IF($D204="","",IF($C204="","(enter date)",_xlfn.LET(_xlpm.dn,_xlfn.XLOOKUP($C204,nrCDdate,nrCDnum,"",1),IF(_xlpm.dn="","(after last class day)",_xlfn.LET(_xlpm.dd,_xlfn.XLOOKUP(_xlpm.dn+cfgMemoDueClassDays,nrCDnum,nrCDdate,""),_xlpm.ok,_xlfn.XLOOKUP(_xlpm.dn+cfgMemoDueClassDays,nrCDnum,nrCDinsession,"No"),IF(OR(_xlpm.dd="",_xlpm.ok&lt;&gt;"Yes"),"(after last class day)",_xlpm.dd))))))</f>
        <v/>
      </c>
      <c r="I204" s="18" t="n"/>
      <c r="J204" s="19">
        <f>IF($D204="","",IF($I204&lt;&gt;"",$I204,IF(ISNUMBER($H204),$H204,"")))</f>
        <v/>
      </c>
      <c r="K204" s="18" t="n"/>
      <c r="L204" s="17">
        <f>IF($D204="","",IF($K204&lt;&gt;"","Received "&amp;TEXT($K204,"mm/dd"),IF(ISNUMBER($J204),IF(TODAY()&gt;$J204,"OVERDUE","Pending"),IF($H204="","Pending","CHECK DATE"))))</f>
        <v/>
      </c>
      <c r="M204" s="16" t="n"/>
      <c r="N204" s="16" t="n"/>
    </row>
    <row r="205">
      <c r="B205" s="17">
        <f>IF($D205="","","ME"&amp;TEXT(ROW()-5,"000"))</f>
        <v/>
      </c>
      <c r="C205" s="18" t="n"/>
      <c r="D205" s="16" t="n"/>
      <c r="E205" s="17">
        <f>IF($D205="","",IFERROR(INDEX(rngCadetPIDs,MATCH($D205,rngCadetNames,0)),"?"))</f>
        <v/>
      </c>
      <c r="F205" s="16" t="n"/>
      <c r="G205" s="16" t="n"/>
      <c r="H205" s="19">
        <f>IF($D205="","",IF($C205="","(enter date)",_xlfn.LET(_xlpm.dn,_xlfn.XLOOKUP($C205,nrCDdate,nrCDnum,"",1),IF(_xlpm.dn="","(after last class day)",_xlfn.LET(_xlpm.dd,_xlfn.XLOOKUP(_xlpm.dn+cfgMemoDueClassDays,nrCDnum,nrCDdate,""),_xlpm.ok,_xlfn.XLOOKUP(_xlpm.dn+cfgMemoDueClassDays,nrCDnum,nrCDinsession,"No"),IF(OR(_xlpm.dd="",_xlpm.ok&lt;&gt;"Yes"),"(after last class day)",_xlpm.dd))))))</f>
        <v/>
      </c>
      <c r="I205" s="18" t="n"/>
      <c r="J205" s="19">
        <f>IF($D205="","",IF($I205&lt;&gt;"",$I205,IF(ISNUMBER($H205),$H205,"")))</f>
        <v/>
      </c>
      <c r="K205" s="18" t="n"/>
      <c r="L205" s="17">
        <f>IF($D205="","",IF($K205&lt;&gt;"","Received "&amp;TEXT($K205,"mm/dd"),IF(ISNUMBER($J205),IF(TODAY()&gt;$J205,"OVERDUE","Pending"),IF($H205="","Pending","CHECK DATE"))))</f>
        <v/>
      </c>
      <c r="M205" s="16" t="n"/>
      <c r="N205" s="16" t="n"/>
    </row>
    <row r="206">
      <c r="B206" s="17">
        <f>IF($D206="","","ME"&amp;TEXT(ROW()-5,"000"))</f>
        <v/>
      </c>
      <c r="C206" s="18" t="n"/>
      <c r="D206" s="16" t="n"/>
      <c r="E206" s="17">
        <f>IF($D206="","",IFERROR(INDEX(rngCadetPIDs,MATCH($D206,rngCadetNames,0)),"?"))</f>
        <v/>
      </c>
      <c r="F206" s="16" t="n"/>
      <c r="G206" s="16" t="n"/>
      <c r="H206" s="19">
        <f>IF($D206="","",IF($C206="","(enter date)",_xlfn.LET(_xlpm.dn,_xlfn.XLOOKUP($C206,nrCDdate,nrCDnum,"",1),IF(_xlpm.dn="","(after last class day)",_xlfn.LET(_xlpm.dd,_xlfn.XLOOKUP(_xlpm.dn+cfgMemoDueClassDays,nrCDnum,nrCDdate,""),_xlpm.ok,_xlfn.XLOOKUP(_xlpm.dn+cfgMemoDueClassDays,nrCDnum,nrCDinsession,"No"),IF(OR(_xlpm.dd="",_xlpm.ok&lt;&gt;"Yes"),"(after last class day)",_xlpm.dd))))))</f>
        <v/>
      </c>
      <c r="I206" s="18" t="n"/>
      <c r="J206" s="19">
        <f>IF($D206="","",IF($I206&lt;&gt;"",$I206,IF(ISNUMBER($H206),$H206,"")))</f>
        <v/>
      </c>
      <c r="K206" s="18" t="n"/>
      <c r="L206" s="17">
        <f>IF($D206="","",IF($K206&lt;&gt;"","Received "&amp;TEXT($K206,"mm/dd"),IF(ISNUMBER($J206),IF(TODAY()&gt;$J206,"OVERDUE","Pending"),IF($H206="","Pending","CHECK DATE"))))</f>
        <v/>
      </c>
      <c r="M206" s="16" t="n"/>
      <c r="N206" s="16" t="n"/>
    </row>
    <row r="207">
      <c r="B207" s="17">
        <f>IF($D207="","","ME"&amp;TEXT(ROW()-5,"000"))</f>
        <v/>
      </c>
      <c r="C207" s="18" t="n"/>
      <c r="D207" s="16" t="n"/>
      <c r="E207" s="17">
        <f>IF($D207="","",IFERROR(INDEX(rngCadetPIDs,MATCH($D207,rngCadetNames,0)),"?"))</f>
        <v/>
      </c>
      <c r="F207" s="16" t="n"/>
      <c r="G207" s="16" t="n"/>
      <c r="H207" s="19">
        <f>IF($D207="","",IF($C207="","(enter date)",_xlfn.LET(_xlpm.dn,_xlfn.XLOOKUP($C207,nrCDdate,nrCDnum,"",1),IF(_xlpm.dn="","(after last class day)",_xlfn.LET(_xlpm.dd,_xlfn.XLOOKUP(_xlpm.dn+cfgMemoDueClassDays,nrCDnum,nrCDdate,""),_xlpm.ok,_xlfn.XLOOKUP(_xlpm.dn+cfgMemoDueClassDays,nrCDnum,nrCDinsession,"No"),IF(OR(_xlpm.dd="",_xlpm.ok&lt;&gt;"Yes"),"(after last class day)",_xlpm.dd))))))</f>
        <v/>
      </c>
      <c r="I207" s="18" t="n"/>
      <c r="J207" s="19">
        <f>IF($D207="","",IF($I207&lt;&gt;"",$I207,IF(ISNUMBER($H207),$H207,"")))</f>
        <v/>
      </c>
      <c r="K207" s="18" t="n"/>
      <c r="L207" s="17">
        <f>IF($D207="","",IF($K207&lt;&gt;"","Received "&amp;TEXT($K207,"mm/dd"),IF(ISNUMBER($J207),IF(TODAY()&gt;$J207,"OVERDUE","Pending"),IF($H207="","Pending","CHECK DATE"))))</f>
        <v/>
      </c>
      <c r="M207" s="16" t="n"/>
      <c r="N207" s="16" t="n"/>
    </row>
    <row r="208">
      <c r="B208" s="17">
        <f>IF($D208="","","ME"&amp;TEXT(ROW()-5,"000"))</f>
        <v/>
      </c>
      <c r="C208" s="18" t="n"/>
      <c r="D208" s="16" t="n"/>
      <c r="E208" s="17">
        <f>IF($D208="","",IFERROR(INDEX(rngCadetPIDs,MATCH($D208,rngCadetNames,0)),"?"))</f>
        <v/>
      </c>
      <c r="F208" s="16" t="n"/>
      <c r="G208" s="16" t="n"/>
      <c r="H208" s="19">
        <f>IF($D208="","",IF($C208="","(enter date)",_xlfn.LET(_xlpm.dn,_xlfn.XLOOKUP($C208,nrCDdate,nrCDnum,"",1),IF(_xlpm.dn="","(after last class day)",_xlfn.LET(_xlpm.dd,_xlfn.XLOOKUP(_xlpm.dn+cfgMemoDueClassDays,nrCDnum,nrCDdate,""),_xlpm.ok,_xlfn.XLOOKUP(_xlpm.dn+cfgMemoDueClassDays,nrCDnum,nrCDinsession,"No"),IF(OR(_xlpm.dd="",_xlpm.ok&lt;&gt;"Yes"),"(after last class day)",_xlpm.dd))))))</f>
        <v/>
      </c>
      <c r="I208" s="18" t="n"/>
      <c r="J208" s="19">
        <f>IF($D208="","",IF($I208&lt;&gt;"",$I208,IF(ISNUMBER($H208),$H208,"")))</f>
        <v/>
      </c>
      <c r="K208" s="18" t="n"/>
      <c r="L208" s="17">
        <f>IF($D208="","",IF($K208&lt;&gt;"","Received "&amp;TEXT($K208,"mm/dd"),IF(ISNUMBER($J208),IF(TODAY()&gt;$J208,"OVERDUE","Pending"),IF($H208="","Pending","CHECK DATE"))))</f>
        <v/>
      </c>
      <c r="M208" s="16" t="n"/>
      <c r="N208" s="16" t="n"/>
    </row>
    <row r="209">
      <c r="B209" s="17">
        <f>IF($D209="","","ME"&amp;TEXT(ROW()-5,"000"))</f>
        <v/>
      </c>
      <c r="C209" s="18" t="n"/>
      <c r="D209" s="16" t="n"/>
      <c r="E209" s="17">
        <f>IF($D209="","",IFERROR(INDEX(rngCadetPIDs,MATCH($D209,rngCadetNames,0)),"?"))</f>
        <v/>
      </c>
      <c r="F209" s="16" t="n"/>
      <c r="G209" s="16" t="n"/>
      <c r="H209" s="19">
        <f>IF($D209="","",IF($C209="","(enter date)",_xlfn.LET(_xlpm.dn,_xlfn.XLOOKUP($C209,nrCDdate,nrCDnum,"",1),IF(_xlpm.dn="","(after last class day)",_xlfn.LET(_xlpm.dd,_xlfn.XLOOKUP(_xlpm.dn+cfgMemoDueClassDays,nrCDnum,nrCDdate,""),_xlpm.ok,_xlfn.XLOOKUP(_xlpm.dn+cfgMemoDueClassDays,nrCDnum,nrCDinsession,"No"),IF(OR(_xlpm.dd="",_xlpm.ok&lt;&gt;"Yes"),"(after last class day)",_xlpm.dd))))))</f>
        <v/>
      </c>
      <c r="I209" s="18" t="n"/>
      <c r="J209" s="19">
        <f>IF($D209="","",IF($I209&lt;&gt;"",$I209,IF(ISNUMBER($H209),$H209,"")))</f>
        <v/>
      </c>
      <c r="K209" s="18" t="n"/>
      <c r="L209" s="17">
        <f>IF($D209="","",IF($K209&lt;&gt;"","Received "&amp;TEXT($K209,"mm/dd"),IF(ISNUMBER($J209),IF(TODAY()&gt;$J209,"OVERDUE","Pending"),IF($H209="","Pending","CHECK DATE"))))</f>
        <v/>
      </c>
      <c r="M209" s="16" t="n"/>
      <c r="N209" s="16" t="n"/>
    </row>
    <row r="210">
      <c r="B210" s="17">
        <f>IF($D210="","","ME"&amp;TEXT(ROW()-5,"000"))</f>
        <v/>
      </c>
      <c r="C210" s="18" t="n"/>
      <c r="D210" s="16" t="n"/>
      <c r="E210" s="17">
        <f>IF($D210="","",IFERROR(INDEX(rngCadetPIDs,MATCH($D210,rngCadetNames,0)),"?"))</f>
        <v/>
      </c>
      <c r="F210" s="16" t="n"/>
      <c r="G210" s="16" t="n"/>
      <c r="H210" s="19">
        <f>IF($D210="","",IF($C210="","(enter date)",_xlfn.LET(_xlpm.dn,_xlfn.XLOOKUP($C210,nrCDdate,nrCDnum,"",1),IF(_xlpm.dn="","(after last class day)",_xlfn.LET(_xlpm.dd,_xlfn.XLOOKUP(_xlpm.dn+cfgMemoDueClassDays,nrCDnum,nrCDdate,""),_xlpm.ok,_xlfn.XLOOKUP(_xlpm.dn+cfgMemoDueClassDays,nrCDnum,nrCDinsession,"No"),IF(OR(_xlpm.dd="",_xlpm.ok&lt;&gt;"Yes"),"(after last class day)",_xlpm.dd))))))</f>
        <v/>
      </c>
      <c r="I210" s="18" t="n"/>
      <c r="J210" s="19">
        <f>IF($D210="","",IF($I210&lt;&gt;"",$I210,IF(ISNUMBER($H210),$H210,"")))</f>
        <v/>
      </c>
      <c r="K210" s="18" t="n"/>
      <c r="L210" s="17">
        <f>IF($D210="","",IF($K210&lt;&gt;"","Received "&amp;TEXT($K210,"mm/dd"),IF(ISNUMBER($J210),IF(TODAY()&gt;$J210,"OVERDUE","Pending"),IF($H210="","Pending","CHECK DATE"))))</f>
        <v/>
      </c>
      <c r="M210" s="16" t="n"/>
      <c r="N210" s="16" t="n"/>
    </row>
    <row r="211">
      <c r="B211" s="17">
        <f>IF($D211="","","ME"&amp;TEXT(ROW()-5,"000"))</f>
        <v/>
      </c>
      <c r="C211" s="18" t="n"/>
      <c r="D211" s="16" t="n"/>
      <c r="E211" s="17">
        <f>IF($D211="","",IFERROR(INDEX(rngCadetPIDs,MATCH($D211,rngCadetNames,0)),"?"))</f>
        <v/>
      </c>
      <c r="F211" s="16" t="n"/>
      <c r="G211" s="16" t="n"/>
      <c r="H211" s="19">
        <f>IF($D211="","",IF($C211="","(enter date)",_xlfn.LET(_xlpm.dn,_xlfn.XLOOKUP($C211,nrCDdate,nrCDnum,"",1),IF(_xlpm.dn="","(after last class day)",_xlfn.LET(_xlpm.dd,_xlfn.XLOOKUP(_xlpm.dn+cfgMemoDueClassDays,nrCDnum,nrCDdate,""),_xlpm.ok,_xlfn.XLOOKUP(_xlpm.dn+cfgMemoDueClassDays,nrCDnum,nrCDinsession,"No"),IF(OR(_xlpm.dd="",_xlpm.ok&lt;&gt;"Yes"),"(after last class day)",_xlpm.dd))))))</f>
        <v/>
      </c>
      <c r="I211" s="18" t="n"/>
      <c r="J211" s="19">
        <f>IF($D211="","",IF($I211&lt;&gt;"",$I211,IF(ISNUMBER($H211),$H211,"")))</f>
        <v/>
      </c>
      <c r="K211" s="18" t="n"/>
      <c r="L211" s="17">
        <f>IF($D211="","",IF($K211&lt;&gt;"","Received "&amp;TEXT($K211,"mm/dd"),IF(ISNUMBER($J211),IF(TODAY()&gt;$J211,"OVERDUE","Pending"),IF($H211="","Pending","CHECK DATE"))))</f>
        <v/>
      </c>
      <c r="M211" s="16" t="n"/>
      <c r="N211" s="16" t="n"/>
    </row>
    <row r="212">
      <c r="B212" s="17">
        <f>IF($D212="","","ME"&amp;TEXT(ROW()-5,"000"))</f>
        <v/>
      </c>
      <c r="C212" s="18" t="n"/>
      <c r="D212" s="16" t="n"/>
      <c r="E212" s="17">
        <f>IF($D212="","",IFERROR(INDEX(rngCadetPIDs,MATCH($D212,rngCadetNames,0)),"?"))</f>
        <v/>
      </c>
      <c r="F212" s="16" t="n"/>
      <c r="G212" s="16" t="n"/>
      <c r="H212" s="19">
        <f>IF($D212="","",IF($C212="","(enter date)",_xlfn.LET(_xlpm.dn,_xlfn.XLOOKUP($C212,nrCDdate,nrCDnum,"",1),IF(_xlpm.dn="","(after last class day)",_xlfn.LET(_xlpm.dd,_xlfn.XLOOKUP(_xlpm.dn+cfgMemoDueClassDays,nrCDnum,nrCDdate,""),_xlpm.ok,_xlfn.XLOOKUP(_xlpm.dn+cfgMemoDueClassDays,nrCDnum,nrCDinsession,"No"),IF(OR(_xlpm.dd="",_xlpm.ok&lt;&gt;"Yes"),"(after last class day)",_xlpm.dd))))))</f>
        <v/>
      </c>
      <c r="I212" s="18" t="n"/>
      <c r="J212" s="19">
        <f>IF($D212="","",IF($I212&lt;&gt;"",$I212,IF(ISNUMBER($H212),$H212,"")))</f>
        <v/>
      </c>
      <c r="K212" s="18" t="n"/>
      <c r="L212" s="17">
        <f>IF($D212="","",IF($K212&lt;&gt;"","Received "&amp;TEXT($K212,"mm/dd"),IF(ISNUMBER($J212),IF(TODAY()&gt;$J212,"OVERDUE","Pending"),IF($H212="","Pending","CHECK DATE"))))</f>
        <v/>
      </c>
      <c r="M212" s="16" t="n"/>
      <c r="N212" s="16" t="n"/>
    </row>
    <row r="213">
      <c r="B213" s="17">
        <f>IF($D213="","","ME"&amp;TEXT(ROW()-5,"000"))</f>
        <v/>
      </c>
      <c r="C213" s="18" t="n"/>
      <c r="D213" s="16" t="n"/>
      <c r="E213" s="17">
        <f>IF($D213="","",IFERROR(INDEX(rngCadetPIDs,MATCH($D213,rngCadetNames,0)),"?"))</f>
        <v/>
      </c>
      <c r="F213" s="16" t="n"/>
      <c r="G213" s="16" t="n"/>
      <c r="H213" s="19">
        <f>IF($D213="","",IF($C213="","(enter date)",_xlfn.LET(_xlpm.dn,_xlfn.XLOOKUP($C213,nrCDdate,nrCDnum,"",1),IF(_xlpm.dn="","(after last class day)",_xlfn.LET(_xlpm.dd,_xlfn.XLOOKUP(_xlpm.dn+cfgMemoDueClassDays,nrCDnum,nrCDdate,""),_xlpm.ok,_xlfn.XLOOKUP(_xlpm.dn+cfgMemoDueClassDays,nrCDnum,nrCDinsession,"No"),IF(OR(_xlpm.dd="",_xlpm.ok&lt;&gt;"Yes"),"(after last class day)",_xlpm.dd))))))</f>
        <v/>
      </c>
      <c r="I213" s="18" t="n"/>
      <c r="J213" s="19">
        <f>IF($D213="","",IF($I213&lt;&gt;"",$I213,IF(ISNUMBER($H213),$H213,"")))</f>
        <v/>
      </c>
      <c r="K213" s="18" t="n"/>
      <c r="L213" s="17">
        <f>IF($D213="","",IF($K213&lt;&gt;"","Received "&amp;TEXT($K213,"mm/dd"),IF(ISNUMBER($J213),IF(TODAY()&gt;$J213,"OVERDUE","Pending"),IF($H213="","Pending","CHECK DATE"))))</f>
        <v/>
      </c>
      <c r="M213" s="16" t="n"/>
      <c r="N213" s="16" t="n"/>
    </row>
    <row r="214">
      <c r="B214" s="17">
        <f>IF($D214="","","ME"&amp;TEXT(ROW()-5,"000"))</f>
        <v/>
      </c>
      <c r="C214" s="18" t="n"/>
      <c r="D214" s="16" t="n"/>
      <c r="E214" s="17">
        <f>IF($D214="","",IFERROR(INDEX(rngCadetPIDs,MATCH($D214,rngCadetNames,0)),"?"))</f>
        <v/>
      </c>
      <c r="F214" s="16" t="n"/>
      <c r="G214" s="16" t="n"/>
      <c r="H214" s="19">
        <f>IF($D214="","",IF($C214="","(enter date)",_xlfn.LET(_xlpm.dn,_xlfn.XLOOKUP($C214,nrCDdate,nrCDnum,"",1),IF(_xlpm.dn="","(after last class day)",_xlfn.LET(_xlpm.dd,_xlfn.XLOOKUP(_xlpm.dn+cfgMemoDueClassDays,nrCDnum,nrCDdate,""),_xlpm.ok,_xlfn.XLOOKUP(_xlpm.dn+cfgMemoDueClassDays,nrCDnum,nrCDinsession,"No"),IF(OR(_xlpm.dd="",_xlpm.ok&lt;&gt;"Yes"),"(after last class day)",_xlpm.dd))))))</f>
        <v/>
      </c>
      <c r="I214" s="18" t="n"/>
      <c r="J214" s="19">
        <f>IF($D214="","",IF($I214&lt;&gt;"",$I214,IF(ISNUMBER($H214),$H214,"")))</f>
        <v/>
      </c>
      <c r="K214" s="18" t="n"/>
      <c r="L214" s="17">
        <f>IF($D214="","",IF($K214&lt;&gt;"","Received "&amp;TEXT($K214,"mm/dd"),IF(ISNUMBER($J214),IF(TODAY()&gt;$J214,"OVERDUE","Pending"),IF($H214="","Pending","CHECK DATE"))))</f>
        <v/>
      </c>
      <c r="M214" s="16" t="n"/>
      <c r="N214" s="16" t="n"/>
    </row>
    <row r="215">
      <c r="B215" s="17">
        <f>IF($D215="","","ME"&amp;TEXT(ROW()-5,"000"))</f>
        <v/>
      </c>
      <c r="C215" s="18" t="n"/>
      <c r="D215" s="16" t="n"/>
      <c r="E215" s="17">
        <f>IF($D215="","",IFERROR(INDEX(rngCadetPIDs,MATCH($D215,rngCadetNames,0)),"?"))</f>
        <v/>
      </c>
      <c r="F215" s="16" t="n"/>
      <c r="G215" s="16" t="n"/>
      <c r="H215" s="19">
        <f>IF($D215="","",IF($C215="","(enter date)",_xlfn.LET(_xlpm.dn,_xlfn.XLOOKUP($C215,nrCDdate,nrCDnum,"",1),IF(_xlpm.dn="","(after last class day)",_xlfn.LET(_xlpm.dd,_xlfn.XLOOKUP(_xlpm.dn+cfgMemoDueClassDays,nrCDnum,nrCDdate,""),_xlpm.ok,_xlfn.XLOOKUP(_xlpm.dn+cfgMemoDueClassDays,nrCDnum,nrCDinsession,"No"),IF(OR(_xlpm.dd="",_xlpm.ok&lt;&gt;"Yes"),"(after last class day)",_xlpm.dd))))))</f>
        <v/>
      </c>
      <c r="I215" s="18" t="n"/>
      <c r="J215" s="19">
        <f>IF($D215="","",IF($I215&lt;&gt;"",$I215,IF(ISNUMBER($H215),$H215,"")))</f>
        <v/>
      </c>
      <c r="K215" s="18" t="n"/>
      <c r="L215" s="17">
        <f>IF($D215="","",IF($K215&lt;&gt;"","Received "&amp;TEXT($K215,"mm/dd"),IF(ISNUMBER($J215),IF(TODAY()&gt;$J215,"OVERDUE","Pending"),IF($H215="","Pending","CHECK DATE"))))</f>
        <v/>
      </c>
      <c r="M215" s="16" t="n"/>
      <c r="N215" s="16" t="n"/>
    </row>
    <row r="216">
      <c r="B216" s="17">
        <f>IF($D216="","","ME"&amp;TEXT(ROW()-5,"000"))</f>
        <v/>
      </c>
      <c r="C216" s="18" t="n"/>
      <c r="D216" s="16" t="n"/>
      <c r="E216" s="17">
        <f>IF($D216="","",IFERROR(INDEX(rngCadetPIDs,MATCH($D216,rngCadetNames,0)),"?"))</f>
        <v/>
      </c>
      <c r="F216" s="16" t="n"/>
      <c r="G216" s="16" t="n"/>
      <c r="H216" s="19">
        <f>IF($D216="","",IF($C216="","(enter date)",_xlfn.LET(_xlpm.dn,_xlfn.XLOOKUP($C216,nrCDdate,nrCDnum,"",1),IF(_xlpm.dn="","(after last class day)",_xlfn.LET(_xlpm.dd,_xlfn.XLOOKUP(_xlpm.dn+cfgMemoDueClassDays,nrCDnum,nrCDdate,""),_xlpm.ok,_xlfn.XLOOKUP(_xlpm.dn+cfgMemoDueClassDays,nrCDnum,nrCDinsession,"No"),IF(OR(_xlpm.dd="",_xlpm.ok&lt;&gt;"Yes"),"(after last class day)",_xlpm.dd))))))</f>
        <v/>
      </c>
      <c r="I216" s="18" t="n"/>
      <c r="J216" s="19">
        <f>IF($D216="","",IF($I216&lt;&gt;"",$I216,IF(ISNUMBER($H216),$H216,"")))</f>
        <v/>
      </c>
      <c r="K216" s="18" t="n"/>
      <c r="L216" s="17">
        <f>IF($D216="","",IF($K216&lt;&gt;"","Received "&amp;TEXT($K216,"mm/dd"),IF(ISNUMBER($J216),IF(TODAY()&gt;$J216,"OVERDUE","Pending"),IF($H216="","Pending","CHECK DATE"))))</f>
        <v/>
      </c>
      <c r="M216" s="16" t="n"/>
      <c r="N216" s="16" t="n"/>
    </row>
    <row r="217">
      <c r="B217" s="17">
        <f>IF($D217="","","ME"&amp;TEXT(ROW()-5,"000"))</f>
        <v/>
      </c>
      <c r="C217" s="18" t="n"/>
      <c r="D217" s="16" t="n"/>
      <c r="E217" s="17">
        <f>IF($D217="","",IFERROR(INDEX(rngCadetPIDs,MATCH($D217,rngCadetNames,0)),"?"))</f>
        <v/>
      </c>
      <c r="F217" s="16" t="n"/>
      <c r="G217" s="16" t="n"/>
      <c r="H217" s="19">
        <f>IF($D217="","",IF($C217="","(enter date)",_xlfn.LET(_xlpm.dn,_xlfn.XLOOKUP($C217,nrCDdate,nrCDnum,"",1),IF(_xlpm.dn="","(after last class day)",_xlfn.LET(_xlpm.dd,_xlfn.XLOOKUP(_xlpm.dn+cfgMemoDueClassDays,nrCDnum,nrCDdate,""),_xlpm.ok,_xlfn.XLOOKUP(_xlpm.dn+cfgMemoDueClassDays,nrCDnum,nrCDinsession,"No"),IF(OR(_xlpm.dd="",_xlpm.ok&lt;&gt;"Yes"),"(after last class day)",_xlpm.dd))))))</f>
        <v/>
      </c>
      <c r="I217" s="18" t="n"/>
      <c r="J217" s="19">
        <f>IF($D217="","",IF($I217&lt;&gt;"",$I217,IF(ISNUMBER($H217),$H217,"")))</f>
        <v/>
      </c>
      <c r="K217" s="18" t="n"/>
      <c r="L217" s="17">
        <f>IF($D217="","",IF($K217&lt;&gt;"","Received "&amp;TEXT($K217,"mm/dd"),IF(ISNUMBER($J217),IF(TODAY()&gt;$J217,"OVERDUE","Pending"),IF($H217="","Pending","CHECK DATE"))))</f>
        <v/>
      </c>
      <c r="M217" s="16" t="n"/>
      <c r="N217" s="16" t="n"/>
    </row>
    <row r="218">
      <c r="B218" s="17">
        <f>IF($D218="","","ME"&amp;TEXT(ROW()-5,"000"))</f>
        <v/>
      </c>
      <c r="C218" s="18" t="n"/>
      <c r="D218" s="16" t="n"/>
      <c r="E218" s="17">
        <f>IF($D218="","",IFERROR(INDEX(rngCadetPIDs,MATCH($D218,rngCadetNames,0)),"?"))</f>
        <v/>
      </c>
      <c r="F218" s="16" t="n"/>
      <c r="G218" s="16" t="n"/>
      <c r="H218" s="19">
        <f>IF($D218="","",IF($C218="","(enter date)",_xlfn.LET(_xlpm.dn,_xlfn.XLOOKUP($C218,nrCDdate,nrCDnum,"",1),IF(_xlpm.dn="","(after last class day)",_xlfn.LET(_xlpm.dd,_xlfn.XLOOKUP(_xlpm.dn+cfgMemoDueClassDays,nrCDnum,nrCDdate,""),_xlpm.ok,_xlfn.XLOOKUP(_xlpm.dn+cfgMemoDueClassDays,nrCDnum,nrCDinsession,"No"),IF(OR(_xlpm.dd="",_xlpm.ok&lt;&gt;"Yes"),"(after last class day)",_xlpm.dd))))))</f>
        <v/>
      </c>
      <c r="I218" s="18" t="n"/>
      <c r="J218" s="19">
        <f>IF($D218="","",IF($I218&lt;&gt;"",$I218,IF(ISNUMBER($H218),$H218,"")))</f>
        <v/>
      </c>
      <c r="K218" s="18" t="n"/>
      <c r="L218" s="17">
        <f>IF($D218="","",IF($K218&lt;&gt;"","Received "&amp;TEXT($K218,"mm/dd"),IF(ISNUMBER($J218),IF(TODAY()&gt;$J218,"OVERDUE","Pending"),IF($H218="","Pending","CHECK DATE"))))</f>
        <v/>
      </c>
      <c r="M218" s="16" t="n"/>
      <c r="N218" s="16" t="n"/>
    </row>
    <row r="219">
      <c r="B219" s="17">
        <f>IF($D219="","","ME"&amp;TEXT(ROW()-5,"000"))</f>
        <v/>
      </c>
      <c r="C219" s="18" t="n"/>
      <c r="D219" s="16" t="n"/>
      <c r="E219" s="17">
        <f>IF($D219="","",IFERROR(INDEX(rngCadetPIDs,MATCH($D219,rngCadetNames,0)),"?"))</f>
        <v/>
      </c>
      <c r="F219" s="16" t="n"/>
      <c r="G219" s="16" t="n"/>
      <c r="H219" s="19">
        <f>IF($D219="","",IF($C219="","(enter date)",_xlfn.LET(_xlpm.dn,_xlfn.XLOOKUP($C219,nrCDdate,nrCDnum,"",1),IF(_xlpm.dn="","(after last class day)",_xlfn.LET(_xlpm.dd,_xlfn.XLOOKUP(_xlpm.dn+cfgMemoDueClassDays,nrCDnum,nrCDdate,""),_xlpm.ok,_xlfn.XLOOKUP(_xlpm.dn+cfgMemoDueClassDays,nrCDnum,nrCDinsession,"No"),IF(OR(_xlpm.dd="",_xlpm.ok&lt;&gt;"Yes"),"(after last class day)",_xlpm.dd))))))</f>
        <v/>
      </c>
      <c r="I219" s="18" t="n"/>
      <c r="J219" s="19">
        <f>IF($D219="","",IF($I219&lt;&gt;"",$I219,IF(ISNUMBER($H219),$H219,"")))</f>
        <v/>
      </c>
      <c r="K219" s="18" t="n"/>
      <c r="L219" s="17">
        <f>IF($D219="","",IF($K219&lt;&gt;"","Received "&amp;TEXT($K219,"mm/dd"),IF(ISNUMBER($J219),IF(TODAY()&gt;$J219,"OVERDUE","Pending"),IF($H219="","Pending","CHECK DATE"))))</f>
        <v/>
      </c>
      <c r="M219" s="16" t="n"/>
      <c r="N219" s="16" t="n"/>
    </row>
    <row r="220">
      <c r="B220" s="17">
        <f>IF($D220="","","ME"&amp;TEXT(ROW()-5,"000"))</f>
        <v/>
      </c>
      <c r="C220" s="18" t="n"/>
      <c r="D220" s="16" t="n"/>
      <c r="E220" s="17">
        <f>IF($D220="","",IFERROR(INDEX(rngCadetPIDs,MATCH($D220,rngCadetNames,0)),"?"))</f>
        <v/>
      </c>
      <c r="F220" s="16" t="n"/>
      <c r="G220" s="16" t="n"/>
      <c r="H220" s="19">
        <f>IF($D220="","",IF($C220="","(enter date)",_xlfn.LET(_xlpm.dn,_xlfn.XLOOKUP($C220,nrCDdate,nrCDnum,"",1),IF(_xlpm.dn="","(after last class day)",_xlfn.LET(_xlpm.dd,_xlfn.XLOOKUP(_xlpm.dn+cfgMemoDueClassDays,nrCDnum,nrCDdate,""),_xlpm.ok,_xlfn.XLOOKUP(_xlpm.dn+cfgMemoDueClassDays,nrCDnum,nrCDinsession,"No"),IF(OR(_xlpm.dd="",_xlpm.ok&lt;&gt;"Yes"),"(after last class day)",_xlpm.dd))))))</f>
        <v/>
      </c>
      <c r="I220" s="18" t="n"/>
      <c r="J220" s="19">
        <f>IF($D220="","",IF($I220&lt;&gt;"",$I220,IF(ISNUMBER($H220),$H220,"")))</f>
        <v/>
      </c>
      <c r="K220" s="18" t="n"/>
      <c r="L220" s="17">
        <f>IF($D220="","",IF($K220&lt;&gt;"","Received "&amp;TEXT($K220,"mm/dd"),IF(ISNUMBER($J220),IF(TODAY()&gt;$J220,"OVERDUE","Pending"),IF($H220="","Pending","CHECK DATE"))))</f>
        <v/>
      </c>
      <c r="M220" s="16" t="n"/>
      <c r="N220" s="16" t="n"/>
    </row>
    <row r="221">
      <c r="B221" s="17">
        <f>IF($D221="","","ME"&amp;TEXT(ROW()-5,"000"))</f>
        <v/>
      </c>
      <c r="C221" s="18" t="n"/>
      <c r="D221" s="16" t="n"/>
      <c r="E221" s="17">
        <f>IF($D221="","",IFERROR(INDEX(rngCadetPIDs,MATCH($D221,rngCadetNames,0)),"?"))</f>
        <v/>
      </c>
      <c r="F221" s="16" t="n"/>
      <c r="G221" s="16" t="n"/>
      <c r="H221" s="19">
        <f>IF($D221="","",IF($C221="","(enter date)",_xlfn.LET(_xlpm.dn,_xlfn.XLOOKUP($C221,nrCDdate,nrCDnum,"",1),IF(_xlpm.dn="","(after last class day)",_xlfn.LET(_xlpm.dd,_xlfn.XLOOKUP(_xlpm.dn+cfgMemoDueClassDays,nrCDnum,nrCDdate,""),_xlpm.ok,_xlfn.XLOOKUP(_xlpm.dn+cfgMemoDueClassDays,nrCDnum,nrCDinsession,"No"),IF(OR(_xlpm.dd="",_xlpm.ok&lt;&gt;"Yes"),"(after last class day)",_xlpm.dd))))))</f>
        <v/>
      </c>
      <c r="I221" s="18" t="n"/>
      <c r="J221" s="19">
        <f>IF($D221="","",IF($I221&lt;&gt;"",$I221,IF(ISNUMBER($H221),$H221,"")))</f>
        <v/>
      </c>
      <c r="K221" s="18" t="n"/>
      <c r="L221" s="17">
        <f>IF($D221="","",IF($K221&lt;&gt;"","Received "&amp;TEXT($K221,"mm/dd"),IF(ISNUMBER($J221),IF(TODAY()&gt;$J221,"OVERDUE","Pending"),IF($H221="","Pending","CHECK DATE"))))</f>
        <v/>
      </c>
      <c r="M221" s="16" t="n"/>
      <c r="N221" s="16" t="n"/>
    </row>
    <row r="222">
      <c r="B222" s="17">
        <f>IF($D222="","","ME"&amp;TEXT(ROW()-5,"000"))</f>
        <v/>
      </c>
      <c r="C222" s="18" t="n"/>
      <c r="D222" s="16" t="n"/>
      <c r="E222" s="17">
        <f>IF($D222="","",IFERROR(INDEX(rngCadetPIDs,MATCH($D222,rngCadetNames,0)),"?"))</f>
        <v/>
      </c>
      <c r="F222" s="16" t="n"/>
      <c r="G222" s="16" t="n"/>
      <c r="H222" s="19">
        <f>IF($D222="","",IF($C222="","(enter date)",_xlfn.LET(_xlpm.dn,_xlfn.XLOOKUP($C222,nrCDdate,nrCDnum,"",1),IF(_xlpm.dn="","(after last class day)",_xlfn.LET(_xlpm.dd,_xlfn.XLOOKUP(_xlpm.dn+cfgMemoDueClassDays,nrCDnum,nrCDdate,""),_xlpm.ok,_xlfn.XLOOKUP(_xlpm.dn+cfgMemoDueClassDays,nrCDnum,nrCDinsession,"No"),IF(OR(_xlpm.dd="",_xlpm.ok&lt;&gt;"Yes"),"(after last class day)",_xlpm.dd))))))</f>
        <v/>
      </c>
      <c r="I222" s="18" t="n"/>
      <c r="J222" s="19">
        <f>IF($D222="","",IF($I222&lt;&gt;"",$I222,IF(ISNUMBER($H222),$H222,"")))</f>
        <v/>
      </c>
      <c r="K222" s="18" t="n"/>
      <c r="L222" s="17">
        <f>IF($D222="","",IF($K222&lt;&gt;"","Received "&amp;TEXT($K222,"mm/dd"),IF(ISNUMBER($J222),IF(TODAY()&gt;$J222,"OVERDUE","Pending"),IF($H222="","Pending","CHECK DATE"))))</f>
        <v/>
      </c>
      <c r="M222" s="16" t="n"/>
      <c r="N222" s="16" t="n"/>
    </row>
    <row r="223">
      <c r="B223" s="17">
        <f>IF($D223="","","ME"&amp;TEXT(ROW()-5,"000"))</f>
        <v/>
      </c>
      <c r="C223" s="18" t="n"/>
      <c r="D223" s="16" t="n"/>
      <c r="E223" s="17">
        <f>IF($D223="","",IFERROR(INDEX(rngCadetPIDs,MATCH($D223,rngCadetNames,0)),"?"))</f>
        <v/>
      </c>
      <c r="F223" s="16" t="n"/>
      <c r="G223" s="16" t="n"/>
      <c r="H223" s="19">
        <f>IF($D223="","",IF($C223="","(enter date)",_xlfn.LET(_xlpm.dn,_xlfn.XLOOKUP($C223,nrCDdate,nrCDnum,"",1),IF(_xlpm.dn="","(after last class day)",_xlfn.LET(_xlpm.dd,_xlfn.XLOOKUP(_xlpm.dn+cfgMemoDueClassDays,nrCDnum,nrCDdate,""),_xlpm.ok,_xlfn.XLOOKUP(_xlpm.dn+cfgMemoDueClassDays,nrCDnum,nrCDinsession,"No"),IF(OR(_xlpm.dd="",_xlpm.ok&lt;&gt;"Yes"),"(after last class day)",_xlpm.dd))))))</f>
        <v/>
      </c>
      <c r="I223" s="18" t="n"/>
      <c r="J223" s="19">
        <f>IF($D223="","",IF($I223&lt;&gt;"",$I223,IF(ISNUMBER($H223),$H223,"")))</f>
        <v/>
      </c>
      <c r="K223" s="18" t="n"/>
      <c r="L223" s="17">
        <f>IF($D223="","",IF($K223&lt;&gt;"","Received "&amp;TEXT($K223,"mm/dd"),IF(ISNUMBER($J223),IF(TODAY()&gt;$J223,"OVERDUE","Pending"),IF($H223="","Pending","CHECK DATE"))))</f>
        <v/>
      </c>
      <c r="M223" s="16" t="n"/>
      <c r="N223" s="16" t="n"/>
    </row>
    <row r="224">
      <c r="B224" s="17">
        <f>IF($D224="","","ME"&amp;TEXT(ROW()-5,"000"))</f>
        <v/>
      </c>
      <c r="C224" s="18" t="n"/>
      <c r="D224" s="16" t="n"/>
      <c r="E224" s="17">
        <f>IF($D224="","",IFERROR(INDEX(rngCadetPIDs,MATCH($D224,rngCadetNames,0)),"?"))</f>
        <v/>
      </c>
      <c r="F224" s="16" t="n"/>
      <c r="G224" s="16" t="n"/>
      <c r="H224" s="19">
        <f>IF($D224="","",IF($C224="","(enter date)",_xlfn.LET(_xlpm.dn,_xlfn.XLOOKUP($C224,nrCDdate,nrCDnum,"",1),IF(_xlpm.dn="","(after last class day)",_xlfn.LET(_xlpm.dd,_xlfn.XLOOKUP(_xlpm.dn+cfgMemoDueClassDays,nrCDnum,nrCDdate,""),_xlpm.ok,_xlfn.XLOOKUP(_xlpm.dn+cfgMemoDueClassDays,nrCDnum,nrCDinsession,"No"),IF(OR(_xlpm.dd="",_xlpm.ok&lt;&gt;"Yes"),"(after last class day)",_xlpm.dd))))))</f>
        <v/>
      </c>
      <c r="I224" s="18" t="n"/>
      <c r="J224" s="19">
        <f>IF($D224="","",IF($I224&lt;&gt;"",$I224,IF(ISNUMBER($H224),$H224,"")))</f>
        <v/>
      </c>
      <c r="K224" s="18" t="n"/>
      <c r="L224" s="17">
        <f>IF($D224="","",IF($K224&lt;&gt;"","Received "&amp;TEXT($K224,"mm/dd"),IF(ISNUMBER($J224),IF(TODAY()&gt;$J224,"OVERDUE","Pending"),IF($H224="","Pending","CHECK DATE"))))</f>
        <v/>
      </c>
      <c r="M224" s="16" t="n"/>
      <c r="N224" s="16" t="n"/>
    </row>
    <row r="225">
      <c r="B225" s="17">
        <f>IF($D225="","","ME"&amp;TEXT(ROW()-5,"000"))</f>
        <v/>
      </c>
      <c r="C225" s="18" t="n"/>
      <c r="D225" s="16" t="n"/>
      <c r="E225" s="17">
        <f>IF($D225="","",IFERROR(INDEX(rngCadetPIDs,MATCH($D225,rngCadetNames,0)),"?"))</f>
        <v/>
      </c>
      <c r="F225" s="16" t="n"/>
      <c r="G225" s="16" t="n"/>
      <c r="H225" s="19">
        <f>IF($D225="","",IF($C225="","(enter date)",_xlfn.LET(_xlpm.dn,_xlfn.XLOOKUP($C225,nrCDdate,nrCDnum,"",1),IF(_xlpm.dn="","(after last class day)",_xlfn.LET(_xlpm.dd,_xlfn.XLOOKUP(_xlpm.dn+cfgMemoDueClassDays,nrCDnum,nrCDdate,""),_xlpm.ok,_xlfn.XLOOKUP(_xlpm.dn+cfgMemoDueClassDays,nrCDnum,nrCDinsession,"No"),IF(OR(_xlpm.dd="",_xlpm.ok&lt;&gt;"Yes"),"(after last class day)",_xlpm.dd))))))</f>
        <v/>
      </c>
      <c r="I225" s="18" t="n"/>
      <c r="J225" s="19">
        <f>IF($D225="","",IF($I225&lt;&gt;"",$I225,IF(ISNUMBER($H225),$H225,"")))</f>
        <v/>
      </c>
      <c r="K225" s="18" t="n"/>
      <c r="L225" s="17">
        <f>IF($D225="","",IF($K225&lt;&gt;"","Received "&amp;TEXT($K225,"mm/dd"),IF(ISNUMBER($J225),IF(TODAY()&gt;$J225,"OVERDUE","Pending"),IF($H225="","Pending","CHECK DATE"))))</f>
        <v/>
      </c>
      <c r="M225" s="16" t="n"/>
      <c r="N225" s="16" t="n"/>
    </row>
    <row r="226">
      <c r="B226" s="17">
        <f>IF($D226="","","ME"&amp;TEXT(ROW()-5,"000"))</f>
        <v/>
      </c>
      <c r="C226" s="18" t="n"/>
      <c r="D226" s="16" t="n"/>
      <c r="E226" s="17">
        <f>IF($D226="","",IFERROR(INDEX(rngCadetPIDs,MATCH($D226,rngCadetNames,0)),"?"))</f>
        <v/>
      </c>
      <c r="F226" s="16" t="n"/>
      <c r="G226" s="16" t="n"/>
      <c r="H226" s="19">
        <f>IF($D226="","",IF($C226="","(enter date)",_xlfn.LET(_xlpm.dn,_xlfn.XLOOKUP($C226,nrCDdate,nrCDnum,"",1),IF(_xlpm.dn="","(after last class day)",_xlfn.LET(_xlpm.dd,_xlfn.XLOOKUP(_xlpm.dn+cfgMemoDueClassDays,nrCDnum,nrCDdate,""),_xlpm.ok,_xlfn.XLOOKUP(_xlpm.dn+cfgMemoDueClassDays,nrCDnum,nrCDinsession,"No"),IF(OR(_xlpm.dd="",_xlpm.ok&lt;&gt;"Yes"),"(after last class day)",_xlpm.dd))))))</f>
        <v/>
      </c>
      <c r="I226" s="18" t="n"/>
      <c r="J226" s="19">
        <f>IF($D226="","",IF($I226&lt;&gt;"",$I226,IF(ISNUMBER($H226),$H226,"")))</f>
        <v/>
      </c>
      <c r="K226" s="18" t="n"/>
      <c r="L226" s="17">
        <f>IF($D226="","",IF($K226&lt;&gt;"","Received "&amp;TEXT($K226,"mm/dd"),IF(ISNUMBER($J226),IF(TODAY()&gt;$J226,"OVERDUE","Pending"),IF($H226="","Pending","CHECK DATE"))))</f>
        <v/>
      </c>
      <c r="M226" s="16" t="n"/>
      <c r="N226" s="16" t="n"/>
    </row>
    <row r="227">
      <c r="B227" s="17">
        <f>IF($D227="","","ME"&amp;TEXT(ROW()-5,"000"))</f>
        <v/>
      </c>
      <c r="C227" s="18" t="n"/>
      <c r="D227" s="16" t="n"/>
      <c r="E227" s="17">
        <f>IF($D227="","",IFERROR(INDEX(rngCadetPIDs,MATCH($D227,rngCadetNames,0)),"?"))</f>
        <v/>
      </c>
      <c r="F227" s="16" t="n"/>
      <c r="G227" s="16" t="n"/>
      <c r="H227" s="19">
        <f>IF($D227="","",IF($C227="","(enter date)",_xlfn.LET(_xlpm.dn,_xlfn.XLOOKUP($C227,nrCDdate,nrCDnum,"",1),IF(_xlpm.dn="","(after last class day)",_xlfn.LET(_xlpm.dd,_xlfn.XLOOKUP(_xlpm.dn+cfgMemoDueClassDays,nrCDnum,nrCDdate,""),_xlpm.ok,_xlfn.XLOOKUP(_xlpm.dn+cfgMemoDueClassDays,nrCDnum,nrCDinsession,"No"),IF(OR(_xlpm.dd="",_xlpm.ok&lt;&gt;"Yes"),"(after last class day)",_xlpm.dd))))))</f>
        <v/>
      </c>
      <c r="I227" s="18" t="n"/>
      <c r="J227" s="19">
        <f>IF($D227="","",IF($I227&lt;&gt;"",$I227,IF(ISNUMBER($H227),$H227,"")))</f>
        <v/>
      </c>
      <c r="K227" s="18" t="n"/>
      <c r="L227" s="17">
        <f>IF($D227="","",IF($K227&lt;&gt;"","Received "&amp;TEXT($K227,"mm/dd"),IF(ISNUMBER($J227),IF(TODAY()&gt;$J227,"OVERDUE","Pending"),IF($H227="","Pending","CHECK DATE"))))</f>
        <v/>
      </c>
      <c r="M227" s="16" t="n"/>
      <c r="N227" s="16" t="n"/>
    </row>
    <row r="228">
      <c r="B228" s="17">
        <f>IF($D228="","","ME"&amp;TEXT(ROW()-5,"000"))</f>
        <v/>
      </c>
      <c r="C228" s="18" t="n"/>
      <c r="D228" s="16" t="n"/>
      <c r="E228" s="17">
        <f>IF($D228="","",IFERROR(INDEX(rngCadetPIDs,MATCH($D228,rngCadetNames,0)),"?"))</f>
        <v/>
      </c>
      <c r="F228" s="16" t="n"/>
      <c r="G228" s="16" t="n"/>
      <c r="H228" s="19">
        <f>IF($D228="","",IF($C228="","(enter date)",_xlfn.LET(_xlpm.dn,_xlfn.XLOOKUP($C228,nrCDdate,nrCDnum,"",1),IF(_xlpm.dn="","(after last class day)",_xlfn.LET(_xlpm.dd,_xlfn.XLOOKUP(_xlpm.dn+cfgMemoDueClassDays,nrCDnum,nrCDdate,""),_xlpm.ok,_xlfn.XLOOKUP(_xlpm.dn+cfgMemoDueClassDays,nrCDnum,nrCDinsession,"No"),IF(OR(_xlpm.dd="",_xlpm.ok&lt;&gt;"Yes"),"(after last class day)",_xlpm.dd))))))</f>
        <v/>
      </c>
      <c r="I228" s="18" t="n"/>
      <c r="J228" s="19">
        <f>IF($D228="","",IF($I228&lt;&gt;"",$I228,IF(ISNUMBER($H228),$H228,"")))</f>
        <v/>
      </c>
      <c r="K228" s="18" t="n"/>
      <c r="L228" s="17">
        <f>IF($D228="","",IF($K228&lt;&gt;"","Received "&amp;TEXT($K228,"mm/dd"),IF(ISNUMBER($J228),IF(TODAY()&gt;$J228,"OVERDUE","Pending"),IF($H228="","Pending","CHECK DATE"))))</f>
        <v/>
      </c>
      <c r="M228" s="16" t="n"/>
      <c r="N228" s="16" t="n"/>
    </row>
    <row r="229">
      <c r="B229" s="17">
        <f>IF($D229="","","ME"&amp;TEXT(ROW()-5,"000"))</f>
        <v/>
      </c>
      <c r="C229" s="18" t="n"/>
      <c r="D229" s="16" t="n"/>
      <c r="E229" s="17">
        <f>IF($D229="","",IFERROR(INDEX(rngCadetPIDs,MATCH($D229,rngCadetNames,0)),"?"))</f>
        <v/>
      </c>
      <c r="F229" s="16" t="n"/>
      <c r="G229" s="16" t="n"/>
      <c r="H229" s="19">
        <f>IF($D229="","",IF($C229="","(enter date)",_xlfn.LET(_xlpm.dn,_xlfn.XLOOKUP($C229,nrCDdate,nrCDnum,"",1),IF(_xlpm.dn="","(after last class day)",_xlfn.LET(_xlpm.dd,_xlfn.XLOOKUP(_xlpm.dn+cfgMemoDueClassDays,nrCDnum,nrCDdate,""),_xlpm.ok,_xlfn.XLOOKUP(_xlpm.dn+cfgMemoDueClassDays,nrCDnum,nrCDinsession,"No"),IF(OR(_xlpm.dd="",_xlpm.ok&lt;&gt;"Yes"),"(after last class day)",_xlpm.dd))))))</f>
        <v/>
      </c>
      <c r="I229" s="18" t="n"/>
      <c r="J229" s="19">
        <f>IF($D229="","",IF($I229&lt;&gt;"",$I229,IF(ISNUMBER($H229),$H229,"")))</f>
        <v/>
      </c>
      <c r="K229" s="18" t="n"/>
      <c r="L229" s="17">
        <f>IF($D229="","",IF($K229&lt;&gt;"","Received "&amp;TEXT($K229,"mm/dd"),IF(ISNUMBER($J229),IF(TODAY()&gt;$J229,"OVERDUE","Pending"),IF($H229="","Pending","CHECK DATE"))))</f>
        <v/>
      </c>
      <c r="M229" s="16" t="n"/>
      <c r="N229" s="16" t="n"/>
    </row>
    <row r="230">
      <c r="B230" s="17">
        <f>IF($D230="","","ME"&amp;TEXT(ROW()-5,"000"))</f>
        <v/>
      </c>
      <c r="C230" s="18" t="n"/>
      <c r="D230" s="16" t="n"/>
      <c r="E230" s="17">
        <f>IF($D230="","",IFERROR(INDEX(rngCadetPIDs,MATCH($D230,rngCadetNames,0)),"?"))</f>
        <v/>
      </c>
      <c r="F230" s="16" t="n"/>
      <c r="G230" s="16" t="n"/>
      <c r="H230" s="19">
        <f>IF($D230="","",IF($C230="","(enter date)",_xlfn.LET(_xlpm.dn,_xlfn.XLOOKUP($C230,nrCDdate,nrCDnum,"",1),IF(_xlpm.dn="","(after last class day)",_xlfn.LET(_xlpm.dd,_xlfn.XLOOKUP(_xlpm.dn+cfgMemoDueClassDays,nrCDnum,nrCDdate,""),_xlpm.ok,_xlfn.XLOOKUP(_xlpm.dn+cfgMemoDueClassDays,nrCDnum,nrCDinsession,"No"),IF(OR(_xlpm.dd="",_xlpm.ok&lt;&gt;"Yes"),"(after last class day)",_xlpm.dd))))))</f>
        <v/>
      </c>
      <c r="I230" s="18" t="n"/>
      <c r="J230" s="19">
        <f>IF($D230="","",IF($I230&lt;&gt;"",$I230,IF(ISNUMBER($H230),$H230,"")))</f>
        <v/>
      </c>
      <c r="K230" s="18" t="n"/>
      <c r="L230" s="17">
        <f>IF($D230="","",IF($K230&lt;&gt;"","Received "&amp;TEXT($K230,"mm/dd"),IF(ISNUMBER($J230),IF(TODAY()&gt;$J230,"OVERDUE","Pending"),IF($H230="","Pending","CHECK DATE"))))</f>
        <v/>
      </c>
      <c r="M230" s="16" t="n"/>
      <c r="N230" s="16" t="n"/>
    </row>
    <row r="231">
      <c r="B231" s="17">
        <f>IF($D231="","","ME"&amp;TEXT(ROW()-5,"000"))</f>
        <v/>
      </c>
      <c r="C231" s="18" t="n"/>
      <c r="D231" s="16" t="n"/>
      <c r="E231" s="17">
        <f>IF($D231="","",IFERROR(INDEX(rngCadetPIDs,MATCH($D231,rngCadetNames,0)),"?"))</f>
        <v/>
      </c>
      <c r="F231" s="16" t="n"/>
      <c r="G231" s="16" t="n"/>
      <c r="H231" s="19">
        <f>IF($D231="","",IF($C231="","(enter date)",_xlfn.LET(_xlpm.dn,_xlfn.XLOOKUP($C231,nrCDdate,nrCDnum,"",1),IF(_xlpm.dn="","(after last class day)",_xlfn.LET(_xlpm.dd,_xlfn.XLOOKUP(_xlpm.dn+cfgMemoDueClassDays,nrCDnum,nrCDdate,""),_xlpm.ok,_xlfn.XLOOKUP(_xlpm.dn+cfgMemoDueClassDays,nrCDnum,nrCDinsession,"No"),IF(OR(_xlpm.dd="",_xlpm.ok&lt;&gt;"Yes"),"(after last class day)",_xlpm.dd))))))</f>
        <v/>
      </c>
      <c r="I231" s="18" t="n"/>
      <c r="J231" s="19">
        <f>IF($D231="","",IF($I231&lt;&gt;"",$I231,IF(ISNUMBER($H231),$H231,"")))</f>
        <v/>
      </c>
      <c r="K231" s="18" t="n"/>
      <c r="L231" s="17">
        <f>IF($D231="","",IF($K231&lt;&gt;"","Received "&amp;TEXT($K231,"mm/dd"),IF(ISNUMBER($J231),IF(TODAY()&gt;$J231,"OVERDUE","Pending"),IF($H231="","Pending","CHECK DATE"))))</f>
        <v/>
      </c>
      <c r="M231" s="16" t="n"/>
      <c r="N231" s="16" t="n"/>
    </row>
    <row r="232">
      <c r="B232" s="17">
        <f>IF($D232="","","ME"&amp;TEXT(ROW()-5,"000"))</f>
        <v/>
      </c>
      <c r="C232" s="18" t="n"/>
      <c r="D232" s="16" t="n"/>
      <c r="E232" s="17">
        <f>IF($D232="","",IFERROR(INDEX(rngCadetPIDs,MATCH($D232,rngCadetNames,0)),"?"))</f>
        <v/>
      </c>
      <c r="F232" s="16" t="n"/>
      <c r="G232" s="16" t="n"/>
      <c r="H232" s="19">
        <f>IF($D232="","",IF($C232="","(enter date)",_xlfn.LET(_xlpm.dn,_xlfn.XLOOKUP($C232,nrCDdate,nrCDnum,"",1),IF(_xlpm.dn="","(after last class day)",_xlfn.LET(_xlpm.dd,_xlfn.XLOOKUP(_xlpm.dn+cfgMemoDueClassDays,nrCDnum,nrCDdate,""),_xlpm.ok,_xlfn.XLOOKUP(_xlpm.dn+cfgMemoDueClassDays,nrCDnum,nrCDinsession,"No"),IF(OR(_xlpm.dd="",_xlpm.ok&lt;&gt;"Yes"),"(after last class day)",_xlpm.dd))))))</f>
        <v/>
      </c>
      <c r="I232" s="18" t="n"/>
      <c r="J232" s="19">
        <f>IF($D232="","",IF($I232&lt;&gt;"",$I232,IF(ISNUMBER($H232),$H232,"")))</f>
        <v/>
      </c>
      <c r="K232" s="18" t="n"/>
      <c r="L232" s="17">
        <f>IF($D232="","",IF($K232&lt;&gt;"","Received "&amp;TEXT($K232,"mm/dd"),IF(ISNUMBER($J232),IF(TODAY()&gt;$J232,"OVERDUE","Pending"),IF($H232="","Pending","CHECK DATE"))))</f>
        <v/>
      </c>
      <c r="M232" s="16" t="n"/>
      <c r="N232" s="16" t="n"/>
    </row>
    <row r="233">
      <c r="B233" s="17">
        <f>IF($D233="","","ME"&amp;TEXT(ROW()-5,"000"))</f>
        <v/>
      </c>
      <c r="C233" s="18" t="n"/>
      <c r="D233" s="16" t="n"/>
      <c r="E233" s="17">
        <f>IF($D233="","",IFERROR(INDEX(rngCadetPIDs,MATCH($D233,rngCadetNames,0)),"?"))</f>
        <v/>
      </c>
      <c r="F233" s="16" t="n"/>
      <c r="G233" s="16" t="n"/>
      <c r="H233" s="19">
        <f>IF($D233="","",IF($C233="","(enter date)",_xlfn.LET(_xlpm.dn,_xlfn.XLOOKUP($C233,nrCDdate,nrCDnum,"",1),IF(_xlpm.dn="","(after last class day)",_xlfn.LET(_xlpm.dd,_xlfn.XLOOKUP(_xlpm.dn+cfgMemoDueClassDays,nrCDnum,nrCDdate,""),_xlpm.ok,_xlfn.XLOOKUP(_xlpm.dn+cfgMemoDueClassDays,nrCDnum,nrCDinsession,"No"),IF(OR(_xlpm.dd="",_xlpm.ok&lt;&gt;"Yes"),"(after last class day)",_xlpm.dd))))))</f>
        <v/>
      </c>
      <c r="I233" s="18" t="n"/>
      <c r="J233" s="19">
        <f>IF($D233="","",IF($I233&lt;&gt;"",$I233,IF(ISNUMBER($H233),$H233,"")))</f>
        <v/>
      </c>
      <c r="K233" s="18" t="n"/>
      <c r="L233" s="17">
        <f>IF($D233="","",IF($K233&lt;&gt;"","Received "&amp;TEXT($K233,"mm/dd"),IF(ISNUMBER($J233),IF(TODAY()&gt;$J233,"OVERDUE","Pending"),IF($H233="","Pending","CHECK DATE"))))</f>
        <v/>
      </c>
      <c r="M233" s="16" t="n"/>
      <c r="N233" s="16" t="n"/>
    </row>
    <row r="234">
      <c r="B234" s="17">
        <f>IF($D234="","","ME"&amp;TEXT(ROW()-5,"000"))</f>
        <v/>
      </c>
      <c r="C234" s="18" t="n"/>
      <c r="D234" s="16" t="n"/>
      <c r="E234" s="17">
        <f>IF($D234="","",IFERROR(INDEX(rngCadetPIDs,MATCH($D234,rngCadetNames,0)),"?"))</f>
        <v/>
      </c>
      <c r="F234" s="16" t="n"/>
      <c r="G234" s="16" t="n"/>
      <c r="H234" s="19">
        <f>IF($D234="","",IF($C234="","(enter date)",_xlfn.LET(_xlpm.dn,_xlfn.XLOOKUP($C234,nrCDdate,nrCDnum,"",1),IF(_xlpm.dn="","(after last class day)",_xlfn.LET(_xlpm.dd,_xlfn.XLOOKUP(_xlpm.dn+cfgMemoDueClassDays,nrCDnum,nrCDdate,""),_xlpm.ok,_xlfn.XLOOKUP(_xlpm.dn+cfgMemoDueClassDays,nrCDnum,nrCDinsession,"No"),IF(OR(_xlpm.dd="",_xlpm.ok&lt;&gt;"Yes"),"(after last class day)",_xlpm.dd))))))</f>
        <v/>
      </c>
      <c r="I234" s="18" t="n"/>
      <c r="J234" s="19">
        <f>IF($D234="","",IF($I234&lt;&gt;"",$I234,IF(ISNUMBER($H234),$H234,"")))</f>
        <v/>
      </c>
      <c r="K234" s="18" t="n"/>
      <c r="L234" s="17">
        <f>IF($D234="","",IF($K234&lt;&gt;"","Received "&amp;TEXT($K234,"mm/dd"),IF(ISNUMBER($J234),IF(TODAY()&gt;$J234,"OVERDUE","Pending"),IF($H234="","Pending","CHECK DATE"))))</f>
        <v/>
      </c>
      <c r="M234" s="16" t="n"/>
      <c r="N234" s="16" t="n"/>
    </row>
    <row r="235">
      <c r="B235" s="17">
        <f>IF($D235="","","ME"&amp;TEXT(ROW()-5,"000"))</f>
        <v/>
      </c>
      <c r="C235" s="18" t="n"/>
      <c r="D235" s="16" t="n"/>
      <c r="E235" s="17">
        <f>IF($D235="","",IFERROR(INDEX(rngCadetPIDs,MATCH($D235,rngCadetNames,0)),"?"))</f>
        <v/>
      </c>
      <c r="F235" s="16" t="n"/>
      <c r="G235" s="16" t="n"/>
      <c r="H235" s="19">
        <f>IF($D235="","",IF($C235="","(enter date)",_xlfn.LET(_xlpm.dn,_xlfn.XLOOKUP($C235,nrCDdate,nrCDnum,"",1),IF(_xlpm.dn="","(after last class day)",_xlfn.LET(_xlpm.dd,_xlfn.XLOOKUP(_xlpm.dn+cfgMemoDueClassDays,nrCDnum,nrCDdate,""),_xlpm.ok,_xlfn.XLOOKUP(_xlpm.dn+cfgMemoDueClassDays,nrCDnum,nrCDinsession,"No"),IF(OR(_xlpm.dd="",_xlpm.ok&lt;&gt;"Yes"),"(after last class day)",_xlpm.dd))))))</f>
        <v/>
      </c>
      <c r="I235" s="18" t="n"/>
      <c r="J235" s="19">
        <f>IF($D235="","",IF($I235&lt;&gt;"",$I235,IF(ISNUMBER($H235),$H235,"")))</f>
        <v/>
      </c>
      <c r="K235" s="18" t="n"/>
      <c r="L235" s="17">
        <f>IF($D235="","",IF($K235&lt;&gt;"","Received "&amp;TEXT($K235,"mm/dd"),IF(ISNUMBER($J235),IF(TODAY()&gt;$J235,"OVERDUE","Pending"),IF($H235="","Pending","CHECK DATE"))))</f>
        <v/>
      </c>
      <c r="M235" s="16" t="n"/>
      <c r="N235" s="16" t="n"/>
    </row>
    <row r="236">
      <c r="B236" s="17">
        <f>IF($D236="","","ME"&amp;TEXT(ROW()-5,"000"))</f>
        <v/>
      </c>
      <c r="C236" s="18" t="n"/>
      <c r="D236" s="16" t="n"/>
      <c r="E236" s="17">
        <f>IF($D236="","",IFERROR(INDEX(rngCadetPIDs,MATCH($D236,rngCadetNames,0)),"?"))</f>
        <v/>
      </c>
      <c r="F236" s="16" t="n"/>
      <c r="G236" s="16" t="n"/>
      <c r="H236" s="19">
        <f>IF($D236="","",IF($C236="","(enter date)",_xlfn.LET(_xlpm.dn,_xlfn.XLOOKUP($C236,nrCDdate,nrCDnum,"",1),IF(_xlpm.dn="","(after last class day)",_xlfn.LET(_xlpm.dd,_xlfn.XLOOKUP(_xlpm.dn+cfgMemoDueClassDays,nrCDnum,nrCDdate,""),_xlpm.ok,_xlfn.XLOOKUP(_xlpm.dn+cfgMemoDueClassDays,nrCDnum,nrCDinsession,"No"),IF(OR(_xlpm.dd="",_xlpm.ok&lt;&gt;"Yes"),"(after last class day)",_xlpm.dd))))))</f>
        <v/>
      </c>
      <c r="I236" s="18" t="n"/>
      <c r="J236" s="19">
        <f>IF($D236="","",IF($I236&lt;&gt;"",$I236,IF(ISNUMBER($H236),$H236,"")))</f>
        <v/>
      </c>
      <c r="K236" s="18" t="n"/>
      <c r="L236" s="17">
        <f>IF($D236="","",IF($K236&lt;&gt;"","Received "&amp;TEXT($K236,"mm/dd"),IF(ISNUMBER($J236),IF(TODAY()&gt;$J236,"OVERDUE","Pending"),IF($H236="","Pending","CHECK DATE"))))</f>
        <v/>
      </c>
      <c r="M236" s="16" t="n"/>
      <c r="N236" s="16" t="n"/>
    </row>
    <row r="237">
      <c r="B237" s="17">
        <f>IF($D237="","","ME"&amp;TEXT(ROW()-5,"000"))</f>
        <v/>
      </c>
      <c r="C237" s="18" t="n"/>
      <c r="D237" s="16" t="n"/>
      <c r="E237" s="17">
        <f>IF($D237="","",IFERROR(INDEX(rngCadetPIDs,MATCH($D237,rngCadetNames,0)),"?"))</f>
        <v/>
      </c>
      <c r="F237" s="16" t="n"/>
      <c r="G237" s="16" t="n"/>
      <c r="H237" s="19">
        <f>IF($D237="","",IF($C237="","(enter date)",_xlfn.LET(_xlpm.dn,_xlfn.XLOOKUP($C237,nrCDdate,nrCDnum,"",1),IF(_xlpm.dn="","(after last class day)",_xlfn.LET(_xlpm.dd,_xlfn.XLOOKUP(_xlpm.dn+cfgMemoDueClassDays,nrCDnum,nrCDdate,""),_xlpm.ok,_xlfn.XLOOKUP(_xlpm.dn+cfgMemoDueClassDays,nrCDnum,nrCDinsession,"No"),IF(OR(_xlpm.dd="",_xlpm.ok&lt;&gt;"Yes"),"(after last class day)",_xlpm.dd))))))</f>
        <v/>
      </c>
      <c r="I237" s="18" t="n"/>
      <c r="J237" s="19">
        <f>IF($D237="","",IF($I237&lt;&gt;"",$I237,IF(ISNUMBER($H237),$H237,"")))</f>
        <v/>
      </c>
      <c r="K237" s="18" t="n"/>
      <c r="L237" s="17">
        <f>IF($D237="","",IF($K237&lt;&gt;"","Received "&amp;TEXT($K237,"mm/dd"),IF(ISNUMBER($J237),IF(TODAY()&gt;$J237,"OVERDUE","Pending"),IF($H237="","Pending","CHECK DATE"))))</f>
        <v/>
      </c>
      <c r="M237" s="16" t="n"/>
      <c r="N237" s="16" t="n"/>
    </row>
    <row r="238">
      <c r="B238" s="17">
        <f>IF($D238="","","ME"&amp;TEXT(ROW()-5,"000"))</f>
        <v/>
      </c>
      <c r="C238" s="18" t="n"/>
      <c r="D238" s="16" t="n"/>
      <c r="E238" s="17">
        <f>IF($D238="","",IFERROR(INDEX(rngCadetPIDs,MATCH($D238,rngCadetNames,0)),"?"))</f>
        <v/>
      </c>
      <c r="F238" s="16" t="n"/>
      <c r="G238" s="16" t="n"/>
      <c r="H238" s="19">
        <f>IF($D238="","",IF($C238="","(enter date)",_xlfn.LET(_xlpm.dn,_xlfn.XLOOKUP($C238,nrCDdate,nrCDnum,"",1),IF(_xlpm.dn="","(after last class day)",_xlfn.LET(_xlpm.dd,_xlfn.XLOOKUP(_xlpm.dn+cfgMemoDueClassDays,nrCDnum,nrCDdate,""),_xlpm.ok,_xlfn.XLOOKUP(_xlpm.dn+cfgMemoDueClassDays,nrCDnum,nrCDinsession,"No"),IF(OR(_xlpm.dd="",_xlpm.ok&lt;&gt;"Yes"),"(after last class day)",_xlpm.dd))))))</f>
        <v/>
      </c>
      <c r="I238" s="18" t="n"/>
      <c r="J238" s="19">
        <f>IF($D238="","",IF($I238&lt;&gt;"",$I238,IF(ISNUMBER($H238),$H238,"")))</f>
        <v/>
      </c>
      <c r="K238" s="18" t="n"/>
      <c r="L238" s="17">
        <f>IF($D238="","",IF($K238&lt;&gt;"","Received "&amp;TEXT($K238,"mm/dd"),IF(ISNUMBER($J238),IF(TODAY()&gt;$J238,"OVERDUE","Pending"),IF($H238="","Pending","CHECK DATE"))))</f>
        <v/>
      </c>
      <c r="M238" s="16" t="n"/>
      <c r="N238" s="16" t="n"/>
    </row>
    <row r="239">
      <c r="B239" s="17">
        <f>IF($D239="","","ME"&amp;TEXT(ROW()-5,"000"))</f>
        <v/>
      </c>
      <c r="C239" s="18" t="n"/>
      <c r="D239" s="16" t="n"/>
      <c r="E239" s="17">
        <f>IF($D239="","",IFERROR(INDEX(rngCadetPIDs,MATCH($D239,rngCadetNames,0)),"?"))</f>
        <v/>
      </c>
      <c r="F239" s="16" t="n"/>
      <c r="G239" s="16" t="n"/>
      <c r="H239" s="19">
        <f>IF($D239="","",IF($C239="","(enter date)",_xlfn.LET(_xlpm.dn,_xlfn.XLOOKUP($C239,nrCDdate,nrCDnum,"",1),IF(_xlpm.dn="","(after last class day)",_xlfn.LET(_xlpm.dd,_xlfn.XLOOKUP(_xlpm.dn+cfgMemoDueClassDays,nrCDnum,nrCDdate,""),_xlpm.ok,_xlfn.XLOOKUP(_xlpm.dn+cfgMemoDueClassDays,nrCDnum,nrCDinsession,"No"),IF(OR(_xlpm.dd="",_xlpm.ok&lt;&gt;"Yes"),"(after last class day)",_xlpm.dd))))))</f>
        <v/>
      </c>
      <c r="I239" s="18" t="n"/>
      <c r="J239" s="19">
        <f>IF($D239="","",IF($I239&lt;&gt;"",$I239,IF(ISNUMBER($H239),$H239,"")))</f>
        <v/>
      </c>
      <c r="K239" s="18" t="n"/>
      <c r="L239" s="17">
        <f>IF($D239="","",IF($K239&lt;&gt;"","Received "&amp;TEXT($K239,"mm/dd"),IF(ISNUMBER($J239),IF(TODAY()&gt;$J239,"OVERDUE","Pending"),IF($H239="","Pending","CHECK DATE"))))</f>
        <v/>
      </c>
      <c r="M239" s="16" t="n"/>
      <c r="N239" s="16" t="n"/>
    </row>
    <row r="240">
      <c r="B240" s="17">
        <f>IF($D240="","","ME"&amp;TEXT(ROW()-5,"000"))</f>
        <v/>
      </c>
      <c r="C240" s="18" t="n"/>
      <c r="D240" s="16" t="n"/>
      <c r="E240" s="17">
        <f>IF($D240="","",IFERROR(INDEX(rngCadetPIDs,MATCH($D240,rngCadetNames,0)),"?"))</f>
        <v/>
      </c>
      <c r="F240" s="16" t="n"/>
      <c r="G240" s="16" t="n"/>
      <c r="H240" s="19">
        <f>IF($D240="","",IF($C240="","(enter date)",_xlfn.LET(_xlpm.dn,_xlfn.XLOOKUP($C240,nrCDdate,nrCDnum,"",1),IF(_xlpm.dn="","(after last class day)",_xlfn.LET(_xlpm.dd,_xlfn.XLOOKUP(_xlpm.dn+cfgMemoDueClassDays,nrCDnum,nrCDdate,""),_xlpm.ok,_xlfn.XLOOKUP(_xlpm.dn+cfgMemoDueClassDays,nrCDnum,nrCDinsession,"No"),IF(OR(_xlpm.dd="",_xlpm.ok&lt;&gt;"Yes"),"(after last class day)",_xlpm.dd))))))</f>
        <v/>
      </c>
      <c r="I240" s="18" t="n"/>
      <c r="J240" s="19">
        <f>IF($D240="","",IF($I240&lt;&gt;"",$I240,IF(ISNUMBER($H240),$H240,"")))</f>
        <v/>
      </c>
      <c r="K240" s="18" t="n"/>
      <c r="L240" s="17">
        <f>IF($D240="","",IF($K240&lt;&gt;"","Received "&amp;TEXT($K240,"mm/dd"),IF(ISNUMBER($J240),IF(TODAY()&gt;$J240,"OVERDUE","Pending"),IF($H240="","Pending","CHECK DATE"))))</f>
        <v/>
      </c>
      <c r="M240" s="16" t="n"/>
      <c r="N240" s="16" t="n"/>
    </row>
    <row r="241">
      <c r="B241" s="17">
        <f>IF($D241="","","ME"&amp;TEXT(ROW()-5,"000"))</f>
        <v/>
      </c>
      <c r="C241" s="18" t="n"/>
      <c r="D241" s="16" t="n"/>
      <c r="E241" s="17">
        <f>IF($D241="","",IFERROR(INDEX(rngCadetPIDs,MATCH($D241,rngCadetNames,0)),"?"))</f>
        <v/>
      </c>
      <c r="F241" s="16" t="n"/>
      <c r="G241" s="16" t="n"/>
      <c r="H241" s="19">
        <f>IF($D241="","",IF($C241="","(enter date)",_xlfn.LET(_xlpm.dn,_xlfn.XLOOKUP($C241,nrCDdate,nrCDnum,"",1),IF(_xlpm.dn="","(after last class day)",_xlfn.LET(_xlpm.dd,_xlfn.XLOOKUP(_xlpm.dn+cfgMemoDueClassDays,nrCDnum,nrCDdate,""),_xlpm.ok,_xlfn.XLOOKUP(_xlpm.dn+cfgMemoDueClassDays,nrCDnum,nrCDinsession,"No"),IF(OR(_xlpm.dd="",_xlpm.ok&lt;&gt;"Yes"),"(after last class day)",_xlpm.dd))))))</f>
        <v/>
      </c>
      <c r="I241" s="18" t="n"/>
      <c r="J241" s="19">
        <f>IF($D241="","",IF($I241&lt;&gt;"",$I241,IF(ISNUMBER($H241),$H241,"")))</f>
        <v/>
      </c>
      <c r="K241" s="18" t="n"/>
      <c r="L241" s="17">
        <f>IF($D241="","",IF($K241&lt;&gt;"","Received "&amp;TEXT($K241,"mm/dd"),IF(ISNUMBER($J241),IF(TODAY()&gt;$J241,"OVERDUE","Pending"),IF($H241="","Pending","CHECK DATE"))))</f>
        <v/>
      </c>
      <c r="M241" s="16" t="n"/>
      <c r="N241" s="16" t="n"/>
    </row>
    <row r="242">
      <c r="B242" s="17">
        <f>IF($D242="","","ME"&amp;TEXT(ROW()-5,"000"))</f>
        <v/>
      </c>
      <c r="C242" s="18" t="n"/>
      <c r="D242" s="16" t="n"/>
      <c r="E242" s="17">
        <f>IF($D242="","",IFERROR(INDEX(rngCadetPIDs,MATCH($D242,rngCadetNames,0)),"?"))</f>
        <v/>
      </c>
      <c r="F242" s="16" t="n"/>
      <c r="G242" s="16" t="n"/>
      <c r="H242" s="19">
        <f>IF($D242="","",IF($C242="","(enter date)",_xlfn.LET(_xlpm.dn,_xlfn.XLOOKUP($C242,nrCDdate,nrCDnum,"",1),IF(_xlpm.dn="","(after last class day)",_xlfn.LET(_xlpm.dd,_xlfn.XLOOKUP(_xlpm.dn+cfgMemoDueClassDays,nrCDnum,nrCDdate,""),_xlpm.ok,_xlfn.XLOOKUP(_xlpm.dn+cfgMemoDueClassDays,nrCDnum,nrCDinsession,"No"),IF(OR(_xlpm.dd="",_xlpm.ok&lt;&gt;"Yes"),"(after last class day)",_xlpm.dd))))))</f>
        <v/>
      </c>
      <c r="I242" s="18" t="n"/>
      <c r="J242" s="19">
        <f>IF($D242="","",IF($I242&lt;&gt;"",$I242,IF(ISNUMBER($H242),$H242,"")))</f>
        <v/>
      </c>
      <c r="K242" s="18" t="n"/>
      <c r="L242" s="17">
        <f>IF($D242="","",IF($K242&lt;&gt;"","Received "&amp;TEXT($K242,"mm/dd"),IF(ISNUMBER($J242),IF(TODAY()&gt;$J242,"OVERDUE","Pending"),IF($H242="","Pending","CHECK DATE"))))</f>
        <v/>
      </c>
      <c r="M242" s="16" t="n"/>
      <c r="N242" s="16" t="n"/>
    </row>
    <row r="243">
      <c r="B243" s="17">
        <f>IF($D243="","","ME"&amp;TEXT(ROW()-5,"000"))</f>
        <v/>
      </c>
      <c r="C243" s="18" t="n"/>
      <c r="D243" s="16" t="n"/>
      <c r="E243" s="17">
        <f>IF($D243="","",IFERROR(INDEX(rngCadetPIDs,MATCH($D243,rngCadetNames,0)),"?"))</f>
        <v/>
      </c>
      <c r="F243" s="16" t="n"/>
      <c r="G243" s="16" t="n"/>
      <c r="H243" s="19">
        <f>IF($D243="","",IF($C243="","(enter date)",_xlfn.LET(_xlpm.dn,_xlfn.XLOOKUP($C243,nrCDdate,nrCDnum,"",1),IF(_xlpm.dn="","(after last class day)",_xlfn.LET(_xlpm.dd,_xlfn.XLOOKUP(_xlpm.dn+cfgMemoDueClassDays,nrCDnum,nrCDdate,""),_xlpm.ok,_xlfn.XLOOKUP(_xlpm.dn+cfgMemoDueClassDays,nrCDnum,nrCDinsession,"No"),IF(OR(_xlpm.dd="",_xlpm.ok&lt;&gt;"Yes"),"(after last class day)",_xlpm.dd))))))</f>
        <v/>
      </c>
      <c r="I243" s="18" t="n"/>
      <c r="J243" s="19">
        <f>IF($D243="","",IF($I243&lt;&gt;"",$I243,IF(ISNUMBER($H243),$H243,"")))</f>
        <v/>
      </c>
      <c r="K243" s="18" t="n"/>
      <c r="L243" s="17">
        <f>IF($D243="","",IF($K243&lt;&gt;"","Received "&amp;TEXT($K243,"mm/dd"),IF(ISNUMBER($J243),IF(TODAY()&gt;$J243,"OVERDUE","Pending"),IF($H243="","Pending","CHECK DATE"))))</f>
        <v/>
      </c>
      <c r="M243" s="16" t="n"/>
      <c r="N243" s="16" t="n"/>
    </row>
    <row r="244">
      <c r="B244" s="17">
        <f>IF($D244="","","ME"&amp;TEXT(ROW()-5,"000"))</f>
        <v/>
      </c>
      <c r="C244" s="18" t="n"/>
      <c r="D244" s="16" t="n"/>
      <c r="E244" s="17">
        <f>IF($D244="","",IFERROR(INDEX(rngCadetPIDs,MATCH($D244,rngCadetNames,0)),"?"))</f>
        <v/>
      </c>
      <c r="F244" s="16" t="n"/>
      <c r="G244" s="16" t="n"/>
      <c r="H244" s="19">
        <f>IF($D244="","",IF($C244="","(enter date)",_xlfn.LET(_xlpm.dn,_xlfn.XLOOKUP($C244,nrCDdate,nrCDnum,"",1),IF(_xlpm.dn="","(after last class day)",_xlfn.LET(_xlpm.dd,_xlfn.XLOOKUP(_xlpm.dn+cfgMemoDueClassDays,nrCDnum,nrCDdate,""),_xlpm.ok,_xlfn.XLOOKUP(_xlpm.dn+cfgMemoDueClassDays,nrCDnum,nrCDinsession,"No"),IF(OR(_xlpm.dd="",_xlpm.ok&lt;&gt;"Yes"),"(after last class day)",_xlpm.dd))))))</f>
        <v/>
      </c>
      <c r="I244" s="18" t="n"/>
      <c r="J244" s="19">
        <f>IF($D244="","",IF($I244&lt;&gt;"",$I244,IF(ISNUMBER($H244),$H244,"")))</f>
        <v/>
      </c>
      <c r="K244" s="18" t="n"/>
      <c r="L244" s="17">
        <f>IF($D244="","",IF($K244&lt;&gt;"","Received "&amp;TEXT($K244,"mm/dd"),IF(ISNUMBER($J244),IF(TODAY()&gt;$J244,"OVERDUE","Pending"),IF($H244="","Pending","CHECK DATE"))))</f>
        <v/>
      </c>
      <c r="M244" s="16" t="n"/>
      <c r="N244" s="16" t="n"/>
    </row>
    <row r="245">
      <c r="B245" s="17">
        <f>IF($D245="","","ME"&amp;TEXT(ROW()-5,"000"))</f>
        <v/>
      </c>
      <c r="C245" s="18" t="n"/>
      <c r="D245" s="16" t="n"/>
      <c r="E245" s="17">
        <f>IF($D245="","",IFERROR(INDEX(rngCadetPIDs,MATCH($D245,rngCadetNames,0)),"?"))</f>
        <v/>
      </c>
      <c r="F245" s="16" t="n"/>
      <c r="G245" s="16" t="n"/>
      <c r="H245" s="19">
        <f>IF($D245="","",IF($C245="","(enter date)",_xlfn.LET(_xlpm.dn,_xlfn.XLOOKUP($C245,nrCDdate,nrCDnum,"",1),IF(_xlpm.dn="","(after last class day)",_xlfn.LET(_xlpm.dd,_xlfn.XLOOKUP(_xlpm.dn+cfgMemoDueClassDays,nrCDnum,nrCDdate,""),_xlpm.ok,_xlfn.XLOOKUP(_xlpm.dn+cfgMemoDueClassDays,nrCDnum,nrCDinsession,"No"),IF(OR(_xlpm.dd="",_xlpm.ok&lt;&gt;"Yes"),"(after last class day)",_xlpm.dd))))))</f>
        <v/>
      </c>
      <c r="I245" s="18" t="n"/>
      <c r="J245" s="19">
        <f>IF($D245="","",IF($I245&lt;&gt;"",$I245,IF(ISNUMBER($H245),$H245,"")))</f>
        <v/>
      </c>
      <c r="K245" s="18" t="n"/>
      <c r="L245" s="17">
        <f>IF($D245="","",IF($K245&lt;&gt;"","Received "&amp;TEXT($K245,"mm/dd"),IF(ISNUMBER($J245),IF(TODAY()&gt;$J245,"OVERDUE","Pending"),IF($H245="","Pending","CHECK DATE"))))</f>
        <v/>
      </c>
      <c r="M245" s="16" t="n"/>
      <c r="N245" s="16" t="n"/>
    </row>
    <row r="246">
      <c r="B246" s="17">
        <f>IF($D246="","","ME"&amp;TEXT(ROW()-5,"000"))</f>
        <v/>
      </c>
      <c r="C246" s="18" t="n"/>
      <c r="D246" s="16" t="n"/>
      <c r="E246" s="17">
        <f>IF($D246="","",IFERROR(INDEX(rngCadetPIDs,MATCH($D246,rngCadetNames,0)),"?"))</f>
        <v/>
      </c>
      <c r="F246" s="16" t="n"/>
      <c r="G246" s="16" t="n"/>
      <c r="H246" s="19">
        <f>IF($D246="","",IF($C246="","(enter date)",_xlfn.LET(_xlpm.dn,_xlfn.XLOOKUP($C246,nrCDdate,nrCDnum,"",1),IF(_xlpm.dn="","(after last class day)",_xlfn.LET(_xlpm.dd,_xlfn.XLOOKUP(_xlpm.dn+cfgMemoDueClassDays,nrCDnum,nrCDdate,""),_xlpm.ok,_xlfn.XLOOKUP(_xlpm.dn+cfgMemoDueClassDays,nrCDnum,nrCDinsession,"No"),IF(OR(_xlpm.dd="",_xlpm.ok&lt;&gt;"Yes"),"(after last class day)",_xlpm.dd))))))</f>
        <v/>
      </c>
      <c r="I246" s="18" t="n"/>
      <c r="J246" s="19">
        <f>IF($D246="","",IF($I246&lt;&gt;"",$I246,IF(ISNUMBER($H246),$H246,"")))</f>
        <v/>
      </c>
      <c r="K246" s="18" t="n"/>
      <c r="L246" s="17">
        <f>IF($D246="","",IF($K246&lt;&gt;"","Received "&amp;TEXT($K246,"mm/dd"),IF(ISNUMBER($J246),IF(TODAY()&gt;$J246,"OVERDUE","Pending"),IF($H246="","Pending","CHECK DATE"))))</f>
        <v/>
      </c>
      <c r="M246" s="16" t="n"/>
      <c r="N246" s="16" t="n"/>
    </row>
    <row r="247">
      <c r="B247" s="17">
        <f>IF($D247="","","ME"&amp;TEXT(ROW()-5,"000"))</f>
        <v/>
      </c>
      <c r="C247" s="18" t="n"/>
      <c r="D247" s="16" t="n"/>
      <c r="E247" s="17">
        <f>IF($D247="","",IFERROR(INDEX(rngCadetPIDs,MATCH($D247,rngCadetNames,0)),"?"))</f>
        <v/>
      </c>
      <c r="F247" s="16" t="n"/>
      <c r="G247" s="16" t="n"/>
      <c r="H247" s="19">
        <f>IF($D247="","",IF($C247="","(enter date)",_xlfn.LET(_xlpm.dn,_xlfn.XLOOKUP($C247,nrCDdate,nrCDnum,"",1),IF(_xlpm.dn="","(after last class day)",_xlfn.LET(_xlpm.dd,_xlfn.XLOOKUP(_xlpm.dn+cfgMemoDueClassDays,nrCDnum,nrCDdate,""),_xlpm.ok,_xlfn.XLOOKUP(_xlpm.dn+cfgMemoDueClassDays,nrCDnum,nrCDinsession,"No"),IF(OR(_xlpm.dd="",_xlpm.ok&lt;&gt;"Yes"),"(after last class day)",_xlpm.dd))))))</f>
        <v/>
      </c>
      <c r="I247" s="18" t="n"/>
      <c r="J247" s="19">
        <f>IF($D247="","",IF($I247&lt;&gt;"",$I247,IF(ISNUMBER($H247),$H247,"")))</f>
        <v/>
      </c>
      <c r="K247" s="18" t="n"/>
      <c r="L247" s="17">
        <f>IF($D247="","",IF($K247&lt;&gt;"","Received "&amp;TEXT($K247,"mm/dd"),IF(ISNUMBER($J247),IF(TODAY()&gt;$J247,"OVERDUE","Pending"),IF($H247="","Pending","CHECK DATE"))))</f>
        <v/>
      </c>
      <c r="M247" s="16" t="n"/>
      <c r="N247" s="16" t="n"/>
    </row>
    <row r="248">
      <c r="B248" s="17">
        <f>IF($D248="","","ME"&amp;TEXT(ROW()-5,"000"))</f>
        <v/>
      </c>
      <c r="C248" s="18" t="n"/>
      <c r="D248" s="16" t="n"/>
      <c r="E248" s="17">
        <f>IF($D248="","",IFERROR(INDEX(rngCadetPIDs,MATCH($D248,rngCadetNames,0)),"?"))</f>
        <v/>
      </c>
      <c r="F248" s="16" t="n"/>
      <c r="G248" s="16" t="n"/>
      <c r="H248" s="19">
        <f>IF($D248="","",IF($C248="","(enter date)",_xlfn.LET(_xlpm.dn,_xlfn.XLOOKUP($C248,nrCDdate,nrCDnum,"",1),IF(_xlpm.dn="","(after last class day)",_xlfn.LET(_xlpm.dd,_xlfn.XLOOKUP(_xlpm.dn+cfgMemoDueClassDays,nrCDnum,nrCDdate,""),_xlpm.ok,_xlfn.XLOOKUP(_xlpm.dn+cfgMemoDueClassDays,nrCDnum,nrCDinsession,"No"),IF(OR(_xlpm.dd="",_xlpm.ok&lt;&gt;"Yes"),"(after last class day)",_xlpm.dd))))))</f>
        <v/>
      </c>
      <c r="I248" s="18" t="n"/>
      <c r="J248" s="19">
        <f>IF($D248="","",IF($I248&lt;&gt;"",$I248,IF(ISNUMBER($H248),$H248,"")))</f>
        <v/>
      </c>
      <c r="K248" s="18" t="n"/>
      <c r="L248" s="17">
        <f>IF($D248="","",IF($K248&lt;&gt;"","Received "&amp;TEXT($K248,"mm/dd"),IF(ISNUMBER($J248),IF(TODAY()&gt;$J248,"OVERDUE","Pending"),IF($H248="","Pending","CHECK DATE"))))</f>
        <v/>
      </c>
      <c r="M248" s="16" t="n"/>
      <c r="N248" s="16" t="n"/>
    </row>
    <row r="249">
      <c r="B249" s="17">
        <f>IF($D249="","","ME"&amp;TEXT(ROW()-5,"000"))</f>
        <v/>
      </c>
      <c r="C249" s="18" t="n"/>
      <c r="D249" s="16" t="n"/>
      <c r="E249" s="17">
        <f>IF($D249="","",IFERROR(INDEX(rngCadetPIDs,MATCH($D249,rngCadetNames,0)),"?"))</f>
        <v/>
      </c>
      <c r="F249" s="16" t="n"/>
      <c r="G249" s="16" t="n"/>
      <c r="H249" s="19">
        <f>IF($D249="","",IF($C249="","(enter date)",_xlfn.LET(_xlpm.dn,_xlfn.XLOOKUP($C249,nrCDdate,nrCDnum,"",1),IF(_xlpm.dn="","(after last class day)",_xlfn.LET(_xlpm.dd,_xlfn.XLOOKUP(_xlpm.dn+cfgMemoDueClassDays,nrCDnum,nrCDdate,""),_xlpm.ok,_xlfn.XLOOKUP(_xlpm.dn+cfgMemoDueClassDays,nrCDnum,nrCDinsession,"No"),IF(OR(_xlpm.dd="",_xlpm.ok&lt;&gt;"Yes"),"(after last class day)",_xlpm.dd))))))</f>
        <v/>
      </c>
      <c r="I249" s="18" t="n"/>
      <c r="J249" s="19">
        <f>IF($D249="","",IF($I249&lt;&gt;"",$I249,IF(ISNUMBER($H249),$H249,"")))</f>
        <v/>
      </c>
      <c r="K249" s="18" t="n"/>
      <c r="L249" s="17">
        <f>IF($D249="","",IF($K249&lt;&gt;"","Received "&amp;TEXT($K249,"mm/dd"),IF(ISNUMBER($J249),IF(TODAY()&gt;$J249,"OVERDUE","Pending"),IF($H249="","Pending","CHECK DATE"))))</f>
        <v/>
      </c>
      <c r="M249" s="16" t="n"/>
      <c r="N249" s="16" t="n"/>
    </row>
    <row r="250">
      <c r="B250" s="17">
        <f>IF($D250="","","ME"&amp;TEXT(ROW()-5,"000"))</f>
        <v/>
      </c>
      <c r="C250" s="18" t="n"/>
      <c r="D250" s="16" t="n"/>
      <c r="E250" s="17">
        <f>IF($D250="","",IFERROR(INDEX(rngCadetPIDs,MATCH($D250,rngCadetNames,0)),"?"))</f>
        <v/>
      </c>
      <c r="F250" s="16" t="n"/>
      <c r="G250" s="16" t="n"/>
      <c r="H250" s="19">
        <f>IF($D250="","",IF($C250="","(enter date)",_xlfn.LET(_xlpm.dn,_xlfn.XLOOKUP($C250,nrCDdate,nrCDnum,"",1),IF(_xlpm.dn="","(after last class day)",_xlfn.LET(_xlpm.dd,_xlfn.XLOOKUP(_xlpm.dn+cfgMemoDueClassDays,nrCDnum,nrCDdate,""),_xlpm.ok,_xlfn.XLOOKUP(_xlpm.dn+cfgMemoDueClassDays,nrCDnum,nrCDinsession,"No"),IF(OR(_xlpm.dd="",_xlpm.ok&lt;&gt;"Yes"),"(after last class day)",_xlpm.dd))))))</f>
        <v/>
      </c>
      <c r="I250" s="18" t="n"/>
      <c r="J250" s="19">
        <f>IF($D250="","",IF($I250&lt;&gt;"",$I250,IF(ISNUMBER($H250),$H250,"")))</f>
        <v/>
      </c>
      <c r="K250" s="18" t="n"/>
      <c r="L250" s="17">
        <f>IF($D250="","",IF($K250&lt;&gt;"","Received "&amp;TEXT($K250,"mm/dd"),IF(ISNUMBER($J250),IF(TODAY()&gt;$J250,"OVERDUE","Pending"),IF($H250="","Pending","CHECK DATE"))))</f>
        <v/>
      </c>
      <c r="M250" s="16" t="n"/>
      <c r="N250" s="16" t="n"/>
    </row>
    <row r="251">
      <c r="B251" s="17">
        <f>IF($D251="","","ME"&amp;TEXT(ROW()-5,"000"))</f>
        <v/>
      </c>
      <c r="C251" s="18" t="n"/>
      <c r="D251" s="16" t="n"/>
      <c r="E251" s="17">
        <f>IF($D251="","",IFERROR(INDEX(rngCadetPIDs,MATCH($D251,rngCadetNames,0)),"?"))</f>
        <v/>
      </c>
      <c r="F251" s="16" t="n"/>
      <c r="G251" s="16" t="n"/>
      <c r="H251" s="19">
        <f>IF($D251="","",IF($C251="","(enter date)",_xlfn.LET(_xlpm.dn,_xlfn.XLOOKUP($C251,nrCDdate,nrCDnum,"",1),IF(_xlpm.dn="","(after last class day)",_xlfn.LET(_xlpm.dd,_xlfn.XLOOKUP(_xlpm.dn+cfgMemoDueClassDays,nrCDnum,nrCDdate,""),_xlpm.ok,_xlfn.XLOOKUP(_xlpm.dn+cfgMemoDueClassDays,nrCDnum,nrCDinsession,"No"),IF(OR(_xlpm.dd="",_xlpm.ok&lt;&gt;"Yes"),"(after last class day)",_xlpm.dd))))))</f>
        <v/>
      </c>
      <c r="I251" s="18" t="n"/>
      <c r="J251" s="19">
        <f>IF($D251="","",IF($I251&lt;&gt;"",$I251,IF(ISNUMBER($H251),$H251,"")))</f>
        <v/>
      </c>
      <c r="K251" s="18" t="n"/>
      <c r="L251" s="17">
        <f>IF($D251="","",IF($K251&lt;&gt;"","Received "&amp;TEXT($K251,"mm/dd"),IF(ISNUMBER($J251),IF(TODAY()&gt;$J251,"OVERDUE","Pending"),IF($H251="","Pending","CHECK DATE"))))</f>
        <v/>
      </c>
      <c r="M251" s="16" t="n"/>
      <c r="N251" s="16" t="n"/>
    </row>
    <row r="252">
      <c r="B252" s="17">
        <f>IF($D252="","","ME"&amp;TEXT(ROW()-5,"000"))</f>
        <v/>
      </c>
      <c r="C252" s="18" t="n"/>
      <c r="D252" s="16" t="n"/>
      <c r="E252" s="17">
        <f>IF($D252="","",IFERROR(INDEX(rngCadetPIDs,MATCH($D252,rngCadetNames,0)),"?"))</f>
        <v/>
      </c>
      <c r="F252" s="16" t="n"/>
      <c r="G252" s="16" t="n"/>
      <c r="H252" s="19">
        <f>IF($D252="","",IF($C252="","(enter date)",_xlfn.LET(_xlpm.dn,_xlfn.XLOOKUP($C252,nrCDdate,nrCDnum,"",1),IF(_xlpm.dn="","(after last class day)",_xlfn.LET(_xlpm.dd,_xlfn.XLOOKUP(_xlpm.dn+cfgMemoDueClassDays,nrCDnum,nrCDdate,""),_xlpm.ok,_xlfn.XLOOKUP(_xlpm.dn+cfgMemoDueClassDays,nrCDnum,nrCDinsession,"No"),IF(OR(_xlpm.dd="",_xlpm.ok&lt;&gt;"Yes"),"(after last class day)",_xlpm.dd))))))</f>
        <v/>
      </c>
      <c r="I252" s="18" t="n"/>
      <c r="J252" s="19">
        <f>IF($D252="","",IF($I252&lt;&gt;"",$I252,IF(ISNUMBER($H252),$H252,"")))</f>
        <v/>
      </c>
      <c r="K252" s="18" t="n"/>
      <c r="L252" s="17">
        <f>IF($D252="","",IF($K252&lt;&gt;"","Received "&amp;TEXT($K252,"mm/dd"),IF(ISNUMBER($J252),IF(TODAY()&gt;$J252,"OVERDUE","Pending"),IF($H252="","Pending","CHECK DATE"))))</f>
        <v/>
      </c>
      <c r="M252" s="16" t="n"/>
      <c r="N252" s="16" t="n"/>
    </row>
    <row r="253">
      <c r="B253" s="17">
        <f>IF($D253="","","ME"&amp;TEXT(ROW()-5,"000"))</f>
        <v/>
      </c>
      <c r="C253" s="18" t="n"/>
      <c r="D253" s="16" t="n"/>
      <c r="E253" s="17">
        <f>IF($D253="","",IFERROR(INDEX(rngCadetPIDs,MATCH($D253,rngCadetNames,0)),"?"))</f>
        <v/>
      </c>
      <c r="F253" s="16" t="n"/>
      <c r="G253" s="16" t="n"/>
      <c r="H253" s="19">
        <f>IF($D253="","",IF($C253="","(enter date)",_xlfn.LET(_xlpm.dn,_xlfn.XLOOKUP($C253,nrCDdate,nrCDnum,"",1),IF(_xlpm.dn="","(after last class day)",_xlfn.LET(_xlpm.dd,_xlfn.XLOOKUP(_xlpm.dn+cfgMemoDueClassDays,nrCDnum,nrCDdate,""),_xlpm.ok,_xlfn.XLOOKUP(_xlpm.dn+cfgMemoDueClassDays,nrCDnum,nrCDinsession,"No"),IF(OR(_xlpm.dd="",_xlpm.ok&lt;&gt;"Yes"),"(after last class day)",_xlpm.dd))))))</f>
        <v/>
      </c>
      <c r="I253" s="18" t="n"/>
      <c r="J253" s="19">
        <f>IF($D253="","",IF($I253&lt;&gt;"",$I253,IF(ISNUMBER($H253),$H253,"")))</f>
        <v/>
      </c>
      <c r="K253" s="18" t="n"/>
      <c r="L253" s="17">
        <f>IF($D253="","",IF($K253&lt;&gt;"","Received "&amp;TEXT($K253,"mm/dd"),IF(ISNUMBER($J253),IF(TODAY()&gt;$J253,"OVERDUE","Pending"),IF($H253="","Pending","CHECK DATE"))))</f>
        <v/>
      </c>
      <c r="M253" s="16" t="n"/>
      <c r="N253" s="16" t="n"/>
    </row>
    <row r="254">
      <c r="B254" s="17">
        <f>IF($D254="","","ME"&amp;TEXT(ROW()-5,"000"))</f>
        <v/>
      </c>
      <c r="C254" s="18" t="n"/>
      <c r="D254" s="16" t="n"/>
      <c r="E254" s="17">
        <f>IF($D254="","",IFERROR(INDEX(rngCadetPIDs,MATCH($D254,rngCadetNames,0)),"?"))</f>
        <v/>
      </c>
      <c r="F254" s="16" t="n"/>
      <c r="G254" s="16" t="n"/>
      <c r="H254" s="19">
        <f>IF($D254="","",IF($C254="","(enter date)",_xlfn.LET(_xlpm.dn,_xlfn.XLOOKUP($C254,nrCDdate,nrCDnum,"",1),IF(_xlpm.dn="","(after last class day)",_xlfn.LET(_xlpm.dd,_xlfn.XLOOKUP(_xlpm.dn+cfgMemoDueClassDays,nrCDnum,nrCDdate,""),_xlpm.ok,_xlfn.XLOOKUP(_xlpm.dn+cfgMemoDueClassDays,nrCDnum,nrCDinsession,"No"),IF(OR(_xlpm.dd="",_xlpm.ok&lt;&gt;"Yes"),"(after last class day)",_xlpm.dd))))))</f>
        <v/>
      </c>
      <c r="I254" s="18" t="n"/>
      <c r="J254" s="19">
        <f>IF($D254="","",IF($I254&lt;&gt;"",$I254,IF(ISNUMBER($H254),$H254,"")))</f>
        <v/>
      </c>
      <c r="K254" s="18" t="n"/>
      <c r="L254" s="17">
        <f>IF($D254="","",IF($K254&lt;&gt;"","Received "&amp;TEXT($K254,"mm/dd"),IF(ISNUMBER($J254),IF(TODAY()&gt;$J254,"OVERDUE","Pending"),IF($H254="","Pending","CHECK DATE"))))</f>
        <v/>
      </c>
      <c r="M254" s="16" t="n"/>
      <c r="N254" s="16" t="n"/>
    </row>
    <row r="255">
      <c r="B255" s="17">
        <f>IF($D255="","","ME"&amp;TEXT(ROW()-5,"000"))</f>
        <v/>
      </c>
      <c r="C255" s="18" t="n"/>
      <c r="D255" s="16" t="n"/>
      <c r="E255" s="17">
        <f>IF($D255="","",IFERROR(INDEX(rngCadetPIDs,MATCH($D255,rngCadetNames,0)),"?"))</f>
        <v/>
      </c>
      <c r="F255" s="16" t="n"/>
      <c r="G255" s="16" t="n"/>
      <c r="H255" s="19">
        <f>IF($D255="","",IF($C255="","(enter date)",_xlfn.LET(_xlpm.dn,_xlfn.XLOOKUP($C255,nrCDdate,nrCDnum,"",1),IF(_xlpm.dn="","(after last class day)",_xlfn.LET(_xlpm.dd,_xlfn.XLOOKUP(_xlpm.dn+cfgMemoDueClassDays,nrCDnum,nrCDdate,""),_xlpm.ok,_xlfn.XLOOKUP(_xlpm.dn+cfgMemoDueClassDays,nrCDnum,nrCDinsession,"No"),IF(OR(_xlpm.dd="",_xlpm.ok&lt;&gt;"Yes"),"(after last class day)",_xlpm.dd))))))</f>
        <v/>
      </c>
      <c r="I255" s="18" t="n"/>
      <c r="J255" s="19">
        <f>IF($D255="","",IF($I255&lt;&gt;"",$I255,IF(ISNUMBER($H255),$H255,"")))</f>
        <v/>
      </c>
      <c r="K255" s="18" t="n"/>
      <c r="L255" s="17">
        <f>IF($D255="","",IF($K255&lt;&gt;"","Received "&amp;TEXT($K255,"mm/dd"),IF(ISNUMBER($J255),IF(TODAY()&gt;$J255,"OVERDUE","Pending"),IF($H255="","Pending","CHECK DATE"))))</f>
        <v/>
      </c>
      <c r="M255" s="16" t="n"/>
      <c r="N255" s="16" t="n"/>
    </row>
    <row r="256">
      <c r="B256" s="17">
        <f>IF($D256="","","ME"&amp;TEXT(ROW()-5,"000"))</f>
        <v/>
      </c>
      <c r="C256" s="18" t="n"/>
      <c r="D256" s="16" t="n"/>
      <c r="E256" s="17">
        <f>IF($D256="","",IFERROR(INDEX(rngCadetPIDs,MATCH($D256,rngCadetNames,0)),"?"))</f>
        <v/>
      </c>
      <c r="F256" s="16" t="n"/>
      <c r="G256" s="16" t="n"/>
      <c r="H256" s="19">
        <f>IF($D256="","",IF($C256="","(enter date)",_xlfn.LET(_xlpm.dn,_xlfn.XLOOKUP($C256,nrCDdate,nrCDnum,"",1),IF(_xlpm.dn="","(after last class day)",_xlfn.LET(_xlpm.dd,_xlfn.XLOOKUP(_xlpm.dn+cfgMemoDueClassDays,nrCDnum,nrCDdate,""),_xlpm.ok,_xlfn.XLOOKUP(_xlpm.dn+cfgMemoDueClassDays,nrCDnum,nrCDinsession,"No"),IF(OR(_xlpm.dd="",_xlpm.ok&lt;&gt;"Yes"),"(after last class day)",_xlpm.dd))))))</f>
        <v/>
      </c>
      <c r="I256" s="18" t="n"/>
      <c r="J256" s="19">
        <f>IF($D256="","",IF($I256&lt;&gt;"",$I256,IF(ISNUMBER($H256),$H256,"")))</f>
        <v/>
      </c>
      <c r="K256" s="18" t="n"/>
      <c r="L256" s="17">
        <f>IF($D256="","",IF($K256&lt;&gt;"","Received "&amp;TEXT($K256,"mm/dd"),IF(ISNUMBER($J256),IF(TODAY()&gt;$J256,"OVERDUE","Pending"),IF($H256="","Pending","CHECK DATE"))))</f>
        <v/>
      </c>
      <c r="M256" s="16" t="n"/>
      <c r="N256" s="16" t="n"/>
    </row>
    <row r="257">
      <c r="B257" s="17">
        <f>IF($D257="","","ME"&amp;TEXT(ROW()-5,"000"))</f>
        <v/>
      </c>
      <c r="C257" s="18" t="n"/>
      <c r="D257" s="16" t="n"/>
      <c r="E257" s="17">
        <f>IF($D257="","",IFERROR(INDEX(rngCadetPIDs,MATCH($D257,rngCadetNames,0)),"?"))</f>
        <v/>
      </c>
      <c r="F257" s="16" t="n"/>
      <c r="G257" s="16" t="n"/>
      <c r="H257" s="19">
        <f>IF($D257="","",IF($C257="","(enter date)",_xlfn.LET(_xlpm.dn,_xlfn.XLOOKUP($C257,nrCDdate,nrCDnum,"",1),IF(_xlpm.dn="","(after last class day)",_xlfn.LET(_xlpm.dd,_xlfn.XLOOKUP(_xlpm.dn+cfgMemoDueClassDays,nrCDnum,nrCDdate,""),_xlpm.ok,_xlfn.XLOOKUP(_xlpm.dn+cfgMemoDueClassDays,nrCDnum,nrCDinsession,"No"),IF(OR(_xlpm.dd="",_xlpm.ok&lt;&gt;"Yes"),"(after last class day)",_xlpm.dd))))))</f>
        <v/>
      </c>
      <c r="I257" s="18" t="n"/>
      <c r="J257" s="19">
        <f>IF($D257="","",IF($I257&lt;&gt;"",$I257,IF(ISNUMBER($H257),$H257,"")))</f>
        <v/>
      </c>
      <c r="K257" s="18" t="n"/>
      <c r="L257" s="17">
        <f>IF($D257="","",IF($K257&lt;&gt;"","Received "&amp;TEXT($K257,"mm/dd"),IF(ISNUMBER($J257),IF(TODAY()&gt;$J257,"OVERDUE","Pending"),IF($H257="","Pending","CHECK DATE"))))</f>
        <v/>
      </c>
      <c r="M257" s="16" t="n"/>
      <c r="N257" s="16" t="n"/>
    </row>
    <row r="258">
      <c r="B258" s="17">
        <f>IF($D258="","","ME"&amp;TEXT(ROW()-5,"000"))</f>
        <v/>
      </c>
      <c r="C258" s="18" t="n"/>
      <c r="D258" s="16" t="n"/>
      <c r="E258" s="17">
        <f>IF($D258="","",IFERROR(INDEX(rngCadetPIDs,MATCH($D258,rngCadetNames,0)),"?"))</f>
        <v/>
      </c>
      <c r="F258" s="16" t="n"/>
      <c r="G258" s="16" t="n"/>
      <c r="H258" s="19">
        <f>IF($D258="","",IF($C258="","(enter date)",_xlfn.LET(_xlpm.dn,_xlfn.XLOOKUP($C258,nrCDdate,nrCDnum,"",1),IF(_xlpm.dn="","(after last class day)",_xlfn.LET(_xlpm.dd,_xlfn.XLOOKUP(_xlpm.dn+cfgMemoDueClassDays,nrCDnum,nrCDdate,""),_xlpm.ok,_xlfn.XLOOKUP(_xlpm.dn+cfgMemoDueClassDays,nrCDnum,nrCDinsession,"No"),IF(OR(_xlpm.dd="",_xlpm.ok&lt;&gt;"Yes"),"(after last class day)",_xlpm.dd))))))</f>
        <v/>
      </c>
      <c r="I258" s="18" t="n"/>
      <c r="J258" s="19">
        <f>IF($D258="","",IF($I258&lt;&gt;"",$I258,IF(ISNUMBER($H258),$H258,"")))</f>
        <v/>
      </c>
      <c r="K258" s="18" t="n"/>
      <c r="L258" s="17">
        <f>IF($D258="","",IF($K258&lt;&gt;"","Received "&amp;TEXT($K258,"mm/dd"),IF(ISNUMBER($J258),IF(TODAY()&gt;$J258,"OVERDUE","Pending"),IF($H258="","Pending","CHECK DATE"))))</f>
        <v/>
      </c>
      <c r="M258" s="16" t="n"/>
      <c r="N258" s="16" t="n"/>
    </row>
    <row r="259">
      <c r="B259" s="17">
        <f>IF($D259="","","ME"&amp;TEXT(ROW()-5,"000"))</f>
        <v/>
      </c>
      <c r="C259" s="18" t="n"/>
      <c r="D259" s="16" t="n"/>
      <c r="E259" s="17">
        <f>IF($D259="","",IFERROR(INDEX(rngCadetPIDs,MATCH($D259,rngCadetNames,0)),"?"))</f>
        <v/>
      </c>
      <c r="F259" s="16" t="n"/>
      <c r="G259" s="16" t="n"/>
      <c r="H259" s="19">
        <f>IF($D259="","",IF($C259="","(enter date)",_xlfn.LET(_xlpm.dn,_xlfn.XLOOKUP($C259,nrCDdate,nrCDnum,"",1),IF(_xlpm.dn="","(after last class day)",_xlfn.LET(_xlpm.dd,_xlfn.XLOOKUP(_xlpm.dn+cfgMemoDueClassDays,nrCDnum,nrCDdate,""),_xlpm.ok,_xlfn.XLOOKUP(_xlpm.dn+cfgMemoDueClassDays,nrCDnum,nrCDinsession,"No"),IF(OR(_xlpm.dd="",_xlpm.ok&lt;&gt;"Yes"),"(after last class day)",_xlpm.dd))))))</f>
        <v/>
      </c>
      <c r="I259" s="18" t="n"/>
      <c r="J259" s="19">
        <f>IF($D259="","",IF($I259&lt;&gt;"",$I259,IF(ISNUMBER($H259),$H259,"")))</f>
        <v/>
      </c>
      <c r="K259" s="18" t="n"/>
      <c r="L259" s="17">
        <f>IF($D259="","",IF($K259&lt;&gt;"","Received "&amp;TEXT($K259,"mm/dd"),IF(ISNUMBER($J259),IF(TODAY()&gt;$J259,"OVERDUE","Pending"),IF($H259="","Pending","CHECK DATE"))))</f>
        <v/>
      </c>
      <c r="M259" s="16" t="n"/>
      <c r="N259" s="16" t="n"/>
    </row>
    <row r="260">
      <c r="B260" s="17">
        <f>IF($D260="","","ME"&amp;TEXT(ROW()-5,"000"))</f>
        <v/>
      </c>
      <c r="C260" s="18" t="n"/>
      <c r="D260" s="16" t="n"/>
      <c r="E260" s="17">
        <f>IF($D260="","",IFERROR(INDEX(rngCadetPIDs,MATCH($D260,rngCadetNames,0)),"?"))</f>
        <v/>
      </c>
      <c r="F260" s="16" t="n"/>
      <c r="G260" s="16" t="n"/>
      <c r="H260" s="19">
        <f>IF($D260="","",IF($C260="","(enter date)",_xlfn.LET(_xlpm.dn,_xlfn.XLOOKUP($C260,nrCDdate,nrCDnum,"",1),IF(_xlpm.dn="","(after last class day)",_xlfn.LET(_xlpm.dd,_xlfn.XLOOKUP(_xlpm.dn+cfgMemoDueClassDays,nrCDnum,nrCDdate,""),_xlpm.ok,_xlfn.XLOOKUP(_xlpm.dn+cfgMemoDueClassDays,nrCDnum,nrCDinsession,"No"),IF(OR(_xlpm.dd="",_xlpm.ok&lt;&gt;"Yes"),"(after last class day)",_xlpm.dd))))))</f>
        <v/>
      </c>
      <c r="I260" s="18" t="n"/>
      <c r="J260" s="19">
        <f>IF($D260="","",IF($I260&lt;&gt;"",$I260,IF(ISNUMBER($H260),$H260,"")))</f>
        <v/>
      </c>
      <c r="K260" s="18" t="n"/>
      <c r="L260" s="17">
        <f>IF($D260="","",IF($K260&lt;&gt;"","Received "&amp;TEXT($K260,"mm/dd"),IF(ISNUMBER($J260),IF(TODAY()&gt;$J260,"OVERDUE","Pending"),IF($H260="","Pending","CHECK DATE"))))</f>
        <v/>
      </c>
      <c r="M260" s="16" t="n"/>
      <c r="N260" s="16" t="n"/>
    </row>
    <row r="261">
      <c r="B261" s="17">
        <f>IF($D261="","","ME"&amp;TEXT(ROW()-5,"000"))</f>
        <v/>
      </c>
      <c r="C261" s="18" t="n"/>
      <c r="D261" s="16" t="n"/>
      <c r="E261" s="17">
        <f>IF($D261="","",IFERROR(INDEX(rngCadetPIDs,MATCH($D261,rngCadetNames,0)),"?"))</f>
        <v/>
      </c>
      <c r="F261" s="16" t="n"/>
      <c r="G261" s="16" t="n"/>
      <c r="H261" s="19">
        <f>IF($D261="","",IF($C261="","(enter date)",_xlfn.LET(_xlpm.dn,_xlfn.XLOOKUP($C261,nrCDdate,nrCDnum,"",1),IF(_xlpm.dn="","(after last class day)",_xlfn.LET(_xlpm.dd,_xlfn.XLOOKUP(_xlpm.dn+cfgMemoDueClassDays,nrCDnum,nrCDdate,""),_xlpm.ok,_xlfn.XLOOKUP(_xlpm.dn+cfgMemoDueClassDays,nrCDnum,nrCDinsession,"No"),IF(OR(_xlpm.dd="",_xlpm.ok&lt;&gt;"Yes"),"(after last class day)",_xlpm.dd))))))</f>
        <v/>
      </c>
      <c r="I261" s="18" t="n"/>
      <c r="J261" s="19">
        <f>IF($D261="","",IF($I261&lt;&gt;"",$I261,IF(ISNUMBER($H261),$H261,"")))</f>
        <v/>
      </c>
      <c r="K261" s="18" t="n"/>
      <c r="L261" s="17">
        <f>IF($D261="","",IF($K261&lt;&gt;"","Received "&amp;TEXT($K261,"mm/dd"),IF(ISNUMBER($J261),IF(TODAY()&gt;$J261,"OVERDUE","Pending"),IF($H261="","Pending","CHECK DATE"))))</f>
        <v/>
      </c>
      <c r="M261" s="16" t="n"/>
      <c r="N261" s="16" t="n"/>
    </row>
    <row r="262">
      <c r="B262" s="17">
        <f>IF($D262="","","ME"&amp;TEXT(ROW()-5,"000"))</f>
        <v/>
      </c>
      <c r="C262" s="18" t="n"/>
      <c r="D262" s="16" t="n"/>
      <c r="E262" s="17">
        <f>IF($D262="","",IFERROR(INDEX(rngCadetPIDs,MATCH($D262,rngCadetNames,0)),"?"))</f>
        <v/>
      </c>
      <c r="F262" s="16" t="n"/>
      <c r="G262" s="16" t="n"/>
      <c r="H262" s="19">
        <f>IF($D262="","",IF($C262="","(enter date)",_xlfn.LET(_xlpm.dn,_xlfn.XLOOKUP($C262,nrCDdate,nrCDnum,"",1),IF(_xlpm.dn="","(after last class day)",_xlfn.LET(_xlpm.dd,_xlfn.XLOOKUP(_xlpm.dn+cfgMemoDueClassDays,nrCDnum,nrCDdate,""),_xlpm.ok,_xlfn.XLOOKUP(_xlpm.dn+cfgMemoDueClassDays,nrCDnum,nrCDinsession,"No"),IF(OR(_xlpm.dd="",_xlpm.ok&lt;&gt;"Yes"),"(after last class day)",_xlpm.dd))))))</f>
        <v/>
      </c>
      <c r="I262" s="18" t="n"/>
      <c r="J262" s="19">
        <f>IF($D262="","",IF($I262&lt;&gt;"",$I262,IF(ISNUMBER($H262),$H262,"")))</f>
        <v/>
      </c>
      <c r="K262" s="18" t="n"/>
      <c r="L262" s="17">
        <f>IF($D262="","",IF($K262&lt;&gt;"","Received "&amp;TEXT($K262,"mm/dd"),IF(ISNUMBER($J262),IF(TODAY()&gt;$J262,"OVERDUE","Pending"),IF($H262="","Pending","CHECK DATE"))))</f>
        <v/>
      </c>
      <c r="M262" s="16" t="n"/>
      <c r="N262" s="16" t="n"/>
    </row>
    <row r="263">
      <c r="B263" s="17">
        <f>IF($D263="","","ME"&amp;TEXT(ROW()-5,"000"))</f>
        <v/>
      </c>
      <c r="C263" s="18" t="n"/>
      <c r="D263" s="16" t="n"/>
      <c r="E263" s="17">
        <f>IF($D263="","",IFERROR(INDEX(rngCadetPIDs,MATCH($D263,rngCadetNames,0)),"?"))</f>
        <v/>
      </c>
      <c r="F263" s="16" t="n"/>
      <c r="G263" s="16" t="n"/>
      <c r="H263" s="19">
        <f>IF($D263="","",IF($C263="","(enter date)",_xlfn.LET(_xlpm.dn,_xlfn.XLOOKUP($C263,nrCDdate,nrCDnum,"",1),IF(_xlpm.dn="","(after last class day)",_xlfn.LET(_xlpm.dd,_xlfn.XLOOKUP(_xlpm.dn+cfgMemoDueClassDays,nrCDnum,nrCDdate,""),_xlpm.ok,_xlfn.XLOOKUP(_xlpm.dn+cfgMemoDueClassDays,nrCDnum,nrCDinsession,"No"),IF(OR(_xlpm.dd="",_xlpm.ok&lt;&gt;"Yes"),"(after last class day)",_xlpm.dd))))))</f>
        <v/>
      </c>
      <c r="I263" s="18" t="n"/>
      <c r="J263" s="19">
        <f>IF($D263="","",IF($I263&lt;&gt;"",$I263,IF(ISNUMBER($H263),$H263,"")))</f>
        <v/>
      </c>
      <c r="K263" s="18" t="n"/>
      <c r="L263" s="17">
        <f>IF($D263="","",IF($K263&lt;&gt;"","Received "&amp;TEXT($K263,"mm/dd"),IF(ISNUMBER($J263),IF(TODAY()&gt;$J263,"OVERDUE","Pending"),IF($H263="","Pending","CHECK DATE"))))</f>
        <v/>
      </c>
      <c r="M263" s="16" t="n"/>
      <c r="N263" s="16" t="n"/>
    </row>
    <row r="264">
      <c r="B264" s="17">
        <f>IF($D264="","","ME"&amp;TEXT(ROW()-5,"000"))</f>
        <v/>
      </c>
      <c r="C264" s="18" t="n"/>
      <c r="D264" s="16" t="n"/>
      <c r="E264" s="17">
        <f>IF($D264="","",IFERROR(INDEX(rngCadetPIDs,MATCH($D264,rngCadetNames,0)),"?"))</f>
        <v/>
      </c>
      <c r="F264" s="16" t="n"/>
      <c r="G264" s="16" t="n"/>
      <c r="H264" s="19">
        <f>IF($D264="","",IF($C264="","(enter date)",_xlfn.LET(_xlpm.dn,_xlfn.XLOOKUP($C264,nrCDdate,nrCDnum,"",1),IF(_xlpm.dn="","(after last class day)",_xlfn.LET(_xlpm.dd,_xlfn.XLOOKUP(_xlpm.dn+cfgMemoDueClassDays,nrCDnum,nrCDdate,""),_xlpm.ok,_xlfn.XLOOKUP(_xlpm.dn+cfgMemoDueClassDays,nrCDnum,nrCDinsession,"No"),IF(OR(_xlpm.dd="",_xlpm.ok&lt;&gt;"Yes"),"(after last class day)",_xlpm.dd))))))</f>
        <v/>
      </c>
      <c r="I264" s="18" t="n"/>
      <c r="J264" s="19">
        <f>IF($D264="","",IF($I264&lt;&gt;"",$I264,IF(ISNUMBER($H264),$H264,"")))</f>
        <v/>
      </c>
      <c r="K264" s="18" t="n"/>
      <c r="L264" s="17">
        <f>IF($D264="","",IF($K264&lt;&gt;"","Received "&amp;TEXT($K264,"mm/dd"),IF(ISNUMBER($J264),IF(TODAY()&gt;$J264,"OVERDUE","Pending"),IF($H264="","Pending","CHECK DATE"))))</f>
        <v/>
      </c>
      <c r="M264" s="16" t="n"/>
      <c r="N264" s="16" t="n"/>
    </row>
    <row r="265">
      <c r="B265" s="17">
        <f>IF($D265="","","ME"&amp;TEXT(ROW()-5,"000"))</f>
        <v/>
      </c>
      <c r="C265" s="18" t="n"/>
      <c r="D265" s="16" t="n"/>
      <c r="E265" s="17">
        <f>IF($D265="","",IFERROR(INDEX(rngCadetPIDs,MATCH($D265,rngCadetNames,0)),"?"))</f>
        <v/>
      </c>
      <c r="F265" s="16" t="n"/>
      <c r="G265" s="16" t="n"/>
      <c r="H265" s="19">
        <f>IF($D265="","",IF($C265="","(enter date)",_xlfn.LET(_xlpm.dn,_xlfn.XLOOKUP($C265,nrCDdate,nrCDnum,"",1),IF(_xlpm.dn="","(after last class day)",_xlfn.LET(_xlpm.dd,_xlfn.XLOOKUP(_xlpm.dn+cfgMemoDueClassDays,nrCDnum,nrCDdate,""),_xlpm.ok,_xlfn.XLOOKUP(_xlpm.dn+cfgMemoDueClassDays,nrCDnum,nrCDinsession,"No"),IF(OR(_xlpm.dd="",_xlpm.ok&lt;&gt;"Yes"),"(after last class day)",_xlpm.dd))))))</f>
        <v/>
      </c>
      <c r="I265" s="18" t="n"/>
      <c r="J265" s="19">
        <f>IF($D265="","",IF($I265&lt;&gt;"",$I265,IF(ISNUMBER($H265),$H265,"")))</f>
        <v/>
      </c>
      <c r="K265" s="18" t="n"/>
      <c r="L265" s="17">
        <f>IF($D265="","",IF($K265&lt;&gt;"","Received "&amp;TEXT($K265,"mm/dd"),IF(ISNUMBER($J265),IF(TODAY()&gt;$J265,"OVERDUE","Pending"),IF($H265="","Pending","CHECK DATE"))))</f>
        <v/>
      </c>
      <c r="M265" s="16" t="n"/>
      <c r="N265" s="16" t="n"/>
    </row>
    <row r="266">
      <c r="B266" s="17">
        <f>IF($D266="","","ME"&amp;TEXT(ROW()-5,"000"))</f>
        <v/>
      </c>
      <c r="C266" s="18" t="n"/>
      <c r="D266" s="16" t="n"/>
      <c r="E266" s="17">
        <f>IF($D266="","",IFERROR(INDEX(rngCadetPIDs,MATCH($D266,rngCadetNames,0)),"?"))</f>
        <v/>
      </c>
      <c r="F266" s="16" t="n"/>
      <c r="G266" s="16" t="n"/>
      <c r="H266" s="19">
        <f>IF($D266="","",IF($C266="","(enter date)",_xlfn.LET(_xlpm.dn,_xlfn.XLOOKUP($C266,nrCDdate,nrCDnum,"",1),IF(_xlpm.dn="","(after last class day)",_xlfn.LET(_xlpm.dd,_xlfn.XLOOKUP(_xlpm.dn+cfgMemoDueClassDays,nrCDnum,nrCDdate,""),_xlpm.ok,_xlfn.XLOOKUP(_xlpm.dn+cfgMemoDueClassDays,nrCDnum,nrCDinsession,"No"),IF(OR(_xlpm.dd="",_xlpm.ok&lt;&gt;"Yes"),"(after last class day)",_xlpm.dd))))))</f>
        <v/>
      </c>
      <c r="I266" s="18" t="n"/>
      <c r="J266" s="19">
        <f>IF($D266="","",IF($I266&lt;&gt;"",$I266,IF(ISNUMBER($H266),$H266,"")))</f>
        <v/>
      </c>
      <c r="K266" s="18" t="n"/>
      <c r="L266" s="17">
        <f>IF($D266="","",IF($K266&lt;&gt;"","Received "&amp;TEXT($K266,"mm/dd"),IF(ISNUMBER($J266),IF(TODAY()&gt;$J266,"OVERDUE","Pending"),IF($H266="","Pending","CHECK DATE"))))</f>
        <v/>
      </c>
      <c r="M266" s="16" t="n"/>
      <c r="N266" s="16" t="n"/>
    </row>
    <row r="267">
      <c r="B267" s="17">
        <f>IF($D267="","","ME"&amp;TEXT(ROW()-5,"000"))</f>
        <v/>
      </c>
      <c r="C267" s="18" t="n"/>
      <c r="D267" s="16" t="n"/>
      <c r="E267" s="17">
        <f>IF($D267="","",IFERROR(INDEX(rngCadetPIDs,MATCH($D267,rngCadetNames,0)),"?"))</f>
        <v/>
      </c>
      <c r="F267" s="16" t="n"/>
      <c r="G267" s="16" t="n"/>
      <c r="H267" s="19">
        <f>IF($D267="","",IF($C267="","(enter date)",_xlfn.LET(_xlpm.dn,_xlfn.XLOOKUP($C267,nrCDdate,nrCDnum,"",1),IF(_xlpm.dn="","(after last class day)",_xlfn.LET(_xlpm.dd,_xlfn.XLOOKUP(_xlpm.dn+cfgMemoDueClassDays,nrCDnum,nrCDdate,""),_xlpm.ok,_xlfn.XLOOKUP(_xlpm.dn+cfgMemoDueClassDays,nrCDnum,nrCDinsession,"No"),IF(OR(_xlpm.dd="",_xlpm.ok&lt;&gt;"Yes"),"(after last class day)",_xlpm.dd))))))</f>
        <v/>
      </c>
      <c r="I267" s="18" t="n"/>
      <c r="J267" s="19">
        <f>IF($D267="","",IF($I267&lt;&gt;"",$I267,IF(ISNUMBER($H267),$H267,"")))</f>
        <v/>
      </c>
      <c r="K267" s="18" t="n"/>
      <c r="L267" s="17">
        <f>IF($D267="","",IF($K267&lt;&gt;"","Received "&amp;TEXT($K267,"mm/dd"),IF(ISNUMBER($J267),IF(TODAY()&gt;$J267,"OVERDUE","Pending"),IF($H267="","Pending","CHECK DATE"))))</f>
        <v/>
      </c>
      <c r="M267" s="16" t="n"/>
      <c r="N267" s="16" t="n"/>
    </row>
    <row r="268">
      <c r="B268" s="17">
        <f>IF($D268="","","ME"&amp;TEXT(ROW()-5,"000"))</f>
        <v/>
      </c>
      <c r="C268" s="18" t="n"/>
      <c r="D268" s="16" t="n"/>
      <c r="E268" s="17">
        <f>IF($D268="","",IFERROR(INDEX(rngCadetPIDs,MATCH($D268,rngCadetNames,0)),"?"))</f>
        <v/>
      </c>
      <c r="F268" s="16" t="n"/>
      <c r="G268" s="16" t="n"/>
      <c r="H268" s="19">
        <f>IF($D268="","",IF($C268="","(enter date)",_xlfn.LET(_xlpm.dn,_xlfn.XLOOKUP($C268,nrCDdate,nrCDnum,"",1),IF(_xlpm.dn="","(after last class day)",_xlfn.LET(_xlpm.dd,_xlfn.XLOOKUP(_xlpm.dn+cfgMemoDueClassDays,nrCDnum,nrCDdate,""),_xlpm.ok,_xlfn.XLOOKUP(_xlpm.dn+cfgMemoDueClassDays,nrCDnum,nrCDinsession,"No"),IF(OR(_xlpm.dd="",_xlpm.ok&lt;&gt;"Yes"),"(after last class day)",_xlpm.dd))))))</f>
        <v/>
      </c>
      <c r="I268" s="18" t="n"/>
      <c r="J268" s="19">
        <f>IF($D268="","",IF($I268&lt;&gt;"",$I268,IF(ISNUMBER($H268),$H268,"")))</f>
        <v/>
      </c>
      <c r="K268" s="18" t="n"/>
      <c r="L268" s="17">
        <f>IF($D268="","",IF($K268&lt;&gt;"","Received "&amp;TEXT($K268,"mm/dd"),IF(ISNUMBER($J268),IF(TODAY()&gt;$J268,"OVERDUE","Pending"),IF($H268="","Pending","CHECK DATE"))))</f>
        <v/>
      </c>
      <c r="M268" s="16" t="n"/>
      <c r="N268" s="16" t="n"/>
    </row>
    <row r="269">
      <c r="B269" s="17">
        <f>IF($D269="","","ME"&amp;TEXT(ROW()-5,"000"))</f>
        <v/>
      </c>
      <c r="C269" s="18" t="n"/>
      <c r="D269" s="16" t="n"/>
      <c r="E269" s="17">
        <f>IF($D269="","",IFERROR(INDEX(rngCadetPIDs,MATCH($D269,rngCadetNames,0)),"?"))</f>
        <v/>
      </c>
      <c r="F269" s="16" t="n"/>
      <c r="G269" s="16" t="n"/>
      <c r="H269" s="19">
        <f>IF($D269="","",IF($C269="","(enter date)",_xlfn.LET(_xlpm.dn,_xlfn.XLOOKUP($C269,nrCDdate,nrCDnum,"",1),IF(_xlpm.dn="","(after last class day)",_xlfn.LET(_xlpm.dd,_xlfn.XLOOKUP(_xlpm.dn+cfgMemoDueClassDays,nrCDnum,nrCDdate,""),_xlpm.ok,_xlfn.XLOOKUP(_xlpm.dn+cfgMemoDueClassDays,nrCDnum,nrCDinsession,"No"),IF(OR(_xlpm.dd="",_xlpm.ok&lt;&gt;"Yes"),"(after last class day)",_xlpm.dd))))))</f>
        <v/>
      </c>
      <c r="I269" s="18" t="n"/>
      <c r="J269" s="19">
        <f>IF($D269="","",IF($I269&lt;&gt;"",$I269,IF(ISNUMBER($H269),$H269,"")))</f>
        <v/>
      </c>
      <c r="K269" s="18" t="n"/>
      <c r="L269" s="17">
        <f>IF($D269="","",IF($K269&lt;&gt;"","Received "&amp;TEXT($K269,"mm/dd"),IF(ISNUMBER($J269),IF(TODAY()&gt;$J269,"OVERDUE","Pending"),IF($H269="","Pending","CHECK DATE"))))</f>
        <v/>
      </c>
      <c r="M269" s="16" t="n"/>
      <c r="N269" s="16" t="n"/>
    </row>
    <row r="270">
      <c r="B270" s="17">
        <f>IF($D270="","","ME"&amp;TEXT(ROW()-5,"000"))</f>
        <v/>
      </c>
      <c r="C270" s="18" t="n"/>
      <c r="D270" s="16" t="n"/>
      <c r="E270" s="17">
        <f>IF($D270="","",IFERROR(INDEX(rngCadetPIDs,MATCH($D270,rngCadetNames,0)),"?"))</f>
        <v/>
      </c>
      <c r="F270" s="16" t="n"/>
      <c r="G270" s="16" t="n"/>
      <c r="H270" s="19">
        <f>IF($D270="","",IF($C270="","(enter date)",_xlfn.LET(_xlpm.dn,_xlfn.XLOOKUP($C270,nrCDdate,nrCDnum,"",1),IF(_xlpm.dn="","(after last class day)",_xlfn.LET(_xlpm.dd,_xlfn.XLOOKUP(_xlpm.dn+cfgMemoDueClassDays,nrCDnum,nrCDdate,""),_xlpm.ok,_xlfn.XLOOKUP(_xlpm.dn+cfgMemoDueClassDays,nrCDnum,nrCDinsession,"No"),IF(OR(_xlpm.dd="",_xlpm.ok&lt;&gt;"Yes"),"(after last class day)",_xlpm.dd))))))</f>
        <v/>
      </c>
      <c r="I270" s="18" t="n"/>
      <c r="J270" s="19">
        <f>IF($D270="","",IF($I270&lt;&gt;"",$I270,IF(ISNUMBER($H270),$H270,"")))</f>
        <v/>
      </c>
      <c r="K270" s="18" t="n"/>
      <c r="L270" s="17">
        <f>IF($D270="","",IF($K270&lt;&gt;"","Received "&amp;TEXT($K270,"mm/dd"),IF(ISNUMBER($J270),IF(TODAY()&gt;$J270,"OVERDUE","Pending"),IF($H270="","Pending","CHECK DATE"))))</f>
        <v/>
      </c>
      <c r="M270" s="16" t="n"/>
      <c r="N270" s="16" t="n"/>
    </row>
    <row r="271">
      <c r="B271" s="17">
        <f>IF($D271="","","ME"&amp;TEXT(ROW()-5,"000"))</f>
        <v/>
      </c>
      <c r="C271" s="18" t="n"/>
      <c r="D271" s="16" t="n"/>
      <c r="E271" s="17">
        <f>IF($D271="","",IFERROR(INDEX(rngCadetPIDs,MATCH($D271,rngCadetNames,0)),"?"))</f>
        <v/>
      </c>
      <c r="F271" s="16" t="n"/>
      <c r="G271" s="16" t="n"/>
      <c r="H271" s="19">
        <f>IF($D271="","",IF($C271="","(enter date)",_xlfn.LET(_xlpm.dn,_xlfn.XLOOKUP($C271,nrCDdate,nrCDnum,"",1),IF(_xlpm.dn="","(after last class day)",_xlfn.LET(_xlpm.dd,_xlfn.XLOOKUP(_xlpm.dn+cfgMemoDueClassDays,nrCDnum,nrCDdate,""),_xlpm.ok,_xlfn.XLOOKUP(_xlpm.dn+cfgMemoDueClassDays,nrCDnum,nrCDinsession,"No"),IF(OR(_xlpm.dd="",_xlpm.ok&lt;&gt;"Yes"),"(after last class day)",_xlpm.dd))))))</f>
        <v/>
      </c>
      <c r="I271" s="18" t="n"/>
      <c r="J271" s="19">
        <f>IF($D271="","",IF($I271&lt;&gt;"",$I271,IF(ISNUMBER($H271),$H271,"")))</f>
        <v/>
      </c>
      <c r="K271" s="18" t="n"/>
      <c r="L271" s="17">
        <f>IF($D271="","",IF($K271&lt;&gt;"","Received "&amp;TEXT($K271,"mm/dd"),IF(ISNUMBER($J271),IF(TODAY()&gt;$J271,"OVERDUE","Pending"),IF($H271="","Pending","CHECK DATE"))))</f>
        <v/>
      </c>
      <c r="M271" s="16" t="n"/>
      <c r="N271" s="16" t="n"/>
    </row>
    <row r="272">
      <c r="B272" s="17">
        <f>IF($D272="","","ME"&amp;TEXT(ROW()-5,"000"))</f>
        <v/>
      </c>
      <c r="C272" s="18" t="n"/>
      <c r="D272" s="16" t="n"/>
      <c r="E272" s="17">
        <f>IF($D272="","",IFERROR(INDEX(rngCadetPIDs,MATCH($D272,rngCadetNames,0)),"?"))</f>
        <v/>
      </c>
      <c r="F272" s="16" t="n"/>
      <c r="G272" s="16" t="n"/>
      <c r="H272" s="19">
        <f>IF($D272="","",IF($C272="","(enter date)",_xlfn.LET(_xlpm.dn,_xlfn.XLOOKUP($C272,nrCDdate,nrCDnum,"",1),IF(_xlpm.dn="","(after last class day)",_xlfn.LET(_xlpm.dd,_xlfn.XLOOKUP(_xlpm.dn+cfgMemoDueClassDays,nrCDnum,nrCDdate,""),_xlpm.ok,_xlfn.XLOOKUP(_xlpm.dn+cfgMemoDueClassDays,nrCDnum,nrCDinsession,"No"),IF(OR(_xlpm.dd="",_xlpm.ok&lt;&gt;"Yes"),"(after last class day)",_xlpm.dd))))))</f>
        <v/>
      </c>
      <c r="I272" s="18" t="n"/>
      <c r="J272" s="19">
        <f>IF($D272="","",IF($I272&lt;&gt;"",$I272,IF(ISNUMBER($H272),$H272,"")))</f>
        <v/>
      </c>
      <c r="K272" s="18" t="n"/>
      <c r="L272" s="17">
        <f>IF($D272="","",IF($K272&lt;&gt;"","Received "&amp;TEXT($K272,"mm/dd"),IF(ISNUMBER($J272),IF(TODAY()&gt;$J272,"OVERDUE","Pending"),IF($H272="","Pending","CHECK DATE"))))</f>
        <v/>
      </c>
      <c r="M272" s="16" t="n"/>
      <c r="N272" s="16" t="n"/>
    </row>
    <row r="273">
      <c r="B273" s="17">
        <f>IF($D273="","","ME"&amp;TEXT(ROW()-5,"000"))</f>
        <v/>
      </c>
      <c r="C273" s="18" t="n"/>
      <c r="D273" s="16" t="n"/>
      <c r="E273" s="17">
        <f>IF($D273="","",IFERROR(INDEX(rngCadetPIDs,MATCH($D273,rngCadetNames,0)),"?"))</f>
        <v/>
      </c>
      <c r="F273" s="16" t="n"/>
      <c r="G273" s="16" t="n"/>
      <c r="H273" s="19">
        <f>IF($D273="","",IF($C273="","(enter date)",_xlfn.LET(_xlpm.dn,_xlfn.XLOOKUP($C273,nrCDdate,nrCDnum,"",1),IF(_xlpm.dn="","(after last class day)",_xlfn.LET(_xlpm.dd,_xlfn.XLOOKUP(_xlpm.dn+cfgMemoDueClassDays,nrCDnum,nrCDdate,""),_xlpm.ok,_xlfn.XLOOKUP(_xlpm.dn+cfgMemoDueClassDays,nrCDnum,nrCDinsession,"No"),IF(OR(_xlpm.dd="",_xlpm.ok&lt;&gt;"Yes"),"(after last class day)",_xlpm.dd))))))</f>
        <v/>
      </c>
      <c r="I273" s="18" t="n"/>
      <c r="J273" s="19">
        <f>IF($D273="","",IF($I273&lt;&gt;"",$I273,IF(ISNUMBER($H273),$H273,"")))</f>
        <v/>
      </c>
      <c r="K273" s="18" t="n"/>
      <c r="L273" s="17">
        <f>IF($D273="","",IF($K273&lt;&gt;"","Received "&amp;TEXT($K273,"mm/dd"),IF(ISNUMBER($J273),IF(TODAY()&gt;$J273,"OVERDUE","Pending"),IF($H273="","Pending","CHECK DATE"))))</f>
        <v/>
      </c>
      <c r="M273" s="16" t="n"/>
      <c r="N273" s="16" t="n"/>
    </row>
    <row r="274">
      <c r="B274" s="17">
        <f>IF($D274="","","ME"&amp;TEXT(ROW()-5,"000"))</f>
        <v/>
      </c>
      <c r="C274" s="18" t="n"/>
      <c r="D274" s="16" t="n"/>
      <c r="E274" s="17">
        <f>IF($D274="","",IFERROR(INDEX(rngCadetPIDs,MATCH($D274,rngCadetNames,0)),"?"))</f>
        <v/>
      </c>
      <c r="F274" s="16" t="n"/>
      <c r="G274" s="16" t="n"/>
      <c r="H274" s="19">
        <f>IF($D274="","",IF($C274="","(enter date)",_xlfn.LET(_xlpm.dn,_xlfn.XLOOKUP($C274,nrCDdate,nrCDnum,"",1),IF(_xlpm.dn="","(after last class day)",_xlfn.LET(_xlpm.dd,_xlfn.XLOOKUP(_xlpm.dn+cfgMemoDueClassDays,nrCDnum,nrCDdate,""),_xlpm.ok,_xlfn.XLOOKUP(_xlpm.dn+cfgMemoDueClassDays,nrCDnum,nrCDinsession,"No"),IF(OR(_xlpm.dd="",_xlpm.ok&lt;&gt;"Yes"),"(after last class day)",_xlpm.dd))))))</f>
        <v/>
      </c>
      <c r="I274" s="18" t="n"/>
      <c r="J274" s="19">
        <f>IF($D274="","",IF($I274&lt;&gt;"",$I274,IF(ISNUMBER($H274),$H274,"")))</f>
        <v/>
      </c>
      <c r="K274" s="18" t="n"/>
      <c r="L274" s="17">
        <f>IF($D274="","",IF($K274&lt;&gt;"","Received "&amp;TEXT($K274,"mm/dd"),IF(ISNUMBER($J274),IF(TODAY()&gt;$J274,"OVERDUE","Pending"),IF($H274="","Pending","CHECK DATE"))))</f>
        <v/>
      </c>
      <c r="M274" s="16" t="n"/>
      <c r="N274" s="16" t="n"/>
    </row>
    <row r="275">
      <c r="B275" s="17">
        <f>IF($D275="","","ME"&amp;TEXT(ROW()-5,"000"))</f>
        <v/>
      </c>
      <c r="C275" s="18" t="n"/>
      <c r="D275" s="16" t="n"/>
      <c r="E275" s="17">
        <f>IF($D275="","",IFERROR(INDEX(rngCadetPIDs,MATCH($D275,rngCadetNames,0)),"?"))</f>
        <v/>
      </c>
      <c r="F275" s="16" t="n"/>
      <c r="G275" s="16" t="n"/>
      <c r="H275" s="19">
        <f>IF($D275="","",IF($C275="","(enter date)",_xlfn.LET(_xlpm.dn,_xlfn.XLOOKUP($C275,nrCDdate,nrCDnum,"",1),IF(_xlpm.dn="","(after last class day)",_xlfn.LET(_xlpm.dd,_xlfn.XLOOKUP(_xlpm.dn+cfgMemoDueClassDays,nrCDnum,nrCDdate,""),_xlpm.ok,_xlfn.XLOOKUP(_xlpm.dn+cfgMemoDueClassDays,nrCDnum,nrCDinsession,"No"),IF(OR(_xlpm.dd="",_xlpm.ok&lt;&gt;"Yes"),"(after last class day)",_xlpm.dd))))))</f>
        <v/>
      </c>
      <c r="I275" s="18" t="n"/>
      <c r="J275" s="19">
        <f>IF($D275="","",IF($I275&lt;&gt;"",$I275,IF(ISNUMBER($H275),$H275,"")))</f>
        <v/>
      </c>
      <c r="K275" s="18" t="n"/>
      <c r="L275" s="17">
        <f>IF($D275="","",IF($K275&lt;&gt;"","Received "&amp;TEXT($K275,"mm/dd"),IF(ISNUMBER($J275),IF(TODAY()&gt;$J275,"OVERDUE","Pending"),IF($H275="","Pending","CHECK DATE"))))</f>
        <v/>
      </c>
      <c r="M275" s="16" t="n"/>
      <c r="N275" s="16" t="n"/>
    </row>
    <row r="276">
      <c r="B276" s="17">
        <f>IF($D276="","","ME"&amp;TEXT(ROW()-5,"000"))</f>
        <v/>
      </c>
      <c r="C276" s="18" t="n"/>
      <c r="D276" s="16" t="n"/>
      <c r="E276" s="17">
        <f>IF($D276="","",IFERROR(INDEX(rngCadetPIDs,MATCH($D276,rngCadetNames,0)),"?"))</f>
        <v/>
      </c>
      <c r="F276" s="16" t="n"/>
      <c r="G276" s="16" t="n"/>
      <c r="H276" s="19">
        <f>IF($D276="","",IF($C276="","(enter date)",_xlfn.LET(_xlpm.dn,_xlfn.XLOOKUP($C276,nrCDdate,nrCDnum,"",1),IF(_xlpm.dn="","(after last class day)",_xlfn.LET(_xlpm.dd,_xlfn.XLOOKUP(_xlpm.dn+cfgMemoDueClassDays,nrCDnum,nrCDdate,""),_xlpm.ok,_xlfn.XLOOKUP(_xlpm.dn+cfgMemoDueClassDays,nrCDnum,nrCDinsession,"No"),IF(OR(_xlpm.dd="",_xlpm.ok&lt;&gt;"Yes"),"(after last class day)",_xlpm.dd))))))</f>
        <v/>
      </c>
      <c r="I276" s="18" t="n"/>
      <c r="J276" s="19">
        <f>IF($D276="","",IF($I276&lt;&gt;"",$I276,IF(ISNUMBER($H276),$H276,"")))</f>
        <v/>
      </c>
      <c r="K276" s="18" t="n"/>
      <c r="L276" s="17">
        <f>IF($D276="","",IF($K276&lt;&gt;"","Received "&amp;TEXT($K276,"mm/dd"),IF(ISNUMBER($J276),IF(TODAY()&gt;$J276,"OVERDUE","Pending"),IF($H276="","Pending","CHECK DATE"))))</f>
        <v/>
      </c>
      <c r="M276" s="16" t="n"/>
      <c r="N276" s="16" t="n"/>
    </row>
    <row r="277">
      <c r="B277" s="17">
        <f>IF($D277="","","ME"&amp;TEXT(ROW()-5,"000"))</f>
        <v/>
      </c>
      <c r="C277" s="18" t="n"/>
      <c r="D277" s="16" t="n"/>
      <c r="E277" s="17">
        <f>IF($D277="","",IFERROR(INDEX(rngCadetPIDs,MATCH($D277,rngCadetNames,0)),"?"))</f>
        <v/>
      </c>
      <c r="F277" s="16" t="n"/>
      <c r="G277" s="16" t="n"/>
      <c r="H277" s="19">
        <f>IF($D277="","",IF($C277="","(enter date)",_xlfn.LET(_xlpm.dn,_xlfn.XLOOKUP($C277,nrCDdate,nrCDnum,"",1),IF(_xlpm.dn="","(after last class day)",_xlfn.LET(_xlpm.dd,_xlfn.XLOOKUP(_xlpm.dn+cfgMemoDueClassDays,nrCDnum,nrCDdate,""),_xlpm.ok,_xlfn.XLOOKUP(_xlpm.dn+cfgMemoDueClassDays,nrCDnum,nrCDinsession,"No"),IF(OR(_xlpm.dd="",_xlpm.ok&lt;&gt;"Yes"),"(after last class day)",_xlpm.dd))))))</f>
        <v/>
      </c>
      <c r="I277" s="18" t="n"/>
      <c r="J277" s="19">
        <f>IF($D277="","",IF($I277&lt;&gt;"",$I277,IF(ISNUMBER($H277),$H277,"")))</f>
        <v/>
      </c>
      <c r="K277" s="18" t="n"/>
      <c r="L277" s="17">
        <f>IF($D277="","",IF($K277&lt;&gt;"","Received "&amp;TEXT($K277,"mm/dd"),IF(ISNUMBER($J277),IF(TODAY()&gt;$J277,"OVERDUE","Pending"),IF($H277="","Pending","CHECK DATE"))))</f>
        <v/>
      </c>
      <c r="M277" s="16" t="n"/>
      <c r="N277" s="16" t="n"/>
    </row>
    <row r="278">
      <c r="B278" s="17">
        <f>IF($D278="","","ME"&amp;TEXT(ROW()-5,"000"))</f>
        <v/>
      </c>
      <c r="C278" s="18" t="n"/>
      <c r="D278" s="16" t="n"/>
      <c r="E278" s="17">
        <f>IF($D278="","",IFERROR(INDEX(rngCadetPIDs,MATCH($D278,rngCadetNames,0)),"?"))</f>
        <v/>
      </c>
      <c r="F278" s="16" t="n"/>
      <c r="G278" s="16" t="n"/>
      <c r="H278" s="19">
        <f>IF($D278="","",IF($C278="","(enter date)",_xlfn.LET(_xlpm.dn,_xlfn.XLOOKUP($C278,nrCDdate,nrCDnum,"",1),IF(_xlpm.dn="","(after last class day)",_xlfn.LET(_xlpm.dd,_xlfn.XLOOKUP(_xlpm.dn+cfgMemoDueClassDays,nrCDnum,nrCDdate,""),_xlpm.ok,_xlfn.XLOOKUP(_xlpm.dn+cfgMemoDueClassDays,nrCDnum,nrCDinsession,"No"),IF(OR(_xlpm.dd="",_xlpm.ok&lt;&gt;"Yes"),"(after last class day)",_xlpm.dd))))))</f>
        <v/>
      </c>
      <c r="I278" s="18" t="n"/>
      <c r="J278" s="19">
        <f>IF($D278="","",IF($I278&lt;&gt;"",$I278,IF(ISNUMBER($H278),$H278,"")))</f>
        <v/>
      </c>
      <c r="K278" s="18" t="n"/>
      <c r="L278" s="17">
        <f>IF($D278="","",IF($K278&lt;&gt;"","Received "&amp;TEXT($K278,"mm/dd"),IF(ISNUMBER($J278),IF(TODAY()&gt;$J278,"OVERDUE","Pending"),IF($H278="","Pending","CHECK DATE"))))</f>
        <v/>
      </c>
      <c r="M278" s="16" t="n"/>
      <c r="N278" s="16" t="n"/>
    </row>
    <row r="279">
      <c r="B279" s="17">
        <f>IF($D279="","","ME"&amp;TEXT(ROW()-5,"000"))</f>
        <v/>
      </c>
      <c r="C279" s="18" t="n"/>
      <c r="D279" s="16" t="n"/>
      <c r="E279" s="17">
        <f>IF($D279="","",IFERROR(INDEX(rngCadetPIDs,MATCH($D279,rngCadetNames,0)),"?"))</f>
        <v/>
      </c>
      <c r="F279" s="16" t="n"/>
      <c r="G279" s="16" t="n"/>
      <c r="H279" s="19">
        <f>IF($D279="","",IF($C279="","(enter date)",_xlfn.LET(_xlpm.dn,_xlfn.XLOOKUP($C279,nrCDdate,nrCDnum,"",1),IF(_xlpm.dn="","(after last class day)",_xlfn.LET(_xlpm.dd,_xlfn.XLOOKUP(_xlpm.dn+cfgMemoDueClassDays,nrCDnum,nrCDdate,""),_xlpm.ok,_xlfn.XLOOKUP(_xlpm.dn+cfgMemoDueClassDays,nrCDnum,nrCDinsession,"No"),IF(OR(_xlpm.dd="",_xlpm.ok&lt;&gt;"Yes"),"(after last class day)",_xlpm.dd))))))</f>
        <v/>
      </c>
      <c r="I279" s="18" t="n"/>
      <c r="J279" s="19">
        <f>IF($D279="","",IF($I279&lt;&gt;"",$I279,IF(ISNUMBER($H279),$H279,"")))</f>
        <v/>
      </c>
      <c r="K279" s="18" t="n"/>
      <c r="L279" s="17">
        <f>IF($D279="","",IF($K279&lt;&gt;"","Received "&amp;TEXT($K279,"mm/dd"),IF(ISNUMBER($J279),IF(TODAY()&gt;$J279,"OVERDUE","Pending"),IF($H279="","Pending","CHECK DATE"))))</f>
        <v/>
      </c>
      <c r="M279" s="16" t="n"/>
      <c r="N279" s="16" t="n"/>
    </row>
    <row r="280">
      <c r="B280" s="17">
        <f>IF($D280="","","ME"&amp;TEXT(ROW()-5,"000"))</f>
        <v/>
      </c>
      <c r="C280" s="18" t="n"/>
      <c r="D280" s="16" t="n"/>
      <c r="E280" s="17">
        <f>IF($D280="","",IFERROR(INDEX(rngCadetPIDs,MATCH($D280,rngCadetNames,0)),"?"))</f>
        <v/>
      </c>
      <c r="F280" s="16" t="n"/>
      <c r="G280" s="16" t="n"/>
      <c r="H280" s="19">
        <f>IF($D280="","",IF($C280="","(enter date)",_xlfn.LET(_xlpm.dn,_xlfn.XLOOKUP($C280,nrCDdate,nrCDnum,"",1),IF(_xlpm.dn="","(after last class day)",_xlfn.LET(_xlpm.dd,_xlfn.XLOOKUP(_xlpm.dn+cfgMemoDueClassDays,nrCDnum,nrCDdate,""),_xlpm.ok,_xlfn.XLOOKUP(_xlpm.dn+cfgMemoDueClassDays,nrCDnum,nrCDinsession,"No"),IF(OR(_xlpm.dd="",_xlpm.ok&lt;&gt;"Yes"),"(after last class day)",_xlpm.dd))))))</f>
        <v/>
      </c>
      <c r="I280" s="18" t="n"/>
      <c r="J280" s="19">
        <f>IF($D280="","",IF($I280&lt;&gt;"",$I280,IF(ISNUMBER($H280),$H280,"")))</f>
        <v/>
      </c>
      <c r="K280" s="18" t="n"/>
      <c r="L280" s="17">
        <f>IF($D280="","",IF($K280&lt;&gt;"","Received "&amp;TEXT($K280,"mm/dd"),IF(ISNUMBER($J280),IF(TODAY()&gt;$J280,"OVERDUE","Pending"),IF($H280="","Pending","CHECK DATE"))))</f>
        <v/>
      </c>
      <c r="M280" s="16" t="n"/>
      <c r="N280" s="16" t="n"/>
    </row>
    <row r="281">
      <c r="B281" s="17">
        <f>IF($D281="","","ME"&amp;TEXT(ROW()-5,"000"))</f>
        <v/>
      </c>
      <c r="C281" s="18" t="n"/>
      <c r="D281" s="16" t="n"/>
      <c r="E281" s="17">
        <f>IF($D281="","",IFERROR(INDEX(rngCadetPIDs,MATCH($D281,rngCadetNames,0)),"?"))</f>
        <v/>
      </c>
      <c r="F281" s="16" t="n"/>
      <c r="G281" s="16" t="n"/>
      <c r="H281" s="19">
        <f>IF($D281="","",IF($C281="","(enter date)",_xlfn.LET(_xlpm.dn,_xlfn.XLOOKUP($C281,nrCDdate,nrCDnum,"",1),IF(_xlpm.dn="","(after last class day)",_xlfn.LET(_xlpm.dd,_xlfn.XLOOKUP(_xlpm.dn+cfgMemoDueClassDays,nrCDnum,nrCDdate,""),_xlpm.ok,_xlfn.XLOOKUP(_xlpm.dn+cfgMemoDueClassDays,nrCDnum,nrCDinsession,"No"),IF(OR(_xlpm.dd="",_xlpm.ok&lt;&gt;"Yes"),"(after last class day)",_xlpm.dd))))))</f>
        <v/>
      </c>
      <c r="I281" s="18" t="n"/>
      <c r="J281" s="19">
        <f>IF($D281="","",IF($I281&lt;&gt;"",$I281,IF(ISNUMBER($H281),$H281,"")))</f>
        <v/>
      </c>
      <c r="K281" s="18" t="n"/>
      <c r="L281" s="17">
        <f>IF($D281="","",IF($K281&lt;&gt;"","Received "&amp;TEXT($K281,"mm/dd"),IF(ISNUMBER($J281),IF(TODAY()&gt;$J281,"OVERDUE","Pending"),IF($H281="","Pending","CHECK DATE"))))</f>
        <v/>
      </c>
      <c r="M281" s="16" t="n"/>
      <c r="N281" s="16" t="n"/>
    </row>
    <row r="282">
      <c r="B282" s="17">
        <f>IF($D282="","","ME"&amp;TEXT(ROW()-5,"000"))</f>
        <v/>
      </c>
      <c r="C282" s="18" t="n"/>
      <c r="D282" s="16" t="n"/>
      <c r="E282" s="17">
        <f>IF($D282="","",IFERROR(INDEX(rngCadetPIDs,MATCH($D282,rngCadetNames,0)),"?"))</f>
        <v/>
      </c>
      <c r="F282" s="16" t="n"/>
      <c r="G282" s="16" t="n"/>
      <c r="H282" s="19">
        <f>IF($D282="","",IF($C282="","(enter date)",_xlfn.LET(_xlpm.dn,_xlfn.XLOOKUP($C282,nrCDdate,nrCDnum,"",1),IF(_xlpm.dn="","(after last class day)",_xlfn.LET(_xlpm.dd,_xlfn.XLOOKUP(_xlpm.dn+cfgMemoDueClassDays,nrCDnum,nrCDdate,""),_xlpm.ok,_xlfn.XLOOKUP(_xlpm.dn+cfgMemoDueClassDays,nrCDnum,nrCDinsession,"No"),IF(OR(_xlpm.dd="",_xlpm.ok&lt;&gt;"Yes"),"(after last class day)",_xlpm.dd))))))</f>
        <v/>
      </c>
      <c r="I282" s="18" t="n"/>
      <c r="J282" s="19">
        <f>IF($D282="","",IF($I282&lt;&gt;"",$I282,IF(ISNUMBER($H282),$H282,"")))</f>
        <v/>
      </c>
      <c r="K282" s="18" t="n"/>
      <c r="L282" s="17">
        <f>IF($D282="","",IF($K282&lt;&gt;"","Received "&amp;TEXT($K282,"mm/dd"),IF(ISNUMBER($J282),IF(TODAY()&gt;$J282,"OVERDUE","Pending"),IF($H282="","Pending","CHECK DATE"))))</f>
        <v/>
      </c>
      <c r="M282" s="16" t="n"/>
      <c r="N282" s="16" t="n"/>
    </row>
    <row r="283">
      <c r="B283" s="17">
        <f>IF($D283="","","ME"&amp;TEXT(ROW()-5,"000"))</f>
        <v/>
      </c>
      <c r="C283" s="18" t="n"/>
      <c r="D283" s="16" t="n"/>
      <c r="E283" s="17">
        <f>IF($D283="","",IFERROR(INDEX(rngCadetPIDs,MATCH($D283,rngCadetNames,0)),"?"))</f>
        <v/>
      </c>
      <c r="F283" s="16" t="n"/>
      <c r="G283" s="16" t="n"/>
      <c r="H283" s="19">
        <f>IF($D283="","",IF($C283="","(enter date)",_xlfn.LET(_xlpm.dn,_xlfn.XLOOKUP($C283,nrCDdate,nrCDnum,"",1),IF(_xlpm.dn="","(after last class day)",_xlfn.LET(_xlpm.dd,_xlfn.XLOOKUP(_xlpm.dn+cfgMemoDueClassDays,nrCDnum,nrCDdate,""),_xlpm.ok,_xlfn.XLOOKUP(_xlpm.dn+cfgMemoDueClassDays,nrCDnum,nrCDinsession,"No"),IF(OR(_xlpm.dd="",_xlpm.ok&lt;&gt;"Yes"),"(after last class day)",_xlpm.dd))))))</f>
        <v/>
      </c>
      <c r="I283" s="18" t="n"/>
      <c r="J283" s="19">
        <f>IF($D283="","",IF($I283&lt;&gt;"",$I283,IF(ISNUMBER($H283),$H283,"")))</f>
        <v/>
      </c>
      <c r="K283" s="18" t="n"/>
      <c r="L283" s="17">
        <f>IF($D283="","",IF($K283&lt;&gt;"","Received "&amp;TEXT($K283,"mm/dd"),IF(ISNUMBER($J283),IF(TODAY()&gt;$J283,"OVERDUE","Pending"),IF($H283="","Pending","CHECK DATE"))))</f>
        <v/>
      </c>
      <c r="M283" s="16" t="n"/>
      <c r="N283" s="16" t="n"/>
    </row>
    <row r="284">
      <c r="B284" s="17">
        <f>IF($D284="","","ME"&amp;TEXT(ROW()-5,"000"))</f>
        <v/>
      </c>
      <c r="C284" s="18" t="n"/>
      <c r="D284" s="16" t="n"/>
      <c r="E284" s="17">
        <f>IF($D284="","",IFERROR(INDEX(rngCadetPIDs,MATCH($D284,rngCadetNames,0)),"?"))</f>
        <v/>
      </c>
      <c r="F284" s="16" t="n"/>
      <c r="G284" s="16" t="n"/>
      <c r="H284" s="19">
        <f>IF($D284="","",IF($C284="","(enter date)",_xlfn.LET(_xlpm.dn,_xlfn.XLOOKUP($C284,nrCDdate,nrCDnum,"",1),IF(_xlpm.dn="","(after last class day)",_xlfn.LET(_xlpm.dd,_xlfn.XLOOKUP(_xlpm.dn+cfgMemoDueClassDays,nrCDnum,nrCDdate,""),_xlpm.ok,_xlfn.XLOOKUP(_xlpm.dn+cfgMemoDueClassDays,nrCDnum,nrCDinsession,"No"),IF(OR(_xlpm.dd="",_xlpm.ok&lt;&gt;"Yes"),"(after last class day)",_xlpm.dd))))))</f>
        <v/>
      </c>
      <c r="I284" s="18" t="n"/>
      <c r="J284" s="19">
        <f>IF($D284="","",IF($I284&lt;&gt;"",$I284,IF(ISNUMBER($H284),$H284,"")))</f>
        <v/>
      </c>
      <c r="K284" s="18" t="n"/>
      <c r="L284" s="17">
        <f>IF($D284="","",IF($K284&lt;&gt;"","Received "&amp;TEXT($K284,"mm/dd"),IF(ISNUMBER($J284),IF(TODAY()&gt;$J284,"OVERDUE","Pending"),IF($H284="","Pending","CHECK DATE"))))</f>
        <v/>
      </c>
      <c r="M284" s="16" t="n"/>
      <c r="N284" s="16" t="n"/>
    </row>
    <row r="285">
      <c r="B285" s="17">
        <f>IF($D285="","","ME"&amp;TEXT(ROW()-5,"000"))</f>
        <v/>
      </c>
      <c r="C285" s="18" t="n"/>
      <c r="D285" s="16" t="n"/>
      <c r="E285" s="17">
        <f>IF($D285="","",IFERROR(INDEX(rngCadetPIDs,MATCH($D285,rngCadetNames,0)),"?"))</f>
        <v/>
      </c>
      <c r="F285" s="16" t="n"/>
      <c r="G285" s="16" t="n"/>
      <c r="H285" s="19">
        <f>IF($D285="","",IF($C285="","(enter date)",_xlfn.LET(_xlpm.dn,_xlfn.XLOOKUP($C285,nrCDdate,nrCDnum,"",1),IF(_xlpm.dn="","(after last class day)",_xlfn.LET(_xlpm.dd,_xlfn.XLOOKUP(_xlpm.dn+cfgMemoDueClassDays,nrCDnum,nrCDdate,""),_xlpm.ok,_xlfn.XLOOKUP(_xlpm.dn+cfgMemoDueClassDays,nrCDnum,nrCDinsession,"No"),IF(OR(_xlpm.dd="",_xlpm.ok&lt;&gt;"Yes"),"(after last class day)",_xlpm.dd))))))</f>
        <v/>
      </c>
      <c r="I285" s="18" t="n"/>
      <c r="J285" s="19">
        <f>IF($D285="","",IF($I285&lt;&gt;"",$I285,IF(ISNUMBER($H285),$H285,"")))</f>
        <v/>
      </c>
      <c r="K285" s="18" t="n"/>
      <c r="L285" s="17">
        <f>IF($D285="","",IF($K285&lt;&gt;"","Received "&amp;TEXT($K285,"mm/dd"),IF(ISNUMBER($J285),IF(TODAY()&gt;$J285,"OVERDUE","Pending"),IF($H285="","Pending","CHECK DATE"))))</f>
        <v/>
      </c>
      <c r="M285" s="16" t="n"/>
      <c r="N285" s="16" t="n"/>
    </row>
    <row r="286">
      <c r="B286" s="17">
        <f>IF($D286="","","ME"&amp;TEXT(ROW()-5,"000"))</f>
        <v/>
      </c>
      <c r="C286" s="18" t="n"/>
      <c r="D286" s="16" t="n"/>
      <c r="E286" s="17">
        <f>IF($D286="","",IFERROR(INDEX(rngCadetPIDs,MATCH($D286,rngCadetNames,0)),"?"))</f>
        <v/>
      </c>
      <c r="F286" s="16" t="n"/>
      <c r="G286" s="16" t="n"/>
      <c r="H286" s="19">
        <f>IF($D286="","",IF($C286="","(enter date)",_xlfn.LET(_xlpm.dn,_xlfn.XLOOKUP($C286,nrCDdate,nrCDnum,"",1),IF(_xlpm.dn="","(after last class day)",_xlfn.LET(_xlpm.dd,_xlfn.XLOOKUP(_xlpm.dn+cfgMemoDueClassDays,nrCDnum,nrCDdate,""),_xlpm.ok,_xlfn.XLOOKUP(_xlpm.dn+cfgMemoDueClassDays,nrCDnum,nrCDinsession,"No"),IF(OR(_xlpm.dd="",_xlpm.ok&lt;&gt;"Yes"),"(after last class day)",_xlpm.dd))))))</f>
        <v/>
      </c>
      <c r="I286" s="18" t="n"/>
      <c r="J286" s="19">
        <f>IF($D286="","",IF($I286&lt;&gt;"",$I286,IF(ISNUMBER($H286),$H286,"")))</f>
        <v/>
      </c>
      <c r="K286" s="18" t="n"/>
      <c r="L286" s="17">
        <f>IF($D286="","",IF($K286&lt;&gt;"","Received "&amp;TEXT($K286,"mm/dd"),IF(ISNUMBER($J286),IF(TODAY()&gt;$J286,"OVERDUE","Pending"),IF($H286="","Pending","CHECK DATE"))))</f>
        <v/>
      </c>
      <c r="M286" s="16" t="n"/>
      <c r="N286" s="16" t="n"/>
    </row>
    <row r="287">
      <c r="B287" s="17">
        <f>IF($D287="","","ME"&amp;TEXT(ROW()-5,"000"))</f>
        <v/>
      </c>
      <c r="C287" s="18" t="n"/>
      <c r="D287" s="16" t="n"/>
      <c r="E287" s="17">
        <f>IF($D287="","",IFERROR(INDEX(rngCadetPIDs,MATCH($D287,rngCadetNames,0)),"?"))</f>
        <v/>
      </c>
      <c r="F287" s="16" t="n"/>
      <c r="G287" s="16" t="n"/>
      <c r="H287" s="19">
        <f>IF($D287="","",IF($C287="","(enter date)",_xlfn.LET(_xlpm.dn,_xlfn.XLOOKUP($C287,nrCDdate,nrCDnum,"",1),IF(_xlpm.dn="","(after last class day)",_xlfn.LET(_xlpm.dd,_xlfn.XLOOKUP(_xlpm.dn+cfgMemoDueClassDays,nrCDnum,nrCDdate,""),_xlpm.ok,_xlfn.XLOOKUP(_xlpm.dn+cfgMemoDueClassDays,nrCDnum,nrCDinsession,"No"),IF(OR(_xlpm.dd="",_xlpm.ok&lt;&gt;"Yes"),"(after last class day)",_xlpm.dd))))))</f>
        <v/>
      </c>
      <c r="I287" s="18" t="n"/>
      <c r="J287" s="19">
        <f>IF($D287="","",IF($I287&lt;&gt;"",$I287,IF(ISNUMBER($H287),$H287,"")))</f>
        <v/>
      </c>
      <c r="K287" s="18" t="n"/>
      <c r="L287" s="17">
        <f>IF($D287="","",IF($K287&lt;&gt;"","Received "&amp;TEXT($K287,"mm/dd"),IF(ISNUMBER($J287),IF(TODAY()&gt;$J287,"OVERDUE","Pending"),IF($H287="","Pending","CHECK DATE"))))</f>
        <v/>
      </c>
      <c r="M287" s="16" t="n"/>
      <c r="N287" s="16" t="n"/>
    </row>
    <row r="288">
      <c r="B288" s="17">
        <f>IF($D288="","","ME"&amp;TEXT(ROW()-5,"000"))</f>
        <v/>
      </c>
      <c r="C288" s="18" t="n"/>
      <c r="D288" s="16" t="n"/>
      <c r="E288" s="17">
        <f>IF($D288="","",IFERROR(INDEX(rngCadetPIDs,MATCH($D288,rngCadetNames,0)),"?"))</f>
        <v/>
      </c>
      <c r="F288" s="16" t="n"/>
      <c r="G288" s="16" t="n"/>
      <c r="H288" s="19">
        <f>IF($D288="","",IF($C288="","(enter date)",_xlfn.LET(_xlpm.dn,_xlfn.XLOOKUP($C288,nrCDdate,nrCDnum,"",1),IF(_xlpm.dn="","(after last class day)",_xlfn.LET(_xlpm.dd,_xlfn.XLOOKUP(_xlpm.dn+cfgMemoDueClassDays,nrCDnum,nrCDdate,""),_xlpm.ok,_xlfn.XLOOKUP(_xlpm.dn+cfgMemoDueClassDays,nrCDnum,nrCDinsession,"No"),IF(OR(_xlpm.dd="",_xlpm.ok&lt;&gt;"Yes"),"(after last class day)",_xlpm.dd))))))</f>
        <v/>
      </c>
      <c r="I288" s="18" t="n"/>
      <c r="J288" s="19">
        <f>IF($D288="","",IF($I288&lt;&gt;"",$I288,IF(ISNUMBER($H288),$H288,"")))</f>
        <v/>
      </c>
      <c r="K288" s="18" t="n"/>
      <c r="L288" s="17">
        <f>IF($D288="","",IF($K288&lt;&gt;"","Received "&amp;TEXT($K288,"mm/dd"),IF(ISNUMBER($J288),IF(TODAY()&gt;$J288,"OVERDUE","Pending"),IF($H288="","Pending","CHECK DATE"))))</f>
        <v/>
      </c>
      <c r="M288" s="16" t="n"/>
      <c r="N288" s="16" t="n"/>
    </row>
    <row r="289">
      <c r="B289" s="17">
        <f>IF($D289="","","ME"&amp;TEXT(ROW()-5,"000"))</f>
        <v/>
      </c>
      <c r="C289" s="18" t="n"/>
      <c r="D289" s="16" t="n"/>
      <c r="E289" s="17">
        <f>IF($D289="","",IFERROR(INDEX(rngCadetPIDs,MATCH($D289,rngCadetNames,0)),"?"))</f>
        <v/>
      </c>
      <c r="F289" s="16" t="n"/>
      <c r="G289" s="16" t="n"/>
      <c r="H289" s="19">
        <f>IF($D289="","",IF($C289="","(enter date)",_xlfn.LET(_xlpm.dn,_xlfn.XLOOKUP($C289,nrCDdate,nrCDnum,"",1),IF(_xlpm.dn="","(after last class day)",_xlfn.LET(_xlpm.dd,_xlfn.XLOOKUP(_xlpm.dn+cfgMemoDueClassDays,nrCDnum,nrCDdate,""),_xlpm.ok,_xlfn.XLOOKUP(_xlpm.dn+cfgMemoDueClassDays,nrCDnum,nrCDinsession,"No"),IF(OR(_xlpm.dd="",_xlpm.ok&lt;&gt;"Yes"),"(after last class day)",_xlpm.dd))))))</f>
        <v/>
      </c>
      <c r="I289" s="18" t="n"/>
      <c r="J289" s="19">
        <f>IF($D289="","",IF($I289&lt;&gt;"",$I289,IF(ISNUMBER($H289),$H289,"")))</f>
        <v/>
      </c>
      <c r="K289" s="18" t="n"/>
      <c r="L289" s="17">
        <f>IF($D289="","",IF($K289&lt;&gt;"","Received "&amp;TEXT($K289,"mm/dd"),IF(ISNUMBER($J289),IF(TODAY()&gt;$J289,"OVERDUE","Pending"),IF($H289="","Pending","CHECK DATE"))))</f>
        <v/>
      </c>
      <c r="M289" s="16" t="n"/>
      <c r="N289" s="16" t="n"/>
    </row>
    <row r="290">
      <c r="B290" s="17">
        <f>IF($D290="","","ME"&amp;TEXT(ROW()-5,"000"))</f>
        <v/>
      </c>
      <c r="C290" s="18" t="n"/>
      <c r="D290" s="16" t="n"/>
      <c r="E290" s="17">
        <f>IF($D290="","",IFERROR(INDEX(rngCadetPIDs,MATCH($D290,rngCadetNames,0)),"?"))</f>
        <v/>
      </c>
      <c r="F290" s="16" t="n"/>
      <c r="G290" s="16" t="n"/>
      <c r="H290" s="19">
        <f>IF($D290="","",IF($C290="","(enter date)",_xlfn.LET(_xlpm.dn,_xlfn.XLOOKUP($C290,nrCDdate,nrCDnum,"",1),IF(_xlpm.dn="","(after last class day)",_xlfn.LET(_xlpm.dd,_xlfn.XLOOKUP(_xlpm.dn+cfgMemoDueClassDays,nrCDnum,nrCDdate,""),_xlpm.ok,_xlfn.XLOOKUP(_xlpm.dn+cfgMemoDueClassDays,nrCDnum,nrCDinsession,"No"),IF(OR(_xlpm.dd="",_xlpm.ok&lt;&gt;"Yes"),"(after last class day)",_xlpm.dd))))))</f>
        <v/>
      </c>
      <c r="I290" s="18" t="n"/>
      <c r="J290" s="19">
        <f>IF($D290="","",IF($I290&lt;&gt;"",$I290,IF(ISNUMBER($H290),$H290,"")))</f>
        <v/>
      </c>
      <c r="K290" s="18" t="n"/>
      <c r="L290" s="17">
        <f>IF($D290="","",IF($K290&lt;&gt;"","Received "&amp;TEXT($K290,"mm/dd"),IF(ISNUMBER($J290),IF(TODAY()&gt;$J290,"OVERDUE","Pending"),IF($H290="","Pending","CHECK DATE"))))</f>
        <v/>
      </c>
      <c r="M290" s="16" t="n"/>
      <c r="N290" s="16" t="n"/>
    </row>
    <row r="291">
      <c r="B291" s="17">
        <f>IF($D291="","","ME"&amp;TEXT(ROW()-5,"000"))</f>
        <v/>
      </c>
      <c r="C291" s="18" t="n"/>
      <c r="D291" s="16" t="n"/>
      <c r="E291" s="17">
        <f>IF($D291="","",IFERROR(INDEX(rngCadetPIDs,MATCH($D291,rngCadetNames,0)),"?"))</f>
        <v/>
      </c>
      <c r="F291" s="16" t="n"/>
      <c r="G291" s="16" t="n"/>
      <c r="H291" s="19">
        <f>IF($D291="","",IF($C291="","(enter date)",_xlfn.LET(_xlpm.dn,_xlfn.XLOOKUP($C291,nrCDdate,nrCDnum,"",1),IF(_xlpm.dn="","(after last class day)",_xlfn.LET(_xlpm.dd,_xlfn.XLOOKUP(_xlpm.dn+cfgMemoDueClassDays,nrCDnum,nrCDdate,""),_xlpm.ok,_xlfn.XLOOKUP(_xlpm.dn+cfgMemoDueClassDays,nrCDnum,nrCDinsession,"No"),IF(OR(_xlpm.dd="",_xlpm.ok&lt;&gt;"Yes"),"(after last class day)",_xlpm.dd))))))</f>
        <v/>
      </c>
      <c r="I291" s="18" t="n"/>
      <c r="J291" s="19">
        <f>IF($D291="","",IF($I291&lt;&gt;"",$I291,IF(ISNUMBER($H291),$H291,"")))</f>
        <v/>
      </c>
      <c r="K291" s="18" t="n"/>
      <c r="L291" s="17">
        <f>IF($D291="","",IF($K291&lt;&gt;"","Received "&amp;TEXT($K291,"mm/dd"),IF(ISNUMBER($J291),IF(TODAY()&gt;$J291,"OVERDUE","Pending"),IF($H291="","Pending","CHECK DATE"))))</f>
        <v/>
      </c>
      <c r="M291" s="16" t="n"/>
      <c r="N291" s="16" t="n"/>
    </row>
    <row r="292">
      <c r="B292" s="17">
        <f>IF($D292="","","ME"&amp;TEXT(ROW()-5,"000"))</f>
        <v/>
      </c>
      <c r="C292" s="18" t="n"/>
      <c r="D292" s="16" t="n"/>
      <c r="E292" s="17">
        <f>IF($D292="","",IFERROR(INDEX(rngCadetPIDs,MATCH($D292,rngCadetNames,0)),"?"))</f>
        <v/>
      </c>
      <c r="F292" s="16" t="n"/>
      <c r="G292" s="16" t="n"/>
      <c r="H292" s="19">
        <f>IF($D292="","",IF($C292="","(enter date)",_xlfn.LET(_xlpm.dn,_xlfn.XLOOKUP($C292,nrCDdate,nrCDnum,"",1),IF(_xlpm.dn="","(after last class day)",_xlfn.LET(_xlpm.dd,_xlfn.XLOOKUP(_xlpm.dn+cfgMemoDueClassDays,nrCDnum,nrCDdate,""),_xlpm.ok,_xlfn.XLOOKUP(_xlpm.dn+cfgMemoDueClassDays,nrCDnum,nrCDinsession,"No"),IF(OR(_xlpm.dd="",_xlpm.ok&lt;&gt;"Yes"),"(after last class day)",_xlpm.dd))))))</f>
        <v/>
      </c>
      <c r="I292" s="18" t="n"/>
      <c r="J292" s="19">
        <f>IF($D292="","",IF($I292&lt;&gt;"",$I292,IF(ISNUMBER($H292),$H292,"")))</f>
        <v/>
      </c>
      <c r="K292" s="18" t="n"/>
      <c r="L292" s="17">
        <f>IF($D292="","",IF($K292&lt;&gt;"","Received "&amp;TEXT($K292,"mm/dd"),IF(ISNUMBER($J292),IF(TODAY()&gt;$J292,"OVERDUE","Pending"),IF($H292="","Pending","CHECK DATE"))))</f>
        <v/>
      </c>
      <c r="M292" s="16" t="n"/>
      <c r="N292" s="16" t="n"/>
    </row>
    <row r="293">
      <c r="B293" s="17">
        <f>IF($D293="","","ME"&amp;TEXT(ROW()-5,"000"))</f>
        <v/>
      </c>
      <c r="C293" s="18" t="n"/>
      <c r="D293" s="16" t="n"/>
      <c r="E293" s="17">
        <f>IF($D293="","",IFERROR(INDEX(rngCadetPIDs,MATCH($D293,rngCadetNames,0)),"?"))</f>
        <v/>
      </c>
      <c r="F293" s="16" t="n"/>
      <c r="G293" s="16" t="n"/>
      <c r="H293" s="19">
        <f>IF($D293="","",IF($C293="","(enter date)",_xlfn.LET(_xlpm.dn,_xlfn.XLOOKUP($C293,nrCDdate,nrCDnum,"",1),IF(_xlpm.dn="","(after last class day)",_xlfn.LET(_xlpm.dd,_xlfn.XLOOKUP(_xlpm.dn+cfgMemoDueClassDays,nrCDnum,nrCDdate,""),_xlpm.ok,_xlfn.XLOOKUP(_xlpm.dn+cfgMemoDueClassDays,nrCDnum,nrCDinsession,"No"),IF(OR(_xlpm.dd="",_xlpm.ok&lt;&gt;"Yes"),"(after last class day)",_xlpm.dd))))))</f>
        <v/>
      </c>
      <c r="I293" s="18" t="n"/>
      <c r="J293" s="19">
        <f>IF($D293="","",IF($I293&lt;&gt;"",$I293,IF(ISNUMBER($H293),$H293,"")))</f>
        <v/>
      </c>
      <c r="K293" s="18" t="n"/>
      <c r="L293" s="17">
        <f>IF($D293="","",IF($K293&lt;&gt;"","Received "&amp;TEXT($K293,"mm/dd"),IF(ISNUMBER($J293),IF(TODAY()&gt;$J293,"OVERDUE","Pending"),IF($H293="","Pending","CHECK DATE"))))</f>
        <v/>
      </c>
      <c r="M293" s="16" t="n"/>
      <c r="N293" s="16" t="n"/>
    </row>
    <row r="294">
      <c r="B294" s="17">
        <f>IF($D294="","","ME"&amp;TEXT(ROW()-5,"000"))</f>
        <v/>
      </c>
      <c r="C294" s="18" t="n"/>
      <c r="D294" s="16" t="n"/>
      <c r="E294" s="17">
        <f>IF($D294="","",IFERROR(INDEX(rngCadetPIDs,MATCH($D294,rngCadetNames,0)),"?"))</f>
        <v/>
      </c>
      <c r="F294" s="16" t="n"/>
      <c r="G294" s="16" t="n"/>
      <c r="H294" s="19">
        <f>IF($D294="","",IF($C294="","(enter date)",_xlfn.LET(_xlpm.dn,_xlfn.XLOOKUP($C294,nrCDdate,nrCDnum,"",1),IF(_xlpm.dn="","(after last class day)",_xlfn.LET(_xlpm.dd,_xlfn.XLOOKUP(_xlpm.dn+cfgMemoDueClassDays,nrCDnum,nrCDdate,""),_xlpm.ok,_xlfn.XLOOKUP(_xlpm.dn+cfgMemoDueClassDays,nrCDnum,nrCDinsession,"No"),IF(OR(_xlpm.dd="",_xlpm.ok&lt;&gt;"Yes"),"(after last class day)",_xlpm.dd))))))</f>
        <v/>
      </c>
      <c r="I294" s="18" t="n"/>
      <c r="J294" s="19">
        <f>IF($D294="","",IF($I294&lt;&gt;"",$I294,IF(ISNUMBER($H294),$H294,"")))</f>
        <v/>
      </c>
      <c r="K294" s="18" t="n"/>
      <c r="L294" s="17">
        <f>IF($D294="","",IF($K294&lt;&gt;"","Received "&amp;TEXT($K294,"mm/dd"),IF(ISNUMBER($J294),IF(TODAY()&gt;$J294,"OVERDUE","Pending"),IF($H294="","Pending","CHECK DATE"))))</f>
        <v/>
      </c>
      <c r="M294" s="16" t="n"/>
      <c r="N294" s="16" t="n"/>
    </row>
    <row r="295">
      <c r="B295" s="17">
        <f>IF($D295="","","ME"&amp;TEXT(ROW()-5,"000"))</f>
        <v/>
      </c>
      <c r="C295" s="18" t="n"/>
      <c r="D295" s="16" t="n"/>
      <c r="E295" s="17">
        <f>IF($D295="","",IFERROR(INDEX(rngCadetPIDs,MATCH($D295,rngCadetNames,0)),"?"))</f>
        <v/>
      </c>
      <c r="F295" s="16" t="n"/>
      <c r="G295" s="16" t="n"/>
      <c r="H295" s="19">
        <f>IF($D295="","",IF($C295="","(enter date)",_xlfn.LET(_xlpm.dn,_xlfn.XLOOKUP($C295,nrCDdate,nrCDnum,"",1),IF(_xlpm.dn="","(after last class day)",_xlfn.LET(_xlpm.dd,_xlfn.XLOOKUP(_xlpm.dn+cfgMemoDueClassDays,nrCDnum,nrCDdate,""),_xlpm.ok,_xlfn.XLOOKUP(_xlpm.dn+cfgMemoDueClassDays,nrCDnum,nrCDinsession,"No"),IF(OR(_xlpm.dd="",_xlpm.ok&lt;&gt;"Yes"),"(after last class day)",_xlpm.dd))))))</f>
        <v/>
      </c>
      <c r="I295" s="18" t="n"/>
      <c r="J295" s="19">
        <f>IF($D295="","",IF($I295&lt;&gt;"",$I295,IF(ISNUMBER($H295),$H295,"")))</f>
        <v/>
      </c>
      <c r="K295" s="18" t="n"/>
      <c r="L295" s="17">
        <f>IF($D295="","",IF($K295&lt;&gt;"","Received "&amp;TEXT($K295,"mm/dd"),IF(ISNUMBER($J295),IF(TODAY()&gt;$J295,"OVERDUE","Pending"),IF($H295="","Pending","CHECK DATE"))))</f>
        <v/>
      </c>
      <c r="M295" s="16" t="n"/>
      <c r="N295" s="16" t="n"/>
    </row>
    <row r="296">
      <c r="B296" s="17">
        <f>IF($D296="","","ME"&amp;TEXT(ROW()-5,"000"))</f>
        <v/>
      </c>
      <c r="C296" s="18" t="n"/>
      <c r="D296" s="16" t="n"/>
      <c r="E296" s="17">
        <f>IF($D296="","",IFERROR(INDEX(rngCadetPIDs,MATCH($D296,rngCadetNames,0)),"?"))</f>
        <v/>
      </c>
      <c r="F296" s="16" t="n"/>
      <c r="G296" s="16" t="n"/>
      <c r="H296" s="19">
        <f>IF($D296="","",IF($C296="","(enter date)",_xlfn.LET(_xlpm.dn,_xlfn.XLOOKUP($C296,nrCDdate,nrCDnum,"",1),IF(_xlpm.dn="","(after last class day)",_xlfn.LET(_xlpm.dd,_xlfn.XLOOKUP(_xlpm.dn+cfgMemoDueClassDays,nrCDnum,nrCDdate,""),_xlpm.ok,_xlfn.XLOOKUP(_xlpm.dn+cfgMemoDueClassDays,nrCDnum,nrCDinsession,"No"),IF(OR(_xlpm.dd="",_xlpm.ok&lt;&gt;"Yes"),"(after last class day)",_xlpm.dd))))))</f>
        <v/>
      </c>
      <c r="I296" s="18" t="n"/>
      <c r="J296" s="19">
        <f>IF($D296="","",IF($I296&lt;&gt;"",$I296,IF(ISNUMBER($H296),$H296,"")))</f>
        <v/>
      </c>
      <c r="K296" s="18" t="n"/>
      <c r="L296" s="17">
        <f>IF($D296="","",IF($K296&lt;&gt;"","Received "&amp;TEXT($K296,"mm/dd"),IF(ISNUMBER($J296),IF(TODAY()&gt;$J296,"OVERDUE","Pending"),IF($H296="","Pending","CHECK DATE"))))</f>
        <v/>
      </c>
      <c r="M296" s="16" t="n"/>
      <c r="N296" s="16" t="n"/>
    </row>
    <row r="297">
      <c r="B297" s="17">
        <f>IF($D297="","","ME"&amp;TEXT(ROW()-5,"000"))</f>
        <v/>
      </c>
      <c r="C297" s="18" t="n"/>
      <c r="D297" s="16" t="n"/>
      <c r="E297" s="17">
        <f>IF($D297="","",IFERROR(INDEX(rngCadetPIDs,MATCH($D297,rngCadetNames,0)),"?"))</f>
        <v/>
      </c>
      <c r="F297" s="16" t="n"/>
      <c r="G297" s="16" t="n"/>
      <c r="H297" s="19">
        <f>IF($D297="","",IF($C297="","(enter date)",_xlfn.LET(_xlpm.dn,_xlfn.XLOOKUP($C297,nrCDdate,nrCDnum,"",1),IF(_xlpm.dn="","(after last class day)",_xlfn.LET(_xlpm.dd,_xlfn.XLOOKUP(_xlpm.dn+cfgMemoDueClassDays,nrCDnum,nrCDdate,""),_xlpm.ok,_xlfn.XLOOKUP(_xlpm.dn+cfgMemoDueClassDays,nrCDnum,nrCDinsession,"No"),IF(OR(_xlpm.dd="",_xlpm.ok&lt;&gt;"Yes"),"(after last class day)",_xlpm.dd))))))</f>
        <v/>
      </c>
      <c r="I297" s="18" t="n"/>
      <c r="J297" s="19">
        <f>IF($D297="","",IF($I297&lt;&gt;"",$I297,IF(ISNUMBER($H297),$H297,"")))</f>
        <v/>
      </c>
      <c r="K297" s="18" t="n"/>
      <c r="L297" s="17">
        <f>IF($D297="","",IF($K297&lt;&gt;"","Received "&amp;TEXT($K297,"mm/dd"),IF(ISNUMBER($J297),IF(TODAY()&gt;$J297,"OVERDUE","Pending"),IF($H297="","Pending","CHECK DATE"))))</f>
        <v/>
      </c>
      <c r="M297" s="16" t="n"/>
      <c r="N297" s="16" t="n"/>
    </row>
    <row r="298">
      <c r="B298" s="17">
        <f>IF($D298="","","ME"&amp;TEXT(ROW()-5,"000"))</f>
        <v/>
      </c>
      <c r="C298" s="18" t="n"/>
      <c r="D298" s="16" t="n"/>
      <c r="E298" s="17">
        <f>IF($D298="","",IFERROR(INDEX(rngCadetPIDs,MATCH($D298,rngCadetNames,0)),"?"))</f>
        <v/>
      </c>
      <c r="F298" s="16" t="n"/>
      <c r="G298" s="16" t="n"/>
      <c r="H298" s="19">
        <f>IF($D298="","",IF($C298="","(enter date)",_xlfn.LET(_xlpm.dn,_xlfn.XLOOKUP($C298,nrCDdate,nrCDnum,"",1),IF(_xlpm.dn="","(after last class day)",_xlfn.LET(_xlpm.dd,_xlfn.XLOOKUP(_xlpm.dn+cfgMemoDueClassDays,nrCDnum,nrCDdate,""),_xlpm.ok,_xlfn.XLOOKUP(_xlpm.dn+cfgMemoDueClassDays,nrCDnum,nrCDinsession,"No"),IF(OR(_xlpm.dd="",_xlpm.ok&lt;&gt;"Yes"),"(after last class day)",_xlpm.dd))))))</f>
        <v/>
      </c>
      <c r="I298" s="18" t="n"/>
      <c r="J298" s="19">
        <f>IF($D298="","",IF($I298&lt;&gt;"",$I298,IF(ISNUMBER($H298),$H298,"")))</f>
        <v/>
      </c>
      <c r="K298" s="18" t="n"/>
      <c r="L298" s="17">
        <f>IF($D298="","",IF($K298&lt;&gt;"","Received "&amp;TEXT($K298,"mm/dd"),IF(ISNUMBER($J298),IF(TODAY()&gt;$J298,"OVERDUE","Pending"),IF($H298="","Pending","CHECK DATE"))))</f>
        <v/>
      </c>
      <c r="M298" s="16" t="n"/>
      <c r="N298" s="16" t="n"/>
    </row>
    <row r="299">
      <c r="B299" s="17">
        <f>IF($D299="","","ME"&amp;TEXT(ROW()-5,"000"))</f>
        <v/>
      </c>
      <c r="C299" s="18" t="n"/>
      <c r="D299" s="16" t="n"/>
      <c r="E299" s="17">
        <f>IF($D299="","",IFERROR(INDEX(rngCadetPIDs,MATCH($D299,rngCadetNames,0)),"?"))</f>
        <v/>
      </c>
      <c r="F299" s="16" t="n"/>
      <c r="G299" s="16" t="n"/>
      <c r="H299" s="19">
        <f>IF($D299="","",IF($C299="","(enter date)",_xlfn.LET(_xlpm.dn,_xlfn.XLOOKUP($C299,nrCDdate,nrCDnum,"",1),IF(_xlpm.dn="","(after last class day)",_xlfn.LET(_xlpm.dd,_xlfn.XLOOKUP(_xlpm.dn+cfgMemoDueClassDays,nrCDnum,nrCDdate,""),_xlpm.ok,_xlfn.XLOOKUP(_xlpm.dn+cfgMemoDueClassDays,nrCDnum,nrCDinsession,"No"),IF(OR(_xlpm.dd="",_xlpm.ok&lt;&gt;"Yes"),"(after last class day)",_xlpm.dd))))))</f>
        <v/>
      </c>
      <c r="I299" s="18" t="n"/>
      <c r="J299" s="19">
        <f>IF($D299="","",IF($I299&lt;&gt;"",$I299,IF(ISNUMBER($H299),$H299,"")))</f>
        <v/>
      </c>
      <c r="K299" s="18" t="n"/>
      <c r="L299" s="17">
        <f>IF($D299="","",IF($K299&lt;&gt;"","Received "&amp;TEXT($K299,"mm/dd"),IF(ISNUMBER($J299),IF(TODAY()&gt;$J299,"OVERDUE","Pending"),IF($H299="","Pending","CHECK DATE"))))</f>
        <v/>
      </c>
      <c r="M299" s="16" t="n"/>
      <c r="N299" s="16" t="n"/>
    </row>
    <row r="300">
      <c r="B300" s="17">
        <f>IF($D300="","","ME"&amp;TEXT(ROW()-5,"000"))</f>
        <v/>
      </c>
      <c r="C300" s="18" t="n"/>
      <c r="D300" s="16" t="n"/>
      <c r="E300" s="17">
        <f>IF($D300="","",IFERROR(INDEX(rngCadetPIDs,MATCH($D300,rngCadetNames,0)),"?"))</f>
        <v/>
      </c>
      <c r="F300" s="16" t="n"/>
      <c r="G300" s="16" t="n"/>
      <c r="H300" s="19">
        <f>IF($D300="","",IF($C300="","(enter date)",_xlfn.LET(_xlpm.dn,_xlfn.XLOOKUP($C300,nrCDdate,nrCDnum,"",1),IF(_xlpm.dn="","(after last class day)",_xlfn.LET(_xlpm.dd,_xlfn.XLOOKUP(_xlpm.dn+cfgMemoDueClassDays,nrCDnum,nrCDdate,""),_xlpm.ok,_xlfn.XLOOKUP(_xlpm.dn+cfgMemoDueClassDays,nrCDnum,nrCDinsession,"No"),IF(OR(_xlpm.dd="",_xlpm.ok&lt;&gt;"Yes"),"(after last class day)",_xlpm.dd))))))</f>
        <v/>
      </c>
      <c r="I300" s="18" t="n"/>
      <c r="J300" s="19">
        <f>IF($D300="","",IF($I300&lt;&gt;"",$I300,IF(ISNUMBER($H300),$H300,"")))</f>
        <v/>
      </c>
      <c r="K300" s="18" t="n"/>
      <c r="L300" s="17">
        <f>IF($D300="","",IF($K300&lt;&gt;"","Received "&amp;TEXT($K300,"mm/dd"),IF(ISNUMBER($J300),IF(TODAY()&gt;$J300,"OVERDUE","Pending"),IF($H300="","Pending","CHECK DATE"))))</f>
        <v/>
      </c>
      <c r="M300" s="16" t="n"/>
      <c r="N300" s="16" t="n"/>
    </row>
    <row r="301">
      <c r="B301" s="17">
        <f>IF($D301="","","ME"&amp;TEXT(ROW()-5,"000"))</f>
        <v/>
      </c>
      <c r="C301" s="18" t="n"/>
      <c r="D301" s="16" t="n"/>
      <c r="E301" s="17">
        <f>IF($D301="","",IFERROR(INDEX(rngCadetPIDs,MATCH($D301,rngCadetNames,0)),"?"))</f>
        <v/>
      </c>
      <c r="F301" s="16" t="n"/>
      <c r="G301" s="16" t="n"/>
      <c r="H301" s="19">
        <f>IF($D301="","",IF($C301="","(enter date)",_xlfn.LET(_xlpm.dn,_xlfn.XLOOKUP($C301,nrCDdate,nrCDnum,"",1),IF(_xlpm.dn="","(after last class day)",_xlfn.LET(_xlpm.dd,_xlfn.XLOOKUP(_xlpm.dn+cfgMemoDueClassDays,nrCDnum,nrCDdate,""),_xlpm.ok,_xlfn.XLOOKUP(_xlpm.dn+cfgMemoDueClassDays,nrCDnum,nrCDinsession,"No"),IF(OR(_xlpm.dd="",_xlpm.ok&lt;&gt;"Yes"),"(after last class day)",_xlpm.dd))))))</f>
        <v/>
      </c>
      <c r="I301" s="18" t="n"/>
      <c r="J301" s="19">
        <f>IF($D301="","",IF($I301&lt;&gt;"",$I301,IF(ISNUMBER($H301),$H301,"")))</f>
        <v/>
      </c>
      <c r="K301" s="18" t="n"/>
      <c r="L301" s="17">
        <f>IF($D301="","",IF($K301&lt;&gt;"","Received "&amp;TEXT($K301,"mm/dd"),IF(ISNUMBER($J301),IF(TODAY()&gt;$J301,"OVERDUE","Pending"),IF($H301="","Pending","CHECK DATE"))))</f>
        <v/>
      </c>
      <c r="M301" s="16" t="n"/>
      <c r="N301" s="16" t="n"/>
    </row>
    <row r="302">
      <c r="B302" s="17">
        <f>IF($D302="","","ME"&amp;TEXT(ROW()-5,"000"))</f>
        <v/>
      </c>
      <c r="C302" s="18" t="n"/>
      <c r="D302" s="16" t="n"/>
      <c r="E302" s="17">
        <f>IF($D302="","",IFERROR(INDEX(rngCadetPIDs,MATCH($D302,rngCadetNames,0)),"?"))</f>
        <v/>
      </c>
      <c r="F302" s="16" t="n"/>
      <c r="G302" s="16" t="n"/>
      <c r="H302" s="19">
        <f>IF($D302="","",IF($C302="","(enter date)",_xlfn.LET(_xlpm.dn,_xlfn.XLOOKUP($C302,nrCDdate,nrCDnum,"",1),IF(_xlpm.dn="","(after last class day)",_xlfn.LET(_xlpm.dd,_xlfn.XLOOKUP(_xlpm.dn+cfgMemoDueClassDays,nrCDnum,nrCDdate,""),_xlpm.ok,_xlfn.XLOOKUP(_xlpm.dn+cfgMemoDueClassDays,nrCDnum,nrCDinsession,"No"),IF(OR(_xlpm.dd="",_xlpm.ok&lt;&gt;"Yes"),"(after last class day)",_xlpm.dd))))))</f>
        <v/>
      </c>
      <c r="I302" s="18" t="n"/>
      <c r="J302" s="19">
        <f>IF($D302="","",IF($I302&lt;&gt;"",$I302,IF(ISNUMBER($H302),$H302,"")))</f>
        <v/>
      </c>
      <c r="K302" s="18" t="n"/>
      <c r="L302" s="17">
        <f>IF($D302="","",IF($K302&lt;&gt;"","Received "&amp;TEXT($K302,"mm/dd"),IF(ISNUMBER($J302),IF(TODAY()&gt;$J302,"OVERDUE","Pending"),IF($H302="","Pending","CHECK DATE"))))</f>
        <v/>
      </c>
      <c r="M302" s="16" t="n"/>
      <c r="N302" s="16" t="n"/>
    </row>
    <row r="303">
      <c r="B303" s="17">
        <f>IF($D303="","","ME"&amp;TEXT(ROW()-5,"000"))</f>
        <v/>
      </c>
      <c r="C303" s="18" t="n"/>
      <c r="D303" s="16" t="n"/>
      <c r="E303" s="17">
        <f>IF($D303="","",IFERROR(INDEX(rngCadetPIDs,MATCH($D303,rngCadetNames,0)),"?"))</f>
        <v/>
      </c>
      <c r="F303" s="16" t="n"/>
      <c r="G303" s="16" t="n"/>
      <c r="H303" s="19">
        <f>IF($D303="","",IF($C303="","(enter date)",_xlfn.LET(_xlpm.dn,_xlfn.XLOOKUP($C303,nrCDdate,nrCDnum,"",1),IF(_xlpm.dn="","(after last class day)",_xlfn.LET(_xlpm.dd,_xlfn.XLOOKUP(_xlpm.dn+cfgMemoDueClassDays,nrCDnum,nrCDdate,""),_xlpm.ok,_xlfn.XLOOKUP(_xlpm.dn+cfgMemoDueClassDays,nrCDnum,nrCDinsession,"No"),IF(OR(_xlpm.dd="",_xlpm.ok&lt;&gt;"Yes"),"(after last class day)",_xlpm.dd))))))</f>
        <v/>
      </c>
      <c r="I303" s="18" t="n"/>
      <c r="J303" s="19">
        <f>IF($D303="","",IF($I303&lt;&gt;"",$I303,IF(ISNUMBER($H303),$H303,"")))</f>
        <v/>
      </c>
      <c r="K303" s="18" t="n"/>
      <c r="L303" s="17">
        <f>IF($D303="","",IF($K303&lt;&gt;"","Received "&amp;TEXT($K303,"mm/dd"),IF(ISNUMBER($J303),IF(TODAY()&gt;$J303,"OVERDUE","Pending"),IF($H303="","Pending","CHECK DATE"))))</f>
        <v/>
      </c>
      <c r="M303" s="16" t="n"/>
      <c r="N303" s="16" t="n"/>
    </row>
    <row r="304">
      <c r="B304" s="17">
        <f>IF($D304="","","ME"&amp;TEXT(ROW()-5,"000"))</f>
        <v/>
      </c>
      <c r="C304" s="18" t="n"/>
      <c r="D304" s="16" t="n"/>
      <c r="E304" s="17">
        <f>IF($D304="","",IFERROR(INDEX(rngCadetPIDs,MATCH($D304,rngCadetNames,0)),"?"))</f>
        <v/>
      </c>
      <c r="F304" s="16" t="n"/>
      <c r="G304" s="16" t="n"/>
      <c r="H304" s="19">
        <f>IF($D304="","",IF($C304="","(enter date)",_xlfn.LET(_xlpm.dn,_xlfn.XLOOKUP($C304,nrCDdate,nrCDnum,"",1),IF(_xlpm.dn="","(after last class day)",_xlfn.LET(_xlpm.dd,_xlfn.XLOOKUP(_xlpm.dn+cfgMemoDueClassDays,nrCDnum,nrCDdate,""),_xlpm.ok,_xlfn.XLOOKUP(_xlpm.dn+cfgMemoDueClassDays,nrCDnum,nrCDinsession,"No"),IF(OR(_xlpm.dd="",_xlpm.ok&lt;&gt;"Yes"),"(after last class day)",_xlpm.dd))))))</f>
        <v/>
      </c>
      <c r="I304" s="18" t="n"/>
      <c r="J304" s="19">
        <f>IF($D304="","",IF($I304&lt;&gt;"",$I304,IF(ISNUMBER($H304),$H304,"")))</f>
        <v/>
      </c>
      <c r="K304" s="18" t="n"/>
      <c r="L304" s="17">
        <f>IF($D304="","",IF($K304&lt;&gt;"","Received "&amp;TEXT($K304,"mm/dd"),IF(ISNUMBER($J304),IF(TODAY()&gt;$J304,"OVERDUE","Pending"),IF($H304="","Pending","CHECK DATE"))))</f>
        <v/>
      </c>
      <c r="M304" s="16" t="n"/>
      <c r="N304" s="16" t="n"/>
    </row>
    <row r="305">
      <c r="B305" s="17">
        <f>IF($D305="","","ME"&amp;TEXT(ROW()-5,"000"))</f>
        <v/>
      </c>
      <c r="C305" s="18" t="n"/>
      <c r="D305" s="16" t="n"/>
      <c r="E305" s="17">
        <f>IF($D305="","",IFERROR(INDEX(rngCadetPIDs,MATCH($D305,rngCadetNames,0)),"?"))</f>
        <v/>
      </c>
      <c r="F305" s="16" t="n"/>
      <c r="G305" s="16" t="n"/>
      <c r="H305" s="19">
        <f>IF($D305="","",IF($C305="","(enter date)",_xlfn.LET(_xlpm.dn,_xlfn.XLOOKUP($C305,nrCDdate,nrCDnum,"",1),IF(_xlpm.dn="","(after last class day)",_xlfn.LET(_xlpm.dd,_xlfn.XLOOKUP(_xlpm.dn+cfgMemoDueClassDays,nrCDnum,nrCDdate,""),_xlpm.ok,_xlfn.XLOOKUP(_xlpm.dn+cfgMemoDueClassDays,nrCDnum,nrCDinsession,"No"),IF(OR(_xlpm.dd="",_xlpm.ok&lt;&gt;"Yes"),"(after last class day)",_xlpm.dd))))))</f>
        <v/>
      </c>
      <c r="I305" s="18" t="n"/>
      <c r="J305" s="19">
        <f>IF($D305="","",IF($I305&lt;&gt;"",$I305,IF(ISNUMBER($H305),$H305,"")))</f>
        <v/>
      </c>
      <c r="K305" s="18" t="n"/>
      <c r="L305" s="17">
        <f>IF($D305="","",IF($K305&lt;&gt;"","Received "&amp;TEXT($K305,"mm/dd"),IF(ISNUMBER($J305),IF(TODAY()&gt;$J305,"OVERDUE","Pending"),IF($H305="","Pending","CHECK DATE"))))</f>
        <v/>
      </c>
      <c r="M305" s="16" t="n"/>
      <c r="N305" s="16" t="n"/>
    </row>
  </sheetData>
  <sheetProtection selectLockedCells="0" selectUnlockedCells="0" sheet="1" objects="0" insertRows="1" insertHyperlinks="1" autoFilter="0" scenarios="0" formatColumns="1" deleteColumns="1" insertColumns="1" pivotTables="1" deleteRows="1" formatCells="1" formatRows="1" sort="1" password="B4BB"/>
  <autoFilter ref="B5:N5"/>
  <conditionalFormatting sqref="L6:L305">
    <cfRule type="expression" priority="1" dxfId="0">
      <formula>$L6="OVERDUE"</formula>
    </cfRule>
    <cfRule type="expression" priority="2" dxfId="0">
      <formula>$L6="CHECK DATE"</formula>
    </cfRule>
    <cfRule type="expression" priority="3" dxfId="3">
      <formula>LEFT($L6,8)="Received"</formula>
    </cfRule>
  </conditionalFormatting>
  <dataValidations count="3">
    <dataValidation sqref="D6:D305" showDropDown="0" showInputMessage="0" showErrorMessage="1" allowBlank="1" type="list">
      <formula1>=rngCadetNames</formula1>
    </dataValidation>
    <dataValidation sqref="F6:F305" showDropDown="0" showInputMessage="0" showErrorMessage="0" allowBlank="1" type="list">
      <formula1>=nrAllRefIDs</formula1>
    </dataValidation>
    <dataValidation sqref="M6:M305" showDropDown="0" showInputMessage="0" showErrorMessage="1" allowBlank="1" type="list">
      <formula1>=lstYesNo</formula1>
    </dataValidation>
  </dataValidations>
  <pageMargins left="0.75" right="0.75" top="1" bottom="1" header="0.5" footer="0.5"/>
</worksheet>
</file>

<file path=xl/worksheets/sheet16.xml><?xml version="1.0" encoding="utf-8"?>
<worksheet xmlns="http://schemas.openxmlformats.org/spreadsheetml/2006/main">
  <sheetPr>
    <tabColor rgb="002E75B6"/>
    <outlinePr summaryBelow="1" summaryRight="1"/>
    <pageSetUpPr/>
  </sheetPr>
  <dimension ref="B1:N175"/>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1" customWidth="1" min="2" max="2"/>
    <col width="7" customWidth="1" min="3" max="3"/>
    <col width="16" customWidth="1" min="4" max="4"/>
    <col width="9" customWidth="1" min="5" max="5"/>
    <col width="34" customWidth="1" min="6" max="6"/>
    <col width="34" customWidth="1" min="7" max="7"/>
    <col width="34" customWidth="1" min="8" max="8"/>
    <col width="10" customWidth="1" min="9" max="9"/>
    <col width="12" customWidth="1" min="10" max="10"/>
    <col width="10" customWidth="1" min="11" max="11"/>
    <col width="8" customWidth="1" min="12" max="12"/>
    <col width="18" customWidth="1" min="13" max="13"/>
    <col width="26" customWidth="1" min="14" max="14"/>
  </cols>
  <sheetData>
    <row r="1">
      <c r="B1" s="10">
        <f>HYPERLINK("#Dashboard!B5","◄ Dashboard")</f>
        <v/>
      </c>
    </row>
    <row r="4">
      <c r="B4" s="11" t="inlineStr">
        <is>
          <t>The digital daily report — one row per training day, 30 seconds after the class leader briefs you. Counters (incidents, early departures, memos received) compute from the logs; Issues=Yes highlights for follow-up. Mark when the signed leader report is scanned into the file.</t>
        </is>
      </c>
    </row>
    <row r="5" ht="26" customHeight="1">
      <c r="B5" s="12" t="inlineStr">
        <is>
          <t>Date</t>
        </is>
      </c>
      <c r="C5" s="12" t="inlineStr">
        <is>
          <t>Day #</t>
        </is>
      </c>
      <c r="D5" s="12" t="inlineStr">
        <is>
          <t>Class Type</t>
        </is>
      </c>
      <c r="E5" s="12" t="inlineStr">
        <is>
          <t>Present</t>
        </is>
      </c>
      <c r="F5" s="12" t="inlineStr">
        <is>
          <t>Absent/Late (names &amp; reason)</t>
        </is>
      </c>
      <c r="G5" s="12" t="inlineStr">
        <is>
          <t>AM Notes (roll call / PT)</t>
        </is>
      </c>
      <c r="H5" s="12" t="inlineStr">
        <is>
          <t>PM Notes (changes / departures)</t>
        </is>
      </c>
      <c r="I5" s="12" t="inlineStr">
        <is>
          <t>Incidents</t>
        </is>
      </c>
      <c r="J5" s="12" t="inlineStr">
        <is>
          <t>Early Departs</t>
        </is>
      </c>
      <c r="K5" s="12" t="inlineStr">
        <is>
          <t>Memos In</t>
        </is>
      </c>
      <c r="L5" s="12" t="inlineStr">
        <is>
          <t>Issues?</t>
        </is>
      </c>
      <c r="M5" s="12" t="inlineStr">
        <is>
          <t>Leader Report Scanned?</t>
        </is>
      </c>
      <c r="N5" s="12" t="inlineStr">
        <is>
          <t>Notes</t>
        </is>
      </c>
    </row>
    <row r="6">
      <c r="B6" s="18" t="n"/>
      <c r="C6" s="17">
        <f>IF($B6="","",IFERROR(_xlfn.XLOOKUP($B6,nrCDdate,nrCDnum),""))</f>
        <v/>
      </c>
      <c r="D6" s="17">
        <f>IF($B6="","",TRIM(IF(COUNTIFS(nrSCH_Date,$B6,nrSCH_Act,"PT*")&gt;0,"PT + ","")&amp;IF(COUNTIFS(nrSCH_Date,$B6,nrSCH_Act,"*Test*")&gt;0,"Test + ","")&amp;"Classroom"))</f>
        <v/>
      </c>
      <c r="E6" s="16" t="n"/>
      <c r="F6" s="16" t="n"/>
      <c r="G6" s="16" t="n"/>
      <c r="H6" s="16" t="n"/>
      <c r="I6" s="17">
        <f>IF($B6="","",COUNTIFS(nrIN_Date,$B6))</f>
        <v/>
      </c>
      <c r="J6" s="17">
        <f>IF($B6="","",COUNTIFS(nrAT_Date,$B6,nrAT_Type,"Early Departure"))</f>
        <v/>
      </c>
      <c r="K6" s="17">
        <f>IF($B6="","",COUNTIFS(nrME_Received,$B6))</f>
        <v/>
      </c>
      <c r="L6" s="16" t="n"/>
      <c r="M6" s="16" t="n"/>
      <c r="N6" s="16" t="n"/>
    </row>
    <row r="7">
      <c r="B7" s="18" t="n"/>
      <c r="C7" s="17">
        <f>IF($B7="","",IFERROR(_xlfn.XLOOKUP($B7,nrCDdate,nrCDnum),""))</f>
        <v/>
      </c>
      <c r="D7" s="17">
        <f>IF($B7="","",TRIM(IF(COUNTIFS(nrSCH_Date,$B7,nrSCH_Act,"PT*")&gt;0,"PT + ","")&amp;IF(COUNTIFS(nrSCH_Date,$B7,nrSCH_Act,"*Test*")&gt;0,"Test + ","")&amp;"Classroom"))</f>
        <v/>
      </c>
      <c r="E7" s="16" t="n"/>
      <c r="F7" s="16" t="n"/>
      <c r="G7" s="16" t="n"/>
      <c r="H7" s="16" t="n"/>
      <c r="I7" s="17">
        <f>IF($B7="","",COUNTIFS(nrIN_Date,$B7))</f>
        <v/>
      </c>
      <c r="J7" s="17">
        <f>IF($B7="","",COUNTIFS(nrAT_Date,$B7,nrAT_Type,"Early Departure"))</f>
        <v/>
      </c>
      <c r="K7" s="17">
        <f>IF($B7="","",COUNTIFS(nrME_Received,$B7))</f>
        <v/>
      </c>
      <c r="L7" s="16" t="n"/>
      <c r="M7" s="16" t="n"/>
      <c r="N7" s="16" t="n"/>
    </row>
    <row r="8">
      <c r="B8" s="18" t="n"/>
      <c r="C8" s="17">
        <f>IF($B8="","",IFERROR(_xlfn.XLOOKUP($B8,nrCDdate,nrCDnum),""))</f>
        <v/>
      </c>
      <c r="D8" s="17">
        <f>IF($B8="","",TRIM(IF(COUNTIFS(nrSCH_Date,$B8,nrSCH_Act,"PT*")&gt;0,"PT + ","")&amp;IF(COUNTIFS(nrSCH_Date,$B8,nrSCH_Act,"*Test*")&gt;0,"Test + ","")&amp;"Classroom"))</f>
        <v/>
      </c>
      <c r="E8" s="16" t="n"/>
      <c r="F8" s="16" t="n"/>
      <c r="G8" s="16" t="n"/>
      <c r="H8" s="16" t="n"/>
      <c r="I8" s="17">
        <f>IF($B8="","",COUNTIFS(nrIN_Date,$B8))</f>
        <v/>
      </c>
      <c r="J8" s="17">
        <f>IF($B8="","",COUNTIFS(nrAT_Date,$B8,nrAT_Type,"Early Departure"))</f>
        <v/>
      </c>
      <c r="K8" s="17">
        <f>IF($B8="","",COUNTIFS(nrME_Received,$B8))</f>
        <v/>
      </c>
      <c r="L8" s="16" t="n"/>
      <c r="M8" s="16" t="n"/>
      <c r="N8" s="16" t="n"/>
    </row>
    <row r="9">
      <c r="B9" s="18" t="n"/>
      <c r="C9" s="17">
        <f>IF($B9="","",IFERROR(_xlfn.XLOOKUP($B9,nrCDdate,nrCDnum),""))</f>
        <v/>
      </c>
      <c r="D9" s="17">
        <f>IF($B9="","",TRIM(IF(COUNTIFS(nrSCH_Date,$B9,nrSCH_Act,"PT*")&gt;0,"PT + ","")&amp;IF(COUNTIFS(nrSCH_Date,$B9,nrSCH_Act,"*Test*")&gt;0,"Test + ","")&amp;"Classroom"))</f>
        <v/>
      </c>
      <c r="E9" s="16" t="n"/>
      <c r="F9" s="16" t="n"/>
      <c r="G9" s="16" t="n"/>
      <c r="H9" s="16" t="n"/>
      <c r="I9" s="17">
        <f>IF($B9="","",COUNTIFS(nrIN_Date,$B9))</f>
        <v/>
      </c>
      <c r="J9" s="17">
        <f>IF($B9="","",COUNTIFS(nrAT_Date,$B9,nrAT_Type,"Early Departure"))</f>
        <v/>
      </c>
      <c r="K9" s="17">
        <f>IF($B9="","",COUNTIFS(nrME_Received,$B9))</f>
        <v/>
      </c>
      <c r="L9" s="16" t="n"/>
      <c r="M9" s="16" t="n"/>
      <c r="N9" s="16" t="n"/>
    </row>
    <row r="10">
      <c r="B10" s="18" t="n"/>
      <c r="C10" s="17">
        <f>IF($B10="","",IFERROR(_xlfn.XLOOKUP($B10,nrCDdate,nrCDnum),""))</f>
        <v/>
      </c>
      <c r="D10" s="17">
        <f>IF($B10="","",TRIM(IF(COUNTIFS(nrSCH_Date,$B10,nrSCH_Act,"PT*")&gt;0,"PT + ","")&amp;IF(COUNTIFS(nrSCH_Date,$B10,nrSCH_Act,"*Test*")&gt;0,"Test + ","")&amp;"Classroom"))</f>
        <v/>
      </c>
      <c r="E10" s="16" t="n"/>
      <c r="F10" s="16" t="n"/>
      <c r="G10" s="16" t="n"/>
      <c r="H10" s="16" t="n"/>
      <c r="I10" s="17">
        <f>IF($B10="","",COUNTIFS(nrIN_Date,$B10))</f>
        <v/>
      </c>
      <c r="J10" s="17">
        <f>IF($B10="","",COUNTIFS(nrAT_Date,$B10,nrAT_Type,"Early Departure"))</f>
        <v/>
      </c>
      <c r="K10" s="17">
        <f>IF($B10="","",COUNTIFS(nrME_Received,$B10))</f>
        <v/>
      </c>
      <c r="L10" s="16" t="n"/>
      <c r="M10" s="16" t="n"/>
      <c r="N10" s="16" t="n"/>
    </row>
    <row r="11">
      <c r="B11" s="18" t="n"/>
      <c r="C11" s="17">
        <f>IF($B11="","",IFERROR(_xlfn.XLOOKUP($B11,nrCDdate,nrCDnum),""))</f>
        <v/>
      </c>
      <c r="D11" s="17">
        <f>IF($B11="","",TRIM(IF(COUNTIFS(nrSCH_Date,$B11,nrSCH_Act,"PT*")&gt;0,"PT + ","")&amp;IF(COUNTIFS(nrSCH_Date,$B11,nrSCH_Act,"*Test*")&gt;0,"Test + ","")&amp;"Classroom"))</f>
        <v/>
      </c>
      <c r="E11" s="16" t="n"/>
      <c r="F11" s="16" t="n"/>
      <c r="G11" s="16" t="n"/>
      <c r="H11" s="16" t="n"/>
      <c r="I11" s="17">
        <f>IF($B11="","",COUNTIFS(nrIN_Date,$B11))</f>
        <v/>
      </c>
      <c r="J11" s="17">
        <f>IF($B11="","",COUNTIFS(nrAT_Date,$B11,nrAT_Type,"Early Departure"))</f>
        <v/>
      </c>
      <c r="K11" s="17">
        <f>IF($B11="","",COUNTIFS(nrME_Received,$B11))</f>
        <v/>
      </c>
      <c r="L11" s="16" t="n"/>
      <c r="M11" s="16" t="n"/>
      <c r="N11" s="16" t="n"/>
    </row>
    <row r="12">
      <c r="B12" s="18" t="n"/>
      <c r="C12" s="17">
        <f>IF($B12="","",IFERROR(_xlfn.XLOOKUP($B12,nrCDdate,nrCDnum),""))</f>
        <v/>
      </c>
      <c r="D12" s="17">
        <f>IF($B12="","",TRIM(IF(COUNTIFS(nrSCH_Date,$B12,nrSCH_Act,"PT*")&gt;0,"PT + ","")&amp;IF(COUNTIFS(nrSCH_Date,$B12,nrSCH_Act,"*Test*")&gt;0,"Test + ","")&amp;"Classroom"))</f>
        <v/>
      </c>
      <c r="E12" s="16" t="n"/>
      <c r="F12" s="16" t="n"/>
      <c r="G12" s="16" t="n"/>
      <c r="H12" s="16" t="n"/>
      <c r="I12" s="17">
        <f>IF($B12="","",COUNTIFS(nrIN_Date,$B12))</f>
        <v/>
      </c>
      <c r="J12" s="17">
        <f>IF($B12="","",COUNTIFS(nrAT_Date,$B12,nrAT_Type,"Early Departure"))</f>
        <v/>
      </c>
      <c r="K12" s="17">
        <f>IF($B12="","",COUNTIFS(nrME_Received,$B12))</f>
        <v/>
      </c>
      <c r="L12" s="16" t="n"/>
      <c r="M12" s="16" t="n"/>
      <c r="N12" s="16" t="n"/>
    </row>
    <row r="13">
      <c r="B13" s="18" t="n"/>
      <c r="C13" s="17">
        <f>IF($B13="","",IFERROR(_xlfn.XLOOKUP($B13,nrCDdate,nrCDnum),""))</f>
        <v/>
      </c>
      <c r="D13" s="17">
        <f>IF($B13="","",TRIM(IF(COUNTIFS(nrSCH_Date,$B13,nrSCH_Act,"PT*")&gt;0,"PT + ","")&amp;IF(COUNTIFS(nrSCH_Date,$B13,nrSCH_Act,"*Test*")&gt;0,"Test + ","")&amp;"Classroom"))</f>
        <v/>
      </c>
      <c r="E13" s="16" t="n"/>
      <c r="F13" s="16" t="n"/>
      <c r="G13" s="16" t="n"/>
      <c r="H13" s="16" t="n"/>
      <c r="I13" s="17">
        <f>IF($B13="","",COUNTIFS(nrIN_Date,$B13))</f>
        <v/>
      </c>
      <c r="J13" s="17">
        <f>IF($B13="","",COUNTIFS(nrAT_Date,$B13,nrAT_Type,"Early Departure"))</f>
        <v/>
      </c>
      <c r="K13" s="17">
        <f>IF($B13="","",COUNTIFS(nrME_Received,$B13))</f>
        <v/>
      </c>
      <c r="L13" s="16" t="n"/>
      <c r="M13" s="16" t="n"/>
      <c r="N13" s="16" t="n"/>
    </row>
    <row r="14">
      <c r="B14" s="18" t="n"/>
      <c r="C14" s="17">
        <f>IF($B14="","",IFERROR(_xlfn.XLOOKUP($B14,nrCDdate,nrCDnum),""))</f>
        <v/>
      </c>
      <c r="D14" s="17">
        <f>IF($B14="","",TRIM(IF(COUNTIFS(nrSCH_Date,$B14,nrSCH_Act,"PT*")&gt;0,"PT + ","")&amp;IF(COUNTIFS(nrSCH_Date,$B14,nrSCH_Act,"*Test*")&gt;0,"Test + ","")&amp;"Classroom"))</f>
        <v/>
      </c>
      <c r="E14" s="16" t="n"/>
      <c r="F14" s="16" t="n"/>
      <c r="G14" s="16" t="n"/>
      <c r="H14" s="16" t="n"/>
      <c r="I14" s="17">
        <f>IF($B14="","",COUNTIFS(nrIN_Date,$B14))</f>
        <v/>
      </c>
      <c r="J14" s="17">
        <f>IF($B14="","",COUNTIFS(nrAT_Date,$B14,nrAT_Type,"Early Departure"))</f>
        <v/>
      </c>
      <c r="K14" s="17">
        <f>IF($B14="","",COUNTIFS(nrME_Received,$B14))</f>
        <v/>
      </c>
      <c r="L14" s="16" t="n"/>
      <c r="M14" s="16" t="n"/>
      <c r="N14" s="16" t="n"/>
    </row>
    <row r="15">
      <c r="B15" s="18" t="n"/>
      <c r="C15" s="17">
        <f>IF($B15="","",IFERROR(_xlfn.XLOOKUP($B15,nrCDdate,nrCDnum),""))</f>
        <v/>
      </c>
      <c r="D15" s="17">
        <f>IF($B15="","",TRIM(IF(COUNTIFS(nrSCH_Date,$B15,nrSCH_Act,"PT*")&gt;0,"PT + ","")&amp;IF(COUNTIFS(nrSCH_Date,$B15,nrSCH_Act,"*Test*")&gt;0,"Test + ","")&amp;"Classroom"))</f>
        <v/>
      </c>
      <c r="E15" s="16" t="n"/>
      <c r="F15" s="16" t="n"/>
      <c r="G15" s="16" t="n"/>
      <c r="H15" s="16" t="n"/>
      <c r="I15" s="17">
        <f>IF($B15="","",COUNTIFS(nrIN_Date,$B15))</f>
        <v/>
      </c>
      <c r="J15" s="17">
        <f>IF($B15="","",COUNTIFS(nrAT_Date,$B15,nrAT_Type,"Early Departure"))</f>
        <v/>
      </c>
      <c r="K15" s="17">
        <f>IF($B15="","",COUNTIFS(nrME_Received,$B15))</f>
        <v/>
      </c>
      <c r="L15" s="16" t="n"/>
      <c r="M15" s="16" t="n"/>
      <c r="N15" s="16" t="n"/>
    </row>
    <row r="16">
      <c r="B16" s="18" t="n"/>
      <c r="C16" s="17">
        <f>IF($B16="","",IFERROR(_xlfn.XLOOKUP($B16,nrCDdate,nrCDnum),""))</f>
        <v/>
      </c>
      <c r="D16" s="17">
        <f>IF($B16="","",TRIM(IF(COUNTIFS(nrSCH_Date,$B16,nrSCH_Act,"PT*")&gt;0,"PT + ","")&amp;IF(COUNTIFS(nrSCH_Date,$B16,nrSCH_Act,"*Test*")&gt;0,"Test + ","")&amp;"Classroom"))</f>
        <v/>
      </c>
      <c r="E16" s="16" t="n"/>
      <c r="F16" s="16" t="n"/>
      <c r="G16" s="16" t="n"/>
      <c r="H16" s="16" t="n"/>
      <c r="I16" s="17">
        <f>IF($B16="","",COUNTIFS(nrIN_Date,$B16))</f>
        <v/>
      </c>
      <c r="J16" s="17">
        <f>IF($B16="","",COUNTIFS(nrAT_Date,$B16,nrAT_Type,"Early Departure"))</f>
        <v/>
      </c>
      <c r="K16" s="17">
        <f>IF($B16="","",COUNTIFS(nrME_Received,$B16))</f>
        <v/>
      </c>
      <c r="L16" s="16" t="n"/>
      <c r="M16" s="16" t="n"/>
      <c r="N16" s="16" t="n"/>
    </row>
    <row r="17">
      <c r="B17" s="18" t="n"/>
      <c r="C17" s="17">
        <f>IF($B17="","",IFERROR(_xlfn.XLOOKUP($B17,nrCDdate,nrCDnum),""))</f>
        <v/>
      </c>
      <c r="D17" s="17">
        <f>IF($B17="","",TRIM(IF(COUNTIFS(nrSCH_Date,$B17,nrSCH_Act,"PT*")&gt;0,"PT + ","")&amp;IF(COUNTIFS(nrSCH_Date,$B17,nrSCH_Act,"*Test*")&gt;0,"Test + ","")&amp;"Classroom"))</f>
        <v/>
      </c>
      <c r="E17" s="16" t="n"/>
      <c r="F17" s="16" t="n"/>
      <c r="G17" s="16" t="n"/>
      <c r="H17" s="16" t="n"/>
      <c r="I17" s="17">
        <f>IF($B17="","",COUNTIFS(nrIN_Date,$B17))</f>
        <v/>
      </c>
      <c r="J17" s="17">
        <f>IF($B17="","",COUNTIFS(nrAT_Date,$B17,nrAT_Type,"Early Departure"))</f>
        <v/>
      </c>
      <c r="K17" s="17">
        <f>IF($B17="","",COUNTIFS(nrME_Received,$B17))</f>
        <v/>
      </c>
      <c r="L17" s="16" t="n"/>
      <c r="M17" s="16" t="n"/>
      <c r="N17" s="16" t="n"/>
    </row>
    <row r="18">
      <c r="B18" s="18" t="n"/>
      <c r="C18" s="17">
        <f>IF($B18="","",IFERROR(_xlfn.XLOOKUP($B18,nrCDdate,nrCDnum),""))</f>
        <v/>
      </c>
      <c r="D18" s="17">
        <f>IF($B18="","",TRIM(IF(COUNTIFS(nrSCH_Date,$B18,nrSCH_Act,"PT*")&gt;0,"PT + ","")&amp;IF(COUNTIFS(nrSCH_Date,$B18,nrSCH_Act,"*Test*")&gt;0,"Test + ","")&amp;"Classroom"))</f>
        <v/>
      </c>
      <c r="E18" s="16" t="n"/>
      <c r="F18" s="16" t="n"/>
      <c r="G18" s="16" t="n"/>
      <c r="H18" s="16" t="n"/>
      <c r="I18" s="17">
        <f>IF($B18="","",COUNTIFS(nrIN_Date,$B18))</f>
        <v/>
      </c>
      <c r="J18" s="17">
        <f>IF($B18="","",COUNTIFS(nrAT_Date,$B18,nrAT_Type,"Early Departure"))</f>
        <v/>
      </c>
      <c r="K18" s="17">
        <f>IF($B18="","",COUNTIFS(nrME_Received,$B18))</f>
        <v/>
      </c>
      <c r="L18" s="16" t="n"/>
      <c r="M18" s="16" t="n"/>
      <c r="N18" s="16" t="n"/>
    </row>
    <row r="19">
      <c r="B19" s="18" t="n"/>
      <c r="C19" s="17">
        <f>IF($B19="","",IFERROR(_xlfn.XLOOKUP($B19,nrCDdate,nrCDnum),""))</f>
        <v/>
      </c>
      <c r="D19" s="17">
        <f>IF($B19="","",TRIM(IF(COUNTIFS(nrSCH_Date,$B19,nrSCH_Act,"PT*")&gt;0,"PT + ","")&amp;IF(COUNTIFS(nrSCH_Date,$B19,nrSCH_Act,"*Test*")&gt;0,"Test + ","")&amp;"Classroom"))</f>
        <v/>
      </c>
      <c r="E19" s="16" t="n"/>
      <c r="F19" s="16" t="n"/>
      <c r="G19" s="16" t="n"/>
      <c r="H19" s="16" t="n"/>
      <c r="I19" s="17">
        <f>IF($B19="","",COUNTIFS(nrIN_Date,$B19))</f>
        <v/>
      </c>
      <c r="J19" s="17">
        <f>IF($B19="","",COUNTIFS(nrAT_Date,$B19,nrAT_Type,"Early Departure"))</f>
        <v/>
      </c>
      <c r="K19" s="17">
        <f>IF($B19="","",COUNTIFS(nrME_Received,$B19))</f>
        <v/>
      </c>
      <c r="L19" s="16" t="n"/>
      <c r="M19" s="16" t="n"/>
      <c r="N19" s="16" t="n"/>
    </row>
    <row r="20">
      <c r="B20" s="18" t="n"/>
      <c r="C20" s="17">
        <f>IF($B20="","",IFERROR(_xlfn.XLOOKUP($B20,nrCDdate,nrCDnum),""))</f>
        <v/>
      </c>
      <c r="D20" s="17">
        <f>IF($B20="","",TRIM(IF(COUNTIFS(nrSCH_Date,$B20,nrSCH_Act,"PT*")&gt;0,"PT + ","")&amp;IF(COUNTIFS(nrSCH_Date,$B20,nrSCH_Act,"*Test*")&gt;0,"Test + ","")&amp;"Classroom"))</f>
        <v/>
      </c>
      <c r="E20" s="16" t="n"/>
      <c r="F20" s="16" t="n"/>
      <c r="G20" s="16" t="n"/>
      <c r="H20" s="16" t="n"/>
      <c r="I20" s="17">
        <f>IF($B20="","",COUNTIFS(nrIN_Date,$B20))</f>
        <v/>
      </c>
      <c r="J20" s="17">
        <f>IF($B20="","",COUNTIFS(nrAT_Date,$B20,nrAT_Type,"Early Departure"))</f>
        <v/>
      </c>
      <c r="K20" s="17">
        <f>IF($B20="","",COUNTIFS(nrME_Received,$B20))</f>
        <v/>
      </c>
      <c r="L20" s="16" t="n"/>
      <c r="M20" s="16" t="n"/>
      <c r="N20" s="16" t="n"/>
    </row>
    <row r="21">
      <c r="B21" s="18" t="n"/>
      <c r="C21" s="17">
        <f>IF($B21="","",IFERROR(_xlfn.XLOOKUP($B21,nrCDdate,nrCDnum),""))</f>
        <v/>
      </c>
      <c r="D21" s="17">
        <f>IF($B21="","",TRIM(IF(COUNTIFS(nrSCH_Date,$B21,nrSCH_Act,"PT*")&gt;0,"PT + ","")&amp;IF(COUNTIFS(nrSCH_Date,$B21,nrSCH_Act,"*Test*")&gt;0,"Test + ","")&amp;"Classroom"))</f>
        <v/>
      </c>
      <c r="E21" s="16" t="n"/>
      <c r="F21" s="16" t="n"/>
      <c r="G21" s="16" t="n"/>
      <c r="H21" s="16" t="n"/>
      <c r="I21" s="17">
        <f>IF($B21="","",COUNTIFS(nrIN_Date,$B21))</f>
        <v/>
      </c>
      <c r="J21" s="17">
        <f>IF($B21="","",COUNTIFS(nrAT_Date,$B21,nrAT_Type,"Early Departure"))</f>
        <v/>
      </c>
      <c r="K21" s="17">
        <f>IF($B21="","",COUNTIFS(nrME_Received,$B21))</f>
        <v/>
      </c>
      <c r="L21" s="16" t="n"/>
      <c r="M21" s="16" t="n"/>
      <c r="N21" s="16" t="n"/>
    </row>
    <row r="22">
      <c r="B22" s="18" t="n"/>
      <c r="C22" s="17">
        <f>IF($B22="","",IFERROR(_xlfn.XLOOKUP($B22,nrCDdate,nrCDnum),""))</f>
        <v/>
      </c>
      <c r="D22" s="17">
        <f>IF($B22="","",TRIM(IF(COUNTIFS(nrSCH_Date,$B22,nrSCH_Act,"PT*")&gt;0,"PT + ","")&amp;IF(COUNTIFS(nrSCH_Date,$B22,nrSCH_Act,"*Test*")&gt;0,"Test + ","")&amp;"Classroom"))</f>
        <v/>
      </c>
      <c r="E22" s="16" t="n"/>
      <c r="F22" s="16" t="n"/>
      <c r="G22" s="16" t="n"/>
      <c r="H22" s="16" t="n"/>
      <c r="I22" s="17">
        <f>IF($B22="","",COUNTIFS(nrIN_Date,$B22))</f>
        <v/>
      </c>
      <c r="J22" s="17">
        <f>IF($B22="","",COUNTIFS(nrAT_Date,$B22,nrAT_Type,"Early Departure"))</f>
        <v/>
      </c>
      <c r="K22" s="17">
        <f>IF($B22="","",COUNTIFS(nrME_Received,$B22))</f>
        <v/>
      </c>
      <c r="L22" s="16" t="n"/>
      <c r="M22" s="16" t="n"/>
      <c r="N22" s="16" t="n"/>
    </row>
    <row r="23">
      <c r="B23" s="18" t="n"/>
      <c r="C23" s="17">
        <f>IF($B23="","",IFERROR(_xlfn.XLOOKUP($B23,nrCDdate,nrCDnum),""))</f>
        <v/>
      </c>
      <c r="D23" s="17">
        <f>IF($B23="","",TRIM(IF(COUNTIFS(nrSCH_Date,$B23,nrSCH_Act,"PT*")&gt;0,"PT + ","")&amp;IF(COUNTIFS(nrSCH_Date,$B23,nrSCH_Act,"*Test*")&gt;0,"Test + ","")&amp;"Classroom"))</f>
        <v/>
      </c>
      <c r="E23" s="16" t="n"/>
      <c r="F23" s="16" t="n"/>
      <c r="G23" s="16" t="n"/>
      <c r="H23" s="16" t="n"/>
      <c r="I23" s="17">
        <f>IF($B23="","",COUNTIFS(nrIN_Date,$B23))</f>
        <v/>
      </c>
      <c r="J23" s="17">
        <f>IF($B23="","",COUNTIFS(nrAT_Date,$B23,nrAT_Type,"Early Departure"))</f>
        <v/>
      </c>
      <c r="K23" s="17">
        <f>IF($B23="","",COUNTIFS(nrME_Received,$B23))</f>
        <v/>
      </c>
      <c r="L23" s="16" t="n"/>
      <c r="M23" s="16" t="n"/>
      <c r="N23" s="16" t="n"/>
    </row>
    <row r="24">
      <c r="B24" s="18" t="n"/>
      <c r="C24" s="17">
        <f>IF($B24="","",IFERROR(_xlfn.XLOOKUP($B24,nrCDdate,nrCDnum),""))</f>
        <v/>
      </c>
      <c r="D24" s="17">
        <f>IF($B24="","",TRIM(IF(COUNTIFS(nrSCH_Date,$B24,nrSCH_Act,"PT*")&gt;0,"PT + ","")&amp;IF(COUNTIFS(nrSCH_Date,$B24,nrSCH_Act,"*Test*")&gt;0,"Test + ","")&amp;"Classroom"))</f>
        <v/>
      </c>
      <c r="E24" s="16" t="n"/>
      <c r="F24" s="16" t="n"/>
      <c r="G24" s="16" t="n"/>
      <c r="H24" s="16" t="n"/>
      <c r="I24" s="17">
        <f>IF($B24="","",COUNTIFS(nrIN_Date,$B24))</f>
        <v/>
      </c>
      <c r="J24" s="17">
        <f>IF($B24="","",COUNTIFS(nrAT_Date,$B24,nrAT_Type,"Early Departure"))</f>
        <v/>
      </c>
      <c r="K24" s="17">
        <f>IF($B24="","",COUNTIFS(nrME_Received,$B24))</f>
        <v/>
      </c>
      <c r="L24" s="16" t="n"/>
      <c r="M24" s="16" t="n"/>
      <c r="N24" s="16" t="n"/>
    </row>
    <row r="25">
      <c r="B25" s="18" t="n"/>
      <c r="C25" s="17">
        <f>IF($B25="","",IFERROR(_xlfn.XLOOKUP($B25,nrCDdate,nrCDnum),""))</f>
        <v/>
      </c>
      <c r="D25" s="17">
        <f>IF($B25="","",TRIM(IF(COUNTIFS(nrSCH_Date,$B25,nrSCH_Act,"PT*")&gt;0,"PT + ","")&amp;IF(COUNTIFS(nrSCH_Date,$B25,nrSCH_Act,"*Test*")&gt;0,"Test + ","")&amp;"Classroom"))</f>
        <v/>
      </c>
      <c r="E25" s="16" t="n"/>
      <c r="F25" s="16" t="n"/>
      <c r="G25" s="16" t="n"/>
      <c r="H25" s="16" t="n"/>
      <c r="I25" s="17">
        <f>IF($B25="","",COUNTIFS(nrIN_Date,$B25))</f>
        <v/>
      </c>
      <c r="J25" s="17">
        <f>IF($B25="","",COUNTIFS(nrAT_Date,$B25,nrAT_Type,"Early Departure"))</f>
        <v/>
      </c>
      <c r="K25" s="17">
        <f>IF($B25="","",COUNTIFS(nrME_Received,$B25))</f>
        <v/>
      </c>
      <c r="L25" s="16" t="n"/>
      <c r="M25" s="16" t="n"/>
      <c r="N25" s="16" t="n"/>
    </row>
    <row r="26">
      <c r="B26" s="18" t="n"/>
      <c r="C26" s="17">
        <f>IF($B26="","",IFERROR(_xlfn.XLOOKUP($B26,nrCDdate,nrCDnum),""))</f>
        <v/>
      </c>
      <c r="D26" s="17">
        <f>IF($B26="","",TRIM(IF(COUNTIFS(nrSCH_Date,$B26,nrSCH_Act,"PT*")&gt;0,"PT + ","")&amp;IF(COUNTIFS(nrSCH_Date,$B26,nrSCH_Act,"*Test*")&gt;0,"Test + ","")&amp;"Classroom"))</f>
        <v/>
      </c>
      <c r="E26" s="16" t="n"/>
      <c r="F26" s="16" t="n"/>
      <c r="G26" s="16" t="n"/>
      <c r="H26" s="16" t="n"/>
      <c r="I26" s="17">
        <f>IF($B26="","",COUNTIFS(nrIN_Date,$B26))</f>
        <v/>
      </c>
      <c r="J26" s="17">
        <f>IF($B26="","",COUNTIFS(nrAT_Date,$B26,nrAT_Type,"Early Departure"))</f>
        <v/>
      </c>
      <c r="K26" s="17">
        <f>IF($B26="","",COUNTIFS(nrME_Received,$B26))</f>
        <v/>
      </c>
      <c r="L26" s="16" t="n"/>
      <c r="M26" s="16" t="n"/>
      <c r="N26" s="16" t="n"/>
    </row>
    <row r="27">
      <c r="B27" s="18" t="n"/>
      <c r="C27" s="17">
        <f>IF($B27="","",IFERROR(_xlfn.XLOOKUP($B27,nrCDdate,nrCDnum),""))</f>
        <v/>
      </c>
      <c r="D27" s="17">
        <f>IF($B27="","",TRIM(IF(COUNTIFS(nrSCH_Date,$B27,nrSCH_Act,"PT*")&gt;0,"PT + ","")&amp;IF(COUNTIFS(nrSCH_Date,$B27,nrSCH_Act,"*Test*")&gt;0,"Test + ","")&amp;"Classroom"))</f>
        <v/>
      </c>
      <c r="E27" s="16" t="n"/>
      <c r="F27" s="16" t="n"/>
      <c r="G27" s="16" t="n"/>
      <c r="H27" s="16" t="n"/>
      <c r="I27" s="17">
        <f>IF($B27="","",COUNTIFS(nrIN_Date,$B27))</f>
        <v/>
      </c>
      <c r="J27" s="17">
        <f>IF($B27="","",COUNTIFS(nrAT_Date,$B27,nrAT_Type,"Early Departure"))</f>
        <v/>
      </c>
      <c r="K27" s="17">
        <f>IF($B27="","",COUNTIFS(nrME_Received,$B27))</f>
        <v/>
      </c>
      <c r="L27" s="16" t="n"/>
      <c r="M27" s="16" t="n"/>
      <c r="N27" s="16" t="n"/>
    </row>
    <row r="28">
      <c r="B28" s="18" t="n"/>
      <c r="C28" s="17">
        <f>IF($B28="","",IFERROR(_xlfn.XLOOKUP($B28,nrCDdate,nrCDnum),""))</f>
        <v/>
      </c>
      <c r="D28" s="17">
        <f>IF($B28="","",TRIM(IF(COUNTIFS(nrSCH_Date,$B28,nrSCH_Act,"PT*")&gt;0,"PT + ","")&amp;IF(COUNTIFS(nrSCH_Date,$B28,nrSCH_Act,"*Test*")&gt;0,"Test + ","")&amp;"Classroom"))</f>
        <v/>
      </c>
      <c r="E28" s="16" t="n"/>
      <c r="F28" s="16" t="n"/>
      <c r="G28" s="16" t="n"/>
      <c r="H28" s="16" t="n"/>
      <c r="I28" s="17">
        <f>IF($B28="","",COUNTIFS(nrIN_Date,$B28))</f>
        <v/>
      </c>
      <c r="J28" s="17">
        <f>IF($B28="","",COUNTIFS(nrAT_Date,$B28,nrAT_Type,"Early Departure"))</f>
        <v/>
      </c>
      <c r="K28" s="17">
        <f>IF($B28="","",COUNTIFS(nrME_Received,$B28))</f>
        <v/>
      </c>
      <c r="L28" s="16" t="n"/>
      <c r="M28" s="16" t="n"/>
      <c r="N28" s="16" t="n"/>
    </row>
    <row r="29">
      <c r="B29" s="18" t="n"/>
      <c r="C29" s="17">
        <f>IF($B29="","",IFERROR(_xlfn.XLOOKUP($B29,nrCDdate,nrCDnum),""))</f>
        <v/>
      </c>
      <c r="D29" s="17">
        <f>IF($B29="","",TRIM(IF(COUNTIFS(nrSCH_Date,$B29,nrSCH_Act,"PT*")&gt;0,"PT + ","")&amp;IF(COUNTIFS(nrSCH_Date,$B29,nrSCH_Act,"*Test*")&gt;0,"Test + ","")&amp;"Classroom"))</f>
        <v/>
      </c>
      <c r="E29" s="16" t="n"/>
      <c r="F29" s="16" t="n"/>
      <c r="G29" s="16" t="n"/>
      <c r="H29" s="16" t="n"/>
      <c r="I29" s="17">
        <f>IF($B29="","",COUNTIFS(nrIN_Date,$B29))</f>
        <v/>
      </c>
      <c r="J29" s="17">
        <f>IF($B29="","",COUNTIFS(nrAT_Date,$B29,nrAT_Type,"Early Departure"))</f>
        <v/>
      </c>
      <c r="K29" s="17">
        <f>IF($B29="","",COUNTIFS(nrME_Received,$B29))</f>
        <v/>
      </c>
      <c r="L29" s="16" t="n"/>
      <c r="M29" s="16" t="n"/>
      <c r="N29" s="16" t="n"/>
    </row>
    <row r="30">
      <c r="B30" s="18" t="n"/>
      <c r="C30" s="17">
        <f>IF($B30="","",IFERROR(_xlfn.XLOOKUP($B30,nrCDdate,nrCDnum),""))</f>
        <v/>
      </c>
      <c r="D30" s="17">
        <f>IF($B30="","",TRIM(IF(COUNTIFS(nrSCH_Date,$B30,nrSCH_Act,"PT*")&gt;0,"PT + ","")&amp;IF(COUNTIFS(nrSCH_Date,$B30,nrSCH_Act,"*Test*")&gt;0,"Test + ","")&amp;"Classroom"))</f>
        <v/>
      </c>
      <c r="E30" s="16" t="n"/>
      <c r="F30" s="16" t="n"/>
      <c r="G30" s="16" t="n"/>
      <c r="H30" s="16" t="n"/>
      <c r="I30" s="17">
        <f>IF($B30="","",COUNTIFS(nrIN_Date,$B30))</f>
        <v/>
      </c>
      <c r="J30" s="17">
        <f>IF($B30="","",COUNTIFS(nrAT_Date,$B30,nrAT_Type,"Early Departure"))</f>
        <v/>
      </c>
      <c r="K30" s="17">
        <f>IF($B30="","",COUNTIFS(nrME_Received,$B30))</f>
        <v/>
      </c>
      <c r="L30" s="16" t="n"/>
      <c r="M30" s="16" t="n"/>
      <c r="N30" s="16" t="n"/>
    </row>
    <row r="31">
      <c r="B31" s="18" t="n"/>
      <c r="C31" s="17">
        <f>IF($B31="","",IFERROR(_xlfn.XLOOKUP($B31,nrCDdate,nrCDnum),""))</f>
        <v/>
      </c>
      <c r="D31" s="17">
        <f>IF($B31="","",TRIM(IF(COUNTIFS(nrSCH_Date,$B31,nrSCH_Act,"PT*")&gt;0,"PT + ","")&amp;IF(COUNTIFS(nrSCH_Date,$B31,nrSCH_Act,"*Test*")&gt;0,"Test + ","")&amp;"Classroom"))</f>
        <v/>
      </c>
      <c r="E31" s="16" t="n"/>
      <c r="F31" s="16" t="n"/>
      <c r="G31" s="16" t="n"/>
      <c r="H31" s="16" t="n"/>
      <c r="I31" s="17">
        <f>IF($B31="","",COUNTIFS(nrIN_Date,$B31))</f>
        <v/>
      </c>
      <c r="J31" s="17">
        <f>IF($B31="","",COUNTIFS(nrAT_Date,$B31,nrAT_Type,"Early Departure"))</f>
        <v/>
      </c>
      <c r="K31" s="17">
        <f>IF($B31="","",COUNTIFS(nrME_Received,$B31))</f>
        <v/>
      </c>
      <c r="L31" s="16" t="n"/>
      <c r="M31" s="16" t="n"/>
      <c r="N31" s="16" t="n"/>
    </row>
    <row r="32">
      <c r="B32" s="18" t="n"/>
      <c r="C32" s="17">
        <f>IF($B32="","",IFERROR(_xlfn.XLOOKUP($B32,nrCDdate,nrCDnum),""))</f>
        <v/>
      </c>
      <c r="D32" s="17">
        <f>IF($B32="","",TRIM(IF(COUNTIFS(nrSCH_Date,$B32,nrSCH_Act,"PT*")&gt;0,"PT + ","")&amp;IF(COUNTIFS(nrSCH_Date,$B32,nrSCH_Act,"*Test*")&gt;0,"Test + ","")&amp;"Classroom"))</f>
        <v/>
      </c>
      <c r="E32" s="16" t="n"/>
      <c r="F32" s="16" t="n"/>
      <c r="G32" s="16" t="n"/>
      <c r="H32" s="16" t="n"/>
      <c r="I32" s="17">
        <f>IF($B32="","",COUNTIFS(nrIN_Date,$B32))</f>
        <v/>
      </c>
      <c r="J32" s="17">
        <f>IF($B32="","",COUNTIFS(nrAT_Date,$B32,nrAT_Type,"Early Departure"))</f>
        <v/>
      </c>
      <c r="K32" s="17">
        <f>IF($B32="","",COUNTIFS(nrME_Received,$B32))</f>
        <v/>
      </c>
      <c r="L32" s="16" t="n"/>
      <c r="M32" s="16" t="n"/>
      <c r="N32" s="16" t="n"/>
    </row>
    <row r="33">
      <c r="B33" s="18" t="n"/>
      <c r="C33" s="17">
        <f>IF($B33="","",IFERROR(_xlfn.XLOOKUP($B33,nrCDdate,nrCDnum),""))</f>
        <v/>
      </c>
      <c r="D33" s="17">
        <f>IF($B33="","",TRIM(IF(COUNTIFS(nrSCH_Date,$B33,nrSCH_Act,"PT*")&gt;0,"PT + ","")&amp;IF(COUNTIFS(nrSCH_Date,$B33,nrSCH_Act,"*Test*")&gt;0,"Test + ","")&amp;"Classroom"))</f>
        <v/>
      </c>
      <c r="E33" s="16" t="n"/>
      <c r="F33" s="16" t="n"/>
      <c r="G33" s="16" t="n"/>
      <c r="H33" s="16" t="n"/>
      <c r="I33" s="17">
        <f>IF($B33="","",COUNTIFS(nrIN_Date,$B33))</f>
        <v/>
      </c>
      <c r="J33" s="17">
        <f>IF($B33="","",COUNTIFS(nrAT_Date,$B33,nrAT_Type,"Early Departure"))</f>
        <v/>
      </c>
      <c r="K33" s="17">
        <f>IF($B33="","",COUNTIFS(nrME_Received,$B33))</f>
        <v/>
      </c>
      <c r="L33" s="16" t="n"/>
      <c r="M33" s="16" t="n"/>
      <c r="N33" s="16" t="n"/>
    </row>
    <row r="34">
      <c r="B34" s="18" t="n"/>
      <c r="C34" s="17">
        <f>IF($B34="","",IFERROR(_xlfn.XLOOKUP($B34,nrCDdate,nrCDnum),""))</f>
        <v/>
      </c>
      <c r="D34" s="17">
        <f>IF($B34="","",TRIM(IF(COUNTIFS(nrSCH_Date,$B34,nrSCH_Act,"PT*")&gt;0,"PT + ","")&amp;IF(COUNTIFS(nrSCH_Date,$B34,nrSCH_Act,"*Test*")&gt;0,"Test + ","")&amp;"Classroom"))</f>
        <v/>
      </c>
      <c r="E34" s="16" t="n"/>
      <c r="F34" s="16" t="n"/>
      <c r="G34" s="16" t="n"/>
      <c r="H34" s="16" t="n"/>
      <c r="I34" s="17">
        <f>IF($B34="","",COUNTIFS(nrIN_Date,$B34))</f>
        <v/>
      </c>
      <c r="J34" s="17">
        <f>IF($B34="","",COUNTIFS(nrAT_Date,$B34,nrAT_Type,"Early Departure"))</f>
        <v/>
      </c>
      <c r="K34" s="17">
        <f>IF($B34="","",COUNTIFS(nrME_Received,$B34))</f>
        <v/>
      </c>
      <c r="L34" s="16" t="n"/>
      <c r="M34" s="16" t="n"/>
      <c r="N34" s="16" t="n"/>
    </row>
    <row r="35">
      <c r="B35" s="18" t="n"/>
      <c r="C35" s="17">
        <f>IF($B35="","",IFERROR(_xlfn.XLOOKUP($B35,nrCDdate,nrCDnum),""))</f>
        <v/>
      </c>
      <c r="D35" s="17">
        <f>IF($B35="","",TRIM(IF(COUNTIFS(nrSCH_Date,$B35,nrSCH_Act,"PT*")&gt;0,"PT + ","")&amp;IF(COUNTIFS(nrSCH_Date,$B35,nrSCH_Act,"*Test*")&gt;0,"Test + ","")&amp;"Classroom"))</f>
        <v/>
      </c>
      <c r="E35" s="16" t="n"/>
      <c r="F35" s="16" t="n"/>
      <c r="G35" s="16" t="n"/>
      <c r="H35" s="16" t="n"/>
      <c r="I35" s="17">
        <f>IF($B35="","",COUNTIFS(nrIN_Date,$B35))</f>
        <v/>
      </c>
      <c r="J35" s="17">
        <f>IF($B35="","",COUNTIFS(nrAT_Date,$B35,nrAT_Type,"Early Departure"))</f>
        <v/>
      </c>
      <c r="K35" s="17">
        <f>IF($B35="","",COUNTIFS(nrME_Received,$B35))</f>
        <v/>
      </c>
      <c r="L35" s="16" t="n"/>
      <c r="M35" s="16" t="n"/>
      <c r="N35" s="16" t="n"/>
    </row>
    <row r="36">
      <c r="B36" s="18" t="n"/>
      <c r="C36" s="17">
        <f>IF($B36="","",IFERROR(_xlfn.XLOOKUP($B36,nrCDdate,nrCDnum),""))</f>
        <v/>
      </c>
      <c r="D36" s="17">
        <f>IF($B36="","",TRIM(IF(COUNTIFS(nrSCH_Date,$B36,nrSCH_Act,"PT*")&gt;0,"PT + ","")&amp;IF(COUNTIFS(nrSCH_Date,$B36,nrSCH_Act,"*Test*")&gt;0,"Test + ","")&amp;"Classroom"))</f>
        <v/>
      </c>
      <c r="E36" s="16" t="n"/>
      <c r="F36" s="16" t="n"/>
      <c r="G36" s="16" t="n"/>
      <c r="H36" s="16" t="n"/>
      <c r="I36" s="17">
        <f>IF($B36="","",COUNTIFS(nrIN_Date,$B36))</f>
        <v/>
      </c>
      <c r="J36" s="17">
        <f>IF($B36="","",COUNTIFS(nrAT_Date,$B36,nrAT_Type,"Early Departure"))</f>
        <v/>
      </c>
      <c r="K36" s="17">
        <f>IF($B36="","",COUNTIFS(nrME_Received,$B36))</f>
        <v/>
      </c>
      <c r="L36" s="16" t="n"/>
      <c r="M36" s="16" t="n"/>
      <c r="N36" s="16" t="n"/>
    </row>
    <row r="37">
      <c r="B37" s="18" t="n"/>
      <c r="C37" s="17">
        <f>IF($B37="","",IFERROR(_xlfn.XLOOKUP($B37,nrCDdate,nrCDnum),""))</f>
        <v/>
      </c>
      <c r="D37" s="17">
        <f>IF($B37="","",TRIM(IF(COUNTIFS(nrSCH_Date,$B37,nrSCH_Act,"PT*")&gt;0,"PT + ","")&amp;IF(COUNTIFS(nrSCH_Date,$B37,nrSCH_Act,"*Test*")&gt;0,"Test + ","")&amp;"Classroom"))</f>
        <v/>
      </c>
      <c r="E37" s="16" t="n"/>
      <c r="F37" s="16" t="n"/>
      <c r="G37" s="16" t="n"/>
      <c r="H37" s="16" t="n"/>
      <c r="I37" s="17">
        <f>IF($B37="","",COUNTIFS(nrIN_Date,$B37))</f>
        <v/>
      </c>
      <c r="J37" s="17">
        <f>IF($B37="","",COUNTIFS(nrAT_Date,$B37,nrAT_Type,"Early Departure"))</f>
        <v/>
      </c>
      <c r="K37" s="17">
        <f>IF($B37="","",COUNTIFS(nrME_Received,$B37))</f>
        <v/>
      </c>
      <c r="L37" s="16" t="n"/>
      <c r="M37" s="16" t="n"/>
      <c r="N37" s="16" t="n"/>
    </row>
    <row r="38">
      <c r="B38" s="18" t="n"/>
      <c r="C38" s="17">
        <f>IF($B38="","",IFERROR(_xlfn.XLOOKUP($B38,nrCDdate,nrCDnum),""))</f>
        <v/>
      </c>
      <c r="D38" s="17">
        <f>IF($B38="","",TRIM(IF(COUNTIFS(nrSCH_Date,$B38,nrSCH_Act,"PT*")&gt;0,"PT + ","")&amp;IF(COUNTIFS(nrSCH_Date,$B38,nrSCH_Act,"*Test*")&gt;0,"Test + ","")&amp;"Classroom"))</f>
        <v/>
      </c>
      <c r="E38" s="16" t="n"/>
      <c r="F38" s="16" t="n"/>
      <c r="G38" s="16" t="n"/>
      <c r="H38" s="16" t="n"/>
      <c r="I38" s="17">
        <f>IF($B38="","",COUNTIFS(nrIN_Date,$B38))</f>
        <v/>
      </c>
      <c r="J38" s="17">
        <f>IF($B38="","",COUNTIFS(nrAT_Date,$B38,nrAT_Type,"Early Departure"))</f>
        <v/>
      </c>
      <c r="K38" s="17">
        <f>IF($B38="","",COUNTIFS(nrME_Received,$B38))</f>
        <v/>
      </c>
      <c r="L38" s="16" t="n"/>
      <c r="M38" s="16" t="n"/>
      <c r="N38" s="16" t="n"/>
    </row>
    <row r="39">
      <c r="B39" s="18" t="n"/>
      <c r="C39" s="17">
        <f>IF($B39="","",IFERROR(_xlfn.XLOOKUP($B39,nrCDdate,nrCDnum),""))</f>
        <v/>
      </c>
      <c r="D39" s="17">
        <f>IF($B39="","",TRIM(IF(COUNTIFS(nrSCH_Date,$B39,nrSCH_Act,"PT*")&gt;0,"PT + ","")&amp;IF(COUNTIFS(nrSCH_Date,$B39,nrSCH_Act,"*Test*")&gt;0,"Test + ","")&amp;"Classroom"))</f>
        <v/>
      </c>
      <c r="E39" s="16" t="n"/>
      <c r="F39" s="16" t="n"/>
      <c r="G39" s="16" t="n"/>
      <c r="H39" s="16" t="n"/>
      <c r="I39" s="17">
        <f>IF($B39="","",COUNTIFS(nrIN_Date,$B39))</f>
        <v/>
      </c>
      <c r="J39" s="17">
        <f>IF($B39="","",COUNTIFS(nrAT_Date,$B39,nrAT_Type,"Early Departure"))</f>
        <v/>
      </c>
      <c r="K39" s="17">
        <f>IF($B39="","",COUNTIFS(nrME_Received,$B39))</f>
        <v/>
      </c>
      <c r="L39" s="16" t="n"/>
      <c r="M39" s="16" t="n"/>
      <c r="N39" s="16" t="n"/>
    </row>
    <row r="40">
      <c r="B40" s="18" t="n"/>
      <c r="C40" s="17">
        <f>IF($B40="","",IFERROR(_xlfn.XLOOKUP($B40,nrCDdate,nrCDnum),""))</f>
        <v/>
      </c>
      <c r="D40" s="17">
        <f>IF($B40="","",TRIM(IF(COUNTIFS(nrSCH_Date,$B40,nrSCH_Act,"PT*")&gt;0,"PT + ","")&amp;IF(COUNTIFS(nrSCH_Date,$B40,nrSCH_Act,"*Test*")&gt;0,"Test + ","")&amp;"Classroom"))</f>
        <v/>
      </c>
      <c r="E40" s="16" t="n"/>
      <c r="F40" s="16" t="n"/>
      <c r="G40" s="16" t="n"/>
      <c r="H40" s="16" t="n"/>
      <c r="I40" s="17">
        <f>IF($B40="","",COUNTIFS(nrIN_Date,$B40))</f>
        <v/>
      </c>
      <c r="J40" s="17">
        <f>IF($B40="","",COUNTIFS(nrAT_Date,$B40,nrAT_Type,"Early Departure"))</f>
        <v/>
      </c>
      <c r="K40" s="17">
        <f>IF($B40="","",COUNTIFS(nrME_Received,$B40))</f>
        <v/>
      </c>
      <c r="L40" s="16" t="n"/>
      <c r="M40" s="16" t="n"/>
      <c r="N40" s="16" t="n"/>
    </row>
    <row r="41">
      <c r="B41" s="18" t="n"/>
      <c r="C41" s="17">
        <f>IF($B41="","",IFERROR(_xlfn.XLOOKUP($B41,nrCDdate,nrCDnum),""))</f>
        <v/>
      </c>
      <c r="D41" s="17">
        <f>IF($B41="","",TRIM(IF(COUNTIFS(nrSCH_Date,$B41,nrSCH_Act,"PT*")&gt;0,"PT + ","")&amp;IF(COUNTIFS(nrSCH_Date,$B41,nrSCH_Act,"*Test*")&gt;0,"Test + ","")&amp;"Classroom"))</f>
        <v/>
      </c>
      <c r="E41" s="16" t="n"/>
      <c r="F41" s="16" t="n"/>
      <c r="G41" s="16" t="n"/>
      <c r="H41" s="16" t="n"/>
      <c r="I41" s="17">
        <f>IF($B41="","",COUNTIFS(nrIN_Date,$B41))</f>
        <v/>
      </c>
      <c r="J41" s="17">
        <f>IF($B41="","",COUNTIFS(nrAT_Date,$B41,nrAT_Type,"Early Departure"))</f>
        <v/>
      </c>
      <c r="K41" s="17">
        <f>IF($B41="","",COUNTIFS(nrME_Received,$B41))</f>
        <v/>
      </c>
      <c r="L41" s="16" t="n"/>
      <c r="M41" s="16" t="n"/>
      <c r="N41" s="16" t="n"/>
    </row>
    <row r="42">
      <c r="B42" s="18" t="n"/>
      <c r="C42" s="17">
        <f>IF($B42="","",IFERROR(_xlfn.XLOOKUP($B42,nrCDdate,nrCDnum),""))</f>
        <v/>
      </c>
      <c r="D42" s="17">
        <f>IF($B42="","",TRIM(IF(COUNTIFS(nrSCH_Date,$B42,nrSCH_Act,"PT*")&gt;0,"PT + ","")&amp;IF(COUNTIFS(nrSCH_Date,$B42,nrSCH_Act,"*Test*")&gt;0,"Test + ","")&amp;"Classroom"))</f>
        <v/>
      </c>
      <c r="E42" s="16" t="n"/>
      <c r="F42" s="16" t="n"/>
      <c r="G42" s="16" t="n"/>
      <c r="H42" s="16" t="n"/>
      <c r="I42" s="17">
        <f>IF($B42="","",COUNTIFS(nrIN_Date,$B42))</f>
        <v/>
      </c>
      <c r="J42" s="17">
        <f>IF($B42="","",COUNTIFS(nrAT_Date,$B42,nrAT_Type,"Early Departure"))</f>
        <v/>
      </c>
      <c r="K42" s="17">
        <f>IF($B42="","",COUNTIFS(nrME_Received,$B42))</f>
        <v/>
      </c>
      <c r="L42" s="16" t="n"/>
      <c r="M42" s="16" t="n"/>
      <c r="N42" s="16" t="n"/>
    </row>
    <row r="43">
      <c r="B43" s="18" t="n"/>
      <c r="C43" s="17">
        <f>IF($B43="","",IFERROR(_xlfn.XLOOKUP($B43,nrCDdate,nrCDnum),""))</f>
        <v/>
      </c>
      <c r="D43" s="17">
        <f>IF($B43="","",TRIM(IF(COUNTIFS(nrSCH_Date,$B43,nrSCH_Act,"PT*")&gt;0,"PT + ","")&amp;IF(COUNTIFS(nrSCH_Date,$B43,nrSCH_Act,"*Test*")&gt;0,"Test + ","")&amp;"Classroom"))</f>
        <v/>
      </c>
      <c r="E43" s="16" t="n"/>
      <c r="F43" s="16" t="n"/>
      <c r="G43" s="16" t="n"/>
      <c r="H43" s="16" t="n"/>
      <c r="I43" s="17">
        <f>IF($B43="","",COUNTIFS(nrIN_Date,$B43))</f>
        <v/>
      </c>
      <c r="J43" s="17">
        <f>IF($B43="","",COUNTIFS(nrAT_Date,$B43,nrAT_Type,"Early Departure"))</f>
        <v/>
      </c>
      <c r="K43" s="17">
        <f>IF($B43="","",COUNTIFS(nrME_Received,$B43))</f>
        <v/>
      </c>
      <c r="L43" s="16" t="n"/>
      <c r="M43" s="16" t="n"/>
      <c r="N43" s="16" t="n"/>
    </row>
    <row r="44">
      <c r="B44" s="18" t="n"/>
      <c r="C44" s="17">
        <f>IF($B44="","",IFERROR(_xlfn.XLOOKUP($B44,nrCDdate,nrCDnum),""))</f>
        <v/>
      </c>
      <c r="D44" s="17">
        <f>IF($B44="","",TRIM(IF(COUNTIFS(nrSCH_Date,$B44,nrSCH_Act,"PT*")&gt;0,"PT + ","")&amp;IF(COUNTIFS(nrSCH_Date,$B44,nrSCH_Act,"*Test*")&gt;0,"Test + ","")&amp;"Classroom"))</f>
        <v/>
      </c>
      <c r="E44" s="16" t="n"/>
      <c r="F44" s="16" t="n"/>
      <c r="G44" s="16" t="n"/>
      <c r="H44" s="16" t="n"/>
      <c r="I44" s="17">
        <f>IF($B44="","",COUNTIFS(nrIN_Date,$B44))</f>
        <v/>
      </c>
      <c r="J44" s="17">
        <f>IF($B44="","",COUNTIFS(nrAT_Date,$B44,nrAT_Type,"Early Departure"))</f>
        <v/>
      </c>
      <c r="K44" s="17">
        <f>IF($B44="","",COUNTIFS(nrME_Received,$B44))</f>
        <v/>
      </c>
      <c r="L44" s="16" t="n"/>
      <c r="M44" s="16" t="n"/>
      <c r="N44" s="16" t="n"/>
    </row>
    <row r="45">
      <c r="B45" s="18" t="n"/>
      <c r="C45" s="17">
        <f>IF($B45="","",IFERROR(_xlfn.XLOOKUP($B45,nrCDdate,nrCDnum),""))</f>
        <v/>
      </c>
      <c r="D45" s="17">
        <f>IF($B45="","",TRIM(IF(COUNTIFS(nrSCH_Date,$B45,nrSCH_Act,"PT*")&gt;0,"PT + ","")&amp;IF(COUNTIFS(nrSCH_Date,$B45,nrSCH_Act,"*Test*")&gt;0,"Test + ","")&amp;"Classroom"))</f>
        <v/>
      </c>
      <c r="E45" s="16" t="n"/>
      <c r="F45" s="16" t="n"/>
      <c r="G45" s="16" t="n"/>
      <c r="H45" s="16" t="n"/>
      <c r="I45" s="17">
        <f>IF($B45="","",COUNTIFS(nrIN_Date,$B45))</f>
        <v/>
      </c>
      <c r="J45" s="17">
        <f>IF($B45="","",COUNTIFS(nrAT_Date,$B45,nrAT_Type,"Early Departure"))</f>
        <v/>
      </c>
      <c r="K45" s="17">
        <f>IF($B45="","",COUNTIFS(nrME_Received,$B45))</f>
        <v/>
      </c>
      <c r="L45" s="16" t="n"/>
      <c r="M45" s="16" t="n"/>
      <c r="N45" s="16" t="n"/>
    </row>
    <row r="46">
      <c r="B46" s="18" t="n"/>
      <c r="C46" s="17">
        <f>IF($B46="","",IFERROR(_xlfn.XLOOKUP($B46,nrCDdate,nrCDnum),""))</f>
        <v/>
      </c>
      <c r="D46" s="17">
        <f>IF($B46="","",TRIM(IF(COUNTIFS(nrSCH_Date,$B46,nrSCH_Act,"PT*")&gt;0,"PT + ","")&amp;IF(COUNTIFS(nrSCH_Date,$B46,nrSCH_Act,"*Test*")&gt;0,"Test + ","")&amp;"Classroom"))</f>
        <v/>
      </c>
      <c r="E46" s="16" t="n"/>
      <c r="F46" s="16" t="n"/>
      <c r="G46" s="16" t="n"/>
      <c r="H46" s="16" t="n"/>
      <c r="I46" s="17">
        <f>IF($B46="","",COUNTIFS(nrIN_Date,$B46))</f>
        <v/>
      </c>
      <c r="J46" s="17">
        <f>IF($B46="","",COUNTIFS(nrAT_Date,$B46,nrAT_Type,"Early Departure"))</f>
        <v/>
      </c>
      <c r="K46" s="17">
        <f>IF($B46="","",COUNTIFS(nrME_Received,$B46))</f>
        <v/>
      </c>
      <c r="L46" s="16" t="n"/>
      <c r="M46" s="16" t="n"/>
      <c r="N46" s="16" t="n"/>
    </row>
    <row r="47">
      <c r="B47" s="18" t="n"/>
      <c r="C47" s="17">
        <f>IF($B47="","",IFERROR(_xlfn.XLOOKUP($B47,nrCDdate,nrCDnum),""))</f>
        <v/>
      </c>
      <c r="D47" s="17">
        <f>IF($B47="","",TRIM(IF(COUNTIFS(nrSCH_Date,$B47,nrSCH_Act,"PT*")&gt;0,"PT + ","")&amp;IF(COUNTIFS(nrSCH_Date,$B47,nrSCH_Act,"*Test*")&gt;0,"Test + ","")&amp;"Classroom"))</f>
        <v/>
      </c>
      <c r="E47" s="16" t="n"/>
      <c r="F47" s="16" t="n"/>
      <c r="G47" s="16" t="n"/>
      <c r="H47" s="16" t="n"/>
      <c r="I47" s="17">
        <f>IF($B47="","",COUNTIFS(nrIN_Date,$B47))</f>
        <v/>
      </c>
      <c r="J47" s="17">
        <f>IF($B47="","",COUNTIFS(nrAT_Date,$B47,nrAT_Type,"Early Departure"))</f>
        <v/>
      </c>
      <c r="K47" s="17">
        <f>IF($B47="","",COUNTIFS(nrME_Received,$B47))</f>
        <v/>
      </c>
      <c r="L47" s="16" t="n"/>
      <c r="M47" s="16" t="n"/>
      <c r="N47" s="16" t="n"/>
    </row>
    <row r="48">
      <c r="B48" s="18" t="n"/>
      <c r="C48" s="17">
        <f>IF($B48="","",IFERROR(_xlfn.XLOOKUP($B48,nrCDdate,nrCDnum),""))</f>
        <v/>
      </c>
      <c r="D48" s="17">
        <f>IF($B48="","",TRIM(IF(COUNTIFS(nrSCH_Date,$B48,nrSCH_Act,"PT*")&gt;0,"PT + ","")&amp;IF(COUNTIFS(nrSCH_Date,$B48,nrSCH_Act,"*Test*")&gt;0,"Test + ","")&amp;"Classroom"))</f>
        <v/>
      </c>
      <c r="E48" s="16" t="n"/>
      <c r="F48" s="16" t="n"/>
      <c r="G48" s="16" t="n"/>
      <c r="H48" s="16" t="n"/>
      <c r="I48" s="17">
        <f>IF($B48="","",COUNTIFS(nrIN_Date,$B48))</f>
        <v/>
      </c>
      <c r="J48" s="17">
        <f>IF($B48="","",COUNTIFS(nrAT_Date,$B48,nrAT_Type,"Early Departure"))</f>
        <v/>
      </c>
      <c r="K48" s="17">
        <f>IF($B48="","",COUNTIFS(nrME_Received,$B48))</f>
        <v/>
      </c>
      <c r="L48" s="16" t="n"/>
      <c r="M48" s="16" t="n"/>
      <c r="N48" s="16" t="n"/>
    </row>
    <row r="49">
      <c r="B49" s="18" t="n"/>
      <c r="C49" s="17">
        <f>IF($B49="","",IFERROR(_xlfn.XLOOKUP($B49,nrCDdate,nrCDnum),""))</f>
        <v/>
      </c>
      <c r="D49" s="17">
        <f>IF($B49="","",TRIM(IF(COUNTIFS(nrSCH_Date,$B49,nrSCH_Act,"PT*")&gt;0,"PT + ","")&amp;IF(COUNTIFS(nrSCH_Date,$B49,nrSCH_Act,"*Test*")&gt;0,"Test + ","")&amp;"Classroom"))</f>
        <v/>
      </c>
      <c r="E49" s="16" t="n"/>
      <c r="F49" s="16" t="n"/>
      <c r="G49" s="16" t="n"/>
      <c r="H49" s="16" t="n"/>
      <c r="I49" s="17">
        <f>IF($B49="","",COUNTIFS(nrIN_Date,$B49))</f>
        <v/>
      </c>
      <c r="J49" s="17">
        <f>IF($B49="","",COUNTIFS(nrAT_Date,$B49,nrAT_Type,"Early Departure"))</f>
        <v/>
      </c>
      <c r="K49" s="17">
        <f>IF($B49="","",COUNTIFS(nrME_Received,$B49))</f>
        <v/>
      </c>
      <c r="L49" s="16" t="n"/>
      <c r="M49" s="16" t="n"/>
      <c r="N49" s="16" t="n"/>
    </row>
    <row r="50">
      <c r="B50" s="18" t="n"/>
      <c r="C50" s="17">
        <f>IF($B50="","",IFERROR(_xlfn.XLOOKUP($B50,nrCDdate,nrCDnum),""))</f>
        <v/>
      </c>
      <c r="D50" s="17">
        <f>IF($B50="","",TRIM(IF(COUNTIFS(nrSCH_Date,$B50,nrSCH_Act,"PT*")&gt;0,"PT + ","")&amp;IF(COUNTIFS(nrSCH_Date,$B50,nrSCH_Act,"*Test*")&gt;0,"Test + ","")&amp;"Classroom"))</f>
        <v/>
      </c>
      <c r="E50" s="16" t="n"/>
      <c r="F50" s="16" t="n"/>
      <c r="G50" s="16" t="n"/>
      <c r="H50" s="16" t="n"/>
      <c r="I50" s="17">
        <f>IF($B50="","",COUNTIFS(nrIN_Date,$B50))</f>
        <v/>
      </c>
      <c r="J50" s="17">
        <f>IF($B50="","",COUNTIFS(nrAT_Date,$B50,nrAT_Type,"Early Departure"))</f>
        <v/>
      </c>
      <c r="K50" s="17">
        <f>IF($B50="","",COUNTIFS(nrME_Received,$B50))</f>
        <v/>
      </c>
      <c r="L50" s="16" t="n"/>
      <c r="M50" s="16" t="n"/>
      <c r="N50" s="16" t="n"/>
    </row>
    <row r="51">
      <c r="B51" s="18" t="n"/>
      <c r="C51" s="17">
        <f>IF($B51="","",IFERROR(_xlfn.XLOOKUP($B51,nrCDdate,nrCDnum),""))</f>
        <v/>
      </c>
      <c r="D51" s="17">
        <f>IF($B51="","",TRIM(IF(COUNTIFS(nrSCH_Date,$B51,nrSCH_Act,"PT*")&gt;0,"PT + ","")&amp;IF(COUNTIFS(nrSCH_Date,$B51,nrSCH_Act,"*Test*")&gt;0,"Test + ","")&amp;"Classroom"))</f>
        <v/>
      </c>
      <c r="E51" s="16" t="n"/>
      <c r="F51" s="16" t="n"/>
      <c r="G51" s="16" t="n"/>
      <c r="H51" s="16" t="n"/>
      <c r="I51" s="17">
        <f>IF($B51="","",COUNTIFS(nrIN_Date,$B51))</f>
        <v/>
      </c>
      <c r="J51" s="17">
        <f>IF($B51="","",COUNTIFS(nrAT_Date,$B51,nrAT_Type,"Early Departure"))</f>
        <v/>
      </c>
      <c r="K51" s="17">
        <f>IF($B51="","",COUNTIFS(nrME_Received,$B51))</f>
        <v/>
      </c>
      <c r="L51" s="16" t="n"/>
      <c r="M51" s="16" t="n"/>
      <c r="N51" s="16" t="n"/>
    </row>
    <row r="52">
      <c r="B52" s="18" t="n"/>
      <c r="C52" s="17">
        <f>IF($B52="","",IFERROR(_xlfn.XLOOKUP($B52,nrCDdate,nrCDnum),""))</f>
        <v/>
      </c>
      <c r="D52" s="17">
        <f>IF($B52="","",TRIM(IF(COUNTIFS(nrSCH_Date,$B52,nrSCH_Act,"PT*")&gt;0,"PT + ","")&amp;IF(COUNTIFS(nrSCH_Date,$B52,nrSCH_Act,"*Test*")&gt;0,"Test + ","")&amp;"Classroom"))</f>
        <v/>
      </c>
      <c r="E52" s="16" t="n"/>
      <c r="F52" s="16" t="n"/>
      <c r="G52" s="16" t="n"/>
      <c r="H52" s="16" t="n"/>
      <c r="I52" s="17">
        <f>IF($B52="","",COUNTIFS(nrIN_Date,$B52))</f>
        <v/>
      </c>
      <c r="J52" s="17">
        <f>IF($B52="","",COUNTIFS(nrAT_Date,$B52,nrAT_Type,"Early Departure"))</f>
        <v/>
      </c>
      <c r="K52" s="17">
        <f>IF($B52="","",COUNTIFS(nrME_Received,$B52))</f>
        <v/>
      </c>
      <c r="L52" s="16" t="n"/>
      <c r="M52" s="16" t="n"/>
      <c r="N52" s="16" t="n"/>
    </row>
    <row r="53">
      <c r="B53" s="18" t="n"/>
      <c r="C53" s="17">
        <f>IF($B53="","",IFERROR(_xlfn.XLOOKUP($B53,nrCDdate,nrCDnum),""))</f>
        <v/>
      </c>
      <c r="D53" s="17">
        <f>IF($B53="","",TRIM(IF(COUNTIFS(nrSCH_Date,$B53,nrSCH_Act,"PT*")&gt;0,"PT + ","")&amp;IF(COUNTIFS(nrSCH_Date,$B53,nrSCH_Act,"*Test*")&gt;0,"Test + ","")&amp;"Classroom"))</f>
        <v/>
      </c>
      <c r="E53" s="16" t="n"/>
      <c r="F53" s="16" t="n"/>
      <c r="G53" s="16" t="n"/>
      <c r="H53" s="16" t="n"/>
      <c r="I53" s="17">
        <f>IF($B53="","",COUNTIFS(nrIN_Date,$B53))</f>
        <v/>
      </c>
      <c r="J53" s="17">
        <f>IF($B53="","",COUNTIFS(nrAT_Date,$B53,nrAT_Type,"Early Departure"))</f>
        <v/>
      </c>
      <c r="K53" s="17">
        <f>IF($B53="","",COUNTIFS(nrME_Received,$B53))</f>
        <v/>
      </c>
      <c r="L53" s="16" t="n"/>
      <c r="M53" s="16" t="n"/>
      <c r="N53" s="16" t="n"/>
    </row>
    <row r="54">
      <c r="B54" s="18" t="n"/>
      <c r="C54" s="17">
        <f>IF($B54="","",IFERROR(_xlfn.XLOOKUP($B54,nrCDdate,nrCDnum),""))</f>
        <v/>
      </c>
      <c r="D54" s="17">
        <f>IF($B54="","",TRIM(IF(COUNTIFS(nrSCH_Date,$B54,nrSCH_Act,"PT*")&gt;0,"PT + ","")&amp;IF(COUNTIFS(nrSCH_Date,$B54,nrSCH_Act,"*Test*")&gt;0,"Test + ","")&amp;"Classroom"))</f>
        <v/>
      </c>
      <c r="E54" s="16" t="n"/>
      <c r="F54" s="16" t="n"/>
      <c r="G54" s="16" t="n"/>
      <c r="H54" s="16" t="n"/>
      <c r="I54" s="17">
        <f>IF($B54="","",COUNTIFS(nrIN_Date,$B54))</f>
        <v/>
      </c>
      <c r="J54" s="17">
        <f>IF($B54="","",COUNTIFS(nrAT_Date,$B54,nrAT_Type,"Early Departure"))</f>
        <v/>
      </c>
      <c r="K54" s="17">
        <f>IF($B54="","",COUNTIFS(nrME_Received,$B54))</f>
        <v/>
      </c>
      <c r="L54" s="16" t="n"/>
      <c r="M54" s="16" t="n"/>
      <c r="N54" s="16" t="n"/>
    </row>
    <row r="55">
      <c r="B55" s="18" t="n"/>
      <c r="C55" s="17">
        <f>IF($B55="","",IFERROR(_xlfn.XLOOKUP($B55,nrCDdate,nrCDnum),""))</f>
        <v/>
      </c>
      <c r="D55" s="17">
        <f>IF($B55="","",TRIM(IF(COUNTIFS(nrSCH_Date,$B55,nrSCH_Act,"PT*")&gt;0,"PT + ","")&amp;IF(COUNTIFS(nrSCH_Date,$B55,nrSCH_Act,"*Test*")&gt;0,"Test + ","")&amp;"Classroom"))</f>
        <v/>
      </c>
      <c r="E55" s="16" t="n"/>
      <c r="F55" s="16" t="n"/>
      <c r="G55" s="16" t="n"/>
      <c r="H55" s="16" t="n"/>
      <c r="I55" s="17">
        <f>IF($B55="","",COUNTIFS(nrIN_Date,$B55))</f>
        <v/>
      </c>
      <c r="J55" s="17">
        <f>IF($B55="","",COUNTIFS(nrAT_Date,$B55,nrAT_Type,"Early Departure"))</f>
        <v/>
      </c>
      <c r="K55" s="17">
        <f>IF($B55="","",COUNTIFS(nrME_Received,$B55))</f>
        <v/>
      </c>
      <c r="L55" s="16" t="n"/>
      <c r="M55" s="16" t="n"/>
      <c r="N55" s="16" t="n"/>
    </row>
    <row r="56">
      <c r="B56" s="18" t="n"/>
      <c r="C56" s="17">
        <f>IF($B56="","",IFERROR(_xlfn.XLOOKUP($B56,nrCDdate,nrCDnum),""))</f>
        <v/>
      </c>
      <c r="D56" s="17">
        <f>IF($B56="","",TRIM(IF(COUNTIFS(nrSCH_Date,$B56,nrSCH_Act,"PT*")&gt;0,"PT + ","")&amp;IF(COUNTIFS(nrSCH_Date,$B56,nrSCH_Act,"*Test*")&gt;0,"Test + ","")&amp;"Classroom"))</f>
        <v/>
      </c>
      <c r="E56" s="16" t="n"/>
      <c r="F56" s="16" t="n"/>
      <c r="G56" s="16" t="n"/>
      <c r="H56" s="16" t="n"/>
      <c r="I56" s="17">
        <f>IF($B56="","",COUNTIFS(nrIN_Date,$B56))</f>
        <v/>
      </c>
      <c r="J56" s="17">
        <f>IF($B56="","",COUNTIFS(nrAT_Date,$B56,nrAT_Type,"Early Departure"))</f>
        <v/>
      </c>
      <c r="K56" s="17">
        <f>IF($B56="","",COUNTIFS(nrME_Received,$B56))</f>
        <v/>
      </c>
      <c r="L56" s="16" t="n"/>
      <c r="M56" s="16" t="n"/>
      <c r="N56" s="16" t="n"/>
    </row>
    <row r="57">
      <c r="B57" s="18" t="n"/>
      <c r="C57" s="17">
        <f>IF($B57="","",IFERROR(_xlfn.XLOOKUP($B57,nrCDdate,nrCDnum),""))</f>
        <v/>
      </c>
      <c r="D57" s="17">
        <f>IF($B57="","",TRIM(IF(COUNTIFS(nrSCH_Date,$B57,nrSCH_Act,"PT*")&gt;0,"PT + ","")&amp;IF(COUNTIFS(nrSCH_Date,$B57,nrSCH_Act,"*Test*")&gt;0,"Test + ","")&amp;"Classroom"))</f>
        <v/>
      </c>
      <c r="E57" s="16" t="n"/>
      <c r="F57" s="16" t="n"/>
      <c r="G57" s="16" t="n"/>
      <c r="H57" s="16" t="n"/>
      <c r="I57" s="17">
        <f>IF($B57="","",COUNTIFS(nrIN_Date,$B57))</f>
        <v/>
      </c>
      <c r="J57" s="17">
        <f>IF($B57="","",COUNTIFS(nrAT_Date,$B57,nrAT_Type,"Early Departure"))</f>
        <v/>
      </c>
      <c r="K57" s="17">
        <f>IF($B57="","",COUNTIFS(nrME_Received,$B57))</f>
        <v/>
      </c>
      <c r="L57" s="16" t="n"/>
      <c r="M57" s="16" t="n"/>
      <c r="N57" s="16" t="n"/>
    </row>
    <row r="58">
      <c r="B58" s="18" t="n"/>
      <c r="C58" s="17">
        <f>IF($B58="","",IFERROR(_xlfn.XLOOKUP($B58,nrCDdate,nrCDnum),""))</f>
        <v/>
      </c>
      <c r="D58" s="17">
        <f>IF($B58="","",TRIM(IF(COUNTIFS(nrSCH_Date,$B58,nrSCH_Act,"PT*")&gt;0,"PT + ","")&amp;IF(COUNTIFS(nrSCH_Date,$B58,nrSCH_Act,"*Test*")&gt;0,"Test + ","")&amp;"Classroom"))</f>
        <v/>
      </c>
      <c r="E58" s="16" t="n"/>
      <c r="F58" s="16" t="n"/>
      <c r="G58" s="16" t="n"/>
      <c r="H58" s="16" t="n"/>
      <c r="I58" s="17">
        <f>IF($B58="","",COUNTIFS(nrIN_Date,$B58))</f>
        <v/>
      </c>
      <c r="J58" s="17">
        <f>IF($B58="","",COUNTIFS(nrAT_Date,$B58,nrAT_Type,"Early Departure"))</f>
        <v/>
      </c>
      <c r="K58" s="17">
        <f>IF($B58="","",COUNTIFS(nrME_Received,$B58))</f>
        <v/>
      </c>
      <c r="L58" s="16" t="n"/>
      <c r="M58" s="16" t="n"/>
      <c r="N58" s="16" t="n"/>
    </row>
    <row r="59">
      <c r="B59" s="18" t="n"/>
      <c r="C59" s="17">
        <f>IF($B59="","",IFERROR(_xlfn.XLOOKUP($B59,nrCDdate,nrCDnum),""))</f>
        <v/>
      </c>
      <c r="D59" s="17">
        <f>IF($B59="","",TRIM(IF(COUNTIFS(nrSCH_Date,$B59,nrSCH_Act,"PT*")&gt;0,"PT + ","")&amp;IF(COUNTIFS(nrSCH_Date,$B59,nrSCH_Act,"*Test*")&gt;0,"Test + ","")&amp;"Classroom"))</f>
        <v/>
      </c>
      <c r="E59" s="16" t="n"/>
      <c r="F59" s="16" t="n"/>
      <c r="G59" s="16" t="n"/>
      <c r="H59" s="16" t="n"/>
      <c r="I59" s="17">
        <f>IF($B59="","",COUNTIFS(nrIN_Date,$B59))</f>
        <v/>
      </c>
      <c r="J59" s="17">
        <f>IF($B59="","",COUNTIFS(nrAT_Date,$B59,nrAT_Type,"Early Departure"))</f>
        <v/>
      </c>
      <c r="K59" s="17">
        <f>IF($B59="","",COUNTIFS(nrME_Received,$B59))</f>
        <v/>
      </c>
      <c r="L59" s="16" t="n"/>
      <c r="M59" s="16" t="n"/>
      <c r="N59" s="16" t="n"/>
    </row>
    <row r="60">
      <c r="B60" s="18" t="n"/>
      <c r="C60" s="17">
        <f>IF($B60="","",IFERROR(_xlfn.XLOOKUP($B60,nrCDdate,nrCDnum),""))</f>
        <v/>
      </c>
      <c r="D60" s="17">
        <f>IF($B60="","",TRIM(IF(COUNTIFS(nrSCH_Date,$B60,nrSCH_Act,"PT*")&gt;0,"PT + ","")&amp;IF(COUNTIFS(nrSCH_Date,$B60,nrSCH_Act,"*Test*")&gt;0,"Test + ","")&amp;"Classroom"))</f>
        <v/>
      </c>
      <c r="E60" s="16" t="n"/>
      <c r="F60" s="16" t="n"/>
      <c r="G60" s="16" t="n"/>
      <c r="H60" s="16" t="n"/>
      <c r="I60" s="17">
        <f>IF($B60="","",COUNTIFS(nrIN_Date,$B60))</f>
        <v/>
      </c>
      <c r="J60" s="17">
        <f>IF($B60="","",COUNTIFS(nrAT_Date,$B60,nrAT_Type,"Early Departure"))</f>
        <v/>
      </c>
      <c r="K60" s="17">
        <f>IF($B60="","",COUNTIFS(nrME_Received,$B60))</f>
        <v/>
      </c>
      <c r="L60" s="16" t="n"/>
      <c r="M60" s="16" t="n"/>
      <c r="N60" s="16" t="n"/>
    </row>
    <row r="61">
      <c r="B61" s="18" t="n"/>
      <c r="C61" s="17">
        <f>IF($B61="","",IFERROR(_xlfn.XLOOKUP($B61,nrCDdate,nrCDnum),""))</f>
        <v/>
      </c>
      <c r="D61" s="17">
        <f>IF($B61="","",TRIM(IF(COUNTIFS(nrSCH_Date,$B61,nrSCH_Act,"PT*")&gt;0,"PT + ","")&amp;IF(COUNTIFS(nrSCH_Date,$B61,nrSCH_Act,"*Test*")&gt;0,"Test + ","")&amp;"Classroom"))</f>
        <v/>
      </c>
      <c r="E61" s="16" t="n"/>
      <c r="F61" s="16" t="n"/>
      <c r="G61" s="16" t="n"/>
      <c r="H61" s="16" t="n"/>
      <c r="I61" s="17">
        <f>IF($B61="","",COUNTIFS(nrIN_Date,$B61))</f>
        <v/>
      </c>
      <c r="J61" s="17">
        <f>IF($B61="","",COUNTIFS(nrAT_Date,$B61,nrAT_Type,"Early Departure"))</f>
        <v/>
      </c>
      <c r="K61" s="17">
        <f>IF($B61="","",COUNTIFS(nrME_Received,$B61))</f>
        <v/>
      </c>
      <c r="L61" s="16" t="n"/>
      <c r="M61" s="16" t="n"/>
      <c r="N61" s="16" t="n"/>
    </row>
    <row r="62">
      <c r="B62" s="18" t="n"/>
      <c r="C62" s="17">
        <f>IF($B62="","",IFERROR(_xlfn.XLOOKUP($B62,nrCDdate,nrCDnum),""))</f>
        <v/>
      </c>
      <c r="D62" s="17">
        <f>IF($B62="","",TRIM(IF(COUNTIFS(nrSCH_Date,$B62,nrSCH_Act,"PT*")&gt;0,"PT + ","")&amp;IF(COUNTIFS(nrSCH_Date,$B62,nrSCH_Act,"*Test*")&gt;0,"Test + ","")&amp;"Classroom"))</f>
        <v/>
      </c>
      <c r="E62" s="16" t="n"/>
      <c r="F62" s="16" t="n"/>
      <c r="G62" s="16" t="n"/>
      <c r="H62" s="16" t="n"/>
      <c r="I62" s="17">
        <f>IF($B62="","",COUNTIFS(nrIN_Date,$B62))</f>
        <v/>
      </c>
      <c r="J62" s="17">
        <f>IF($B62="","",COUNTIFS(nrAT_Date,$B62,nrAT_Type,"Early Departure"))</f>
        <v/>
      </c>
      <c r="K62" s="17">
        <f>IF($B62="","",COUNTIFS(nrME_Received,$B62))</f>
        <v/>
      </c>
      <c r="L62" s="16" t="n"/>
      <c r="M62" s="16" t="n"/>
      <c r="N62" s="16" t="n"/>
    </row>
    <row r="63">
      <c r="B63" s="18" t="n"/>
      <c r="C63" s="17">
        <f>IF($B63="","",IFERROR(_xlfn.XLOOKUP($B63,nrCDdate,nrCDnum),""))</f>
        <v/>
      </c>
      <c r="D63" s="17">
        <f>IF($B63="","",TRIM(IF(COUNTIFS(nrSCH_Date,$B63,nrSCH_Act,"PT*")&gt;0,"PT + ","")&amp;IF(COUNTIFS(nrSCH_Date,$B63,nrSCH_Act,"*Test*")&gt;0,"Test + ","")&amp;"Classroom"))</f>
        <v/>
      </c>
      <c r="E63" s="16" t="n"/>
      <c r="F63" s="16" t="n"/>
      <c r="G63" s="16" t="n"/>
      <c r="H63" s="16" t="n"/>
      <c r="I63" s="17">
        <f>IF($B63="","",COUNTIFS(nrIN_Date,$B63))</f>
        <v/>
      </c>
      <c r="J63" s="17">
        <f>IF($B63="","",COUNTIFS(nrAT_Date,$B63,nrAT_Type,"Early Departure"))</f>
        <v/>
      </c>
      <c r="K63" s="17">
        <f>IF($B63="","",COUNTIFS(nrME_Received,$B63))</f>
        <v/>
      </c>
      <c r="L63" s="16" t="n"/>
      <c r="M63" s="16" t="n"/>
      <c r="N63" s="16" t="n"/>
    </row>
    <row r="64">
      <c r="B64" s="18" t="n"/>
      <c r="C64" s="17">
        <f>IF($B64="","",IFERROR(_xlfn.XLOOKUP($B64,nrCDdate,nrCDnum),""))</f>
        <v/>
      </c>
      <c r="D64" s="17">
        <f>IF($B64="","",TRIM(IF(COUNTIFS(nrSCH_Date,$B64,nrSCH_Act,"PT*")&gt;0,"PT + ","")&amp;IF(COUNTIFS(nrSCH_Date,$B64,nrSCH_Act,"*Test*")&gt;0,"Test + ","")&amp;"Classroom"))</f>
        <v/>
      </c>
      <c r="E64" s="16" t="n"/>
      <c r="F64" s="16" t="n"/>
      <c r="G64" s="16" t="n"/>
      <c r="H64" s="16" t="n"/>
      <c r="I64" s="17">
        <f>IF($B64="","",COUNTIFS(nrIN_Date,$B64))</f>
        <v/>
      </c>
      <c r="J64" s="17">
        <f>IF($B64="","",COUNTIFS(nrAT_Date,$B64,nrAT_Type,"Early Departure"))</f>
        <v/>
      </c>
      <c r="K64" s="17">
        <f>IF($B64="","",COUNTIFS(nrME_Received,$B64))</f>
        <v/>
      </c>
      <c r="L64" s="16" t="n"/>
      <c r="M64" s="16" t="n"/>
      <c r="N64" s="16" t="n"/>
    </row>
    <row r="65">
      <c r="B65" s="18" t="n"/>
      <c r="C65" s="17">
        <f>IF($B65="","",IFERROR(_xlfn.XLOOKUP($B65,nrCDdate,nrCDnum),""))</f>
        <v/>
      </c>
      <c r="D65" s="17">
        <f>IF($B65="","",TRIM(IF(COUNTIFS(nrSCH_Date,$B65,nrSCH_Act,"PT*")&gt;0,"PT + ","")&amp;IF(COUNTIFS(nrSCH_Date,$B65,nrSCH_Act,"*Test*")&gt;0,"Test + ","")&amp;"Classroom"))</f>
        <v/>
      </c>
      <c r="E65" s="16" t="n"/>
      <c r="F65" s="16" t="n"/>
      <c r="G65" s="16" t="n"/>
      <c r="H65" s="16" t="n"/>
      <c r="I65" s="17">
        <f>IF($B65="","",COUNTIFS(nrIN_Date,$B65))</f>
        <v/>
      </c>
      <c r="J65" s="17">
        <f>IF($B65="","",COUNTIFS(nrAT_Date,$B65,nrAT_Type,"Early Departure"))</f>
        <v/>
      </c>
      <c r="K65" s="17">
        <f>IF($B65="","",COUNTIFS(nrME_Received,$B65))</f>
        <v/>
      </c>
      <c r="L65" s="16" t="n"/>
      <c r="M65" s="16" t="n"/>
      <c r="N65" s="16" t="n"/>
    </row>
    <row r="66">
      <c r="B66" s="18" t="n"/>
      <c r="C66" s="17">
        <f>IF($B66="","",IFERROR(_xlfn.XLOOKUP($B66,nrCDdate,nrCDnum),""))</f>
        <v/>
      </c>
      <c r="D66" s="17">
        <f>IF($B66="","",TRIM(IF(COUNTIFS(nrSCH_Date,$B66,nrSCH_Act,"PT*")&gt;0,"PT + ","")&amp;IF(COUNTIFS(nrSCH_Date,$B66,nrSCH_Act,"*Test*")&gt;0,"Test + ","")&amp;"Classroom"))</f>
        <v/>
      </c>
      <c r="E66" s="16" t="n"/>
      <c r="F66" s="16" t="n"/>
      <c r="G66" s="16" t="n"/>
      <c r="H66" s="16" t="n"/>
      <c r="I66" s="17">
        <f>IF($B66="","",COUNTIFS(nrIN_Date,$B66))</f>
        <v/>
      </c>
      <c r="J66" s="17">
        <f>IF($B66="","",COUNTIFS(nrAT_Date,$B66,nrAT_Type,"Early Departure"))</f>
        <v/>
      </c>
      <c r="K66" s="17">
        <f>IF($B66="","",COUNTIFS(nrME_Received,$B66))</f>
        <v/>
      </c>
      <c r="L66" s="16" t="n"/>
      <c r="M66" s="16" t="n"/>
      <c r="N66" s="16" t="n"/>
    </row>
    <row r="67">
      <c r="B67" s="18" t="n"/>
      <c r="C67" s="17">
        <f>IF($B67="","",IFERROR(_xlfn.XLOOKUP($B67,nrCDdate,nrCDnum),""))</f>
        <v/>
      </c>
      <c r="D67" s="17">
        <f>IF($B67="","",TRIM(IF(COUNTIFS(nrSCH_Date,$B67,nrSCH_Act,"PT*")&gt;0,"PT + ","")&amp;IF(COUNTIFS(nrSCH_Date,$B67,nrSCH_Act,"*Test*")&gt;0,"Test + ","")&amp;"Classroom"))</f>
        <v/>
      </c>
      <c r="E67" s="16" t="n"/>
      <c r="F67" s="16" t="n"/>
      <c r="G67" s="16" t="n"/>
      <c r="H67" s="16" t="n"/>
      <c r="I67" s="17">
        <f>IF($B67="","",COUNTIFS(nrIN_Date,$B67))</f>
        <v/>
      </c>
      <c r="J67" s="17">
        <f>IF($B67="","",COUNTIFS(nrAT_Date,$B67,nrAT_Type,"Early Departure"))</f>
        <v/>
      </c>
      <c r="K67" s="17">
        <f>IF($B67="","",COUNTIFS(nrME_Received,$B67))</f>
        <v/>
      </c>
      <c r="L67" s="16" t="n"/>
      <c r="M67" s="16" t="n"/>
      <c r="N67" s="16" t="n"/>
    </row>
    <row r="68">
      <c r="B68" s="18" t="n"/>
      <c r="C68" s="17">
        <f>IF($B68="","",IFERROR(_xlfn.XLOOKUP($B68,nrCDdate,nrCDnum),""))</f>
        <v/>
      </c>
      <c r="D68" s="17">
        <f>IF($B68="","",TRIM(IF(COUNTIFS(nrSCH_Date,$B68,nrSCH_Act,"PT*")&gt;0,"PT + ","")&amp;IF(COUNTIFS(nrSCH_Date,$B68,nrSCH_Act,"*Test*")&gt;0,"Test + ","")&amp;"Classroom"))</f>
        <v/>
      </c>
      <c r="E68" s="16" t="n"/>
      <c r="F68" s="16" t="n"/>
      <c r="G68" s="16" t="n"/>
      <c r="H68" s="16" t="n"/>
      <c r="I68" s="17">
        <f>IF($B68="","",COUNTIFS(nrIN_Date,$B68))</f>
        <v/>
      </c>
      <c r="J68" s="17">
        <f>IF($B68="","",COUNTIFS(nrAT_Date,$B68,nrAT_Type,"Early Departure"))</f>
        <v/>
      </c>
      <c r="K68" s="17">
        <f>IF($B68="","",COUNTIFS(nrME_Received,$B68))</f>
        <v/>
      </c>
      <c r="L68" s="16" t="n"/>
      <c r="M68" s="16" t="n"/>
      <c r="N68" s="16" t="n"/>
    </row>
    <row r="69">
      <c r="B69" s="18" t="n"/>
      <c r="C69" s="17">
        <f>IF($B69="","",IFERROR(_xlfn.XLOOKUP($B69,nrCDdate,nrCDnum),""))</f>
        <v/>
      </c>
      <c r="D69" s="17">
        <f>IF($B69="","",TRIM(IF(COUNTIFS(nrSCH_Date,$B69,nrSCH_Act,"PT*")&gt;0,"PT + ","")&amp;IF(COUNTIFS(nrSCH_Date,$B69,nrSCH_Act,"*Test*")&gt;0,"Test + ","")&amp;"Classroom"))</f>
        <v/>
      </c>
      <c r="E69" s="16" t="n"/>
      <c r="F69" s="16" t="n"/>
      <c r="G69" s="16" t="n"/>
      <c r="H69" s="16" t="n"/>
      <c r="I69" s="17">
        <f>IF($B69="","",COUNTIFS(nrIN_Date,$B69))</f>
        <v/>
      </c>
      <c r="J69" s="17">
        <f>IF($B69="","",COUNTIFS(nrAT_Date,$B69,nrAT_Type,"Early Departure"))</f>
        <v/>
      </c>
      <c r="K69" s="17">
        <f>IF($B69="","",COUNTIFS(nrME_Received,$B69))</f>
        <v/>
      </c>
      <c r="L69" s="16" t="n"/>
      <c r="M69" s="16" t="n"/>
      <c r="N69" s="16" t="n"/>
    </row>
    <row r="70">
      <c r="B70" s="18" t="n"/>
      <c r="C70" s="17">
        <f>IF($B70="","",IFERROR(_xlfn.XLOOKUP($B70,nrCDdate,nrCDnum),""))</f>
        <v/>
      </c>
      <c r="D70" s="17">
        <f>IF($B70="","",TRIM(IF(COUNTIFS(nrSCH_Date,$B70,nrSCH_Act,"PT*")&gt;0,"PT + ","")&amp;IF(COUNTIFS(nrSCH_Date,$B70,nrSCH_Act,"*Test*")&gt;0,"Test + ","")&amp;"Classroom"))</f>
        <v/>
      </c>
      <c r="E70" s="16" t="n"/>
      <c r="F70" s="16" t="n"/>
      <c r="G70" s="16" t="n"/>
      <c r="H70" s="16" t="n"/>
      <c r="I70" s="17">
        <f>IF($B70="","",COUNTIFS(nrIN_Date,$B70))</f>
        <v/>
      </c>
      <c r="J70" s="17">
        <f>IF($B70="","",COUNTIFS(nrAT_Date,$B70,nrAT_Type,"Early Departure"))</f>
        <v/>
      </c>
      <c r="K70" s="17">
        <f>IF($B70="","",COUNTIFS(nrME_Received,$B70))</f>
        <v/>
      </c>
      <c r="L70" s="16" t="n"/>
      <c r="M70" s="16" t="n"/>
      <c r="N70" s="16" t="n"/>
    </row>
    <row r="71">
      <c r="B71" s="18" t="n"/>
      <c r="C71" s="17">
        <f>IF($B71="","",IFERROR(_xlfn.XLOOKUP($B71,nrCDdate,nrCDnum),""))</f>
        <v/>
      </c>
      <c r="D71" s="17">
        <f>IF($B71="","",TRIM(IF(COUNTIFS(nrSCH_Date,$B71,nrSCH_Act,"PT*")&gt;0,"PT + ","")&amp;IF(COUNTIFS(nrSCH_Date,$B71,nrSCH_Act,"*Test*")&gt;0,"Test + ","")&amp;"Classroom"))</f>
        <v/>
      </c>
      <c r="E71" s="16" t="n"/>
      <c r="F71" s="16" t="n"/>
      <c r="G71" s="16" t="n"/>
      <c r="H71" s="16" t="n"/>
      <c r="I71" s="17">
        <f>IF($B71="","",COUNTIFS(nrIN_Date,$B71))</f>
        <v/>
      </c>
      <c r="J71" s="17">
        <f>IF($B71="","",COUNTIFS(nrAT_Date,$B71,nrAT_Type,"Early Departure"))</f>
        <v/>
      </c>
      <c r="K71" s="17">
        <f>IF($B71="","",COUNTIFS(nrME_Received,$B71))</f>
        <v/>
      </c>
      <c r="L71" s="16" t="n"/>
      <c r="M71" s="16" t="n"/>
      <c r="N71" s="16" t="n"/>
    </row>
    <row r="72">
      <c r="B72" s="18" t="n"/>
      <c r="C72" s="17">
        <f>IF($B72="","",IFERROR(_xlfn.XLOOKUP($B72,nrCDdate,nrCDnum),""))</f>
        <v/>
      </c>
      <c r="D72" s="17">
        <f>IF($B72="","",TRIM(IF(COUNTIFS(nrSCH_Date,$B72,nrSCH_Act,"PT*")&gt;0,"PT + ","")&amp;IF(COUNTIFS(nrSCH_Date,$B72,nrSCH_Act,"*Test*")&gt;0,"Test + ","")&amp;"Classroom"))</f>
        <v/>
      </c>
      <c r="E72" s="16" t="n"/>
      <c r="F72" s="16" t="n"/>
      <c r="G72" s="16" t="n"/>
      <c r="H72" s="16" t="n"/>
      <c r="I72" s="17">
        <f>IF($B72="","",COUNTIFS(nrIN_Date,$B72))</f>
        <v/>
      </c>
      <c r="J72" s="17">
        <f>IF($B72="","",COUNTIFS(nrAT_Date,$B72,nrAT_Type,"Early Departure"))</f>
        <v/>
      </c>
      <c r="K72" s="17">
        <f>IF($B72="","",COUNTIFS(nrME_Received,$B72))</f>
        <v/>
      </c>
      <c r="L72" s="16" t="n"/>
      <c r="M72" s="16" t="n"/>
      <c r="N72" s="16" t="n"/>
    </row>
    <row r="73">
      <c r="B73" s="18" t="n"/>
      <c r="C73" s="17">
        <f>IF($B73="","",IFERROR(_xlfn.XLOOKUP($B73,nrCDdate,nrCDnum),""))</f>
        <v/>
      </c>
      <c r="D73" s="17">
        <f>IF($B73="","",TRIM(IF(COUNTIFS(nrSCH_Date,$B73,nrSCH_Act,"PT*")&gt;0,"PT + ","")&amp;IF(COUNTIFS(nrSCH_Date,$B73,nrSCH_Act,"*Test*")&gt;0,"Test + ","")&amp;"Classroom"))</f>
        <v/>
      </c>
      <c r="E73" s="16" t="n"/>
      <c r="F73" s="16" t="n"/>
      <c r="G73" s="16" t="n"/>
      <c r="H73" s="16" t="n"/>
      <c r="I73" s="17">
        <f>IF($B73="","",COUNTIFS(nrIN_Date,$B73))</f>
        <v/>
      </c>
      <c r="J73" s="17">
        <f>IF($B73="","",COUNTIFS(nrAT_Date,$B73,nrAT_Type,"Early Departure"))</f>
        <v/>
      </c>
      <c r="K73" s="17">
        <f>IF($B73="","",COUNTIFS(nrME_Received,$B73))</f>
        <v/>
      </c>
      <c r="L73" s="16" t="n"/>
      <c r="M73" s="16" t="n"/>
      <c r="N73" s="16" t="n"/>
    </row>
    <row r="74">
      <c r="B74" s="18" t="n"/>
      <c r="C74" s="17">
        <f>IF($B74="","",IFERROR(_xlfn.XLOOKUP($B74,nrCDdate,nrCDnum),""))</f>
        <v/>
      </c>
      <c r="D74" s="17">
        <f>IF($B74="","",TRIM(IF(COUNTIFS(nrSCH_Date,$B74,nrSCH_Act,"PT*")&gt;0,"PT + ","")&amp;IF(COUNTIFS(nrSCH_Date,$B74,nrSCH_Act,"*Test*")&gt;0,"Test + ","")&amp;"Classroom"))</f>
        <v/>
      </c>
      <c r="E74" s="16" t="n"/>
      <c r="F74" s="16" t="n"/>
      <c r="G74" s="16" t="n"/>
      <c r="H74" s="16" t="n"/>
      <c r="I74" s="17">
        <f>IF($B74="","",COUNTIFS(nrIN_Date,$B74))</f>
        <v/>
      </c>
      <c r="J74" s="17">
        <f>IF($B74="","",COUNTIFS(nrAT_Date,$B74,nrAT_Type,"Early Departure"))</f>
        <v/>
      </c>
      <c r="K74" s="17">
        <f>IF($B74="","",COUNTIFS(nrME_Received,$B74))</f>
        <v/>
      </c>
      <c r="L74" s="16" t="n"/>
      <c r="M74" s="16" t="n"/>
      <c r="N74" s="16" t="n"/>
    </row>
    <row r="75">
      <c r="B75" s="18" t="n"/>
      <c r="C75" s="17">
        <f>IF($B75="","",IFERROR(_xlfn.XLOOKUP($B75,nrCDdate,nrCDnum),""))</f>
        <v/>
      </c>
      <c r="D75" s="17">
        <f>IF($B75="","",TRIM(IF(COUNTIFS(nrSCH_Date,$B75,nrSCH_Act,"PT*")&gt;0,"PT + ","")&amp;IF(COUNTIFS(nrSCH_Date,$B75,nrSCH_Act,"*Test*")&gt;0,"Test + ","")&amp;"Classroom"))</f>
        <v/>
      </c>
      <c r="E75" s="16" t="n"/>
      <c r="F75" s="16" t="n"/>
      <c r="G75" s="16" t="n"/>
      <c r="H75" s="16" t="n"/>
      <c r="I75" s="17">
        <f>IF($B75="","",COUNTIFS(nrIN_Date,$B75))</f>
        <v/>
      </c>
      <c r="J75" s="17">
        <f>IF($B75="","",COUNTIFS(nrAT_Date,$B75,nrAT_Type,"Early Departure"))</f>
        <v/>
      </c>
      <c r="K75" s="17">
        <f>IF($B75="","",COUNTIFS(nrME_Received,$B75))</f>
        <v/>
      </c>
      <c r="L75" s="16" t="n"/>
      <c r="M75" s="16" t="n"/>
      <c r="N75" s="16" t="n"/>
    </row>
    <row r="76">
      <c r="B76" s="18" t="n"/>
      <c r="C76" s="17">
        <f>IF($B76="","",IFERROR(_xlfn.XLOOKUP($B76,nrCDdate,nrCDnum),""))</f>
        <v/>
      </c>
      <c r="D76" s="17">
        <f>IF($B76="","",TRIM(IF(COUNTIFS(nrSCH_Date,$B76,nrSCH_Act,"PT*")&gt;0,"PT + ","")&amp;IF(COUNTIFS(nrSCH_Date,$B76,nrSCH_Act,"*Test*")&gt;0,"Test + ","")&amp;"Classroom"))</f>
        <v/>
      </c>
      <c r="E76" s="16" t="n"/>
      <c r="F76" s="16" t="n"/>
      <c r="G76" s="16" t="n"/>
      <c r="H76" s="16" t="n"/>
      <c r="I76" s="17">
        <f>IF($B76="","",COUNTIFS(nrIN_Date,$B76))</f>
        <v/>
      </c>
      <c r="J76" s="17">
        <f>IF($B76="","",COUNTIFS(nrAT_Date,$B76,nrAT_Type,"Early Departure"))</f>
        <v/>
      </c>
      <c r="K76" s="17">
        <f>IF($B76="","",COUNTIFS(nrME_Received,$B76))</f>
        <v/>
      </c>
      <c r="L76" s="16" t="n"/>
      <c r="M76" s="16" t="n"/>
      <c r="N76" s="16" t="n"/>
    </row>
    <row r="77">
      <c r="B77" s="18" t="n"/>
      <c r="C77" s="17">
        <f>IF($B77="","",IFERROR(_xlfn.XLOOKUP($B77,nrCDdate,nrCDnum),""))</f>
        <v/>
      </c>
      <c r="D77" s="17">
        <f>IF($B77="","",TRIM(IF(COUNTIFS(nrSCH_Date,$B77,nrSCH_Act,"PT*")&gt;0,"PT + ","")&amp;IF(COUNTIFS(nrSCH_Date,$B77,nrSCH_Act,"*Test*")&gt;0,"Test + ","")&amp;"Classroom"))</f>
        <v/>
      </c>
      <c r="E77" s="16" t="n"/>
      <c r="F77" s="16" t="n"/>
      <c r="G77" s="16" t="n"/>
      <c r="H77" s="16" t="n"/>
      <c r="I77" s="17">
        <f>IF($B77="","",COUNTIFS(nrIN_Date,$B77))</f>
        <v/>
      </c>
      <c r="J77" s="17">
        <f>IF($B77="","",COUNTIFS(nrAT_Date,$B77,nrAT_Type,"Early Departure"))</f>
        <v/>
      </c>
      <c r="K77" s="17">
        <f>IF($B77="","",COUNTIFS(nrME_Received,$B77))</f>
        <v/>
      </c>
      <c r="L77" s="16" t="n"/>
      <c r="M77" s="16" t="n"/>
      <c r="N77" s="16" t="n"/>
    </row>
    <row r="78">
      <c r="B78" s="18" t="n"/>
      <c r="C78" s="17">
        <f>IF($B78="","",IFERROR(_xlfn.XLOOKUP($B78,nrCDdate,nrCDnum),""))</f>
        <v/>
      </c>
      <c r="D78" s="17">
        <f>IF($B78="","",TRIM(IF(COUNTIFS(nrSCH_Date,$B78,nrSCH_Act,"PT*")&gt;0,"PT + ","")&amp;IF(COUNTIFS(nrSCH_Date,$B78,nrSCH_Act,"*Test*")&gt;0,"Test + ","")&amp;"Classroom"))</f>
        <v/>
      </c>
      <c r="E78" s="16" t="n"/>
      <c r="F78" s="16" t="n"/>
      <c r="G78" s="16" t="n"/>
      <c r="H78" s="16" t="n"/>
      <c r="I78" s="17">
        <f>IF($B78="","",COUNTIFS(nrIN_Date,$B78))</f>
        <v/>
      </c>
      <c r="J78" s="17">
        <f>IF($B78="","",COUNTIFS(nrAT_Date,$B78,nrAT_Type,"Early Departure"))</f>
        <v/>
      </c>
      <c r="K78" s="17">
        <f>IF($B78="","",COUNTIFS(nrME_Received,$B78))</f>
        <v/>
      </c>
      <c r="L78" s="16" t="n"/>
      <c r="M78" s="16" t="n"/>
      <c r="N78" s="16" t="n"/>
    </row>
    <row r="79">
      <c r="B79" s="18" t="n"/>
      <c r="C79" s="17">
        <f>IF($B79="","",IFERROR(_xlfn.XLOOKUP($B79,nrCDdate,nrCDnum),""))</f>
        <v/>
      </c>
      <c r="D79" s="17">
        <f>IF($B79="","",TRIM(IF(COUNTIFS(nrSCH_Date,$B79,nrSCH_Act,"PT*")&gt;0,"PT + ","")&amp;IF(COUNTIFS(nrSCH_Date,$B79,nrSCH_Act,"*Test*")&gt;0,"Test + ","")&amp;"Classroom"))</f>
        <v/>
      </c>
      <c r="E79" s="16" t="n"/>
      <c r="F79" s="16" t="n"/>
      <c r="G79" s="16" t="n"/>
      <c r="H79" s="16" t="n"/>
      <c r="I79" s="17">
        <f>IF($B79="","",COUNTIFS(nrIN_Date,$B79))</f>
        <v/>
      </c>
      <c r="J79" s="17">
        <f>IF($B79="","",COUNTIFS(nrAT_Date,$B79,nrAT_Type,"Early Departure"))</f>
        <v/>
      </c>
      <c r="K79" s="17">
        <f>IF($B79="","",COUNTIFS(nrME_Received,$B79))</f>
        <v/>
      </c>
      <c r="L79" s="16" t="n"/>
      <c r="M79" s="16" t="n"/>
      <c r="N79" s="16" t="n"/>
    </row>
    <row r="80">
      <c r="B80" s="18" t="n"/>
      <c r="C80" s="17">
        <f>IF($B80="","",IFERROR(_xlfn.XLOOKUP($B80,nrCDdate,nrCDnum),""))</f>
        <v/>
      </c>
      <c r="D80" s="17">
        <f>IF($B80="","",TRIM(IF(COUNTIFS(nrSCH_Date,$B80,nrSCH_Act,"PT*")&gt;0,"PT + ","")&amp;IF(COUNTIFS(nrSCH_Date,$B80,nrSCH_Act,"*Test*")&gt;0,"Test + ","")&amp;"Classroom"))</f>
        <v/>
      </c>
      <c r="E80" s="16" t="n"/>
      <c r="F80" s="16" t="n"/>
      <c r="G80" s="16" t="n"/>
      <c r="H80" s="16" t="n"/>
      <c r="I80" s="17">
        <f>IF($B80="","",COUNTIFS(nrIN_Date,$B80))</f>
        <v/>
      </c>
      <c r="J80" s="17">
        <f>IF($B80="","",COUNTIFS(nrAT_Date,$B80,nrAT_Type,"Early Departure"))</f>
        <v/>
      </c>
      <c r="K80" s="17">
        <f>IF($B80="","",COUNTIFS(nrME_Received,$B80))</f>
        <v/>
      </c>
      <c r="L80" s="16" t="n"/>
      <c r="M80" s="16" t="n"/>
      <c r="N80" s="16" t="n"/>
    </row>
    <row r="81">
      <c r="B81" s="18" t="n"/>
      <c r="C81" s="17">
        <f>IF($B81="","",IFERROR(_xlfn.XLOOKUP($B81,nrCDdate,nrCDnum),""))</f>
        <v/>
      </c>
      <c r="D81" s="17">
        <f>IF($B81="","",TRIM(IF(COUNTIFS(nrSCH_Date,$B81,nrSCH_Act,"PT*")&gt;0,"PT + ","")&amp;IF(COUNTIFS(nrSCH_Date,$B81,nrSCH_Act,"*Test*")&gt;0,"Test + ","")&amp;"Classroom"))</f>
        <v/>
      </c>
      <c r="E81" s="16" t="n"/>
      <c r="F81" s="16" t="n"/>
      <c r="G81" s="16" t="n"/>
      <c r="H81" s="16" t="n"/>
      <c r="I81" s="17">
        <f>IF($B81="","",COUNTIFS(nrIN_Date,$B81))</f>
        <v/>
      </c>
      <c r="J81" s="17">
        <f>IF($B81="","",COUNTIFS(nrAT_Date,$B81,nrAT_Type,"Early Departure"))</f>
        <v/>
      </c>
      <c r="K81" s="17">
        <f>IF($B81="","",COUNTIFS(nrME_Received,$B81))</f>
        <v/>
      </c>
      <c r="L81" s="16" t="n"/>
      <c r="M81" s="16" t="n"/>
      <c r="N81" s="16" t="n"/>
    </row>
    <row r="82">
      <c r="B82" s="18" t="n"/>
      <c r="C82" s="17">
        <f>IF($B82="","",IFERROR(_xlfn.XLOOKUP($B82,nrCDdate,nrCDnum),""))</f>
        <v/>
      </c>
      <c r="D82" s="17">
        <f>IF($B82="","",TRIM(IF(COUNTIFS(nrSCH_Date,$B82,nrSCH_Act,"PT*")&gt;0,"PT + ","")&amp;IF(COUNTIFS(nrSCH_Date,$B82,nrSCH_Act,"*Test*")&gt;0,"Test + ","")&amp;"Classroom"))</f>
        <v/>
      </c>
      <c r="E82" s="16" t="n"/>
      <c r="F82" s="16" t="n"/>
      <c r="G82" s="16" t="n"/>
      <c r="H82" s="16" t="n"/>
      <c r="I82" s="17">
        <f>IF($B82="","",COUNTIFS(nrIN_Date,$B82))</f>
        <v/>
      </c>
      <c r="J82" s="17">
        <f>IF($B82="","",COUNTIFS(nrAT_Date,$B82,nrAT_Type,"Early Departure"))</f>
        <v/>
      </c>
      <c r="K82" s="17">
        <f>IF($B82="","",COUNTIFS(nrME_Received,$B82))</f>
        <v/>
      </c>
      <c r="L82" s="16" t="n"/>
      <c r="M82" s="16" t="n"/>
      <c r="N82" s="16" t="n"/>
    </row>
    <row r="83">
      <c r="B83" s="18" t="n"/>
      <c r="C83" s="17">
        <f>IF($B83="","",IFERROR(_xlfn.XLOOKUP($B83,nrCDdate,nrCDnum),""))</f>
        <v/>
      </c>
      <c r="D83" s="17">
        <f>IF($B83="","",TRIM(IF(COUNTIFS(nrSCH_Date,$B83,nrSCH_Act,"PT*")&gt;0,"PT + ","")&amp;IF(COUNTIFS(nrSCH_Date,$B83,nrSCH_Act,"*Test*")&gt;0,"Test + ","")&amp;"Classroom"))</f>
        <v/>
      </c>
      <c r="E83" s="16" t="n"/>
      <c r="F83" s="16" t="n"/>
      <c r="G83" s="16" t="n"/>
      <c r="H83" s="16" t="n"/>
      <c r="I83" s="17">
        <f>IF($B83="","",COUNTIFS(nrIN_Date,$B83))</f>
        <v/>
      </c>
      <c r="J83" s="17">
        <f>IF($B83="","",COUNTIFS(nrAT_Date,$B83,nrAT_Type,"Early Departure"))</f>
        <v/>
      </c>
      <c r="K83" s="17">
        <f>IF($B83="","",COUNTIFS(nrME_Received,$B83))</f>
        <v/>
      </c>
      <c r="L83" s="16" t="n"/>
      <c r="M83" s="16" t="n"/>
      <c r="N83" s="16" t="n"/>
    </row>
    <row r="84">
      <c r="B84" s="18" t="n"/>
      <c r="C84" s="17">
        <f>IF($B84="","",IFERROR(_xlfn.XLOOKUP($B84,nrCDdate,nrCDnum),""))</f>
        <v/>
      </c>
      <c r="D84" s="17">
        <f>IF($B84="","",TRIM(IF(COUNTIFS(nrSCH_Date,$B84,nrSCH_Act,"PT*")&gt;0,"PT + ","")&amp;IF(COUNTIFS(nrSCH_Date,$B84,nrSCH_Act,"*Test*")&gt;0,"Test + ","")&amp;"Classroom"))</f>
        <v/>
      </c>
      <c r="E84" s="16" t="n"/>
      <c r="F84" s="16" t="n"/>
      <c r="G84" s="16" t="n"/>
      <c r="H84" s="16" t="n"/>
      <c r="I84" s="17">
        <f>IF($B84="","",COUNTIFS(nrIN_Date,$B84))</f>
        <v/>
      </c>
      <c r="J84" s="17">
        <f>IF($B84="","",COUNTIFS(nrAT_Date,$B84,nrAT_Type,"Early Departure"))</f>
        <v/>
      </c>
      <c r="K84" s="17">
        <f>IF($B84="","",COUNTIFS(nrME_Received,$B84))</f>
        <v/>
      </c>
      <c r="L84" s="16" t="n"/>
      <c r="M84" s="16" t="n"/>
      <c r="N84" s="16" t="n"/>
    </row>
    <row r="85">
      <c r="B85" s="18" t="n"/>
      <c r="C85" s="17">
        <f>IF($B85="","",IFERROR(_xlfn.XLOOKUP($B85,nrCDdate,nrCDnum),""))</f>
        <v/>
      </c>
      <c r="D85" s="17">
        <f>IF($B85="","",TRIM(IF(COUNTIFS(nrSCH_Date,$B85,nrSCH_Act,"PT*")&gt;0,"PT + ","")&amp;IF(COUNTIFS(nrSCH_Date,$B85,nrSCH_Act,"*Test*")&gt;0,"Test + ","")&amp;"Classroom"))</f>
        <v/>
      </c>
      <c r="E85" s="16" t="n"/>
      <c r="F85" s="16" t="n"/>
      <c r="G85" s="16" t="n"/>
      <c r="H85" s="16" t="n"/>
      <c r="I85" s="17">
        <f>IF($B85="","",COUNTIFS(nrIN_Date,$B85))</f>
        <v/>
      </c>
      <c r="J85" s="17">
        <f>IF($B85="","",COUNTIFS(nrAT_Date,$B85,nrAT_Type,"Early Departure"))</f>
        <v/>
      </c>
      <c r="K85" s="17">
        <f>IF($B85="","",COUNTIFS(nrME_Received,$B85))</f>
        <v/>
      </c>
      <c r="L85" s="16" t="n"/>
      <c r="M85" s="16" t="n"/>
      <c r="N85" s="16" t="n"/>
    </row>
    <row r="86">
      <c r="B86" s="18" t="n"/>
      <c r="C86" s="17">
        <f>IF($B86="","",IFERROR(_xlfn.XLOOKUP($B86,nrCDdate,nrCDnum),""))</f>
        <v/>
      </c>
      <c r="D86" s="17">
        <f>IF($B86="","",TRIM(IF(COUNTIFS(nrSCH_Date,$B86,nrSCH_Act,"PT*")&gt;0,"PT + ","")&amp;IF(COUNTIFS(nrSCH_Date,$B86,nrSCH_Act,"*Test*")&gt;0,"Test + ","")&amp;"Classroom"))</f>
        <v/>
      </c>
      <c r="E86" s="16" t="n"/>
      <c r="F86" s="16" t="n"/>
      <c r="G86" s="16" t="n"/>
      <c r="H86" s="16" t="n"/>
      <c r="I86" s="17">
        <f>IF($B86="","",COUNTIFS(nrIN_Date,$B86))</f>
        <v/>
      </c>
      <c r="J86" s="17">
        <f>IF($B86="","",COUNTIFS(nrAT_Date,$B86,nrAT_Type,"Early Departure"))</f>
        <v/>
      </c>
      <c r="K86" s="17">
        <f>IF($B86="","",COUNTIFS(nrME_Received,$B86))</f>
        <v/>
      </c>
      <c r="L86" s="16" t="n"/>
      <c r="M86" s="16" t="n"/>
      <c r="N86" s="16" t="n"/>
    </row>
    <row r="87">
      <c r="B87" s="18" t="n"/>
      <c r="C87" s="17">
        <f>IF($B87="","",IFERROR(_xlfn.XLOOKUP($B87,nrCDdate,nrCDnum),""))</f>
        <v/>
      </c>
      <c r="D87" s="17">
        <f>IF($B87="","",TRIM(IF(COUNTIFS(nrSCH_Date,$B87,nrSCH_Act,"PT*")&gt;0,"PT + ","")&amp;IF(COUNTIFS(nrSCH_Date,$B87,nrSCH_Act,"*Test*")&gt;0,"Test + ","")&amp;"Classroom"))</f>
        <v/>
      </c>
      <c r="E87" s="16" t="n"/>
      <c r="F87" s="16" t="n"/>
      <c r="G87" s="16" t="n"/>
      <c r="H87" s="16" t="n"/>
      <c r="I87" s="17">
        <f>IF($B87="","",COUNTIFS(nrIN_Date,$B87))</f>
        <v/>
      </c>
      <c r="J87" s="17">
        <f>IF($B87="","",COUNTIFS(nrAT_Date,$B87,nrAT_Type,"Early Departure"))</f>
        <v/>
      </c>
      <c r="K87" s="17">
        <f>IF($B87="","",COUNTIFS(nrME_Received,$B87))</f>
        <v/>
      </c>
      <c r="L87" s="16" t="n"/>
      <c r="M87" s="16" t="n"/>
      <c r="N87" s="16" t="n"/>
    </row>
    <row r="88">
      <c r="B88" s="18" t="n"/>
      <c r="C88" s="17">
        <f>IF($B88="","",IFERROR(_xlfn.XLOOKUP($B88,nrCDdate,nrCDnum),""))</f>
        <v/>
      </c>
      <c r="D88" s="17">
        <f>IF($B88="","",TRIM(IF(COUNTIFS(nrSCH_Date,$B88,nrSCH_Act,"PT*")&gt;0,"PT + ","")&amp;IF(COUNTIFS(nrSCH_Date,$B88,nrSCH_Act,"*Test*")&gt;0,"Test + ","")&amp;"Classroom"))</f>
        <v/>
      </c>
      <c r="E88" s="16" t="n"/>
      <c r="F88" s="16" t="n"/>
      <c r="G88" s="16" t="n"/>
      <c r="H88" s="16" t="n"/>
      <c r="I88" s="17">
        <f>IF($B88="","",COUNTIFS(nrIN_Date,$B88))</f>
        <v/>
      </c>
      <c r="J88" s="17">
        <f>IF($B88="","",COUNTIFS(nrAT_Date,$B88,nrAT_Type,"Early Departure"))</f>
        <v/>
      </c>
      <c r="K88" s="17">
        <f>IF($B88="","",COUNTIFS(nrME_Received,$B88))</f>
        <v/>
      </c>
      <c r="L88" s="16" t="n"/>
      <c r="M88" s="16" t="n"/>
      <c r="N88" s="16" t="n"/>
    </row>
    <row r="89">
      <c r="B89" s="18" t="n"/>
      <c r="C89" s="17">
        <f>IF($B89="","",IFERROR(_xlfn.XLOOKUP($B89,nrCDdate,nrCDnum),""))</f>
        <v/>
      </c>
      <c r="D89" s="17">
        <f>IF($B89="","",TRIM(IF(COUNTIFS(nrSCH_Date,$B89,nrSCH_Act,"PT*")&gt;0,"PT + ","")&amp;IF(COUNTIFS(nrSCH_Date,$B89,nrSCH_Act,"*Test*")&gt;0,"Test + ","")&amp;"Classroom"))</f>
        <v/>
      </c>
      <c r="E89" s="16" t="n"/>
      <c r="F89" s="16" t="n"/>
      <c r="G89" s="16" t="n"/>
      <c r="H89" s="16" t="n"/>
      <c r="I89" s="17">
        <f>IF($B89="","",COUNTIFS(nrIN_Date,$B89))</f>
        <v/>
      </c>
      <c r="J89" s="17">
        <f>IF($B89="","",COUNTIFS(nrAT_Date,$B89,nrAT_Type,"Early Departure"))</f>
        <v/>
      </c>
      <c r="K89" s="17">
        <f>IF($B89="","",COUNTIFS(nrME_Received,$B89))</f>
        <v/>
      </c>
      <c r="L89" s="16" t="n"/>
      <c r="M89" s="16" t="n"/>
      <c r="N89" s="16" t="n"/>
    </row>
    <row r="90">
      <c r="B90" s="18" t="n"/>
      <c r="C90" s="17">
        <f>IF($B90="","",IFERROR(_xlfn.XLOOKUP($B90,nrCDdate,nrCDnum),""))</f>
        <v/>
      </c>
      <c r="D90" s="17">
        <f>IF($B90="","",TRIM(IF(COUNTIFS(nrSCH_Date,$B90,nrSCH_Act,"PT*")&gt;0,"PT + ","")&amp;IF(COUNTIFS(nrSCH_Date,$B90,nrSCH_Act,"*Test*")&gt;0,"Test + ","")&amp;"Classroom"))</f>
        <v/>
      </c>
      <c r="E90" s="16" t="n"/>
      <c r="F90" s="16" t="n"/>
      <c r="G90" s="16" t="n"/>
      <c r="H90" s="16" t="n"/>
      <c r="I90" s="17">
        <f>IF($B90="","",COUNTIFS(nrIN_Date,$B90))</f>
        <v/>
      </c>
      <c r="J90" s="17">
        <f>IF($B90="","",COUNTIFS(nrAT_Date,$B90,nrAT_Type,"Early Departure"))</f>
        <v/>
      </c>
      <c r="K90" s="17">
        <f>IF($B90="","",COUNTIFS(nrME_Received,$B90))</f>
        <v/>
      </c>
      <c r="L90" s="16" t="n"/>
      <c r="M90" s="16" t="n"/>
      <c r="N90" s="16" t="n"/>
    </row>
    <row r="91">
      <c r="B91" s="18" t="n"/>
      <c r="C91" s="17">
        <f>IF($B91="","",IFERROR(_xlfn.XLOOKUP($B91,nrCDdate,nrCDnum),""))</f>
        <v/>
      </c>
      <c r="D91" s="17">
        <f>IF($B91="","",TRIM(IF(COUNTIFS(nrSCH_Date,$B91,nrSCH_Act,"PT*")&gt;0,"PT + ","")&amp;IF(COUNTIFS(nrSCH_Date,$B91,nrSCH_Act,"*Test*")&gt;0,"Test + ","")&amp;"Classroom"))</f>
        <v/>
      </c>
      <c r="E91" s="16" t="n"/>
      <c r="F91" s="16" t="n"/>
      <c r="G91" s="16" t="n"/>
      <c r="H91" s="16" t="n"/>
      <c r="I91" s="17">
        <f>IF($B91="","",COUNTIFS(nrIN_Date,$B91))</f>
        <v/>
      </c>
      <c r="J91" s="17">
        <f>IF($B91="","",COUNTIFS(nrAT_Date,$B91,nrAT_Type,"Early Departure"))</f>
        <v/>
      </c>
      <c r="K91" s="17">
        <f>IF($B91="","",COUNTIFS(nrME_Received,$B91))</f>
        <v/>
      </c>
      <c r="L91" s="16" t="n"/>
      <c r="M91" s="16" t="n"/>
      <c r="N91" s="16" t="n"/>
    </row>
    <row r="92">
      <c r="B92" s="18" t="n"/>
      <c r="C92" s="17">
        <f>IF($B92="","",IFERROR(_xlfn.XLOOKUP($B92,nrCDdate,nrCDnum),""))</f>
        <v/>
      </c>
      <c r="D92" s="17">
        <f>IF($B92="","",TRIM(IF(COUNTIFS(nrSCH_Date,$B92,nrSCH_Act,"PT*")&gt;0,"PT + ","")&amp;IF(COUNTIFS(nrSCH_Date,$B92,nrSCH_Act,"*Test*")&gt;0,"Test + ","")&amp;"Classroom"))</f>
        <v/>
      </c>
      <c r="E92" s="16" t="n"/>
      <c r="F92" s="16" t="n"/>
      <c r="G92" s="16" t="n"/>
      <c r="H92" s="16" t="n"/>
      <c r="I92" s="17">
        <f>IF($B92="","",COUNTIFS(nrIN_Date,$B92))</f>
        <v/>
      </c>
      <c r="J92" s="17">
        <f>IF($B92="","",COUNTIFS(nrAT_Date,$B92,nrAT_Type,"Early Departure"))</f>
        <v/>
      </c>
      <c r="K92" s="17">
        <f>IF($B92="","",COUNTIFS(nrME_Received,$B92))</f>
        <v/>
      </c>
      <c r="L92" s="16" t="n"/>
      <c r="M92" s="16" t="n"/>
      <c r="N92" s="16" t="n"/>
    </row>
    <row r="93">
      <c r="B93" s="18" t="n"/>
      <c r="C93" s="17">
        <f>IF($B93="","",IFERROR(_xlfn.XLOOKUP($B93,nrCDdate,nrCDnum),""))</f>
        <v/>
      </c>
      <c r="D93" s="17">
        <f>IF($B93="","",TRIM(IF(COUNTIFS(nrSCH_Date,$B93,nrSCH_Act,"PT*")&gt;0,"PT + ","")&amp;IF(COUNTIFS(nrSCH_Date,$B93,nrSCH_Act,"*Test*")&gt;0,"Test + ","")&amp;"Classroom"))</f>
        <v/>
      </c>
      <c r="E93" s="16" t="n"/>
      <c r="F93" s="16" t="n"/>
      <c r="G93" s="16" t="n"/>
      <c r="H93" s="16" t="n"/>
      <c r="I93" s="17">
        <f>IF($B93="","",COUNTIFS(nrIN_Date,$B93))</f>
        <v/>
      </c>
      <c r="J93" s="17">
        <f>IF($B93="","",COUNTIFS(nrAT_Date,$B93,nrAT_Type,"Early Departure"))</f>
        <v/>
      </c>
      <c r="K93" s="17">
        <f>IF($B93="","",COUNTIFS(nrME_Received,$B93))</f>
        <v/>
      </c>
      <c r="L93" s="16" t="n"/>
      <c r="M93" s="16" t="n"/>
      <c r="N93" s="16" t="n"/>
    </row>
    <row r="94">
      <c r="B94" s="18" t="n"/>
      <c r="C94" s="17">
        <f>IF($B94="","",IFERROR(_xlfn.XLOOKUP($B94,nrCDdate,nrCDnum),""))</f>
        <v/>
      </c>
      <c r="D94" s="17">
        <f>IF($B94="","",TRIM(IF(COUNTIFS(nrSCH_Date,$B94,nrSCH_Act,"PT*")&gt;0,"PT + ","")&amp;IF(COUNTIFS(nrSCH_Date,$B94,nrSCH_Act,"*Test*")&gt;0,"Test + ","")&amp;"Classroom"))</f>
        <v/>
      </c>
      <c r="E94" s="16" t="n"/>
      <c r="F94" s="16" t="n"/>
      <c r="G94" s="16" t="n"/>
      <c r="H94" s="16" t="n"/>
      <c r="I94" s="17">
        <f>IF($B94="","",COUNTIFS(nrIN_Date,$B94))</f>
        <v/>
      </c>
      <c r="J94" s="17">
        <f>IF($B94="","",COUNTIFS(nrAT_Date,$B94,nrAT_Type,"Early Departure"))</f>
        <v/>
      </c>
      <c r="K94" s="17">
        <f>IF($B94="","",COUNTIFS(nrME_Received,$B94))</f>
        <v/>
      </c>
      <c r="L94" s="16" t="n"/>
      <c r="M94" s="16" t="n"/>
      <c r="N94" s="16" t="n"/>
    </row>
    <row r="95">
      <c r="B95" s="18" t="n"/>
      <c r="C95" s="17">
        <f>IF($B95="","",IFERROR(_xlfn.XLOOKUP($B95,nrCDdate,nrCDnum),""))</f>
        <v/>
      </c>
      <c r="D95" s="17">
        <f>IF($B95="","",TRIM(IF(COUNTIFS(nrSCH_Date,$B95,nrSCH_Act,"PT*")&gt;0,"PT + ","")&amp;IF(COUNTIFS(nrSCH_Date,$B95,nrSCH_Act,"*Test*")&gt;0,"Test + ","")&amp;"Classroom"))</f>
        <v/>
      </c>
      <c r="E95" s="16" t="n"/>
      <c r="F95" s="16" t="n"/>
      <c r="G95" s="16" t="n"/>
      <c r="H95" s="16" t="n"/>
      <c r="I95" s="17">
        <f>IF($B95="","",COUNTIFS(nrIN_Date,$B95))</f>
        <v/>
      </c>
      <c r="J95" s="17">
        <f>IF($B95="","",COUNTIFS(nrAT_Date,$B95,nrAT_Type,"Early Departure"))</f>
        <v/>
      </c>
      <c r="K95" s="17">
        <f>IF($B95="","",COUNTIFS(nrME_Received,$B95))</f>
        <v/>
      </c>
      <c r="L95" s="16" t="n"/>
      <c r="M95" s="16" t="n"/>
      <c r="N95" s="16" t="n"/>
    </row>
    <row r="96">
      <c r="B96" s="18" t="n"/>
      <c r="C96" s="17">
        <f>IF($B96="","",IFERROR(_xlfn.XLOOKUP($B96,nrCDdate,nrCDnum),""))</f>
        <v/>
      </c>
      <c r="D96" s="17">
        <f>IF($B96="","",TRIM(IF(COUNTIFS(nrSCH_Date,$B96,nrSCH_Act,"PT*")&gt;0,"PT + ","")&amp;IF(COUNTIFS(nrSCH_Date,$B96,nrSCH_Act,"*Test*")&gt;0,"Test + ","")&amp;"Classroom"))</f>
        <v/>
      </c>
      <c r="E96" s="16" t="n"/>
      <c r="F96" s="16" t="n"/>
      <c r="G96" s="16" t="n"/>
      <c r="H96" s="16" t="n"/>
      <c r="I96" s="17">
        <f>IF($B96="","",COUNTIFS(nrIN_Date,$B96))</f>
        <v/>
      </c>
      <c r="J96" s="17">
        <f>IF($B96="","",COUNTIFS(nrAT_Date,$B96,nrAT_Type,"Early Departure"))</f>
        <v/>
      </c>
      <c r="K96" s="17">
        <f>IF($B96="","",COUNTIFS(nrME_Received,$B96))</f>
        <v/>
      </c>
      <c r="L96" s="16" t="n"/>
      <c r="M96" s="16" t="n"/>
      <c r="N96" s="16" t="n"/>
    </row>
    <row r="97">
      <c r="B97" s="18" t="n"/>
      <c r="C97" s="17">
        <f>IF($B97="","",IFERROR(_xlfn.XLOOKUP($B97,nrCDdate,nrCDnum),""))</f>
        <v/>
      </c>
      <c r="D97" s="17">
        <f>IF($B97="","",TRIM(IF(COUNTIFS(nrSCH_Date,$B97,nrSCH_Act,"PT*")&gt;0,"PT + ","")&amp;IF(COUNTIFS(nrSCH_Date,$B97,nrSCH_Act,"*Test*")&gt;0,"Test + ","")&amp;"Classroom"))</f>
        <v/>
      </c>
      <c r="E97" s="16" t="n"/>
      <c r="F97" s="16" t="n"/>
      <c r="G97" s="16" t="n"/>
      <c r="H97" s="16" t="n"/>
      <c r="I97" s="17">
        <f>IF($B97="","",COUNTIFS(nrIN_Date,$B97))</f>
        <v/>
      </c>
      <c r="J97" s="17">
        <f>IF($B97="","",COUNTIFS(nrAT_Date,$B97,nrAT_Type,"Early Departure"))</f>
        <v/>
      </c>
      <c r="K97" s="17">
        <f>IF($B97="","",COUNTIFS(nrME_Received,$B97))</f>
        <v/>
      </c>
      <c r="L97" s="16" t="n"/>
      <c r="M97" s="16" t="n"/>
      <c r="N97" s="16" t="n"/>
    </row>
    <row r="98">
      <c r="B98" s="18" t="n"/>
      <c r="C98" s="17">
        <f>IF($B98="","",IFERROR(_xlfn.XLOOKUP($B98,nrCDdate,nrCDnum),""))</f>
        <v/>
      </c>
      <c r="D98" s="17">
        <f>IF($B98="","",TRIM(IF(COUNTIFS(nrSCH_Date,$B98,nrSCH_Act,"PT*")&gt;0,"PT + ","")&amp;IF(COUNTIFS(nrSCH_Date,$B98,nrSCH_Act,"*Test*")&gt;0,"Test + ","")&amp;"Classroom"))</f>
        <v/>
      </c>
      <c r="E98" s="16" t="n"/>
      <c r="F98" s="16" t="n"/>
      <c r="G98" s="16" t="n"/>
      <c r="H98" s="16" t="n"/>
      <c r="I98" s="17">
        <f>IF($B98="","",COUNTIFS(nrIN_Date,$B98))</f>
        <v/>
      </c>
      <c r="J98" s="17">
        <f>IF($B98="","",COUNTIFS(nrAT_Date,$B98,nrAT_Type,"Early Departure"))</f>
        <v/>
      </c>
      <c r="K98" s="17">
        <f>IF($B98="","",COUNTIFS(nrME_Received,$B98))</f>
        <v/>
      </c>
      <c r="L98" s="16" t="n"/>
      <c r="M98" s="16" t="n"/>
      <c r="N98" s="16" t="n"/>
    </row>
    <row r="99">
      <c r="B99" s="18" t="n"/>
      <c r="C99" s="17">
        <f>IF($B99="","",IFERROR(_xlfn.XLOOKUP($B99,nrCDdate,nrCDnum),""))</f>
        <v/>
      </c>
      <c r="D99" s="17">
        <f>IF($B99="","",TRIM(IF(COUNTIFS(nrSCH_Date,$B99,nrSCH_Act,"PT*")&gt;0,"PT + ","")&amp;IF(COUNTIFS(nrSCH_Date,$B99,nrSCH_Act,"*Test*")&gt;0,"Test + ","")&amp;"Classroom"))</f>
        <v/>
      </c>
      <c r="E99" s="16" t="n"/>
      <c r="F99" s="16" t="n"/>
      <c r="G99" s="16" t="n"/>
      <c r="H99" s="16" t="n"/>
      <c r="I99" s="17">
        <f>IF($B99="","",COUNTIFS(nrIN_Date,$B99))</f>
        <v/>
      </c>
      <c r="J99" s="17">
        <f>IF($B99="","",COUNTIFS(nrAT_Date,$B99,nrAT_Type,"Early Departure"))</f>
        <v/>
      </c>
      <c r="K99" s="17">
        <f>IF($B99="","",COUNTIFS(nrME_Received,$B99))</f>
        <v/>
      </c>
      <c r="L99" s="16" t="n"/>
      <c r="M99" s="16" t="n"/>
      <c r="N99" s="16" t="n"/>
    </row>
    <row r="100">
      <c r="B100" s="18" t="n"/>
      <c r="C100" s="17">
        <f>IF($B100="","",IFERROR(_xlfn.XLOOKUP($B100,nrCDdate,nrCDnum),""))</f>
        <v/>
      </c>
      <c r="D100" s="17">
        <f>IF($B100="","",TRIM(IF(COUNTIFS(nrSCH_Date,$B100,nrSCH_Act,"PT*")&gt;0,"PT + ","")&amp;IF(COUNTIFS(nrSCH_Date,$B100,nrSCH_Act,"*Test*")&gt;0,"Test + ","")&amp;"Classroom"))</f>
        <v/>
      </c>
      <c r="E100" s="16" t="n"/>
      <c r="F100" s="16" t="n"/>
      <c r="G100" s="16" t="n"/>
      <c r="H100" s="16" t="n"/>
      <c r="I100" s="17">
        <f>IF($B100="","",COUNTIFS(nrIN_Date,$B100))</f>
        <v/>
      </c>
      <c r="J100" s="17">
        <f>IF($B100="","",COUNTIFS(nrAT_Date,$B100,nrAT_Type,"Early Departure"))</f>
        <v/>
      </c>
      <c r="K100" s="17">
        <f>IF($B100="","",COUNTIFS(nrME_Received,$B100))</f>
        <v/>
      </c>
      <c r="L100" s="16" t="n"/>
      <c r="M100" s="16" t="n"/>
      <c r="N100" s="16" t="n"/>
    </row>
    <row r="101">
      <c r="B101" s="18" t="n"/>
      <c r="C101" s="17">
        <f>IF($B101="","",IFERROR(_xlfn.XLOOKUP($B101,nrCDdate,nrCDnum),""))</f>
        <v/>
      </c>
      <c r="D101" s="17">
        <f>IF($B101="","",TRIM(IF(COUNTIFS(nrSCH_Date,$B101,nrSCH_Act,"PT*")&gt;0,"PT + ","")&amp;IF(COUNTIFS(nrSCH_Date,$B101,nrSCH_Act,"*Test*")&gt;0,"Test + ","")&amp;"Classroom"))</f>
        <v/>
      </c>
      <c r="E101" s="16" t="n"/>
      <c r="F101" s="16" t="n"/>
      <c r="G101" s="16" t="n"/>
      <c r="H101" s="16" t="n"/>
      <c r="I101" s="17">
        <f>IF($B101="","",COUNTIFS(nrIN_Date,$B101))</f>
        <v/>
      </c>
      <c r="J101" s="17">
        <f>IF($B101="","",COUNTIFS(nrAT_Date,$B101,nrAT_Type,"Early Departure"))</f>
        <v/>
      </c>
      <c r="K101" s="17">
        <f>IF($B101="","",COUNTIFS(nrME_Received,$B101))</f>
        <v/>
      </c>
      <c r="L101" s="16" t="n"/>
      <c r="M101" s="16" t="n"/>
      <c r="N101" s="16" t="n"/>
    </row>
    <row r="102">
      <c r="B102" s="18" t="n"/>
      <c r="C102" s="17">
        <f>IF($B102="","",IFERROR(_xlfn.XLOOKUP($B102,nrCDdate,nrCDnum),""))</f>
        <v/>
      </c>
      <c r="D102" s="17">
        <f>IF($B102="","",TRIM(IF(COUNTIFS(nrSCH_Date,$B102,nrSCH_Act,"PT*")&gt;0,"PT + ","")&amp;IF(COUNTIFS(nrSCH_Date,$B102,nrSCH_Act,"*Test*")&gt;0,"Test + ","")&amp;"Classroom"))</f>
        <v/>
      </c>
      <c r="E102" s="16" t="n"/>
      <c r="F102" s="16" t="n"/>
      <c r="G102" s="16" t="n"/>
      <c r="H102" s="16" t="n"/>
      <c r="I102" s="17">
        <f>IF($B102="","",COUNTIFS(nrIN_Date,$B102))</f>
        <v/>
      </c>
      <c r="J102" s="17">
        <f>IF($B102="","",COUNTIFS(nrAT_Date,$B102,nrAT_Type,"Early Departure"))</f>
        <v/>
      </c>
      <c r="K102" s="17">
        <f>IF($B102="","",COUNTIFS(nrME_Received,$B102))</f>
        <v/>
      </c>
      <c r="L102" s="16" t="n"/>
      <c r="M102" s="16" t="n"/>
      <c r="N102" s="16" t="n"/>
    </row>
    <row r="103">
      <c r="B103" s="18" t="n"/>
      <c r="C103" s="17">
        <f>IF($B103="","",IFERROR(_xlfn.XLOOKUP($B103,nrCDdate,nrCDnum),""))</f>
        <v/>
      </c>
      <c r="D103" s="17">
        <f>IF($B103="","",TRIM(IF(COUNTIFS(nrSCH_Date,$B103,nrSCH_Act,"PT*")&gt;0,"PT + ","")&amp;IF(COUNTIFS(nrSCH_Date,$B103,nrSCH_Act,"*Test*")&gt;0,"Test + ","")&amp;"Classroom"))</f>
        <v/>
      </c>
      <c r="E103" s="16" t="n"/>
      <c r="F103" s="16" t="n"/>
      <c r="G103" s="16" t="n"/>
      <c r="H103" s="16" t="n"/>
      <c r="I103" s="17">
        <f>IF($B103="","",COUNTIFS(nrIN_Date,$B103))</f>
        <v/>
      </c>
      <c r="J103" s="17">
        <f>IF($B103="","",COUNTIFS(nrAT_Date,$B103,nrAT_Type,"Early Departure"))</f>
        <v/>
      </c>
      <c r="K103" s="17">
        <f>IF($B103="","",COUNTIFS(nrME_Received,$B103))</f>
        <v/>
      </c>
      <c r="L103" s="16" t="n"/>
      <c r="M103" s="16" t="n"/>
      <c r="N103" s="16" t="n"/>
    </row>
    <row r="104">
      <c r="B104" s="18" t="n"/>
      <c r="C104" s="17">
        <f>IF($B104="","",IFERROR(_xlfn.XLOOKUP($B104,nrCDdate,nrCDnum),""))</f>
        <v/>
      </c>
      <c r="D104" s="17">
        <f>IF($B104="","",TRIM(IF(COUNTIFS(nrSCH_Date,$B104,nrSCH_Act,"PT*")&gt;0,"PT + ","")&amp;IF(COUNTIFS(nrSCH_Date,$B104,nrSCH_Act,"*Test*")&gt;0,"Test + ","")&amp;"Classroom"))</f>
        <v/>
      </c>
      <c r="E104" s="16" t="n"/>
      <c r="F104" s="16" t="n"/>
      <c r="G104" s="16" t="n"/>
      <c r="H104" s="16" t="n"/>
      <c r="I104" s="17">
        <f>IF($B104="","",COUNTIFS(nrIN_Date,$B104))</f>
        <v/>
      </c>
      <c r="J104" s="17">
        <f>IF($B104="","",COUNTIFS(nrAT_Date,$B104,nrAT_Type,"Early Departure"))</f>
        <v/>
      </c>
      <c r="K104" s="17">
        <f>IF($B104="","",COUNTIFS(nrME_Received,$B104))</f>
        <v/>
      </c>
      <c r="L104" s="16" t="n"/>
      <c r="M104" s="16" t="n"/>
      <c r="N104" s="16" t="n"/>
    </row>
    <row r="105">
      <c r="B105" s="18" t="n"/>
      <c r="C105" s="17">
        <f>IF($B105="","",IFERROR(_xlfn.XLOOKUP($B105,nrCDdate,nrCDnum),""))</f>
        <v/>
      </c>
      <c r="D105" s="17">
        <f>IF($B105="","",TRIM(IF(COUNTIFS(nrSCH_Date,$B105,nrSCH_Act,"PT*")&gt;0,"PT + ","")&amp;IF(COUNTIFS(nrSCH_Date,$B105,nrSCH_Act,"*Test*")&gt;0,"Test + ","")&amp;"Classroom"))</f>
        <v/>
      </c>
      <c r="E105" s="16" t="n"/>
      <c r="F105" s="16" t="n"/>
      <c r="G105" s="16" t="n"/>
      <c r="H105" s="16" t="n"/>
      <c r="I105" s="17">
        <f>IF($B105="","",COUNTIFS(nrIN_Date,$B105))</f>
        <v/>
      </c>
      <c r="J105" s="17">
        <f>IF($B105="","",COUNTIFS(nrAT_Date,$B105,nrAT_Type,"Early Departure"))</f>
        <v/>
      </c>
      <c r="K105" s="17">
        <f>IF($B105="","",COUNTIFS(nrME_Received,$B105))</f>
        <v/>
      </c>
      <c r="L105" s="16" t="n"/>
      <c r="M105" s="16" t="n"/>
      <c r="N105" s="16" t="n"/>
    </row>
    <row r="106">
      <c r="B106" s="18" t="n"/>
      <c r="C106" s="17">
        <f>IF($B106="","",IFERROR(_xlfn.XLOOKUP($B106,nrCDdate,nrCDnum),""))</f>
        <v/>
      </c>
      <c r="D106" s="17">
        <f>IF($B106="","",TRIM(IF(COUNTIFS(nrSCH_Date,$B106,nrSCH_Act,"PT*")&gt;0,"PT + ","")&amp;IF(COUNTIFS(nrSCH_Date,$B106,nrSCH_Act,"*Test*")&gt;0,"Test + ","")&amp;"Classroom"))</f>
        <v/>
      </c>
      <c r="E106" s="16" t="n"/>
      <c r="F106" s="16" t="n"/>
      <c r="G106" s="16" t="n"/>
      <c r="H106" s="16" t="n"/>
      <c r="I106" s="17">
        <f>IF($B106="","",COUNTIFS(nrIN_Date,$B106))</f>
        <v/>
      </c>
      <c r="J106" s="17">
        <f>IF($B106="","",COUNTIFS(nrAT_Date,$B106,nrAT_Type,"Early Departure"))</f>
        <v/>
      </c>
      <c r="K106" s="17">
        <f>IF($B106="","",COUNTIFS(nrME_Received,$B106))</f>
        <v/>
      </c>
      <c r="L106" s="16" t="n"/>
      <c r="M106" s="16" t="n"/>
      <c r="N106" s="16" t="n"/>
    </row>
    <row r="107">
      <c r="B107" s="18" t="n"/>
      <c r="C107" s="17">
        <f>IF($B107="","",IFERROR(_xlfn.XLOOKUP($B107,nrCDdate,nrCDnum),""))</f>
        <v/>
      </c>
      <c r="D107" s="17">
        <f>IF($B107="","",TRIM(IF(COUNTIFS(nrSCH_Date,$B107,nrSCH_Act,"PT*")&gt;0,"PT + ","")&amp;IF(COUNTIFS(nrSCH_Date,$B107,nrSCH_Act,"*Test*")&gt;0,"Test + ","")&amp;"Classroom"))</f>
        <v/>
      </c>
      <c r="E107" s="16" t="n"/>
      <c r="F107" s="16" t="n"/>
      <c r="G107" s="16" t="n"/>
      <c r="H107" s="16" t="n"/>
      <c r="I107" s="17">
        <f>IF($B107="","",COUNTIFS(nrIN_Date,$B107))</f>
        <v/>
      </c>
      <c r="J107" s="17">
        <f>IF($B107="","",COUNTIFS(nrAT_Date,$B107,nrAT_Type,"Early Departure"))</f>
        <v/>
      </c>
      <c r="K107" s="17">
        <f>IF($B107="","",COUNTIFS(nrME_Received,$B107))</f>
        <v/>
      </c>
      <c r="L107" s="16" t="n"/>
      <c r="M107" s="16" t="n"/>
      <c r="N107" s="16" t="n"/>
    </row>
    <row r="108">
      <c r="B108" s="18" t="n"/>
      <c r="C108" s="17">
        <f>IF($B108="","",IFERROR(_xlfn.XLOOKUP($B108,nrCDdate,nrCDnum),""))</f>
        <v/>
      </c>
      <c r="D108" s="17">
        <f>IF($B108="","",TRIM(IF(COUNTIFS(nrSCH_Date,$B108,nrSCH_Act,"PT*")&gt;0,"PT + ","")&amp;IF(COUNTIFS(nrSCH_Date,$B108,nrSCH_Act,"*Test*")&gt;0,"Test + ","")&amp;"Classroom"))</f>
        <v/>
      </c>
      <c r="E108" s="16" t="n"/>
      <c r="F108" s="16" t="n"/>
      <c r="G108" s="16" t="n"/>
      <c r="H108" s="16" t="n"/>
      <c r="I108" s="17">
        <f>IF($B108="","",COUNTIFS(nrIN_Date,$B108))</f>
        <v/>
      </c>
      <c r="J108" s="17">
        <f>IF($B108="","",COUNTIFS(nrAT_Date,$B108,nrAT_Type,"Early Departure"))</f>
        <v/>
      </c>
      <c r="K108" s="17">
        <f>IF($B108="","",COUNTIFS(nrME_Received,$B108))</f>
        <v/>
      </c>
      <c r="L108" s="16" t="n"/>
      <c r="M108" s="16" t="n"/>
      <c r="N108" s="16" t="n"/>
    </row>
    <row r="109">
      <c r="B109" s="18" t="n"/>
      <c r="C109" s="17">
        <f>IF($B109="","",IFERROR(_xlfn.XLOOKUP($B109,nrCDdate,nrCDnum),""))</f>
        <v/>
      </c>
      <c r="D109" s="17">
        <f>IF($B109="","",TRIM(IF(COUNTIFS(nrSCH_Date,$B109,nrSCH_Act,"PT*")&gt;0,"PT + ","")&amp;IF(COUNTIFS(nrSCH_Date,$B109,nrSCH_Act,"*Test*")&gt;0,"Test + ","")&amp;"Classroom"))</f>
        <v/>
      </c>
      <c r="E109" s="16" t="n"/>
      <c r="F109" s="16" t="n"/>
      <c r="G109" s="16" t="n"/>
      <c r="H109" s="16" t="n"/>
      <c r="I109" s="17">
        <f>IF($B109="","",COUNTIFS(nrIN_Date,$B109))</f>
        <v/>
      </c>
      <c r="J109" s="17">
        <f>IF($B109="","",COUNTIFS(nrAT_Date,$B109,nrAT_Type,"Early Departure"))</f>
        <v/>
      </c>
      <c r="K109" s="17">
        <f>IF($B109="","",COUNTIFS(nrME_Received,$B109))</f>
        <v/>
      </c>
      <c r="L109" s="16" t="n"/>
      <c r="M109" s="16" t="n"/>
      <c r="N109" s="16" t="n"/>
    </row>
    <row r="110">
      <c r="B110" s="18" t="n"/>
      <c r="C110" s="17">
        <f>IF($B110="","",IFERROR(_xlfn.XLOOKUP($B110,nrCDdate,nrCDnum),""))</f>
        <v/>
      </c>
      <c r="D110" s="17">
        <f>IF($B110="","",TRIM(IF(COUNTIFS(nrSCH_Date,$B110,nrSCH_Act,"PT*")&gt;0,"PT + ","")&amp;IF(COUNTIFS(nrSCH_Date,$B110,nrSCH_Act,"*Test*")&gt;0,"Test + ","")&amp;"Classroom"))</f>
        <v/>
      </c>
      <c r="E110" s="16" t="n"/>
      <c r="F110" s="16" t="n"/>
      <c r="G110" s="16" t="n"/>
      <c r="H110" s="16" t="n"/>
      <c r="I110" s="17">
        <f>IF($B110="","",COUNTIFS(nrIN_Date,$B110))</f>
        <v/>
      </c>
      <c r="J110" s="17">
        <f>IF($B110="","",COUNTIFS(nrAT_Date,$B110,nrAT_Type,"Early Departure"))</f>
        <v/>
      </c>
      <c r="K110" s="17">
        <f>IF($B110="","",COUNTIFS(nrME_Received,$B110))</f>
        <v/>
      </c>
      <c r="L110" s="16" t="n"/>
      <c r="M110" s="16" t="n"/>
      <c r="N110" s="16" t="n"/>
    </row>
    <row r="111">
      <c r="B111" s="18" t="n"/>
      <c r="C111" s="17">
        <f>IF($B111="","",IFERROR(_xlfn.XLOOKUP($B111,nrCDdate,nrCDnum),""))</f>
        <v/>
      </c>
      <c r="D111" s="17">
        <f>IF($B111="","",TRIM(IF(COUNTIFS(nrSCH_Date,$B111,nrSCH_Act,"PT*")&gt;0,"PT + ","")&amp;IF(COUNTIFS(nrSCH_Date,$B111,nrSCH_Act,"*Test*")&gt;0,"Test + ","")&amp;"Classroom"))</f>
        <v/>
      </c>
      <c r="E111" s="16" t="n"/>
      <c r="F111" s="16" t="n"/>
      <c r="G111" s="16" t="n"/>
      <c r="H111" s="16" t="n"/>
      <c r="I111" s="17">
        <f>IF($B111="","",COUNTIFS(nrIN_Date,$B111))</f>
        <v/>
      </c>
      <c r="J111" s="17">
        <f>IF($B111="","",COUNTIFS(nrAT_Date,$B111,nrAT_Type,"Early Departure"))</f>
        <v/>
      </c>
      <c r="K111" s="17">
        <f>IF($B111="","",COUNTIFS(nrME_Received,$B111))</f>
        <v/>
      </c>
      <c r="L111" s="16" t="n"/>
      <c r="M111" s="16" t="n"/>
      <c r="N111" s="16" t="n"/>
    </row>
    <row r="112">
      <c r="B112" s="18" t="n"/>
      <c r="C112" s="17">
        <f>IF($B112="","",IFERROR(_xlfn.XLOOKUP($B112,nrCDdate,nrCDnum),""))</f>
        <v/>
      </c>
      <c r="D112" s="17">
        <f>IF($B112="","",TRIM(IF(COUNTIFS(nrSCH_Date,$B112,nrSCH_Act,"PT*")&gt;0,"PT + ","")&amp;IF(COUNTIFS(nrSCH_Date,$B112,nrSCH_Act,"*Test*")&gt;0,"Test + ","")&amp;"Classroom"))</f>
        <v/>
      </c>
      <c r="E112" s="16" t="n"/>
      <c r="F112" s="16" t="n"/>
      <c r="G112" s="16" t="n"/>
      <c r="H112" s="16" t="n"/>
      <c r="I112" s="17">
        <f>IF($B112="","",COUNTIFS(nrIN_Date,$B112))</f>
        <v/>
      </c>
      <c r="J112" s="17">
        <f>IF($B112="","",COUNTIFS(nrAT_Date,$B112,nrAT_Type,"Early Departure"))</f>
        <v/>
      </c>
      <c r="K112" s="17">
        <f>IF($B112="","",COUNTIFS(nrME_Received,$B112))</f>
        <v/>
      </c>
      <c r="L112" s="16" t="n"/>
      <c r="M112" s="16" t="n"/>
      <c r="N112" s="16" t="n"/>
    </row>
    <row r="113">
      <c r="B113" s="18" t="n"/>
      <c r="C113" s="17">
        <f>IF($B113="","",IFERROR(_xlfn.XLOOKUP($B113,nrCDdate,nrCDnum),""))</f>
        <v/>
      </c>
      <c r="D113" s="17">
        <f>IF($B113="","",TRIM(IF(COUNTIFS(nrSCH_Date,$B113,nrSCH_Act,"PT*")&gt;0,"PT + ","")&amp;IF(COUNTIFS(nrSCH_Date,$B113,nrSCH_Act,"*Test*")&gt;0,"Test + ","")&amp;"Classroom"))</f>
        <v/>
      </c>
      <c r="E113" s="16" t="n"/>
      <c r="F113" s="16" t="n"/>
      <c r="G113" s="16" t="n"/>
      <c r="H113" s="16" t="n"/>
      <c r="I113" s="17">
        <f>IF($B113="","",COUNTIFS(nrIN_Date,$B113))</f>
        <v/>
      </c>
      <c r="J113" s="17">
        <f>IF($B113="","",COUNTIFS(nrAT_Date,$B113,nrAT_Type,"Early Departure"))</f>
        <v/>
      </c>
      <c r="K113" s="17">
        <f>IF($B113="","",COUNTIFS(nrME_Received,$B113))</f>
        <v/>
      </c>
      <c r="L113" s="16" t="n"/>
      <c r="M113" s="16" t="n"/>
      <c r="N113" s="16" t="n"/>
    </row>
    <row r="114">
      <c r="B114" s="18" t="n"/>
      <c r="C114" s="17">
        <f>IF($B114="","",IFERROR(_xlfn.XLOOKUP($B114,nrCDdate,nrCDnum),""))</f>
        <v/>
      </c>
      <c r="D114" s="17">
        <f>IF($B114="","",TRIM(IF(COUNTIFS(nrSCH_Date,$B114,nrSCH_Act,"PT*")&gt;0,"PT + ","")&amp;IF(COUNTIFS(nrSCH_Date,$B114,nrSCH_Act,"*Test*")&gt;0,"Test + ","")&amp;"Classroom"))</f>
        <v/>
      </c>
      <c r="E114" s="16" t="n"/>
      <c r="F114" s="16" t="n"/>
      <c r="G114" s="16" t="n"/>
      <c r="H114" s="16" t="n"/>
      <c r="I114" s="17">
        <f>IF($B114="","",COUNTIFS(nrIN_Date,$B114))</f>
        <v/>
      </c>
      <c r="J114" s="17">
        <f>IF($B114="","",COUNTIFS(nrAT_Date,$B114,nrAT_Type,"Early Departure"))</f>
        <v/>
      </c>
      <c r="K114" s="17">
        <f>IF($B114="","",COUNTIFS(nrME_Received,$B114))</f>
        <v/>
      </c>
      <c r="L114" s="16" t="n"/>
      <c r="M114" s="16" t="n"/>
      <c r="N114" s="16" t="n"/>
    </row>
    <row r="115">
      <c r="B115" s="18" t="n"/>
      <c r="C115" s="17">
        <f>IF($B115="","",IFERROR(_xlfn.XLOOKUP($B115,nrCDdate,nrCDnum),""))</f>
        <v/>
      </c>
      <c r="D115" s="17">
        <f>IF($B115="","",TRIM(IF(COUNTIFS(nrSCH_Date,$B115,nrSCH_Act,"PT*")&gt;0,"PT + ","")&amp;IF(COUNTIFS(nrSCH_Date,$B115,nrSCH_Act,"*Test*")&gt;0,"Test + ","")&amp;"Classroom"))</f>
        <v/>
      </c>
      <c r="E115" s="16" t="n"/>
      <c r="F115" s="16" t="n"/>
      <c r="G115" s="16" t="n"/>
      <c r="H115" s="16" t="n"/>
      <c r="I115" s="17">
        <f>IF($B115="","",COUNTIFS(nrIN_Date,$B115))</f>
        <v/>
      </c>
      <c r="J115" s="17">
        <f>IF($B115="","",COUNTIFS(nrAT_Date,$B115,nrAT_Type,"Early Departure"))</f>
        <v/>
      </c>
      <c r="K115" s="17">
        <f>IF($B115="","",COUNTIFS(nrME_Received,$B115))</f>
        <v/>
      </c>
      <c r="L115" s="16" t="n"/>
      <c r="M115" s="16" t="n"/>
      <c r="N115" s="16" t="n"/>
    </row>
    <row r="116">
      <c r="B116" s="18" t="n"/>
      <c r="C116" s="17">
        <f>IF($B116="","",IFERROR(_xlfn.XLOOKUP($B116,nrCDdate,nrCDnum),""))</f>
        <v/>
      </c>
      <c r="D116" s="17">
        <f>IF($B116="","",TRIM(IF(COUNTIFS(nrSCH_Date,$B116,nrSCH_Act,"PT*")&gt;0,"PT + ","")&amp;IF(COUNTIFS(nrSCH_Date,$B116,nrSCH_Act,"*Test*")&gt;0,"Test + ","")&amp;"Classroom"))</f>
        <v/>
      </c>
      <c r="E116" s="16" t="n"/>
      <c r="F116" s="16" t="n"/>
      <c r="G116" s="16" t="n"/>
      <c r="H116" s="16" t="n"/>
      <c r="I116" s="17">
        <f>IF($B116="","",COUNTIFS(nrIN_Date,$B116))</f>
        <v/>
      </c>
      <c r="J116" s="17">
        <f>IF($B116="","",COUNTIFS(nrAT_Date,$B116,nrAT_Type,"Early Departure"))</f>
        <v/>
      </c>
      <c r="K116" s="17">
        <f>IF($B116="","",COUNTIFS(nrME_Received,$B116))</f>
        <v/>
      </c>
      <c r="L116" s="16" t="n"/>
      <c r="M116" s="16" t="n"/>
      <c r="N116" s="16" t="n"/>
    </row>
    <row r="117">
      <c r="B117" s="18" t="n"/>
      <c r="C117" s="17">
        <f>IF($B117="","",IFERROR(_xlfn.XLOOKUP($B117,nrCDdate,nrCDnum),""))</f>
        <v/>
      </c>
      <c r="D117" s="17">
        <f>IF($B117="","",TRIM(IF(COUNTIFS(nrSCH_Date,$B117,nrSCH_Act,"PT*")&gt;0,"PT + ","")&amp;IF(COUNTIFS(nrSCH_Date,$B117,nrSCH_Act,"*Test*")&gt;0,"Test + ","")&amp;"Classroom"))</f>
        <v/>
      </c>
      <c r="E117" s="16" t="n"/>
      <c r="F117" s="16" t="n"/>
      <c r="G117" s="16" t="n"/>
      <c r="H117" s="16" t="n"/>
      <c r="I117" s="17">
        <f>IF($B117="","",COUNTIFS(nrIN_Date,$B117))</f>
        <v/>
      </c>
      <c r="J117" s="17">
        <f>IF($B117="","",COUNTIFS(nrAT_Date,$B117,nrAT_Type,"Early Departure"))</f>
        <v/>
      </c>
      <c r="K117" s="17">
        <f>IF($B117="","",COUNTIFS(nrME_Received,$B117))</f>
        <v/>
      </c>
      <c r="L117" s="16" t="n"/>
      <c r="M117" s="16" t="n"/>
      <c r="N117" s="16" t="n"/>
    </row>
    <row r="118">
      <c r="B118" s="18" t="n"/>
      <c r="C118" s="17">
        <f>IF($B118="","",IFERROR(_xlfn.XLOOKUP($B118,nrCDdate,nrCDnum),""))</f>
        <v/>
      </c>
      <c r="D118" s="17">
        <f>IF($B118="","",TRIM(IF(COUNTIFS(nrSCH_Date,$B118,nrSCH_Act,"PT*")&gt;0,"PT + ","")&amp;IF(COUNTIFS(nrSCH_Date,$B118,nrSCH_Act,"*Test*")&gt;0,"Test + ","")&amp;"Classroom"))</f>
        <v/>
      </c>
      <c r="E118" s="16" t="n"/>
      <c r="F118" s="16" t="n"/>
      <c r="G118" s="16" t="n"/>
      <c r="H118" s="16" t="n"/>
      <c r="I118" s="17">
        <f>IF($B118="","",COUNTIFS(nrIN_Date,$B118))</f>
        <v/>
      </c>
      <c r="J118" s="17">
        <f>IF($B118="","",COUNTIFS(nrAT_Date,$B118,nrAT_Type,"Early Departure"))</f>
        <v/>
      </c>
      <c r="K118" s="17">
        <f>IF($B118="","",COUNTIFS(nrME_Received,$B118))</f>
        <v/>
      </c>
      <c r="L118" s="16" t="n"/>
      <c r="M118" s="16" t="n"/>
      <c r="N118" s="16" t="n"/>
    </row>
    <row r="119">
      <c r="B119" s="18" t="n"/>
      <c r="C119" s="17">
        <f>IF($B119="","",IFERROR(_xlfn.XLOOKUP($B119,nrCDdate,nrCDnum),""))</f>
        <v/>
      </c>
      <c r="D119" s="17">
        <f>IF($B119="","",TRIM(IF(COUNTIFS(nrSCH_Date,$B119,nrSCH_Act,"PT*")&gt;0,"PT + ","")&amp;IF(COUNTIFS(nrSCH_Date,$B119,nrSCH_Act,"*Test*")&gt;0,"Test + ","")&amp;"Classroom"))</f>
        <v/>
      </c>
      <c r="E119" s="16" t="n"/>
      <c r="F119" s="16" t="n"/>
      <c r="G119" s="16" t="n"/>
      <c r="H119" s="16" t="n"/>
      <c r="I119" s="17">
        <f>IF($B119="","",COUNTIFS(nrIN_Date,$B119))</f>
        <v/>
      </c>
      <c r="J119" s="17">
        <f>IF($B119="","",COUNTIFS(nrAT_Date,$B119,nrAT_Type,"Early Departure"))</f>
        <v/>
      </c>
      <c r="K119" s="17">
        <f>IF($B119="","",COUNTIFS(nrME_Received,$B119))</f>
        <v/>
      </c>
      <c r="L119" s="16" t="n"/>
      <c r="M119" s="16" t="n"/>
      <c r="N119" s="16" t="n"/>
    </row>
    <row r="120">
      <c r="B120" s="18" t="n"/>
      <c r="C120" s="17">
        <f>IF($B120="","",IFERROR(_xlfn.XLOOKUP($B120,nrCDdate,nrCDnum),""))</f>
        <v/>
      </c>
      <c r="D120" s="17">
        <f>IF($B120="","",TRIM(IF(COUNTIFS(nrSCH_Date,$B120,nrSCH_Act,"PT*")&gt;0,"PT + ","")&amp;IF(COUNTIFS(nrSCH_Date,$B120,nrSCH_Act,"*Test*")&gt;0,"Test + ","")&amp;"Classroom"))</f>
        <v/>
      </c>
      <c r="E120" s="16" t="n"/>
      <c r="F120" s="16" t="n"/>
      <c r="G120" s="16" t="n"/>
      <c r="H120" s="16" t="n"/>
      <c r="I120" s="17">
        <f>IF($B120="","",COUNTIFS(nrIN_Date,$B120))</f>
        <v/>
      </c>
      <c r="J120" s="17">
        <f>IF($B120="","",COUNTIFS(nrAT_Date,$B120,nrAT_Type,"Early Departure"))</f>
        <v/>
      </c>
      <c r="K120" s="17">
        <f>IF($B120="","",COUNTIFS(nrME_Received,$B120))</f>
        <v/>
      </c>
      <c r="L120" s="16" t="n"/>
      <c r="M120" s="16" t="n"/>
      <c r="N120" s="16" t="n"/>
    </row>
    <row r="121">
      <c r="B121" s="18" t="n"/>
      <c r="C121" s="17">
        <f>IF($B121="","",IFERROR(_xlfn.XLOOKUP($B121,nrCDdate,nrCDnum),""))</f>
        <v/>
      </c>
      <c r="D121" s="17">
        <f>IF($B121="","",TRIM(IF(COUNTIFS(nrSCH_Date,$B121,nrSCH_Act,"PT*")&gt;0,"PT + ","")&amp;IF(COUNTIFS(nrSCH_Date,$B121,nrSCH_Act,"*Test*")&gt;0,"Test + ","")&amp;"Classroom"))</f>
        <v/>
      </c>
      <c r="E121" s="16" t="n"/>
      <c r="F121" s="16" t="n"/>
      <c r="G121" s="16" t="n"/>
      <c r="H121" s="16" t="n"/>
      <c r="I121" s="17">
        <f>IF($B121="","",COUNTIFS(nrIN_Date,$B121))</f>
        <v/>
      </c>
      <c r="J121" s="17">
        <f>IF($B121="","",COUNTIFS(nrAT_Date,$B121,nrAT_Type,"Early Departure"))</f>
        <v/>
      </c>
      <c r="K121" s="17">
        <f>IF($B121="","",COUNTIFS(nrME_Received,$B121))</f>
        <v/>
      </c>
      <c r="L121" s="16" t="n"/>
      <c r="M121" s="16" t="n"/>
      <c r="N121" s="16" t="n"/>
    </row>
    <row r="122">
      <c r="B122" s="18" t="n"/>
      <c r="C122" s="17">
        <f>IF($B122="","",IFERROR(_xlfn.XLOOKUP($B122,nrCDdate,nrCDnum),""))</f>
        <v/>
      </c>
      <c r="D122" s="17">
        <f>IF($B122="","",TRIM(IF(COUNTIFS(nrSCH_Date,$B122,nrSCH_Act,"PT*")&gt;0,"PT + ","")&amp;IF(COUNTIFS(nrSCH_Date,$B122,nrSCH_Act,"*Test*")&gt;0,"Test + ","")&amp;"Classroom"))</f>
        <v/>
      </c>
      <c r="E122" s="16" t="n"/>
      <c r="F122" s="16" t="n"/>
      <c r="G122" s="16" t="n"/>
      <c r="H122" s="16" t="n"/>
      <c r="I122" s="17">
        <f>IF($B122="","",COUNTIFS(nrIN_Date,$B122))</f>
        <v/>
      </c>
      <c r="J122" s="17">
        <f>IF($B122="","",COUNTIFS(nrAT_Date,$B122,nrAT_Type,"Early Departure"))</f>
        <v/>
      </c>
      <c r="K122" s="17">
        <f>IF($B122="","",COUNTIFS(nrME_Received,$B122))</f>
        <v/>
      </c>
      <c r="L122" s="16" t="n"/>
      <c r="M122" s="16" t="n"/>
      <c r="N122" s="16" t="n"/>
    </row>
    <row r="123">
      <c r="B123" s="18" t="n"/>
      <c r="C123" s="17">
        <f>IF($B123="","",IFERROR(_xlfn.XLOOKUP($B123,nrCDdate,nrCDnum),""))</f>
        <v/>
      </c>
      <c r="D123" s="17">
        <f>IF($B123="","",TRIM(IF(COUNTIFS(nrSCH_Date,$B123,nrSCH_Act,"PT*")&gt;0,"PT + ","")&amp;IF(COUNTIFS(nrSCH_Date,$B123,nrSCH_Act,"*Test*")&gt;0,"Test + ","")&amp;"Classroom"))</f>
        <v/>
      </c>
      <c r="E123" s="16" t="n"/>
      <c r="F123" s="16" t="n"/>
      <c r="G123" s="16" t="n"/>
      <c r="H123" s="16" t="n"/>
      <c r="I123" s="17">
        <f>IF($B123="","",COUNTIFS(nrIN_Date,$B123))</f>
        <v/>
      </c>
      <c r="J123" s="17">
        <f>IF($B123="","",COUNTIFS(nrAT_Date,$B123,nrAT_Type,"Early Departure"))</f>
        <v/>
      </c>
      <c r="K123" s="17">
        <f>IF($B123="","",COUNTIFS(nrME_Received,$B123))</f>
        <v/>
      </c>
      <c r="L123" s="16" t="n"/>
      <c r="M123" s="16" t="n"/>
      <c r="N123" s="16" t="n"/>
    </row>
    <row r="124">
      <c r="B124" s="18" t="n"/>
      <c r="C124" s="17">
        <f>IF($B124="","",IFERROR(_xlfn.XLOOKUP($B124,nrCDdate,nrCDnum),""))</f>
        <v/>
      </c>
      <c r="D124" s="17">
        <f>IF($B124="","",TRIM(IF(COUNTIFS(nrSCH_Date,$B124,nrSCH_Act,"PT*")&gt;0,"PT + ","")&amp;IF(COUNTIFS(nrSCH_Date,$B124,nrSCH_Act,"*Test*")&gt;0,"Test + ","")&amp;"Classroom"))</f>
        <v/>
      </c>
      <c r="E124" s="16" t="n"/>
      <c r="F124" s="16" t="n"/>
      <c r="G124" s="16" t="n"/>
      <c r="H124" s="16" t="n"/>
      <c r="I124" s="17">
        <f>IF($B124="","",COUNTIFS(nrIN_Date,$B124))</f>
        <v/>
      </c>
      <c r="J124" s="17">
        <f>IF($B124="","",COUNTIFS(nrAT_Date,$B124,nrAT_Type,"Early Departure"))</f>
        <v/>
      </c>
      <c r="K124" s="17">
        <f>IF($B124="","",COUNTIFS(nrME_Received,$B124))</f>
        <v/>
      </c>
      <c r="L124" s="16" t="n"/>
      <c r="M124" s="16" t="n"/>
      <c r="N124" s="16" t="n"/>
    </row>
    <row r="125">
      <c r="B125" s="18" t="n"/>
      <c r="C125" s="17">
        <f>IF($B125="","",IFERROR(_xlfn.XLOOKUP($B125,nrCDdate,nrCDnum),""))</f>
        <v/>
      </c>
      <c r="D125" s="17">
        <f>IF($B125="","",TRIM(IF(COUNTIFS(nrSCH_Date,$B125,nrSCH_Act,"PT*")&gt;0,"PT + ","")&amp;IF(COUNTIFS(nrSCH_Date,$B125,nrSCH_Act,"*Test*")&gt;0,"Test + ","")&amp;"Classroom"))</f>
        <v/>
      </c>
      <c r="E125" s="16" t="n"/>
      <c r="F125" s="16" t="n"/>
      <c r="G125" s="16" t="n"/>
      <c r="H125" s="16" t="n"/>
      <c r="I125" s="17">
        <f>IF($B125="","",COUNTIFS(nrIN_Date,$B125))</f>
        <v/>
      </c>
      <c r="J125" s="17">
        <f>IF($B125="","",COUNTIFS(nrAT_Date,$B125,nrAT_Type,"Early Departure"))</f>
        <v/>
      </c>
      <c r="K125" s="17">
        <f>IF($B125="","",COUNTIFS(nrME_Received,$B125))</f>
        <v/>
      </c>
      <c r="L125" s="16" t="n"/>
      <c r="M125" s="16" t="n"/>
      <c r="N125" s="16" t="n"/>
    </row>
    <row r="126">
      <c r="B126" s="18" t="n"/>
      <c r="C126" s="17">
        <f>IF($B126="","",IFERROR(_xlfn.XLOOKUP($B126,nrCDdate,nrCDnum),""))</f>
        <v/>
      </c>
      <c r="D126" s="17">
        <f>IF($B126="","",TRIM(IF(COUNTIFS(nrSCH_Date,$B126,nrSCH_Act,"PT*")&gt;0,"PT + ","")&amp;IF(COUNTIFS(nrSCH_Date,$B126,nrSCH_Act,"*Test*")&gt;0,"Test + ","")&amp;"Classroom"))</f>
        <v/>
      </c>
      <c r="E126" s="16" t="n"/>
      <c r="F126" s="16" t="n"/>
      <c r="G126" s="16" t="n"/>
      <c r="H126" s="16" t="n"/>
      <c r="I126" s="17">
        <f>IF($B126="","",COUNTIFS(nrIN_Date,$B126))</f>
        <v/>
      </c>
      <c r="J126" s="17">
        <f>IF($B126="","",COUNTIFS(nrAT_Date,$B126,nrAT_Type,"Early Departure"))</f>
        <v/>
      </c>
      <c r="K126" s="17">
        <f>IF($B126="","",COUNTIFS(nrME_Received,$B126))</f>
        <v/>
      </c>
      <c r="L126" s="16" t="n"/>
      <c r="M126" s="16" t="n"/>
      <c r="N126" s="16" t="n"/>
    </row>
    <row r="127">
      <c r="B127" s="18" t="n"/>
      <c r="C127" s="17">
        <f>IF($B127="","",IFERROR(_xlfn.XLOOKUP($B127,nrCDdate,nrCDnum),""))</f>
        <v/>
      </c>
      <c r="D127" s="17">
        <f>IF($B127="","",TRIM(IF(COUNTIFS(nrSCH_Date,$B127,nrSCH_Act,"PT*")&gt;0,"PT + ","")&amp;IF(COUNTIFS(nrSCH_Date,$B127,nrSCH_Act,"*Test*")&gt;0,"Test + ","")&amp;"Classroom"))</f>
        <v/>
      </c>
      <c r="E127" s="16" t="n"/>
      <c r="F127" s="16" t="n"/>
      <c r="G127" s="16" t="n"/>
      <c r="H127" s="16" t="n"/>
      <c r="I127" s="17">
        <f>IF($B127="","",COUNTIFS(nrIN_Date,$B127))</f>
        <v/>
      </c>
      <c r="J127" s="17">
        <f>IF($B127="","",COUNTIFS(nrAT_Date,$B127,nrAT_Type,"Early Departure"))</f>
        <v/>
      </c>
      <c r="K127" s="17">
        <f>IF($B127="","",COUNTIFS(nrME_Received,$B127))</f>
        <v/>
      </c>
      <c r="L127" s="16" t="n"/>
      <c r="M127" s="16" t="n"/>
      <c r="N127" s="16" t="n"/>
    </row>
    <row r="128">
      <c r="B128" s="18" t="n"/>
      <c r="C128" s="17">
        <f>IF($B128="","",IFERROR(_xlfn.XLOOKUP($B128,nrCDdate,nrCDnum),""))</f>
        <v/>
      </c>
      <c r="D128" s="17">
        <f>IF($B128="","",TRIM(IF(COUNTIFS(nrSCH_Date,$B128,nrSCH_Act,"PT*")&gt;0,"PT + ","")&amp;IF(COUNTIFS(nrSCH_Date,$B128,nrSCH_Act,"*Test*")&gt;0,"Test + ","")&amp;"Classroom"))</f>
        <v/>
      </c>
      <c r="E128" s="16" t="n"/>
      <c r="F128" s="16" t="n"/>
      <c r="G128" s="16" t="n"/>
      <c r="H128" s="16" t="n"/>
      <c r="I128" s="17">
        <f>IF($B128="","",COUNTIFS(nrIN_Date,$B128))</f>
        <v/>
      </c>
      <c r="J128" s="17">
        <f>IF($B128="","",COUNTIFS(nrAT_Date,$B128,nrAT_Type,"Early Departure"))</f>
        <v/>
      </c>
      <c r="K128" s="17">
        <f>IF($B128="","",COUNTIFS(nrME_Received,$B128))</f>
        <v/>
      </c>
      <c r="L128" s="16" t="n"/>
      <c r="M128" s="16" t="n"/>
      <c r="N128" s="16" t="n"/>
    </row>
    <row r="129">
      <c r="B129" s="18" t="n"/>
      <c r="C129" s="17">
        <f>IF($B129="","",IFERROR(_xlfn.XLOOKUP($B129,nrCDdate,nrCDnum),""))</f>
        <v/>
      </c>
      <c r="D129" s="17">
        <f>IF($B129="","",TRIM(IF(COUNTIFS(nrSCH_Date,$B129,nrSCH_Act,"PT*")&gt;0,"PT + ","")&amp;IF(COUNTIFS(nrSCH_Date,$B129,nrSCH_Act,"*Test*")&gt;0,"Test + ","")&amp;"Classroom"))</f>
        <v/>
      </c>
      <c r="E129" s="16" t="n"/>
      <c r="F129" s="16" t="n"/>
      <c r="G129" s="16" t="n"/>
      <c r="H129" s="16" t="n"/>
      <c r="I129" s="17">
        <f>IF($B129="","",COUNTIFS(nrIN_Date,$B129))</f>
        <v/>
      </c>
      <c r="J129" s="17">
        <f>IF($B129="","",COUNTIFS(nrAT_Date,$B129,nrAT_Type,"Early Departure"))</f>
        <v/>
      </c>
      <c r="K129" s="17">
        <f>IF($B129="","",COUNTIFS(nrME_Received,$B129))</f>
        <v/>
      </c>
      <c r="L129" s="16" t="n"/>
      <c r="M129" s="16" t="n"/>
      <c r="N129" s="16" t="n"/>
    </row>
    <row r="130">
      <c r="B130" s="18" t="n"/>
      <c r="C130" s="17">
        <f>IF($B130="","",IFERROR(_xlfn.XLOOKUP($B130,nrCDdate,nrCDnum),""))</f>
        <v/>
      </c>
      <c r="D130" s="17">
        <f>IF($B130="","",TRIM(IF(COUNTIFS(nrSCH_Date,$B130,nrSCH_Act,"PT*")&gt;0,"PT + ","")&amp;IF(COUNTIFS(nrSCH_Date,$B130,nrSCH_Act,"*Test*")&gt;0,"Test + ","")&amp;"Classroom"))</f>
        <v/>
      </c>
      <c r="E130" s="16" t="n"/>
      <c r="F130" s="16" t="n"/>
      <c r="G130" s="16" t="n"/>
      <c r="H130" s="16" t="n"/>
      <c r="I130" s="17">
        <f>IF($B130="","",COUNTIFS(nrIN_Date,$B130))</f>
        <v/>
      </c>
      <c r="J130" s="17">
        <f>IF($B130="","",COUNTIFS(nrAT_Date,$B130,nrAT_Type,"Early Departure"))</f>
        <v/>
      </c>
      <c r="K130" s="17">
        <f>IF($B130="","",COUNTIFS(nrME_Received,$B130))</f>
        <v/>
      </c>
      <c r="L130" s="16" t="n"/>
      <c r="M130" s="16" t="n"/>
      <c r="N130" s="16" t="n"/>
    </row>
    <row r="131">
      <c r="B131" s="18" t="n"/>
      <c r="C131" s="17">
        <f>IF($B131="","",IFERROR(_xlfn.XLOOKUP($B131,nrCDdate,nrCDnum),""))</f>
        <v/>
      </c>
      <c r="D131" s="17">
        <f>IF($B131="","",TRIM(IF(COUNTIFS(nrSCH_Date,$B131,nrSCH_Act,"PT*")&gt;0,"PT + ","")&amp;IF(COUNTIFS(nrSCH_Date,$B131,nrSCH_Act,"*Test*")&gt;0,"Test + ","")&amp;"Classroom"))</f>
        <v/>
      </c>
      <c r="E131" s="16" t="n"/>
      <c r="F131" s="16" t="n"/>
      <c r="G131" s="16" t="n"/>
      <c r="H131" s="16" t="n"/>
      <c r="I131" s="17">
        <f>IF($B131="","",COUNTIFS(nrIN_Date,$B131))</f>
        <v/>
      </c>
      <c r="J131" s="17">
        <f>IF($B131="","",COUNTIFS(nrAT_Date,$B131,nrAT_Type,"Early Departure"))</f>
        <v/>
      </c>
      <c r="K131" s="17">
        <f>IF($B131="","",COUNTIFS(nrME_Received,$B131))</f>
        <v/>
      </c>
      <c r="L131" s="16" t="n"/>
      <c r="M131" s="16" t="n"/>
      <c r="N131" s="16" t="n"/>
    </row>
    <row r="132">
      <c r="B132" s="18" t="n"/>
      <c r="C132" s="17">
        <f>IF($B132="","",IFERROR(_xlfn.XLOOKUP($B132,nrCDdate,nrCDnum),""))</f>
        <v/>
      </c>
      <c r="D132" s="17">
        <f>IF($B132="","",TRIM(IF(COUNTIFS(nrSCH_Date,$B132,nrSCH_Act,"PT*")&gt;0,"PT + ","")&amp;IF(COUNTIFS(nrSCH_Date,$B132,nrSCH_Act,"*Test*")&gt;0,"Test + ","")&amp;"Classroom"))</f>
        <v/>
      </c>
      <c r="E132" s="16" t="n"/>
      <c r="F132" s="16" t="n"/>
      <c r="G132" s="16" t="n"/>
      <c r="H132" s="16" t="n"/>
      <c r="I132" s="17">
        <f>IF($B132="","",COUNTIFS(nrIN_Date,$B132))</f>
        <v/>
      </c>
      <c r="J132" s="17">
        <f>IF($B132="","",COUNTIFS(nrAT_Date,$B132,nrAT_Type,"Early Departure"))</f>
        <v/>
      </c>
      <c r="K132" s="17">
        <f>IF($B132="","",COUNTIFS(nrME_Received,$B132))</f>
        <v/>
      </c>
      <c r="L132" s="16" t="n"/>
      <c r="M132" s="16" t="n"/>
      <c r="N132" s="16" t="n"/>
    </row>
    <row r="133">
      <c r="B133" s="18" t="n"/>
      <c r="C133" s="17">
        <f>IF($B133="","",IFERROR(_xlfn.XLOOKUP($B133,nrCDdate,nrCDnum),""))</f>
        <v/>
      </c>
      <c r="D133" s="17">
        <f>IF($B133="","",TRIM(IF(COUNTIFS(nrSCH_Date,$B133,nrSCH_Act,"PT*")&gt;0,"PT + ","")&amp;IF(COUNTIFS(nrSCH_Date,$B133,nrSCH_Act,"*Test*")&gt;0,"Test + ","")&amp;"Classroom"))</f>
        <v/>
      </c>
      <c r="E133" s="16" t="n"/>
      <c r="F133" s="16" t="n"/>
      <c r="G133" s="16" t="n"/>
      <c r="H133" s="16" t="n"/>
      <c r="I133" s="17">
        <f>IF($B133="","",COUNTIFS(nrIN_Date,$B133))</f>
        <v/>
      </c>
      <c r="J133" s="17">
        <f>IF($B133="","",COUNTIFS(nrAT_Date,$B133,nrAT_Type,"Early Departure"))</f>
        <v/>
      </c>
      <c r="K133" s="17">
        <f>IF($B133="","",COUNTIFS(nrME_Received,$B133))</f>
        <v/>
      </c>
      <c r="L133" s="16" t="n"/>
      <c r="M133" s="16" t="n"/>
      <c r="N133" s="16" t="n"/>
    </row>
    <row r="134">
      <c r="B134" s="18" t="n"/>
      <c r="C134" s="17">
        <f>IF($B134="","",IFERROR(_xlfn.XLOOKUP($B134,nrCDdate,nrCDnum),""))</f>
        <v/>
      </c>
      <c r="D134" s="17">
        <f>IF($B134="","",TRIM(IF(COUNTIFS(nrSCH_Date,$B134,nrSCH_Act,"PT*")&gt;0,"PT + ","")&amp;IF(COUNTIFS(nrSCH_Date,$B134,nrSCH_Act,"*Test*")&gt;0,"Test + ","")&amp;"Classroom"))</f>
        <v/>
      </c>
      <c r="E134" s="16" t="n"/>
      <c r="F134" s="16" t="n"/>
      <c r="G134" s="16" t="n"/>
      <c r="H134" s="16" t="n"/>
      <c r="I134" s="17">
        <f>IF($B134="","",COUNTIFS(nrIN_Date,$B134))</f>
        <v/>
      </c>
      <c r="J134" s="17">
        <f>IF($B134="","",COUNTIFS(nrAT_Date,$B134,nrAT_Type,"Early Departure"))</f>
        <v/>
      </c>
      <c r="K134" s="17">
        <f>IF($B134="","",COUNTIFS(nrME_Received,$B134))</f>
        <v/>
      </c>
      <c r="L134" s="16" t="n"/>
      <c r="M134" s="16" t="n"/>
      <c r="N134" s="16" t="n"/>
    </row>
    <row r="135">
      <c r="B135" s="18" t="n"/>
      <c r="C135" s="17">
        <f>IF($B135="","",IFERROR(_xlfn.XLOOKUP($B135,nrCDdate,nrCDnum),""))</f>
        <v/>
      </c>
      <c r="D135" s="17">
        <f>IF($B135="","",TRIM(IF(COUNTIFS(nrSCH_Date,$B135,nrSCH_Act,"PT*")&gt;0,"PT + ","")&amp;IF(COUNTIFS(nrSCH_Date,$B135,nrSCH_Act,"*Test*")&gt;0,"Test + ","")&amp;"Classroom"))</f>
        <v/>
      </c>
      <c r="E135" s="16" t="n"/>
      <c r="F135" s="16" t="n"/>
      <c r="G135" s="16" t="n"/>
      <c r="H135" s="16" t="n"/>
      <c r="I135" s="17">
        <f>IF($B135="","",COUNTIFS(nrIN_Date,$B135))</f>
        <v/>
      </c>
      <c r="J135" s="17">
        <f>IF($B135="","",COUNTIFS(nrAT_Date,$B135,nrAT_Type,"Early Departure"))</f>
        <v/>
      </c>
      <c r="K135" s="17">
        <f>IF($B135="","",COUNTIFS(nrME_Received,$B135))</f>
        <v/>
      </c>
      <c r="L135" s="16" t="n"/>
      <c r="M135" s="16" t="n"/>
      <c r="N135" s="16" t="n"/>
    </row>
    <row r="136">
      <c r="B136" s="18" t="n"/>
      <c r="C136" s="17">
        <f>IF($B136="","",IFERROR(_xlfn.XLOOKUP($B136,nrCDdate,nrCDnum),""))</f>
        <v/>
      </c>
      <c r="D136" s="17">
        <f>IF($B136="","",TRIM(IF(COUNTIFS(nrSCH_Date,$B136,nrSCH_Act,"PT*")&gt;0,"PT + ","")&amp;IF(COUNTIFS(nrSCH_Date,$B136,nrSCH_Act,"*Test*")&gt;0,"Test + ","")&amp;"Classroom"))</f>
        <v/>
      </c>
      <c r="E136" s="16" t="n"/>
      <c r="F136" s="16" t="n"/>
      <c r="G136" s="16" t="n"/>
      <c r="H136" s="16" t="n"/>
      <c r="I136" s="17">
        <f>IF($B136="","",COUNTIFS(nrIN_Date,$B136))</f>
        <v/>
      </c>
      <c r="J136" s="17">
        <f>IF($B136="","",COUNTIFS(nrAT_Date,$B136,nrAT_Type,"Early Departure"))</f>
        <v/>
      </c>
      <c r="K136" s="17">
        <f>IF($B136="","",COUNTIFS(nrME_Received,$B136))</f>
        <v/>
      </c>
      <c r="L136" s="16" t="n"/>
      <c r="M136" s="16" t="n"/>
      <c r="N136" s="16" t="n"/>
    </row>
    <row r="137">
      <c r="B137" s="18" t="n"/>
      <c r="C137" s="17">
        <f>IF($B137="","",IFERROR(_xlfn.XLOOKUP($B137,nrCDdate,nrCDnum),""))</f>
        <v/>
      </c>
      <c r="D137" s="17">
        <f>IF($B137="","",TRIM(IF(COUNTIFS(nrSCH_Date,$B137,nrSCH_Act,"PT*")&gt;0,"PT + ","")&amp;IF(COUNTIFS(nrSCH_Date,$B137,nrSCH_Act,"*Test*")&gt;0,"Test + ","")&amp;"Classroom"))</f>
        <v/>
      </c>
      <c r="E137" s="16" t="n"/>
      <c r="F137" s="16" t="n"/>
      <c r="G137" s="16" t="n"/>
      <c r="H137" s="16" t="n"/>
      <c r="I137" s="17">
        <f>IF($B137="","",COUNTIFS(nrIN_Date,$B137))</f>
        <v/>
      </c>
      <c r="J137" s="17">
        <f>IF($B137="","",COUNTIFS(nrAT_Date,$B137,nrAT_Type,"Early Departure"))</f>
        <v/>
      </c>
      <c r="K137" s="17">
        <f>IF($B137="","",COUNTIFS(nrME_Received,$B137))</f>
        <v/>
      </c>
      <c r="L137" s="16" t="n"/>
      <c r="M137" s="16" t="n"/>
      <c r="N137" s="16" t="n"/>
    </row>
    <row r="138">
      <c r="B138" s="18" t="n"/>
      <c r="C138" s="17">
        <f>IF($B138="","",IFERROR(_xlfn.XLOOKUP($B138,nrCDdate,nrCDnum),""))</f>
        <v/>
      </c>
      <c r="D138" s="17">
        <f>IF($B138="","",TRIM(IF(COUNTIFS(nrSCH_Date,$B138,nrSCH_Act,"PT*")&gt;0,"PT + ","")&amp;IF(COUNTIFS(nrSCH_Date,$B138,nrSCH_Act,"*Test*")&gt;0,"Test + ","")&amp;"Classroom"))</f>
        <v/>
      </c>
      <c r="E138" s="16" t="n"/>
      <c r="F138" s="16" t="n"/>
      <c r="G138" s="16" t="n"/>
      <c r="H138" s="16" t="n"/>
      <c r="I138" s="17">
        <f>IF($B138="","",COUNTIFS(nrIN_Date,$B138))</f>
        <v/>
      </c>
      <c r="J138" s="17">
        <f>IF($B138="","",COUNTIFS(nrAT_Date,$B138,nrAT_Type,"Early Departure"))</f>
        <v/>
      </c>
      <c r="K138" s="17">
        <f>IF($B138="","",COUNTIFS(nrME_Received,$B138))</f>
        <v/>
      </c>
      <c r="L138" s="16" t="n"/>
      <c r="M138" s="16" t="n"/>
      <c r="N138" s="16" t="n"/>
    </row>
    <row r="139">
      <c r="B139" s="18" t="n"/>
      <c r="C139" s="17">
        <f>IF($B139="","",IFERROR(_xlfn.XLOOKUP($B139,nrCDdate,nrCDnum),""))</f>
        <v/>
      </c>
      <c r="D139" s="17">
        <f>IF($B139="","",TRIM(IF(COUNTIFS(nrSCH_Date,$B139,nrSCH_Act,"PT*")&gt;0,"PT + ","")&amp;IF(COUNTIFS(nrSCH_Date,$B139,nrSCH_Act,"*Test*")&gt;0,"Test + ","")&amp;"Classroom"))</f>
        <v/>
      </c>
      <c r="E139" s="16" t="n"/>
      <c r="F139" s="16" t="n"/>
      <c r="G139" s="16" t="n"/>
      <c r="H139" s="16" t="n"/>
      <c r="I139" s="17">
        <f>IF($B139="","",COUNTIFS(nrIN_Date,$B139))</f>
        <v/>
      </c>
      <c r="J139" s="17">
        <f>IF($B139="","",COUNTIFS(nrAT_Date,$B139,nrAT_Type,"Early Departure"))</f>
        <v/>
      </c>
      <c r="K139" s="17">
        <f>IF($B139="","",COUNTIFS(nrME_Received,$B139))</f>
        <v/>
      </c>
      <c r="L139" s="16" t="n"/>
      <c r="M139" s="16" t="n"/>
      <c r="N139" s="16" t="n"/>
    </row>
    <row r="140">
      <c r="B140" s="18" t="n"/>
      <c r="C140" s="17">
        <f>IF($B140="","",IFERROR(_xlfn.XLOOKUP($B140,nrCDdate,nrCDnum),""))</f>
        <v/>
      </c>
      <c r="D140" s="17">
        <f>IF($B140="","",TRIM(IF(COUNTIFS(nrSCH_Date,$B140,nrSCH_Act,"PT*")&gt;0,"PT + ","")&amp;IF(COUNTIFS(nrSCH_Date,$B140,nrSCH_Act,"*Test*")&gt;0,"Test + ","")&amp;"Classroom"))</f>
        <v/>
      </c>
      <c r="E140" s="16" t="n"/>
      <c r="F140" s="16" t="n"/>
      <c r="G140" s="16" t="n"/>
      <c r="H140" s="16" t="n"/>
      <c r="I140" s="17">
        <f>IF($B140="","",COUNTIFS(nrIN_Date,$B140))</f>
        <v/>
      </c>
      <c r="J140" s="17">
        <f>IF($B140="","",COUNTIFS(nrAT_Date,$B140,nrAT_Type,"Early Departure"))</f>
        <v/>
      </c>
      <c r="K140" s="17">
        <f>IF($B140="","",COUNTIFS(nrME_Received,$B140))</f>
        <v/>
      </c>
      <c r="L140" s="16" t="n"/>
      <c r="M140" s="16" t="n"/>
      <c r="N140" s="16" t="n"/>
    </row>
    <row r="141">
      <c r="B141" s="18" t="n"/>
      <c r="C141" s="17">
        <f>IF($B141="","",IFERROR(_xlfn.XLOOKUP($B141,nrCDdate,nrCDnum),""))</f>
        <v/>
      </c>
      <c r="D141" s="17">
        <f>IF($B141="","",TRIM(IF(COUNTIFS(nrSCH_Date,$B141,nrSCH_Act,"PT*")&gt;0,"PT + ","")&amp;IF(COUNTIFS(nrSCH_Date,$B141,nrSCH_Act,"*Test*")&gt;0,"Test + ","")&amp;"Classroom"))</f>
        <v/>
      </c>
      <c r="E141" s="16" t="n"/>
      <c r="F141" s="16" t="n"/>
      <c r="G141" s="16" t="n"/>
      <c r="H141" s="16" t="n"/>
      <c r="I141" s="17">
        <f>IF($B141="","",COUNTIFS(nrIN_Date,$B141))</f>
        <v/>
      </c>
      <c r="J141" s="17">
        <f>IF($B141="","",COUNTIFS(nrAT_Date,$B141,nrAT_Type,"Early Departure"))</f>
        <v/>
      </c>
      <c r="K141" s="17">
        <f>IF($B141="","",COUNTIFS(nrME_Received,$B141))</f>
        <v/>
      </c>
      <c r="L141" s="16" t="n"/>
      <c r="M141" s="16" t="n"/>
      <c r="N141" s="16" t="n"/>
    </row>
    <row r="142">
      <c r="B142" s="18" t="n"/>
      <c r="C142" s="17">
        <f>IF($B142="","",IFERROR(_xlfn.XLOOKUP($B142,nrCDdate,nrCDnum),""))</f>
        <v/>
      </c>
      <c r="D142" s="17">
        <f>IF($B142="","",TRIM(IF(COUNTIFS(nrSCH_Date,$B142,nrSCH_Act,"PT*")&gt;0,"PT + ","")&amp;IF(COUNTIFS(nrSCH_Date,$B142,nrSCH_Act,"*Test*")&gt;0,"Test + ","")&amp;"Classroom"))</f>
        <v/>
      </c>
      <c r="E142" s="16" t="n"/>
      <c r="F142" s="16" t="n"/>
      <c r="G142" s="16" t="n"/>
      <c r="H142" s="16" t="n"/>
      <c r="I142" s="17">
        <f>IF($B142="","",COUNTIFS(nrIN_Date,$B142))</f>
        <v/>
      </c>
      <c r="J142" s="17">
        <f>IF($B142="","",COUNTIFS(nrAT_Date,$B142,nrAT_Type,"Early Departure"))</f>
        <v/>
      </c>
      <c r="K142" s="17">
        <f>IF($B142="","",COUNTIFS(nrME_Received,$B142))</f>
        <v/>
      </c>
      <c r="L142" s="16" t="n"/>
      <c r="M142" s="16" t="n"/>
      <c r="N142" s="16" t="n"/>
    </row>
    <row r="143">
      <c r="B143" s="18" t="n"/>
      <c r="C143" s="17">
        <f>IF($B143="","",IFERROR(_xlfn.XLOOKUP($B143,nrCDdate,nrCDnum),""))</f>
        <v/>
      </c>
      <c r="D143" s="17">
        <f>IF($B143="","",TRIM(IF(COUNTIFS(nrSCH_Date,$B143,nrSCH_Act,"PT*")&gt;0,"PT + ","")&amp;IF(COUNTIFS(nrSCH_Date,$B143,nrSCH_Act,"*Test*")&gt;0,"Test + ","")&amp;"Classroom"))</f>
        <v/>
      </c>
      <c r="E143" s="16" t="n"/>
      <c r="F143" s="16" t="n"/>
      <c r="G143" s="16" t="n"/>
      <c r="H143" s="16" t="n"/>
      <c r="I143" s="17">
        <f>IF($B143="","",COUNTIFS(nrIN_Date,$B143))</f>
        <v/>
      </c>
      <c r="J143" s="17">
        <f>IF($B143="","",COUNTIFS(nrAT_Date,$B143,nrAT_Type,"Early Departure"))</f>
        <v/>
      </c>
      <c r="K143" s="17">
        <f>IF($B143="","",COUNTIFS(nrME_Received,$B143))</f>
        <v/>
      </c>
      <c r="L143" s="16" t="n"/>
      <c r="M143" s="16" t="n"/>
      <c r="N143" s="16" t="n"/>
    </row>
    <row r="144">
      <c r="B144" s="18" t="n"/>
      <c r="C144" s="17">
        <f>IF($B144="","",IFERROR(_xlfn.XLOOKUP($B144,nrCDdate,nrCDnum),""))</f>
        <v/>
      </c>
      <c r="D144" s="17">
        <f>IF($B144="","",TRIM(IF(COUNTIFS(nrSCH_Date,$B144,nrSCH_Act,"PT*")&gt;0,"PT + ","")&amp;IF(COUNTIFS(nrSCH_Date,$B144,nrSCH_Act,"*Test*")&gt;0,"Test + ","")&amp;"Classroom"))</f>
        <v/>
      </c>
      <c r="E144" s="16" t="n"/>
      <c r="F144" s="16" t="n"/>
      <c r="G144" s="16" t="n"/>
      <c r="H144" s="16" t="n"/>
      <c r="I144" s="17">
        <f>IF($B144="","",COUNTIFS(nrIN_Date,$B144))</f>
        <v/>
      </c>
      <c r="J144" s="17">
        <f>IF($B144="","",COUNTIFS(nrAT_Date,$B144,nrAT_Type,"Early Departure"))</f>
        <v/>
      </c>
      <c r="K144" s="17">
        <f>IF($B144="","",COUNTIFS(nrME_Received,$B144))</f>
        <v/>
      </c>
      <c r="L144" s="16" t="n"/>
      <c r="M144" s="16" t="n"/>
      <c r="N144" s="16" t="n"/>
    </row>
    <row r="145">
      <c r="B145" s="18" t="n"/>
      <c r="C145" s="17">
        <f>IF($B145="","",IFERROR(_xlfn.XLOOKUP($B145,nrCDdate,nrCDnum),""))</f>
        <v/>
      </c>
      <c r="D145" s="17">
        <f>IF($B145="","",TRIM(IF(COUNTIFS(nrSCH_Date,$B145,nrSCH_Act,"PT*")&gt;0,"PT + ","")&amp;IF(COUNTIFS(nrSCH_Date,$B145,nrSCH_Act,"*Test*")&gt;0,"Test + ","")&amp;"Classroom"))</f>
        <v/>
      </c>
      <c r="E145" s="16" t="n"/>
      <c r="F145" s="16" t="n"/>
      <c r="G145" s="16" t="n"/>
      <c r="H145" s="16" t="n"/>
      <c r="I145" s="17">
        <f>IF($B145="","",COUNTIFS(nrIN_Date,$B145))</f>
        <v/>
      </c>
      <c r="J145" s="17">
        <f>IF($B145="","",COUNTIFS(nrAT_Date,$B145,nrAT_Type,"Early Departure"))</f>
        <v/>
      </c>
      <c r="K145" s="17">
        <f>IF($B145="","",COUNTIFS(nrME_Received,$B145))</f>
        <v/>
      </c>
      <c r="L145" s="16" t="n"/>
      <c r="M145" s="16" t="n"/>
      <c r="N145" s="16" t="n"/>
    </row>
    <row r="146">
      <c r="B146" s="18" t="n"/>
      <c r="C146" s="17">
        <f>IF($B146="","",IFERROR(_xlfn.XLOOKUP($B146,nrCDdate,nrCDnum),""))</f>
        <v/>
      </c>
      <c r="D146" s="17">
        <f>IF($B146="","",TRIM(IF(COUNTIFS(nrSCH_Date,$B146,nrSCH_Act,"PT*")&gt;0,"PT + ","")&amp;IF(COUNTIFS(nrSCH_Date,$B146,nrSCH_Act,"*Test*")&gt;0,"Test + ","")&amp;"Classroom"))</f>
        <v/>
      </c>
      <c r="E146" s="16" t="n"/>
      <c r="F146" s="16" t="n"/>
      <c r="G146" s="16" t="n"/>
      <c r="H146" s="16" t="n"/>
      <c r="I146" s="17">
        <f>IF($B146="","",COUNTIFS(nrIN_Date,$B146))</f>
        <v/>
      </c>
      <c r="J146" s="17">
        <f>IF($B146="","",COUNTIFS(nrAT_Date,$B146,nrAT_Type,"Early Departure"))</f>
        <v/>
      </c>
      <c r="K146" s="17">
        <f>IF($B146="","",COUNTIFS(nrME_Received,$B146))</f>
        <v/>
      </c>
      <c r="L146" s="16" t="n"/>
      <c r="M146" s="16" t="n"/>
      <c r="N146" s="16" t="n"/>
    </row>
    <row r="147">
      <c r="B147" s="18" t="n"/>
      <c r="C147" s="17">
        <f>IF($B147="","",IFERROR(_xlfn.XLOOKUP($B147,nrCDdate,nrCDnum),""))</f>
        <v/>
      </c>
      <c r="D147" s="17">
        <f>IF($B147="","",TRIM(IF(COUNTIFS(nrSCH_Date,$B147,nrSCH_Act,"PT*")&gt;0,"PT + ","")&amp;IF(COUNTIFS(nrSCH_Date,$B147,nrSCH_Act,"*Test*")&gt;0,"Test + ","")&amp;"Classroom"))</f>
        <v/>
      </c>
      <c r="E147" s="16" t="n"/>
      <c r="F147" s="16" t="n"/>
      <c r="G147" s="16" t="n"/>
      <c r="H147" s="16" t="n"/>
      <c r="I147" s="17">
        <f>IF($B147="","",COUNTIFS(nrIN_Date,$B147))</f>
        <v/>
      </c>
      <c r="J147" s="17">
        <f>IF($B147="","",COUNTIFS(nrAT_Date,$B147,nrAT_Type,"Early Departure"))</f>
        <v/>
      </c>
      <c r="K147" s="17">
        <f>IF($B147="","",COUNTIFS(nrME_Received,$B147))</f>
        <v/>
      </c>
      <c r="L147" s="16" t="n"/>
      <c r="M147" s="16" t="n"/>
      <c r="N147" s="16" t="n"/>
    </row>
    <row r="148">
      <c r="B148" s="18" t="n"/>
      <c r="C148" s="17">
        <f>IF($B148="","",IFERROR(_xlfn.XLOOKUP($B148,nrCDdate,nrCDnum),""))</f>
        <v/>
      </c>
      <c r="D148" s="17">
        <f>IF($B148="","",TRIM(IF(COUNTIFS(nrSCH_Date,$B148,nrSCH_Act,"PT*")&gt;0,"PT + ","")&amp;IF(COUNTIFS(nrSCH_Date,$B148,nrSCH_Act,"*Test*")&gt;0,"Test + ","")&amp;"Classroom"))</f>
        <v/>
      </c>
      <c r="E148" s="16" t="n"/>
      <c r="F148" s="16" t="n"/>
      <c r="G148" s="16" t="n"/>
      <c r="H148" s="16" t="n"/>
      <c r="I148" s="17">
        <f>IF($B148="","",COUNTIFS(nrIN_Date,$B148))</f>
        <v/>
      </c>
      <c r="J148" s="17">
        <f>IF($B148="","",COUNTIFS(nrAT_Date,$B148,nrAT_Type,"Early Departure"))</f>
        <v/>
      </c>
      <c r="K148" s="17">
        <f>IF($B148="","",COUNTIFS(nrME_Received,$B148))</f>
        <v/>
      </c>
      <c r="L148" s="16" t="n"/>
      <c r="M148" s="16" t="n"/>
      <c r="N148" s="16" t="n"/>
    </row>
    <row r="149">
      <c r="B149" s="18" t="n"/>
      <c r="C149" s="17">
        <f>IF($B149="","",IFERROR(_xlfn.XLOOKUP($B149,nrCDdate,nrCDnum),""))</f>
        <v/>
      </c>
      <c r="D149" s="17">
        <f>IF($B149="","",TRIM(IF(COUNTIFS(nrSCH_Date,$B149,nrSCH_Act,"PT*")&gt;0,"PT + ","")&amp;IF(COUNTIFS(nrSCH_Date,$B149,nrSCH_Act,"*Test*")&gt;0,"Test + ","")&amp;"Classroom"))</f>
        <v/>
      </c>
      <c r="E149" s="16" t="n"/>
      <c r="F149" s="16" t="n"/>
      <c r="G149" s="16" t="n"/>
      <c r="H149" s="16" t="n"/>
      <c r="I149" s="17">
        <f>IF($B149="","",COUNTIFS(nrIN_Date,$B149))</f>
        <v/>
      </c>
      <c r="J149" s="17">
        <f>IF($B149="","",COUNTIFS(nrAT_Date,$B149,nrAT_Type,"Early Departure"))</f>
        <v/>
      </c>
      <c r="K149" s="17">
        <f>IF($B149="","",COUNTIFS(nrME_Received,$B149))</f>
        <v/>
      </c>
      <c r="L149" s="16" t="n"/>
      <c r="M149" s="16" t="n"/>
      <c r="N149" s="16" t="n"/>
    </row>
    <row r="150">
      <c r="B150" s="18" t="n"/>
      <c r="C150" s="17">
        <f>IF($B150="","",IFERROR(_xlfn.XLOOKUP($B150,nrCDdate,nrCDnum),""))</f>
        <v/>
      </c>
      <c r="D150" s="17">
        <f>IF($B150="","",TRIM(IF(COUNTIFS(nrSCH_Date,$B150,nrSCH_Act,"PT*")&gt;0,"PT + ","")&amp;IF(COUNTIFS(nrSCH_Date,$B150,nrSCH_Act,"*Test*")&gt;0,"Test + ","")&amp;"Classroom"))</f>
        <v/>
      </c>
      <c r="E150" s="16" t="n"/>
      <c r="F150" s="16" t="n"/>
      <c r="G150" s="16" t="n"/>
      <c r="H150" s="16" t="n"/>
      <c r="I150" s="17">
        <f>IF($B150="","",COUNTIFS(nrIN_Date,$B150))</f>
        <v/>
      </c>
      <c r="J150" s="17">
        <f>IF($B150="","",COUNTIFS(nrAT_Date,$B150,nrAT_Type,"Early Departure"))</f>
        <v/>
      </c>
      <c r="K150" s="17">
        <f>IF($B150="","",COUNTIFS(nrME_Received,$B150))</f>
        <v/>
      </c>
      <c r="L150" s="16" t="n"/>
      <c r="M150" s="16" t="n"/>
      <c r="N150" s="16" t="n"/>
    </row>
    <row r="151">
      <c r="B151" s="18" t="n"/>
      <c r="C151" s="17">
        <f>IF($B151="","",IFERROR(_xlfn.XLOOKUP($B151,nrCDdate,nrCDnum),""))</f>
        <v/>
      </c>
      <c r="D151" s="17">
        <f>IF($B151="","",TRIM(IF(COUNTIFS(nrSCH_Date,$B151,nrSCH_Act,"PT*")&gt;0,"PT + ","")&amp;IF(COUNTIFS(nrSCH_Date,$B151,nrSCH_Act,"*Test*")&gt;0,"Test + ","")&amp;"Classroom"))</f>
        <v/>
      </c>
      <c r="E151" s="16" t="n"/>
      <c r="F151" s="16" t="n"/>
      <c r="G151" s="16" t="n"/>
      <c r="H151" s="16" t="n"/>
      <c r="I151" s="17">
        <f>IF($B151="","",COUNTIFS(nrIN_Date,$B151))</f>
        <v/>
      </c>
      <c r="J151" s="17">
        <f>IF($B151="","",COUNTIFS(nrAT_Date,$B151,nrAT_Type,"Early Departure"))</f>
        <v/>
      </c>
      <c r="K151" s="17">
        <f>IF($B151="","",COUNTIFS(nrME_Received,$B151))</f>
        <v/>
      </c>
      <c r="L151" s="16" t="n"/>
      <c r="M151" s="16" t="n"/>
      <c r="N151" s="16" t="n"/>
    </row>
    <row r="152">
      <c r="B152" s="18" t="n"/>
      <c r="C152" s="17">
        <f>IF($B152="","",IFERROR(_xlfn.XLOOKUP($B152,nrCDdate,nrCDnum),""))</f>
        <v/>
      </c>
      <c r="D152" s="17">
        <f>IF($B152="","",TRIM(IF(COUNTIFS(nrSCH_Date,$B152,nrSCH_Act,"PT*")&gt;0,"PT + ","")&amp;IF(COUNTIFS(nrSCH_Date,$B152,nrSCH_Act,"*Test*")&gt;0,"Test + ","")&amp;"Classroom"))</f>
        <v/>
      </c>
      <c r="E152" s="16" t="n"/>
      <c r="F152" s="16" t="n"/>
      <c r="G152" s="16" t="n"/>
      <c r="H152" s="16" t="n"/>
      <c r="I152" s="17">
        <f>IF($B152="","",COUNTIFS(nrIN_Date,$B152))</f>
        <v/>
      </c>
      <c r="J152" s="17">
        <f>IF($B152="","",COUNTIFS(nrAT_Date,$B152,nrAT_Type,"Early Departure"))</f>
        <v/>
      </c>
      <c r="K152" s="17">
        <f>IF($B152="","",COUNTIFS(nrME_Received,$B152))</f>
        <v/>
      </c>
      <c r="L152" s="16" t="n"/>
      <c r="M152" s="16" t="n"/>
      <c r="N152" s="16" t="n"/>
    </row>
    <row r="153">
      <c r="B153" s="18" t="n"/>
      <c r="C153" s="17">
        <f>IF($B153="","",IFERROR(_xlfn.XLOOKUP($B153,nrCDdate,nrCDnum),""))</f>
        <v/>
      </c>
      <c r="D153" s="17">
        <f>IF($B153="","",TRIM(IF(COUNTIFS(nrSCH_Date,$B153,nrSCH_Act,"PT*")&gt;0,"PT + ","")&amp;IF(COUNTIFS(nrSCH_Date,$B153,nrSCH_Act,"*Test*")&gt;0,"Test + ","")&amp;"Classroom"))</f>
        <v/>
      </c>
      <c r="E153" s="16" t="n"/>
      <c r="F153" s="16" t="n"/>
      <c r="G153" s="16" t="n"/>
      <c r="H153" s="16" t="n"/>
      <c r="I153" s="17">
        <f>IF($B153="","",COUNTIFS(nrIN_Date,$B153))</f>
        <v/>
      </c>
      <c r="J153" s="17">
        <f>IF($B153="","",COUNTIFS(nrAT_Date,$B153,nrAT_Type,"Early Departure"))</f>
        <v/>
      </c>
      <c r="K153" s="17">
        <f>IF($B153="","",COUNTIFS(nrME_Received,$B153))</f>
        <v/>
      </c>
      <c r="L153" s="16" t="n"/>
      <c r="M153" s="16" t="n"/>
      <c r="N153" s="16" t="n"/>
    </row>
    <row r="154">
      <c r="B154" s="18" t="n"/>
      <c r="C154" s="17">
        <f>IF($B154="","",IFERROR(_xlfn.XLOOKUP($B154,nrCDdate,nrCDnum),""))</f>
        <v/>
      </c>
      <c r="D154" s="17">
        <f>IF($B154="","",TRIM(IF(COUNTIFS(nrSCH_Date,$B154,nrSCH_Act,"PT*")&gt;0,"PT + ","")&amp;IF(COUNTIFS(nrSCH_Date,$B154,nrSCH_Act,"*Test*")&gt;0,"Test + ","")&amp;"Classroom"))</f>
        <v/>
      </c>
      <c r="E154" s="16" t="n"/>
      <c r="F154" s="16" t="n"/>
      <c r="G154" s="16" t="n"/>
      <c r="H154" s="16" t="n"/>
      <c r="I154" s="17">
        <f>IF($B154="","",COUNTIFS(nrIN_Date,$B154))</f>
        <v/>
      </c>
      <c r="J154" s="17">
        <f>IF($B154="","",COUNTIFS(nrAT_Date,$B154,nrAT_Type,"Early Departure"))</f>
        <v/>
      </c>
      <c r="K154" s="17">
        <f>IF($B154="","",COUNTIFS(nrME_Received,$B154))</f>
        <v/>
      </c>
      <c r="L154" s="16" t="n"/>
      <c r="M154" s="16" t="n"/>
      <c r="N154" s="16" t="n"/>
    </row>
    <row r="155">
      <c r="B155" s="18" t="n"/>
      <c r="C155" s="17">
        <f>IF($B155="","",IFERROR(_xlfn.XLOOKUP($B155,nrCDdate,nrCDnum),""))</f>
        <v/>
      </c>
      <c r="D155" s="17">
        <f>IF($B155="","",TRIM(IF(COUNTIFS(nrSCH_Date,$B155,nrSCH_Act,"PT*")&gt;0,"PT + ","")&amp;IF(COUNTIFS(nrSCH_Date,$B155,nrSCH_Act,"*Test*")&gt;0,"Test + ","")&amp;"Classroom"))</f>
        <v/>
      </c>
      <c r="E155" s="16" t="n"/>
      <c r="F155" s="16" t="n"/>
      <c r="G155" s="16" t="n"/>
      <c r="H155" s="16" t="n"/>
      <c r="I155" s="17">
        <f>IF($B155="","",COUNTIFS(nrIN_Date,$B155))</f>
        <v/>
      </c>
      <c r="J155" s="17">
        <f>IF($B155="","",COUNTIFS(nrAT_Date,$B155,nrAT_Type,"Early Departure"))</f>
        <v/>
      </c>
      <c r="K155" s="17">
        <f>IF($B155="","",COUNTIFS(nrME_Received,$B155))</f>
        <v/>
      </c>
      <c r="L155" s="16" t="n"/>
      <c r="M155" s="16" t="n"/>
      <c r="N155" s="16" t="n"/>
    </row>
    <row r="156">
      <c r="B156" s="18" t="n"/>
      <c r="C156" s="17">
        <f>IF($B156="","",IFERROR(_xlfn.XLOOKUP($B156,nrCDdate,nrCDnum),""))</f>
        <v/>
      </c>
      <c r="D156" s="17">
        <f>IF($B156="","",TRIM(IF(COUNTIFS(nrSCH_Date,$B156,nrSCH_Act,"PT*")&gt;0,"PT + ","")&amp;IF(COUNTIFS(nrSCH_Date,$B156,nrSCH_Act,"*Test*")&gt;0,"Test + ","")&amp;"Classroom"))</f>
        <v/>
      </c>
      <c r="E156" s="16" t="n"/>
      <c r="F156" s="16" t="n"/>
      <c r="G156" s="16" t="n"/>
      <c r="H156" s="16" t="n"/>
      <c r="I156" s="17">
        <f>IF($B156="","",COUNTIFS(nrIN_Date,$B156))</f>
        <v/>
      </c>
      <c r="J156" s="17">
        <f>IF($B156="","",COUNTIFS(nrAT_Date,$B156,nrAT_Type,"Early Departure"))</f>
        <v/>
      </c>
      <c r="K156" s="17">
        <f>IF($B156="","",COUNTIFS(nrME_Received,$B156))</f>
        <v/>
      </c>
      <c r="L156" s="16" t="n"/>
      <c r="M156" s="16" t="n"/>
      <c r="N156" s="16" t="n"/>
    </row>
    <row r="157">
      <c r="B157" s="18" t="n"/>
      <c r="C157" s="17">
        <f>IF($B157="","",IFERROR(_xlfn.XLOOKUP($B157,nrCDdate,nrCDnum),""))</f>
        <v/>
      </c>
      <c r="D157" s="17">
        <f>IF($B157="","",TRIM(IF(COUNTIFS(nrSCH_Date,$B157,nrSCH_Act,"PT*")&gt;0,"PT + ","")&amp;IF(COUNTIFS(nrSCH_Date,$B157,nrSCH_Act,"*Test*")&gt;0,"Test + ","")&amp;"Classroom"))</f>
        <v/>
      </c>
      <c r="E157" s="16" t="n"/>
      <c r="F157" s="16" t="n"/>
      <c r="G157" s="16" t="n"/>
      <c r="H157" s="16" t="n"/>
      <c r="I157" s="17">
        <f>IF($B157="","",COUNTIFS(nrIN_Date,$B157))</f>
        <v/>
      </c>
      <c r="J157" s="17">
        <f>IF($B157="","",COUNTIFS(nrAT_Date,$B157,nrAT_Type,"Early Departure"))</f>
        <v/>
      </c>
      <c r="K157" s="17">
        <f>IF($B157="","",COUNTIFS(nrME_Received,$B157))</f>
        <v/>
      </c>
      <c r="L157" s="16" t="n"/>
      <c r="M157" s="16" t="n"/>
      <c r="N157" s="16" t="n"/>
    </row>
    <row r="158">
      <c r="B158" s="18" t="n"/>
      <c r="C158" s="17">
        <f>IF($B158="","",IFERROR(_xlfn.XLOOKUP($B158,nrCDdate,nrCDnum),""))</f>
        <v/>
      </c>
      <c r="D158" s="17">
        <f>IF($B158="","",TRIM(IF(COUNTIFS(nrSCH_Date,$B158,nrSCH_Act,"PT*")&gt;0,"PT + ","")&amp;IF(COUNTIFS(nrSCH_Date,$B158,nrSCH_Act,"*Test*")&gt;0,"Test + ","")&amp;"Classroom"))</f>
        <v/>
      </c>
      <c r="E158" s="16" t="n"/>
      <c r="F158" s="16" t="n"/>
      <c r="G158" s="16" t="n"/>
      <c r="H158" s="16" t="n"/>
      <c r="I158" s="17">
        <f>IF($B158="","",COUNTIFS(nrIN_Date,$B158))</f>
        <v/>
      </c>
      <c r="J158" s="17">
        <f>IF($B158="","",COUNTIFS(nrAT_Date,$B158,nrAT_Type,"Early Departure"))</f>
        <v/>
      </c>
      <c r="K158" s="17">
        <f>IF($B158="","",COUNTIFS(nrME_Received,$B158))</f>
        <v/>
      </c>
      <c r="L158" s="16" t="n"/>
      <c r="M158" s="16" t="n"/>
      <c r="N158" s="16" t="n"/>
    </row>
    <row r="159">
      <c r="B159" s="18" t="n"/>
      <c r="C159" s="17">
        <f>IF($B159="","",IFERROR(_xlfn.XLOOKUP($B159,nrCDdate,nrCDnum),""))</f>
        <v/>
      </c>
      <c r="D159" s="17">
        <f>IF($B159="","",TRIM(IF(COUNTIFS(nrSCH_Date,$B159,nrSCH_Act,"PT*")&gt;0,"PT + ","")&amp;IF(COUNTIFS(nrSCH_Date,$B159,nrSCH_Act,"*Test*")&gt;0,"Test + ","")&amp;"Classroom"))</f>
        <v/>
      </c>
      <c r="E159" s="16" t="n"/>
      <c r="F159" s="16" t="n"/>
      <c r="G159" s="16" t="n"/>
      <c r="H159" s="16" t="n"/>
      <c r="I159" s="17">
        <f>IF($B159="","",COUNTIFS(nrIN_Date,$B159))</f>
        <v/>
      </c>
      <c r="J159" s="17">
        <f>IF($B159="","",COUNTIFS(nrAT_Date,$B159,nrAT_Type,"Early Departure"))</f>
        <v/>
      </c>
      <c r="K159" s="17">
        <f>IF($B159="","",COUNTIFS(nrME_Received,$B159))</f>
        <v/>
      </c>
      <c r="L159" s="16" t="n"/>
      <c r="M159" s="16" t="n"/>
      <c r="N159" s="16" t="n"/>
    </row>
    <row r="160">
      <c r="B160" s="18" t="n"/>
      <c r="C160" s="17">
        <f>IF($B160="","",IFERROR(_xlfn.XLOOKUP($B160,nrCDdate,nrCDnum),""))</f>
        <v/>
      </c>
      <c r="D160" s="17">
        <f>IF($B160="","",TRIM(IF(COUNTIFS(nrSCH_Date,$B160,nrSCH_Act,"PT*")&gt;0,"PT + ","")&amp;IF(COUNTIFS(nrSCH_Date,$B160,nrSCH_Act,"*Test*")&gt;0,"Test + ","")&amp;"Classroom"))</f>
        <v/>
      </c>
      <c r="E160" s="16" t="n"/>
      <c r="F160" s="16" t="n"/>
      <c r="G160" s="16" t="n"/>
      <c r="H160" s="16" t="n"/>
      <c r="I160" s="17">
        <f>IF($B160="","",COUNTIFS(nrIN_Date,$B160))</f>
        <v/>
      </c>
      <c r="J160" s="17">
        <f>IF($B160="","",COUNTIFS(nrAT_Date,$B160,nrAT_Type,"Early Departure"))</f>
        <v/>
      </c>
      <c r="K160" s="17">
        <f>IF($B160="","",COUNTIFS(nrME_Received,$B160))</f>
        <v/>
      </c>
      <c r="L160" s="16" t="n"/>
      <c r="M160" s="16" t="n"/>
      <c r="N160" s="16" t="n"/>
    </row>
    <row r="161">
      <c r="B161" s="18" t="n"/>
      <c r="C161" s="17">
        <f>IF($B161="","",IFERROR(_xlfn.XLOOKUP($B161,nrCDdate,nrCDnum),""))</f>
        <v/>
      </c>
      <c r="D161" s="17">
        <f>IF($B161="","",TRIM(IF(COUNTIFS(nrSCH_Date,$B161,nrSCH_Act,"PT*")&gt;0,"PT + ","")&amp;IF(COUNTIFS(nrSCH_Date,$B161,nrSCH_Act,"*Test*")&gt;0,"Test + ","")&amp;"Classroom"))</f>
        <v/>
      </c>
      <c r="E161" s="16" t="n"/>
      <c r="F161" s="16" t="n"/>
      <c r="G161" s="16" t="n"/>
      <c r="H161" s="16" t="n"/>
      <c r="I161" s="17">
        <f>IF($B161="","",COUNTIFS(nrIN_Date,$B161))</f>
        <v/>
      </c>
      <c r="J161" s="17">
        <f>IF($B161="","",COUNTIFS(nrAT_Date,$B161,nrAT_Type,"Early Departure"))</f>
        <v/>
      </c>
      <c r="K161" s="17">
        <f>IF($B161="","",COUNTIFS(nrME_Received,$B161))</f>
        <v/>
      </c>
      <c r="L161" s="16" t="n"/>
      <c r="M161" s="16" t="n"/>
      <c r="N161" s="16" t="n"/>
    </row>
    <row r="162">
      <c r="B162" s="18" t="n"/>
      <c r="C162" s="17">
        <f>IF($B162="","",IFERROR(_xlfn.XLOOKUP($B162,nrCDdate,nrCDnum),""))</f>
        <v/>
      </c>
      <c r="D162" s="17">
        <f>IF($B162="","",TRIM(IF(COUNTIFS(nrSCH_Date,$B162,nrSCH_Act,"PT*")&gt;0,"PT + ","")&amp;IF(COUNTIFS(nrSCH_Date,$B162,nrSCH_Act,"*Test*")&gt;0,"Test + ","")&amp;"Classroom"))</f>
        <v/>
      </c>
      <c r="E162" s="16" t="n"/>
      <c r="F162" s="16" t="n"/>
      <c r="G162" s="16" t="n"/>
      <c r="H162" s="16" t="n"/>
      <c r="I162" s="17">
        <f>IF($B162="","",COUNTIFS(nrIN_Date,$B162))</f>
        <v/>
      </c>
      <c r="J162" s="17">
        <f>IF($B162="","",COUNTIFS(nrAT_Date,$B162,nrAT_Type,"Early Departure"))</f>
        <v/>
      </c>
      <c r="K162" s="17">
        <f>IF($B162="","",COUNTIFS(nrME_Received,$B162))</f>
        <v/>
      </c>
      <c r="L162" s="16" t="n"/>
      <c r="M162" s="16" t="n"/>
      <c r="N162" s="16" t="n"/>
    </row>
    <row r="163">
      <c r="B163" s="18" t="n"/>
      <c r="C163" s="17">
        <f>IF($B163="","",IFERROR(_xlfn.XLOOKUP($B163,nrCDdate,nrCDnum),""))</f>
        <v/>
      </c>
      <c r="D163" s="17">
        <f>IF($B163="","",TRIM(IF(COUNTIFS(nrSCH_Date,$B163,nrSCH_Act,"PT*")&gt;0,"PT + ","")&amp;IF(COUNTIFS(nrSCH_Date,$B163,nrSCH_Act,"*Test*")&gt;0,"Test + ","")&amp;"Classroom"))</f>
        <v/>
      </c>
      <c r="E163" s="16" t="n"/>
      <c r="F163" s="16" t="n"/>
      <c r="G163" s="16" t="n"/>
      <c r="H163" s="16" t="n"/>
      <c r="I163" s="17">
        <f>IF($B163="","",COUNTIFS(nrIN_Date,$B163))</f>
        <v/>
      </c>
      <c r="J163" s="17">
        <f>IF($B163="","",COUNTIFS(nrAT_Date,$B163,nrAT_Type,"Early Departure"))</f>
        <v/>
      </c>
      <c r="K163" s="17">
        <f>IF($B163="","",COUNTIFS(nrME_Received,$B163))</f>
        <v/>
      </c>
      <c r="L163" s="16" t="n"/>
      <c r="M163" s="16" t="n"/>
      <c r="N163" s="16" t="n"/>
    </row>
    <row r="164">
      <c r="B164" s="18" t="n"/>
      <c r="C164" s="17">
        <f>IF($B164="","",IFERROR(_xlfn.XLOOKUP($B164,nrCDdate,nrCDnum),""))</f>
        <v/>
      </c>
      <c r="D164" s="17">
        <f>IF($B164="","",TRIM(IF(COUNTIFS(nrSCH_Date,$B164,nrSCH_Act,"PT*")&gt;0,"PT + ","")&amp;IF(COUNTIFS(nrSCH_Date,$B164,nrSCH_Act,"*Test*")&gt;0,"Test + ","")&amp;"Classroom"))</f>
        <v/>
      </c>
      <c r="E164" s="16" t="n"/>
      <c r="F164" s="16" t="n"/>
      <c r="G164" s="16" t="n"/>
      <c r="H164" s="16" t="n"/>
      <c r="I164" s="17">
        <f>IF($B164="","",COUNTIFS(nrIN_Date,$B164))</f>
        <v/>
      </c>
      <c r="J164" s="17">
        <f>IF($B164="","",COUNTIFS(nrAT_Date,$B164,nrAT_Type,"Early Departure"))</f>
        <v/>
      </c>
      <c r="K164" s="17">
        <f>IF($B164="","",COUNTIFS(nrME_Received,$B164))</f>
        <v/>
      </c>
      <c r="L164" s="16" t="n"/>
      <c r="M164" s="16" t="n"/>
      <c r="N164" s="16" t="n"/>
    </row>
    <row r="165">
      <c r="B165" s="18" t="n"/>
      <c r="C165" s="17">
        <f>IF($B165="","",IFERROR(_xlfn.XLOOKUP($B165,nrCDdate,nrCDnum),""))</f>
        <v/>
      </c>
      <c r="D165" s="17">
        <f>IF($B165="","",TRIM(IF(COUNTIFS(nrSCH_Date,$B165,nrSCH_Act,"PT*")&gt;0,"PT + ","")&amp;IF(COUNTIFS(nrSCH_Date,$B165,nrSCH_Act,"*Test*")&gt;0,"Test + ","")&amp;"Classroom"))</f>
        <v/>
      </c>
      <c r="E165" s="16" t="n"/>
      <c r="F165" s="16" t="n"/>
      <c r="G165" s="16" t="n"/>
      <c r="H165" s="16" t="n"/>
      <c r="I165" s="17">
        <f>IF($B165="","",COUNTIFS(nrIN_Date,$B165))</f>
        <v/>
      </c>
      <c r="J165" s="17">
        <f>IF($B165="","",COUNTIFS(nrAT_Date,$B165,nrAT_Type,"Early Departure"))</f>
        <v/>
      </c>
      <c r="K165" s="17">
        <f>IF($B165="","",COUNTIFS(nrME_Received,$B165))</f>
        <v/>
      </c>
      <c r="L165" s="16" t="n"/>
      <c r="M165" s="16" t="n"/>
      <c r="N165" s="16" t="n"/>
    </row>
    <row r="166">
      <c r="B166" s="18" t="n"/>
      <c r="C166" s="17">
        <f>IF($B166="","",IFERROR(_xlfn.XLOOKUP($B166,nrCDdate,nrCDnum),""))</f>
        <v/>
      </c>
      <c r="D166" s="17">
        <f>IF($B166="","",TRIM(IF(COUNTIFS(nrSCH_Date,$B166,nrSCH_Act,"PT*")&gt;0,"PT + ","")&amp;IF(COUNTIFS(nrSCH_Date,$B166,nrSCH_Act,"*Test*")&gt;0,"Test + ","")&amp;"Classroom"))</f>
        <v/>
      </c>
      <c r="E166" s="16" t="n"/>
      <c r="F166" s="16" t="n"/>
      <c r="G166" s="16" t="n"/>
      <c r="H166" s="16" t="n"/>
      <c r="I166" s="17">
        <f>IF($B166="","",COUNTIFS(nrIN_Date,$B166))</f>
        <v/>
      </c>
      <c r="J166" s="17">
        <f>IF($B166="","",COUNTIFS(nrAT_Date,$B166,nrAT_Type,"Early Departure"))</f>
        <v/>
      </c>
      <c r="K166" s="17">
        <f>IF($B166="","",COUNTIFS(nrME_Received,$B166))</f>
        <v/>
      </c>
      <c r="L166" s="16" t="n"/>
      <c r="M166" s="16" t="n"/>
      <c r="N166" s="16" t="n"/>
    </row>
    <row r="167">
      <c r="B167" s="18" t="n"/>
      <c r="C167" s="17">
        <f>IF($B167="","",IFERROR(_xlfn.XLOOKUP($B167,nrCDdate,nrCDnum),""))</f>
        <v/>
      </c>
      <c r="D167" s="17">
        <f>IF($B167="","",TRIM(IF(COUNTIFS(nrSCH_Date,$B167,nrSCH_Act,"PT*")&gt;0,"PT + ","")&amp;IF(COUNTIFS(nrSCH_Date,$B167,nrSCH_Act,"*Test*")&gt;0,"Test + ","")&amp;"Classroom"))</f>
        <v/>
      </c>
      <c r="E167" s="16" t="n"/>
      <c r="F167" s="16" t="n"/>
      <c r="G167" s="16" t="n"/>
      <c r="H167" s="16" t="n"/>
      <c r="I167" s="17">
        <f>IF($B167="","",COUNTIFS(nrIN_Date,$B167))</f>
        <v/>
      </c>
      <c r="J167" s="17">
        <f>IF($B167="","",COUNTIFS(nrAT_Date,$B167,nrAT_Type,"Early Departure"))</f>
        <v/>
      </c>
      <c r="K167" s="17">
        <f>IF($B167="","",COUNTIFS(nrME_Received,$B167))</f>
        <v/>
      </c>
      <c r="L167" s="16" t="n"/>
      <c r="M167" s="16" t="n"/>
      <c r="N167" s="16" t="n"/>
    </row>
    <row r="168">
      <c r="B168" s="18" t="n"/>
      <c r="C168" s="17">
        <f>IF($B168="","",IFERROR(_xlfn.XLOOKUP($B168,nrCDdate,nrCDnum),""))</f>
        <v/>
      </c>
      <c r="D168" s="17">
        <f>IF($B168="","",TRIM(IF(COUNTIFS(nrSCH_Date,$B168,nrSCH_Act,"PT*")&gt;0,"PT + ","")&amp;IF(COUNTIFS(nrSCH_Date,$B168,nrSCH_Act,"*Test*")&gt;0,"Test + ","")&amp;"Classroom"))</f>
        <v/>
      </c>
      <c r="E168" s="16" t="n"/>
      <c r="F168" s="16" t="n"/>
      <c r="G168" s="16" t="n"/>
      <c r="H168" s="16" t="n"/>
      <c r="I168" s="17">
        <f>IF($B168="","",COUNTIFS(nrIN_Date,$B168))</f>
        <v/>
      </c>
      <c r="J168" s="17">
        <f>IF($B168="","",COUNTIFS(nrAT_Date,$B168,nrAT_Type,"Early Departure"))</f>
        <v/>
      </c>
      <c r="K168" s="17">
        <f>IF($B168="","",COUNTIFS(nrME_Received,$B168))</f>
        <v/>
      </c>
      <c r="L168" s="16" t="n"/>
      <c r="M168" s="16" t="n"/>
      <c r="N168" s="16" t="n"/>
    </row>
    <row r="169">
      <c r="B169" s="18" t="n"/>
      <c r="C169" s="17">
        <f>IF($B169="","",IFERROR(_xlfn.XLOOKUP($B169,nrCDdate,nrCDnum),""))</f>
        <v/>
      </c>
      <c r="D169" s="17">
        <f>IF($B169="","",TRIM(IF(COUNTIFS(nrSCH_Date,$B169,nrSCH_Act,"PT*")&gt;0,"PT + ","")&amp;IF(COUNTIFS(nrSCH_Date,$B169,nrSCH_Act,"*Test*")&gt;0,"Test + ","")&amp;"Classroom"))</f>
        <v/>
      </c>
      <c r="E169" s="16" t="n"/>
      <c r="F169" s="16" t="n"/>
      <c r="G169" s="16" t="n"/>
      <c r="H169" s="16" t="n"/>
      <c r="I169" s="17">
        <f>IF($B169="","",COUNTIFS(nrIN_Date,$B169))</f>
        <v/>
      </c>
      <c r="J169" s="17">
        <f>IF($B169="","",COUNTIFS(nrAT_Date,$B169,nrAT_Type,"Early Departure"))</f>
        <v/>
      </c>
      <c r="K169" s="17">
        <f>IF($B169="","",COUNTIFS(nrME_Received,$B169))</f>
        <v/>
      </c>
      <c r="L169" s="16" t="n"/>
      <c r="M169" s="16" t="n"/>
      <c r="N169" s="16" t="n"/>
    </row>
    <row r="170">
      <c r="B170" s="18" t="n"/>
      <c r="C170" s="17">
        <f>IF($B170="","",IFERROR(_xlfn.XLOOKUP($B170,nrCDdate,nrCDnum),""))</f>
        <v/>
      </c>
      <c r="D170" s="17">
        <f>IF($B170="","",TRIM(IF(COUNTIFS(nrSCH_Date,$B170,nrSCH_Act,"PT*")&gt;0,"PT + ","")&amp;IF(COUNTIFS(nrSCH_Date,$B170,nrSCH_Act,"*Test*")&gt;0,"Test + ","")&amp;"Classroom"))</f>
        <v/>
      </c>
      <c r="E170" s="16" t="n"/>
      <c r="F170" s="16" t="n"/>
      <c r="G170" s="16" t="n"/>
      <c r="H170" s="16" t="n"/>
      <c r="I170" s="17">
        <f>IF($B170="","",COUNTIFS(nrIN_Date,$B170))</f>
        <v/>
      </c>
      <c r="J170" s="17">
        <f>IF($B170="","",COUNTIFS(nrAT_Date,$B170,nrAT_Type,"Early Departure"))</f>
        <v/>
      </c>
      <c r="K170" s="17">
        <f>IF($B170="","",COUNTIFS(nrME_Received,$B170))</f>
        <v/>
      </c>
      <c r="L170" s="16" t="n"/>
      <c r="M170" s="16" t="n"/>
      <c r="N170" s="16" t="n"/>
    </row>
    <row r="171">
      <c r="B171" s="18" t="n"/>
      <c r="C171" s="17">
        <f>IF($B171="","",IFERROR(_xlfn.XLOOKUP($B171,nrCDdate,nrCDnum),""))</f>
        <v/>
      </c>
      <c r="D171" s="17">
        <f>IF($B171="","",TRIM(IF(COUNTIFS(nrSCH_Date,$B171,nrSCH_Act,"PT*")&gt;0,"PT + ","")&amp;IF(COUNTIFS(nrSCH_Date,$B171,nrSCH_Act,"*Test*")&gt;0,"Test + ","")&amp;"Classroom"))</f>
        <v/>
      </c>
      <c r="E171" s="16" t="n"/>
      <c r="F171" s="16" t="n"/>
      <c r="G171" s="16" t="n"/>
      <c r="H171" s="16" t="n"/>
      <c r="I171" s="17">
        <f>IF($B171="","",COUNTIFS(nrIN_Date,$B171))</f>
        <v/>
      </c>
      <c r="J171" s="17">
        <f>IF($B171="","",COUNTIFS(nrAT_Date,$B171,nrAT_Type,"Early Departure"))</f>
        <v/>
      </c>
      <c r="K171" s="17">
        <f>IF($B171="","",COUNTIFS(nrME_Received,$B171))</f>
        <v/>
      </c>
      <c r="L171" s="16" t="n"/>
      <c r="M171" s="16" t="n"/>
      <c r="N171" s="16" t="n"/>
    </row>
    <row r="172">
      <c r="B172" s="18" t="n"/>
      <c r="C172" s="17">
        <f>IF($B172="","",IFERROR(_xlfn.XLOOKUP($B172,nrCDdate,nrCDnum),""))</f>
        <v/>
      </c>
      <c r="D172" s="17">
        <f>IF($B172="","",TRIM(IF(COUNTIFS(nrSCH_Date,$B172,nrSCH_Act,"PT*")&gt;0,"PT + ","")&amp;IF(COUNTIFS(nrSCH_Date,$B172,nrSCH_Act,"*Test*")&gt;0,"Test + ","")&amp;"Classroom"))</f>
        <v/>
      </c>
      <c r="E172" s="16" t="n"/>
      <c r="F172" s="16" t="n"/>
      <c r="G172" s="16" t="n"/>
      <c r="H172" s="16" t="n"/>
      <c r="I172" s="17">
        <f>IF($B172="","",COUNTIFS(nrIN_Date,$B172))</f>
        <v/>
      </c>
      <c r="J172" s="17">
        <f>IF($B172="","",COUNTIFS(nrAT_Date,$B172,nrAT_Type,"Early Departure"))</f>
        <v/>
      </c>
      <c r="K172" s="17">
        <f>IF($B172="","",COUNTIFS(nrME_Received,$B172))</f>
        <v/>
      </c>
      <c r="L172" s="16" t="n"/>
      <c r="M172" s="16" t="n"/>
      <c r="N172" s="16" t="n"/>
    </row>
    <row r="173">
      <c r="B173" s="18" t="n"/>
      <c r="C173" s="17">
        <f>IF($B173="","",IFERROR(_xlfn.XLOOKUP($B173,nrCDdate,nrCDnum),""))</f>
        <v/>
      </c>
      <c r="D173" s="17">
        <f>IF($B173="","",TRIM(IF(COUNTIFS(nrSCH_Date,$B173,nrSCH_Act,"PT*")&gt;0,"PT + ","")&amp;IF(COUNTIFS(nrSCH_Date,$B173,nrSCH_Act,"*Test*")&gt;0,"Test + ","")&amp;"Classroom"))</f>
        <v/>
      </c>
      <c r="E173" s="16" t="n"/>
      <c r="F173" s="16" t="n"/>
      <c r="G173" s="16" t="n"/>
      <c r="H173" s="16" t="n"/>
      <c r="I173" s="17">
        <f>IF($B173="","",COUNTIFS(nrIN_Date,$B173))</f>
        <v/>
      </c>
      <c r="J173" s="17">
        <f>IF($B173="","",COUNTIFS(nrAT_Date,$B173,nrAT_Type,"Early Departure"))</f>
        <v/>
      </c>
      <c r="K173" s="17">
        <f>IF($B173="","",COUNTIFS(nrME_Received,$B173))</f>
        <v/>
      </c>
      <c r="L173" s="16" t="n"/>
      <c r="M173" s="16" t="n"/>
      <c r="N173" s="16" t="n"/>
    </row>
    <row r="174">
      <c r="B174" s="18" t="n"/>
      <c r="C174" s="17">
        <f>IF($B174="","",IFERROR(_xlfn.XLOOKUP($B174,nrCDdate,nrCDnum),""))</f>
        <v/>
      </c>
      <c r="D174" s="17">
        <f>IF($B174="","",TRIM(IF(COUNTIFS(nrSCH_Date,$B174,nrSCH_Act,"PT*")&gt;0,"PT + ","")&amp;IF(COUNTIFS(nrSCH_Date,$B174,nrSCH_Act,"*Test*")&gt;0,"Test + ","")&amp;"Classroom"))</f>
        <v/>
      </c>
      <c r="E174" s="16" t="n"/>
      <c r="F174" s="16" t="n"/>
      <c r="G174" s="16" t="n"/>
      <c r="H174" s="16" t="n"/>
      <c r="I174" s="17">
        <f>IF($B174="","",COUNTIFS(nrIN_Date,$B174))</f>
        <v/>
      </c>
      <c r="J174" s="17">
        <f>IF($B174="","",COUNTIFS(nrAT_Date,$B174,nrAT_Type,"Early Departure"))</f>
        <v/>
      </c>
      <c r="K174" s="17">
        <f>IF($B174="","",COUNTIFS(nrME_Received,$B174))</f>
        <v/>
      </c>
      <c r="L174" s="16" t="n"/>
      <c r="M174" s="16" t="n"/>
      <c r="N174" s="16" t="n"/>
    </row>
    <row r="175">
      <c r="B175" s="18" t="n"/>
      <c r="C175" s="17">
        <f>IF($B175="","",IFERROR(_xlfn.XLOOKUP($B175,nrCDdate,nrCDnum),""))</f>
        <v/>
      </c>
      <c r="D175" s="17">
        <f>IF($B175="","",TRIM(IF(COUNTIFS(nrSCH_Date,$B175,nrSCH_Act,"PT*")&gt;0,"PT + ","")&amp;IF(COUNTIFS(nrSCH_Date,$B175,nrSCH_Act,"*Test*")&gt;0,"Test + ","")&amp;"Classroom"))</f>
        <v/>
      </c>
      <c r="E175" s="16" t="n"/>
      <c r="F175" s="16" t="n"/>
      <c r="G175" s="16" t="n"/>
      <c r="H175" s="16" t="n"/>
      <c r="I175" s="17">
        <f>IF($B175="","",COUNTIFS(nrIN_Date,$B175))</f>
        <v/>
      </c>
      <c r="J175" s="17">
        <f>IF($B175="","",COUNTIFS(nrAT_Date,$B175,nrAT_Type,"Early Departure"))</f>
        <v/>
      </c>
      <c r="K175" s="17">
        <f>IF($B175="","",COUNTIFS(nrME_Received,$B175))</f>
        <v/>
      </c>
      <c r="L175" s="16" t="n"/>
      <c r="M175" s="16" t="n"/>
      <c r="N175" s="16" t="n"/>
    </row>
  </sheetData>
  <sheetProtection selectLockedCells="0" selectUnlockedCells="0" sheet="1" objects="0" insertRows="1" insertHyperlinks="1" autoFilter="0" scenarios="0" formatColumns="1" deleteColumns="1" insertColumns="1" pivotTables="1" deleteRows="1" formatCells="1" formatRows="1" sort="1" password="B4BB"/>
  <autoFilter ref="B5:N5"/>
  <conditionalFormatting sqref="L6:L175">
    <cfRule type="expression" priority="1" dxfId="2">
      <formula>$L6="Yes"</formula>
    </cfRule>
  </conditionalFormatting>
  <dataValidations count="1">
    <dataValidation sqref="L6:L175 M6:M175" showDropDown="0" showInputMessage="0" showErrorMessage="1" allowBlank="1" type="list">
      <formula1>=lstYesNo</formula1>
    </dataValidation>
  </dataValidations>
  <pageMargins left="0.75" right="0.75" top="1" bottom="1" header="0.5" footer="0.5"/>
</worksheet>
</file>

<file path=xl/worksheets/sheet17.xml><?xml version="1.0" encoding="utf-8"?>
<worksheet xmlns="http://schemas.openxmlformats.org/spreadsheetml/2006/main">
  <sheetPr>
    <tabColor rgb="002E75B6"/>
    <outlinePr summaryBelow="1" summaryRight="1"/>
    <pageSetUpPr/>
  </sheetPr>
  <dimension ref="B1:AD55"/>
  <sheetViews>
    <sheetView showGridLines="0" workbookViewId="0">
      <pane xSplit="3" ySplit="5" topLeftCell="D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4"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hidden="1" outlineLevel="1" width="9" customWidth="1" min="20" max="26"/>
    <col width="11" customWidth="1" min="27" max="27"/>
    <col width="13" customWidth="1" min="28" max="28"/>
    <col width="14" customWidth="1" min="29" max="29"/>
    <col width="11" customWidth="1" min="30" max="30"/>
  </cols>
  <sheetData>
    <row r="1">
      <c r="B1" s="10">
        <f>HYPERLINK("#Dashboard!B5","◄ Dashboard")</f>
        <v/>
      </c>
    </row>
    <row r="4">
      <c r="B4" s="11" t="inlineStr">
        <is>
          <t>BASELINE columns are the ENTRY standard (policy manual); FINAL columns are graded against the approved PT Test Score Chart, which is the EXIT standard. They differ on purpose — cadets are expected to improve, so every final minimum is higher than its baseline, and the push-up protocol differs too (baseline 18 reps in 1:00, final 23 reps with no time limit). That is not a contradiction to reconcile. Raw values per event: bench lbs, jump inches, pushup/situp reps, agility &amp; 300m seconds, 1.5mi minutes DECIMAL (12:35 = 12.5833 — the engine converts to seconds to score it). Pts columns COMPUTE from the approved PT Test Score Chart in the rubric block on Settings: the points of the best tier the result reaches, 0 if it is below the Tier 1 minimum. Bench and vertical jump are baseline standards only and are not scored at the final. All five scored events must be recorded before Final PT Pass? resolves — until then it reads Incomplete, which blocks. Final PT failure blocks the Final Exam (policy 500.1.H).</t>
        </is>
      </c>
    </row>
    <row r="5" ht="26" customHeight="1">
      <c r="B5" s="12" t="inlineStr">
        <is>
          <t>PID</t>
        </is>
      </c>
      <c r="C5" s="12" t="inlineStr">
        <is>
          <t>Cadet Name</t>
        </is>
      </c>
      <c r="D5" s="12" t="inlineStr">
        <is>
          <t>Base Bench</t>
        </is>
      </c>
      <c r="E5" s="12" t="inlineStr">
        <is>
          <t>Base VertJump</t>
        </is>
      </c>
      <c r="F5" s="12" t="inlineStr">
        <is>
          <t>Base Pushups</t>
        </is>
      </c>
      <c r="G5" s="12" t="inlineStr">
        <is>
          <t>Base Situps</t>
        </is>
      </c>
      <c r="H5" s="12" t="inlineStr">
        <is>
          <t>Base Agility</t>
        </is>
      </c>
      <c r="I5" s="12" t="inlineStr">
        <is>
          <t>Base 1.5Mi</t>
        </is>
      </c>
      <c r="J5" s="12" t="inlineStr">
        <is>
          <t>Base 300m</t>
        </is>
      </c>
      <c r="K5" s="12" t="inlineStr">
        <is>
          <t>Baseline Pass?</t>
        </is>
      </c>
      <c r="L5" s="12" t="inlineStr">
        <is>
          <t>Midpoint Done?</t>
        </is>
      </c>
      <c r="M5" s="12" t="inlineStr">
        <is>
          <t>Final Bench</t>
        </is>
      </c>
      <c r="N5" s="12" t="inlineStr">
        <is>
          <t>Final VertJump</t>
        </is>
      </c>
      <c r="O5" s="12" t="inlineStr">
        <is>
          <t>Final Pushups</t>
        </is>
      </c>
      <c r="P5" s="12" t="inlineStr">
        <is>
          <t>Final Situps</t>
        </is>
      </c>
      <c r="Q5" s="12" t="inlineStr">
        <is>
          <t>Final Agility</t>
        </is>
      </c>
      <c r="R5" s="12" t="inlineStr">
        <is>
          <t>Final 1.5Mi</t>
        </is>
      </c>
      <c r="S5" s="12" t="inlineStr">
        <is>
          <t>Final 300m</t>
        </is>
      </c>
      <c r="T5" s="12" t="inlineStr">
        <is>
          <t>Pts Bench</t>
        </is>
      </c>
      <c r="U5" s="12" t="inlineStr">
        <is>
          <t>Pts VertJump</t>
        </is>
      </c>
      <c r="V5" s="12" t="inlineStr">
        <is>
          <t>Pts Pushups</t>
        </is>
      </c>
      <c r="W5" s="12" t="inlineStr">
        <is>
          <t>Pts Situps</t>
        </is>
      </c>
      <c r="X5" s="12" t="inlineStr">
        <is>
          <t>Pts Agility</t>
        </is>
      </c>
      <c r="Y5" s="12" t="inlineStr">
        <is>
          <t>Pts 1.5Mi</t>
        </is>
      </c>
      <c r="Z5" s="12" t="inlineStr">
        <is>
          <t>Pts 300m</t>
        </is>
      </c>
      <c r="AA5" s="12" t="inlineStr">
        <is>
          <t>Final Points</t>
        </is>
      </c>
      <c r="AB5" s="12" t="inlineStr">
        <is>
          <t>Final PT Pass?</t>
        </is>
      </c>
      <c r="AC5" s="12" t="inlineStr">
        <is>
          <t>Improvement Index</t>
        </is>
      </c>
      <c r="AD5" s="20" t="inlineStr">
        <is>
          <t>Cadet Status</t>
        </is>
      </c>
    </row>
    <row r="6">
      <c r="B6" s="17">
        <f>IF(Cadets!$B6="","",Cadets!$B6)</f>
        <v/>
      </c>
      <c r="C6" s="17">
        <f>IF(Cadets!$B6="","",Cadets!$F6)</f>
        <v/>
      </c>
      <c r="D6" s="16" t="n"/>
      <c r="E6" s="16" t="n"/>
      <c r="F6" s="16" t="n"/>
      <c r="G6" s="16" t="n"/>
      <c r="H6" s="16" t="n"/>
      <c r="I6" s="16" t="n"/>
      <c r="J6" s="16" t="n"/>
      <c r="K6" s="16" t="n"/>
      <c r="L6" s="16" t="n"/>
      <c r="M6" s="16" t="n"/>
      <c r="N6" s="16" t="n"/>
      <c r="O6" s="16" t="n"/>
      <c r="P6" s="16" t="n"/>
      <c r="Q6" s="16" t="n"/>
      <c r="R6" s="16" t="n"/>
      <c r="S6" s="16" t="n"/>
      <c r="T6" s="17">
        <f>IF($B6="","","n/a (baseline only)")</f>
        <v/>
      </c>
      <c r="U6" s="17">
        <f>IF($B6="","","n/a")</f>
        <v/>
      </c>
      <c r="V6" s="17">
        <f>IF($B6="","",IF($O6="","",IF(COUNT(INDEX(nrPTBands,1,0))&lt;5,"",SUMPRODUCT(MAX(($O6&gt;=INDEX(nrPTBands,1,0))*nrPTTierPts)))))</f>
        <v/>
      </c>
      <c r="W6" s="17">
        <f>IF($B6="","",IF($P6="","",IF(COUNT(INDEX(nrPTBands,2,0))&lt;5,"",SUMPRODUCT(MAX(($P6&gt;=INDEX(nrPTBands,2,0))*nrPTTierPts)))))</f>
        <v/>
      </c>
      <c r="X6" s="17">
        <f>IF($B6="","",IF($Q6="","",IF(COUNT(INDEX(nrPTBands,3,0))&lt;5,"",SUMPRODUCT(MAX(($Q6&lt;=INDEX(nrPTBands,3,0))*nrPTTierPts)))))</f>
        <v/>
      </c>
      <c r="Y6" s="17">
        <f>IF($B6="","",IF($R6="","",IF(COUNT(INDEX(nrPTBands,4,0))&lt;5,"",SUMPRODUCT(MAX(($R6*60&lt;=INDEX(nrPTBands,4,0))*nrPTTierPts)))))</f>
        <v/>
      </c>
      <c r="Z6" s="17">
        <f>IF($B6="","",IF($S6="","",IF(COUNT(INDEX(nrPTBands,5,0))&lt;5,"",SUMPRODUCT(MAX(($S6&lt;=INDEX(nrPTBands,5,0))*nrPTTierPts)))))</f>
        <v/>
      </c>
      <c r="AA6" s="17">
        <f>IF($B6="","",IF(COUNT($V6:$Z6)=0,"",SUM($V6:$Z6)))</f>
        <v/>
      </c>
      <c r="AB6" s="17">
        <f>IF($B6="","",IF($AA6="","",IF(cfgPTFinalMinPoints=0,"(rubric pending)",IF(COUNT($V6:$Z6)&lt;5,"Incomplete",IF($AA6&gt;=cfgPTFinalMinPoints,"Yes","No")))))</f>
        <v/>
      </c>
      <c r="AC6" s="17">
        <f>IF($B6="","",_xlfn.LET(_xlpm.pu,IF(COUNT($F6,$O6)=2,IFERROR(($O6-$F6)/$F6,""),""),_xlpm.su,IF(COUNT($G6,$P6)=2,IFERROR(($P6-$G6)/$G6,""),""),_xlpm.ag,IF(COUNT($H6,$Q6)=2,IFERROR(($H6-$Q6)/$H6,""),""),_xlpm.mi,IF(COUNT($I6,$R6)=2,IFERROR(($I6-$R6)/$I6,""),""),_xlpm.tm,IF(COUNT($J6,$S6)=2,IFERROR(($J6-$S6)/$J6,""),""),_xlpm.vals,IFERROR(_xlfn._xlws.FILTER(_xlfn.HSTACK(_xlpm.pu,_xlpm.su,_xlpm.ag,_xlpm.mi,_xlpm.tm),ISNUMBER(_xlfn.HSTACK(_xlpm.pu,_xlpm.su,_xlpm.ag,_xlpm.mi,_xlpm.tm))),""),IF(COUNT(_xlpm.vals)=0,"",ROUND(AVERAGE(_xlpm.vals)*100,1))))</f>
        <v/>
      </c>
      <c r="AD6" s="17">
        <f>IF(Cadets!$B6="","",Cadets!$I6)</f>
        <v/>
      </c>
    </row>
    <row r="7">
      <c r="B7" s="17">
        <f>IF(Cadets!$B7="","",Cadets!$B7)</f>
        <v/>
      </c>
      <c r="C7" s="17">
        <f>IF(Cadets!$B7="","",Cadets!$F7)</f>
        <v/>
      </c>
      <c r="D7" s="16" t="n"/>
      <c r="E7" s="16" t="n"/>
      <c r="F7" s="16" t="n"/>
      <c r="G7" s="16" t="n"/>
      <c r="H7" s="16" t="n"/>
      <c r="I7" s="16" t="n"/>
      <c r="J7" s="16" t="n"/>
      <c r="K7" s="16" t="n"/>
      <c r="L7" s="16" t="n"/>
      <c r="M7" s="16" t="n"/>
      <c r="N7" s="16" t="n"/>
      <c r="O7" s="16" t="n"/>
      <c r="P7" s="16" t="n"/>
      <c r="Q7" s="16" t="n"/>
      <c r="R7" s="16" t="n"/>
      <c r="S7" s="16" t="n"/>
      <c r="T7" s="17">
        <f>IF($B7="","","n/a (baseline only)")</f>
        <v/>
      </c>
      <c r="U7" s="17">
        <f>IF($B7="","","n/a")</f>
        <v/>
      </c>
      <c r="V7" s="17">
        <f>IF($B7="","",IF($O7="","",IF(COUNT(INDEX(nrPTBands,1,0))&lt;5,"",SUMPRODUCT(MAX(($O7&gt;=INDEX(nrPTBands,1,0))*nrPTTierPts)))))</f>
        <v/>
      </c>
      <c r="W7" s="17">
        <f>IF($B7="","",IF($P7="","",IF(COUNT(INDEX(nrPTBands,2,0))&lt;5,"",SUMPRODUCT(MAX(($P7&gt;=INDEX(nrPTBands,2,0))*nrPTTierPts)))))</f>
        <v/>
      </c>
      <c r="X7" s="17">
        <f>IF($B7="","",IF($Q7="","",IF(COUNT(INDEX(nrPTBands,3,0))&lt;5,"",SUMPRODUCT(MAX(($Q7&lt;=INDEX(nrPTBands,3,0))*nrPTTierPts)))))</f>
        <v/>
      </c>
      <c r="Y7" s="17">
        <f>IF($B7="","",IF($R7="","",IF(COUNT(INDEX(nrPTBands,4,0))&lt;5,"",SUMPRODUCT(MAX(($R7*60&lt;=INDEX(nrPTBands,4,0))*nrPTTierPts)))))</f>
        <v/>
      </c>
      <c r="Z7" s="17">
        <f>IF($B7="","",IF($S7="","",IF(COUNT(INDEX(nrPTBands,5,0))&lt;5,"",SUMPRODUCT(MAX(($S7&lt;=INDEX(nrPTBands,5,0))*nrPTTierPts)))))</f>
        <v/>
      </c>
      <c r="AA7" s="17">
        <f>IF($B7="","",IF(COUNT($V7:$Z7)=0,"",SUM($V7:$Z7)))</f>
        <v/>
      </c>
      <c r="AB7" s="17">
        <f>IF($B7="","",IF($AA7="","",IF(cfgPTFinalMinPoints=0,"(rubric pending)",IF(COUNT($V7:$Z7)&lt;5,"Incomplete",IF($AA7&gt;=cfgPTFinalMinPoints,"Yes","No")))))</f>
        <v/>
      </c>
      <c r="AC7" s="17">
        <f>IF($B7="","",_xlfn.LET(_xlpm.pu,IF(COUNT($F7,$O7)=2,IFERROR(($O7-$F7)/$F7,""),""),_xlpm.su,IF(COUNT($G7,$P7)=2,IFERROR(($P7-$G7)/$G7,""),""),_xlpm.ag,IF(COUNT($H7,$Q7)=2,IFERROR(($H7-$Q7)/$H7,""),""),_xlpm.mi,IF(COUNT($I7,$R7)=2,IFERROR(($I7-$R7)/$I7,""),""),_xlpm.tm,IF(COUNT($J7,$S7)=2,IFERROR(($J7-$S7)/$J7,""),""),_xlpm.vals,IFERROR(_xlfn._xlws.FILTER(_xlfn.HSTACK(_xlpm.pu,_xlpm.su,_xlpm.ag,_xlpm.mi,_xlpm.tm),ISNUMBER(_xlfn.HSTACK(_xlpm.pu,_xlpm.su,_xlpm.ag,_xlpm.mi,_xlpm.tm))),""),IF(COUNT(_xlpm.vals)=0,"",ROUND(AVERAGE(_xlpm.vals)*100,1))))</f>
        <v/>
      </c>
      <c r="AD7" s="17">
        <f>IF(Cadets!$B7="","",Cadets!$I7)</f>
        <v/>
      </c>
    </row>
    <row r="8">
      <c r="B8" s="17">
        <f>IF(Cadets!$B8="","",Cadets!$B8)</f>
        <v/>
      </c>
      <c r="C8" s="17">
        <f>IF(Cadets!$B8="","",Cadets!$F8)</f>
        <v/>
      </c>
      <c r="D8" s="16" t="n"/>
      <c r="E8" s="16" t="n"/>
      <c r="F8" s="16" t="n"/>
      <c r="G8" s="16" t="n"/>
      <c r="H8" s="16" t="n"/>
      <c r="I8" s="16" t="n"/>
      <c r="J8" s="16" t="n"/>
      <c r="K8" s="16" t="n"/>
      <c r="L8" s="16" t="n"/>
      <c r="M8" s="16" t="n"/>
      <c r="N8" s="16" t="n"/>
      <c r="O8" s="16" t="n"/>
      <c r="P8" s="16" t="n"/>
      <c r="Q8" s="16" t="n"/>
      <c r="R8" s="16" t="n"/>
      <c r="S8" s="16" t="n"/>
      <c r="T8" s="17">
        <f>IF($B8="","","n/a (baseline only)")</f>
        <v/>
      </c>
      <c r="U8" s="17">
        <f>IF($B8="","","n/a")</f>
        <v/>
      </c>
      <c r="V8" s="17">
        <f>IF($B8="","",IF($O8="","",IF(COUNT(INDEX(nrPTBands,1,0))&lt;5,"",SUMPRODUCT(MAX(($O8&gt;=INDEX(nrPTBands,1,0))*nrPTTierPts)))))</f>
        <v/>
      </c>
      <c r="W8" s="17">
        <f>IF($B8="","",IF($P8="","",IF(COUNT(INDEX(nrPTBands,2,0))&lt;5,"",SUMPRODUCT(MAX(($P8&gt;=INDEX(nrPTBands,2,0))*nrPTTierPts)))))</f>
        <v/>
      </c>
      <c r="X8" s="17">
        <f>IF($B8="","",IF($Q8="","",IF(COUNT(INDEX(nrPTBands,3,0))&lt;5,"",SUMPRODUCT(MAX(($Q8&lt;=INDEX(nrPTBands,3,0))*nrPTTierPts)))))</f>
        <v/>
      </c>
      <c r="Y8" s="17">
        <f>IF($B8="","",IF($R8="","",IF(COUNT(INDEX(nrPTBands,4,0))&lt;5,"",SUMPRODUCT(MAX(($R8*60&lt;=INDEX(nrPTBands,4,0))*nrPTTierPts)))))</f>
        <v/>
      </c>
      <c r="Z8" s="17">
        <f>IF($B8="","",IF($S8="","",IF(COUNT(INDEX(nrPTBands,5,0))&lt;5,"",SUMPRODUCT(MAX(($S8&lt;=INDEX(nrPTBands,5,0))*nrPTTierPts)))))</f>
        <v/>
      </c>
      <c r="AA8" s="17">
        <f>IF($B8="","",IF(COUNT($V8:$Z8)=0,"",SUM($V8:$Z8)))</f>
        <v/>
      </c>
      <c r="AB8" s="17">
        <f>IF($B8="","",IF($AA8="","",IF(cfgPTFinalMinPoints=0,"(rubric pending)",IF(COUNT($V8:$Z8)&lt;5,"Incomplete",IF($AA8&gt;=cfgPTFinalMinPoints,"Yes","No")))))</f>
        <v/>
      </c>
      <c r="AC8" s="17">
        <f>IF($B8="","",_xlfn.LET(_xlpm.pu,IF(COUNT($F8,$O8)=2,IFERROR(($O8-$F8)/$F8,""),""),_xlpm.su,IF(COUNT($G8,$P8)=2,IFERROR(($P8-$G8)/$G8,""),""),_xlpm.ag,IF(COUNT($H8,$Q8)=2,IFERROR(($H8-$Q8)/$H8,""),""),_xlpm.mi,IF(COUNT($I8,$R8)=2,IFERROR(($I8-$R8)/$I8,""),""),_xlpm.tm,IF(COUNT($J8,$S8)=2,IFERROR(($J8-$S8)/$J8,""),""),_xlpm.vals,IFERROR(_xlfn._xlws.FILTER(_xlfn.HSTACK(_xlpm.pu,_xlpm.su,_xlpm.ag,_xlpm.mi,_xlpm.tm),ISNUMBER(_xlfn.HSTACK(_xlpm.pu,_xlpm.su,_xlpm.ag,_xlpm.mi,_xlpm.tm))),""),IF(COUNT(_xlpm.vals)=0,"",ROUND(AVERAGE(_xlpm.vals)*100,1))))</f>
        <v/>
      </c>
      <c r="AD8" s="17">
        <f>IF(Cadets!$B8="","",Cadets!$I8)</f>
        <v/>
      </c>
    </row>
    <row r="9">
      <c r="B9" s="17">
        <f>IF(Cadets!$B9="","",Cadets!$B9)</f>
        <v/>
      </c>
      <c r="C9" s="17">
        <f>IF(Cadets!$B9="","",Cadets!$F9)</f>
        <v/>
      </c>
      <c r="D9" s="16" t="n"/>
      <c r="E9" s="16" t="n"/>
      <c r="F9" s="16" t="n"/>
      <c r="G9" s="16" t="n"/>
      <c r="H9" s="16" t="n"/>
      <c r="I9" s="16" t="n"/>
      <c r="J9" s="16" t="n"/>
      <c r="K9" s="16" t="n"/>
      <c r="L9" s="16" t="n"/>
      <c r="M9" s="16" t="n"/>
      <c r="N9" s="16" t="n"/>
      <c r="O9" s="16" t="n"/>
      <c r="P9" s="16" t="n"/>
      <c r="Q9" s="16" t="n"/>
      <c r="R9" s="16" t="n"/>
      <c r="S9" s="16" t="n"/>
      <c r="T9" s="17">
        <f>IF($B9="","","n/a (baseline only)")</f>
        <v/>
      </c>
      <c r="U9" s="17">
        <f>IF($B9="","","n/a")</f>
        <v/>
      </c>
      <c r="V9" s="17">
        <f>IF($B9="","",IF($O9="","",IF(COUNT(INDEX(nrPTBands,1,0))&lt;5,"",SUMPRODUCT(MAX(($O9&gt;=INDEX(nrPTBands,1,0))*nrPTTierPts)))))</f>
        <v/>
      </c>
      <c r="W9" s="17">
        <f>IF($B9="","",IF($P9="","",IF(COUNT(INDEX(nrPTBands,2,0))&lt;5,"",SUMPRODUCT(MAX(($P9&gt;=INDEX(nrPTBands,2,0))*nrPTTierPts)))))</f>
        <v/>
      </c>
      <c r="X9" s="17">
        <f>IF($B9="","",IF($Q9="","",IF(COUNT(INDEX(nrPTBands,3,0))&lt;5,"",SUMPRODUCT(MAX(($Q9&lt;=INDEX(nrPTBands,3,0))*nrPTTierPts)))))</f>
        <v/>
      </c>
      <c r="Y9" s="17">
        <f>IF($B9="","",IF($R9="","",IF(COUNT(INDEX(nrPTBands,4,0))&lt;5,"",SUMPRODUCT(MAX(($R9*60&lt;=INDEX(nrPTBands,4,0))*nrPTTierPts)))))</f>
        <v/>
      </c>
      <c r="Z9" s="17">
        <f>IF($B9="","",IF($S9="","",IF(COUNT(INDEX(nrPTBands,5,0))&lt;5,"",SUMPRODUCT(MAX(($S9&lt;=INDEX(nrPTBands,5,0))*nrPTTierPts)))))</f>
        <v/>
      </c>
      <c r="AA9" s="17">
        <f>IF($B9="","",IF(COUNT($V9:$Z9)=0,"",SUM($V9:$Z9)))</f>
        <v/>
      </c>
      <c r="AB9" s="17">
        <f>IF($B9="","",IF($AA9="","",IF(cfgPTFinalMinPoints=0,"(rubric pending)",IF(COUNT($V9:$Z9)&lt;5,"Incomplete",IF($AA9&gt;=cfgPTFinalMinPoints,"Yes","No")))))</f>
        <v/>
      </c>
      <c r="AC9" s="17">
        <f>IF($B9="","",_xlfn.LET(_xlpm.pu,IF(COUNT($F9,$O9)=2,IFERROR(($O9-$F9)/$F9,""),""),_xlpm.su,IF(COUNT($G9,$P9)=2,IFERROR(($P9-$G9)/$G9,""),""),_xlpm.ag,IF(COUNT($H9,$Q9)=2,IFERROR(($H9-$Q9)/$H9,""),""),_xlpm.mi,IF(COUNT($I9,$R9)=2,IFERROR(($I9-$R9)/$I9,""),""),_xlpm.tm,IF(COUNT($J9,$S9)=2,IFERROR(($J9-$S9)/$J9,""),""),_xlpm.vals,IFERROR(_xlfn._xlws.FILTER(_xlfn.HSTACK(_xlpm.pu,_xlpm.su,_xlpm.ag,_xlpm.mi,_xlpm.tm),ISNUMBER(_xlfn.HSTACK(_xlpm.pu,_xlpm.su,_xlpm.ag,_xlpm.mi,_xlpm.tm))),""),IF(COUNT(_xlpm.vals)=0,"",ROUND(AVERAGE(_xlpm.vals)*100,1))))</f>
        <v/>
      </c>
      <c r="AD9" s="17">
        <f>IF(Cadets!$B9="","",Cadets!$I9)</f>
        <v/>
      </c>
    </row>
    <row r="10">
      <c r="B10" s="17">
        <f>IF(Cadets!$B10="","",Cadets!$B10)</f>
        <v/>
      </c>
      <c r="C10" s="17">
        <f>IF(Cadets!$B10="","",Cadets!$F10)</f>
        <v/>
      </c>
      <c r="D10" s="16" t="n"/>
      <c r="E10" s="16" t="n"/>
      <c r="F10" s="16" t="n"/>
      <c r="G10" s="16" t="n"/>
      <c r="H10" s="16" t="n"/>
      <c r="I10" s="16" t="n"/>
      <c r="J10" s="16" t="n"/>
      <c r="K10" s="16" t="n"/>
      <c r="L10" s="16" t="n"/>
      <c r="M10" s="16" t="n"/>
      <c r="N10" s="16" t="n"/>
      <c r="O10" s="16" t="n"/>
      <c r="P10" s="16" t="n"/>
      <c r="Q10" s="16" t="n"/>
      <c r="R10" s="16" t="n"/>
      <c r="S10" s="16" t="n"/>
      <c r="T10" s="17">
        <f>IF($B10="","","n/a (baseline only)")</f>
        <v/>
      </c>
      <c r="U10" s="17">
        <f>IF($B10="","","n/a")</f>
        <v/>
      </c>
      <c r="V10" s="17">
        <f>IF($B10="","",IF($O10="","",IF(COUNT(INDEX(nrPTBands,1,0))&lt;5,"",SUMPRODUCT(MAX(($O10&gt;=INDEX(nrPTBands,1,0))*nrPTTierPts)))))</f>
        <v/>
      </c>
      <c r="W10" s="17">
        <f>IF($B10="","",IF($P10="","",IF(COUNT(INDEX(nrPTBands,2,0))&lt;5,"",SUMPRODUCT(MAX(($P10&gt;=INDEX(nrPTBands,2,0))*nrPTTierPts)))))</f>
        <v/>
      </c>
      <c r="X10" s="17">
        <f>IF($B10="","",IF($Q10="","",IF(COUNT(INDEX(nrPTBands,3,0))&lt;5,"",SUMPRODUCT(MAX(($Q10&lt;=INDEX(nrPTBands,3,0))*nrPTTierPts)))))</f>
        <v/>
      </c>
      <c r="Y10" s="17">
        <f>IF($B10="","",IF($R10="","",IF(COUNT(INDEX(nrPTBands,4,0))&lt;5,"",SUMPRODUCT(MAX(($R10*60&lt;=INDEX(nrPTBands,4,0))*nrPTTierPts)))))</f>
        <v/>
      </c>
      <c r="Z10" s="17">
        <f>IF($B10="","",IF($S10="","",IF(COUNT(INDEX(nrPTBands,5,0))&lt;5,"",SUMPRODUCT(MAX(($S10&lt;=INDEX(nrPTBands,5,0))*nrPTTierPts)))))</f>
        <v/>
      </c>
      <c r="AA10" s="17">
        <f>IF($B10="","",IF(COUNT($V10:$Z10)=0,"",SUM($V10:$Z10)))</f>
        <v/>
      </c>
      <c r="AB10" s="17">
        <f>IF($B10="","",IF($AA10="","",IF(cfgPTFinalMinPoints=0,"(rubric pending)",IF(COUNT($V10:$Z10)&lt;5,"Incomplete",IF($AA10&gt;=cfgPTFinalMinPoints,"Yes","No")))))</f>
        <v/>
      </c>
      <c r="AC10" s="17">
        <f>IF($B10="","",_xlfn.LET(_xlpm.pu,IF(COUNT($F10,$O10)=2,IFERROR(($O10-$F10)/$F10,""),""),_xlpm.su,IF(COUNT($G10,$P10)=2,IFERROR(($P10-$G10)/$G10,""),""),_xlpm.ag,IF(COUNT($H10,$Q10)=2,IFERROR(($H10-$Q10)/$H10,""),""),_xlpm.mi,IF(COUNT($I10,$R10)=2,IFERROR(($I10-$R10)/$I10,""),""),_xlpm.tm,IF(COUNT($J10,$S10)=2,IFERROR(($J10-$S10)/$J10,""),""),_xlpm.vals,IFERROR(_xlfn._xlws.FILTER(_xlfn.HSTACK(_xlpm.pu,_xlpm.su,_xlpm.ag,_xlpm.mi,_xlpm.tm),ISNUMBER(_xlfn.HSTACK(_xlpm.pu,_xlpm.su,_xlpm.ag,_xlpm.mi,_xlpm.tm))),""),IF(COUNT(_xlpm.vals)=0,"",ROUND(AVERAGE(_xlpm.vals)*100,1))))</f>
        <v/>
      </c>
      <c r="AD10" s="17">
        <f>IF(Cadets!$B10="","",Cadets!$I10)</f>
        <v/>
      </c>
    </row>
    <row r="11">
      <c r="B11" s="17">
        <f>IF(Cadets!$B11="","",Cadets!$B11)</f>
        <v/>
      </c>
      <c r="C11" s="17">
        <f>IF(Cadets!$B11="","",Cadets!$F11)</f>
        <v/>
      </c>
      <c r="D11" s="16" t="n"/>
      <c r="E11" s="16" t="n"/>
      <c r="F11" s="16" t="n"/>
      <c r="G11" s="16" t="n"/>
      <c r="H11" s="16" t="n"/>
      <c r="I11" s="16" t="n"/>
      <c r="J11" s="16" t="n"/>
      <c r="K11" s="16" t="n"/>
      <c r="L11" s="16" t="n"/>
      <c r="M11" s="16" t="n"/>
      <c r="N11" s="16" t="n"/>
      <c r="O11" s="16" t="n"/>
      <c r="P11" s="16" t="n"/>
      <c r="Q11" s="16" t="n"/>
      <c r="R11" s="16" t="n"/>
      <c r="S11" s="16" t="n"/>
      <c r="T11" s="17">
        <f>IF($B11="","","n/a (baseline only)")</f>
        <v/>
      </c>
      <c r="U11" s="17">
        <f>IF($B11="","","n/a")</f>
        <v/>
      </c>
      <c r="V11" s="17">
        <f>IF($B11="","",IF($O11="","",IF(COUNT(INDEX(nrPTBands,1,0))&lt;5,"",SUMPRODUCT(MAX(($O11&gt;=INDEX(nrPTBands,1,0))*nrPTTierPts)))))</f>
        <v/>
      </c>
      <c r="W11" s="17">
        <f>IF($B11="","",IF($P11="","",IF(COUNT(INDEX(nrPTBands,2,0))&lt;5,"",SUMPRODUCT(MAX(($P11&gt;=INDEX(nrPTBands,2,0))*nrPTTierPts)))))</f>
        <v/>
      </c>
      <c r="X11" s="17">
        <f>IF($B11="","",IF($Q11="","",IF(COUNT(INDEX(nrPTBands,3,0))&lt;5,"",SUMPRODUCT(MAX(($Q11&lt;=INDEX(nrPTBands,3,0))*nrPTTierPts)))))</f>
        <v/>
      </c>
      <c r="Y11" s="17">
        <f>IF($B11="","",IF($R11="","",IF(COUNT(INDEX(nrPTBands,4,0))&lt;5,"",SUMPRODUCT(MAX(($R11*60&lt;=INDEX(nrPTBands,4,0))*nrPTTierPts)))))</f>
        <v/>
      </c>
      <c r="Z11" s="17">
        <f>IF($B11="","",IF($S11="","",IF(COUNT(INDEX(nrPTBands,5,0))&lt;5,"",SUMPRODUCT(MAX(($S11&lt;=INDEX(nrPTBands,5,0))*nrPTTierPts)))))</f>
        <v/>
      </c>
      <c r="AA11" s="17">
        <f>IF($B11="","",IF(COUNT($V11:$Z11)=0,"",SUM($V11:$Z11)))</f>
        <v/>
      </c>
      <c r="AB11" s="17">
        <f>IF($B11="","",IF($AA11="","",IF(cfgPTFinalMinPoints=0,"(rubric pending)",IF(COUNT($V11:$Z11)&lt;5,"Incomplete",IF($AA11&gt;=cfgPTFinalMinPoints,"Yes","No")))))</f>
        <v/>
      </c>
      <c r="AC11" s="17">
        <f>IF($B11="","",_xlfn.LET(_xlpm.pu,IF(COUNT($F11,$O11)=2,IFERROR(($O11-$F11)/$F11,""),""),_xlpm.su,IF(COUNT($G11,$P11)=2,IFERROR(($P11-$G11)/$G11,""),""),_xlpm.ag,IF(COUNT($H11,$Q11)=2,IFERROR(($H11-$Q11)/$H11,""),""),_xlpm.mi,IF(COUNT($I11,$R11)=2,IFERROR(($I11-$R11)/$I11,""),""),_xlpm.tm,IF(COUNT($J11,$S11)=2,IFERROR(($J11-$S11)/$J11,""),""),_xlpm.vals,IFERROR(_xlfn._xlws.FILTER(_xlfn.HSTACK(_xlpm.pu,_xlpm.su,_xlpm.ag,_xlpm.mi,_xlpm.tm),ISNUMBER(_xlfn.HSTACK(_xlpm.pu,_xlpm.su,_xlpm.ag,_xlpm.mi,_xlpm.tm))),""),IF(COUNT(_xlpm.vals)=0,"",ROUND(AVERAGE(_xlpm.vals)*100,1))))</f>
        <v/>
      </c>
      <c r="AD11" s="17">
        <f>IF(Cadets!$B11="","",Cadets!$I11)</f>
        <v/>
      </c>
    </row>
    <row r="12">
      <c r="B12" s="17">
        <f>IF(Cadets!$B12="","",Cadets!$B12)</f>
        <v/>
      </c>
      <c r="C12" s="17">
        <f>IF(Cadets!$B12="","",Cadets!$F12)</f>
        <v/>
      </c>
      <c r="D12" s="16" t="n"/>
      <c r="E12" s="16" t="n"/>
      <c r="F12" s="16" t="n"/>
      <c r="G12" s="16" t="n"/>
      <c r="H12" s="16" t="n"/>
      <c r="I12" s="16" t="n"/>
      <c r="J12" s="16" t="n"/>
      <c r="K12" s="16" t="n"/>
      <c r="L12" s="16" t="n"/>
      <c r="M12" s="16" t="n"/>
      <c r="N12" s="16" t="n"/>
      <c r="O12" s="16" t="n"/>
      <c r="P12" s="16" t="n"/>
      <c r="Q12" s="16" t="n"/>
      <c r="R12" s="16" t="n"/>
      <c r="S12" s="16" t="n"/>
      <c r="T12" s="17">
        <f>IF($B12="","","n/a (baseline only)")</f>
        <v/>
      </c>
      <c r="U12" s="17">
        <f>IF($B12="","","n/a")</f>
        <v/>
      </c>
      <c r="V12" s="17">
        <f>IF($B12="","",IF($O12="","",IF(COUNT(INDEX(nrPTBands,1,0))&lt;5,"",SUMPRODUCT(MAX(($O12&gt;=INDEX(nrPTBands,1,0))*nrPTTierPts)))))</f>
        <v/>
      </c>
      <c r="W12" s="17">
        <f>IF($B12="","",IF($P12="","",IF(COUNT(INDEX(nrPTBands,2,0))&lt;5,"",SUMPRODUCT(MAX(($P12&gt;=INDEX(nrPTBands,2,0))*nrPTTierPts)))))</f>
        <v/>
      </c>
      <c r="X12" s="17">
        <f>IF($B12="","",IF($Q12="","",IF(COUNT(INDEX(nrPTBands,3,0))&lt;5,"",SUMPRODUCT(MAX(($Q12&lt;=INDEX(nrPTBands,3,0))*nrPTTierPts)))))</f>
        <v/>
      </c>
      <c r="Y12" s="17">
        <f>IF($B12="","",IF($R12="","",IF(COUNT(INDEX(nrPTBands,4,0))&lt;5,"",SUMPRODUCT(MAX(($R12*60&lt;=INDEX(nrPTBands,4,0))*nrPTTierPts)))))</f>
        <v/>
      </c>
      <c r="Z12" s="17">
        <f>IF($B12="","",IF($S12="","",IF(COUNT(INDEX(nrPTBands,5,0))&lt;5,"",SUMPRODUCT(MAX(($S12&lt;=INDEX(nrPTBands,5,0))*nrPTTierPts)))))</f>
        <v/>
      </c>
      <c r="AA12" s="17">
        <f>IF($B12="","",IF(COUNT($V12:$Z12)=0,"",SUM($V12:$Z12)))</f>
        <v/>
      </c>
      <c r="AB12" s="17">
        <f>IF($B12="","",IF($AA12="","",IF(cfgPTFinalMinPoints=0,"(rubric pending)",IF(COUNT($V12:$Z12)&lt;5,"Incomplete",IF($AA12&gt;=cfgPTFinalMinPoints,"Yes","No")))))</f>
        <v/>
      </c>
      <c r="AC12" s="17">
        <f>IF($B12="","",_xlfn.LET(_xlpm.pu,IF(COUNT($F12,$O12)=2,IFERROR(($O12-$F12)/$F12,""),""),_xlpm.su,IF(COUNT($G12,$P12)=2,IFERROR(($P12-$G12)/$G12,""),""),_xlpm.ag,IF(COUNT($H12,$Q12)=2,IFERROR(($H12-$Q12)/$H12,""),""),_xlpm.mi,IF(COUNT($I12,$R12)=2,IFERROR(($I12-$R12)/$I12,""),""),_xlpm.tm,IF(COUNT($J12,$S12)=2,IFERROR(($J12-$S12)/$J12,""),""),_xlpm.vals,IFERROR(_xlfn._xlws.FILTER(_xlfn.HSTACK(_xlpm.pu,_xlpm.su,_xlpm.ag,_xlpm.mi,_xlpm.tm),ISNUMBER(_xlfn.HSTACK(_xlpm.pu,_xlpm.su,_xlpm.ag,_xlpm.mi,_xlpm.tm))),""),IF(COUNT(_xlpm.vals)=0,"",ROUND(AVERAGE(_xlpm.vals)*100,1))))</f>
        <v/>
      </c>
      <c r="AD12" s="17">
        <f>IF(Cadets!$B12="","",Cadets!$I12)</f>
        <v/>
      </c>
    </row>
    <row r="13">
      <c r="B13" s="17">
        <f>IF(Cadets!$B13="","",Cadets!$B13)</f>
        <v/>
      </c>
      <c r="C13" s="17">
        <f>IF(Cadets!$B13="","",Cadets!$F13)</f>
        <v/>
      </c>
      <c r="D13" s="16" t="n"/>
      <c r="E13" s="16" t="n"/>
      <c r="F13" s="16" t="n"/>
      <c r="G13" s="16" t="n"/>
      <c r="H13" s="16" t="n"/>
      <c r="I13" s="16" t="n"/>
      <c r="J13" s="16" t="n"/>
      <c r="K13" s="16" t="n"/>
      <c r="L13" s="16" t="n"/>
      <c r="M13" s="16" t="n"/>
      <c r="N13" s="16" t="n"/>
      <c r="O13" s="16" t="n"/>
      <c r="P13" s="16" t="n"/>
      <c r="Q13" s="16" t="n"/>
      <c r="R13" s="16" t="n"/>
      <c r="S13" s="16" t="n"/>
      <c r="T13" s="17">
        <f>IF($B13="","","n/a (baseline only)")</f>
        <v/>
      </c>
      <c r="U13" s="17">
        <f>IF($B13="","","n/a")</f>
        <v/>
      </c>
      <c r="V13" s="17">
        <f>IF($B13="","",IF($O13="","",IF(COUNT(INDEX(nrPTBands,1,0))&lt;5,"",SUMPRODUCT(MAX(($O13&gt;=INDEX(nrPTBands,1,0))*nrPTTierPts)))))</f>
        <v/>
      </c>
      <c r="W13" s="17">
        <f>IF($B13="","",IF($P13="","",IF(COUNT(INDEX(nrPTBands,2,0))&lt;5,"",SUMPRODUCT(MAX(($P13&gt;=INDEX(nrPTBands,2,0))*nrPTTierPts)))))</f>
        <v/>
      </c>
      <c r="X13" s="17">
        <f>IF($B13="","",IF($Q13="","",IF(COUNT(INDEX(nrPTBands,3,0))&lt;5,"",SUMPRODUCT(MAX(($Q13&lt;=INDEX(nrPTBands,3,0))*nrPTTierPts)))))</f>
        <v/>
      </c>
      <c r="Y13" s="17">
        <f>IF($B13="","",IF($R13="","",IF(COUNT(INDEX(nrPTBands,4,0))&lt;5,"",SUMPRODUCT(MAX(($R13*60&lt;=INDEX(nrPTBands,4,0))*nrPTTierPts)))))</f>
        <v/>
      </c>
      <c r="Z13" s="17">
        <f>IF($B13="","",IF($S13="","",IF(COUNT(INDEX(nrPTBands,5,0))&lt;5,"",SUMPRODUCT(MAX(($S13&lt;=INDEX(nrPTBands,5,0))*nrPTTierPts)))))</f>
        <v/>
      </c>
      <c r="AA13" s="17">
        <f>IF($B13="","",IF(COUNT($V13:$Z13)=0,"",SUM($V13:$Z13)))</f>
        <v/>
      </c>
      <c r="AB13" s="17">
        <f>IF($B13="","",IF($AA13="","",IF(cfgPTFinalMinPoints=0,"(rubric pending)",IF(COUNT($V13:$Z13)&lt;5,"Incomplete",IF($AA13&gt;=cfgPTFinalMinPoints,"Yes","No")))))</f>
        <v/>
      </c>
      <c r="AC13" s="17">
        <f>IF($B13="","",_xlfn.LET(_xlpm.pu,IF(COUNT($F13,$O13)=2,IFERROR(($O13-$F13)/$F13,""),""),_xlpm.su,IF(COUNT($G13,$P13)=2,IFERROR(($P13-$G13)/$G13,""),""),_xlpm.ag,IF(COUNT($H13,$Q13)=2,IFERROR(($H13-$Q13)/$H13,""),""),_xlpm.mi,IF(COUNT($I13,$R13)=2,IFERROR(($I13-$R13)/$I13,""),""),_xlpm.tm,IF(COUNT($J13,$S13)=2,IFERROR(($J13-$S13)/$J13,""),""),_xlpm.vals,IFERROR(_xlfn._xlws.FILTER(_xlfn.HSTACK(_xlpm.pu,_xlpm.su,_xlpm.ag,_xlpm.mi,_xlpm.tm),ISNUMBER(_xlfn.HSTACK(_xlpm.pu,_xlpm.su,_xlpm.ag,_xlpm.mi,_xlpm.tm))),""),IF(COUNT(_xlpm.vals)=0,"",ROUND(AVERAGE(_xlpm.vals)*100,1))))</f>
        <v/>
      </c>
      <c r="AD13" s="17">
        <f>IF(Cadets!$B13="","",Cadets!$I13)</f>
        <v/>
      </c>
    </row>
    <row r="14">
      <c r="B14" s="17">
        <f>IF(Cadets!$B14="","",Cadets!$B14)</f>
        <v/>
      </c>
      <c r="C14" s="17">
        <f>IF(Cadets!$B14="","",Cadets!$F14)</f>
        <v/>
      </c>
      <c r="D14" s="16" t="n"/>
      <c r="E14" s="16" t="n"/>
      <c r="F14" s="16" t="n"/>
      <c r="G14" s="16" t="n"/>
      <c r="H14" s="16" t="n"/>
      <c r="I14" s="16" t="n"/>
      <c r="J14" s="16" t="n"/>
      <c r="K14" s="16" t="n"/>
      <c r="L14" s="16" t="n"/>
      <c r="M14" s="16" t="n"/>
      <c r="N14" s="16" t="n"/>
      <c r="O14" s="16" t="n"/>
      <c r="P14" s="16" t="n"/>
      <c r="Q14" s="16" t="n"/>
      <c r="R14" s="16" t="n"/>
      <c r="S14" s="16" t="n"/>
      <c r="T14" s="17">
        <f>IF($B14="","","n/a (baseline only)")</f>
        <v/>
      </c>
      <c r="U14" s="17">
        <f>IF($B14="","","n/a")</f>
        <v/>
      </c>
      <c r="V14" s="17">
        <f>IF($B14="","",IF($O14="","",IF(COUNT(INDEX(nrPTBands,1,0))&lt;5,"",SUMPRODUCT(MAX(($O14&gt;=INDEX(nrPTBands,1,0))*nrPTTierPts)))))</f>
        <v/>
      </c>
      <c r="W14" s="17">
        <f>IF($B14="","",IF($P14="","",IF(COUNT(INDEX(nrPTBands,2,0))&lt;5,"",SUMPRODUCT(MAX(($P14&gt;=INDEX(nrPTBands,2,0))*nrPTTierPts)))))</f>
        <v/>
      </c>
      <c r="X14" s="17">
        <f>IF($B14="","",IF($Q14="","",IF(COUNT(INDEX(nrPTBands,3,0))&lt;5,"",SUMPRODUCT(MAX(($Q14&lt;=INDEX(nrPTBands,3,0))*nrPTTierPts)))))</f>
        <v/>
      </c>
      <c r="Y14" s="17">
        <f>IF($B14="","",IF($R14="","",IF(COUNT(INDEX(nrPTBands,4,0))&lt;5,"",SUMPRODUCT(MAX(($R14*60&lt;=INDEX(nrPTBands,4,0))*nrPTTierPts)))))</f>
        <v/>
      </c>
      <c r="Z14" s="17">
        <f>IF($B14="","",IF($S14="","",IF(COUNT(INDEX(nrPTBands,5,0))&lt;5,"",SUMPRODUCT(MAX(($S14&lt;=INDEX(nrPTBands,5,0))*nrPTTierPts)))))</f>
        <v/>
      </c>
      <c r="AA14" s="17">
        <f>IF($B14="","",IF(COUNT($V14:$Z14)=0,"",SUM($V14:$Z14)))</f>
        <v/>
      </c>
      <c r="AB14" s="17">
        <f>IF($B14="","",IF($AA14="","",IF(cfgPTFinalMinPoints=0,"(rubric pending)",IF(COUNT($V14:$Z14)&lt;5,"Incomplete",IF($AA14&gt;=cfgPTFinalMinPoints,"Yes","No")))))</f>
        <v/>
      </c>
      <c r="AC14" s="17">
        <f>IF($B14="","",_xlfn.LET(_xlpm.pu,IF(COUNT($F14,$O14)=2,IFERROR(($O14-$F14)/$F14,""),""),_xlpm.su,IF(COUNT($G14,$P14)=2,IFERROR(($P14-$G14)/$G14,""),""),_xlpm.ag,IF(COUNT($H14,$Q14)=2,IFERROR(($H14-$Q14)/$H14,""),""),_xlpm.mi,IF(COUNT($I14,$R14)=2,IFERROR(($I14-$R14)/$I14,""),""),_xlpm.tm,IF(COUNT($J14,$S14)=2,IFERROR(($J14-$S14)/$J14,""),""),_xlpm.vals,IFERROR(_xlfn._xlws.FILTER(_xlfn.HSTACK(_xlpm.pu,_xlpm.su,_xlpm.ag,_xlpm.mi,_xlpm.tm),ISNUMBER(_xlfn.HSTACK(_xlpm.pu,_xlpm.su,_xlpm.ag,_xlpm.mi,_xlpm.tm))),""),IF(COUNT(_xlpm.vals)=0,"",ROUND(AVERAGE(_xlpm.vals)*100,1))))</f>
        <v/>
      </c>
      <c r="AD14" s="17">
        <f>IF(Cadets!$B14="","",Cadets!$I14)</f>
        <v/>
      </c>
    </row>
    <row r="15">
      <c r="B15" s="17">
        <f>IF(Cadets!$B15="","",Cadets!$B15)</f>
        <v/>
      </c>
      <c r="C15" s="17">
        <f>IF(Cadets!$B15="","",Cadets!$F15)</f>
        <v/>
      </c>
      <c r="D15" s="16" t="n"/>
      <c r="E15" s="16" t="n"/>
      <c r="F15" s="16" t="n"/>
      <c r="G15" s="16" t="n"/>
      <c r="H15" s="16" t="n"/>
      <c r="I15" s="16" t="n"/>
      <c r="J15" s="16" t="n"/>
      <c r="K15" s="16" t="n"/>
      <c r="L15" s="16" t="n"/>
      <c r="M15" s="16" t="n"/>
      <c r="N15" s="16" t="n"/>
      <c r="O15" s="16" t="n"/>
      <c r="P15" s="16" t="n"/>
      <c r="Q15" s="16" t="n"/>
      <c r="R15" s="16" t="n"/>
      <c r="S15" s="16" t="n"/>
      <c r="T15" s="17">
        <f>IF($B15="","","n/a (baseline only)")</f>
        <v/>
      </c>
      <c r="U15" s="17">
        <f>IF($B15="","","n/a")</f>
        <v/>
      </c>
      <c r="V15" s="17">
        <f>IF($B15="","",IF($O15="","",IF(COUNT(INDEX(nrPTBands,1,0))&lt;5,"",SUMPRODUCT(MAX(($O15&gt;=INDEX(nrPTBands,1,0))*nrPTTierPts)))))</f>
        <v/>
      </c>
      <c r="W15" s="17">
        <f>IF($B15="","",IF($P15="","",IF(COUNT(INDEX(nrPTBands,2,0))&lt;5,"",SUMPRODUCT(MAX(($P15&gt;=INDEX(nrPTBands,2,0))*nrPTTierPts)))))</f>
        <v/>
      </c>
      <c r="X15" s="17">
        <f>IF($B15="","",IF($Q15="","",IF(COUNT(INDEX(nrPTBands,3,0))&lt;5,"",SUMPRODUCT(MAX(($Q15&lt;=INDEX(nrPTBands,3,0))*nrPTTierPts)))))</f>
        <v/>
      </c>
      <c r="Y15" s="17">
        <f>IF($B15="","",IF($R15="","",IF(COUNT(INDEX(nrPTBands,4,0))&lt;5,"",SUMPRODUCT(MAX(($R15*60&lt;=INDEX(nrPTBands,4,0))*nrPTTierPts)))))</f>
        <v/>
      </c>
      <c r="Z15" s="17">
        <f>IF($B15="","",IF($S15="","",IF(COUNT(INDEX(nrPTBands,5,0))&lt;5,"",SUMPRODUCT(MAX(($S15&lt;=INDEX(nrPTBands,5,0))*nrPTTierPts)))))</f>
        <v/>
      </c>
      <c r="AA15" s="17">
        <f>IF($B15="","",IF(COUNT($V15:$Z15)=0,"",SUM($V15:$Z15)))</f>
        <v/>
      </c>
      <c r="AB15" s="17">
        <f>IF($B15="","",IF($AA15="","",IF(cfgPTFinalMinPoints=0,"(rubric pending)",IF(COUNT($V15:$Z15)&lt;5,"Incomplete",IF($AA15&gt;=cfgPTFinalMinPoints,"Yes","No")))))</f>
        <v/>
      </c>
      <c r="AC15" s="17">
        <f>IF($B15="","",_xlfn.LET(_xlpm.pu,IF(COUNT($F15,$O15)=2,IFERROR(($O15-$F15)/$F15,""),""),_xlpm.su,IF(COUNT($G15,$P15)=2,IFERROR(($P15-$G15)/$G15,""),""),_xlpm.ag,IF(COUNT($H15,$Q15)=2,IFERROR(($H15-$Q15)/$H15,""),""),_xlpm.mi,IF(COUNT($I15,$R15)=2,IFERROR(($I15-$R15)/$I15,""),""),_xlpm.tm,IF(COUNT($J15,$S15)=2,IFERROR(($J15-$S15)/$J15,""),""),_xlpm.vals,IFERROR(_xlfn._xlws.FILTER(_xlfn.HSTACK(_xlpm.pu,_xlpm.su,_xlpm.ag,_xlpm.mi,_xlpm.tm),ISNUMBER(_xlfn.HSTACK(_xlpm.pu,_xlpm.su,_xlpm.ag,_xlpm.mi,_xlpm.tm))),""),IF(COUNT(_xlpm.vals)=0,"",ROUND(AVERAGE(_xlpm.vals)*100,1))))</f>
        <v/>
      </c>
      <c r="AD15" s="17">
        <f>IF(Cadets!$B15="","",Cadets!$I15)</f>
        <v/>
      </c>
    </row>
    <row r="16">
      <c r="B16" s="17">
        <f>IF(Cadets!$B16="","",Cadets!$B16)</f>
        <v/>
      </c>
      <c r="C16" s="17">
        <f>IF(Cadets!$B16="","",Cadets!$F16)</f>
        <v/>
      </c>
      <c r="D16" s="16" t="n"/>
      <c r="E16" s="16" t="n"/>
      <c r="F16" s="16" t="n"/>
      <c r="G16" s="16" t="n"/>
      <c r="H16" s="16" t="n"/>
      <c r="I16" s="16" t="n"/>
      <c r="J16" s="16" t="n"/>
      <c r="K16" s="16" t="n"/>
      <c r="L16" s="16" t="n"/>
      <c r="M16" s="16" t="n"/>
      <c r="N16" s="16" t="n"/>
      <c r="O16" s="16" t="n"/>
      <c r="P16" s="16" t="n"/>
      <c r="Q16" s="16" t="n"/>
      <c r="R16" s="16" t="n"/>
      <c r="S16" s="16" t="n"/>
      <c r="T16" s="17">
        <f>IF($B16="","","n/a (baseline only)")</f>
        <v/>
      </c>
      <c r="U16" s="17">
        <f>IF($B16="","","n/a")</f>
        <v/>
      </c>
      <c r="V16" s="17">
        <f>IF($B16="","",IF($O16="","",IF(COUNT(INDEX(nrPTBands,1,0))&lt;5,"",SUMPRODUCT(MAX(($O16&gt;=INDEX(nrPTBands,1,0))*nrPTTierPts)))))</f>
        <v/>
      </c>
      <c r="W16" s="17">
        <f>IF($B16="","",IF($P16="","",IF(COUNT(INDEX(nrPTBands,2,0))&lt;5,"",SUMPRODUCT(MAX(($P16&gt;=INDEX(nrPTBands,2,0))*nrPTTierPts)))))</f>
        <v/>
      </c>
      <c r="X16" s="17">
        <f>IF($B16="","",IF($Q16="","",IF(COUNT(INDEX(nrPTBands,3,0))&lt;5,"",SUMPRODUCT(MAX(($Q16&lt;=INDEX(nrPTBands,3,0))*nrPTTierPts)))))</f>
        <v/>
      </c>
      <c r="Y16" s="17">
        <f>IF($B16="","",IF($R16="","",IF(COUNT(INDEX(nrPTBands,4,0))&lt;5,"",SUMPRODUCT(MAX(($R16*60&lt;=INDEX(nrPTBands,4,0))*nrPTTierPts)))))</f>
        <v/>
      </c>
      <c r="Z16" s="17">
        <f>IF($B16="","",IF($S16="","",IF(COUNT(INDEX(nrPTBands,5,0))&lt;5,"",SUMPRODUCT(MAX(($S16&lt;=INDEX(nrPTBands,5,0))*nrPTTierPts)))))</f>
        <v/>
      </c>
      <c r="AA16" s="17">
        <f>IF($B16="","",IF(COUNT($V16:$Z16)=0,"",SUM($V16:$Z16)))</f>
        <v/>
      </c>
      <c r="AB16" s="17">
        <f>IF($B16="","",IF($AA16="","",IF(cfgPTFinalMinPoints=0,"(rubric pending)",IF(COUNT($V16:$Z16)&lt;5,"Incomplete",IF($AA16&gt;=cfgPTFinalMinPoints,"Yes","No")))))</f>
        <v/>
      </c>
      <c r="AC16" s="17">
        <f>IF($B16="","",_xlfn.LET(_xlpm.pu,IF(COUNT($F16,$O16)=2,IFERROR(($O16-$F16)/$F16,""),""),_xlpm.su,IF(COUNT($G16,$P16)=2,IFERROR(($P16-$G16)/$G16,""),""),_xlpm.ag,IF(COUNT($H16,$Q16)=2,IFERROR(($H16-$Q16)/$H16,""),""),_xlpm.mi,IF(COUNT($I16,$R16)=2,IFERROR(($I16-$R16)/$I16,""),""),_xlpm.tm,IF(COUNT($J16,$S16)=2,IFERROR(($J16-$S16)/$J16,""),""),_xlpm.vals,IFERROR(_xlfn._xlws.FILTER(_xlfn.HSTACK(_xlpm.pu,_xlpm.su,_xlpm.ag,_xlpm.mi,_xlpm.tm),ISNUMBER(_xlfn.HSTACK(_xlpm.pu,_xlpm.su,_xlpm.ag,_xlpm.mi,_xlpm.tm))),""),IF(COUNT(_xlpm.vals)=0,"",ROUND(AVERAGE(_xlpm.vals)*100,1))))</f>
        <v/>
      </c>
      <c r="AD16" s="17">
        <f>IF(Cadets!$B16="","",Cadets!$I16)</f>
        <v/>
      </c>
    </row>
    <row r="17">
      <c r="B17" s="17">
        <f>IF(Cadets!$B17="","",Cadets!$B17)</f>
        <v/>
      </c>
      <c r="C17" s="17">
        <f>IF(Cadets!$B17="","",Cadets!$F17)</f>
        <v/>
      </c>
      <c r="D17" s="16" t="n"/>
      <c r="E17" s="16" t="n"/>
      <c r="F17" s="16" t="n"/>
      <c r="G17" s="16" t="n"/>
      <c r="H17" s="16" t="n"/>
      <c r="I17" s="16" t="n"/>
      <c r="J17" s="16" t="n"/>
      <c r="K17" s="16" t="n"/>
      <c r="L17" s="16" t="n"/>
      <c r="M17" s="16" t="n"/>
      <c r="N17" s="16" t="n"/>
      <c r="O17" s="16" t="n"/>
      <c r="P17" s="16" t="n"/>
      <c r="Q17" s="16" t="n"/>
      <c r="R17" s="16" t="n"/>
      <c r="S17" s="16" t="n"/>
      <c r="T17" s="17">
        <f>IF($B17="","","n/a (baseline only)")</f>
        <v/>
      </c>
      <c r="U17" s="17">
        <f>IF($B17="","","n/a")</f>
        <v/>
      </c>
      <c r="V17" s="17">
        <f>IF($B17="","",IF($O17="","",IF(COUNT(INDEX(nrPTBands,1,0))&lt;5,"",SUMPRODUCT(MAX(($O17&gt;=INDEX(nrPTBands,1,0))*nrPTTierPts)))))</f>
        <v/>
      </c>
      <c r="W17" s="17">
        <f>IF($B17="","",IF($P17="","",IF(COUNT(INDEX(nrPTBands,2,0))&lt;5,"",SUMPRODUCT(MAX(($P17&gt;=INDEX(nrPTBands,2,0))*nrPTTierPts)))))</f>
        <v/>
      </c>
      <c r="X17" s="17">
        <f>IF($B17="","",IF($Q17="","",IF(COUNT(INDEX(nrPTBands,3,0))&lt;5,"",SUMPRODUCT(MAX(($Q17&lt;=INDEX(nrPTBands,3,0))*nrPTTierPts)))))</f>
        <v/>
      </c>
      <c r="Y17" s="17">
        <f>IF($B17="","",IF($R17="","",IF(COUNT(INDEX(nrPTBands,4,0))&lt;5,"",SUMPRODUCT(MAX(($R17*60&lt;=INDEX(nrPTBands,4,0))*nrPTTierPts)))))</f>
        <v/>
      </c>
      <c r="Z17" s="17">
        <f>IF($B17="","",IF($S17="","",IF(COUNT(INDEX(nrPTBands,5,0))&lt;5,"",SUMPRODUCT(MAX(($S17&lt;=INDEX(nrPTBands,5,0))*nrPTTierPts)))))</f>
        <v/>
      </c>
      <c r="AA17" s="17">
        <f>IF($B17="","",IF(COUNT($V17:$Z17)=0,"",SUM($V17:$Z17)))</f>
        <v/>
      </c>
      <c r="AB17" s="17">
        <f>IF($B17="","",IF($AA17="","",IF(cfgPTFinalMinPoints=0,"(rubric pending)",IF(COUNT($V17:$Z17)&lt;5,"Incomplete",IF($AA17&gt;=cfgPTFinalMinPoints,"Yes","No")))))</f>
        <v/>
      </c>
      <c r="AC17" s="17">
        <f>IF($B17="","",_xlfn.LET(_xlpm.pu,IF(COUNT($F17,$O17)=2,IFERROR(($O17-$F17)/$F17,""),""),_xlpm.su,IF(COUNT($G17,$P17)=2,IFERROR(($P17-$G17)/$G17,""),""),_xlpm.ag,IF(COUNT($H17,$Q17)=2,IFERROR(($H17-$Q17)/$H17,""),""),_xlpm.mi,IF(COUNT($I17,$R17)=2,IFERROR(($I17-$R17)/$I17,""),""),_xlpm.tm,IF(COUNT($J17,$S17)=2,IFERROR(($J17-$S17)/$J17,""),""),_xlpm.vals,IFERROR(_xlfn._xlws.FILTER(_xlfn.HSTACK(_xlpm.pu,_xlpm.su,_xlpm.ag,_xlpm.mi,_xlpm.tm),ISNUMBER(_xlfn.HSTACK(_xlpm.pu,_xlpm.su,_xlpm.ag,_xlpm.mi,_xlpm.tm))),""),IF(COUNT(_xlpm.vals)=0,"",ROUND(AVERAGE(_xlpm.vals)*100,1))))</f>
        <v/>
      </c>
      <c r="AD17" s="17">
        <f>IF(Cadets!$B17="","",Cadets!$I17)</f>
        <v/>
      </c>
    </row>
    <row r="18">
      <c r="B18" s="17">
        <f>IF(Cadets!$B18="","",Cadets!$B18)</f>
        <v/>
      </c>
      <c r="C18" s="17">
        <f>IF(Cadets!$B18="","",Cadets!$F18)</f>
        <v/>
      </c>
      <c r="D18" s="16" t="n"/>
      <c r="E18" s="16" t="n"/>
      <c r="F18" s="16" t="n"/>
      <c r="G18" s="16" t="n"/>
      <c r="H18" s="16" t="n"/>
      <c r="I18" s="16" t="n"/>
      <c r="J18" s="16" t="n"/>
      <c r="K18" s="16" t="n"/>
      <c r="L18" s="16" t="n"/>
      <c r="M18" s="16" t="n"/>
      <c r="N18" s="16" t="n"/>
      <c r="O18" s="16" t="n"/>
      <c r="P18" s="16" t="n"/>
      <c r="Q18" s="16" t="n"/>
      <c r="R18" s="16" t="n"/>
      <c r="S18" s="16" t="n"/>
      <c r="T18" s="17">
        <f>IF($B18="","","n/a (baseline only)")</f>
        <v/>
      </c>
      <c r="U18" s="17">
        <f>IF($B18="","","n/a")</f>
        <v/>
      </c>
      <c r="V18" s="17">
        <f>IF($B18="","",IF($O18="","",IF(COUNT(INDEX(nrPTBands,1,0))&lt;5,"",SUMPRODUCT(MAX(($O18&gt;=INDEX(nrPTBands,1,0))*nrPTTierPts)))))</f>
        <v/>
      </c>
      <c r="W18" s="17">
        <f>IF($B18="","",IF($P18="","",IF(COUNT(INDEX(nrPTBands,2,0))&lt;5,"",SUMPRODUCT(MAX(($P18&gt;=INDEX(nrPTBands,2,0))*nrPTTierPts)))))</f>
        <v/>
      </c>
      <c r="X18" s="17">
        <f>IF($B18="","",IF($Q18="","",IF(COUNT(INDEX(nrPTBands,3,0))&lt;5,"",SUMPRODUCT(MAX(($Q18&lt;=INDEX(nrPTBands,3,0))*nrPTTierPts)))))</f>
        <v/>
      </c>
      <c r="Y18" s="17">
        <f>IF($B18="","",IF($R18="","",IF(COUNT(INDEX(nrPTBands,4,0))&lt;5,"",SUMPRODUCT(MAX(($R18*60&lt;=INDEX(nrPTBands,4,0))*nrPTTierPts)))))</f>
        <v/>
      </c>
      <c r="Z18" s="17">
        <f>IF($B18="","",IF($S18="","",IF(COUNT(INDEX(nrPTBands,5,0))&lt;5,"",SUMPRODUCT(MAX(($S18&lt;=INDEX(nrPTBands,5,0))*nrPTTierPts)))))</f>
        <v/>
      </c>
      <c r="AA18" s="17">
        <f>IF($B18="","",IF(COUNT($V18:$Z18)=0,"",SUM($V18:$Z18)))</f>
        <v/>
      </c>
      <c r="AB18" s="17">
        <f>IF($B18="","",IF($AA18="","",IF(cfgPTFinalMinPoints=0,"(rubric pending)",IF(COUNT($V18:$Z18)&lt;5,"Incomplete",IF($AA18&gt;=cfgPTFinalMinPoints,"Yes","No")))))</f>
        <v/>
      </c>
      <c r="AC18" s="17">
        <f>IF($B18="","",_xlfn.LET(_xlpm.pu,IF(COUNT($F18,$O18)=2,IFERROR(($O18-$F18)/$F18,""),""),_xlpm.su,IF(COUNT($G18,$P18)=2,IFERROR(($P18-$G18)/$G18,""),""),_xlpm.ag,IF(COUNT($H18,$Q18)=2,IFERROR(($H18-$Q18)/$H18,""),""),_xlpm.mi,IF(COUNT($I18,$R18)=2,IFERROR(($I18-$R18)/$I18,""),""),_xlpm.tm,IF(COUNT($J18,$S18)=2,IFERROR(($J18-$S18)/$J18,""),""),_xlpm.vals,IFERROR(_xlfn._xlws.FILTER(_xlfn.HSTACK(_xlpm.pu,_xlpm.su,_xlpm.ag,_xlpm.mi,_xlpm.tm),ISNUMBER(_xlfn.HSTACK(_xlpm.pu,_xlpm.su,_xlpm.ag,_xlpm.mi,_xlpm.tm))),""),IF(COUNT(_xlpm.vals)=0,"",ROUND(AVERAGE(_xlpm.vals)*100,1))))</f>
        <v/>
      </c>
      <c r="AD18" s="17">
        <f>IF(Cadets!$B18="","",Cadets!$I18)</f>
        <v/>
      </c>
    </row>
    <row r="19">
      <c r="B19" s="17">
        <f>IF(Cadets!$B19="","",Cadets!$B19)</f>
        <v/>
      </c>
      <c r="C19" s="17">
        <f>IF(Cadets!$B19="","",Cadets!$F19)</f>
        <v/>
      </c>
      <c r="D19" s="16" t="n"/>
      <c r="E19" s="16" t="n"/>
      <c r="F19" s="16" t="n"/>
      <c r="G19" s="16" t="n"/>
      <c r="H19" s="16" t="n"/>
      <c r="I19" s="16" t="n"/>
      <c r="J19" s="16" t="n"/>
      <c r="K19" s="16" t="n"/>
      <c r="L19" s="16" t="n"/>
      <c r="M19" s="16" t="n"/>
      <c r="N19" s="16" t="n"/>
      <c r="O19" s="16" t="n"/>
      <c r="P19" s="16" t="n"/>
      <c r="Q19" s="16" t="n"/>
      <c r="R19" s="16" t="n"/>
      <c r="S19" s="16" t="n"/>
      <c r="T19" s="17">
        <f>IF($B19="","","n/a (baseline only)")</f>
        <v/>
      </c>
      <c r="U19" s="17">
        <f>IF($B19="","","n/a")</f>
        <v/>
      </c>
      <c r="V19" s="17">
        <f>IF($B19="","",IF($O19="","",IF(COUNT(INDEX(nrPTBands,1,0))&lt;5,"",SUMPRODUCT(MAX(($O19&gt;=INDEX(nrPTBands,1,0))*nrPTTierPts)))))</f>
        <v/>
      </c>
      <c r="W19" s="17">
        <f>IF($B19="","",IF($P19="","",IF(COUNT(INDEX(nrPTBands,2,0))&lt;5,"",SUMPRODUCT(MAX(($P19&gt;=INDEX(nrPTBands,2,0))*nrPTTierPts)))))</f>
        <v/>
      </c>
      <c r="X19" s="17">
        <f>IF($B19="","",IF($Q19="","",IF(COUNT(INDEX(nrPTBands,3,0))&lt;5,"",SUMPRODUCT(MAX(($Q19&lt;=INDEX(nrPTBands,3,0))*nrPTTierPts)))))</f>
        <v/>
      </c>
      <c r="Y19" s="17">
        <f>IF($B19="","",IF($R19="","",IF(COUNT(INDEX(nrPTBands,4,0))&lt;5,"",SUMPRODUCT(MAX(($R19*60&lt;=INDEX(nrPTBands,4,0))*nrPTTierPts)))))</f>
        <v/>
      </c>
      <c r="Z19" s="17">
        <f>IF($B19="","",IF($S19="","",IF(COUNT(INDEX(nrPTBands,5,0))&lt;5,"",SUMPRODUCT(MAX(($S19&lt;=INDEX(nrPTBands,5,0))*nrPTTierPts)))))</f>
        <v/>
      </c>
      <c r="AA19" s="17">
        <f>IF($B19="","",IF(COUNT($V19:$Z19)=0,"",SUM($V19:$Z19)))</f>
        <v/>
      </c>
      <c r="AB19" s="17">
        <f>IF($B19="","",IF($AA19="","",IF(cfgPTFinalMinPoints=0,"(rubric pending)",IF(COUNT($V19:$Z19)&lt;5,"Incomplete",IF($AA19&gt;=cfgPTFinalMinPoints,"Yes","No")))))</f>
        <v/>
      </c>
      <c r="AC19" s="17">
        <f>IF($B19="","",_xlfn.LET(_xlpm.pu,IF(COUNT($F19,$O19)=2,IFERROR(($O19-$F19)/$F19,""),""),_xlpm.su,IF(COUNT($G19,$P19)=2,IFERROR(($P19-$G19)/$G19,""),""),_xlpm.ag,IF(COUNT($H19,$Q19)=2,IFERROR(($H19-$Q19)/$H19,""),""),_xlpm.mi,IF(COUNT($I19,$R19)=2,IFERROR(($I19-$R19)/$I19,""),""),_xlpm.tm,IF(COUNT($J19,$S19)=2,IFERROR(($J19-$S19)/$J19,""),""),_xlpm.vals,IFERROR(_xlfn._xlws.FILTER(_xlfn.HSTACK(_xlpm.pu,_xlpm.su,_xlpm.ag,_xlpm.mi,_xlpm.tm),ISNUMBER(_xlfn.HSTACK(_xlpm.pu,_xlpm.su,_xlpm.ag,_xlpm.mi,_xlpm.tm))),""),IF(COUNT(_xlpm.vals)=0,"",ROUND(AVERAGE(_xlpm.vals)*100,1))))</f>
        <v/>
      </c>
      <c r="AD19" s="17">
        <f>IF(Cadets!$B19="","",Cadets!$I19)</f>
        <v/>
      </c>
    </row>
    <row r="20">
      <c r="B20" s="17">
        <f>IF(Cadets!$B20="","",Cadets!$B20)</f>
        <v/>
      </c>
      <c r="C20" s="17">
        <f>IF(Cadets!$B20="","",Cadets!$F20)</f>
        <v/>
      </c>
      <c r="D20" s="16" t="n"/>
      <c r="E20" s="16" t="n"/>
      <c r="F20" s="16" t="n"/>
      <c r="G20" s="16" t="n"/>
      <c r="H20" s="16" t="n"/>
      <c r="I20" s="16" t="n"/>
      <c r="J20" s="16" t="n"/>
      <c r="K20" s="16" t="n"/>
      <c r="L20" s="16" t="n"/>
      <c r="M20" s="16" t="n"/>
      <c r="N20" s="16" t="n"/>
      <c r="O20" s="16" t="n"/>
      <c r="P20" s="16" t="n"/>
      <c r="Q20" s="16" t="n"/>
      <c r="R20" s="16" t="n"/>
      <c r="S20" s="16" t="n"/>
      <c r="T20" s="17">
        <f>IF($B20="","","n/a (baseline only)")</f>
        <v/>
      </c>
      <c r="U20" s="17">
        <f>IF($B20="","","n/a")</f>
        <v/>
      </c>
      <c r="V20" s="17">
        <f>IF($B20="","",IF($O20="","",IF(COUNT(INDEX(nrPTBands,1,0))&lt;5,"",SUMPRODUCT(MAX(($O20&gt;=INDEX(nrPTBands,1,0))*nrPTTierPts)))))</f>
        <v/>
      </c>
      <c r="W20" s="17">
        <f>IF($B20="","",IF($P20="","",IF(COUNT(INDEX(nrPTBands,2,0))&lt;5,"",SUMPRODUCT(MAX(($P20&gt;=INDEX(nrPTBands,2,0))*nrPTTierPts)))))</f>
        <v/>
      </c>
      <c r="X20" s="17">
        <f>IF($B20="","",IF($Q20="","",IF(COUNT(INDEX(nrPTBands,3,0))&lt;5,"",SUMPRODUCT(MAX(($Q20&lt;=INDEX(nrPTBands,3,0))*nrPTTierPts)))))</f>
        <v/>
      </c>
      <c r="Y20" s="17">
        <f>IF($B20="","",IF($R20="","",IF(COUNT(INDEX(nrPTBands,4,0))&lt;5,"",SUMPRODUCT(MAX(($R20*60&lt;=INDEX(nrPTBands,4,0))*nrPTTierPts)))))</f>
        <v/>
      </c>
      <c r="Z20" s="17">
        <f>IF($B20="","",IF($S20="","",IF(COUNT(INDEX(nrPTBands,5,0))&lt;5,"",SUMPRODUCT(MAX(($S20&lt;=INDEX(nrPTBands,5,0))*nrPTTierPts)))))</f>
        <v/>
      </c>
      <c r="AA20" s="17">
        <f>IF($B20="","",IF(COUNT($V20:$Z20)=0,"",SUM($V20:$Z20)))</f>
        <v/>
      </c>
      <c r="AB20" s="17">
        <f>IF($B20="","",IF($AA20="","",IF(cfgPTFinalMinPoints=0,"(rubric pending)",IF(COUNT($V20:$Z20)&lt;5,"Incomplete",IF($AA20&gt;=cfgPTFinalMinPoints,"Yes","No")))))</f>
        <v/>
      </c>
      <c r="AC20" s="17">
        <f>IF($B20="","",_xlfn.LET(_xlpm.pu,IF(COUNT($F20,$O20)=2,IFERROR(($O20-$F20)/$F20,""),""),_xlpm.su,IF(COUNT($G20,$P20)=2,IFERROR(($P20-$G20)/$G20,""),""),_xlpm.ag,IF(COUNT($H20,$Q20)=2,IFERROR(($H20-$Q20)/$H20,""),""),_xlpm.mi,IF(COUNT($I20,$R20)=2,IFERROR(($I20-$R20)/$I20,""),""),_xlpm.tm,IF(COUNT($J20,$S20)=2,IFERROR(($J20-$S20)/$J20,""),""),_xlpm.vals,IFERROR(_xlfn._xlws.FILTER(_xlfn.HSTACK(_xlpm.pu,_xlpm.su,_xlpm.ag,_xlpm.mi,_xlpm.tm),ISNUMBER(_xlfn.HSTACK(_xlpm.pu,_xlpm.su,_xlpm.ag,_xlpm.mi,_xlpm.tm))),""),IF(COUNT(_xlpm.vals)=0,"",ROUND(AVERAGE(_xlpm.vals)*100,1))))</f>
        <v/>
      </c>
      <c r="AD20" s="17">
        <f>IF(Cadets!$B20="","",Cadets!$I20)</f>
        <v/>
      </c>
    </row>
    <row r="21">
      <c r="B21" s="17">
        <f>IF(Cadets!$B21="","",Cadets!$B21)</f>
        <v/>
      </c>
      <c r="C21" s="17">
        <f>IF(Cadets!$B21="","",Cadets!$F21)</f>
        <v/>
      </c>
      <c r="D21" s="16" t="n"/>
      <c r="E21" s="16" t="n"/>
      <c r="F21" s="16" t="n"/>
      <c r="G21" s="16" t="n"/>
      <c r="H21" s="16" t="n"/>
      <c r="I21" s="16" t="n"/>
      <c r="J21" s="16" t="n"/>
      <c r="K21" s="16" t="n"/>
      <c r="L21" s="16" t="n"/>
      <c r="M21" s="16" t="n"/>
      <c r="N21" s="16" t="n"/>
      <c r="O21" s="16" t="n"/>
      <c r="P21" s="16" t="n"/>
      <c r="Q21" s="16" t="n"/>
      <c r="R21" s="16" t="n"/>
      <c r="S21" s="16" t="n"/>
      <c r="T21" s="17">
        <f>IF($B21="","","n/a (baseline only)")</f>
        <v/>
      </c>
      <c r="U21" s="17">
        <f>IF($B21="","","n/a")</f>
        <v/>
      </c>
      <c r="V21" s="17">
        <f>IF($B21="","",IF($O21="","",IF(COUNT(INDEX(nrPTBands,1,0))&lt;5,"",SUMPRODUCT(MAX(($O21&gt;=INDEX(nrPTBands,1,0))*nrPTTierPts)))))</f>
        <v/>
      </c>
      <c r="W21" s="17">
        <f>IF($B21="","",IF($P21="","",IF(COUNT(INDEX(nrPTBands,2,0))&lt;5,"",SUMPRODUCT(MAX(($P21&gt;=INDEX(nrPTBands,2,0))*nrPTTierPts)))))</f>
        <v/>
      </c>
      <c r="X21" s="17">
        <f>IF($B21="","",IF($Q21="","",IF(COUNT(INDEX(nrPTBands,3,0))&lt;5,"",SUMPRODUCT(MAX(($Q21&lt;=INDEX(nrPTBands,3,0))*nrPTTierPts)))))</f>
        <v/>
      </c>
      <c r="Y21" s="17">
        <f>IF($B21="","",IF($R21="","",IF(COUNT(INDEX(nrPTBands,4,0))&lt;5,"",SUMPRODUCT(MAX(($R21*60&lt;=INDEX(nrPTBands,4,0))*nrPTTierPts)))))</f>
        <v/>
      </c>
      <c r="Z21" s="17">
        <f>IF($B21="","",IF($S21="","",IF(COUNT(INDEX(nrPTBands,5,0))&lt;5,"",SUMPRODUCT(MAX(($S21&lt;=INDEX(nrPTBands,5,0))*nrPTTierPts)))))</f>
        <v/>
      </c>
      <c r="AA21" s="17">
        <f>IF($B21="","",IF(COUNT($V21:$Z21)=0,"",SUM($V21:$Z21)))</f>
        <v/>
      </c>
      <c r="AB21" s="17">
        <f>IF($B21="","",IF($AA21="","",IF(cfgPTFinalMinPoints=0,"(rubric pending)",IF(COUNT($V21:$Z21)&lt;5,"Incomplete",IF($AA21&gt;=cfgPTFinalMinPoints,"Yes","No")))))</f>
        <v/>
      </c>
      <c r="AC21" s="17">
        <f>IF($B21="","",_xlfn.LET(_xlpm.pu,IF(COUNT($F21,$O21)=2,IFERROR(($O21-$F21)/$F21,""),""),_xlpm.su,IF(COUNT($G21,$P21)=2,IFERROR(($P21-$G21)/$G21,""),""),_xlpm.ag,IF(COUNT($H21,$Q21)=2,IFERROR(($H21-$Q21)/$H21,""),""),_xlpm.mi,IF(COUNT($I21,$R21)=2,IFERROR(($I21-$R21)/$I21,""),""),_xlpm.tm,IF(COUNT($J21,$S21)=2,IFERROR(($J21-$S21)/$J21,""),""),_xlpm.vals,IFERROR(_xlfn._xlws.FILTER(_xlfn.HSTACK(_xlpm.pu,_xlpm.su,_xlpm.ag,_xlpm.mi,_xlpm.tm),ISNUMBER(_xlfn.HSTACK(_xlpm.pu,_xlpm.su,_xlpm.ag,_xlpm.mi,_xlpm.tm))),""),IF(COUNT(_xlpm.vals)=0,"",ROUND(AVERAGE(_xlpm.vals)*100,1))))</f>
        <v/>
      </c>
      <c r="AD21" s="17">
        <f>IF(Cadets!$B21="","",Cadets!$I21)</f>
        <v/>
      </c>
    </row>
    <row r="22">
      <c r="B22" s="17">
        <f>IF(Cadets!$B22="","",Cadets!$B22)</f>
        <v/>
      </c>
      <c r="C22" s="17">
        <f>IF(Cadets!$B22="","",Cadets!$F22)</f>
        <v/>
      </c>
      <c r="D22" s="16" t="n"/>
      <c r="E22" s="16" t="n"/>
      <c r="F22" s="16" t="n"/>
      <c r="G22" s="16" t="n"/>
      <c r="H22" s="16" t="n"/>
      <c r="I22" s="16" t="n"/>
      <c r="J22" s="16" t="n"/>
      <c r="K22" s="16" t="n"/>
      <c r="L22" s="16" t="n"/>
      <c r="M22" s="16" t="n"/>
      <c r="N22" s="16" t="n"/>
      <c r="O22" s="16" t="n"/>
      <c r="P22" s="16" t="n"/>
      <c r="Q22" s="16" t="n"/>
      <c r="R22" s="16" t="n"/>
      <c r="S22" s="16" t="n"/>
      <c r="T22" s="17">
        <f>IF($B22="","","n/a (baseline only)")</f>
        <v/>
      </c>
      <c r="U22" s="17">
        <f>IF($B22="","","n/a")</f>
        <v/>
      </c>
      <c r="V22" s="17">
        <f>IF($B22="","",IF($O22="","",IF(COUNT(INDEX(nrPTBands,1,0))&lt;5,"",SUMPRODUCT(MAX(($O22&gt;=INDEX(nrPTBands,1,0))*nrPTTierPts)))))</f>
        <v/>
      </c>
      <c r="W22" s="17">
        <f>IF($B22="","",IF($P22="","",IF(COUNT(INDEX(nrPTBands,2,0))&lt;5,"",SUMPRODUCT(MAX(($P22&gt;=INDEX(nrPTBands,2,0))*nrPTTierPts)))))</f>
        <v/>
      </c>
      <c r="X22" s="17">
        <f>IF($B22="","",IF($Q22="","",IF(COUNT(INDEX(nrPTBands,3,0))&lt;5,"",SUMPRODUCT(MAX(($Q22&lt;=INDEX(nrPTBands,3,0))*nrPTTierPts)))))</f>
        <v/>
      </c>
      <c r="Y22" s="17">
        <f>IF($B22="","",IF($R22="","",IF(COUNT(INDEX(nrPTBands,4,0))&lt;5,"",SUMPRODUCT(MAX(($R22*60&lt;=INDEX(nrPTBands,4,0))*nrPTTierPts)))))</f>
        <v/>
      </c>
      <c r="Z22" s="17">
        <f>IF($B22="","",IF($S22="","",IF(COUNT(INDEX(nrPTBands,5,0))&lt;5,"",SUMPRODUCT(MAX(($S22&lt;=INDEX(nrPTBands,5,0))*nrPTTierPts)))))</f>
        <v/>
      </c>
      <c r="AA22" s="17">
        <f>IF($B22="","",IF(COUNT($V22:$Z22)=0,"",SUM($V22:$Z22)))</f>
        <v/>
      </c>
      <c r="AB22" s="17">
        <f>IF($B22="","",IF($AA22="","",IF(cfgPTFinalMinPoints=0,"(rubric pending)",IF(COUNT($V22:$Z22)&lt;5,"Incomplete",IF($AA22&gt;=cfgPTFinalMinPoints,"Yes","No")))))</f>
        <v/>
      </c>
      <c r="AC22" s="17">
        <f>IF($B22="","",_xlfn.LET(_xlpm.pu,IF(COUNT($F22,$O22)=2,IFERROR(($O22-$F22)/$F22,""),""),_xlpm.su,IF(COUNT($G22,$P22)=2,IFERROR(($P22-$G22)/$G22,""),""),_xlpm.ag,IF(COUNT($H22,$Q22)=2,IFERROR(($H22-$Q22)/$H22,""),""),_xlpm.mi,IF(COUNT($I22,$R22)=2,IFERROR(($I22-$R22)/$I22,""),""),_xlpm.tm,IF(COUNT($J22,$S22)=2,IFERROR(($J22-$S22)/$J22,""),""),_xlpm.vals,IFERROR(_xlfn._xlws.FILTER(_xlfn.HSTACK(_xlpm.pu,_xlpm.su,_xlpm.ag,_xlpm.mi,_xlpm.tm),ISNUMBER(_xlfn.HSTACK(_xlpm.pu,_xlpm.su,_xlpm.ag,_xlpm.mi,_xlpm.tm))),""),IF(COUNT(_xlpm.vals)=0,"",ROUND(AVERAGE(_xlpm.vals)*100,1))))</f>
        <v/>
      </c>
      <c r="AD22" s="17">
        <f>IF(Cadets!$B22="","",Cadets!$I22)</f>
        <v/>
      </c>
    </row>
    <row r="23">
      <c r="B23" s="17">
        <f>IF(Cadets!$B23="","",Cadets!$B23)</f>
        <v/>
      </c>
      <c r="C23" s="17">
        <f>IF(Cadets!$B23="","",Cadets!$F23)</f>
        <v/>
      </c>
      <c r="D23" s="16" t="n"/>
      <c r="E23" s="16" t="n"/>
      <c r="F23" s="16" t="n"/>
      <c r="G23" s="16" t="n"/>
      <c r="H23" s="16" t="n"/>
      <c r="I23" s="16" t="n"/>
      <c r="J23" s="16" t="n"/>
      <c r="K23" s="16" t="n"/>
      <c r="L23" s="16" t="n"/>
      <c r="M23" s="16" t="n"/>
      <c r="N23" s="16" t="n"/>
      <c r="O23" s="16" t="n"/>
      <c r="P23" s="16" t="n"/>
      <c r="Q23" s="16" t="n"/>
      <c r="R23" s="16" t="n"/>
      <c r="S23" s="16" t="n"/>
      <c r="T23" s="17">
        <f>IF($B23="","","n/a (baseline only)")</f>
        <v/>
      </c>
      <c r="U23" s="17">
        <f>IF($B23="","","n/a")</f>
        <v/>
      </c>
      <c r="V23" s="17">
        <f>IF($B23="","",IF($O23="","",IF(COUNT(INDEX(nrPTBands,1,0))&lt;5,"",SUMPRODUCT(MAX(($O23&gt;=INDEX(nrPTBands,1,0))*nrPTTierPts)))))</f>
        <v/>
      </c>
      <c r="W23" s="17">
        <f>IF($B23="","",IF($P23="","",IF(COUNT(INDEX(nrPTBands,2,0))&lt;5,"",SUMPRODUCT(MAX(($P23&gt;=INDEX(nrPTBands,2,0))*nrPTTierPts)))))</f>
        <v/>
      </c>
      <c r="X23" s="17">
        <f>IF($B23="","",IF($Q23="","",IF(COUNT(INDEX(nrPTBands,3,0))&lt;5,"",SUMPRODUCT(MAX(($Q23&lt;=INDEX(nrPTBands,3,0))*nrPTTierPts)))))</f>
        <v/>
      </c>
      <c r="Y23" s="17">
        <f>IF($B23="","",IF($R23="","",IF(COUNT(INDEX(nrPTBands,4,0))&lt;5,"",SUMPRODUCT(MAX(($R23*60&lt;=INDEX(nrPTBands,4,0))*nrPTTierPts)))))</f>
        <v/>
      </c>
      <c r="Z23" s="17">
        <f>IF($B23="","",IF($S23="","",IF(COUNT(INDEX(nrPTBands,5,0))&lt;5,"",SUMPRODUCT(MAX(($S23&lt;=INDEX(nrPTBands,5,0))*nrPTTierPts)))))</f>
        <v/>
      </c>
      <c r="AA23" s="17">
        <f>IF($B23="","",IF(COUNT($V23:$Z23)=0,"",SUM($V23:$Z23)))</f>
        <v/>
      </c>
      <c r="AB23" s="17">
        <f>IF($B23="","",IF($AA23="","",IF(cfgPTFinalMinPoints=0,"(rubric pending)",IF(COUNT($V23:$Z23)&lt;5,"Incomplete",IF($AA23&gt;=cfgPTFinalMinPoints,"Yes","No")))))</f>
        <v/>
      </c>
      <c r="AC23" s="17">
        <f>IF($B23="","",_xlfn.LET(_xlpm.pu,IF(COUNT($F23,$O23)=2,IFERROR(($O23-$F23)/$F23,""),""),_xlpm.su,IF(COUNT($G23,$P23)=2,IFERROR(($P23-$G23)/$G23,""),""),_xlpm.ag,IF(COUNT($H23,$Q23)=2,IFERROR(($H23-$Q23)/$H23,""),""),_xlpm.mi,IF(COUNT($I23,$R23)=2,IFERROR(($I23-$R23)/$I23,""),""),_xlpm.tm,IF(COUNT($J23,$S23)=2,IFERROR(($J23-$S23)/$J23,""),""),_xlpm.vals,IFERROR(_xlfn._xlws.FILTER(_xlfn.HSTACK(_xlpm.pu,_xlpm.su,_xlpm.ag,_xlpm.mi,_xlpm.tm),ISNUMBER(_xlfn.HSTACK(_xlpm.pu,_xlpm.su,_xlpm.ag,_xlpm.mi,_xlpm.tm))),""),IF(COUNT(_xlpm.vals)=0,"",ROUND(AVERAGE(_xlpm.vals)*100,1))))</f>
        <v/>
      </c>
      <c r="AD23" s="17">
        <f>IF(Cadets!$B23="","",Cadets!$I23)</f>
        <v/>
      </c>
    </row>
    <row r="24">
      <c r="B24" s="17">
        <f>IF(Cadets!$B24="","",Cadets!$B24)</f>
        <v/>
      </c>
      <c r="C24" s="17">
        <f>IF(Cadets!$B24="","",Cadets!$F24)</f>
        <v/>
      </c>
      <c r="D24" s="16" t="n"/>
      <c r="E24" s="16" t="n"/>
      <c r="F24" s="16" t="n"/>
      <c r="G24" s="16" t="n"/>
      <c r="H24" s="16" t="n"/>
      <c r="I24" s="16" t="n"/>
      <c r="J24" s="16" t="n"/>
      <c r="K24" s="16" t="n"/>
      <c r="L24" s="16" t="n"/>
      <c r="M24" s="16" t="n"/>
      <c r="N24" s="16" t="n"/>
      <c r="O24" s="16" t="n"/>
      <c r="P24" s="16" t="n"/>
      <c r="Q24" s="16" t="n"/>
      <c r="R24" s="16" t="n"/>
      <c r="S24" s="16" t="n"/>
      <c r="T24" s="17">
        <f>IF($B24="","","n/a (baseline only)")</f>
        <v/>
      </c>
      <c r="U24" s="17">
        <f>IF($B24="","","n/a")</f>
        <v/>
      </c>
      <c r="V24" s="17">
        <f>IF($B24="","",IF($O24="","",IF(COUNT(INDEX(nrPTBands,1,0))&lt;5,"",SUMPRODUCT(MAX(($O24&gt;=INDEX(nrPTBands,1,0))*nrPTTierPts)))))</f>
        <v/>
      </c>
      <c r="W24" s="17">
        <f>IF($B24="","",IF($P24="","",IF(COUNT(INDEX(nrPTBands,2,0))&lt;5,"",SUMPRODUCT(MAX(($P24&gt;=INDEX(nrPTBands,2,0))*nrPTTierPts)))))</f>
        <v/>
      </c>
      <c r="X24" s="17">
        <f>IF($B24="","",IF($Q24="","",IF(COUNT(INDEX(nrPTBands,3,0))&lt;5,"",SUMPRODUCT(MAX(($Q24&lt;=INDEX(nrPTBands,3,0))*nrPTTierPts)))))</f>
        <v/>
      </c>
      <c r="Y24" s="17">
        <f>IF($B24="","",IF($R24="","",IF(COUNT(INDEX(nrPTBands,4,0))&lt;5,"",SUMPRODUCT(MAX(($R24*60&lt;=INDEX(nrPTBands,4,0))*nrPTTierPts)))))</f>
        <v/>
      </c>
      <c r="Z24" s="17">
        <f>IF($B24="","",IF($S24="","",IF(COUNT(INDEX(nrPTBands,5,0))&lt;5,"",SUMPRODUCT(MAX(($S24&lt;=INDEX(nrPTBands,5,0))*nrPTTierPts)))))</f>
        <v/>
      </c>
      <c r="AA24" s="17">
        <f>IF($B24="","",IF(COUNT($V24:$Z24)=0,"",SUM($V24:$Z24)))</f>
        <v/>
      </c>
      <c r="AB24" s="17">
        <f>IF($B24="","",IF($AA24="","",IF(cfgPTFinalMinPoints=0,"(rubric pending)",IF(COUNT($V24:$Z24)&lt;5,"Incomplete",IF($AA24&gt;=cfgPTFinalMinPoints,"Yes","No")))))</f>
        <v/>
      </c>
      <c r="AC24" s="17">
        <f>IF($B24="","",_xlfn.LET(_xlpm.pu,IF(COUNT($F24,$O24)=2,IFERROR(($O24-$F24)/$F24,""),""),_xlpm.su,IF(COUNT($G24,$P24)=2,IFERROR(($P24-$G24)/$G24,""),""),_xlpm.ag,IF(COUNT($H24,$Q24)=2,IFERROR(($H24-$Q24)/$H24,""),""),_xlpm.mi,IF(COUNT($I24,$R24)=2,IFERROR(($I24-$R24)/$I24,""),""),_xlpm.tm,IF(COUNT($J24,$S24)=2,IFERROR(($J24-$S24)/$J24,""),""),_xlpm.vals,IFERROR(_xlfn._xlws.FILTER(_xlfn.HSTACK(_xlpm.pu,_xlpm.su,_xlpm.ag,_xlpm.mi,_xlpm.tm),ISNUMBER(_xlfn.HSTACK(_xlpm.pu,_xlpm.su,_xlpm.ag,_xlpm.mi,_xlpm.tm))),""),IF(COUNT(_xlpm.vals)=0,"",ROUND(AVERAGE(_xlpm.vals)*100,1))))</f>
        <v/>
      </c>
      <c r="AD24" s="17">
        <f>IF(Cadets!$B24="","",Cadets!$I24)</f>
        <v/>
      </c>
    </row>
    <row r="25">
      <c r="B25" s="17">
        <f>IF(Cadets!$B25="","",Cadets!$B25)</f>
        <v/>
      </c>
      <c r="C25" s="17">
        <f>IF(Cadets!$B25="","",Cadets!$F25)</f>
        <v/>
      </c>
      <c r="D25" s="16" t="n"/>
      <c r="E25" s="16" t="n"/>
      <c r="F25" s="16" t="n"/>
      <c r="G25" s="16" t="n"/>
      <c r="H25" s="16" t="n"/>
      <c r="I25" s="16" t="n"/>
      <c r="J25" s="16" t="n"/>
      <c r="K25" s="16" t="n"/>
      <c r="L25" s="16" t="n"/>
      <c r="M25" s="16" t="n"/>
      <c r="N25" s="16" t="n"/>
      <c r="O25" s="16" t="n"/>
      <c r="P25" s="16" t="n"/>
      <c r="Q25" s="16" t="n"/>
      <c r="R25" s="16" t="n"/>
      <c r="S25" s="16" t="n"/>
      <c r="T25" s="17">
        <f>IF($B25="","","n/a (baseline only)")</f>
        <v/>
      </c>
      <c r="U25" s="17">
        <f>IF($B25="","","n/a")</f>
        <v/>
      </c>
      <c r="V25" s="17">
        <f>IF($B25="","",IF($O25="","",IF(COUNT(INDEX(nrPTBands,1,0))&lt;5,"",SUMPRODUCT(MAX(($O25&gt;=INDEX(nrPTBands,1,0))*nrPTTierPts)))))</f>
        <v/>
      </c>
      <c r="W25" s="17">
        <f>IF($B25="","",IF($P25="","",IF(COUNT(INDEX(nrPTBands,2,0))&lt;5,"",SUMPRODUCT(MAX(($P25&gt;=INDEX(nrPTBands,2,0))*nrPTTierPts)))))</f>
        <v/>
      </c>
      <c r="X25" s="17">
        <f>IF($B25="","",IF($Q25="","",IF(COUNT(INDEX(nrPTBands,3,0))&lt;5,"",SUMPRODUCT(MAX(($Q25&lt;=INDEX(nrPTBands,3,0))*nrPTTierPts)))))</f>
        <v/>
      </c>
      <c r="Y25" s="17">
        <f>IF($B25="","",IF($R25="","",IF(COUNT(INDEX(nrPTBands,4,0))&lt;5,"",SUMPRODUCT(MAX(($R25*60&lt;=INDEX(nrPTBands,4,0))*nrPTTierPts)))))</f>
        <v/>
      </c>
      <c r="Z25" s="17">
        <f>IF($B25="","",IF($S25="","",IF(COUNT(INDEX(nrPTBands,5,0))&lt;5,"",SUMPRODUCT(MAX(($S25&lt;=INDEX(nrPTBands,5,0))*nrPTTierPts)))))</f>
        <v/>
      </c>
      <c r="AA25" s="17">
        <f>IF($B25="","",IF(COUNT($V25:$Z25)=0,"",SUM($V25:$Z25)))</f>
        <v/>
      </c>
      <c r="AB25" s="17">
        <f>IF($B25="","",IF($AA25="","",IF(cfgPTFinalMinPoints=0,"(rubric pending)",IF(COUNT($V25:$Z25)&lt;5,"Incomplete",IF($AA25&gt;=cfgPTFinalMinPoints,"Yes","No")))))</f>
        <v/>
      </c>
      <c r="AC25" s="17">
        <f>IF($B25="","",_xlfn.LET(_xlpm.pu,IF(COUNT($F25,$O25)=2,IFERROR(($O25-$F25)/$F25,""),""),_xlpm.su,IF(COUNT($G25,$P25)=2,IFERROR(($P25-$G25)/$G25,""),""),_xlpm.ag,IF(COUNT($H25,$Q25)=2,IFERROR(($H25-$Q25)/$H25,""),""),_xlpm.mi,IF(COUNT($I25,$R25)=2,IFERROR(($I25-$R25)/$I25,""),""),_xlpm.tm,IF(COUNT($J25,$S25)=2,IFERROR(($J25-$S25)/$J25,""),""),_xlpm.vals,IFERROR(_xlfn._xlws.FILTER(_xlfn.HSTACK(_xlpm.pu,_xlpm.su,_xlpm.ag,_xlpm.mi,_xlpm.tm),ISNUMBER(_xlfn.HSTACK(_xlpm.pu,_xlpm.su,_xlpm.ag,_xlpm.mi,_xlpm.tm))),""),IF(COUNT(_xlpm.vals)=0,"",ROUND(AVERAGE(_xlpm.vals)*100,1))))</f>
        <v/>
      </c>
      <c r="AD25" s="17">
        <f>IF(Cadets!$B25="","",Cadets!$I25)</f>
        <v/>
      </c>
    </row>
    <row r="26">
      <c r="B26" s="17">
        <f>IF(Cadets!$B26="","",Cadets!$B26)</f>
        <v/>
      </c>
      <c r="C26" s="17">
        <f>IF(Cadets!$B26="","",Cadets!$F26)</f>
        <v/>
      </c>
      <c r="D26" s="16" t="n"/>
      <c r="E26" s="16" t="n"/>
      <c r="F26" s="16" t="n"/>
      <c r="G26" s="16" t="n"/>
      <c r="H26" s="16" t="n"/>
      <c r="I26" s="16" t="n"/>
      <c r="J26" s="16" t="n"/>
      <c r="K26" s="16" t="n"/>
      <c r="L26" s="16" t="n"/>
      <c r="M26" s="16" t="n"/>
      <c r="N26" s="16" t="n"/>
      <c r="O26" s="16" t="n"/>
      <c r="P26" s="16" t="n"/>
      <c r="Q26" s="16" t="n"/>
      <c r="R26" s="16" t="n"/>
      <c r="S26" s="16" t="n"/>
      <c r="T26" s="17">
        <f>IF($B26="","","n/a (baseline only)")</f>
        <v/>
      </c>
      <c r="U26" s="17">
        <f>IF($B26="","","n/a")</f>
        <v/>
      </c>
      <c r="V26" s="17">
        <f>IF($B26="","",IF($O26="","",IF(COUNT(INDEX(nrPTBands,1,0))&lt;5,"",SUMPRODUCT(MAX(($O26&gt;=INDEX(nrPTBands,1,0))*nrPTTierPts)))))</f>
        <v/>
      </c>
      <c r="W26" s="17">
        <f>IF($B26="","",IF($P26="","",IF(COUNT(INDEX(nrPTBands,2,0))&lt;5,"",SUMPRODUCT(MAX(($P26&gt;=INDEX(nrPTBands,2,0))*nrPTTierPts)))))</f>
        <v/>
      </c>
      <c r="X26" s="17">
        <f>IF($B26="","",IF($Q26="","",IF(COUNT(INDEX(nrPTBands,3,0))&lt;5,"",SUMPRODUCT(MAX(($Q26&lt;=INDEX(nrPTBands,3,0))*nrPTTierPts)))))</f>
        <v/>
      </c>
      <c r="Y26" s="17">
        <f>IF($B26="","",IF($R26="","",IF(COUNT(INDEX(nrPTBands,4,0))&lt;5,"",SUMPRODUCT(MAX(($R26*60&lt;=INDEX(nrPTBands,4,0))*nrPTTierPts)))))</f>
        <v/>
      </c>
      <c r="Z26" s="17">
        <f>IF($B26="","",IF($S26="","",IF(COUNT(INDEX(nrPTBands,5,0))&lt;5,"",SUMPRODUCT(MAX(($S26&lt;=INDEX(nrPTBands,5,0))*nrPTTierPts)))))</f>
        <v/>
      </c>
      <c r="AA26" s="17">
        <f>IF($B26="","",IF(COUNT($V26:$Z26)=0,"",SUM($V26:$Z26)))</f>
        <v/>
      </c>
      <c r="AB26" s="17">
        <f>IF($B26="","",IF($AA26="","",IF(cfgPTFinalMinPoints=0,"(rubric pending)",IF(COUNT($V26:$Z26)&lt;5,"Incomplete",IF($AA26&gt;=cfgPTFinalMinPoints,"Yes","No")))))</f>
        <v/>
      </c>
      <c r="AC26" s="17">
        <f>IF($B26="","",_xlfn.LET(_xlpm.pu,IF(COUNT($F26,$O26)=2,IFERROR(($O26-$F26)/$F26,""),""),_xlpm.su,IF(COUNT($G26,$P26)=2,IFERROR(($P26-$G26)/$G26,""),""),_xlpm.ag,IF(COUNT($H26,$Q26)=2,IFERROR(($H26-$Q26)/$H26,""),""),_xlpm.mi,IF(COUNT($I26,$R26)=2,IFERROR(($I26-$R26)/$I26,""),""),_xlpm.tm,IF(COUNT($J26,$S26)=2,IFERROR(($J26-$S26)/$J26,""),""),_xlpm.vals,IFERROR(_xlfn._xlws.FILTER(_xlfn.HSTACK(_xlpm.pu,_xlpm.su,_xlpm.ag,_xlpm.mi,_xlpm.tm),ISNUMBER(_xlfn.HSTACK(_xlpm.pu,_xlpm.su,_xlpm.ag,_xlpm.mi,_xlpm.tm))),""),IF(COUNT(_xlpm.vals)=0,"",ROUND(AVERAGE(_xlpm.vals)*100,1))))</f>
        <v/>
      </c>
      <c r="AD26" s="17">
        <f>IF(Cadets!$B26="","",Cadets!$I26)</f>
        <v/>
      </c>
    </row>
    <row r="27">
      <c r="B27" s="17">
        <f>IF(Cadets!$B27="","",Cadets!$B27)</f>
        <v/>
      </c>
      <c r="C27" s="17">
        <f>IF(Cadets!$B27="","",Cadets!$F27)</f>
        <v/>
      </c>
      <c r="D27" s="16" t="n"/>
      <c r="E27" s="16" t="n"/>
      <c r="F27" s="16" t="n"/>
      <c r="G27" s="16" t="n"/>
      <c r="H27" s="16" t="n"/>
      <c r="I27" s="16" t="n"/>
      <c r="J27" s="16" t="n"/>
      <c r="K27" s="16" t="n"/>
      <c r="L27" s="16" t="n"/>
      <c r="M27" s="16" t="n"/>
      <c r="N27" s="16" t="n"/>
      <c r="O27" s="16" t="n"/>
      <c r="P27" s="16" t="n"/>
      <c r="Q27" s="16" t="n"/>
      <c r="R27" s="16" t="n"/>
      <c r="S27" s="16" t="n"/>
      <c r="T27" s="17">
        <f>IF($B27="","","n/a (baseline only)")</f>
        <v/>
      </c>
      <c r="U27" s="17">
        <f>IF($B27="","","n/a")</f>
        <v/>
      </c>
      <c r="V27" s="17">
        <f>IF($B27="","",IF($O27="","",IF(COUNT(INDEX(nrPTBands,1,0))&lt;5,"",SUMPRODUCT(MAX(($O27&gt;=INDEX(nrPTBands,1,0))*nrPTTierPts)))))</f>
        <v/>
      </c>
      <c r="W27" s="17">
        <f>IF($B27="","",IF($P27="","",IF(COUNT(INDEX(nrPTBands,2,0))&lt;5,"",SUMPRODUCT(MAX(($P27&gt;=INDEX(nrPTBands,2,0))*nrPTTierPts)))))</f>
        <v/>
      </c>
      <c r="X27" s="17">
        <f>IF($B27="","",IF($Q27="","",IF(COUNT(INDEX(nrPTBands,3,0))&lt;5,"",SUMPRODUCT(MAX(($Q27&lt;=INDEX(nrPTBands,3,0))*nrPTTierPts)))))</f>
        <v/>
      </c>
      <c r="Y27" s="17">
        <f>IF($B27="","",IF($R27="","",IF(COUNT(INDEX(nrPTBands,4,0))&lt;5,"",SUMPRODUCT(MAX(($R27*60&lt;=INDEX(nrPTBands,4,0))*nrPTTierPts)))))</f>
        <v/>
      </c>
      <c r="Z27" s="17">
        <f>IF($B27="","",IF($S27="","",IF(COUNT(INDEX(nrPTBands,5,0))&lt;5,"",SUMPRODUCT(MAX(($S27&lt;=INDEX(nrPTBands,5,0))*nrPTTierPts)))))</f>
        <v/>
      </c>
      <c r="AA27" s="17">
        <f>IF($B27="","",IF(COUNT($V27:$Z27)=0,"",SUM($V27:$Z27)))</f>
        <v/>
      </c>
      <c r="AB27" s="17">
        <f>IF($B27="","",IF($AA27="","",IF(cfgPTFinalMinPoints=0,"(rubric pending)",IF(COUNT($V27:$Z27)&lt;5,"Incomplete",IF($AA27&gt;=cfgPTFinalMinPoints,"Yes","No")))))</f>
        <v/>
      </c>
      <c r="AC27" s="17">
        <f>IF($B27="","",_xlfn.LET(_xlpm.pu,IF(COUNT($F27,$O27)=2,IFERROR(($O27-$F27)/$F27,""),""),_xlpm.su,IF(COUNT($G27,$P27)=2,IFERROR(($P27-$G27)/$G27,""),""),_xlpm.ag,IF(COUNT($H27,$Q27)=2,IFERROR(($H27-$Q27)/$H27,""),""),_xlpm.mi,IF(COUNT($I27,$R27)=2,IFERROR(($I27-$R27)/$I27,""),""),_xlpm.tm,IF(COUNT($J27,$S27)=2,IFERROR(($J27-$S27)/$J27,""),""),_xlpm.vals,IFERROR(_xlfn._xlws.FILTER(_xlfn.HSTACK(_xlpm.pu,_xlpm.su,_xlpm.ag,_xlpm.mi,_xlpm.tm),ISNUMBER(_xlfn.HSTACK(_xlpm.pu,_xlpm.su,_xlpm.ag,_xlpm.mi,_xlpm.tm))),""),IF(COUNT(_xlpm.vals)=0,"",ROUND(AVERAGE(_xlpm.vals)*100,1))))</f>
        <v/>
      </c>
      <c r="AD27" s="17">
        <f>IF(Cadets!$B27="","",Cadets!$I27)</f>
        <v/>
      </c>
    </row>
    <row r="28">
      <c r="B28" s="17">
        <f>IF(Cadets!$B28="","",Cadets!$B28)</f>
        <v/>
      </c>
      <c r="C28" s="17">
        <f>IF(Cadets!$B28="","",Cadets!$F28)</f>
        <v/>
      </c>
      <c r="D28" s="16" t="n"/>
      <c r="E28" s="16" t="n"/>
      <c r="F28" s="16" t="n"/>
      <c r="G28" s="16" t="n"/>
      <c r="H28" s="16" t="n"/>
      <c r="I28" s="16" t="n"/>
      <c r="J28" s="16" t="n"/>
      <c r="K28" s="16" t="n"/>
      <c r="L28" s="16" t="n"/>
      <c r="M28" s="16" t="n"/>
      <c r="N28" s="16" t="n"/>
      <c r="O28" s="16" t="n"/>
      <c r="P28" s="16" t="n"/>
      <c r="Q28" s="16" t="n"/>
      <c r="R28" s="16" t="n"/>
      <c r="S28" s="16" t="n"/>
      <c r="T28" s="17">
        <f>IF($B28="","","n/a (baseline only)")</f>
        <v/>
      </c>
      <c r="U28" s="17">
        <f>IF($B28="","","n/a")</f>
        <v/>
      </c>
      <c r="V28" s="17">
        <f>IF($B28="","",IF($O28="","",IF(COUNT(INDEX(nrPTBands,1,0))&lt;5,"",SUMPRODUCT(MAX(($O28&gt;=INDEX(nrPTBands,1,0))*nrPTTierPts)))))</f>
        <v/>
      </c>
      <c r="W28" s="17">
        <f>IF($B28="","",IF($P28="","",IF(COUNT(INDEX(nrPTBands,2,0))&lt;5,"",SUMPRODUCT(MAX(($P28&gt;=INDEX(nrPTBands,2,0))*nrPTTierPts)))))</f>
        <v/>
      </c>
      <c r="X28" s="17">
        <f>IF($B28="","",IF($Q28="","",IF(COUNT(INDEX(nrPTBands,3,0))&lt;5,"",SUMPRODUCT(MAX(($Q28&lt;=INDEX(nrPTBands,3,0))*nrPTTierPts)))))</f>
        <v/>
      </c>
      <c r="Y28" s="17">
        <f>IF($B28="","",IF($R28="","",IF(COUNT(INDEX(nrPTBands,4,0))&lt;5,"",SUMPRODUCT(MAX(($R28*60&lt;=INDEX(nrPTBands,4,0))*nrPTTierPts)))))</f>
        <v/>
      </c>
      <c r="Z28" s="17">
        <f>IF($B28="","",IF($S28="","",IF(COUNT(INDEX(nrPTBands,5,0))&lt;5,"",SUMPRODUCT(MAX(($S28&lt;=INDEX(nrPTBands,5,0))*nrPTTierPts)))))</f>
        <v/>
      </c>
      <c r="AA28" s="17">
        <f>IF($B28="","",IF(COUNT($V28:$Z28)=0,"",SUM($V28:$Z28)))</f>
        <v/>
      </c>
      <c r="AB28" s="17">
        <f>IF($B28="","",IF($AA28="","",IF(cfgPTFinalMinPoints=0,"(rubric pending)",IF(COUNT($V28:$Z28)&lt;5,"Incomplete",IF($AA28&gt;=cfgPTFinalMinPoints,"Yes","No")))))</f>
        <v/>
      </c>
      <c r="AC28" s="17">
        <f>IF($B28="","",_xlfn.LET(_xlpm.pu,IF(COUNT($F28,$O28)=2,IFERROR(($O28-$F28)/$F28,""),""),_xlpm.su,IF(COUNT($G28,$P28)=2,IFERROR(($P28-$G28)/$G28,""),""),_xlpm.ag,IF(COUNT($H28,$Q28)=2,IFERROR(($H28-$Q28)/$H28,""),""),_xlpm.mi,IF(COUNT($I28,$R28)=2,IFERROR(($I28-$R28)/$I28,""),""),_xlpm.tm,IF(COUNT($J28,$S28)=2,IFERROR(($J28-$S28)/$J28,""),""),_xlpm.vals,IFERROR(_xlfn._xlws.FILTER(_xlfn.HSTACK(_xlpm.pu,_xlpm.su,_xlpm.ag,_xlpm.mi,_xlpm.tm),ISNUMBER(_xlfn.HSTACK(_xlpm.pu,_xlpm.su,_xlpm.ag,_xlpm.mi,_xlpm.tm))),""),IF(COUNT(_xlpm.vals)=0,"",ROUND(AVERAGE(_xlpm.vals)*100,1))))</f>
        <v/>
      </c>
      <c r="AD28" s="17">
        <f>IF(Cadets!$B28="","",Cadets!$I28)</f>
        <v/>
      </c>
    </row>
    <row r="29">
      <c r="B29" s="17">
        <f>IF(Cadets!$B29="","",Cadets!$B29)</f>
        <v/>
      </c>
      <c r="C29" s="17">
        <f>IF(Cadets!$B29="","",Cadets!$F29)</f>
        <v/>
      </c>
      <c r="D29" s="16" t="n"/>
      <c r="E29" s="16" t="n"/>
      <c r="F29" s="16" t="n"/>
      <c r="G29" s="16" t="n"/>
      <c r="H29" s="16" t="n"/>
      <c r="I29" s="16" t="n"/>
      <c r="J29" s="16" t="n"/>
      <c r="K29" s="16" t="n"/>
      <c r="L29" s="16" t="n"/>
      <c r="M29" s="16" t="n"/>
      <c r="N29" s="16" t="n"/>
      <c r="O29" s="16" t="n"/>
      <c r="P29" s="16" t="n"/>
      <c r="Q29" s="16" t="n"/>
      <c r="R29" s="16" t="n"/>
      <c r="S29" s="16" t="n"/>
      <c r="T29" s="17">
        <f>IF($B29="","","n/a (baseline only)")</f>
        <v/>
      </c>
      <c r="U29" s="17">
        <f>IF($B29="","","n/a")</f>
        <v/>
      </c>
      <c r="V29" s="17">
        <f>IF($B29="","",IF($O29="","",IF(COUNT(INDEX(nrPTBands,1,0))&lt;5,"",SUMPRODUCT(MAX(($O29&gt;=INDEX(nrPTBands,1,0))*nrPTTierPts)))))</f>
        <v/>
      </c>
      <c r="W29" s="17">
        <f>IF($B29="","",IF($P29="","",IF(COUNT(INDEX(nrPTBands,2,0))&lt;5,"",SUMPRODUCT(MAX(($P29&gt;=INDEX(nrPTBands,2,0))*nrPTTierPts)))))</f>
        <v/>
      </c>
      <c r="X29" s="17">
        <f>IF($B29="","",IF($Q29="","",IF(COUNT(INDEX(nrPTBands,3,0))&lt;5,"",SUMPRODUCT(MAX(($Q29&lt;=INDEX(nrPTBands,3,0))*nrPTTierPts)))))</f>
        <v/>
      </c>
      <c r="Y29" s="17">
        <f>IF($B29="","",IF($R29="","",IF(COUNT(INDEX(nrPTBands,4,0))&lt;5,"",SUMPRODUCT(MAX(($R29*60&lt;=INDEX(nrPTBands,4,0))*nrPTTierPts)))))</f>
        <v/>
      </c>
      <c r="Z29" s="17">
        <f>IF($B29="","",IF($S29="","",IF(COUNT(INDEX(nrPTBands,5,0))&lt;5,"",SUMPRODUCT(MAX(($S29&lt;=INDEX(nrPTBands,5,0))*nrPTTierPts)))))</f>
        <v/>
      </c>
      <c r="AA29" s="17">
        <f>IF($B29="","",IF(COUNT($V29:$Z29)=0,"",SUM($V29:$Z29)))</f>
        <v/>
      </c>
      <c r="AB29" s="17">
        <f>IF($B29="","",IF($AA29="","",IF(cfgPTFinalMinPoints=0,"(rubric pending)",IF(COUNT($V29:$Z29)&lt;5,"Incomplete",IF($AA29&gt;=cfgPTFinalMinPoints,"Yes","No")))))</f>
        <v/>
      </c>
      <c r="AC29" s="17">
        <f>IF($B29="","",_xlfn.LET(_xlpm.pu,IF(COUNT($F29,$O29)=2,IFERROR(($O29-$F29)/$F29,""),""),_xlpm.su,IF(COUNT($G29,$P29)=2,IFERROR(($P29-$G29)/$G29,""),""),_xlpm.ag,IF(COUNT($H29,$Q29)=2,IFERROR(($H29-$Q29)/$H29,""),""),_xlpm.mi,IF(COUNT($I29,$R29)=2,IFERROR(($I29-$R29)/$I29,""),""),_xlpm.tm,IF(COUNT($J29,$S29)=2,IFERROR(($J29-$S29)/$J29,""),""),_xlpm.vals,IFERROR(_xlfn._xlws.FILTER(_xlfn.HSTACK(_xlpm.pu,_xlpm.su,_xlpm.ag,_xlpm.mi,_xlpm.tm),ISNUMBER(_xlfn.HSTACK(_xlpm.pu,_xlpm.su,_xlpm.ag,_xlpm.mi,_xlpm.tm))),""),IF(COUNT(_xlpm.vals)=0,"",ROUND(AVERAGE(_xlpm.vals)*100,1))))</f>
        <v/>
      </c>
      <c r="AD29" s="17">
        <f>IF(Cadets!$B29="","",Cadets!$I29)</f>
        <v/>
      </c>
    </row>
    <row r="30">
      <c r="B30" s="17">
        <f>IF(Cadets!$B30="","",Cadets!$B30)</f>
        <v/>
      </c>
      <c r="C30" s="17">
        <f>IF(Cadets!$B30="","",Cadets!$F30)</f>
        <v/>
      </c>
      <c r="D30" s="16" t="n"/>
      <c r="E30" s="16" t="n"/>
      <c r="F30" s="16" t="n"/>
      <c r="G30" s="16" t="n"/>
      <c r="H30" s="16" t="n"/>
      <c r="I30" s="16" t="n"/>
      <c r="J30" s="16" t="n"/>
      <c r="K30" s="16" t="n"/>
      <c r="L30" s="16" t="n"/>
      <c r="M30" s="16" t="n"/>
      <c r="N30" s="16" t="n"/>
      <c r="O30" s="16" t="n"/>
      <c r="P30" s="16" t="n"/>
      <c r="Q30" s="16" t="n"/>
      <c r="R30" s="16" t="n"/>
      <c r="S30" s="16" t="n"/>
      <c r="T30" s="17">
        <f>IF($B30="","","n/a (baseline only)")</f>
        <v/>
      </c>
      <c r="U30" s="17">
        <f>IF($B30="","","n/a")</f>
        <v/>
      </c>
      <c r="V30" s="17">
        <f>IF($B30="","",IF($O30="","",IF(COUNT(INDEX(nrPTBands,1,0))&lt;5,"",SUMPRODUCT(MAX(($O30&gt;=INDEX(nrPTBands,1,0))*nrPTTierPts)))))</f>
        <v/>
      </c>
      <c r="W30" s="17">
        <f>IF($B30="","",IF($P30="","",IF(COUNT(INDEX(nrPTBands,2,0))&lt;5,"",SUMPRODUCT(MAX(($P30&gt;=INDEX(nrPTBands,2,0))*nrPTTierPts)))))</f>
        <v/>
      </c>
      <c r="X30" s="17">
        <f>IF($B30="","",IF($Q30="","",IF(COUNT(INDEX(nrPTBands,3,0))&lt;5,"",SUMPRODUCT(MAX(($Q30&lt;=INDEX(nrPTBands,3,0))*nrPTTierPts)))))</f>
        <v/>
      </c>
      <c r="Y30" s="17">
        <f>IF($B30="","",IF($R30="","",IF(COUNT(INDEX(nrPTBands,4,0))&lt;5,"",SUMPRODUCT(MAX(($R30*60&lt;=INDEX(nrPTBands,4,0))*nrPTTierPts)))))</f>
        <v/>
      </c>
      <c r="Z30" s="17">
        <f>IF($B30="","",IF($S30="","",IF(COUNT(INDEX(nrPTBands,5,0))&lt;5,"",SUMPRODUCT(MAX(($S30&lt;=INDEX(nrPTBands,5,0))*nrPTTierPts)))))</f>
        <v/>
      </c>
      <c r="AA30" s="17">
        <f>IF($B30="","",IF(COUNT($V30:$Z30)=0,"",SUM($V30:$Z30)))</f>
        <v/>
      </c>
      <c r="AB30" s="17">
        <f>IF($B30="","",IF($AA30="","",IF(cfgPTFinalMinPoints=0,"(rubric pending)",IF(COUNT($V30:$Z30)&lt;5,"Incomplete",IF($AA30&gt;=cfgPTFinalMinPoints,"Yes","No")))))</f>
        <v/>
      </c>
      <c r="AC30" s="17">
        <f>IF($B30="","",_xlfn.LET(_xlpm.pu,IF(COUNT($F30,$O30)=2,IFERROR(($O30-$F30)/$F30,""),""),_xlpm.su,IF(COUNT($G30,$P30)=2,IFERROR(($P30-$G30)/$G30,""),""),_xlpm.ag,IF(COUNT($H30,$Q30)=2,IFERROR(($H30-$Q30)/$H30,""),""),_xlpm.mi,IF(COUNT($I30,$R30)=2,IFERROR(($I30-$R30)/$I30,""),""),_xlpm.tm,IF(COUNT($J30,$S30)=2,IFERROR(($J30-$S30)/$J30,""),""),_xlpm.vals,IFERROR(_xlfn._xlws.FILTER(_xlfn.HSTACK(_xlpm.pu,_xlpm.su,_xlpm.ag,_xlpm.mi,_xlpm.tm),ISNUMBER(_xlfn.HSTACK(_xlpm.pu,_xlpm.su,_xlpm.ag,_xlpm.mi,_xlpm.tm))),""),IF(COUNT(_xlpm.vals)=0,"",ROUND(AVERAGE(_xlpm.vals)*100,1))))</f>
        <v/>
      </c>
      <c r="AD30" s="17">
        <f>IF(Cadets!$B30="","",Cadets!$I30)</f>
        <v/>
      </c>
    </row>
    <row r="31">
      <c r="B31" s="17">
        <f>IF(Cadets!$B31="","",Cadets!$B31)</f>
        <v/>
      </c>
      <c r="C31" s="17">
        <f>IF(Cadets!$B31="","",Cadets!$F31)</f>
        <v/>
      </c>
      <c r="D31" s="16" t="n"/>
      <c r="E31" s="16" t="n"/>
      <c r="F31" s="16" t="n"/>
      <c r="G31" s="16" t="n"/>
      <c r="H31" s="16" t="n"/>
      <c r="I31" s="16" t="n"/>
      <c r="J31" s="16" t="n"/>
      <c r="K31" s="16" t="n"/>
      <c r="L31" s="16" t="n"/>
      <c r="M31" s="16" t="n"/>
      <c r="N31" s="16" t="n"/>
      <c r="O31" s="16" t="n"/>
      <c r="P31" s="16" t="n"/>
      <c r="Q31" s="16" t="n"/>
      <c r="R31" s="16" t="n"/>
      <c r="S31" s="16" t="n"/>
      <c r="T31" s="17">
        <f>IF($B31="","","n/a (baseline only)")</f>
        <v/>
      </c>
      <c r="U31" s="17">
        <f>IF($B31="","","n/a")</f>
        <v/>
      </c>
      <c r="V31" s="17">
        <f>IF($B31="","",IF($O31="","",IF(COUNT(INDEX(nrPTBands,1,0))&lt;5,"",SUMPRODUCT(MAX(($O31&gt;=INDEX(nrPTBands,1,0))*nrPTTierPts)))))</f>
        <v/>
      </c>
      <c r="W31" s="17">
        <f>IF($B31="","",IF($P31="","",IF(COUNT(INDEX(nrPTBands,2,0))&lt;5,"",SUMPRODUCT(MAX(($P31&gt;=INDEX(nrPTBands,2,0))*nrPTTierPts)))))</f>
        <v/>
      </c>
      <c r="X31" s="17">
        <f>IF($B31="","",IF($Q31="","",IF(COUNT(INDEX(nrPTBands,3,0))&lt;5,"",SUMPRODUCT(MAX(($Q31&lt;=INDEX(nrPTBands,3,0))*nrPTTierPts)))))</f>
        <v/>
      </c>
      <c r="Y31" s="17">
        <f>IF($B31="","",IF($R31="","",IF(COUNT(INDEX(nrPTBands,4,0))&lt;5,"",SUMPRODUCT(MAX(($R31*60&lt;=INDEX(nrPTBands,4,0))*nrPTTierPts)))))</f>
        <v/>
      </c>
      <c r="Z31" s="17">
        <f>IF($B31="","",IF($S31="","",IF(COUNT(INDEX(nrPTBands,5,0))&lt;5,"",SUMPRODUCT(MAX(($S31&lt;=INDEX(nrPTBands,5,0))*nrPTTierPts)))))</f>
        <v/>
      </c>
      <c r="AA31" s="17">
        <f>IF($B31="","",IF(COUNT($V31:$Z31)=0,"",SUM($V31:$Z31)))</f>
        <v/>
      </c>
      <c r="AB31" s="17">
        <f>IF($B31="","",IF($AA31="","",IF(cfgPTFinalMinPoints=0,"(rubric pending)",IF(COUNT($V31:$Z31)&lt;5,"Incomplete",IF($AA31&gt;=cfgPTFinalMinPoints,"Yes","No")))))</f>
        <v/>
      </c>
      <c r="AC31" s="17">
        <f>IF($B31="","",_xlfn.LET(_xlpm.pu,IF(COUNT($F31,$O31)=2,IFERROR(($O31-$F31)/$F31,""),""),_xlpm.su,IF(COUNT($G31,$P31)=2,IFERROR(($P31-$G31)/$G31,""),""),_xlpm.ag,IF(COUNT($H31,$Q31)=2,IFERROR(($H31-$Q31)/$H31,""),""),_xlpm.mi,IF(COUNT($I31,$R31)=2,IFERROR(($I31-$R31)/$I31,""),""),_xlpm.tm,IF(COUNT($J31,$S31)=2,IFERROR(($J31-$S31)/$J31,""),""),_xlpm.vals,IFERROR(_xlfn._xlws.FILTER(_xlfn.HSTACK(_xlpm.pu,_xlpm.su,_xlpm.ag,_xlpm.mi,_xlpm.tm),ISNUMBER(_xlfn.HSTACK(_xlpm.pu,_xlpm.su,_xlpm.ag,_xlpm.mi,_xlpm.tm))),""),IF(COUNT(_xlpm.vals)=0,"",ROUND(AVERAGE(_xlpm.vals)*100,1))))</f>
        <v/>
      </c>
      <c r="AD31" s="17">
        <f>IF(Cadets!$B31="","",Cadets!$I31)</f>
        <v/>
      </c>
    </row>
    <row r="32">
      <c r="B32" s="17">
        <f>IF(Cadets!$B32="","",Cadets!$B32)</f>
        <v/>
      </c>
      <c r="C32" s="17">
        <f>IF(Cadets!$B32="","",Cadets!$F32)</f>
        <v/>
      </c>
      <c r="D32" s="16" t="n"/>
      <c r="E32" s="16" t="n"/>
      <c r="F32" s="16" t="n"/>
      <c r="G32" s="16" t="n"/>
      <c r="H32" s="16" t="n"/>
      <c r="I32" s="16" t="n"/>
      <c r="J32" s="16" t="n"/>
      <c r="K32" s="16" t="n"/>
      <c r="L32" s="16" t="n"/>
      <c r="M32" s="16" t="n"/>
      <c r="N32" s="16" t="n"/>
      <c r="O32" s="16" t="n"/>
      <c r="P32" s="16" t="n"/>
      <c r="Q32" s="16" t="n"/>
      <c r="R32" s="16" t="n"/>
      <c r="S32" s="16" t="n"/>
      <c r="T32" s="17">
        <f>IF($B32="","","n/a (baseline only)")</f>
        <v/>
      </c>
      <c r="U32" s="17">
        <f>IF($B32="","","n/a")</f>
        <v/>
      </c>
      <c r="V32" s="17">
        <f>IF($B32="","",IF($O32="","",IF(COUNT(INDEX(nrPTBands,1,0))&lt;5,"",SUMPRODUCT(MAX(($O32&gt;=INDEX(nrPTBands,1,0))*nrPTTierPts)))))</f>
        <v/>
      </c>
      <c r="W32" s="17">
        <f>IF($B32="","",IF($P32="","",IF(COUNT(INDEX(nrPTBands,2,0))&lt;5,"",SUMPRODUCT(MAX(($P32&gt;=INDEX(nrPTBands,2,0))*nrPTTierPts)))))</f>
        <v/>
      </c>
      <c r="X32" s="17">
        <f>IF($B32="","",IF($Q32="","",IF(COUNT(INDEX(nrPTBands,3,0))&lt;5,"",SUMPRODUCT(MAX(($Q32&lt;=INDEX(nrPTBands,3,0))*nrPTTierPts)))))</f>
        <v/>
      </c>
      <c r="Y32" s="17">
        <f>IF($B32="","",IF($R32="","",IF(COUNT(INDEX(nrPTBands,4,0))&lt;5,"",SUMPRODUCT(MAX(($R32*60&lt;=INDEX(nrPTBands,4,0))*nrPTTierPts)))))</f>
        <v/>
      </c>
      <c r="Z32" s="17">
        <f>IF($B32="","",IF($S32="","",IF(COUNT(INDEX(nrPTBands,5,0))&lt;5,"",SUMPRODUCT(MAX(($S32&lt;=INDEX(nrPTBands,5,0))*nrPTTierPts)))))</f>
        <v/>
      </c>
      <c r="AA32" s="17">
        <f>IF($B32="","",IF(COUNT($V32:$Z32)=0,"",SUM($V32:$Z32)))</f>
        <v/>
      </c>
      <c r="AB32" s="17">
        <f>IF($B32="","",IF($AA32="","",IF(cfgPTFinalMinPoints=0,"(rubric pending)",IF(COUNT($V32:$Z32)&lt;5,"Incomplete",IF($AA32&gt;=cfgPTFinalMinPoints,"Yes","No")))))</f>
        <v/>
      </c>
      <c r="AC32" s="17">
        <f>IF($B32="","",_xlfn.LET(_xlpm.pu,IF(COUNT($F32,$O32)=2,IFERROR(($O32-$F32)/$F32,""),""),_xlpm.su,IF(COUNT($G32,$P32)=2,IFERROR(($P32-$G32)/$G32,""),""),_xlpm.ag,IF(COUNT($H32,$Q32)=2,IFERROR(($H32-$Q32)/$H32,""),""),_xlpm.mi,IF(COUNT($I32,$R32)=2,IFERROR(($I32-$R32)/$I32,""),""),_xlpm.tm,IF(COUNT($J32,$S32)=2,IFERROR(($J32-$S32)/$J32,""),""),_xlpm.vals,IFERROR(_xlfn._xlws.FILTER(_xlfn.HSTACK(_xlpm.pu,_xlpm.su,_xlpm.ag,_xlpm.mi,_xlpm.tm),ISNUMBER(_xlfn.HSTACK(_xlpm.pu,_xlpm.su,_xlpm.ag,_xlpm.mi,_xlpm.tm))),""),IF(COUNT(_xlpm.vals)=0,"",ROUND(AVERAGE(_xlpm.vals)*100,1))))</f>
        <v/>
      </c>
      <c r="AD32" s="17">
        <f>IF(Cadets!$B32="","",Cadets!$I32)</f>
        <v/>
      </c>
    </row>
    <row r="33">
      <c r="B33" s="17">
        <f>IF(Cadets!$B33="","",Cadets!$B33)</f>
        <v/>
      </c>
      <c r="C33" s="17">
        <f>IF(Cadets!$B33="","",Cadets!$F33)</f>
        <v/>
      </c>
      <c r="D33" s="16" t="n"/>
      <c r="E33" s="16" t="n"/>
      <c r="F33" s="16" t="n"/>
      <c r="G33" s="16" t="n"/>
      <c r="H33" s="16" t="n"/>
      <c r="I33" s="16" t="n"/>
      <c r="J33" s="16" t="n"/>
      <c r="K33" s="16" t="n"/>
      <c r="L33" s="16" t="n"/>
      <c r="M33" s="16" t="n"/>
      <c r="N33" s="16" t="n"/>
      <c r="O33" s="16" t="n"/>
      <c r="P33" s="16" t="n"/>
      <c r="Q33" s="16" t="n"/>
      <c r="R33" s="16" t="n"/>
      <c r="S33" s="16" t="n"/>
      <c r="T33" s="17">
        <f>IF($B33="","","n/a (baseline only)")</f>
        <v/>
      </c>
      <c r="U33" s="17">
        <f>IF($B33="","","n/a")</f>
        <v/>
      </c>
      <c r="V33" s="17">
        <f>IF($B33="","",IF($O33="","",IF(COUNT(INDEX(nrPTBands,1,0))&lt;5,"",SUMPRODUCT(MAX(($O33&gt;=INDEX(nrPTBands,1,0))*nrPTTierPts)))))</f>
        <v/>
      </c>
      <c r="W33" s="17">
        <f>IF($B33="","",IF($P33="","",IF(COUNT(INDEX(nrPTBands,2,0))&lt;5,"",SUMPRODUCT(MAX(($P33&gt;=INDEX(nrPTBands,2,0))*nrPTTierPts)))))</f>
        <v/>
      </c>
      <c r="X33" s="17">
        <f>IF($B33="","",IF($Q33="","",IF(COUNT(INDEX(nrPTBands,3,0))&lt;5,"",SUMPRODUCT(MAX(($Q33&lt;=INDEX(nrPTBands,3,0))*nrPTTierPts)))))</f>
        <v/>
      </c>
      <c r="Y33" s="17">
        <f>IF($B33="","",IF($R33="","",IF(COUNT(INDEX(nrPTBands,4,0))&lt;5,"",SUMPRODUCT(MAX(($R33*60&lt;=INDEX(nrPTBands,4,0))*nrPTTierPts)))))</f>
        <v/>
      </c>
      <c r="Z33" s="17">
        <f>IF($B33="","",IF($S33="","",IF(COUNT(INDEX(nrPTBands,5,0))&lt;5,"",SUMPRODUCT(MAX(($S33&lt;=INDEX(nrPTBands,5,0))*nrPTTierPts)))))</f>
        <v/>
      </c>
      <c r="AA33" s="17">
        <f>IF($B33="","",IF(COUNT($V33:$Z33)=0,"",SUM($V33:$Z33)))</f>
        <v/>
      </c>
      <c r="AB33" s="17">
        <f>IF($B33="","",IF($AA33="","",IF(cfgPTFinalMinPoints=0,"(rubric pending)",IF(COUNT($V33:$Z33)&lt;5,"Incomplete",IF($AA33&gt;=cfgPTFinalMinPoints,"Yes","No")))))</f>
        <v/>
      </c>
      <c r="AC33" s="17">
        <f>IF($B33="","",_xlfn.LET(_xlpm.pu,IF(COUNT($F33,$O33)=2,IFERROR(($O33-$F33)/$F33,""),""),_xlpm.su,IF(COUNT($G33,$P33)=2,IFERROR(($P33-$G33)/$G33,""),""),_xlpm.ag,IF(COUNT($H33,$Q33)=2,IFERROR(($H33-$Q33)/$H33,""),""),_xlpm.mi,IF(COUNT($I33,$R33)=2,IFERROR(($I33-$R33)/$I33,""),""),_xlpm.tm,IF(COUNT($J33,$S33)=2,IFERROR(($J33-$S33)/$J33,""),""),_xlpm.vals,IFERROR(_xlfn._xlws.FILTER(_xlfn.HSTACK(_xlpm.pu,_xlpm.su,_xlpm.ag,_xlpm.mi,_xlpm.tm),ISNUMBER(_xlfn.HSTACK(_xlpm.pu,_xlpm.su,_xlpm.ag,_xlpm.mi,_xlpm.tm))),""),IF(COUNT(_xlpm.vals)=0,"",ROUND(AVERAGE(_xlpm.vals)*100,1))))</f>
        <v/>
      </c>
      <c r="AD33" s="17">
        <f>IF(Cadets!$B33="","",Cadets!$I33)</f>
        <v/>
      </c>
    </row>
    <row r="34">
      <c r="B34" s="17">
        <f>IF(Cadets!$B34="","",Cadets!$B34)</f>
        <v/>
      </c>
      <c r="C34" s="17">
        <f>IF(Cadets!$B34="","",Cadets!$F34)</f>
        <v/>
      </c>
      <c r="D34" s="16" t="n"/>
      <c r="E34" s="16" t="n"/>
      <c r="F34" s="16" t="n"/>
      <c r="G34" s="16" t="n"/>
      <c r="H34" s="16" t="n"/>
      <c r="I34" s="16" t="n"/>
      <c r="J34" s="16" t="n"/>
      <c r="K34" s="16" t="n"/>
      <c r="L34" s="16" t="n"/>
      <c r="M34" s="16" t="n"/>
      <c r="N34" s="16" t="n"/>
      <c r="O34" s="16" t="n"/>
      <c r="P34" s="16" t="n"/>
      <c r="Q34" s="16" t="n"/>
      <c r="R34" s="16" t="n"/>
      <c r="S34" s="16" t="n"/>
      <c r="T34" s="17">
        <f>IF($B34="","","n/a (baseline only)")</f>
        <v/>
      </c>
      <c r="U34" s="17">
        <f>IF($B34="","","n/a")</f>
        <v/>
      </c>
      <c r="V34" s="17">
        <f>IF($B34="","",IF($O34="","",IF(COUNT(INDEX(nrPTBands,1,0))&lt;5,"",SUMPRODUCT(MAX(($O34&gt;=INDEX(nrPTBands,1,0))*nrPTTierPts)))))</f>
        <v/>
      </c>
      <c r="W34" s="17">
        <f>IF($B34="","",IF($P34="","",IF(COUNT(INDEX(nrPTBands,2,0))&lt;5,"",SUMPRODUCT(MAX(($P34&gt;=INDEX(nrPTBands,2,0))*nrPTTierPts)))))</f>
        <v/>
      </c>
      <c r="X34" s="17">
        <f>IF($B34="","",IF($Q34="","",IF(COUNT(INDEX(nrPTBands,3,0))&lt;5,"",SUMPRODUCT(MAX(($Q34&lt;=INDEX(nrPTBands,3,0))*nrPTTierPts)))))</f>
        <v/>
      </c>
      <c r="Y34" s="17">
        <f>IF($B34="","",IF($R34="","",IF(COUNT(INDEX(nrPTBands,4,0))&lt;5,"",SUMPRODUCT(MAX(($R34*60&lt;=INDEX(nrPTBands,4,0))*nrPTTierPts)))))</f>
        <v/>
      </c>
      <c r="Z34" s="17">
        <f>IF($B34="","",IF($S34="","",IF(COUNT(INDEX(nrPTBands,5,0))&lt;5,"",SUMPRODUCT(MAX(($S34&lt;=INDEX(nrPTBands,5,0))*nrPTTierPts)))))</f>
        <v/>
      </c>
      <c r="AA34" s="17">
        <f>IF($B34="","",IF(COUNT($V34:$Z34)=0,"",SUM($V34:$Z34)))</f>
        <v/>
      </c>
      <c r="AB34" s="17">
        <f>IF($B34="","",IF($AA34="","",IF(cfgPTFinalMinPoints=0,"(rubric pending)",IF(COUNT($V34:$Z34)&lt;5,"Incomplete",IF($AA34&gt;=cfgPTFinalMinPoints,"Yes","No")))))</f>
        <v/>
      </c>
      <c r="AC34" s="17">
        <f>IF($B34="","",_xlfn.LET(_xlpm.pu,IF(COUNT($F34,$O34)=2,IFERROR(($O34-$F34)/$F34,""),""),_xlpm.su,IF(COUNT($G34,$P34)=2,IFERROR(($P34-$G34)/$G34,""),""),_xlpm.ag,IF(COUNT($H34,$Q34)=2,IFERROR(($H34-$Q34)/$H34,""),""),_xlpm.mi,IF(COUNT($I34,$R34)=2,IFERROR(($I34-$R34)/$I34,""),""),_xlpm.tm,IF(COUNT($J34,$S34)=2,IFERROR(($J34-$S34)/$J34,""),""),_xlpm.vals,IFERROR(_xlfn._xlws.FILTER(_xlfn.HSTACK(_xlpm.pu,_xlpm.su,_xlpm.ag,_xlpm.mi,_xlpm.tm),ISNUMBER(_xlfn.HSTACK(_xlpm.pu,_xlpm.su,_xlpm.ag,_xlpm.mi,_xlpm.tm))),""),IF(COUNT(_xlpm.vals)=0,"",ROUND(AVERAGE(_xlpm.vals)*100,1))))</f>
        <v/>
      </c>
      <c r="AD34" s="17">
        <f>IF(Cadets!$B34="","",Cadets!$I34)</f>
        <v/>
      </c>
    </row>
    <row r="35">
      <c r="B35" s="17">
        <f>IF(Cadets!$B35="","",Cadets!$B35)</f>
        <v/>
      </c>
      <c r="C35" s="17">
        <f>IF(Cadets!$B35="","",Cadets!$F35)</f>
        <v/>
      </c>
      <c r="D35" s="16" t="n"/>
      <c r="E35" s="16" t="n"/>
      <c r="F35" s="16" t="n"/>
      <c r="G35" s="16" t="n"/>
      <c r="H35" s="16" t="n"/>
      <c r="I35" s="16" t="n"/>
      <c r="J35" s="16" t="n"/>
      <c r="K35" s="16" t="n"/>
      <c r="L35" s="16" t="n"/>
      <c r="M35" s="16" t="n"/>
      <c r="N35" s="16" t="n"/>
      <c r="O35" s="16" t="n"/>
      <c r="P35" s="16" t="n"/>
      <c r="Q35" s="16" t="n"/>
      <c r="R35" s="16" t="n"/>
      <c r="S35" s="16" t="n"/>
      <c r="T35" s="17">
        <f>IF($B35="","","n/a (baseline only)")</f>
        <v/>
      </c>
      <c r="U35" s="17">
        <f>IF($B35="","","n/a")</f>
        <v/>
      </c>
      <c r="V35" s="17">
        <f>IF($B35="","",IF($O35="","",IF(COUNT(INDEX(nrPTBands,1,0))&lt;5,"",SUMPRODUCT(MAX(($O35&gt;=INDEX(nrPTBands,1,0))*nrPTTierPts)))))</f>
        <v/>
      </c>
      <c r="W35" s="17">
        <f>IF($B35="","",IF($P35="","",IF(COUNT(INDEX(nrPTBands,2,0))&lt;5,"",SUMPRODUCT(MAX(($P35&gt;=INDEX(nrPTBands,2,0))*nrPTTierPts)))))</f>
        <v/>
      </c>
      <c r="X35" s="17">
        <f>IF($B35="","",IF($Q35="","",IF(COUNT(INDEX(nrPTBands,3,0))&lt;5,"",SUMPRODUCT(MAX(($Q35&lt;=INDEX(nrPTBands,3,0))*nrPTTierPts)))))</f>
        <v/>
      </c>
      <c r="Y35" s="17">
        <f>IF($B35="","",IF($R35="","",IF(COUNT(INDEX(nrPTBands,4,0))&lt;5,"",SUMPRODUCT(MAX(($R35*60&lt;=INDEX(nrPTBands,4,0))*nrPTTierPts)))))</f>
        <v/>
      </c>
      <c r="Z35" s="17">
        <f>IF($B35="","",IF($S35="","",IF(COUNT(INDEX(nrPTBands,5,0))&lt;5,"",SUMPRODUCT(MAX(($S35&lt;=INDEX(nrPTBands,5,0))*nrPTTierPts)))))</f>
        <v/>
      </c>
      <c r="AA35" s="17">
        <f>IF($B35="","",IF(COUNT($V35:$Z35)=0,"",SUM($V35:$Z35)))</f>
        <v/>
      </c>
      <c r="AB35" s="17">
        <f>IF($B35="","",IF($AA35="","",IF(cfgPTFinalMinPoints=0,"(rubric pending)",IF(COUNT($V35:$Z35)&lt;5,"Incomplete",IF($AA35&gt;=cfgPTFinalMinPoints,"Yes","No")))))</f>
        <v/>
      </c>
      <c r="AC35" s="17">
        <f>IF($B35="","",_xlfn.LET(_xlpm.pu,IF(COUNT($F35,$O35)=2,IFERROR(($O35-$F35)/$F35,""),""),_xlpm.su,IF(COUNT($G35,$P35)=2,IFERROR(($P35-$G35)/$G35,""),""),_xlpm.ag,IF(COUNT($H35,$Q35)=2,IFERROR(($H35-$Q35)/$H35,""),""),_xlpm.mi,IF(COUNT($I35,$R35)=2,IFERROR(($I35-$R35)/$I35,""),""),_xlpm.tm,IF(COUNT($J35,$S35)=2,IFERROR(($J35-$S35)/$J35,""),""),_xlpm.vals,IFERROR(_xlfn._xlws.FILTER(_xlfn.HSTACK(_xlpm.pu,_xlpm.su,_xlpm.ag,_xlpm.mi,_xlpm.tm),ISNUMBER(_xlfn.HSTACK(_xlpm.pu,_xlpm.su,_xlpm.ag,_xlpm.mi,_xlpm.tm))),""),IF(COUNT(_xlpm.vals)=0,"",ROUND(AVERAGE(_xlpm.vals)*100,1))))</f>
        <v/>
      </c>
      <c r="AD35" s="17">
        <f>IF(Cadets!$B35="","",Cadets!$I35)</f>
        <v/>
      </c>
    </row>
    <row r="36">
      <c r="B36" s="17">
        <f>IF(Cadets!$B36="","",Cadets!$B36)</f>
        <v/>
      </c>
      <c r="C36" s="17">
        <f>IF(Cadets!$B36="","",Cadets!$F36)</f>
        <v/>
      </c>
      <c r="D36" s="16" t="n"/>
      <c r="E36" s="16" t="n"/>
      <c r="F36" s="16" t="n"/>
      <c r="G36" s="16" t="n"/>
      <c r="H36" s="16" t="n"/>
      <c r="I36" s="16" t="n"/>
      <c r="J36" s="16" t="n"/>
      <c r="K36" s="16" t="n"/>
      <c r="L36" s="16" t="n"/>
      <c r="M36" s="16" t="n"/>
      <c r="N36" s="16" t="n"/>
      <c r="O36" s="16" t="n"/>
      <c r="P36" s="16" t="n"/>
      <c r="Q36" s="16" t="n"/>
      <c r="R36" s="16" t="n"/>
      <c r="S36" s="16" t="n"/>
      <c r="T36" s="17">
        <f>IF($B36="","","n/a (baseline only)")</f>
        <v/>
      </c>
      <c r="U36" s="17">
        <f>IF($B36="","","n/a")</f>
        <v/>
      </c>
      <c r="V36" s="17">
        <f>IF($B36="","",IF($O36="","",IF(COUNT(INDEX(nrPTBands,1,0))&lt;5,"",SUMPRODUCT(MAX(($O36&gt;=INDEX(nrPTBands,1,0))*nrPTTierPts)))))</f>
        <v/>
      </c>
      <c r="W36" s="17">
        <f>IF($B36="","",IF($P36="","",IF(COUNT(INDEX(nrPTBands,2,0))&lt;5,"",SUMPRODUCT(MAX(($P36&gt;=INDEX(nrPTBands,2,0))*nrPTTierPts)))))</f>
        <v/>
      </c>
      <c r="X36" s="17">
        <f>IF($B36="","",IF($Q36="","",IF(COUNT(INDEX(nrPTBands,3,0))&lt;5,"",SUMPRODUCT(MAX(($Q36&lt;=INDEX(nrPTBands,3,0))*nrPTTierPts)))))</f>
        <v/>
      </c>
      <c r="Y36" s="17">
        <f>IF($B36="","",IF($R36="","",IF(COUNT(INDEX(nrPTBands,4,0))&lt;5,"",SUMPRODUCT(MAX(($R36*60&lt;=INDEX(nrPTBands,4,0))*nrPTTierPts)))))</f>
        <v/>
      </c>
      <c r="Z36" s="17">
        <f>IF($B36="","",IF($S36="","",IF(COUNT(INDEX(nrPTBands,5,0))&lt;5,"",SUMPRODUCT(MAX(($S36&lt;=INDEX(nrPTBands,5,0))*nrPTTierPts)))))</f>
        <v/>
      </c>
      <c r="AA36" s="17">
        <f>IF($B36="","",IF(COUNT($V36:$Z36)=0,"",SUM($V36:$Z36)))</f>
        <v/>
      </c>
      <c r="AB36" s="17">
        <f>IF($B36="","",IF($AA36="","",IF(cfgPTFinalMinPoints=0,"(rubric pending)",IF(COUNT($V36:$Z36)&lt;5,"Incomplete",IF($AA36&gt;=cfgPTFinalMinPoints,"Yes","No")))))</f>
        <v/>
      </c>
      <c r="AC36" s="17">
        <f>IF($B36="","",_xlfn.LET(_xlpm.pu,IF(COUNT($F36,$O36)=2,IFERROR(($O36-$F36)/$F36,""),""),_xlpm.su,IF(COUNT($G36,$P36)=2,IFERROR(($P36-$G36)/$G36,""),""),_xlpm.ag,IF(COUNT($H36,$Q36)=2,IFERROR(($H36-$Q36)/$H36,""),""),_xlpm.mi,IF(COUNT($I36,$R36)=2,IFERROR(($I36-$R36)/$I36,""),""),_xlpm.tm,IF(COUNT($J36,$S36)=2,IFERROR(($J36-$S36)/$J36,""),""),_xlpm.vals,IFERROR(_xlfn._xlws.FILTER(_xlfn.HSTACK(_xlpm.pu,_xlpm.su,_xlpm.ag,_xlpm.mi,_xlpm.tm),ISNUMBER(_xlfn.HSTACK(_xlpm.pu,_xlpm.su,_xlpm.ag,_xlpm.mi,_xlpm.tm))),""),IF(COUNT(_xlpm.vals)=0,"",ROUND(AVERAGE(_xlpm.vals)*100,1))))</f>
        <v/>
      </c>
      <c r="AD36" s="17">
        <f>IF(Cadets!$B36="","",Cadets!$I36)</f>
        <v/>
      </c>
    </row>
    <row r="37">
      <c r="B37" s="17">
        <f>IF(Cadets!$B37="","",Cadets!$B37)</f>
        <v/>
      </c>
      <c r="C37" s="17">
        <f>IF(Cadets!$B37="","",Cadets!$F37)</f>
        <v/>
      </c>
      <c r="D37" s="16" t="n"/>
      <c r="E37" s="16" t="n"/>
      <c r="F37" s="16" t="n"/>
      <c r="G37" s="16" t="n"/>
      <c r="H37" s="16" t="n"/>
      <c r="I37" s="16" t="n"/>
      <c r="J37" s="16" t="n"/>
      <c r="K37" s="16" t="n"/>
      <c r="L37" s="16" t="n"/>
      <c r="M37" s="16" t="n"/>
      <c r="N37" s="16" t="n"/>
      <c r="O37" s="16" t="n"/>
      <c r="P37" s="16" t="n"/>
      <c r="Q37" s="16" t="n"/>
      <c r="R37" s="16" t="n"/>
      <c r="S37" s="16" t="n"/>
      <c r="T37" s="17">
        <f>IF($B37="","","n/a (baseline only)")</f>
        <v/>
      </c>
      <c r="U37" s="17">
        <f>IF($B37="","","n/a")</f>
        <v/>
      </c>
      <c r="V37" s="17">
        <f>IF($B37="","",IF($O37="","",IF(COUNT(INDEX(nrPTBands,1,0))&lt;5,"",SUMPRODUCT(MAX(($O37&gt;=INDEX(nrPTBands,1,0))*nrPTTierPts)))))</f>
        <v/>
      </c>
      <c r="W37" s="17">
        <f>IF($B37="","",IF($P37="","",IF(COUNT(INDEX(nrPTBands,2,0))&lt;5,"",SUMPRODUCT(MAX(($P37&gt;=INDEX(nrPTBands,2,0))*nrPTTierPts)))))</f>
        <v/>
      </c>
      <c r="X37" s="17">
        <f>IF($B37="","",IF($Q37="","",IF(COUNT(INDEX(nrPTBands,3,0))&lt;5,"",SUMPRODUCT(MAX(($Q37&lt;=INDEX(nrPTBands,3,0))*nrPTTierPts)))))</f>
        <v/>
      </c>
      <c r="Y37" s="17">
        <f>IF($B37="","",IF($R37="","",IF(COUNT(INDEX(nrPTBands,4,0))&lt;5,"",SUMPRODUCT(MAX(($R37*60&lt;=INDEX(nrPTBands,4,0))*nrPTTierPts)))))</f>
        <v/>
      </c>
      <c r="Z37" s="17">
        <f>IF($B37="","",IF($S37="","",IF(COUNT(INDEX(nrPTBands,5,0))&lt;5,"",SUMPRODUCT(MAX(($S37&lt;=INDEX(nrPTBands,5,0))*nrPTTierPts)))))</f>
        <v/>
      </c>
      <c r="AA37" s="17">
        <f>IF($B37="","",IF(COUNT($V37:$Z37)=0,"",SUM($V37:$Z37)))</f>
        <v/>
      </c>
      <c r="AB37" s="17">
        <f>IF($B37="","",IF($AA37="","",IF(cfgPTFinalMinPoints=0,"(rubric pending)",IF(COUNT($V37:$Z37)&lt;5,"Incomplete",IF($AA37&gt;=cfgPTFinalMinPoints,"Yes","No")))))</f>
        <v/>
      </c>
      <c r="AC37" s="17">
        <f>IF($B37="","",_xlfn.LET(_xlpm.pu,IF(COUNT($F37,$O37)=2,IFERROR(($O37-$F37)/$F37,""),""),_xlpm.su,IF(COUNT($G37,$P37)=2,IFERROR(($P37-$G37)/$G37,""),""),_xlpm.ag,IF(COUNT($H37,$Q37)=2,IFERROR(($H37-$Q37)/$H37,""),""),_xlpm.mi,IF(COUNT($I37,$R37)=2,IFERROR(($I37-$R37)/$I37,""),""),_xlpm.tm,IF(COUNT($J37,$S37)=2,IFERROR(($J37-$S37)/$J37,""),""),_xlpm.vals,IFERROR(_xlfn._xlws.FILTER(_xlfn.HSTACK(_xlpm.pu,_xlpm.su,_xlpm.ag,_xlpm.mi,_xlpm.tm),ISNUMBER(_xlfn.HSTACK(_xlpm.pu,_xlpm.su,_xlpm.ag,_xlpm.mi,_xlpm.tm))),""),IF(COUNT(_xlpm.vals)=0,"",ROUND(AVERAGE(_xlpm.vals)*100,1))))</f>
        <v/>
      </c>
      <c r="AD37" s="17">
        <f>IF(Cadets!$B37="","",Cadets!$I37)</f>
        <v/>
      </c>
    </row>
    <row r="38">
      <c r="B38" s="17">
        <f>IF(Cadets!$B38="","",Cadets!$B38)</f>
        <v/>
      </c>
      <c r="C38" s="17">
        <f>IF(Cadets!$B38="","",Cadets!$F38)</f>
        <v/>
      </c>
      <c r="D38" s="16" t="n"/>
      <c r="E38" s="16" t="n"/>
      <c r="F38" s="16" t="n"/>
      <c r="G38" s="16" t="n"/>
      <c r="H38" s="16" t="n"/>
      <c r="I38" s="16" t="n"/>
      <c r="J38" s="16" t="n"/>
      <c r="K38" s="16" t="n"/>
      <c r="L38" s="16" t="n"/>
      <c r="M38" s="16" t="n"/>
      <c r="N38" s="16" t="n"/>
      <c r="O38" s="16" t="n"/>
      <c r="P38" s="16" t="n"/>
      <c r="Q38" s="16" t="n"/>
      <c r="R38" s="16" t="n"/>
      <c r="S38" s="16" t="n"/>
      <c r="T38" s="17">
        <f>IF($B38="","","n/a (baseline only)")</f>
        <v/>
      </c>
      <c r="U38" s="17">
        <f>IF($B38="","","n/a")</f>
        <v/>
      </c>
      <c r="V38" s="17">
        <f>IF($B38="","",IF($O38="","",IF(COUNT(INDEX(nrPTBands,1,0))&lt;5,"",SUMPRODUCT(MAX(($O38&gt;=INDEX(nrPTBands,1,0))*nrPTTierPts)))))</f>
        <v/>
      </c>
      <c r="W38" s="17">
        <f>IF($B38="","",IF($P38="","",IF(COUNT(INDEX(nrPTBands,2,0))&lt;5,"",SUMPRODUCT(MAX(($P38&gt;=INDEX(nrPTBands,2,0))*nrPTTierPts)))))</f>
        <v/>
      </c>
      <c r="X38" s="17">
        <f>IF($B38="","",IF($Q38="","",IF(COUNT(INDEX(nrPTBands,3,0))&lt;5,"",SUMPRODUCT(MAX(($Q38&lt;=INDEX(nrPTBands,3,0))*nrPTTierPts)))))</f>
        <v/>
      </c>
      <c r="Y38" s="17">
        <f>IF($B38="","",IF($R38="","",IF(COUNT(INDEX(nrPTBands,4,0))&lt;5,"",SUMPRODUCT(MAX(($R38*60&lt;=INDEX(nrPTBands,4,0))*nrPTTierPts)))))</f>
        <v/>
      </c>
      <c r="Z38" s="17">
        <f>IF($B38="","",IF($S38="","",IF(COUNT(INDEX(nrPTBands,5,0))&lt;5,"",SUMPRODUCT(MAX(($S38&lt;=INDEX(nrPTBands,5,0))*nrPTTierPts)))))</f>
        <v/>
      </c>
      <c r="AA38" s="17">
        <f>IF($B38="","",IF(COUNT($V38:$Z38)=0,"",SUM($V38:$Z38)))</f>
        <v/>
      </c>
      <c r="AB38" s="17">
        <f>IF($B38="","",IF($AA38="","",IF(cfgPTFinalMinPoints=0,"(rubric pending)",IF(COUNT($V38:$Z38)&lt;5,"Incomplete",IF($AA38&gt;=cfgPTFinalMinPoints,"Yes","No")))))</f>
        <v/>
      </c>
      <c r="AC38" s="17">
        <f>IF($B38="","",_xlfn.LET(_xlpm.pu,IF(COUNT($F38,$O38)=2,IFERROR(($O38-$F38)/$F38,""),""),_xlpm.su,IF(COUNT($G38,$P38)=2,IFERROR(($P38-$G38)/$G38,""),""),_xlpm.ag,IF(COUNT($H38,$Q38)=2,IFERROR(($H38-$Q38)/$H38,""),""),_xlpm.mi,IF(COUNT($I38,$R38)=2,IFERROR(($I38-$R38)/$I38,""),""),_xlpm.tm,IF(COUNT($J38,$S38)=2,IFERROR(($J38-$S38)/$J38,""),""),_xlpm.vals,IFERROR(_xlfn._xlws.FILTER(_xlfn.HSTACK(_xlpm.pu,_xlpm.su,_xlpm.ag,_xlpm.mi,_xlpm.tm),ISNUMBER(_xlfn.HSTACK(_xlpm.pu,_xlpm.su,_xlpm.ag,_xlpm.mi,_xlpm.tm))),""),IF(COUNT(_xlpm.vals)=0,"",ROUND(AVERAGE(_xlpm.vals)*100,1))))</f>
        <v/>
      </c>
      <c r="AD38" s="17">
        <f>IF(Cadets!$B38="","",Cadets!$I38)</f>
        <v/>
      </c>
    </row>
    <row r="39">
      <c r="B39" s="17">
        <f>IF(Cadets!$B39="","",Cadets!$B39)</f>
        <v/>
      </c>
      <c r="C39" s="17">
        <f>IF(Cadets!$B39="","",Cadets!$F39)</f>
        <v/>
      </c>
      <c r="D39" s="16" t="n"/>
      <c r="E39" s="16" t="n"/>
      <c r="F39" s="16" t="n"/>
      <c r="G39" s="16" t="n"/>
      <c r="H39" s="16" t="n"/>
      <c r="I39" s="16" t="n"/>
      <c r="J39" s="16" t="n"/>
      <c r="K39" s="16" t="n"/>
      <c r="L39" s="16" t="n"/>
      <c r="M39" s="16" t="n"/>
      <c r="N39" s="16" t="n"/>
      <c r="O39" s="16" t="n"/>
      <c r="P39" s="16" t="n"/>
      <c r="Q39" s="16" t="n"/>
      <c r="R39" s="16" t="n"/>
      <c r="S39" s="16" t="n"/>
      <c r="T39" s="17">
        <f>IF($B39="","","n/a (baseline only)")</f>
        <v/>
      </c>
      <c r="U39" s="17">
        <f>IF($B39="","","n/a")</f>
        <v/>
      </c>
      <c r="V39" s="17">
        <f>IF($B39="","",IF($O39="","",IF(COUNT(INDEX(nrPTBands,1,0))&lt;5,"",SUMPRODUCT(MAX(($O39&gt;=INDEX(nrPTBands,1,0))*nrPTTierPts)))))</f>
        <v/>
      </c>
      <c r="W39" s="17">
        <f>IF($B39="","",IF($P39="","",IF(COUNT(INDEX(nrPTBands,2,0))&lt;5,"",SUMPRODUCT(MAX(($P39&gt;=INDEX(nrPTBands,2,0))*nrPTTierPts)))))</f>
        <v/>
      </c>
      <c r="X39" s="17">
        <f>IF($B39="","",IF($Q39="","",IF(COUNT(INDEX(nrPTBands,3,0))&lt;5,"",SUMPRODUCT(MAX(($Q39&lt;=INDEX(nrPTBands,3,0))*nrPTTierPts)))))</f>
        <v/>
      </c>
      <c r="Y39" s="17">
        <f>IF($B39="","",IF($R39="","",IF(COUNT(INDEX(nrPTBands,4,0))&lt;5,"",SUMPRODUCT(MAX(($R39*60&lt;=INDEX(nrPTBands,4,0))*nrPTTierPts)))))</f>
        <v/>
      </c>
      <c r="Z39" s="17">
        <f>IF($B39="","",IF($S39="","",IF(COUNT(INDEX(nrPTBands,5,0))&lt;5,"",SUMPRODUCT(MAX(($S39&lt;=INDEX(nrPTBands,5,0))*nrPTTierPts)))))</f>
        <v/>
      </c>
      <c r="AA39" s="17">
        <f>IF($B39="","",IF(COUNT($V39:$Z39)=0,"",SUM($V39:$Z39)))</f>
        <v/>
      </c>
      <c r="AB39" s="17">
        <f>IF($B39="","",IF($AA39="","",IF(cfgPTFinalMinPoints=0,"(rubric pending)",IF(COUNT($V39:$Z39)&lt;5,"Incomplete",IF($AA39&gt;=cfgPTFinalMinPoints,"Yes","No")))))</f>
        <v/>
      </c>
      <c r="AC39" s="17">
        <f>IF($B39="","",_xlfn.LET(_xlpm.pu,IF(COUNT($F39,$O39)=2,IFERROR(($O39-$F39)/$F39,""),""),_xlpm.su,IF(COUNT($G39,$P39)=2,IFERROR(($P39-$G39)/$G39,""),""),_xlpm.ag,IF(COUNT($H39,$Q39)=2,IFERROR(($H39-$Q39)/$H39,""),""),_xlpm.mi,IF(COUNT($I39,$R39)=2,IFERROR(($I39-$R39)/$I39,""),""),_xlpm.tm,IF(COUNT($J39,$S39)=2,IFERROR(($J39-$S39)/$J39,""),""),_xlpm.vals,IFERROR(_xlfn._xlws.FILTER(_xlfn.HSTACK(_xlpm.pu,_xlpm.su,_xlpm.ag,_xlpm.mi,_xlpm.tm),ISNUMBER(_xlfn.HSTACK(_xlpm.pu,_xlpm.su,_xlpm.ag,_xlpm.mi,_xlpm.tm))),""),IF(COUNT(_xlpm.vals)=0,"",ROUND(AVERAGE(_xlpm.vals)*100,1))))</f>
        <v/>
      </c>
      <c r="AD39" s="17">
        <f>IF(Cadets!$B39="","",Cadets!$I39)</f>
        <v/>
      </c>
    </row>
    <row r="40">
      <c r="B40" s="17">
        <f>IF(Cadets!$B40="","",Cadets!$B40)</f>
        <v/>
      </c>
      <c r="C40" s="17">
        <f>IF(Cadets!$B40="","",Cadets!$F40)</f>
        <v/>
      </c>
      <c r="D40" s="16" t="n"/>
      <c r="E40" s="16" t="n"/>
      <c r="F40" s="16" t="n"/>
      <c r="G40" s="16" t="n"/>
      <c r="H40" s="16" t="n"/>
      <c r="I40" s="16" t="n"/>
      <c r="J40" s="16" t="n"/>
      <c r="K40" s="16" t="n"/>
      <c r="L40" s="16" t="n"/>
      <c r="M40" s="16" t="n"/>
      <c r="N40" s="16" t="n"/>
      <c r="O40" s="16" t="n"/>
      <c r="P40" s="16" t="n"/>
      <c r="Q40" s="16" t="n"/>
      <c r="R40" s="16" t="n"/>
      <c r="S40" s="16" t="n"/>
      <c r="T40" s="17">
        <f>IF($B40="","","n/a (baseline only)")</f>
        <v/>
      </c>
      <c r="U40" s="17">
        <f>IF($B40="","","n/a")</f>
        <v/>
      </c>
      <c r="V40" s="17">
        <f>IF($B40="","",IF($O40="","",IF(COUNT(INDEX(nrPTBands,1,0))&lt;5,"",SUMPRODUCT(MAX(($O40&gt;=INDEX(nrPTBands,1,0))*nrPTTierPts)))))</f>
        <v/>
      </c>
      <c r="W40" s="17">
        <f>IF($B40="","",IF($P40="","",IF(COUNT(INDEX(nrPTBands,2,0))&lt;5,"",SUMPRODUCT(MAX(($P40&gt;=INDEX(nrPTBands,2,0))*nrPTTierPts)))))</f>
        <v/>
      </c>
      <c r="X40" s="17">
        <f>IF($B40="","",IF($Q40="","",IF(COUNT(INDEX(nrPTBands,3,0))&lt;5,"",SUMPRODUCT(MAX(($Q40&lt;=INDEX(nrPTBands,3,0))*nrPTTierPts)))))</f>
        <v/>
      </c>
      <c r="Y40" s="17">
        <f>IF($B40="","",IF($R40="","",IF(COUNT(INDEX(nrPTBands,4,0))&lt;5,"",SUMPRODUCT(MAX(($R40*60&lt;=INDEX(nrPTBands,4,0))*nrPTTierPts)))))</f>
        <v/>
      </c>
      <c r="Z40" s="17">
        <f>IF($B40="","",IF($S40="","",IF(COUNT(INDEX(nrPTBands,5,0))&lt;5,"",SUMPRODUCT(MAX(($S40&lt;=INDEX(nrPTBands,5,0))*nrPTTierPts)))))</f>
        <v/>
      </c>
      <c r="AA40" s="17">
        <f>IF($B40="","",IF(COUNT($V40:$Z40)=0,"",SUM($V40:$Z40)))</f>
        <v/>
      </c>
      <c r="AB40" s="17">
        <f>IF($B40="","",IF($AA40="","",IF(cfgPTFinalMinPoints=0,"(rubric pending)",IF(COUNT($V40:$Z40)&lt;5,"Incomplete",IF($AA40&gt;=cfgPTFinalMinPoints,"Yes","No")))))</f>
        <v/>
      </c>
      <c r="AC40" s="17">
        <f>IF($B40="","",_xlfn.LET(_xlpm.pu,IF(COUNT($F40,$O40)=2,IFERROR(($O40-$F40)/$F40,""),""),_xlpm.su,IF(COUNT($G40,$P40)=2,IFERROR(($P40-$G40)/$G40,""),""),_xlpm.ag,IF(COUNT($H40,$Q40)=2,IFERROR(($H40-$Q40)/$H40,""),""),_xlpm.mi,IF(COUNT($I40,$R40)=2,IFERROR(($I40-$R40)/$I40,""),""),_xlpm.tm,IF(COUNT($J40,$S40)=2,IFERROR(($J40-$S40)/$J40,""),""),_xlpm.vals,IFERROR(_xlfn._xlws.FILTER(_xlfn.HSTACK(_xlpm.pu,_xlpm.su,_xlpm.ag,_xlpm.mi,_xlpm.tm),ISNUMBER(_xlfn.HSTACK(_xlpm.pu,_xlpm.su,_xlpm.ag,_xlpm.mi,_xlpm.tm))),""),IF(COUNT(_xlpm.vals)=0,"",ROUND(AVERAGE(_xlpm.vals)*100,1))))</f>
        <v/>
      </c>
      <c r="AD40" s="17">
        <f>IF(Cadets!$B40="","",Cadets!$I40)</f>
        <v/>
      </c>
    </row>
    <row r="41">
      <c r="B41" s="17">
        <f>IF(Cadets!$B41="","",Cadets!$B41)</f>
        <v/>
      </c>
      <c r="C41" s="17">
        <f>IF(Cadets!$B41="","",Cadets!$F41)</f>
        <v/>
      </c>
      <c r="D41" s="16" t="n"/>
      <c r="E41" s="16" t="n"/>
      <c r="F41" s="16" t="n"/>
      <c r="G41" s="16" t="n"/>
      <c r="H41" s="16" t="n"/>
      <c r="I41" s="16" t="n"/>
      <c r="J41" s="16" t="n"/>
      <c r="K41" s="16" t="n"/>
      <c r="L41" s="16" t="n"/>
      <c r="M41" s="16" t="n"/>
      <c r="N41" s="16" t="n"/>
      <c r="O41" s="16" t="n"/>
      <c r="P41" s="16" t="n"/>
      <c r="Q41" s="16" t="n"/>
      <c r="R41" s="16" t="n"/>
      <c r="S41" s="16" t="n"/>
      <c r="T41" s="17">
        <f>IF($B41="","","n/a (baseline only)")</f>
        <v/>
      </c>
      <c r="U41" s="17">
        <f>IF($B41="","","n/a")</f>
        <v/>
      </c>
      <c r="V41" s="17">
        <f>IF($B41="","",IF($O41="","",IF(COUNT(INDEX(nrPTBands,1,0))&lt;5,"",SUMPRODUCT(MAX(($O41&gt;=INDEX(nrPTBands,1,0))*nrPTTierPts)))))</f>
        <v/>
      </c>
      <c r="W41" s="17">
        <f>IF($B41="","",IF($P41="","",IF(COUNT(INDEX(nrPTBands,2,0))&lt;5,"",SUMPRODUCT(MAX(($P41&gt;=INDEX(nrPTBands,2,0))*nrPTTierPts)))))</f>
        <v/>
      </c>
      <c r="X41" s="17">
        <f>IF($B41="","",IF($Q41="","",IF(COUNT(INDEX(nrPTBands,3,0))&lt;5,"",SUMPRODUCT(MAX(($Q41&lt;=INDEX(nrPTBands,3,0))*nrPTTierPts)))))</f>
        <v/>
      </c>
      <c r="Y41" s="17">
        <f>IF($B41="","",IF($R41="","",IF(COUNT(INDEX(nrPTBands,4,0))&lt;5,"",SUMPRODUCT(MAX(($R41*60&lt;=INDEX(nrPTBands,4,0))*nrPTTierPts)))))</f>
        <v/>
      </c>
      <c r="Z41" s="17">
        <f>IF($B41="","",IF($S41="","",IF(COUNT(INDEX(nrPTBands,5,0))&lt;5,"",SUMPRODUCT(MAX(($S41&lt;=INDEX(nrPTBands,5,0))*nrPTTierPts)))))</f>
        <v/>
      </c>
      <c r="AA41" s="17">
        <f>IF($B41="","",IF(COUNT($V41:$Z41)=0,"",SUM($V41:$Z41)))</f>
        <v/>
      </c>
      <c r="AB41" s="17">
        <f>IF($B41="","",IF($AA41="","",IF(cfgPTFinalMinPoints=0,"(rubric pending)",IF(COUNT($V41:$Z41)&lt;5,"Incomplete",IF($AA41&gt;=cfgPTFinalMinPoints,"Yes","No")))))</f>
        <v/>
      </c>
      <c r="AC41" s="17">
        <f>IF($B41="","",_xlfn.LET(_xlpm.pu,IF(COUNT($F41,$O41)=2,IFERROR(($O41-$F41)/$F41,""),""),_xlpm.su,IF(COUNT($G41,$P41)=2,IFERROR(($P41-$G41)/$G41,""),""),_xlpm.ag,IF(COUNT($H41,$Q41)=2,IFERROR(($H41-$Q41)/$H41,""),""),_xlpm.mi,IF(COUNT($I41,$R41)=2,IFERROR(($I41-$R41)/$I41,""),""),_xlpm.tm,IF(COUNT($J41,$S41)=2,IFERROR(($J41-$S41)/$J41,""),""),_xlpm.vals,IFERROR(_xlfn._xlws.FILTER(_xlfn.HSTACK(_xlpm.pu,_xlpm.su,_xlpm.ag,_xlpm.mi,_xlpm.tm),ISNUMBER(_xlfn.HSTACK(_xlpm.pu,_xlpm.su,_xlpm.ag,_xlpm.mi,_xlpm.tm))),""),IF(COUNT(_xlpm.vals)=0,"",ROUND(AVERAGE(_xlpm.vals)*100,1))))</f>
        <v/>
      </c>
      <c r="AD41" s="17">
        <f>IF(Cadets!$B41="","",Cadets!$I41)</f>
        <v/>
      </c>
    </row>
    <row r="42">
      <c r="B42" s="17">
        <f>IF(Cadets!$B42="","",Cadets!$B42)</f>
        <v/>
      </c>
      <c r="C42" s="17">
        <f>IF(Cadets!$B42="","",Cadets!$F42)</f>
        <v/>
      </c>
      <c r="D42" s="16" t="n"/>
      <c r="E42" s="16" t="n"/>
      <c r="F42" s="16" t="n"/>
      <c r="G42" s="16" t="n"/>
      <c r="H42" s="16" t="n"/>
      <c r="I42" s="16" t="n"/>
      <c r="J42" s="16" t="n"/>
      <c r="K42" s="16" t="n"/>
      <c r="L42" s="16" t="n"/>
      <c r="M42" s="16" t="n"/>
      <c r="N42" s="16" t="n"/>
      <c r="O42" s="16" t="n"/>
      <c r="P42" s="16" t="n"/>
      <c r="Q42" s="16" t="n"/>
      <c r="R42" s="16" t="n"/>
      <c r="S42" s="16" t="n"/>
      <c r="T42" s="17">
        <f>IF($B42="","","n/a (baseline only)")</f>
        <v/>
      </c>
      <c r="U42" s="17">
        <f>IF($B42="","","n/a")</f>
        <v/>
      </c>
      <c r="V42" s="17">
        <f>IF($B42="","",IF($O42="","",IF(COUNT(INDEX(nrPTBands,1,0))&lt;5,"",SUMPRODUCT(MAX(($O42&gt;=INDEX(nrPTBands,1,0))*nrPTTierPts)))))</f>
        <v/>
      </c>
      <c r="W42" s="17">
        <f>IF($B42="","",IF($P42="","",IF(COUNT(INDEX(nrPTBands,2,0))&lt;5,"",SUMPRODUCT(MAX(($P42&gt;=INDEX(nrPTBands,2,0))*nrPTTierPts)))))</f>
        <v/>
      </c>
      <c r="X42" s="17">
        <f>IF($B42="","",IF($Q42="","",IF(COUNT(INDEX(nrPTBands,3,0))&lt;5,"",SUMPRODUCT(MAX(($Q42&lt;=INDEX(nrPTBands,3,0))*nrPTTierPts)))))</f>
        <v/>
      </c>
      <c r="Y42" s="17">
        <f>IF($B42="","",IF($R42="","",IF(COUNT(INDEX(nrPTBands,4,0))&lt;5,"",SUMPRODUCT(MAX(($R42*60&lt;=INDEX(nrPTBands,4,0))*nrPTTierPts)))))</f>
        <v/>
      </c>
      <c r="Z42" s="17">
        <f>IF($B42="","",IF($S42="","",IF(COUNT(INDEX(nrPTBands,5,0))&lt;5,"",SUMPRODUCT(MAX(($S42&lt;=INDEX(nrPTBands,5,0))*nrPTTierPts)))))</f>
        <v/>
      </c>
      <c r="AA42" s="17">
        <f>IF($B42="","",IF(COUNT($V42:$Z42)=0,"",SUM($V42:$Z42)))</f>
        <v/>
      </c>
      <c r="AB42" s="17">
        <f>IF($B42="","",IF($AA42="","",IF(cfgPTFinalMinPoints=0,"(rubric pending)",IF(COUNT($V42:$Z42)&lt;5,"Incomplete",IF($AA42&gt;=cfgPTFinalMinPoints,"Yes","No")))))</f>
        <v/>
      </c>
      <c r="AC42" s="17">
        <f>IF($B42="","",_xlfn.LET(_xlpm.pu,IF(COUNT($F42,$O42)=2,IFERROR(($O42-$F42)/$F42,""),""),_xlpm.su,IF(COUNT($G42,$P42)=2,IFERROR(($P42-$G42)/$G42,""),""),_xlpm.ag,IF(COUNT($H42,$Q42)=2,IFERROR(($H42-$Q42)/$H42,""),""),_xlpm.mi,IF(COUNT($I42,$R42)=2,IFERROR(($I42-$R42)/$I42,""),""),_xlpm.tm,IF(COUNT($J42,$S42)=2,IFERROR(($J42-$S42)/$J42,""),""),_xlpm.vals,IFERROR(_xlfn._xlws.FILTER(_xlfn.HSTACK(_xlpm.pu,_xlpm.su,_xlpm.ag,_xlpm.mi,_xlpm.tm),ISNUMBER(_xlfn.HSTACK(_xlpm.pu,_xlpm.su,_xlpm.ag,_xlpm.mi,_xlpm.tm))),""),IF(COUNT(_xlpm.vals)=0,"",ROUND(AVERAGE(_xlpm.vals)*100,1))))</f>
        <v/>
      </c>
      <c r="AD42" s="17">
        <f>IF(Cadets!$B42="","",Cadets!$I42)</f>
        <v/>
      </c>
    </row>
    <row r="43">
      <c r="B43" s="17">
        <f>IF(Cadets!$B43="","",Cadets!$B43)</f>
        <v/>
      </c>
      <c r="C43" s="17">
        <f>IF(Cadets!$B43="","",Cadets!$F43)</f>
        <v/>
      </c>
      <c r="D43" s="16" t="n"/>
      <c r="E43" s="16" t="n"/>
      <c r="F43" s="16" t="n"/>
      <c r="G43" s="16" t="n"/>
      <c r="H43" s="16" t="n"/>
      <c r="I43" s="16" t="n"/>
      <c r="J43" s="16" t="n"/>
      <c r="K43" s="16" t="n"/>
      <c r="L43" s="16" t="n"/>
      <c r="M43" s="16" t="n"/>
      <c r="N43" s="16" t="n"/>
      <c r="O43" s="16" t="n"/>
      <c r="P43" s="16" t="n"/>
      <c r="Q43" s="16" t="n"/>
      <c r="R43" s="16" t="n"/>
      <c r="S43" s="16" t="n"/>
      <c r="T43" s="17">
        <f>IF($B43="","","n/a (baseline only)")</f>
        <v/>
      </c>
      <c r="U43" s="17">
        <f>IF($B43="","","n/a")</f>
        <v/>
      </c>
      <c r="V43" s="17">
        <f>IF($B43="","",IF($O43="","",IF(COUNT(INDEX(nrPTBands,1,0))&lt;5,"",SUMPRODUCT(MAX(($O43&gt;=INDEX(nrPTBands,1,0))*nrPTTierPts)))))</f>
        <v/>
      </c>
      <c r="W43" s="17">
        <f>IF($B43="","",IF($P43="","",IF(COUNT(INDEX(nrPTBands,2,0))&lt;5,"",SUMPRODUCT(MAX(($P43&gt;=INDEX(nrPTBands,2,0))*nrPTTierPts)))))</f>
        <v/>
      </c>
      <c r="X43" s="17">
        <f>IF($B43="","",IF($Q43="","",IF(COUNT(INDEX(nrPTBands,3,0))&lt;5,"",SUMPRODUCT(MAX(($Q43&lt;=INDEX(nrPTBands,3,0))*nrPTTierPts)))))</f>
        <v/>
      </c>
      <c r="Y43" s="17">
        <f>IF($B43="","",IF($R43="","",IF(COUNT(INDEX(nrPTBands,4,0))&lt;5,"",SUMPRODUCT(MAX(($R43*60&lt;=INDEX(nrPTBands,4,0))*nrPTTierPts)))))</f>
        <v/>
      </c>
      <c r="Z43" s="17">
        <f>IF($B43="","",IF($S43="","",IF(COUNT(INDEX(nrPTBands,5,0))&lt;5,"",SUMPRODUCT(MAX(($S43&lt;=INDEX(nrPTBands,5,0))*nrPTTierPts)))))</f>
        <v/>
      </c>
      <c r="AA43" s="17">
        <f>IF($B43="","",IF(COUNT($V43:$Z43)=0,"",SUM($V43:$Z43)))</f>
        <v/>
      </c>
      <c r="AB43" s="17">
        <f>IF($B43="","",IF($AA43="","",IF(cfgPTFinalMinPoints=0,"(rubric pending)",IF(COUNT($V43:$Z43)&lt;5,"Incomplete",IF($AA43&gt;=cfgPTFinalMinPoints,"Yes","No")))))</f>
        <v/>
      </c>
      <c r="AC43" s="17">
        <f>IF($B43="","",_xlfn.LET(_xlpm.pu,IF(COUNT($F43,$O43)=2,IFERROR(($O43-$F43)/$F43,""),""),_xlpm.su,IF(COUNT($G43,$P43)=2,IFERROR(($P43-$G43)/$G43,""),""),_xlpm.ag,IF(COUNT($H43,$Q43)=2,IFERROR(($H43-$Q43)/$H43,""),""),_xlpm.mi,IF(COUNT($I43,$R43)=2,IFERROR(($I43-$R43)/$I43,""),""),_xlpm.tm,IF(COUNT($J43,$S43)=2,IFERROR(($J43-$S43)/$J43,""),""),_xlpm.vals,IFERROR(_xlfn._xlws.FILTER(_xlfn.HSTACK(_xlpm.pu,_xlpm.su,_xlpm.ag,_xlpm.mi,_xlpm.tm),ISNUMBER(_xlfn.HSTACK(_xlpm.pu,_xlpm.su,_xlpm.ag,_xlpm.mi,_xlpm.tm))),""),IF(COUNT(_xlpm.vals)=0,"",ROUND(AVERAGE(_xlpm.vals)*100,1))))</f>
        <v/>
      </c>
      <c r="AD43" s="17">
        <f>IF(Cadets!$B43="","",Cadets!$I43)</f>
        <v/>
      </c>
    </row>
    <row r="44">
      <c r="B44" s="17">
        <f>IF(Cadets!$B44="","",Cadets!$B44)</f>
        <v/>
      </c>
      <c r="C44" s="17">
        <f>IF(Cadets!$B44="","",Cadets!$F44)</f>
        <v/>
      </c>
      <c r="D44" s="16" t="n"/>
      <c r="E44" s="16" t="n"/>
      <c r="F44" s="16" t="n"/>
      <c r="G44" s="16" t="n"/>
      <c r="H44" s="16" t="n"/>
      <c r="I44" s="16" t="n"/>
      <c r="J44" s="16" t="n"/>
      <c r="K44" s="16" t="n"/>
      <c r="L44" s="16" t="n"/>
      <c r="M44" s="16" t="n"/>
      <c r="N44" s="16" t="n"/>
      <c r="O44" s="16" t="n"/>
      <c r="P44" s="16" t="n"/>
      <c r="Q44" s="16" t="n"/>
      <c r="R44" s="16" t="n"/>
      <c r="S44" s="16" t="n"/>
      <c r="T44" s="17">
        <f>IF($B44="","","n/a (baseline only)")</f>
        <v/>
      </c>
      <c r="U44" s="17">
        <f>IF($B44="","","n/a")</f>
        <v/>
      </c>
      <c r="V44" s="17">
        <f>IF($B44="","",IF($O44="","",IF(COUNT(INDEX(nrPTBands,1,0))&lt;5,"",SUMPRODUCT(MAX(($O44&gt;=INDEX(nrPTBands,1,0))*nrPTTierPts)))))</f>
        <v/>
      </c>
      <c r="W44" s="17">
        <f>IF($B44="","",IF($P44="","",IF(COUNT(INDEX(nrPTBands,2,0))&lt;5,"",SUMPRODUCT(MAX(($P44&gt;=INDEX(nrPTBands,2,0))*nrPTTierPts)))))</f>
        <v/>
      </c>
      <c r="X44" s="17">
        <f>IF($B44="","",IF($Q44="","",IF(COUNT(INDEX(nrPTBands,3,0))&lt;5,"",SUMPRODUCT(MAX(($Q44&lt;=INDEX(nrPTBands,3,0))*nrPTTierPts)))))</f>
        <v/>
      </c>
      <c r="Y44" s="17">
        <f>IF($B44="","",IF($R44="","",IF(COUNT(INDEX(nrPTBands,4,0))&lt;5,"",SUMPRODUCT(MAX(($R44*60&lt;=INDEX(nrPTBands,4,0))*nrPTTierPts)))))</f>
        <v/>
      </c>
      <c r="Z44" s="17">
        <f>IF($B44="","",IF($S44="","",IF(COUNT(INDEX(nrPTBands,5,0))&lt;5,"",SUMPRODUCT(MAX(($S44&lt;=INDEX(nrPTBands,5,0))*nrPTTierPts)))))</f>
        <v/>
      </c>
      <c r="AA44" s="17">
        <f>IF($B44="","",IF(COUNT($V44:$Z44)=0,"",SUM($V44:$Z44)))</f>
        <v/>
      </c>
      <c r="AB44" s="17">
        <f>IF($B44="","",IF($AA44="","",IF(cfgPTFinalMinPoints=0,"(rubric pending)",IF(COUNT($V44:$Z44)&lt;5,"Incomplete",IF($AA44&gt;=cfgPTFinalMinPoints,"Yes","No")))))</f>
        <v/>
      </c>
      <c r="AC44" s="17">
        <f>IF($B44="","",_xlfn.LET(_xlpm.pu,IF(COUNT($F44,$O44)=2,IFERROR(($O44-$F44)/$F44,""),""),_xlpm.su,IF(COUNT($G44,$P44)=2,IFERROR(($P44-$G44)/$G44,""),""),_xlpm.ag,IF(COUNT($H44,$Q44)=2,IFERROR(($H44-$Q44)/$H44,""),""),_xlpm.mi,IF(COUNT($I44,$R44)=2,IFERROR(($I44-$R44)/$I44,""),""),_xlpm.tm,IF(COUNT($J44,$S44)=2,IFERROR(($J44-$S44)/$J44,""),""),_xlpm.vals,IFERROR(_xlfn._xlws.FILTER(_xlfn.HSTACK(_xlpm.pu,_xlpm.su,_xlpm.ag,_xlpm.mi,_xlpm.tm),ISNUMBER(_xlfn.HSTACK(_xlpm.pu,_xlpm.su,_xlpm.ag,_xlpm.mi,_xlpm.tm))),""),IF(COUNT(_xlpm.vals)=0,"",ROUND(AVERAGE(_xlpm.vals)*100,1))))</f>
        <v/>
      </c>
      <c r="AD44" s="17">
        <f>IF(Cadets!$B44="","",Cadets!$I44)</f>
        <v/>
      </c>
    </row>
    <row r="45">
      <c r="B45" s="17">
        <f>IF(Cadets!$B45="","",Cadets!$B45)</f>
        <v/>
      </c>
      <c r="C45" s="17">
        <f>IF(Cadets!$B45="","",Cadets!$F45)</f>
        <v/>
      </c>
      <c r="D45" s="16" t="n"/>
      <c r="E45" s="16" t="n"/>
      <c r="F45" s="16" t="n"/>
      <c r="G45" s="16" t="n"/>
      <c r="H45" s="16" t="n"/>
      <c r="I45" s="16" t="n"/>
      <c r="J45" s="16" t="n"/>
      <c r="K45" s="16" t="n"/>
      <c r="L45" s="16" t="n"/>
      <c r="M45" s="16" t="n"/>
      <c r="N45" s="16" t="n"/>
      <c r="O45" s="16" t="n"/>
      <c r="P45" s="16" t="n"/>
      <c r="Q45" s="16" t="n"/>
      <c r="R45" s="16" t="n"/>
      <c r="S45" s="16" t="n"/>
      <c r="T45" s="17">
        <f>IF($B45="","","n/a (baseline only)")</f>
        <v/>
      </c>
      <c r="U45" s="17">
        <f>IF($B45="","","n/a")</f>
        <v/>
      </c>
      <c r="V45" s="17">
        <f>IF($B45="","",IF($O45="","",IF(COUNT(INDEX(nrPTBands,1,0))&lt;5,"",SUMPRODUCT(MAX(($O45&gt;=INDEX(nrPTBands,1,0))*nrPTTierPts)))))</f>
        <v/>
      </c>
      <c r="W45" s="17">
        <f>IF($B45="","",IF($P45="","",IF(COUNT(INDEX(nrPTBands,2,0))&lt;5,"",SUMPRODUCT(MAX(($P45&gt;=INDEX(nrPTBands,2,0))*nrPTTierPts)))))</f>
        <v/>
      </c>
      <c r="X45" s="17">
        <f>IF($B45="","",IF($Q45="","",IF(COUNT(INDEX(nrPTBands,3,0))&lt;5,"",SUMPRODUCT(MAX(($Q45&lt;=INDEX(nrPTBands,3,0))*nrPTTierPts)))))</f>
        <v/>
      </c>
      <c r="Y45" s="17">
        <f>IF($B45="","",IF($R45="","",IF(COUNT(INDEX(nrPTBands,4,0))&lt;5,"",SUMPRODUCT(MAX(($R45*60&lt;=INDEX(nrPTBands,4,0))*nrPTTierPts)))))</f>
        <v/>
      </c>
      <c r="Z45" s="17">
        <f>IF($B45="","",IF($S45="","",IF(COUNT(INDEX(nrPTBands,5,0))&lt;5,"",SUMPRODUCT(MAX(($S45&lt;=INDEX(nrPTBands,5,0))*nrPTTierPts)))))</f>
        <v/>
      </c>
      <c r="AA45" s="17">
        <f>IF($B45="","",IF(COUNT($V45:$Z45)=0,"",SUM($V45:$Z45)))</f>
        <v/>
      </c>
      <c r="AB45" s="17">
        <f>IF($B45="","",IF($AA45="","",IF(cfgPTFinalMinPoints=0,"(rubric pending)",IF(COUNT($V45:$Z45)&lt;5,"Incomplete",IF($AA45&gt;=cfgPTFinalMinPoints,"Yes","No")))))</f>
        <v/>
      </c>
      <c r="AC45" s="17">
        <f>IF($B45="","",_xlfn.LET(_xlpm.pu,IF(COUNT($F45,$O45)=2,IFERROR(($O45-$F45)/$F45,""),""),_xlpm.su,IF(COUNT($G45,$P45)=2,IFERROR(($P45-$G45)/$G45,""),""),_xlpm.ag,IF(COUNT($H45,$Q45)=2,IFERROR(($H45-$Q45)/$H45,""),""),_xlpm.mi,IF(COUNT($I45,$R45)=2,IFERROR(($I45-$R45)/$I45,""),""),_xlpm.tm,IF(COUNT($J45,$S45)=2,IFERROR(($J45-$S45)/$J45,""),""),_xlpm.vals,IFERROR(_xlfn._xlws.FILTER(_xlfn.HSTACK(_xlpm.pu,_xlpm.su,_xlpm.ag,_xlpm.mi,_xlpm.tm),ISNUMBER(_xlfn.HSTACK(_xlpm.pu,_xlpm.su,_xlpm.ag,_xlpm.mi,_xlpm.tm))),""),IF(COUNT(_xlpm.vals)=0,"",ROUND(AVERAGE(_xlpm.vals)*100,1))))</f>
        <v/>
      </c>
      <c r="AD45" s="17">
        <f>IF(Cadets!$B45="","",Cadets!$I45)</f>
        <v/>
      </c>
    </row>
    <row r="46">
      <c r="B46" s="17">
        <f>IF(Cadets!$B46="","",Cadets!$B46)</f>
        <v/>
      </c>
      <c r="C46" s="17">
        <f>IF(Cadets!$B46="","",Cadets!$F46)</f>
        <v/>
      </c>
      <c r="D46" s="16" t="n"/>
      <c r="E46" s="16" t="n"/>
      <c r="F46" s="16" t="n"/>
      <c r="G46" s="16" t="n"/>
      <c r="H46" s="16" t="n"/>
      <c r="I46" s="16" t="n"/>
      <c r="J46" s="16" t="n"/>
      <c r="K46" s="16" t="n"/>
      <c r="L46" s="16" t="n"/>
      <c r="M46" s="16" t="n"/>
      <c r="N46" s="16" t="n"/>
      <c r="O46" s="16" t="n"/>
      <c r="P46" s="16" t="n"/>
      <c r="Q46" s="16" t="n"/>
      <c r="R46" s="16" t="n"/>
      <c r="S46" s="16" t="n"/>
      <c r="T46" s="17">
        <f>IF($B46="","","n/a (baseline only)")</f>
        <v/>
      </c>
      <c r="U46" s="17">
        <f>IF($B46="","","n/a")</f>
        <v/>
      </c>
      <c r="V46" s="17">
        <f>IF($B46="","",IF($O46="","",IF(COUNT(INDEX(nrPTBands,1,0))&lt;5,"",SUMPRODUCT(MAX(($O46&gt;=INDEX(nrPTBands,1,0))*nrPTTierPts)))))</f>
        <v/>
      </c>
      <c r="W46" s="17">
        <f>IF($B46="","",IF($P46="","",IF(COUNT(INDEX(nrPTBands,2,0))&lt;5,"",SUMPRODUCT(MAX(($P46&gt;=INDEX(nrPTBands,2,0))*nrPTTierPts)))))</f>
        <v/>
      </c>
      <c r="X46" s="17">
        <f>IF($B46="","",IF($Q46="","",IF(COUNT(INDEX(nrPTBands,3,0))&lt;5,"",SUMPRODUCT(MAX(($Q46&lt;=INDEX(nrPTBands,3,0))*nrPTTierPts)))))</f>
        <v/>
      </c>
      <c r="Y46" s="17">
        <f>IF($B46="","",IF($R46="","",IF(COUNT(INDEX(nrPTBands,4,0))&lt;5,"",SUMPRODUCT(MAX(($R46*60&lt;=INDEX(nrPTBands,4,0))*nrPTTierPts)))))</f>
        <v/>
      </c>
      <c r="Z46" s="17">
        <f>IF($B46="","",IF($S46="","",IF(COUNT(INDEX(nrPTBands,5,0))&lt;5,"",SUMPRODUCT(MAX(($S46&lt;=INDEX(nrPTBands,5,0))*nrPTTierPts)))))</f>
        <v/>
      </c>
      <c r="AA46" s="17">
        <f>IF($B46="","",IF(COUNT($V46:$Z46)=0,"",SUM($V46:$Z46)))</f>
        <v/>
      </c>
      <c r="AB46" s="17">
        <f>IF($B46="","",IF($AA46="","",IF(cfgPTFinalMinPoints=0,"(rubric pending)",IF(COUNT($V46:$Z46)&lt;5,"Incomplete",IF($AA46&gt;=cfgPTFinalMinPoints,"Yes","No")))))</f>
        <v/>
      </c>
      <c r="AC46" s="17">
        <f>IF($B46="","",_xlfn.LET(_xlpm.pu,IF(COUNT($F46,$O46)=2,IFERROR(($O46-$F46)/$F46,""),""),_xlpm.su,IF(COUNT($G46,$P46)=2,IFERROR(($P46-$G46)/$G46,""),""),_xlpm.ag,IF(COUNT($H46,$Q46)=2,IFERROR(($H46-$Q46)/$H46,""),""),_xlpm.mi,IF(COUNT($I46,$R46)=2,IFERROR(($I46-$R46)/$I46,""),""),_xlpm.tm,IF(COUNT($J46,$S46)=2,IFERROR(($J46-$S46)/$J46,""),""),_xlpm.vals,IFERROR(_xlfn._xlws.FILTER(_xlfn.HSTACK(_xlpm.pu,_xlpm.su,_xlpm.ag,_xlpm.mi,_xlpm.tm),ISNUMBER(_xlfn.HSTACK(_xlpm.pu,_xlpm.su,_xlpm.ag,_xlpm.mi,_xlpm.tm))),""),IF(COUNT(_xlpm.vals)=0,"",ROUND(AVERAGE(_xlpm.vals)*100,1))))</f>
        <v/>
      </c>
      <c r="AD46" s="17">
        <f>IF(Cadets!$B46="","",Cadets!$I46)</f>
        <v/>
      </c>
    </row>
    <row r="47">
      <c r="B47" s="17">
        <f>IF(Cadets!$B47="","",Cadets!$B47)</f>
        <v/>
      </c>
      <c r="C47" s="17">
        <f>IF(Cadets!$B47="","",Cadets!$F47)</f>
        <v/>
      </c>
      <c r="D47" s="16" t="n"/>
      <c r="E47" s="16" t="n"/>
      <c r="F47" s="16" t="n"/>
      <c r="G47" s="16" t="n"/>
      <c r="H47" s="16" t="n"/>
      <c r="I47" s="16" t="n"/>
      <c r="J47" s="16" t="n"/>
      <c r="K47" s="16" t="n"/>
      <c r="L47" s="16" t="n"/>
      <c r="M47" s="16" t="n"/>
      <c r="N47" s="16" t="n"/>
      <c r="O47" s="16" t="n"/>
      <c r="P47" s="16" t="n"/>
      <c r="Q47" s="16" t="n"/>
      <c r="R47" s="16" t="n"/>
      <c r="S47" s="16" t="n"/>
      <c r="T47" s="17">
        <f>IF($B47="","","n/a (baseline only)")</f>
        <v/>
      </c>
      <c r="U47" s="17">
        <f>IF($B47="","","n/a")</f>
        <v/>
      </c>
      <c r="V47" s="17">
        <f>IF($B47="","",IF($O47="","",IF(COUNT(INDEX(nrPTBands,1,0))&lt;5,"",SUMPRODUCT(MAX(($O47&gt;=INDEX(nrPTBands,1,0))*nrPTTierPts)))))</f>
        <v/>
      </c>
      <c r="W47" s="17">
        <f>IF($B47="","",IF($P47="","",IF(COUNT(INDEX(nrPTBands,2,0))&lt;5,"",SUMPRODUCT(MAX(($P47&gt;=INDEX(nrPTBands,2,0))*nrPTTierPts)))))</f>
        <v/>
      </c>
      <c r="X47" s="17">
        <f>IF($B47="","",IF($Q47="","",IF(COUNT(INDEX(nrPTBands,3,0))&lt;5,"",SUMPRODUCT(MAX(($Q47&lt;=INDEX(nrPTBands,3,0))*nrPTTierPts)))))</f>
        <v/>
      </c>
      <c r="Y47" s="17">
        <f>IF($B47="","",IF($R47="","",IF(COUNT(INDEX(nrPTBands,4,0))&lt;5,"",SUMPRODUCT(MAX(($R47*60&lt;=INDEX(nrPTBands,4,0))*nrPTTierPts)))))</f>
        <v/>
      </c>
      <c r="Z47" s="17">
        <f>IF($B47="","",IF($S47="","",IF(COUNT(INDEX(nrPTBands,5,0))&lt;5,"",SUMPRODUCT(MAX(($S47&lt;=INDEX(nrPTBands,5,0))*nrPTTierPts)))))</f>
        <v/>
      </c>
      <c r="AA47" s="17">
        <f>IF($B47="","",IF(COUNT($V47:$Z47)=0,"",SUM($V47:$Z47)))</f>
        <v/>
      </c>
      <c r="AB47" s="17">
        <f>IF($B47="","",IF($AA47="","",IF(cfgPTFinalMinPoints=0,"(rubric pending)",IF(COUNT($V47:$Z47)&lt;5,"Incomplete",IF($AA47&gt;=cfgPTFinalMinPoints,"Yes","No")))))</f>
        <v/>
      </c>
      <c r="AC47" s="17">
        <f>IF($B47="","",_xlfn.LET(_xlpm.pu,IF(COUNT($F47,$O47)=2,IFERROR(($O47-$F47)/$F47,""),""),_xlpm.su,IF(COUNT($G47,$P47)=2,IFERROR(($P47-$G47)/$G47,""),""),_xlpm.ag,IF(COUNT($H47,$Q47)=2,IFERROR(($H47-$Q47)/$H47,""),""),_xlpm.mi,IF(COUNT($I47,$R47)=2,IFERROR(($I47-$R47)/$I47,""),""),_xlpm.tm,IF(COUNT($J47,$S47)=2,IFERROR(($J47-$S47)/$J47,""),""),_xlpm.vals,IFERROR(_xlfn._xlws.FILTER(_xlfn.HSTACK(_xlpm.pu,_xlpm.su,_xlpm.ag,_xlpm.mi,_xlpm.tm),ISNUMBER(_xlfn.HSTACK(_xlpm.pu,_xlpm.su,_xlpm.ag,_xlpm.mi,_xlpm.tm))),""),IF(COUNT(_xlpm.vals)=0,"",ROUND(AVERAGE(_xlpm.vals)*100,1))))</f>
        <v/>
      </c>
      <c r="AD47" s="17">
        <f>IF(Cadets!$B47="","",Cadets!$I47)</f>
        <v/>
      </c>
    </row>
    <row r="48">
      <c r="B48" s="17">
        <f>IF(Cadets!$B48="","",Cadets!$B48)</f>
        <v/>
      </c>
      <c r="C48" s="17">
        <f>IF(Cadets!$B48="","",Cadets!$F48)</f>
        <v/>
      </c>
      <c r="D48" s="16" t="n"/>
      <c r="E48" s="16" t="n"/>
      <c r="F48" s="16" t="n"/>
      <c r="G48" s="16" t="n"/>
      <c r="H48" s="16" t="n"/>
      <c r="I48" s="16" t="n"/>
      <c r="J48" s="16" t="n"/>
      <c r="K48" s="16" t="n"/>
      <c r="L48" s="16" t="n"/>
      <c r="M48" s="16" t="n"/>
      <c r="N48" s="16" t="n"/>
      <c r="O48" s="16" t="n"/>
      <c r="P48" s="16" t="n"/>
      <c r="Q48" s="16" t="n"/>
      <c r="R48" s="16" t="n"/>
      <c r="S48" s="16" t="n"/>
      <c r="T48" s="17">
        <f>IF($B48="","","n/a (baseline only)")</f>
        <v/>
      </c>
      <c r="U48" s="17">
        <f>IF($B48="","","n/a")</f>
        <v/>
      </c>
      <c r="V48" s="17">
        <f>IF($B48="","",IF($O48="","",IF(COUNT(INDEX(nrPTBands,1,0))&lt;5,"",SUMPRODUCT(MAX(($O48&gt;=INDEX(nrPTBands,1,0))*nrPTTierPts)))))</f>
        <v/>
      </c>
      <c r="W48" s="17">
        <f>IF($B48="","",IF($P48="","",IF(COUNT(INDEX(nrPTBands,2,0))&lt;5,"",SUMPRODUCT(MAX(($P48&gt;=INDEX(nrPTBands,2,0))*nrPTTierPts)))))</f>
        <v/>
      </c>
      <c r="X48" s="17">
        <f>IF($B48="","",IF($Q48="","",IF(COUNT(INDEX(nrPTBands,3,0))&lt;5,"",SUMPRODUCT(MAX(($Q48&lt;=INDEX(nrPTBands,3,0))*nrPTTierPts)))))</f>
        <v/>
      </c>
      <c r="Y48" s="17">
        <f>IF($B48="","",IF($R48="","",IF(COUNT(INDEX(nrPTBands,4,0))&lt;5,"",SUMPRODUCT(MAX(($R48*60&lt;=INDEX(nrPTBands,4,0))*nrPTTierPts)))))</f>
        <v/>
      </c>
      <c r="Z48" s="17">
        <f>IF($B48="","",IF($S48="","",IF(COUNT(INDEX(nrPTBands,5,0))&lt;5,"",SUMPRODUCT(MAX(($S48&lt;=INDEX(nrPTBands,5,0))*nrPTTierPts)))))</f>
        <v/>
      </c>
      <c r="AA48" s="17">
        <f>IF($B48="","",IF(COUNT($V48:$Z48)=0,"",SUM($V48:$Z48)))</f>
        <v/>
      </c>
      <c r="AB48" s="17">
        <f>IF($B48="","",IF($AA48="","",IF(cfgPTFinalMinPoints=0,"(rubric pending)",IF(COUNT($V48:$Z48)&lt;5,"Incomplete",IF($AA48&gt;=cfgPTFinalMinPoints,"Yes","No")))))</f>
        <v/>
      </c>
      <c r="AC48" s="17">
        <f>IF($B48="","",_xlfn.LET(_xlpm.pu,IF(COUNT($F48,$O48)=2,IFERROR(($O48-$F48)/$F48,""),""),_xlpm.su,IF(COUNT($G48,$P48)=2,IFERROR(($P48-$G48)/$G48,""),""),_xlpm.ag,IF(COUNT($H48,$Q48)=2,IFERROR(($H48-$Q48)/$H48,""),""),_xlpm.mi,IF(COUNT($I48,$R48)=2,IFERROR(($I48-$R48)/$I48,""),""),_xlpm.tm,IF(COUNT($J48,$S48)=2,IFERROR(($J48-$S48)/$J48,""),""),_xlpm.vals,IFERROR(_xlfn._xlws.FILTER(_xlfn.HSTACK(_xlpm.pu,_xlpm.su,_xlpm.ag,_xlpm.mi,_xlpm.tm),ISNUMBER(_xlfn.HSTACK(_xlpm.pu,_xlpm.su,_xlpm.ag,_xlpm.mi,_xlpm.tm))),""),IF(COUNT(_xlpm.vals)=0,"",ROUND(AVERAGE(_xlpm.vals)*100,1))))</f>
        <v/>
      </c>
      <c r="AD48" s="17">
        <f>IF(Cadets!$B48="","",Cadets!$I48)</f>
        <v/>
      </c>
    </row>
    <row r="49">
      <c r="B49" s="17">
        <f>IF(Cadets!$B49="","",Cadets!$B49)</f>
        <v/>
      </c>
      <c r="C49" s="17">
        <f>IF(Cadets!$B49="","",Cadets!$F49)</f>
        <v/>
      </c>
      <c r="D49" s="16" t="n"/>
      <c r="E49" s="16" t="n"/>
      <c r="F49" s="16" t="n"/>
      <c r="G49" s="16" t="n"/>
      <c r="H49" s="16" t="n"/>
      <c r="I49" s="16" t="n"/>
      <c r="J49" s="16" t="n"/>
      <c r="K49" s="16" t="n"/>
      <c r="L49" s="16" t="n"/>
      <c r="M49" s="16" t="n"/>
      <c r="N49" s="16" t="n"/>
      <c r="O49" s="16" t="n"/>
      <c r="P49" s="16" t="n"/>
      <c r="Q49" s="16" t="n"/>
      <c r="R49" s="16" t="n"/>
      <c r="S49" s="16" t="n"/>
      <c r="T49" s="17">
        <f>IF($B49="","","n/a (baseline only)")</f>
        <v/>
      </c>
      <c r="U49" s="17">
        <f>IF($B49="","","n/a")</f>
        <v/>
      </c>
      <c r="V49" s="17">
        <f>IF($B49="","",IF($O49="","",IF(COUNT(INDEX(nrPTBands,1,0))&lt;5,"",SUMPRODUCT(MAX(($O49&gt;=INDEX(nrPTBands,1,0))*nrPTTierPts)))))</f>
        <v/>
      </c>
      <c r="W49" s="17">
        <f>IF($B49="","",IF($P49="","",IF(COUNT(INDEX(nrPTBands,2,0))&lt;5,"",SUMPRODUCT(MAX(($P49&gt;=INDEX(nrPTBands,2,0))*nrPTTierPts)))))</f>
        <v/>
      </c>
      <c r="X49" s="17">
        <f>IF($B49="","",IF($Q49="","",IF(COUNT(INDEX(nrPTBands,3,0))&lt;5,"",SUMPRODUCT(MAX(($Q49&lt;=INDEX(nrPTBands,3,0))*nrPTTierPts)))))</f>
        <v/>
      </c>
      <c r="Y49" s="17">
        <f>IF($B49="","",IF($R49="","",IF(COUNT(INDEX(nrPTBands,4,0))&lt;5,"",SUMPRODUCT(MAX(($R49*60&lt;=INDEX(nrPTBands,4,0))*nrPTTierPts)))))</f>
        <v/>
      </c>
      <c r="Z49" s="17">
        <f>IF($B49="","",IF($S49="","",IF(COUNT(INDEX(nrPTBands,5,0))&lt;5,"",SUMPRODUCT(MAX(($S49&lt;=INDEX(nrPTBands,5,0))*nrPTTierPts)))))</f>
        <v/>
      </c>
      <c r="AA49" s="17">
        <f>IF($B49="","",IF(COUNT($V49:$Z49)=0,"",SUM($V49:$Z49)))</f>
        <v/>
      </c>
      <c r="AB49" s="17">
        <f>IF($B49="","",IF($AA49="","",IF(cfgPTFinalMinPoints=0,"(rubric pending)",IF(COUNT($V49:$Z49)&lt;5,"Incomplete",IF($AA49&gt;=cfgPTFinalMinPoints,"Yes","No")))))</f>
        <v/>
      </c>
      <c r="AC49" s="17">
        <f>IF($B49="","",_xlfn.LET(_xlpm.pu,IF(COUNT($F49,$O49)=2,IFERROR(($O49-$F49)/$F49,""),""),_xlpm.su,IF(COUNT($G49,$P49)=2,IFERROR(($P49-$G49)/$G49,""),""),_xlpm.ag,IF(COUNT($H49,$Q49)=2,IFERROR(($H49-$Q49)/$H49,""),""),_xlpm.mi,IF(COUNT($I49,$R49)=2,IFERROR(($I49-$R49)/$I49,""),""),_xlpm.tm,IF(COUNT($J49,$S49)=2,IFERROR(($J49-$S49)/$J49,""),""),_xlpm.vals,IFERROR(_xlfn._xlws.FILTER(_xlfn.HSTACK(_xlpm.pu,_xlpm.su,_xlpm.ag,_xlpm.mi,_xlpm.tm),ISNUMBER(_xlfn.HSTACK(_xlpm.pu,_xlpm.su,_xlpm.ag,_xlpm.mi,_xlpm.tm))),""),IF(COUNT(_xlpm.vals)=0,"",ROUND(AVERAGE(_xlpm.vals)*100,1))))</f>
        <v/>
      </c>
      <c r="AD49" s="17">
        <f>IF(Cadets!$B49="","",Cadets!$I49)</f>
        <v/>
      </c>
    </row>
    <row r="50">
      <c r="B50" s="17">
        <f>IF(Cadets!$B50="","",Cadets!$B50)</f>
        <v/>
      </c>
      <c r="C50" s="17">
        <f>IF(Cadets!$B50="","",Cadets!$F50)</f>
        <v/>
      </c>
      <c r="D50" s="16" t="n"/>
      <c r="E50" s="16" t="n"/>
      <c r="F50" s="16" t="n"/>
      <c r="G50" s="16" t="n"/>
      <c r="H50" s="16" t="n"/>
      <c r="I50" s="16" t="n"/>
      <c r="J50" s="16" t="n"/>
      <c r="K50" s="16" t="n"/>
      <c r="L50" s="16" t="n"/>
      <c r="M50" s="16" t="n"/>
      <c r="N50" s="16" t="n"/>
      <c r="O50" s="16" t="n"/>
      <c r="P50" s="16" t="n"/>
      <c r="Q50" s="16" t="n"/>
      <c r="R50" s="16" t="n"/>
      <c r="S50" s="16" t="n"/>
      <c r="T50" s="17">
        <f>IF($B50="","","n/a (baseline only)")</f>
        <v/>
      </c>
      <c r="U50" s="17">
        <f>IF($B50="","","n/a")</f>
        <v/>
      </c>
      <c r="V50" s="17">
        <f>IF($B50="","",IF($O50="","",IF(COUNT(INDEX(nrPTBands,1,0))&lt;5,"",SUMPRODUCT(MAX(($O50&gt;=INDEX(nrPTBands,1,0))*nrPTTierPts)))))</f>
        <v/>
      </c>
      <c r="W50" s="17">
        <f>IF($B50="","",IF($P50="","",IF(COUNT(INDEX(nrPTBands,2,0))&lt;5,"",SUMPRODUCT(MAX(($P50&gt;=INDEX(nrPTBands,2,0))*nrPTTierPts)))))</f>
        <v/>
      </c>
      <c r="X50" s="17">
        <f>IF($B50="","",IF($Q50="","",IF(COUNT(INDEX(nrPTBands,3,0))&lt;5,"",SUMPRODUCT(MAX(($Q50&lt;=INDEX(nrPTBands,3,0))*nrPTTierPts)))))</f>
        <v/>
      </c>
      <c r="Y50" s="17">
        <f>IF($B50="","",IF($R50="","",IF(COUNT(INDEX(nrPTBands,4,0))&lt;5,"",SUMPRODUCT(MAX(($R50*60&lt;=INDEX(nrPTBands,4,0))*nrPTTierPts)))))</f>
        <v/>
      </c>
      <c r="Z50" s="17">
        <f>IF($B50="","",IF($S50="","",IF(COUNT(INDEX(nrPTBands,5,0))&lt;5,"",SUMPRODUCT(MAX(($S50&lt;=INDEX(nrPTBands,5,0))*nrPTTierPts)))))</f>
        <v/>
      </c>
      <c r="AA50" s="17">
        <f>IF($B50="","",IF(COUNT($V50:$Z50)=0,"",SUM($V50:$Z50)))</f>
        <v/>
      </c>
      <c r="AB50" s="17">
        <f>IF($B50="","",IF($AA50="","",IF(cfgPTFinalMinPoints=0,"(rubric pending)",IF(COUNT($V50:$Z50)&lt;5,"Incomplete",IF($AA50&gt;=cfgPTFinalMinPoints,"Yes","No")))))</f>
        <v/>
      </c>
      <c r="AC50" s="17">
        <f>IF($B50="","",_xlfn.LET(_xlpm.pu,IF(COUNT($F50,$O50)=2,IFERROR(($O50-$F50)/$F50,""),""),_xlpm.su,IF(COUNT($G50,$P50)=2,IFERROR(($P50-$G50)/$G50,""),""),_xlpm.ag,IF(COUNT($H50,$Q50)=2,IFERROR(($H50-$Q50)/$H50,""),""),_xlpm.mi,IF(COUNT($I50,$R50)=2,IFERROR(($I50-$R50)/$I50,""),""),_xlpm.tm,IF(COUNT($J50,$S50)=2,IFERROR(($J50-$S50)/$J50,""),""),_xlpm.vals,IFERROR(_xlfn._xlws.FILTER(_xlfn.HSTACK(_xlpm.pu,_xlpm.su,_xlpm.ag,_xlpm.mi,_xlpm.tm),ISNUMBER(_xlfn.HSTACK(_xlpm.pu,_xlpm.su,_xlpm.ag,_xlpm.mi,_xlpm.tm))),""),IF(COUNT(_xlpm.vals)=0,"",ROUND(AVERAGE(_xlpm.vals)*100,1))))</f>
        <v/>
      </c>
      <c r="AD50" s="17">
        <f>IF(Cadets!$B50="","",Cadets!$I50)</f>
        <v/>
      </c>
    </row>
    <row r="51">
      <c r="B51" s="17">
        <f>IF(Cadets!$B51="","",Cadets!$B51)</f>
        <v/>
      </c>
      <c r="C51" s="17">
        <f>IF(Cadets!$B51="","",Cadets!$F51)</f>
        <v/>
      </c>
      <c r="D51" s="16" t="n"/>
      <c r="E51" s="16" t="n"/>
      <c r="F51" s="16" t="n"/>
      <c r="G51" s="16" t="n"/>
      <c r="H51" s="16" t="n"/>
      <c r="I51" s="16" t="n"/>
      <c r="J51" s="16" t="n"/>
      <c r="K51" s="16" t="n"/>
      <c r="L51" s="16" t="n"/>
      <c r="M51" s="16" t="n"/>
      <c r="N51" s="16" t="n"/>
      <c r="O51" s="16" t="n"/>
      <c r="P51" s="16" t="n"/>
      <c r="Q51" s="16" t="n"/>
      <c r="R51" s="16" t="n"/>
      <c r="S51" s="16" t="n"/>
      <c r="T51" s="17">
        <f>IF($B51="","","n/a (baseline only)")</f>
        <v/>
      </c>
      <c r="U51" s="17">
        <f>IF($B51="","","n/a")</f>
        <v/>
      </c>
      <c r="V51" s="17">
        <f>IF($B51="","",IF($O51="","",IF(COUNT(INDEX(nrPTBands,1,0))&lt;5,"",SUMPRODUCT(MAX(($O51&gt;=INDEX(nrPTBands,1,0))*nrPTTierPts)))))</f>
        <v/>
      </c>
      <c r="W51" s="17">
        <f>IF($B51="","",IF($P51="","",IF(COUNT(INDEX(nrPTBands,2,0))&lt;5,"",SUMPRODUCT(MAX(($P51&gt;=INDEX(nrPTBands,2,0))*nrPTTierPts)))))</f>
        <v/>
      </c>
      <c r="X51" s="17">
        <f>IF($B51="","",IF($Q51="","",IF(COUNT(INDEX(nrPTBands,3,0))&lt;5,"",SUMPRODUCT(MAX(($Q51&lt;=INDEX(nrPTBands,3,0))*nrPTTierPts)))))</f>
        <v/>
      </c>
      <c r="Y51" s="17">
        <f>IF($B51="","",IF($R51="","",IF(COUNT(INDEX(nrPTBands,4,0))&lt;5,"",SUMPRODUCT(MAX(($R51*60&lt;=INDEX(nrPTBands,4,0))*nrPTTierPts)))))</f>
        <v/>
      </c>
      <c r="Z51" s="17">
        <f>IF($B51="","",IF($S51="","",IF(COUNT(INDEX(nrPTBands,5,0))&lt;5,"",SUMPRODUCT(MAX(($S51&lt;=INDEX(nrPTBands,5,0))*nrPTTierPts)))))</f>
        <v/>
      </c>
      <c r="AA51" s="17">
        <f>IF($B51="","",IF(COUNT($V51:$Z51)=0,"",SUM($V51:$Z51)))</f>
        <v/>
      </c>
      <c r="AB51" s="17">
        <f>IF($B51="","",IF($AA51="","",IF(cfgPTFinalMinPoints=0,"(rubric pending)",IF(COUNT($V51:$Z51)&lt;5,"Incomplete",IF($AA51&gt;=cfgPTFinalMinPoints,"Yes","No")))))</f>
        <v/>
      </c>
      <c r="AC51" s="17">
        <f>IF($B51="","",_xlfn.LET(_xlpm.pu,IF(COUNT($F51,$O51)=2,IFERROR(($O51-$F51)/$F51,""),""),_xlpm.su,IF(COUNT($G51,$P51)=2,IFERROR(($P51-$G51)/$G51,""),""),_xlpm.ag,IF(COUNT($H51,$Q51)=2,IFERROR(($H51-$Q51)/$H51,""),""),_xlpm.mi,IF(COUNT($I51,$R51)=2,IFERROR(($I51-$R51)/$I51,""),""),_xlpm.tm,IF(COUNT($J51,$S51)=2,IFERROR(($J51-$S51)/$J51,""),""),_xlpm.vals,IFERROR(_xlfn._xlws.FILTER(_xlfn.HSTACK(_xlpm.pu,_xlpm.su,_xlpm.ag,_xlpm.mi,_xlpm.tm),ISNUMBER(_xlfn.HSTACK(_xlpm.pu,_xlpm.su,_xlpm.ag,_xlpm.mi,_xlpm.tm))),""),IF(COUNT(_xlpm.vals)=0,"",ROUND(AVERAGE(_xlpm.vals)*100,1))))</f>
        <v/>
      </c>
      <c r="AD51" s="17">
        <f>IF(Cadets!$B51="","",Cadets!$I51)</f>
        <v/>
      </c>
    </row>
    <row r="52">
      <c r="B52" s="17">
        <f>IF(Cadets!$B52="","",Cadets!$B52)</f>
        <v/>
      </c>
      <c r="C52" s="17">
        <f>IF(Cadets!$B52="","",Cadets!$F52)</f>
        <v/>
      </c>
      <c r="D52" s="16" t="n"/>
      <c r="E52" s="16" t="n"/>
      <c r="F52" s="16" t="n"/>
      <c r="G52" s="16" t="n"/>
      <c r="H52" s="16" t="n"/>
      <c r="I52" s="16" t="n"/>
      <c r="J52" s="16" t="n"/>
      <c r="K52" s="16" t="n"/>
      <c r="L52" s="16" t="n"/>
      <c r="M52" s="16" t="n"/>
      <c r="N52" s="16" t="n"/>
      <c r="O52" s="16" t="n"/>
      <c r="P52" s="16" t="n"/>
      <c r="Q52" s="16" t="n"/>
      <c r="R52" s="16" t="n"/>
      <c r="S52" s="16" t="n"/>
      <c r="T52" s="17">
        <f>IF($B52="","","n/a (baseline only)")</f>
        <v/>
      </c>
      <c r="U52" s="17">
        <f>IF($B52="","","n/a")</f>
        <v/>
      </c>
      <c r="V52" s="17">
        <f>IF($B52="","",IF($O52="","",IF(COUNT(INDEX(nrPTBands,1,0))&lt;5,"",SUMPRODUCT(MAX(($O52&gt;=INDEX(nrPTBands,1,0))*nrPTTierPts)))))</f>
        <v/>
      </c>
      <c r="W52" s="17">
        <f>IF($B52="","",IF($P52="","",IF(COUNT(INDEX(nrPTBands,2,0))&lt;5,"",SUMPRODUCT(MAX(($P52&gt;=INDEX(nrPTBands,2,0))*nrPTTierPts)))))</f>
        <v/>
      </c>
      <c r="X52" s="17">
        <f>IF($B52="","",IF($Q52="","",IF(COUNT(INDEX(nrPTBands,3,0))&lt;5,"",SUMPRODUCT(MAX(($Q52&lt;=INDEX(nrPTBands,3,0))*nrPTTierPts)))))</f>
        <v/>
      </c>
      <c r="Y52" s="17">
        <f>IF($B52="","",IF($R52="","",IF(COUNT(INDEX(nrPTBands,4,0))&lt;5,"",SUMPRODUCT(MAX(($R52*60&lt;=INDEX(nrPTBands,4,0))*nrPTTierPts)))))</f>
        <v/>
      </c>
      <c r="Z52" s="17">
        <f>IF($B52="","",IF($S52="","",IF(COUNT(INDEX(nrPTBands,5,0))&lt;5,"",SUMPRODUCT(MAX(($S52&lt;=INDEX(nrPTBands,5,0))*nrPTTierPts)))))</f>
        <v/>
      </c>
      <c r="AA52" s="17">
        <f>IF($B52="","",IF(COUNT($V52:$Z52)=0,"",SUM($V52:$Z52)))</f>
        <v/>
      </c>
      <c r="AB52" s="17">
        <f>IF($B52="","",IF($AA52="","",IF(cfgPTFinalMinPoints=0,"(rubric pending)",IF(COUNT($V52:$Z52)&lt;5,"Incomplete",IF($AA52&gt;=cfgPTFinalMinPoints,"Yes","No")))))</f>
        <v/>
      </c>
      <c r="AC52" s="17">
        <f>IF($B52="","",_xlfn.LET(_xlpm.pu,IF(COUNT($F52,$O52)=2,IFERROR(($O52-$F52)/$F52,""),""),_xlpm.su,IF(COUNT($G52,$P52)=2,IFERROR(($P52-$G52)/$G52,""),""),_xlpm.ag,IF(COUNT($H52,$Q52)=2,IFERROR(($H52-$Q52)/$H52,""),""),_xlpm.mi,IF(COUNT($I52,$R52)=2,IFERROR(($I52-$R52)/$I52,""),""),_xlpm.tm,IF(COUNT($J52,$S52)=2,IFERROR(($J52-$S52)/$J52,""),""),_xlpm.vals,IFERROR(_xlfn._xlws.FILTER(_xlfn.HSTACK(_xlpm.pu,_xlpm.su,_xlpm.ag,_xlpm.mi,_xlpm.tm),ISNUMBER(_xlfn.HSTACK(_xlpm.pu,_xlpm.su,_xlpm.ag,_xlpm.mi,_xlpm.tm))),""),IF(COUNT(_xlpm.vals)=0,"",ROUND(AVERAGE(_xlpm.vals)*100,1))))</f>
        <v/>
      </c>
      <c r="AD52" s="17">
        <f>IF(Cadets!$B52="","",Cadets!$I52)</f>
        <v/>
      </c>
    </row>
    <row r="53">
      <c r="B53" s="17">
        <f>IF(Cadets!$B53="","",Cadets!$B53)</f>
        <v/>
      </c>
      <c r="C53" s="17">
        <f>IF(Cadets!$B53="","",Cadets!$F53)</f>
        <v/>
      </c>
      <c r="D53" s="16" t="n"/>
      <c r="E53" s="16" t="n"/>
      <c r="F53" s="16" t="n"/>
      <c r="G53" s="16" t="n"/>
      <c r="H53" s="16" t="n"/>
      <c r="I53" s="16" t="n"/>
      <c r="J53" s="16" t="n"/>
      <c r="K53" s="16" t="n"/>
      <c r="L53" s="16" t="n"/>
      <c r="M53" s="16" t="n"/>
      <c r="N53" s="16" t="n"/>
      <c r="O53" s="16" t="n"/>
      <c r="P53" s="16" t="n"/>
      <c r="Q53" s="16" t="n"/>
      <c r="R53" s="16" t="n"/>
      <c r="S53" s="16" t="n"/>
      <c r="T53" s="17">
        <f>IF($B53="","","n/a (baseline only)")</f>
        <v/>
      </c>
      <c r="U53" s="17">
        <f>IF($B53="","","n/a")</f>
        <v/>
      </c>
      <c r="V53" s="17">
        <f>IF($B53="","",IF($O53="","",IF(COUNT(INDEX(nrPTBands,1,0))&lt;5,"",SUMPRODUCT(MAX(($O53&gt;=INDEX(nrPTBands,1,0))*nrPTTierPts)))))</f>
        <v/>
      </c>
      <c r="W53" s="17">
        <f>IF($B53="","",IF($P53="","",IF(COUNT(INDEX(nrPTBands,2,0))&lt;5,"",SUMPRODUCT(MAX(($P53&gt;=INDEX(nrPTBands,2,0))*nrPTTierPts)))))</f>
        <v/>
      </c>
      <c r="X53" s="17">
        <f>IF($B53="","",IF($Q53="","",IF(COUNT(INDEX(nrPTBands,3,0))&lt;5,"",SUMPRODUCT(MAX(($Q53&lt;=INDEX(nrPTBands,3,0))*nrPTTierPts)))))</f>
        <v/>
      </c>
      <c r="Y53" s="17">
        <f>IF($B53="","",IF($R53="","",IF(COUNT(INDEX(nrPTBands,4,0))&lt;5,"",SUMPRODUCT(MAX(($R53*60&lt;=INDEX(nrPTBands,4,0))*nrPTTierPts)))))</f>
        <v/>
      </c>
      <c r="Z53" s="17">
        <f>IF($B53="","",IF($S53="","",IF(COUNT(INDEX(nrPTBands,5,0))&lt;5,"",SUMPRODUCT(MAX(($S53&lt;=INDEX(nrPTBands,5,0))*nrPTTierPts)))))</f>
        <v/>
      </c>
      <c r="AA53" s="17">
        <f>IF($B53="","",IF(COUNT($V53:$Z53)=0,"",SUM($V53:$Z53)))</f>
        <v/>
      </c>
      <c r="AB53" s="17">
        <f>IF($B53="","",IF($AA53="","",IF(cfgPTFinalMinPoints=0,"(rubric pending)",IF(COUNT($V53:$Z53)&lt;5,"Incomplete",IF($AA53&gt;=cfgPTFinalMinPoints,"Yes","No")))))</f>
        <v/>
      </c>
      <c r="AC53" s="17">
        <f>IF($B53="","",_xlfn.LET(_xlpm.pu,IF(COUNT($F53,$O53)=2,IFERROR(($O53-$F53)/$F53,""),""),_xlpm.su,IF(COUNT($G53,$P53)=2,IFERROR(($P53-$G53)/$G53,""),""),_xlpm.ag,IF(COUNT($H53,$Q53)=2,IFERROR(($H53-$Q53)/$H53,""),""),_xlpm.mi,IF(COUNT($I53,$R53)=2,IFERROR(($I53-$R53)/$I53,""),""),_xlpm.tm,IF(COUNT($J53,$S53)=2,IFERROR(($J53-$S53)/$J53,""),""),_xlpm.vals,IFERROR(_xlfn._xlws.FILTER(_xlfn.HSTACK(_xlpm.pu,_xlpm.su,_xlpm.ag,_xlpm.mi,_xlpm.tm),ISNUMBER(_xlfn.HSTACK(_xlpm.pu,_xlpm.su,_xlpm.ag,_xlpm.mi,_xlpm.tm))),""),IF(COUNT(_xlpm.vals)=0,"",ROUND(AVERAGE(_xlpm.vals)*100,1))))</f>
        <v/>
      </c>
      <c r="AD53" s="17">
        <f>IF(Cadets!$B53="","",Cadets!$I53)</f>
        <v/>
      </c>
    </row>
    <row r="54">
      <c r="B54" s="17">
        <f>IF(Cadets!$B54="","",Cadets!$B54)</f>
        <v/>
      </c>
      <c r="C54" s="17">
        <f>IF(Cadets!$B54="","",Cadets!$F54)</f>
        <v/>
      </c>
      <c r="D54" s="16" t="n"/>
      <c r="E54" s="16" t="n"/>
      <c r="F54" s="16" t="n"/>
      <c r="G54" s="16" t="n"/>
      <c r="H54" s="16" t="n"/>
      <c r="I54" s="16" t="n"/>
      <c r="J54" s="16" t="n"/>
      <c r="K54" s="16" t="n"/>
      <c r="L54" s="16" t="n"/>
      <c r="M54" s="16" t="n"/>
      <c r="N54" s="16" t="n"/>
      <c r="O54" s="16" t="n"/>
      <c r="P54" s="16" t="n"/>
      <c r="Q54" s="16" t="n"/>
      <c r="R54" s="16" t="n"/>
      <c r="S54" s="16" t="n"/>
      <c r="T54" s="17">
        <f>IF($B54="","","n/a (baseline only)")</f>
        <v/>
      </c>
      <c r="U54" s="17">
        <f>IF($B54="","","n/a")</f>
        <v/>
      </c>
      <c r="V54" s="17">
        <f>IF($B54="","",IF($O54="","",IF(COUNT(INDEX(nrPTBands,1,0))&lt;5,"",SUMPRODUCT(MAX(($O54&gt;=INDEX(nrPTBands,1,0))*nrPTTierPts)))))</f>
        <v/>
      </c>
      <c r="W54" s="17">
        <f>IF($B54="","",IF($P54="","",IF(COUNT(INDEX(nrPTBands,2,0))&lt;5,"",SUMPRODUCT(MAX(($P54&gt;=INDEX(nrPTBands,2,0))*nrPTTierPts)))))</f>
        <v/>
      </c>
      <c r="X54" s="17">
        <f>IF($B54="","",IF($Q54="","",IF(COUNT(INDEX(nrPTBands,3,0))&lt;5,"",SUMPRODUCT(MAX(($Q54&lt;=INDEX(nrPTBands,3,0))*nrPTTierPts)))))</f>
        <v/>
      </c>
      <c r="Y54" s="17">
        <f>IF($B54="","",IF($R54="","",IF(COUNT(INDEX(nrPTBands,4,0))&lt;5,"",SUMPRODUCT(MAX(($R54*60&lt;=INDEX(nrPTBands,4,0))*nrPTTierPts)))))</f>
        <v/>
      </c>
      <c r="Z54" s="17">
        <f>IF($B54="","",IF($S54="","",IF(COUNT(INDEX(nrPTBands,5,0))&lt;5,"",SUMPRODUCT(MAX(($S54&lt;=INDEX(nrPTBands,5,0))*nrPTTierPts)))))</f>
        <v/>
      </c>
      <c r="AA54" s="17">
        <f>IF($B54="","",IF(COUNT($V54:$Z54)=0,"",SUM($V54:$Z54)))</f>
        <v/>
      </c>
      <c r="AB54" s="17">
        <f>IF($B54="","",IF($AA54="","",IF(cfgPTFinalMinPoints=0,"(rubric pending)",IF(COUNT($V54:$Z54)&lt;5,"Incomplete",IF($AA54&gt;=cfgPTFinalMinPoints,"Yes","No")))))</f>
        <v/>
      </c>
      <c r="AC54" s="17">
        <f>IF($B54="","",_xlfn.LET(_xlpm.pu,IF(COUNT($F54,$O54)=2,IFERROR(($O54-$F54)/$F54,""),""),_xlpm.su,IF(COUNT($G54,$P54)=2,IFERROR(($P54-$G54)/$G54,""),""),_xlpm.ag,IF(COUNT($H54,$Q54)=2,IFERROR(($H54-$Q54)/$H54,""),""),_xlpm.mi,IF(COUNT($I54,$R54)=2,IFERROR(($I54-$R54)/$I54,""),""),_xlpm.tm,IF(COUNT($J54,$S54)=2,IFERROR(($J54-$S54)/$J54,""),""),_xlpm.vals,IFERROR(_xlfn._xlws.FILTER(_xlfn.HSTACK(_xlpm.pu,_xlpm.su,_xlpm.ag,_xlpm.mi,_xlpm.tm),ISNUMBER(_xlfn.HSTACK(_xlpm.pu,_xlpm.su,_xlpm.ag,_xlpm.mi,_xlpm.tm))),""),IF(COUNT(_xlpm.vals)=0,"",ROUND(AVERAGE(_xlpm.vals)*100,1))))</f>
        <v/>
      </c>
      <c r="AD54" s="17">
        <f>IF(Cadets!$B54="","",Cadets!$I54)</f>
        <v/>
      </c>
    </row>
    <row r="55">
      <c r="B55" s="17">
        <f>IF(Cadets!$B55="","",Cadets!$B55)</f>
        <v/>
      </c>
      <c r="C55" s="17">
        <f>IF(Cadets!$B55="","",Cadets!$F55)</f>
        <v/>
      </c>
      <c r="D55" s="16" t="n"/>
      <c r="E55" s="16" t="n"/>
      <c r="F55" s="16" t="n"/>
      <c r="G55" s="16" t="n"/>
      <c r="H55" s="16" t="n"/>
      <c r="I55" s="16" t="n"/>
      <c r="J55" s="16" t="n"/>
      <c r="K55" s="16" t="n"/>
      <c r="L55" s="16" t="n"/>
      <c r="M55" s="16" t="n"/>
      <c r="N55" s="16" t="n"/>
      <c r="O55" s="16" t="n"/>
      <c r="P55" s="16" t="n"/>
      <c r="Q55" s="16" t="n"/>
      <c r="R55" s="16" t="n"/>
      <c r="S55" s="16" t="n"/>
      <c r="T55" s="17">
        <f>IF($B55="","","n/a (baseline only)")</f>
        <v/>
      </c>
      <c r="U55" s="17">
        <f>IF($B55="","","n/a")</f>
        <v/>
      </c>
      <c r="V55" s="17">
        <f>IF($B55="","",IF($O55="","",IF(COUNT(INDEX(nrPTBands,1,0))&lt;5,"",SUMPRODUCT(MAX(($O55&gt;=INDEX(nrPTBands,1,0))*nrPTTierPts)))))</f>
        <v/>
      </c>
      <c r="W55" s="17">
        <f>IF($B55="","",IF($P55="","",IF(COUNT(INDEX(nrPTBands,2,0))&lt;5,"",SUMPRODUCT(MAX(($P55&gt;=INDEX(nrPTBands,2,0))*nrPTTierPts)))))</f>
        <v/>
      </c>
      <c r="X55" s="17">
        <f>IF($B55="","",IF($Q55="","",IF(COUNT(INDEX(nrPTBands,3,0))&lt;5,"",SUMPRODUCT(MAX(($Q55&lt;=INDEX(nrPTBands,3,0))*nrPTTierPts)))))</f>
        <v/>
      </c>
      <c r="Y55" s="17">
        <f>IF($B55="","",IF($R55="","",IF(COUNT(INDEX(nrPTBands,4,0))&lt;5,"",SUMPRODUCT(MAX(($R55*60&lt;=INDEX(nrPTBands,4,0))*nrPTTierPts)))))</f>
        <v/>
      </c>
      <c r="Z55" s="17">
        <f>IF($B55="","",IF($S55="","",IF(COUNT(INDEX(nrPTBands,5,0))&lt;5,"",SUMPRODUCT(MAX(($S55&lt;=INDEX(nrPTBands,5,0))*nrPTTierPts)))))</f>
        <v/>
      </c>
      <c r="AA55" s="17">
        <f>IF($B55="","",IF(COUNT($V55:$Z55)=0,"",SUM($V55:$Z55)))</f>
        <v/>
      </c>
      <c r="AB55" s="17">
        <f>IF($B55="","",IF($AA55="","",IF(cfgPTFinalMinPoints=0,"(rubric pending)",IF(COUNT($V55:$Z55)&lt;5,"Incomplete",IF($AA55&gt;=cfgPTFinalMinPoints,"Yes","No")))))</f>
        <v/>
      </c>
      <c r="AC55" s="17">
        <f>IF($B55="","",_xlfn.LET(_xlpm.pu,IF(COUNT($F55,$O55)=2,IFERROR(($O55-$F55)/$F55,""),""),_xlpm.su,IF(COUNT($G55,$P55)=2,IFERROR(($P55-$G55)/$G55,""),""),_xlpm.ag,IF(COUNT($H55,$Q55)=2,IFERROR(($H55-$Q55)/$H55,""),""),_xlpm.mi,IF(COUNT($I55,$R55)=2,IFERROR(($I55-$R55)/$I55,""),""),_xlpm.tm,IF(COUNT($J55,$S55)=2,IFERROR(($J55-$S55)/$J55,""),""),_xlpm.vals,IFERROR(_xlfn._xlws.FILTER(_xlfn.HSTACK(_xlpm.pu,_xlpm.su,_xlpm.ag,_xlpm.mi,_xlpm.tm),ISNUMBER(_xlfn.HSTACK(_xlpm.pu,_xlpm.su,_xlpm.ag,_xlpm.mi,_xlpm.tm))),""),IF(COUNT(_xlpm.vals)=0,"",ROUND(AVERAGE(_xlpm.vals)*100,1))))</f>
        <v/>
      </c>
      <c r="AD55" s="17">
        <f>IF(Cadets!$B55="","",Cadets!$I55)</f>
        <v/>
      </c>
    </row>
  </sheetData>
  <sheetProtection selectLockedCells="0" selectUnlockedCells="0" sheet="1" objects="0" insertRows="1" insertHyperlinks="1" autoFilter="0" scenarios="0" formatColumns="1" deleteColumns="1" insertColumns="1" pivotTables="1" deleteRows="1" formatCells="1" formatRows="1" sort="1" password="B4BB"/>
  <autoFilter ref="B5:AD5"/>
  <conditionalFormatting sqref="AB6:AB55">
    <cfRule type="cellIs" priority="1" operator="equal" dxfId="3">
      <formula>"Yes"</formula>
    </cfRule>
    <cfRule type="cellIs" priority="2" operator="equal" dxfId="0">
      <formula>"No"</formula>
    </cfRule>
  </conditionalFormatting>
  <conditionalFormatting sqref="K6:K55">
    <cfRule type="cellIs" priority="3" operator="equal" dxfId="3">
      <formula>"Yes"</formula>
    </cfRule>
    <cfRule type="cellIs" priority="4" operator="equal" dxfId="0">
      <formula>"No"</formula>
    </cfRule>
  </conditionalFormatting>
  <conditionalFormatting sqref="B6:AD55">
    <cfRule type="expression" priority="5" dxfId="1">
      <formula>AND(Cadets!$B6&lt;&gt;"",Cadets!$I6&lt;&gt;"Active")</formula>
    </cfRule>
  </conditionalFormatting>
  <dataValidations count="1">
    <dataValidation sqref="K6:K55 L6:L55" showDropDown="0" showInputMessage="0" showErrorMessage="1" allowBlank="1" type="list">
      <formula1>=lstYesNo</formula1>
    </dataValidation>
  </dataValidations>
  <pageMargins left="0.75" right="0.75" top="1" bottom="1" header="0.5" footer="0.5"/>
</worksheet>
</file>

<file path=xl/worksheets/sheet18.xml><?xml version="1.0" encoding="utf-8"?>
<worksheet xmlns="http://schemas.openxmlformats.org/spreadsheetml/2006/main">
  <sheetPr>
    <tabColor rgb="002E75B6"/>
    <outlinePr summaryBelow="1" summaryRight="1"/>
    <pageSetUpPr/>
  </sheetPr>
  <dimension ref="B1:N205"/>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9" customWidth="1" min="2" max="2"/>
    <col width="11" customWidth="1" min="3" max="3"/>
    <col width="22" customWidth="1" min="4" max="4"/>
    <col width="9" customWidth="1" min="5" max="5"/>
    <col width="13" customWidth="1" min="6" max="6"/>
    <col width="36" customWidth="1" min="7" max="7"/>
    <col width="12" customWidth="1" min="8" max="8"/>
    <col width="14" customWidth="1" min="9" max="9"/>
    <col width="14" customWidth="1" min="10" max="10"/>
    <col width="13" customWidth="1" min="11" max="11"/>
    <col width="12" customWidth="1" min="12" max="12"/>
    <col width="18" customWidth="1" min="13" max="13"/>
    <col width="26" customWidth="1" min="14" max="14"/>
  </cols>
  <sheetData>
    <row r="1">
      <c r="B1" s="10">
        <f>HYPERLINK("#Dashboard!B5","◄ Dashboard")</f>
        <v/>
      </c>
    </row>
    <row r="4">
      <c r="B4" s="11" t="inlineStr">
        <is>
          <t>Injuries, clearances and restrictions (policy 400.7/500). Modified PT inside a documented restriction is not a missed session when objectives are met — log the restriction here and the PT Modified event on Attendance.</t>
        </is>
      </c>
    </row>
    <row r="5" ht="26" customHeight="1">
      <c r="B5" s="12" t="inlineStr">
        <is>
          <t>EntryID</t>
        </is>
      </c>
      <c r="C5" s="12" t="inlineStr">
        <is>
          <t>Date</t>
        </is>
      </c>
      <c r="D5" s="12" t="inlineStr">
        <is>
          <t>Cadet Name</t>
        </is>
      </c>
      <c r="E5" s="12" t="inlineStr">
        <is>
          <t>PID</t>
        </is>
      </c>
      <c r="F5" s="12" t="inlineStr">
        <is>
          <t>Type</t>
        </is>
      </c>
      <c r="G5" s="12" t="inlineStr">
        <is>
          <t>Description</t>
        </is>
      </c>
      <c r="H5" s="12" t="inlineStr">
        <is>
          <t>Restriction?</t>
        </is>
      </c>
      <c r="I5" s="12" t="inlineStr">
        <is>
          <t>Restriction Start</t>
        </is>
      </c>
      <c r="J5" s="12" t="inlineStr">
        <is>
          <t>Restriction End</t>
        </is>
      </c>
      <c r="K5" s="12" t="inlineStr">
        <is>
          <t>Cleared Date</t>
        </is>
      </c>
      <c r="L5" s="12" t="inlineStr">
        <is>
          <t>Doc Status</t>
        </is>
      </c>
      <c r="M5" s="12" t="inlineStr">
        <is>
          <t>Current Status</t>
        </is>
      </c>
      <c r="N5" s="12" t="inlineStr">
        <is>
          <t>Notes</t>
        </is>
      </c>
    </row>
    <row r="6">
      <c r="B6" s="17">
        <f>IF($D6="","","MD"&amp;TEXT(ROW()-5,"000"))</f>
        <v/>
      </c>
      <c r="C6" s="18" t="n"/>
      <c r="D6" s="16" t="n"/>
      <c r="E6" s="17">
        <f>IF($D6="","",IFERROR(INDEX(rngCadetPIDs,MATCH($D6,rngCadetNames,0)),"?"))</f>
        <v/>
      </c>
      <c r="F6" s="16" t="n"/>
      <c r="G6" s="16" t="n"/>
      <c r="H6" s="16" t="n"/>
      <c r="I6" s="18" t="n"/>
      <c r="J6" s="18" t="n"/>
      <c r="K6" s="18" t="n"/>
      <c r="L6" s="16" t="n"/>
      <c r="M6" s="17">
        <f>IF($D6="","",IF($K6&lt;&gt;"","Cleared "&amp;TEXT($K6,"mm/dd"),IF($H6="Yes",IF(AND($J6&lt;&gt;"",$J6&lt;TODAY()),"RESTRICTION EXPIRED","ACTIVE RESTRICTION"),"Documented")))</f>
        <v/>
      </c>
      <c r="N6" s="16" t="n"/>
    </row>
    <row r="7">
      <c r="B7" s="17">
        <f>IF($D7="","","MD"&amp;TEXT(ROW()-5,"000"))</f>
        <v/>
      </c>
      <c r="C7" s="18" t="n"/>
      <c r="D7" s="16" t="n"/>
      <c r="E7" s="17">
        <f>IF($D7="","",IFERROR(INDEX(rngCadetPIDs,MATCH($D7,rngCadetNames,0)),"?"))</f>
        <v/>
      </c>
      <c r="F7" s="16" t="n"/>
      <c r="G7" s="16" t="n"/>
      <c r="H7" s="16" t="n"/>
      <c r="I7" s="18" t="n"/>
      <c r="J7" s="18" t="n"/>
      <c r="K7" s="18" t="n"/>
      <c r="L7" s="16" t="n"/>
      <c r="M7" s="17">
        <f>IF($D7="","",IF($K7&lt;&gt;"","Cleared "&amp;TEXT($K7,"mm/dd"),IF($H7="Yes",IF(AND($J7&lt;&gt;"",$J7&lt;TODAY()),"RESTRICTION EXPIRED","ACTIVE RESTRICTION"),"Documented")))</f>
        <v/>
      </c>
      <c r="N7" s="16" t="n"/>
    </row>
    <row r="8">
      <c r="B8" s="17">
        <f>IF($D8="","","MD"&amp;TEXT(ROW()-5,"000"))</f>
        <v/>
      </c>
      <c r="C8" s="18" t="n"/>
      <c r="D8" s="16" t="n"/>
      <c r="E8" s="17">
        <f>IF($D8="","",IFERROR(INDEX(rngCadetPIDs,MATCH($D8,rngCadetNames,0)),"?"))</f>
        <v/>
      </c>
      <c r="F8" s="16" t="n"/>
      <c r="G8" s="16" t="n"/>
      <c r="H8" s="16" t="n"/>
      <c r="I8" s="18" t="n"/>
      <c r="J8" s="18" t="n"/>
      <c r="K8" s="18" t="n"/>
      <c r="L8" s="16" t="n"/>
      <c r="M8" s="17">
        <f>IF($D8="","",IF($K8&lt;&gt;"","Cleared "&amp;TEXT($K8,"mm/dd"),IF($H8="Yes",IF(AND($J8&lt;&gt;"",$J8&lt;TODAY()),"RESTRICTION EXPIRED","ACTIVE RESTRICTION"),"Documented")))</f>
        <v/>
      </c>
      <c r="N8" s="16" t="n"/>
    </row>
    <row r="9">
      <c r="B9" s="17">
        <f>IF($D9="","","MD"&amp;TEXT(ROW()-5,"000"))</f>
        <v/>
      </c>
      <c r="C9" s="18" t="n"/>
      <c r="D9" s="16" t="n"/>
      <c r="E9" s="17">
        <f>IF($D9="","",IFERROR(INDEX(rngCadetPIDs,MATCH($D9,rngCadetNames,0)),"?"))</f>
        <v/>
      </c>
      <c r="F9" s="16" t="n"/>
      <c r="G9" s="16" t="n"/>
      <c r="H9" s="16" t="n"/>
      <c r="I9" s="18" t="n"/>
      <c r="J9" s="18" t="n"/>
      <c r="K9" s="18" t="n"/>
      <c r="L9" s="16" t="n"/>
      <c r="M9" s="17">
        <f>IF($D9="","",IF($K9&lt;&gt;"","Cleared "&amp;TEXT($K9,"mm/dd"),IF($H9="Yes",IF(AND($J9&lt;&gt;"",$J9&lt;TODAY()),"RESTRICTION EXPIRED","ACTIVE RESTRICTION"),"Documented")))</f>
        <v/>
      </c>
      <c r="N9" s="16" t="n"/>
    </row>
    <row r="10">
      <c r="B10" s="17">
        <f>IF($D10="","","MD"&amp;TEXT(ROW()-5,"000"))</f>
        <v/>
      </c>
      <c r="C10" s="18" t="n"/>
      <c r="D10" s="16" t="n"/>
      <c r="E10" s="17">
        <f>IF($D10="","",IFERROR(INDEX(rngCadetPIDs,MATCH($D10,rngCadetNames,0)),"?"))</f>
        <v/>
      </c>
      <c r="F10" s="16" t="n"/>
      <c r="G10" s="16" t="n"/>
      <c r="H10" s="16" t="n"/>
      <c r="I10" s="18" t="n"/>
      <c r="J10" s="18" t="n"/>
      <c r="K10" s="18" t="n"/>
      <c r="L10" s="16" t="n"/>
      <c r="M10" s="17">
        <f>IF($D10="","",IF($K10&lt;&gt;"","Cleared "&amp;TEXT($K10,"mm/dd"),IF($H10="Yes",IF(AND($J10&lt;&gt;"",$J10&lt;TODAY()),"RESTRICTION EXPIRED","ACTIVE RESTRICTION"),"Documented")))</f>
        <v/>
      </c>
      <c r="N10" s="16" t="n"/>
    </row>
    <row r="11">
      <c r="B11" s="17">
        <f>IF($D11="","","MD"&amp;TEXT(ROW()-5,"000"))</f>
        <v/>
      </c>
      <c r="C11" s="18" t="n"/>
      <c r="D11" s="16" t="n"/>
      <c r="E11" s="17">
        <f>IF($D11="","",IFERROR(INDEX(rngCadetPIDs,MATCH($D11,rngCadetNames,0)),"?"))</f>
        <v/>
      </c>
      <c r="F11" s="16" t="n"/>
      <c r="G11" s="16" t="n"/>
      <c r="H11" s="16" t="n"/>
      <c r="I11" s="18" t="n"/>
      <c r="J11" s="18" t="n"/>
      <c r="K11" s="18" t="n"/>
      <c r="L11" s="16" t="n"/>
      <c r="M11" s="17">
        <f>IF($D11="","",IF($K11&lt;&gt;"","Cleared "&amp;TEXT($K11,"mm/dd"),IF($H11="Yes",IF(AND($J11&lt;&gt;"",$J11&lt;TODAY()),"RESTRICTION EXPIRED","ACTIVE RESTRICTION"),"Documented")))</f>
        <v/>
      </c>
      <c r="N11" s="16" t="n"/>
    </row>
    <row r="12">
      <c r="B12" s="17">
        <f>IF($D12="","","MD"&amp;TEXT(ROW()-5,"000"))</f>
        <v/>
      </c>
      <c r="C12" s="18" t="n"/>
      <c r="D12" s="16" t="n"/>
      <c r="E12" s="17">
        <f>IF($D12="","",IFERROR(INDEX(rngCadetPIDs,MATCH($D12,rngCadetNames,0)),"?"))</f>
        <v/>
      </c>
      <c r="F12" s="16" t="n"/>
      <c r="G12" s="16" t="n"/>
      <c r="H12" s="16" t="n"/>
      <c r="I12" s="18" t="n"/>
      <c r="J12" s="18" t="n"/>
      <c r="K12" s="18" t="n"/>
      <c r="L12" s="16" t="n"/>
      <c r="M12" s="17">
        <f>IF($D12="","",IF($K12&lt;&gt;"","Cleared "&amp;TEXT($K12,"mm/dd"),IF($H12="Yes",IF(AND($J12&lt;&gt;"",$J12&lt;TODAY()),"RESTRICTION EXPIRED","ACTIVE RESTRICTION"),"Documented")))</f>
        <v/>
      </c>
      <c r="N12" s="16" t="n"/>
    </row>
    <row r="13">
      <c r="B13" s="17">
        <f>IF($D13="","","MD"&amp;TEXT(ROW()-5,"000"))</f>
        <v/>
      </c>
      <c r="C13" s="18" t="n"/>
      <c r="D13" s="16" t="n"/>
      <c r="E13" s="17">
        <f>IF($D13="","",IFERROR(INDEX(rngCadetPIDs,MATCH($D13,rngCadetNames,0)),"?"))</f>
        <v/>
      </c>
      <c r="F13" s="16" t="n"/>
      <c r="G13" s="16" t="n"/>
      <c r="H13" s="16" t="n"/>
      <c r="I13" s="18" t="n"/>
      <c r="J13" s="18" t="n"/>
      <c r="K13" s="18" t="n"/>
      <c r="L13" s="16" t="n"/>
      <c r="M13" s="17">
        <f>IF($D13="","",IF($K13&lt;&gt;"","Cleared "&amp;TEXT($K13,"mm/dd"),IF($H13="Yes",IF(AND($J13&lt;&gt;"",$J13&lt;TODAY()),"RESTRICTION EXPIRED","ACTIVE RESTRICTION"),"Documented")))</f>
        <v/>
      </c>
      <c r="N13" s="16" t="n"/>
    </row>
    <row r="14">
      <c r="B14" s="17">
        <f>IF($D14="","","MD"&amp;TEXT(ROW()-5,"000"))</f>
        <v/>
      </c>
      <c r="C14" s="18" t="n"/>
      <c r="D14" s="16" t="n"/>
      <c r="E14" s="17">
        <f>IF($D14="","",IFERROR(INDEX(rngCadetPIDs,MATCH($D14,rngCadetNames,0)),"?"))</f>
        <v/>
      </c>
      <c r="F14" s="16" t="n"/>
      <c r="G14" s="16" t="n"/>
      <c r="H14" s="16" t="n"/>
      <c r="I14" s="18" t="n"/>
      <c r="J14" s="18" t="n"/>
      <c r="K14" s="18" t="n"/>
      <c r="L14" s="16" t="n"/>
      <c r="M14" s="17">
        <f>IF($D14="","",IF($K14&lt;&gt;"","Cleared "&amp;TEXT($K14,"mm/dd"),IF($H14="Yes",IF(AND($J14&lt;&gt;"",$J14&lt;TODAY()),"RESTRICTION EXPIRED","ACTIVE RESTRICTION"),"Documented")))</f>
        <v/>
      </c>
      <c r="N14" s="16" t="n"/>
    </row>
    <row r="15">
      <c r="B15" s="17">
        <f>IF($D15="","","MD"&amp;TEXT(ROW()-5,"000"))</f>
        <v/>
      </c>
      <c r="C15" s="18" t="n"/>
      <c r="D15" s="16" t="n"/>
      <c r="E15" s="17">
        <f>IF($D15="","",IFERROR(INDEX(rngCadetPIDs,MATCH($D15,rngCadetNames,0)),"?"))</f>
        <v/>
      </c>
      <c r="F15" s="16" t="n"/>
      <c r="G15" s="16" t="n"/>
      <c r="H15" s="16" t="n"/>
      <c r="I15" s="18" t="n"/>
      <c r="J15" s="18" t="n"/>
      <c r="K15" s="18" t="n"/>
      <c r="L15" s="16" t="n"/>
      <c r="M15" s="17">
        <f>IF($D15="","",IF($K15&lt;&gt;"","Cleared "&amp;TEXT($K15,"mm/dd"),IF($H15="Yes",IF(AND($J15&lt;&gt;"",$J15&lt;TODAY()),"RESTRICTION EXPIRED","ACTIVE RESTRICTION"),"Documented")))</f>
        <v/>
      </c>
      <c r="N15" s="16" t="n"/>
    </row>
    <row r="16">
      <c r="B16" s="17">
        <f>IF($D16="","","MD"&amp;TEXT(ROW()-5,"000"))</f>
        <v/>
      </c>
      <c r="C16" s="18" t="n"/>
      <c r="D16" s="16" t="n"/>
      <c r="E16" s="17">
        <f>IF($D16="","",IFERROR(INDEX(rngCadetPIDs,MATCH($D16,rngCadetNames,0)),"?"))</f>
        <v/>
      </c>
      <c r="F16" s="16" t="n"/>
      <c r="G16" s="16" t="n"/>
      <c r="H16" s="16" t="n"/>
      <c r="I16" s="18" t="n"/>
      <c r="J16" s="18" t="n"/>
      <c r="K16" s="18" t="n"/>
      <c r="L16" s="16" t="n"/>
      <c r="M16" s="17">
        <f>IF($D16="","",IF($K16&lt;&gt;"","Cleared "&amp;TEXT($K16,"mm/dd"),IF($H16="Yes",IF(AND($J16&lt;&gt;"",$J16&lt;TODAY()),"RESTRICTION EXPIRED","ACTIVE RESTRICTION"),"Documented")))</f>
        <v/>
      </c>
      <c r="N16" s="16" t="n"/>
    </row>
    <row r="17">
      <c r="B17" s="17">
        <f>IF($D17="","","MD"&amp;TEXT(ROW()-5,"000"))</f>
        <v/>
      </c>
      <c r="C17" s="18" t="n"/>
      <c r="D17" s="16" t="n"/>
      <c r="E17" s="17">
        <f>IF($D17="","",IFERROR(INDEX(rngCadetPIDs,MATCH($D17,rngCadetNames,0)),"?"))</f>
        <v/>
      </c>
      <c r="F17" s="16" t="n"/>
      <c r="G17" s="16" t="n"/>
      <c r="H17" s="16" t="n"/>
      <c r="I17" s="18" t="n"/>
      <c r="J17" s="18" t="n"/>
      <c r="K17" s="18" t="n"/>
      <c r="L17" s="16" t="n"/>
      <c r="M17" s="17">
        <f>IF($D17="","",IF($K17&lt;&gt;"","Cleared "&amp;TEXT($K17,"mm/dd"),IF($H17="Yes",IF(AND($J17&lt;&gt;"",$J17&lt;TODAY()),"RESTRICTION EXPIRED","ACTIVE RESTRICTION"),"Documented")))</f>
        <v/>
      </c>
      <c r="N17" s="16" t="n"/>
    </row>
    <row r="18">
      <c r="B18" s="17">
        <f>IF($D18="","","MD"&amp;TEXT(ROW()-5,"000"))</f>
        <v/>
      </c>
      <c r="C18" s="18" t="n"/>
      <c r="D18" s="16" t="n"/>
      <c r="E18" s="17">
        <f>IF($D18="","",IFERROR(INDEX(rngCadetPIDs,MATCH($D18,rngCadetNames,0)),"?"))</f>
        <v/>
      </c>
      <c r="F18" s="16" t="n"/>
      <c r="G18" s="16" t="n"/>
      <c r="H18" s="16" t="n"/>
      <c r="I18" s="18" t="n"/>
      <c r="J18" s="18" t="n"/>
      <c r="K18" s="18" t="n"/>
      <c r="L18" s="16" t="n"/>
      <c r="M18" s="17">
        <f>IF($D18="","",IF($K18&lt;&gt;"","Cleared "&amp;TEXT($K18,"mm/dd"),IF($H18="Yes",IF(AND($J18&lt;&gt;"",$J18&lt;TODAY()),"RESTRICTION EXPIRED","ACTIVE RESTRICTION"),"Documented")))</f>
        <v/>
      </c>
      <c r="N18" s="16" t="n"/>
    </row>
    <row r="19">
      <c r="B19" s="17">
        <f>IF($D19="","","MD"&amp;TEXT(ROW()-5,"000"))</f>
        <v/>
      </c>
      <c r="C19" s="18" t="n"/>
      <c r="D19" s="16" t="n"/>
      <c r="E19" s="17">
        <f>IF($D19="","",IFERROR(INDEX(rngCadetPIDs,MATCH($D19,rngCadetNames,0)),"?"))</f>
        <v/>
      </c>
      <c r="F19" s="16" t="n"/>
      <c r="G19" s="16" t="n"/>
      <c r="H19" s="16" t="n"/>
      <c r="I19" s="18" t="n"/>
      <c r="J19" s="18" t="n"/>
      <c r="K19" s="18" t="n"/>
      <c r="L19" s="16" t="n"/>
      <c r="M19" s="17">
        <f>IF($D19="","",IF($K19&lt;&gt;"","Cleared "&amp;TEXT($K19,"mm/dd"),IF($H19="Yes",IF(AND($J19&lt;&gt;"",$J19&lt;TODAY()),"RESTRICTION EXPIRED","ACTIVE RESTRICTION"),"Documented")))</f>
        <v/>
      </c>
      <c r="N19" s="16" t="n"/>
    </row>
    <row r="20">
      <c r="B20" s="17">
        <f>IF($D20="","","MD"&amp;TEXT(ROW()-5,"000"))</f>
        <v/>
      </c>
      <c r="C20" s="18" t="n"/>
      <c r="D20" s="16" t="n"/>
      <c r="E20" s="17">
        <f>IF($D20="","",IFERROR(INDEX(rngCadetPIDs,MATCH($D20,rngCadetNames,0)),"?"))</f>
        <v/>
      </c>
      <c r="F20" s="16" t="n"/>
      <c r="G20" s="16" t="n"/>
      <c r="H20" s="16" t="n"/>
      <c r="I20" s="18" t="n"/>
      <c r="J20" s="18" t="n"/>
      <c r="K20" s="18" t="n"/>
      <c r="L20" s="16" t="n"/>
      <c r="M20" s="17">
        <f>IF($D20="","",IF($K20&lt;&gt;"","Cleared "&amp;TEXT($K20,"mm/dd"),IF($H20="Yes",IF(AND($J20&lt;&gt;"",$J20&lt;TODAY()),"RESTRICTION EXPIRED","ACTIVE RESTRICTION"),"Documented")))</f>
        <v/>
      </c>
      <c r="N20" s="16" t="n"/>
    </row>
    <row r="21">
      <c r="B21" s="17">
        <f>IF($D21="","","MD"&amp;TEXT(ROW()-5,"000"))</f>
        <v/>
      </c>
      <c r="C21" s="18" t="n"/>
      <c r="D21" s="16" t="n"/>
      <c r="E21" s="17">
        <f>IF($D21="","",IFERROR(INDEX(rngCadetPIDs,MATCH($D21,rngCadetNames,0)),"?"))</f>
        <v/>
      </c>
      <c r="F21" s="16" t="n"/>
      <c r="G21" s="16" t="n"/>
      <c r="H21" s="16" t="n"/>
      <c r="I21" s="18" t="n"/>
      <c r="J21" s="18" t="n"/>
      <c r="K21" s="18" t="n"/>
      <c r="L21" s="16" t="n"/>
      <c r="M21" s="17">
        <f>IF($D21="","",IF($K21&lt;&gt;"","Cleared "&amp;TEXT($K21,"mm/dd"),IF($H21="Yes",IF(AND($J21&lt;&gt;"",$J21&lt;TODAY()),"RESTRICTION EXPIRED","ACTIVE RESTRICTION"),"Documented")))</f>
        <v/>
      </c>
      <c r="N21" s="16" t="n"/>
    </row>
    <row r="22">
      <c r="B22" s="17">
        <f>IF($D22="","","MD"&amp;TEXT(ROW()-5,"000"))</f>
        <v/>
      </c>
      <c r="C22" s="18" t="n"/>
      <c r="D22" s="16" t="n"/>
      <c r="E22" s="17">
        <f>IF($D22="","",IFERROR(INDEX(rngCadetPIDs,MATCH($D22,rngCadetNames,0)),"?"))</f>
        <v/>
      </c>
      <c r="F22" s="16" t="n"/>
      <c r="G22" s="16" t="n"/>
      <c r="H22" s="16" t="n"/>
      <c r="I22" s="18" t="n"/>
      <c r="J22" s="18" t="n"/>
      <c r="K22" s="18" t="n"/>
      <c r="L22" s="16" t="n"/>
      <c r="M22" s="17">
        <f>IF($D22="","",IF($K22&lt;&gt;"","Cleared "&amp;TEXT($K22,"mm/dd"),IF($H22="Yes",IF(AND($J22&lt;&gt;"",$J22&lt;TODAY()),"RESTRICTION EXPIRED","ACTIVE RESTRICTION"),"Documented")))</f>
        <v/>
      </c>
      <c r="N22" s="16" t="n"/>
    </row>
    <row r="23">
      <c r="B23" s="17">
        <f>IF($D23="","","MD"&amp;TEXT(ROW()-5,"000"))</f>
        <v/>
      </c>
      <c r="C23" s="18" t="n"/>
      <c r="D23" s="16" t="n"/>
      <c r="E23" s="17">
        <f>IF($D23="","",IFERROR(INDEX(rngCadetPIDs,MATCH($D23,rngCadetNames,0)),"?"))</f>
        <v/>
      </c>
      <c r="F23" s="16" t="n"/>
      <c r="G23" s="16" t="n"/>
      <c r="H23" s="16" t="n"/>
      <c r="I23" s="18" t="n"/>
      <c r="J23" s="18" t="n"/>
      <c r="K23" s="18" t="n"/>
      <c r="L23" s="16" t="n"/>
      <c r="M23" s="17">
        <f>IF($D23="","",IF($K23&lt;&gt;"","Cleared "&amp;TEXT($K23,"mm/dd"),IF($H23="Yes",IF(AND($J23&lt;&gt;"",$J23&lt;TODAY()),"RESTRICTION EXPIRED","ACTIVE RESTRICTION"),"Documented")))</f>
        <v/>
      </c>
      <c r="N23" s="16" t="n"/>
    </row>
    <row r="24">
      <c r="B24" s="17">
        <f>IF($D24="","","MD"&amp;TEXT(ROW()-5,"000"))</f>
        <v/>
      </c>
      <c r="C24" s="18" t="n"/>
      <c r="D24" s="16" t="n"/>
      <c r="E24" s="17">
        <f>IF($D24="","",IFERROR(INDEX(rngCadetPIDs,MATCH($D24,rngCadetNames,0)),"?"))</f>
        <v/>
      </c>
      <c r="F24" s="16" t="n"/>
      <c r="G24" s="16" t="n"/>
      <c r="H24" s="16" t="n"/>
      <c r="I24" s="18" t="n"/>
      <c r="J24" s="18" t="n"/>
      <c r="K24" s="18" t="n"/>
      <c r="L24" s="16" t="n"/>
      <c r="M24" s="17">
        <f>IF($D24="","",IF($K24&lt;&gt;"","Cleared "&amp;TEXT($K24,"mm/dd"),IF($H24="Yes",IF(AND($J24&lt;&gt;"",$J24&lt;TODAY()),"RESTRICTION EXPIRED","ACTIVE RESTRICTION"),"Documented")))</f>
        <v/>
      </c>
      <c r="N24" s="16" t="n"/>
    </row>
    <row r="25">
      <c r="B25" s="17">
        <f>IF($D25="","","MD"&amp;TEXT(ROW()-5,"000"))</f>
        <v/>
      </c>
      <c r="C25" s="18" t="n"/>
      <c r="D25" s="16" t="n"/>
      <c r="E25" s="17">
        <f>IF($D25="","",IFERROR(INDEX(rngCadetPIDs,MATCH($D25,rngCadetNames,0)),"?"))</f>
        <v/>
      </c>
      <c r="F25" s="16" t="n"/>
      <c r="G25" s="16" t="n"/>
      <c r="H25" s="16" t="n"/>
      <c r="I25" s="18" t="n"/>
      <c r="J25" s="18" t="n"/>
      <c r="K25" s="18" t="n"/>
      <c r="L25" s="16" t="n"/>
      <c r="M25" s="17">
        <f>IF($D25="","",IF($K25&lt;&gt;"","Cleared "&amp;TEXT($K25,"mm/dd"),IF($H25="Yes",IF(AND($J25&lt;&gt;"",$J25&lt;TODAY()),"RESTRICTION EXPIRED","ACTIVE RESTRICTION"),"Documented")))</f>
        <v/>
      </c>
      <c r="N25" s="16" t="n"/>
    </row>
    <row r="26">
      <c r="B26" s="17">
        <f>IF($D26="","","MD"&amp;TEXT(ROW()-5,"000"))</f>
        <v/>
      </c>
      <c r="C26" s="18" t="n"/>
      <c r="D26" s="16" t="n"/>
      <c r="E26" s="17">
        <f>IF($D26="","",IFERROR(INDEX(rngCadetPIDs,MATCH($D26,rngCadetNames,0)),"?"))</f>
        <v/>
      </c>
      <c r="F26" s="16" t="n"/>
      <c r="G26" s="16" t="n"/>
      <c r="H26" s="16" t="n"/>
      <c r="I26" s="18" t="n"/>
      <c r="J26" s="18" t="n"/>
      <c r="K26" s="18" t="n"/>
      <c r="L26" s="16" t="n"/>
      <c r="M26" s="17">
        <f>IF($D26="","",IF($K26&lt;&gt;"","Cleared "&amp;TEXT($K26,"mm/dd"),IF($H26="Yes",IF(AND($J26&lt;&gt;"",$J26&lt;TODAY()),"RESTRICTION EXPIRED","ACTIVE RESTRICTION"),"Documented")))</f>
        <v/>
      </c>
      <c r="N26" s="16" t="n"/>
    </row>
    <row r="27">
      <c r="B27" s="17">
        <f>IF($D27="","","MD"&amp;TEXT(ROW()-5,"000"))</f>
        <v/>
      </c>
      <c r="C27" s="18" t="n"/>
      <c r="D27" s="16" t="n"/>
      <c r="E27" s="17">
        <f>IF($D27="","",IFERROR(INDEX(rngCadetPIDs,MATCH($D27,rngCadetNames,0)),"?"))</f>
        <v/>
      </c>
      <c r="F27" s="16" t="n"/>
      <c r="G27" s="16" t="n"/>
      <c r="H27" s="16" t="n"/>
      <c r="I27" s="18" t="n"/>
      <c r="J27" s="18" t="n"/>
      <c r="K27" s="18" t="n"/>
      <c r="L27" s="16" t="n"/>
      <c r="M27" s="17">
        <f>IF($D27="","",IF($K27&lt;&gt;"","Cleared "&amp;TEXT($K27,"mm/dd"),IF($H27="Yes",IF(AND($J27&lt;&gt;"",$J27&lt;TODAY()),"RESTRICTION EXPIRED","ACTIVE RESTRICTION"),"Documented")))</f>
        <v/>
      </c>
      <c r="N27" s="16" t="n"/>
    </row>
    <row r="28">
      <c r="B28" s="17">
        <f>IF($D28="","","MD"&amp;TEXT(ROW()-5,"000"))</f>
        <v/>
      </c>
      <c r="C28" s="18" t="n"/>
      <c r="D28" s="16" t="n"/>
      <c r="E28" s="17">
        <f>IF($D28="","",IFERROR(INDEX(rngCadetPIDs,MATCH($D28,rngCadetNames,0)),"?"))</f>
        <v/>
      </c>
      <c r="F28" s="16" t="n"/>
      <c r="G28" s="16" t="n"/>
      <c r="H28" s="16" t="n"/>
      <c r="I28" s="18" t="n"/>
      <c r="J28" s="18" t="n"/>
      <c r="K28" s="18" t="n"/>
      <c r="L28" s="16" t="n"/>
      <c r="M28" s="17">
        <f>IF($D28="","",IF($K28&lt;&gt;"","Cleared "&amp;TEXT($K28,"mm/dd"),IF($H28="Yes",IF(AND($J28&lt;&gt;"",$J28&lt;TODAY()),"RESTRICTION EXPIRED","ACTIVE RESTRICTION"),"Documented")))</f>
        <v/>
      </c>
      <c r="N28" s="16" t="n"/>
    </row>
    <row r="29">
      <c r="B29" s="17">
        <f>IF($D29="","","MD"&amp;TEXT(ROW()-5,"000"))</f>
        <v/>
      </c>
      <c r="C29" s="18" t="n"/>
      <c r="D29" s="16" t="n"/>
      <c r="E29" s="17">
        <f>IF($D29="","",IFERROR(INDEX(rngCadetPIDs,MATCH($D29,rngCadetNames,0)),"?"))</f>
        <v/>
      </c>
      <c r="F29" s="16" t="n"/>
      <c r="G29" s="16" t="n"/>
      <c r="H29" s="16" t="n"/>
      <c r="I29" s="18" t="n"/>
      <c r="J29" s="18" t="n"/>
      <c r="K29" s="18" t="n"/>
      <c r="L29" s="16" t="n"/>
      <c r="M29" s="17">
        <f>IF($D29="","",IF($K29&lt;&gt;"","Cleared "&amp;TEXT($K29,"mm/dd"),IF($H29="Yes",IF(AND($J29&lt;&gt;"",$J29&lt;TODAY()),"RESTRICTION EXPIRED","ACTIVE RESTRICTION"),"Documented")))</f>
        <v/>
      </c>
      <c r="N29" s="16" t="n"/>
    </row>
    <row r="30">
      <c r="B30" s="17">
        <f>IF($D30="","","MD"&amp;TEXT(ROW()-5,"000"))</f>
        <v/>
      </c>
      <c r="C30" s="18" t="n"/>
      <c r="D30" s="16" t="n"/>
      <c r="E30" s="17">
        <f>IF($D30="","",IFERROR(INDEX(rngCadetPIDs,MATCH($D30,rngCadetNames,0)),"?"))</f>
        <v/>
      </c>
      <c r="F30" s="16" t="n"/>
      <c r="G30" s="16" t="n"/>
      <c r="H30" s="16" t="n"/>
      <c r="I30" s="18" t="n"/>
      <c r="J30" s="18" t="n"/>
      <c r="K30" s="18" t="n"/>
      <c r="L30" s="16" t="n"/>
      <c r="M30" s="17">
        <f>IF($D30="","",IF($K30&lt;&gt;"","Cleared "&amp;TEXT($K30,"mm/dd"),IF($H30="Yes",IF(AND($J30&lt;&gt;"",$J30&lt;TODAY()),"RESTRICTION EXPIRED","ACTIVE RESTRICTION"),"Documented")))</f>
        <v/>
      </c>
      <c r="N30" s="16" t="n"/>
    </row>
    <row r="31">
      <c r="B31" s="17">
        <f>IF($D31="","","MD"&amp;TEXT(ROW()-5,"000"))</f>
        <v/>
      </c>
      <c r="C31" s="18" t="n"/>
      <c r="D31" s="16" t="n"/>
      <c r="E31" s="17">
        <f>IF($D31="","",IFERROR(INDEX(rngCadetPIDs,MATCH($D31,rngCadetNames,0)),"?"))</f>
        <v/>
      </c>
      <c r="F31" s="16" t="n"/>
      <c r="G31" s="16" t="n"/>
      <c r="H31" s="16" t="n"/>
      <c r="I31" s="18" t="n"/>
      <c r="J31" s="18" t="n"/>
      <c r="K31" s="18" t="n"/>
      <c r="L31" s="16" t="n"/>
      <c r="M31" s="17">
        <f>IF($D31="","",IF($K31&lt;&gt;"","Cleared "&amp;TEXT($K31,"mm/dd"),IF($H31="Yes",IF(AND($J31&lt;&gt;"",$J31&lt;TODAY()),"RESTRICTION EXPIRED","ACTIVE RESTRICTION"),"Documented")))</f>
        <v/>
      </c>
      <c r="N31" s="16" t="n"/>
    </row>
    <row r="32">
      <c r="B32" s="17">
        <f>IF($D32="","","MD"&amp;TEXT(ROW()-5,"000"))</f>
        <v/>
      </c>
      <c r="C32" s="18" t="n"/>
      <c r="D32" s="16" t="n"/>
      <c r="E32" s="17">
        <f>IF($D32="","",IFERROR(INDEX(rngCadetPIDs,MATCH($D32,rngCadetNames,0)),"?"))</f>
        <v/>
      </c>
      <c r="F32" s="16" t="n"/>
      <c r="G32" s="16" t="n"/>
      <c r="H32" s="16" t="n"/>
      <c r="I32" s="18" t="n"/>
      <c r="J32" s="18" t="n"/>
      <c r="K32" s="18" t="n"/>
      <c r="L32" s="16" t="n"/>
      <c r="M32" s="17">
        <f>IF($D32="","",IF($K32&lt;&gt;"","Cleared "&amp;TEXT($K32,"mm/dd"),IF($H32="Yes",IF(AND($J32&lt;&gt;"",$J32&lt;TODAY()),"RESTRICTION EXPIRED","ACTIVE RESTRICTION"),"Documented")))</f>
        <v/>
      </c>
      <c r="N32" s="16" t="n"/>
    </row>
    <row r="33">
      <c r="B33" s="17">
        <f>IF($D33="","","MD"&amp;TEXT(ROW()-5,"000"))</f>
        <v/>
      </c>
      <c r="C33" s="18" t="n"/>
      <c r="D33" s="16" t="n"/>
      <c r="E33" s="17">
        <f>IF($D33="","",IFERROR(INDEX(rngCadetPIDs,MATCH($D33,rngCadetNames,0)),"?"))</f>
        <v/>
      </c>
      <c r="F33" s="16" t="n"/>
      <c r="G33" s="16" t="n"/>
      <c r="H33" s="16" t="n"/>
      <c r="I33" s="18" t="n"/>
      <c r="J33" s="18" t="n"/>
      <c r="K33" s="18" t="n"/>
      <c r="L33" s="16" t="n"/>
      <c r="M33" s="17">
        <f>IF($D33="","",IF($K33&lt;&gt;"","Cleared "&amp;TEXT($K33,"mm/dd"),IF($H33="Yes",IF(AND($J33&lt;&gt;"",$J33&lt;TODAY()),"RESTRICTION EXPIRED","ACTIVE RESTRICTION"),"Documented")))</f>
        <v/>
      </c>
      <c r="N33" s="16" t="n"/>
    </row>
    <row r="34">
      <c r="B34" s="17">
        <f>IF($D34="","","MD"&amp;TEXT(ROW()-5,"000"))</f>
        <v/>
      </c>
      <c r="C34" s="18" t="n"/>
      <c r="D34" s="16" t="n"/>
      <c r="E34" s="17">
        <f>IF($D34="","",IFERROR(INDEX(rngCadetPIDs,MATCH($D34,rngCadetNames,0)),"?"))</f>
        <v/>
      </c>
      <c r="F34" s="16" t="n"/>
      <c r="G34" s="16" t="n"/>
      <c r="H34" s="16" t="n"/>
      <c r="I34" s="18" t="n"/>
      <c r="J34" s="18" t="n"/>
      <c r="K34" s="18" t="n"/>
      <c r="L34" s="16" t="n"/>
      <c r="M34" s="17">
        <f>IF($D34="","",IF($K34&lt;&gt;"","Cleared "&amp;TEXT($K34,"mm/dd"),IF($H34="Yes",IF(AND($J34&lt;&gt;"",$J34&lt;TODAY()),"RESTRICTION EXPIRED","ACTIVE RESTRICTION"),"Documented")))</f>
        <v/>
      </c>
      <c r="N34" s="16" t="n"/>
    </row>
    <row r="35">
      <c r="B35" s="17">
        <f>IF($D35="","","MD"&amp;TEXT(ROW()-5,"000"))</f>
        <v/>
      </c>
      <c r="C35" s="18" t="n"/>
      <c r="D35" s="16" t="n"/>
      <c r="E35" s="17">
        <f>IF($D35="","",IFERROR(INDEX(rngCadetPIDs,MATCH($D35,rngCadetNames,0)),"?"))</f>
        <v/>
      </c>
      <c r="F35" s="16" t="n"/>
      <c r="G35" s="16" t="n"/>
      <c r="H35" s="16" t="n"/>
      <c r="I35" s="18" t="n"/>
      <c r="J35" s="18" t="n"/>
      <c r="K35" s="18" t="n"/>
      <c r="L35" s="16" t="n"/>
      <c r="M35" s="17">
        <f>IF($D35="","",IF($K35&lt;&gt;"","Cleared "&amp;TEXT($K35,"mm/dd"),IF($H35="Yes",IF(AND($J35&lt;&gt;"",$J35&lt;TODAY()),"RESTRICTION EXPIRED","ACTIVE RESTRICTION"),"Documented")))</f>
        <v/>
      </c>
      <c r="N35" s="16" t="n"/>
    </row>
    <row r="36">
      <c r="B36" s="17">
        <f>IF($D36="","","MD"&amp;TEXT(ROW()-5,"000"))</f>
        <v/>
      </c>
      <c r="C36" s="18" t="n"/>
      <c r="D36" s="16" t="n"/>
      <c r="E36" s="17">
        <f>IF($D36="","",IFERROR(INDEX(rngCadetPIDs,MATCH($D36,rngCadetNames,0)),"?"))</f>
        <v/>
      </c>
      <c r="F36" s="16" t="n"/>
      <c r="G36" s="16" t="n"/>
      <c r="H36" s="16" t="n"/>
      <c r="I36" s="18" t="n"/>
      <c r="J36" s="18" t="n"/>
      <c r="K36" s="18" t="n"/>
      <c r="L36" s="16" t="n"/>
      <c r="M36" s="17">
        <f>IF($D36="","",IF($K36&lt;&gt;"","Cleared "&amp;TEXT($K36,"mm/dd"),IF($H36="Yes",IF(AND($J36&lt;&gt;"",$J36&lt;TODAY()),"RESTRICTION EXPIRED","ACTIVE RESTRICTION"),"Documented")))</f>
        <v/>
      </c>
      <c r="N36" s="16" t="n"/>
    </row>
    <row r="37">
      <c r="B37" s="17">
        <f>IF($D37="","","MD"&amp;TEXT(ROW()-5,"000"))</f>
        <v/>
      </c>
      <c r="C37" s="18" t="n"/>
      <c r="D37" s="16" t="n"/>
      <c r="E37" s="17">
        <f>IF($D37="","",IFERROR(INDEX(rngCadetPIDs,MATCH($D37,rngCadetNames,0)),"?"))</f>
        <v/>
      </c>
      <c r="F37" s="16" t="n"/>
      <c r="G37" s="16" t="n"/>
      <c r="H37" s="16" t="n"/>
      <c r="I37" s="18" t="n"/>
      <c r="J37" s="18" t="n"/>
      <c r="K37" s="18" t="n"/>
      <c r="L37" s="16" t="n"/>
      <c r="M37" s="17">
        <f>IF($D37="","",IF($K37&lt;&gt;"","Cleared "&amp;TEXT($K37,"mm/dd"),IF($H37="Yes",IF(AND($J37&lt;&gt;"",$J37&lt;TODAY()),"RESTRICTION EXPIRED","ACTIVE RESTRICTION"),"Documented")))</f>
        <v/>
      </c>
      <c r="N37" s="16" t="n"/>
    </row>
    <row r="38">
      <c r="B38" s="17">
        <f>IF($D38="","","MD"&amp;TEXT(ROW()-5,"000"))</f>
        <v/>
      </c>
      <c r="C38" s="18" t="n"/>
      <c r="D38" s="16" t="n"/>
      <c r="E38" s="17">
        <f>IF($D38="","",IFERROR(INDEX(rngCadetPIDs,MATCH($D38,rngCadetNames,0)),"?"))</f>
        <v/>
      </c>
      <c r="F38" s="16" t="n"/>
      <c r="G38" s="16" t="n"/>
      <c r="H38" s="16" t="n"/>
      <c r="I38" s="18" t="n"/>
      <c r="J38" s="18" t="n"/>
      <c r="K38" s="18" t="n"/>
      <c r="L38" s="16" t="n"/>
      <c r="M38" s="17">
        <f>IF($D38="","",IF($K38&lt;&gt;"","Cleared "&amp;TEXT($K38,"mm/dd"),IF($H38="Yes",IF(AND($J38&lt;&gt;"",$J38&lt;TODAY()),"RESTRICTION EXPIRED","ACTIVE RESTRICTION"),"Documented")))</f>
        <v/>
      </c>
      <c r="N38" s="16" t="n"/>
    </row>
    <row r="39">
      <c r="B39" s="17">
        <f>IF($D39="","","MD"&amp;TEXT(ROW()-5,"000"))</f>
        <v/>
      </c>
      <c r="C39" s="18" t="n"/>
      <c r="D39" s="16" t="n"/>
      <c r="E39" s="17">
        <f>IF($D39="","",IFERROR(INDEX(rngCadetPIDs,MATCH($D39,rngCadetNames,0)),"?"))</f>
        <v/>
      </c>
      <c r="F39" s="16" t="n"/>
      <c r="G39" s="16" t="n"/>
      <c r="H39" s="16" t="n"/>
      <c r="I39" s="18" t="n"/>
      <c r="J39" s="18" t="n"/>
      <c r="K39" s="18" t="n"/>
      <c r="L39" s="16" t="n"/>
      <c r="M39" s="17">
        <f>IF($D39="","",IF($K39&lt;&gt;"","Cleared "&amp;TEXT($K39,"mm/dd"),IF($H39="Yes",IF(AND($J39&lt;&gt;"",$J39&lt;TODAY()),"RESTRICTION EXPIRED","ACTIVE RESTRICTION"),"Documented")))</f>
        <v/>
      </c>
      <c r="N39" s="16" t="n"/>
    </row>
    <row r="40">
      <c r="B40" s="17">
        <f>IF($D40="","","MD"&amp;TEXT(ROW()-5,"000"))</f>
        <v/>
      </c>
      <c r="C40" s="18" t="n"/>
      <c r="D40" s="16" t="n"/>
      <c r="E40" s="17">
        <f>IF($D40="","",IFERROR(INDEX(rngCadetPIDs,MATCH($D40,rngCadetNames,0)),"?"))</f>
        <v/>
      </c>
      <c r="F40" s="16" t="n"/>
      <c r="G40" s="16" t="n"/>
      <c r="H40" s="16" t="n"/>
      <c r="I40" s="18" t="n"/>
      <c r="J40" s="18" t="n"/>
      <c r="K40" s="18" t="n"/>
      <c r="L40" s="16" t="n"/>
      <c r="M40" s="17">
        <f>IF($D40="","",IF($K40&lt;&gt;"","Cleared "&amp;TEXT($K40,"mm/dd"),IF($H40="Yes",IF(AND($J40&lt;&gt;"",$J40&lt;TODAY()),"RESTRICTION EXPIRED","ACTIVE RESTRICTION"),"Documented")))</f>
        <v/>
      </c>
      <c r="N40" s="16" t="n"/>
    </row>
    <row r="41">
      <c r="B41" s="17">
        <f>IF($D41="","","MD"&amp;TEXT(ROW()-5,"000"))</f>
        <v/>
      </c>
      <c r="C41" s="18" t="n"/>
      <c r="D41" s="16" t="n"/>
      <c r="E41" s="17">
        <f>IF($D41="","",IFERROR(INDEX(rngCadetPIDs,MATCH($D41,rngCadetNames,0)),"?"))</f>
        <v/>
      </c>
      <c r="F41" s="16" t="n"/>
      <c r="G41" s="16" t="n"/>
      <c r="H41" s="16" t="n"/>
      <c r="I41" s="18" t="n"/>
      <c r="J41" s="18" t="n"/>
      <c r="K41" s="18" t="n"/>
      <c r="L41" s="16" t="n"/>
      <c r="M41" s="17">
        <f>IF($D41="","",IF($K41&lt;&gt;"","Cleared "&amp;TEXT($K41,"mm/dd"),IF($H41="Yes",IF(AND($J41&lt;&gt;"",$J41&lt;TODAY()),"RESTRICTION EXPIRED","ACTIVE RESTRICTION"),"Documented")))</f>
        <v/>
      </c>
      <c r="N41" s="16" t="n"/>
    </row>
    <row r="42">
      <c r="B42" s="17">
        <f>IF($D42="","","MD"&amp;TEXT(ROW()-5,"000"))</f>
        <v/>
      </c>
      <c r="C42" s="18" t="n"/>
      <c r="D42" s="16" t="n"/>
      <c r="E42" s="17">
        <f>IF($D42="","",IFERROR(INDEX(rngCadetPIDs,MATCH($D42,rngCadetNames,0)),"?"))</f>
        <v/>
      </c>
      <c r="F42" s="16" t="n"/>
      <c r="G42" s="16" t="n"/>
      <c r="H42" s="16" t="n"/>
      <c r="I42" s="18" t="n"/>
      <c r="J42" s="18" t="n"/>
      <c r="K42" s="18" t="n"/>
      <c r="L42" s="16" t="n"/>
      <c r="M42" s="17">
        <f>IF($D42="","",IF($K42&lt;&gt;"","Cleared "&amp;TEXT($K42,"mm/dd"),IF($H42="Yes",IF(AND($J42&lt;&gt;"",$J42&lt;TODAY()),"RESTRICTION EXPIRED","ACTIVE RESTRICTION"),"Documented")))</f>
        <v/>
      </c>
      <c r="N42" s="16" t="n"/>
    </row>
    <row r="43">
      <c r="B43" s="17">
        <f>IF($D43="","","MD"&amp;TEXT(ROW()-5,"000"))</f>
        <v/>
      </c>
      <c r="C43" s="18" t="n"/>
      <c r="D43" s="16" t="n"/>
      <c r="E43" s="17">
        <f>IF($D43="","",IFERROR(INDEX(rngCadetPIDs,MATCH($D43,rngCadetNames,0)),"?"))</f>
        <v/>
      </c>
      <c r="F43" s="16" t="n"/>
      <c r="G43" s="16" t="n"/>
      <c r="H43" s="16" t="n"/>
      <c r="I43" s="18" t="n"/>
      <c r="J43" s="18" t="n"/>
      <c r="K43" s="18" t="n"/>
      <c r="L43" s="16" t="n"/>
      <c r="M43" s="17">
        <f>IF($D43="","",IF($K43&lt;&gt;"","Cleared "&amp;TEXT($K43,"mm/dd"),IF($H43="Yes",IF(AND($J43&lt;&gt;"",$J43&lt;TODAY()),"RESTRICTION EXPIRED","ACTIVE RESTRICTION"),"Documented")))</f>
        <v/>
      </c>
      <c r="N43" s="16" t="n"/>
    </row>
    <row r="44">
      <c r="B44" s="17">
        <f>IF($D44="","","MD"&amp;TEXT(ROW()-5,"000"))</f>
        <v/>
      </c>
      <c r="C44" s="18" t="n"/>
      <c r="D44" s="16" t="n"/>
      <c r="E44" s="17">
        <f>IF($D44="","",IFERROR(INDEX(rngCadetPIDs,MATCH($D44,rngCadetNames,0)),"?"))</f>
        <v/>
      </c>
      <c r="F44" s="16" t="n"/>
      <c r="G44" s="16" t="n"/>
      <c r="H44" s="16" t="n"/>
      <c r="I44" s="18" t="n"/>
      <c r="J44" s="18" t="n"/>
      <c r="K44" s="18" t="n"/>
      <c r="L44" s="16" t="n"/>
      <c r="M44" s="17">
        <f>IF($D44="","",IF($K44&lt;&gt;"","Cleared "&amp;TEXT($K44,"mm/dd"),IF($H44="Yes",IF(AND($J44&lt;&gt;"",$J44&lt;TODAY()),"RESTRICTION EXPIRED","ACTIVE RESTRICTION"),"Documented")))</f>
        <v/>
      </c>
      <c r="N44" s="16" t="n"/>
    </row>
    <row r="45">
      <c r="B45" s="17">
        <f>IF($D45="","","MD"&amp;TEXT(ROW()-5,"000"))</f>
        <v/>
      </c>
      <c r="C45" s="18" t="n"/>
      <c r="D45" s="16" t="n"/>
      <c r="E45" s="17">
        <f>IF($D45="","",IFERROR(INDEX(rngCadetPIDs,MATCH($D45,rngCadetNames,0)),"?"))</f>
        <v/>
      </c>
      <c r="F45" s="16" t="n"/>
      <c r="G45" s="16" t="n"/>
      <c r="H45" s="16" t="n"/>
      <c r="I45" s="18" t="n"/>
      <c r="J45" s="18" t="n"/>
      <c r="K45" s="18" t="n"/>
      <c r="L45" s="16" t="n"/>
      <c r="M45" s="17">
        <f>IF($D45="","",IF($K45&lt;&gt;"","Cleared "&amp;TEXT($K45,"mm/dd"),IF($H45="Yes",IF(AND($J45&lt;&gt;"",$J45&lt;TODAY()),"RESTRICTION EXPIRED","ACTIVE RESTRICTION"),"Documented")))</f>
        <v/>
      </c>
      <c r="N45" s="16" t="n"/>
    </row>
    <row r="46">
      <c r="B46" s="17">
        <f>IF($D46="","","MD"&amp;TEXT(ROW()-5,"000"))</f>
        <v/>
      </c>
      <c r="C46" s="18" t="n"/>
      <c r="D46" s="16" t="n"/>
      <c r="E46" s="17">
        <f>IF($D46="","",IFERROR(INDEX(rngCadetPIDs,MATCH($D46,rngCadetNames,0)),"?"))</f>
        <v/>
      </c>
      <c r="F46" s="16" t="n"/>
      <c r="G46" s="16" t="n"/>
      <c r="H46" s="16" t="n"/>
      <c r="I46" s="18" t="n"/>
      <c r="J46" s="18" t="n"/>
      <c r="K46" s="18" t="n"/>
      <c r="L46" s="16" t="n"/>
      <c r="M46" s="17">
        <f>IF($D46="","",IF($K46&lt;&gt;"","Cleared "&amp;TEXT($K46,"mm/dd"),IF($H46="Yes",IF(AND($J46&lt;&gt;"",$J46&lt;TODAY()),"RESTRICTION EXPIRED","ACTIVE RESTRICTION"),"Documented")))</f>
        <v/>
      </c>
      <c r="N46" s="16" t="n"/>
    </row>
    <row r="47">
      <c r="B47" s="17">
        <f>IF($D47="","","MD"&amp;TEXT(ROW()-5,"000"))</f>
        <v/>
      </c>
      <c r="C47" s="18" t="n"/>
      <c r="D47" s="16" t="n"/>
      <c r="E47" s="17">
        <f>IF($D47="","",IFERROR(INDEX(rngCadetPIDs,MATCH($D47,rngCadetNames,0)),"?"))</f>
        <v/>
      </c>
      <c r="F47" s="16" t="n"/>
      <c r="G47" s="16" t="n"/>
      <c r="H47" s="16" t="n"/>
      <c r="I47" s="18" t="n"/>
      <c r="J47" s="18" t="n"/>
      <c r="K47" s="18" t="n"/>
      <c r="L47" s="16" t="n"/>
      <c r="M47" s="17">
        <f>IF($D47="","",IF($K47&lt;&gt;"","Cleared "&amp;TEXT($K47,"mm/dd"),IF($H47="Yes",IF(AND($J47&lt;&gt;"",$J47&lt;TODAY()),"RESTRICTION EXPIRED","ACTIVE RESTRICTION"),"Documented")))</f>
        <v/>
      </c>
      <c r="N47" s="16" t="n"/>
    </row>
    <row r="48">
      <c r="B48" s="17">
        <f>IF($D48="","","MD"&amp;TEXT(ROW()-5,"000"))</f>
        <v/>
      </c>
      <c r="C48" s="18" t="n"/>
      <c r="D48" s="16" t="n"/>
      <c r="E48" s="17">
        <f>IF($D48="","",IFERROR(INDEX(rngCadetPIDs,MATCH($D48,rngCadetNames,0)),"?"))</f>
        <v/>
      </c>
      <c r="F48" s="16" t="n"/>
      <c r="G48" s="16" t="n"/>
      <c r="H48" s="16" t="n"/>
      <c r="I48" s="18" t="n"/>
      <c r="J48" s="18" t="n"/>
      <c r="K48" s="18" t="n"/>
      <c r="L48" s="16" t="n"/>
      <c r="M48" s="17">
        <f>IF($D48="","",IF($K48&lt;&gt;"","Cleared "&amp;TEXT($K48,"mm/dd"),IF($H48="Yes",IF(AND($J48&lt;&gt;"",$J48&lt;TODAY()),"RESTRICTION EXPIRED","ACTIVE RESTRICTION"),"Documented")))</f>
        <v/>
      </c>
      <c r="N48" s="16" t="n"/>
    </row>
    <row r="49">
      <c r="B49" s="17">
        <f>IF($D49="","","MD"&amp;TEXT(ROW()-5,"000"))</f>
        <v/>
      </c>
      <c r="C49" s="18" t="n"/>
      <c r="D49" s="16" t="n"/>
      <c r="E49" s="17">
        <f>IF($D49="","",IFERROR(INDEX(rngCadetPIDs,MATCH($D49,rngCadetNames,0)),"?"))</f>
        <v/>
      </c>
      <c r="F49" s="16" t="n"/>
      <c r="G49" s="16" t="n"/>
      <c r="H49" s="16" t="n"/>
      <c r="I49" s="18" t="n"/>
      <c r="J49" s="18" t="n"/>
      <c r="K49" s="18" t="n"/>
      <c r="L49" s="16" t="n"/>
      <c r="M49" s="17">
        <f>IF($D49="","",IF($K49&lt;&gt;"","Cleared "&amp;TEXT($K49,"mm/dd"),IF($H49="Yes",IF(AND($J49&lt;&gt;"",$J49&lt;TODAY()),"RESTRICTION EXPIRED","ACTIVE RESTRICTION"),"Documented")))</f>
        <v/>
      </c>
      <c r="N49" s="16" t="n"/>
    </row>
    <row r="50">
      <c r="B50" s="17">
        <f>IF($D50="","","MD"&amp;TEXT(ROW()-5,"000"))</f>
        <v/>
      </c>
      <c r="C50" s="18" t="n"/>
      <c r="D50" s="16" t="n"/>
      <c r="E50" s="17">
        <f>IF($D50="","",IFERROR(INDEX(rngCadetPIDs,MATCH($D50,rngCadetNames,0)),"?"))</f>
        <v/>
      </c>
      <c r="F50" s="16" t="n"/>
      <c r="G50" s="16" t="n"/>
      <c r="H50" s="16" t="n"/>
      <c r="I50" s="18" t="n"/>
      <c r="J50" s="18" t="n"/>
      <c r="K50" s="18" t="n"/>
      <c r="L50" s="16" t="n"/>
      <c r="M50" s="17">
        <f>IF($D50="","",IF($K50&lt;&gt;"","Cleared "&amp;TEXT($K50,"mm/dd"),IF($H50="Yes",IF(AND($J50&lt;&gt;"",$J50&lt;TODAY()),"RESTRICTION EXPIRED","ACTIVE RESTRICTION"),"Documented")))</f>
        <v/>
      </c>
      <c r="N50" s="16" t="n"/>
    </row>
    <row r="51">
      <c r="B51" s="17">
        <f>IF($D51="","","MD"&amp;TEXT(ROW()-5,"000"))</f>
        <v/>
      </c>
      <c r="C51" s="18" t="n"/>
      <c r="D51" s="16" t="n"/>
      <c r="E51" s="17">
        <f>IF($D51="","",IFERROR(INDEX(rngCadetPIDs,MATCH($D51,rngCadetNames,0)),"?"))</f>
        <v/>
      </c>
      <c r="F51" s="16" t="n"/>
      <c r="G51" s="16" t="n"/>
      <c r="H51" s="16" t="n"/>
      <c r="I51" s="18" t="n"/>
      <c r="J51" s="18" t="n"/>
      <c r="K51" s="18" t="n"/>
      <c r="L51" s="16" t="n"/>
      <c r="M51" s="17">
        <f>IF($D51="","",IF($K51&lt;&gt;"","Cleared "&amp;TEXT($K51,"mm/dd"),IF($H51="Yes",IF(AND($J51&lt;&gt;"",$J51&lt;TODAY()),"RESTRICTION EXPIRED","ACTIVE RESTRICTION"),"Documented")))</f>
        <v/>
      </c>
      <c r="N51" s="16" t="n"/>
    </row>
    <row r="52">
      <c r="B52" s="17">
        <f>IF($D52="","","MD"&amp;TEXT(ROW()-5,"000"))</f>
        <v/>
      </c>
      <c r="C52" s="18" t="n"/>
      <c r="D52" s="16" t="n"/>
      <c r="E52" s="17">
        <f>IF($D52="","",IFERROR(INDEX(rngCadetPIDs,MATCH($D52,rngCadetNames,0)),"?"))</f>
        <v/>
      </c>
      <c r="F52" s="16" t="n"/>
      <c r="G52" s="16" t="n"/>
      <c r="H52" s="16" t="n"/>
      <c r="I52" s="18" t="n"/>
      <c r="J52" s="18" t="n"/>
      <c r="K52" s="18" t="n"/>
      <c r="L52" s="16" t="n"/>
      <c r="M52" s="17">
        <f>IF($D52="","",IF($K52&lt;&gt;"","Cleared "&amp;TEXT($K52,"mm/dd"),IF($H52="Yes",IF(AND($J52&lt;&gt;"",$J52&lt;TODAY()),"RESTRICTION EXPIRED","ACTIVE RESTRICTION"),"Documented")))</f>
        <v/>
      </c>
      <c r="N52" s="16" t="n"/>
    </row>
    <row r="53">
      <c r="B53" s="17">
        <f>IF($D53="","","MD"&amp;TEXT(ROW()-5,"000"))</f>
        <v/>
      </c>
      <c r="C53" s="18" t="n"/>
      <c r="D53" s="16" t="n"/>
      <c r="E53" s="17">
        <f>IF($D53="","",IFERROR(INDEX(rngCadetPIDs,MATCH($D53,rngCadetNames,0)),"?"))</f>
        <v/>
      </c>
      <c r="F53" s="16" t="n"/>
      <c r="G53" s="16" t="n"/>
      <c r="H53" s="16" t="n"/>
      <c r="I53" s="18" t="n"/>
      <c r="J53" s="18" t="n"/>
      <c r="K53" s="18" t="n"/>
      <c r="L53" s="16" t="n"/>
      <c r="M53" s="17">
        <f>IF($D53="","",IF($K53&lt;&gt;"","Cleared "&amp;TEXT($K53,"mm/dd"),IF($H53="Yes",IF(AND($J53&lt;&gt;"",$J53&lt;TODAY()),"RESTRICTION EXPIRED","ACTIVE RESTRICTION"),"Documented")))</f>
        <v/>
      </c>
      <c r="N53" s="16" t="n"/>
    </row>
    <row r="54">
      <c r="B54" s="17">
        <f>IF($D54="","","MD"&amp;TEXT(ROW()-5,"000"))</f>
        <v/>
      </c>
      <c r="C54" s="18" t="n"/>
      <c r="D54" s="16" t="n"/>
      <c r="E54" s="17">
        <f>IF($D54="","",IFERROR(INDEX(rngCadetPIDs,MATCH($D54,rngCadetNames,0)),"?"))</f>
        <v/>
      </c>
      <c r="F54" s="16" t="n"/>
      <c r="G54" s="16" t="n"/>
      <c r="H54" s="16" t="n"/>
      <c r="I54" s="18" t="n"/>
      <c r="J54" s="18" t="n"/>
      <c r="K54" s="18" t="n"/>
      <c r="L54" s="16" t="n"/>
      <c r="M54" s="17">
        <f>IF($D54="","",IF($K54&lt;&gt;"","Cleared "&amp;TEXT($K54,"mm/dd"),IF($H54="Yes",IF(AND($J54&lt;&gt;"",$J54&lt;TODAY()),"RESTRICTION EXPIRED","ACTIVE RESTRICTION"),"Documented")))</f>
        <v/>
      </c>
      <c r="N54" s="16" t="n"/>
    </row>
    <row r="55">
      <c r="B55" s="17">
        <f>IF($D55="","","MD"&amp;TEXT(ROW()-5,"000"))</f>
        <v/>
      </c>
      <c r="C55" s="18" t="n"/>
      <c r="D55" s="16" t="n"/>
      <c r="E55" s="17">
        <f>IF($D55="","",IFERROR(INDEX(rngCadetPIDs,MATCH($D55,rngCadetNames,0)),"?"))</f>
        <v/>
      </c>
      <c r="F55" s="16" t="n"/>
      <c r="G55" s="16" t="n"/>
      <c r="H55" s="16" t="n"/>
      <c r="I55" s="18" t="n"/>
      <c r="J55" s="18" t="n"/>
      <c r="K55" s="18" t="n"/>
      <c r="L55" s="16" t="n"/>
      <c r="M55" s="17">
        <f>IF($D55="","",IF($K55&lt;&gt;"","Cleared "&amp;TEXT($K55,"mm/dd"),IF($H55="Yes",IF(AND($J55&lt;&gt;"",$J55&lt;TODAY()),"RESTRICTION EXPIRED","ACTIVE RESTRICTION"),"Documented")))</f>
        <v/>
      </c>
      <c r="N55" s="16" t="n"/>
    </row>
    <row r="56">
      <c r="B56" s="17">
        <f>IF($D56="","","MD"&amp;TEXT(ROW()-5,"000"))</f>
        <v/>
      </c>
      <c r="C56" s="18" t="n"/>
      <c r="D56" s="16" t="n"/>
      <c r="E56" s="17">
        <f>IF($D56="","",IFERROR(INDEX(rngCadetPIDs,MATCH($D56,rngCadetNames,0)),"?"))</f>
        <v/>
      </c>
      <c r="F56" s="16" t="n"/>
      <c r="G56" s="16" t="n"/>
      <c r="H56" s="16" t="n"/>
      <c r="I56" s="18" t="n"/>
      <c r="J56" s="18" t="n"/>
      <c r="K56" s="18" t="n"/>
      <c r="L56" s="16" t="n"/>
      <c r="M56" s="17">
        <f>IF($D56="","",IF($K56&lt;&gt;"","Cleared "&amp;TEXT($K56,"mm/dd"),IF($H56="Yes",IF(AND($J56&lt;&gt;"",$J56&lt;TODAY()),"RESTRICTION EXPIRED","ACTIVE RESTRICTION"),"Documented")))</f>
        <v/>
      </c>
      <c r="N56" s="16" t="n"/>
    </row>
    <row r="57">
      <c r="B57" s="17">
        <f>IF($D57="","","MD"&amp;TEXT(ROW()-5,"000"))</f>
        <v/>
      </c>
      <c r="C57" s="18" t="n"/>
      <c r="D57" s="16" t="n"/>
      <c r="E57" s="17">
        <f>IF($D57="","",IFERROR(INDEX(rngCadetPIDs,MATCH($D57,rngCadetNames,0)),"?"))</f>
        <v/>
      </c>
      <c r="F57" s="16" t="n"/>
      <c r="G57" s="16" t="n"/>
      <c r="H57" s="16" t="n"/>
      <c r="I57" s="18" t="n"/>
      <c r="J57" s="18" t="n"/>
      <c r="K57" s="18" t="n"/>
      <c r="L57" s="16" t="n"/>
      <c r="M57" s="17">
        <f>IF($D57="","",IF($K57&lt;&gt;"","Cleared "&amp;TEXT($K57,"mm/dd"),IF($H57="Yes",IF(AND($J57&lt;&gt;"",$J57&lt;TODAY()),"RESTRICTION EXPIRED","ACTIVE RESTRICTION"),"Documented")))</f>
        <v/>
      </c>
      <c r="N57" s="16" t="n"/>
    </row>
    <row r="58">
      <c r="B58" s="17">
        <f>IF($D58="","","MD"&amp;TEXT(ROW()-5,"000"))</f>
        <v/>
      </c>
      <c r="C58" s="18" t="n"/>
      <c r="D58" s="16" t="n"/>
      <c r="E58" s="17">
        <f>IF($D58="","",IFERROR(INDEX(rngCadetPIDs,MATCH($D58,rngCadetNames,0)),"?"))</f>
        <v/>
      </c>
      <c r="F58" s="16" t="n"/>
      <c r="G58" s="16" t="n"/>
      <c r="H58" s="16" t="n"/>
      <c r="I58" s="18" t="n"/>
      <c r="J58" s="18" t="n"/>
      <c r="K58" s="18" t="n"/>
      <c r="L58" s="16" t="n"/>
      <c r="M58" s="17">
        <f>IF($D58="","",IF($K58&lt;&gt;"","Cleared "&amp;TEXT($K58,"mm/dd"),IF($H58="Yes",IF(AND($J58&lt;&gt;"",$J58&lt;TODAY()),"RESTRICTION EXPIRED","ACTIVE RESTRICTION"),"Documented")))</f>
        <v/>
      </c>
      <c r="N58" s="16" t="n"/>
    </row>
    <row r="59">
      <c r="B59" s="17">
        <f>IF($D59="","","MD"&amp;TEXT(ROW()-5,"000"))</f>
        <v/>
      </c>
      <c r="C59" s="18" t="n"/>
      <c r="D59" s="16" t="n"/>
      <c r="E59" s="17">
        <f>IF($D59="","",IFERROR(INDEX(rngCadetPIDs,MATCH($D59,rngCadetNames,0)),"?"))</f>
        <v/>
      </c>
      <c r="F59" s="16" t="n"/>
      <c r="G59" s="16" t="n"/>
      <c r="H59" s="16" t="n"/>
      <c r="I59" s="18" t="n"/>
      <c r="J59" s="18" t="n"/>
      <c r="K59" s="18" t="n"/>
      <c r="L59" s="16" t="n"/>
      <c r="M59" s="17">
        <f>IF($D59="","",IF($K59&lt;&gt;"","Cleared "&amp;TEXT($K59,"mm/dd"),IF($H59="Yes",IF(AND($J59&lt;&gt;"",$J59&lt;TODAY()),"RESTRICTION EXPIRED","ACTIVE RESTRICTION"),"Documented")))</f>
        <v/>
      </c>
      <c r="N59" s="16" t="n"/>
    </row>
    <row r="60">
      <c r="B60" s="17">
        <f>IF($D60="","","MD"&amp;TEXT(ROW()-5,"000"))</f>
        <v/>
      </c>
      <c r="C60" s="18" t="n"/>
      <c r="D60" s="16" t="n"/>
      <c r="E60" s="17">
        <f>IF($D60="","",IFERROR(INDEX(rngCadetPIDs,MATCH($D60,rngCadetNames,0)),"?"))</f>
        <v/>
      </c>
      <c r="F60" s="16" t="n"/>
      <c r="G60" s="16" t="n"/>
      <c r="H60" s="16" t="n"/>
      <c r="I60" s="18" t="n"/>
      <c r="J60" s="18" t="n"/>
      <c r="K60" s="18" t="n"/>
      <c r="L60" s="16" t="n"/>
      <c r="M60" s="17">
        <f>IF($D60="","",IF($K60&lt;&gt;"","Cleared "&amp;TEXT($K60,"mm/dd"),IF($H60="Yes",IF(AND($J60&lt;&gt;"",$J60&lt;TODAY()),"RESTRICTION EXPIRED","ACTIVE RESTRICTION"),"Documented")))</f>
        <v/>
      </c>
      <c r="N60" s="16" t="n"/>
    </row>
    <row r="61">
      <c r="B61" s="17">
        <f>IF($D61="","","MD"&amp;TEXT(ROW()-5,"000"))</f>
        <v/>
      </c>
      <c r="C61" s="18" t="n"/>
      <c r="D61" s="16" t="n"/>
      <c r="E61" s="17">
        <f>IF($D61="","",IFERROR(INDEX(rngCadetPIDs,MATCH($D61,rngCadetNames,0)),"?"))</f>
        <v/>
      </c>
      <c r="F61" s="16" t="n"/>
      <c r="G61" s="16" t="n"/>
      <c r="H61" s="16" t="n"/>
      <c r="I61" s="18" t="n"/>
      <c r="J61" s="18" t="n"/>
      <c r="K61" s="18" t="n"/>
      <c r="L61" s="16" t="n"/>
      <c r="M61" s="17">
        <f>IF($D61="","",IF($K61&lt;&gt;"","Cleared "&amp;TEXT($K61,"mm/dd"),IF($H61="Yes",IF(AND($J61&lt;&gt;"",$J61&lt;TODAY()),"RESTRICTION EXPIRED","ACTIVE RESTRICTION"),"Documented")))</f>
        <v/>
      </c>
      <c r="N61" s="16" t="n"/>
    </row>
    <row r="62">
      <c r="B62" s="17">
        <f>IF($D62="","","MD"&amp;TEXT(ROW()-5,"000"))</f>
        <v/>
      </c>
      <c r="C62" s="18" t="n"/>
      <c r="D62" s="16" t="n"/>
      <c r="E62" s="17">
        <f>IF($D62="","",IFERROR(INDEX(rngCadetPIDs,MATCH($D62,rngCadetNames,0)),"?"))</f>
        <v/>
      </c>
      <c r="F62" s="16" t="n"/>
      <c r="G62" s="16" t="n"/>
      <c r="H62" s="16" t="n"/>
      <c r="I62" s="18" t="n"/>
      <c r="J62" s="18" t="n"/>
      <c r="K62" s="18" t="n"/>
      <c r="L62" s="16" t="n"/>
      <c r="M62" s="17">
        <f>IF($D62="","",IF($K62&lt;&gt;"","Cleared "&amp;TEXT($K62,"mm/dd"),IF($H62="Yes",IF(AND($J62&lt;&gt;"",$J62&lt;TODAY()),"RESTRICTION EXPIRED","ACTIVE RESTRICTION"),"Documented")))</f>
        <v/>
      </c>
      <c r="N62" s="16" t="n"/>
    </row>
    <row r="63">
      <c r="B63" s="17">
        <f>IF($D63="","","MD"&amp;TEXT(ROW()-5,"000"))</f>
        <v/>
      </c>
      <c r="C63" s="18" t="n"/>
      <c r="D63" s="16" t="n"/>
      <c r="E63" s="17">
        <f>IF($D63="","",IFERROR(INDEX(rngCadetPIDs,MATCH($D63,rngCadetNames,0)),"?"))</f>
        <v/>
      </c>
      <c r="F63" s="16" t="n"/>
      <c r="G63" s="16" t="n"/>
      <c r="H63" s="16" t="n"/>
      <c r="I63" s="18" t="n"/>
      <c r="J63" s="18" t="n"/>
      <c r="K63" s="18" t="n"/>
      <c r="L63" s="16" t="n"/>
      <c r="M63" s="17">
        <f>IF($D63="","",IF($K63&lt;&gt;"","Cleared "&amp;TEXT($K63,"mm/dd"),IF($H63="Yes",IF(AND($J63&lt;&gt;"",$J63&lt;TODAY()),"RESTRICTION EXPIRED","ACTIVE RESTRICTION"),"Documented")))</f>
        <v/>
      </c>
      <c r="N63" s="16" t="n"/>
    </row>
    <row r="64">
      <c r="B64" s="17">
        <f>IF($D64="","","MD"&amp;TEXT(ROW()-5,"000"))</f>
        <v/>
      </c>
      <c r="C64" s="18" t="n"/>
      <c r="D64" s="16" t="n"/>
      <c r="E64" s="17">
        <f>IF($D64="","",IFERROR(INDEX(rngCadetPIDs,MATCH($D64,rngCadetNames,0)),"?"))</f>
        <v/>
      </c>
      <c r="F64" s="16" t="n"/>
      <c r="G64" s="16" t="n"/>
      <c r="H64" s="16" t="n"/>
      <c r="I64" s="18" t="n"/>
      <c r="J64" s="18" t="n"/>
      <c r="K64" s="18" t="n"/>
      <c r="L64" s="16" t="n"/>
      <c r="M64" s="17">
        <f>IF($D64="","",IF($K64&lt;&gt;"","Cleared "&amp;TEXT($K64,"mm/dd"),IF($H64="Yes",IF(AND($J64&lt;&gt;"",$J64&lt;TODAY()),"RESTRICTION EXPIRED","ACTIVE RESTRICTION"),"Documented")))</f>
        <v/>
      </c>
      <c r="N64" s="16" t="n"/>
    </row>
    <row r="65">
      <c r="B65" s="17">
        <f>IF($D65="","","MD"&amp;TEXT(ROW()-5,"000"))</f>
        <v/>
      </c>
      <c r="C65" s="18" t="n"/>
      <c r="D65" s="16" t="n"/>
      <c r="E65" s="17">
        <f>IF($D65="","",IFERROR(INDEX(rngCadetPIDs,MATCH($D65,rngCadetNames,0)),"?"))</f>
        <v/>
      </c>
      <c r="F65" s="16" t="n"/>
      <c r="G65" s="16" t="n"/>
      <c r="H65" s="16" t="n"/>
      <c r="I65" s="18" t="n"/>
      <c r="J65" s="18" t="n"/>
      <c r="K65" s="18" t="n"/>
      <c r="L65" s="16" t="n"/>
      <c r="M65" s="17">
        <f>IF($D65="","",IF($K65&lt;&gt;"","Cleared "&amp;TEXT($K65,"mm/dd"),IF($H65="Yes",IF(AND($J65&lt;&gt;"",$J65&lt;TODAY()),"RESTRICTION EXPIRED","ACTIVE RESTRICTION"),"Documented")))</f>
        <v/>
      </c>
      <c r="N65" s="16" t="n"/>
    </row>
    <row r="66">
      <c r="B66" s="17">
        <f>IF($D66="","","MD"&amp;TEXT(ROW()-5,"000"))</f>
        <v/>
      </c>
      <c r="C66" s="18" t="n"/>
      <c r="D66" s="16" t="n"/>
      <c r="E66" s="17">
        <f>IF($D66="","",IFERROR(INDEX(rngCadetPIDs,MATCH($D66,rngCadetNames,0)),"?"))</f>
        <v/>
      </c>
      <c r="F66" s="16" t="n"/>
      <c r="G66" s="16" t="n"/>
      <c r="H66" s="16" t="n"/>
      <c r="I66" s="18" t="n"/>
      <c r="J66" s="18" t="n"/>
      <c r="K66" s="18" t="n"/>
      <c r="L66" s="16" t="n"/>
      <c r="M66" s="17">
        <f>IF($D66="","",IF($K66&lt;&gt;"","Cleared "&amp;TEXT($K66,"mm/dd"),IF($H66="Yes",IF(AND($J66&lt;&gt;"",$J66&lt;TODAY()),"RESTRICTION EXPIRED","ACTIVE RESTRICTION"),"Documented")))</f>
        <v/>
      </c>
      <c r="N66" s="16" t="n"/>
    </row>
    <row r="67">
      <c r="B67" s="17">
        <f>IF($D67="","","MD"&amp;TEXT(ROW()-5,"000"))</f>
        <v/>
      </c>
      <c r="C67" s="18" t="n"/>
      <c r="D67" s="16" t="n"/>
      <c r="E67" s="17">
        <f>IF($D67="","",IFERROR(INDEX(rngCadetPIDs,MATCH($D67,rngCadetNames,0)),"?"))</f>
        <v/>
      </c>
      <c r="F67" s="16" t="n"/>
      <c r="G67" s="16" t="n"/>
      <c r="H67" s="16" t="n"/>
      <c r="I67" s="18" t="n"/>
      <c r="J67" s="18" t="n"/>
      <c r="K67" s="18" t="n"/>
      <c r="L67" s="16" t="n"/>
      <c r="M67" s="17">
        <f>IF($D67="","",IF($K67&lt;&gt;"","Cleared "&amp;TEXT($K67,"mm/dd"),IF($H67="Yes",IF(AND($J67&lt;&gt;"",$J67&lt;TODAY()),"RESTRICTION EXPIRED","ACTIVE RESTRICTION"),"Documented")))</f>
        <v/>
      </c>
      <c r="N67" s="16" t="n"/>
    </row>
    <row r="68">
      <c r="B68" s="17">
        <f>IF($D68="","","MD"&amp;TEXT(ROW()-5,"000"))</f>
        <v/>
      </c>
      <c r="C68" s="18" t="n"/>
      <c r="D68" s="16" t="n"/>
      <c r="E68" s="17">
        <f>IF($D68="","",IFERROR(INDEX(rngCadetPIDs,MATCH($D68,rngCadetNames,0)),"?"))</f>
        <v/>
      </c>
      <c r="F68" s="16" t="n"/>
      <c r="G68" s="16" t="n"/>
      <c r="H68" s="16" t="n"/>
      <c r="I68" s="18" t="n"/>
      <c r="J68" s="18" t="n"/>
      <c r="K68" s="18" t="n"/>
      <c r="L68" s="16" t="n"/>
      <c r="M68" s="17">
        <f>IF($D68="","",IF($K68&lt;&gt;"","Cleared "&amp;TEXT($K68,"mm/dd"),IF($H68="Yes",IF(AND($J68&lt;&gt;"",$J68&lt;TODAY()),"RESTRICTION EXPIRED","ACTIVE RESTRICTION"),"Documented")))</f>
        <v/>
      </c>
      <c r="N68" s="16" t="n"/>
    </row>
    <row r="69">
      <c r="B69" s="17">
        <f>IF($D69="","","MD"&amp;TEXT(ROW()-5,"000"))</f>
        <v/>
      </c>
      <c r="C69" s="18" t="n"/>
      <c r="D69" s="16" t="n"/>
      <c r="E69" s="17">
        <f>IF($D69="","",IFERROR(INDEX(rngCadetPIDs,MATCH($D69,rngCadetNames,0)),"?"))</f>
        <v/>
      </c>
      <c r="F69" s="16" t="n"/>
      <c r="G69" s="16" t="n"/>
      <c r="H69" s="16" t="n"/>
      <c r="I69" s="18" t="n"/>
      <c r="J69" s="18" t="n"/>
      <c r="K69" s="18" t="n"/>
      <c r="L69" s="16" t="n"/>
      <c r="M69" s="17">
        <f>IF($D69="","",IF($K69&lt;&gt;"","Cleared "&amp;TEXT($K69,"mm/dd"),IF($H69="Yes",IF(AND($J69&lt;&gt;"",$J69&lt;TODAY()),"RESTRICTION EXPIRED","ACTIVE RESTRICTION"),"Documented")))</f>
        <v/>
      </c>
      <c r="N69" s="16" t="n"/>
    </row>
    <row r="70">
      <c r="B70" s="17">
        <f>IF($D70="","","MD"&amp;TEXT(ROW()-5,"000"))</f>
        <v/>
      </c>
      <c r="C70" s="18" t="n"/>
      <c r="D70" s="16" t="n"/>
      <c r="E70" s="17">
        <f>IF($D70="","",IFERROR(INDEX(rngCadetPIDs,MATCH($D70,rngCadetNames,0)),"?"))</f>
        <v/>
      </c>
      <c r="F70" s="16" t="n"/>
      <c r="G70" s="16" t="n"/>
      <c r="H70" s="16" t="n"/>
      <c r="I70" s="18" t="n"/>
      <c r="J70" s="18" t="n"/>
      <c r="K70" s="18" t="n"/>
      <c r="L70" s="16" t="n"/>
      <c r="M70" s="17">
        <f>IF($D70="","",IF($K70&lt;&gt;"","Cleared "&amp;TEXT($K70,"mm/dd"),IF($H70="Yes",IF(AND($J70&lt;&gt;"",$J70&lt;TODAY()),"RESTRICTION EXPIRED","ACTIVE RESTRICTION"),"Documented")))</f>
        <v/>
      </c>
      <c r="N70" s="16" t="n"/>
    </row>
    <row r="71">
      <c r="B71" s="17">
        <f>IF($D71="","","MD"&amp;TEXT(ROW()-5,"000"))</f>
        <v/>
      </c>
      <c r="C71" s="18" t="n"/>
      <c r="D71" s="16" t="n"/>
      <c r="E71" s="17">
        <f>IF($D71="","",IFERROR(INDEX(rngCadetPIDs,MATCH($D71,rngCadetNames,0)),"?"))</f>
        <v/>
      </c>
      <c r="F71" s="16" t="n"/>
      <c r="G71" s="16" t="n"/>
      <c r="H71" s="16" t="n"/>
      <c r="I71" s="18" t="n"/>
      <c r="J71" s="18" t="n"/>
      <c r="K71" s="18" t="n"/>
      <c r="L71" s="16" t="n"/>
      <c r="M71" s="17">
        <f>IF($D71="","",IF($K71&lt;&gt;"","Cleared "&amp;TEXT($K71,"mm/dd"),IF($H71="Yes",IF(AND($J71&lt;&gt;"",$J71&lt;TODAY()),"RESTRICTION EXPIRED","ACTIVE RESTRICTION"),"Documented")))</f>
        <v/>
      </c>
      <c r="N71" s="16" t="n"/>
    </row>
    <row r="72">
      <c r="B72" s="17">
        <f>IF($D72="","","MD"&amp;TEXT(ROW()-5,"000"))</f>
        <v/>
      </c>
      <c r="C72" s="18" t="n"/>
      <c r="D72" s="16" t="n"/>
      <c r="E72" s="17">
        <f>IF($D72="","",IFERROR(INDEX(rngCadetPIDs,MATCH($D72,rngCadetNames,0)),"?"))</f>
        <v/>
      </c>
      <c r="F72" s="16" t="n"/>
      <c r="G72" s="16" t="n"/>
      <c r="H72" s="16" t="n"/>
      <c r="I72" s="18" t="n"/>
      <c r="J72" s="18" t="n"/>
      <c r="K72" s="18" t="n"/>
      <c r="L72" s="16" t="n"/>
      <c r="M72" s="17">
        <f>IF($D72="","",IF($K72&lt;&gt;"","Cleared "&amp;TEXT($K72,"mm/dd"),IF($H72="Yes",IF(AND($J72&lt;&gt;"",$J72&lt;TODAY()),"RESTRICTION EXPIRED","ACTIVE RESTRICTION"),"Documented")))</f>
        <v/>
      </c>
      <c r="N72" s="16" t="n"/>
    </row>
    <row r="73">
      <c r="B73" s="17">
        <f>IF($D73="","","MD"&amp;TEXT(ROW()-5,"000"))</f>
        <v/>
      </c>
      <c r="C73" s="18" t="n"/>
      <c r="D73" s="16" t="n"/>
      <c r="E73" s="17">
        <f>IF($D73="","",IFERROR(INDEX(rngCadetPIDs,MATCH($D73,rngCadetNames,0)),"?"))</f>
        <v/>
      </c>
      <c r="F73" s="16" t="n"/>
      <c r="G73" s="16" t="n"/>
      <c r="H73" s="16" t="n"/>
      <c r="I73" s="18" t="n"/>
      <c r="J73" s="18" t="n"/>
      <c r="K73" s="18" t="n"/>
      <c r="L73" s="16" t="n"/>
      <c r="M73" s="17">
        <f>IF($D73="","",IF($K73&lt;&gt;"","Cleared "&amp;TEXT($K73,"mm/dd"),IF($H73="Yes",IF(AND($J73&lt;&gt;"",$J73&lt;TODAY()),"RESTRICTION EXPIRED","ACTIVE RESTRICTION"),"Documented")))</f>
        <v/>
      </c>
      <c r="N73" s="16" t="n"/>
    </row>
    <row r="74">
      <c r="B74" s="17">
        <f>IF($D74="","","MD"&amp;TEXT(ROW()-5,"000"))</f>
        <v/>
      </c>
      <c r="C74" s="18" t="n"/>
      <c r="D74" s="16" t="n"/>
      <c r="E74" s="17">
        <f>IF($D74="","",IFERROR(INDEX(rngCadetPIDs,MATCH($D74,rngCadetNames,0)),"?"))</f>
        <v/>
      </c>
      <c r="F74" s="16" t="n"/>
      <c r="G74" s="16" t="n"/>
      <c r="H74" s="16" t="n"/>
      <c r="I74" s="18" t="n"/>
      <c r="J74" s="18" t="n"/>
      <c r="K74" s="18" t="n"/>
      <c r="L74" s="16" t="n"/>
      <c r="M74" s="17">
        <f>IF($D74="","",IF($K74&lt;&gt;"","Cleared "&amp;TEXT($K74,"mm/dd"),IF($H74="Yes",IF(AND($J74&lt;&gt;"",$J74&lt;TODAY()),"RESTRICTION EXPIRED","ACTIVE RESTRICTION"),"Documented")))</f>
        <v/>
      </c>
      <c r="N74" s="16" t="n"/>
    </row>
    <row r="75">
      <c r="B75" s="17">
        <f>IF($D75="","","MD"&amp;TEXT(ROW()-5,"000"))</f>
        <v/>
      </c>
      <c r="C75" s="18" t="n"/>
      <c r="D75" s="16" t="n"/>
      <c r="E75" s="17">
        <f>IF($D75="","",IFERROR(INDEX(rngCadetPIDs,MATCH($D75,rngCadetNames,0)),"?"))</f>
        <v/>
      </c>
      <c r="F75" s="16" t="n"/>
      <c r="G75" s="16" t="n"/>
      <c r="H75" s="16" t="n"/>
      <c r="I75" s="18" t="n"/>
      <c r="J75" s="18" t="n"/>
      <c r="K75" s="18" t="n"/>
      <c r="L75" s="16" t="n"/>
      <c r="M75" s="17">
        <f>IF($D75="","",IF($K75&lt;&gt;"","Cleared "&amp;TEXT($K75,"mm/dd"),IF($H75="Yes",IF(AND($J75&lt;&gt;"",$J75&lt;TODAY()),"RESTRICTION EXPIRED","ACTIVE RESTRICTION"),"Documented")))</f>
        <v/>
      </c>
      <c r="N75" s="16" t="n"/>
    </row>
    <row r="76">
      <c r="B76" s="17">
        <f>IF($D76="","","MD"&amp;TEXT(ROW()-5,"000"))</f>
        <v/>
      </c>
      <c r="C76" s="18" t="n"/>
      <c r="D76" s="16" t="n"/>
      <c r="E76" s="17">
        <f>IF($D76="","",IFERROR(INDEX(rngCadetPIDs,MATCH($D76,rngCadetNames,0)),"?"))</f>
        <v/>
      </c>
      <c r="F76" s="16" t="n"/>
      <c r="G76" s="16" t="n"/>
      <c r="H76" s="16" t="n"/>
      <c r="I76" s="18" t="n"/>
      <c r="J76" s="18" t="n"/>
      <c r="K76" s="18" t="n"/>
      <c r="L76" s="16" t="n"/>
      <c r="M76" s="17">
        <f>IF($D76="","",IF($K76&lt;&gt;"","Cleared "&amp;TEXT($K76,"mm/dd"),IF($H76="Yes",IF(AND($J76&lt;&gt;"",$J76&lt;TODAY()),"RESTRICTION EXPIRED","ACTIVE RESTRICTION"),"Documented")))</f>
        <v/>
      </c>
      <c r="N76" s="16" t="n"/>
    </row>
    <row r="77">
      <c r="B77" s="17">
        <f>IF($D77="","","MD"&amp;TEXT(ROW()-5,"000"))</f>
        <v/>
      </c>
      <c r="C77" s="18" t="n"/>
      <c r="D77" s="16" t="n"/>
      <c r="E77" s="17">
        <f>IF($D77="","",IFERROR(INDEX(rngCadetPIDs,MATCH($D77,rngCadetNames,0)),"?"))</f>
        <v/>
      </c>
      <c r="F77" s="16" t="n"/>
      <c r="G77" s="16" t="n"/>
      <c r="H77" s="16" t="n"/>
      <c r="I77" s="18" t="n"/>
      <c r="J77" s="18" t="n"/>
      <c r="K77" s="18" t="n"/>
      <c r="L77" s="16" t="n"/>
      <c r="M77" s="17">
        <f>IF($D77="","",IF($K77&lt;&gt;"","Cleared "&amp;TEXT($K77,"mm/dd"),IF($H77="Yes",IF(AND($J77&lt;&gt;"",$J77&lt;TODAY()),"RESTRICTION EXPIRED","ACTIVE RESTRICTION"),"Documented")))</f>
        <v/>
      </c>
      <c r="N77" s="16" t="n"/>
    </row>
    <row r="78">
      <c r="B78" s="17">
        <f>IF($D78="","","MD"&amp;TEXT(ROW()-5,"000"))</f>
        <v/>
      </c>
      <c r="C78" s="18" t="n"/>
      <c r="D78" s="16" t="n"/>
      <c r="E78" s="17">
        <f>IF($D78="","",IFERROR(INDEX(rngCadetPIDs,MATCH($D78,rngCadetNames,0)),"?"))</f>
        <v/>
      </c>
      <c r="F78" s="16" t="n"/>
      <c r="G78" s="16" t="n"/>
      <c r="H78" s="16" t="n"/>
      <c r="I78" s="18" t="n"/>
      <c r="J78" s="18" t="n"/>
      <c r="K78" s="18" t="n"/>
      <c r="L78" s="16" t="n"/>
      <c r="M78" s="17">
        <f>IF($D78="","",IF($K78&lt;&gt;"","Cleared "&amp;TEXT($K78,"mm/dd"),IF($H78="Yes",IF(AND($J78&lt;&gt;"",$J78&lt;TODAY()),"RESTRICTION EXPIRED","ACTIVE RESTRICTION"),"Documented")))</f>
        <v/>
      </c>
      <c r="N78" s="16" t="n"/>
    </row>
    <row r="79">
      <c r="B79" s="17">
        <f>IF($D79="","","MD"&amp;TEXT(ROW()-5,"000"))</f>
        <v/>
      </c>
      <c r="C79" s="18" t="n"/>
      <c r="D79" s="16" t="n"/>
      <c r="E79" s="17">
        <f>IF($D79="","",IFERROR(INDEX(rngCadetPIDs,MATCH($D79,rngCadetNames,0)),"?"))</f>
        <v/>
      </c>
      <c r="F79" s="16" t="n"/>
      <c r="G79" s="16" t="n"/>
      <c r="H79" s="16" t="n"/>
      <c r="I79" s="18" t="n"/>
      <c r="J79" s="18" t="n"/>
      <c r="K79" s="18" t="n"/>
      <c r="L79" s="16" t="n"/>
      <c r="M79" s="17">
        <f>IF($D79="","",IF($K79&lt;&gt;"","Cleared "&amp;TEXT($K79,"mm/dd"),IF($H79="Yes",IF(AND($J79&lt;&gt;"",$J79&lt;TODAY()),"RESTRICTION EXPIRED","ACTIVE RESTRICTION"),"Documented")))</f>
        <v/>
      </c>
      <c r="N79" s="16" t="n"/>
    </row>
    <row r="80">
      <c r="B80" s="17">
        <f>IF($D80="","","MD"&amp;TEXT(ROW()-5,"000"))</f>
        <v/>
      </c>
      <c r="C80" s="18" t="n"/>
      <c r="D80" s="16" t="n"/>
      <c r="E80" s="17">
        <f>IF($D80="","",IFERROR(INDEX(rngCadetPIDs,MATCH($D80,rngCadetNames,0)),"?"))</f>
        <v/>
      </c>
      <c r="F80" s="16" t="n"/>
      <c r="G80" s="16" t="n"/>
      <c r="H80" s="16" t="n"/>
      <c r="I80" s="18" t="n"/>
      <c r="J80" s="18" t="n"/>
      <c r="K80" s="18" t="n"/>
      <c r="L80" s="16" t="n"/>
      <c r="M80" s="17">
        <f>IF($D80="","",IF($K80&lt;&gt;"","Cleared "&amp;TEXT($K80,"mm/dd"),IF($H80="Yes",IF(AND($J80&lt;&gt;"",$J80&lt;TODAY()),"RESTRICTION EXPIRED","ACTIVE RESTRICTION"),"Documented")))</f>
        <v/>
      </c>
      <c r="N80" s="16" t="n"/>
    </row>
    <row r="81">
      <c r="B81" s="17">
        <f>IF($D81="","","MD"&amp;TEXT(ROW()-5,"000"))</f>
        <v/>
      </c>
      <c r="C81" s="18" t="n"/>
      <c r="D81" s="16" t="n"/>
      <c r="E81" s="17">
        <f>IF($D81="","",IFERROR(INDEX(rngCadetPIDs,MATCH($D81,rngCadetNames,0)),"?"))</f>
        <v/>
      </c>
      <c r="F81" s="16" t="n"/>
      <c r="G81" s="16" t="n"/>
      <c r="H81" s="16" t="n"/>
      <c r="I81" s="18" t="n"/>
      <c r="J81" s="18" t="n"/>
      <c r="K81" s="18" t="n"/>
      <c r="L81" s="16" t="n"/>
      <c r="M81" s="17">
        <f>IF($D81="","",IF($K81&lt;&gt;"","Cleared "&amp;TEXT($K81,"mm/dd"),IF($H81="Yes",IF(AND($J81&lt;&gt;"",$J81&lt;TODAY()),"RESTRICTION EXPIRED","ACTIVE RESTRICTION"),"Documented")))</f>
        <v/>
      </c>
      <c r="N81" s="16" t="n"/>
    </row>
    <row r="82">
      <c r="B82" s="17">
        <f>IF($D82="","","MD"&amp;TEXT(ROW()-5,"000"))</f>
        <v/>
      </c>
      <c r="C82" s="18" t="n"/>
      <c r="D82" s="16" t="n"/>
      <c r="E82" s="17">
        <f>IF($D82="","",IFERROR(INDEX(rngCadetPIDs,MATCH($D82,rngCadetNames,0)),"?"))</f>
        <v/>
      </c>
      <c r="F82" s="16" t="n"/>
      <c r="G82" s="16" t="n"/>
      <c r="H82" s="16" t="n"/>
      <c r="I82" s="18" t="n"/>
      <c r="J82" s="18" t="n"/>
      <c r="K82" s="18" t="n"/>
      <c r="L82" s="16" t="n"/>
      <c r="M82" s="17">
        <f>IF($D82="","",IF($K82&lt;&gt;"","Cleared "&amp;TEXT($K82,"mm/dd"),IF($H82="Yes",IF(AND($J82&lt;&gt;"",$J82&lt;TODAY()),"RESTRICTION EXPIRED","ACTIVE RESTRICTION"),"Documented")))</f>
        <v/>
      </c>
      <c r="N82" s="16" t="n"/>
    </row>
    <row r="83">
      <c r="B83" s="17">
        <f>IF($D83="","","MD"&amp;TEXT(ROW()-5,"000"))</f>
        <v/>
      </c>
      <c r="C83" s="18" t="n"/>
      <c r="D83" s="16" t="n"/>
      <c r="E83" s="17">
        <f>IF($D83="","",IFERROR(INDEX(rngCadetPIDs,MATCH($D83,rngCadetNames,0)),"?"))</f>
        <v/>
      </c>
      <c r="F83" s="16" t="n"/>
      <c r="G83" s="16" t="n"/>
      <c r="H83" s="16" t="n"/>
      <c r="I83" s="18" t="n"/>
      <c r="J83" s="18" t="n"/>
      <c r="K83" s="18" t="n"/>
      <c r="L83" s="16" t="n"/>
      <c r="M83" s="17">
        <f>IF($D83="","",IF($K83&lt;&gt;"","Cleared "&amp;TEXT($K83,"mm/dd"),IF($H83="Yes",IF(AND($J83&lt;&gt;"",$J83&lt;TODAY()),"RESTRICTION EXPIRED","ACTIVE RESTRICTION"),"Documented")))</f>
        <v/>
      </c>
      <c r="N83" s="16" t="n"/>
    </row>
    <row r="84">
      <c r="B84" s="17">
        <f>IF($D84="","","MD"&amp;TEXT(ROW()-5,"000"))</f>
        <v/>
      </c>
      <c r="C84" s="18" t="n"/>
      <c r="D84" s="16" t="n"/>
      <c r="E84" s="17">
        <f>IF($D84="","",IFERROR(INDEX(rngCadetPIDs,MATCH($D84,rngCadetNames,0)),"?"))</f>
        <v/>
      </c>
      <c r="F84" s="16" t="n"/>
      <c r="G84" s="16" t="n"/>
      <c r="H84" s="16" t="n"/>
      <c r="I84" s="18" t="n"/>
      <c r="J84" s="18" t="n"/>
      <c r="K84" s="18" t="n"/>
      <c r="L84" s="16" t="n"/>
      <c r="M84" s="17">
        <f>IF($D84="","",IF($K84&lt;&gt;"","Cleared "&amp;TEXT($K84,"mm/dd"),IF($H84="Yes",IF(AND($J84&lt;&gt;"",$J84&lt;TODAY()),"RESTRICTION EXPIRED","ACTIVE RESTRICTION"),"Documented")))</f>
        <v/>
      </c>
      <c r="N84" s="16" t="n"/>
    </row>
    <row r="85">
      <c r="B85" s="17">
        <f>IF($D85="","","MD"&amp;TEXT(ROW()-5,"000"))</f>
        <v/>
      </c>
      <c r="C85" s="18" t="n"/>
      <c r="D85" s="16" t="n"/>
      <c r="E85" s="17">
        <f>IF($D85="","",IFERROR(INDEX(rngCadetPIDs,MATCH($D85,rngCadetNames,0)),"?"))</f>
        <v/>
      </c>
      <c r="F85" s="16" t="n"/>
      <c r="G85" s="16" t="n"/>
      <c r="H85" s="16" t="n"/>
      <c r="I85" s="18" t="n"/>
      <c r="J85" s="18" t="n"/>
      <c r="K85" s="18" t="n"/>
      <c r="L85" s="16" t="n"/>
      <c r="M85" s="17">
        <f>IF($D85="","",IF($K85&lt;&gt;"","Cleared "&amp;TEXT($K85,"mm/dd"),IF($H85="Yes",IF(AND($J85&lt;&gt;"",$J85&lt;TODAY()),"RESTRICTION EXPIRED","ACTIVE RESTRICTION"),"Documented")))</f>
        <v/>
      </c>
      <c r="N85" s="16" t="n"/>
    </row>
    <row r="86">
      <c r="B86" s="17">
        <f>IF($D86="","","MD"&amp;TEXT(ROW()-5,"000"))</f>
        <v/>
      </c>
      <c r="C86" s="18" t="n"/>
      <c r="D86" s="16" t="n"/>
      <c r="E86" s="17">
        <f>IF($D86="","",IFERROR(INDEX(rngCadetPIDs,MATCH($D86,rngCadetNames,0)),"?"))</f>
        <v/>
      </c>
      <c r="F86" s="16" t="n"/>
      <c r="G86" s="16" t="n"/>
      <c r="H86" s="16" t="n"/>
      <c r="I86" s="18" t="n"/>
      <c r="J86" s="18" t="n"/>
      <c r="K86" s="18" t="n"/>
      <c r="L86" s="16" t="n"/>
      <c r="M86" s="17">
        <f>IF($D86="","",IF($K86&lt;&gt;"","Cleared "&amp;TEXT($K86,"mm/dd"),IF($H86="Yes",IF(AND($J86&lt;&gt;"",$J86&lt;TODAY()),"RESTRICTION EXPIRED","ACTIVE RESTRICTION"),"Documented")))</f>
        <v/>
      </c>
      <c r="N86" s="16" t="n"/>
    </row>
    <row r="87">
      <c r="B87" s="17">
        <f>IF($D87="","","MD"&amp;TEXT(ROW()-5,"000"))</f>
        <v/>
      </c>
      <c r="C87" s="18" t="n"/>
      <c r="D87" s="16" t="n"/>
      <c r="E87" s="17">
        <f>IF($D87="","",IFERROR(INDEX(rngCadetPIDs,MATCH($D87,rngCadetNames,0)),"?"))</f>
        <v/>
      </c>
      <c r="F87" s="16" t="n"/>
      <c r="G87" s="16" t="n"/>
      <c r="H87" s="16" t="n"/>
      <c r="I87" s="18" t="n"/>
      <c r="J87" s="18" t="n"/>
      <c r="K87" s="18" t="n"/>
      <c r="L87" s="16" t="n"/>
      <c r="M87" s="17">
        <f>IF($D87="","",IF($K87&lt;&gt;"","Cleared "&amp;TEXT($K87,"mm/dd"),IF($H87="Yes",IF(AND($J87&lt;&gt;"",$J87&lt;TODAY()),"RESTRICTION EXPIRED","ACTIVE RESTRICTION"),"Documented")))</f>
        <v/>
      </c>
      <c r="N87" s="16" t="n"/>
    </row>
    <row r="88">
      <c r="B88" s="17">
        <f>IF($D88="","","MD"&amp;TEXT(ROW()-5,"000"))</f>
        <v/>
      </c>
      <c r="C88" s="18" t="n"/>
      <c r="D88" s="16" t="n"/>
      <c r="E88" s="17">
        <f>IF($D88="","",IFERROR(INDEX(rngCadetPIDs,MATCH($D88,rngCadetNames,0)),"?"))</f>
        <v/>
      </c>
      <c r="F88" s="16" t="n"/>
      <c r="G88" s="16" t="n"/>
      <c r="H88" s="16" t="n"/>
      <c r="I88" s="18" t="n"/>
      <c r="J88" s="18" t="n"/>
      <c r="K88" s="18" t="n"/>
      <c r="L88" s="16" t="n"/>
      <c r="M88" s="17">
        <f>IF($D88="","",IF($K88&lt;&gt;"","Cleared "&amp;TEXT($K88,"mm/dd"),IF($H88="Yes",IF(AND($J88&lt;&gt;"",$J88&lt;TODAY()),"RESTRICTION EXPIRED","ACTIVE RESTRICTION"),"Documented")))</f>
        <v/>
      </c>
      <c r="N88" s="16" t="n"/>
    </row>
    <row r="89">
      <c r="B89" s="17">
        <f>IF($D89="","","MD"&amp;TEXT(ROW()-5,"000"))</f>
        <v/>
      </c>
      <c r="C89" s="18" t="n"/>
      <c r="D89" s="16" t="n"/>
      <c r="E89" s="17">
        <f>IF($D89="","",IFERROR(INDEX(rngCadetPIDs,MATCH($D89,rngCadetNames,0)),"?"))</f>
        <v/>
      </c>
      <c r="F89" s="16" t="n"/>
      <c r="G89" s="16" t="n"/>
      <c r="H89" s="16" t="n"/>
      <c r="I89" s="18" t="n"/>
      <c r="J89" s="18" t="n"/>
      <c r="K89" s="18" t="n"/>
      <c r="L89" s="16" t="n"/>
      <c r="M89" s="17">
        <f>IF($D89="","",IF($K89&lt;&gt;"","Cleared "&amp;TEXT($K89,"mm/dd"),IF($H89="Yes",IF(AND($J89&lt;&gt;"",$J89&lt;TODAY()),"RESTRICTION EXPIRED","ACTIVE RESTRICTION"),"Documented")))</f>
        <v/>
      </c>
      <c r="N89" s="16" t="n"/>
    </row>
    <row r="90">
      <c r="B90" s="17">
        <f>IF($D90="","","MD"&amp;TEXT(ROW()-5,"000"))</f>
        <v/>
      </c>
      <c r="C90" s="18" t="n"/>
      <c r="D90" s="16" t="n"/>
      <c r="E90" s="17">
        <f>IF($D90="","",IFERROR(INDEX(rngCadetPIDs,MATCH($D90,rngCadetNames,0)),"?"))</f>
        <v/>
      </c>
      <c r="F90" s="16" t="n"/>
      <c r="G90" s="16" t="n"/>
      <c r="H90" s="16" t="n"/>
      <c r="I90" s="18" t="n"/>
      <c r="J90" s="18" t="n"/>
      <c r="K90" s="18" t="n"/>
      <c r="L90" s="16" t="n"/>
      <c r="M90" s="17">
        <f>IF($D90="","",IF($K90&lt;&gt;"","Cleared "&amp;TEXT($K90,"mm/dd"),IF($H90="Yes",IF(AND($J90&lt;&gt;"",$J90&lt;TODAY()),"RESTRICTION EXPIRED","ACTIVE RESTRICTION"),"Documented")))</f>
        <v/>
      </c>
      <c r="N90" s="16" t="n"/>
    </row>
    <row r="91">
      <c r="B91" s="17">
        <f>IF($D91="","","MD"&amp;TEXT(ROW()-5,"000"))</f>
        <v/>
      </c>
      <c r="C91" s="18" t="n"/>
      <c r="D91" s="16" t="n"/>
      <c r="E91" s="17">
        <f>IF($D91="","",IFERROR(INDEX(rngCadetPIDs,MATCH($D91,rngCadetNames,0)),"?"))</f>
        <v/>
      </c>
      <c r="F91" s="16" t="n"/>
      <c r="G91" s="16" t="n"/>
      <c r="H91" s="16" t="n"/>
      <c r="I91" s="18" t="n"/>
      <c r="J91" s="18" t="n"/>
      <c r="K91" s="18" t="n"/>
      <c r="L91" s="16" t="n"/>
      <c r="M91" s="17">
        <f>IF($D91="","",IF($K91&lt;&gt;"","Cleared "&amp;TEXT($K91,"mm/dd"),IF($H91="Yes",IF(AND($J91&lt;&gt;"",$J91&lt;TODAY()),"RESTRICTION EXPIRED","ACTIVE RESTRICTION"),"Documented")))</f>
        <v/>
      </c>
      <c r="N91" s="16" t="n"/>
    </row>
    <row r="92">
      <c r="B92" s="17">
        <f>IF($D92="","","MD"&amp;TEXT(ROW()-5,"000"))</f>
        <v/>
      </c>
      <c r="C92" s="18" t="n"/>
      <c r="D92" s="16" t="n"/>
      <c r="E92" s="17">
        <f>IF($D92="","",IFERROR(INDEX(rngCadetPIDs,MATCH($D92,rngCadetNames,0)),"?"))</f>
        <v/>
      </c>
      <c r="F92" s="16" t="n"/>
      <c r="G92" s="16" t="n"/>
      <c r="H92" s="16" t="n"/>
      <c r="I92" s="18" t="n"/>
      <c r="J92" s="18" t="n"/>
      <c r="K92" s="18" t="n"/>
      <c r="L92" s="16" t="n"/>
      <c r="M92" s="17">
        <f>IF($D92="","",IF($K92&lt;&gt;"","Cleared "&amp;TEXT($K92,"mm/dd"),IF($H92="Yes",IF(AND($J92&lt;&gt;"",$J92&lt;TODAY()),"RESTRICTION EXPIRED","ACTIVE RESTRICTION"),"Documented")))</f>
        <v/>
      </c>
      <c r="N92" s="16" t="n"/>
    </row>
    <row r="93">
      <c r="B93" s="17">
        <f>IF($D93="","","MD"&amp;TEXT(ROW()-5,"000"))</f>
        <v/>
      </c>
      <c r="C93" s="18" t="n"/>
      <c r="D93" s="16" t="n"/>
      <c r="E93" s="17">
        <f>IF($D93="","",IFERROR(INDEX(rngCadetPIDs,MATCH($D93,rngCadetNames,0)),"?"))</f>
        <v/>
      </c>
      <c r="F93" s="16" t="n"/>
      <c r="G93" s="16" t="n"/>
      <c r="H93" s="16" t="n"/>
      <c r="I93" s="18" t="n"/>
      <c r="J93" s="18" t="n"/>
      <c r="K93" s="18" t="n"/>
      <c r="L93" s="16" t="n"/>
      <c r="M93" s="17">
        <f>IF($D93="","",IF($K93&lt;&gt;"","Cleared "&amp;TEXT($K93,"mm/dd"),IF($H93="Yes",IF(AND($J93&lt;&gt;"",$J93&lt;TODAY()),"RESTRICTION EXPIRED","ACTIVE RESTRICTION"),"Documented")))</f>
        <v/>
      </c>
      <c r="N93" s="16" t="n"/>
    </row>
    <row r="94">
      <c r="B94" s="17">
        <f>IF($D94="","","MD"&amp;TEXT(ROW()-5,"000"))</f>
        <v/>
      </c>
      <c r="C94" s="18" t="n"/>
      <c r="D94" s="16" t="n"/>
      <c r="E94" s="17">
        <f>IF($D94="","",IFERROR(INDEX(rngCadetPIDs,MATCH($D94,rngCadetNames,0)),"?"))</f>
        <v/>
      </c>
      <c r="F94" s="16" t="n"/>
      <c r="G94" s="16" t="n"/>
      <c r="H94" s="16" t="n"/>
      <c r="I94" s="18" t="n"/>
      <c r="J94" s="18" t="n"/>
      <c r="K94" s="18" t="n"/>
      <c r="L94" s="16" t="n"/>
      <c r="M94" s="17">
        <f>IF($D94="","",IF($K94&lt;&gt;"","Cleared "&amp;TEXT($K94,"mm/dd"),IF($H94="Yes",IF(AND($J94&lt;&gt;"",$J94&lt;TODAY()),"RESTRICTION EXPIRED","ACTIVE RESTRICTION"),"Documented")))</f>
        <v/>
      </c>
      <c r="N94" s="16" t="n"/>
    </row>
    <row r="95">
      <c r="B95" s="17">
        <f>IF($D95="","","MD"&amp;TEXT(ROW()-5,"000"))</f>
        <v/>
      </c>
      <c r="C95" s="18" t="n"/>
      <c r="D95" s="16" t="n"/>
      <c r="E95" s="17">
        <f>IF($D95="","",IFERROR(INDEX(rngCadetPIDs,MATCH($D95,rngCadetNames,0)),"?"))</f>
        <v/>
      </c>
      <c r="F95" s="16" t="n"/>
      <c r="G95" s="16" t="n"/>
      <c r="H95" s="16" t="n"/>
      <c r="I95" s="18" t="n"/>
      <c r="J95" s="18" t="n"/>
      <c r="K95" s="18" t="n"/>
      <c r="L95" s="16" t="n"/>
      <c r="M95" s="17">
        <f>IF($D95="","",IF($K95&lt;&gt;"","Cleared "&amp;TEXT($K95,"mm/dd"),IF($H95="Yes",IF(AND($J95&lt;&gt;"",$J95&lt;TODAY()),"RESTRICTION EXPIRED","ACTIVE RESTRICTION"),"Documented")))</f>
        <v/>
      </c>
      <c r="N95" s="16" t="n"/>
    </row>
    <row r="96">
      <c r="B96" s="17">
        <f>IF($D96="","","MD"&amp;TEXT(ROW()-5,"000"))</f>
        <v/>
      </c>
      <c r="C96" s="18" t="n"/>
      <c r="D96" s="16" t="n"/>
      <c r="E96" s="17">
        <f>IF($D96="","",IFERROR(INDEX(rngCadetPIDs,MATCH($D96,rngCadetNames,0)),"?"))</f>
        <v/>
      </c>
      <c r="F96" s="16" t="n"/>
      <c r="G96" s="16" t="n"/>
      <c r="H96" s="16" t="n"/>
      <c r="I96" s="18" t="n"/>
      <c r="J96" s="18" t="n"/>
      <c r="K96" s="18" t="n"/>
      <c r="L96" s="16" t="n"/>
      <c r="M96" s="17">
        <f>IF($D96="","",IF($K96&lt;&gt;"","Cleared "&amp;TEXT($K96,"mm/dd"),IF($H96="Yes",IF(AND($J96&lt;&gt;"",$J96&lt;TODAY()),"RESTRICTION EXPIRED","ACTIVE RESTRICTION"),"Documented")))</f>
        <v/>
      </c>
      <c r="N96" s="16" t="n"/>
    </row>
    <row r="97">
      <c r="B97" s="17">
        <f>IF($D97="","","MD"&amp;TEXT(ROW()-5,"000"))</f>
        <v/>
      </c>
      <c r="C97" s="18" t="n"/>
      <c r="D97" s="16" t="n"/>
      <c r="E97" s="17">
        <f>IF($D97="","",IFERROR(INDEX(rngCadetPIDs,MATCH($D97,rngCadetNames,0)),"?"))</f>
        <v/>
      </c>
      <c r="F97" s="16" t="n"/>
      <c r="G97" s="16" t="n"/>
      <c r="H97" s="16" t="n"/>
      <c r="I97" s="18" t="n"/>
      <c r="J97" s="18" t="n"/>
      <c r="K97" s="18" t="n"/>
      <c r="L97" s="16" t="n"/>
      <c r="M97" s="17">
        <f>IF($D97="","",IF($K97&lt;&gt;"","Cleared "&amp;TEXT($K97,"mm/dd"),IF($H97="Yes",IF(AND($J97&lt;&gt;"",$J97&lt;TODAY()),"RESTRICTION EXPIRED","ACTIVE RESTRICTION"),"Documented")))</f>
        <v/>
      </c>
      <c r="N97" s="16" t="n"/>
    </row>
    <row r="98">
      <c r="B98" s="17">
        <f>IF($D98="","","MD"&amp;TEXT(ROW()-5,"000"))</f>
        <v/>
      </c>
      <c r="C98" s="18" t="n"/>
      <c r="D98" s="16" t="n"/>
      <c r="E98" s="17">
        <f>IF($D98="","",IFERROR(INDEX(rngCadetPIDs,MATCH($D98,rngCadetNames,0)),"?"))</f>
        <v/>
      </c>
      <c r="F98" s="16" t="n"/>
      <c r="G98" s="16" t="n"/>
      <c r="H98" s="16" t="n"/>
      <c r="I98" s="18" t="n"/>
      <c r="J98" s="18" t="n"/>
      <c r="K98" s="18" t="n"/>
      <c r="L98" s="16" t="n"/>
      <c r="M98" s="17">
        <f>IF($D98="","",IF($K98&lt;&gt;"","Cleared "&amp;TEXT($K98,"mm/dd"),IF($H98="Yes",IF(AND($J98&lt;&gt;"",$J98&lt;TODAY()),"RESTRICTION EXPIRED","ACTIVE RESTRICTION"),"Documented")))</f>
        <v/>
      </c>
      <c r="N98" s="16" t="n"/>
    </row>
    <row r="99">
      <c r="B99" s="17">
        <f>IF($D99="","","MD"&amp;TEXT(ROW()-5,"000"))</f>
        <v/>
      </c>
      <c r="C99" s="18" t="n"/>
      <c r="D99" s="16" t="n"/>
      <c r="E99" s="17">
        <f>IF($D99="","",IFERROR(INDEX(rngCadetPIDs,MATCH($D99,rngCadetNames,0)),"?"))</f>
        <v/>
      </c>
      <c r="F99" s="16" t="n"/>
      <c r="G99" s="16" t="n"/>
      <c r="H99" s="16" t="n"/>
      <c r="I99" s="18" t="n"/>
      <c r="J99" s="18" t="n"/>
      <c r="K99" s="18" t="n"/>
      <c r="L99" s="16" t="n"/>
      <c r="M99" s="17">
        <f>IF($D99="","",IF($K99&lt;&gt;"","Cleared "&amp;TEXT($K99,"mm/dd"),IF($H99="Yes",IF(AND($J99&lt;&gt;"",$J99&lt;TODAY()),"RESTRICTION EXPIRED","ACTIVE RESTRICTION"),"Documented")))</f>
        <v/>
      </c>
      <c r="N99" s="16" t="n"/>
    </row>
    <row r="100">
      <c r="B100" s="17">
        <f>IF($D100="","","MD"&amp;TEXT(ROW()-5,"000"))</f>
        <v/>
      </c>
      <c r="C100" s="18" t="n"/>
      <c r="D100" s="16" t="n"/>
      <c r="E100" s="17">
        <f>IF($D100="","",IFERROR(INDEX(rngCadetPIDs,MATCH($D100,rngCadetNames,0)),"?"))</f>
        <v/>
      </c>
      <c r="F100" s="16" t="n"/>
      <c r="G100" s="16" t="n"/>
      <c r="H100" s="16" t="n"/>
      <c r="I100" s="18" t="n"/>
      <c r="J100" s="18" t="n"/>
      <c r="K100" s="18" t="n"/>
      <c r="L100" s="16" t="n"/>
      <c r="M100" s="17">
        <f>IF($D100="","",IF($K100&lt;&gt;"","Cleared "&amp;TEXT($K100,"mm/dd"),IF($H100="Yes",IF(AND($J100&lt;&gt;"",$J100&lt;TODAY()),"RESTRICTION EXPIRED","ACTIVE RESTRICTION"),"Documented")))</f>
        <v/>
      </c>
      <c r="N100" s="16" t="n"/>
    </row>
    <row r="101">
      <c r="B101" s="17">
        <f>IF($D101="","","MD"&amp;TEXT(ROW()-5,"000"))</f>
        <v/>
      </c>
      <c r="C101" s="18" t="n"/>
      <c r="D101" s="16" t="n"/>
      <c r="E101" s="17">
        <f>IF($D101="","",IFERROR(INDEX(rngCadetPIDs,MATCH($D101,rngCadetNames,0)),"?"))</f>
        <v/>
      </c>
      <c r="F101" s="16" t="n"/>
      <c r="G101" s="16" t="n"/>
      <c r="H101" s="16" t="n"/>
      <c r="I101" s="18" t="n"/>
      <c r="J101" s="18" t="n"/>
      <c r="K101" s="18" t="n"/>
      <c r="L101" s="16" t="n"/>
      <c r="M101" s="17">
        <f>IF($D101="","",IF($K101&lt;&gt;"","Cleared "&amp;TEXT($K101,"mm/dd"),IF($H101="Yes",IF(AND($J101&lt;&gt;"",$J101&lt;TODAY()),"RESTRICTION EXPIRED","ACTIVE RESTRICTION"),"Documented")))</f>
        <v/>
      </c>
      <c r="N101" s="16" t="n"/>
    </row>
    <row r="102">
      <c r="B102" s="17">
        <f>IF($D102="","","MD"&amp;TEXT(ROW()-5,"000"))</f>
        <v/>
      </c>
      <c r="C102" s="18" t="n"/>
      <c r="D102" s="16" t="n"/>
      <c r="E102" s="17">
        <f>IF($D102="","",IFERROR(INDEX(rngCadetPIDs,MATCH($D102,rngCadetNames,0)),"?"))</f>
        <v/>
      </c>
      <c r="F102" s="16" t="n"/>
      <c r="G102" s="16" t="n"/>
      <c r="H102" s="16" t="n"/>
      <c r="I102" s="18" t="n"/>
      <c r="J102" s="18" t="n"/>
      <c r="K102" s="18" t="n"/>
      <c r="L102" s="16" t="n"/>
      <c r="M102" s="17">
        <f>IF($D102="","",IF($K102&lt;&gt;"","Cleared "&amp;TEXT($K102,"mm/dd"),IF($H102="Yes",IF(AND($J102&lt;&gt;"",$J102&lt;TODAY()),"RESTRICTION EXPIRED","ACTIVE RESTRICTION"),"Documented")))</f>
        <v/>
      </c>
      <c r="N102" s="16" t="n"/>
    </row>
    <row r="103">
      <c r="B103" s="17">
        <f>IF($D103="","","MD"&amp;TEXT(ROW()-5,"000"))</f>
        <v/>
      </c>
      <c r="C103" s="18" t="n"/>
      <c r="D103" s="16" t="n"/>
      <c r="E103" s="17">
        <f>IF($D103="","",IFERROR(INDEX(rngCadetPIDs,MATCH($D103,rngCadetNames,0)),"?"))</f>
        <v/>
      </c>
      <c r="F103" s="16" t="n"/>
      <c r="G103" s="16" t="n"/>
      <c r="H103" s="16" t="n"/>
      <c r="I103" s="18" t="n"/>
      <c r="J103" s="18" t="n"/>
      <c r="K103" s="18" t="n"/>
      <c r="L103" s="16" t="n"/>
      <c r="M103" s="17">
        <f>IF($D103="","",IF($K103&lt;&gt;"","Cleared "&amp;TEXT($K103,"mm/dd"),IF($H103="Yes",IF(AND($J103&lt;&gt;"",$J103&lt;TODAY()),"RESTRICTION EXPIRED","ACTIVE RESTRICTION"),"Documented")))</f>
        <v/>
      </c>
      <c r="N103" s="16" t="n"/>
    </row>
    <row r="104">
      <c r="B104" s="17">
        <f>IF($D104="","","MD"&amp;TEXT(ROW()-5,"000"))</f>
        <v/>
      </c>
      <c r="C104" s="18" t="n"/>
      <c r="D104" s="16" t="n"/>
      <c r="E104" s="17">
        <f>IF($D104="","",IFERROR(INDEX(rngCadetPIDs,MATCH($D104,rngCadetNames,0)),"?"))</f>
        <v/>
      </c>
      <c r="F104" s="16" t="n"/>
      <c r="G104" s="16" t="n"/>
      <c r="H104" s="16" t="n"/>
      <c r="I104" s="18" t="n"/>
      <c r="J104" s="18" t="n"/>
      <c r="K104" s="18" t="n"/>
      <c r="L104" s="16" t="n"/>
      <c r="M104" s="17">
        <f>IF($D104="","",IF($K104&lt;&gt;"","Cleared "&amp;TEXT($K104,"mm/dd"),IF($H104="Yes",IF(AND($J104&lt;&gt;"",$J104&lt;TODAY()),"RESTRICTION EXPIRED","ACTIVE RESTRICTION"),"Documented")))</f>
        <v/>
      </c>
      <c r="N104" s="16" t="n"/>
    </row>
    <row r="105">
      <c r="B105" s="17">
        <f>IF($D105="","","MD"&amp;TEXT(ROW()-5,"000"))</f>
        <v/>
      </c>
      <c r="C105" s="18" t="n"/>
      <c r="D105" s="16" t="n"/>
      <c r="E105" s="17">
        <f>IF($D105="","",IFERROR(INDEX(rngCadetPIDs,MATCH($D105,rngCadetNames,0)),"?"))</f>
        <v/>
      </c>
      <c r="F105" s="16" t="n"/>
      <c r="G105" s="16" t="n"/>
      <c r="H105" s="16" t="n"/>
      <c r="I105" s="18" t="n"/>
      <c r="J105" s="18" t="n"/>
      <c r="K105" s="18" t="n"/>
      <c r="L105" s="16" t="n"/>
      <c r="M105" s="17">
        <f>IF($D105="","",IF($K105&lt;&gt;"","Cleared "&amp;TEXT($K105,"mm/dd"),IF($H105="Yes",IF(AND($J105&lt;&gt;"",$J105&lt;TODAY()),"RESTRICTION EXPIRED","ACTIVE RESTRICTION"),"Documented")))</f>
        <v/>
      </c>
      <c r="N105" s="16" t="n"/>
    </row>
    <row r="106">
      <c r="B106" s="17">
        <f>IF($D106="","","MD"&amp;TEXT(ROW()-5,"000"))</f>
        <v/>
      </c>
      <c r="C106" s="18" t="n"/>
      <c r="D106" s="16" t="n"/>
      <c r="E106" s="17">
        <f>IF($D106="","",IFERROR(INDEX(rngCadetPIDs,MATCH($D106,rngCadetNames,0)),"?"))</f>
        <v/>
      </c>
      <c r="F106" s="16" t="n"/>
      <c r="G106" s="16" t="n"/>
      <c r="H106" s="16" t="n"/>
      <c r="I106" s="18" t="n"/>
      <c r="J106" s="18" t="n"/>
      <c r="K106" s="18" t="n"/>
      <c r="L106" s="16" t="n"/>
      <c r="M106" s="17">
        <f>IF($D106="","",IF($K106&lt;&gt;"","Cleared "&amp;TEXT($K106,"mm/dd"),IF($H106="Yes",IF(AND($J106&lt;&gt;"",$J106&lt;TODAY()),"RESTRICTION EXPIRED","ACTIVE RESTRICTION"),"Documented")))</f>
        <v/>
      </c>
      <c r="N106" s="16" t="n"/>
    </row>
    <row r="107">
      <c r="B107" s="17">
        <f>IF($D107="","","MD"&amp;TEXT(ROW()-5,"000"))</f>
        <v/>
      </c>
      <c r="C107" s="18" t="n"/>
      <c r="D107" s="16" t="n"/>
      <c r="E107" s="17">
        <f>IF($D107="","",IFERROR(INDEX(rngCadetPIDs,MATCH($D107,rngCadetNames,0)),"?"))</f>
        <v/>
      </c>
      <c r="F107" s="16" t="n"/>
      <c r="G107" s="16" t="n"/>
      <c r="H107" s="16" t="n"/>
      <c r="I107" s="18" t="n"/>
      <c r="J107" s="18" t="n"/>
      <c r="K107" s="18" t="n"/>
      <c r="L107" s="16" t="n"/>
      <c r="M107" s="17">
        <f>IF($D107="","",IF($K107&lt;&gt;"","Cleared "&amp;TEXT($K107,"mm/dd"),IF($H107="Yes",IF(AND($J107&lt;&gt;"",$J107&lt;TODAY()),"RESTRICTION EXPIRED","ACTIVE RESTRICTION"),"Documented")))</f>
        <v/>
      </c>
      <c r="N107" s="16" t="n"/>
    </row>
    <row r="108">
      <c r="B108" s="17">
        <f>IF($D108="","","MD"&amp;TEXT(ROW()-5,"000"))</f>
        <v/>
      </c>
      <c r="C108" s="18" t="n"/>
      <c r="D108" s="16" t="n"/>
      <c r="E108" s="17">
        <f>IF($D108="","",IFERROR(INDEX(rngCadetPIDs,MATCH($D108,rngCadetNames,0)),"?"))</f>
        <v/>
      </c>
      <c r="F108" s="16" t="n"/>
      <c r="G108" s="16" t="n"/>
      <c r="H108" s="16" t="n"/>
      <c r="I108" s="18" t="n"/>
      <c r="J108" s="18" t="n"/>
      <c r="K108" s="18" t="n"/>
      <c r="L108" s="16" t="n"/>
      <c r="M108" s="17">
        <f>IF($D108="","",IF($K108&lt;&gt;"","Cleared "&amp;TEXT($K108,"mm/dd"),IF($H108="Yes",IF(AND($J108&lt;&gt;"",$J108&lt;TODAY()),"RESTRICTION EXPIRED","ACTIVE RESTRICTION"),"Documented")))</f>
        <v/>
      </c>
      <c r="N108" s="16" t="n"/>
    </row>
    <row r="109">
      <c r="B109" s="17">
        <f>IF($D109="","","MD"&amp;TEXT(ROW()-5,"000"))</f>
        <v/>
      </c>
      <c r="C109" s="18" t="n"/>
      <c r="D109" s="16" t="n"/>
      <c r="E109" s="17">
        <f>IF($D109="","",IFERROR(INDEX(rngCadetPIDs,MATCH($D109,rngCadetNames,0)),"?"))</f>
        <v/>
      </c>
      <c r="F109" s="16" t="n"/>
      <c r="G109" s="16" t="n"/>
      <c r="H109" s="16" t="n"/>
      <c r="I109" s="18" t="n"/>
      <c r="J109" s="18" t="n"/>
      <c r="K109" s="18" t="n"/>
      <c r="L109" s="16" t="n"/>
      <c r="M109" s="17">
        <f>IF($D109="","",IF($K109&lt;&gt;"","Cleared "&amp;TEXT($K109,"mm/dd"),IF($H109="Yes",IF(AND($J109&lt;&gt;"",$J109&lt;TODAY()),"RESTRICTION EXPIRED","ACTIVE RESTRICTION"),"Documented")))</f>
        <v/>
      </c>
      <c r="N109" s="16" t="n"/>
    </row>
    <row r="110">
      <c r="B110" s="17">
        <f>IF($D110="","","MD"&amp;TEXT(ROW()-5,"000"))</f>
        <v/>
      </c>
      <c r="C110" s="18" t="n"/>
      <c r="D110" s="16" t="n"/>
      <c r="E110" s="17">
        <f>IF($D110="","",IFERROR(INDEX(rngCadetPIDs,MATCH($D110,rngCadetNames,0)),"?"))</f>
        <v/>
      </c>
      <c r="F110" s="16" t="n"/>
      <c r="G110" s="16" t="n"/>
      <c r="H110" s="16" t="n"/>
      <c r="I110" s="18" t="n"/>
      <c r="J110" s="18" t="n"/>
      <c r="K110" s="18" t="n"/>
      <c r="L110" s="16" t="n"/>
      <c r="M110" s="17">
        <f>IF($D110="","",IF($K110&lt;&gt;"","Cleared "&amp;TEXT($K110,"mm/dd"),IF($H110="Yes",IF(AND($J110&lt;&gt;"",$J110&lt;TODAY()),"RESTRICTION EXPIRED","ACTIVE RESTRICTION"),"Documented")))</f>
        <v/>
      </c>
      <c r="N110" s="16" t="n"/>
    </row>
    <row r="111">
      <c r="B111" s="17">
        <f>IF($D111="","","MD"&amp;TEXT(ROW()-5,"000"))</f>
        <v/>
      </c>
      <c r="C111" s="18" t="n"/>
      <c r="D111" s="16" t="n"/>
      <c r="E111" s="17">
        <f>IF($D111="","",IFERROR(INDEX(rngCadetPIDs,MATCH($D111,rngCadetNames,0)),"?"))</f>
        <v/>
      </c>
      <c r="F111" s="16" t="n"/>
      <c r="G111" s="16" t="n"/>
      <c r="H111" s="16" t="n"/>
      <c r="I111" s="18" t="n"/>
      <c r="J111" s="18" t="n"/>
      <c r="K111" s="18" t="n"/>
      <c r="L111" s="16" t="n"/>
      <c r="M111" s="17">
        <f>IF($D111="","",IF($K111&lt;&gt;"","Cleared "&amp;TEXT($K111,"mm/dd"),IF($H111="Yes",IF(AND($J111&lt;&gt;"",$J111&lt;TODAY()),"RESTRICTION EXPIRED","ACTIVE RESTRICTION"),"Documented")))</f>
        <v/>
      </c>
      <c r="N111" s="16" t="n"/>
    </row>
    <row r="112">
      <c r="B112" s="17">
        <f>IF($D112="","","MD"&amp;TEXT(ROW()-5,"000"))</f>
        <v/>
      </c>
      <c r="C112" s="18" t="n"/>
      <c r="D112" s="16" t="n"/>
      <c r="E112" s="17">
        <f>IF($D112="","",IFERROR(INDEX(rngCadetPIDs,MATCH($D112,rngCadetNames,0)),"?"))</f>
        <v/>
      </c>
      <c r="F112" s="16" t="n"/>
      <c r="G112" s="16" t="n"/>
      <c r="H112" s="16" t="n"/>
      <c r="I112" s="18" t="n"/>
      <c r="J112" s="18" t="n"/>
      <c r="K112" s="18" t="n"/>
      <c r="L112" s="16" t="n"/>
      <c r="M112" s="17">
        <f>IF($D112="","",IF($K112&lt;&gt;"","Cleared "&amp;TEXT($K112,"mm/dd"),IF($H112="Yes",IF(AND($J112&lt;&gt;"",$J112&lt;TODAY()),"RESTRICTION EXPIRED","ACTIVE RESTRICTION"),"Documented")))</f>
        <v/>
      </c>
      <c r="N112" s="16" t="n"/>
    </row>
    <row r="113">
      <c r="B113" s="17">
        <f>IF($D113="","","MD"&amp;TEXT(ROW()-5,"000"))</f>
        <v/>
      </c>
      <c r="C113" s="18" t="n"/>
      <c r="D113" s="16" t="n"/>
      <c r="E113" s="17">
        <f>IF($D113="","",IFERROR(INDEX(rngCadetPIDs,MATCH($D113,rngCadetNames,0)),"?"))</f>
        <v/>
      </c>
      <c r="F113" s="16" t="n"/>
      <c r="G113" s="16" t="n"/>
      <c r="H113" s="16" t="n"/>
      <c r="I113" s="18" t="n"/>
      <c r="J113" s="18" t="n"/>
      <c r="K113" s="18" t="n"/>
      <c r="L113" s="16" t="n"/>
      <c r="M113" s="17">
        <f>IF($D113="","",IF($K113&lt;&gt;"","Cleared "&amp;TEXT($K113,"mm/dd"),IF($H113="Yes",IF(AND($J113&lt;&gt;"",$J113&lt;TODAY()),"RESTRICTION EXPIRED","ACTIVE RESTRICTION"),"Documented")))</f>
        <v/>
      </c>
      <c r="N113" s="16" t="n"/>
    </row>
    <row r="114">
      <c r="B114" s="17">
        <f>IF($D114="","","MD"&amp;TEXT(ROW()-5,"000"))</f>
        <v/>
      </c>
      <c r="C114" s="18" t="n"/>
      <c r="D114" s="16" t="n"/>
      <c r="E114" s="17">
        <f>IF($D114="","",IFERROR(INDEX(rngCadetPIDs,MATCH($D114,rngCadetNames,0)),"?"))</f>
        <v/>
      </c>
      <c r="F114" s="16" t="n"/>
      <c r="G114" s="16" t="n"/>
      <c r="H114" s="16" t="n"/>
      <c r="I114" s="18" t="n"/>
      <c r="J114" s="18" t="n"/>
      <c r="K114" s="18" t="n"/>
      <c r="L114" s="16" t="n"/>
      <c r="M114" s="17">
        <f>IF($D114="","",IF($K114&lt;&gt;"","Cleared "&amp;TEXT($K114,"mm/dd"),IF($H114="Yes",IF(AND($J114&lt;&gt;"",$J114&lt;TODAY()),"RESTRICTION EXPIRED","ACTIVE RESTRICTION"),"Documented")))</f>
        <v/>
      </c>
      <c r="N114" s="16" t="n"/>
    </row>
    <row r="115">
      <c r="B115" s="17">
        <f>IF($D115="","","MD"&amp;TEXT(ROW()-5,"000"))</f>
        <v/>
      </c>
      <c r="C115" s="18" t="n"/>
      <c r="D115" s="16" t="n"/>
      <c r="E115" s="17">
        <f>IF($D115="","",IFERROR(INDEX(rngCadetPIDs,MATCH($D115,rngCadetNames,0)),"?"))</f>
        <v/>
      </c>
      <c r="F115" s="16" t="n"/>
      <c r="G115" s="16" t="n"/>
      <c r="H115" s="16" t="n"/>
      <c r="I115" s="18" t="n"/>
      <c r="J115" s="18" t="n"/>
      <c r="K115" s="18" t="n"/>
      <c r="L115" s="16" t="n"/>
      <c r="M115" s="17">
        <f>IF($D115="","",IF($K115&lt;&gt;"","Cleared "&amp;TEXT($K115,"mm/dd"),IF($H115="Yes",IF(AND($J115&lt;&gt;"",$J115&lt;TODAY()),"RESTRICTION EXPIRED","ACTIVE RESTRICTION"),"Documented")))</f>
        <v/>
      </c>
      <c r="N115" s="16" t="n"/>
    </row>
    <row r="116">
      <c r="B116" s="17">
        <f>IF($D116="","","MD"&amp;TEXT(ROW()-5,"000"))</f>
        <v/>
      </c>
      <c r="C116" s="18" t="n"/>
      <c r="D116" s="16" t="n"/>
      <c r="E116" s="17">
        <f>IF($D116="","",IFERROR(INDEX(rngCadetPIDs,MATCH($D116,rngCadetNames,0)),"?"))</f>
        <v/>
      </c>
      <c r="F116" s="16" t="n"/>
      <c r="G116" s="16" t="n"/>
      <c r="H116" s="16" t="n"/>
      <c r="I116" s="18" t="n"/>
      <c r="J116" s="18" t="n"/>
      <c r="K116" s="18" t="n"/>
      <c r="L116" s="16" t="n"/>
      <c r="M116" s="17">
        <f>IF($D116="","",IF($K116&lt;&gt;"","Cleared "&amp;TEXT($K116,"mm/dd"),IF($H116="Yes",IF(AND($J116&lt;&gt;"",$J116&lt;TODAY()),"RESTRICTION EXPIRED","ACTIVE RESTRICTION"),"Documented")))</f>
        <v/>
      </c>
      <c r="N116" s="16" t="n"/>
    </row>
    <row r="117">
      <c r="B117" s="17">
        <f>IF($D117="","","MD"&amp;TEXT(ROW()-5,"000"))</f>
        <v/>
      </c>
      <c r="C117" s="18" t="n"/>
      <c r="D117" s="16" t="n"/>
      <c r="E117" s="17">
        <f>IF($D117="","",IFERROR(INDEX(rngCadetPIDs,MATCH($D117,rngCadetNames,0)),"?"))</f>
        <v/>
      </c>
      <c r="F117" s="16" t="n"/>
      <c r="G117" s="16" t="n"/>
      <c r="H117" s="16" t="n"/>
      <c r="I117" s="18" t="n"/>
      <c r="J117" s="18" t="n"/>
      <c r="K117" s="18" t="n"/>
      <c r="L117" s="16" t="n"/>
      <c r="M117" s="17">
        <f>IF($D117="","",IF($K117&lt;&gt;"","Cleared "&amp;TEXT($K117,"mm/dd"),IF($H117="Yes",IF(AND($J117&lt;&gt;"",$J117&lt;TODAY()),"RESTRICTION EXPIRED","ACTIVE RESTRICTION"),"Documented")))</f>
        <v/>
      </c>
      <c r="N117" s="16" t="n"/>
    </row>
    <row r="118">
      <c r="B118" s="17">
        <f>IF($D118="","","MD"&amp;TEXT(ROW()-5,"000"))</f>
        <v/>
      </c>
      <c r="C118" s="18" t="n"/>
      <c r="D118" s="16" t="n"/>
      <c r="E118" s="17">
        <f>IF($D118="","",IFERROR(INDEX(rngCadetPIDs,MATCH($D118,rngCadetNames,0)),"?"))</f>
        <v/>
      </c>
      <c r="F118" s="16" t="n"/>
      <c r="G118" s="16" t="n"/>
      <c r="H118" s="16" t="n"/>
      <c r="I118" s="18" t="n"/>
      <c r="J118" s="18" t="n"/>
      <c r="K118" s="18" t="n"/>
      <c r="L118" s="16" t="n"/>
      <c r="M118" s="17">
        <f>IF($D118="","",IF($K118&lt;&gt;"","Cleared "&amp;TEXT($K118,"mm/dd"),IF($H118="Yes",IF(AND($J118&lt;&gt;"",$J118&lt;TODAY()),"RESTRICTION EXPIRED","ACTIVE RESTRICTION"),"Documented")))</f>
        <v/>
      </c>
      <c r="N118" s="16" t="n"/>
    </row>
    <row r="119">
      <c r="B119" s="17">
        <f>IF($D119="","","MD"&amp;TEXT(ROW()-5,"000"))</f>
        <v/>
      </c>
      <c r="C119" s="18" t="n"/>
      <c r="D119" s="16" t="n"/>
      <c r="E119" s="17">
        <f>IF($D119="","",IFERROR(INDEX(rngCadetPIDs,MATCH($D119,rngCadetNames,0)),"?"))</f>
        <v/>
      </c>
      <c r="F119" s="16" t="n"/>
      <c r="G119" s="16" t="n"/>
      <c r="H119" s="16" t="n"/>
      <c r="I119" s="18" t="n"/>
      <c r="J119" s="18" t="n"/>
      <c r="K119" s="18" t="n"/>
      <c r="L119" s="16" t="n"/>
      <c r="M119" s="17">
        <f>IF($D119="","",IF($K119&lt;&gt;"","Cleared "&amp;TEXT($K119,"mm/dd"),IF($H119="Yes",IF(AND($J119&lt;&gt;"",$J119&lt;TODAY()),"RESTRICTION EXPIRED","ACTIVE RESTRICTION"),"Documented")))</f>
        <v/>
      </c>
      <c r="N119" s="16" t="n"/>
    </row>
    <row r="120">
      <c r="B120" s="17">
        <f>IF($D120="","","MD"&amp;TEXT(ROW()-5,"000"))</f>
        <v/>
      </c>
      <c r="C120" s="18" t="n"/>
      <c r="D120" s="16" t="n"/>
      <c r="E120" s="17">
        <f>IF($D120="","",IFERROR(INDEX(rngCadetPIDs,MATCH($D120,rngCadetNames,0)),"?"))</f>
        <v/>
      </c>
      <c r="F120" s="16" t="n"/>
      <c r="G120" s="16" t="n"/>
      <c r="H120" s="16" t="n"/>
      <c r="I120" s="18" t="n"/>
      <c r="J120" s="18" t="n"/>
      <c r="K120" s="18" t="n"/>
      <c r="L120" s="16" t="n"/>
      <c r="M120" s="17">
        <f>IF($D120="","",IF($K120&lt;&gt;"","Cleared "&amp;TEXT($K120,"mm/dd"),IF($H120="Yes",IF(AND($J120&lt;&gt;"",$J120&lt;TODAY()),"RESTRICTION EXPIRED","ACTIVE RESTRICTION"),"Documented")))</f>
        <v/>
      </c>
      <c r="N120" s="16" t="n"/>
    </row>
    <row r="121">
      <c r="B121" s="17">
        <f>IF($D121="","","MD"&amp;TEXT(ROW()-5,"000"))</f>
        <v/>
      </c>
      <c r="C121" s="18" t="n"/>
      <c r="D121" s="16" t="n"/>
      <c r="E121" s="17">
        <f>IF($D121="","",IFERROR(INDEX(rngCadetPIDs,MATCH($D121,rngCadetNames,0)),"?"))</f>
        <v/>
      </c>
      <c r="F121" s="16" t="n"/>
      <c r="G121" s="16" t="n"/>
      <c r="H121" s="16" t="n"/>
      <c r="I121" s="18" t="n"/>
      <c r="J121" s="18" t="n"/>
      <c r="K121" s="18" t="n"/>
      <c r="L121" s="16" t="n"/>
      <c r="M121" s="17">
        <f>IF($D121="","",IF($K121&lt;&gt;"","Cleared "&amp;TEXT($K121,"mm/dd"),IF($H121="Yes",IF(AND($J121&lt;&gt;"",$J121&lt;TODAY()),"RESTRICTION EXPIRED","ACTIVE RESTRICTION"),"Documented")))</f>
        <v/>
      </c>
      <c r="N121" s="16" t="n"/>
    </row>
    <row r="122">
      <c r="B122" s="17">
        <f>IF($D122="","","MD"&amp;TEXT(ROW()-5,"000"))</f>
        <v/>
      </c>
      <c r="C122" s="18" t="n"/>
      <c r="D122" s="16" t="n"/>
      <c r="E122" s="17">
        <f>IF($D122="","",IFERROR(INDEX(rngCadetPIDs,MATCH($D122,rngCadetNames,0)),"?"))</f>
        <v/>
      </c>
      <c r="F122" s="16" t="n"/>
      <c r="G122" s="16" t="n"/>
      <c r="H122" s="16" t="n"/>
      <c r="I122" s="18" t="n"/>
      <c r="J122" s="18" t="n"/>
      <c r="K122" s="18" t="n"/>
      <c r="L122" s="16" t="n"/>
      <c r="M122" s="17">
        <f>IF($D122="","",IF($K122&lt;&gt;"","Cleared "&amp;TEXT($K122,"mm/dd"),IF($H122="Yes",IF(AND($J122&lt;&gt;"",$J122&lt;TODAY()),"RESTRICTION EXPIRED","ACTIVE RESTRICTION"),"Documented")))</f>
        <v/>
      </c>
      <c r="N122" s="16" t="n"/>
    </row>
    <row r="123">
      <c r="B123" s="17">
        <f>IF($D123="","","MD"&amp;TEXT(ROW()-5,"000"))</f>
        <v/>
      </c>
      <c r="C123" s="18" t="n"/>
      <c r="D123" s="16" t="n"/>
      <c r="E123" s="17">
        <f>IF($D123="","",IFERROR(INDEX(rngCadetPIDs,MATCH($D123,rngCadetNames,0)),"?"))</f>
        <v/>
      </c>
      <c r="F123" s="16" t="n"/>
      <c r="G123" s="16" t="n"/>
      <c r="H123" s="16" t="n"/>
      <c r="I123" s="18" t="n"/>
      <c r="J123" s="18" t="n"/>
      <c r="K123" s="18" t="n"/>
      <c r="L123" s="16" t="n"/>
      <c r="M123" s="17">
        <f>IF($D123="","",IF($K123&lt;&gt;"","Cleared "&amp;TEXT($K123,"mm/dd"),IF($H123="Yes",IF(AND($J123&lt;&gt;"",$J123&lt;TODAY()),"RESTRICTION EXPIRED","ACTIVE RESTRICTION"),"Documented")))</f>
        <v/>
      </c>
      <c r="N123" s="16" t="n"/>
    </row>
    <row r="124">
      <c r="B124" s="17">
        <f>IF($D124="","","MD"&amp;TEXT(ROW()-5,"000"))</f>
        <v/>
      </c>
      <c r="C124" s="18" t="n"/>
      <c r="D124" s="16" t="n"/>
      <c r="E124" s="17">
        <f>IF($D124="","",IFERROR(INDEX(rngCadetPIDs,MATCH($D124,rngCadetNames,0)),"?"))</f>
        <v/>
      </c>
      <c r="F124" s="16" t="n"/>
      <c r="G124" s="16" t="n"/>
      <c r="H124" s="16" t="n"/>
      <c r="I124" s="18" t="n"/>
      <c r="J124" s="18" t="n"/>
      <c r="K124" s="18" t="n"/>
      <c r="L124" s="16" t="n"/>
      <c r="M124" s="17">
        <f>IF($D124="","",IF($K124&lt;&gt;"","Cleared "&amp;TEXT($K124,"mm/dd"),IF($H124="Yes",IF(AND($J124&lt;&gt;"",$J124&lt;TODAY()),"RESTRICTION EXPIRED","ACTIVE RESTRICTION"),"Documented")))</f>
        <v/>
      </c>
      <c r="N124" s="16" t="n"/>
    </row>
    <row r="125">
      <c r="B125" s="17">
        <f>IF($D125="","","MD"&amp;TEXT(ROW()-5,"000"))</f>
        <v/>
      </c>
      <c r="C125" s="18" t="n"/>
      <c r="D125" s="16" t="n"/>
      <c r="E125" s="17">
        <f>IF($D125="","",IFERROR(INDEX(rngCadetPIDs,MATCH($D125,rngCadetNames,0)),"?"))</f>
        <v/>
      </c>
      <c r="F125" s="16" t="n"/>
      <c r="G125" s="16" t="n"/>
      <c r="H125" s="16" t="n"/>
      <c r="I125" s="18" t="n"/>
      <c r="J125" s="18" t="n"/>
      <c r="K125" s="18" t="n"/>
      <c r="L125" s="16" t="n"/>
      <c r="M125" s="17">
        <f>IF($D125="","",IF($K125&lt;&gt;"","Cleared "&amp;TEXT($K125,"mm/dd"),IF($H125="Yes",IF(AND($J125&lt;&gt;"",$J125&lt;TODAY()),"RESTRICTION EXPIRED","ACTIVE RESTRICTION"),"Documented")))</f>
        <v/>
      </c>
      <c r="N125" s="16" t="n"/>
    </row>
    <row r="126">
      <c r="B126" s="17">
        <f>IF($D126="","","MD"&amp;TEXT(ROW()-5,"000"))</f>
        <v/>
      </c>
      <c r="C126" s="18" t="n"/>
      <c r="D126" s="16" t="n"/>
      <c r="E126" s="17">
        <f>IF($D126="","",IFERROR(INDEX(rngCadetPIDs,MATCH($D126,rngCadetNames,0)),"?"))</f>
        <v/>
      </c>
      <c r="F126" s="16" t="n"/>
      <c r="G126" s="16" t="n"/>
      <c r="H126" s="16" t="n"/>
      <c r="I126" s="18" t="n"/>
      <c r="J126" s="18" t="n"/>
      <c r="K126" s="18" t="n"/>
      <c r="L126" s="16" t="n"/>
      <c r="M126" s="17">
        <f>IF($D126="","",IF($K126&lt;&gt;"","Cleared "&amp;TEXT($K126,"mm/dd"),IF($H126="Yes",IF(AND($J126&lt;&gt;"",$J126&lt;TODAY()),"RESTRICTION EXPIRED","ACTIVE RESTRICTION"),"Documented")))</f>
        <v/>
      </c>
      <c r="N126" s="16" t="n"/>
    </row>
    <row r="127">
      <c r="B127" s="17">
        <f>IF($D127="","","MD"&amp;TEXT(ROW()-5,"000"))</f>
        <v/>
      </c>
      <c r="C127" s="18" t="n"/>
      <c r="D127" s="16" t="n"/>
      <c r="E127" s="17">
        <f>IF($D127="","",IFERROR(INDEX(rngCadetPIDs,MATCH($D127,rngCadetNames,0)),"?"))</f>
        <v/>
      </c>
      <c r="F127" s="16" t="n"/>
      <c r="G127" s="16" t="n"/>
      <c r="H127" s="16" t="n"/>
      <c r="I127" s="18" t="n"/>
      <c r="J127" s="18" t="n"/>
      <c r="K127" s="18" t="n"/>
      <c r="L127" s="16" t="n"/>
      <c r="M127" s="17">
        <f>IF($D127="","",IF($K127&lt;&gt;"","Cleared "&amp;TEXT($K127,"mm/dd"),IF($H127="Yes",IF(AND($J127&lt;&gt;"",$J127&lt;TODAY()),"RESTRICTION EXPIRED","ACTIVE RESTRICTION"),"Documented")))</f>
        <v/>
      </c>
      <c r="N127" s="16" t="n"/>
    </row>
    <row r="128">
      <c r="B128" s="17">
        <f>IF($D128="","","MD"&amp;TEXT(ROW()-5,"000"))</f>
        <v/>
      </c>
      <c r="C128" s="18" t="n"/>
      <c r="D128" s="16" t="n"/>
      <c r="E128" s="17">
        <f>IF($D128="","",IFERROR(INDEX(rngCadetPIDs,MATCH($D128,rngCadetNames,0)),"?"))</f>
        <v/>
      </c>
      <c r="F128" s="16" t="n"/>
      <c r="G128" s="16" t="n"/>
      <c r="H128" s="16" t="n"/>
      <c r="I128" s="18" t="n"/>
      <c r="J128" s="18" t="n"/>
      <c r="K128" s="18" t="n"/>
      <c r="L128" s="16" t="n"/>
      <c r="M128" s="17">
        <f>IF($D128="","",IF($K128&lt;&gt;"","Cleared "&amp;TEXT($K128,"mm/dd"),IF($H128="Yes",IF(AND($J128&lt;&gt;"",$J128&lt;TODAY()),"RESTRICTION EXPIRED","ACTIVE RESTRICTION"),"Documented")))</f>
        <v/>
      </c>
      <c r="N128" s="16" t="n"/>
    </row>
    <row r="129">
      <c r="B129" s="17">
        <f>IF($D129="","","MD"&amp;TEXT(ROW()-5,"000"))</f>
        <v/>
      </c>
      <c r="C129" s="18" t="n"/>
      <c r="D129" s="16" t="n"/>
      <c r="E129" s="17">
        <f>IF($D129="","",IFERROR(INDEX(rngCadetPIDs,MATCH($D129,rngCadetNames,0)),"?"))</f>
        <v/>
      </c>
      <c r="F129" s="16" t="n"/>
      <c r="G129" s="16" t="n"/>
      <c r="H129" s="16" t="n"/>
      <c r="I129" s="18" t="n"/>
      <c r="J129" s="18" t="n"/>
      <c r="K129" s="18" t="n"/>
      <c r="L129" s="16" t="n"/>
      <c r="M129" s="17">
        <f>IF($D129="","",IF($K129&lt;&gt;"","Cleared "&amp;TEXT($K129,"mm/dd"),IF($H129="Yes",IF(AND($J129&lt;&gt;"",$J129&lt;TODAY()),"RESTRICTION EXPIRED","ACTIVE RESTRICTION"),"Documented")))</f>
        <v/>
      </c>
      <c r="N129" s="16" t="n"/>
    </row>
    <row r="130">
      <c r="B130" s="17">
        <f>IF($D130="","","MD"&amp;TEXT(ROW()-5,"000"))</f>
        <v/>
      </c>
      <c r="C130" s="18" t="n"/>
      <c r="D130" s="16" t="n"/>
      <c r="E130" s="17">
        <f>IF($D130="","",IFERROR(INDEX(rngCadetPIDs,MATCH($D130,rngCadetNames,0)),"?"))</f>
        <v/>
      </c>
      <c r="F130" s="16" t="n"/>
      <c r="G130" s="16" t="n"/>
      <c r="H130" s="16" t="n"/>
      <c r="I130" s="18" t="n"/>
      <c r="J130" s="18" t="n"/>
      <c r="K130" s="18" t="n"/>
      <c r="L130" s="16" t="n"/>
      <c r="M130" s="17">
        <f>IF($D130="","",IF($K130&lt;&gt;"","Cleared "&amp;TEXT($K130,"mm/dd"),IF($H130="Yes",IF(AND($J130&lt;&gt;"",$J130&lt;TODAY()),"RESTRICTION EXPIRED","ACTIVE RESTRICTION"),"Documented")))</f>
        <v/>
      </c>
      <c r="N130" s="16" t="n"/>
    </row>
    <row r="131">
      <c r="B131" s="17">
        <f>IF($D131="","","MD"&amp;TEXT(ROW()-5,"000"))</f>
        <v/>
      </c>
      <c r="C131" s="18" t="n"/>
      <c r="D131" s="16" t="n"/>
      <c r="E131" s="17">
        <f>IF($D131="","",IFERROR(INDEX(rngCadetPIDs,MATCH($D131,rngCadetNames,0)),"?"))</f>
        <v/>
      </c>
      <c r="F131" s="16" t="n"/>
      <c r="G131" s="16" t="n"/>
      <c r="H131" s="16" t="n"/>
      <c r="I131" s="18" t="n"/>
      <c r="J131" s="18" t="n"/>
      <c r="K131" s="18" t="n"/>
      <c r="L131" s="16" t="n"/>
      <c r="M131" s="17">
        <f>IF($D131="","",IF($K131&lt;&gt;"","Cleared "&amp;TEXT($K131,"mm/dd"),IF($H131="Yes",IF(AND($J131&lt;&gt;"",$J131&lt;TODAY()),"RESTRICTION EXPIRED","ACTIVE RESTRICTION"),"Documented")))</f>
        <v/>
      </c>
      <c r="N131" s="16" t="n"/>
    </row>
    <row r="132">
      <c r="B132" s="17">
        <f>IF($D132="","","MD"&amp;TEXT(ROW()-5,"000"))</f>
        <v/>
      </c>
      <c r="C132" s="18" t="n"/>
      <c r="D132" s="16" t="n"/>
      <c r="E132" s="17">
        <f>IF($D132="","",IFERROR(INDEX(rngCadetPIDs,MATCH($D132,rngCadetNames,0)),"?"))</f>
        <v/>
      </c>
      <c r="F132" s="16" t="n"/>
      <c r="G132" s="16" t="n"/>
      <c r="H132" s="16" t="n"/>
      <c r="I132" s="18" t="n"/>
      <c r="J132" s="18" t="n"/>
      <c r="K132" s="18" t="n"/>
      <c r="L132" s="16" t="n"/>
      <c r="M132" s="17">
        <f>IF($D132="","",IF($K132&lt;&gt;"","Cleared "&amp;TEXT($K132,"mm/dd"),IF($H132="Yes",IF(AND($J132&lt;&gt;"",$J132&lt;TODAY()),"RESTRICTION EXPIRED","ACTIVE RESTRICTION"),"Documented")))</f>
        <v/>
      </c>
      <c r="N132" s="16" t="n"/>
    </row>
    <row r="133">
      <c r="B133" s="17">
        <f>IF($D133="","","MD"&amp;TEXT(ROW()-5,"000"))</f>
        <v/>
      </c>
      <c r="C133" s="18" t="n"/>
      <c r="D133" s="16" t="n"/>
      <c r="E133" s="17">
        <f>IF($D133="","",IFERROR(INDEX(rngCadetPIDs,MATCH($D133,rngCadetNames,0)),"?"))</f>
        <v/>
      </c>
      <c r="F133" s="16" t="n"/>
      <c r="G133" s="16" t="n"/>
      <c r="H133" s="16" t="n"/>
      <c r="I133" s="18" t="n"/>
      <c r="J133" s="18" t="n"/>
      <c r="K133" s="18" t="n"/>
      <c r="L133" s="16" t="n"/>
      <c r="M133" s="17">
        <f>IF($D133="","",IF($K133&lt;&gt;"","Cleared "&amp;TEXT($K133,"mm/dd"),IF($H133="Yes",IF(AND($J133&lt;&gt;"",$J133&lt;TODAY()),"RESTRICTION EXPIRED","ACTIVE RESTRICTION"),"Documented")))</f>
        <v/>
      </c>
      <c r="N133" s="16" t="n"/>
    </row>
    <row r="134">
      <c r="B134" s="17">
        <f>IF($D134="","","MD"&amp;TEXT(ROW()-5,"000"))</f>
        <v/>
      </c>
      <c r="C134" s="18" t="n"/>
      <c r="D134" s="16" t="n"/>
      <c r="E134" s="17">
        <f>IF($D134="","",IFERROR(INDEX(rngCadetPIDs,MATCH($D134,rngCadetNames,0)),"?"))</f>
        <v/>
      </c>
      <c r="F134" s="16" t="n"/>
      <c r="G134" s="16" t="n"/>
      <c r="H134" s="16" t="n"/>
      <c r="I134" s="18" t="n"/>
      <c r="J134" s="18" t="n"/>
      <c r="K134" s="18" t="n"/>
      <c r="L134" s="16" t="n"/>
      <c r="M134" s="17">
        <f>IF($D134="","",IF($K134&lt;&gt;"","Cleared "&amp;TEXT($K134,"mm/dd"),IF($H134="Yes",IF(AND($J134&lt;&gt;"",$J134&lt;TODAY()),"RESTRICTION EXPIRED","ACTIVE RESTRICTION"),"Documented")))</f>
        <v/>
      </c>
      <c r="N134" s="16" t="n"/>
    </row>
    <row r="135">
      <c r="B135" s="17">
        <f>IF($D135="","","MD"&amp;TEXT(ROW()-5,"000"))</f>
        <v/>
      </c>
      <c r="C135" s="18" t="n"/>
      <c r="D135" s="16" t="n"/>
      <c r="E135" s="17">
        <f>IF($D135="","",IFERROR(INDEX(rngCadetPIDs,MATCH($D135,rngCadetNames,0)),"?"))</f>
        <v/>
      </c>
      <c r="F135" s="16" t="n"/>
      <c r="G135" s="16" t="n"/>
      <c r="H135" s="16" t="n"/>
      <c r="I135" s="18" t="n"/>
      <c r="J135" s="18" t="n"/>
      <c r="K135" s="18" t="n"/>
      <c r="L135" s="16" t="n"/>
      <c r="M135" s="17">
        <f>IF($D135="","",IF($K135&lt;&gt;"","Cleared "&amp;TEXT($K135,"mm/dd"),IF($H135="Yes",IF(AND($J135&lt;&gt;"",$J135&lt;TODAY()),"RESTRICTION EXPIRED","ACTIVE RESTRICTION"),"Documented")))</f>
        <v/>
      </c>
      <c r="N135" s="16" t="n"/>
    </row>
    <row r="136">
      <c r="B136" s="17">
        <f>IF($D136="","","MD"&amp;TEXT(ROW()-5,"000"))</f>
        <v/>
      </c>
      <c r="C136" s="18" t="n"/>
      <c r="D136" s="16" t="n"/>
      <c r="E136" s="17">
        <f>IF($D136="","",IFERROR(INDEX(rngCadetPIDs,MATCH($D136,rngCadetNames,0)),"?"))</f>
        <v/>
      </c>
      <c r="F136" s="16" t="n"/>
      <c r="G136" s="16" t="n"/>
      <c r="H136" s="16" t="n"/>
      <c r="I136" s="18" t="n"/>
      <c r="J136" s="18" t="n"/>
      <c r="K136" s="18" t="n"/>
      <c r="L136" s="16" t="n"/>
      <c r="M136" s="17">
        <f>IF($D136="","",IF($K136&lt;&gt;"","Cleared "&amp;TEXT($K136,"mm/dd"),IF($H136="Yes",IF(AND($J136&lt;&gt;"",$J136&lt;TODAY()),"RESTRICTION EXPIRED","ACTIVE RESTRICTION"),"Documented")))</f>
        <v/>
      </c>
      <c r="N136" s="16" t="n"/>
    </row>
    <row r="137">
      <c r="B137" s="17">
        <f>IF($D137="","","MD"&amp;TEXT(ROW()-5,"000"))</f>
        <v/>
      </c>
      <c r="C137" s="18" t="n"/>
      <c r="D137" s="16" t="n"/>
      <c r="E137" s="17">
        <f>IF($D137="","",IFERROR(INDEX(rngCadetPIDs,MATCH($D137,rngCadetNames,0)),"?"))</f>
        <v/>
      </c>
      <c r="F137" s="16" t="n"/>
      <c r="G137" s="16" t="n"/>
      <c r="H137" s="16" t="n"/>
      <c r="I137" s="18" t="n"/>
      <c r="J137" s="18" t="n"/>
      <c r="K137" s="18" t="n"/>
      <c r="L137" s="16" t="n"/>
      <c r="M137" s="17">
        <f>IF($D137="","",IF($K137&lt;&gt;"","Cleared "&amp;TEXT($K137,"mm/dd"),IF($H137="Yes",IF(AND($J137&lt;&gt;"",$J137&lt;TODAY()),"RESTRICTION EXPIRED","ACTIVE RESTRICTION"),"Documented")))</f>
        <v/>
      </c>
      <c r="N137" s="16" t="n"/>
    </row>
    <row r="138">
      <c r="B138" s="17">
        <f>IF($D138="","","MD"&amp;TEXT(ROW()-5,"000"))</f>
        <v/>
      </c>
      <c r="C138" s="18" t="n"/>
      <c r="D138" s="16" t="n"/>
      <c r="E138" s="17">
        <f>IF($D138="","",IFERROR(INDEX(rngCadetPIDs,MATCH($D138,rngCadetNames,0)),"?"))</f>
        <v/>
      </c>
      <c r="F138" s="16" t="n"/>
      <c r="G138" s="16" t="n"/>
      <c r="H138" s="16" t="n"/>
      <c r="I138" s="18" t="n"/>
      <c r="J138" s="18" t="n"/>
      <c r="K138" s="18" t="n"/>
      <c r="L138" s="16" t="n"/>
      <c r="M138" s="17">
        <f>IF($D138="","",IF($K138&lt;&gt;"","Cleared "&amp;TEXT($K138,"mm/dd"),IF($H138="Yes",IF(AND($J138&lt;&gt;"",$J138&lt;TODAY()),"RESTRICTION EXPIRED","ACTIVE RESTRICTION"),"Documented")))</f>
        <v/>
      </c>
      <c r="N138" s="16" t="n"/>
    </row>
    <row r="139">
      <c r="B139" s="17">
        <f>IF($D139="","","MD"&amp;TEXT(ROW()-5,"000"))</f>
        <v/>
      </c>
      <c r="C139" s="18" t="n"/>
      <c r="D139" s="16" t="n"/>
      <c r="E139" s="17">
        <f>IF($D139="","",IFERROR(INDEX(rngCadetPIDs,MATCH($D139,rngCadetNames,0)),"?"))</f>
        <v/>
      </c>
      <c r="F139" s="16" t="n"/>
      <c r="G139" s="16" t="n"/>
      <c r="H139" s="16" t="n"/>
      <c r="I139" s="18" t="n"/>
      <c r="J139" s="18" t="n"/>
      <c r="K139" s="18" t="n"/>
      <c r="L139" s="16" t="n"/>
      <c r="M139" s="17">
        <f>IF($D139="","",IF($K139&lt;&gt;"","Cleared "&amp;TEXT($K139,"mm/dd"),IF($H139="Yes",IF(AND($J139&lt;&gt;"",$J139&lt;TODAY()),"RESTRICTION EXPIRED","ACTIVE RESTRICTION"),"Documented")))</f>
        <v/>
      </c>
      <c r="N139" s="16" t="n"/>
    </row>
    <row r="140">
      <c r="B140" s="17">
        <f>IF($D140="","","MD"&amp;TEXT(ROW()-5,"000"))</f>
        <v/>
      </c>
      <c r="C140" s="18" t="n"/>
      <c r="D140" s="16" t="n"/>
      <c r="E140" s="17">
        <f>IF($D140="","",IFERROR(INDEX(rngCadetPIDs,MATCH($D140,rngCadetNames,0)),"?"))</f>
        <v/>
      </c>
      <c r="F140" s="16" t="n"/>
      <c r="G140" s="16" t="n"/>
      <c r="H140" s="16" t="n"/>
      <c r="I140" s="18" t="n"/>
      <c r="J140" s="18" t="n"/>
      <c r="K140" s="18" t="n"/>
      <c r="L140" s="16" t="n"/>
      <c r="M140" s="17">
        <f>IF($D140="","",IF($K140&lt;&gt;"","Cleared "&amp;TEXT($K140,"mm/dd"),IF($H140="Yes",IF(AND($J140&lt;&gt;"",$J140&lt;TODAY()),"RESTRICTION EXPIRED","ACTIVE RESTRICTION"),"Documented")))</f>
        <v/>
      </c>
      <c r="N140" s="16" t="n"/>
    </row>
    <row r="141">
      <c r="B141" s="17">
        <f>IF($D141="","","MD"&amp;TEXT(ROW()-5,"000"))</f>
        <v/>
      </c>
      <c r="C141" s="18" t="n"/>
      <c r="D141" s="16" t="n"/>
      <c r="E141" s="17">
        <f>IF($D141="","",IFERROR(INDEX(rngCadetPIDs,MATCH($D141,rngCadetNames,0)),"?"))</f>
        <v/>
      </c>
      <c r="F141" s="16" t="n"/>
      <c r="G141" s="16" t="n"/>
      <c r="H141" s="16" t="n"/>
      <c r="I141" s="18" t="n"/>
      <c r="J141" s="18" t="n"/>
      <c r="K141" s="18" t="n"/>
      <c r="L141" s="16" t="n"/>
      <c r="M141" s="17">
        <f>IF($D141="","",IF($K141&lt;&gt;"","Cleared "&amp;TEXT($K141,"mm/dd"),IF($H141="Yes",IF(AND($J141&lt;&gt;"",$J141&lt;TODAY()),"RESTRICTION EXPIRED","ACTIVE RESTRICTION"),"Documented")))</f>
        <v/>
      </c>
      <c r="N141" s="16" t="n"/>
    </row>
    <row r="142">
      <c r="B142" s="17">
        <f>IF($D142="","","MD"&amp;TEXT(ROW()-5,"000"))</f>
        <v/>
      </c>
      <c r="C142" s="18" t="n"/>
      <c r="D142" s="16" t="n"/>
      <c r="E142" s="17">
        <f>IF($D142="","",IFERROR(INDEX(rngCadetPIDs,MATCH($D142,rngCadetNames,0)),"?"))</f>
        <v/>
      </c>
      <c r="F142" s="16" t="n"/>
      <c r="G142" s="16" t="n"/>
      <c r="H142" s="16" t="n"/>
      <c r="I142" s="18" t="n"/>
      <c r="J142" s="18" t="n"/>
      <c r="K142" s="18" t="n"/>
      <c r="L142" s="16" t="n"/>
      <c r="M142" s="17">
        <f>IF($D142="","",IF($K142&lt;&gt;"","Cleared "&amp;TEXT($K142,"mm/dd"),IF($H142="Yes",IF(AND($J142&lt;&gt;"",$J142&lt;TODAY()),"RESTRICTION EXPIRED","ACTIVE RESTRICTION"),"Documented")))</f>
        <v/>
      </c>
      <c r="N142" s="16" t="n"/>
    </row>
    <row r="143">
      <c r="B143" s="17">
        <f>IF($D143="","","MD"&amp;TEXT(ROW()-5,"000"))</f>
        <v/>
      </c>
      <c r="C143" s="18" t="n"/>
      <c r="D143" s="16" t="n"/>
      <c r="E143" s="17">
        <f>IF($D143="","",IFERROR(INDEX(rngCadetPIDs,MATCH($D143,rngCadetNames,0)),"?"))</f>
        <v/>
      </c>
      <c r="F143" s="16" t="n"/>
      <c r="G143" s="16" t="n"/>
      <c r="H143" s="16" t="n"/>
      <c r="I143" s="18" t="n"/>
      <c r="J143" s="18" t="n"/>
      <c r="K143" s="18" t="n"/>
      <c r="L143" s="16" t="n"/>
      <c r="M143" s="17">
        <f>IF($D143="","",IF($K143&lt;&gt;"","Cleared "&amp;TEXT($K143,"mm/dd"),IF($H143="Yes",IF(AND($J143&lt;&gt;"",$J143&lt;TODAY()),"RESTRICTION EXPIRED","ACTIVE RESTRICTION"),"Documented")))</f>
        <v/>
      </c>
      <c r="N143" s="16" t="n"/>
    </row>
    <row r="144">
      <c r="B144" s="17">
        <f>IF($D144="","","MD"&amp;TEXT(ROW()-5,"000"))</f>
        <v/>
      </c>
      <c r="C144" s="18" t="n"/>
      <c r="D144" s="16" t="n"/>
      <c r="E144" s="17">
        <f>IF($D144="","",IFERROR(INDEX(rngCadetPIDs,MATCH($D144,rngCadetNames,0)),"?"))</f>
        <v/>
      </c>
      <c r="F144" s="16" t="n"/>
      <c r="G144" s="16" t="n"/>
      <c r="H144" s="16" t="n"/>
      <c r="I144" s="18" t="n"/>
      <c r="J144" s="18" t="n"/>
      <c r="K144" s="18" t="n"/>
      <c r="L144" s="16" t="n"/>
      <c r="M144" s="17">
        <f>IF($D144="","",IF($K144&lt;&gt;"","Cleared "&amp;TEXT($K144,"mm/dd"),IF($H144="Yes",IF(AND($J144&lt;&gt;"",$J144&lt;TODAY()),"RESTRICTION EXPIRED","ACTIVE RESTRICTION"),"Documented")))</f>
        <v/>
      </c>
      <c r="N144" s="16" t="n"/>
    </row>
    <row r="145">
      <c r="B145" s="17">
        <f>IF($D145="","","MD"&amp;TEXT(ROW()-5,"000"))</f>
        <v/>
      </c>
      <c r="C145" s="18" t="n"/>
      <c r="D145" s="16" t="n"/>
      <c r="E145" s="17">
        <f>IF($D145="","",IFERROR(INDEX(rngCadetPIDs,MATCH($D145,rngCadetNames,0)),"?"))</f>
        <v/>
      </c>
      <c r="F145" s="16" t="n"/>
      <c r="G145" s="16" t="n"/>
      <c r="H145" s="16" t="n"/>
      <c r="I145" s="18" t="n"/>
      <c r="J145" s="18" t="n"/>
      <c r="K145" s="18" t="n"/>
      <c r="L145" s="16" t="n"/>
      <c r="M145" s="17">
        <f>IF($D145="","",IF($K145&lt;&gt;"","Cleared "&amp;TEXT($K145,"mm/dd"),IF($H145="Yes",IF(AND($J145&lt;&gt;"",$J145&lt;TODAY()),"RESTRICTION EXPIRED","ACTIVE RESTRICTION"),"Documented")))</f>
        <v/>
      </c>
      <c r="N145" s="16" t="n"/>
    </row>
    <row r="146">
      <c r="B146" s="17">
        <f>IF($D146="","","MD"&amp;TEXT(ROW()-5,"000"))</f>
        <v/>
      </c>
      <c r="C146" s="18" t="n"/>
      <c r="D146" s="16" t="n"/>
      <c r="E146" s="17">
        <f>IF($D146="","",IFERROR(INDEX(rngCadetPIDs,MATCH($D146,rngCadetNames,0)),"?"))</f>
        <v/>
      </c>
      <c r="F146" s="16" t="n"/>
      <c r="G146" s="16" t="n"/>
      <c r="H146" s="16" t="n"/>
      <c r="I146" s="18" t="n"/>
      <c r="J146" s="18" t="n"/>
      <c r="K146" s="18" t="n"/>
      <c r="L146" s="16" t="n"/>
      <c r="M146" s="17">
        <f>IF($D146="","",IF($K146&lt;&gt;"","Cleared "&amp;TEXT($K146,"mm/dd"),IF($H146="Yes",IF(AND($J146&lt;&gt;"",$J146&lt;TODAY()),"RESTRICTION EXPIRED","ACTIVE RESTRICTION"),"Documented")))</f>
        <v/>
      </c>
      <c r="N146" s="16" t="n"/>
    </row>
    <row r="147">
      <c r="B147" s="17">
        <f>IF($D147="","","MD"&amp;TEXT(ROW()-5,"000"))</f>
        <v/>
      </c>
      <c r="C147" s="18" t="n"/>
      <c r="D147" s="16" t="n"/>
      <c r="E147" s="17">
        <f>IF($D147="","",IFERROR(INDEX(rngCadetPIDs,MATCH($D147,rngCadetNames,0)),"?"))</f>
        <v/>
      </c>
      <c r="F147" s="16" t="n"/>
      <c r="G147" s="16" t="n"/>
      <c r="H147" s="16" t="n"/>
      <c r="I147" s="18" t="n"/>
      <c r="J147" s="18" t="n"/>
      <c r="K147" s="18" t="n"/>
      <c r="L147" s="16" t="n"/>
      <c r="M147" s="17">
        <f>IF($D147="","",IF($K147&lt;&gt;"","Cleared "&amp;TEXT($K147,"mm/dd"),IF($H147="Yes",IF(AND($J147&lt;&gt;"",$J147&lt;TODAY()),"RESTRICTION EXPIRED","ACTIVE RESTRICTION"),"Documented")))</f>
        <v/>
      </c>
      <c r="N147" s="16" t="n"/>
    </row>
    <row r="148">
      <c r="B148" s="17">
        <f>IF($D148="","","MD"&amp;TEXT(ROW()-5,"000"))</f>
        <v/>
      </c>
      <c r="C148" s="18" t="n"/>
      <c r="D148" s="16" t="n"/>
      <c r="E148" s="17">
        <f>IF($D148="","",IFERROR(INDEX(rngCadetPIDs,MATCH($D148,rngCadetNames,0)),"?"))</f>
        <v/>
      </c>
      <c r="F148" s="16" t="n"/>
      <c r="G148" s="16" t="n"/>
      <c r="H148" s="16" t="n"/>
      <c r="I148" s="18" t="n"/>
      <c r="J148" s="18" t="n"/>
      <c r="K148" s="18" t="n"/>
      <c r="L148" s="16" t="n"/>
      <c r="M148" s="17">
        <f>IF($D148="","",IF($K148&lt;&gt;"","Cleared "&amp;TEXT($K148,"mm/dd"),IF($H148="Yes",IF(AND($J148&lt;&gt;"",$J148&lt;TODAY()),"RESTRICTION EXPIRED","ACTIVE RESTRICTION"),"Documented")))</f>
        <v/>
      </c>
      <c r="N148" s="16" t="n"/>
    </row>
    <row r="149">
      <c r="B149" s="17">
        <f>IF($D149="","","MD"&amp;TEXT(ROW()-5,"000"))</f>
        <v/>
      </c>
      <c r="C149" s="18" t="n"/>
      <c r="D149" s="16" t="n"/>
      <c r="E149" s="17">
        <f>IF($D149="","",IFERROR(INDEX(rngCadetPIDs,MATCH($D149,rngCadetNames,0)),"?"))</f>
        <v/>
      </c>
      <c r="F149" s="16" t="n"/>
      <c r="G149" s="16" t="n"/>
      <c r="H149" s="16" t="n"/>
      <c r="I149" s="18" t="n"/>
      <c r="J149" s="18" t="n"/>
      <c r="K149" s="18" t="n"/>
      <c r="L149" s="16" t="n"/>
      <c r="M149" s="17">
        <f>IF($D149="","",IF($K149&lt;&gt;"","Cleared "&amp;TEXT($K149,"mm/dd"),IF($H149="Yes",IF(AND($J149&lt;&gt;"",$J149&lt;TODAY()),"RESTRICTION EXPIRED","ACTIVE RESTRICTION"),"Documented")))</f>
        <v/>
      </c>
      <c r="N149" s="16" t="n"/>
    </row>
    <row r="150">
      <c r="B150" s="17">
        <f>IF($D150="","","MD"&amp;TEXT(ROW()-5,"000"))</f>
        <v/>
      </c>
      <c r="C150" s="18" t="n"/>
      <c r="D150" s="16" t="n"/>
      <c r="E150" s="17">
        <f>IF($D150="","",IFERROR(INDEX(rngCadetPIDs,MATCH($D150,rngCadetNames,0)),"?"))</f>
        <v/>
      </c>
      <c r="F150" s="16" t="n"/>
      <c r="G150" s="16" t="n"/>
      <c r="H150" s="16" t="n"/>
      <c r="I150" s="18" t="n"/>
      <c r="J150" s="18" t="n"/>
      <c r="K150" s="18" t="n"/>
      <c r="L150" s="16" t="n"/>
      <c r="M150" s="17">
        <f>IF($D150="","",IF($K150&lt;&gt;"","Cleared "&amp;TEXT($K150,"mm/dd"),IF($H150="Yes",IF(AND($J150&lt;&gt;"",$J150&lt;TODAY()),"RESTRICTION EXPIRED","ACTIVE RESTRICTION"),"Documented")))</f>
        <v/>
      </c>
      <c r="N150" s="16" t="n"/>
    </row>
    <row r="151">
      <c r="B151" s="17">
        <f>IF($D151="","","MD"&amp;TEXT(ROW()-5,"000"))</f>
        <v/>
      </c>
      <c r="C151" s="18" t="n"/>
      <c r="D151" s="16" t="n"/>
      <c r="E151" s="17">
        <f>IF($D151="","",IFERROR(INDEX(rngCadetPIDs,MATCH($D151,rngCadetNames,0)),"?"))</f>
        <v/>
      </c>
      <c r="F151" s="16" t="n"/>
      <c r="G151" s="16" t="n"/>
      <c r="H151" s="16" t="n"/>
      <c r="I151" s="18" t="n"/>
      <c r="J151" s="18" t="n"/>
      <c r="K151" s="18" t="n"/>
      <c r="L151" s="16" t="n"/>
      <c r="M151" s="17">
        <f>IF($D151="","",IF($K151&lt;&gt;"","Cleared "&amp;TEXT($K151,"mm/dd"),IF($H151="Yes",IF(AND($J151&lt;&gt;"",$J151&lt;TODAY()),"RESTRICTION EXPIRED","ACTIVE RESTRICTION"),"Documented")))</f>
        <v/>
      </c>
      <c r="N151" s="16" t="n"/>
    </row>
    <row r="152">
      <c r="B152" s="17">
        <f>IF($D152="","","MD"&amp;TEXT(ROW()-5,"000"))</f>
        <v/>
      </c>
      <c r="C152" s="18" t="n"/>
      <c r="D152" s="16" t="n"/>
      <c r="E152" s="17">
        <f>IF($D152="","",IFERROR(INDEX(rngCadetPIDs,MATCH($D152,rngCadetNames,0)),"?"))</f>
        <v/>
      </c>
      <c r="F152" s="16" t="n"/>
      <c r="G152" s="16" t="n"/>
      <c r="H152" s="16" t="n"/>
      <c r="I152" s="18" t="n"/>
      <c r="J152" s="18" t="n"/>
      <c r="K152" s="18" t="n"/>
      <c r="L152" s="16" t="n"/>
      <c r="M152" s="17">
        <f>IF($D152="","",IF($K152&lt;&gt;"","Cleared "&amp;TEXT($K152,"mm/dd"),IF($H152="Yes",IF(AND($J152&lt;&gt;"",$J152&lt;TODAY()),"RESTRICTION EXPIRED","ACTIVE RESTRICTION"),"Documented")))</f>
        <v/>
      </c>
      <c r="N152" s="16" t="n"/>
    </row>
    <row r="153">
      <c r="B153" s="17">
        <f>IF($D153="","","MD"&amp;TEXT(ROW()-5,"000"))</f>
        <v/>
      </c>
      <c r="C153" s="18" t="n"/>
      <c r="D153" s="16" t="n"/>
      <c r="E153" s="17">
        <f>IF($D153="","",IFERROR(INDEX(rngCadetPIDs,MATCH($D153,rngCadetNames,0)),"?"))</f>
        <v/>
      </c>
      <c r="F153" s="16" t="n"/>
      <c r="G153" s="16" t="n"/>
      <c r="H153" s="16" t="n"/>
      <c r="I153" s="18" t="n"/>
      <c r="J153" s="18" t="n"/>
      <c r="K153" s="18" t="n"/>
      <c r="L153" s="16" t="n"/>
      <c r="M153" s="17">
        <f>IF($D153="","",IF($K153&lt;&gt;"","Cleared "&amp;TEXT($K153,"mm/dd"),IF($H153="Yes",IF(AND($J153&lt;&gt;"",$J153&lt;TODAY()),"RESTRICTION EXPIRED","ACTIVE RESTRICTION"),"Documented")))</f>
        <v/>
      </c>
      <c r="N153" s="16" t="n"/>
    </row>
    <row r="154">
      <c r="B154" s="17">
        <f>IF($D154="","","MD"&amp;TEXT(ROW()-5,"000"))</f>
        <v/>
      </c>
      <c r="C154" s="18" t="n"/>
      <c r="D154" s="16" t="n"/>
      <c r="E154" s="17">
        <f>IF($D154="","",IFERROR(INDEX(rngCadetPIDs,MATCH($D154,rngCadetNames,0)),"?"))</f>
        <v/>
      </c>
      <c r="F154" s="16" t="n"/>
      <c r="G154" s="16" t="n"/>
      <c r="H154" s="16" t="n"/>
      <c r="I154" s="18" t="n"/>
      <c r="J154" s="18" t="n"/>
      <c r="K154" s="18" t="n"/>
      <c r="L154" s="16" t="n"/>
      <c r="M154" s="17">
        <f>IF($D154="","",IF($K154&lt;&gt;"","Cleared "&amp;TEXT($K154,"mm/dd"),IF($H154="Yes",IF(AND($J154&lt;&gt;"",$J154&lt;TODAY()),"RESTRICTION EXPIRED","ACTIVE RESTRICTION"),"Documented")))</f>
        <v/>
      </c>
      <c r="N154" s="16" t="n"/>
    </row>
    <row r="155">
      <c r="B155" s="17">
        <f>IF($D155="","","MD"&amp;TEXT(ROW()-5,"000"))</f>
        <v/>
      </c>
      <c r="C155" s="18" t="n"/>
      <c r="D155" s="16" t="n"/>
      <c r="E155" s="17">
        <f>IF($D155="","",IFERROR(INDEX(rngCadetPIDs,MATCH($D155,rngCadetNames,0)),"?"))</f>
        <v/>
      </c>
      <c r="F155" s="16" t="n"/>
      <c r="G155" s="16" t="n"/>
      <c r="H155" s="16" t="n"/>
      <c r="I155" s="18" t="n"/>
      <c r="J155" s="18" t="n"/>
      <c r="K155" s="18" t="n"/>
      <c r="L155" s="16" t="n"/>
      <c r="M155" s="17">
        <f>IF($D155="","",IF($K155&lt;&gt;"","Cleared "&amp;TEXT($K155,"mm/dd"),IF($H155="Yes",IF(AND($J155&lt;&gt;"",$J155&lt;TODAY()),"RESTRICTION EXPIRED","ACTIVE RESTRICTION"),"Documented")))</f>
        <v/>
      </c>
      <c r="N155" s="16" t="n"/>
    </row>
    <row r="156">
      <c r="B156" s="17">
        <f>IF($D156="","","MD"&amp;TEXT(ROW()-5,"000"))</f>
        <v/>
      </c>
      <c r="C156" s="18" t="n"/>
      <c r="D156" s="16" t="n"/>
      <c r="E156" s="17">
        <f>IF($D156="","",IFERROR(INDEX(rngCadetPIDs,MATCH($D156,rngCadetNames,0)),"?"))</f>
        <v/>
      </c>
      <c r="F156" s="16" t="n"/>
      <c r="G156" s="16" t="n"/>
      <c r="H156" s="16" t="n"/>
      <c r="I156" s="18" t="n"/>
      <c r="J156" s="18" t="n"/>
      <c r="K156" s="18" t="n"/>
      <c r="L156" s="16" t="n"/>
      <c r="M156" s="17">
        <f>IF($D156="","",IF($K156&lt;&gt;"","Cleared "&amp;TEXT($K156,"mm/dd"),IF($H156="Yes",IF(AND($J156&lt;&gt;"",$J156&lt;TODAY()),"RESTRICTION EXPIRED","ACTIVE RESTRICTION"),"Documented")))</f>
        <v/>
      </c>
      <c r="N156" s="16" t="n"/>
    </row>
    <row r="157">
      <c r="B157" s="17">
        <f>IF($D157="","","MD"&amp;TEXT(ROW()-5,"000"))</f>
        <v/>
      </c>
      <c r="C157" s="18" t="n"/>
      <c r="D157" s="16" t="n"/>
      <c r="E157" s="17">
        <f>IF($D157="","",IFERROR(INDEX(rngCadetPIDs,MATCH($D157,rngCadetNames,0)),"?"))</f>
        <v/>
      </c>
      <c r="F157" s="16" t="n"/>
      <c r="G157" s="16" t="n"/>
      <c r="H157" s="16" t="n"/>
      <c r="I157" s="18" t="n"/>
      <c r="J157" s="18" t="n"/>
      <c r="K157" s="18" t="n"/>
      <c r="L157" s="16" t="n"/>
      <c r="M157" s="17">
        <f>IF($D157="","",IF($K157&lt;&gt;"","Cleared "&amp;TEXT($K157,"mm/dd"),IF($H157="Yes",IF(AND($J157&lt;&gt;"",$J157&lt;TODAY()),"RESTRICTION EXPIRED","ACTIVE RESTRICTION"),"Documented")))</f>
        <v/>
      </c>
      <c r="N157" s="16" t="n"/>
    </row>
    <row r="158">
      <c r="B158" s="17">
        <f>IF($D158="","","MD"&amp;TEXT(ROW()-5,"000"))</f>
        <v/>
      </c>
      <c r="C158" s="18" t="n"/>
      <c r="D158" s="16" t="n"/>
      <c r="E158" s="17">
        <f>IF($D158="","",IFERROR(INDEX(rngCadetPIDs,MATCH($D158,rngCadetNames,0)),"?"))</f>
        <v/>
      </c>
      <c r="F158" s="16" t="n"/>
      <c r="G158" s="16" t="n"/>
      <c r="H158" s="16" t="n"/>
      <c r="I158" s="18" t="n"/>
      <c r="J158" s="18" t="n"/>
      <c r="K158" s="18" t="n"/>
      <c r="L158" s="16" t="n"/>
      <c r="M158" s="17">
        <f>IF($D158="","",IF($K158&lt;&gt;"","Cleared "&amp;TEXT($K158,"mm/dd"),IF($H158="Yes",IF(AND($J158&lt;&gt;"",$J158&lt;TODAY()),"RESTRICTION EXPIRED","ACTIVE RESTRICTION"),"Documented")))</f>
        <v/>
      </c>
      <c r="N158" s="16" t="n"/>
    </row>
    <row r="159">
      <c r="B159" s="17">
        <f>IF($D159="","","MD"&amp;TEXT(ROW()-5,"000"))</f>
        <v/>
      </c>
      <c r="C159" s="18" t="n"/>
      <c r="D159" s="16" t="n"/>
      <c r="E159" s="17">
        <f>IF($D159="","",IFERROR(INDEX(rngCadetPIDs,MATCH($D159,rngCadetNames,0)),"?"))</f>
        <v/>
      </c>
      <c r="F159" s="16" t="n"/>
      <c r="G159" s="16" t="n"/>
      <c r="H159" s="16" t="n"/>
      <c r="I159" s="18" t="n"/>
      <c r="J159" s="18" t="n"/>
      <c r="K159" s="18" t="n"/>
      <c r="L159" s="16" t="n"/>
      <c r="M159" s="17">
        <f>IF($D159="","",IF($K159&lt;&gt;"","Cleared "&amp;TEXT($K159,"mm/dd"),IF($H159="Yes",IF(AND($J159&lt;&gt;"",$J159&lt;TODAY()),"RESTRICTION EXPIRED","ACTIVE RESTRICTION"),"Documented")))</f>
        <v/>
      </c>
      <c r="N159" s="16" t="n"/>
    </row>
    <row r="160">
      <c r="B160" s="17">
        <f>IF($D160="","","MD"&amp;TEXT(ROW()-5,"000"))</f>
        <v/>
      </c>
      <c r="C160" s="18" t="n"/>
      <c r="D160" s="16" t="n"/>
      <c r="E160" s="17">
        <f>IF($D160="","",IFERROR(INDEX(rngCadetPIDs,MATCH($D160,rngCadetNames,0)),"?"))</f>
        <v/>
      </c>
      <c r="F160" s="16" t="n"/>
      <c r="G160" s="16" t="n"/>
      <c r="H160" s="16" t="n"/>
      <c r="I160" s="18" t="n"/>
      <c r="J160" s="18" t="n"/>
      <c r="K160" s="18" t="n"/>
      <c r="L160" s="16" t="n"/>
      <c r="M160" s="17">
        <f>IF($D160="","",IF($K160&lt;&gt;"","Cleared "&amp;TEXT($K160,"mm/dd"),IF($H160="Yes",IF(AND($J160&lt;&gt;"",$J160&lt;TODAY()),"RESTRICTION EXPIRED","ACTIVE RESTRICTION"),"Documented")))</f>
        <v/>
      </c>
      <c r="N160" s="16" t="n"/>
    </row>
    <row r="161">
      <c r="B161" s="17">
        <f>IF($D161="","","MD"&amp;TEXT(ROW()-5,"000"))</f>
        <v/>
      </c>
      <c r="C161" s="18" t="n"/>
      <c r="D161" s="16" t="n"/>
      <c r="E161" s="17">
        <f>IF($D161="","",IFERROR(INDEX(rngCadetPIDs,MATCH($D161,rngCadetNames,0)),"?"))</f>
        <v/>
      </c>
      <c r="F161" s="16" t="n"/>
      <c r="G161" s="16" t="n"/>
      <c r="H161" s="16" t="n"/>
      <c r="I161" s="18" t="n"/>
      <c r="J161" s="18" t="n"/>
      <c r="K161" s="18" t="n"/>
      <c r="L161" s="16" t="n"/>
      <c r="M161" s="17">
        <f>IF($D161="","",IF($K161&lt;&gt;"","Cleared "&amp;TEXT($K161,"mm/dd"),IF($H161="Yes",IF(AND($J161&lt;&gt;"",$J161&lt;TODAY()),"RESTRICTION EXPIRED","ACTIVE RESTRICTION"),"Documented")))</f>
        <v/>
      </c>
      <c r="N161" s="16" t="n"/>
    </row>
    <row r="162">
      <c r="B162" s="17">
        <f>IF($D162="","","MD"&amp;TEXT(ROW()-5,"000"))</f>
        <v/>
      </c>
      <c r="C162" s="18" t="n"/>
      <c r="D162" s="16" t="n"/>
      <c r="E162" s="17">
        <f>IF($D162="","",IFERROR(INDEX(rngCadetPIDs,MATCH($D162,rngCadetNames,0)),"?"))</f>
        <v/>
      </c>
      <c r="F162" s="16" t="n"/>
      <c r="G162" s="16" t="n"/>
      <c r="H162" s="16" t="n"/>
      <c r="I162" s="18" t="n"/>
      <c r="J162" s="18" t="n"/>
      <c r="K162" s="18" t="n"/>
      <c r="L162" s="16" t="n"/>
      <c r="M162" s="17">
        <f>IF($D162="","",IF($K162&lt;&gt;"","Cleared "&amp;TEXT($K162,"mm/dd"),IF($H162="Yes",IF(AND($J162&lt;&gt;"",$J162&lt;TODAY()),"RESTRICTION EXPIRED","ACTIVE RESTRICTION"),"Documented")))</f>
        <v/>
      </c>
      <c r="N162" s="16" t="n"/>
    </row>
    <row r="163">
      <c r="B163" s="17">
        <f>IF($D163="","","MD"&amp;TEXT(ROW()-5,"000"))</f>
        <v/>
      </c>
      <c r="C163" s="18" t="n"/>
      <c r="D163" s="16" t="n"/>
      <c r="E163" s="17">
        <f>IF($D163="","",IFERROR(INDEX(rngCadetPIDs,MATCH($D163,rngCadetNames,0)),"?"))</f>
        <v/>
      </c>
      <c r="F163" s="16" t="n"/>
      <c r="G163" s="16" t="n"/>
      <c r="H163" s="16" t="n"/>
      <c r="I163" s="18" t="n"/>
      <c r="J163" s="18" t="n"/>
      <c r="K163" s="18" t="n"/>
      <c r="L163" s="16" t="n"/>
      <c r="M163" s="17">
        <f>IF($D163="","",IF($K163&lt;&gt;"","Cleared "&amp;TEXT($K163,"mm/dd"),IF($H163="Yes",IF(AND($J163&lt;&gt;"",$J163&lt;TODAY()),"RESTRICTION EXPIRED","ACTIVE RESTRICTION"),"Documented")))</f>
        <v/>
      </c>
      <c r="N163" s="16" t="n"/>
    </row>
    <row r="164">
      <c r="B164" s="17">
        <f>IF($D164="","","MD"&amp;TEXT(ROW()-5,"000"))</f>
        <v/>
      </c>
      <c r="C164" s="18" t="n"/>
      <c r="D164" s="16" t="n"/>
      <c r="E164" s="17">
        <f>IF($D164="","",IFERROR(INDEX(rngCadetPIDs,MATCH($D164,rngCadetNames,0)),"?"))</f>
        <v/>
      </c>
      <c r="F164" s="16" t="n"/>
      <c r="G164" s="16" t="n"/>
      <c r="H164" s="16" t="n"/>
      <c r="I164" s="18" t="n"/>
      <c r="J164" s="18" t="n"/>
      <c r="K164" s="18" t="n"/>
      <c r="L164" s="16" t="n"/>
      <c r="M164" s="17">
        <f>IF($D164="","",IF($K164&lt;&gt;"","Cleared "&amp;TEXT($K164,"mm/dd"),IF($H164="Yes",IF(AND($J164&lt;&gt;"",$J164&lt;TODAY()),"RESTRICTION EXPIRED","ACTIVE RESTRICTION"),"Documented")))</f>
        <v/>
      </c>
      <c r="N164" s="16" t="n"/>
    </row>
    <row r="165">
      <c r="B165" s="17">
        <f>IF($D165="","","MD"&amp;TEXT(ROW()-5,"000"))</f>
        <v/>
      </c>
      <c r="C165" s="18" t="n"/>
      <c r="D165" s="16" t="n"/>
      <c r="E165" s="17">
        <f>IF($D165="","",IFERROR(INDEX(rngCadetPIDs,MATCH($D165,rngCadetNames,0)),"?"))</f>
        <v/>
      </c>
      <c r="F165" s="16" t="n"/>
      <c r="G165" s="16" t="n"/>
      <c r="H165" s="16" t="n"/>
      <c r="I165" s="18" t="n"/>
      <c r="J165" s="18" t="n"/>
      <c r="K165" s="18" t="n"/>
      <c r="L165" s="16" t="n"/>
      <c r="M165" s="17">
        <f>IF($D165="","",IF($K165&lt;&gt;"","Cleared "&amp;TEXT($K165,"mm/dd"),IF($H165="Yes",IF(AND($J165&lt;&gt;"",$J165&lt;TODAY()),"RESTRICTION EXPIRED","ACTIVE RESTRICTION"),"Documented")))</f>
        <v/>
      </c>
      <c r="N165" s="16" t="n"/>
    </row>
    <row r="166">
      <c r="B166" s="17">
        <f>IF($D166="","","MD"&amp;TEXT(ROW()-5,"000"))</f>
        <v/>
      </c>
      <c r="C166" s="18" t="n"/>
      <c r="D166" s="16" t="n"/>
      <c r="E166" s="17">
        <f>IF($D166="","",IFERROR(INDEX(rngCadetPIDs,MATCH($D166,rngCadetNames,0)),"?"))</f>
        <v/>
      </c>
      <c r="F166" s="16" t="n"/>
      <c r="G166" s="16" t="n"/>
      <c r="H166" s="16" t="n"/>
      <c r="I166" s="18" t="n"/>
      <c r="J166" s="18" t="n"/>
      <c r="K166" s="18" t="n"/>
      <c r="L166" s="16" t="n"/>
      <c r="M166" s="17">
        <f>IF($D166="","",IF($K166&lt;&gt;"","Cleared "&amp;TEXT($K166,"mm/dd"),IF($H166="Yes",IF(AND($J166&lt;&gt;"",$J166&lt;TODAY()),"RESTRICTION EXPIRED","ACTIVE RESTRICTION"),"Documented")))</f>
        <v/>
      </c>
      <c r="N166" s="16" t="n"/>
    </row>
    <row r="167">
      <c r="B167" s="17">
        <f>IF($D167="","","MD"&amp;TEXT(ROW()-5,"000"))</f>
        <v/>
      </c>
      <c r="C167" s="18" t="n"/>
      <c r="D167" s="16" t="n"/>
      <c r="E167" s="17">
        <f>IF($D167="","",IFERROR(INDEX(rngCadetPIDs,MATCH($D167,rngCadetNames,0)),"?"))</f>
        <v/>
      </c>
      <c r="F167" s="16" t="n"/>
      <c r="G167" s="16" t="n"/>
      <c r="H167" s="16" t="n"/>
      <c r="I167" s="18" t="n"/>
      <c r="J167" s="18" t="n"/>
      <c r="K167" s="18" t="n"/>
      <c r="L167" s="16" t="n"/>
      <c r="M167" s="17">
        <f>IF($D167="","",IF($K167&lt;&gt;"","Cleared "&amp;TEXT($K167,"mm/dd"),IF($H167="Yes",IF(AND($J167&lt;&gt;"",$J167&lt;TODAY()),"RESTRICTION EXPIRED","ACTIVE RESTRICTION"),"Documented")))</f>
        <v/>
      </c>
      <c r="N167" s="16" t="n"/>
    </row>
    <row r="168">
      <c r="B168" s="17">
        <f>IF($D168="","","MD"&amp;TEXT(ROW()-5,"000"))</f>
        <v/>
      </c>
      <c r="C168" s="18" t="n"/>
      <c r="D168" s="16" t="n"/>
      <c r="E168" s="17">
        <f>IF($D168="","",IFERROR(INDEX(rngCadetPIDs,MATCH($D168,rngCadetNames,0)),"?"))</f>
        <v/>
      </c>
      <c r="F168" s="16" t="n"/>
      <c r="G168" s="16" t="n"/>
      <c r="H168" s="16" t="n"/>
      <c r="I168" s="18" t="n"/>
      <c r="J168" s="18" t="n"/>
      <c r="K168" s="18" t="n"/>
      <c r="L168" s="16" t="n"/>
      <c r="M168" s="17">
        <f>IF($D168="","",IF($K168&lt;&gt;"","Cleared "&amp;TEXT($K168,"mm/dd"),IF($H168="Yes",IF(AND($J168&lt;&gt;"",$J168&lt;TODAY()),"RESTRICTION EXPIRED","ACTIVE RESTRICTION"),"Documented")))</f>
        <v/>
      </c>
      <c r="N168" s="16" t="n"/>
    </row>
    <row r="169">
      <c r="B169" s="17">
        <f>IF($D169="","","MD"&amp;TEXT(ROW()-5,"000"))</f>
        <v/>
      </c>
      <c r="C169" s="18" t="n"/>
      <c r="D169" s="16" t="n"/>
      <c r="E169" s="17">
        <f>IF($D169="","",IFERROR(INDEX(rngCadetPIDs,MATCH($D169,rngCadetNames,0)),"?"))</f>
        <v/>
      </c>
      <c r="F169" s="16" t="n"/>
      <c r="G169" s="16" t="n"/>
      <c r="H169" s="16" t="n"/>
      <c r="I169" s="18" t="n"/>
      <c r="J169" s="18" t="n"/>
      <c r="K169" s="18" t="n"/>
      <c r="L169" s="16" t="n"/>
      <c r="M169" s="17">
        <f>IF($D169="","",IF($K169&lt;&gt;"","Cleared "&amp;TEXT($K169,"mm/dd"),IF($H169="Yes",IF(AND($J169&lt;&gt;"",$J169&lt;TODAY()),"RESTRICTION EXPIRED","ACTIVE RESTRICTION"),"Documented")))</f>
        <v/>
      </c>
      <c r="N169" s="16" t="n"/>
    </row>
    <row r="170">
      <c r="B170" s="17">
        <f>IF($D170="","","MD"&amp;TEXT(ROW()-5,"000"))</f>
        <v/>
      </c>
      <c r="C170" s="18" t="n"/>
      <c r="D170" s="16" t="n"/>
      <c r="E170" s="17">
        <f>IF($D170="","",IFERROR(INDEX(rngCadetPIDs,MATCH($D170,rngCadetNames,0)),"?"))</f>
        <v/>
      </c>
      <c r="F170" s="16" t="n"/>
      <c r="G170" s="16" t="n"/>
      <c r="H170" s="16" t="n"/>
      <c r="I170" s="18" t="n"/>
      <c r="J170" s="18" t="n"/>
      <c r="K170" s="18" t="n"/>
      <c r="L170" s="16" t="n"/>
      <c r="M170" s="17">
        <f>IF($D170="","",IF($K170&lt;&gt;"","Cleared "&amp;TEXT($K170,"mm/dd"),IF($H170="Yes",IF(AND($J170&lt;&gt;"",$J170&lt;TODAY()),"RESTRICTION EXPIRED","ACTIVE RESTRICTION"),"Documented")))</f>
        <v/>
      </c>
      <c r="N170" s="16" t="n"/>
    </row>
    <row r="171">
      <c r="B171" s="17">
        <f>IF($D171="","","MD"&amp;TEXT(ROW()-5,"000"))</f>
        <v/>
      </c>
      <c r="C171" s="18" t="n"/>
      <c r="D171" s="16" t="n"/>
      <c r="E171" s="17">
        <f>IF($D171="","",IFERROR(INDEX(rngCadetPIDs,MATCH($D171,rngCadetNames,0)),"?"))</f>
        <v/>
      </c>
      <c r="F171" s="16" t="n"/>
      <c r="G171" s="16" t="n"/>
      <c r="H171" s="16" t="n"/>
      <c r="I171" s="18" t="n"/>
      <c r="J171" s="18" t="n"/>
      <c r="K171" s="18" t="n"/>
      <c r="L171" s="16" t="n"/>
      <c r="M171" s="17">
        <f>IF($D171="","",IF($K171&lt;&gt;"","Cleared "&amp;TEXT($K171,"mm/dd"),IF($H171="Yes",IF(AND($J171&lt;&gt;"",$J171&lt;TODAY()),"RESTRICTION EXPIRED","ACTIVE RESTRICTION"),"Documented")))</f>
        <v/>
      </c>
      <c r="N171" s="16" t="n"/>
    </row>
    <row r="172">
      <c r="B172" s="17">
        <f>IF($D172="","","MD"&amp;TEXT(ROW()-5,"000"))</f>
        <v/>
      </c>
      <c r="C172" s="18" t="n"/>
      <c r="D172" s="16" t="n"/>
      <c r="E172" s="17">
        <f>IF($D172="","",IFERROR(INDEX(rngCadetPIDs,MATCH($D172,rngCadetNames,0)),"?"))</f>
        <v/>
      </c>
      <c r="F172" s="16" t="n"/>
      <c r="G172" s="16" t="n"/>
      <c r="H172" s="16" t="n"/>
      <c r="I172" s="18" t="n"/>
      <c r="J172" s="18" t="n"/>
      <c r="K172" s="18" t="n"/>
      <c r="L172" s="16" t="n"/>
      <c r="M172" s="17">
        <f>IF($D172="","",IF($K172&lt;&gt;"","Cleared "&amp;TEXT($K172,"mm/dd"),IF($H172="Yes",IF(AND($J172&lt;&gt;"",$J172&lt;TODAY()),"RESTRICTION EXPIRED","ACTIVE RESTRICTION"),"Documented")))</f>
        <v/>
      </c>
      <c r="N172" s="16" t="n"/>
    </row>
    <row r="173">
      <c r="B173" s="17">
        <f>IF($D173="","","MD"&amp;TEXT(ROW()-5,"000"))</f>
        <v/>
      </c>
      <c r="C173" s="18" t="n"/>
      <c r="D173" s="16" t="n"/>
      <c r="E173" s="17">
        <f>IF($D173="","",IFERROR(INDEX(rngCadetPIDs,MATCH($D173,rngCadetNames,0)),"?"))</f>
        <v/>
      </c>
      <c r="F173" s="16" t="n"/>
      <c r="G173" s="16" t="n"/>
      <c r="H173" s="16" t="n"/>
      <c r="I173" s="18" t="n"/>
      <c r="J173" s="18" t="n"/>
      <c r="K173" s="18" t="n"/>
      <c r="L173" s="16" t="n"/>
      <c r="M173" s="17">
        <f>IF($D173="","",IF($K173&lt;&gt;"","Cleared "&amp;TEXT($K173,"mm/dd"),IF($H173="Yes",IF(AND($J173&lt;&gt;"",$J173&lt;TODAY()),"RESTRICTION EXPIRED","ACTIVE RESTRICTION"),"Documented")))</f>
        <v/>
      </c>
      <c r="N173" s="16" t="n"/>
    </row>
    <row r="174">
      <c r="B174" s="17">
        <f>IF($D174="","","MD"&amp;TEXT(ROW()-5,"000"))</f>
        <v/>
      </c>
      <c r="C174" s="18" t="n"/>
      <c r="D174" s="16" t="n"/>
      <c r="E174" s="17">
        <f>IF($D174="","",IFERROR(INDEX(rngCadetPIDs,MATCH($D174,rngCadetNames,0)),"?"))</f>
        <v/>
      </c>
      <c r="F174" s="16" t="n"/>
      <c r="G174" s="16" t="n"/>
      <c r="H174" s="16" t="n"/>
      <c r="I174" s="18" t="n"/>
      <c r="J174" s="18" t="n"/>
      <c r="K174" s="18" t="n"/>
      <c r="L174" s="16" t="n"/>
      <c r="M174" s="17">
        <f>IF($D174="","",IF($K174&lt;&gt;"","Cleared "&amp;TEXT($K174,"mm/dd"),IF($H174="Yes",IF(AND($J174&lt;&gt;"",$J174&lt;TODAY()),"RESTRICTION EXPIRED","ACTIVE RESTRICTION"),"Documented")))</f>
        <v/>
      </c>
      <c r="N174" s="16" t="n"/>
    </row>
    <row r="175">
      <c r="B175" s="17">
        <f>IF($D175="","","MD"&amp;TEXT(ROW()-5,"000"))</f>
        <v/>
      </c>
      <c r="C175" s="18" t="n"/>
      <c r="D175" s="16" t="n"/>
      <c r="E175" s="17">
        <f>IF($D175="","",IFERROR(INDEX(rngCadetPIDs,MATCH($D175,rngCadetNames,0)),"?"))</f>
        <v/>
      </c>
      <c r="F175" s="16" t="n"/>
      <c r="G175" s="16" t="n"/>
      <c r="H175" s="16" t="n"/>
      <c r="I175" s="18" t="n"/>
      <c r="J175" s="18" t="n"/>
      <c r="K175" s="18" t="n"/>
      <c r="L175" s="16" t="n"/>
      <c r="M175" s="17">
        <f>IF($D175="","",IF($K175&lt;&gt;"","Cleared "&amp;TEXT($K175,"mm/dd"),IF($H175="Yes",IF(AND($J175&lt;&gt;"",$J175&lt;TODAY()),"RESTRICTION EXPIRED","ACTIVE RESTRICTION"),"Documented")))</f>
        <v/>
      </c>
      <c r="N175" s="16" t="n"/>
    </row>
    <row r="176">
      <c r="B176" s="17">
        <f>IF($D176="","","MD"&amp;TEXT(ROW()-5,"000"))</f>
        <v/>
      </c>
      <c r="C176" s="18" t="n"/>
      <c r="D176" s="16" t="n"/>
      <c r="E176" s="17">
        <f>IF($D176="","",IFERROR(INDEX(rngCadetPIDs,MATCH($D176,rngCadetNames,0)),"?"))</f>
        <v/>
      </c>
      <c r="F176" s="16" t="n"/>
      <c r="G176" s="16" t="n"/>
      <c r="H176" s="16" t="n"/>
      <c r="I176" s="18" t="n"/>
      <c r="J176" s="18" t="n"/>
      <c r="K176" s="18" t="n"/>
      <c r="L176" s="16" t="n"/>
      <c r="M176" s="17">
        <f>IF($D176="","",IF($K176&lt;&gt;"","Cleared "&amp;TEXT($K176,"mm/dd"),IF($H176="Yes",IF(AND($J176&lt;&gt;"",$J176&lt;TODAY()),"RESTRICTION EXPIRED","ACTIVE RESTRICTION"),"Documented")))</f>
        <v/>
      </c>
      <c r="N176" s="16" t="n"/>
    </row>
    <row r="177">
      <c r="B177" s="17">
        <f>IF($D177="","","MD"&amp;TEXT(ROW()-5,"000"))</f>
        <v/>
      </c>
      <c r="C177" s="18" t="n"/>
      <c r="D177" s="16" t="n"/>
      <c r="E177" s="17">
        <f>IF($D177="","",IFERROR(INDEX(rngCadetPIDs,MATCH($D177,rngCadetNames,0)),"?"))</f>
        <v/>
      </c>
      <c r="F177" s="16" t="n"/>
      <c r="G177" s="16" t="n"/>
      <c r="H177" s="16" t="n"/>
      <c r="I177" s="18" t="n"/>
      <c r="J177" s="18" t="n"/>
      <c r="K177" s="18" t="n"/>
      <c r="L177" s="16" t="n"/>
      <c r="M177" s="17">
        <f>IF($D177="","",IF($K177&lt;&gt;"","Cleared "&amp;TEXT($K177,"mm/dd"),IF($H177="Yes",IF(AND($J177&lt;&gt;"",$J177&lt;TODAY()),"RESTRICTION EXPIRED","ACTIVE RESTRICTION"),"Documented")))</f>
        <v/>
      </c>
      <c r="N177" s="16" t="n"/>
    </row>
    <row r="178">
      <c r="B178" s="17">
        <f>IF($D178="","","MD"&amp;TEXT(ROW()-5,"000"))</f>
        <v/>
      </c>
      <c r="C178" s="18" t="n"/>
      <c r="D178" s="16" t="n"/>
      <c r="E178" s="17">
        <f>IF($D178="","",IFERROR(INDEX(rngCadetPIDs,MATCH($D178,rngCadetNames,0)),"?"))</f>
        <v/>
      </c>
      <c r="F178" s="16" t="n"/>
      <c r="G178" s="16" t="n"/>
      <c r="H178" s="16" t="n"/>
      <c r="I178" s="18" t="n"/>
      <c r="J178" s="18" t="n"/>
      <c r="K178" s="18" t="n"/>
      <c r="L178" s="16" t="n"/>
      <c r="M178" s="17">
        <f>IF($D178="","",IF($K178&lt;&gt;"","Cleared "&amp;TEXT($K178,"mm/dd"),IF($H178="Yes",IF(AND($J178&lt;&gt;"",$J178&lt;TODAY()),"RESTRICTION EXPIRED","ACTIVE RESTRICTION"),"Documented")))</f>
        <v/>
      </c>
      <c r="N178" s="16" t="n"/>
    </row>
    <row r="179">
      <c r="B179" s="17">
        <f>IF($D179="","","MD"&amp;TEXT(ROW()-5,"000"))</f>
        <v/>
      </c>
      <c r="C179" s="18" t="n"/>
      <c r="D179" s="16" t="n"/>
      <c r="E179" s="17">
        <f>IF($D179="","",IFERROR(INDEX(rngCadetPIDs,MATCH($D179,rngCadetNames,0)),"?"))</f>
        <v/>
      </c>
      <c r="F179" s="16" t="n"/>
      <c r="G179" s="16" t="n"/>
      <c r="H179" s="16" t="n"/>
      <c r="I179" s="18" t="n"/>
      <c r="J179" s="18" t="n"/>
      <c r="K179" s="18" t="n"/>
      <c r="L179" s="16" t="n"/>
      <c r="M179" s="17">
        <f>IF($D179="","",IF($K179&lt;&gt;"","Cleared "&amp;TEXT($K179,"mm/dd"),IF($H179="Yes",IF(AND($J179&lt;&gt;"",$J179&lt;TODAY()),"RESTRICTION EXPIRED","ACTIVE RESTRICTION"),"Documented")))</f>
        <v/>
      </c>
      <c r="N179" s="16" t="n"/>
    </row>
    <row r="180">
      <c r="B180" s="17">
        <f>IF($D180="","","MD"&amp;TEXT(ROW()-5,"000"))</f>
        <v/>
      </c>
      <c r="C180" s="18" t="n"/>
      <c r="D180" s="16" t="n"/>
      <c r="E180" s="17">
        <f>IF($D180="","",IFERROR(INDEX(rngCadetPIDs,MATCH($D180,rngCadetNames,0)),"?"))</f>
        <v/>
      </c>
      <c r="F180" s="16" t="n"/>
      <c r="G180" s="16" t="n"/>
      <c r="H180" s="16" t="n"/>
      <c r="I180" s="18" t="n"/>
      <c r="J180" s="18" t="n"/>
      <c r="K180" s="18" t="n"/>
      <c r="L180" s="16" t="n"/>
      <c r="M180" s="17">
        <f>IF($D180="","",IF($K180&lt;&gt;"","Cleared "&amp;TEXT($K180,"mm/dd"),IF($H180="Yes",IF(AND($J180&lt;&gt;"",$J180&lt;TODAY()),"RESTRICTION EXPIRED","ACTIVE RESTRICTION"),"Documented")))</f>
        <v/>
      </c>
      <c r="N180" s="16" t="n"/>
    </row>
    <row r="181">
      <c r="B181" s="17">
        <f>IF($D181="","","MD"&amp;TEXT(ROW()-5,"000"))</f>
        <v/>
      </c>
      <c r="C181" s="18" t="n"/>
      <c r="D181" s="16" t="n"/>
      <c r="E181" s="17">
        <f>IF($D181="","",IFERROR(INDEX(rngCadetPIDs,MATCH($D181,rngCadetNames,0)),"?"))</f>
        <v/>
      </c>
      <c r="F181" s="16" t="n"/>
      <c r="G181" s="16" t="n"/>
      <c r="H181" s="16" t="n"/>
      <c r="I181" s="18" t="n"/>
      <c r="J181" s="18" t="n"/>
      <c r="K181" s="18" t="n"/>
      <c r="L181" s="16" t="n"/>
      <c r="M181" s="17">
        <f>IF($D181="","",IF($K181&lt;&gt;"","Cleared "&amp;TEXT($K181,"mm/dd"),IF($H181="Yes",IF(AND($J181&lt;&gt;"",$J181&lt;TODAY()),"RESTRICTION EXPIRED","ACTIVE RESTRICTION"),"Documented")))</f>
        <v/>
      </c>
      <c r="N181" s="16" t="n"/>
    </row>
    <row r="182">
      <c r="B182" s="17">
        <f>IF($D182="","","MD"&amp;TEXT(ROW()-5,"000"))</f>
        <v/>
      </c>
      <c r="C182" s="18" t="n"/>
      <c r="D182" s="16" t="n"/>
      <c r="E182" s="17">
        <f>IF($D182="","",IFERROR(INDEX(rngCadetPIDs,MATCH($D182,rngCadetNames,0)),"?"))</f>
        <v/>
      </c>
      <c r="F182" s="16" t="n"/>
      <c r="G182" s="16" t="n"/>
      <c r="H182" s="16" t="n"/>
      <c r="I182" s="18" t="n"/>
      <c r="J182" s="18" t="n"/>
      <c r="K182" s="18" t="n"/>
      <c r="L182" s="16" t="n"/>
      <c r="M182" s="17">
        <f>IF($D182="","",IF($K182&lt;&gt;"","Cleared "&amp;TEXT($K182,"mm/dd"),IF($H182="Yes",IF(AND($J182&lt;&gt;"",$J182&lt;TODAY()),"RESTRICTION EXPIRED","ACTIVE RESTRICTION"),"Documented")))</f>
        <v/>
      </c>
      <c r="N182" s="16" t="n"/>
    </row>
    <row r="183">
      <c r="B183" s="17">
        <f>IF($D183="","","MD"&amp;TEXT(ROW()-5,"000"))</f>
        <v/>
      </c>
      <c r="C183" s="18" t="n"/>
      <c r="D183" s="16" t="n"/>
      <c r="E183" s="17">
        <f>IF($D183="","",IFERROR(INDEX(rngCadetPIDs,MATCH($D183,rngCadetNames,0)),"?"))</f>
        <v/>
      </c>
      <c r="F183" s="16" t="n"/>
      <c r="G183" s="16" t="n"/>
      <c r="H183" s="16" t="n"/>
      <c r="I183" s="18" t="n"/>
      <c r="J183" s="18" t="n"/>
      <c r="K183" s="18" t="n"/>
      <c r="L183" s="16" t="n"/>
      <c r="M183" s="17">
        <f>IF($D183="","",IF($K183&lt;&gt;"","Cleared "&amp;TEXT($K183,"mm/dd"),IF($H183="Yes",IF(AND($J183&lt;&gt;"",$J183&lt;TODAY()),"RESTRICTION EXPIRED","ACTIVE RESTRICTION"),"Documented")))</f>
        <v/>
      </c>
      <c r="N183" s="16" t="n"/>
    </row>
    <row r="184">
      <c r="B184" s="17">
        <f>IF($D184="","","MD"&amp;TEXT(ROW()-5,"000"))</f>
        <v/>
      </c>
      <c r="C184" s="18" t="n"/>
      <c r="D184" s="16" t="n"/>
      <c r="E184" s="17">
        <f>IF($D184="","",IFERROR(INDEX(rngCadetPIDs,MATCH($D184,rngCadetNames,0)),"?"))</f>
        <v/>
      </c>
      <c r="F184" s="16" t="n"/>
      <c r="G184" s="16" t="n"/>
      <c r="H184" s="16" t="n"/>
      <c r="I184" s="18" t="n"/>
      <c r="J184" s="18" t="n"/>
      <c r="K184" s="18" t="n"/>
      <c r="L184" s="16" t="n"/>
      <c r="M184" s="17">
        <f>IF($D184="","",IF($K184&lt;&gt;"","Cleared "&amp;TEXT($K184,"mm/dd"),IF($H184="Yes",IF(AND($J184&lt;&gt;"",$J184&lt;TODAY()),"RESTRICTION EXPIRED","ACTIVE RESTRICTION"),"Documented")))</f>
        <v/>
      </c>
      <c r="N184" s="16" t="n"/>
    </row>
    <row r="185">
      <c r="B185" s="17">
        <f>IF($D185="","","MD"&amp;TEXT(ROW()-5,"000"))</f>
        <v/>
      </c>
      <c r="C185" s="18" t="n"/>
      <c r="D185" s="16" t="n"/>
      <c r="E185" s="17">
        <f>IF($D185="","",IFERROR(INDEX(rngCadetPIDs,MATCH($D185,rngCadetNames,0)),"?"))</f>
        <v/>
      </c>
      <c r="F185" s="16" t="n"/>
      <c r="G185" s="16" t="n"/>
      <c r="H185" s="16" t="n"/>
      <c r="I185" s="18" t="n"/>
      <c r="J185" s="18" t="n"/>
      <c r="K185" s="18" t="n"/>
      <c r="L185" s="16" t="n"/>
      <c r="M185" s="17">
        <f>IF($D185="","",IF($K185&lt;&gt;"","Cleared "&amp;TEXT($K185,"mm/dd"),IF($H185="Yes",IF(AND($J185&lt;&gt;"",$J185&lt;TODAY()),"RESTRICTION EXPIRED","ACTIVE RESTRICTION"),"Documented")))</f>
        <v/>
      </c>
      <c r="N185" s="16" t="n"/>
    </row>
    <row r="186">
      <c r="B186" s="17">
        <f>IF($D186="","","MD"&amp;TEXT(ROW()-5,"000"))</f>
        <v/>
      </c>
      <c r="C186" s="18" t="n"/>
      <c r="D186" s="16" t="n"/>
      <c r="E186" s="17">
        <f>IF($D186="","",IFERROR(INDEX(rngCadetPIDs,MATCH($D186,rngCadetNames,0)),"?"))</f>
        <v/>
      </c>
      <c r="F186" s="16" t="n"/>
      <c r="G186" s="16" t="n"/>
      <c r="H186" s="16" t="n"/>
      <c r="I186" s="18" t="n"/>
      <c r="J186" s="18" t="n"/>
      <c r="K186" s="18" t="n"/>
      <c r="L186" s="16" t="n"/>
      <c r="M186" s="17">
        <f>IF($D186="","",IF($K186&lt;&gt;"","Cleared "&amp;TEXT($K186,"mm/dd"),IF($H186="Yes",IF(AND($J186&lt;&gt;"",$J186&lt;TODAY()),"RESTRICTION EXPIRED","ACTIVE RESTRICTION"),"Documented")))</f>
        <v/>
      </c>
      <c r="N186" s="16" t="n"/>
    </row>
    <row r="187">
      <c r="B187" s="17">
        <f>IF($D187="","","MD"&amp;TEXT(ROW()-5,"000"))</f>
        <v/>
      </c>
      <c r="C187" s="18" t="n"/>
      <c r="D187" s="16" t="n"/>
      <c r="E187" s="17">
        <f>IF($D187="","",IFERROR(INDEX(rngCadetPIDs,MATCH($D187,rngCadetNames,0)),"?"))</f>
        <v/>
      </c>
      <c r="F187" s="16" t="n"/>
      <c r="G187" s="16" t="n"/>
      <c r="H187" s="16" t="n"/>
      <c r="I187" s="18" t="n"/>
      <c r="J187" s="18" t="n"/>
      <c r="K187" s="18" t="n"/>
      <c r="L187" s="16" t="n"/>
      <c r="M187" s="17">
        <f>IF($D187="","",IF($K187&lt;&gt;"","Cleared "&amp;TEXT($K187,"mm/dd"),IF($H187="Yes",IF(AND($J187&lt;&gt;"",$J187&lt;TODAY()),"RESTRICTION EXPIRED","ACTIVE RESTRICTION"),"Documented")))</f>
        <v/>
      </c>
      <c r="N187" s="16" t="n"/>
    </row>
    <row r="188">
      <c r="B188" s="17">
        <f>IF($D188="","","MD"&amp;TEXT(ROW()-5,"000"))</f>
        <v/>
      </c>
      <c r="C188" s="18" t="n"/>
      <c r="D188" s="16" t="n"/>
      <c r="E188" s="17">
        <f>IF($D188="","",IFERROR(INDEX(rngCadetPIDs,MATCH($D188,rngCadetNames,0)),"?"))</f>
        <v/>
      </c>
      <c r="F188" s="16" t="n"/>
      <c r="G188" s="16" t="n"/>
      <c r="H188" s="16" t="n"/>
      <c r="I188" s="18" t="n"/>
      <c r="J188" s="18" t="n"/>
      <c r="K188" s="18" t="n"/>
      <c r="L188" s="16" t="n"/>
      <c r="M188" s="17">
        <f>IF($D188="","",IF($K188&lt;&gt;"","Cleared "&amp;TEXT($K188,"mm/dd"),IF($H188="Yes",IF(AND($J188&lt;&gt;"",$J188&lt;TODAY()),"RESTRICTION EXPIRED","ACTIVE RESTRICTION"),"Documented")))</f>
        <v/>
      </c>
      <c r="N188" s="16" t="n"/>
    </row>
    <row r="189">
      <c r="B189" s="17">
        <f>IF($D189="","","MD"&amp;TEXT(ROW()-5,"000"))</f>
        <v/>
      </c>
      <c r="C189" s="18" t="n"/>
      <c r="D189" s="16" t="n"/>
      <c r="E189" s="17">
        <f>IF($D189="","",IFERROR(INDEX(rngCadetPIDs,MATCH($D189,rngCadetNames,0)),"?"))</f>
        <v/>
      </c>
      <c r="F189" s="16" t="n"/>
      <c r="G189" s="16" t="n"/>
      <c r="H189" s="16" t="n"/>
      <c r="I189" s="18" t="n"/>
      <c r="J189" s="18" t="n"/>
      <c r="K189" s="18" t="n"/>
      <c r="L189" s="16" t="n"/>
      <c r="M189" s="17">
        <f>IF($D189="","",IF($K189&lt;&gt;"","Cleared "&amp;TEXT($K189,"mm/dd"),IF($H189="Yes",IF(AND($J189&lt;&gt;"",$J189&lt;TODAY()),"RESTRICTION EXPIRED","ACTIVE RESTRICTION"),"Documented")))</f>
        <v/>
      </c>
      <c r="N189" s="16" t="n"/>
    </row>
    <row r="190">
      <c r="B190" s="17">
        <f>IF($D190="","","MD"&amp;TEXT(ROW()-5,"000"))</f>
        <v/>
      </c>
      <c r="C190" s="18" t="n"/>
      <c r="D190" s="16" t="n"/>
      <c r="E190" s="17">
        <f>IF($D190="","",IFERROR(INDEX(rngCadetPIDs,MATCH($D190,rngCadetNames,0)),"?"))</f>
        <v/>
      </c>
      <c r="F190" s="16" t="n"/>
      <c r="G190" s="16" t="n"/>
      <c r="H190" s="16" t="n"/>
      <c r="I190" s="18" t="n"/>
      <c r="J190" s="18" t="n"/>
      <c r="K190" s="18" t="n"/>
      <c r="L190" s="16" t="n"/>
      <c r="M190" s="17">
        <f>IF($D190="","",IF($K190&lt;&gt;"","Cleared "&amp;TEXT($K190,"mm/dd"),IF($H190="Yes",IF(AND($J190&lt;&gt;"",$J190&lt;TODAY()),"RESTRICTION EXPIRED","ACTIVE RESTRICTION"),"Documented")))</f>
        <v/>
      </c>
      <c r="N190" s="16" t="n"/>
    </row>
    <row r="191">
      <c r="B191" s="17">
        <f>IF($D191="","","MD"&amp;TEXT(ROW()-5,"000"))</f>
        <v/>
      </c>
      <c r="C191" s="18" t="n"/>
      <c r="D191" s="16" t="n"/>
      <c r="E191" s="17">
        <f>IF($D191="","",IFERROR(INDEX(rngCadetPIDs,MATCH($D191,rngCadetNames,0)),"?"))</f>
        <v/>
      </c>
      <c r="F191" s="16" t="n"/>
      <c r="G191" s="16" t="n"/>
      <c r="H191" s="16" t="n"/>
      <c r="I191" s="18" t="n"/>
      <c r="J191" s="18" t="n"/>
      <c r="K191" s="18" t="n"/>
      <c r="L191" s="16" t="n"/>
      <c r="M191" s="17">
        <f>IF($D191="","",IF($K191&lt;&gt;"","Cleared "&amp;TEXT($K191,"mm/dd"),IF($H191="Yes",IF(AND($J191&lt;&gt;"",$J191&lt;TODAY()),"RESTRICTION EXPIRED","ACTIVE RESTRICTION"),"Documented")))</f>
        <v/>
      </c>
      <c r="N191" s="16" t="n"/>
    </row>
    <row r="192">
      <c r="B192" s="17">
        <f>IF($D192="","","MD"&amp;TEXT(ROW()-5,"000"))</f>
        <v/>
      </c>
      <c r="C192" s="18" t="n"/>
      <c r="D192" s="16" t="n"/>
      <c r="E192" s="17">
        <f>IF($D192="","",IFERROR(INDEX(rngCadetPIDs,MATCH($D192,rngCadetNames,0)),"?"))</f>
        <v/>
      </c>
      <c r="F192" s="16" t="n"/>
      <c r="G192" s="16" t="n"/>
      <c r="H192" s="16" t="n"/>
      <c r="I192" s="18" t="n"/>
      <c r="J192" s="18" t="n"/>
      <c r="K192" s="18" t="n"/>
      <c r="L192" s="16" t="n"/>
      <c r="M192" s="17">
        <f>IF($D192="","",IF($K192&lt;&gt;"","Cleared "&amp;TEXT($K192,"mm/dd"),IF($H192="Yes",IF(AND($J192&lt;&gt;"",$J192&lt;TODAY()),"RESTRICTION EXPIRED","ACTIVE RESTRICTION"),"Documented")))</f>
        <v/>
      </c>
      <c r="N192" s="16" t="n"/>
    </row>
    <row r="193">
      <c r="B193" s="17">
        <f>IF($D193="","","MD"&amp;TEXT(ROW()-5,"000"))</f>
        <v/>
      </c>
      <c r="C193" s="18" t="n"/>
      <c r="D193" s="16" t="n"/>
      <c r="E193" s="17">
        <f>IF($D193="","",IFERROR(INDEX(rngCadetPIDs,MATCH($D193,rngCadetNames,0)),"?"))</f>
        <v/>
      </c>
      <c r="F193" s="16" t="n"/>
      <c r="G193" s="16" t="n"/>
      <c r="H193" s="16" t="n"/>
      <c r="I193" s="18" t="n"/>
      <c r="J193" s="18" t="n"/>
      <c r="K193" s="18" t="n"/>
      <c r="L193" s="16" t="n"/>
      <c r="M193" s="17">
        <f>IF($D193="","",IF($K193&lt;&gt;"","Cleared "&amp;TEXT($K193,"mm/dd"),IF($H193="Yes",IF(AND($J193&lt;&gt;"",$J193&lt;TODAY()),"RESTRICTION EXPIRED","ACTIVE RESTRICTION"),"Documented")))</f>
        <v/>
      </c>
      <c r="N193" s="16" t="n"/>
    </row>
    <row r="194">
      <c r="B194" s="17">
        <f>IF($D194="","","MD"&amp;TEXT(ROW()-5,"000"))</f>
        <v/>
      </c>
      <c r="C194" s="18" t="n"/>
      <c r="D194" s="16" t="n"/>
      <c r="E194" s="17">
        <f>IF($D194="","",IFERROR(INDEX(rngCadetPIDs,MATCH($D194,rngCadetNames,0)),"?"))</f>
        <v/>
      </c>
      <c r="F194" s="16" t="n"/>
      <c r="G194" s="16" t="n"/>
      <c r="H194" s="16" t="n"/>
      <c r="I194" s="18" t="n"/>
      <c r="J194" s="18" t="n"/>
      <c r="K194" s="18" t="n"/>
      <c r="L194" s="16" t="n"/>
      <c r="M194" s="17">
        <f>IF($D194="","",IF($K194&lt;&gt;"","Cleared "&amp;TEXT($K194,"mm/dd"),IF($H194="Yes",IF(AND($J194&lt;&gt;"",$J194&lt;TODAY()),"RESTRICTION EXPIRED","ACTIVE RESTRICTION"),"Documented")))</f>
        <v/>
      </c>
      <c r="N194" s="16" t="n"/>
    </row>
    <row r="195">
      <c r="B195" s="17">
        <f>IF($D195="","","MD"&amp;TEXT(ROW()-5,"000"))</f>
        <v/>
      </c>
      <c r="C195" s="18" t="n"/>
      <c r="D195" s="16" t="n"/>
      <c r="E195" s="17">
        <f>IF($D195="","",IFERROR(INDEX(rngCadetPIDs,MATCH($D195,rngCadetNames,0)),"?"))</f>
        <v/>
      </c>
      <c r="F195" s="16" t="n"/>
      <c r="G195" s="16" t="n"/>
      <c r="H195" s="16" t="n"/>
      <c r="I195" s="18" t="n"/>
      <c r="J195" s="18" t="n"/>
      <c r="K195" s="18" t="n"/>
      <c r="L195" s="16" t="n"/>
      <c r="M195" s="17">
        <f>IF($D195="","",IF($K195&lt;&gt;"","Cleared "&amp;TEXT($K195,"mm/dd"),IF($H195="Yes",IF(AND($J195&lt;&gt;"",$J195&lt;TODAY()),"RESTRICTION EXPIRED","ACTIVE RESTRICTION"),"Documented")))</f>
        <v/>
      </c>
      <c r="N195" s="16" t="n"/>
    </row>
    <row r="196">
      <c r="B196" s="17">
        <f>IF($D196="","","MD"&amp;TEXT(ROW()-5,"000"))</f>
        <v/>
      </c>
      <c r="C196" s="18" t="n"/>
      <c r="D196" s="16" t="n"/>
      <c r="E196" s="17">
        <f>IF($D196="","",IFERROR(INDEX(rngCadetPIDs,MATCH($D196,rngCadetNames,0)),"?"))</f>
        <v/>
      </c>
      <c r="F196" s="16" t="n"/>
      <c r="G196" s="16" t="n"/>
      <c r="H196" s="16" t="n"/>
      <c r="I196" s="18" t="n"/>
      <c r="J196" s="18" t="n"/>
      <c r="K196" s="18" t="n"/>
      <c r="L196" s="16" t="n"/>
      <c r="M196" s="17">
        <f>IF($D196="","",IF($K196&lt;&gt;"","Cleared "&amp;TEXT($K196,"mm/dd"),IF($H196="Yes",IF(AND($J196&lt;&gt;"",$J196&lt;TODAY()),"RESTRICTION EXPIRED","ACTIVE RESTRICTION"),"Documented")))</f>
        <v/>
      </c>
      <c r="N196" s="16" t="n"/>
    </row>
    <row r="197">
      <c r="B197" s="17">
        <f>IF($D197="","","MD"&amp;TEXT(ROW()-5,"000"))</f>
        <v/>
      </c>
      <c r="C197" s="18" t="n"/>
      <c r="D197" s="16" t="n"/>
      <c r="E197" s="17">
        <f>IF($D197="","",IFERROR(INDEX(rngCadetPIDs,MATCH($D197,rngCadetNames,0)),"?"))</f>
        <v/>
      </c>
      <c r="F197" s="16" t="n"/>
      <c r="G197" s="16" t="n"/>
      <c r="H197" s="16" t="n"/>
      <c r="I197" s="18" t="n"/>
      <c r="J197" s="18" t="n"/>
      <c r="K197" s="18" t="n"/>
      <c r="L197" s="16" t="n"/>
      <c r="M197" s="17">
        <f>IF($D197="","",IF($K197&lt;&gt;"","Cleared "&amp;TEXT($K197,"mm/dd"),IF($H197="Yes",IF(AND($J197&lt;&gt;"",$J197&lt;TODAY()),"RESTRICTION EXPIRED","ACTIVE RESTRICTION"),"Documented")))</f>
        <v/>
      </c>
      <c r="N197" s="16" t="n"/>
    </row>
    <row r="198">
      <c r="B198" s="17">
        <f>IF($D198="","","MD"&amp;TEXT(ROW()-5,"000"))</f>
        <v/>
      </c>
      <c r="C198" s="18" t="n"/>
      <c r="D198" s="16" t="n"/>
      <c r="E198" s="17">
        <f>IF($D198="","",IFERROR(INDEX(rngCadetPIDs,MATCH($D198,rngCadetNames,0)),"?"))</f>
        <v/>
      </c>
      <c r="F198" s="16" t="n"/>
      <c r="G198" s="16" t="n"/>
      <c r="H198" s="16" t="n"/>
      <c r="I198" s="18" t="n"/>
      <c r="J198" s="18" t="n"/>
      <c r="K198" s="18" t="n"/>
      <c r="L198" s="16" t="n"/>
      <c r="M198" s="17">
        <f>IF($D198="","",IF($K198&lt;&gt;"","Cleared "&amp;TEXT($K198,"mm/dd"),IF($H198="Yes",IF(AND($J198&lt;&gt;"",$J198&lt;TODAY()),"RESTRICTION EXPIRED","ACTIVE RESTRICTION"),"Documented")))</f>
        <v/>
      </c>
      <c r="N198" s="16" t="n"/>
    </row>
    <row r="199">
      <c r="B199" s="17">
        <f>IF($D199="","","MD"&amp;TEXT(ROW()-5,"000"))</f>
        <v/>
      </c>
      <c r="C199" s="18" t="n"/>
      <c r="D199" s="16" t="n"/>
      <c r="E199" s="17">
        <f>IF($D199="","",IFERROR(INDEX(rngCadetPIDs,MATCH($D199,rngCadetNames,0)),"?"))</f>
        <v/>
      </c>
      <c r="F199" s="16" t="n"/>
      <c r="G199" s="16" t="n"/>
      <c r="H199" s="16" t="n"/>
      <c r="I199" s="18" t="n"/>
      <c r="J199" s="18" t="n"/>
      <c r="K199" s="18" t="n"/>
      <c r="L199" s="16" t="n"/>
      <c r="M199" s="17">
        <f>IF($D199="","",IF($K199&lt;&gt;"","Cleared "&amp;TEXT($K199,"mm/dd"),IF($H199="Yes",IF(AND($J199&lt;&gt;"",$J199&lt;TODAY()),"RESTRICTION EXPIRED","ACTIVE RESTRICTION"),"Documented")))</f>
        <v/>
      </c>
      <c r="N199" s="16" t="n"/>
    </row>
    <row r="200">
      <c r="B200" s="17">
        <f>IF($D200="","","MD"&amp;TEXT(ROW()-5,"000"))</f>
        <v/>
      </c>
      <c r="C200" s="18" t="n"/>
      <c r="D200" s="16" t="n"/>
      <c r="E200" s="17">
        <f>IF($D200="","",IFERROR(INDEX(rngCadetPIDs,MATCH($D200,rngCadetNames,0)),"?"))</f>
        <v/>
      </c>
      <c r="F200" s="16" t="n"/>
      <c r="G200" s="16" t="n"/>
      <c r="H200" s="16" t="n"/>
      <c r="I200" s="18" t="n"/>
      <c r="J200" s="18" t="n"/>
      <c r="K200" s="18" t="n"/>
      <c r="L200" s="16" t="n"/>
      <c r="M200" s="17">
        <f>IF($D200="","",IF($K200&lt;&gt;"","Cleared "&amp;TEXT($K200,"mm/dd"),IF($H200="Yes",IF(AND($J200&lt;&gt;"",$J200&lt;TODAY()),"RESTRICTION EXPIRED","ACTIVE RESTRICTION"),"Documented")))</f>
        <v/>
      </c>
      <c r="N200" s="16" t="n"/>
    </row>
    <row r="201">
      <c r="B201" s="17">
        <f>IF($D201="","","MD"&amp;TEXT(ROW()-5,"000"))</f>
        <v/>
      </c>
      <c r="C201" s="18" t="n"/>
      <c r="D201" s="16" t="n"/>
      <c r="E201" s="17">
        <f>IF($D201="","",IFERROR(INDEX(rngCadetPIDs,MATCH($D201,rngCadetNames,0)),"?"))</f>
        <v/>
      </c>
      <c r="F201" s="16" t="n"/>
      <c r="G201" s="16" t="n"/>
      <c r="H201" s="16" t="n"/>
      <c r="I201" s="18" t="n"/>
      <c r="J201" s="18" t="n"/>
      <c r="K201" s="18" t="n"/>
      <c r="L201" s="16" t="n"/>
      <c r="M201" s="17">
        <f>IF($D201="","",IF($K201&lt;&gt;"","Cleared "&amp;TEXT($K201,"mm/dd"),IF($H201="Yes",IF(AND($J201&lt;&gt;"",$J201&lt;TODAY()),"RESTRICTION EXPIRED","ACTIVE RESTRICTION"),"Documented")))</f>
        <v/>
      </c>
      <c r="N201" s="16" t="n"/>
    </row>
    <row r="202">
      <c r="B202" s="17">
        <f>IF($D202="","","MD"&amp;TEXT(ROW()-5,"000"))</f>
        <v/>
      </c>
      <c r="C202" s="18" t="n"/>
      <c r="D202" s="16" t="n"/>
      <c r="E202" s="17">
        <f>IF($D202="","",IFERROR(INDEX(rngCadetPIDs,MATCH($D202,rngCadetNames,0)),"?"))</f>
        <v/>
      </c>
      <c r="F202" s="16" t="n"/>
      <c r="G202" s="16" t="n"/>
      <c r="H202" s="16" t="n"/>
      <c r="I202" s="18" t="n"/>
      <c r="J202" s="18" t="n"/>
      <c r="K202" s="18" t="n"/>
      <c r="L202" s="16" t="n"/>
      <c r="M202" s="17">
        <f>IF($D202="","",IF($K202&lt;&gt;"","Cleared "&amp;TEXT($K202,"mm/dd"),IF($H202="Yes",IF(AND($J202&lt;&gt;"",$J202&lt;TODAY()),"RESTRICTION EXPIRED","ACTIVE RESTRICTION"),"Documented")))</f>
        <v/>
      </c>
      <c r="N202" s="16" t="n"/>
    </row>
    <row r="203">
      <c r="B203" s="17">
        <f>IF($D203="","","MD"&amp;TEXT(ROW()-5,"000"))</f>
        <v/>
      </c>
      <c r="C203" s="18" t="n"/>
      <c r="D203" s="16" t="n"/>
      <c r="E203" s="17">
        <f>IF($D203="","",IFERROR(INDEX(rngCadetPIDs,MATCH($D203,rngCadetNames,0)),"?"))</f>
        <v/>
      </c>
      <c r="F203" s="16" t="n"/>
      <c r="G203" s="16" t="n"/>
      <c r="H203" s="16" t="n"/>
      <c r="I203" s="18" t="n"/>
      <c r="J203" s="18" t="n"/>
      <c r="K203" s="18" t="n"/>
      <c r="L203" s="16" t="n"/>
      <c r="M203" s="17">
        <f>IF($D203="","",IF($K203&lt;&gt;"","Cleared "&amp;TEXT($K203,"mm/dd"),IF($H203="Yes",IF(AND($J203&lt;&gt;"",$J203&lt;TODAY()),"RESTRICTION EXPIRED","ACTIVE RESTRICTION"),"Documented")))</f>
        <v/>
      </c>
      <c r="N203" s="16" t="n"/>
    </row>
    <row r="204">
      <c r="B204" s="17">
        <f>IF($D204="","","MD"&amp;TEXT(ROW()-5,"000"))</f>
        <v/>
      </c>
      <c r="C204" s="18" t="n"/>
      <c r="D204" s="16" t="n"/>
      <c r="E204" s="17">
        <f>IF($D204="","",IFERROR(INDEX(rngCadetPIDs,MATCH($D204,rngCadetNames,0)),"?"))</f>
        <v/>
      </c>
      <c r="F204" s="16" t="n"/>
      <c r="G204" s="16" t="n"/>
      <c r="H204" s="16" t="n"/>
      <c r="I204" s="18" t="n"/>
      <c r="J204" s="18" t="n"/>
      <c r="K204" s="18" t="n"/>
      <c r="L204" s="16" t="n"/>
      <c r="M204" s="17">
        <f>IF($D204="","",IF($K204&lt;&gt;"","Cleared "&amp;TEXT($K204,"mm/dd"),IF($H204="Yes",IF(AND($J204&lt;&gt;"",$J204&lt;TODAY()),"RESTRICTION EXPIRED","ACTIVE RESTRICTION"),"Documented")))</f>
        <v/>
      </c>
      <c r="N204" s="16" t="n"/>
    </row>
    <row r="205">
      <c r="B205" s="17">
        <f>IF($D205="","","MD"&amp;TEXT(ROW()-5,"000"))</f>
        <v/>
      </c>
      <c r="C205" s="18" t="n"/>
      <c r="D205" s="16" t="n"/>
      <c r="E205" s="17">
        <f>IF($D205="","",IFERROR(INDEX(rngCadetPIDs,MATCH($D205,rngCadetNames,0)),"?"))</f>
        <v/>
      </c>
      <c r="F205" s="16" t="n"/>
      <c r="G205" s="16" t="n"/>
      <c r="H205" s="16" t="n"/>
      <c r="I205" s="18" t="n"/>
      <c r="J205" s="18" t="n"/>
      <c r="K205" s="18" t="n"/>
      <c r="L205" s="16" t="n"/>
      <c r="M205" s="17">
        <f>IF($D205="","",IF($K205&lt;&gt;"","Cleared "&amp;TEXT($K205,"mm/dd"),IF($H205="Yes",IF(AND($J205&lt;&gt;"",$J205&lt;TODAY()),"RESTRICTION EXPIRED","ACTIVE RESTRICTION"),"Documented")))</f>
        <v/>
      </c>
      <c r="N205" s="16" t="n"/>
    </row>
  </sheetData>
  <sheetProtection selectLockedCells="0" selectUnlockedCells="0" sheet="1" objects="0" insertRows="1" insertHyperlinks="1" autoFilter="0" scenarios="0" formatColumns="1" deleteColumns="1" insertColumns="1" pivotTables="1" deleteRows="1" formatCells="1" formatRows="1" sort="1" password="B4BB"/>
  <autoFilter ref="B5:N5"/>
  <conditionalFormatting sqref="M6:M205">
    <cfRule type="expression" priority="1" dxfId="2">
      <formula>OR($M6="ACTIVE RESTRICTION",$M6="RESTRICTION EXPIRED")</formula>
    </cfRule>
  </conditionalFormatting>
  <dataValidations count="4">
    <dataValidation sqref="D6:D205" showDropDown="0" showInputMessage="0" showErrorMessage="1" allowBlank="1" type="list">
      <formula1>=rngCadetNames</formula1>
    </dataValidation>
    <dataValidation sqref="F6:F205" showDropDown="0" showInputMessage="0" showErrorMessage="1" allowBlank="1" type="list">
      <formula1>=lstIssuetype</formula1>
    </dataValidation>
    <dataValidation sqref="H6:H205" showDropDown="0" showInputMessage="0" showErrorMessage="1" allowBlank="1" type="list">
      <formula1>=lstYesNo</formula1>
    </dataValidation>
    <dataValidation sqref="L6:L205" showDropDown="0" showInputMessage="0" showErrorMessage="1" allowBlank="1" type="list">
      <formula1>=lstDocumentation</formula1>
    </dataValidation>
  </dataValidations>
  <pageMargins left="0.75" right="0.75" top="1" bottom="1" header="0.5" footer="0.5"/>
</worksheet>
</file>

<file path=xl/worksheets/sheet19.xml><?xml version="1.0" encoding="utf-8"?>
<worksheet xmlns="http://schemas.openxmlformats.org/spreadsheetml/2006/main">
  <sheetPr>
    <tabColor rgb="002E75B6"/>
    <outlinePr summaryBelow="1" summaryRight="1"/>
    <pageSetUpPr/>
  </sheetPr>
  <dimension ref="B1:W57"/>
  <sheetViews>
    <sheetView showGridLines="0" workbookViewId="0">
      <pane xSplit="3" ySplit="5" topLeftCell="D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4" customWidth="1" min="3" max="3"/>
    <col width="11" customWidth="1" min="4" max="4"/>
    <col width="9" customWidth="1" min="5" max="5"/>
    <col width="11" customWidth="1" min="6" max="6"/>
    <col width="9" customWidth="1" min="7" max="7"/>
    <col width="11" customWidth="1" min="8" max="8"/>
    <col width="9" customWidth="1" min="9" max="9"/>
    <col width="11" customWidth="1" min="10" max="10"/>
    <col width="9" customWidth="1" min="11" max="11"/>
    <col width="11" customWidth="1" min="12" max="12"/>
    <col width="9" customWidth="1" min="13" max="13"/>
    <col width="11" customWidth="1" min="14" max="14"/>
    <col width="9" customWidth="1" min="15" max="15"/>
    <col width="11" customWidth="1" min="16" max="16"/>
    <col width="9" customWidth="1" min="17" max="17"/>
    <col width="11" customWidth="1" min="18" max="18"/>
    <col width="9" customWidth="1" min="19" max="19"/>
    <col width="10" customWidth="1" min="20" max="20"/>
    <col width="40" customWidth="1" min="21" max="21"/>
    <col width="30" customWidth="1" min="22" max="22"/>
    <col width="11" customWidth="1" min="23" max="23"/>
  </cols>
  <sheetData>
    <row r="1">
      <c r="B1" s="10">
        <f>HYPERLINK("#Dashboard!B5","◄ Dashboard")</f>
        <v/>
      </c>
    </row>
    <row r="4">
      <c r="B4" s="11" t="inlineStr">
        <is>
          <t>TCOLE-mandatory per-student completions. Enter the completion date and mark Copy? = Yes once the cadet's certificate copy is in the file. 'To Collect' feeds the Dashboard reminder list; All Certs GATES GRADUATION - every cert must have a date AND Copy? = Yes. Copy? = N/A waives that requirement entirely, so every waiver is named in 'Waived (N/A)' and counted on the Audit sheet; be ready to justify each one to a TCOLE field agent.</t>
        </is>
      </c>
    </row>
    <row r="5" ht="26" customHeight="1">
      <c r="B5" s="12" t="inlineStr">
        <is>
          <t>PID</t>
        </is>
      </c>
      <c r="C5" s="12" t="inlineStr">
        <is>
          <t>Cadet Name</t>
        </is>
      </c>
      <c r="D5" s="12" t="inlineStr">
        <is>
          <t>TIM Date</t>
        </is>
      </c>
      <c r="E5" s="12" t="inlineStr">
        <is>
          <t>TIM Copy?</t>
        </is>
      </c>
      <c r="F5" s="12" t="inlineStr">
        <is>
          <t>SFST Date</t>
        </is>
      </c>
      <c r="G5" s="12" t="inlineStr">
        <is>
          <t>SFST Copy?</t>
        </is>
      </c>
      <c r="H5" s="12" t="inlineStr">
        <is>
          <t>TCIC Date</t>
        </is>
      </c>
      <c r="I5" s="12" t="inlineStr">
        <is>
          <t>TCIC Copy?</t>
        </is>
      </c>
      <c r="J5" s="12" t="inlineStr">
        <is>
          <t>CPR/AED Date</t>
        </is>
      </c>
      <c r="K5" s="12" t="inlineStr">
        <is>
          <t>CPR/AED Copy?</t>
        </is>
      </c>
      <c r="L5" s="12" t="inlineStr">
        <is>
          <t>ALERRT Date</t>
        </is>
      </c>
      <c r="M5" s="12" t="inlineStr">
        <is>
          <t>ALERRT Copy?</t>
        </is>
      </c>
      <c r="N5" s="12" t="inlineStr">
        <is>
          <t>ICS 100 Date</t>
        </is>
      </c>
      <c r="O5" s="12" t="inlineStr">
        <is>
          <t>ICS 100 Copy?</t>
        </is>
      </c>
      <c r="P5" s="12" t="inlineStr">
        <is>
          <t>ICS 200 Date</t>
        </is>
      </c>
      <c r="Q5" s="12" t="inlineStr">
        <is>
          <t>ICS 200 Copy?</t>
        </is>
      </c>
      <c r="R5" s="12" t="inlineStr">
        <is>
          <t>ICS 700 Date</t>
        </is>
      </c>
      <c r="S5" s="12" t="inlineStr">
        <is>
          <t>ICS 700 Copy?</t>
        </is>
      </c>
      <c r="T5" s="12" t="inlineStr">
        <is>
          <t>All Certs?</t>
        </is>
      </c>
      <c r="U5" s="12" t="inlineStr">
        <is>
          <t>To Collect</t>
        </is>
      </c>
      <c r="V5" s="12" t="inlineStr">
        <is>
          <t>Waived (N/A)</t>
        </is>
      </c>
      <c r="W5" s="20" t="inlineStr">
        <is>
          <t>Cadet Status</t>
        </is>
      </c>
    </row>
    <row r="6">
      <c r="B6" s="17">
        <f>IF(Cadets!$B6="","",Cadets!$B6)</f>
        <v/>
      </c>
      <c r="C6" s="17">
        <f>IF(Cadets!$B6="","",Cadets!$F6)</f>
        <v/>
      </c>
      <c r="D6" s="18" t="n"/>
      <c r="E6" s="16" t="n"/>
      <c r="F6" s="18" t="n"/>
      <c r="G6" s="16" t="n"/>
      <c r="H6" s="18" t="n"/>
      <c r="I6" s="16" t="n"/>
      <c r="J6" s="18" t="n"/>
      <c r="K6" s="16" t="n"/>
      <c r="L6" s="18" t="n"/>
      <c r="M6" s="16" t="n"/>
      <c r="N6" s="18" t="n"/>
      <c r="O6" s="16" t="n"/>
      <c r="P6" s="18" t="n"/>
      <c r="Q6" s="16" t="n"/>
      <c r="R6" s="18" t="n"/>
      <c r="S6" s="16" t="n"/>
      <c r="T6" s="17">
        <f>IF($B6="","",IF($U6="","Yes","No"))</f>
        <v/>
      </c>
      <c r="U6" s="17">
        <f>IF($B6="","",_xlfn.TEXTJOIN("; ",TRUE,IF(AND($E6&lt;&gt;"N/A",OR($D6="",$E6&lt;&gt;"Yes")),"TIM",""),IF(AND($G6&lt;&gt;"N/A",OR($F6="",$G6&lt;&gt;"Yes")),"SFST",""),IF(AND($I6&lt;&gt;"N/A",OR($H6="",$I6&lt;&gt;"Yes")),"TCIC",""),IF(AND($K6&lt;&gt;"N/A",OR($J6="",$K6&lt;&gt;"Yes")),"CPR/AED",""),IF(AND($M6&lt;&gt;"N/A",OR($L6="",$M6&lt;&gt;"Yes")),"ALERRT",""),IF(AND($O6&lt;&gt;"N/A",OR($N6="",$O6&lt;&gt;"Yes")),"ICS 100",""),IF(AND($Q6&lt;&gt;"N/A",OR($P6="",$Q6&lt;&gt;"Yes")),"ICS 200",""),IF(AND($S6&lt;&gt;"N/A",OR($R6="",$S6&lt;&gt;"Yes")),"ICS 700","")))</f>
        <v/>
      </c>
      <c r="V6" s="17">
        <f>IF($B6="","",_xlfn.TEXTJOIN("; ",TRUE,IF($E6="N/A","TIM",""),IF($G6="N/A","SFST",""),IF($I6="N/A","TCIC",""),IF($K6="N/A","CPR/AED",""),IF($M6="N/A","ALERRT",""),IF($O6="N/A","ICS 100",""),IF($Q6="N/A","ICS 200",""),IF($S6="N/A","ICS 700","")))</f>
        <v/>
      </c>
      <c r="W6" s="17">
        <f>IF(Cadets!$B6="","",Cadets!$I6)</f>
        <v/>
      </c>
    </row>
    <row r="7">
      <c r="B7" s="17">
        <f>IF(Cadets!$B7="","",Cadets!$B7)</f>
        <v/>
      </c>
      <c r="C7" s="17">
        <f>IF(Cadets!$B7="","",Cadets!$F7)</f>
        <v/>
      </c>
      <c r="D7" s="18" t="n"/>
      <c r="E7" s="16" t="n"/>
      <c r="F7" s="18" t="n"/>
      <c r="G7" s="16" t="n"/>
      <c r="H7" s="18" t="n"/>
      <c r="I7" s="16" t="n"/>
      <c r="J7" s="18" t="n"/>
      <c r="K7" s="16" t="n"/>
      <c r="L7" s="18" t="n"/>
      <c r="M7" s="16" t="n"/>
      <c r="N7" s="18" t="n"/>
      <c r="O7" s="16" t="n"/>
      <c r="P7" s="18" t="n"/>
      <c r="Q7" s="16" t="n"/>
      <c r="R7" s="18" t="n"/>
      <c r="S7" s="16" t="n"/>
      <c r="T7" s="17">
        <f>IF($B7="","",IF($U7="","Yes","No"))</f>
        <v/>
      </c>
      <c r="U7" s="17">
        <f>IF($B7="","",_xlfn.TEXTJOIN("; ",TRUE,IF(AND($E7&lt;&gt;"N/A",OR($D7="",$E7&lt;&gt;"Yes")),"TIM",""),IF(AND($G7&lt;&gt;"N/A",OR($F7="",$G7&lt;&gt;"Yes")),"SFST",""),IF(AND($I7&lt;&gt;"N/A",OR($H7="",$I7&lt;&gt;"Yes")),"TCIC",""),IF(AND($K7&lt;&gt;"N/A",OR($J7="",$K7&lt;&gt;"Yes")),"CPR/AED",""),IF(AND($M7&lt;&gt;"N/A",OR($L7="",$M7&lt;&gt;"Yes")),"ALERRT",""),IF(AND($O7&lt;&gt;"N/A",OR($N7="",$O7&lt;&gt;"Yes")),"ICS 100",""),IF(AND($Q7&lt;&gt;"N/A",OR($P7="",$Q7&lt;&gt;"Yes")),"ICS 200",""),IF(AND($S7&lt;&gt;"N/A",OR($R7="",$S7&lt;&gt;"Yes")),"ICS 700","")))</f>
        <v/>
      </c>
      <c r="V7" s="17">
        <f>IF($B7="","",_xlfn.TEXTJOIN("; ",TRUE,IF($E7="N/A","TIM",""),IF($G7="N/A","SFST",""),IF($I7="N/A","TCIC",""),IF($K7="N/A","CPR/AED",""),IF($M7="N/A","ALERRT",""),IF($O7="N/A","ICS 100",""),IF($Q7="N/A","ICS 200",""),IF($S7="N/A","ICS 700","")))</f>
        <v/>
      </c>
      <c r="W7" s="17">
        <f>IF(Cadets!$B7="","",Cadets!$I7)</f>
        <v/>
      </c>
    </row>
    <row r="8">
      <c r="B8" s="17">
        <f>IF(Cadets!$B8="","",Cadets!$B8)</f>
        <v/>
      </c>
      <c r="C8" s="17">
        <f>IF(Cadets!$B8="","",Cadets!$F8)</f>
        <v/>
      </c>
      <c r="D8" s="18" t="n"/>
      <c r="E8" s="16" t="n"/>
      <c r="F8" s="18" t="n"/>
      <c r="G8" s="16" t="n"/>
      <c r="H8" s="18" t="n"/>
      <c r="I8" s="16" t="n"/>
      <c r="J8" s="18" t="n"/>
      <c r="K8" s="16" t="n"/>
      <c r="L8" s="18" t="n"/>
      <c r="M8" s="16" t="n"/>
      <c r="N8" s="18" t="n"/>
      <c r="O8" s="16" t="n"/>
      <c r="P8" s="18" t="n"/>
      <c r="Q8" s="16" t="n"/>
      <c r="R8" s="18" t="n"/>
      <c r="S8" s="16" t="n"/>
      <c r="T8" s="17">
        <f>IF($B8="","",IF($U8="","Yes","No"))</f>
        <v/>
      </c>
      <c r="U8" s="17">
        <f>IF($B8="","",_xlfn.TEXTJOIN("; ",TRUE,IF(AND($E8&lt;&gt;"N/A",OR($D8="",$E8&lt;&gt;"Yes")),"TIM",""),IF(AND($G8&lt;&gt;"N/A",OR($F8="",$G8&lt;&gt;"Yes")),"SFST",""),IF(AND($I8&lt;&gt;"N/A",OR($H8="",$I8&lt;&gt;"Yes")),"TCIC",""),IF(AND($K8&lt;&gt;"N/A",OR($J8="",$K8&lt;&gt;"Yes")),"CPR/AED",""),IF(AND($M8&lt;&gt;"N/A",OR($L8="",$M8&lt;&gt;"Yes")),"ALERRT",""),IF(AND($O8&lt;&gt;"N/A",OR($N8="",$O8&lt;&gt;"Yes")),"ICS 100",""),IF(AND($Q8&lt;&gt;"N/A",OR($P8="",$Q8&lt;&gt;"Yes")),"ICS 200",""),IF(AND($S8&lt;&gt;"N/A",OR($R8="",$S8&lt;&gt;"Yes")),"ICS 700","")))</f>
        <v/>
      </c>
      <c r="V8" s="17">
        <f>IF($B8="","",_xlfn.TEXTJOIN("; ",TRUE,IF($E8="N/A","TIM",""),IF($G8="N/A","SFST",""),IF($I8="N/A","TCIC",""),IF($K8="N/A","CPR/AED",""),IF($M8="N/A","ALERRT",""),IF($O8="N/A","ICS 100",""),IF($Q8="N/A","ICS 200",""),IF($S8="N/A","ICS 700","")))</f>
        <v/>
      </c>
      <c r="W8" s="17">
        <f>IF(Cadets!$B8="","",Cadets!$I8)</f>
        <v/>
      </c>
    </row>
    <row r="9">
      <c r="B9" s="17">
        <f>IF(Cadets!$B9="","",Cadets!$B9)</f>
        <v/>
      </c>
      <c r="C9" s="17">
        <f>IF(Cadets!$B9="","",Cadets!$F9)</f>
        <v/>
      </c>
      <c r="D9" s="18" t="n"/>
      <c r="E9" s="16" t="n"/>
      <c r="F9" s="18" t="n"/>
      <c r="G9" s="16" t="n"/>
      <c r="H9" s="18" t="n"/>
      <c r="I9" s="16" t="n"/>
      <c r="J9" s="18" t="n"/>
      <c r="K9" s="16" t="n"/>
      <c r="L9" s="18" t="n"/>
      <c r="M9" s="16" t="n"/>
      <c r="N9" s="18" t="n"/>
      <c r="O9" s="16" t="n"/>
      <c r="P9" s="18" t="n"/>
      <c r="Q9" s="16" t="n"/>
      <c r="R9" s="18" t="n"/>
      <c r="S9" s="16" t="n"/>
      <c r="T9" s="17">
        <f>IF($B9="","",IF($U9="","Yes","No"))</f>
        <v/>
      </c>
      <c r="U9" s="17">
        <f>IF($B9="","",_xlfn.TEXTJOIN("; ",TRUE,IF(AND($E9&lt;&gt;"N/A",OR($D9="",$E9&lt;&gt;"Yes")),"TIM",""),IF(AND($G9&lt;&gt;"N/A",OR($F9="",$G9&lt;&gt;"Yes")),"SFST",""),IF(AND($I9&lt;&gt;"N/A",OR($H9="",$I9&lt;&gt;"Yes")),"TCIC",""),IF(AND($K9&lt;&gt;"N/A",OR($J9="",$K9&lt;&gt;"Yes")),"CPR/AED",""),IF(AND($M9&lt;&gt;"N/A",OR($L9="",$M9&lt;&gt;"Yes")),"ALERRT",""),IF(AND($O9&lt;&gt;"N/A",OR($N9="",$O9&lt;&gt;"Yes")),"ICS 100",""),IF(AND($Q9&lt;&gt;"N/A",OR($P9="",$Q9&lt;&gt;"Yes")),"ICS 200",""),IF(AND($S9&lt;&gt;"N/A",OR($R9="",$S9&lt;&gt;"Yes")),"ICS 700","")))</f>
        <v/>
      </c>
      <c r="V9" s="17">
        <f>IF($B9="","",_xlfn.TEXTJOIN("; ",TRUE,IF($E9="N/A","TIM",""),IF($G9="N/A","SFST",""),IF($I9="N/A","TCIC",""),IF($K9="N/A","CPR/AED",""),IF($M9="N/A","ALERRT",""),IF($O9="N/A","ICS 100",""),IF($Q9="N/A","ICS 200",""),IF($S9="N/A","ICS 700","")))</f>
        <v/>
      </c>
      <c r="W9" s="17">
        <f>IF(Cadets!$B9="","",Cadets!$I9)</f>
        <v/>
      </c>
    </row>
    <row r="10">
      <c r="B10" s="17">
        <f>IF(Cadets!$B10="","",Cadets!$B10)</f>
        <v/>
      </c>
      <c r="C10" s="17">
        <f>IF(Cadets!$B10="","",Cadets!$F10)</f>
        <v/>
      </c>
      <c r="D10" s="18" t="n"/>
      <c r="E10" s="16" t="n"/>
      <c r="F10" s="18" t="n"/>
      <c r="G10" s="16" t="n"/>
      <c r="H10" s="18" t="n"/>
      <c r="I10" s="16" t="n"/>
      <c r="J10" s="18" t="n"/>
      <c r="K10" s="16" t="n"/>
      <c r="L10" s="18" t="n"/>
      <c r="M10" s="16" t="n"/>
      <c r="N10" s="18" t="n"/>
      <c r="O10" s="16" t="n"/>
      <c r="P10" s="18" t="n"/>
      <c r="Q10" s="16" t="n"/>
      <c r="R10" s="18" t="n"/>
      <c r="S10" s="16" t="n"/>
      <c r="T10" s="17">
        <f>IF($B10="","",IF($U10="","Yes","No"))</f>
        <v/>
      </c>
      <c r="U10" s="17">
        <f>IF($B10="","",_xlfn.TEXTJOIN("; ",TRUE,IF(AND($E10&lt;&gt;"N/A",OR($D10="",$E10&lt;&gt;"Yes")),"TIM",""),IF(AND($G10&lt;&gt;"N/A",OR($F10="",$G10&lt;&gt;"Yes")),"SFST",""),IF(AND($I10&lt;&gt;"N/A",OR($H10="",$I10&lt;&gt;"Yes")),"TCIC",""),IF(AND($K10&lt;&gt;"N/A",OR($J10="",$K10&lt;&gt;"Yes")),"CPR/AED",""),IF(AND($M10&lt;&gt;"N/A",OR($L10="",$M10&lt;&gt;"Yes")),"ALERRT",""),IF(AND($O10&lt;&gt;"N/A",OR($N10="",$O10&lt;&gt;"Yes")),"ICS 100",""),IF(AND($Q10&lt;&gt;"N/A",OR($P10="",$Q10&lt;&gt;"Yes")),"ICS 200",""),IF(AND($S10&lt;&gt;"N/A",OR($R10="",$S10&lt;&gt;"Yes")),"ICS 700","")))</f>
        <v/>
      </c>
      <c r="V10" s="17">
        <f>IF($B10="","",_xlfn.TEXTJOIN("; ",TRUE,IF($E10="N/A","TIM",""),IF($G10="N/A","SFST",""),IF($I10="N/A","TCIC",""),IF($K10="N/A","CPR/AED",""),IF($M10="N/A","ALERRT",""),IF($O10="N/A","ICS 100",""),IF($Q10="N/A","ICS 200",""),IF($S10="N/A","ICS 700","")))</f>
        <v/>
      </c>
      <c r="W10" s="17">
        <f>IF(Cadets!$B10="","",Cadets!$I10)</f>
        <v/>
      </c>
    </row>
    <row r="11">
      <c r="B11" s="17">
        <f>IF(Cadets!$B11="","",Cadets!$B11)</f>
        <v/>
      </c>
      <c r="C11" s="17">
        <f>IF(Cadets!$B11="","",Cadets!$F11)</f>
        <v/>
      </c>
      <c r="D11" s="18" t="n"/>
      <c r="E11" s="16" t="n"/>
      <c r="F11" s="18" t="n"/>
      <c r="G11" s="16" t="n"/>
      <c r="H11" s="18" t="n"/>
      <c r="I11" s="16" t="n"/>
      <c r="J11" s="18" t="n"/>
      <c r="K11" s="16" t="n"/>
      <c r="L11" s="18" t="n"/>
      <c r="M11" s="16" t="n"/>
      <c r="N11" s="18" t="n"/>
      <c r="O11" s="16" t="n"/>
      <c r="P11" s="18" t="n"/>
      <c r="Q11" s="16" t="n"/>
      <c r="R11" s="18" t="n"/>
      <c r="S11" s="16" t="n"/>
      <c r="T11" s="17">
        <f>IF($B11="","",IF($U11="","Yes","No"))</f>
        <v/>
      </c>
      <c r="U11" s="17">
        <f>IF($B11="","",_xlfn.TEXTJOIN("; ",TRUE,IF(AND($E11&lt;&gt;"N/A",OR($D11="",$E11&lt;&gt;"Yes")),"TIM",""),IF(AND($G11&lt;&gt;"N/A",OR($F11="",$G11&lt;&gt;"Yes")),"SFST",""),IF(AND($I11&lt;&gt;"N/A",OR($H11="",$I11&lt;&gt;"Yes")),"TCIC",""),IF(AND($K11&lt;&gt;"N/A",OR($J11="",$K11&lt;&gt;"Yes")),"CPR/AED",""),IF(AND($M11&lt;&gt;"N/A",OR($L11="",$M11&lt;&gt;"Yes")),"ALERRT",""),IF(AND($O11&lt;&gt;"N/A",OR($N11="",$O11&lt;&gt;"Yes")),"ICS 100",""),IF(AND($Q11&lt;&gt;"N/A",OR($P11="",$Q11&lt;&gt;"Yes")),"ICS 200",""),IF(AND($S11&lt;&gt;"N/A",OR($R11="",$S11&lt;&gt;"Yes")),"ICS 700","")))</f>
        <v/>
      </c>
      <c r="V11" s="17">
        <f>IF($B11="","",_xlfn.TEXTJOIN("; ",TRUE,IF($E11="N/A","TIM",""),IF($G11="N/A","SFST",""),IF($I11="N/A","TCIC",""),IF($K11="N/A","CPR/AED",""),IF($M11="N/A","ALERRT",""),IF($O11="N/A","ICS 100",""),IF($Q11="N/A","ICS 200",""),IF($S11="N/A","ICS 700","")))</f>
        <v/>
      </c>
      <c r="W11" s="17">
        <f>IF(Cadets!$B11="","",Cadets!$I11)</f>
        <v/>
      </c>
    </row>
    <row r="12">
      <c r="B12" s="17">
        <f>IF(Cadets!$B12="","",Cadets!$B12)</f>
        <v/>
      </c>
      <c r="C12" s="17">
        <f>IF(Cadets!$B12="","",Cadets!$F12)</f>
        <v/>
      </c>
      <c r="D12" s="18" t="n"/>
      <c r="E12" s="16" t="n"/>
      <c r="F12" s="18" t="n"/>
      <c r="G12" s="16" t="n"/>
      <c r="H12" s="18" t="n"/>
      <c r="I12" s="16" t="n"/>
      <c r="J12" s="18" t="n"/>
      <c r="K12" s="16" t="n"/>
      <c r="L12" s="18" t="n"/>
      <c r="M12" s="16" t="n"/>
      <c r="N12" s="18" t="n"/>
      <c r="O12" s="16" t="n"/>
      <c r="P12" s="18" t="n"/>
      <c r="Q12" s="16" t="n"/>
      <c r="R12" s="18" t="n"/>
      <c r="S12" s="16" t="n"/>
      <c r="T12" s="17">
        <f>IF($B12="","",IF($U12="","Yes","No"))</f>
        <v/>
      </c>
      <c r="U12" s="17">
        <f>IF($B12="","",_xlfn.TEXTJOIN("; ",TRUE,IF(AND($E12&lt;&gt;"N/A",OR($D12="",$E12&lt;&gt;"Yes")),"TIM",""),IF(AND($G12&lt;&gt;"N/A",OR($F12="",$G12&lt;&gt;"Yes")),"SFST",""),IF(AND($I12&lt;&gt;"N/A",OR($H12="",$I12&lt;&gt;"Yes")),"TCIC",""),IF(AND($K12&lt;&gt;"N/A",OR($J12="",$K12&lt;&gt;"Yes")),"CPR/AED",""),IF(AND($M12&lt;&gt;"N/A",OR($L12="",$M12&lt;&gt;"Yes")),"ALERRT",""),IF(AND($O12&lt;&gt;"N/A",OR($N12="",$O12&lt;&gt;"Yes")),"ICS 100",""),IF(AND($Q12&lt;&gt;"N/A",OR($P12="",$Q12&lt;&gt;"Yes")),"ICS 200",""),IF(AND($S12&lt;&gt;"N/A",OR($R12="",$S12&lt;&gt;"Yes")),"ICS 700","")))</f>
        <v/>
      </c>
      <c r="V12" s="17">
        <f>IF($B12="","",_xlfn.TEXTJOIN("; ",TRUE,IF($E12="N/A","TIM",""),IF($G12="N/A","SFST",""),IF($I12="N/A","TCIC",""),IF($K12="N/A","CPR/AED",""),IF($M12="N/A","ALERRT",""),IF($O12="N/A","ICS 100",""),IF($Q12="N/A","ICS 200",""),IF($S12="N/A","ICS 700","")))</f>
        <v/>
      </c>
      <c r="W12" s="17">
        <f>IF(Cadets!$B12="","",Cadets!$I12)</f>
        <v/>
      </c>
    </row>
    <row r="13">
      <c r="B13" s="17">
        <f>IF(Cadets!$B13="","",Cadets!$B13)</f>
        <v/>
      </c>
      <c r="C13" s="17">
        <f>IF(Cadets!$B13="","",Cadets!$F13)</f>
        <v/>
      </c>
      <c r="D13" s="18" t="n"/>
      <c r="E13" s="16" t="n"/>
      <c r="F13" s="18" t="n"/>
      <c r="G13" s="16" t="n"/>
      <c r="H13" s="18" t="n"/>
      <c r="I13" s="16" t="n"/>
      <c r="J13" s="18" t="n"/>
      <c r="K13" s="16" t="n"/>
      <c r="L13" s="18" t="n"/>
      <c r="M13" s="16" t="n"/>
      <c r="N13" s="18" t="n"/>
      <c r="O13" s="16" t="n"/>
      <c r="P13" s="18" t="n"/>
      <c r="Q13" s="16" t="n"/>
      <c r="R13" s="18" t="n"/>
      <c r="S13" s="16" t="n"/>
      <c r="T13" s="17">
        <f>IF($B13="","",IF($U13="","Yes","No"))</f>
        <v/>
      </c>
      <c r="U13" s="17">
        <f>IF($B13="","",_xlfn.TEXTJOIN("; ",TRUE,IF(AND($E13&lt;&gt;"N/A",OR($D13="",$E13&lt;&gt;"Yes")),"TIM",""),IF(AND($G13&lt;&gt;"N/A",OR($F13="",$G13&lt;&gt;"Yes")),"SFST",""),IF(AND($I13&lt;&gt;"N/A",OR($H13="",$I13&lt;&gt;"Yes")),"TCIC",""),IF(AND($K13&lt;&gt;"N/A",OR($J13="",$K13&lt;&gt;"Yes")),"CPR/AED",""),IF(AND($M13&lt;&gt;"N/A",OR($L13="",$M13&lt;&gt;"Yes")),"ALERRT",""),IF(AND($O13&lt;&gt;"N/A",OR($N13="",$O13&lt;&gt;"Yes")),"ICS 100",""),IF(AND($Q13&lt;&gt;"N/A",OR($P13="",$Q13&lt;&gt;"Yes")),"ICS 200",""),IF(AND($S13&lt;&gt;"N/A",OR($R13="",$S13&lt;&gt;"Yes")),"ICS 700","")))</f>
        <v/>
      </c>
      <c r="V13" s="17">
        <f>IF($B13="","",_xlfn.TEXTJOIN("; ",TRUE,IF($E13="N/A","TIM",""),IF($G13="N/A","SFST",""),IF($I13="N/A","TCIC",""),IF($K13="N/A","CPR/AED",""),IF($M13="N/A","ALERRT",""),IF($O13="N/A","ICS 100",""),IF($Q13="N/A","ICS 200",""),IF($S13="N/A","ICS 700","")))</f>
        <v/>
      </c>
      <c r="W13" s="17">
        <f>IF(Cadets!$B13="","",Cadets!$I13)</f>
        <v/>
      </c>
    </row>
    <row r="14">
      <c r="B14" s="17">
        <f>IF(Cadets!$B14="","",Cadets!$B14)</f>
        <v/>
      </c>
      <c r="C14" s="17">
        <f>IF(Cadets!$B14="","",Cadets!$F14)</f>
        <v/>
      </c>
      <c r="D14" s="18" t="n"/>
      <c r="E14" s="16" t="n"/>
      <c r="F14" s="18" t="n"/>
      <c r="G14" s="16" t="n"/>
      <c r="H14" s="18" t="n"/>
      <c r="I14" s="16" t="n"/>
      <c r="J14" s="18" t="n"/>
      <c r="K14" s="16" t="n"/>
      <c r="L14" s="18" t="n"/>
      <c r="M14" s="16" t="n"/>
      <c r="N14" s="18" t="n"/>
      <c r="O14" s="16" t="n"/>
      <c r="P14" s="18" t="n"/>
      <c r="Q14" s="16" t="n"/>
      <c r="R14" s="18" t="n"/>
      <c r="S14" s="16" t="n"/>
      <c r="T14" s="17">
        <f>IF($B14="","",IF($U14="","Yes","No"))</f>
        <v/>
      </c>
      <c r="U14" s="17">
        <f>IF($B14="","",_xlfn.TEXTJOIN("; ",TRUE,IF(AND($E14&lt;&gt;"N/A",OR($D14="",$E14&lt;&gt;"Yes")),"TIM",""),IF(AND($G14&lt;&gt;"N/A",OR($F14="",$G14&lt;&gt;"Yes")),"SFST",""),IF(AND($I14&lt;&gt;"N/A",OR($H14="",$I14&lt;&gt;"Yes")),"TCIC",""),IF(AND($K14&lt;&gt;"N/A",OR($J14="",$K14&lt;&gt;"Yes")),"CPR/AED",""),IF(AND($M14&lt;&gt;"N/A",OR($L14="",$M14&lt;&gt;"Yes")),"ALERRT",""),IF(AND($O14&lt;&gt;"N/A",OR($N14="",$O14&lt;&gt;"Yes")),"ICS 100",""),IF(AND($Q14&lt;&gt;"N/A",OR($P14="",$Q14&lt;&gt;"Yes")),"ICS 200",""),IF(AND($S14&lt;&gt;"N/A",OR($R14="",$S14&lt;&gt;"Yes")),"ICS 700","")))</f>
        <v/>
      </c>
      <c r="V14" s="17">
        <f>IF($B14="","",_xlfn.TEXTJOIN("; ",TRUE,IF($E14="N/A","TIM",""),IF($G14="N/A","SFST",""),IF($I14="N/A","TCIC",""),IF($K14="N/A","CPR/AED",""),IF($M14="N/A","ALERRT",""),IF($O14="N/A","ICS 100",""),IF($Q14="N/A","ICS 200",""),IF($S14="N/A","ICS 700","")))</f>
        <v/>
      </c>
      <c r="W14" s="17">
        <f>IF(Cadets!$B14="","",Cadets!$I14)</f>
        <v/>
      </c>
    </row>
    <row r="15">
      <c r="B15" s="17">
        <f>IF(Cadets!$B15="","",Cadets!$B15)</f>
        <v/>
      </c>
      <c r="C15" s="17">
        <f>IF(Cadets!$B15="","",Cadets!$F15)</f>
        <v/>
      </c>
      <c r="D15" s="18" t="n"/>
      <c r="E15" s="16" t="n"/>
      <c r="F15" s="18" t="n"/>
      <c r="G15" s="16" t="n"/>
      <c r="H15" s="18" t="n"/>
      <c r="I15" s="16" t="n"/>
      <c r="J15" s="18" t="n"/>
      <c r="K15" s="16" t="n"/>
      <c r="L15" s="18" t="n"/>
      <c r="M15" s="16" t="n"/>
      <c r="N15" s="18" t="n"/>
      <c r="O15" s="16" t="n"/>
      <c r="P15" s="18" t="n"/>
      <c r="Q15" s="16" t="n"/>
      <c r="R15" s="18" t="n"/>
      <c r="S15" s="16" t="n"/>
      <c r="T15" s="17">
        <f>IF($B15="","",IF($U15="","Yes","No"))</f>
        <v/>
      </c>
      <c r="U15" s="17">
        <f>IF($B15="","",_xlfn.TEXTJOIN("; ",TRUE,IF(AND($E15&lt;&gt;"N/A",OR($D15="",$E15&lt;&gt;"Yes")),"TIM",""),IF(AND($G15&lt;&gt;"N/A",OR($F15="",$G15&lt;&gt;"Yes")),"SFST",""),IF(AND($I15&lt;&gt;"N/A",OR($H15="",$I15&lt;&gt;"Yes")),"TCIC",""),IF(AND($K15&lt;&gt;"N/A",OR($J15="",$K15&lt;&gt;"Yes")),"CPR/AED",""),IF(AND($M15&lt;&gt;"N/A",OR($L15="",$M15&lt;&gt;"Yes")),"ALERRT",""),IF(AND($O15&lt;&gt;"N/A",OR($N15="",$O15&lt;&gt;"Yes")),"ICS 100",""),IF(AND($Q15&lt;&gt;"N/A",OR($P15="",$Q15&lt;&gt;"Yes")),"ICS 200",""),IF(AND($S15&lt;&gt;"N/A",OR($R15="",$S15&lt;&gt;"Yes")),"ICS 700","")))</f>
        <v/>
      </c>
      <c r="V15" s="17">
        <f>IF($B15="","",_xlfn.TEXTJOIN("; ",TRUE,IF($E15="N/A","TIM",""),IF($G15="N/A","SFST",""),IF($I15="N/A","TCIC",""),IF($K15="N/A","CPR/AED",""),IF($M15="N/A","ALERRT",""),IF($O15="N/A","ICS 100",""),IF($Q15="N/A","ICS 200",""),IF($S15="N/A","ICS 700","")))</f>
        <v/>
      </c>
      <c r="W15" s="17">
        <f>IF(Cadets!$B15="","",Cadets!$I15)</f>
        <v/>
      </c>
    </row>
    <row r="16">
      <c r="B16" s="17">
        <f>IF(Cadets!$B16="","",Cadets!$B16)</f>
        <v/>
      </c>
      <c r="C16" s="17">
        <f>IF(Cadets!$B16="","",Cadets!$F16)</f>
        <v/>
      </c>
      <c r="D16" s="18" t="n"/>
      <c r="E16" s="16" t="n"/>
      <c r="F16" s="18" t="n"/>
      <c r="G16" s="16" t="n"/>
      <c r="H16" s="18" t="n"/>
      <c r="I16" s="16" t="n"/>
      <c r="J16" s="18" t="n"/>
      <c r="K16" s="16" t="n"/>
      <c r="L16" s="18" t="n"/>
      <c r="M16" s="16" t="n"/>
      <c r="N16" s="18" t="n"/>
      <c r="O16" s="16" t="n"/>
      <c r="P16" s="18" t="n"/>
      <c r="Q16" s="16" t="n"/>
      <c r="R16" s="18" t="n"/>
      <c r="S16" s="16" t="n"/>
      <c r="T16" s="17">
        <f>IF($B16="","",IF($U16="","Yes","No"))</f>
        <v/>
      </c>
      <c r="U16" s="17">
        <f>IF($B16="","",_xlfn.TEXTJOIN("; ",TRUE,IF(AND($E16&lt;&gt;"N/A",OR($D16="",$E16&lt;&gt;"Yes")),"TIM",""),IF(AND($G16&lt;&gt;"N/A",OR($F16="",$G16&lt;&gt;"Yes")),"SFST",""),IF(AND($I16&lt;&gt;"N/A",OR($H16="",$I16&lt;&gt;"Yes")),"TCIC",""),IF(AND($K16&lt;&gt;"N/A",OR($J16="",$K16&lt;&gt;"Yes")),"CPR/AED",""),IF(AND($M16&lt;&gt;"N/A",OR($L16="",$M16&lt;&gt;"Yes")),"ALERRT",""),IF(AND($O16&lt;&gt;"N/A",OR($N16="",$O16&lt;&gt;"Yes")),"ICS 100",""),IF(AND($Q16&lt;&gt;"N/A",OR($P16="",$Q16&lt;&gt;"Yes")),"ICS 200",""),IF(AND($S16&lt;&gt;"N/A",OR($R16="",$S16&lt;&gt;"Yes")),"ICS 700","")))</f>
        <v/>
      </c>
      <c r="V16" s="17">
        <f>IF($B16="","",_xlfn.TEXTJOIN("; ",TRUE,IF($E16="N/A","TIM",""),IF($G16="N/A","SFST",""),IF($I16="N/A","TCIC",""),IF($K16="N/A","CPR/AED",""),IF($M16="N/A","ALERRT",""),IF($O16="N/A","ICS 100",""),IF($Q16="N/A","ICS 200",""),IF($S16="N/A","ICS 700","")))</f>
        <v/>
      </c>
      <c r="W16" s="17">
        <f>IF(Cadets!$B16="","",Cadets!$I16)</f>
        <v/>
      </c>
    </row>
    <row r="17">
      <c r="B17" s="17">
        <f>IF(Cadets!$B17="","",Cadets!$B17)</f>
        <v/>
      </c>
      <c r="C17" s="17">
        <f>IF(Cadets!$B17="","",Cadets!$F17)</f>
        <v/>
      </c>
      <c r="D17" s="18" t="n"/>
      <c r="E17" s="16" t="n"/>
      <c r="F17" s="18" t="n"/>
      <c r="G17" s="16" t="n"/>
      <c r="H17" s="18" t="n"/>
      <c r="I17" s="16" t="n"/>
      <c r="J17" s="18" t="n"/>
      <c r="K17" s="16" t="n"/>
      <c r="L17" s="18" t="n"/>
      <c r="M17" s="16" t="n"/>
      <c r="N17" s="18" t="n"/>
      <c r="O17" s="16" t="n"/>
      <c r="P17" s="18" t="n"/>
      <c r="Q17" s="16" t="n"/>
      <c r="R17" s="18" t="n"/>
      <c r="S17" s="16" t="n"/>
      <c r="T17" s="17">
        <f>IF($B17="","",IF($U17="","Yes","No"))</f>
        <v/>
      </c>
      <c r="U17" s="17">
        <f>IF($B17="","",_xlfn.TEXTJOIN("; ",TRUE,IF(AND($E17&lt;&gt;"N/A",OR($D17="",$E17&lt;&gt;"Yes")),"TIM",""),IF(AND($G17&lt;&gt;"N/A",OR($F17="",$G17&lt;&gt;"Yes")),"SFST",""),IF(AND($I17&lt;&gt;"N/A",OR($H17="",$I17&lt;&gt;"Yes")),"TCIC",""),IF(AND($K17&lt;&gt;"N/A",OR($J17="",$K17&lt;&gt;"Yes")),"CPR/AED",""),IF(AND($M17&lt;&gt;"N/A",OR($L17="",$M17&lt;&gt;"Yes")),"ALERRT",""),IF(AND($O17&lt;&gt;"N/A",OR($N17="",$O17&lt;&gt;"Yes")),"ICS 100",""),IF(AND($Q17&lt;&gt;"N/A",OR($P17="",$Q17&lt;&gt;"Yes")),"ICS 200",""),IF(AND($S17&lt;&gt;"N/A",OR($R17="",$S17&lt;&gt;"Yes")),"ICS 700","")))</f>
        <v/>
      </c>
      <c r="V17" s="17">
        <f>IF($B17="","",_xlfn.TEXTJOIN("; ",TRUE,IF($E17="N/A","TIM",""),IF($G17="N/A","SFST",""),IF($I17="N/A","TCIC",""),IF($K17="N/A","CPR/AED",""),IF($M17="N/A","ALERRT",""),IF($O17="N/A","ICS 100",""),IF($Q17="N/A","ICS 200",""),IF($S17="N/A","ICS 700","")))</f>
        <v/>
      </c>
      <c r="W17" s="17">
        <f>IF(Cadets!$B17="","",Cadets!$I17)</f>
        <v/>
      </c>
    </row>
    <row r="18">
      <c r="B18" s="17">
        <f>IF(Cadets!$B18="","",Cadets!$B18)</f>
        <v/>
      </c>
      <c r="C18" s="17">
        <f>IF(Cadets!$B18="","",Cadets!$F18)</f>
        <v/>
      </c>
      <c r="D18" s="18" t="n"/>
      <c r="E18" s="16" t="n"/>
      <c r="F18" s="18" t="n"/>
      <c r="G18" s="16" t="n"/>
      <c r="H18" s="18" t="n"/>
      <c r="I18" s="16" t="n"/>
      <c r="J18" s="18" t="n"/>
      <c r="K18" s="16" t="n"/>
      <c r="L18" s="18" t="n"/>
      <c r="M18" s="16" t="n"/>
      <c r="N18" s="18" t="n"/>
      <c r="O18" s="16" t="n"/>
      <c r="P18" s="18" t="n"/>
      <c r="Q18" s="16" t="n"/>
      <c r="R18" s="18" t="n"/>
      <c r="S18" s="16" t="n"/>
      <c r="T18" s="17">
        <f>IF($B18="","",IF($U18="","Yes","No"))</f>
        <v/>
      </c>
      <c r="U18" s="17">
        <f>IF($B18="","",_xlfn.TEXTJOIN("; ",TRUE,IF(AND($E18&lt;&gt;"N/A",OR($D18="",$E18&lt;&gt;"Yes")),"TIM",""),IF(AND($G18&lt;&gt;"N/A",OR($F18="",$G18&lt;&gt;"Yes")),"SFST",""),IF(AND($I18&lt;&gt;"N/A",OR($H18="",$I18&lt;&gt;"Yes")),"TCIC",""),IF(AND($K18&lt;&gt;"N/A",OR($J18="",$K18&lt;&gt;"Yes")),"CPR/AED",""),IF(AND($M18&lt;&gt;"N/A",OR($L18="",$M18&lt;&gt;"Yes")),"ALERRT",""),IF(AND($O18&lt;&gt;"N/A",OR($N18="",$O18&lt;&gt;"Yes")),"ICS 100",""),IF(AND($Q18&lt;&gt;"N/A",OR($P18="",$Q18&lt;&gt;"Yes")),"ICS 200",""),IF(AND($S18&lt;&gt;"N/A",OR($R18="",$S18&lt;&gt;"Yes")),"ICS 700","")))</f>
        <v/>
      </c>
      <c r="V18" s="17">
        <f>IF($B18="","",_xlfn.TEXTJOIN("; ",TRUE,IF($E18="N/A","TIM",""),IF($G18="N/A","SFST",""),IF($I18="N/A","TCIC",""),IF($K18="N/A","CPR/AED",""),IF($M18="N/A","ALERRT",""),IF($O18="N/A","ICS 100",""),IF($Q18="N/A","ICS 200",""),IF($S18="N/A","ICS 700","")))</f>
        <v/>
      </c>
      <c r="W18" s="17">
        <f>IF(Cadets!$B18="","",Cadets!$I18)</f>
        <v/>
      </c>
    </row>
    <row r="19">
      <c r="B19" s="17">
        <f>IF(Cadets!$B19="","",Cadets!$B19)</f>
        <v/>
      </c>
      <c r="C19" s="17">
        <f>IF(Cadets!$B19="","",Cadets!$F19)</f>
        <v/>
      </c>
      <c r="D19" s="18" t="n"/>
      <c r="E19" s="16" t="n"/>
      <c r="F19" s="18" t="n"/>
      <c r="G19" s="16" t="n"/>
      <c r="H19" s="18" t="n"/>
      <c r="I19" s="16" t="n"/>
      <c r="J19" s="18" t="n"/>
      <c r="K19" s="16" t="n"/>
      <c r="L19" s="18" t="n"/>
      <c r="M19" s="16" t="n"/>
      <c r="N19" s="18" t="n"/>
      <c r="O19" s="16" t="n"/>
      <c r="P19" s="18" t="n"/>
      <c r="Q19" s="16" t="n"/>
      <c r="R19" s="18" t="n"/>
      <c r="S19" s="16" t="n"/>
      <c r="T19" s="17">
        <f>IF($B19="","",IF($U19="","Yes","No"))</f>
        <v/>
      </c>
      <c r="U19" s="17">
        <f>IF($B19="","",_xlfn.TEXTJOIN("; ",TRUE,IF(AND($E19&lt;&gt;"N/A",OR($D19="",$E19&lt;&gt;"Yes")),"TIM",""),IF(AND($G19&lt;&gt;"N/A",OR($F19="",$G19&lt;&gt;"Yes")),"SFST",""),IF(AND($I19&lt;&gt;"N/A",OR($H19="",$I19&lt;&gt;"Yes")),"TCIC",""),IF(AND($K19&lt;&gt;"N/A",OR($J19="",$K19&lt;&gt;"Yes")),"CPR/AED",""),IF(AND($M19&lt;&gt;"N/A",OR($L19="",$M19&lt;&gt;"Yes")),"ALERRT",""),IF(AND($O19&lt;&gt;"N/A",OR($N19="",$O19&lt;&gt;"Yes")),"ICS 100",""),IF(AND($Q19&lt;&gt;"N/A",OR($P19="",$Q19&lt;&gt;"Yes")),"ICS 200",""),IF(AND($S19&lt;&gt;"N/A",OR($R19="",$S19&lt;&gt;"Yes")),"ICS 700","")))</f>
        <v/>
      </c>
      <c r="V19" s="17">
        <f>IF($B19="","",_xlfn.TEXTJOIN("; ",TRUE,IF($E19="N/A","TIM",""),IF($G19="N/A","SFST",""),IF($I19="N/A","TCIC",""),IF($K19="N/A","CPR/AED",""),IF($M19="N/A","ALERRT",""),IF($O19="N/A","ICS 100",""),IF($Q19="N/A","ICS 200",""),IF($S19="N/A","ICS 700","")))</f>
        <v/>
      </c>
      <c r="W19" s="17">
        <f>IF(Cadets!$B19="","",Cadets!$I19)</f>
        <v/>
      </c>
    </row>
    <row r="20">
      <c r="B20" s="17">
        <f>IF(Cadets!$B20="","",Cadets!$B20)</f>
        <v/>
      </c>
      <c r="C20" s="17">
        <f>IF(Cadets!$B20="","",Cadets!$F20)</f>
        <v/>
      </c>
      <c r="D20" s="18" t="n"/>
      <c r="E20" s="16" t="n"/>
      <c r="F20" s="18" t="n"/>
      <c r="G20" s="16" t="n"/>
      <c r="H20" s="18" t="n"/>
      <c r="I20" s="16" t="n"/>
      <c r="J20" s="18" t="n"/>
      <c r="K20" s="16" t="n"/>
      <c r="L20" s="18" t="n"/>
      <c r="M20" s="16" t="n"/>
      <c r="N20" s="18" t="n"/>
      <c r="O20" s="16" t="n"/>
      <c r="P20" s="18" t="n"/>
      <c r="Q20" s="16" t="n"/>
      <c r="R20" s="18" t="n"/>
      <c r="S20" s="16" t="n"/>
      <c r="T20" s="17">
        <f>IF($B20="","",IF($U20="","Yes","No"))</f>
        <v/>
      </c>
      <c r="U20" s="17">
        <f>IF($B20="","",_xlfn.TEXTJOIN("; ",TRUE,IF(AND($E20&lt;&gt;"N/A",OR($D20="",$E20&lt;&gt;"Yes")),"TIM",""),IF(AND($G20&lt;&gt;"N/A",OR($F20="",$G20&lt;&gt;"Yes")),"SFST",""),IF(AND($I20&lt;&gt;"N/A",OR($H20="",$I20&lt;&gt;"Yes")),"TCIC",""),IF(AND($K20&lt;&gt;"N/A",OR($J20="",$K20&lt;&gt;"Yes")),"CPR/AED",""),IF(AND($M20&lt;&gt;"N/A",OR($L20="",$M20&lt;&gt;"Yes")),"ALERRT",""),IF(AND($O20&lt;&gt;"N/A",OR($N20="",$O20&lt;&gt;"Yes")),"ICS 100",""),IF(AND($Q20&lt;&gt;"N/A",OR($P20="",$Q20&lt;&gt;"Yes")),"ICS 200",""),IF(AND($S20&lt;&gt;"N/A",OR($R20="",$S20&lt;&gt;"Yes")),"ICS 700","")))</f>
        <v/>
      </c>
      <c r="V20" s="17">
        <f>IF($B20="","",_xlfn.TEXTJOIN("; ",TRUE,IF($E20="N/A","TIM",""),IF($G20="N/A","SFST",""),IF($I20="N/A","TCIC",""),IF($K20="N/A","CPR/AED",""),IF($M20="N/A","ALERRT",""),IF($O20="N/A","ICS 100",""),IF($Q20="N/A","ICS 200",""),IF($S20="N/A","ICS 700","")))</f>
        <v/>
      </c>
      <c r="W20" s="17">
        <f>IF(Cadets!$B20="","",Cadets!$I20)</f>
        <v/>
      </c>
    </row>
    <row r="21">
      <c r="B21" s="17">
        <f>IF(Cadets!$B21="","",Cadets!$B21)</f>
        <v/>
      </c>
      <c r="C21" s="17">
        <f>IF(Cadets!$B21="","",Cadets!$F21)</f>
        <v/>
      </c>
      <c r="D21" s="18" t="n"/>
      <c r="E21" s="16" t="n"/>
      <c r="F21" s="18" t="n"/>
      <c r="G21" s="16" t="n"/>
      <c r="H21" s="18" t="n"/>
      <c r="I21" s="16" t="n"/>
      <c r="J21" s="18" t="n"/>
      <c r="K21" s="16" t="n"/>
      <c r="L21" s="18" t="n"/>
      <c r="M21" s="16" t="n"/>
      <c r="N21" s="18" t="n"/>
      <c r="O21" s="16" t="n"/>
      <c r="P21" s="18" t="n"/>
      <c r="Q21" s="16" t="n"/>
      <c r="R21" s="18" t="n"/>
      <c r="S21" s="16" t="n"/>
      <c r="T21" s="17">
        <f>IF($B21="","",IF($U21="","Yes","No"))</f>
        <v/>
      </c>
      <c r="U21" s="17">
        <f>IF($B21="","",_xlfn.TEXTJOIN("; ",TRUE,IF(AND($E21&lt;&gt;"N/A",OR($D21="",$E21&lt;&gt;"Yes")),"TIM",""),IF(AND($G21&lt;&gt;"N/A",OR($F21="",$G21&lt;&gt;"Yes")),"SFST",""),IF(AND($I21&lt;&gt;"N/A",OR($H21="",$I21&lt;&gt;"Yes")),"TCIC",""),IF(AND($K21&lt;&gt;"N/A",OR($J21="",$K21&lt;&gt;"Yes")),"CPR/AED",""),IF(AND($M21&lt;&gt;"N/A",OR($L21="",$M21&lt;&gt;"Yes")),"ALERRT",""),IF(AND($O21&lt;&gt;"N/A",OR($N21="",$O21&lt;&gt;"Yes")),"ICS 100",""),IF(AND($Q21&lt;&gt;"N/A",OR($P21="",$Q21&lt;&gt;"Yes")),"ICS 200",""),IF(AND($S21&lt;&gt;"N/A",OR($R21="",$S21&lt;&gt;"Yes")),"ICS 700","")))</f>
        <v/>
      </c>
      <c r="V21" s="17">
        <f>IF($B21="","",_xlfn.TEXTJOIN("; ",TRUE,IF($E21="N/A","TIM",""),IF($G21="N/A","SFST",""),IF($I21="N/A","TCIC",""),IF($K21="N/A","CPR/AED",""),IF($M21="N/A","ALERRT",""),IF($O21="N/A","ICS 100",""),IF($Q21="N/A","ICS 200",""),IF($S21="N/A","ICS 700","")))</f>
        <v/>
      </c>
      <c r="W21" s="17">
        <f>IF(Cadets!$B21="","",Cadets!$I21)</f>
        <v/>
      </c>
    </row>
    <row r="22">
      <c r="B22" s="17">
        <f>IF(Cadets!$B22="","",Cadets!$B22)</f>
        <v/>
      </c>
      <c r="C22" s="17">
        <f>IF(Cadets!$B22="","",Cadets!$F22)</f>
        <v/>
      </c>
      <c r="D22" s="18" t="n"/>
      <c r="E22" s="16" t="n"/>
      <c r="F22" s="18" t="n"/>
      <c r="G22" s="16" t="n"/>
      <c r="H22" s="18" t="n"/>
      <c r="I22" s="16" t="n"/>
      <c r="J22" s="18" t="n"/>
      <c r="K22" s="16" t="n"/>
      <c r="L22" s="18" t="n"/>
      <c r="M22" s="16" t="n"/>
      <c r="N22" s="18" t="n"/>
      <c r="O22" s="16" t="n"/>
      <c r="P22" s="18" t="n"/>
      <c r="Q22" s="16" t="n"/>
      <c r="R22" s="18" t="n"/>
      <c r="S22" s="16" t="n"/>
      <c r="T22" s="17">
        <f>IF($B22="","",IF($U22="","Yes","No"))</f>
        <v/>
      </c>
      <c r="U22" s="17">
        <f>IF($B22="","",_xlfn.TEXTJOIN("; ",TRUE,IF(AND($E22&lt;&gt;"N/A",OR($D22="",$E22&lt;&gt;"Yes")),"TIM",""),IF(AND($G22&lt;&gt;"N/A",OR($F22="",$G22&lt;&gt;"Yes")),"SFST",""),IF(AND($I22&lt;&gt;"N/A",OR($H22="",$I22&lt;&gt;"Yes")),"TCIC",""),IF(AND($K22&lt;&gt;"N/A",OR($J22="",$K22&lt;&gt;"Yes")),"CPR/AED",""),IF(AND($M22&lt;&gt;"N/A",OR($L22="",$M22&lt;&gt;"Yes")),"ALERRT",""),IF(AND($O22&lt;&gt;"N/A",OR($N22="",$O22&lt;&gt;"Yes")),"ICS 100",""),IF(AND($Q22&lt;&gt;"N/A",OR($P22="",$Q22&lt;&gt;"Yes")),"ICS 200",""),IF(AND($S22&lt;&gt;"N/A",OR($R22="",$S22&lt;&gt;"Yes")),"ICS 700","")))</f>
        <v/>
      </c>
      <c r="V22" s="17">
        <f>IF($B22="","",_xlfn.TEXTJOIN("; ",TRUE,IF($E22="N/A","TIM",""),IF($G22="N/A","SFST",""),IF($I22="N/A","TCIC",""),IF($K22="N/A","CPR/AED",""),IF($M22="N/A","ALERRT",""),IF($O22="N/A","ICS 100",""),IF($Q22="N/A","ICS 200",""),IF($S22="N/A","ICS 700","")))</f>
        <v/>
      </c>
      <c r="W22" s="17">
        <f>IF(Cadets!$B22="","",Cadets!$I22)</f>
        <v/>
      </c>
    </row>
    <row r="23">
      <c r="B23" s="17">
        <f>IF(Cadets!$B23="","",Cadets!$B23)</f>
        <v/>
      </c>
      <c r="C23" s="17">
        <f>IF(Cadets!$B23="","",Cadets!$F23)</f>
        <v/>
      </c>
      <c r="D23" s="18" t="n"/>
      <c r="E23" s="16" t="n"/>
      <c r="F23" s="18" t="n"/>
      <c r="G23" s="16" t="n"/>
      <c r="H23" s="18" t="n"/>
      <c r="I23" s="16" t="n"/>
      <c r="J23" s="18" t="n"/>
      <c r="K23" s="16" t="n"/>
      <c r="L23" s="18" t="n"/>
      <c r="M23" s="16" t="n"/>
      <c r="N23" s="18" t="n"/>
      <c r="O23" s="16" t="n"/>
      <c r="P23" s="18" t="n"/>
      <c r="Q23" s="16" t="n"/>
      <c r="R23" s="18" t="n"/>
      <c r="S23" s="16" t="n"/>
      <c r="T23" s="17">
        <f>IF($B23="","",IF($U23="","Yes","No"))</f>
        <v/>
      </c>
      <c r="U23" s="17">
        <f>IF($B23="","",_xlfn.TEXTJOIN("; ",TRUE,IF(AND($E23&lt;&gt;"N/A",OR($D23="",$E23&lt;&gt;"Yes")),"TIM",""),IF(AND($G23&lt;&gt;"N/A",OR($F23="",$G23&lt;&gt;"Yes")),"SFST",""),IF(AND($I23&lt;&gt;"N/A",OR($H23="",$I23&lt;&gt;"Yes")),"TCIC",""),IF(AND($K23&lt;&gt;"N/A",OR($J23="",$K23&lt;&gt;"Yes")),"CPR/AED",""),IF(AND($M23&lt;&gt;"N/A",OR($L23="",$M23&lt;&gt;"Yes")),"ALERRT",""),IF(AND($O23&lt;&gt;"N/A",OR($N23="",$O23&lt;&gt;"Yes")),"ICS 100",""),IF(AND($Q23&lt;&gt;"N/A",OR($P23="",$Q23&lt;&gt;"Yes")),"ICS 200",""),IF(AND($S23&lt;&gt;"N/A",OR($R23="",$S23&lt;&gt;"Yes")),"ICS 700","")))</f>
        <v/>
      </c>
      <c r="V23" s="17">
        <f>IF($B23="","",_xlfn.TEXTJOIN("; ",TRUE,IF($E23="N/A","TIM",""),IF($G23="N/A","SFST",""),IF($I23="N/A","TCIC",""),IF($K23="N/A","CPR/AED",""),IF($M23="N/A","ALERRT",""),IF($O23="N/A","ICS 100",""),IF($Q23="N/A","ICS 200",""),IF($S23="N/A","ICS 700","")))</f>
        <v/>
      </c>
      <c r="W23" s="17">
        <f>IF(Cadets!$B23="","",Cadets!$I23)</f>
        <v/>
      </c>
    </row>
    <row r="24">
      <c r="B24" s="17">
        <f>IF(Cadets!$B24="","",Cadets!$B24)</f>
        <v/>
      </c>
      <c r="C24" s="17">
        <f>IF(Cadets!$B24="","",Cadets!$F24)</f>
        <v/>
      </c>
      <c r="D24" s="18" t="n"/>
      <c r="E24" s="16" t="n"/>
      <c r="F24" s="18" t="n"/>
      <c r="G24" s="16" t="n"/>
      <c r="H24" s="18" t="n"/>
      <c r="I24" s="16" t="n"/>
      <c r="J24" s="18" t="n"/>
      <c r="K24" s="16" t="n"/>
      <c r="L24" s="18" t="n"/>
      <c r="M24" s="16" t="n"/>
      <c r="N24" s="18" t="n"/>
      <c r="O24" s="16" t="n"/>
      <c r="P24" s="18" t="n"/>
      <c r="Q24" s="16" t="n"/>
      <c r="R24" s="18" t="n"/>
      <c r="S24" s="16" t="n"/>
      <c r="T24" s="17">
        <f>IF($B24="","",IF($U24="","Yes","No"))</f>
        <v/>
      </c>
      <c r="U24" s="17">
        <f>IF($B24="","",_xlfn.TEXTJOIN("; ",TRUE,IF(AND($E24&lt;&gt;"N/A",OR($D24="",$E24&lt;&gt;"Yes")),"TIM",""),IF(AND($G24&lt;&gt;"N/A",OR($F24="",$G24&lt;&gt;"Yes")),"SFST",""),IF(AND($I24&lt;&gt;"N/A",OR($H24="",$I24&lt;&gt;"Yes")),"TCIC",""),IF(AND($K24&lt;&gt;"N/A",OR($J24="",$K24&lt;&gt;"Yes")),"CPR/AED",""),IF(AND($M24&lt;&gt;"N/A",OR($L24="",$M24&lt;&gt;"Yes")),"ALERRT",""),IF(AND($O24&lt;&gt;"N/A",OR($N24="",$O24&lt;&gt;"Yes")),"ICS 100",""),IF(AND($Q24&lt;&gt;"N/A",OR($P24="",$Q24&lt;&gt;"Yes")),"ICS 200",""),IF(AND($S24&lt;&gt;"N/A",OR($R24="",$S24&lt;&gt;"Yes")),"ICS 700","")))</f>
        <v/>
      </c>
      <c r="V24" s="17">
        <f>IF($B24="","",_xlfn.TEXTJOIN("; ",TRUE,IF($E24="N/A","TIM",""),IF($G24="N/A","SFST",""),IF($I24="N/A","TCIC",""),IF($K24="N/A","CPR/AED",""),IF($M24="N/A","ALERRT",""),IF($O24="N/A","ICS 100",""),IF($Q24="N/A","ICS 200",""),IF($S24="N/A","ICS 700","")))</f>
        <v/>
      </c>
      <c r="W24" s="17">
        <f>IF(Cadets!$B24="","",Cadets!$I24)</f>
        <v/>
      </c>
    </row>
    <row r="25">
      <c r="B25" s="17">
        <f>IF(Cadets!$B25="","",Cadets!$B25)</f>
        <v/>
      </c>
      <c r="C25" s="17">
        <f>IF(Cadets!$B25="","",Cadets!$F25)</f>
        <v/>
      </c>
      <c r="D25" s="18" t="n"/>
      <c r="E25" s="16" t="n"/>
      <c r="F25" s="18" t="n"/>
      <c r="G25" s="16" t="n"/>
      <c r="H25" s="18" t="n"/>
      <c r="I25" s="16" t="n"/>
      <c r="J25" s="18" t="n"/>
      <c r="K25" s="16" t="n"/>
      <c r="L25" s="18" t="n"/>
      <c r="M25" s="16" t="n"/>
      <c r="N25" s="18" t="n"/>
      <c r="O25" s="16" t="n"/>
      <c r="P25" s="18" t="n"/>
      <c r="Q25" s="16" t="n"/>
      <c r="R25" s="18" t="n"/>
      <c r="S25" s="16" t="n"/>
      <c r="T25" s="17">
        <f>IF($B25="","",IF($U25="","Yes","No"))</f>
        <v/>
      </c>
      <c r="U25" s="17">
        <f>IF($B25="","",_xlfn.TEXTJOIN("; ",TRUE,IF(AND($E25&lt;&gt;"N/A",OR($D25="",$E25&lt;&gt;"Yes")),"TIM",""),IF(AND($G25&lt;&gt;"N/A",OR($F25="",$G25&lt;&gt;"Yes")),"SFST",""),IF(AND($I25&lt;&gt;"N/A",OR($H25="",$I25&lt;&gt;"Yes")),"TCIC",""),IF(AND($K25&lt;&gt;"N/A",OR($J25="",$K25&lt;&gt;"Yes")),"CPR/AED",""),IF(AND($M25&lt;&gt;"N/A",OR($L25="",$M25&lt;&gt;"Yes")),"ALERRT",""),IF(AND($O25&lt;&gt;"N/A",OR($N25="",$O25&lt;&gt;"Yes")),"ICS 100",""),IF(AND($Q25&lt;&gt;"N/A",OR($P25="",$Q25&lt;&gt;"Yes")),"ICS 200",""),IF(AND($S25&lt;&gt;"N/A",OR($R25="",$S25&lt;&gt;"Yes")),"ICS 700","")))</f>
        <v/>
      </c>
      <c r="V25" s="17">
        <f>IF($B25="","",_xlfn.TEXTJOIN("; ",TRUE,IF($E25="N/A","TIM",""),IF($G25="N/A","SFST",""),IF($I25="N/A","TCIC",""),IF($K25="N/A","CPR/AED",""),IF($M25="N/A","ALERRT",""),IF($O25="N/A","ICS 100",""),IF($Q25="N/A","ICS 200",""),IF($S25="N/A","ICS 700","")))</f>
        <v/>
      </c>
      <c r="W25" s="17">
        <f>IF(Cadets!$B25="","",Cadets!$I25)</f>
        <v/>
      </c>
    </row>
    <row r="26">
      <c r="B26" s="17">
        <f>IF(Cadets!$B26="","",Cadets!$B26)</f>
        <v/>
      </c>
      <c r="C26" s="17">
        <f>IF(Cadets!$B26="","",Cadets!$F26)</f>
        <v/>
      </c>
      <c r="D26" s="18" t="n"/>
      <c r="E26" s="16" t="n"/>
      <c r="F26" s="18" t="n"/>
      <c r="G26" s="16" t="n"/>
      <c r="H26" s="18" t="n"/>
      <c r="I26" s="16" t="n"/>
      <c r="J26" s="18" t="n"/>
      <c r="K26" s="16" t="n"/>
      <c r="L26" s="18" t="n"/>
      <c r="M26" s="16" t="n"/>
      <c r="N26" s="18" t="n"/>
      <c r="O26" s="16" t="n"/>
      <c r="P26" s="18" t="n"/>
      <c r="Q26" s="16" t="n"/>
      <c r="R26" s="18" t="n"/>
      <c r="S26" s="16" t="n"/>
      <c r="T26" s="17">
        <f>IF($B26="","",IF($U26="","Yes","No"))</f>
        <v/>
      </c>
      <c r="U26" s="17">
        <f>IF($B26="","",_xlfn.TEXTJOIN("; ",TRUE,IF(AND($E26&lt;&gt;"N/A",OR($D26="",$E26&lt;&gt;"Yes")),"TIM",""),IF(AND($G26&lt;&gt;"N/A",OR($F26="",$G26&lt;&gt;"Yes")),"SFST",""),IF(AND($I26&lt;&gt;"N/A",OR($H26="",$I26&lt;&gt;"Yes")),"TCIC",""),IF(AND($K26&lt;&gt;"N/A",OR($J26="",$K26&lt;&gt;"Yes")),"CPR/AED",""),IF(AND($M26&lt;&gt;"N/A",OR($L26="",$M26&lt;&gt;"Yes")),"ALERRT",""),IF(AND($O26&lt;&gt;"N/A",OR($N26="",$O26&lt;&gt;"Yes")),"ICS 100",""),IF(AND($Q26&lt;&gt;"N/A",OR($P26="",$Q26&lt;&gt;"Yes")),"ICS 200",""),IF(AND($S26&lt;&gt;"N/A",OR($R26="",$S26&lt;&gt;"Yes")),"ICS 700","")))</f>
        <v/>
      </c>
      <c r="V26" s="17">
        <f>IF($B26="","",_xlfn.TEXTJOIN("; ",TRUE,IF($E26="N/A","TIM",""),IF($G26="N/A","SFST",""),IF($I26="N/A","TCIC",""),IF($K26="N/A","CPR/AED",""),IF($M26="N/A","ALERRT",""),IF($O26="N/A","ICS 100",""),IF($Q26="N/A","ICS 200",""),IF($S26="N/A","ICS 700","")))</f>
        <v/>
      </c>
      <c r="W26" s="17">
        <f>IF(Cadets!$B26="","",Cadets!$I26)</f>
        <v/>
      </c>
    </row>
    <row r="27">
      <c r="B27" s="17">
        <f>IF(Cadets!$B27="","",Cadets!$B27)</f>
        <v/>
      </c>
      <c r="C27" s="17">
        <f>IF(Cadets!$B27="","",Cadets!$F27)</f>
        <v/>
      </c>
      <c r="D27" s="18" t="n"/>
      <c r="E27" s="16" t="n"/>
      <c r="F27" s="18" t="n"/>
      <c r="G27" s="16" t="n"/>
      <c r="H27" s="18" t="n"/>
      <c r="I27" s="16" t="n"/>
      <c r="J27" s="18" t="n"/>
      <c r="K27" s="16" t="n"/>
      <c r="L27" s="18" t="n"/>
      <c r="M27" s="16" t="n"/>
      <c r="N27" s="18" t="n"/>
      <c r="O27" s="16" t="n"/>
      <c r="P27" s="18" t="n"/>
      <c r="Q27" s="16" t="n"/>
      <c r="R27" s="18" t="n"/>
      <c r="S27" s="16" t="n"/>
      <c r="T27" s="17">
        <f>IF($B27="","",IF($U27="","Yes","No"))</f>
        <v/>
      </c>
      <c r="U27" s="17">
        <f>IF($B27="","",_xlfn.TEXTJOIN("; ",TRUE,IF(AND($E27&lt;&gt;"N/A",OR($D27="",$E27&lt;&gt;"Yes")),"TIM",""),IF(AND($G27&lt;&gt;"N/A",OR($F27="",$G27&lt;&gt;"Yes")),"SFST",""),IF(AND($I27&lt;&gt;"N/A",OR($H27="",$I27&lt;&gt;"Yes")),"TCIC",""),IF(AND($K27&lt;&gt;"N/A",OR($J27="",$K27&lt;&gt;"Yes")),"CPR/AED",""),IF(AND($M27&lt;&gt;"N/A",OR($L27="",$M27&lt;&gt;"Yes")),"ALERRT",""),IF(AND($O27&lt;&gt;"N/A",OR($N27="",$O27&lt;&gt;"Yes")),"ICS 100",""),IF(AND($Q27&lt;&gt;"N/A",OR($P27="",$Q27&lt;&gt;"Yes")),"ICS 200",""),IF(AND($S27&lt;&gt;"N/A",OR($R27="",$S27&lt;&gt;"Yes")),"ICS 700","")))</f>
        <v/>
      </c>
      <c r="V27" s="17">
        <f>IF($B27="","",_xlfn.TEXTJOIN("; ",TRUE,IF($E27="N/A","TIM",""),IF($G27="N/A","SFST",""),IF($I27="N/A","TCIC",""),IF($K27="N/A","CPR/AED",""),IF($M27="N/A","ALERRT",""),IF($O27="N/A","ICS 100",""),IF($Q27="N/A","ICS 200",""),IF($S27="N/A","ICS 700","")))</f>
        <v/>
      </c>
      <c r="W27" s="17">
        <f>IF(Cadets!$B27="","",Cadets!$I27)</f>
        <v/>
      </c>
    </row>
    <row r="28">
      <c r="B28" s="17">
        <f>IF(Cadets!$B28="","",Cadets!$B28)</f>
        <v/>
      </c>
      <c r="C28" s="17">
        <f>IF(Cadets!$B28="","",Cadets!$F28)</f>
        <v/>
      </c>
      <c r="D28" s="18" t="n"/>
      <c r="E28" s="16" t="n"/>
      <c r="F28" s="18" t="n"/>
      <c r="G28" s="16" t="n"/>
      <c r="H28" s="18" t="n"/>
      <c r="I28" s="16" t="n"/>
      <c r="J28" s="18" t="n"/>
      <c r="K28" s="16" t="n"/>
      <c r="L28" s="18" t="n"/>
      <c r="M28" s="16" t="n"/>
      <c r="N28" s="18" t="n"/>
      <c r="O28" s="16" t="n"/>
      <c r="P28" s="18" t="n"/>
      <c r="Q28" s="16" t="n"/>
      <c r="R28" s="18" t="n"/>
      <c r="S28" s="16" t="n"/>
      <c r="T28" s="17">
        <f>IF($B28="","",IF($U28="","Yes","No"))</f>
        <v/>
      </c>
      <c r="U28" s="17">
        <f>IF($B28="","",_xlfn.TEXTJOIN("; ",TRUE,IF(AND($E28&lt;&gt;"N/A",OR($D28="",$E28&lt;&gt;"Yes")),"TIM",""),IF(AND($G28&lt;&gt;"N/A",OR($F28="",$G28&lt;&gt;"Yes")),"SFST",""),IF(AND($I28&lt;&gt;"N/A",OR($H28="",$I28&lt;&gt;"Yes")),"TCIC",""),IF(AND($K28&lt;&gt;"N/A",OR($J28="",$K28&lt;&gt;"Yes")),"CPR/AED",""),IF(AND($M28&lt;&gt;"N/A",OR($L28="",$M28&lt;&gt;"Yes")),"ALERRT",""),IF(AND($O28&lt;&gt;"N/A",OR($N28="",$O28&lt;&gt;"Yes")),"ICS 100",""),IF(AND($Q28&lt;&gt;"N/A",OR($P28="",$Q28&lt;&gt;"Yes")),"ICS 200",""),IF(AND($S28&lt;&gt;"N/A",OR($R28="",$S28&lt;&gt;"Yes")),"ICS 700","")))</f>
        <v/>
      </c>
      <c r="V28" s="17">
        <f>IF($B28="","",_xlfn.TEXTJOIN("; ",TRUE,IF($E28="N/A","TIM",""),IF($G28="N/A","SFST",""),IF($I28="N/A","TCIC",""),IF($K28="N/A","CPR/AED",""),IF($M28="N/A","ALERRT",""),IF($O28="N/A","ICS 100",""),IF($Q28="N/A","ICS 200",""),IF($S28="N/A","ICS 700","")))</f>
        <v/>
      </c>
      <c r="W28" s="17">
        <f>IF(Cadets!$B28="","",Cadets!$I28)</f>
        <v/>
      </c>
    </row>
    <row r="29">
      <c r="B29" s="17">
        <f>IF(Cadets!$B29="","",Cadets!$B29)</f>
        <v/>
      </c>
      <c r="C29" s="17">
        <f>IF(Cadets!$B29="","",Cadets!$F29)</f>
        <v/>
      </c>
      <c r="D29" s="18" t="n"/>
      <c r="E29" s="16" t="n"/>
      <c r="F29" s="18" t="n"/>
      <c r="G29" s="16" t="n"/>
      <c r="H29" s="18" t="n"/>
      <c r="I29" s="16" t="n"/>
      <c r="J29" s="18" t="n"/>
      <c r="K29" s="16" t="n"/>
      <c r="L29" s="18" t="n"/>
      <c r="M29" s="16" t="n"/>
      <c r="N29" s="18" t="n"/>
      <c r="O29" s="16" t="n"/>
      <c r="P29" s="18" t="n"/>
      <c r="Q29" s="16" t="n"/>
      <c r="R29" s="18" t="n"/>
      <c r="S29" s="16" t="n"/>
      <c r="T29" s="17">
        <f>IF($B29="","",IF($U29="","Yes","No"))</f>
        <v/>
      </c>
      <c r="U29" s="17">
        <f>IF($B29="","",_xlfn.TEXTJOIN("; ",TRUE,IF(AND($E29&lt;&gt;"N/A",OR($D29="",$E29&lt;&gt;"Yes")),"TIM",""),IF(AND($G29&lt;&gt;"N/A",OR($F29="",$G29&lt;&gt;"Yes")),"SFST",""),IF(AND($I29&lt;&gt;"N/A",OR($H29="",$I29&lt;&gt;"Yes")),"TCIC",""),IF(AND($K29&lt;&gt;"N/A",OR($J29="",$K29&lt;&gt;"Yes")),"CPR/AED",""),IF(AND($M29&lt;&gt;"N/A",OR($L29="",$M29&lt;&gt;"Yes")),"ALERRT",""),IF(AND($O29&lt;&gt;"N/A",OR($N29="",$O29&lt;&gt;"Yes")),"ICS 100",""),IF(AND($Q29&lt;&gt;"N/A",OR($P29="",$Q29&lt;&gt;"Yes")),"ICS 200",""),IF(AND($S29&lt;&gt;"N/A",OR($R29="",$S29&lt;&gt;"Yes")),"ICS 700","")))</f>
        <v/>
      </c>
      <c r="V29" s="17">
        <f>IF($B29="","",_xlfn.TEXTJOIN("; ",TRUE,IF($E29="N/A","TIM",""),IF($G29="N/A","SFST",""),IF($I29="N/A","TCIC",""),IF($K29="N/A","CPR/AED",""),IF($M29="N/A","ALERRT",""),IF($O29="N/A","ICS 100",""),IF($Q29="N/A","ICS 200",""),IF($S29="N/A","ICS 700","")))</f>
        <v/>
      </c>
      <c r="W29" s="17">
        <f>IF(Cadets!$B29="","",Cadets!$I29)</f>
        <v/>
      </c>
    </row>
    <row r="30">
      <c r="B30" s="17">
        <f>IF(Cadets!$B30="","",Cadets!$B30)</f>
        <v/>
      </c>
      <c r="C30" s="17">
        <f>IF(Cadets!$B30="","",Cadets!$F30)</f>
        <v/>
      </c>
      <c r="D30" s="18" t="n"/>
      <c r="E30" s="16" t="n"/>
      <c r="F30" s="18" t="n"/>
      <c r="G30" s="16" t="n"/>
      <c r="H30" s="18" t="n"/>
      <c r="I30" s="16" t="n"/>
      <c r="J30" s="18" t="n"/>
      <c r="K30" s="16" t="n"/>
      <c r="L30" s="18" t="n"/>
      <c r="M30" s="16" t="n"/>
      <c r="N30" s="18" t="n"/>
      <c r="O30" s="16" t="n"/>
      <c r="P30" s="18" t="n"/>
      <c r="Q30" s="16" t="n"/>
      <c r="R30" s="18" t="n"/>
      <c r="S30" s="16" t="n"/>
      <c r="T30" s="17">
        <f>IF($B30="","",IF($U30="","Yes","No"))</f>
        <v/>
      </c>
      <c r="U30" s="17">
        <f>IF($B30="","",_xlfn.TEXTJOIN("; ",TRUE,IF(AND($E30&lt;&gt;"N/A",OR($D30="",$E30&lt;&gt;"Yes")),"TIM",""),IF(AND($G30&lt;&gt;"N/A",OR($F30="",$G30&lt;&gt;"Yes")),"SFST",""),IF(AND($I30&lt;&gt;"N/A",OR($H30="",$I30&lt;&gt;"Yes")),"TCIC",""),IF(AND($K30&lt;&gt;"N/A",OR($J30="",$K30&lt;&gt;"Yes")),"CPR/AED",""),IF(AND($M30&lt;&gt;"N/A",OR($L30="",$M30&lt;&gt;"Yes")),"ALERRT",""),IF(AND($O30&lt;&gt;"N/A",OR($N30="",$O30&lt;&gt;"Yes")),"ICS 100",""),IF(AND($Q30&lt;&gt;"N/A",OR($P30="",$Q30&lt;&gt;"Yes")),"ICS 200",""),IF(AND($S30&lt;&gt;"N/A",OR($R30="",$S30&lt;&gt;"Yes")),"ICS 700","")))</f>
        <v/>
      </c>
      <c r="V30" s="17">
        <f>IF($B30="","",_xlfn.TEXTJOIN("; ",TRUE,IF($E30="N/A","TIM",""),IF($G30="N/A","SFST",""),IF($I30="N/A","TCIC",""),IF($K30="N/A","CPR/AED",""),IF($M30="N/A","ALERRT",""),IF($O30="N/A","ICS 100",""),IF($Q30="N/A","ICS 200",""),IF($S30="N/A","ICS 700","")))</f>
        <v/>
      </c>
      <c r="W30" s="17">
        <f>IF(Cadets!$B30="","",Cadets!$I30)</f>
        <v/>
      </c>
    </row>
    <row r="31">
      <c r="B31" s="17">
        <f>IF(Cadets!$B31="","",Cadets!$B31)</f>
        <v/>
      </c>
      <c r="C31" s="17">
        <f>IF(Cadets!$B31="","",Cadets!$F31)</f>
        <v/>
      </c>
      <c r="D31" s="18" t="n"/>
      <c r="E31" s="16" t="n"/>
      <c r="F31" s="18" t="n"/>
      <c r="G31" s="16" t="n"/>
      <c r="H31" s="18" t="n"/>
      <c r="I31" s="16" t="n"/>
      <c r="J31" s="18" t="n"/>
      <c r="K31" s="16" t="n"/>
      <c r="L31" s="18" t="n"/>
      <c r="M31" s="16" t="n"/>
      <c r="N31" s="18" t="n"/>
      <c r="O31" s="16" t="n"/>
      <c r="P31" s="18" t="n"/>
      <c r="Q31" s="16" t="n"/>
      <c r="R31" s="18" t="n"/>
      <c r="S31" s="16" t="n"/>
      <c r="T31" s="17">
        <f>IF($B31="","",IF($U31="","Yes","No"))</f>
        <v/>
      </c>
      <c r="U31" s="17">
        <f>IF($B31="","",_xlfn.TEXTJOIN("; ",TRUE,IF(AND($E31&lt;&gt;"N/A",OR($D31="",$E31&lt;&gt;"Yes")),"TIM",""),IF(AND($G31&lt;&gt;"N/A",OR($F31="",$G31&lt;&gt;"Yes")),"SFST",""),IF(AND($I31&lt;&gt;"N/A",OR($H31="",$I31&lt;&gt;"Yes")),"TCIC",""),IF(AND($K31&lt;&gt;"N/A",OR($J31="",$K31&lt;&gt;"Yes")),"CPR/AED",""),IF(AND($M31&lt;&gt;"N/A",OR($L31="",$M31&lt;&gt;"Yes")),"ALERRT",""),IF(AND($O31&lt;&gt;"N/A",OR($N31="",$O31&lt;&gt;"Yes")),"ICS 100",""),IF(AND($Q31&lt;&gt;"N/A",OR($P31="",$Q31&lt;&gt;"Yes")),"ICS 200",""),IF(AND($S31&lt;&gt;"N/A",OR($R31="",$S31&lt;&gt;"Yes")),"ICS 700","")))</f>
        <v/>
      </c>
      <c r="V31" s="17">
        <f>IF($B31="","",_xlfn.TEXTJOIN("; ",TRUE,IF($E31="N/A","TIM",""),IF($G31="N/A","SFST",""),IF($I31="N/A","TCIC",""),IF($K31="N/A","CPR/AED",""),IF($M31="N/A","ALERRT",""),IF($O31="N/A","ICS 100",""),IF($Q31="N/A","ICS 200",""),IF($S31="N/A","ICS 700","")))</f>
        <v/>
      </c>
      <c r="W31" s="17">
        <f>IF(Cadets!$B31="","",Cadets!$I31)</f>
        <v/>
      </c>
    </row>
    <row r="32">
      <c r="B32" s="17">
        <f>IF(Cadets!$B32="","",Cadets!$B32)</f>
        <v/>
      </c>
      <c r="C32" s="17">
        <f>IF(Cadets!$B32="","",Cadets!$F32)</f>
        <v/>
      </c>
      <c r="D32" s="18" t="n"/>
      <c r="E32" s="16" t="n"/>
      <c r="F32" s="18" t="n"/>
      <c r="G32" s="16" t="n"/>
      <c r="H32" s="18" t="n"/>
      <c r="I32" s="16" t="n"/>
      <c r="J32" s="18" t="n"/>
      <c r="K32" s="16" t="n"/>
      <c r="L32" s="18" t="n"/>
      <c r="M32" s="16" t="n"/>
      <c r="N32" s="18" t="n"/>
      <c r="O32" s="16" t="n"/>
      <c r="P32" s="18" t="n"/>
      <c r="Q32" s="16" t="n"/>
      <c r="R32" s="18" t="n"/>
      <c r="S32" s="16" t="n"/>
      <c r="T32" s="17">
        <f>IF($B32="","",IF($U32="","Yes","No"))</f>
        <v/>
      </c>
      <c r="U32" s="17">
        <f>IF($B32="","",_xlfn.TEXTJOIN("; ",TRUE,IF(AND($E32&lt;&gt;"N/A",OR($D32="",$E32&lt;&gt;"Yes")),"TIM",""),IF(AND($G32&lt;&gt;"N/A",OR($F32="",$G32&lt;&gt;"Yes")),"SFST",""),IF(AND($I32&lt;&gt;"N/A",OR($H32="",$I32&lt;&gt;"Yes")),"TCIC",""),IF(AND($K32&lt;&gt;"N/A",OR($J32="",$K32&lt;&gt;"Yes")),"CPR/AED",""),IF(AND($M32&lt;&gt;"N/A",OR($L32="",$M32&lt;&gt;"Yes")),"ALERRT",""),IF(AND($O32&lt;&gt;"N/A",OR($N32="",$O32&lt;&gt;"Yes")),"ICS 100",""),IF(AND($Q32&lt;&gt;"N/A",OR($P32="",$Q32&lt;&gt;"Yes")),"ICS 200",""),IF(AND($S32&lt;&gt;"N/A",OR($R32="",$S32&lt;&gt;"Yes")),"ICS 700","")))</f>
        <v/>
      </c>
      <c r="V32" s="17">
        <f>IF($B32="","",_xlfn.TEXTJOIN("; ",TRUE,IF($E32="N/A","TIM",""),IF($G32="N/A","SFST",""),IF($I32="N/A","TCIC",""),IF($K32="N/A","CPR/AED",""),IF($M32="N/A","ALERRT",""),IF($O32="N/A","ICS 100",""),IF($Q32="N/A","ICS 200",""),IF($S32="N/A","ICS 700","")))</f>
        <v/>
      </c>
      <c r="W32" s="17">
        <f>IF(Cadets!$B32="","",Cadets!$I32)</f>
        <v/>
      </c>
    </row>
    <row r="33">
      <c r="B33" s="17">
        <f>IF(Cadets!$B33="","",Cadets!$B33)</f>
        <v/>
      </c>
      <c r="C33" s="17">
        <f>IF(Cadets!$B33="","",Cadets!$F33)</f>
        <v/>
      </c>
      <c r="D33" s="18" t="n"/>
      <c r="E33" s="16" t="n"/>
      <c r="F33" s="18" t="n"/>
      <c r="G33" s="16" t="n"/>
      <c r="H33" s="18" t="n"/>
      <c r="I33" s="16" t="n"/>
      <c r="J33" s="18" t="n"/>
      <c r="K33" s="16" t="n"/>
      <c r="L33" s="18" t="n"/>
      <c r="M33" s="16" t="n"/>
      <c r="N33" s="18" t="n"/>
      <c r="O33" s="16" t="n"/>
      <c r="P33" s="18" t="n"/>
      <c r="Q33" s="16" t="n"/>
      <c r="R33" s="18" t="n"/>
      <c r="S33" s="16" t="n"/>
      <c r="T33" s="17">
        <f>IF($B33="","",IF($U33="","Yes","No"))</f>
        <v/>
      </c>
      <c r="U33" s="17">
        <f>IF($B33="","",_xlfn.TEXTJOIN("; ",TRUE,IF(AND($E33&lt;&gt;"N/A",OR($D33="",$E33&lt;&gt;"Yes")),"TIM",""),IF(AND($G33&lt;&gt;"N/A",OR($F33="",$G33&lt;&gt;"Yes")),"SFST",""),IF(AND($I33&lt;&gt;"N/A",OR($H33="",$I33&lt;&gt;"Yes")),"TCIC",""),IF(AND($K33&lt;&gt;"N/A",OR($J33="",$K33&lt;&gt;"Yes")),"CPR/AED",""),IF(AND($M33&lt;&gt;"N/A",OR($L33="",$M33&lt;&gt;"Yes")),"ALERRT",""),IF(AND($O33&lt;&gt;"N/A",OR($N33="",$O33&lt;&gt;"Yes")),"ICS 100",""),IF(AND($Q33&lt;&gt;"N/A",OR($P33="",$Q33&lt;&gt;"Yes")),"ICS 200",""),IF(AND($S33&lt;&gt;"N/A",OR($R33="",$S33&lt;&gt;"Yes")),"ICS 700","")))</f>
        <v/>
      </c>
      <c r="V33" s="17">
        <f>IF($B33="","",_xlfn.TEXTJOIN("; ",TRUE,IF($E33="N/A","TIM",""),IF($G33="N/A","SFST",""),IF($I33="N/A","TCIC",""),IF($K33="N/A","CPR/AED",""),IF($M33="N/A","ALERRT",""),IF($O33="N/A","ICS 100",""),IF($Q33="N/A","ICS 200",""),IF($S33="N/A","ICS 700","")))</f>
        <v/>
      </c>
      <c r="W33" s="17">
        <f>IF(Cadets!$B33="","",Cadets!$I33)</f>
        <v/>
      </c>
    </row>
    <row r="34">
      <c r="B34" s="17">
        <f>IF(Cadets!$B34="","",Cadets!$B34)</f>
        <v/>
      </c>
      <c r="C34" s="17">
        <f>IF(Cadets!$B34="","",Cadets!$F34)</f>
        <v/>
      </c>
      <c r="D34" s="18" t="n"/>
      <c r="E34" s="16" t="n"/>
      <c r="F34" s="18" t="n"/>
      <c r="G34" s="16" t="n"/>
      <c r="H34" s="18" t="n"/>
      <c r="I34" s="16" t="n"/>
      <c r="J34" s="18" t="n"/>
      <c r="K34" s="16" t="n"/>
      <c r="L34" s="18" t="n"/>
      <c r="M34" s="16" t="n"/>
      <c r="N34" s="18" t="n"/>
      <c r="O34" s="16" t="n"/>
      <c r="P34" s="18" t="n"/>
      <c r="Q34" s="16" t="n"/>
      <c r="R34" s="18" t="n"/>
      <c r="S34" s="16" t="n"/>
      <c r="T34" s="17">
        <f>IF($B34="","",IF($U34="","Yes","No"))</f>
        <v/>
      </c>
      <c r="U34" s="17">
        <f>IF($B34="","",_xlfn.TEXTJOIN("; ",TRUE,IF(AND($E34&lt;&gt;"N/A",OR($D34="",$E34&lt;&gt;"Yes")),"TIM",""),IF(AND($G34&lt;&gt;"N/A",OR($F34="",$G34&lt;&gt;"Yes")),"SFST",""),IF(AND($I34&lt;&gt;"N/A",OR($H34="",$I34&lt;&gt;"Yes")),"TCIC",""),IF(AND($K34&lt;&gt;"N/A",OR($J34="",$K34&lt;&gt;"Yes")),"CPR/AED",""),IF(AND($M34&lt;&gt;"N/A",OR($L34="",$M34&lt;&gt;"Yes")),"ALERRT",""),IF(AND($O34&lt;&gt;"N/A",OR($N34="",$O34&lt;&gt;"Yes")),"ICS 100",""),IF(AND($Q34&lt;&gt;"N/A",OR($P34="",$Q34&lt;&gt;"Yes")),"ICS 200",""),IF(AND($S34&lt;&gt;"N/A",OR($R34="",$S34&lt;&gt;"Yes")),"ICS 700","")))</f>
        <v/>
      </c>
      <c r="V34" s="17">
        <f>IF($B34="","",_xlfn.TEXTJOIN("; ",TRUE,IF($E34="N/A","TIM",""),IF($G34="N/A","SFST",""),IF($I34="N/A","TCIC",""),IF($K34="N/A","CPR/AED",""),IF($M34="N/A","ALERRT",""),IF($O34="N/A","ICS 100",""),IF($Q34="N/A","ICS 200",""),IF($S34="N/A","ICS 700","")))</f>
        <v/>
      </c>
      <c r="W34" s="17">
        <f>IF(Cadets!$B34="","",Cadets!$I34)</f>
        <v/>
      </c>
    </row>
    <row r="35">
      <c r="B35" s="17">
        <f>IF(Cadets!$B35="","",Cadets!$B35)</f>
        <v/>
      </c>
      <c r="C35" s="17">
        <f>IF(Cadets!$B35="","",Cadets!$F35)</f>
        <v/>
      </c>
      <c r="D35" s="18" t="n"/>
      <c r="E35" s="16" t="n"/>
      <c r="F35" s="18" t="n"/>
      <c r="G35" s="16" t="n"/>
      <c r="H35" s="18" t="n"/>
      <c r="I35" s="16" t="n"/>
      <c r="J35" s="18" t="n"/>
      <c r="K35" s="16" t="n"/>
      <c r="L35" s="18" t="n"/>
      <c r="M35" s="16" t="n"/>
      <c r="N35" s="18" t="n"/>
      <c r="O35" s="16" t="n"/>
      <c r="P35" s="18" t="n"/>
      <c r="Q35" s="16" t="n"/>
      <c r="R35" s="18" t="n"/>
      <c r="S35" s="16" t="n"/>
      <c r="T35" s="17">
        <f>IF($B35="","",IF($U35="","Yes","No"))</f>
        <v/>
      </c>
      <c r="U35" s="17">
        <f>IF($B35="","",_xlfn.TEXTJOIN("; ",TRUE,IF(AND($E35&lt;&gt;"N/A",OR($D35="",$E35&lt;&gt;"Yes")),"TIM",""),IF(AND($G35&lt;&gt;"N/A",OR($F35="",$G35&lt;&gt;"Yes")),"SFST",""),IF(AND($I35&lt;&gt;"N/A",OR($H35="",$I35&lt;&gt;"Yes")),"TCIC",""),IF(AND($K35&lt;&gt;"N/A",OR($J35="",$K35&lt;&gt;"Yes")),"CPR/AED",""),IF(AND($M35&lt;&gt;"N/A",OR($L35="",$M35&lt;&gt;"Yes")),"ALERRT",""),IF(AND($O35&lt;&gt;"N/A",OR($N35="",$O35&lt;&gt;"Yes")),"ICS 100",""),IF(AND($Q35&lt;&gt;"N/A",OR($P35="",$Q35&lt;&gt;"Yes")),"ICS 200",""),IF(AND($S35&lt;&gt;"N/A",OR($R35="",$S35&lt;&gt;"Yes")),"ICS 700","")))</f>
        <v/>
      </c>
      <c r="V35" s="17">
        <f>IF($B35="","",_xlfn.TEXTJOIN("; ",TRUE,IF($E35="N/A","TIM",""),IF($G35="N/A","SFST",""),IF($I35="N/A","TCIC",""),IF($K35="N/A","CPR/AED",""),IF($M35="N/A","ALERRT",""),IF($O35="N/A","ICS 100",""),IF($Q35="N/A","ICS 200",""),IF($S35="N/A","ICS 700","")))</f>
        <v/>
      </c>
      <c r="W35" s="17">
        <f>IF(Cadets!$B35="","",Cadets!$I35)</f>
        <v/>
      </c>
    </row>
    <row r="36">
      <c r="B36" s="17">
        <f>IF(Cadets!$B36="","",Cadets!$B36)</f>
        <v/>
      </c>
      <c r="C36" s="17">
        <f>IF(Cadets!$B36="","",Cadets!$F36)</f>
        <v/>
      </c>
      <c r="D36" s="18" t="n"/>
      <c r="E36" s="16" t="n"/>
      <c r="F36" s="18" t="n"/>
      <c r="G36" s="16" t="n"/>
      <c r="H36" s="18" t="n"/>
      <c r="I36" s="16" t="n"/>
      <c r="J36" s="18" t="n"/>
      <c r="K36" s="16" t="n"/>
      <c r="L36" s="18" t="n"/>
      <c r="M36" s="16" t="n"/>
      <c r="N36" s="18" t="n"/>
      <c r="O36" s="16" t="n"/>
      <c r="P36" s="18" t="n"/>
      <c r="Q36" s="16" t="n"/>
      <c r="R36" s="18" t="n"/>
      <c r="S36" s="16" t="n"/>
      <c r="T36" s="17">
        <f>IF($B36="","",IF($U36="","Yes","No"))</f>
        <v/>
      </c>
      <c r="U36" s="17">
        <f>IF($B36="","",_xlfn.TEXTJOIN("; ",TRUE,IF(AND($E36&lt;&gt;"N/A",OR($D36="",$E36&lt;&gt;"Yes")),"TIM",""),IF(AND($G36&lt;&gt;"N/A",OR($F36="",$G36&lt;&gt;"Yes")),"SFST",""),IF(AND($I36&lt;&gt;"N/A",OR($H36="",$I36&lt;&gt;"Yes")),"TCIC",""),IF(AND($K36&lt;&gt;"N/A",OR($J36="",$K36&lt;&gt;"Yes")),"CPR/AED",""),IF(AND($M36&lt;&gt;"N/A",OR($L36="",$M36&lt;&gt;"Yes")),"ALERRT",""),IF(AND($O36&lt;&gt;"N/A",OR($N36="",$O36&lt;&gt;"Yes")),"ICS 100",""),IF(AND($Q36&lt;&gt;"N/A",OR($P36="",$Q36&lt;&gt;"Yes")),"ICS 200",""),IF(AND($S36&lt;&gt;"N/A",OR($R36="",$S36&lt;&gt;"Yes")),"ICS 700","")))</f>
        <v/>
      </c>
      <c r="V36" s="17">
        <f>IF($B36="","",_xlfn.TEXTJOIN("; ",TRUE,IF($E36="N/A","TIM",""),IF($G36="N/A","SFST",""),IF($I36="N/A","TCIC",""),IF($K36="N/A","CPR/AED",""),IF($M36="N/A","ALERRT",""),IF($O36="N/A","ICS 100",""),IF($Q36="N/A","ICS 200",""),IF($S36="N/A","ICS 700","")))</f>
        <v/>
      </c>
      <c r="W36" s="17">
        <f>IF(Cadets!$B36="","",Cadets!$I36)</f>
        <v/>
      </c>
    </row>
    <row r="37">
      <c r="B37" s="17">
        <f>IF(Cadets!$B37="","",Cadets!$B37)</f>
        <v/>
      </c>
      <c r="C37" s="17">
        <f>IF(Cadets!$B37="","",Cadets!$F37)</f>
        <v/>
      </c>
      <c r="D37" s="18" t="n"/>
      <c r="E37" s="16" t="n"/>
      <c r="F37" s="18" t="n"/>
      <c r="G37" s="16" t="n"/>
      <c r="H37" s="18" t="n"/>
      <c r="I37" s="16" t="n"/>
      <c r="J37" s="18" t="n"/>
      <c r="K37" s="16" t="n"/>
      <c r="L37" s="18" t="n"/>
      <c r="M37" s="16" t="n"/>
      <c r="N37" s="18" t="n"/>
      <c r="O37" s="16" t="n"/>
      <c r="P37" s="18" t="n"/>
      <c r="Q37" s="16" t="n"/>
      <c r="R37" s="18" t="n"/>
      <c r="S37" s="16" t="n"/>
      <c r="T37" s="17">
        <f>IF($B37="","",IF($U37="","Yes","No"))</f>
        <v/>
      </c>
      <c r="U37" s="17">
        <f>IF($B37="","",_xlfn.TEXTJOIN("; ",TRUE,IF(AND($E37&lt;&gt;"N/A",OR($D37="",$E37&lt;&gt;"Yes")),"TIM",""),IF(AND($G37&lt;&gt;"N/A",OR($F37="",$G37&lt;&gt;"Yes")),"SFST",""),IF(AND($I37&lt;&gt;"N/A",OR($H37="",$I37&lt;&gt;"Yes")),"TCIC",""),IF(AND($K37&lt;&gt;"N/A",OR($J37="",$K37&lt;&gt;"Yes")),"CPR/AED",""),IF(AND($M37&lt;&gt;"N/A",OR($L37="",$M37&lt;&gt;"Yes")),"ALERRT",""),IF(AND($O37&lt;&gt;"N/A",OR($N37="",$O37&lt;&gt;"Yes")),"ICS 100",""),IF(AND($Q37&lt;&gt;"N/A",OR($P37="",$Q37&lt;&gt;"Yes")),"ICS 200",""),IF(AND($S37&lt;&gt;"N/A",OR($R37="",$S37&lt;&gt;"Yes")),"ICS 700","")))</f>
        <v/>
      </c>
      <c r="V37" s="17">
        <f>IF($B37="","",_xlfn.TEXTJOIN("; ",TRUE,IF($E37="N/A","TIM",""),IF($G37="N/A","SFST",""),IF($I37="N/A","TCIC",""),IF($K37="N/A","CPR/AED",""),IF($M37="N/A","ALERRT",""),IF($O37="N/A","ICS 100",""),IF($Q37="N/A","ICS 200",""),IF($S37="N/A","ICS 700","")))</f>
        <v/>
      </c>
      <c r="W37" s="17">
        <f>IF(Cadets!$B37="","",Cadets!$I37)</f>
        <v/>
      </c>
    </row>
    <row r="38">
      <c r="B38" s="17">
        <f>IF(Cadets!$B38="","",Cadets!$B38)</f>
        <v/>
      </c>
      <c r="C38" s="17">
        <f>IF(Cadets!$B38="","",Cadets!$F38)</f>
        <v/>
      </c>
      <c r="D38" s="18" t="n"/>
      <c r="E38" s="16" t="n"/>
      <c r="F38" s="18" t="n"/>
      <c r="G38" s="16" t="n"/>
      <c r="H38" s="18" t="n"/>
      <c r="I38" s="16" t="n"/>
      <c r="J38" s="18" t="n"/>
      <c r="K38" s="16" t="n"/>
      <c r="L38" s="18" t="n"/>
      <c r="M38" s="16" t="n"/>
      <c r="N38" s="18" t="n"/>
      <c r="O38" s="16" t="n"/>
      <c r="P38" s="18" t="n"/>
      <c r="Q38" s="16" t="n"/>
      <c r="R38" s="18" t="n"/>
      <c r="S38" s="16" t="n"/>
      <c r="T38" s="17">
        <f>IF($B38="","",IF($U38="","Yes","No"))</f>
        <v/>
      </c>
      <c r="U38" s="17">
        <f>IF($B38="","",_xlfn.TEXTJOIN("; ",TRUE,IF(AND($E38&lt;&gt;"N/A",OR($D38="",$E38&lt;&gt;"Yes")),"TIM",""),IF(AND($G38&lt;&gt;"N/A",OR($F38="",$G38&lt;&gt;"Yes")),"SFST",""),IF(AND($I38&lt;&gt;"N/A",OR($H38="",$I38&lt;&gt;"Yes")),"TCIC",""),IF(AND($K38&lt;&gt;"N/A",OR($J38="",$K38&lt;&gt;"Yes")),"CPR/AED",""),IF(AND($M38&lt;&gt;"N/A",OR($L38="",$M38&lt;&gt;"Yes")),"ALERRT",""),IF(AND($O38&lt;&gt;"N/A",OR($N38="",$O38&lt;&gt;"Yes")),"ICS 100",""),IF(AND($Q38&lt;&gt;"N/A",OR($P38="",$Q38&lt;&gt;"Yes")),"ICS 200",""),IF(AND($S38&lt;&gt;"N/A",OR($R38="",$S38&lt;&gt;"Yes")),"ICS 700","")))</f>
        <v/>
      </c>
      <c r="V38" s="17">
        <f>IF($B38="","",_xlfn.TEXTJOIN("; ",TRUE,IF($E38="N/A","TIM",""),IF($G38="N/A","SFST",""),IF($I38="N/A","TCIC",""),IF($K38="N/A","CPR/AED",""),IF($M38="N/A","ALERRT",""),IF($O38="N/A","ICS 100",""),IF($Q38="N/A","ICS 200",""),IF($S38="N/A","ICS 700","")))</f>
        <v/>
      </c>
      <c r="W38" s="17">
        <f>IF(Cadets!$B38="","",Cadets!$I38)</f>
        <v/>
      </c>
    </row>
    <row r="39">
      <c r="B39" s="17">
        <f>IF(Cadets!$B39="","",Cadets!$B39)</f>
        <v/>
      </c>
      <c r="C39" s="17">
        <f>IF(Cadets!$B39="","",Cadets!$F39)</f>
        <v/>
      </c>
      <c r="D39" s="18" t="n"/>
      <c r="E39" s="16" t="n"/>
      <c r="F39" s="18" t="n"/>
      <c r="G39" s="16" t="n"/>
      <c r="H39" s="18" t="n"/>
      <c r="I39" s="16" t="n"/>
      <c r="J39" s="18" t="n"/>
      <c r="K39" s="16" t="n"/>
      <c r="L39" s="18" t="n"/>
      <c r="M39" s="16" t="n"/>
      <c r="N39" s="18" t="n"/>
      <c r="O39" s="16" t="n"/>
      <c r="P39" s="18" t="n"/>
      <c r="Q39" s="16" t="n"/>
      <c r="R39" s="18" t="n"/>
      <c r="S39" s="16" t="n"/>
      <c r="T39" s="17">
        <f>IF($B39="","",IF($U39="","Yes","No"))</f>
        <v/>
      </c>
      <c r="U39" s="17">
        <f>IF($B39="","",_xlfn.TEXTJOIN("; ",TRUE,IF(AND($E39&lt;&gt;"N/A",OR($D39="",$E39&lt;&gt;"Yes")),"TIM",""),IF(AND($G39&lt;&gt;"N/A",OR($F39="",$G39&lt;&gt;"Yes")),"SFST",""),IF(AND($I39&lt;&gt;"N/A",OR($H39="",$I39&lt;&gt;"Yes")),"TCIC",""),IF(AND($K39&lt;&gt;"N/A",OR($J39="",$K39&lt;&gt;"Yes")),"CPR/AED",""),IF(AND($M39&lt;&gt;"N/A",OR($L39="",$M39&lt;&gt;"Yes")),"ALERRT",""),IF(AND($O39&lt;&gt;"N/A",OR($N39="",$O39&lt;&gt;"Yes")),"ICS 100",""),IF(AND($Q39&lt;&gt;"N/A",OR($P39="",$Q39&lt;&gt;"Yes")),"ICS 200",""),IF(AND($S39&lt;&gt;"N/A",OR($R39="",$S39&lt;&gt;"Yes")),"ICS 700","")))</f>
        <v/>
      </c>
      <c r="V39" s="17">
        <f>IF($B39="","",_xlfn.TEXTJOIN("; ",TRUE,IF($E39="N/A","TIM",""),IF($G39="N/A","SFST",""),IF($I39="N/A","TCIC",""),IF($K39="N/A","CPR/AED",""),IF($M39="N/A","ALERRT",""),IF($O39="N/A","ICS 100",""),IF($Q39="N/A","ICS 200",""),IF($S39="N/A","ICS 700","")))</f>
        <v/>
      </c>
      <c r="W39" s="17">
        <f>IF(Cadets!$B39="","",Cadets!$I39)</f>
        <v/>
      </c>
    </row>
    <row r="40">
      <c r="B40" s="17">
        <f>IF(Cadets!$B40="","",Cadets!$B40)</f>
        <v/>
      </c>
      <c r="C40" s="17">
        <f>IF(Cadets!$B40="","",Cadets!$F40)</f>
        <v/>
      </c>
      <c r="D40" s="18" t="n"/>
      <c r="E40" s="16" t="n"/>
      <c r="F40" s="18" t="n"/>
      <c r="G40" s="16" t="n"/>
      <c r="H40" s="18" t="n"/>
      <c r="I40" s="16" t="n"/>
      <c r="J40" s="18" t="n"/>
      <c r="K40" s="16" t="n"/>
      <c r="L40" s="18" t="n"/>
      <c r="M40" s="16" t="n"/>
      <c r="N40" s="18" t="n"/>
      <c r="O40" s="16" t="n"/>
      <c r="P40" s="18" t="n"/>
      <c r="Q40" s="16" t="n"/>
      <c r="R40" s="18" t="n"/>
      <c r="S40" s="16" t="n"/>
      <c r="T40" s="17">
        <f>IF($B40="","",IF($U40="","Yes","No"))</f>
        <v/>
      </c>
      <c r="U40" s="17">
        <f>IF($B40="","",_xlfn.TEXTJOIN("; ",TRUE,IF(AND($E40&lt;&gt;"N/A",OR($D40="",$E40&lt;&gt;"Yes")),"TIM",""),IF(AND($G40&lt;&gt;"N/A",OR($F40="",$G40&lt;&gt;"Yes")),"SFST",""),IF(AND($I40&lt;&gt;"N/A",OR($H40="",$I40&lt;&gt;"Yes")),"TCIC",""),IF(AND($K40&lt;&gt;"N/A",OR($J40="",$K40&lt;&gt;"Yes")),"CPR/AED",""),IF(AND($M40&lt;&gt;"N/A",OR($L40="",$M40&lt;&gt;"Yes")),"ALERRT",""),IF(AND($O40&lt;&gt;"N/A",OR($N40="",$O40&lt;&gt;"Yes")),"ICS 100",""),IF(AND($Q40&lt;&gt;"N/A",OR($P40="",$Q40&lt;&gt;"Yes")),"ICS 200",""),IF(AND($S40&lt;&gt;"N/A",OR($R40="",$S40&lt;&gt;"Yes")),"ICS 700","")))</f>
        <v/>
      </c>
      <c r="V40" s="17">
        <f>IF($B40="","",_xlfn.TEXTJOIN("; ",TRUE,IF($E40="N/A","TIM",""),IF($G40="N/A","SFST",""),IF($I40="N/A","TCIC",""),IF($K40="N/A","CPR/AED",""),IF($M40="N/A","ALERRT",""),IF($O40="N/A","ICS 100",""),IF($Q40="N/A","ICS 200",""),IF($S40="N/A","ICS 700","")))</f>
        <v/>
      </c>
      <c r="W40" s="17">
        <f>IF(Cadets!$B40="","",Cadets!$I40)</f>
        <v/>
      </c>
    </row>
    <row r="41">
      <c r="B41" s="17">
        <f>IF(Cadets!$B41="","",Cadets!$B41)</f>
        <v/>
      </c>
      <c r="C41" s="17">
        <f>IF(Cadets!$B41="","",Cadets!$F41)</f>
        <v/>
      </c>
      <c r="D41" s="18" t="n"/>
      <c r="E41" s="16" t="n"/>
      <c r="F41" s="18" t="n"/>
      <c r="G41" s="16" t="n"/>
      <c r="H41" s="18" t="n"/>
      <c r="I41" s="16" t="n"/>
      <c r="J41" s="18" t="n"/>
      <c r="K41" s="16" t="n"/>
      <c r="L41" s="18" t="n"/>
      <c r="M41" s="16" t="n"/>
      <c r="N41" s="18" t="n"/>
      <c r="O41" s="16" t="n"/>
      <c r="P41" s="18" t="n"/>
      <c r="Q41" s="16" t="n"/>
      <c r="R41" s="18" t="n"/>
      <c r="S41" s="16" t="n"/>
      <c r="T41" s="17">
        <f>IF($B41="","",IF($U41="","Yes","No"))</f>
        <v/>
      </c>
      <c r="U41" s="17">
        <f>IF($B41="","",_xlfn.TEXTJOIN("; ",TRUE,IF(AND($E41&lt;&gt;"N/A",OR($D41="",$E41&lt;&gt;"Yes")),"TIM",""),IF(AND($G41&lt;&gt;"N/A",OR($F41="",$G41&lt;&gt;"Yes")),"SFST",""),IF(AND($I41&lt;&gt;"N/A",OR($H41="",$I41&lt;&gt;"Yes")),"TCIC",""),IF(AND($K41&lt;&gt;"N/A",OR($J41="",$K41&lt;&gt;"Yes")),"CPR/AED",""),IF(AND($M41&lt;&gt;"N/A",OR($L41="",$M41&lt;&gt;"Yes")),"ALERRT",""),IF(AND($O41&lt;&gt;"N/A",OR($N41="",$O41&lt;&gt;"Yes")),"ICS 100",""),IF(AND($Q41&lt;&gt;"N/A",OR($P41="",$Q41&lt;&gt;"Yes")),"ICS 200",""),IF(AND($S41&lt;&gt;"N/A",OR($R41="",$S41&lt;&gt;"Yes")),"ICS 700","")))</f>
        <v/>
      </c>
      <c r="V41" s="17">
        <f>IF($B41="","",_xlfn.TEXTJOIN("; ",TRUE,IF($E41="N/A","TIM",""),IF($G41="N/A","SFST",""),IF($I41="N/A","TCIC",""),IF($K41="N/A","CPR/AED",""),IF($M41="N/A","ALERRT",""),IF($O41="N/A","ICS 100",""),IF($Q41="N/A","ICS 200",""),IF($S41="N/A","ICS 700","")))</f>
        <v/>
      </c>
      <c r="W41" s="17">
        <f>IF(Cadets!$B41="","",Cadets!$I41)</f>
        <v/>
      </c>
    </row>
    <row r="42">
      <c r="B42" s="17">
        <f>IF(Cadets!$B42="","",Cadets!$B42)</f>
        <v/>
      </c>
      <c r="C42" s="17">
        <f>IF(Cadets!$B42="","",Cadets!$F42)</f>
        <v/>
      </c>
      <c r="D42" s="18" t="n"/>
      <c r="E42" s="16" t="n"/>
      <c r="F42" s="18" t="n"/>
      <c r="G42" s="16" t="n"/>
      <c r="H42" s="18" t="n"/>
      <c r="I42" s="16" t="n"/>
      <c r="J42" s="18" t="n"/>
      <c r="K42" s="16" t="n"/>
      <c r="L42" s="18" t="n"/>
      <c r="M42" s="16" t="n"/>
      <c r="N42" s="18" t="n"/>
      <c r="O42" s="16" t="n"/>
      <c r="P42" s="18" t="n"/>
      <c r="Q42" s="16" t="n"/>
      <c r="R42" s="18" t="n"/>
      <c r="S42" s="16" t="n"/>
      <c r="T42" s="17">
        <f>IF($B42="","",IF($U42="","Yes","No"))</f>
        <v/>
      </c>
      <c r="U42" s="17">
        <f>IF($B42="","",_xlfn.TEXTJOIN("; ",TRUE,IF(AND($E42&lt;&gt;"N/A",OR($D42="",$E42&lt;&gt;"Yes")),"TIM",""),IF(AND($G42&lt;&gt;"N/A",OR($F42="",$G42&lt;&gt;"Yes")),"SFST",""),IF(AND($I42&lt;&gt;"N/A",OR($H42="",$I42&lt;&gt;"Yes")),"TCIC",""),IF(AND($K42&lt;&gt;"N/A",OR($J42="",$K42&lt;&gt;"Yes")),"CPR/AED",""),IF(AND($M42&lt;&gt;"N/A",OR($L42="",$M42&lt;&gt;"Yes")),"ALERRT",""),IF(AND($O42&lt;&gt;"N/A",OR($N42="",$O42&lt;&gt;"Yes")),"ICS 100",""),IF(AND($Q42&lt;&gt;"N/A",OR($P42="",$Q42&lt;&gt;"Yes")),"ICS 200",""),IF(AND($S42&lt;&gt;"N/A",OR($R42="",$S42&lt;&gt;"Yes")),"ICS 700","")))</f>
        <v/>
      </c>
      <c r="V42" s="17">
        <f>IF($B42="","",_xlfn.TEXTJOIN("; ",TRUE,IF($E42="N/A","TIM",""),IF($G42="N/A","SFST",""),IF($I42="N/A","TCIC",""),IF($K42="N/A","CPR/AED",""),IF($M42="N/A","ALERRT",""),IF($O42="N/A","ICS 100",""),IF($Q42="N/A","ICS 200",""),IF($S42="N/A","ICS 700","")))</f>
        <v/>
      </c>
      <c r="W42" s="17">
        <f>IF(Cadets!$B42="","",Cadets!$I42)</f>
        <v/>
      </c>
    </row>
    <row r="43">
      <c r="B43" s="17">
        <f>IF(Cadets!$B43="","",Cadets!$B43)</f>
        <v/>
      </c>
      <c r="C43" s="17">
        <f>IF(Cadets!$B43="","",Cadets!$F43)</f>
        <v/>
      </c>
      <c r="D43" s="18" t="n"/>
      <c r="E43" s="16" t="n"/>
      <c r="F43" s="18" t="n"/>
      <c r="G43" s="16" t="n"/>
      <c r="H43" s="18" t="n"/>
      <c r="I43" s="16" t="n"/>
      <c r="J43" s="18" t="n"/>
      <c r="K43" s="16" t="n"/>
      <c r="L43" s="18" t="n"/>
      <c r="M43" s="16" t="n"/>
      <c r="N43" s="18" t="n"/>
      <c r="O43" s="16" t="n"/>
      <c r="P43" s="18" t="n"/>
      <c r="Q43" s="16" t="n"/>
      <c r="R43" s="18" t="n"/>
      <c r="S43" s="16" t="n"/>
      <c r="T43" s="17">
        <f>IF($B43="","",IF($U43="","Yes","No"))</f>
        <v/>
      </c>
      <c r="U43" s="17">
        <f>IF($B43="","",_xlfn.TEXTJOIN("; ",TRUE,IF(AND($E43&lt;&gt;"N/A",OR($D43="",$E43&lt;&gt;"Yes")),"TIM",""),IF(AND($G43&lt;&gt;"N/A",OR($F43="",$G43&lt;&gt;"Yes")),"SFST",""),IF(AND($I43&lt;&gt;"N/A",OR($H43="",$I43&lt;&gt;"Yes")),"TCIC",""),IF(AND($K43&lt;&gt;"N/A",OR($J43="",$K43&lt;&gt;"Yes")),"CPR/AED",""),IF(AND($M43&lt;&gt;"N/A",OR($L43="",$M43&lt;&gt;"Yes")),"ALERRT",""),IF(AND($O43&lt;&gt;"N/A",OR($N43="",$O43&lt;&gt;"Yes")),"ICS 100",""),IF(AND($Q43&lt;&gt;"N/A",OR($P43="",$Q43&lt;&gt;"Yes")),"ICS 200",""),IF(AND($S43&lt;&gt;"N/A",OR($R43="",$S43&lt;&gt;"Yes")),"ICS 700","")))</f>
        <v/>
      </c>
      <c r="V43" s="17">
        <f>IF($B43="","",_xlfn.TEXTJOIN("; ",TRUE,IF($E43="N/A","TIM",""),IF($G43="N/A","SFST",""),IF($I43="N/A","TCIC",""),IF($K43="N/A","CPR/AED",""),IF($M43="N/A","ALERRT",""),IF($O43="N/A","ICS 100",""),IF($Q43="N/A","ICS 200",""),IF($S43="N/A","ICS 700","")))</f>
        <v/>
      </c>
      <c r="W43" s="17">
        <f>IF(Cadets!$B43="","",Cadets!$I43)</f>
        <v/>
      </c>
    </row>
    <row r="44">
      <c r="B44" s="17">
        <f>IF(Cadets!$B44="","",Cadets!$B44)</f>
        <v/>
      </c>
      <c r="C44" s="17">
        <f>IF(Cadets!$B44="","",Cadets!$F44)</f>
        <v/>
      </c>
      <c r="D44" s="18" t="n"/>
      <c r="E44" s="16" t="n"/>
      <c r="F44" s="18" t="n"/>
      <c r="G44" s="16" t="n"/>
      <c r="H44" s="18" t="n"/>
      <c r="I44" s="16" t="n"/>
      <c r="J44" s="18" t="n"/>
      <c r="K44" s="16" t="n"/>
      <c r="L44" s="18" t="n"/>
      <c r="M44" s="16" t="n"/>
      <c r="N44" s="18" t="n"/>
      <c r="O44" s="16" t="n"/>
      <c r="P44" s="18" t="n"/>
      <c r="Q44" s="16" t="n"/>
      <c r="R44" s="18" t="n"/>
      <c r="S44" s="16" t="n"/>
      <c r="T44" s="17">
        <f>IF($B44="","",IF($U44="","Yes","No"))</f>
        <v/>
      </c>
      <c r="U44" s="17">
        <f>IF($B44="","",_xlfn.TEXTJOIN("; ",TRUE,IF(AND($E44&lt;&gt;"N/A",OR($D44="",$E44&lt;&gt;"Yes")),"TIM",""),IF(AND($G44&lt;&gt;"N/A",OR($F44="",$G44&lt;&gt;"Yes")),"SFST",""),IF(AND($I44&lt;&gt;"N/A",OR($H44="",$I44&lt;&gt;"Yes")),"TCIC",""),IF(AND($K44&lt;&gt;"N/A",OR($J44="",$K44&lt;&gt;"Yes")),"CPR/AED",""),IF(AND($M44&lt;&gt;"N/A",OR($L44="",$M44&lt;&gt;"Yes")),"ALERRT",""),IF(AND($O44&lt;&gt;"N/A",OR($N44="",$O44&lt;&gt;"Yes")),"ICS 100",""),IF(AND($Q44&lt;&gt;"N/A",OR($P44="",$Q44&lt;&gt;"Yes")),"ICS 200",""),IF(AND($S44&lt;&gt;"N/A",OR($R44="",$S44&lt;&gt;"Yes")),"ICS 700","")))</f>
        <v/>
      </c>
      <c r="V44" s="17">
        <f>IF($B44="","",_xlfn.TEXTJOIN("; ",TRUE,IF($E44="N/A","TIM",""),IF($G44="N/A","SFST",""),IF($I44="N/A","TCIC",""),IF($K44="N/A","CPR/AED",""),IF($M44="N/A","ALERRT",""),IF($O44="N/A","ICS 100",""),IF($Q44="N/A","ICS 200",""),IF($S44="N/A","ICS 700","")))</f>
        <v/>
      </c>
      <c r="W44" s="17">
        <f>IF(Cadets!$B44="","",Cadets!$I44)</f>
        <v/>
      </c>
    </row>
    <row r="45">
      <c r="B45" s="17">
        <f>IF(Cadets!$B45="","",Cadets!$B45)</f>
        <v/>
      </c>
      <c r="C45" s="17">
        <f>IF(Cadets!$B45="","",Cadets!$F45)</f>
        <v/>
      </c>
      <c r="D45" s="18" t="n"/>
      <c r="E45" s="16" t="n"/>
      <c r="F45" s="18" t="n"/>
      <c r="G45" s="16" t="n"/>
      <c r="H45" s="18" t="n"/>
      <c r="I45" s="16" t="n"/>
      <c r="J45" s="18" t="n"/>
      <c r="K45" s="16" t="n"/>
      <c r="L45" s="18" t="n"/>
      <c r="M45" s="16" t="n"/>
      <c r="N45" s="18" t="n"/>
      <c r="O45" s="16" t="n"/>
      <c r="P45" s="18" t="n"/>
      <c r="Q45" s="16" t="n"/>
      <c r="R45" s="18" t="n"/>
      <c r="S45" s="16" t="n"/>
      <c r="T45" s="17">
        <f>IF($B45="","",IF($U45="","Yes","No"))</f>
        <v/>
      </c>
      <c r="U45" s="17">
        <f>IF($B45="","",_xlfn.TEXTJOIN("; ",TRUE,IF(AND($E45&lt;&gt;"N/A",OR($D45="",$E45&lt;&gt;"Yes")),"TIM",""),IF(AND($G45&lt;&gt;"N/A",OR($F45="",$G45&lt;&gt;"Yes")),"SFST",""),IF(AND($I45&lt;&gt;"N/A",OR($H45="",$I45&lt;&gt;"Yes")),"TCIC",""),IF(AND($K45&lt;&gt;"N/A",OR($J45="",$K45&lt;&gt;"Yes")),"CPR/AED",""),IF(AND($M45&lt;&gt;"N/A",OR($L45="",$M45&lt;&gt;"Yes")),"ALERRT",""),IF(AND($O45&lt;&gt;"N/A",OR($N45="",$O45&lt;&gt;"Yes")),"ICS 100",""),IF(AND($Q45&lt;&gt;"N/A",OR($P45="",$Q45&lt;&gt;"Yes")),"ICS 200",""),IF(AND($S45&lt;&gt;"N/A",OR($R45="",$S45&lt;&gt;"Yes")),"ICS 700","")))</f>
        <v/>
      </c>
      <c r="V45" s="17">
        <f>IF($B45="","",_xlfn.TEXTJOIN("; ",TRUE,IF($E45="N/A","TIM",""),IF($G45="N/A","SFST",""),IF($I45="N/A","TCIC",""),IF($K45="N/A","CPR/AED",""),IF($M45="N/A","ALERRT",""),IF($O45="N/A","ICS 100",""),IF($Q45="N/A","ICS 200",""),IF($S45="N/A","ICS 700","")))</f>
        <v/>
      </c>
      <c r="W45" s="17">
        <f>IF(Cadets!$B45="","",Cadets!$I45)</f>
        <v/>
      </c>
    </row>
    <row r="46">
      <c r="B46" s="17">
        <f>IF(Cadets!$B46="","",Cadets!$B46)</f>
        <v/>
      </c>
      <c r="C46" s="17">
        <f>IF(Cadets!$B46="","",Cadets!$F46)</f>
        <v/>
      </c>
      <c r="D46" s="18" t="n"/>
      <c r="E46" s="16" t="n"/>
      <c r="F46" s="18" t="n"/>
      <c r="G46" s="16" t="n"/>
      <c r="H46" s="18" t="n"/>
      <c r="I46" s="16" t="n"/>
      <c r="J46" s="18" t="n"/>
      <c r="K46" s="16" t="n"/>
      <c r="L46" s="18" t="n"/>
      <c r="M46" s="16" t="n"/>
      <c r="N46" s="18" t="n"/>
      <c r="O46" s="16" t="n"/>
      <c r="P46" s="18" t="n"/>
      <c r="Q46" s="16" t="n"/>
      <c r="R46" s="18" t="n"/>
      <c r="S46" s="16" t="n"/>
      <c r="T46" s="17">
        <f>IF($B46="","",IF($U46="","Yes","No"))</f>
        <v/>
      </c>
      <c r="U46" s="17">
        <f>IF($B46="","",_xlfn.TEXTJOIN("; ",TRUE,IF(AND($E46&lt;&gt;"N/A",OR($D46="",$E46&lt;&gt;"Yes")),"TIM",""),IF(AND($G46&lt;&gt;"N/A",OR($F46="",$G46&lt;&gt;"Yes")),"SFST",""),IF(AND($I46&lt;&gt;"N/A",OR($H46="",$I46&lt;&gt;"Yes")),"TCIC",""),IF(AND($K46&lt;&gt;"N/A",OR($J46="",$K46&lt;&gt;"Yes")),"CPR/AED",""),IF(AND($M46&lt;&gt;"N/A",OR($L46="",$M46&lt;&gt;"Yes")),"ALERRT",""),IF(AND($O46&lt;&gt;"N/A",OR($N46="",$O46&lt;&gt;"Yes")),"ICS 100",""),IF(AND($Q46&lt;&gt;"N/A",OR($P46="",$Q46&lt;&gt;"Yes")),"ICS 200",""),IF(AND($S46&lt;&gt;"N/A",OR($R46="",$S46&lt;&gt;"Yes")),"ICS 700","")))</f>
        <v/>
      </c>
      <c r="V46" s="17">
        <f>IF($B46="","",_xlfn.TEXTJOIN("; ",TRUE,IF($E46="N/A","TIM",""),IF($G46="N/A","SFST",""),IF($I46="N/A","TCIC",""),IF($K46="N/A","CPR/AED",""),IF($M46="N/A","ALERRT",""),IF($O46="N/A","ICS 100",""),IF($Q46="N/A","ICS 200",""),IF($S46="N/A","ICS 700","")))</f>
        <v/>
      </c>
      <c r="W46" s="17">
        <f>IF(Cadets!$B46="","",Cadets!$I46)</f>
        <v/>
      </c>
    </row>
    <row r="47">
      <c r="B47" s="17">
        <f>IF(Cadets!$B47="","",Cadets!$B47)</f>
        <v/>
      </c>
      <c r="C47" s="17">
        <f>IF(Cadets!$B47="","",Cadets!$F47)</f>
        <v/>
      </c>
      <c r="D47" s="18" t="n"/>
      <c r="E47" s="16" t="n"/>
      <c r="F47" s="18" t="n"/>
      <c r="G47" s="16" t="n"/>
      <c r="H47" s="18" t="n"/>
      <c r="I47" s="16" t="n"/>
      <c r="J47" s="18" t="n"/>
      <c r="K47" s="16" t="n"/>
      <c r="L47" s="18" t="n"/>
      <c r="M47" s="16" t="n"/>
      <c r="N47" s="18" t="n"/>
      <c r="O47" s="16" t="n"/>
      <c r="P47" s="18" t="n"/>
      <c r="Q47" s="16" t="n"/>
      <c r="R47" s="18" t="n"/>
      <c r="S47" s="16" t="n"/>
      <c r="T47" s="17">
        <f>IF($B47="","",IF($U47="","Yes","No"))</f>
        <v/>
      </c>
      <c r="U47" s="17">
        <f>IF($B47="","",_xlfn.TEXTJOIN("; ",TRUE,IF(AND($E47&lt;&gt;"N/A",OR($D47="",$E47&lt;&gt;"Yes")),"TIM",""),IF(AND($G47&lt;&gt;"N/A",OR($F47="",$G47&lt;&gt;"Yes")),"SFST",""),IF(AND($I47&lt;&gt;"N/A",OR($H47="",$I47&lt;&gt;"Yes")),"TCIC",""),IF(AND($K47&lt;&gt;"N/A",OR($J47="",$K47&lt;&gt;"Yes")),"CPR/AED",""),IF(AND($M47&lt;&gt;"N/A",OR($L47="",$M47&lt;&gt;"Yes")),"ALERRT",""),IF(AND($O47&lt;&gt;"N/A",OR($N47="",$O47&lt;&gt;"Yes")),"ICS 100",""),IF(AND($Q47&lt;&gt;"N/A",OR($P47="",$Q47&lt;&gt;"Yes")),"ICS 200",""),IF(AND($S47&lt;&gt;"N/A",OR($R47="",$S47&lt;&gt;"Yes")),"ICS 700","")))</f>
        <v/>
      </c>
      <c r="V47" s="17">
        <f>IF($B47="","",_xlfn.TEXTJOIN("; ",TRUE,IF($E47="N/A","TIM",""),IF($G47="N/A","SFST",""),IF($I47="N/A","TCIC",""),IF($K47="N/A","CPR/AED",""),IF($M47="N/A","ALERRT",""),IF($O47="N/A","ICS 100",""),IF($Q47="N/A","ICS 200",""),IF($S47="N/A","ICS 700","")))</f>
        <v/>
      </c>
      <c r="W47" s="17">
        <f>IF(Cadets!$B47="","",Cadets!$I47)</f>
        <v/>
      </c>
    </row>
    <row r="48">
      <c r="B48" s="17">
        <f>IF(Cadets!$B48="","",Cadets!$B48)</f>
        <v/>
      </c>
      <c r="C48" s="17">
        <f>IF(Cadets!$B48="","",Cadets!$F48)</f>
        <v/>
      </c>
      <c r="D48" s="18" t="n"/>
      <c r="E48" s="16" t="n"/>
      <c r="F48" s="18" t="n"/>
      <c r="G48" s="16" t="n"/>
      <c r="H48" s="18" t="n"/>
      <c r="I48" s="16" t="n"/>
      <c r="J48" s="18" t="n"/>
      <c r="K48" s="16" t="n"/>
      <c r="L48" s="18" t="n"/>
      <c r="M48" s="16" t="n"/>
      <c r="N48" s="18" t="n"/>
      <c r="O48" s="16" t="n"/>
      <c r="P48" s="18" t="n"/>
      <c r="Q48" s="16" t="n"/>
      <c r="R48" s="18" t="n"/>
      <c r="S48" s="16" t="n"/>
      <c r="T48" s="17">
        <f>IF($B48="","",IF($U48="","Yes","No"))</f>
        <v/>
      </c>
      <c r="U48" s="17">
        <f>IF($B48="","",_xlfn.TEXTJOIN("; ",TRUE,IF(AND($E48&lt;&gt;"N/A",OR($D48="",$E48&lt;&gt;"Yes")),"TIM",""),IF(AND($G48&lt;&gt;"N/A",OR($F48="",$G48&lt;&gt;"Yes")),"SFST",""),IF(AND($I48&lt;&gt;"N/A",OR($H48="",$I48&lt;&gt;"Yes")),"TCIC",""),IF(AND($K48&lt;&gt;"N/A",OR($J48="",$K48&lt;&gt;"Yes")),"CPR/AED",""),IF(AND($M48&lt;&gt;"N/A",OR($L48="",$M48&lt;&gt;"Yes")),"ALERRT",""),IF(AND($O48&lt;&gt;"N/A",OR($N48="",$O48&lt;&gt;"Yes")),"ICS 100",""),IF(AND($Q48&lt;&gt;"N/A",OR($P48="",$Q48&lt;&gt;"Yes")),"ICS 200",""),IF(AND($S48&lt;&gt;"N/A",OR($R48="",$S48&lt;&gt;"Yes")),"ICS 700","")))</f>
        <v/>
      </c>
      <c r="V48" s="17">
        <f>IF($B48="","",_xlfn.TEXTJOIN("; ",TRUE,IF($E48="N/A","TIM",""),IF($G48="N/A","SFST",""),IF($I48="N/A","TCIC",""),IF($K48="N/A","CPR/AED",""),IF($M48="N/A","ALERRT",""),IF($O48="N/A","ICS 100",""),IF($Q48="N/A","ICS 200",""),IF($S48="N/A","ICS 700","")))</f>
        <v/>
      </c>
      <c r="W48" s="17">
        <f>IF(Cadets!$B48="","",Cadets!$I48)</f>
        <v/>
      </c>
    </row>
    <row r="49">
      <c r="B49" s="17">
        <f>IF(Cadets!$B49="","",Cadets!$B49)</f>
        <v/>
      </c>
      <c r="C49" s="17">
        <f>IF(Cadets!$B49="","",Cadets!$F49)</f>
        <v/>
      </c>
      <c r="D49" s="18" t="n"/>
      <c r="E49" s="16" t="n"/>
      <c r="F49" s="18" t="n"/>
      <c r="G49" s="16" t="n"/>
      <c r="H49" s="18" t="n"/>
      <c r="I49" s="16" t="n"/>
      <c r="J49" s="18" t="n"/>
      <c r="K49" s="16" t="n"/>
      <c r="L49" s="18" t="n"/>
      <c r="M49" s="16" t="n"/>
      <c r="N49" s="18" t="n"/>
      <c r="O49" s="16" t="n"/>
      <c r="P49" s="18" t="n"/>
      <c r="Q49" s="16" t="n"/>
      <c r="R49" s="18" t="n"/>
      <c r="S49" s="16" t="n"/>
      <c r="T49" s="17">
        <f>IF($B49="","",IF($U49="","Yes","No"))</f>
        <v/>
      </c>
      <c r="U49" s="17">
        <f>IF($B49="","",_xlfn.TEXTJOIN("; ",TRUE,IF(AND($E49&lt;&gt;"N/A",OR($D49="",$E49&lt;&gt;"Yes")),"TIM",""),IF(AND($G49&lt;&gt;"N/A",OR($F49="",$G49&lt;&gt;"Yes")),"SFST",""),IF(AND($I49&lt;&gt;"N/A",OR($H49="",$I49&lt;&gt;"Yes")),"TCIC",""),IF(AND($K49&lt;&gt;"N/A",OR($J49="",$K49&lt;&gt;"Yes")),"CPR/AED",""),IF(AND($M49&lt;&gt;"N/A",OR($L49="",$M49&lt;&gt;"Yes")),"ALERRT",""),IF(AND($O49&lt;&gt;"N/A",OR($N49="",$O49&lt;&gt;"Yes")),"ICS 100",""),IF(AND($Q49&lt;&gt;"N/A",OR($P49="",$Q49&lt;&gt;"Yes")),"ICS 200",""),IF(AND($S49&lt;&gt;"N/A",OR($R49="",$S49&lt;&gt;"Yes")),"ICS 700","")))</f>
        <v/>
      </c>
      <c r="V49" s="17">
        <f>IF($B49="","",_xlfn.TEXTJOIN("; ",TRUE,IF($E49="N/A","TIM",""),IF($G49="N/A","SFST",""),IF($I49="N/A","TCIC",""),IF($K49="N/A","CPR/AED",""),IF($M49="N/A","ALERRT",""),IF($O49="N/A","ICS 100",""),IF($Q49="N/A","ICS 200",""),IF($S49="N/A","ICS 700","")))</f>
        <v/>
      </c>
      <c r="W49" s="17">
        <f>IF(Cadets!$B49="","",Cadets!$I49)</f>
        <v/>
      </c>
    </row>
    <row r="50">
      <c r="B50" s="17">
        <f>IF(Cadets!$B50="","",Cadets!$B50)</f>
        <v/>
      </c>
      <c r="C50" s="17">
        <f>IF(Cadets!$B50="","",Cadets!$F50)</f>
        <v/>
      </c>
      <c r="D50" s="18" t="n"/>
      <c r="E50" s="16" t="n"/>
      <c r="F50" s="18" t="n"/>
      <c r="G50" s="16" t="n"/>
      <c r="H50" s="18" t="n"/>
      <c r="I50" s="16" t="n"/>
      <c r="J50" s="18" t="n"/>
      <c r="K50" s="16" t="n"/>
      <c r="L50" s="18" t="n"/>
      <c r="M50" s="16" t="n"/>
      <c r="N50" s="18" t="n"/>
      <c r="O50" s="16" t="n"/>
      <c r="P50" s="18" t="n"/>
      <c r="Q50" s="16" t="n"/>
      <c r="R50" s="18" t="n"/>
      <c r="S50" s="16" t="n"/>
      <c r="T50" s="17">
        <f>IF($B50="","",IF($U50="","Yes","No"))</f>
        <v/>
      </c>
      <c r="U50" s="17">
        <f>IF($B50="","",_xlfn.TEXTJOIN("; ",TRUE,IF(AND($E50&lt;&gt;"N/A",OR($D50="",$E50&lt;&gt;"Yes")),"TIM",""),IF(AND($G50&lt;&gt;"N/A",OR($F50="",$G50&lt;&gt;"Yes")),"SFST",""),IF(AND($I50&lt;&gt;"N/A",OR($H50="",$I50&lt;&gt;"Yes")),"TCIC",""),IF(AND($K50&lt;&gt;"N/A",OR($J50="",$K50&lt;&gt;"Yes")),"CPR/AED",""),IF(AND($M50&lt;&gt;"N/A",OR($L50="",$M50&lt;&gt;"Yes")),"ALERRT",""),IF(AND($O50&lt;&gt;"N/A",OR($N50="",$O50&lt;&gt;"Yes")),"ICS 100",""),IF(AND($Q50&lt;&gt;"N/A",OR($P50="",$Q50&lt;&gt;"Yes")),"ICS 200",""),IF(AND($S50&lt;&gt;"N/A",OR($R50="",$S50&lt;&gt;"Yes")),"ICS 700","")))</f>
        <v/>
      </c>
      <c r="V50" s="17">
        <f>IF($B50="","",_xlfn.TEXTJOIN("; ",TRUE,IF($E50="N/A","TIM",""),IF($G50="N/A","SFST",""),IF($I50="N/A","TCIC",""),IF($K50="N/A","CPR/AED",""),IF($M50="N/A","ALERRT",""),IF($O50="N/A","ICS 100",""),IF($Q50="N/A","ICS 200",""),IF($S50="N/A","ICS 700","")))</f>
        <v/>
      </c>
      <c r="W50" s="17">
        <f>IF(Cadets!$B50="","",Cadets!$I50)</f>
        <v/>
      </c>
    </row>
    <row r="51">
      <c r="B51" s="17">
        <f>IF(Cadets!$B51="","",Cadets!$B51)</f>
        <v/>
      </c>
      <c r="C51" s="17">
        <f>IF(Cadets!$B51="","",Cadets!$F51)</f>
        <v/>
      </c>
      <c r="D51" s="18" t="n"/>
      <c r="E51" s="16" t="n"/>
      <c r="F51" s="18" t="n"/>
      <c r="G51" s="16" t="n"/>
      <c r="H51" s="18" t="n"/>
      <c r="I51" s="16" t="n"/>
      <c r="J51" s="18" t="n"/>
      <c r="K51" s="16" t="n"/>
      <c r="L51" s="18" t="n"/>
      <c r="M51" s="16" t="n"/>
      <c r="N51" s="18" t="n"/>
      <c r="O51" s="16" t="n"/>
      <c r="P51" s="18" t="n"/>
      <c r="Q51" s="16" t="n"/>
      <c r="R51" s="18" t="n"/>
      <c r="S51" s="16" t="n"/>
      <c r="T51" s="17">
        <f>IF($B51="","",IF($U51="","Yes","No"))</f>
        <v/>
      </c>
      <c r="U51" s="17">
        <f>IF($B51="","",_xlfn.TEXTJOIN("; ",TRUE,IF(AND($E51&lt;&gt;"N/A",OR($D51="",$E51&lt;&gt;"Yes")),"TIM",""),IF(AND($G51&lt;&gt;"N/A",OR($F51="",$G51&lt;&gt;"Yes")),"SFST",""),IF(AND($I51&lt;&gt;"N/A",OR($H51="",$I51&lt;&gt;"Yes")),"TCIC",""),IF(AND($K51&lt;&gt;"N/A",OR($J51="",$K51&lt;&gt;"Yes")),"CPR/AED",""),IF(AND($M51&lt;&gt;"N/A",OR($L51="",$M51&lt;&gt;"Yes")),"ALERRT",""),IF(AND($O51&lt;&gt;"N/A",OR($N51="",$O51&lt;&gt;"Yes")),"ICS 100",""),IF(AND($Q51&lt;&gt;"N/A",OR($P51="",$Q51&lt;&gt;"Yes")),"ICS 200",""),IF(AND($S51&lt;&gt;"N/A",OR($R51="",$S51&lt;&gt;"Yes")),"ICS 700","")))</f>
        <v/>
      </c>
      <c r="V51" s="17">
        <f>IF($B51="","",_xlfn.TEXTJOIN("; ",TRUE,IF($E51="N/A","TIM",""),IF($G51="N/A","SFST",""),IF($I51="N/A","TCIC",""),IF($K51="N/A","CPR/AED",""),IF($M51="N/A","ALERRT",""),IF($O51="N/A","ICS 100",""),IF($Q51="N/A","ICS 200",""),IF($S51="N/A","ICS 700","")))</f>
        <v/>
      </c>
      <c r="W51" s="17">
        <f>IF(Cadets!$B51="","",Cadets!$I51)</f>
        <v/>
      </c>
    </row>
    <row r="52">
      <c r="B52" s="17">
        <f>IF(Cadets!$B52="","",Cadets!$B52)</f>
        <v/>
      </c>
      <c r="C52" s="17">
        <f>IF(Cadets!$B52="","",Cadets!$F52)</f>
        <v/>
      </c>
      <c r="D52" s="18" t="n"/>
      <c r="E52" s="16" t="n"/>
      <c r="F52" s="18" t="n"/>
      <c r="G52" s="16" t="n"/>
      <c r="H52" s="18" t="n"/>
      <c r="I52" s="16" t="n"/>
      <c r="J52" s="18" t="n"/>
      <c r="K52" s="16" t="n"/>
      <c r="L52" s="18" t="n"/>
      <c r="M52" s="16" t="n"/>
      <c r="N52" s="18" t="n"/>
      <c r="O52" s="16" t="n"/>
      <c r="P52" s="18" t="n"/>
      <c r="Q52" s="16" t="n"/>
      <c r="R52" s="18" t="n"/>
      <c r="S52" s="16" t="n"/>
      <c r="T52" s="17">
        <f>IF($B52="","",IF($U52="","Yes","No"))</f>
        <v/>
      </c>
      <c r="U52" s="17">
        <f>IF($B52="","",_xlfn.TEXTJOIN("; ",TRUE,IF(AND($E52&lt;&gt;"N/A",OR($D52="",$E52&lt;&gt;"Yes")),"TIM",""),IF(AND($G52&lt;&gt;"N/A",OR($F52="",$G52&lt;&gt;"Yes")),"SFST",""),IF(AND($I52&lt;&gt;"N/A",OR($H52="",$I52&lt;&gt;"Yes")),"TCIC",""),IF(AND($K52&lt;&gt;"N/A",OR($J52="",$K52&lt;&gt;"Yes")),"CPR/AED",""),IF(AND($M52&lt;&gt;"N/A",OR($L52="",$M52&lt;&gt;"Yes")),"ALERRT",""),IF(AND($O52&lt;&gt;"N/A",OR($N52="",$O52&lt;&gt;"Yes")),"ICS 100",""),IF(AND($Q52&lt;&gt;"N/A",OR($P52="",$Q52&lt;&gt;"Yes")),"ICS 200",""),IF(AND($S52&lt;&gt;"N/A",OR($R52="",$S52&lt;&gt;"Yes")),"ICS 700","")))</f>
        <v/>
      </c>
      <c r="V52" s="17">
        <f>IF($B52="","",_xlfn.TEXTJOIN("; ",TRUE,IF($E52="N/A","TIM",""),IF($G52="N/A","SFST",""),IF($I52="N/A","TCIC",""),IF($K52="N/A","CPR/AED",""),IF($M52="N/A","ALERRT",""),IF($O52="N/A","ICS 100",""),IF($Q52="N/A","ICS 200",""),IF($S52="N/A","ICS 700","")))</f>
        <v/>
      </c>
      <c r="W52" s="17">
        <f>IF(Cadets!$B52="","",Cadets!$I52)</f>
        <v/>
      </c>
    </row>
    <row r="53">
      <c r="B53" s="17">
        <f>IF(Cadets!$B53="","",Cadets!$B53)</f>
        <v/>
      </c>
      <c r="C53" s="17">
        <f>IF(Cadets!$B53="","",Cadets!$F53)</f>
        <v/>
      </c>
      <c r="D53" s="18" t="n"/>
      <c r="E53" s="16" t="n"/>
      <c r="F53" s="18" t="n"/>
      <c r="G53" s="16" t="n"/>
      <c r="H53" s="18" t="n"/>
      <c r="I53" s="16" t="n"/>
      <c r="J53" s="18" t="n"/>
      <c r="K53" s="16" t="n"/>
      <c r="L53" s="18" t="n"/>
      <c r="M53" s="16" t="n"/>
      <c r="N53" s="18" t="n"/>
      <c r="O53" s="16" t="n"/>
      <c r="P53" s="18" t="n"/>
      <c r="Q53" s="16" t="n"/>
      <c r="R53" s="18" t="n"/>
      <c r="S53" s="16" t="n"/>
      <c r="T53" s="17">
        <f>IF($B53="","",IF($U53="","Yes","No"))</f>
        <v/>
      </c>
      <c r="U53" s="17">
        <f>IF($B53="","",_xlfn.TEXTJOIN("; ",TRUE,IF(AND($E53&lt;&gt;"N/A",OR($D53="",$E53&lt;&gt;"Yes")),"TIM",""),IF(AND($G53&lt;&gt;"N/A",OR($F53="",$G53&lt;&gt;"Yes")),"SFST",""),IF(AND($I53&lt;&gt;"N/A",OR($H53="",$I53&lt;&gt;"Yes")),"TCIC",""),IF(AND($K53&lt;&gt;"N/A",OR($J53="",$K53&lt;&gt;"Yes")),"CPR/AED",""),IF(AND($M53&lt;&gt;"N/A",OR($L53="",$M53&lt;&gt;"Yes")),"ALERRT",""),IF(AND($O53&lt;&gt;"N/A",OR($N53="",$O53&lt;&gt;"Yes")),"ICS 100",""),IF(AND($Q53&lt;&gt;"N/A",OR($P53="",$Q53&lt;&gt;"Yes")),"ICS 200",""),IF(AND($S53&lt;&gt;"N/A",OR($R53="",$S53&lt;&gt;"Yes")),"ICS 700","")))</f>
        <v/>
      </c>
      <c r="V53" s="17">
        <f>IF($B53="","",_xlfn.TEXTJOIN("; ",TRUE,IF($E53="N/A","TIM",""),IF($G53="N/A","SFST",""),IF($I53="N/A","TCIC",""),IF($K53="N/A","CPR/AED",""),IF($M53="N/A","ALERRT",""),IF($O53="N/A","ICS 100",""),IF($Q53="N/A","ICS 200",""),IF($S53="N/A","ICS 700","")))</f>
        <v/>
      </c>
      <c r="W53" s="17">
        <f>IF(Cadets!$B53="","",Cadets!$I53)</f>
        <v/>
      </c>
    </row>
    <row r="54">
      <c r="B54" s="17">
        <f>IF(Cadets!$B54="","",Cadets!$B54)</f>
        <v/>
      </c>
      <c r="C54" s="17">
        <f>IF(Cadets!$B54="","",Cadets!$F54)</f>
        <v/>
      </c>
      <c r="D54" s="18" t="n"/>
      <c r="E54" s="16" t="n"/>
      <c r="F54" s="18" t="n"/>
      <c r="G54" s="16" t="n"/>
      <c r="H54" s="18" t="n"/>
      <c r="I54" s="16" t="n"/>
      <c r="J54" s="18" t="n"/>
      <c r="K54" s="16" t="n"/>
      <c r="L54" s="18" t="n"/>
      <c r="M54" s="16" t="n"/>
      <c r="N54" s="18" t="n"/>
      <c r="O54" s="16" t="n"/>
      <c r="P54" s="18" t="n"/>
      <c r="Q54" s="16" t="n"/>
      <c r="R54" s="18" t="n"/>
      <c r="S54" s="16" t="n"/>
      <c r="T54" s="17">
        <f>IF($B54="","",IF($U54="","Yes","No"))</f>
        <v/>
      </c>
      <c r="U54" s="17">
        <f>IF($B54="","",_xlfn.TEXTJOIN("; ",TRUE,IF(AND($E54&lt;&gt;"N/A",OR($D54="",$E54&lt;&gt;"Yes")),"TIM",""),IF(AND($G54&lt;&gt;"N/A",OR($F54="",$G54&lt;&gt;"Yes")),"SFST",""),IF(AND($I54&lt;&gt;"N/A",OR($H54="",$I54&lt;&gt;"Yes")),"TCIC",""),IF(AND($K54&lt;&gt;"N/A",OR($J54="",$K54&lt;&gt;"Yes")),"CPR/AED",""),IF(AND($M54&lt;&gt;"N/A",OR($L54="",$M54&lt;&gt;"Yes")),"ALERRT",""),IF(AND($O54&lt;&gt;"N/A",OR($N54="",$O54&lt;&gt;"Yes")),"ICS 100",""),IF(AND($Q54&lt;&gt;"N/A",OR($P54="",$Q54&lt;&gt;"Yes")),"ICS 200",""),IF(AND($S54&lt;&gt;"N/A",OR($R54="",$S54&lt;&gt;"Yes")),"ICS 700","")))</f>
        <v/>
      </c>
      <c r="V54" s="17">
        <f>IF($B54="","",_xlfn.TEXTJOIN("; ",TRUE,IF($E54="N/A","TIM",""),IF($G54="N/A","SFST",""),IF($I54="N/A","TCIC",""),IF($K54="N/A","CPR/AED",""),IF($M54="N/A","ALERRT",""),IF($O54="N/A","ICS 100",""),IF($Q54="N/A","ICS 200",""),IF($S54="N/A","ICS 700","")))</f>
        <v/>
      </c>
      <c r="W54" s="17">
        <f>IF(Cadets!$B54="","",Cadets!$I54)</f>
        <v/>
      </c>
    </row>
    <row r="55">
      <c r="B55" s="17">
        <f>IF(Cadets!$B55="","",Cadets!$B55)</f>
        <v/>
      </c>
      <c r="C55" s="17">
        <f>IF(Cadets!$B55="","",Cadets!$F55)</f>
        <v/>
      </c>
      <c r="D55" s="18" t="n"/>
      <c r="E55" s="16" t="n"/>
      <c r="F55" s="18" t="n"/>
      <c r="G55" s="16" t="n"/>
      <c r="H55" s="18" t="n"/>
      <c r="I55" s="16" t="n"/>
      <c r="J55" s="18" t="n"/>
      <c r="K55" s="16" t="n"/>
      <c r="L55" s="18" t="n"/>
      <c r="M55" s="16" t="n"/>
      <c r="N55" s="18" t="n"/>
      <c r="O55" s="16" t="n"/>
      <c r="P55" s="18" t="n"/>
      <c r="Q55" s="16" t="n"/>
      <c r="R55" s="18" t="n"/>
      <c r="S55" s="16" t="n"/>
      <c r="T55" s="17">
        <f>IF($B55="","",IF($U55="","Yes","No"))</f>
        <v/>
      </c>
      <c r="U55" s="17">
        <f>IF($B55="","",_xlfn.TEXTJOIN("; ",TRUE,IF(AND($E55&lt;&gt;"N/A",OR($D55="",$E55&lt;&gt;"Yes")),"TIM",""),IF(AND($G55&lt;&gt;"N/A",OR($F55="",$G55&lt;&gt;"Yes")),"SFST",""),IF(AND($I55&lt;&gt;"N/A",OR($H55="",$I55&lt;&gt;"Yes")),"TCIC",""),IF(AND($K55&lt;&gt;"N/A",OR($J55="",$K55&lt;&gt;"Yes")),"CPR/AED",""),IF(AND($M55&lt;&gt;"N/A",OR($L55="",$M55&lt;&gt;"Yes")),"ALERRT",""),IF(AND($O55&lt;&gt;"N/A",OR($N55="",$O55&lt;&gt;"Yes")),"ICS 100",""),IF(AND($Q55&lt;&gt;"N/A",OR($P55="",$Q55&lt;&gt;"Yes")),"ICS 200",""),IF(AND($S55&lt;&gt;"N/A",OR($R55="",$S55&lt;&gt;"Yes")),"ICS 700","")))</f>
        <v/>
      </c>
      <c r="V55" s="17">
        <f>IF($B55="","",_xlfn.TEXTJOIN("; ",TRUE,IF($E55="N/A","TIM",""),IF($G55="N/A","SFST",""),IF($I55="N/A","TCIC",""),IF($K55="N/A","CPR/AED",""),IF($M55="N/A","ALERRT",""),IF($O55="N/A","ICS 100",""),IF($Q55="N/A","ICS 200",""),IF($S55="N/A","ICS 700","")))</f>
        <v/>
      </c>
      <c r="W55" s="17">
        <f>IF(Cadets!$B55="","",Cadets!$I55)</f>
        <v/>
      </c>
    </row>
    <row r="57">
      <c r="B57" s="3" t="inlineStr">
        <is>
          <t>Cert sources:</t>
        </is>
      </c>
      <c r="C57" s="2" t="inlineStr">
        <is>
          <t>TIM = Ch 22 - National TIM Responder (4 hr); SFST = Ch 23 - NHTSA SFST course; TCIC = Ch 36 - DPS TCIC/TLETS #4800; CPR/AED = Ch 40 - accredited CPR/AED (AHA/ARC); ALERRT = Ch 43 - ALERRT Level 1 (SB 1852); ICS 100 = Writing #29 - FEMA IS-100; ICS 200 = Writing #29 - FEMA IS-200; ICS 700 = Writing #29 - FEMA IS-700</t>
        </is>
      </c>
    </row>
  </sheetData>
  <sheetProtection selectLockedCells="0" selectUnlockedCells="0" sheet="1" objects="0" insertRows="1" insertHyperlinks="1" autoFilter="0" scenarios="0" formatColumns="1" deleteColumns="1" insertColumns="1" pivotTables="1" deleteRows="1" formatCells="1" formatRows="1" sort="1" password="B4BB"/>
  <autoFilter ref="B5:W5"/>
  <conditionalFormatting sqref="T6:T55">
    <cfRule type="cellIs" priority="1" operator="equal" dxfId="3">
      <formula>"Yes"</formula>
    </cfRule>
    <cfRule type="cellIs" priority="2" operator="equal" dxfId="0">
      <formula>"No"</formula>
    </cfRule>
  </conditionalFormatting>
  <conditionalFormatting sqref="V6:V55">
    <cfRule type="expression" priority="3" dxfId="0">
      <formula>$V6&lt;&gt;""</formula>
    </cfRule>
  </conditionalFormatting>
  <conditionalFormatting sqref="B6:W55">
    <cfRule type="expression" priority="4" dxfId="1">
      <formula>AND(Cadets!$B6&lt;&gt;"",Cadets!$I6&lt;&gt;"Active")</formula>
    </cfRule>
  </conditionalFormatting>
  <dataValidations count="1">
    <dataValidation sqref="E6:E55 G6:G55 I6:I55 K6:K55 M6:M55 O6:O55 Q6:Q55 S6:S55" showDropDown="0" showInputMessage="0" showErrorMessage="1" allowBlank="1" type="list">
      <formula1>"Yes,Requested,N/A"</formula1>
    </dataValidation>
  </dataValidations>
  <pageMargins left="0.75" right="0.75" top="1" bottom="1" header="0.5" footer="0.5"/>
</worksheet>
</file>

<file path=xl/worksheets/sheet20.xml><?xml version="1.0" encoding="utf-8"?>
<worksheet xmlns="http://schemas.openxmlformats.org/spreadsheetml/2006/main">
  <sheetPr>
    <tabColor rgb="002E75B6"/>
    <outlinePr summaryBelow="1" summaryRight="1"/>
    <pageSetUpPr/>
  </sheetPr>
  <dimension ref="B1:M55"/>
  <sheetViews>
    <sheetView showGridLines="0" workbookViewId="0">
      <pane xSplit="3" ySplit="5" topLeftCell="D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4" customWidth="1" min="3" max="3"/>
    <col width="13" customWidth="1" min="4" max="4"/>
    <col width="9" customWidth="1" min="5" max="5"/>
    <col width="13" customWidth="1" min="6" max="6"/>
    <col width="9" customWidth="1" min="7" max="7"/>
    <col width="13" customWidth="1" min="8" max="8"/>
    <col width="9" customWidth="1" min="9" max="9"/>
    <col width="9" customWidth="1" min="10" max="10"/>
    <col width="32" customWidth="1" min="11" max="11"/>
    <col width="28" customWidth="1" min="12" max="12"/>
    <col width="11" customWidth="1" min="13" max="13"/>
  </cols>
  <sheetData>
    <row r="1">
      <c r="B1" s="10">
        <f>HYPERLINK("#Dashboard!B5","◄ Dashboard")</f>
        <v/>
      </c>
    </row>
    <row r="4">
      <c r="B4" s="11" t="inlineStr">
        <is>
          <t>TCOLE licensing exam: 250 multiple-choice, 70% to pass, maximum 3 attempts; a third failure means the learner must enroll in and complete a new BPOC.</t>
        </is>
      </c>
    </row>
    <row r="5" ht="26" customHeight="1">
      <c r="B5" s="12" t="inlineStr">
        <is>
          <t>PID</t>
        </is>
      </c>
      <c r="C5" s="12" t="inlineStr">
        <is>
          <t>Cadet Name</t>
        </is>
      </c>
      <c r="D5" s="12" t="inlineStr">
        <is>
          <t>Attempt 1 Date</t>
        </is>
      </c>
      <c r="E5" s="12" t="inlineStr">
        <is>
          <t>Result 1</t>
        </is>
      </c>
      <c r="F5" s="12" t="inlineStr">
        <is>
          <t>Attempt 2 Date</t>
        </is>
      </c>
      <c r="G5" s="12" t="inlineStr">
        <is>
          <t>Result 2</t>
        </is>
      </c>
      <c r="H5" s="12" t="inlineStr">
        <is>
          <t>Attempt 3 Date</t>
        </is>
      </c>
      <c r="I5" s="12" t="inlineStr">
        <is>
          <t>Result 3</t>
        </is>
      </c>
      <c r="J5" s="12" t="inlineStr">
        <is>
          <t>Attempts</t>
        </is>
      </c>
      <c r="K5" s="12" t="inlineStr">
        <is>
          <t>Status</t>
        </is>
      </c>
      <c r="L5" s="12" t="inlineStr">
        <is>
          <t>Notes</t>
        </is>
      </c>
      <c r="M5" s="20" t="inlineStr">
        <is>
          <t>Cadet Status</t>
        </is>
      </c>
    </row>
    <row r="6">
      <c r="B6" s="17">
        <f>IF(Cadets!$B6="","",Cadets!$B6)</f>
        <v/>
      </c>
      <c r="C6" s="17">
        <f>IF(Cadets!$B6="","",Cadets!$F6)</f>
        <v/>
      </c>
      <c r="D6" s="18" t="n"/>
      <c r="E6" s="16" t="n"/>
      <c r="F6" s="18" t="n"/>
      <c r="G6" s="16" t="n"/>
      <c r="H6" s="18" t="n"/>
      <c r="I6" s="16" t="n"/>
      <c r="J6" s="17">
        <f>IF($B6="","",COUNTIF($E6:$I6,"Pass")+COUNTIF($E6:$I6,"Fail"))</f>
        <v/>
      </c>
      <c r="K6" s="17">
        <f>IF($B6="","",IF(COUNTIF($E6:$I6,"Pass")&gt;0,"PASSED "&amp;TEXT(MAX($D6,$F6,$H6),"mm/dd/yyyy"),IF($J6&gt;=3,"FAILED 3 ATTEMPTS - new BPOC required",IF($J6=0,"Not yet attempted","In progress ("&amp;$J6&amp;" attempt(s))"))))</f>
        <v/>
      </c>
      <c r="L6" s="16" t="n"/>
      <c r="M6" s="17">
        <f>IF(Cadets!$B6="","",Cadets!$I6)</f>
        <v/>
      </c>
    </row>
    <row r="7">
      <c r="B7" s="17">
        <f>IF(Cadets!$B7="","",Cadets!$B7)</f>
        <v/>
      </c>
      <c r="C7" s="17">
        <f>IF(Cadets!$B7="","",Cadets!$F7)</f>
        <v/>
      </c>
      <c r="D7" s="18" t="n"/>
      <c r="E7" s="16" t="n"/>
      <c r="F7" s="18" t="n"/>
      <c r="G7" s="16" t="n"/>
      <c r="H7" s="18" t="n"/>
      <c r="I7" s="16" t="n"/>
      <c r="J7" s="17">
        <f>IF($B7="","",COUNTIF($E7:$I7,"Pass")+COUNTIF($E7:$I7,"Fail"))</f>
        <v/>
      </c>
      <c r="K7" s="17">
        <f>IF($B7="","",IF(COUNTIF($E7:$I7,"Pass")&gt;0,"PASSED "&amp;TEXT(MAX($D7,$F7,$H7),"mm/dd/yyyy"),IF($J7&gt;=3,"FAILED 3 ATTEMPTS - new BPOC required",IF($J7=0,"Not yet attempted","In progress ("&amp;$J7&amp;" attempt(s))"))))</f>
        <v/>
      </c>
      <c r="L7" s="16" t="n"/>
      <c r="M7" s="17">
        <f>IF(Cadets!$B7="","",Cadets!$I7)</f>
        <v/>
      </c>
    </row>
    <row r="8">
      <c r="B8" s="17">
        <f>IF(Cadets!$B8="","",Cadets!$B8)</f>
        <v/>
      </c>
      <c r="C8" s="17">
        <f>IF(Cadets!$B8="","",Cadets!$F8)</f>
        <v/>
      </c>
      <c r="D8" s="18" t="n"/>
      <c r="E8" s="16" t="n"/>
      <c r="F8" s="18" t="n"/>
      <c r="G8" s="16" t="n"/>
      <c r="H8" s="18" t="n"/>
      <c r="I8" s="16" t="n"/>
      <c r="J8" s="17">
        <f>IF($B8="","",COUNTIF($E8:$I8,"Pass")+COUNTIF($E8:$I8,"Fail"))</f>
        <v/>
      </c>
      <c r="K8" s="17">
        <f>IF($B8="","",IF(COUNTIF($E8:$I8,"Pass")&gt;0,"PASSED "&amp;TEXT(MAX($D8,$F8,$H8),"mm/dd/yyyy"),IF($J8&gt;=3,"FAILED 3 ATTEMPTS - new BPOC required",IF($J8=0,"Not yet attempted","In progress ("&amp;$J8&amp;" attempt(s))"))))</f>
        <v/>
      </c>
      <c r="L8" s="16" t="n"/>
      <c r="M8" s="17">
        <f>IF(Cadets!$B8="","",Cadets!$I8)</f>
        <v/>
      </c>
    </row>
    <row r="9">
      <c r="B9" s="17">
        <f>IF(Cadets!$B9="","",Cadets!$B9)</f>
        <v/>
      </c>
      <c r="C9" s="17">
        <f>IF(Cadets!$B9="","",Cadets!$F9)</f>
        <v/>
      </c>
      <c r="D9" s="18" t="n"/>
      <c r="E9" s="16" t="n"/>
      <c r="F9" s="18" t="n"/>
      <c r="G9" s="16" t="n"/>
      <c r="H9" s="18" t="n"/>
      <c r="I9" s="16" t="n"/>
      <c r="J9" s="17">
        <f>IF($B9="","",COUNTIF($E9:$I9,"Pass")+COUNTIF($E9:$I9,"Fail"))</f>
        <v/>
      </c>
      <c r="K9" s="17">
        <f>IF($B9="","",IF(COUNTIF($E9:$I9,"Pass")&gt;0,"PASSED "&amp;TEXT(MAX($D9,$F9,$H9),"mm/dd/yyyy"),IF($J9&gt;=3,"FAILED 3 ATTEMPTS - new BPOC required",IF($J9=0,"Not yet attempted","In progress ("&amp;$J9&amp;" attempt(s))"))))</f>
        <v/>
      </c>
      <c r="L9" s="16" t="n"/>
      <c r="M9" s="17">
        <f>IF(Cadets!$B9="","",Cadets!$I9)</f>
        <v/>
      </c>
    </row>
    <row r="10">
      <c r="B10" s="17">
        <f>IF(Cadets!$B10="","",Cadets!$B10)</f>
        <v/>
      </c>
      <c r="C10" s="17">
        <f>IF(Cadets!$B10="","",Cadets!$F10)</f>
        <v/>
      </c>
      <c r="D10" s="18" t="n"/>
      <c r="E10" s="16" t="n"/>
      <c r="F10" s="18" t="n"/>
      <c r="G10" s="16" t="n"/>
      <c r="H10" s="18" t="n"/>
      <c r="I10" s="16" t="n"/>
      <c r="J10" s="17">
        <f>IF($B10="","",COUNTIF($E10:$I10,"Pass")+COUNTIF($E10:$I10,"Fail"))</f>
        <v/>
      </c>
      <c r="K10" s="17">
        <f>IF($B10="","",IF(COUNTIF($E10:$I10,"Pass")&gt;0,"PASSED "&amp;TEXT(MAX($D10,$F10,$H10),"mm/dd/yyyy"),IF($J10&gt;=3,"FAILED 3 ATTEMPTS - new BPOC required",IF($J10=0,"Not yet attempted","In progress ("&amp;$J10&amp;" attempt(s))"))))</f>
        <v/>
      </c>
      <c r="L10" s="16" t="n"/>
      <c r="M10" s="17">
        <f>IF(Cadets!$B10="","",Cadets!$I10)</f>
        <v/>
      </c>
    </row>
    <row r="11">
      <c r="B11" s="17">
        <f>IF(Cadets!$B11="","",Cadets!$B11)</f>
        <v/>
      </c>
      <c r="C11" s="17">
        <f>IF(Cadets!$B11="","",Cadets!$F11)</f>
        <v/>
      </c>
      <c r="D11" s="18" t="n"/>
      <c r="E11" s="16" t="n"/>
      <c r="F11" s="18" t="n"/>
      <c r="G11" s="16" t="n"/>
      <c r="H11" s="18" t="n"/>
      <c r="I11" s="16" t="n"/>
      <c r="J11" s="17">
        <f>IF($B11="","",COUNTIF($E11:$I11,"Pass")+COUNTIF($E11:$I11,"Fail"))</f>
        <v/>
      </c>
      <c r="K11" s="17">
        <f>IF($B11="","",IF(COUNTIF($E11:$I11,"Pass")&gt;0,"PASSED "&amp;TEXT(MAX($D11,$F11,$H11),"mm/dd/yyyy"),IF($J11&gt;=3,"FAILED 3 ATTEMPTS - new BPOC required",IF($J11=0,"Not yet attempted","In progress ("&amp;$J11&amp;" attempt(s))"))))</f>
        <v/>
      </c>
      <c r="L11" s="16" t="n"/>
      <c r="M11" s="17">
        <f>IF(Cadets!$B11="","",Cadets!$I11)</f>
        <v/>
      </c>
    </row>
    <row r="12">
      <c r="B12" s="17">
        <f>IF(Cadets!$B12="","",Cadets!$B12)</f>
        <v/>
      </c>
      <c r="C12" s="17">
        <f>IF(Cadets!$B12="","",Cadets!$F12)</f>
        <v/>
      </c>
      <c r="D12" s="18" t="n"/>
      <c r="E12" s="16" t="n"/>
      <c r="F12" s="18" t="n"/>
      <c r="G12" s="16" t="n"/>
      <c r="H12" s="18" t="n"/>
      <c r="I12" s="16" t="n"/>
      <c r="J12" s="17">
        <f>IF($B12="","",COUNTIF($E12:$I12,"Pass")+COUNTIF($E12:$I12,"Fail"))</f>
        <v/>
      </c>
      <c r="K12" s="17">
        <f>IF($B12="","",IF(COUNTIF($E12:$I12,"Pass")&gt;0,"PASSED "&amp;TEXT(MAX($D12,$F12,$H12),"mm/dd/yyyy"),IF($J12&gt;=3,"FAILED 3 ATTEMPTS - new BPOC required",IF($J12=0,"Not yet attempted","In progress ("&amp;$J12&amp;" attempt(s))"))))</f>
        <v/>
      </c>
      <c r="L12" s="16" t="n"/>
      <c r="M12" s="17">
        <f>IF(Cadets!$B12="","",Cadets!$I12)</f>
        <v/>
      </c>
    </row>
    <row r="13">
      <c r="B13" s="17">
        <f>IF(Cadets!$B13="","",Cadets!$B13)</f>
        <v/>
      </c>
      <c r="C13" s="17">
        <f>IF(Cadets!$B13="","",Cadets!$F13)</f>
        <v/>
      </c>
      <c r="D13" s="18" t="n"/>
      <c r="E13" s="16" t="n"/>
      <c r="F13" s="18" t="n"/>
      <c r="G13" s="16" t="n"/>
      <c r="H13" s="18" t="n"/>
      <c r="I13" s="16" t="n"/>
      <c r="J13" s="17">
        <f>IF($B13="","",COUNTIF($E13:$I13,"Pass")+COUNTIF($E13:$I13,"Fail"))</f>
        <v/>
      </c>
      <c r="K13" s="17">
        <f>IF($B13="","",IF(COUNTIF($E13:$I13,"Pass")&gt;0,"PASSED "&amp;TEXT(MAX($D13,$F13,$H13),"mm/dd/yyyy"),IF($J13&gt;=3,"FAILED 3 ATTEMPTS - new BPOC required",IF($J13=0,"Not yet attempted","In progress ("&amp;$J13&amp;" attempt(s))"))))</f>
        <v/>
      </c>
      <c r="L13" s="16" t="n"/>
      <c r="M13" s="17">
        <f>IF(Cadets!$B13="","",Cadets!$I13)</f>
        <v/>
      </c>
    </row>
    <row r="14">
      <c r="B14" s="17">
        <f>IF(Cadets!$B14="","",Cadets!$B14)</f>
        <v/>
      </c>
      <c r="C14" s="17">
        <f>IF(Cadets!$B14="","",Cadets!$F14)</f>
        <v/>
      </c>
      <c r="D14" s="18" t="n"/>
      <c r="E14" s="16" t="n"/>
      <c r="F14" s="18" t="n"/>
      <c r="G14" s="16" t="n"/>
      <c r="H14" s="18" t="n"/>
      <c r="I14" s="16" t="n"/>
      <c r="J14" s="17">
        <f>IF($B14="","",COUNTIF($E14:$I14,"Pass")+COUNTIF($E14:$I14,"Fail"))</f>
        <v/>
      </c>
      <c r="K14" s="17">
        <f>IF($B14="","",IF(COUNTIF($E14:$I14,"Pass")&gt;0,"PASSED "&amp;TEXT(MAX($D14,$F14,$H14),"mm/dd/yyyy"),IF($J14&gt;=3,"FAILED 3 ATTEMPTS - new BPOC required",IF($J14=0,"Not yet attempted","In progress ("&amp;$J14&amp;" attempt(s))"))))</f>
        <v/>
      </c>
      <c r="L14" s="16" t="n"/>
      <c r="M14" s="17">
        <f>IF(Cadets!$B14="","",Cadets!$I14)</f>
        <v/>
      </c>
    </row>
    <row r="15">
      <c r="B15" s="17">
        <f>IF(Cadets!$B15="","",Cadets!$B15)</f>
        <v/>
      </c>
      <c r="C15" s="17">
        <f>IF(Cadets!$B15="","",Cadets!$F15)</f>
        <v/>
      </c>
      <c r="D15" s="18" t="n"/>
      <c r="E15" s="16" t="n"/>
      <c r="F15" s="18" t="n"/>
      <c r="G15" s="16" t="n"/>
      <c r="H15" s="18" t="n"/>
      <c r="I15" s="16" t="n"/>
      <c r="J15" s="17">
        <f>IF($B15="","",COUNTIF($E15:$I15,"Pass")+COUNTIF($E15:$I15,"Fail"))</f>
        <v/>
      </c>
      <c r="K15" s="17">
        <f>IF($B15="","",IF(COUNTIF($E15:$I15,"Pass")&gt;0,"PASSED "&amp;TEXT(MAX($D15,$F15,$H15),"mm/dd/yyyy"),IF($J15&gt;=3,"FAILED 3 ATTEMPTS - new BPOC required",IF($J15=0,"Not yet attempted","In progress ("&amp;$J15&amp;" attempt(s))"))))</f>
        <v/>
      </c>
      <c r="L15" s="16" t="n"/>
      <c r="M15" s="17">
        <f>IF(Cadets!$B15="","",Cadets!$I15)</f>
        <v/>
      </c>
    </row>
    <row r="16">
      <c r="B16" s="17">
        <f>IF(Cadets!$B16="","",Cadets!$B16)</f>
        <v/>
      </c>
      <c r="C16" s="17">
        <f>IF(Cadets!$B16="","",Cadets!$F16)</f>
        <v/>
      </c>
      <c r="D16" s="18" t="n"/>
      <c r="E16" s="16" t="n"/>
      <c r="F16" s="18" t="n"/>
      <c r="G16" s="16" t="n"/>
      <c r="H16" s="18" t="n"/>
      <c r="I16" s="16" t="n"/>
      <c r="J16" s="17">
        <f>IF($B16="","",COUNTIF($E16:$I16,"Pass")+COUNTIF($E16:$I16,"Fail"))</f>
        <v/>
      </c>
      <c r="K16" s="17">
        <f>IF($B16="","",IF(COUNTIF($E16:$I16,"Pass")&gt;0,"PASSED "&amp;TEXT(MAX($D16,$F16,$H16),"mm/dd/yyyy"),IF($J16&gt;=3,"FAILED 3 ATTEMPTS - new BPOC required",IF($J16=0,"Not yet attempted","In progress ("&amp;$J16&amp;" attempt(s))"))))</f>
        <v/>
      </c>
      <c r="L16" s="16" t="n"/>
      <c r="M16" s="17">
        <f>IF(Cadets!$B16="","",Cadets!$I16)</f>
        <v/>
      </c>
    </row>
    <row r="17">
      <c r="B17" s="17">
        <f>IF(Cadets!$B17="","",Cadets!$B17)</f>
        <v/>
      </c>
      <c r="C17" s="17">
        <f>IF(Cadets!$B17="","",Cadets!$F17)</f>
        <v/>
      </c>
      <c r="D17" s="18" t="n"/>
      <c r="E17" s="16" t="n"/>
      <c r="F17" s="18" t="n"/>
      <c r="G17" s="16" t="n"/>
      <c r="H17" s="18" t="n"/>
      <c r="I17" s="16" t="n"/>
      <c r="J17" s="17">
        <f>IF($B17="","",COUNTIF($E17:$I17,"Pass")+COUNTIF($E17:$I17,"Fail"))</f>
        <v/>
      </c>
      <c r="K17" s="17">
        <f>IF($B17="","",IF(COUNTIF($E17:$I17,"Pass")&gt;0,"PASSED "&amp;TEXT(MAX($D17,$F17,$H17),"mm/dd/yyyy"),IF($J17&gt;=3,"FAILED 3 ATTEMPTS - new BPOC required",IF($J17=0,"Not yet attempted","In progress ("&amp;$J17&amp;" attempt(s))"))))</f>
        <v/>
      </c>
      <c r="L17" s="16" t="n"/>
      <c r="M17" s="17">
        <f>IF(Cadets!$B17="","",Cadets!$I17)</f>
        <v/>
      </c>
    </row>
    <row r="18">
      <c r="B18" s="17">
        <f>IF(Cadets!$B18="","",Cadets!$B18)</f>
        <v/>
      </c>
      <c r="C18" s="17">
        <f>IF(Cadets!$B18="","",Cadets!$F18)</f>
        <v/>
      </c>
      <c r="D18" s="18" t="n"/>
      <c r="E18" s="16" t="n"/>
      <c r="F18" s="18" t="n"/>
      <c r="G18" s="16" t="n"/>
      <c r="H18" s="18" t="n"/>
      <c r="I18" s="16" t="n"/>
      <c r="J18" s="17">
        <f>IF($B18="","",COUNTIF($E18:$I18,"Pass")+COUNTIF($E18:$I18,"Fail"))</f>
        <v/>
      </c>
      <c r="K18" s="17">
        <f>IF($B18="","",IF(COUNTIF($E18:$I18,"Pass")&gt;0,"PASSED "&amp;TEXT(MAX($D18,$F18,$H18),"mm/dd/yyyy"),IF($J18&gt;=3,"FAILED 3 ATTEMPTS - new BPOC required",IF($J18=0,"Not yet attempted","In progress ("&amp;$J18&amp;" attempt(s))"))))</f>
        <v/>
      </c>
      <c r="L18" s="16" t="n"/>
      <c r="M18" s="17">
        <f>IF(Cadets!$B18="","",Cadets!$I18)</f>
        <v/>
      </c>
    </row>
    <row r="19">
      <c r="B19" s="17">
        <f>IF(Cadets!$B19="","",Cadets!$B19)</f>
        <v/>
      </c>
      <c r="C19" s="17">
        <f>IF(Cadets!$B19="","",Cadets!$F19)</f>
        <v/>
      </c>
      <c r="D19" s="18" t="n"/>
      <c r="E19" s="16" t="n"/>
      <c r="F19" s="18" t="n"/>
      <c r="G19" s="16" t="n"/>
      <c r="H19" s="18" t="n"/>
      <c r="I19" s="16" t="n"/>
      <c r="J19" s="17">
        <f>IF($B19="","",COUNTIF($E19:$I19,"Pass")+COUNTIF($E19:$I19,"Fail"))</f>
        <v/>
      </c>
      <c r="K19" s="17">
        <f>IF($B19="","",IF(COUNTIF($E19:$I19,"Pass")&gt;0,"PASSED "&amp;TEXT(MAX($D19,$F19,$H19),"mm/dd/yyyy"),IF($J19&gt;=3,"FAILED 3 ATTEMPTS - new BPOC required",IF($J19=0,"Not yet attempted","In progress ("&amp;$J19&amp;" attempt(s))"))))</f>
        <v/>
      </c>
      <c r="L19" s="16" t="n"/>
      <c r="M19" s="17">
        <f>IF(Cadets!$B19="","",Cadets!$I19)</f>
        <v/>
      </c>
    </row>
    <row r="20">
      <c r="B20" s="17">
        <f>IF(Cadets!$B20="","",Cadets!$B20)</f>
        <v/>
      </c>
      <c r="C20" s="17">
        <f>IF(Cadets!$B20="","",Cadets!$F20)</f>
        <v/>
      </c>
      <c r="D20" s="18" t="n"/>
      <c r="E20" s="16" t="n"/>
      <c r="F20" s="18" t="n"/>
      <c r="G20" s="16" t="n"/>
      <c r="H20" s="18" t="n"/>
      <c r="I20" s="16" t="n"/>
      <c r="J20" s="17">
        <f>IF($B20="","",COUNTIF($E20:$I20,"Pass")+COUNTIF($E20:$I20,"Fail"))</f>
        <v/>
      </c>
      <c r="K20" s="17">
        <f>IF($B20="","",IF(COUNTIF($E20:$I20,"Pass")&gt;0,"PASSED "&amp;TEXT(MAX($D20,$F20,$H20),"mm/dd/yyyy"),IF($J20&gt;=3,"FAILED 3 ATTEMPTS - new BPOC required",IF($J20=0,"Not yet attempted","In progress ("&amp;$J20&amp;" attempt(s))"))))</f>
        <v/>
      </c>
      <c r="L20" s="16" t="n"/>
      <c r="M20" s="17">
        <f>IF(Cadets!$B20="","",Cadets!$I20)</f>
        <v/>
      </c>
    </row>
    <row r="21">
      <c r="B21" s="17">
        <f>IF(Cadets!$B21="","",Cadets!$B21)</f>
        <v/>
      </c>
      <c r="C21" s="17">
        <f>IF(Cadets!$B21="","",Cadets!$F21)</f>
        <v/>
      </c>
      <c r="D21" s="18" t="n"/>
      <c r="E21" s="16" t="n"/>
      <c r="F21" s="18" t="n"/>
      <c r="G21" s="16" t="n"/>
      <c r="H21" s="18" t="n"/>
      <c r="I21" s="16" t="n"/>
      <c r="J21" s="17">
        <f>IF($B21="","",COUNTIF($E21:$I21,"Pass")+COUNTIF($E21:$I21,"Fail"))</f>
        <v/>
      </c>
      <c r="K21" s="17">
        <f>IF($B21="","",IF(COUNTIF($E21:$I21,"Pass")&gt;0,"PASSED "&amp;TEXT(MAX($D21,$F21,$H21),"mm/dd/yyyy"),IF($J21&gt;=3,"FAILED 3 ATTEMPTS - new BPOC required",IF($J21=0,"Not yet attempted","In progress ("&amp;$J21&amp;" attempt(s))"))))</f>
        <v/>
      </c>
      <c r="L21" s="16" t="n"/>
      <c r="M21" s="17">
        <f>IF(Cadets!$B21="","",Cadets!$I21)</f>
        <v/>
      </c>
    </row>
    <row r="22">
      <c r="B22" s="17">
        <f>IF(Cadets!$B22="","",Cadets!$B22)</f>
        <v/>
      </c>
      <c r="C22" s="17">
        <f>IF(Cadets!$B22="","",Cadets!$F22)</f>
        <v/>
      </c>
      <c r="D22" s="18" t="n"/>
      <c r="E22" s="16" t="n"/>
      <c r="F22" s="18" t="n"/>
      <c r="G22" s="16" t="n"/>
      <c r="H22" s="18" t="n"/>
      <c r="I22" s="16" t="n"/>
      <c r="J22" s="17">
        <f>IF($B22="","",COUNTIF($E22:$I22,"Pass")+COUNTIF($E22:$I22,"Fail"))</f>
        <v/>
      </c>
      <c r="K22" s="17">
        <f>IF($B22="","",IF(COUNTIF($E22:$I22,"Pass")&gt;0,"PASSED "&amp;TEXT(MAX($D22,$F22,$H22),"mm/dd/yyyy"),IF($J22&gt;=3,"FAILED 3 ATTEMPTS - new BPOC required",IF($J22=0,"Not yet attempted","In progress ("&amp;$J22&amp;" attempt(s))"))))</f>
        <v/>
      </c>
      <c r="L22" s="16" t="n"/>
      <c r="M22" s="17">
        <f>IF(Cadets!$B22="","",Cadets!$I22)</f>
        <v/>
      </c>
    </row>
    <row r="23">
      <c r="B23" s="17">
        <f>IF(Cadets!$B23="","",Cadets!$B23)</f>
        <v/>
      </c>
      <c r="C23" s="17">
        <f>IF(Cadets!$B23="","",Cadets!$F23)</f>
        <v/>
      </c>
      <c r="D23" s="18" t="n"/>
      <c r="E23" s="16" t="n"/>
      <c r="F23" s="18" t="n"/>
      <c r="G23" s="16" t="n"/>
      <c r="H23" s="18" t="n"/>
      <c r="I23" s="16" t="n"/>
      <c r="J23" s="17">
        <f>IF($B23="","",COUNTIF($E23:$I23,"Pass")+COUNTIF($E23:$I23,"Fail"))</f>
        <v/>
      </c>
      <c r="K23" s="17">
        <f>IF($B23="","",IF(COUNTIF($E23:$I23,"Pass")&gt;0,"PASSED "&amp;TEXT(MAX($D23,$F23,$H23),"mm/dd/yyyy"),IF($J23&gt;=3,"FAILED 3 ATTEMPTS - new BPOC required",IF($J23=0,"Not yet attempted","In progress ("&amp;$J23&amp;" attempt(s))"))))</f>
        <v/>
      </c>
      <c r="L23" s="16" t="n"/>
      <c r="M23" s="17">
        <f>IF(Cadets!$B23="","",Cadets!$I23)</f>
        <v/>
      </c>
    </row>
    <row r="24">
      <c r="B24" s="17">
        <f>IF(Cadets!$B24="","",Cadets!$B24)</f>
        <v/>
      </c>
      <c r="C24" s="17">
        <f>IF(Cadets!$B24="","",Cadets!$F24)</f>
        <v/>
      </c>
      <c r="D24" s="18" t="n"/>
      <c r="E24" s="16" t="n"/>
      <c r="F24" s="18" t="n"/>
      <c r="G24" s="16" t="n"/>
      <c r="H24" s="18" t="n"/>
      <c r="I24" s="16" t="n"/>
      <c r="J24" s="17">
        <f>IF($B24="","",COUNTIF($E24:$I24,"Pass")+COUNTIF($E24:$I24,"Fail"))</f>
        <v/>
      </c>
      <c r="K24" s="17">
        <f>IF($B24="","",IF(COUNTIF($E24:$I24,"Pass")&gt;0,"PASSED "&amp;TEXT(MAX($D24,$F24,$H24),"mm/dd/yyyy"),IF($J24&gt;=3,"FAILED 3 ATTEMPTS - new BPOC required",IF($J24=0,"Not yet attempted","In progress ("&amp;$J24&amp;" attempt(s))"))))</f>
        <v/>
      </c>
      <c r="L24" s="16" t="n"/>
      <c r="M24" s="17">
        <f>IF(Cadets!$B24="","",Cadets!$I24)</f>
        <v/>
      </c>
    </row>
    <row r="25">
      <c r="B25" s="17">
        <f>IF(Cadets!$B25="","",Cadets!$B25)</f>
        <v/>
      </c>
      <c r="C25" s="17">
        <f>IF(Cadets!$B25="","",Cadets!$F25)</f>
        <v/>
      </c>
      <c r="D25" s="18" t="n"/>
      <c r="E25" s="16" t="n"/>
      <c r="F25" s="18" t="n"/>
      <c r="G25" s="16" t="n"/>
      <c r="H25" s="18" t="n"/>
      <c r="I25" s="16" t="n"/>
      <c r="J25" s="17">
        <f>IF($B25="","",COUNTIF($E25:$I25,"Pass")+COUNTIF($E25:$I25,"Fail"))</f>
        <v/>
      </c>
      <c r="K25" s="17">
        <f>IF($B25="","",IF(COUNTIF($E25:$I25,"Pass")&gt;0,"PASSED "&amp;TEXT(MAX($D25,$F25,$H25),"mm/dd/yyyy"),IF($J25&gt;=3,"FAILED 3 ATTEMPTS - new BPOC required",IF($J25=0,"Not yet attempted","In progress ("&amp;$J25&amp;" attempt(s))"))))</f>
        <v/>
      </c>
      <c r="L25" s="16" t="n"/>
      <c r="M25" s="17">
        <f>IF(Cadets!$B25="","",Cadets!$I25)</f>
        <v/>
      </c>
    </row>
    <row r="26">
      <c r="B26" s="17">
        <f>IF(Cadets!$B26="","",Cadets!$B26)</f>
        <v/>
      </c>
      <c r="C26" s="17">
        <f>IF(Cadets!$B26="","",Cadets!$F26)</f>
        <v/>
      </c>
      <c r="D26" s="18" t="n"/>
      <c r="E26" s="16" t="n"/>
      <c r="F26" s="18" t="n"/>
      <c r="G26" s="16" t="n"/>
      <c r="H26" s="18" t="n"/>
      <c r="I26" s="16" t="n"/>
      <c r="J26" s="17">
        <f>IF($B26="","",COUNTIF($E26:$I26,"Pass")+COUNTIF($E26:$I26,"Fail"))</f>
        <v/>
      </c>
      <c r="K26" s="17">
        <f>IF($B26="","",IF(COUNTIF($E26:$I26,"Pass")&gt;0,"PASSED "&amp;TEXT(MAX($D26,$F26,$H26),"mm/dd/yyyy"),IF($J26&gt;=3,"FAILED 3 ATTEMPTS - new BPOC required",IF($J26=0,"Not yet attempted","In progress ("&amp;$J26&amp;" attempt(s))"))))</f>
        <v/>
      </c>
      <c r="L26" s="16" t="n"/>
      <c r="M26" s="17">
        <f>IF(Cadets!$B26="","",Cadets!$I26)</f>
        <v/>
      </c>
    </row>
    <row r="27">
      <c r="B27" s="17">
        <f>IF(Cadets!$B27="","",Cadets!$B27)</f>
        <v/>
      </c>
      <c r="C27" s="17">
        <f>IF(Cadets!$B27="","",Cadets!$F27)</f>
        <v/>
      </c>
      <c r="D27" s="18" t="n"/>
      <c r="E27" s="16" t="n"/>
      <c r="F27" s="18" t="n"/>
      <c r="G27" s="16" t="n"/>
      <c r="H27" s="18" t="n"/>
      <c r="I27" s="16" t="n"/>
      <c r="J27" s="17">
        <f>IF($B27="","",COUNTIF($E27:$I27,"Pass")+COUNTIF($E27:$I27,"Fail"))</f>
        <v/>
      </c>
      <c r="K27" s="17">
        <f>IF($B27="","",IF(COUNTIF($E27:$I27,"Pass")&gt;0,"PASSED "&amp;TEXT(MAX($D27,$F27,$H27),"mm/dd/yyyy"),IF($J27&gt;=3,"FAILED 3 ATTEMPTS - new BPOC required",IF($J27=0,"Not yet attempted","In progress ("&amp;$J27&amp;" attempt(s))"))))</f>
        <v/>
      </c>
      <c r="L27" s="16" t="n"/>
      <c r="M27" s="17">
        <f>IF(Cadets!$B27="","",Cadets!$I27)</f>
        <v/>
      </c>
    </row>
    <row r="28">
      <c r="B28" s="17">
        <f>IF(Cadets!$B28="","",Cadets!$B28)</f>
        <v/>
      </c>
      <c r="C28" s="17">
        <f>IF(Cadets!$B28="","",Cadets!$F28)</f>
        <v/>
      </c>
      <c r="D28" s="18" t="n"/>
      <c r="E28" s="16" t="n"/>
      <c r="F28" s="18" t="n"/>
      <c r="G28" s="16" t="n"/>
      <c r="H28" s="18" t="n"/>
      <c r="I28" s="16" t="n"/>
      <c r="J28" s="17">
        <f>IF($B28="","",COUNTIF($E28:$I28,"Pass")+COUNTIF($E28:$I28,"Fail"))</f>
        <v/>
      </c>
      <c r="K28" s="17">
        <f>IF($B28="","",IF(COUNTIF($E28:$I28,"Pass")&gt;0,"PASSED "&amp;TEXT(MAX($D28,$F28,$H28),"mm/dd/yyyy"),IF($J28&gt;=3,"FAILED 3 ATTEMPTS - new BPOC required",IF($J28=0,"Not yet attempted","In progress ("&amp;$J28&amp;" attempt(s))"))))</f>
        <v/>
      </c>
      <c r="L28" s="16" t="n"/>
      <c r="M28" s="17">
        <f>IF(Cadets!$B28="","",Cadets!$I28)</f>
        <v/>
      </c>
    </row>
    <row r="29">
      <c r="B29" s="17">
        <f>IF(Cadets!$B29="","",Cadets!$B29)</f>
        <v/>
      </c>
      <c r="C29" s="17">
        <f>IF(Cadets!$B29="","",Cadets!$F29)</f>
        <v/>
      </c>
      <c r="D29" s="18" t="n"/>
      <c r="E29" s="16" t="n"/>
      <c r="F29" s="18" t="n"/>
      <c r="G29" s="16" t="n"/>
      <c r="H29" s="18" t="n"/>
      <c r="I29" s="16" t="n"/>
      <c r="J29" s="17">
        <f>IF($B29="","",COUNTIF($E29:$I29,"Pass")+COUNTIF($E29:$I29,"Fail"))</f>
        <v/>
      </c>
      <c r="K29" s="17">
        <f>IF($B29="","",IF(COUNTIF($E29:$I29,"Pass")&gt;0,"PASSED "&amp;TEXT(MAX($D29,$F29,$H29),"mm/dd/yyyy"),IF($J29&gt;=3,"FAILED 3 ATTEMPTS - new BPOC required",IF($J29=0,"Not yet attempted","In progress ("&amp;$J29&amp;" attempt(s))"))))</f>
        <v/>
      </c>
      <c r="L29" s="16" t="n"/>
      <c r="M29" s="17">
        <f>IF(Cadets!$B29="","",Cadets!$I29)</f>
        <v/>
      </c>
    </row>
    <row r="30">
      <c r="B30" s="17">
        <f>IF(Cadets!$B30="","",Cadets!$B30)</f>
        <v/>
      </c>
      <c r="C30" s="17">
        <f>IF(Cadets!$B30="","",Cadets!$F30)</f>
        <v/>
      </c>
      <c r="D30" s="18" t="n"/>
      <c r="E30" s="16" t="n"/>
      <c r="F30" s="18" t="n"/>
      <c r="G30" s="16" t="n"/>
      <c r="H30" s="18" t="n"/>
      <c r="I30" s="16" t="n"/>
      <c r="J30" s="17">
        <f>IF($B30="","",COUNTIF($E30:$I30,"Pass")+COUNTIF($E30:$I30,"Fail"))</f>
        <v/>
      </c>
      <c r="K30" s="17">
        <f>IF($B30="","",IF(COUNTIF($E30:$I30,"Pass")&gt;0,"PASSED "&amp;TEXT(MAX($D30,$F30,$H30),"mm/dd/yyyy"),IF($J30&gt;=3,"FAILED 3 ATTEMPTS - new BPOC required",IF($J30=0,"Not yet attempted","In progress ("&amp;$J30&amp;" attempt(s))"))))</f>
        <v/>
      </c>
      <c r="L30" s="16" t="n"/>
      <c r="M30" s="17">
        <f>IF(Cadets!$B30="","",Cadets!$I30)</f>
        <v/>
      </c>
    </row>
    <row r="31">
      <c r="B31" s="17">
        <f>IF(Cadets!$B31="","",Cadets!$B31)</f>
        <v/>
      </c>
      <c r="C31" s="17">
        <f>IF(Cadets!$B31="","",Cadets!$F31)</f>
        <v/>
      </c>
      <c r="D31" s="18" t="n"/>
      <c r="E31" s="16" t="n"/>
      <c r="F31" s="18" t="n"/>
      <c r="G31" s="16" t="n"/>
      <c r="H31" s="18" t="n"/>
      <c r="I31" s="16" t="n"/>
      <c r="J31" s="17">
        <f>IF($B31="","",COUNTIF($E31:$I31,"Pass")+COUNTIF($E31:$I31,"Fail"))</f>
        <v/>
      </c>
      <c r="K31" s="17">
        <f>IF($B31="","",IF(COUNTIF($E31:$I31,"Pass")&gt;0,"PASSED "&amp;TEXT(MAX($D31,$F31,$H31),"mm/dd/yyyy"),IF($J31&gt;=3,"FAILED 3 ATTEMPTS - new BPOC required",IF($J31=0,"Not yet attempted","In progress ("&amp;$J31&amp;" attempt(s))"))))</f>
        <v/>
      </c>
      <c r="L31" s="16" t="n"/>
      <c r="M31" s="17">
        <f>IF(Cadets!$B31="","",Cadets!$I31)</f>
        <v/>
      </c>
    </row>
    <row r="32">
      <c r="B32" s="17">
        <f>IF(Cadets!$B32="","",Cadets!$B32)</f>
        <v/>
      </c>
      <c r="C32" s="17">
        <f>IF(Cadets!$B32="","",Cadets!$F32)</f>
        <v/>
      </c>
      <c r="D32" s="18" t="n"/>
      <c r="E32" s="16" t="n"/>
      <c r="F32" s="18" t="n"/>
      <c r="G32" s="16" t="n"/>
      <c r="H32" s="18" t="n"/>
      <c r="I32" s="16" t="n"/>
      <c r="J32" s="17">
        <f>IF($B32="","",COUNTIF($E32:$I32,"Pass")+COUNTIF($E32:$I32,"Fail"))</f>
        <v/>
      </c>
      <c r="K32" s="17">
        <f>IF($B32="","",IF(COUNTIF($E32:$I32,"Pass")&gt;0,"PASSED "&amp;TEXT(MAX($D32,$F32,$H32),"mm/dd/yyyy"),IF($J32&gt;=3,"FAILED 3 ATTEMPTS - new BPOC required",IF($J32=0,"Not yet attempted","In progress ("&amp;$J32&amp;" attempt(s))"))))</f>
        <v/>
      </c>
      <c r="L32" s="16" t="n"/>
      <c r="M32" s="17">
        <f>IF(Cadets!$B32="","",Cadets!$I32)</f>
        <v/>
      </c>
    </row>
    <row r="33">
      <c r="B33" s="17">
        <f>IF(Cadets!$B33="","",Cadets!$B33)</f>
        <v/>
      </c>
      <c r="C33" s="17">
        <f>IF(Cadets!$B33="","",Cadets!$F33)</f>
        <v/>
      </c>
      <c r="D33" s="18" t="n"/>
      <c r="E33" s="16" t="n"/>
      <c r="F33" s="18" t="n"/>
      <c r="G33" s="16" t="n"/>
      <c r="H33" s="18" t="n"/>
      <c r="I33" s="16" t="n"/>
      <c r="J33" s="17">
        <f>IF($B33="","",COUNTIF($E33:$I33,"Pass")+COUNTIF($E33:$I33,"Fail"))</f>
        <v/>
      </c>
      <c r="K33" s="17">
        <f>IF($B33="","",IF(COUNTIF($E33:$I33,"Pass")&gt;0,"PASSED "&amp;TEXT(MAX($D33,$F33,$H33),"mm/dd/yyyy"),IF($J33&gt;=3,"FAILED 3 ATTEMPTS - new BPOC required",IF($J33=0,"Not yet attempted","In progress ("&amp;$J33&amp;" attempt(s))"))))</f>
        <v/>
      </c>
      <c r="L33" s="16" t="n"/>
      <c r="M33" s="17">
        <f>IF(Cadets!$B33="","",Cadets!$I33)</f>
        <v/>
      </c>
    </row>
    <row r="34">
      <c r="B34" s="17">
        <f>IF(Cadets!$B34="","",Cadets!$B34)</f>
        <v/>
      </c>
      <c r="C34" s="17">
        <f>IF(Cadets!$B34="","",Cadets!$F34)</f>
        <v/>
      </c>
      <c r="D34" s="18" t="n"/>
      <c r="E34" s="16" t="n"/>
      <c r="F34" s="18" t="n"/>
      <c r="G34" s="16" t="n"/>
      <c r="H34" s="18" t="n"/>
      <c r="I34" s="16" t="n"/>
      <c r="J34" s="17">
        <f>IF($B34="","",COUNTIF($E34:$I34,"Pass")+COUNTIF($E34:$I34,"Fail"))</f>
        <v/>
      </c>
      <c r="K34" s="17">
        <f>IF($B34="","",IF(COUNTIF($E34:$I34,"Pass")&gt;0,"PASSED "&amp;TEXT(MAX($D34,$F34,$H34),"mm/dd/yyyy"),IF($J34&gt;=3,"FAILED 3 ATTEMPTS - new BPOC required",IF($J34=0,"Not yet attempted","In progress ("&amp;$J34&amp;" attempt(s))"))))</f>
        <v/>
      </c>
      <c r="L34" s="16" t="n"/>
      <c r="M34" s="17">
        <f>IF(Cadets!$B34="","",Cadets!$I34)</f>
        <v/>
      </c>
    </row>
    <row r="35">
      <c r="B35" s="17">
        <f>IF(Cadets!$B35="","",Cadets!$B35)</f>
        <v/>
      </c>
      <c r="C35" s="17">
        <f>IF(Cadets!$B35="","",Cadets!$F35)</f>
        <v/>
      </c>
      <c r="D35" s="18" t="n"/>
      <c r="E35" s="16" t="n"/>
      <c r="F35" s="18" t="n"/>
      <c r="G35" s="16" t="n"/>
      <c r="H35" s="18" t="n"/>
      <c r="I35" s="16" t="n"/>
      <c r="J35" s="17">
        <f>IF($B35="","",COUNTIF($E35:$I35,"Pass")+COUNTIF($E35:$I35,"Fail"))</f>
        <v/>
      </c>
      <c r="K35" s="17">
        <f>IF($B35="","",IF(COUNTIF($E35:$I35,"Pass")&gt;0,"PASSED "&amp;TEXT(MAX($D35,$F35,$H35),"mm/dd/yyyy"),IF($J35&gt;=3,"FAILED 3 ATTEMPTS - new BPOC required",IF($J35=0,"Not yet attempted","In progress ("&amp;$J35&amp;" attempt(s))"))))</f>
        <v/>
      </c>
      <c r="L35" s="16" t="n"/>
      <c r="M35" s="17">
        <f>IF(Cadets!$B35="","",Cadets!$I35)</f>
        <v/>
      </c>
    </row>
    <row r="36">
      <c r="B36" s="17">
        <f>IF(Cadets!$B36="","",Cadets!$B36)</f>
        <v/>
      </c>
      <c r="C36" s="17">
        <f>IF(Cadets!$B36="","",Cadets!$F36)</f>
        <v/>
      </c>
      <c r="D36" s="18" t="n"/>
      <c r="E36" s="16" t="n"/>
      <c r="F36" s="18" t="n"/>
      <c r="G36" s="16" t="n"/>
      <c r="H36" s="18" t="n"/>
      <c r="I36" s="16" t="n"/>
      <c r="J36" s="17">
        <f>IF($B36="","",COUNTIF($E36:$I36,"Pass")+COUNTIF($E36:$I36,"Fail"))</f>
        <v/>
      </c>
      <c r="K36" s="17">
        <f>IF($B36="","",IF(COUNTIF($E36:$I36,"Pass")&gt;0,"PASSED "&amp;TEXT(MAX($D36,$F36,$H36),"mm/dd/yyyy"),IF($J36&gt;=3,"FAILED 3 ATTEMPTS - new BPOC required",IF($J36=0,"Not yet attempted","In progress ("&amp;$J36&amp;" attempt(s))"))))</f>
        <v/>
      </c>
      <c r="L36" s="16" t="n"/>
      <c r="M36" s="17">
        <f>IF(Cadets!$B36="","",Cadets!$I36)</f>
        <v/>
      </c>
    </row>
    <row r="37">
      <c r="B37" s="17">
        <f>IF(Cadets!$B37="","",Cadets!$B37)</f>
        <v/>
      </c>
      <c r="C37" s="17">
        <f>IF(Cadets!$B37="","",Cadets!$F37)</f>
        <v/>
      </c>
      <c r="D37" s="18" t="n"/>
      <c r="E37" s="16" t="n"/>
      <c r="F37" s="18" t="n"/>
      <c r="G37" s="16" t="n"/>
      <c r="H37" s="18" t="n"/>
      <c r="I37" s="16" t="n"/>
      <c r="J37" s="17">
        <f>IF($B37="","",COUNTIF($E37:$I37,"Pass")+COUNTIF($E37:$I37,"Fail"))</f>
        <v/>
      </c>
      <c r="K37" s="17">
        <f>IF($B37="","",IF(COUNTIF($E37:$I37,"Pass")&gt;0,"PASSED "&amp;TEXT(MAX($D37,$F37,$H37),"mm/dd/yyyy"),IF($J37&gt;=3,"FAILED 3 ATTEMPTS - new BPOC required",IF($J37=0,"Not yet attempted","In progress ("&amp;$J37&amp;" attempt(s))"))))</f>
        <v/>
      </c>
      <c r="L37" s="16" t="n"/>
      <c r="M37" s="17">
        <f>IF(Cadets!$B37="","",Cadets!$I37)</f>
        <v/>
      </c>
    </row>
    <row r="38">
      <c r="B38" s="17">
        <f>IF(Cadets!$B38="","",Cadets!$B38)</f>
        <v/>
      </c>
      <c r="C38" s="17">
        <f>IF(Cadets!$B38="","",Cadets!$F38)</f>
        <v/>
      </c>
      <c r="D38" s="18" t="n"/>
      <c r="E38" s="16" t="n"/>
      <c r="F38" s="18" t="n"/>
      <c r="G38" s="16" t="n"/>
      <c r="H38" s="18" t="n"/>
      <c r="I38" s="16" t="n"/>
      <c r="J38" s="17">
        <f>IF($B38="","",COUNTIF($E38:$I38,"Pass")+COUNTIF($E38:$I38,"Fail"))</f>
        <v/>
      </c>
      <c r="K38" s="17">
        <f>IF($B38="","",IF(COUNTIF($E38:$I38,"Pass")&gt;0,"PASSED "&amp;TEXT(MAX($D38,$F38,$H38),"mm/dd/yyyy"),IF($J38&gt;=3,"FAILED 3 ATTEMPTS - new BPOC required",IF($J38=0,"Not yet attempted","In progress ("&amp;$J38&amp;" attempt(s))"))))</f>
        <v/>
      </c>
      <c r="L38" s="16" t="n"/>
      <c r="M38" s="17">
        <f>IF(Cadets!$B38="","",Cadets!$I38)</f>
        <v/>
      </c>
    </row>
    <row r="39">
      <c r="B39" s="17">
        <f>IF(Cadets!$B39="","",Cadets!$B39)</f>
        <v/>
      </c>
      <c r="C39" s="17">
        <f>IF(Cadets!$B39="","",Cadets!$F39)</f>
        <v/>
      </c>
      <c r="D39" s="18" t="n"/>
      <c r="E39" s="16" t="n"/>
      <c r="F39" s="18" t="n"/>
      <c r="G39" s="16" t="n"/>
      <c r="H39" s="18" t="n"/>
      <c r="I39" s="16" t="n"/>
      <c r="J39" s="17">
        <f>IF($B39="","",COUNTIF($E39:$I39,"Pass")+COUNTIF($E39:$I39,"Fail"))</f>
        <v/>
      </c>
      <c r="K39" s="17">
        <f>IF($B39="","",IF(COUNTIF($E39:$I39,"Pass")&gt;0,"PASSED "&amp;TEXT(MAX($D39,$F39,$H39),"mm/dd/yyyy"),IF($J39&gt;=3,"FAILED 3 ATTEMPTS - new BPOC required",IF($J39=0,"Not yet attempted","In progress ("&amp;$J39&amp;" attempt(s))"))))</f>
        <v/>
      </c>
      <c r="L39" s="16" t="n"/>
      <c r="M39" s="17">
        <f>IF(Cadets!$B39="","",Cadets!$I39)</f>
        <v/>
      </c>
    </row>
    <row r="40">
      <c r="B40" s="17">
        <f>IF(Cadets!$B40="","",Cadets!$B40)</f>
        <v/>
      </c>
      <c r="C40" s="17">
        <f>IF(Cadets!$B40="","",Cadets!$F40)</f>
        <v/>
      </c>
      <c r="D40" s="18" t="n"/>
      <c r="E40" s="16" t="n"/>
      <c r="F40" s="18" t="n"/>
      <c r="G40" s="16" t="n"/>
      <c r="H40" s="18" t="n"/>
      <c r="I40" s="16" t="n"/>
      <c r="J40" s="17">
        <f>IF($B40="","",COUNTIF($E40:$I40,"Pass")+COUNTIF($E40:$I40,"Fail"))</f>
        <v/>
      </c>
      <c r="K40" s="17">
        <f>IF($B40="","",IF(COUNTIF($E40:$I40,"Pass")&gt;0,"PASSED "&amp;TEXT(MAX($D40,$F40,$H40),"mm/dd/yyyy"),IF($J40&gt;=3,"FAILED 3 ATTEMPTS - new BPOC required",IF($J40=0,"Not yet attempted","In progress ("&amp;$J40&amp;" attempt(s))"))))</f>
        <v/>
      </c>
      <c r="L40" s="16" t="n"/>
      <c r="M40" s="17">
        <f>IF(Cadets!$B40="","",Cadets!$I40)</f>
        <v/>
      </c>
    </row>
    <row r="41">
      <c r="B41" s="17">
        <f>IF(Cadets!$B41="","",Cadets!$B41)</f>
        <v/>
      </c>
      <c r="C41" s="17">
        <f>IF(Cadets!$B41="","",Cadets!$F41)</f>
        <v/>
      </c>
      <c r="D41" s="18" t="n"/>
      <c r="E41" s="16" t="n"/>
      <c r="F41" s="18" t="n"/>
      <c r="G41" s="16" t="n"/>
      <c r="H41" s="18" t="n"/>
      <c r="I41" s="16" t="n"/>
      <c r="J41" s="17">
        <f>IF($B41="","",COUNTIF($E41:$I41,"Pass")+COUNTIF($E41:$I41,"Fail"))</f>
        <v/>
      </c>
      <c r="K41" s="17">
        <f>IF($B41="","",IF(COUNTIF($E41:$I41,"Pass")&gt;0,"PASSED "&amp;TEXT(MAX($D41,$F41,$H41),"mm/dd/yyyy"),IF($J41&gt;=3,"FAILED 3 ATTEMPTS - new BPOC required",IF($J41=0,"Not yet attempted","In progress ("&amp;$J41&amp;" attempt(s))"))))</f>
        <v/>
      </c>
      <c r="L41" s="16" t="n"/>
      <c r="M41" s="17">
        <f>IF(Cadets!$B41="","",Cadets!$I41)</f>
        <v/>
      </c>
    </row>
    <row r="42">
      <c r="B42" s="17">
        <f>IF(Cadets!$B42="","",Cadets!$B42)</f>
        <v/>
      </c>
      <c r="C42" s="17">
        <f>IF(Cadets!$B42="","",Cadets!$F42)</f>
        <v/>
      </c>
      <c r="D42" s="18" t="n"/>
      <c r="E42" s="16" t="n"/>
      <c r="F42" s="18" t="n"/>
      <c r="G42" s="16" t="n"/>
      <c r="H42" s="18" t="n"/>
      <c r="I42" s="16" t="n"/>
      <c r="J42" s="17">
        <f>IF($B42="","",COUNTIF($E42:$I42,"Pass")+COUNTIF($E42:$I42,"Fail"))</f>
        <v/>
      </c>
      <c r="K42" s="17">
        <f>IF($B42="","",IF(COUNTIF($E42:$I42,"Pass")&gt;0,"PASSED "&amp;TEXT(MAX($D42,$F42,$H42),"mm/dd/yyyy"),IF($J42&gt;=3,"FAILED 3 ATTEMPTS - new BPOC required",IF($J42=0,"Not yet attempted","In progress ("&amp;$J42&amp;" attempt(s))"))))</f>
        <v/>
      </c>
      <c r="L42" s="16" t="n"/>
      <c r="M42" s="17">
        <f>IF(Cadets!$B42="","",Cadets!$I42)</f>
        <v/>
      </c>
    </row>
    <row r="43">
      <c r="B43" s="17">
        <f>IF(Cadets!$B43="","",Cadets!$B43)</f>
        <v/>
      </c>
      <c r="C43" s="17">
        <f>IF(Cadets!$B43="","",Cadets!$F43)</f>
        <v/>
      </c>
      <c r="D43" s="18" t="n"/>
      <c r="E43" s="16" t="n"/>
      <c r="F43" s="18" t="n"/>
      <c r="G43" s="16" t="n"/>
      <c r="H43" s="18" t="n"/>
      <c r="I43" s="16" t="n"/>
      <c r="J43" s="17">
        <f>IF($B43="","",COUNTIF($E43:$I43,"Pass")+COUNTIF($E43:$I43,"Fail"))</f>
        <v/>
      </c>
      <c r="K43" s="17">
        <f>IF($B43="","",IF(COUNTIF($E43:$I43,"Pass")&gt;0,"PASSED "&amp;TEXT(MAX($D43,$F43,$H43),"mm/dd/yyyy"),IF($J43&gt;=3,"FAILED 3 ATTEMPTS - new BPOC required",IF($J43=0,"Not yet attempted","In progress ("&amp;$J43&amp;" attempt(s))"))))</f>
        <v/>
      </c>
      <c r="L43" s="16" t="n"/>
      <c r="M43" s="17">
        <f>IF(Cadets!$B43="","",Cadets!$I43)</f>
        <v/>
      </c>
    </row>
    <row r="44">
      <c r="B44" s="17">
        <f>IF(Cadets!$B44="","",Cadets!$B44)</f>
        <v/>
      </c>
      <c r="C44" s="17">
        <f>IF(Cadets!$B44="","",Cadets!$F44)</f>
        <v/>
      </c>
      <c r="D44" s="18" t="n"/>
      <c r="E44" s="16" t="n"/>
      <c r="F44" s="18" t="n"/>
      <c r="G44" s="16" t="n"/>
      <c r="H44" s="18" t="n"/>
      <c r="I44" s="16" t="n"/>
      <c r="J44" s="17">
        <f>IF($B44="","",COUNTIF($E44:$I44,"Pass")+COUNTIF($E44:$I44,"Fail"))</f>
        <v/>
      </c>
      <c r="K44" s="17">
        <f>IF($B44="","",IF(COUNTIF($E44:$I44,"Pass")&gt;0,"PASSED "&amp;TEXT(MAX($D44,$F44,$H44),"mm/dd/yyyy"),IF($J44&gt;=3,"FAILED 3 ATTEMPTS - new BPOC required",IF($J44=0,"Not yet attempted","In progress ("&amp;$J44&amp;" attempt(s))"))))</f>
        <v/>
      </c>
      <c r="L44" s="16" t="n"/>
      <c r="M44" s="17">
        <f>IF(Cadets!$B44="","",Cadets!$I44)</f>
        <v/>
      </c>
    </row>
    <row r="45">
      <c r="B45" s="17">
        <f>IF(Cadets!$B45="","",Cadets!$B45)</f>
        <v/>
      </c>
      <c r="C45" s="17">
        <f>IF(Cadets!$B45="","",Cadets!$F45)</f>
        <v/>
      </c>
      <c r="D45" s="18" t="n"/>
      <c r="E45" s="16" t="n"/>
      <c r="F45" s="18" t="n"/>
      <c r="G45" s="16" t="n"/>
      <c r="H45" s="18" t="n"/>
      <c r="I45" s="16" t="n"/>
      <c r="J45" s="17">
        <f>IF($B45="","",COUNTIF($E45:$I45,"Pass")+COUNTIF($E45:$I45,"Fail"))</f>
        <v/>
      </c>
      <c r="K45" s="17">
        <f>IF($B45="","",IF(COUNTIF($E45:$I45,"Pass")&gt;0,"PASSED "&amp;TEXT(MAX($D45,$F45,$H45),"mm/dd/yyyy"),IF($J45&gt;=3,"FAILED 3 ATTEMPTS - new BPOC required",IF($J45=0,"Not yet attempted","In progress ("&amp;$J45&amp;" attempt(s))"))))</f>
        <v/>
      </c>
      <c r="L45" s="16" t="n"/>
      <c r="M45" s="17">
        <f>IF(Cadets!$B45="","",Cadets!$I45)</f>
        <v/>
      </c>
    </row>
    <row r="46">
      <c r="B46" s="17">
        <f>IF(Cadets!$B46="","",Cadets!$B46)</f>
        <v/>
      </c>
      <c r="C46" s="17">
        <f>IF(Cadets!$B46="","",Cadets!$F46)</f>
        <v/>
      </c>
      <c r="D46" s="18" t="n"/>
      <c r="E46" s="16" t="n"/>
      <c r="F46" s="18" t="n"/>
      <c r="G46" s="16" t="n"/>
      <c r="H46" s="18" t="n"/>
      <c r="I46" s="16" t="n"/>
      <c r="J46" s="17">
        <f>IF($B46="","",COUNTIF($E46:$I46,"Pass")+COUNTIF($E46:$I46,"Fail"))</f>
        <v/>
      </c>
      <c r="K46" s="17">
        <f>IF($B46="","",IF(COUNTIF($E46:$I46,"Pass")&gt;0,"PASSED "&amp;TEXT(MAX($D46,$F46,$H46),"mm/dd/yyyy"),IF($J46&gt;=3,"FAILED 3 ATTEMPTS - new BPOC required",IF($J46=0,"Not yet attempted","In progress ("&amp;$J46&amp;" attempt(s))"))))</f>
        <v/>
      </c>
      <c r="L46" s="16" t="n"/>
      <c r="M46" s="17">
        <f>IF(Cadets!$B46="","",Cadets!$I46)</f>
        <v/>
      </c>
    </row>
    <row r="47">
      <c r="B47" s="17">
        <f>IF(Cadets!$B47="","",Cadets!$B47)</f>
        <v/>
      </c>
      <c r="C47" s="17">
        <f>IF(Cadets!$B47="","",Cadets!$F47)</f>
        <v/>
      </c>
      <c r="D47" s="18" t="n"/>
      <c r="E47" s="16" t="n"/>
      <c r="F47" s="18" t="n"/>
      <c r="G47" s="16" t="n"/>
      <c r="H47" s="18" t="n"/>
      <c r="I47" s="16" t="n"/>
      <c r="J47" s="17">
        <f>IF($B47="","",COUNTIF($E47:$I47,"Pass")+COUNTIF($E47:$I47,"Fail"))</f>
        <v/>
      </c>
      <c r="K47" s="17">
        <f>IF($B47="","",IF(COUNTIF($E47:$I47,"Pass")&gt;0,"PASSED "&amp;TEXT(MAX($D47,$F47,$H47),"mm/dd/yyyy"),IF($J47&gt;=3,"FAILED 3 ATTEMPTS - new BPOC required",IF($J47=0,"Not yet attempted","In progress ("&amp;$J47&amp;" attempt(s))"))))</f>
        <v/>
      </c>
      <c r="L47" s="16" t="n"/>
      <c r="M47" s="17">
        <f>IF(Cadets!$B47="","",Cadets!$I47)</f>
        <v/>
      </c>
    </row>
    <row r="48">
      <c r="B48" s="17">
        <f>IF(Cadets!$B48="","",Cadets!$B48)</f>
        <v/>
      </c>
      <c r="C48" s="17">
        <f>IF(Cadets!$B48="","",Cadets!$F48)</f>
        <v/>
      </c>
      <c r="D48" s="18" t="n"/>
      <c r="E48" s="16" t="n"/>
      <c r="F48" s="18" t="n"/>
      <c r="G48" s="16" t="n"/>
      <c r="H48" s="18" t="n"/>
      <c r="I48" s="16" t="n"/>
      <c r="J48" s="17">
        <f>IF($B48="","",COUNTIF($E48:$I48,"Pass")+COUNTIF($E48:$I48,"Fail"))</f>
        <v/>
      </c>
      <c r="K48" s="17">
        <f>IF($B48="","",IF(COUNTIF($E48:$I48,"Pass")&gt;0,"PASSED "&amp;TEXT(MAX($D48,$F48,$H48),"mm/dd/yyyy"),IF($J48&gt;=3,"FAILED 3 ATTEMPTS - new BPOC required",IF($J48=0,"Not yet attempted","In progress ("&amp;$J48&amp;" attempt(s))"))))</f>
        <v/>
      </c>
      <c r="L48" s="16" t="n"/>
      <c r="M48" s="17">
        <f>IF(Cadets!$B48="","",Cadets!$I48)</f>
        <v/>
      </c>
    </row>
    <row r="49">
      <c r="B49" s="17">
        <f>IF(Cadets!$B49="","",Cadets!$B49)</f>
        <v/>
      </c>
      <c r="C49" s="17">
        <f>IF(Cadets!$B49="","",Cadets!$F49)</f>
        <v/>
      </c>
      <c r="D49" s="18" t="n"/>
      <c r="E49" s="16" t="n"/>
      <c r="F49" s="18" t="n"/>
      <c r="G49" s="16" t="n"/>
      <c r="H49" s="18" t="n"/>
      <c r="I49" s="16" t="n"/>
      <c r="J49" s="17">
        <f>IF($B49="","",COUNTIF($E49:$I49,"Pass")+COUNTIF($E49:$I49,"Fail"))</f>
        <v/>
      </c>
      <c r="K49" s="17">
        <f>IF($B49="","",IF(COUNTIF($E49:$I49,"Pass")&gt;0,"PASSED "&amp;TEXT(MAX($D49,$F49,$H49),"mm/dd/yyyy"),IF($J49&gt;=3,"FAILED 3 ATTEMPTS - new BPOC required",IF($J49=0,"Not yet attempted","In progress ("&amp;$J49&amp;" attempt(s))"))))</f>
        <v/>
      </c>
      <c r="L49" s="16" t="n"/>
      <c r="M49" s="17">
        <f>IF(Cadets!$B49="","",Cadets!$I49)</f>
        <v/>
      </c>
    </row>
    <row r="50">
      <c r="B50" s="17">
        <f>IF(Cadets!$B50="","",Cadets!$B50)</f>
        <v/>
      </c>
      <c r="C50" s="17">
        <f>IF(Cadets!$B50="","",Cadets!$F50)</f>
        <v/>
      </c>
      <c r="D50" s="18" t="n"/>
      <c r="E50" s="16" t="n"/>
      <c r="F50" s="18" t="n"/>
      <c r="G50" s="16" t="n"/>
      <c r="H50" s="18" t="n"/>
      <c r="I50" s="16" t="n"/>
      <c r="J50" s="17">
        <f>IF($B50="","",COUNTIF($E50:$I50,"Pass")+COUNTIF($E50:$I50,"Fail"))</f>
        <v/>
      </c>
      <c r="K50" s="17">
        <f>IF($B50="","",IF(COUNTIF($E50:$I50,"Pass")&gt;0,"PASSED "&amp;TEXT(MAX($D50,$F50,$H50),"mm/dd/yyyy"),IF($J50&gt;=3,"FAILED 3 ATTEMPTS - new BPOC required",IF($J50=0,"Not yet attempted","In progress ("&amp;$J50&amp;" attempt(s))"))))</f>
        <v/>
      </c>
      <c r="L50" s="16" t="n"/>
      <c r="M50" s="17">
        <f>IF(Cadets!$B50="","",Cadets!$I50)</f>
        <v/>
      </c>
    </row>
    <row r="51">
      <c r="B51" s="17">
        <f>IF(Cadets!$B51="","",Cadets!$B51)</f>
        <v/>
      </c>
      <c r="C51" s="17">
        <f>IF(Cadets!$B51="","",Cadets!$F51)</f>
        <v/>
      </c>
      <c r="D51" s="18" t="n"/>
      <c r="E51" s="16" t="n"/>
      <c r="F51" s="18" t="n"/>
      <c r="G51" s="16" t="n"/>
      <c r="H51" s="18" t="n"/>
      <c r="I51" s="16" t="n"/>
      <c r="J51" s="17">
        <f>IF($B51="","",COUNTIF($E51:$I51,"Pass")+COUNTIF($E51:$I51,"Fail"))</f>
        <v/>
      </c>
      <c r="K51" s="17">
        <f>IF($B51="","",IF(COUNTIF($E51:$I51,"Pass")&gt;0,"PASSED "&amp;TEXT(MAX($D51,$F51,$H51),"mm/dd/yyyy"),IF($J51&gt;=3,"FAILED 3 ATTEMPTS - new BPOC required",IF($J51=0,"Not yet attempted","In progress ("&amp;$J51&amp;" attempt(s))"))))</f>
        <v/>
      </c>
      <c r="L51" s="16" t="n"/>
      <c r="M51" s="17">
        <f>IF(Cadets!$B51="","",Cadets!$I51)</f>
        <v/>
      </c>
    </row>
    <row r="52">
      <c r="B52" s="17">
        <f>IF(Cadets!$B52="","",Cadets!$B52)</f>
        <v/>
      </c>
      <c r="C52" s="17">
        <f>IF(Cadets!$B52="","",Cadets!$F52)</f>
        <v/>
      </c>
      <c r="D52" s="18" t="n"/>
      <c r="E52" s="16" t="n"/>
      <c r="F52" s="18" t="n"/>
      <c r="G52" s="16" t="n"/>
      <c r="H52" s="18" t="n"/>
      <c r="I52" s="16" t="n"/>
      <c r="J52" s="17">
        <f>IF($B52="","",COUNTIF($E52:$I52,"Pass")+COUNTIF($E52:$I52,"Fail"))</f>
        <v/>
      </c>
      <c r="K52" s="17">
        <f>IF($B52="","",IF(COUNTIF($E52:$I52,"Pass")&gt;0,"PASSED "&amp;TEXT(MAX($D52,$F52,$H52),"mm/dd/yyyy"),IF($J52&gt;=3,"FAILED 3 ATTEMPTS - new BPOC required",IF($J52=0,"Not yet attempted","In progress ("&amp;$J52&amp;" attempt(s))"))))</f>
        <v/>
      </c>
      <c r="L52" s="16" t="n"/>
      <c r="M52" s="17">
        <f>IF(Cadets!$B52="","",Cadets!$I52)</f>
        <v/>
      </c>
    </row>
    <row r="53">
      <c r="B53" s="17">
        <f>IF(Cadets!$B53="","",Cadets!$B53)</f>
        <v/>
      </c>
      <c r="C53" s="17">
        <f>IF(Cadets!$B53="","",Cadets!$F53)</f>
        <v/>
      </c>
      <c r="D53" s="18" t="n"/>
      <c r="E53" s="16" t="n"/>
      <c r="F53" s="18" t="n"/>
      <c r="G53" s="16" t="n"/>
      <c r="H53" s="18" t="n"/>
      <c r="I53" s="16" t="n"/>
      <c r="J53" s="17">
        <f>IF($B53="","",COUNTIF($E53:$I53,"Pass")+COUNTIF($E53:$I53,"Fail"))</f>
        <v/>
      </c>
      <c r="K53" s="17">
        <f>IF($B53="","",IF(COUNTIF($E53:$I53,"Pass")&gt;0,"PASSED "&amp;TEXT(MAX($D53,$F53,$H53),"mm/dd/yyyy"),IF($J53&gt;=3,"FAILED 3 ATTEMPTS - new BPOC required",IF($J53=0,"Not yet attempted","In progress ("&amp;$J53&amp;" attempt(s))"))))</f>
        <v/>
      </c>
      <c r="L53" s="16" t="n"/>
      <c r="M53" s="17">
        <f>IF(Cadets!$B53="","",Cadets!$I53)</f>
        <v/>
      </c>
    </row>
    <row r="54">
      <c r="B54" s="17">
        <f>IF(Cadets!$B54="","",Cadets!$B54)</f>
        <v/>
      </c>
      <c r="C54" s="17">
        <f>IF(Cadets!$B54="","",Cadets!$F54)</f>
        <v/>
      </c>
      <c r="D54" s="18" t="n"/>
      <c r="E54" s="16" t="n"/>
      <c r="F54" s="18" t="n"/>
      <c r="G54" s="16" t="n"/>
      <c r="H54" s="18" t="n"/>
      <c r="I54" s="16" t="n"/>
      <c r="J54" s="17">
        <f>IF($B54="","",COUNTIF($E54:$I54,"Pass")+COUNTIF($E54:$I54,"Fail"))</f>
        <v/>
      </c>
      <c r="K54" s="17">
        <f>IF($B54="","",IF(COUNTIF($E54:$I54,"Pass")&gt;0,"PASSED "&amp;TEXT(MAX($D54,$F54,$H54),"mm/dd/yyyy"),IF($J54&gt;=3,"FAILED 3 ATTEMPTS - new BPOC required",IF($J54=0,"Not yet attempted","In progress ("&amp;$J54&amp;" attempt(s))"))))</f>
        <v/>
      </c>
      <c r="L54" s="16" t="n"/>
      <c r="M54" s="17">
        <f>IF(Cadets!$B54="","",Cadets!$I54)</f>
        <v/>
      </c>
    </row>
    <row r="55">
      <c r="B55" s="17">
        <f>IF(Cadets!$B55="","",Cadets!$B55)</f>
        <v/>
      </c>
      <c r="C55" s="17">
        <f>IF(Cadets!$B55="","",Cadets!$F55)</f>
        <v/>
      </c>
      <c r="D55" s="18" t="n"/>
      <c r="E55" s="16" t="n"/>
      <c r="F55" s="18" t="n"/>
      <c r="G55" s="16" t="n"/>
      <c r="H55" s="18" t="n"/>
      <c r="I55" s="16" t="n"/>
      <c r="J55" s="17">
        <f>IF($B55="","",COUNTIF($E55:$I55,"Pass")+COUNTIF($E55:$I55,"Fail"))</f>
        <v/>
      </c>
      <c r="K55" s="17">
        <f>IF($B55="","",IF(COUNTIF($E55:$I55,"Pass")&gt;0,"PASSED "&amp;TEXT(MAX($D55,$F55,$H55),"mm/dd/yyyy"),IF($J55&gt;=3,"FAILED 3 ATTEMPTS - new BPOC required",IF($J55=0,"Not yet attempted","In progress ("&amp;$J55&amp;" attempt(s))"))))</f>
        <v/>
      </c>
      <c r="L55" s="16" t="n"/>
      <c r="M55" s="17">
        <f>IF(Cadets!$B55="","",Cadets!$I55)</f>
        <v/>
      </c>
    </row>
  </sheetData>
  <sheetProtection selectLockedCells="0" selectUnlockedCells="0" sheet="1" objects="0" insertRows="1" insertHyperlinks="1" autoFilter="0" scenarios="0" formatColumns="1" deleteColumns="1" insertColumns="1" pivotTables="1" deleteRows="1" formatCells="1" formatRows="1" sort="1" password="B4BB"/>
  <autoFilter ref="B5:M5"/>
  <conditionalFormatting sqref="K6:K55">
    <cfRule type="expression" priority="1" dxfId="0">
      <formula>LEFT($K6,6)="FAILED"</formula>
    </cfRule>
    <cfRule type="expression" priority="2" dxfId="3">
      <formula>LEFT($K6,6)="PASSED"</formula>
    </cfRule>
  </conditionalFormatting>
  <conditionalFormatting sqref="B6:M55">
    <cfRule type="expression" priority="3" dxfId="1">
      <formula>AND(Cadets!$B6&lt;&gt;"",Cadets!$I6&lt;&gt;"Active")</formula>
    </cfRule>
  </conditionalFormatting>
  <dataValidations count="1">
    <dataValidation sqref="E6:E55 G6:G55 I6:I55" showDropDown="0" showInputMessage="0" showErrorMessage="1" allowBlank="1" type="list">
      <formula1>"Pass,Fail"</formula1>
    </dataValidation>
  </dataValidations>
  <pageMargins left="0.75" right="0.75" top="1" bottom="1" header="0.5" footer="0.5"/>
</worksheet>
</file>

<file path=xl/worksheets/sheet21.xml><?xml version="1.0" encoding="utf-8"?>
<worksheet xmlns="http://schemas.openxmlformats.org/spreadsheetml/2006/main">
  <sheetPr>
    <tabColor rgb="002E75B6"/>
    <outlinePr summaryBelow="1" summaryRight="1"/>
    <pageSetUpPr/>
  </sheetPr>
  <dimension ref="B1:I41"/>
  <sheetViews>
    <sheetView showGridLines="0" workbookViewId="0">
      <pane xSplit="1" ySplit="11" topLeftCell="B12"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3" customWidth="1" min="2" max="2"/>
    <col width="24" customWidth="1" min="3" max="3"/>
    <col width="20" customWidth="1" min="4" max="4"/>
    <col width="13" customWidth="1" min="5" max="5"/>
    <col width="30" customWidth="1" min="6" max="6"/>
    <col width="20" customWidth="1" min="7" max="7"/>
    <col width="16" customWidth="1" min="8" max="8"/>
    <col width="13" customWidth="1" min="9" max="9"/>
  </cols>
  <sheetData>
    <row r="1">
      <c r="B1" s="10">
        <f>HYPERLINK("#Dashboard!B5","◄ Dashboard")</f>
        <v/>
      </c>
    </row>
    <row r="4">
      <c r="B4" s="11" t="inlineStr">
        <is>
          <t>The board meets 1-2x/year; minutes stay in their server folder — record the pointer here. The New Academy reset (and the Startup Review button) prompts for the latest meeting, whether rules changed, and confirms this workbook was aligned before cadets were entered. This list persists across academies.</t>
        </is>
      </c>
    </row>
    <row r="5">
      <c r="B5" s="3" t="inlineStr">
        <is>
          <t>THIS ACADEMY — governance alignment</t>
        </is>
      </c>
    </row>
    <row r="6">
      <c r="B6" s="3" t="inlineStr">
        <is>
          <t>Policy manual version in effect</t>
        </is>
      </c>
      <c r="D6" s="16" t="inlineStr">
        <is>
          <t>May 2026</t>
        </is>
      </c>
      <c r="E6" s="44" t="n"/>
    </row>
    <row r="7">
      <c r="B7" s="3" t="inlineStr">
        <is>
          <t>Board minutes reviewed for this academy?</t>
        </is>
      </c>
      <c r="D7" s="16" t="n"/>
      <c r="E7" s="44" t="n"/>
    </row>
    <row r="8">
      <c r="B8" s="3" t="inlineStr">
        <is>
          <t>Rules/procedures aligned in this workbook?</t>
        </is>
      </c>
      <c r="D8" s="16" t="n"/>
      <c r="E8" s="44" t="n"/>
    </row>
    <row r="9">
      <c r="B9" s="3" t="inlineStr">
        <is>
          <t>Reviewed by / date</t>
        </is>
      </c>
      <c r="D9" s="16" t="n"/>
      <c r="E9" s="44" t="n"/>
    </row>
    <row r="11" ht="26" customHeight="1">
      <c r="B11" s="12" t="inlineStr">
        <is>
          <t>Meeting Date</t>
        </is>
      </c>
      <c r="C11" s="12" t="inlineStr">
        <is>
          <t>Minutes Location (server folder)</t>
        </is>
      </c>
      <c r="D11" s="23" t="n"/>
      <c r="E11" s="12" t="inlineStr">
        <is>
          <t>Changes Affecting Academy?</t>
        </is>
      </c>
      <c r="F11" s="12" t="inlineStr">
        <is>
          <t>What Changed / Workbook Updates Made</t>
        </is>
      </c>
      <c r="G11" s="23" t="n"/>
      <c r="H11" s="12" t="inlineStr">
        <is>
          <t>Reviewed By</t>
        </is>
      </c>
      <c r="I11" s="12" t="inlineStr">
        <is>
          <t>Date Reviewed</t>
        </is>
      </c>
    </row>
    <row r="12">
      <c r="B12" s="18" t="n"/>
      <c r="C12" s="16" t="n"/>
      <c r="D12" s="44" t="n"/>
      <c r="E12" s="16" t="n"/>
      <c r="F12" s="24" t="n"/>
      <c r="G12" s="44" t="n"/>
      <c r="H12" s="16" t="n"/>
      <c r="I12" s="18" t="n"/>
    </row>
    <row r="13">
      <c r="B13" s="18" t="n"/>
      <c r="C13" s="16" t="n"/>
      <c r="D13" s="44" t="n"/>
      <c r="E13" s="16" t="n"/>
      <c r="F13" s="24" t="n"/>
      <c r="G13" s="44" t="n"/>
      <c r="H13" s="16" t="n"/>
      <c r="I13" s="18" t="n"/>
    </row>
    <row r="14">
      <c r="B14" s="18" t="n"/>
      <c r="C14" s="16" t="n"/>
      <c r="D14" s="44" t="n"/>
      <c r="E14" s="16" t="n"/>
      <c r="F14" s="24" t="n"/>
      <c r="G14" s="44" t="n"/>
      <c r="H14" s="16" t="n"/>
      <c r="I14" s="18" t="n"/>
    </row>
    <row r="15">
      <c r="B15" s="18" t="n"/>
      <c r="C15" s="16" t="n"/>
      <c r="D15" s="44" t="n"/>
      <c r="E15" s="16" t="n"/>
      <c r="F15" s="24" t="n"/>
      <c r="G15" s="44" t="n"/>
      <c r="H15" s="16" t="n"/>
      <c r="I15" s="18" t="n"/>
    </row>
    <row r="16">
      <c r="B16" s="18" t="n"/>
      <c r="C16" s="16" t="n"/>
      <c r="D16" s="44" t="n"/>
      <c r="E16" s="16" t="n"/>
      <c r="F16" s="24" t="n"/>
      <c r="G16" s="44" t="n"/>
      <c r="H16" s="16" t="n"/>
      <c r="I16" s="18" t="n"/>
    </row>
    <row r="17">
      <c r="B17" s="18" t="n"/>
      <c r="C17" s="16" t="n"/>
      <c r="D17" s="44" t="n"/>
      <c r="E17" s="16" t="n"/>
      <c r="F17" s="24" t="n"/>
      <c r="G17" s="44" t="n"/>
      <c r="H17" s="16" t="n"/>
      <c r="I17" s="18" t="n"/>
    </row>
    <row r="18">
      <c r="B18" s="18" t="n"/>
      <c r="C18" s="16" t="n"/>
      <c r="D18" s="44" t="n"/>
      <c r="E18" s="16" t="n"/>
      <c r="F18" s="24" t="n"/>
      <c r="G18" s="44" t="n"/>
      <c r="H18" s="16" t="n"/>
      <c r="I18" s="18" t="n"/>
    </row>
    <row r="19">
      <c r="B19" s="18" t="n"/>
      <c r="C19" s="16" t="n"/>
      <c r="D19" s="44" t="n"/>
      <c r="E19" s="16" t="n"/>
      <c r="F19" s="24" t="n"/>
      <c r="G19" s="44" t="n"/>
      <c r="H19" s="16" t="n"/>
      <c r="I19" s="18" t="n"/>
    </row>
    <row r="20">
      <c r="B20" s="18" t="n"/>
      <c r="C20" s="16" t="n"/>
      <c r="D20" s="44" t="n"/>
      <c r="E20" s="16" t="n"/>
      <c r="F20" s="24" t="n"/>
      <c r="G20" s="44" t="n"/>
      <c r="H20" s="16" t="n"/>
      <c r="I20" s="18" t="n"/>
    </row>
    <row r="21">
      <c r="B21" s="18" t="n"/>
      <c r="C21" s="16" t="n"/>
      <c r="D21" s="44" t="n"/>
      <c r="E21" s="16" t="n"/>
      <c r="F21" s="24" t="n"/>
      <c r="G21" s="44" t="n"/>
      <c r="H21" s="16" t="n"/>
      <c r="I21" s="18" t="n"/>
    </row>
    <row r="22">
      <c r="B22" s="18" t="n"/>
      <c r="C22" s="16" t="n"/>
      <c r="D22" s="44" t="n"/>
      <c r="E22" s="16" t="n"/>
      <c r="F22" s="24" t="n"/>
      <c r="G22" s="44" t="n"/>
      <c r="H22" s="16" t="n"/>
      <c r="I22" s="18" t="n"/>
    </row>
    <row r="23">
      <c r="B23" s="18" t="n"/>
      <c r="C23" s="16" t="n"/>
      <c r="D23" s="44" t="n"/>
      <c r="E23" s="16" t="n"/>
      <c r="F23" s="24" t="n"/>
      <c r="G23" s="44" t="n"/>
      <c r="H23" s="16" t="n"/>
      <c r="I23" s="18" t="n"/>
    </row>
    <row r="24">
      <c r="B24" s="18" t="n"/>
      <c r="C24" s="16" t="n"/>
      <c r="D24" s="44" t="n"/>
      <c r="E24" s="16" t="n"/>
      <c r="F24" s="24" t="n"/>
      <c r="G24" s="44" t="n"/>
      <c r="H24" s="16" t="n"/>
      <c r="I24" s="18" t="n"/>
    </row>
    <row r="25">
      <c r="B25" s="18" t="n"/>
      <c r="C25" s="16" t="n"/>
      <c r="D25" s="44" t="n"/>
      <c r="E25" s="16" t="n"/>
      <c r="F25" s="24" t="n"/>
      <c r="G25" s="44" t="n"/>
      <c r="H25" s="16" t="n"/>
      <c r="I25" s="18" t="n"/>
    </row>
    <row r="26">
      <c r="B26" s="18" t="n"/>
      <c r="C26" s="16" t="n"/>
      <c r="D26" s="44" t="n"/>
      <c r="E26" s="16" t="n"/>
      <c r="F26" s="24" t="n"/>
      <c r="G26" s="44" t="n"/>
      <c r="H26" s="16" t="n"/>
      <c r="I26" s="18" t="n"/>
    </row>
    <row r="27">
      <c r="B27" s="18" t="n"/>
      <c r="C27" s="16" t="n"/>
      <c r="D27" s="44" t="n"/>
      <c r="E27" s="16" t="n"/>
      <c r="F27" s="24" t="n"/>
      <c r="G27" s="44" t="n"/>
      <c r="H27" s="16" t="n"/>
      <c r="I27" s="18" t="n"/>
    </row>
    <row r="28">
      <c r="B28" s="18" t="n"/>
      <c r="C28" s="16" t="n"/>
      <c r="D28" s="44" t="n"/>
      <c r="E28" s="16" t="n"/>
      <c r="F28" s="24" t="n"/>
      <c r="G28" s="44" t="n"/>
      <c r="H28" s="16" t="n"/>
      <c r="I28" s="18" t="n"/>
    </row>
    <row r="29">
      <c r="B29" s="18" t="n"/>
      <c r="C29" s="16" t="n"/>
      <c r="D29" s="44" t="n"/>
      <c r="E29" s="16" t="n"/>
      <c r="F29" s="24" t="n"/>
      <c r="G29" s="44" t="n"/>
      <c r="H29" s="16" t="n"/>
      <c r="I29" s="18" t="n"/>
    </row>
    <row r="30">
      <c r="B30" s="18" t="n"/>
      <c r="C30" s="16" t="n"/>
      <c r="D30" s="44" t="n"/>
      <c r="E30" s="16" t="n"/>
      <c r="F30" s="24" t="n"/>
      <c r="G30" s="44" t="n"/>
      <c r="H30" s="16" t="n"/>
      <c r="I30" s="18" t="n"/>
    </row>
    <row r="31">
      <c r="B31" s="18" t="n"/>
      <c r="C31" s="16" t="n"/>
      <c r="D31" s="44" t="n"/>
      <c r="E31" s="16" t="n"/>
      <c r="F31" s="24" t="n"/>
      <c r="G31" s="44" t="n"/>
      <c r="H31" s="16" t="n"/>
      <c r="I31" s="18" t="n"/>
    </row>
    <row r="32">
      <c r="B32" s="18" t="n"/>
      <c r="C32" s="16" t="n"/>
      <c r="D32" s="44" t="n"/>
      <c r="E32" s="16" t="n"/>
      <c r="F32" s="24" t="n"/>
      <c r="G32" s="44" t="n"/>
      <c r="H32" s="16" t="n"/>
      <c r="I32" s="18" t="n"/>
    </row>
    <row r="33">
      <c r="B33" s="18" t="n"/>
      <c r="C33" s="16" t="n"/>
      <c r="D33" s="44" t="n"/>
      <c r="E33" s="16" t="n"/>
      <c r="F33" s="24" t="n"/>
      <c r="G33" s="44" t="n"/>
      <c r="H33" s="16" t="n"/>
      <c r="I33" s="18" t="n"/>
    </row>
    <row r="34">
      <c r="B34" s="18" t="n"/>
      <c r="C34" s="16" t="n"/>
      <c r="D34" s="44" t="n"/>
      <c r="E34" s="16" t="n"/>
      <c r="F34" s="24" t="n"/>
      <c r="G34" s="44" t="n"/>
      <c r="H34" s="16" t="n"/>
      <c r="I34" s="18" t="n"/>
    </row>
    <row r="35">
      <c r="B35" s="18" t="n"/>
      <c r="C35" s="16" t="n"/>
      <c r="D35" s="44" t="n"/>
      <c r="E35" s="16" t="n"/>
      <c r="F35" s="24" t="n"/>
      <c r="G35" s="44" t="n"/>
      <c r="H35" s="16" t="n"/>
      <c r="I35" s="18" t="n"/>
    </row>
    <row r="36">
      <c r="B36" s="18" t="n"/>
      <c r="C36" s="16" t="n"/>
      <c r="D36" s="44" t="n"/>
      <c r="E36" s="16" t="n"/>
      <c r="F36" s="24" t="n"/>
      <c r="G36" s="44" t="n"/>
      <c r="H36" s="16" t="n"/>
      <c r="I36" s="18" t="n"/>
    </row>
    <row r="37">
      <c r="B37" s="18" t="n"/>
      <c r="C37" s="16" t="n"/>
      <c r="D37" s="44" t="n"/>
      <c r="E37" s="16" t="n"/>
      <c r="F37" s="24" t="n"/>
      <c r="G37" s="44" t="n"/>
      <c r="H37" s="16" t="n"/>
      <c r="I37" s="18" t="n"/>
    </row>
    <row r="38">
      <c r="B38" s="18" t="n"/>
      <c r="C38" s="16" t="n"/>
      <c r="D38" s="44" t="n"/>
      <c r="E38" s="16" t="n"/>
      <c r="F38" s="24" t="n"/>
      <c r="G38" s="44" t="n"/>
      <c r="H38" s="16" t="n"/>
      <c r="I38" s="18" t="n"/>
    </row>
    <row r="39">
      <c r="B39" s="18" t="n"/>
      <c r="C39" s="16" t="n"/>
      <c r="D39" s="44" t="n"/>
      <c r="E39" s="16" t="n"/>
      <c r="F39" s="24" t="n"/>
      <c r="G39" s="44" t="n"/>
      <c r="H39" s="16" t="n"/>
      <c r="I39" s="18" t="n"/>
    </row>
    <row r="40">
      <c r="B40" s="18" t="n"/>
      <c r="C40" s="16" t="n"/>
      <c r="D40" s="44" t="n"/>
      <c r="E40" s="16" t="n"/>
      <c r="F40" s="24" t="n"/>
      <c r="G40" s="44" t="n"/>
      <c r="H40" s="16" t="n"/>
      <c r="I40" s="18" t="n"/>
    </row>
    <row r="41">
      <c r="B41" s="18" t="n"/>
      <c r="C41" s="16" t="n"/>
      <c r="D41" s="44" t="n"/>
      <c r="E41" s="16" t="n"/>
      <c r="F41" s="24" t="n"/>
      <c r="G41" s="44" t="n"/>
      <c r="H41" s="16" t="n"/>
      <c r="I41" s="18" t="n"/>
    </row>
  </sheetData>
  <sheetProtection selectLockedCells="0" selectUnlockedCells="0" sheet="1" objects="0" insertRows="1" insertHyperlinks="1" autoFilter="0" scenarios="0" formatColumns="1" deleteColumns="1" insertColumns="1" pivotTables="1" deleteRows="1" formatCells="1" formatRows="1" sort="1" password="B4BB"/>
  <mergeCells count="66">
    <mergeCell ref="C34:D34"/>
    <mergeCell ref="F11:G11"/>
    <mergeCell ref="C24:D24"/>
    <mergeCell ref="C30:D30"/>
    <mergeCell ref="F29:G29"/>
    <mergeCell ref="C15:D15"/>
    <mergeCell ref="F16:G16"/>
    <mergeCell ref="C33:D33"/>
    <mergeCell ref="F19:G19"/>
    <mergeCell ref="F25:G25"/>
    <mergeCell ref="F34:G34"/>
    <mergeCell ref="C14:D14"/>
    <mergeCell ref="F40:G40"/>
    <mergeCell ref="C26:D26"/>
    <mergeCell ref="C35:D35"/>
    <mergeCell ref="D6:E6"/>
    <mergeCell ref="C20:D20"/>
    <mergeCell ref="F21:G21"/>
    <mergeCell ref="F12:G12"/>
    <mergeCell ref="F24:G24"/>
    <mergeCell ref="C29:D29"/>
    <mergeCell ref="C16:D16"/>
    <mergeCell ref="F15:G15"/>
    <mergeCell ref="F30:G30"/>
    <mergeCell ref="C25:D25"/>
    <mergeCell ref="C41:D41"/>
    <mergeCell ref="F20:G20"/>
    <mergeCell ref="F18:G18"/>
    <mergeCell ref="F33:G33"/>
    <mergeCell ref="F36:G36"/>
    <mergeCell ref="C22:D22"/>
    <mergeCell ref="F32:G32"/>
    <mergeCell ref="C40:D40"/>
    <mergeCell ref="F26:G26"/>
    <mergeCell ref="C31:D31"/>
    <mergeCell ref="F41:G41"/>
    <mergeCell ref="F17:G17"/>
    <mergeCell ref="F35:G35"/>
    <mergeCell ref="C12:D12"/>
    <mergeCell ref="D7:E7"/>
    <mergeCell ref="C21:D21"/>
    <mergeCell ref="F38:G38"/>
    <mergeCell ref="C11:D11"/>
    <mergeCell ref="C27:D27"/>
    <mergeCell ref="F23:G23"/>
    <mergeCell ref="F31:G31"/>
    <mergeCell ref="C36:D36"/>
    <mergeCell ref="F22:G22"/>
    <mergeCell ref="F28:G28"/>
    <mergeCell ref="F13:G13"/>
    <mergeCell ref="C17:D17"/>
    <mergeCell ref="D9:E9"/>
    <mergeCell ref="C23:D23"/>
    <mergeCell ref="F27:G27"/>
    <mergeCell ref="C39:D39"/>
    <mergeCell ref="D8:E8"/>
    <mergeCell ref="F37:G37"/>
    <mergeCell ref="F39:G39"/>
    <mergeCell ref="C32:D32"/>
    <mergeCell ref="C38:D38"/>
    <mergeCell ref="C19:D19"/>
    <mergeCell ref="C37:D37"/>
    <mergeCell ref="C28:D28"/>
    <mergeCell ref="C13:D13"/>
    <mergeCell ref="F14:G14"/>
    <mergeCell ref="C18:D18"/>
  </mergeCells>
  <dataValidations count="2">
    <dataValidation sqref="D7:D8" showDropDown="0" showInputMessage="0" showErrorMessage="1" allowBlank="1" type="list">
      <formula1>=lstYesNo</formula1>
    </dataValidation>
    <dataValidation sqref="E12:E41" showDropDown="0" showInputMessage="0" showErrorMessage="1" allowBlank="1" type="list">
      <formula1>=lstYesNo</formula1>
    </dataValidation>
  </dataValidations>
  <pageMargins left="0.75" right="0.75" top="1" bottom="1" header="0.5" footer="0.5"/>
</worksheet>
</file>

<file path=xl/worksheets/sheet22.xml><?xml version="1.0" encoding="utf-8"?>
<worksheet xmlns="http://schemas.openxmlformats.org/spreadsheetml/2006/main">
  <sheetPr>
    <tabColor rgb="002E75B6"/>
    <outlinePr summaryBelow="1" summaryRight="1"/>
    <pageSetUpPr/>
  </sheetPr>
  <dimension ref="B1:P105"/>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9" customWidth="1" min="2" max="2"/>
    <col width="22" customWidth="1" min="3" max="3"/>
    <col width="9" customWidth="1" min="4" max="4"/>
    <col width="16" customWidth="1" min="5" max="5"/>
    <col width="28" customWidth="1" min="6" max="6"/>
    <col width="11" customWidth="1" min="7" max="7"/>
    <col width="20" customWidth="1" min="8" max="8"/>
    <col width="12" customWidth="1" min="9" max="9"/>
    <col width="15" customWidth="1" min="10" max="10"/>
    <col width="16" customWidth="1" min="11" max="11"/>
    <col width="12" customWidth="1" min="12" max="12"/>
    <col width="13" customWidth="1" min="13" max="13"/>
    <col width="14" customWidth="1" min="14" max="14"/>
    <col width="30" customWidth="1" min="15" max="15"/>
    <col width="30" customWidth="1" min="16" max="16"/>
  </cols>
  <sheetData>
    <row r="1">
      <c r="B1" s="10">
        <f>HYPERLINK("#Dashboard!B5","◄ Dashboard")</f>
        <v/>
      </c>
    </row>
    <row r="4">
      <c r="B4" s="11" t="inlineStr">
        <is>
          <t>Formal record of every dismissal/academic/conduct review: trigger, decision, Assistant-Chief approval (policy 600.2.E) and agency notification. This is the file TCOLE/legal asks for. It is also the ONLY way to close a review the engine opened: set Closes Trigger to the trigger being reviewed, Outcome to Retained or Retained w/ Plan, and Asst. Chief Approval to Yes — sysChecks DismissReview then clears for THAT trigger only, so a later failed retest / skills fail-out / conduct review re-opens the block. Outcome 'Separated' closes nothing: set the cadet's Status on the Cadets sheet instead.</t>
        </is>
      </c>
    </row>
    <row r="5" ht="26" customHeight="1">
      <c r="B5" s="12" t="inlineStr">
        <is>
          <t>ReviewID</t>
        </is>
      </c>
      <c r="C5" s="12" t="inlineStr">
        <is>
          <t>Cadet Name</t>
        </is>
      </c>
      <c r="D5" s="12" t="inlineStr">
        <is>
          <t>PID</t>
        </is>
      </c>
      <c r="E5" s="12" t="inlineStr">
        <is>
          <t>Review Type</t>
        </is>
      </c>
      <c r="F5" s="12" t="inlineStr">
        <is>
          <t>Trigger</t>
        </is>
      </c>
      <c r="G5" s="12" t="inlineStr">
        <is>
          <t>Opened</t>
        </is>
      </c>
      <c r="H5" s="12" t="inlineStr">
        <is>
          <t>Board/Reviewer</t>
        </is>
      </c>
      <c r="I5" s="12" t="inlineStr">
        <is>
          <t>Decision Date</t>
        </is>
      </c>
      <c r="J5" s="12" t="inlineStr">
        <is>
          <t>Outcome</t>
        </is>
      </c>
      <c r="K5" s="12" t="inlineStr">
        <is>
          <t>Asst. Chief Approval</t>
        </is>
      </c>
      <c r="L5" s="12" t="inlineStr">
        <is>
          <t>Approval Date</t>
        </is>
      </c>
      <c r="M5" s="12" t="inlineStr">
        <is>
          <t>Agency Notified</t>
        </is>
      </c>
      <c r="N5" s="12" t="inlineStr">
        <is>
          <t>Docs Ref</t>
        </is>
      </c>
      <c r="O5" s="12" t="inlineStr">
        <is>
          <t>Notes</t>
        </is>
      </c>
      <c r="P5" s="12" t="inlineStr">
        <is>
          <t>Closes Trigger</t>
        </is>
      </c>
    </row>
    <row r="6">
      <c r="B6" s="17">
        <f>IF($C6="","","R"&amp;TEXT(ROW()-5,"000"))</f>
        <v/>
      </c>
      <c r="C6" s="16" t="n"/>
      <c r="D6" s="17">
        <f>IF($C6="","",IFERROR(INDEX(rngCadetPIDs,MATCH($C6,rngCadetNames,0)),"?"))</f>
        <v/>
      </c>
      <c r="E6" s="16" t="n"/>
      <c r="F6" s="16" t="n"/>
      <c r="G6" s="18" t="n"/>
      <c r="H6" s="16" t="n"/>
      <c r="I6" s="18" t="n"/>
      <c r="J6" s="16" t="n"/>
      <c r="K6" s="16" t="n"/>
      <c r="L6" s="18" t="n"/>
      <c r="M6" s="16" t="n"/>
      <c r="N6" s="16" t="n"/>
      <c r="O6" s="16" t="n"/>
      <c r="P6" s="16" t="n"/>
    </row>
    <row r="7">
      <c r="B7" s="17">
        <f>IF($C7="","","R"&amp;TEXT(ROW()-5,"000"))</f>
        <v/>
      </c>
      <c r="C7" s="16" t="n"/>
      <c r="D7" s="17">
        <f>IF($C7="","",IFERROR(INDEX(rngCadetPIDs,MATCH($C7,rngCadetNames,0)),"?"))</f>
        <v/>
      </c>
      <c r="E7" s="16" t="n"/>
      <c r="F7" s="16" t="n"/>
      <c r="G7" s="18" t="n"/>
      <c r="H7" s="16" t="n"/>
      <c r="I7" s="18" t="n"/>
      <c r="J7" s="16" t="n"/>
      <c r="K7" s="16" t="n"/>
      <c r="L7" s="18" t="n"/>
      <c r="M7" s="16" t="n"/>
      <c r="N7" s="16" t="n"/>
      <c r="O7" s="16" t="n"/>
      <c r="P7" s="16" t="n"/>
    </row>
    <row r="8">
      <c r="B8" s="17">
        <f>IF($C8="","","R"&amp;TEXT(ROW()-5,"000"))</f>
        <v/>
      </c>
      <c r="C8" s="16" t="n"/>
      <c r="D8" s="17">
        <f>IF($C8="","",IFERROR(INDEX(rngCadetPIDs,MATCH($C8,rngCadetNames,0)),"?"))</f>
        <v/>
      </c>
      <c r="E8" s="16" t="n"/>
      <c r="F8" s="16" t="n"/>
      <c r="G8" s="18" t="n"/>
      <c r="H8" s="16" t="n"/>
      <c r="I8" s="18" t="n"/>
      <c r="J8" s="16" t="n"/>
      <c r="K8" s="16" t="n"/>
      <c r="L8" s="18" t="n"/>
      <c r="M8" s="16" t="n"/>
      <c r="N8" s="16" t="n"/>
      <c r="O8" s="16" t="n"/>
      <c r="P8" s="16" t="n"/>
    </row>
    <row r="9">
      <c r="B9" s="17">
        <f>IF($C9="","","R"&amp;TEXT(ROW()-5,"000"))</f>
        <v/>
      </c>
      <c r="C9" s="16" t="n"/>
      <c r="D9" s="17">
        <f>IF($C9="","",IFERROR(INDEX(rngCadetPIDs,MATCH($C9,rngCadetNames,0)),"?"))</f>
        <v/>
      </c>
      <c r="E9" s="16" t="n"/>
      <c r="F9" s="16" t="n"/>
      <c r="G9" s="18" t="n"/>
      <c r="H9" s="16" t="n"/>
      <c r="I9" s="18" t="n"/>
      <c r="J9" s="16" t="n"/>
      <c r="K9" s="16" t="n"/>
      <c r="L9" s="18" t="n"/>
      <c r="M9" s="16" t="n"/>
      <c r="N9" s="16" t="n"/>
      <c r="O9" s="16" t="n"/>
      <c r="P9" s="16" t="n"/>
    </row>
    <row r="10">
      <c r="B10" s="17">
        <f>IF($C10="","","R"&amp;TEXT(ROW()-5,"000"))</f>
        <v/>
      </c>
      <c r="C10" s="16" t="n"/>
      <c r="D10" s="17">
        <f>IF($C10="","",IFERROR(INDEX(rngCadetPIDs,MATCH($C10,rngCadetNames,0)),"?"))</f>
        <v/>
      </c>
      <c r="E10" s="16" t="n"/>
      <c r="F10" s="16" t="n"/>
      <c r="G10" s="18" t="n"/>
      <c r="H10" s="16" t="n"/>
      <c r="I10" s="18" t="n"/>
      <c r="J10" s="16" t="n"/>
      <c r="K10" s="16" t="n"/>
      <c r="L10" s="18" t="n"/>
      <c r="M10" s="16" t="n"/>
      <c r="N10" s="16" t="n"/>
      <c r="O10" s="16" t="n"/>
      <c r="P10" s="16" t="n"/>
    </row>
    <row r="11">
      <c r="B11" s="17">
        <f>IF($C11="","","R"&amp;TEXT(ROW()-5,"000"))</f>
        <v/>
      </c>
      <c r="C11" s="16" t="n"/>
      <c r="D11" s="17">
        <f>IF($C11="","",IFERROR(INDEX(rngCadetPIDs,MATCH($C11,rngCadetNames,0)),"?"))</f>
        <v/>
      </c>
      <c r="E11" s="16" t="n"/>
      <c r="F11" s="16" t="n"/>
      <c r="G11" s="18" t="n"/>
      <c r="H11" s="16" t="n"/>
      <c r="I11" s="18" t="n"/>
      <c r="J11" s="16" t="n"/>
      <c r="K11" s="16" t="n"/>
      <c r="L11" s="18" t="n"/>
      <c r="M11" s="16" t="n"/>
      <c r="N11" s="16" t="n"/>
      <c r="O11" s="16" t="n"/>
      <c r="P11" s="16" t="n"/>
    </row>
    <row r="12">
      <c r="B12" s="17">
        <f>IF($C12="","","R"&amp;TEXT(ROW()-5,"000"))</f>
        <v/>
      </c>
      <c r="C12" s="16" t="n"/>
      <c r="D12" s="17">
        <f>IF($C12="","",IFERROR(INDEX(rngCadetPIDs,MATCH($C12,rngCadetNames,0)),"?"))</f>
        <v/>
      </c>
      <c r="E12" s="16" t="n"/>
      <c r="F12" s="16" t="n"/>
      <c r="G12" s="18" t="n"/>
      <c r="H12" s="16" t="n"/>
      <c r="I12" s="18" t="n"/>
      <c r="J12" s="16" t="n"/>
      <c r="K12" s="16" t="n"/>
      <c r="L12" s="18" t="n"/>
      <c r="M12" s="16" t="n"/>
      <c r="N12" s="16" t="n"/>
      <c r="O12" s="16" t="n"/>
      <c r="P12" s="16" t="n"/>
    </row>
    <row r="13">
      <c r="B13" s="17">
        <f>IF($C13="","","R"&amp;TEXT(ROW()-5,"000"))</f>
        <v/>
      </c>
      <c r="C13" s="16" t="n"/>
      <c r="D13" s="17">
        <f>IF($C13="","",IFERROR(INDEX(rngCadetPIDs,MATCH($C13,rngCadetNames,0)),"?"))</f>
        <v/>
      </c>
      <c r="E13" s="16" t="n"/>
      <c r="F13" s="16" t="n"/>
      <c r="G13" s="18" t="n"/>
      <c r="H13" s="16" t="n"/>
      <c r="I13" s="18" t="n"/>
      <c r="J13" s="16" t="n"/>
      <c r="K13" s="16" t="n"/>
      <c r="L13" s="18" t="n"/>
      <c r="M13" s="16" t="n"/>
      <c r="N13" s="16" t="n"/>
      <c r="O13" s="16" t="n"/>
      <c r="P13" s="16" t="n"/>
    </row>
    <row r="14">
      <c r="B14" s="17">
        <f>IF($C14="","","R"&amp;TEXT(ROW()-5,"000"))</f>
        <v/>
      </c>
      <c r="C14" s="16" t="n"/>
      <c r="D14" s="17">
        <f>IF($C14="","",IFERROR(INDEX(rngCadetPIDs,MATCH($C14,rngCadetNames,0)),"?"))</f>
        <v/>
      </c>
      <c r="E14" s="16" t="n"/>
      <c r="F14" s="16" t="n"/>
      <c r="G14" s="18" t="n"/>
      <c r="H14" s="16" t="n"/>
      <c r="I14" s="18" t="n"/>
      <c r="J14" s="16" t="n"/>
      <c r="K14" s="16" t="n"/>
      <c r="L14" s="18" t="n"/>
      <c r="M14" s="16" t="n"/>
      <c r="N14" s="16" t="n"/>
      <c r="O14" s="16" t="n"/>
      <c r="P14" s="16" t="n"/>
    </row>
    <row r="15">
      <c r="B15" s="17">
        <f>IF($C15="","","R"&amp;TEXT(ROW()-5,"000"))</f>
        <v/>
      </c>
      <c r="C15" s="16" t="n"/>
      <c r="D15" s="17">
        <f>IF($C15="","",IFERROR(INDEX(rngCadetPIDs,MATCH($C15,rngCadetNames,0)),"?"))</f>
        <v/>
      </c>
      <c r="E15" s="16" t="n"/>
      <c r="F15" s="16" t="n"/>
      <c r="G15" s="18" t="n"/>
      <c r="H15" s="16" t="n"/>
      <c r="I15" s="18" t="n"/>
      <c r="J15" s="16" t="n"/>
      <c r="K15" s="16" t="n"/>
      <c r="L15" s="18" t="n"/>
      <c r="M15" s="16" t="n"/>
      <c r="N15" s="16" t="n"/>
      <c r="O15" s="16" t="n"/>
      <c r="P15" s="16" t="n"/>
    </row>
    <row r="16">
      <c r="B16" s="17">
        <f>IF($C16="","","R"&amp;TEXT(ROW()-5,"000"))</f>
        <v/>
      </c>
      <c r="C16" s="16" t="n"/>
      <c r="D16" s="17">
        <f>IF($C16="","",IFERROR(INDEX(rngCadetPIDs,MATCH($C16,rngCadetNames,0)),"?"))</f>
        <v/>
      </c>
      <c r="E16" s="16" t="n"/>
      <c r="F16" s="16" t="n"/>
      <c r="G16" s="18" t="n"/>
      <c r="H16" s="16" t="n"/>
      <c r="I16" s="18" t="n"/>
      <c r="J16" s="16" t="n"/>
      <c r="K16" s="16" t="n"/>
      <c r="L16" s="18" t="n"/>
      <c r="M16" s="16" t="n"/>
      <c r="N16" s="16" t="n"/>
      <c r="O16" s="16" t="n"/>
      <c r="P16" s="16" t="n"/>
    </row>
    <row r="17">
      <c r="B17" s="17">
        <f>IF($C17="","","R"&amp;TEXT(ROW()-5,"000"))</f>
        <v/>
      </c>
      <c r="C17" s="16" t="n"/>
      <c r="D17" s="17">
        <f>IF($C17="","",IFERROR(INDEX(rngCadetPIDs,MATCH($C17,rngCadetNames,0)),"?"))</f>
        <v/>
      </c>
      <c r="E17" s="16" t="n"/>
      <c r="F17" s="16" t="n"/>
      <c r="G17" s="18" t="n"/>
      <c r="H17" s="16" t="n"/>
      <c r="I17" s="18" t="n"/>
      <c r="J17" s="16" t="n"/>
      <c r="K17" s="16" t="n"/>
      <c r="L17" s="18" t="n"/>
      <c r="M17" s="16" t="n"/>
      <c r="N17" s="16" t="n"/>
      <c r="O17" s="16" t="n"/>
      <c r="P17" s="16" t="n"/>
    </row>
    <row r="18">
      <c r="B18" s="17">
        <f>IF($C18="","","R"&amp;TEXT(ROW()-5,"000"))</f>
        <v/>
      </c>
      <c r="C18" s="16" t="n"/>
      <c r="D18" s="17">
        <f>IF($C18="","",IFERROR(INDEX(rngCadetPIDs,MATCH($C18,rngCadetNames,0)),"?"))</f>
        <v/>
      </c>
      <c r="E18" s="16" t="n"/>
      <c r="F18" s="16" t="n"/>
      <c r="G18" s="18" t="n"/>
      <c r="H18" s="16" t="n"/>
      <c r="I18" s="18" t="n"/>
      <c r="J18" s="16" t="n"/>
      <c r="K18" s="16" t="n"/>
      <c r="L18" s="18" t="n"/>
      <c r="M18" s="16" t="n"/>
      <c r="N18" s="16" t="n"/>
      <c r="O18" s="16" t="n"/>
      <c r="P18" s="16" t="n"/>
    </row>
    <row r="19">
      <c r="B19" s="17">
        <f>IF($C19="","","R"&amp;TEXT(ROW()-5,"000"))</f>
        <v/>
      </c>
      <c r="C19" s="16" t="n"/>
      <c r="D19" s="17">
        <f>IF($C19="","",IFERROR(INDEX(rngCadetPIDs,MATCH($C19,rngCadetNames,0)),"?"))</f>
        <v/>
      </c>
      <c r="E19" s="16" t="n"/>
      <c r="F19" s="16" t="n"/>
      <c r="G19" s="18" t="n"/>
      <c r="H19" s="16" t="n"/>
      <c r="I19" s="18" t="n"/>
      <c r="J19" s="16" t="n"/>
      <c r="K19" s="16" t="n"/>
      <c r="L19" s="18" t="n"/>
      <c r="M19" s="16" t="n"/>
      <c r="N19" s="16" t="n"/>
      <c r="O19" s="16" t="n"/>
      <c r="P19" s="16" t="n"/>
    </row>
    <row r="20">
      <c r="B20" s="17">
        <f>IF($C20="","","R"&amp;TEXT(ROW()-5,"000"))</f>
        <v/>
      </c>
      <c r="C20" s="16" t="n"/>
      <c r="D20" s="17">
        <f>IF($C20="","",IFERROR(INDEX(rngCadetPIDs,MATCH($C20,rngCadetNames,0)),"?"))</f>
        <v/>
      </c>
      <c r="E20" s="16" t="n"/>
      <c r="F20" s="16" t="n"/>
      <c r="G20" s="18" t="n"/>
      <c r="H20" s="16" t="n"/>
      <c r="I20" s="18" t="n"/>
      <c r="J20" s="16" t="n"/>
      <c r="K20" s="16" t="n"/>
      <c r="L20" s="18" t="n"/>
      <c r="M20" s="16" t="n"/>
      <c r="N20" s="16" t="n"/>
      <c r="O20" s="16" t="n"/>
      <c r="P20" s="16" t="n"/>
    </row>
    <row r="21">
      <c r="B21" s="17">
        <f>IF($C21="","","R"&amp;TEXT(ROW()-5,"000"))</f>
        <v/>
      </c>
      <c r="C21" s="16" t="n"/>
      <c r="D21" s="17">
        <f>IF($C21="","",IFERROR(INDEX(rngCadetPIDs,MATCH($C21,rngCadetNames,0)),"?"))</f>
        <v/>
      </c>
      <c r="E21" s="16" t="n"/>
      <c r="F21" s="16" t="n"/>
      <c r="G21" s="18" t="n"/>
      <c r="H21" s="16" t="n"/>
      <c r="I21" s="18" t="n"/>
      <c r="J21" s="16" t="n"/>
      <c r="K21" s="16" t="n"/>
      <c r="L21" s="18" t="n"/>
      <c r="M21" s="16" t="n"/>
      <c r="N21" s="16" t="n"/>
      <c r="O21" s="16" t="n"/>
      <c r="P21" s="16" t="n"/>
    </row>
    <row r="22">
      <c r="B22" s="17">
        <f>IF($C22="","","R"&amp;TEXT(ROW()-5,"000"))</f>
        <v/>
      </c>
      <c r="C22" s="16" t="n"/>
      <c r="D22" s="17">
        <f>IF($C22="","",IFERROR(INDEX(rngCadetPIDs,MATCH($C22,rngCadetNames,0)),"?"))</f>
        <v/>
      </c>
      <c r="E22" s="16" t="n"/>
      <c r="F22" s="16" t="n"/>
      <c r="G22" s="18" t="n"/>
      <c r="H22" s="16" t="n"/>
      <c r="I22" s="18" t="n"/>
      <c r="J22" s="16" t="n"/>
      <c r="K22" s="16" t="n"/>
      <c r="L22" s="18" t="n"/>
      <c r="M22" s="16" t="n"/>
      <c r="N22" s="16" t="n"/>
      <c r="O22" s="16" t="n"/>
      <c r="P22" s="16" t="n"/>
    </row>
    <row r="23">
      <c r="B23" s="17">
        <f>IF($C23="","","R"&amp;TEXT(ROW()-5,"000"))</f>
        <v/>
      </c>
      <c r="C23" s="16" t="n"/>
      <c r="D23" s="17">
        <f>IF($C23="","",IFERROR(INDEX(rngCadetPIDs,MATCH($C23,rngCadetNames,0)),"?"))</f>
        <v/>
      </c>
      <c r="E23" s="16" t="n"/>
      <c r="F23" s="16" t="n"/>
      <c r="G23" s="18" t="n"/>
      <c r="H23" s="16" t="n"/>
      <c r="I23" s="18" t="n"/>
      <c r="J23" s="16" t="n"/>
      <c r="K23" s="16" t="n"/>
      <c r="L23" s="18" t="n"/>
      <c r="M23" s="16" t="n"/>
      <c r="N23" s="16" t="n"/>
      <c r="O23" s="16" t="n"/>
      <c r="P23" s="16" t="n"/>
    </row>
    <row r="24">
      <c r="B24" s="17">
        <f>IF($C24="","","R"&amp;TEXT(ROW()-5,"000"))</f>
        <v/>
      </c>
      <c r="C24" s="16" t="n"/>
      <c r="D24" s="17">
        <f>IF($C24="","",IFERROR(INDEX(rngCadetPIDs,MATCH($C24,rngCadetNames,0)),"?"))</f>
        <v/>
      </c>
      <c r="E24" s="16" t="n"/>
      <c r="F24" s="16" t="n"/>
      <c r="G24" s="18" t="n"/>
      <c r="H24" s="16" t="n"/>
      <c r="I24" s="18" t="n"/>
      <c r="J24" s="16" t="n"/>
      <c r="K24" s="16" t="n"/>
      <c r="L24" s="18" t="n"/>
      <c r="M24" s="16" t="n"/>
      <c r="N24" s="16" t="n"/>
      <c r="O24" s="16" t="n"/>
      <c r="P24" s="16" t="n"/>
    </row>
    <row r="25">
      <c r="B25" s="17">
        <f>IF($C25="","","R"&amp;TEXT(ROW()-5,"000"))</f>
        <v/>
      </c>
      <c r="C25" s="16" t="n"/>
      <c r="D25" s="17">
        <f>IF($C25="","",IFERROR(INDEX(rngCadetPIDs,MATCH($C25,rngCadetNames,0)),"?"))</f>
        <v/>
      </c>
      <c r="E25" s="16" t="n"/>
      <c r="F25" s="16" t="n"/>
      <c r="G25" s="18" t="n"/>
      <c r="H25" s="16" t="n"/>
      <c r="I25" s="18" t="n"/>
      <c r="J25" s="16" t="n"/>
      <c r="K25" s="16" t="n"/>
      <c r="L25" s="18" t="n"/>
      <c r="M25" s="16" t="n"/>
      <c r="N25" s="16" t="n"/>
      <c r="O25" s="16" t="n"/>
      <c r="P25" s="16" t="n"/>
    </row>
    <row r="26">
      <c r="B26" s="17">
        <f>IF($C26="","","R"&amp;TEXT(ROW()-5,"000"))</f>
        <v/>
      </c>
      <c r="C26" s="16" t="n"/>
      <c r="D26" s="17">
        <f>IF($C26="","",IFERROR(INDEX(rngCadetPIDs,MATCH($C26,rngCadetNames,0)),"?"))</f>
        <v/>
      </c>
      <c r="E26" s="16" t="n"/>
      <c r="F26" s="16" t="n"/>
      <c r="G26" s="18" t="n"/>
      <c r="H26" s="16" t="n"/>
      <c r="I26" s="18" t="n"/>
      <c r="J26" s="16" t="n"/>
      <c r="K26" s="16" t="n"/>
      <c r="L26" s="18" t="n"/>
      <c r="M26" s="16" t="n"/>
      <c r="N26" s="16" t="n"/>
      <c r="O26" s="16" t="n"/>
      <c r="P26" s="16" t="n"/>
    </row>
    <row r="27">
      <c r="B27" s="17">
        <f>IF($C27="","","R"&amp;TEXT(ROW()-5,"000"))</f>
        <v/>
      </c>
      <c r="C27" s="16" t="n"/>
      <c r="D27" s="17">
        <f>IF($C27="","",IFERROR(INDEX(rngCadetPIDs,MATCH($C27,rngCadetNames,0)),"?"))</f>
        <v/>
      </c>
      <c r="E27" s="16" t="n"/>
      <c r="F27" s="16" t="n"/>
      <c r="G27" s="18" t="n"/>
      <c r="H27" s="16" t="n"/>
      <c r="I27" s="18" t="n"/>
      <c r="J27" s="16" t="n"/>
      <c r="K27" s="16" t="n"/>
      <c r="L27" s="18" t="n"/>
      <c r="M27" s="16" t="n"/>
      <c r="N27" s="16" t="n"/>
      <c r="O27" s="16" t="n"/>
      <c r="P27" s="16" t="n"/>
    </row>
    <row r="28">
      <c r="B28" s="17">
        <f>IF($C28="","","R"&amp;TEXT(ROW()-5,"000"))</f>
        <v/>
      </c>
      <c r="C28" s="16" t="n"/>
      <c r="D28" s="17">
        <f>IF($C28="","",IFERROR(INDEX(rngCadetPIDs,MATCH($C28,rngCadetNames,0)),"?"))</f>
        <v/>
      </c>
      <c r="E28" s="16" t="n"/>
      <c r="F28" s="16" t="n"/>
      <c r="G28" s="18" t="n"/>
      <c r="H28" s="16" t="n"/>
      <c r="I28" s="18" t="n"/>
      <c r="J28" s="16" t="n"/>
      <c r="K28" s="16" t="n"/>
      <c r="L28" s="18" t="n"/>
      <c r="M28" s="16" t="n"/>
      <c r="N28" s="16" t="n"/>
      <c r="O28" s="16" t="n"/>
      <c r="P28" s="16" t="n"/>
    </row>
    <row r="29">
      <c r="B29" s="17">
        <f>IF($C29="","","R"&amp;TEXT(ROW()-5,"000"))</f>
        <v/>
      </c>
      <c r="C29" s="16" t="n"/>
      <c r="D29" s="17">
        <f>IF($C29="","",IFERROR(INDEX(rngCadetPIDs,MATCH($C29,rngCadetNames,0)),"?"))</f>
        <v/>
      </c>
      <c r="E29" s="16" t="n"/>
      <c r="F29" s="16" t="n"/>
      <c r="G29" s="18" t="n"/>
      <c r="H29" s="16" t="n"/>
      <c r="I29" s="18" t="n"/>
      <c r="J29" s="16" t="n"/>
      <c r="K29" s="16" t="n"/>
      <c r="L29" s="18" t="n"/>
      <c r="M29" s="16" t="n"/>
      <c r="N29" s="16" t="n"/>
      <c r="O29" s="16" t="n"/>
      <c r="P29" s="16" t="n"/>
    </row>
    <row r="30">
      <c r="B30" s="17">
        <f>IF($C30="","","R"&amp;TEXT(ROW()-5,"000"))</f>
        <v/>
      </c>
      <c r="C30" s="16" t="n"/>
      <c r="D30" s="17">
        <f>IF($C30="","",IFERROR(INDEX(rngCadetPIDs,MATCH($C30,rngCadetNames,0)),"?"))</f>
        <v/>
      </c>
      <c r="E30" s="16" t="n"/>
      <c r="F30" s="16" t="n"/>
      <c r="G30" s="18" t="n"/>
      <c r="H30" s="16" t="n"/>
      <c r="I30" s="18" t="n"/>
      <c r="J30" s="16" t="n"/>
      <c r="K30" s="16" t="n"/>
      <c r="L30" s="18" t="n"/>
      <c r="M30" s="16" t="n"/>
      <c r="N30" s="16" t="n"/>
      <c r="O30" s="16" t="n"/>
      <c r="P30" s="16" t="n"/>
    </row>
    <row r="31">
      <c r="B31" s="17">
        <f>IF($C31="","","R"&amp;TEXT(ROW()-5,"000"))</f>
        <v/>
      </c>
      <c r="C31" s="16" t="n"/>
      <c r="D31" s="17">
        <f>IF($C31="","",IFERROR(INDEX(rngCadetPIDs,MATCH($C31,rngCadetNames,0)),"?"))</f>
        <v/>
      </c>
      <c r="E31" s="16" t="n"/>
      <c r="F31" s="16" t="n"/>
      <c r="G31" s="18" t="n"/>
      <c r="H31" s="16" t="n"/>
      <c r="I31" s="18" t="n"/>
      <c r="J31" s="16" t="n"/>
      <c r="K31" s="16" t="n"/>
      <c r="L31" s="18" t="n"/>
      <c r="M31" s="16" t="n"/>
      <c r="N31" s="16" t="n"/>
      <c r="O31" s="16" t="n"/>
      <c r="P31" s="16" t="n"/>
    </row>
    <row r="32">
      <c r="B32" s="17">
        <f>IF($C32="","","R"&amp;TEXT(ROW()-5,"000"))</f>
        <v/>
      </c>
      <c r="C32" s="16" t="n"/>
      <c r="D32" s="17">
        <f>IF($C32="","",IFERROR(INDEX(rngCadetPIDs,MATCH($C32,rngCadetNames,0)),"?"))</f>
        <v/>
      </c>
      <c r="E32" s="16" t="n"/>
      <c r="F32" s="16" t="n"/>
      <c r="G32" s="18" t="n"/>
      <c r="H32" s="16" t="n"/>
      <c r="I32" s="18" t="n"/>
      <c r="J32" s="16" t="n"/>
      <c r="K32" s="16" t="n"/>
      <c r="L32" s="18" t="n"/>
      <c r="M32" s="16" t="n"/>
      <c r="N32" s="16" t="n"/>
      <c r="O32" s="16" t="n"/>
      <c r="P32" s="16" t="n"/>
    </row>
    <row r="33">
      <c r="B33" s="17">
        <f>IF($C33="","","R"&amp;TEXT(ROW()-5,"000"))</f>
        <v/>
      </c>
      <c r="C33" s="16" t="n"/>
      <c r="D33" s="17">
        <f>IF($C33="","",IFERROR(INDEX(rngCadetPIDs,MATCH($C33,rngCadetNames,0)),"?"))</f>
        <v/>
      </c>
      <c r="E33" s="16" t="n"/>
      <c r="F33" s="16" t="n"/>
      <c r="G33" s="18" t="n"/>
      <c r="H33" s="16" t="n"/>
      <c r="I33" s="18" t="n"/>
      <c r="J33" s="16" t="n"/>
      <c r="K33" s="16" t="n"/>
      <c r="L33" s="18" t="n"/>
      <c r="M33" s="16" t="n"/>
      <c r="N33" s="16" t="n"/>
      <c r="O33" s="16" t="n"/>
      <c r="P33" s="16" t="n"/>
    </row>
    <row r="34">
      <c r="B34" s="17">
        <f>IF($C34="","","R"&amp;TEXT(ROW()-5,"000"))</f>
        <v/>
      </c>
      <c r="C34" s="16" t="n"/>
      <c r="D34" s="17">
        <f>IF($C34="","",IFERROR(INDEX(rngCadetPIDs,MATCH($C34,rngCadetNames,0)),"?"))</f>
        <v/>
      </c>
      <c r="E34" s="16" t="n"/>
      <c r="F34" s="16" t="n"/>
      <c r="G34" s="18" t="n"/>
      <c r="H34" s="16" t="n"/>
      <c r="I34" s="18" t="n"/>
      <c r="J34" s="16" t="n"/>
      <c r="K34" s="16" t="n"/>
      <c r="L34" s="18" t="n"/>
      <c r="M34" s="16" t="n"/>
      <c r="N34" s="16" t="n"/>
      <c r="O34" s="16" t="n"/>
      <c r="P34" s="16" t="n"/>
    </row>
    <row r="35">
      <c r="B35" s="17">
        <f>IF($C35="","","R"&amp;TEXT(ROW()-5,"000"))</f>
        <v/>
      </c>
      <c r="C35" s="16" t="n"/>
      <c r="D35" s="17">
        <f>IF($C35="","",IFERROR(INDEX(rngCadetPIDs,MATCH($C35,rngCadetNames,0)),"?"))</f>
        <v/>
      </c>
      <c r="E35" s="16" t="n"/>
      <c r="F35" s="16" t="n"/>
      <c r="G35" s="18" t="n"/>
      <c r="H35" s="16" t="n"/>
      <c r="I35" s="18" t="n"/>
      <c r="J35" s="16" t="n"/>
      <c r="K35" s="16" t="n"/>
      <c r="L35" s="18" t="n"/>
      <c r="M35" s="16" t="n"/>
      <c r="N35" s="16" t="n"/>
      <c r="O35" s="16" t="n"/>
      <c r="P35" s="16" t="n"/>
    </row>
    <row r="36">
      <c r="B36" s="17">
        <f>IF($C36="","","R"&amp;TEXT(ROW()-5,"000"))</f>
        <v/>
      </c>
      <c r="C36" s="16" t="n"/>
      <c r="D36" s="17">
        <f>IF($C36="","",IFERROR(INDEX(rngCadetPIDs,MATCH($C36,rngCadetNames,0)),"?"))</f>
        <v/>
      </c>
      <c r="E36" s="16" t="n"/>
      <c r="F36" s="16" t="n"/>
      <c r="G36" s="18" t="n"/>
      <c r="H36" s="16" t="n"/>
      <c r="I36" s="18" t="n"/>
      <c r="J36" s="16" t="n"/>
      <c r="K36" s="16" t="n"/>
      <c r="L36" s="18" t="n"/>
      <c r="M36" s="16" t="n"/>
      <c r="N36" s="16" t="n"/>
      <c r="O36" s="16" t="n"/>
      <c r="P36" s="16" t="n"/>
    </row>
    <row r="37">
      <c r="B37" s="17">
        <f>IF($C37="","","R"&amp;TEXT(ROW()-5,"000"))</f>
        <v/>
      </c>
      <c r="C37" s="16" t="n"/>
      <c r="D37" s="17">
        <f>IF($C37="","",IFERROR(INDEX(rngCadetPIDs,MATCH($C37,rngCadetNames,0)),"?"))</f>
        <v/>
      </c>
      <c r="E37" s="16" t="n"/>
      <c r="F37" s="16" t="n"/>
      <c r="G37" s="18" t="n"/>
      <c r="H37" s="16" t="n"/>
      <c r="I37" s="18" t="n"/>
      <c r="J37" s="16" t="n"/>
      <c r="K37" s="16" t="n"/>
      <c r="L37" s="18" t="n"/>
      <c r="M37" s="16" t="n"/>
      <c r="N37" s="16" t="n"/>
      <c r="O37" s="16" t="n"/>
      <c r="P37" s="16" t="n"/>
    </row>
    <row r="38">
      <c r="B38" s="17">
        <f>IF($C38="","","R"&amp;TEXT(ROW()-5,"000"))</f>
        <v/>
      </c>
      <c r="C38" s="16" t="n"/>
      <c r="D38" s="17">
        <f>IF($C38="","",IFERROR(INDEX(rngCadetPIDs,MATCH($C38,rngCadetNames,0)),"?"))</f>
        <v/>
      </c>
      <c r="E38" s="16" t="n"/>
      <c r="F38" s="16" t="n"/>
      <c r="G38" s="18" t="n"/>
      <c r="H38" s="16" t="n"/>
      <c r="I38" s="18" t="n"/>
      <c r="J38" s="16" t="n"/>
      <c r="K38" s="16" t="n"/>
      <c r="L38" s="18" t="n"/>
      <c r="M38" s="16" t="n"/>
      <c r="N38" s="16" t="n"/>
      <c r="O38" s="16" t="n"/>
      <c r="P38" s="16" t="n"/>
    </row>
    <row r="39">
      <c r="B39" s="17">
        <f>IF($C39="","","R"&amp;TEXT(ROW()-5,"000"))</f>
        <v/>
      </c>
      <c r="C39" s="16" t="n"/>
      <c r="D39" s="17">
        <f>IF($C39="","",IFERROR(INDEX(rngCadetPIDs,MATCH($C39,rngCadetNames,0)),"?"))</f>
        <v/>
      </c>
      <c r="E39" s="16" t="n"/>
      <c r="F39" s="16" t="n"/>
      <c r="G39" s="18" t="n"/>
      <c r="H39" s="16" t="n"/>
      <c r="I39" s="18" t="n"/>
      <c r="J39" s="16" t="n"/>
      <c r="K39" s="16" t="n"/>
      <c r="L39" s="18" t="n"/>
      <c r="M39" s="16" t="n"/>
      <c r="N39" s="16" t="n"/>
      <c r="O39" s="16" t="n"/>
      <c r="P39" s="16" t="n"/>
    </row>
    <row r="40">
      <c r="B40" s="17">
        <f>IF($C40="","","R"&amp;TEXT(ROW()-5,"000"))</f>
        <v/>
      </c>
      <c r="C40" s="16" t="n"/>
      <c r="D40" s="17">
        <f>IF($C40="","",IFERROR(INDEX(rngCadetPIDs,MATCH($C40,rngCadetNames,0)),"?"))</f>
        <v/>
      </c>
      <c r="E40" s="16" t="n"/>
      <c r="F40" s="16" t="n"/>
      <c r="G40" s="18" t="n"/>
      <c r="H40" s="16" t="n"/>
      <c r="I40" s="18" t="n"/>
      <c r="J40" s="16" t="n"/>
      <c r="K40" s="16" t="n"/>
      <c r="L40" s="18" t="n"/>
      <c r="M40" s="16" t="n"/>
      <c r="N40" s="16" t="n"/>
      <c r="O40" s="16" t="n"/>
      <c r="P40" s="16" t="n"/>
    </row>
    <row r="41">
      <c r="B41" s="17">
        <f>IF($C41="","","R"&amp;TEXT(ROW()-5,"000"))</f>
        <v/>
      </c>
      <c r="C41" s="16" t="n"/>
      <c r="D41" s="17">
        <f>IF($C41="","",IFERROR(INDEX(rngCadetPIDs,MATCH($C41,rngCadetNames,0)),"?"))</f>
        <v/>
      </c>
      <c r="E41" s="16" t="n"/>
      <c r="F41" s="16" t="n"/>
      <c r="G41" s="18" t="n"/>
      <c r="H41" s="16" t="n"/>
      <c r="I41" s="18" t="n"/>
      <c r="J41" s="16" t="n"/>
      <c r="K41" s="16" t="n"/>
      <c r="L41" s="18" t="n"/>
      <c r="M41" s="16" t="n"/>
      <c r="N41" s="16" t="n"/>
      <c r="O41" s="16" t="n"/>
      <c r="P41" s="16" t="n"/>
    </row>
    <row r="42">
      <c r="B42" s="17">
        <f>IF($C42="","","R"&amp;TEXT(ROW()-5,"000"))</f>
        <v/>
      </c>
      <c r="C42" s="16" t="n"/>
      <c r="D42" s="17">
        <f>IF($C42="","",IFERROR(INDEX(rngCadetPIDs,MATCH($C42,rngCadetNames,0)),"?"))</f>
        <v/>
      </c>
      <c r="E42" s="16" t="n"/>
      <c r="F42" s="16" t="n"/>
      <c r="G42" s="18" t="n"/>
      <c r="H42" s="16" t="n"/>
      <c r="I42" s="18" t="n"/>
      <c r="J42" s="16" t="n"/>
      <c r="K42" s="16" t="n"/>
      <c r="L42" s="18" t="n"/>
      <c r="M42" s="16" t="n"/>
      <c r="N42" s="16" t="n"/>
      <c r="O42" s="16" t="n"/>
      <c r="P42" s="16" t="n"/>
    </row>
    <row r="43">
      <c r="B43" s="17">
        <f>IF($C43="","","R"&amp;TEXT(ROW()-5,"000"))</f>
        <v/>
      </c>
      <c r="C43" s="16" t="n"/>
      <c r="D43" s="17">
        <f>IF($C43="","",IFERROR(INDEX(rngCadetPIDs,MATCH($C43,rngCadetNames,0)),"?"))</f>
        <v/>
      </c>
      <c r="E43" s="16" t="n"/>
      <c r="F43" s="16" t="n"/>
      <c r="G43" s="18" t="n"/>
      <c r="H43" s="16" t="n"/>
      <c r="I43" s="18" t="n"/>
      <c r="J43" s="16" t="n"/>
      <c r="K43" s="16" t="n"/>
      <c r="L43" s="18" t="n"/>
      <c r="M43" s="16" t="n"/>
      <c r="N43" s="16" t="n"/>
      <c r="O43" s="16" t="n"/>
      <c r="P43" s="16" t="n"/>
    </row>
    <row r="44">
      <c r="B44" s="17">
        <f>IF($C44="","","R"&amp;TEXT(ROW()-5,"000"))</f>
        <v/>
      </c>
      <c r="C44" s="16" t="n"/>
      <c r="D44" s="17">
        <f>IF($C44="","",IFERROR(INDEX(rngCadetPIDs,MATCH($C44,rngCadetNames,0)),"?"))</f>
        <v/>
      </c>
      <c r="E44" s="16" t="n"/>
      <c r="F44" s="16" t="n"/>
      <c r="G44" s="18" t="n"/>
      <c r="H44" s="16" t="n"/>
      <c r="I44" s="18" t="n"/>
      <c r="J44" s="16" t="n"/>
      <c r="K44" s="16" t="n"/>
      <c r="L44" s="18" t="n"/>
      <c r="M44" s="16" t="n"/>
      <c r="N44" s="16" t="n"/>
      <c r="O44" s="16" t="n"/>
      <c r="P44" s="16" t="n"/>
    </row>
    <row r="45">
      <c r="B45" s="17">
        <f>IF($C45="","","R"&amp;TEXT(ROW()-5,"000"))</f>
        <v/>
      </c>
      <c r="C45" s="16" t="n"/>
      <c r="D45" s="17">
        <f>IF($C45="","",IFERROR(INDEX(rngCadetPIDs,MATCH($C45,rngCadetNames,0)),"?"))</f>
        <v/>
      </c>
      <c r="E45" s="16" t="n"/>
      <c r="F45" s="16" t="n"/>
      <c r="G45" s="18" t="n"/>
      <c r="H45" s="16" t="n"/>
      <c r="I45" s="18" t="n"/>
      <c r="J45" s="16" t="n"/>
      <c r="K45" s="16" t="n"/>
      <c r="L45" s="18" t="n"/>
      <c r="M45" s="16" t="n"/>
      <c r="N45" s="16" t="n"/>
      <c r="O45" s="16" t="n"/>
      <c r="P45" s="16" t="n"/>
    </row>
    <row r="46">
      <c r="B46" s="17">
        <f>IF($C46="","","R"&amp;TEXT(ROW()-5,"000"))</f>
        <v/>
      </c>
      <c r="C46" s="16" t="n"/>
      <c r="D46" s="17">
        <f>IF($C46="","",IFERROR(INDEX(rngCadetPIDs,MATCH($C46,rngCadetNames,0)),"?"))</f>
        <v/>
      </c>
      <c r="E46" s="16" t="n"/>
      <c r="F46" s="16" t="n"/>
      <c r="G46" s="18" t="n"/>
      <c r="H46" s="16" t="n"/>
      <c r="I46" s="18" t="n"/>
      <c r="J46" s="16" t="n"/>
      <c r="K46" s="16" t="n"/>
      <c r="L46" s="18" t="n"/>
      <c r="M46" s="16" t="n"/>
      <c r="N46" s="16" t="n"/>
      <c r="O46" s="16" t="n"/>
      <c r="P46" s="16" t="n"/>
    </row>
    <row r="47">
      <c r="B47" s="17">
        <f>IF($C47="","","R"&amp;TEXT(ROW()-5,"000"))</f>
        <v/>
      </c>
      <c r="C47" s="16" t="n"/>
      <c r="D47" s="17">
        <f>IF($C47="","",IFERROR(INDEX(rngCadetPIDs,MATCH($C47,rngCadetNames,0)),"?"))</f>
        <v/>
      </c>
      <c r="E47" s="16" t="n"/>
      <c r="F47" s="16" t="n"/>
      <c r="G47" s="18" t="n"/>
      <c r="H47" s="16" t="n"/>
      <c r="I47" s="18" t="n"/>
      <c r="J47" s="16" t="n"/>
      <c r="K47" s="16" t="n"/>
      <c r="L47" s="18" t="n"/>
      <c r="M47" s="16" t="n"/>
      <c r="N47" s="16" t="n"/>
      <c r="O47" s="16" t="n"/>
      <c r="P47" s="16" t="n"/>
    </row>
    <row r="48">
      <c r="B48" s="17">
        <f>IF($C48="","","R"&amp;TEXT(ROW()-5,"000"))</f>
        <v/>
      </c>
      <c r="C48" s="16" t="n"/>
      <c r="D48" s="17">
        <f>IF($C48="","",IFERROR(INDEX(rngCadetPIDs,MATCH($C48,rngCadetNames,0)),"?"))</f>
        <v/>
      </c>
      <c r="E48" s="16" t="n"/>
      <c r="F48" s="16" t="n"/>
      <c r="G48" s="18" t="n"/>
      <c r="H48" s="16" t="n"/>
      <c r="I48" s="18" t="n"/>
      <c r="J48" s="16" t="n"/>
      <c r="K48" s="16" t="n"/>
      <c r="L48" s="18" t="n"/>
      <c r="M48" s="16" t="n"/>
      <c r="N48" s="16" t="n"/>
      <c r="O48" s="16" t="n"/>
      <c r="P48" s="16" t="n"/>
    </row>
    <row r="49">
      <c r="B49" s="17">
        <f>IF($C49="","","R"&amp;TEXT(ROW()-5,"000"))</f>
        <v/>
      </c>
      <c r="C49" s="16" t="n"/>
      <c r="D49" s="17">
        <f>IF($C49="","",IFERROR(INDEX(rngCadetPIDs,MATCH($C49,rngCadetNames,0)),"?"))</f>
        <v/>
      </c>
      <c r="E49" s="16" t="n"/>
      <c r="F49" s="16" t="n"/>
      <c r="G49" s="18" t="n"/>
      <c r="H49" s="16" t="n"/>
      <c r="I49" s="18" t="n"/>
      <c r="J49" s="16" t="n"/>
      <c r="K49" s="16" t="n"/>
      <c r="L49" s="18" t="n"/>
      <c r="M49" s="16" t="n"/>
      <c r="N49" s="16" t="n"/>
      <c r="O49" s="16" t="n"/>
      <c r="P49" s="16" t="n"/>
    </row>
    <row r="50">
      <c r="B50" s="17">
        <f>IF($C50="","","R"&amp;TEXT(ROW()-5,"000"))</f>
        <v/>
      </c>
      <c r="C50" s="16" t="n"/>
      <c r="D50" s="17">
        <f>IF($C50="","",IFERROR(INDEX(rngCadetPIDs,MATCH($C50,rngCadetNames,0)),"?"))</f>
        <v/>
      </c>
      <c r="E50" s="16" t="n"/>
      <c r="F50" s="16" t="n"/>
      <c r="G50" s="18" t="n"/>
      <c r="H50" s="16" t="n"/>
      <c r="I50" s="18" t="n"/>
      <c r="J50" s="16" t="n"/>
      <c r="K50" s="16" t="n"/>
      <c r="L50" s="18" t="n"/>
      <c r="M50" s="16" t="n"/>
      <c r="N50" s="16" t="n"/>
      <c r="O50" s="16" t="n"/>
      <c r="P50" s="16" t="n"/>
    </row>
    <row r="51">
      <c r="B51" s="17">
        <f>IF($C51="","","R"&amp;TEXT(ROW()-5,"000"))</f>
        <v/>
      </c>
      <c r="C51" s="16" t="n"/>
      <c r="D51" s="17">
        <f>IF($C51="","",IFERROR(INDEX(rngCadetPIDs,MATCH($C51,rngCadetNames,0)),"?"))</f>
        <v/>
      </c>
      <c r="E51" s="16" t="n"/>
      <c r="F51" s="16" t="n"/>
      <c r="G51" s="18" t="n"/>
      <c r="H51" s="16" t="n"/>
      <c r="I51" s="18" t="n"/>
      <c r="J51" s="16" t="n"/>
      <c r="K51" s="16" t="n"/>
      <c r="L51" s="18" t="n"/>
      <c r="M51" s="16" t="n"/>
      <c r="N51" s="16" t="n"/>
      <c r="O51" s="16" t="n"/>
      <c r="P51" s="16" t="n"/>
    </row>
    <row r="52">
      <c r="B52" s="17">
        <f>IF($C52="","","R"&amp;TEXT(ROW()-5,"000"))</f>
        <v/>
      </c>
      <c r="C52" s="16" t="n"/>
      <c r="D52" s="17">
        <f>IF($C52="","",IFERROR(INDEX(rngCadetPIDs,MATCH($C52,rngCadetNames,0)),"?"))</f>
        <v/>
      </c>
      <c r="E52" s="16" t="n"/>
      <c r="F52" s="16" t="n"/>
      <c r="G52" s="18" t="n"/>
      <c r="H52" s="16" t="n"/>
      <c r="I52" s="18" t="n"/>
      <c r="J52" s="16" t="n"/>
      <c r="K52" s="16" t="n"/>
      <c r="L52" s="18" t="n"/>
      <c r="M52" s="16" t="n"/>
      <c r="N52" s="16" t="n"/>
      <c r="O52" s="16" t="n"/>
      <c r="P52" s="16" t="n"/>
    </row>
    <row r="53">
      <c r="B53" s="17">
        <f>IF($C53="","","R"&amp;TEXT(ROW()-5,"000"))</f>
        <v/>
      </c>
      <c r="C53" s="16" t="n"/>
      <c r="D53" s="17">
        <f>IF($C53="","",IFERROR(INDEX(rngCadetPIDs,MATCH($C53,rngCadetNames,0)),"?"))</f>
        <v/>
      </c>
      <c r="E53" s="16" t="n"/>
      <c r="F53" s="16" t="n"/>
      <c r="G53" s="18" t="n"/>
      <c r="H53" s="16" t="n"/>
      <c r="I53" s="18" t="n"/>
      <c r="J53" s="16" t="n"/>
      <c r="K53" s="16" t="n"/>
      <c r="L53" s="18" t="n"/>
      <c r="M53" s="16" t="n"/>
      <c r="N53" s="16" t="n"/>
      <c r="O53" s="16" t="n"/>
      <c r="P53" s="16" t="n"/>
    </row>
    <row r="54">
      <c r="B54" s="17">
        <f>IF($C54="","","R"&amp;TEXT(ROW()-5,"000"))</f>
        <v/>
      </c>
      <c r="C54" s="16" t="n"/>
      <c r="D54" s="17">
        <f>IF($C54="","",IFERROR(INDEX(rngCadetPIDs,MATCH($C54,rngCadetNames,0)),"?"))</f>
        <v/>
      </c>
      <c r="E54" s="16" t="n"/>
      <c r="F54" s="16" t="n"/>
      <c r="G54" s="18" t="n"/>
      <c r="H54" s="16" t="n"/>
      <c r="I54" s="18" t="n"/>
      <c r="J54" s="16" t="n"/>
      <c r="K54" s="16" t="n"/>
      <c r="L54" s="18" t="n"/>
      <c r="M54" s="16" t="n"/>
      <c r="N54" s="16" t="n"/>
      <c r="O54" s="16" t="n"/>
      <c r="P54" s="16" t="n"/>
    </row>
    <row r="55">
      <c r="B55" s="17">
        <f>IF($C55="","","R"&amp;TEXT(ROW()-5,"000"))</f>
        <v/>
      </c>
      <c r="C55" s="16" t="n"/>
      <c r="D55" s="17">
        <f>IF($C55="","",IFERROR(INDEX(rngCadetPIDs,MATCH($C55,rngCadetNames,0)),"?"))</f>
        <v/>
      </c>
      <c r="E55" s="16" t="n"/>
      <c r="F55" s="16" t="n"/>
      <c r="G55" s="18" t="n"/>
      <c r="H55" s="16" t="n"/>
      <c r="I55" s="18" t="n"/>
      <c r="J55" s="16" t="n"/>
      <c r="K55" s="16" t="n"/>
      <c r="L55" s="18" t="n"/>
      <c r="M55" s="16" t="n"/>
      <c r="N55" s="16" t="n"/>
      <c r="O55" s="16" t="n"/>
      <c r="P55" s="16" t="n"/>
    </row>
    <row r="56">
      <c r="B56" s="17">
        <f>IF($C56="","","R"&amp;TEXT(ROW()-5,"000"))</f>
        <v/>
      </c>
      <c r="C56" s="16" t="n"/>
      <c r="D56" s="17">
        <f>IF($C56="","",IFERROR(INDEX(rngCadetPIDs,MATCH($C56,rngCadetNames,0)),"?"))</f>
        <v/>
      </c>
      <c r="E56" s="16" t="n"/>
      <c r="F56" s="16" t="n"/>
      <c r="G56" s="18" t="n"/>
      <c r="H56" s="16" t="n"/>
      <c r="I56" s="18" t="n"/>
      <c r="J56" s="16" t="n"/>
      <c r="K56" s="16" t="n"/>
      <c r="L56" s="18" t="n"/>
      <c r="M56" s="16" t="n"/>
      <c r="N56" s="16" t="n"/>
      <c r="O56" s="16" t="n"/>
      <c r="P56" s="16" t="n"/>
    </row>
    <row r="57">
      <c r="B57" s="17">
        <f>IF($C57="","","R"&amp;TEXT(ROW()-5,"000"))</f>
        <v/>
      </c>
      <c r="C57" s="16" t="n"/>
      <c r="D57" s="17">
        <f>IF($C57="","",IFERROR(INDEX(rngCadetPIDs,MATCH($C57,rngCadetNames,0)),"?"))</f>
        <v/>
      </c>
      <c r="E57" s="16" t="n"/>
      <c r="F57" s="16" t="n"/>
      <c r="G57" s="18" t="n"/>
      <c r="H57" s="16" t="n"/>
      <c r="I57" s="18" t="n"/>
      <c r="J57" s="16" t="n"/>
      <c r="K57" s="16" t="n"/>
      <c r="L57" s="18" t="n"/>
      <c r="M57" s="16" t="n"/>
      <c r="N57" s="16" t="n"/>
      <c r="O57" s="16" t="n"/>
      <c r="P57" s="16" t="n"/>
    </row>
    <row r="58">
      <c r="B58" s="17">
        <f>IF($C58="","","R"&amp;TEXT(ROW()-5,"000"))</f>
        <v/>
      </c>
      <c r="C58" s="16" t="n"/>
      <c r="D58" s="17">
        <f>IF($C58="","",IFERROR(INDEX(rngCadetPIDs,MATCH($C58,rngCadetNames,0)),"?"))</f>
        <v/>
      </c>
      <c r="E58" s="16" t="n"/>
      <c r="F58" s="16" t="n"/>
      <c r="G58" s="18" t="n"/>
      <c r="H58" s="16" t="n"/>
      <c r="I58" s="18" t="n"/>
      <c r="J58" s="16" t="n"/>
      <c r="K58" s="16" t="n"/>
      <c r="L58" s="18" t="n"/>
      <c r="M58" s="16" t="n"/>
      <c r="N58" s="16" t="n"/>
      <c r="O58" s="16" t="n"/>
      <c r="P58" s="16" t="n"/>
    </row>
    <row r="59">
      <c r="B59" s="17">
        <f>IF($C59="","","R"&amp;TEXT(ROW()-5,"000"))</f>
        <v/>
      </c>
      <c r="C59" s="16" t="n"/>
      <c r="D59" s="17">
        <f>IF($C59="","",IFERROR(INDEX(rngCadetPIDs,MATCH($C59,rngCadetNames,0)),"?"))</f>
        <v/>
      </c>
      <c r="E59" s="16" t="n"/>
      <c r="F59" s="16" t="n"/>
      <c r="G59" s="18" t="n"/>
      <c r="H59" s="16" t="n"/>
      <c r="I59" s="18" t="n"/>
      <c r="J59" s="16" t="n"/>
      <c r="K59" s="16" t="n"/>
      <c r="L59" s="18" t="n"/>
      <c r="M59" s="16" t="n"/>
      <c r="N59" s="16" t="n"/>
      <c r="O59" s="16" t="n"/>
      <c r="P59" s="16" t="n"/>
    </row>
    <row r="60">
      <c r="B60" s="17">
        <f>IF($C60="","","R"&amp;TEXT(ROW()-5,"000"))</f>
        <v/>
      </c>
      <c r="C60" s="16" t="n"/>
      <c r="D60" s="17">
        <f>IF($C60="","",IFERROR(INDEX(rngCadetPIDs,MATCH($C60,rngCadetNames,0)),"?"))</f>
        <v/>
      </c>
      <c r="E60" s="16" t="n"/>
      <c r="F60" s="16" t="n"/>
      <c r="G60" s="18" t="n"/>
      <c r="H60" s="16" t="n"/>
      <c r="I60" s="18" t="n"/>
      <c r="J60" s="16" t="n"/>
      <c r="K60" s="16" t="n"/>
      <c r="L60" s="18" t="n"/>
      <c r="M60" s="16" t="n"/>
      <c r="N60" s="16" t="n"/>
      <c r="O60" s="16" t="n"/>
      <c r="P60" s="16" t="n"/>
    </row>
    <row r="61">
      <c r="B61" s="17">
        <f>IF($C61="","","R"&amp;TEXT(ROW()-5,"000"))</f>
        <v/>
      </c>
      <c r="C61" s="16" t="n"/>
      <c r="D61" s="17">
        <f>IF($C61="","",IFERROR(INDEX(rngCadetPIDs,MATCH($C61,rngCadetNames,0)),"?"))</f>
        <v/>
      </c>
      <c r="E61" s="16" t="n"/>
      <c r="F61" s="16" t="n"/>
      <c r="G61" s="18" t="n"/>
      <c r="H61" s="16" t="n"/>
      <c r="I61" s="18" t="n"/>
      <c r="J61" s="16" t="n"/>
      <c r="K61" s="16" t="n"/>
      <c r="L61" s="18" t="n"/>
      <c r="M61" s="16" t="n"/>
      <c r="N61" s="16" t="n"/>
      <c r="O61" s="16" t="n"/>
      <c r="P61" s="16" t="n"/>
    </row>
    <row r="62">
      <c r="B62" s="17">
        <f>IF($C62="","","R"&amp;TEXT(ROW()-5,"000"))</f>
        <v/>
      </c>
      <c r="C62" s="16" t="n"/>
      <c r="D62" s="17">
        <f>IF($C62="","",IFERROR(INDEX(rngCadetPIDs,MATCH($C62,rngCadetNames,0)),"?"))</f>
        <v/>
      </c>
      <c r="E62" s="16" t="n"/>
      <c r="F62" s="16" t="n"/>
      <c r="G62" s="18" t="n"/>
      <c r="H62" s="16" t="n"/>
      <c r="I62" s="18" t="n"/>
      <c r="J62" s="16" t="n"/>
      <c r="K62" s="16" t="n"/>
      <c r="L62" s="18" t="n"/>
      <c r="M62" s="16" t="n"/>
      <c r="N62" s="16" t="n"/>
      <c r="O62" s="16" t="n"/>
      <c r="P62" s="16" t="n"/>
    </row>
    <row r="63">
      <c r="B63" s="17">
        <f>IF($C63="","","R"&amp;TEXT(ROW()-5,"000"))</f>
        <v/>
      </c>
      <c r="C63" s="16" t="n"/>
      <c r="D63" s="17">
        <f>IF($C63="","",IFERROR(INDEX(rngCadetPIDs,MATCH($C63,rngCadetNames,0)),"?"))</f>
        <v/>
      </c>
      <c r="E63" s="16" t="n"/>
      <c r="F63" s="16" t="n"/>
      <c r="G63" s="18" t="n"/>
      <c r="H63" s="16" t="n"/>
      <c r="I63" s="18" t="n"/>
      <c r="J63" s="16" t="n"/>
      <c r="K63" s="16" t="n"/>
      <c r="L63" s="18" t="n"/>
      <c r="M63" s="16" t="n"/>
      <c r="N63" s="16" t="n"/>
      <c r="O63" s="16" t="n"/>
      <c r="P63" s="16" t="n"/>
    </row>
    <row r="64">
      <c r="B64" s="17">
        <f>IF($C64="","","R"&amp;TEXT(ROW()-5,"000"))</f>
        <v/>
      </c>
      <c r="C64" s="16" t="n"/>
      <c r="D64" s="17">
        <f>IF($C64="","",IFERROR(INDEX(rngCadetPIDs,MATCH($C64,rngCadetNames,0)),"?"))</f>
        <v/>
      </c>
      <c r="E64" s="16" t="n"/>
      <c r="F64" s="16" t="n"/>
      <c r="G64" s="18" t="n"/>
      <c r="H64" s="16" t="n"/>
      <c r="I64" s="18" t="n"/>
      <c r="J64" s="16" t="n"/>
      <c r="K64" s="16" t="n"/>
      <c r="L64" s="18" t="n"/>
      <c r="M64" s="16" t="n"/>
      <c r="N64" s="16" t="n"/>
      <c r="O64" s="16" t="n"/>
      <c r="P64" s="16" t="n"/>
    </row>
    <row r="65">
      <c r="B65" s="17">
        <f>IF($C65="","","R"&amp;TEXT(ROW()-5,"000"))</f>
        <v/>
      </c>
      <c r="C65" s="16" t="n"/>
      <c r="D65" s="17">
        <f>IF($C65="","",IFERROR(INDEX(rngCadetPIDs,MATCH($C65,rngCadetNames,0)),"?"))</f>
        <v/>
      </c>
      <c r="E65" s="16" t="n"/>
      <c r="F65" s="16" t="n"/>
      <c r="G65" s="18" t="n"/>
      <c r="H65" s="16" t="n"/>
      <c r="I65" s="18" t="n"/>
      <c r="J65" s="16" t="n"/>
      <c r="K65" s="16" t="n"/>
      <c r="L65" s="18" t="n"/>
      <c r="M65" s="16" t="n"/>
      <c r="N65" s="16" t="n"/>
      <c r="O65" s="16" t="n"/>
      <c r="P65" s="16" t="n"/>
    </row>
    <row r="66">
      <c r="B66" s="17">
        <f>IF($C66="","","R"&amp;TEXT(ROW()-5,"000"))</f>
        <v/>
      </c>
      <c r="C66" s="16" t="n"/>
      <c r="D66" s="17">
        <f>IF($C66="","",IFERROR(INDEX(rngCadetPIDs,MATCH($C66,rngCadetNames,0)),"?"))</f>
        <v/>
      </c>
      <c r="E66" s="16" t="n"/>
      <c r="F66" s="16" t="n"/>
      <c r="G66" s="18" t="n"/>
      <c r="H66" s="16" t="n"/>
      <c r="I66" s="18" t="n"/>
      <c r="J66" s="16" t="n"/>
      <c r="K66" s="16" t="n"/>
      <c r="L66" s="18" t="n"/>
      <c r="M66" s="16" t="n"/>
      <c r="N66" s="16" t="n"/>
      <c r="O66" s="16" t="n"/>
      <c r="P66" s="16" t="n"/>
    </row>
    <row r="67">
      <c r="B67" s="17">
        <f>IF($C67="","","R"&amp;TEXT(ROW()-5,"000"))</f>
        <v/>
      </c>
      <c r="C67" s="16" t="n"/>
      <c r="D67" s="17">
        <f>IF($C67="","",IFERROR(INDEX(rngCadetPIDs,MATCH($C67,rngCadetNames,0)),"?"))</f>
        <v/>
      </c>
      <c r="E67" s="16" t="n"/>
      <c r="F67" s="16" t="n"/>
      <c r="G67" s="18" t="n"/>
      <c r="H67" s="16" t="n"/>
      <c r="I67" s="18" t="n"/>
      <c r="J67" s="16" t="n"/>
      <c r="K67" s="16" t="n"/>
      <c r="L67" s="18" t="n"/>
      <c r="M67" s="16" t="n"/>
      <c r="N67" s="16" t="n"/>
      <c r="O67" s="16" t="n"/>
      <c r="P67" s="16" t="n"/>
    </row>
    <row r="68">
      <c r="B68" s="17">
        <f>IF($C68="","","R"&amp;TEXT(ROW()-5,"000"))</f>
        <v/>
      </c>
      <c r="C68" s="16" t="n"/>
      <c r="D68" s="17">
        <f>IF($C68="","",IFERROR(INDEX(rngCadetPIDs,MATCH($C68,rngCadetNames,0)),"?"))</f>
        <v/>
      </c>
      <c r="E68" s="16" t="n"/>
      <c r="F68" s="16" t="n"/>
      <c r="G68" s="18" t="n"/>
      <c r="H68" s="16" t="n"/>
      <c r="I68" s="18" t="n"/>
      <c r="J68" s="16" t="n"/>
      <c r="K68" s="16" t="n"/>
      <c r="L68" s="18" t="n"/>
      <c r="M68" s="16" t="n"/>
      <c r="N68" s="16" t="n"/>
      <c r="O68" s="16" t="n"/>
      <c r="P68" s="16" t="n"/>
    </row>
    <row r="69">
      <c r="B69" s="17">
        <f>IF($C69="","","R"&amp;TEXT(ROW()-5,"000"))</f>
        <v/>
      </c>
      <c r="C69" s="16" t="n"/>
      <c r="D69" s="17">
        <f>IF($C69="","",IFERROR(INDEX(rngCadetPIDs,MATCH($C69,rngCadetNames,0)),"?"))</f>
        <v/>
      </c>
      <c r="E69" s="16" t="n"/>
      <c r="F69" s="16" t="n"/>
      <c r="G69" s="18" t="n"/>
      <c r="H69" s="16" t="n"/>
      <c r="I69" s="18" t="n"/>
      <c r="J69" s="16" t="n"/>
      <c r="K69" s="16" t="n"/>
      <c r="L69" s="18" t="n"/>
      <c r="M69" s="16" t="n"/>
      <c r="N69" s="16" t="n"/>
      <c r="O69" s="16" t="n"/>
      <c r="P69" s="16" t="n"/>
    </row>
    <row r="70">
      <c r="B70" s="17">
        <f>IF($C70="","","R"&amp;TEXT(ROW()-5,"000"))</f>
        <v/>
      </c>
      <c r="C70" s="16" t="n"/>
      <c r="D70" s="17">
        <f>IF($C70="","",IFERROR(INDEX(rngCadetPIDs,MATCH($C70,rngCadetNames,0)),"?"))</f>
        <v/>
      </c>
      <c r="E70" s="16" t="n"/>
      <c r="F70" s="16" t="n"/>
      <c r="G70" s="18" t="n"/>
      <c r="H70" s="16" t="n"/>
      <c r="I70" s="18" t="n"/>
      <c r="J70" s="16" t="n"/>
      <c r="K70" s="16" t="n"/>
      <c r="L70" s="18" t="n"/>
      <c r="M70" s="16" t="n"/>
      <c r="N70" s="16" t="n"/>
      <c r="O70" s="16" t="n"/>
      <c r="P70" s="16" t="n"/>
    </row>
    <row r="71">
      <c r="B71" s="17">
        <f>IF($C71="","","R"&amp;TEXT(ROW()-5,"000"))</f>
        <v/>
      </c>
      <c r="C71" s="16" t="n"/>
      <c r="D71" s="17">
        <f>IF($C71="","",IFERROR(INDEX(rngCadetPIDs,MATCH($C71,rngCadetNames,0)),"?"))</f>
        <v/>
      </c>
      <c r="E71" s="16" t="n"/>
      <c r="F71" s="16" t="n"/>
      <c r="G71" s="18" t="n"/>
      <c r="H71" s="16" t="n"/>
      <c r="I71" s="18" t="n"/>
      <c r="J71" s="16" t="n"/>
      <c r="K71" s="16" t="n"/>
      <c r="L71" s="18" t="n"/>
      <c r="M71" s="16" t="n"/>
      <c r="N71" s="16" t="n"/>
      <c r="O71" s="16" t="n"/>
      <c r="P71" s="16" t="n"/>
    </row>
    <row r="72">
      <c r="B72" s="17">
        <f>IF($C72="","","R"&amp;TEXT(ROW()-5,"000"))</f>
        <v/>
      </c>
      <c r="C72" s="16" t="n"/>
      <c r="D72" s="17">
        <f>IF($C72="","",IFERROR(INDEX(rngCadetPIDs,MATCH($C72,rngCadetNames,0)),"?"))</f>
        <v/>
      </c>
      <c r="E72" s="16" t="n"/>
      <c r="F72" s="16" t="n"/>
      <c r="G72" s="18" t="n"/>
      <c r="H72" s="16" t="n"/>
      <c r="I72" s="18" t="n"/>
      <c r="J72" s="16" t="n"/>
      <c r="K72" s="16" t="n"/>
      <c r="L72" s="18" t="n"/>
      <c r="M72" s="16" t="n"/>
      <c r="N72" s="16" t="n"/>
      <c r="O72" s="16" t="n"/>
      <c r="P72" s="16" t="n"/>
    </row>
    <row r="73">
      <c r="B73" s="17">
        <f>IF($C73="","","R"&amp;TEXT(ROW()-5,"000"))</f>
        <v/>
      </c>
      <c r="C73" s="16" t="n"/>
      <c r="D73" s="17">
        <f>IF($C73="","",IFERROR(INDEX(rngCadetPIDs,MATCH($C73,rngCadetNames,0)),"?"))</f>
        <v/>
      </c>
      <c r="E73" s="16" t="n"/>
      <c r="F73" s="16" t="n"/>
      <c r="G73" s="18" t="n"/>
      <c r="H73" s="16" t="n"/>
      <c r="I73" s="18" t="n"/>
      <c r="J73" s="16" t="n"/>
      <c r="K73" s="16" t="n"/>
      <c r="L73" s="18" t="n"/>
      <c r="M73" s="16" t="n"/>
      <c r="N73" s="16" t="n"/>
      <c r="O73" s="16" t="n"/>
      <c r="P73" s="16" t="n"/>
    </row>
    <row r="74">
      <c r="B74" s="17">
        <f>IF($C74="","","R"&amp;TEXT(ROW()-5,"000"))</f>
        <v/>
      </c>
      <c r="C74" s="16" t="n"/>
      <c r="D74" s="17">
        <f>IF($C74="","",IFERROR(INDEX(rngCadetPIDs,MATCH($C74,rngCadetNames,0)),"?"))</f>
        <v/>
      </c>
      <c r="E74" s="16" t="n"/>
      <c r="F74" s="16" t="n"/>
      <c r="G74" s="18" t="n"/>
      <c r="H74" s="16" t="n"/>
      <c r="I74" s="18" t="n"/>
      <c r="J74" s="16" t="n"/>
      <c r="K74" s="16" t="n"/>
      <c r="L74" s="18" t="n"/>
      <c r="M74" s="16" t="n"/>
      <c r="N74" s="16" t="n"/>
      <c r="O74" s="16" t="n"/>
      <c r="P74" s="16" t="n"/>
    </row>
    <row r="75">
      <c r="B75" s="17">
        <f>IF($C75="","","R"&amp;TEXT(ROW()-5,"000"))</f>
        <v/>
      </c>
      <c r="C75" s="16" t="n"/>
      <c r="D75" s="17">
        <f>IF($C75="","",IFERROR(INDEX(rngCadetPIDs,MATCH($C75,rngCadetNames,0)),"?"))</f>
        <v/>
      </c>
      <c r="E75" s="16" t="n"/>
      <c r="F75" s="16" t="n"/>
      <c r="G75" s="18" t="n"/>
      <c r="H75" s="16" t="n"/>
      <c r="I75" s="18" t="n"/>
      <c r="J75" s="16" t="n"/>
      <c r="K75" s="16" t="n"/>
      <c r="L75" s="18" t="n"/>
      <c r="M75" s="16" t="n"/>
      <c r="N75" s="16" t="n"/>
      <c r="O75" s="16" t="n"/>
      <c r="P75" s="16" t="n"/>
    </row>
    <row r="76">
      <c r="B76" s="17">
        <f>IF($C76="","","R"&amp;TEXT(ROW()-5,"000"))</f>
        <v/>
      </c>
      <c r="C76" s="16" t="n"/>
      <c r="D76" s="17">
        <f>IF($C76="","",IFERROR(INDEX(rngCadetPIDs,MATCH($C76,rngCadetNames,0)),"?"))</f>
        <v/>
      </c>
      <c r="E76" s="16" t="n"/>
      <c r="F76" s="16" t="n"/>
      <c r="G76" s="18" t="n"/>
      <c r="H76" s="16" t="n"/>
      <c r="I76" s="18" t="n"/>
      <c r="J76" s="16" t="n"/>
      <c r="K76" s="16" t="n"/>
      <c r="L76" s="18" t="n"/>
      <c r="M76" s="16" t="n"/>
      <c r="N76" s="16" t="n"/>
      <c r="O76" s="16" t="n"/>
      <c r="P76" s="16" t="n"/>
    </row>
    <row r="77">
      <c r="B77" s="17">
        <f>IF($C77="","","R"&amp;TEXT(ROW()-5,"000"))</f>
        <v/>
      </c>
      <c r="C77" s="16" t="n"/>
      <c r="D77" s="17">
        <f>IF($C77="","",IFERROR(INDEX(rngCadetPIDs,MATCH($C77,rngCadetNames,0)),"?"))</f>
        <v/>
      </c>
      <c r="E77" s="16" t="n"/>
      <c r="F77" s="16" t="n"/>
      <c r="G77" s="18" t="n"/>
      <c r="H77" s="16" t="n"/>
      <c r="I77" s="18" t="n"/>
      <c r="J77" s="16" t="n"/>
      <c r="K77" s="16" t="n"/>
      <c r="L77" s="18" t="n"/>
      <c r="M77" s="16" t="n"/>
      <c r="N77" s="16" t="n"/>
      <c r="O77" s="16" t="n"/>
      <c r="P77" s="16" t="n"/>
    </row>
    <row r="78">
      <c r="B78" s="17">
        <f>IF($C78="","","R"&amp;TEXT(ROW()-5,"000"))</f>
        <v/>
      </c>
      <c r="C78" s="16" t="n"/>
      <c r="D78" s="17">
        <f>IF($C78="","",IFERROR(INDEX(rngCadetPIDs,MATCH($C78,rngCadetNames,0)),"?"))</f>
        <v/>
      </c>
      <c r="E78" s="16" t="n"/>
      <c r="F78" s="16" t="n"/>
      <c r="G78" s="18" t="n"/>
      <c r="H78" s="16" t="n"/>
      <c r="I78" s="18" t="n"/>
      <c r="J78" s="16" t="n"/>
      <c r="K78" s="16" t="n"/>
      <c r="L78" s="18" t="n"/>
      <c r="M78" s="16" t="n"/>
      <c r="N78" s="16" t="n"/>
      <c r="O78" s="16" t="n"/>
      <c r="P78" s="16" t="n"/>
    </row>
    <row r="79">
      <c r="B79" s="17">
        <f>IF($C79="","","R"&amp;TEXT(ROW()-5,"000"))</f>
        <v/>
      </c>
      <c r="C79" s="16" t="n"/>
      <c r="D79" s="17">
        <f>IF($C79="","",IFERROR(INDEX(rngCadetPIDs,MATCH($C79,rngCadetNames,0)),"?"))</f>
        <v/>
      </c>
      <c r="E79" s="16" t="n"/>
      <c r="F79" s="16" t="n"/>
      <c r="G79" s="18" t="n"/>
      <c r="H79" s="16" t="n"/>
      <c r="I79" s="18" t="n"/>
      <c r="J79" s="16" t="n"/>
      <c r="K79" s="16" t="n"/>
      <c r="L79" s="18" t="n"/>
      <c r="M79" s="16" t="n"/>
      <c r="N79" s="16" t="n"/>
      <c r="O79" s="16" t="n"/>
      <c r="P79" s="16" t="n"/>
    </row>
    <row r="80">
      <c r="B80" s="17">
        <f>IF($C80="","","R"&amp;TEXT(ROW()-5,"000"))</f>
        <v/>
      </c>
      <c r="C80" s="16" t="n"/>
      <c r="D80" s="17">
        <f>IF($C80="","",IFERROR(INDEX(rngCadetPIDs,MATCH($C80,rngCadetNames,0)),"?"))</f>
        <v/>
      </c>
      <c r="E80" s="16" t="n"/>
      <c r="F80" s="16" t="n"/>
      <c r="G80" s="18" t="n"/>
      <c r="H80" s="16" t="n"/>
      <c r="I80" s="18" t="n"/>
      <c r="J80" s="16" t="n"/>
      <c r="K80" s="16" t="n"/>
      <c r="L80" s="18" t="n"/>
      <c r="M80" s="16" t="n"/>
      <c r="N80" s="16" t="n"/>
      <c r="O80" s="16" t="n"/>
      <c r="P80" s="16" t="n"/>
    </row>
    <row r="81">
      <c r="B81" s="17">
        <f>IF($C81="","","R"&amp;TEXT(ROW()-5,"000"))</f>
        <v/>
      </c>
      <c r="C81" s="16" t="n"/>
      <c r="D81" s="17">
        <f>IF($C81="","",IFERROR(INDEX(rngCadetPIDs,MATCH($C81,rngCadetNames,0)),"?"))</f>
        <v/>
      </c>
      <c r="E81" s="16" t="n"/>
      <c r="F81" s="16" t="n"/>
      <c r="G81" s="18" t="n"/>
      <c r="H81" s="16" t="n"/>
      <c r="I81" s="18" t="n"/>
      <c r="J81" s="16" t="n"/>
      <c r="K81" s="16" t="n"/>
      <c r="L81" s="18" t="n"/>
      <c r="M81" s="16" t="n"/>
      <c r="N81" s="16" t="n"/>
      <c r="O81" s="16" t="n"/>
      <c r="P81" s="16" t="n"/>
    </row>
    <row r="82">
      <c r="B82" s="17">
        <f>IF($C82="","","R"&amp;TEXT(ROW()-5,"000"))</f>
        <v/>
      </c>
      <c r="C82" s="16" t="n"/>
      <c r="D82" s="17">
        <f>IF($C82="","",IFERROR(INDEX(rngCadetPIDs,MATCH($C82,rngCadetNames,0)),"?"))</f>
        <v/>
      </c>
      <c r="E82" s="16" t="n"/>
      <c r="F82" s="16" t="n"/>
      <c r="G82" s="18" t="n"/>
      <c r="H82" s="16" t="n"/>
      <c r="I82" s="18" t="n"/>
      <c r="J82" s="16" t="n"/>
      <c r="K82" s="16" t="n"/>
      <c r="L82" s="18" t="n"/>
      <c r="M82" s="16" t="n"/>
      <c r="N82" s="16" t="n"/>
      <c r="O82" s="16" t="n"/>
      <c r="P82" s="16" t="n"/>
    </row>
    <row r="83">
      <c r="B83" s="17">
        <f>IF($C83="","","R"&amp;TEXT(ROW()-5,"000"))</f>
        <v/>
      </c>
      <c r="C83" s="16" t="n"/>
      <c r="D83" s="17">
        <f>IF($C83="","",IFERROR(INDEX(rngCadetPIDs,MATCH($C83,rngCadetNames,0)),"?"))</f>
        <v/>
      </c>
      <c r="E83" s="16" t="n"/>
      <c r="F83" s="16" t="n"/>
      <c r="G83" s="18" t="n"/>
      <c r="H83" s="16" t="n"/>
      <c r="I83" s="18" t="n"/>
      <c r="J83" s="16" t="n"/>
      <c r="K83" s="16" t="n"/>
      <c r="L83" s="18" t="n"/>
      <c r="M83" s="16" t="n"/>
      <c r="N83" s="16" t="n"/>
      <c r="O83" s="16" t="n"/>
      <c r="P83" s="16" t="n"/>
    </row>
    <row r="84">
      <c r="B84" s="17">
        <f>IF($C84="","","R"&amp;TEXT(ROW()-5,"000"))</f>
        <v/>
      </c>
      <c r="C84" s="16" t="n"/>
      <c r="D84" s="17">
        <f>IF($C84="","",IFERROR(INDEX(rngCadetPIDs,MATCH($C84,rngCadetNames,0)),"?"))</f>
        <v/>
      </c>
      <c r="E84" s="16" t="n"/>
      <c r="F84" s="16" t="n"/>
      <c r="G84" s="18" t="n"/>
      <c r="H84" s="16" t="n"/>
      <c r="I84" s="18" t="n"/>
      <c r="J84" s="16" t="n"/>
      <c r="K84" s="16" t="n"/>
      <c r="L84" s="18" t="n"/>
      <c r="M84" s="16" t="n"/>
      <c r="N84" s="16" t="n"/>
      <c r="O84" s="16" t="n"/>
      <c r="P84" s="16" t="n"/>
    </row>
    <row r="85">
      <c r="B85" s="17">
        <f>IF($C85="","","R"&amp;TEXT(ROW()-5,"000"))</f>
        <v/>
      </c>
      <c r="C85" s="16" t="n"/>
      <c r="D85" s="17">
        <f>IF($C85="","",IFERROR(INDEX(rngCadetPIDs,MATCH($C85,rngCadetNames,0)),"?"))</f>
        <v/>
      </c>
      <c r="E85" s="16" t="n"/>
      <c r="F85" s="16" t="n"/>
      <c r="G85" s="18" t="n"/>
      <c r="H85" s="16" t="n"/>
      <c r="I85" s="18" t="n"/>
      <c r="J85" s="16" t="n"/>
      <c r="K85" s="16" t="n"/>
      <c r="L85" s="18" t="n"/>
      <c r="M85" s="16" t="n"/>
      <c r="N85" s="16" t="n"/>
      <c r="O85" s="16" t="n"/>
      <c r="P85" s="16" t="n"/>
    </row>
    <row r="86">
      <c r="B86" s="17">
        <f>IF($C86="","","R"&amp;TEXT(ROW()-5,"000"))</f>
        <v/>
      </c>
      <c r="C86" s="16" t="n"/>
      <c r="D86" s="17">
        <f>IF($C86="","",IFERROR(INDEX(rngCadetPIDs,MATCH($C86,rngCadetNames,0)),"?"))</f>
        <v/>
      </c>
      <c r="E86" s="16" t="n"/>
      <c r="F86" s="16" t="n"/>
      <c r="G86" s="18" t="n"/>
      <c r="H86" s="16" t="n"/>
      <c r="I86" s="18" t="n"/>
      <c r="J86" s="16" t="n"/>
      <c r="K86" s="16" t="n"/>
      <c r="L86" s="18" t="n"/>
      <c r="M86" s="16" t="n"/>
      <c r="N86" s="16" t="n"/>
      <c r="O86" s="16" t="n"/>
      <c r="P86" s="16" t="n"/>
    </row>
    <row r="87">
      <c r="B87" s="17">
        <f>IF($C87="","","R"&amp;TEXT(ROW()-5,"000"))</f>
        <v/>
      </c>
      <c r="C87" s="16" t="n"/>
      <c r="D87" s="17">
        <f>IF($C87="","",IFERROR(INDEX(rngCadetPIDs,MATCH($C87,rngCadetNames,0)),"?"))</f>
        <v/>
      </c>
      <c r="E87" s="16" t="n"/>
      <c r="F87" s="16" t="n"/>
      <c r="G87" s="18" t="n"/>
      <c r="H87" s="16" t="n"/>
      <c r="I87" s="18" t="n"/>
      <c r="J87" s="16" t="n"/>
      <c r="K87" s="16" t="n"/>
      <c r="L87" s="18" t="n"/>
      <c r="M87" s="16" t="n"/>
      <c r="N87" s="16" t="n"/>
      <c r="O87" s="16" t="n"/>
      <c r="P87" s="16" t="n"/>
    </row>
    <row r="88">
      <c r="B88" s="17">
        <f>IF($C88="","","R"&amp;TEXT(ROW()-5,"000"))</f>
        <v/>
      </c>
      <c r="C88" s="16" t="n"/>
      <c r="D88" s="17">
        <f>IF($C88="","",IFERROR(INDEX(rngCadetPIDs,MATCH($C88,rngCadetNames,0)),"?"))</f>
        <v/>
      </c>
      <c r="E88" s="16" t="n"/>
      <c r="F88" s="16" t="n"/>
      <c r="G88" s="18" t="n"/>
      <c r="H88" s="16" t="n"/>
      <c r="I88" s="18" t="n"/>
      <c r="J88" s="16" t="n"/>
      <c r="K88" s="16" t="n"/>
      <c r="L88" s="18" t="n"/>
      <c r="M88" s="16" t="n"/>
      <c r="N88" s="16" t="n"/>
      <c r="O88" s="16" t="n"/>
      <c r="P88" s="16" t="n"/>
    </row>
    <row r="89">
      <c r="B89" s="17">
        <f>IF($C89="","","R"&amp;TEXT(ROW()-5,"000"))</f>
        <v/>
      </c>
      <c r="C89" s="16" t="n"/>
      <c r="D89" s="17">
        <f>IF($C89="","",IFERROR(INDEX(rngCadetPIDs,MATCH($C89,rngCadetNames,0)),"?"))</f>
        <v/>
      </c>
      <c r="E89" s="16" t="n"/>
      <c r="F89" s="16" t="n"/>
      <c r="G89" s="18" t="n"/>
      <c r="H89" s="16" t="n"/>
      <c r="I89" s="18" t="n"/>
      <c r="J89" s="16" t="n"/>
      <c r="K89" s="16" t="n"/>
      <c r="L89" s="18" t="n"/>
      <c r="M89" s="16" t="n"/>
      <c r="N89" s="16" t="n"/>
      <c r="O89" s="16" t="n"/>
      <c r="P89" s="16" t="n"/>
    </row>
    <row r="90">
      <c r="B90" s="17">
        <f>IF($C90="","","R"&amp;TEXT(ROW()-5,"000"))</f>
        <v/>
      </c>
      <c r="C90" s="16" t="n"/>
      <c r="D90" s="17">
        <f>IF($C90="","",IFERROR(INDEX(rngCadetPIDs,MATCH($C90,rngCadetNames,0)),"?"))</f>
        <v/>
      </c>
      <c r="E90" s="16" t="n"/>
      <c r="F90" s="16" t="n"/>
      <c r="G90" s="18" t="n"/>
      <c r="H90" s="16" t="n"/>
      <c r="I90" s="18" t="n"/>
      <c r="J90" s="16" t="n"/>
      <c r="K90" s="16" t="n"/>
      <c r="L90" s="18" t="n"/>
      <c r="M90" s="16" t="n"/>
      <c r="N90" s="16" t="n"/>
      <c r="O90" s="16" t="n"/>
      <c r="P90" s="16" t="n"/>
    </row>
    <row r="91">
      <c r="B91" s="17">
        <f>IF($C91="","","R"&amp;TEXT(ROW()-5,"000"))</f>
        <v/>
      </c>
      <c r="C91" s="16" t="n"/>
      <c r="D91" s="17">
        <f>IF($C91="","",IFERROR(INDEX(rngCadetPIDs,MATCH($C91,rngCadetNames,0)),"?"))</f>
        <v/>
      </c>
      <c r="E91" s="16" t="n"/>
      <c r="F91" s="16" t="n"/>
      <c r="G91" s="18" t="n"/>
      <c r="H91" s="16" t="n"/>
      <c r="I91" s="18" t="n"/>
      <c r="J91" s="16" t="n"/>
      <c r="K91" s="16" t="n"/>
      <c r="L91" s="18" t="n"/>
      <c r="M91" s="16" t="n"/>
      <c r="N91" s="16" t="n"/>
      <c r="O91" s="16" t="n"/>
      <c r="P91" s="16" t="n"/>
    </row>
    <row r="92">
      <c r="B92" s="17">
        <f>IF($C92="","","R"&amp;TEXT(ROW()-5,"000"))</f>
        <v/>
      </c>
      <c r="C92" s="16" t="n"/>
      <c r="D92" s="17">
        <f>IF($C92="","",IFERROR(INDEX(rngCadetPIDs,MATCH($C92,rngCadetNames,0)),"?"))</f>
        <v/>
      </c>
      <c r="E92" s="16" t="n"/>
      <c r="F92" s="16" t="n"/>
      <c r="G92" s="18" t="n"/>
      <c r="H92" s="16" t="n"/>
      <c r="I92" s="18" t="n"/>
      <c r="J92" s="16" t="n"/>
      <c r="K92" s="16" t="n"/>
      <c r="L92" s="18" t="n"/>
      <c r="M92" s="16" t="n"/>
      <c r="N92" s="16" t="n"/>
      <c r="O92" s="16" t="n"/>
      <c r="P92" s="16" t="n"/>
    </row>
    <row r="93">
      <c r="B93" s="17">
        <f>IF($C93="","","R"&amp;TEXT(ROW()-5,"000"))</f>
        <v/>
      </c>
      <c r="C93" s="16" t="n"/>
      <c r="D93" s="17">
        <f>IF($C93="","",IFERROR(INDEX(rngCadetPIDs,MATCH($C93,rngCadetNames,0)),"?"))</f>
        <v/>
      </c>
      <c r="E93" s="16" t="n"/>
      <c r="F93" s="16" t="n"/>
      <c r="G93" s="18" t="n"/>
      <c r="H93" s="16" t="n"/>
      <c r="I93" s="18" t="n"/>
      <c r="J93" s="16" t="n"/>
      <c r="K93" s="16" t="n"/>
      <c r="L93" s="18" t="n"/>
      <c r="M93" s="16" t="n"/>
      <c r="N93" s="16" t="n"/>
      <c r="O93" s="16" t="n"/>
      <c r="P93" s="16" t="n"/>
    </row>
    <row r="94">
      <c r="B94" s="17">
        <f>IF($C94="","","R"&amp;TEXT(ROW()-5,"000"))</f>
        <v/>
      </c>
      <c r="C94" s="16" t="n"/>
      <c r="D94" s="17">
        <f>IF($C94="","",IFERROR(INDEX(rngCadetPIDs,MATCH($C94,rngCadetNames,0)),"?"))</f>
        <v/>
      </c>
      <c r="E94" s="16" t="n"/>
      <c r="F94" s="16" t="n"/>
      <c r="G94" s="18" t="n"/>
      <c r="H94" s="16" t="n"/>
      <c r="I94" s="18" t="n"/>
      <c r="J94" s="16" t="n"/>
      <c r="K94" s="16" t="n"/>
      <c r="L94" s="18" t="n"/>
      <c r="M94" s="16" t="n"/>
      <c r="N94" s="16" t="n"/>
      <c r="O94" s="16" t="n"/>
      <c r="P94" s="16" t="n"/>
    </row>
    <row r="95">
      <c r="B95" s="17">
        <f>IF($C95="","","R"&amp;TEXT(ROW()-5,"000"))</f>
        <v/>
      </c>
      <c r="C95" s="16" t="n"/>
      <c r="D95" s="17">
        <f>IF($C95="","",IFERROR(INDEX(rngCadetPIDs,MATCH($C95,rngCadetNames,0)),"?"))</f>
        <v/>
      </c>
      <c r="E95" s="16" t="n"/>
      <c r="F95" s="16" t="n"/>
      <c r="G95" s="18" t="n"/>
      <c r="H95" s="16" t="n"/>
      <c r="I95" s="18" t="n"/>
      <c r="J95" s="16" t="n"/>
      <c r="K95" s="16" t="n"/>
      <c r="L95" s="18" t="n"/>
      <c r="M95" s="16" t="n"/>
      <c r="N95" s="16" t="n"/>
      <c r="O95" s="16" t="n"/>
      <c r="P95" s="16" t="n"/>
    </row>
    <row r="96">
      <c r="B96" s="17">
        <f>IF($C96="","","R"&amp;TEXT(ROW()-5,"000"))</f>
        <v/>
      </c>
      <c r="C96" s="16" t="n"/>
      <c r="D96" s="17">
        <f>IF($C96="","",IFERROR(INDEX(rngCadetPIDs,MATCH($C96,rngCadetNames,0)),"?"))</f>
        <v/>
      </c>
      <c r="E96" s="16" t="n"/>
      <c r="F96" s="16" t="n"/>
      <c r="G96" s="18" t="n"/>
      <c r="H96" s="16" t="n"/>
      <c r="I96" s="18" t="n"/>
      <c r="J96" s="16" t="n"/>
      <c r="K96" s="16" t="n"/>
      <c r="L96" s="18" t="n"/>
      <c r="M96" s="16" t="n"/>
      <c r="N96" s="16" t="n"/>
      <c r="O96" s="16" t="n"/>
      <c r="P96" s="16" t="n"/>
    </row>
    <row r="97">
      <c r="B97" s="17">
        <f>IF($C97="","","R"&amp;TEXT(ROW()-5,"000"))</f>
        <v/>
      </c>
      <c r="C97" s="16" t="n"/>
      <c r="D97" s="17">
        <f>IF($C97="","",IFERROR(INDEX(rngCadetPIDs,MATCH($C97,rngCadetNames,0)),"?"))</f>
        <v/>
      </c>
      <c r="E97" s="16" t="n"/>
      <c r="F97" s="16" t="n"/>
      <c r="G97" s="18" t="n"/>
      <c r="H97" s="16" t="n"/>
      <c r="I97" s="18" t="n"/>
      <c r="J97" s="16" t="n"/>
      <c r="K97" s="16" t="n"/>
      <c r="L97" s="18" t="n"/>
      <c r="M97" s="16" t="n"/>
      <c r="N97" s="16" t="n"/>
      <c r="O97" s="16" t="n"/>
      <c r="P97" s="16" t="n"/>
    </row>
    <row r="98">
      <c r="B98" s="17">
        <f>IF($C98="","","R"&amp;TEXT(ROW()-5,"000"))</f>
        <v/>
      </c>
      <c r="C98" s="16" t="n"/>
      <c r="D98" s="17">
        <f>IF($C98="","",IFERROR(INDEX(rngCadetPIDs,MATCH($C98,rngCadetNames,0)),"?"))</f>
        <v/>
      </c>
      <c r="E98" s="16" t="n"/>
      <c r="F98" s="16" t="n"/>
      <c r="G98" s="18" t="n"/>
      <c r="H98" s="16" t="n"/>
      <c r="I98" s="18" t="n"/>
      <c r="J98" s="16" t="n"/>
      <c r="K98" s="16" t="n"/>
      <c r="L98" s="18" t="n"/>
      <c r="M98" s="16" t="n"/>
      <c r="N98" s="16" t="n"/>
      <c r="O98" s="16" t="n"/>
      <c r="P98" s="16" t="n"/>
    </row>
    <row r="99">
      <c r="B99" s="17">
        <f>IF($C99="","","R"&amp;TEXT(ROW()-5,"000"))</f>
        <v/>
      </c>
      <c r="C99" s="16" t="n"/>
      <c r="D99" s="17">
        <f>IF($C99="","",IFERROR(INDEX(rngCadetPIDs,MATCH($C99,rngCadetNames,0)),"?"))</f>
        <v/>
      </c>
      <c r="E99" s="16" t="n"/>
      <c r="F99" s="16" t="n"/>
      <c r="G99" s="18" t="n"/>
      <c r="H99" s="16" t="n"/>
      <c r="I99" s="18" t="n"/>
      <c r="J99" s="16" t="n"/>
      <c r="K99" s="16" t="n"/>
      <c r="L99" s="18" t="n"/>
      <c r="M99" s="16" t="n"/>
      <c r="N99" s="16" t="n"/>
      <c r="O99" s="16" t="n"/>
      <c r="P99" s="16" t="n"/>
    </row>
    <row r="100">
      <c r="B100" s="17">
        <f>IF($C100="","","R"&amp;TEXT(ROW()-5,"000"))</f>
        <v/>
      </c>
      <c r="C100" s="16" t="n"/>
      <c r="D100" s="17">
        <f>IF($C100="","",IFERROR(INDEX(rngCadetPIDs,MATCH($C100,rngCadetNames,0)),"?"))</f>
        <v/>
      </c>
      <c r="E100" s="16" t="n"/>
      <c r="F100" s="16" t="n"/>
      <c r="G100" s="18" t="n"/>
      <c r="H100" s="16" t="n"/>
      <c r="I100" s="18" t="n"/>
      <c r="J100" s="16" t="n"/>
      <c r="K100" s="16" t="n"/>
      <c r="L100" s="18" t="n"/>
      <c r="M100" s="16" t="n"/>
      <c r="N100" s="16" t="n"/>
      <c r="O100" s="16" t="n"/>
      <c r="P100" s="16" t="n"/>
    </row>
    <row r="101">
      <c r="B101" s="17">
        <f>IF($C101="","","R"&amp;TEXT(ROW()-5,"000"))</f>
        <v/>
      </c>
      <c r="C101" s="16" t="n"/>
      <c r="D101" s="17">
        <f>IF($C101="","",IFERROR(INDEX(rngCadetPIDs,MATCH($C101,rngCadetNames,0)),"?"))</f>
        <v/>
      </c>
      <c r="E101" s="16" t="n"/>
      <c r="F101" s="16" t="n"/>
      <c r="G101" s="18" t="n"/>
      <c r="H101" s="16" t="n"/>
      <c r="I101" s="18" t="n"/>
      <c r="J101" s="16" t="n"/>
      <c r="K101" s="16" t="n"/>
      <c r="L101" s="18" t="n"/>
      <c r="M101" s="16" t="n"/>
      <c r="N101" s="16" t="n"/>
      <c r="O101" s="16" t="n"/>
      <c r="P101" s="16" t="n"/>
    </row>
    <row r="102">
      <c r="B102" s="17">
        <f>IF($C102="","","R"&amp;TEXT(ROW()-5,"000"))</f>
        <v/>
      </c>
      <c r="C102" s="16" t="n"/>
      <c r="D102" s="17">
        <f>IF($C102="","",IFERROR(INDEX(rngCadetPIDs,MATCH($C102,rngCadetNames,0)),"?"))</f>
        <v/>
      </c>
      <c r="E102" s="16" t="n"/>
      <c r="F102" s="16" t="n"/>
      <c r="G102" s="18" t="n"/>
      <c r="H102" s="16" t="n"/>
      <c r="I102" s="18" t="n"/>
      <c r="J102" s="16" t="n"/>
      <c r="K102" s="16" t="n"/>
      <c r="L102" s="18" t="n"/>
      <c r="M102" s="16" t="n"/>
      <c r="N102" s="16" t="n"/>
      <c r="O102" s="16" t="n"/>
      <c r="P102" s="16" t="n"/>
    </row>
    <row r="103">
      <c r="B103" s="17">
        <f>IF($C103="","","R"&amp;TEXT(ROW()-5,"000"))</f>
        <v/>
      </c>
      <c r="C103" s="16" t="n"/>
      <c r="D103" s="17">
        <f>IF($C103="","",IFERROR(INDEX(rngCadetPIDs,MATCH($C103,rngCadetNames,0)),"?"))</f>
        <v/>
      </c>
      <c r="E103" s="16" t="n"/>
      <c r="F103" s="16" t="n"/>
      <c r="G103" s="18" t="n"/>
      <c r="H103" s="16" t="n"/>
      <c r="I103" s="18" t="n"/>
      <c r="J103" s="16" t="n"/>
      <c r="K103" s="16" t="n"/>
      <c r="L103" s="18" t="n"/>
      <c r="M103" s="16" t="n"/>
      <c r="N103" s="16" t="n"/>
      <c r="O103" s="16" t="n"/>
      <c r="P103" s="16" t="n"/>
    </row>
    <row r="104">
      <c r="B104" s="17">
        <f>IF($C104="","","R"&amp;TEXT(ROW()-5,"000"))</f>
        <v/>
      </c>
      <c r="C104" s="16" t="n"/>
      <c r="D104" s="17">
        <f>IF($C104="","",IFERROR(INDEX(rngCadetPIDs,MATCH($C104,rngCadetNames,0)),"?"))</f>
        <v/>
      </c>
      <c r="E104" s="16" t="n"/>
      <c r="F104" s="16" t="n"/>
      <c r="G104" s="18" t="n"/>
      <c r="H104" s="16" t="n"/>
      <c r="I104" s="18" t="n"/>
      <c r="J104" s="16" t="n"/>
      <c r="K104" s="16" t="n"/>
      <c r="L104" s="18" t="n"/>
      <c r="M104" s="16" t="n"/>
      <c r="N104" s="16" t="n"/>
      <c r="O104" s="16" t="n"/>
      <c r="P104" s="16" t="n"/>
    </row>
    <row r="105">
      <c r="B105" s="17">
        <f>IF($C105="","","R"&amp;TEXT(ROW()-5,"000"))</f>
        <v/>
      </c>
      <c r="C105" s="16" t="n"/>
      <c r="D105" s="17">
        <f>IF($C105="","",IFERROR(INDEX(rngCadetPIDs,MATCH($C105,rngCadetNames,0)),"?"))</f>
        <v/>
      </c>
      <c r="E105" s="16" t="n"/>
      <c r="F105" s="16" t="n"/>
      <c r="G105" s="18" t="n"/>
      <c r="H105" s="16" t="n"/>
      <c r="I105" s="18" t="n"/>
      <c r="J105" s="16" t="n"/>
      <c r="K105" s="16" t="n"/>
      <c r="L105" s="18" t="n"/>
      <c r="M105" s="16" t="n"/>
      <c r="N105" s="16" t="n"/>
      <c r="O105" s="16" t="n"/>
      <c r="P105" s="16" t="n"/>
    </row>
  </sheetData>
  <sheetProtection selectLockedCells="0" selectUnlockedCells="0" sheet="1" objects="0" insertRows="1" insertHyperlinks="1" autoFilter="0" scenarios="0" formatColumns="1" deleteColumns="1" insertColumns="1" pivotTables="1" deleteRows="1" formatCells="1" formatRows="1" sort="1" password="B4BB"/>
  <autoFilter ref="B5:P5"/>
  <dataValidations count="5">
    <dataValidation sqref="C6:C105" showDropDown="0" showInputMessage="0" showErrorMessage="1" allowBlank="1" type="list">
      <formula1>=rngCadetNames</formula1>
    </dataValidation>
    <dataValidation sqref="E6:E105" showDropDown="0" showInputMessage="0" showErrorMessage="1" allowBlank="1" type="list">
      <formula1>=lstReviewType</formula1>
    </dataValidation>
    <dataValidation sqref="J6:J105" showDropDown="0" showInputMessage="0" showErrorMessage="1" allowBlank="1" type="list">
      <formula1>=lstReviewOutcome</formula1>
    </dataValidation>
    <dataValidation sqref="K6:K105 M6:M105" showDropDown="0" showInputMessage="0" showErrorMessage="1" allowBlank="1" type="list">
      <formula1>=lstYesNo</formula1>
    </dataValidation>
    <dataValidation sqref="P6:P105" showDropDown="0" showInputMessage="0" showErrorMessage="1" allowBlank="1" type="list">
      <formula1>=lstDismissalTrigger</formula1>
    </dataValidation>
  </dataValidations>
  <pageMargins left="0.75" right="0.75" top="1" bottom="1" header="0.5" footer="0.5"/>
</worksheet>
</file>

<file path=xl/worksheets/sheet23.xml><?xml version="1.0" encoding="utf-8"?>
<worksheet xmlns="http://schemas.openxmlformats.org/spreadsheetml/2006/main">
  <sheetPr>
    <tabColor rgb="001E7145"/>
    <outlinePr summaryBelow="1" summaryRight="1"/>
    <pageSetUpPr/>
  </sheetPr>
  <dimension ref="B1:AE57"/>
  <sheetViews>
    <sheetView showGridLines="0" workbookViewId="0">
      <pane xSplit="3" ySplit="5" topLeftCell="D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4" customWidth="1" min="3" max="3"/>
    <col width="7" customWidth="1" min="4" max="4"/>
    <col width="7" customWidth="1" min="5" max="5"/>
    <col width="7" customWidth="1" min="6" max="6"/>
    <col width="7" customWidth="1" min="7" max="7"/>
    <col width="7" customWidth="1" min="8" max="8"/>
    <col width="7" customWidth="1" min="9" max="9"/>
    <col width="7" customWidth="1" min="10" max="10"/>
    <col width="7" customWidth="1" min="11" max="11"/>
    <col width="7" customWidth="1" min="12" max="12"/>
    <col width="7" customWidth="1" min="13" max="13"/>
    <col width="7" customWidth="1" min="14" max="14"/>
    <col width="7" customWidth="1" min="15" max="15"/>
    <col width="7" customWidth="1" min="16" max="16"/>
    <col width="7" customWidth="1" min="17" max="17"/>
    <col width="7" customWidth="1" min="18" max="18"/>
    <col width="7" customWidth="1" min="19" max="19"/>
    <col width="7" customWidth="1" min="20" max="20"/>
    <col width="7" customWidth="1" min="21" max="21"/>
    <col width="7" customWidth="1" min="22" max="22"/>
    <col width="7" customWidth="1" min="23" max="23"/>
    <col width="7" customWidth="1" min="24" max="24"/>
    <col width="7" customWidth="1" min="25" max="25"/>
    <col width="7" customWidth="1" min="26" max="26"/>
    <col width="7" customWidth="1" min="27" max="27"/>
    <col width="7" customWidth="1" min="28" max="28"/>
    <col width="11" customWidth="1" min="31" max="31"/>
  </cols>
  <sheetData>
    <row r="1">
      <c r="B1" s="10">
        <f>HYPERLINK("#Dashboard!B5","◄ Dashboard")</f>
        <v/>
      </c>
    </row>
    <row r="4">
      <c r="B4" s="11" t="inlineStr">
        <is>
          <t>Recorded score of each exam's final attempt (retest cap applied). Red = below THAT exam's own passing score on ExamPlan (70 unless the exam overrides it).</t>
        </is>
      </c>
    </row>
    <row r="5" ht="26" customHeight="1">
      <c r="B5" s="12" t="inlineStr">
        <is>
          <t>PID</t>
        </is>
      </c>
      <c r="C5" s="12" t="inlineStr">
        <is>
          <t>Cadet Name</t>
        </is>
      </c>
      <c r="D5" s="12">
        <f>IF(INDEX(rngEPcode,1)="","",INDEX(rngEPcode,1))</f>
        <v/>
      </c>
      <c r="E5" s="12">
        <f>IF(INDEX(rngEPcode,2)="","",INDEX(rngEPcode,2))</f>
        <v/>
      </c>
      <c r="F5" s="12">
        <f>IF(INDEX(rngEPcode,3)="","",INDEX(rngEPcode,3))</f>
        <v/>
      </c>
      <c r="G5" s="12">
        <f>IF(INDEX(rngEPcode,4)="","",INDEX(rngEPcode,4))</f>
        <v/>
      </c>
      <c r="H5" s="12">
        <f>IF(INDEX(rngEPcode,5)="","",INDEX(rngEPcode,5))</f>
        <v/>
      </c>
      <c r="I5" s="12">
        <f>IF(INDEX(rngEPcode,6)="","",INDEX(rngEPcode,6))</f>
        <v/>
      </c>
      <c r="J5" s="12">
        <f>IF(INDEX(rngEPcode,7)="","",INDEX(rngEPcode,7))</f>
        <v/>
      </c>
      <c r="K5" s="12">
        <f>IF(INDEX(rngEPcode,8)="","",INDEX(rngEPcode,8))</f>
        <v/>
      </c>
      <c r="L5" s="12">
        <f>IF(INDEX(rngEPcode,9)="","",INDEX(rngEPcode,9))</f>
        <v/>
      </c>
      <c r="M5" s="12">
        <f>IF(INDEX(rngEPcode,10)="","",INDEX(rngEPcode,10))</f>
        <v/>
      </c>
      <c r="N5" s="12">
        <f>IF(INDEX(rngEPcode,11)="","",INDEX(rngEPcode,11))</f>
        <v/>
      </c>
      <c r="O5" s="12">
        <f>IF(INDEX(rngEPcode,12)="","",INDEX(rngEPcode,12))</f>
        <v/>
      </c>
      <c r="P5" s="12">
        <f>IF(INDEX(rngEPcode,13)="","",INDEX(rngEPcode,13))</f>
        <v/>
      </c>
      <c r="Q5" s="12">
        <f>IF(INDEX(rngEPcode,14)="","",INDEX(rngEPcode,14))</f>
        <v/>
      </c>
      <c r="R5" s="12">
        <f>IF(INDEX(rngEPcode,15)="","",INDEX(rngEPcode,15))</f>
        <v/>
      </c>
      <c r="S5" s="12">
        <f>IF(INDEX(rngEPcode,16)="","",INDEX(rngEPcode,16))</f>
        <v/>
      </c>
      <c r="T5" s="12">
        <f>IF(INDEX(rngEPcode,17)="","",INDEX(rngEPcode,17))</f>
        <v/>
      </c>
      <c r="U5" s="12">
        <f>IF(INDEX(rngEPcode,18)="","",INDEX(rngEPcode,18))</f>
        <v/>
      </c>
      <c r="V5" s="12">
        <f>IF(INDEX(rngEPcode,19)="","",INDEX(rngEPcode,19))</f>
        <v/>
      </c>
      <c r="W5" s="12">
        <f>IF(INDEX(rngEPcode,20)="","",INDEX(rngEPcode,20))</f>
        <v/>
      </c>
      <c r="X5" s="12">
        <f>IF(INDEX(rngEPcode,21)="","",INDEX(rngEPcode,21))</f>
        <v/>
      </c>
      <c r="Y5" s="12">
        <f>IF(INDEX(rngEPcode,22)="","",INDEX(rngEPcode,22))</f>
        <v/>
      </c>
      <c r="Z5" s="12">
        <f>IF(INDEX(rngEPcode,23)="","",INDEX(rngEPcode,23))</f>
        <v/>
      </c>
      <c r="AA5" s="12">
        <f>IF(INDEX(rngEPcode,24)="","",INDEX(rngEPcode,24))</f>
        <v/>
      </c>
      <c r="AB5" s="12">
        <f>IF(INDEX(rngEPcode,25)="","",INDEX(rngEPcode,25))</f>
        <v/>
      </c>
      <c r="AC5" s="12" t="inlineStr">
        <is>
          <t>Current Grade</t>
        </is>
      </c>
      <c r="AD5" s="12" t="inlineStr">
        <is>
          <t>Rank</t>
        </is>
      </c>
      <c r="AE5" s="20" t="inlineStr">
        <is>
          <t>Cadet Status</t>
        </is>
      </c>
    </row>
    <row r="6">
      <c r="B6" s="17">
        <f>IF(Cadets!$B6="","",Cadets!$B6)</f>
        <v/>
      </c>
      <c r="C6" s="17">
        <f>IF($B6="","",Cadets!$F6)</f>
        <v/>
      </c>
      <c r="D6" s="17">
        <f>IF(OR($B6="",D$5=""),"",IF(COUNTIFS(nrES_PID,$B6,nrES_Code,D$5,nrES_Final,"Yes",nrES_Rec,"&gt;=0")=0,"",SUMIFS(nrES_Rec,nrES_PID,$B6,nrES_Code,D$5,nrES_Final,"Yes")))</f>
        <v/>
      </c>
      <c r="E6" s="17">
        <f>IF(OR($B6="",E$5=""),"",IF(COUNTIFS(nrES_PID,$B6,nrES_Code,E$5,nrES_Final,"Yes",nrES_Rec,"&gt;=0")=0,"",SUMIFS(nrES_Rec,nrES_PID,$B6,nrES_Code,E$5,nrES_Final,"Yes")))</f>
        <v/>
      </c>
      <c r="F6" s="17">
        <f>IF(OR($B6="",F$5=""),"",IF(COUNTIFS(nrES_PID,$B6,nrES_Code,F$5,nrES_Final,"Yes",nrES_Rec,"&gt;=0")=0,"",SUMIFS(nrES_Rec,nrES_PID,$B6,nrES_Code,F$5,nrES_Final,"Yes")))</f>
        <v/>
      </c>
      <c r="G6" s="17">
        <f>IF(OR($B6="",G$5=""),"",IF(COUNTIFS(nrES_PID,$B6,nrES_Code,G$5,nrES_Final,"Yes",nrES_Rec,"&gt;=0")=0,"",SUMIFS(nrES_Rec,nrES_PID,$B6,nrES_Code,G$5,nrES_Final,"Yes")))</f>
        <v/>
      </c>
      <c r="H6" s="17">
        <f>IF(OR($B6="",H$5=""),"",IF(COUNTIFS(nrES_PID,$B6,nrES_Code,H$5,nrES_Final,"Yes",nrES_Rec,"&gt;=0")=0,"",SUMIFS(nrES_Rec,nrES_PID,$B6,nrES_Code,H$5,nrES_Final,"Yes")))</f>
        <v/>
      </c>
      <c r="I6" s="17">
        <f>IF(OR($B6="",I$5=""),"",IF(COUNTIFS(nrES_PID,$B6,nrES_Code,I$5,nrES_Final,"Yes",nrES_Rec,"&gt;=0")=0,"",SUMIFS(nrES_Rec,nrES_PID,$B6,nrES_Code,I$5,nrES_Final,"Yes")))</f>
        <v/>
      </c>
      <c r="J6" s="17">
        <f>IF(OR($B6="",J$5=""),"",IF(COUNTIFS(nrES_PID,$B6,nrES_Code,J$5,nrES_Final,"Yes",nrES_Rec,"&gt;=0")=0,"",SUMIFS(nrES_Rec,nrES_PID,$B6,nrES_Code,J$5,nrES_Final,"Yes")))</f>
        <v/>
      </c>
      <c r="K6" s="17">
        <f>IF(OR($B6="",K$5=""),"",IF(COUNTIFS(nrES_PID,$B6,nrES_Code,K$5,nrES_Final,"Yes",nrES_Rec,"&gt;=0")=0,"",SUMIFS(nrES_Rec,nrES_PID,$B6,nrES_Code,K$5,nrES_Final,"Yes")))</f>
        <v/>
      </c>
      <c r="L6" s="17">
        <f>IF(OR($B6="",L$5=""),"",IF(COUNTIFS(nrES_PID,$B6,nrES_Code,L$5,nrES_Final,"Yes",nrES_Rec,"&gt;=0")=0,"",SUMIFS(nrES_Rec,nrES_PID,$B6,nrES_Code,L$5,nrES_Final,"Yes")))</f>
        <v/>
      </c>
      <c r="M6" s="17">
        <f>IF(OR($B6="",M$5=""),"",IF(COUNTIFS(nrES_PID,$B6,nrES_Code,M$5,nrES_Final,"Yes",nrES_Rec,"&gt;=0")=0,"",SUMIFS(nrES_Rec,nrES_PID,$B6,nrES_Code,M$5,nrES_Final,"Yes")))</f>
        <v/>
      </c>
      <c r="N6" s="17">
        <f>IF(OR($B6="",N$5=""),"",IF(COUNTIFS(nrES_PID,$B6,nrES_Code,N$5,nrES_Final,"Yes",nrES_Rec,"&gt;=0")=0,"",SUMIFS(nrES_Rec,nrES_PID,$B6,nrES_Code,N$5,nrES_Final,"Yes")))</f>
        <v/>
      </c>
      <c r="O6" s="17">
        <f>IF(OR($B6="",O$5=""),"",IF(COUNTIFS(nrES_PID,$B6,nrES_Code,O$5,nrES_Final,"Yes",nrES_Rec,"&gt;=0")=0,"",SUMIFS(nrES_Rec,nrES_PID,$B6,nrES_Code,O$5,nrES_Final,"Yes")))</f>
        <v/>
      </c>
      <c r="P6" s="17">
        <f>IF(OR($B6="",P$5=""),"",IF(COUNTIFS(nrES_PID,$B6,nrES_Code,P$5,nrES_Final,"Yes",nrES_Rec,"&gt;=0")=0,"",SUMIFS(nrES_Rec,nrES_PID,$B6,nrES_Code,P$5,nrES_Final,"Yes")))</f>
        <v/>
      </c>
      <c r="Q6" s="17">
        <f>IF(OR($B6="",Q$5=""),"",IF(COUNTIFS(nrES_PID,$B6,nrES_Code,Q$5,nrES_Final,"Yes",nrES_Rec,"&gt;=0")=0,"",SUMIFS(nrES_Rec,nrES_PID,$B6,nrES_Code,Q$5,nrES_Final,"Yes")))</f>
        <v/>
      </c>
      <c r="R6" s="17">
        <f>IF(OR($B6="",R$5=""),"",IF(COUNTIFS(nrES_PID,$B6,nrES_Code,R$5,nrES_Final,"Yes",nrES_Rec,"&gt;=0")=0,"",SUMIFS(nrES_Rec,nrES_PID,$B6,nrES_Code,R$5,nrES_Final,"Yes")))</f>
        <v/>
      </c>
      <c r="S6" s="17">
        <f>IF(OR($B6="",S$5=""),"",IF(COUNTIFS(nrES_PID,$B6,nrES_Code,S$5,nrES_Final,"Yes",nrES_Rec,"&gt;=0")=0,"",SUMIFS(nrES_Rec,nrES_PID,$B6,nrES_Code,S$5,nrES_Final,"Yes")))</f>
        <v/>
      </c>
      <c r="T6" s="17">
        <f>IF(OR($B6="",T$5=""),"",IF(COUNTIFS(nrES_PID,$B6,nrES_Code,T$5,nrES_Final,"Yes",nrES_Rec,"&gt;=0")=0,"",SUMIFS(nrES_Rec,nrES_PID,$B6,nrES_Code,T$5,nrES_Final,"Yes")))</f>
        <v/>
      </c>
      <c r="U6" s="17">
        <f>IF(OR($B6="",U$5=""),"",IF(COUNTIFS(nrES_PID,$B6,nrES_Code,U$5,nrES_Final,"Yes",nrES_Rec,"&gt;=0")=0,"",SUMIFS(nrES_Rec,nrES_PID,$B6,nrES_Code,U$5,nrES_Final,"Yes")))</f>
        <v/>
      </c>
      <c r="V6" s="17">
        <f>IF(OR($B6="",V$5=""),"",IF(COUNTIFS(nrES_PID,$B6,nrES_Code,V$5,nrES_Final,"Yes",nrES_Rec,"&gt;=0")=0,"",SUMIFS(nrES_Rec,nrES_PID,$B6,nrES_Code,V$5,nrES_Final,"Yes")))</f>
        <v/>
      </c>
      <c r="W6" s="17">
        <f>IF(OR($B6="",W$5=""),"",IF(COUNTIFS(nrES_PID,$B6,nrES_Code,W$5,nrES_Final,"Yes",nrES_Rec,"&gt;=0")=0,"",SUMIFS(nrES_Rec,nrES_PID,$B6,nrES_Code,W$5,nrES_Final,"Yes")))</f>
        <v/>
      </c>
      <c r="X6" s="17">
        <f>IF(OR($B6="",X$5=""),"",IF(COUNTIFS(nrES_PID,$B6,nrES_Code,X$5,nrES_Final,"Yes",nrES_Rec,"&gt;=0")=0,"",SUMIFS(nrES_Rec,nrES_PID,$B6,nrES_Code,X$5,nrES_Final,"Yes")))</f>
        <v/>
      </c>
      <c r="Y6" s="17">
        <f>IF(OR($B6="",Y$5=""),"",IF(COUNTIFS(nrES_PID,$B6,nrES_Code,Y$5,nrES_Final,"Yes",nrES_Rec,"&gt;=0")=0,"",SUMIFS(nrES_Rec,nrES_PID,$B6,nrES_Code,Y$5,nrES_Final,"Yes")))</f>
        <v/>
      </c>
      <c r="Z6" s="17">
        <f>IF(OR($B6="",Z$5=""),"",IF(COUNTIFS(nrES_PID,$B6,nrES_Code,Z$5,nrES_Final,"Yes",nrES_Rec,"&gt;=0")=0,"",SUMIFS(nrES_Rec,nrES_PID,$B6,nrES_Code,Z$5,nrES_Final,"Yes")))</f>
        <v/>
      </c>
      <c r="AA6" s="17">
        <f>IF(OR($B6="",AA$5=""),"",IF(COUNTIFS(nrES_PID,$B6,nrES_Code,AA$5,nrES_Final,"Yes",nrES_Rec,"&gt;=0")=0,"",SUMIFS(nrES_Rec,nrES_PID,$B6,nrES_Code,AA$5,nrES_Final,"Yes")))</f>
        <v/>
      </c>
      <c r="AB6" s="17">
        <f>IF(OR($B6="",AB$5=""),"",IF(COUNTIFS(nrES_PID,$B6,nrES_Code,AB$5,nrES_Final,"Yes",nrES_Rec,"&gt;=0")=0,"",SUMIFS(nrES_Rec,nrES_PID,$B6,nrES_Code,AB$5,nrES_Final,"Yes")))</f>
        <v/>
      </c>
      <c r="AC6" s="17">
        <f>IF($B6="","",sysGrades!$M6)</f>
        <v/>
      </c>
      <c r="AD6" s="17">
        <f>IF($B6="","",IFERROR(sysGrades!$U6,""))</f>
        <v/>
      </c>
      <c r="AE6" s="17">
        <f>IF(Cadets!$B6="","",Cadets!$I6)</f>
        <v/>
      </c>
    </row>
    <row r="7">
      <c r="B7" s="17">
        <f>IF(Cadets!$B7="","",Cadets!$B7)</f>
        <v/>
      </c>
      <c r="C7" s="17">
        <f>IF($B7="","",Cadets!$F7)</f>
        <v/>
      </c>
      <c r="D7" s="17">
        <f>IF(OR($B7="",D$5=""),"",IF(COUNTIFS(nrES_PID,$B7,nrES_Code,D$5,nrES_Final,"Yes",nrES_Rec,"&gt;=0")=0,"",SUMIFS(nrES_Rec,nrES_PID,$B7,nrES_Code,D$5,nrES_Final,"Yes")))</f>
        <v/>
      </c>
      <c r="E7" s="17">
        <f>IF(OR($B7="",E$5=""),"",IF(COUNTIFS(nrES_PID,$B7,nrES_Code,E$5,nrES_Final,"Yes",nrES_Rec,"&gt;=0")=0,"",SUMIFS(nrES_Rec,nrES_PID,$B7,nrES_Code,E$5,nrES_Final,"Yes")))</f>
        <v/>
      </c>
      <c r="F7" s="17">
        <f>IF(OR($B7="",F$5=""),"",IF(COUNTIFS(nrES_PID,$B7,nrES_Code,F$5,nrES_Final,"Yes",nrES_Rec,"&gt;=0")=0,"",SUMIFS(nrES_Rec,nrES_PID,$B7,nrES_Code,F$5,nrES_Final,"Yes")))</f>
        <v/>
      </c>
      <c r="G7" s="17">
        <f>IF(OR($B7="",G$5=""),"",IF(COUNTIFS(nrES_PID,$B7,nrES_Code,G$5,nrES_Final,"Yes",nrES_Rec,"&gt;=0")=0,"",SUMIFS(nrES_Rec,nrES_PID,$B7,nrES_Code,G$5,nrES_Final,"Yes")))</f>
        <v/>
      </c>
      <c r="H7" s="17">
        <f>IF(OR($B7="",H$5=""),"",IF(COUNTIFS(nrES_PID,$B7,nrES_Code,H$5,nrES_Final,"Yes",nrES_Rec,"&gt;=0")=0,"",SUMIFS(nrES_Rec,nrES_PID,$B7,nrES_Code,H$5,nrES_Final,"Yes")))</f>
        <v/>
      </c>
      <c r="I7" s="17">
        <f>IF(OR($B7="",I$5=""),"",IF(COUNTIFS(nrES_PID,$B7,nrES_Code,I$5,nrES_Final,"Yes",nrES_Rec,"&gt;=0")=0,"",SUMIFS(nrES_Rec,nrES_PID,$B7,nrES_Code,I$5,nrES_Final,"Yes")))</f>
        <v/>
      </c>
      <c r="J7" s="17">
        <f>IF(OR($B7="",J$5=""),"",IF(COUNTIFS(nrES_PID,$B7,nrES_Code,J$5,nrES_Final,"Yes",nrES_Rec,"&gt;=0")=0,"",SUMIFS(nrES_Rec,nrES_PID,$B7,nrES_Code,J$5,nrES_Final,"Yes")))</f>
        <v/>
      </c>
      <c r="K7" s="17">
        <f>IF(OR($B7="",K$5=""),"",IF(COUNTIFS(nrES_PID,$B7,nrES_Code,K$5,nrES_Final,"Yes",nrES_Rec,"&gt;=0")=0,"",SUMIFS(nrES_Rec,nrES_PID,$B7,nrES_Code,K$5,nrES_Final,"Yes")))</f>
        <v/>
      </c>
      <c r="L7" s="17">
        <f>IF(OR($B7="",L$5=""),"",IF(COUNTIFS(nrES_PID,$B7,nrES_Code,L$5,nrES_Final,"Yes",nrES_Rec,"&gt;=0")=0,"",SUMIFS(nrES_Rec,nrES_PID,$B7,nrES_Code,L$5,nrES_Final,"Yes")))</f>
        <v/>
      </c>
      <c r="M7" s="17">
        <f>IF(OR($B7="",M$5=""),"",IF(COUNTIFS(nrES_PID,$B7,nrES_Code,M$5,nrES_Final,"Yes",nrES_Rec,"&gt;=0")=0,"",SUMIFS(nrES_Rec,nrES_PID,$B7,nrES_Code,M$5,nrES_Final,"Yes")))</f>
        <v/>
      </c>
      <c r="N7" s="17">
        <f>IF(OR($B7="",N$5=""),"",IF(COUNTIFS(nrES_PID,$B7,nrES_Code,N$5,nrES_Final,"Yes",nrES_Rec,"&gt;=0")=0,"",SUMIFS(nrES_Rec,nrES_PID,$B7,nrES_Code,N$5,nrES_Final,"Yes")))</f>
        <v/>
      </c>
      <c r="O7" s="17">
        <f>IF(OR($B7="",O$5=""),"",IF(COUNTIFS(nrES_PID,$B7,nrES_Code,O$5,nrES_Final,"Yes",nrES_Rec,"&gt;=0")=0,"",SUMIFS(nrES_Rec,nrES_PID,$B7,nrES_Code,O$5,nrES_Final,"Yes")))</f>
        <v/>
      </c>
      <c r="P7" s="17">
        <f>IF(OR($B7="",P$5=""),"",IF(COUNTIFS(nrES_PID,$B7,nrES_Code,P$5,nrES_Final,"Yes",nrES_Rec,"&gt;=0")=0,"",SUMIFS(nrES_Rec,nrES_PID,$B7,nrES_Code,P$5,nrES_Final,"Yes")))</f>
        <v/>
      </c>
      <c r="Q7" s="17">
        <f>IF(OR($B7="",Q$5=""),"",IF(COUNTIFS(nrES_PID,$B7,nrES_Code,Q$5,nrES_Final,"Yes",nrES_Rec,"&gt;=0")=0,"",SUMIFS(nrES_Rec,nrES_PID,$B7,nrES_Code,Q$5,nrES_Final,"Yes")))</f>
        <v/>
      </c>
      <c r="R7" s="17">
        <f>IF(OR($B7="",R$5=""),"",IF(COUNTIFS(nrES_PID,$B7,nrES_Code,R$5,nrES_Final,"Yes",nrES_Rec,"&gt;=0")=0,"",SUMIFS(nrES_Rec,nrES_PID,$B7,nrES_Code,R$5,nrES_Final,"Yes")))</f>
        <v/>
      </c>
      <c r="S7" s="17">
        <f>IF(OR($B7="",S$5=""),"",IF(COUNTIFS(nrES_PID,$B7,nrES_Code,S$5,nrES_Final,"Yes",nrES_Rec,"&gt;=0")=0,"",SUMIFS(nrES_Rec,nrES_PID,$B7,nrES_Code,S$5,nrES_Final,"Yes")))</f>
        <v/>
      </c>
      <c r="T7" s="17">
        <f>IF(OR($B7="",T$5=""),"",IF(COUNTIFS(nrES_PID,$B7,nrES_Code,T$5,nrES_Final,"Yes",nrES_Rec,"&gt;=0")=0,"",SUMIFS(nrES_Rec,nrES_PID,$B7,nrES_Code,T$5,nrES_Final,"Yes")))</f>
        <v/>
      </c>
      <c r="U7" s="17">
        <f>IF(OR($B7="",U$5=""),"",IF(COUNTIFS(nrES_PID,$B7,nrES_Code,U$5,nrES_Final,"Yes",nrES_Rec,"&gt;=0")=0,"",SUMIFS(nrES_Rec,nrES_PID,$B7,nrES_Code,U$5,nrES_Final,"Yes")))</f>
        <v/>
      </c>
      <c r="V7" s="17">
        <f>IF(OR($B7="",V$5=""),"",IF(COUNTIFS(nrES_PID,$B7,nrES_Code,V$5,nrES_Final,"Yes",nrES_Rec,"&gt;=0")=0,"",SUMIFS(nrES_Rec,nrES_PID,$B7,nrES_Code,V$5,nrES_Final,"Yes")))</f>
        <v/>
      </c>
      <c r="W7" s="17">
        <f>IF(OR($B7="",W$5=""),"",IF(COUNTIFS(nrES_PID,$B7,nrES_Code,W$5,nrES_Final,"Yes",nrES_Rec,"&gt;=0")=0,"",SUMIFS(nrES_Rec,nrES_PID,$B7,nrES_Code,W$5,nrES_Final,"Yes")))</f>
        <v/>
      </c>
      <c r="X7" s="17">
        <f>IF(OR($B7="",X$5=""),"",IF(COUNTIFS(nrES_PID,$B7,nrES_Code,X$5,nrES_Final,"Yes",nrES_Rec,"&gt;=0")=0,"",SUMIFS(nrES_Rec,nrES_PID,$B7,nrES_Code,X$5,nrES_Final,"Yes")))</f>
        <v/>
      </c>
      <c r="Y7" s="17">
        <f>IF(OR($B7="",Y$5=""),"",IF(COUNTIFS(nrES_PID,$B7,nrES_Code,Y$5,nrES_Final,"Yes",nrES_Rec,"&gt;=0")=0,"",SUMIFS(nrES_Rec,nrES_PID,$B7,nrES_Code,Y$5,nrES_Final,"Yes")))</f>
        <v/>
      </c>
      <c r="Z7" s="17">
        <f>IF(OR($B7="",Z$5=""),"",IF(COUNTIFS(nrES_PID,$B7,nrES_Code,Z$5,nrES_Final,"Yes",nrES_Rec,"&gt;=0")=0,"",SUMIFS(nrES_Rec,nrES_PID,$B7,nrES_Code,Z$5,nrES_Final,"Yes")))</f>
        <v/>
      </c>
      <c r="AA7" s="17">
        <f>IF(OR($B7="",AA$5=""),"",IF(COUNTIFS(nrES_PID,$B7,nrES_Code,AA$5,nrES_Final,"Yes",nrES_Rec,"&gt;=0")=0,"",SUMIFS(nrES_Rec,nrES_PID,$B7,nrES_Code,AA$5,nrES_Final,"Yes")))</f>
        <v/>
      </c>
      <c r="AB7" s="17">
        <f>IF(OR($B7="",AB$5=""),"",IF(COUNTIFS(nrES_PID,$B7,nrES_Code,AB$5,nrES_Final,"Yes",nrES_Rec,"&gt;=0")=0,"",SUMIFS(nrES_Rec,nrES_PID,$B7,nrES_Code,AB$5,nrES_Final,"Yes")))</f>
        <v/>
      </c>
      <c r="AC7" s="17">
        <f>IF($B7="","",sysGrades!$M7)</f>
        <v/>
      </c>
      <c r="AD7" s="17">
        <f>IF($B7="","",IFERROR(sysGrades!$U7,""))</f>
        <v/>
      </c>
      <c r="AE7" s="17">
        <f>IF(Cadets!$B7="","",Cadets!$I7)</f>
        <v/>
      </c>
    </row>
    <row r="8">
      <c r="B8" s="17">
        <f>IF(Cadets!$B8="","",Cadets!$B8)</f>
        <v/>
      </c>
      <c r="C8" s="17">
        <f>IF($B8="","",Cadets!$F8)</f>
        <v/>
      </c>
      <c r="D8" s="17">
        <f>IF(OR($B8="",D$5=""),"",IF(COUNTIFS(nrES_PID,$B8,nrES_Code,D$5,nrES_Final,"Yes",nrES_Rec,"&gt;=0")=0,"",SUMIFS(nrES_Rec,nrES_PID,$B8,nrES_Code,D$5,nrES_Final,"Yes")))</f>
        <v/>
      </c>
      <c r="E8" s="17">
        <f>IF(OR($B8="",E$5=""),"",IF(COUNTIFS(nrES_PID,$B8,nrES_Code,E$5,nrES_Final,"Yes",nrES_Rec,"&gt;=0")=0,"",SUMIFS(nrES_Rec,nrES_PID,$B8,nrES_Code,E$5,nrES_Final,"Yes")))</f>
        <v/>
      </c>
      <c r="F8" s="17">
        <f>IF(OR($B8="",F$5=""),"",IF(COUNTIFS(nrES_PID,$B8,nrES_Code,F$5,nrES_Final,"Yes",nrES_Rec,"&gt;=0")=0,"",SUMIFS(nrES_Rec,nrES_PID,$B8,nrES_Code,F$5,nrES_Final,"Yes")))</f>
        <v/>
      </c>
      <c r="G8" s="17">
        <f>IF(OR($B8="",G$5=""),"",IF(COUNTIFS(nrES_PID,$B8,nrES_Code,G$5,nrES_Final,"Yes",nrES_Rec,"&gt;=0")=0,"",SUMIFS(nrES_Rec,nrES_PID,$B8,nrES_Code,G$5,nrES_Final,"Yes")))</f>
        <v/>
      </c>
      <c r="H8" s="17">
        <f>IF(OR($B8="",H$5=""),"",IF(COUNTIFS(nrES_PID,$B8,nrES_Code,H$5,nrES_Final,"Yes",nrES_Rec,"&gt;=0")=0,"",SUMIFS(nrES_Rec,nrES_PID,$B8,nrES_Code,H$5,nrES_Final,"Yes")))</f>
        <v/>
      </c>
      <c r="I8" s="17">
        <f>IF(OR($B8="",I$5=""),"",IF(COUNTIFS(nrES_PID,$B8,nrES_Code,I$5,nrES_Final,"Yes",nrES_Rec,"&gt;=0")=0,"",SUMIFS(nrES_Rec,nrES_PID,$B8,nrES_Code,I$5,nrES_Final,"Yes")))</f>
        <v/>
      </c>
      <c r="J8" s="17">
        <f>IF(OR($B8="",J$5=""),"",IF(COUNTIFS(nrES_PID,$B8,nrES_Code,J$5,nrES_Final,"Yes",nrES_Rec,"&gt;=0")=0,"",SUMIFS(nrES_Rec,nrES_PID,$B8,nrES_Code,J$5,nrES_Final,"Yes")))</f>
        <v/>
      </c>
      <c r="K8" s="17">
        <f>IF(OR($B8="",K$5=""),"",IF(COUNTIFS(nrES_PID,$B8,nrES_Code,K$5,nrES_Final,"Yes",nrES_Rec,"&gt;=0")=0,"",SUMIFS(nrES_Rec,nrES_PID,$B8,nrES_Code,K$5,nrES_Final,"Yes")))</f>
        <v/>
      </c>
      <c r="L8" s="17">
        <f>IF(OR($B8="",L$5=""),"",IF(COUNTIFS(nrES_PID,$B8,nrES_Code,L$5,nrES_Final,"Yes",nrES_Rec,"&gt;=0")=0,"",SUMIFS(nrES_Rec,nrES_PID,$B8,nrES_Code,L$5,nrES_Final,"Yes")))</f>
        <v/>
      </c>
      <c r="M8" s="17">
        <f>IF(OR($B8="",M$5=""),"",IF(COUNTIFS(nrES_PID,$B8,nrES_Code,M$5,nrES_Final,"Yes",nrES_Rec,"&gt;=0")=0,"",SUMIFS(nrES_Rec,nrES_PID,$B8,nrES_Code,M$5,nrES_Final,"Yes")))</f>
        <v/>
      </c>
      <c r="N8" s="17">
        <f>IF(OR($B8="",N$5=""),"",IF(COUNTIFS(nrES_PID,$B8,nrES_Code,N$5,nrES_Final,"Yes",nrES_Rec,"&gt;=0")=0,"",SUMIFS(nrES_Rec,nrES_PID,$B8,nrES_Code,N$5,nrES_Final,"Yes")))</f>
        <v/>
      </c>
      <c r="O8" s="17">
        <f>IF(OR($B8="",O$5=""),"",IF(COUNTIFS(nrES_PID,$B8,nrES_Code,O$5,nrES_Final,"Yes",nrES_Rec,"&gt;=0")=0,"",SUMIFS(nrES_Rec,nrES_PID,$B8,nrES_Code,O$5,nrES_Final,"Yes")))</f>
        <v/>
      </c>
      <c r="P8" s="17">
        <f>IF(OR($B8="",P$5=""),"",IF(COUNTIFS(nrES_PID,$B8,nrES_Code,P$5,nrES_Final,"Yes",nrES_Rec,"&gt;=0")=0,"",SUMIFS(nrES_Rec,nrES_PID,$B8,nrES_Code,P$5,nrES_Final,"Yes")))</f>
        <v/>
      </c>
      <c r="Q8" s="17">
        <f>IF(OR($B8="",Q$5=""),"",IF(COUNTIFS(nrES_PID,$B8,nrES_Code,Q$5,nrES_Final,"Yes",nrES_Rec,"&gt;=0")=0,"",SUMIFS(nrES_Rec,nrES_PID,$B8,nrES_Code,Q$5,nrES_Final,"Yes")))</f>
        <v/>
      </c>
      <c r="R8" s="17">
        <f>IF(OR($B8="",R$5=""),"",IF(COUNTIFS(nrES_PID,$B8,nrES_Code,R$5,nrES_Final,"Yes",nrES_Rec,"&gt;=0")=0,"",SUMIFS(nrES_Rec,nrES_PID,$B8,nrES_Code,R$5,nrES_Final,"Yes")))</f>
        <v/>
      </c>
      <c r="S8" s="17">
        <f>IF(OR($B8="",S$5=""),"",IF(COUNTIFS(nrES_PID,$B8,nrES_Code,S$5,nrES_Final,"Yes",nrES_Rec,"&gt;=0")=0,"",SUMIFS(nrES_Rec,nrES_PID,$B8,nrES_Code,S$5,nrES_Final,"Yes")))</f>
        <v/>
      </c>
      <c r="T8" s="17">
        <f>IF(OR($B8="",T$5=""),"",IF(COUNTIFS(nrES_PID,$B8,nrES_Code,T$5,nrES_Final,"Yes",nrES_Rec,"&gt;=0")=0,"",SUMIFS(nrES_Rec,nrES_PID,$B8,nrES_Code,T$5,nrES_Final,"Yes")))</f>
        <v/>
      </c>
      <c r="U8" s="17">
        <f>IF(OR($B8="",U$5=""),"",IF(COUNTIFS(nrES_PID,$B8,nrES_Code,U$5,nrES_Final,"Yes",nrES_Rec,"&gt;=0")=0,"",SUMIFS(nrES_Rec,nrES_PID,$B8,nrES_Code,U$5,nrES_Final,"Yes")))</f>
        <v/>
      </c>
      <c r="V8" s="17">
        <f>IF(OR($B8="",V$5=""),"",IF(COUNTIFS(nrES_PID,$B8,nrES_Code,V$5,nrES_Final,"Yes",nrES_Rec,"&gt;=0")=0,"",SUMIFS(nrES_Rec,nrES_PID,$B8,nrES_Code,V$5,nrES_Final,"Yes")))</f>
        <v/>
      </c>
      <c r="W8" s="17">
        <f>IF(OR($B8="",W$5=""),"",IF(COUNTIFS(nrES_PID,$B8,nrES_Code,W$5,nrES_Final,"Yes",nrES_Rec,"&gt;=0")=0,"",SUMIFS(nrES_Rec,nrES_PID,$B8,nrES_Code,W$5,nrES_Final,"Yes")))</f>
        <v/>
      </c>
      <c r="X8" s="17">
        <f>IF(OR($B8="",X$5=""),"",IF(COUNTIFS(nrES_PID,$B8,nrES_Code,X$5,nrES_Final,"Yes",nrES_Rec,"&gt;=0")=0,"",SUMIFS(nrES_Rec,nrES_PID,$B8,nrES_Code,X$5,nrES_Final,"Yes")))</f>
        <v/>
      </c>
      <c r="Y8" s="17">
        <f>IF(OR($B8="",Y$5=""),"",IF(COUNTIFS(nrES_PID,$B8,nrES_Code,Y$5,nrES_Final,"Yes",nrES_Rec,"&gt;=0")=0,"",SUMIFS(nrES_Rec,nrES_PID,$B8,nrES_Code,Y$5,nrES_Final,"Yes")))</f>
        <v/>
      </c>
      <c r="Z8" s="17">
        <f>IF(OR($B8="",Z$5=""),"",IF(COUNTIFS(nrES_PID,$B8,nrES_Code,Z$5,nrES_Final,"Yes",nrES_Rec,"&gt;=0")=0,"",SUMIFS(nrES_Rec,nrES_PID,$B8,nrES_Code,Z$5,nrES_Final,"Yes")))</f>
        <v/>
      </c>
      <c r="AA8" s="17">
        <f>IF(OR($B8="",AA$5=""),"",IF(COUNTIFS(nrES_PID,$B8,nrES_Code,AA$5,nrES_Final,"Yes",nrES_Rec,"&gt;=0")=0,"",SUMIFS(nrES_Rec,nrES_PID,$B8,nrES_Code,AA$5,nrES_Final,"Yes")))</f>
        <v/>
      </c>
      <c r="AB8" s="17">
        <f>IF(OR($B8="",AB$5=""),"",IF(COUNTIFS(nrES_PID,$B8,nrES_Code,AB$5,nrES_Final,"Yes",nrES_Rec,"&gt;=0")=0,"",SUMIFS(nrES_Rec,nrES_PID,$B8,nrES_Code,AB$5,nrES_Final,"Yes")))</f>
        <v/>
      </c>
      <c r="AC8" s="17">
        <f>IF($B8="","",sysGrades!$M8)</f>
        <v/>
      </c>
      <c r="AD8" s="17">
        <f>IF($B8="","",IFERROR(sysGrades!$U8,""))</f>
        <v/>
      </c>
      <c r="AE8" s="17">
        <f>IF(Cadets!$B8="","",Cadets!$I8)</f>
        <v/>
      </c>
    </row>
    <row r="9">
      <c r="B9" s="17">
        <f>IF(Cadets!$B9="","",Cadets!$B9)</f>
        <v/>
      </c>
      <c r="C9" s="17">
        <f>IF($B9="","",Cadets!$F9)</f>
        <v/>
      </c>
      <c r="D9" s="17">
        <f>IF(OR($B9="",D$5=""),"",IF(COUNTIFS(nrES_PID,$B9,nrES_Code,D$5,nrES_Final,"Yes",nrES_Rec,"&gt;=0")=0,"",SUMIFS(nrES_Rec,nrES_PID,$B9,nrES_Code,D$5,nrES_Final,"Yes")))</f>
        <v/>
      </c>
      <c r="E9" s="17">
        <f>IF(OR($B9="",E$5=""),"",IF(COUNTIFS(nrES_PID,$B9,nrES_Code,E$5,nrES_Final,"Yes",nrES_Rec,"&gt;=0")=0,"",SUMIFS(nrES_Rec,nrES_PID,$B9,nrES_Code,E$5,nrES_Final,"Yes")))</f>
        <v/>
      </c>
      <c r="F9" s="17">
        <f>IF(OR($B9="",F$5=""),"",IF(COUNTIFS(nrES_PID,$B9,nrES_Code,F$5,nrES_Final,"Yes",nrES_Rec,"&gt;=0")=0,"",SUMIFS(nrES_Rec,nrES_PID,$B9,nrES_Code,F$5,nrES_Final,"Yes")))</f>
        <v/>
      </c>
      <c r="G9" s="17">
        <f>IF(OR($B9="",G$5=""),"",IF(COUNTIFS(nrES_PID,$B9,nrES_Code,G$5,nrES_Final,"Yes",nrES_Rec,"&gt;=0")=0,"",SUMIFS(nrES_Rec,nrES_PID,$B9,nrES_Code,G$5,nrES_Final,"Yes")))</f>
        <v/>
      </c>
      <c r="H9" s="17">
        <f>IF(OR($B9="",H$5=""),"",IF(COUNTIFS(nrES_PID,$B9,nrES_Code,H$5,nrES_Final,"Yes",nrES_Rec,"&gt;=0")=0,"",SUMIFS(nrES_Rec,nrES_PID,$B9,nrES_Code,H$5,nrES_Final,"Yes")))</f>
        <v/>
      </c>
      <c r="I9" s="17">
        <f>IF(OR($B9="",I$5=""),"",IF(COUNTIFS(nrES_PID,$B9,nrES_Code,I$5,nrES_Final,"Yes",nrES_Rec,"&gt;=0")=0,"",SUMIFS(nrES_Rec,nrES_PID,$B9,nrES_Code,I$5,nrES_Final,"Yes")))</f>
        <v/>
      </c>
      <c r="J9" s="17">
        <f>IF(OR($B9="",J$5=""),"",IF(COUNTIFS(nrES_PID,$B9,nrES_Code,J$5,nrES_Final,"Yes",nrES_Rec,"&gt;=0")=0,"",SUMIFS(nrES_Rec,nrES_PID,$B9,nrES_Code,J$5,nrES_Final,"Yes")))</f>
        <v/>
      </c>
      <c r="K9" s="17">
        <f>IF(OR($B9="",K$5=""),"",IF(COUNTIFS(nrES_PID,$B9,nrES_Code,K$5,nrES_Final,"Yes",nrES_Rec,"&gt;=0")=0,"",SUMIFS(nrES_Rec,nrES_PID,$B9,nrES_Code,K$5,nrES_Final,"Yes")))</f>
        <v/>
      </c>
      <c r="L9" s="17">
        <f>IF(OR($B9="",L$5=""),"",IF(COUNTIFS(nrES_PID,$B9,nrES_Code,L$5,nrES_Final,"Yes",nrES_Rec,"&gt;=0")=0,"",SUMIFS(nrES_Rec,nrES_PID,$B9,nrES_Code,L$5,nrES_Final,"Yes")))</f>
        <v/>
      </c>
      <c r="M9" s="17">
        <f>IF(OR($B9="",M$5=""),"",IF(COUNTIFS(nrES_PID,$B9,nrES_Code,M$5,nrES_Final,"Yes",nrES_Rec,"&gt;=0")=0,"",SUMIFS(nrES_Rec,nrES_PID,$B9,nrES_Code,M$5,nrES_Final,"Yes")))</f>
        <v/>
      </c>
      <c r="N9" s="17">
        <f>IF(OR($B9="",N$5=""),"",IF(COUNTIFS(nrES_PID,$B9,nrES_Code,N$5,nrES_Final,"Yes",nrES_Rec,"&gt;=0")=0,"",SUMIFS(nrES_Rec,nrES_PID,$B9,nrES_Code,N$5,nrES_Final,"Yes")))</f>
        <v/>
      </c>
      <c r="O9" s="17">
        <f>IF(OR($B9="",O$5=""),"",IF(COUNTIFS(nrES_PID,$B9,nrES_Code,O$5,nrES_Final,"Yes",nrES_Rec,"&gt;=0")=0,"",SUMIFS(nrES_Rec,nrES_PID,$B9,nrES_Code,O$5,nrES_Final,"Yes")))</f>
        <v/>
      </c>
      <c r="P9" s="17">
        <f>IF(OR($B9="",P$5=""),"",IF(COUNTIFS(nrES_PID,$B9,nrES_Code,P$5,nrES_Final,"Yes",nrES_Rec,"&gt;=0")=0,"",SUMIFS(nrES_Rec,nrES_PID,$B9,nrES_Code,P$5,nrES_Final,"Yes")))</f>
        <v/>
      </c>
      <c r="Q9" s="17">
        <f>IF(OR($B9="",Q$5=""),"",IF(COUNTIFS(nrES_PID,$B9,nrES_Code,Q$5,nrES_Final,"Yes",nrES_Rec,"&gt;=0")=0,"",SUMIFS(nrES_Rec,nrES_PID,$B9,nrES_Code,Q$5,nrES_Final,"Yes")))</f>
        <v/>
      </c>
      <c r="R9" s="17">
        <f>IF(OR($B9="",R$5=""),"",IF(COUNTIFS(nrES_PID,$B9,nrES_Code,R$5,nrES_Final,"Yes",nrES_Rec,"&gt;=0")=0,"",SUMIFS(nrES_Rec,nrES_PID,$B9,nrES_Code,R$5,nrES_Final,"Yes")))</f>
        <v/>
      </c>
      <c r="S9" s="17">
        <f>IF(OR($B9="",S$5=""),"",IF(COUNTIFS(nrES_PID,$B9,nrES_Code,S$5,nrES_Final,"Yes",nrES_Rec,"&gt;=0")=0,"",SUMIFS(nrES_Rec,nrES_PID,$B9,nrES_Code,S$5,nrES_Final,"Yes")))</f>
        <v/>
      </c>
      <c r="T9" s="17">
        <f>IF(OR($B9="",T$5=""),"",IF(COUNTIFS(nrES_PID,$B9,nrES_Code,T$5,nrES_Final,"Yes",nrES_Rec,"&gt;=0")=0,"",SUMIFS(nrES_Rec,nrES_PID,$B9,nrES_Code,T$5,nrES_Final,"Yes")))</f>
        <v/>
      </c>
      <c r="U9" s="17">
        <f>IF(OR($B9="",U$5=""),"",IF(COUNTIFS(nrES_PID,$B9,nrES_Code,U$5,nrES_Final,"Yes",nrES_Rec,"&gt;=0")=0,"",SUMIFS(nrES_Rec,nrES_PID,$B9,nrES_Code,U$5,nrES_Final,"Yes")))</f>
        <v/>
      </c>
      <c r="V9" s="17">
        <f>IF(OR($B9="",V$5=""),"",IF(COUNTIFS(nrES_PID,$B9,nrES_Code,V$5,nrES_Final,"Yes",nrES_Rec,"&gt;=0")=0,"",SUMIFS(nrES_Rec,nrES_PID,$B9,nrES_Code,V$5,nrES_Final,"Yes")))</f>
        <v/>
      </c>
      <c r="W9" s="17">
        <f>IF(OR($B9="",W$5=""),"",IF(COUNTIFS(nrES_PID,$B9,nrES_Code,W$5,nrES_Final,"Yes",nrES_Rec,"&gt;=0")=0,"",SUMIFS(nrES_Rec,nrES_PID,$B9,nrES_Code,W$5,nrES_Final,"Yes")))</f>
        <v/>
      </c>
      <c r="X9" s="17">
        <f>IF(OR($B9="",X$5=""),"",IF(COUNTIFS(nrES_PID,$B9,nrES_Code,X$5,nrES_Final,"Yes",nrES_Rec,"&gt;=0")=0,"",SUMIFS(nrES_Rec,nrES_PID,$B9,nrES_Code,X$5,nrES_Final,"Yes")))</f>
        <v/>
      </c>
      <c r="Y9" s="17">
        <f>IF(OR($B9="",Y$5=""),"",IF(COUNTIFS(nrES_PID,$B9,nrES_Code,Y$5,nrES_Final,"Yes",nrES_Rec,"&gt;=0")=0,"",SUMIFS(nrES_Rec,nrES_PID,$B9,nrES_Code,Y$5,nrES_Final,"Yes")))</f>
        <v/>
      </c>
      <c r="Z9" s="17">
        <f>IF(OR($B9="",Z$5=""),"",IF(COUNTIFS(nrES_PID,$B9,nrES_Code,Z$5,nrES_Final,"Yes",nrES_Rec,"&gt;=0")=0,"",SUMIFS(nrES_Rec,nrES_PID,$B9,nrES_Code,Z$5,nrES_Final,"Yes")))</f>
        <v/>
      </c>
      <c r="AA9" s="17">
        <f>IF(OR($B9="",AA$5=""),"",IF(COUNTIFS(nrES_PID,$B9,nrES_Code,AA$5,nrES_Final,"Yes",nrES_Rec,"&gt;=0")=0,"",SUMIFS(nrES_Rec,nrES_PID,$B9,nrES_Code,AA$5,nrES_Final,"Yes")))</f>
        <v/>
      </c>
      <c r="AB9" s="17">
        <f>IF(OR($B9="",AB$5=""),"",IF(COUNTIFS(nrES_PID,$B9,nrES_Code,AB$5,nrES_Final,"Yes",nrES_Rec,"&gt;=0")=0,"",SUMIFS(nrES_Rec,nrES_PID,$B9,nrES_Code,AB$5,nrES_Final,"Yes")))</f>
        <v/>
      </c>
      <c r="AC9" s="17">
        <f>IF($B9="","",sysGrades!$M9)</f>
        <v/>
      </c>
      <c r="AD9" s="17">
        <f>IF($B9="","",IFERROR(sysGrades!$U9,""))</f>
        <v/>
      </c>
      <c r="AE9" s="17">
        <f>IF(Cadets!$B9="","",Cadets!$I9)</f>
        <v/>
      </c>
    </row>
    <row r="10">
      <c r="B10" s="17">
        <f>IF(Cadets!$B10="","",Cadets!$B10)</f>
        <v/>
      </c>
      <c r="C10" s="17">
        <f>IF($B10="","",Cadets!$F10)</f>
        <v/>
      </c>
      <c r="D10" s="17">
        <f>IF(OR($B10="",D$5=""),"",IF(COUNTIFS(nrES_PID,$B10,nrES_Code,D$5,nrES_Final,"Yes",nrES_Rec,"&gt;=0")=0,"",SUMIFS(nrES_Rec,nrES_PID,$B10,nrES_Code,D$5,nrES_Final,"Yes")))</f>
        <v/>
      </c>
      <c r="E10" s="17">
        <f>IF(OR($B10="",E$5=""),"",IF(COUNTIFS(nrES_PID,$B10,nrES_Code,E$5,nrES_Final,"Yes",nrES_Rec,"&gt;=0")=0,"",SUMIFS(nrES_Rec,nrES_PID,$B10,nrES_Code,E$5,nrES_Final,"Yes")))</f>
        <v/>
      </c>
      <c r="F10" s="17">
        <f>IF(OR($B10="",F$5=""),"",IF(COUNTIFS(nrES_PID,$B10,nrES_Code,F$5,nrES_Final,"Yes",nrES_Rec,"&gt;=0")=0,"",SUMIFS(nrES_Rec,nrES_PID,$B10,nrES_Code,F$5,nrES_Final,"Yes")))</f>
        <v/>
      </c>
      <c r="G10" s="17">
        <f>IF(OR($B10="",G$5=""),"",IF(COUNTIFS(nrES_PID,$B10,nrES_Code,G$5,nrES_Final,"Yes",nrES_Rec,"&gt;=0")=0,"",SUMIFS(nrES_Rec,nrES_PID,$B10,nrES_Code,G$5,nrES_Final,"Yes")))</f>
        <v/>
      </c>
      <c r="H10" s="17">
        <f>IF(OR($B10="",H$5=""),"",IF(COUNTIFS(nrES_PID,$B10,nrES_Code,H$5,nrES_Final,"Yes",nrES_Rec,"&gt;=0")=0,"",SUMIFS(nrES_Rec,nrES_PID,$B10,nrES_Code,H$5,nrES_Final,"Yes")))</f>
        <v/>
      </c>
      <c r="I10" s="17">
        <f>IF(OR($B10="",I$5=""),"",IF(COUNTIFS(nrES_PID,$B10,nrES_Code,I$5,nrES_Final,"Yes",nrES_Rec,"&gt;=0")=0,"",SUMIFS(nrES_Rec,nrES_PID,$B10,nrES_Code,I$5,nrES_Final,"Yes")))</f>
        <v/>
      </c>
      <c r="J10" s="17">
        <f>IF(OR($B10="",J$5=""),"",IF(COUNTIFS(nrES_PID,$B10,nrES_Code,J$5,nrES_Final,"Yes",nrES_Rec,"&gt;=0")=0,"",SUMIFS(nrES_Rec,nrES_PID,$B10,nrES_Code,J$5,nrES_Final,"Yes")))</f>
        <v/>
      </c>
      <c r="K10" s="17">
        <f>IF(OR($B10="",K$5=""),"",IF(COUNTIFS(nrES_PID,$B10,nrES_Code,K$5,nrES_Final,"Yes",nrES_Rec,"&gt;=0")=0,"",SUMIFS(nrES_Rec,nrES_PID,$B10,nrES_Code,K$5,nrES_Final,"Yes")))</f>
        <v/>
      </c>
      <c r="L10" s="17">
        <f>IF(OR($B10="",L$5=""),"",IF(COUNTIFS(nrES_PID,$B10,nrES_Code,L$5,nrES_Final,"Yes",nrES_Rec,"&gt;=0")=0,"",SUMIFS(nrES_Rec,nrES_PID,$B10,nrES_Code,L$5,nrES_Final,"Yes")))</f>
        <v/>
      </c>
      <c r="M10" s="17">
        <f>IF(OR($B10="",M$5=""),"",IF(COUNTIFS(nrES_PID,$B10,nrES_Code,M$5,nrES_Final,"Yes",nrES_Rec,"&gt;=0")=0,"",SUMIFS(nrES_Rec,nrES_PID,$B10,nrES_Code,M$5,nrES_Final,"Yes")))</f>
        <v/>
      </c>
      <c r="N10" s="17">
        <f>IF(OR($B10="",N$5=""),"",IF(COUNTIFS(nrES_PID,$B10,nrES_Code,N$5,nrES_Final,"Yes",nrES_Rec,"&gt;=0")=0,"",SUMIFS(nrES_Rec,nrES_PID,$B10,nrES_Code,N$5,nrES_Final,"Yes")))</f>
        <v/>
      </c>
      <c r="O10" s="17">
        <f>IF(OR($B10="",O$5=""),"",IF(COUNTIFS(nrES_PID,$B10,nrES_Code,O$5,nrES_Final,"Yes",nrES_Rec,"&gt;=0")=0,"",SUMIFS(nrES_Rec,nrES_PID,$B10,nrES_Code,O$5,nrES_Final,"Yes")))</f>
        <v/>
      </c>
      <c r="P10" s="17">
        <f>IF(OR($B10="",P$5=""),"",IF(COUNTIFS(nrES_PID,$B10,nrES_Code,P$5,nrES_Final,"Yes",nrES_Rec,"&gt;=0")=0,"",SUMIFS(nrES_Rec,nrES_PID,$B10,nrES_Code,P$5,nrES_Final,"Yes")))</f>
        <v/>
      </c>
      <c r="Q10" s="17">
        <f>IF(OR($B10="",Q$5=""),"",IF(COUNTIFS(nrES_PID,$B10,nrES_Code,Q$5,nrES_Final,"Yes",nrES_Rec,"&gt;=0")=0,"",SUMIFS(nrES_Rec,nrES_PID,$B10,nrES_Code,Q$5,nrES_Final,"Yes")))</f>
        <v/>
      </c>
      <c r="R10" s="17">
        <f>IF(OR($B10="",R$5=""),"",IF(COUNTIFS(nrES_PID,$B10,nrES_Code,R$5,nrES_Final,"Yes",nrES_Rec,"&gt;=0")=0,"",SUMIFS(nrES_Rec,nrES_PID,$B10,nrES_Code,R$5,nrES_Final,"Yes")))</f>
        <v/>
      </c>
      <c r="S10" s="17">
        <f>IF(OR($B10="",S$5=""),"",IF(COUNTIFS(nrES_PID,$B10,nrES_Code,S$5,nrES_Final,"Yes",nrES_Rec,"&gt;=0")=0,"",SUMIFS(nrES_Rec,nrES_PID,$B10,nrES_Code,S$5,nrES_Final,"Yes")))</f>
        <v/>
      </c>
      <c r="T10" s="17">
        <f>IF(OR($B10="",T$5=""),"",IF(COUNTIFS(nrES_PID,$B10,nrES_Code,T$5,nrES_Final,"Yes",nrES_Rec,"&gt;=0")=0,"",SUMIFS(nrES_Rec,nrES_PID,$B10,nrES_Code,T$5,nrES_Final,"Yes")))</f>
        <v/>
      </c>
      <c r="U10" s="17">
        <f>IF(OR($B10="",U$5=""),"",IF(COUNTIFS(nrES_PID,$B10,nrES_Code,U$5,nrES_Final,"Yes",nrES_Rec,"&gt;=0")=0,"",SUMIFS(nrES_Rec,nrES_PID,$B10,nrES_Code,U$5,nrES_Final,"Yes")))</f>
        <v/>
      </c>
      <c r="V10" s="17">
        <f>IF(OR($B10="",V$5=""),"",IF(COUNTIFS(nrES_PID,$B10,nrES_Code,V$5,nrES_Final,"Yes",nrES_Rec,"&gt;=0")=0,"",SUMIFS(nrES_Rec,nrES_PID,$B10,nrES_Code,V$5,nrES_Final,"Yes")))</f>
        <v/>
      </c>
      <c r="W10" s="17">
        <f>IF(OR($B10="",W$5=""),"",IF(COUNTIFS(nrES_PID,$B10,nrES_Code,W$5,nrES_Final,"Yes",nrES_Rec,"&gt;=0")=0,"",SUMIFS(nrES_Rec,nrES_PID,$B10,nrES_Code,W$5,nrES_Final,"Yes")))</f>
        <v/>
      </c>
      <c r="X10" s="17">
        <f>IF(OR($B10="",X$5=""),"",IF(COUNTIFS(nrES_PID,$B10,nrES_Code,X$5,nrES_Final,"Yes",nrES_Rec,"&gt;=0")=0,"",SUMIFS(nrES_Rec,nrES_PID,$B10,nrES_Code,X$5,nrES_Final,"Yes")))</f>
        <v/>
      </c>
      <c r="Y10" s="17">
        <f>IF(OR($B10="",Y$5=""),"",IF(COUNTIFS(nrES_PID,$B10,nrES_Code,Y$5,nrES_Final,"Yes",nrES_Rec,"&gt;=0")=0,"",SUMIFS(nrES_Rec,nrES_PID,$B10,nrES_Code,Y$5,nrES_Final,"Yes")))</f>
        <v/>
      </c>
      <c r="Z10" s="17">
        <f>IF(OR($B10="",Z$5=""),"",IF(COUNTIFS(nrES_PID,$B10,nrES_Code,Z$5,nrES_Final,"Yes",nrES_Rec,"&gt;=0")=0,"",SUMIFS(nrES_Rec,nrES_PID,$B10,nrES_Code,Z$5,nrES_Final,"Yes")))</f>
        <v/>
      </c>
      <c r="AA10" s="17">
        <f>IF(OR($B10="",AA$5=""),"",IF(COUNTIFS(nrES_PID,$B10,nrES_Code,AA$5,nrES_Final,"Yes",nrES_Rec,"&gt;=0")=0,"",SUMIFS(nrES_Rec,nrES_PID,$B10,nrES_Code,AA$5,nrES_Final,"Yes")))</f>
        <v/>
      </c>
      <c r="AB10" s="17">
        <f>IF(OR($B10="",AB$5=""),"",IF(COUNTIFS(nrES_PID,$B10,nrES_Code,AB$5,nrES_Final,"Yes",nrES_Rec,"&gt;=0")=0,"",SUMIFS(nrES_Rec,nrES_PID,$B10,nrES_Code,AB$5,nrES_Final,"Yes")))</f>
        <v/>
      </c>
      <c r="AC10" s="17">
        <f>IF($B10="","",sysGrades!$M10)</f>
        <v/>
      </c>
      <c r="AD10" s="17">
        <f>IF($B10="","",IFERROR(sysGrades!$U10,""))</f>
        <v/>
      </c>
      <c r="AE10" s="17">
        <f>IF(Cadets!$B10="","",Cadets!$I10)</f>
        <v/>
      </c>
    </row>
    <row r="11">
      <c r="B11" s="17">
        <f>IF(Cadets!$B11="","",Cadets!$B11)</f>
        <v/>
      </c>
      <c r="C11" s="17">
        <f>IF($B11="","",Cadets!$F11)</f>
        <v/>
      </c>
      <c r="D11" s="17">
        <f>IF(OR($B11="",D$5=""),"",IF(COUNTIFS(nrES_PID,$B11,nrES_Code,D$5,nrES_Final,"Yes",nrES_Rec,"&gt;=0")=0,"",SUMIFS(nrES_Rec,nrES_PID,$B11,nrES_Code,D$5,nrES_Final,"Yes")))</f>
        <v/>
      </c>
      <c r="E11" s="17">
        <f>IF(OR($B11="",E$5=""),"",IF(COUNTIFS(nrES_PID,$B11,nrES_Code,E$5,nrES_Final,"Yes",nrES_Rec,"&gt;=0")=0,"",SUMIFS(nrES_Rec,nrES_PID,$B11,nrES_Code,E$5,nrES_Final,"Yes")))</f>
        <v/>
      </c>
      <c r="F11" s="17">
        <f>IF(OR($B11="",F$5=""),"",IF(COUNTIFS(nrES_PID,$B11,nrES_Code,F$5,nrES_Final,"Yes",nrES_Rec,"&gt;=0")=0,"",SUMIFS(nrES_Rec,nrES_PID,$B11,nrES_Code,F$5,nrES_Final,"Yes")))</f>
        <v/>
      </c>
      <c r="G11" s="17">
        <f>IF(OR($B11="",G$5=""),"",IF(COUNTIFS(nrES_PID,$B11,nrES_Code,G$5,nrES_Final,"Yes",nrES_Rec,"&gt;=0")=0,"",SUMIFS(nrES_Rec,nrES_PID,$B11,nrES_Code,G$5,nrES_Final,"Yes")))</f>
        <v/>
      </c>
      <c r="H11" s="17">
        <f>IF(OR($B11="",H$5=""),"",IF(COUNTIFS(nrES_PID,$B11,nrES_Code,H$5,nrES_Final,"Yes",nrES_Rec,"&gt;=0")=0,"",SUMIFS(nrES_Rec,nrES_PID,$B11,nrES_Code,H$5,nrES_Final,"Yes")))</f>
        <v/>
      </c>
      <c r="I11" s="17">
        <f>IF(OR($B11="",I$5=""),"",IF(COUNTIFS(nrES_PID,$B11,nrES_Code,I$5,nrES_Final,"Yes",nrES_Rec,"&gt;=0")=0,"",SUMIFS(nrES_Rec,nrES_PID,$B11,nrES_Code,I$5,nrES_Final,"Yes")))</f>
        <v/>
      </c>
      <c r="J11" s="17">
        <f>IF(OR($B11="",J$5=""),"",IF(COUNTIFS(nrES_PID,$B11,nrES_Code,J$5,nrES_Final,"Yes",nrES_Rec,"&gt;=0")=0,"",SUMIFS(nrES_Rec,nrES_PID,$B11,nrES_Code,J$5,nrES_Final,"Yes")))</f>
        <v/>
      </c>
      <c r="K11" s="17">
        <f>IF(OR($B11="",K$5=""),"",IF(COUNTIFS(nrES_PID,$B11,nrES_Code,K$5,nrES_Final,"Yes",nrES_Rec,"&gt;=0")=0,"",SUMIFS(nrES_Rec,nrES_PID,$B11,nrES_Code,K$5,nrES_Final,"Yes")))</f>
        <v/>
      </c>
      <c r="L11" s="17">
        <f>IF(OR($B11="",L$5=""),"",IF(COUNTIFS(nrES_PID,$B11,nrES_Code,L$5,nrES_Final,"Yes",nrES_Rec,"&gt;=0")=0,"",SUMIFS(nrES_Rec,nrES_PID,$B11,nrES_Code,L$5,nrES_Final,"Yes")))</f>
        <v/>
      </c>
      <c r="M11" s="17">
        <f>IF(OR($B11="",M$5=""),"",IF(COUNTIFS(nrES_PID,$B11,nrES_Code,M$5,nrES_Final,"Yes",nrES_Rec,"&gt;=0")=0,"",SUMIFS(nrES_Rec,nrES_PID,$B11,nrES_Code,M$5,nrES_Final,"Yes")))</f>
        <v/>
      </c>
      <c r="N11" s="17">
        <f>IF(OR($B11="",N$5=""),"",IF(COUNTIFS(nrES_PID,$B11,nrES_Code,N$5,nrES_Final,"Yes",nrES_Rec,"&gt;=0")=0,"",SUMIFS(nrES_Rec,nrES_PID,$B11,nrES_Code,N$5,nrES_Final,"Yes")))</f>
        <v/>
      </c>
      <c r="O11" s="17">
        <f>IF(OR($B11="",O$5=""),"",IF(COUNTIFS(nrES_PID,$B11,nrES_Code,O$5,nrES_Final,"Yes",nrES_Rec,"&gt;=0")=0,"",SUMIFS(nrES_Rec,nrES_PID,$B11,nrES_Code,O$5,nrES_Final,"Yes")))</f>
        <v/>
      </c>
      <c r="P11" s="17">
        <f>IF(OR($B11="",P$5=""),"",IF(COUNTIFS(nrES_PID,$B11,nrES_Code,P$5,nrES_Final,"Yes",nrES_Rec,"&gt;=0")=0,"",SUMIFS(nrES_Rec,nrES_PID,$B11,nrES_Code,P$5,nrES_Final,"Yes")))</f>
        <v/>
      </c>
      <c r="Q11" s="17">
        <f>IF(OR($B11="",Q$5=""),"",IF(COUNTIFS(nrES_PID,$B11,nrES_Code,Q$5,nrES_Final,"Yes",nrES_Rec,"&gt;=0")=0,"",SUMIFS(nrES_Rec,nrES_PID,$B11,nrES_Code,Q$5,nrES_Final,"Yes")))</f>
        <v/>
      </c>
      <c r="R11" s="17">
        <f>IF(OR($B11="",R$5=""),"",IF(COUNTIFS(nrES_PID,$B11,nrES_Code,R$5,nrES_Final,"Yes",nrES_Rec,"&gt;=0")=0,"",SUMIFS(nrES_Rec,nrES_PID,$B11,nrES_Code,R$5,nrES_Final,"Yes")))</f>
        <v/>
      </c>
      <c r="S11" s="17">
        <f>IF(OR($B11="",S$5=""),"",IF(COUNTIFS(nrES_PID,$B11,nrES_Code,S$5,nrES_Final,"Yes",nrES_Rec,"&gt;=0")=0,"",SUMIFS(nrES_Rec,nrES_PID,$B11,nrES_Code,S$5,nrES_Final,"Yes")))</f>
        <v/>
      </c>
      <c r="T11" s="17">
        <f>IF(OR($B11="",T$5=""),"",IF(COUNTIFS(nrES_PID,$B11,nrES_Code,T$5,nrES_Final,"Yes",nrES_Rec,"&gt;=0")=0,"",SUMIFS(nrES_Rec,nrES_PID,$B11,nrES_Code,T$5,nrES_Final,"Yes")))</f>
        <v/>
      </c>
      <c r="U11" s="17">
        <f>IF(OR($B11="",U$5=""),"",IF(COUNTIFS(nrES_PID,$B11,nrES_Code,U$5,nrES_Final,"Yes",nrES_Rec,"&gt;=0")=0,"",SUMIFS(nrES_Rec,nrES_PID,$B11,nrES_Code,U$5,nrES_Final,"Yes")))</f>
        <v/>
      </c>
      <c r="V11" s="17">
        <f>IF(OR($B11="",V$5=""),"",IF(COUNTIFS(nrES_PID,$B11,nrES_Code,V$5,nrES_Final,"Yes",nrES_Rec,"&gt;=0")=0,"",SUMIFS(nrES_Rec,nrES_PID,$B11,nrES_Code,V$5,nrES_Final,"Yes")))</f>
        <v/>
      </c>
      <c r="W11" s="17">
        <f>IF(OR($B11="",W$5=""),"",IF(COUNTIFS(nrES_PID,$B11,nrES_Code,W$5,nrES_Final,"Yes",nrES_Rec,"&gt;=0")=0,"",SUMIFS(nrES_Rec,nrES_PID,$B11,nrES_Code,W$5,nrES_Final,"Yes")))</f>
        <v/>
      </c>
      <c r="X11" s="17">
        <f>IF(OR($B11="",X$5=""),"",IF(COUNTIFS(nrES_PID,$B11,nrES_Code,X$5,nrES_Final,"Yes",nrES_Rec,"&gt;=0")=0,"",SUMIFS(nrES_Rec,nrES_PID,$B11,nrES_Code,X$5,nrES_Final,"Yes")))</f>
        <v/>
      </c>
      <c r="Y11" s="17">
        <f>IF(OR($B11="",Y$5=""),"",IF(COUNTIFS(nrES_PID,$B11,nrES_Code,Y$5,nrES_Final,"Yes",nrES_Rec,"&gt;=0")=0,"",SUMIFS(nrES_Rec,nrES_PID,$B11,nrES_Code,Y$5,nrES_Final,"Yes")))</f>
        <v/>
      </c>
      <c r="Z11" s="17">
        <f>IF(OR($B11="",Z$5=""),"",IF(COUNTIFS(nrES_PID,$B11,nrES_Code,Z$5,nrES_Final,"Yes",nrES_Rec,"&gt;=0")=0,"",SUMIFS(nrES_Rec,nrES_PID,$B11,nrES_Code,Z$5,nrES_Final,"Yes")))</f>
        <v/>
      </c>
      <c r="AA11" s="17">
        <f>IF(OR($B11="",AA$5=""),"",IF(COUNTIFS(nrES_PID,$B11,nrES_Code,AA$5,nrES_Final,"Yes",nrES_Rec,"&gt;=0")=0,"",SUMIFS(nrES_Rec,nrES_PID,$B11,nrES_Code,AA$5,nrES_Final,"Yes")))</f>
        <v/>
      </c>
      <c r="AB11" s="17">
        <f>IF(OR($B11="",AB$5=""),"",IF(COUNTIFS(nrES_PID,$B11,nrES_Code,AB$5,nrES_Final,"Yes",nrES_Rec,"&gt;=0")=0,"",SUMIFS(nrES_Rec,nrES_PID,$B11,nrES_Code,AB$5,nrES_Final,"Yes")))</f>
        <v/>
      </c>
      <c r="AC11" s="17">
        <f>IF($B11="","",sysGrades!$M11)</f>
        <v/>
      </c>
      <c r="AD11" s="17">
        <f>IF($B11="","",IFERROR(sysGrades!$U11,""))</f>
        <v/>
      </c>
      <c r="AE11" s="17">
        <f>IF(Cadets!$B11="","",Cadets!$I11)</f>
        <v/>
      </c>
    </row>
    <row r="12">
      <c r="B12" s="17">
        <f>IF(Cadets!$B12="","",Cadets!$B12)</f>
        <v/>
      </c>
      <c r="C12" s="17">
        <f>IF($B12="","",Cadets!$F12)</f>
        <v/>
      </c>
      <c r="D12" s="17">
        <f>IF(OR($B12="",D$5=""),"",IF(COUNTIFS(nrES_PID,$B12,nrES_Code,D$5,nrES_Final,"Yes",nrES_Rec,"&gt;=0")=0,"",SUMIFS(nrES_Rec,nrES_PID,$B12,nrES_Code,D$5,nrES_Final,"Yes")))</f>
        <v/>
      </c>
      <c r="E12" s="17">
        <f>IF(OR($B12="",E$5=""),"",IF(COUNTIFS(nrES_PID,$B12,nrES_Code,E$5,nrES_Final,"Yes",nrES_Rec,"&gt;=0")=0,"",SUMIFS(nrES_Rec,nrES_PID,$B12,nrES_Code,E$5,nrES_Final,"Yes")))</f>
        <v/>
      </c>
      <c r="F12" s="17">
        <f>IF(OR($B12="",F$5=""),"",IF(COUNTIFS(nrES_PID,$B12,nrES_Code,F$5,nrES_Final,"Yes",nrES_Rec,"&gt;=0")=0,"",SUMIFS(nrES_Rec,nrES_PID,$B12,nrES_Code,F$5,nrES_Final,"Yes")))</f>
        <v/>
      </c>
      <c r="G12" s="17">
        <f>IF(OR($B12="",G$5=""),"",IF(COUNTIFS(nrES_PID,$B12,nrES_Code,G$5,nrES_Final,"Yes",nrES_Rec,"&gt;=0")=0,"",SUMIFS(nrES_Rec,nrES_PID,$B12,nrES_Code,G$5,nrES_Final,"Yes")))</f>
        <v/>
      </c>
      <c r="H12" s="17">
        <f>IF(OR($B12="",H$5=""),"",IF(COUNTIFS(nrES_PID,$B12,nrES_Code,H$5,nrES_Final,"Yes",nrES_Rec,"&gt;=0")=0,"",SUMIFS(nrES_Rec,nrES_PID,$B12,nrES_Code,H$5,nrES_Final,"Yes")))</f>
        <v/>
      </c>
      <c r="I12" s="17">
        <f>IF(OR($B12="",I$5=""),"",IF(COUNTIFS(nrES_PID,$B12,nrES_Code,I$5,nrES_Final,"Yes",nrES_Rec,"&gt;=0")=0,"",SUMIFS(nrES_Rec,nrES_PID,$B12,nrES_Code,I$5,nrES_Final,"Yes")))</f>
        <v/>
      </c>
      <c r="J12" s="17">
        <f>IF(OR($B12="",J$5=""),"",IF(COUNTIFS(nrES_PID,$B12,nrES_Code,J$5,nrES_Final,"Yes",nrES_Rec,"&gt;=0")=0,"",SUMIFS(nrES_Rec,nrES_PID,$B12,nrES_Code,J$5,nrES_Final,"Yes")))</f>
        <v/>
      </c>
      <c r="K12" s="17">
        <f>IF(OR($B12="",K$5=""),"",IF(COUNTIFS(nrES_PID,$B12,nrES_Code,K$5,nrES_Final,"Yes",nrES_Rec,"&gt;=0")=0,"",SUMIFS(nrES_Rec,nrES_PID,$B12,nrES_Code,K$5,nrES_Final,"Yes")))</f>
        <v/>
      </c>
      <c r="L12" s="17">
        <f>IF(OR($B12="",L$5=""),"",IF(COUNTIFS(nrES_PID,$B12,nrES_Code,L$5,nrES_Final,"Yes",nrES_Rec,"&gt;=0")=0,"",SUMIFS(nrES_Rec,nrES_PID,$B12,nrES_Code,L$5,nrES_Final,"Yes")))</f>
        <v/>
      </c>
      <c r="M12" s="17">
        <f>IF(OR($B12="",M$5=""),"",IF(COUNTIFS(nrES_PID,$B12,nrES_Code,M$5,nrES_Final,"Yes",nrES_Rec,"&gt;=0")=0,"",SUMIFS(nrES_Rec,nrES_PID,$B12,nrES_Code,M$5,nrES_Final,"Yes")))</f>
        <v/>
      </c>
      <c r="N12" s="17">
        <f>IF(OR($B12="",N$5=""),"",IF(COUNTIFS(nrES_PID,$B12,nrES_Code,N$5,nrES_Final,"Yes",nrES_Rec,"&gt;=0")=0,"",SUMIFS(nrES_Rec,nrES_PID,$B12,nrES_Code,N$5,nrES_Final,"Yes")))</f>
        <v/>
      </c>
      <c r="O12" s="17">
        <f>IF(OR($B12="",O$5=""),"",IF(COUNTIFS(nrES_PID,$B12,nrES_Code,O$5,nrES_Final,"Yes",nrES_Rec,"&gt;=0")=0,"",SUMIFS(nrES_Rec,nrES_PID,$B12,nrES_Code,O$5,nrES_Final,"Yes")))</f>
        <v/>
      </c>
      <c r="P12" s="17">
        <f>IF(OR($B12="",P$5=""),"",IF(COUNTIFS(nrES_PID,$B12,nrES_Code,P$5,nrES_Final,"Yes",nrES_Rec,"&gt;=0")=0,"",SUMIFS(nrES_Rec,nrES_PID,$B12,nrES_Code,P$5,nrES_Final,"Yes")))</f>
        <v/>
      </c>
      <c r="Q12" s="17">
        <f>IF(OR($B12="",Q$5=""),"",IF(COUNTIFS(nrES_PID,$B12,nrES_Code,Q$5,nrES_Final,"Yes",nrES_Rec,"&gt;=0")=0,"",SUMIFS(nrES_Rec,nrES_PID,$B12,nrES_Code,Q$5,nrES_Final,"Yes")))</f>
        <v/>
      </c>
      <c r="R12" s="17">
        <f>IF(OR($B12="",R$5=""),"",IF(COUNTIFS(nrES_PID,$B12,nrES_Code,R$5,nrES_Final,"Yes",nrES_Rec,"&gt;=0")=0,"",SUMIFS(nrES_Rec,nrES_PID,$B12,nrES_Code,R$5,nrES_Final,"Yes")))</f>
        <v/>
      </c>
      <c r="S12" s="17">
        <f>IF(OR($B12="",S$5=""),"",IF(COUNTIFS(nrES_PID,$B12,nrES_Code,S$5,nrES_Final,"Yes",nrES_Rec,"&gt;=0")=0,"",SUMIFS(nrES_Rec,nrES_PID,$B12,nrES_Code,S$5,nrES_Final,"Yes")))</f>
        <v/>
      </c>
      <c r="T12" s="17">
        <f>IF(OR($B12="",T$5=""),"",IF(COUNTIFS(nrES_PID,$B12,nrES_Code,T$5,nrES_Final,"Yes",nrES_Rec,"&gt;=0")=0,"",SUMIFS(nrES_Rec,nrES_PID,$B12,nrES_Code,T$5,nrES_Final,"Yes")))</f>
        <v/>
      </c>
      <c r="U12" s="17">
        <f>IF(OR($B12="",U$5=""),"",IF(COUNTIFS(nrES_PID,$B12,nrES_Code,U$5,nrES_Final,"Yes",nrES_Rec,"&gt;=0")=0,"",SUMIFS(nrES_Rec,nrES_PID,$B12,nrES_Code,U$5,nrES_Final,"Yes")))</f>
        <v/>
      </c>
      <c r="V12" s="17">
        <f>IF(OR($B12="",V$5=""),"",IF(COUNTIFS(nrES_PID,$B12,nrES_Code,V$5,nrES_Final,"Yes",nrES_Rec,"&gt;=0")=0,"",SUMIFS(nrES_Rec,nrES_PID,$B12,nrES_Code,V$5,nrES_Final,"Yes")))</f>
        <v/>
      </c>
      <c r="W12" s="17">
        <f>IF(OR($B12="",W$5=""),"",IF(COUNTIFS(nrES_PID,$B12,nrES_Code,W$5,nrES_Final,"Yes",nrES_Rec,"&gt;=0")=0,"",SUMIFS(nrES_Rec,nrES_PID,$B12,nrES_Code,W$5,nrES_Final,"Yes")))</f>
        <v/>
      </c>
      <c r="X12" s="17">
        <f>IF(OR($B12="",X$5=""),"",IF(COUNTIFS(nrES_PID,$B12,nrES_Code,X$5,nrES_Final,"Yes",nrES_Rec,"&gt;=0")=0,"",SUMIFS(nrES_Rec,nrES_PID,$B12,nrES_Code,X$5,nrES_Final,"Yes")))</f>
        <v/>
      </c>
      <c r="Y12" s="17">
        <f>IF(OR($B12="",Y$5=""),"",IF(COUNTIFS(nrES_PID,$B12,nrES_Code,Y$5,nrES_Final,"Yes",nrES_Rec,"&gt;=0")=0,"",SUMIFS(nrES_Rec,nrES_PID,$B12,nrES_Code,Y$5,nrES_Final,"Yes")))</f>
        <v/>
      </c>
      <c r="Z12" s="17">
        <f>IF(OR($B12="",Z$5=""),"",IF(COUNTIFS(nrES_PID,$B12,nrES_Code,Z$5,nrES_Final,"Yes",nrES_Rec,"&gt;=0")=0,"",SUMIFS(nrES_Rec,nrES_PID,$B12,nrES_Code,Z$5,nrES_Final,"Yes")))</f>
        <v/>
      </c>
      <c r="AA12" s="17">
        <f>IF(OR($B12="",AA$5=""),"",IF(COUNTIFS(nrES_PID,$B12,nrES_Code,AA$5,nrES_Final,"Yes",nrES_Rec,"&gt;=0")=0,"",SUMIFS(nrES_Rec,nrES_PID,$B12,nrES_Code,AA$5,nrES_Final,"Yes")))</f>
        <v/>
      </c>
      <c r="AB12" s="17">
        <f>IF(OR($B12="",AB$5=""),"",IF(COUNTIFS(nrES_PID,$B12,nrES_Code,AB$5,nrES_Final,"Yes",nrES_Rec,"&gt;=0")=0,"",SUMIFS(nrES_Rec,nrES_PID,$B12,nrES_Code,AB$5,nrES_Final,"Yes")))</f>
        <v/>
      </c>
      <c r="AC12" s="17">
        <f>IF($B12="","",sysGrades!$M12)</f>
        <v/>
      </c>
      <c r="AD12" s="17">
        <f>IF($B12="","",IFERROR(sysGrades!$U12,""))</f>
        <v/>
      </c>
      <c r="AE12" s="17">
        <f>IF(Cadets!$B12="","",Cadets!$I12)</f>
        <v/>
      </c>
    </row>
    <row r="13">
      <c r="B13" s="17">
        <f>IF(Cadets!$B13="","",Cadets!$B13)</f>
        <v/>
      </c>
      <c r="C13" s="17">
        <f>IF($B13="","",Cadets!$F13)</f>
        <v/>
      </c>
      <c r="D13" s="17">
        <f>IF(OR($B13="",D$5=""),"",IF(COUNTIFS(nrES_PID,$B13,nrES_Code,D$5,nrES_Final,"Yes",nrES_Rec,"&gt;=0")=0,"",SUMIFS(nrES_Rec,nrES_PID,$B13,nrES_Code,D$5,nrES_Final,"Yes")))</f>
        <v/>
      </c>
      <c r="E13" s="17">
        <f>IF(OR($B13="",E$5=""),"",IF(COUNTIFS(nrES_PID,$B13,nrES_Code,E$5,nrES_Final,"Yes",nrES_Rec,"&gt;=0")=0,"",SUMIFS(nrES_Rec,nrES_PID,$B13,nrES_Code,E$5,nrES_Final,"Yes")))</f>
        <v/>
      </c>
      <c r="F13" s="17">
        <f>IF(OR($B13="",F$5=""),"",IF(COUNTIFS(nrES_PID,$B13,nrES_Code,F$5,nrES_Final,"Yes",nrES_Rec,"&gt;=0")=0,"",SUMIFS(nrES_Rec,nrES_PID,$B13,nrES_Code,F$5,nrES_Final,"Yes")))</f>
        <v/>
      </c>
      <c r="G13" s="17">
        <f>IF(OR($B13="",G$5=""),"",IF(COUNTIFS(nrES_PID,$B13,nrES_Code,G$5,nrES_Final,"Yes",nrES_Rec,"&gt;=0")=0,"",SUMIFS(nrES_Rec,nrES_PID,$B13,nrES_Code,G$5,nrES_Final,"Yes")))</f>
        <v/>
      </c>
      <c r="H13" s="17">
        <f>IF(OR($B13="",H$5=""),"",IF(COUNTIFS(nrES_PID,$B13,nrES_Code,H$5,nrES_Final,"Yes",nrES_Rec,"&gt;=0")=0,"",SUMIFS(nrES_Rec,nrES_PID,$B13,nrES_Code,H$5,nrES_Final,"Yes")))</f>
        <v/>
      </c>
      <c r="I13" s="17">
        <f>IF(OR($B13="",I$5=""),"",IF(COUNTIFS(nrES_PID,$B13,nrES_Code,I$5,nrES_Final,"Yes",nrES_Rec,"&gt;=0")=0,"",SUMIFS(nrES_Rec,nrES_PID,$B13,nrES_Code,I$5,nrES_Final,"Yes")))</f>
        <v/>
      </c>
      <c r="J13" s="17">
        <f>IF(OR($B13="",J$5=""),"",IF(COUNTIFS(nrES_PID,$B13,nrES_Code,J$5,nrES_Final,"Yes",nrES_Rec,"&gt;=0")=0,"",SUMIFS(nrES_Rec,nrES_PID,$B13,nrES_Code,J$5,nrES_Final,"Yes")))</f>
        <v/>
      </c>
      <c r="K13" s="17">
        <f>IF(OR($B13="",K$5=""),"",IF(COUNTIFS(nrES_PID,$B13,nrES_Code,K$5,nrES_Final,"Yes",nrES_Rec,"&gt;=0")=0,"",SUMIFS(nrES_Rec,nrES_PID,$B13,nrES_Code,K$5,nrES_Final,"Yes")))</f>
        <v/>
      </c>
      <c r="L13" s="17">
        <f>IF(OR($B13="",L$5=""),"",IF(COUNTIFS(nrES_PID,$B13,nrES_Code,L$5,nrES_Final,"Yes",nrES_Rec,"&gt;=0")=0,"",SUMIFS(nrES_Rec,nrES_PID,$B13,nrES_Code,L$5,nrES_Final,"Yes")))</f>
        <v/>
      </c>
      <c r="M13" s="17">
        <f>IF(OR($B13="",M$5=""),"",IF(COUNTIFS(nrES_PID,$B13,nrES_Code,M$5,nrES_Final,"Yes",nrES_Rec,"&gt;=0")=0,"",SUMIFS(nrES_Rec,nrES_PID,$B13,nrES_Code,M$5,nrES_Final,"Yes")))</f>
        <v/>
      </c>
      <c r="N13" s="17">
        <f>IF(OR($B13="",N$5=""),"",IF(COUNTIFS(nrES_PID,$B13,nrES_Code,N$5,nrES_Final,"Yes",nrES_Rec,"&gt;=0")=0,"",SUMIFS(nrES_Rec,nrES_PID,$B13,nrES_Code,N$5,nrES_Final,"Yes")))</f>
        <v/>
      </c>
      <c r="O13" s="17">
        <f>IF(OR($B13="",O$5=""),"",IF(COUNTIFS(nrES_PID,$B13,nrES_Code,O$5,nrES_Final,"Yes",nrES_Rec,"&gt;=0")=0,"",SUMIFS(nrES_Rec,nrES_PID,$B13,nrES_Code,O$5,nrES_Final,"Yes")))</f>
        <v/>
      </c>
      <c r="P13" s="17">
        <f>IF(OR($B13="",P$5=""),"",IF(COUNTIFS(nrES_PID,$B13,nrES_Code,P$5,nrES_Final,"Yes",nrES_Rec,"&gt;=0")=0,"",SUMIFS(nrES_Rec,nrES_PID,$B13,nrES_Code,P$5,nrES_Final,"Yes")))</f>
        <v/>
      </c>
      <c r="Q13" s="17">
        <f>IF(OR($B13="",Q$5=""),"",IF(COUNTIFS(nrES_PID,$B13,nrES_Code,Q$5,nrES_Final,"Yes",nrES_Rec,"&gt;=0")=0,"",SUMIFS(nrES_Rec,nrES_PID,$B13,nrES_Code,Q$5,nrES_Final,"Yes")))</f>
        <v/>
      </c>
      <c r="R13" s="17">
        <f>IF(OR($B13="",R$5=""),"",IF(COUNTIFS(nrES_PID,$B13,nrES_Code,R$5,nrES_Final,"Yes",nrES_Rec,"&gt;=0")=0,"",SUMIFS(nrES_Rec,nrES_PID,$B13,nrES_Code,R$5,nrES_Final,"Yes")))</f>
        <v/>
      </c>
      <c r="S13" s="17">
        <f>IF(OR($B13="",S$5=""),"",IF(COUNTIFS(nrES_PID,$B13,nrES_Code,S$5,nrES_Final,"Yes",nrES_Rec,"&gt;=0")=0,"",SUMIFS(nrES_Rec,nrES_PID,$B13,nrES_Code,S$5,nrES_Final,"Yes")))</f>
        <v/>
      </c>
      <c r="T13" s="17">
        <f>IF(OR($B13="",T$5=""),"",IF(COUNTIFS(nrES_PID,$B13,nrES_Code,T$5,nrES_Final,"Yes",nrES_Rec,"&gt;=0")=0,"",SUMIFS(nrES_Rec,nrES_PID,$B13,nrES_Code,T$5,nrES_Final,"Yes")))</f>
        <v/>
      </c>
      <c r="U13" s="17">
        <f>IF(OR($B13="",U$5=""),"",IF(COUNTIFS(nrES_PID,$B13,nrES_Code,U$5,nrES_Final,"Yes",nrES_Rec,"&gt;=0")=0,"",SUMIFS(nrES_Rec,nrES_PID,$B13,nrES_Code,U$5,nrES_Final,"Yes")))</f>
        <v/>
      </c>
      <c r="V13" s="17">
        <f>IF(OR($B13="",V$5=""),"",IF(COUNTIFS(nrES_PID,$B13,nrES_Code,V$5,nrES_Final,"Yes",nrES_Rec,"&gt;=0")=0,"",SUMIFS(nrES_Rec,nrES_PID,$B13,nrES_Code,V$5,nrES_Final,"Yes")))</f>
        <v/>
      </c>
      <c r="W13" s="17">
        <f>IF(OR($B13="",W$5=""),"",IF(COUNTIFS(nrES_PID,$B13,nrES_Code,W$5,nrES_Final,"Yes",nrES_Rec,"&gt;=0")=0,"",SUMIFS(nrES_Rec,nrES_PID,$B13,nrES_Code,W$5,nrES_Final,"Yes")))</f>
        <v/>
      </c>
      <c r="X13" s="17">
        <f>IF(OR($B13="",X$5=""),"",IF(COUNTIFS(nrES_PID,$B13,nrES_Code,X$5,nrES_Final,"Yes",nrES_Rec,"&gt;=0")=0,"",SUMIFS(nrES_Rec,nrES_PID,$B13,nrES_Code,X$5,nrES_Final,"Yes")))</f>
        <v/>
      </c>
      <c r="Y13" s="17">
        <f>IF(OR($B13="",Y$5=""),"",IF(COUNTIFS(nrES_PID,$B13,nrES_Code,Y$5,nrES_Final,"Yes",nrES_Rec,"&gt;=0")=0,"",SUMIFS(nrES_Rec,nrES_PID,$B13,nrES_Code,Y$5,nrES_Final,"Yes")))</f>
        <v/>
      </c>
      <c r="Z13" s="17">
        <f>IF(OR($B13="",Z$5=""),"",IF(COUNTIFS(nrES_PID,$B13,nrES_Code,Z$5,nrES_Final,"Yes",nrES_Rec,"&gt;=0")=0,"",SUMIFS(nrES_Rec,nrES_PID,$B13,nrES_Code,Z$5,nrES_Final,"Yes")))</f>
        <v/>
      </c>
      <c r="AA13" s="17">
        <f>IF(OR($B13="",AA$5=""),"",IF(COUNTIFS(nrES_PID,$B13,nrES_Code,AA$5,nrES_Final,"Yes",nrES_Rec,"&gt;=0")=0,"",SUMIFS(nrES_Rec,nrES_PID,$B13,nrES_Code,AA$5,nrES_Final,"Yes")))</f>
        <v/>
      </c>
      <c r="AB13" s="17">
        <f>IF(OR($B13="",AB$5=""),"",IF(COUNTIFS(nrES_PID,$B13,nrES_Code,AB$5,nrES_Final,"Yes",nrES_Rec,"&gt;=0")=0,"",SUMIFS(nrES_Rec,nrES_PID,$B13,nrES_Code,AB$5,nrES_Final,"Yes")))</f>
        <v/>
      </c>
      <c r="AC13" s="17">
        <f>IF($B13="","",sysGrades!$M13)</f>
        <v/>
      </c>
      <c r="AD13" s="17">
        <f>IF($B13="","",IFERROR(sysGrades!$U13,""))</f>
        <v/>
      </c>
      <c r="AE13" s="17">
        <f>IF(Cadets!$B13="","",Cadets!$I13)</f>
        <v/>
      </c>
    </row>
    <row r="14">
      <c r="B14" s="17">
        <f>IF(Cadets!$B14="","",Cadets!$B14)</f>
        <v/>
      </c>
      <c r="C14" s="17">
        <f>IF($B14="","",Cadets!$F14)</f>
        <v/>
      </c>
      <c r="D14" s="17">
        <f>IF(OR($B14="",D$5=""),"",IF(COUNTIFS(nrES_PID,$B14,nrES_Code,D$5,nrES_Final,"Yes",nrES_Rec,"&gt;=0")=0,"",SUMIFS(nrES_Rec,nrES_PID,$B14,nrES_Code,D$5,nrES_Final,"Yes")))</f>
        <v/>
      </c>
      <c r="E14" s="17">
        <f>IF(OR($B14="",E$5=""),"",IF(COUNTIFS(nrES_PID,$B14,nrES_Code,E$5,nrES_Final,"Yes",nrES_Rec,"&gt;=0")=0,"",SUMIFS(nrES_Rec,nrES_PID,$B14,nrES_Code,E$5,nrES_Final,"Yes")))</f>
        <v/>
      </c>
      <c r="F14" s="17">
        <f>IF(OR($B14="",F$5=""),"",IF(COUNTIFS(nrES_PID,$B14,nrES_Code,F$5,nrES_Final,"Yes",nrES_Rec,"&gt;=0")=0,"",SUMIFS(nrES_Rec,nrES_PID,$B14,nrES_Code,F$5,nrES_Final,"Yes")))</f>
        <v/>
      </c>
      <c r="G14" s="17">
        <f>IF(OR($B14="",G$5=""),"",IF(COUNTIFS(nrES_PID,$B14,nrES_Code,G$5,nrES_Final,"Yes",nrES_Rec,"&gt;=0")=0,"",SUMIFS(nrES_Rec,nrES_PID,$B14,nrES_Code,G$5,nrES_Final,"Yes")))</f>
        <v/>
      </c>
      <c r="H14" s="17">
        <f>IF(OR($B14="",H$5=""),"",IF(COUNTIFS(nrES_PID,$B14,nrES_Code,H$5,nrES_Final,"Yes",nrES_Rec,"&gt;=0")=0,"",SUMIFS(nrES_Rec,nrES_PID,$B14,nrES_Code,H$5,nrES_Final,"Yes")))</f>
        <v/>
      </c>
      <c r="I14" s="17">
        <f>IF(OR($B14="",I$5=""),"",IF(COUNTIFS(nrES_PID,$B14,nrES_Code,I$5,nrES_Final,"Yes",nrES_Rec,"&gt;=0")=0,"",SUMIFS(nrES_Rec,nrES_PID,$B14,nrES_Code,I$5,nrES_Final,"Yes")))</f>
        <v/>
      </c>
      <c r="J14" s="17">
        <f>IF(OR($B14="",J$5=""),"",IF(COUNTIFS(nrES_PID,$B14,nrES_Code,J$5,nrES_Final,"Yes",nrES_Rec,"&gt;=0")=0,"",SUMIFS(nrES_Rec,nrES_PID,$B14,nrES_Code,J$5,nrES_Final,"Yes")))</f>
        <v/>
      </c>
      <c r="K14" s="17">
        <f>IF(OR($B14="",K$5=""),"",IF(COUNTIFS(nrES_PID,$B14,nrES_Code,K$5,nrES_Final,"Yes",nrES_Rec,"&gt;=0")=0,"",SUMIFS(nrES_Rec,nrES_PID,$B14,nrES_Code,K$5,nrES_Final,"Yes")))</f>
        <v/>
      </c>
      <c r="L14" s="17">
        <f>IF(OR($B14="",L$5=""),"",IF(COUNTIFS(nrES_PID,$B14,nrES_Code,L$5,nrES_Final,"Yes",nrES_Rec,"&gt;=0")=0,"",SUMIFS(nrES_Rec,nrES_PID,$B14,nrES_Code,L$5,nrES_Final,"Yes")))</f>
        <v/>
      </c>
      <c r="M14" s="17">
        <f>IF(OR($B14="",M$5=""),"",IF(COUNTIFS(nrES_PID,$B14,nrES_Code,M$5,nrES_Final,"Yes",nrES_Rec,"&gt;=0")=0,"",SUMIFS(nrES_Rec,nrES_PID,$B14,nrES_Code,M$5,nrES_Final,"Yes")))</f>
        <v/>
      </c>
      <c r="N14" s="17">
        <f>IF(OR($B14="",N$5=""),"",IF(COUNTIFS(nrES_PID,$B14,nrES_Code,N$5,nrES_Final,"Yes",nrES_Rec,"&gt;=0")=0,"",SUMIFS(nrES_Rec,nrES_PID,$B14,nrES_Code,N$5,nrES_Final,"Yes")))</f>
        <v/>
      </c>
      <c r="O14" s="17">
        <f>IF(OR($B14="",O$5=""),"",IF(COUNTIFS(nrES_PID,$B14,nrES_Code,O$5,nrES_Final,"Yes",nrES_Rec,"&gt;=0")=0,"",SUMIFS(nrES_Rec,nrES_PID,$B14,nrES_Code,O$5,nrES_Final,"Yes")))</f>
        <v/>
      </c>
      <c r="P14" s="17">
        <f>IF(OR($B14="",P$5=""),"",IF(COUNTIFS(nrES_PID,$B14,nrES_Code,P$5,nrES_Final,"Yes",nrES_Rec,"&gt;=0")=0,"",SUMIFS(nrES_Rec,nrES_PID,$B14,nrES_Code,P$5,nrES_Final,"Yes")))</f>
        <v/>
      </c>
      <c r="Q14" s="17">
        <f>IF(OR($B14="",Q$5=""),"",IF(COUNTIFS(nrES_PID,$B14,nrES_Code,Q$5,nrES_Final,"Yes",nrES_Rec,"&gt;=0")=0,"",SUMIFS(nrES_Rec,nrES_PID,$B14,nrES_Code,Q$5,nrES_Final,"Yes")))</f>
        <v/>
      </c>
      <c r="R14" s="17">
        <f>IF(OR($B14="",R$5=""),"",IF(COUNTIFS(nrES_PID,$B14,nrES_Code,R$5,nrES_Final,"Yes",nrES_Rec,"&gt;=0")=0,"",SUMIFS(nrES_Rec,nrES_PID,$B14,nrES_Code,R$5,nrES_Final,"Yes")))</f>
        <v/>
      </c>
      <c r="S14" s="17">
        <f>IF(OR($B14="",S$5=""),"",IF(COUNTIFS(nrES_PID,$B14,nrES_Code,S$5,nrES_Final,"Yes",nrES_Rec,"&gt;=0")=0,"",SUMIFS(nrES_Rec,nrES_PID,$B14,nrES_Code,S$5,nrES_Final,"Yes")))</f>
        <v/>
      </c>
      <c r="T14" s="17">
        <f>IF(OR($B14="",T$5=""),"",IF(COUNTIFS(nrES_PID,$B14,nrES_Code,T$5,nrES_Final,"Yes",nrES_Rec,"&gt;=0")=0,"",SUMIFS(nrES_Rec,nrES_PID,$B14,nrES_Code,T$5,nrES_Final,"Yes")))</f>
        <v/>
      </c>
      <c r="U14" s="17">
        <f>IF(OR($B14="",U$5=""),"",IF(COUNTIFS(nrES_PID,$B14,nrES_Code,U$5,nrES_Final,"Yes",nrES_Rec,"&gt;=0")=0,"",SUMIFS(nrES_Rec,nrES_PID,$B14,nrES_Code,U$5,nrES_Final,"Yes")))</f>
        <v/>
      </c>
      <c r="V14" s="17">
        <f>IF(OR($B14="",V$5=""),"",IF(COUNTIFS(nrES_PID,$B14,nrES_Code,V$5,nrES_Final,"Yes",nrES_Rec,"&gt;=0")=0,"",SUMIFS(nrES_Rec,nrES_PID,$B14,nrES_Code,V$5,nrES_Final,"Yes")))</f>
        <v/>
      </c>
      <c r="W14" s="17">
        <f>IF(OR($B14="",W$5=""),"",IF(COUNTIFS(nrES_PID,$B14,nrES_Code,W$5,nrES_Final,"Yes",nrES_Rec,"&gt;=0")=0,"",SUMIFS(nrES_Rec,nrES_PID,$B14,nrES_Code,W$5,nrES_Final,"Yes")))</f>
        <v/>
      </c>
      <c r="X14" s="17">
        <f>IF(OR($B14="",X$5=""),"",IF(COUNTIFS(nrES_PID,$B14,nrES_Code,X$5,nrES_Final,"Yes",nrES_Rec,"&gt;=0")=0,"",SUMIFS(nrES_Rec,nrES_PID,$B14,nrES_Code,X$5,nrES_Final,"Yes")))</f>
        <v/>
      </c>
      <c r="Y14" s="17">
        <f>IF(OR($B14="",Y$5=""),"",IF(COUNTIFS(nrES_PID,$B14,nrES_Code,Y$5,nrES_Final,"Yes",nrES_Rec,"&gt;=0")=0,"",SUMIFS(nrES_Rec,nrES_PID,$B14,nrES_Code,Y$5,nrES_Final,"Yes")))</f>
        <v/>
      </c>
      <c r="Z14" s="17">
        <f>IF(OR($B14="",Z$5=""),"",IF(COUNTIFS(nrES_PID,$B14,nrES_Code,Z$5,nrES_Final,"Yes",nrES_Rec,"&gt;=0")=0,"",SUMIFS(nrES_Rec,nrES_PID,$B14,nrES_Code,Z$5,nrES_Final,"Yes")))</f>
        <v/>
      </c>
      <c r="AA14" s="17">
        <f>IF(OR($B14="",AA$5=""),"",IF(COUNTIFS(nrES_PID,$B14,nrES_Code,AA$5,nrES_Final,"Yes",nrES_Rec,"&gt;=0")=0,"",SUMIFS(nrES_Rec,nrES_PID,$B14,nrES_Code,AA$5,nrES_Final,"Yes")))</f>
        <v/>
      </c>
      <c r="AB14" s="17">
        <f>IF(OR($B14="",AB$5=""),"",IF(COUNTIFS(nrES_PID,$B14,nrES_Code,AB$5,nrES_Final,"Yes",nrES_Rec,"&gt;=0")=0,"",SUMIFS(nrES_Rec,nrES_PID,$B14,nrES_Code,AB$5,nrES_Final,"Yes")))</f>
        <v/>
      </c>
      <c r="AC14" s="17">
        <f>IF($B14="","",sysGrades!$M14)</f>
        <v/>
      </c>
      <c r="AD14" s="17">
        <f>IF($B14="","",IFERROR(sysGrades!$U14,""))</f>
        <v/>
      </c>
      <c r="AE14" s="17">
        <f>IF(Cadets!$B14="","",Cadets!$I14)</f>
        <v/>
      </c>
    </row>
    <row r="15">
      <c r="B15" s="17">
        <f>IF(Cadets!$B15="","",Cadets!$B15)</f>
        <v/>
      </c>
      <c r="C15" s="17">
        <f>IF($B15="","",Cadets!$F15)</f>
        <v/>
      </c>
      <c r="D15" s="17">
        <f>IF(OR($B15="",D$5=""),"",IF(COUNTIFS(nrES_PID,$B15,nrES_Code,D$5,nrES_Final,"Yes",nrES_Rec,"&gt;=0")=0,"",SUMIFS(nrES_Rec,nrES_PID,$B15,nrES_Code,D$5,nrES_Final,"Yes")))</f>
        <v/>
      </c>
      <c r="E15" s="17">
        <f>IF(OR($B15="",E$5=""),"",IF(COUNTIFS(nrES_PID,$B15,nrES_Code,E$5,nrES_Final,"Yes",nrES_Rec,"&gt;=0")=0,"",SUMIFS(nrES_Rec,nrES_PID,$B15,nrES_Code,E$5,nrES_Final,"Yes")))</f>
        <v/>
      </c>
      <c r="F15" s="17">
        <f>IF(OR($B15="",F$5=""),"",IF(COUNTIFS(nrES_PID,$B15,nrES_Code,F$5,nrES_Final,"Yes",nrES_Rec,"&gt;=0")=0,"",SUMIFS(nrES_Rec,nrES_PID,$B15,nrES_Code,F$5,nrES_Final,"Yes")))</f>
        <v/>
      </c>
      <c r="G15" s="17">
        <f>IF(OR($B15="",G$5=""),"",IF(COUNTIFS(nrES_PID,$B15,nrES_Code,G$5,nrES_Final,"Yes",nrES_Rec,"&gt;=0")=0,"",SUMIFS(nrES_Rec,nrES_PID,$B15,nrES_Code,G$5,nrES_Final,"Yes")))</f>
        <v/>
      </c>
      <c r="H15" s="17">
        <f>IF(OR($B15="",H$5=""),"",IF(COUNTIFS(nrES_PID,$B15,nrES_Code,H$5,nrES_Final,"Yes",nrES_Rec,"&gt;=0")=0,"",SUMIFS(nrES_Rec,nrES_PID,$B15,nrES_Code,H$5,nrES_Final,"Yes")))</f>
        <v/>
      </c>
      <c r="I15" s="17">
        <f>IF(OR($B15="",I$5=""),"",IF(COUNTIFS(nrES_PID,$B15,nrES_Code,I$5,nrES_Final,"Yes",nrES_Rec,"&gt;=0")=0,"",SUMIFS(nrES_Rec,nrES_PID,$B15,nrES_Code,I$5,nrES_Final,"Yes")))</f>
        <v/>
      </c>
      <c r="J15" s="17">
        <f>IF(OR($B15="",J$5=""),"",IF(COUNTIFS(nrES_PID,$B15,nrES_Code,J$5,nrES_Final,"Yes",nrES_Rec,"&gt;=0")=0,"",SUMIFS(nrES_Rec,nrES_PID,$B15,nrES_Code,J$5,nrES_Final,"Yes")))</f>
        <v/>
      </c>
      <c r="K15" s="17">
        <f>IF(OR($B15="",K$5=""),"",IF(COUNTIFS(nrES_PID,$B15,nrES_Code,K$5,nrES_Final,"Yes",nrES_Rec,"&gt;=0")=0,"",SUMIFS(nrES_Rec,nrES_PID,$B15,nrES_Code,K$5,nrES_Final,"Yes")))</f>
        <v/>
      </c>
      <c r="L15" s="17">
        <f>IF(OR($B15="",L$5=""),"",IF(COUNTIFS(nrES_PID,$B15,nrES_Code,L$5,nrES_Final,"Yes",nrES_Rec,"&gt;=0")=0,"",SUMIFS(nrES_Rec,nrES_PID,$B15,nrES_Code,L$5,nrES_Final,"Yes")))</f>
        <v/>
      </c>
      <c r="M15" s="17">
        <f>IF(OR($B15="",M$5=""),"",IF(COUNTIFS(nrES_PID,$B15,nrES_Code,M$5,nrES_Final,"Yes",nrES_Rec,"&gt;=0")=0,"",SUMIFS(nrES_Rec,nrES_PID,$B15,nrES_Code,M$5,nrES_Final,"Yes")))</f>
        <v/>
      </c>
      <c r="N15" s="17">
        <f>IF(OR($B15="",N$5=""),"",IF(COUNTIFS(nrES_PID,$B15,nrES_Code,N$5,nrES_Final,"Yes",nrES_Rec,"&gt;=0")=0,"",SUMIFS(nrES_Rec,nrES_PID,$B15,nrES_Code,N$5,nrES_Final,"Yes")))</f>
        <v/>
      </c>
      <c r="O15" s="17">
        <f>IF(OR($B15="",O$5=""),"",IF(COUNTIFS(nrES_PID,$B15,nrES_Code,O$5,nrES_Final,"Yes",nrES_Rec,"&gt;=0")=0,"",SUMIFS(nrES_Rec,nrES_PID,$B15,nrES_Code,O$5,nrES_Final,"Yes")))</f>
        <v/>
      </c>
      <c r="P15" s="17">
        <f>IF(OR($B15="",P$5=""),"",IF(COUNTIFS(nrES_PID,$B15,nrES_Code,P$5,nrES_Final,"Yes",nrES_Rec,"&gt;=0")=0,"",SUMIFS(nrES_Rec,nrES_PID,$B15,nrES_Code,P$5,nrES_Final,"Yes")))</f>
        <v/>
      </c>
      <c r="Q15" s="17">
        <f>IF(OR($B15="",Q$5=""),"",IF(COUNTIFS(nrES_PID,$B15,nrES_Code,Q$5,nrES_Final,"Yes",nrES_Rec,"&gt;=0")=0,"",SUMIFS(nrES_Rec,nrES_PID,$B15,nrES_Code,Q$5,nrES_Final,"Yes")))</f>
        <v/>
      </c>
      <c r="R15" s="17">
        <f>IF(OR($B15="",R$5=""),"",IF(COUNTIFS(nrES_PID,$B15,nrES_Code,R$5,nrES_Final,"Yes",nrES_Rec,"&gt;=0")=0,"",SUMIFS(nrES_Rec,nrES_PID,$B15,nrES_Code,R$5,nrES_Final,"Yes")))</f>
        <v/>
      </c>
      <c r="S15" s="17">
        <f>IF(OR($B15="",S$5=""),"",IF(COUNTIFS(nrES_PID,$B15,nrES_Code,S$5,nrES_Final,"Yes",nrES_Rec,"&gt;=0")=0,"",SUMIFS(nrES_Rec,nrES_PID,$B15,nrES_Code,S$5,nrES_Final,"Yes")))</f>
        <v/>
      </c>
      <c r="T15" s="17">
        <f>IF(OR($B15="",T$5=""),"",IF(COUNTIFS(nrES_PID,$B15,nrES_Code,T$5,nrES_Final,"Yes",nrES_Rec,"&gt;=0")=0,"",SUMIFS(nrES_Rec,nrES_PID,$B15,nrES_Code,T$5,nrES_Final,"Yes")))</f>
        <v/>
      </c>
      <c r="U15" s="17">
        <f>IF(OR($B15="",U$5=""),"",IF(COUNTIFS(nrES_PID,$B15,nrES_Code,U$5,nrES_Final,"Yes",nrES_Rec,"&gt;=0")=0,"",SUMIFS(nrES_Rec,nrES_PID,$B15,nrES_Code,U$5,nrES_Final,"Yes")))</f>
        <v/>
      </c>
      <c r="V15" s="17">
        <f>IF(OR($B15="",V$5=""),"",IF(COUNTIFS(nrES_PID,$B15,nrES_Code,V$5,nrES_Final,"Yes",nrES_Rec,"&gt;=0")=0,"",SUMIFS(nrES_Rec,nrES_PID,$B15,nrES_Code,V$5,nrES_Final,"Yes")))</f>
        <v/>
      </c>
      <c r="W15" s="17">
        <f>IF(OR($B15="",W$5=""),"",IF(COUNTIFS(nrES_PID,$B15,nrES_Code,W$5,nrES_Final,"Yes",nrES_Rec,"&gt;=0")=0,"",SUMIFS(nrES_Rec,nrES_PID,$B15,nrES_Code,W$5,nrES_Final,"Yes")))</f>
        <v/>
      </c>
      <c r="X15" s="17">
        <f>IF(OR($B15="",X$5=""),"",IF(COUNTIFS(nrES_PID,$B15,nrES_Code,X$5,nrES_Final,"Yes",nrES_Rec,"&gt;=0")=0,"",SUMIFS(nrES_Rec,nrES_PID,$B15,nrES_Code,X$5,nrES_Final,"Yes")))</f>
        <v/>
      </c>
      <c r="Y15" s="17">
        <f>IF(OR($B15="",Y$5=""),"",IF(COUNTIFS(nrES_PID,$B15,nrES_Code,Y$5,nrES_Final,"Yes",nrES_Rec,"&gt;=0")=0,"",SUMIFS(nrES_Rec,nrES_PID,$B15,nrES_Code,Y$5,nrES_Final,"Yes")))</f>
        <v/>
      </c>
      <c r="Z15" s="17">
        <f>IF(OR($B15="",Z$5=""),"",IF(COUNTIFS(nrES_PID,$B15,nrES_Code,Z$5,nrES_Final,"Yes",nrES_Rec,"&gt;=0")=0,"",SUMIFS(nrES_Rec,nrES_PID,$B15,nrES_Code,Z$5,nrES_Final,"Yes")))</f>
        <v/>
      </c>
      <c r="AA15" s="17">
        <f>IF(OR($B15="",AA$5=""),"",IF(COUNTIFS(nrES_PID,$B15,nrES_Code,AA$5,nrES_Final,"Yes",nrES_Rec,"&gt;=0")=0,"",SUMIFS(nrES_Rec,nrES_PID,$B15,nrES_Code,AA$5,nrES_Final,"Yes")))</f>
        <v/>
      </c>
      <c r="AB15" s="17">
        <f>IF(OR($B15="",AB$5=""),"",IF(COUNTIFS(nrES_PID,$B15,nrES_Code,AB$5,nrES_Final,"Yes",nrES_Rec,"&gt;=0")=0,"",SUMIFS(nrES_Rec,nrES_PID,$B15,nrES_Code,AB$5,nrES_Final,"Yes")))</f>
        <v/>
      </c>
      <c r="AC15" s="17">
        <f>IF($B15="","",sysGrades!$M15)</f>
        <v/>
      </c>
      <c r="AD15" s="17">
        <f>IF($B15="","",IFERROR(sysGrades!$U15,""))</f>
        <v/>
      </c>
      <c r="AE15" s="17">
        <f>IF(Cadets!$B15="","",Cadets!$I15)</f>
        <v/>
      </c>
    </row>
    <row r="16">
      <c r="B16" s="17">
        <f>IF(Cadets!$B16="","",Cadets!$B16)</f>
        <v/>
      </c>
      <c r="C16" s="17">
        <f>IF($B16="","",Cadets!$F16)</f>
        <v/>
      </c>
      <c r="D16" s="17">
        <f>IF(OR($B16="",D$5=""),"",IF(COUNTIFS(nrES_PID,$B16,nrES_Code,D$5,nrES_Final,"Yes",nrES_Rec,"&gt;=0")=0,"",SUMIFS(nrES_Rec,nrES_PID,$B16,nrES_Code,D$5,nrES_Final,"Yes")))</f>
        <v/>
      </c>
      <c r="E16" s="17">
        <f>IF(OR($B16="",E$5=""),"",IF(COUNTIFS(nrES_PID,$B16,nrES_Code,E$5,nrES_Final,"Yes",nrES_Rec,"&gt;=0")=0,"",SUMIFS(nrES_Rec,nrES_PID,$B16,nrES_Code,E$5,nrES_Final,"Yes")))</f>
        <v/>
      </c>
      <c r="F16" s="17">
        <f>IF(OR($B16="",F$5=""),"",IF(COUNTIFS(nrES_PID,$B16,nrES_Code,F$5,nrES_Final,"Yes",nrES_Rec,"&gt;=0")=0,"",SUMIFS(nrES_Rec,nrES_PID,$B16,nrES_Code,F$5,nrES_Final,"Yes")))</f>
        <v/>
      </c>
      <c r="G16" s="17">
        <f>IF(OR($B16="",G$5=""),"",IF(COUNTIFS(nrES_PID,$B16,nrES_Code,G$5,nrES_Final,"Yes",nrES_Rec,"&gt;=0")=0,"",SUMIFS(nrES_Rec,nrES_PID,$B16,nrES_Code,G$5,nrES_Final,"Yes")))</f>
        <v/>
      </c>
      <c r="H16" s="17">
        <f>IF(OR($B16="",H$5=""),"",IF(COUNTIFS(nrES_PID,$B16,nrES_Code,H$5,nrES_Final,"Yes",nrES_Rec,"&gt;=0")=0,"",SUMIFS(nrES_Rec,nrES_PID,$B16,nrES_Code,H$5,nrES_Final,"Yes")))</f>
        <v/>
      </c>
      <c r="I16" s="17">
        <f>IF(OR($B16="",I$5=""),"",IF(COUNTIFS(nrES_PID,$B16,nrES_Code,I$5,nrES_Final,"Yes",nrES_Rec,"&gt;=0")=0,"",SUMIFS(nrES_Rec,nrES_PID,$B16,nrES_Code,I$5,nrES_Final,"Yes")))</f>
        <v/>
      </c>
      <c r="J16" s="17">
        <f>IF(OR($B16="",J$5=""),"",IF(COUNTIFS(nrES_PID,$B16,nrES_Code,J$5,nrES_Final,"Yes",nrES_Rec,"&gt;=0")=0,"",SUMIFS(nrES_Rec,nrES_PID,$B16,nrES_Code,J$5,nrES_Final,"Yes")))</f>
        <v/>
      </c>
      <c r="K16" s="17">
        <f>IF(OR($B16="",K$5=""),"",IF(COUNTIFS(nrES_PID,$B16,nrES_Code,K$5,nrES_Final,"Yes",nrES_Rec,"&gt;=0")=0,"",SUMIFS(nrES_Rec,nrES_PID,$B16,nrES_Code,K$5,nrES_Final,"Yes")))</f>
        <v/>
      </c>
      <c r="L16" s="17">
        <f>IF(OR($B16="",L$5=""),"",IF(COUNTIFS(nrES_PID,$B16,nrES_Code,L$5,nrES_Final,"Yes",nrES_Rec,"&gt;=0")=0,"",SUMIFS(nrES_Rec,nrES_PID,$B16,nrES_Code,L$5,nrES_Final,"Yes")))</f>
        <v/>
      </c>
      <c r="M16" s="17">
        <f>IF(OR($B16="",M$5=""),"",IF(COUNTIFS(nrES_PID,$B16,nrES_Code,M$5,nrES_Final,"Yes",nrES_Rec,"&gt;=0")=0,"",SUMIFS(nrES_Rec,nrES_PID,$B16,nrES_Code,M$5,nrES_Final,"Yes")))</f>
        <v/>
      </c>
      <c r="N16" s="17">
        <f>IF(OR($B16="",N$5=""),"",IF(COUNTIFS(nrES_PID,$B16,nrES_Code,N$5,nrES_Final,"Yes",nrES_Rec,"&gt;=0")=0,"",SUMIFS(nrES_Rec,nrES_PID,$B16,nrES_Code,N$5,nrES_Final,"Yes")))</f>
        <v/>
      </c>
      <c r="O16" s="17">
        <f>IF(OR($B16="",O$5=""),"",IF(COUNTIFS(nrES_PID,$B16,nrES_Code,O$5,nrES_Final,"Yes",nrES_Rec,"&gt;=0")=0,"",SUMIFS(nrES_Rec,nrES_PID,$B16,nrES_Code,O$5,nrES_Final,"Yes")))</f>
        <v/>
      </c>
      <c r="P16" s="17">
        <f>IF(OR($B16="",P$5=""),"",IF(COUNTIFS(nrES_PID,$B16,nrES_Code,P$5,nrES_Final,"Yes",nrES_Rec,"&gt;=0")=0,"",SUMIFS(nrES_Rec,nrES_PID,$B16,nrES_Code,P$5,nrES_Final,"Yes")))</f>
        <v/>
      </c>
      <c r="Q16" s="17">
        <f>IF(OR($B16="",Q$5=""),"",IF(COUNTIFS(nrES_PID,$B16,nrES_Code,Q$5,nrES_Final,"Yes",nrES_Rec,"&gt;=0")=0,"",SUMIFS(nrES_Rec,nrES_PID,$B16,nrES_Code,Q$5,nrES_Final,"Yes")))</f>
        <v/>
      </c>
      <c r="R16" s="17">
        <f>IF(OR($B16="",R$5=""),"",IF(COUNTIFS(nrES_PID,$B16,nrES_Code,R$5,nrES_Final,"Yes",nrES_Rec,"&gt;=0")=0,"",SUMIFS(nrES_Rec,nrES_PID,$B16,nrES_Code,R$5,nrES_Final,"Yes")))</f>
        <v/>
      </c>
      <c r="S16" s="17">
        <f>IF(OR($B16="",S$5=""),"",IF(COUNTIFS(nrES_PID,$B16,nrES_Code,S$5,nrES_Final,"Yes",nrES_Rec,"&gt;=0")=0,"",SUMIFS(nrES_Rec,nrES_PID,$B16,nrES_Code,S$5,nrES_Final,"Yes")))</f>
        <v/>
      </c>
      <c r="T16" s="17">
        <f>IF(OR($B16="",T$5=""),"",IF(COUNTIFS(nrES_PID,$B16,nrES_Code,T$5,nrES_Final,"Yes",nrES_Rec,"&gt;=0")=0,"",SUMIFS(nrES_Rec,nrES_PID,$B16,nrES_Code,T$5,nrES_Final,"Yes")))</f>
        <v/>
      </c>
      <c r="U16" s="17">
        <f>IF(OR($B16="",U$5=""),"",IF(COUNTIFS(nrES_PID,$B16,nrES_Code,U$5,nrES_Final,"Yes",nrES_Rec,"&gt;=0")=0,"",SUMIFS(nrES_Rec,nrES_PID,$B16,nrES_Code,U$5,nrES_Final,"Yes")))</f>
        <v/>
      </c>
      <c r="V16" s="17">
        <f>IF(OR($B16="",V$5=""),"",IF(COUNTIFS(nrES_PID,$B16,nrES_Code,V$5,nrES_Final,"Yes",nrES_Rec,"&gt;=0")=0,"",SUMIFS(nrES_Rec,nrES_PID,$B16,nrES_Code,V$5,nrES_Final,"Yes")))</f>
        <v/>
      </c>
      <c r="W16" s="17">
        <f>IF(OR($B16="",W$5=""),"",IF(COUNTIFS(nrES_PID,$B16,nrES_Code,W$5,nrES_Final,"Yes",nrES_Rec,"&gt;=0")=0,"",SUMIFS(nrES_Rec,nrES_PID,$B16,nrES_Code,W$5,nrES_Final,"Yes")))</f>
        <v/>
      </c>
      <c r="X16" s="17">
        <f>IF(OR($B16="",X$5=""),"",IF(COUNTIFS(nrES_PID,$B16,nrES_Code,X$5,nrES_Final,"Yes",nrES_Rec,"&gt;=0")=0,"",SUMIFS(nrES_Rec,nrES_PID,$B16,nrES_Code,X$5,nrES_Final,"Yes")))</f>
        <v/>
      </c>
      <c r="Y16" s="17">
        <f>IF(OR($B16="",Y$5=""),"",IF(COUNTIFS(nrES_PID,$B16,nrES_Code,Y$5,nrES_Final,"Yes",nrES_Rec,"&gt;=0")=0,"",SUMIFS(nrES_Rec,nrES_PID,$B16,nrES_Code,Y$5,nrES_Final,"Yes")))</f>
        <v/>
      </c>
      <c r="Z16" s="17">
        <f>IF(OR($B16="",Z$5=""),"",IF(COUNTIFS(nrES_PID,$B16,nrES_Code,Z$5,nrES_Final,"Yes",nrES_Rec,"&gt;=0")=0,"",SUMIFS(nrES_Rec,nrES_PID,$B16,nrES_Code,Z$5,nrES_Final,"Yes")))</f>
        <v/>
      </c>
      <c r="AA16" s="17">
        <f>IF(OR($B16="",AA$5=""),"",IF(COUNTIFS(nrES_PID,$B16,nrES_Code,AA$5,nrES_Final,"Yes",nrES_Rec,"&gt;=0")=0,"",SUMIFS(nrES_Rec,nrES_PID,$B16,nrES_Code,AA$5,nrES_Final,"Yes")))</f>
        <v/>
      </c>
      <c r="AB16" s="17">
        <f>IF(OR($B16="",AB$5=""),"",IF(COUNTIFS(nrES_PID,$B16,nrES_Code,AB$5,nrES_Final,"Yes",nrES_Rec,"&gt;=0")=0,"",SUMIFS(nrES_Rec,nrES_PID,$B16,nrES_Code,AB$5,nrES_Final,"Yes")))</f>
        <v/>
      </c>
      <c r="AC16" s="17">
        <f>IF($B16="","",sysGrades!$M16)</f>
        <v/>
      </c>
      <c r="AD16" s="17">
        <f>IF($B16="","",IFERROR(sysGrades!$U16,""))</f>
        <v/>
      </c>
      <c r="AE16" s="17">
        <f>IF(Cadets!$B16="","",Cadets!$I16)</f>
        <v/>
      </c>
    </row>
    <row r="17">
      <c r="B17" s="17">
        <f>IF(Cadets!$B17="","",Cadets!$B17)</f>
        <v/>
      </c>
      <c r="C17" s="17">
        <f>IF($B17="","",Cadets!$F17)</f>
        <v/>
      </c>
      <c r="D17" s="17">
        <f>IF(OR($B17="",D$5=""),"",IF(COUNTIFS(nrES_PID,$B17,nrES_Code,D$5,nrES_Final,"Yes",nrES_Rec,"&gt;=0")=0,"",SUMIFS(nrES_Rec,nrES_PID,$B17,nrES_Code,D$5,nrES_Final,"Yes")))</f>
        <v/>
      </c>
      <c r="E17" s="17">
        <f>IF(OR($B17="",E$5=""),"",IF(COUNTIFS(nrES_PID,$B17,nrES_Code,E$5,nrES_Final,"Yes",nrES_Rec,"&gt;=0")=0,"",SUMIFS(nrES_Rec,nrES_PID,$B17,nrES_Code,E$5,nrES_Final,"Yes")))</f>
        <v/>
      </c>
      <c r="F17" s="17">
        <f>IF(OR($B17="",F$5=""),"",IF(COUNTIFS(nrES_PID,$B17,nrES_Code,F$5,nrES_Final,"Yes",nrES_Rec,"&gt;=0")=0,"",SUMIFS(nrES_Rec,nrES_PID,$B17,nrES_Code,F$5,nrES_Final,"Yes")))</f>
        <v/>
      </c>
      <c r="G17" s="17">
        <f>IF(OR($B17="",G$5=""),"",IF(COUNTIFS(nrES_PID,$B17,nrES_Code,G$5,nrES_Final,"Yes",nrES_Rec,"&gt;=0")=0,"",SUMIFS(nrES_Rec,nrES_PID,$B17,nrES_Code,G$5,nrES_Final,"Yes")))</f>
        <v/>
      </c>
      <c r="H17" s="17">
        <f>IF(OR($B17="",H$5=""),"",IF(COUNTIFS(nrES_PID,$B17,nrES_Code,H$5,nrES_Final,"Yes",nrES_Rec,"&gt;=0")=0,"",SUMIFS(nrES_Rec,nrES_PID,$B17,nrES_Code,H$5,nrES_Final,"Yes")))</f>
        <v/>
      </c>
      <c r="I17" s="17">
        <f>IF(OR($B17="",I$5=""),"",IF(COUNTIFS(nrES_PID,$B17,nrES_Code,I$5,nrES_Final,"Yes",nrES_Rec,"&gt;=0")=0,"",SUMIFS(nrES_Rec,nrES_PID,$B17,nrES_Code,I$5,nrES_Final,"Yes")))</f>
        <v/>
      </c>
      <c r="J17" s="17">
        <f>IF(OR($B17="",J$5=""),"",IF(COUNTIFS(nrES_PID,$B17,nrES_Code,J$5,nrES_Final,"Yes",nrES_Rec,"&gt;=0")=0,"",SUMIFS(nrES_Rec,nrES_PID,$B17,nrES_Code,J$5,nrES_Final,"Yes")))</f>
        <v/>
      </c>
      <c r="K17" s="17">
        <f>IF(OR($B17="",K$5=""),"",IF(COUNTIFS(nrES_PID,$B17,nrES_Code,K$5,nrES_Final,"Yes",nrES_Rec,"&gt;=0")=0,"",SUMIFS(nrES_Rec,nrES_PID,$B17,nrES_Code,K$5,nrES_Final,"Yes")))</f>
        <v/>
      </c>
      <c r="L17" s="17">
        <f>IF(OR($B17="",L$5=""),"",IF(COUNTIFS(nrES_PID,$B17,nrES_Code,L$5,nrES_Final,"Yes",nrES_Rec,"&gt;=0")=0,"",SUMIFS(nrES_Rec,nrES_PID,$B17,nrES_Code,L$5,nrES_Final,"Yes")))</f>
        <v/>
      </c>
      <c r="M17" s="17">
        <f>IF(OR($B17="",M$5=""),"",IF(COUNTIFS(nrES_PID,$B17,nrES_Code,M$5,nrES_Final,"Yes",nrES_Rec,"&gt;=0")=0,"",SUMIFS(nrES_Rec,nrES_PID,$B17,nrES_Code,M$5,nrES_Final,"Yes")))</f>
        <v/>
      </c>
      <c r="N17" s="17">
        <f>IF(OR($B17="",N$5=""),"",IF(COUNTIFS(nrES_PID,$B17,nrES_Code,N$5,nrES_Final,"Yes",nrES_Rec,"&gt;=0")=0,"",SUMIFS(nrES_Rec,nrES_PID,$B17,nrES_Code,N$5,nrES_Final,"Yes")))</f>
        <v/>
      </c>
      <c r="O17" s="17">
        <f>IF(OR($B17="",O$5=""),"",IF(COUNTIFS(nrES_PID,$B17,nrES_Code,O$5,nrES_Final,"Yes",nrES_Rec,"&gt;=0")=0,"",SUMIFS(nrES_Rec,nrES_PID,$B17,nrES_Code,O$5,nrES_Final,"Yes")))</f>
        <v/>
      </c>
      <c r="P17" s="17">
        <f>IF(OR($B17="",P$5=""),"",IF(COUNTIFS(nrES_PID,$B17,nrES_Code,P$5,nrES_Final,"Yes",nrES_Rec,"&gt;=0")=0,"",SUMIFS(nrES_Rec,nrES_PID,$B17,nrES_Code,P$5,nrES_Final,"Yes")))</f>
        <v/>
      </c>
      <c r="Q17" s="17">
        <f>IF(OR($B17="",Q$5=""),"",IF(COUNTIFS(nrES_PID,$B17,nrES_Code,Q$5,nrES_Final,"Yes",nrES_Rec,"&gt;=0")=0,"",SUMIFS(nrES_Rec,nrES_PID,$B17,nrES_Code,Q$5,nrES_Final,"Yes")))</f>
        <v/>
      </c>
      <c r="R17" s="17">
        <f>IF(OR($B17="",R$5=""),"",IF(COUNTIFS(nrES_PID,$B17,nrES_Code,R$5,nrES_Final,"Yes",nrES_Rec,"&gt;=0")=0,"",SUMIFS(nrES_Rec,nrES_PID,$B17,nrES_Code,R$5,nrES_Final,"Yes")))</f>
        <v/>
      </c>
      <c r="S17" s="17">
        <f>IF(OR($B17="",S$5=""),"",IF(COUNTIFS(nrES_PID,$B17,nrES_Code,S$5,nrES_Final,"Yes",nrES_Rec,"&gt;=0")=0,"",SUMIFS(nrES_Rec,nrES_PID,$B17,nrES_Code,S$5,nrES_Final,"Yes")))</f>
        <v/>
      </c>
      <c r="T17" s="17">
        <f>IF(OR($B17="",T$5=""),"",IF(COUNTIFS(nrES_PID,$B17,nrES_Code,T$5,nrES_Final,"Yes",nrES_Rec,"&gt;=0")=0,"",SUMIFS(nrES_Rec,nrES_PID,$B17,nrES_Code,T$5,nrES_Final,"Yes")))</f>
        <v/>
      </c>
      <c r="U17" s="17">
        <f>IF(OR($B17="",U$5=""),"",IF(COUNTIFS(nrES_PID,$B17,nrES_Code,U$5,nrES_Final,"Yes",nrES_Rec,"&gt;=0")=0,"",SUMIFS(nrES_Rec,nrES_PID,$B17,nrES_Code,U$5,nrES_Final,"Yes")))</f>
        <v/>
      </c>
      <c r="V17" s="17">
        <f>IF(OR($B17="",V$5=""),"",IF(COUNTIFS(nrES_PID,$B17,nrES_Code,V$5,nrES_Final,"Yes",nrES_Rec,"&gt;=0")=0,"",SUMIFS(nrES_Rec,nrES_PID,$B17,nrES_Code,V$5,nrES_Final,"Yes")))</f>
        <v/>
      </c>
      <c r="W17" s="17">
        <f>IF(OR($B17="",W$5=""),"",IF(COUNTIFS(nrES_PID,$B17,nrES_Code,W$5,nrES_Final,"Yes",nrES_Rec,"&gt;=0")=0,"",SUMIFS(nrES_Rec,nrES_PID,$B17,nrES_Code,W$5,nrES_Final,"Yes")))</f>
        <v/>
      </c>
      <c r="X17" s="17">
        <f>IF(OR($B17="",X$5=""),"",IF(COUNTIFS(nrES_PID,$B17,nrES_Code,X$5,nrES_Final,"Yes",nrES_Rec,"&gt;=0")=0,"",SUMIFS(nrES_Rec,nrES_PID,$B17,nrES_Code,X$5,nrES_Final,"Yes")))</f>
        <v/>
      </c>
      <c r="Y17" s="17">
        <f>IF(OR($B17="",Y$5=""),"",IF(COUNTIFS(nrES_PID,$B17,nrES_Code,Y$5,nrES_Final,"Yes",nrES_Rec,"&gt;=0")=0,"",SUMIFS(nrES_Rec,nrES_PID,$B17,nrES_Code,Y$5,nrES_Final,"Yes")))</f>
        <v/>
      </c>
      <c r="Z17" s="17">
        <f>IF(OR($B17="",Z$5=""),"",IF(COUNTIFS(nrES_PID,$B17,nrES_Code,Z$5,nrES_Final,"Yes",nrES_Rec,"&gt;=0")=0,"",SUMIFS(nrES_Rec,nrES_PID,$B17,nrES_Code,Z$5,nrES_Final,"Yes")))</f>
        <v/>
      </c>
      <c r="AA17" s="17">
        <f>IF(OR($B17="",AA$5=""),"",IF(COUNTIFS(nrES_PID,$B17,nrES_Code,AA$5,nrES_Final,"Yes",nrES_Rec,"&gt;=0")=0,"",SUMIFS(nrES_Rec,nrES_PID,$B17,nrES_Code,AA$5,nrES_Final,"Yes")))</f>
        <v/>
      </c>
      <c r="AB17" s="17">
        <f>IF(OR($B17="",AB$5=""),"",IF(COUNTIFS(nrES_PID,$B17,nrES_Code,AB$5,nrES_Final,"Yes",nrES_Rec,"&gt;=0")=0,"",SUMIFS(nrES_Rec,nrES_PID,$B17,nrES_Code,AB$5,nrES_Final,"Yes")))</f>
        <v/>
      </c>
      <c r="AC17" s="17">
        <f>IF($B17="","",sysGrades!$M17)</f>
        <v/>
      </c>
      <c r="AD17" s="17">
        <f>IF($B17="","",IFERROR(sysGrades!$U17,""))</f>
        <v/>
      </c>
      <c r="AE17" s="17">
        <f>IF(Cadets!$B17="","",Cadets!$I17)</f>
        <v/>
      </c>
    </row>
    <row r="18">
      <c r="B18" s="17">
        <f>IF(Cadets!$B18="","",Cadets!$B18)</f>
        <v/>
      </c>
      <c r="C18" s="17">
        <f>IF($B18="","",Cadets!$F18)</f>
        <v/>
      </c>
      <c r="D18" s="17">
        <f>IF(OR($B18="",D$5=""),"",IF(COUNTIFS(nrES_PID,$B18,nrES_Code,D$5,nrES_Final,"Yes",nrES_Rec,"&gt;=0")=0,"",SUMIFS(nrES_Rec,nrES_PID,$B18,nrES_Code,D$5,nrES_Final,"Yes")))</f>
        <v/>
      </c>
      <c r="E18" s="17">
        <f>IF(OR($B18="",E$5=""),"",IF(COUNTIFS(nrES_PID,$B18,nrES_Code,E$5,nrES_Final,"Yes",nrES_Rec,"&gt;=0")=0,"",SUMIFS(nrES_Rec,nrES_PID,$B18,nrES_Code,E$5,nrES_Final,"Yes")))</f>
        <v/>
      </c>
      <c r="F18" s="17">
        <f>IF(OR($B18="",F$5=""),"",IF(COUNTIFS(nrES_PID,$B18,nrES_Code,F$5,nrES_Final,"Yes",nrES_Rec,"&gt;=0")=0,"",SUMIFS(nrES_Rec,nrES_PID,$B18,nrES_Code,F$5,nrES_Final,"Yes")))</f>
        <v/>
      </c>
      <c r="G18" s="17">
        <f>IF(OR($B18="",G$5=""),"",IF(COUNTIFS(nrES_PID,$B18,nrES_Code,G$5,nrES_Final,"Yes",nrES_Rec,"&gt;=0")=0,"",SUMIFS(nrES_Rec,nrES_PID,$B18,nrES_Code,G$5,nrES_Final,"Yes")))</f>
        <v/>
      </c>
      <c r="H18" s="17">
        <f>IF(OR($B18="",H$5=""),"",IF(COUNTIFS(nrES_PID,$B18,nrES_Code,H$5,nrES_Final,"Yes",nrES_Rec,"&gt;=0")=0,"",SUMIFS(nrES_Rec,nrES_PID,$B18,nrES_Code,H$5,nrES_Final,"Yes")))</f>
        <v/>
      </c>
      <c r="I18" s="17">
        <f>IF(OR($B18="",I$5=""),"",IF(COUNTIFS(nrES_PID,$B18,nrES_Code,I$5,nrES_Final,"Yes",nrES_Rec,"&gt;=0")=0,"",SUMIFS(nrES_Rec,nrES_PID,$B18,nrES_Code,I$5,nrES_Final,"Yes")))</f>
        <v/>
      </c>
      <c r="J18" s="17">
        <f>IF(OR($B18="",J$5=""),"",IF(COUNTIFS(nrES_PID,$B18,nrES_Code,J$5,nrES_Final,"Yes",nrES_Rec,"&gt;=0")=0,"",SUMIFS(nrES_Rec,nrES_PID,$B18,nrES_Code,J$5,nrES_Final,"Yes")))</f>
        <v/>
      </c>
      <c r="K18" s="17">
        <f>IF(OR($B18="",K$5=""),"",IF(COUNTIFS(nrES_PID,$B18,nrES_Code,K$5,nrES_Final,"Yes",nrES_Rec,"&gt;=0")=0,"",SUMIFS(nrES_Rec,nrES_PID,$B18,nrES_Code,K$5,nrES_Final,"Yes")))</f>
        <v/>
      </c>
      <c r="L18" s="17">
        <f>IF(OR($B18="",L$5=""),"",IF(COUNTIFS(nrES_PID,$B18,nrES_Code,L$5,nrES_Final,"Yes",nrES_Rec,"&gt;=0")=0,"",SUMIFS(nrES_Rec,nrES_PID,$B18,nrES_Code,L$5,nrES_Final,"Yes")))</f>
        <v/>
      </c>
      <c r="M18" s="17">
        <f>IF(OR($B18="",M$5=""),"",IF(COUNTIFS(nrES_PID,$B18,nrES_Code,M$5,nrES_Final,"Yes",nrES_Rec,"&gt;=0")=0,"",SUMIFS(nrES_Rec,nrES_PID,$B18,nrES_Code,M$5,nrES_Final,"Yes")))</f>
        <v/>
      </c>
      <c r="N18" s="17">
        <f>IF(OR($B18="",N$5=""),"",IF(COUNTIFS(nrES_PID,$B18,nrES_Code,N$5,nrES_Final,"Yes",nrES_Rec,"&gt;=0")=0,"",SUMIFS(nrES_Rec,nrES_PID,$B18,nrES_Code,N$5,nrES_Final,"Yes")))</f>
        <v/>
      </c>
      <c r="O18" s="17">
        <f>IF(OR($B18="",O$5=""),"",IF(COUNTIFS(nrES_PID,$B18,nrES_Code,O$5,nrES_Final,"Yes",nrES_Rec,"&gt;=0")=0,"",SUMIFS(nrES_Rec,nrES_PID,$B18,nrES_Code,O$5,nrES_Final,"Yes")))</f>
        <v/>
      </c>
      <c r="P18" s="17">
        <f>IF(OR($B18="",P$5=""),"",IF(COUNTIFS(nrES_PID,$B18,nrES_Code,P$5,nrES_Final,"Yes",nrES_Rec,"&gt;=0")=0,"",SUMIFS(nrES_Rec,nrES_PID,$B18,nrES_Code,P$5,nrES_Final,"Yes")))</f>
        <v/>
      </c>
      <c r="Q18" s="17">
        <f>IF(OR($B18="",Q$5=""),"",IF(COUNTIFS(nrES_PID,$B18,nrES_Code,Q$5,nrES_Final,"Yes",nrES_Rec,"&gt;=0")=0,"",SUMIFS(nrES_Rec,nrES_PID,$B18,nrES_Code,Q$5,nrES_Final,"Yes")))</f>
        <v/>
      </c>
      <c r="R18" s="17">
        <f>IF(OR($B18="",R$5=""),"",IF(COUNTIFS(nrES_PID,$B18,nrES_Code,R$5,nrES_Final,"Yes",nrES_Rec,"&gt;=0")=0,"",SUMIFS(nrES_Rec,nrES_PID,$B18,nrES_Code,R$5,nrES_Final,"Yes")))</f>
        <v/>
      </c>
      <c r="S18" s="17">
        <f>IF(OR($B18="",S$5=""),"",IF(COUNTIFS(nrES_PID,$B18,nrES_Code,S$5,nrES_Final,"Yes",nrES_Rec,"&gt;=0")=0,"",SUMIFS(nrES_Rec,nrES_PID,$B18,nrES_Code,S$5,nrES_Final,"Yes")))</f>
        <v/>
      </c>
      <c r="T18" s="17">
        <f>IF(OR($B18="",T$5=""),"",IF(COUNTIFS(nrES_PID,$B18,nrES_Code,T$5,nrES_Final,"Yes",nrES_Rec,"&gt;=0")=0,"",SUMIFS(nrES_Rec,nrES_PID,$B18,nrES_Code,T$5,nrES_Final,"Yes")))</f>
        <v/>
      </c>
      <c r="U18" s="17">
        <f>IF(OR($B18="",U$5=""),"",IF(COUNTIFS(nrES_PID,$B18,nrES_Code,U$5,nrES_Final,"Yes",nrES_Rec,"&gt;=0")=0,"",SUMIFS(nrES_Rec,nrES_PID,$B18,nrES_Code,U$5,nrES_Final,"Yes")))</f>
        <v/>
      </c>
      <c r="V18" s="17">
        <f>IF(OR($B18="",V$5=""),"",IF(COUNTIFS(nrES_PID,$B18,nrES_Code,V$5,nrES_Final,"Yes",nrES_Rec,"&gt;=0")=0,"",SUMIFS(nrES_Rec,nrES_PID,$B18,nrES_Code,V$5,nrES_Final,"Yes")))</f>
        <v/>
      </c>
      <c r="W18" s="17">
        <f>IF(OR($B18="",W$5=""),"",IF(COUNTIFS(nrES_PID,$B18,nrES_Code,W$5,nrES_Final,"Yes",nrES_Rec,"&gt;=0")=0,"",SUMIFS(nrES_Rec,nrES_PID,$B18,nrES_Code,W$5,nrES_Final,"Yes")))</f>
        <v/>
      </c>
      <c r="X18" s="17">
        <f>IF(OR($B18="",X$5=""),"",IF(COUNTIFS(nrES_PID,$B18,nrES_Code,X$5,nrES_Final,"Yes",nrES_Rec,"&gt;=0")=0,"",SUMIFS(nrES_Rec,nrES_PID,$B18,nrES_Code,X$5,nrES_Final,"Yes")))</f>
        <v/>
      </c>
      <c r="Y18" s="17">
        <f>IF(OR($B18="",Y$5=""),"",IF(COUNTIFS(nrES_PID,$B18,nrES_Code,Y$5,nrES_Final,"Yes",nrES_Rec,"&gt;=0")=0,"",SUMIFS(nrES_Rec,nrES_PID,$B18,nrES_Code,Y$5,nrES_Final,"Yes")))</f>
        <v/>
      </c>
      <c r="Z18" s="17">
        <f>IF(OR($B18="",Z$5=""),"",IF(COUNTIFS(nrES_PID,$B18,nrES_Code,Z$5,nrES_Final,"Yes",nrES_Rec,"&gt;=0")=0,"",SUMIFS(nrES_Rec,nrES_PID,$B18,nrES_Code,Z$5,nrES_Final,"Yes")))</f>
        <v/>
      </c>
      <c r="AA18" s="17">
        <f>IF(OR($B18="",AA$5=""),"",IF(COUNTIFS(nrES_PID,$B18,nrES_Code,AA$5,nrES_Final,"Yes",nrES_Rec,"&gt;=0")=0,"",SUMIFS(nrES_Rec,nrES_PID,$B18,nrES_Code,AA$5,nrES_Final,"Yes")))</f>
        <v/>
      </c>
      <c r="AB18" s="17">
        <f>IF(OR($B18="",AB$5=""),"",IF(COUNTIFS(nrES_PID,$B18,nrES_Code,AB$5,nrES_Final,"Yes",nrES_Rec,"&gt;=0")=0,"",SUMIFS(nrES_Rec,nrES_PID,$B18,nrES_Code,AB$5,nrES_Final,"Yes")))</f>
        <v/>
      </c>
      <c r="AC18" s="17">
        <f>IF($B18="","",sysGrades!$M18)</f>
        <v/>
      </c>
      <c r="AD18" s="17">
        <f>IF($B18="","",IFERROR(sysGrades!$U18,""))</f>
        <v/>
      </c>
      <c r="AE18" s="17">
        <f>IF(Cadets!$B18="","",Cadets!$I18)</f>
        <v/>
      </c>
    </row>
    <row r="19">
      <c r="B19" s="17">
        <f>IF(Cadets!$B19="","",Cadets!$B19)</f>
        <v/>
      </c>
      <c r="C19" s="17">
        <f>IF($B19="","",Cadets!$F19)</f>
        <v/>
      </c>
      <c r="D19" s="17">
        <f>IF(OR($B19="",D$5=""),"",IF(COUNTIFS(nrES_PID,$B19,nrES_Code,D$5,nrES_Final,"Yes",nrES_Rec,"&gt;=0")=0,"",SUMIFS(nrES_Rec,nrES_PID,$B19,nrES_Code,D$5,nrES_Final,"Yes")))</f>
        <v/>
      </c>
      <c r="E19" s="17">
        <f>IF(OR($B19="",E$5=""),"",IF(COUNTIFS(nrES_PID,$B19,nrES_Code,E$5,nrES_Final,"Yes",nrES_Rec,"&gt;=0")=0,"",SUMIFS(nrES_Rec,nrES_PID,$B19,nrES_Code,E$5,nrES_Final,"Yes")))</f>
        <v/>
      </c>
      <c r="F19" s="17">
        <f>IF(OR($B19="",F$5=""),"",IF(COUNTIFS(nrES_PID,$B19,nrES_Code,F$5,nrES_Final,"Yes",nrES_Rec,"&gt;=0")=0,"",SUMIFS(nrES_Rec,nrES_PID,$B19,nrES_Code,F$5,nrES_Final,"Yes")))</f>
        <v/>
      </c>
      <c r="G19" s="17">
        <f>IF(OR($B19="",G$5=""),"",IF(COUNTIFS(nrES_PID,$B19,nrES_Code,G$5,nrES_Final,"Yes",nrES_Rec,"&gt;=0")=0,"",SUMIFS(nrES_Rec,nrES_PID,$B19,nrES_Code,G$5,nrES_Final,"Yes")))</f>
        <v/>
      </c>
      <c r="H19" s="17">
        <f>IF(OR($B19="",H$5=""),"",IF(COUNTIFS(nrES_PID,$B19,nrES_Code,H$5,nrES_Final,"Yes",nrES_Rec,"&gt;=0")=0,"",SUMIFS(nrES_Rec,nrES_PID,$B19,nrES_Code,H$5,nrES_Final,"Yes")))</f>
        <v/>
      </c>
      <c r="I19" s="17">
        <f>IF(OR($B19="",I$5=""),"",IF(COUNTIFS(nrES_PID,$B19,nrES_Code,I$5,nrES_Final,"Yes",nrES_Rec,"&gt;=0")=0,"",SUMIFS(nrES_Rec,nrES_PID,$B19,nrES_Code,I$5,nrES_Final,"Yes")))</f>
        <v/>
      </c>
      <c r="J19" s="17">
        <f>IF(OR($B19="",J$5=""),"",IF(COUNTIFS(nrES_PID,$B19,nrES_Code,J$5,nrES_Final,"Yes",nrES_Rec,"&gt;=0")=0,"",SUMIFS(nrES_Rec,nrES_PID,$B19,nrES_Code,J$5,nrES_Final,"Yes")))</f>
        <v/>
      </c>
      <c r="K19" s="17">
        <f>IF(OR($B19="",K$5=""),"",IF(COUNTIFS(nrES_PID,$B19,nrES_Code,K$5,nrES_Final,"Yes",nrES_Rec,"&gt;=0")=0,"",SUMIFS(nrES_Rec,nrES_PID,$B19,nrES_Code,K$5,nrES_Final,"Yes")))</f>
        <v/>
      </c>
      <c r="L19" s="17">
        <f>IF(OR($B19="",L$5=""),"",IF(COUNTIFS(nrES_PID,$B19,nrES_Code,L$5,nrES_Final,"Yes",nrES_Rec,"&gt;=0")=0,"",SUMIFS(nrES_Rec,nrES_PID,$B19,nrES_Code,L$5,nrES_Final,"Yes")))</f>
        <v/>
      </c>
      <c r="M19" s="17">
        <f>IF(OR($B19="",M$5=""),"",IF(COUNTIFS(nrES_PID,$B19,nrES_Code,M$5,nrES_Final,"Yes",nrES_Rec,"&gt;=0")=0,"",SUMIFS(nrES_Rec,nrES_PID,$B19,nrES_Code,M$5,nrES_Final,"Yes")))</f>
        <v/>
      </c>
      <c r="N19" s="17">
        <f>IF(OR($B19="",N$5=""),"",IF(COUNTIFS(nrES_PID,$B19,nrES_Code,N$5,nrES_Final,"Yes",nrES_Rec,"&gt;=0")=0,"",SUMIFS(nrES_Rec,nrES_PID,$B19,nrES_Code,N$5,nrES_Final,"Yes")))</f>
        <v/>
      </c>
      <c r="O19" s="17">
        <f>IF(OR($B19="",O$5=""),"",IF(COUNTIFS(nrES_PID,$B19,nrES_Code,O$5,nrES_Final,"Yes",nrES_Rec,"&gt;=0")=0,"",SUMIFS(nrES_Rec,nrES_PID,$B19,nrES_Code,O$5,nrES_Final,"Yes")))</f>
        <v/>
      </c>
      <c r="P19" s="17">
        <f>IF(OR($B19="",P$5=""),"",IF(COUNTIFS(nrES_PID,$B19,nrES_Code,P$5,nrES_Final,"Yes",nrES_Rec,"&gt;=0")=0,"",SUMIFS(nrES_Rec,nrES_PID,$B19,nrES_Code,P$5,nrES_Final,"Yes")))</f>
        <v/>
      </c>
      <c r="Q19" s="17">
        <f>IF(OR($B19="",Q$5=""),"",IF(COUNTIFS(nrES_PID,$B19,nrES_Code,Q$5,nrES_Final,"Yes",nrES_Rec,"&gt;=0")=0,"",SUMIFS(nrES_Rec,nrES_PID,$B19,nrES_Code,Q$5,nrES_Final,"Yes")))</f>
        <v/>
      </c>
      <c r="R19" s="17">
        <f>IF(OR($B19="",R$5=""),"",IF(COUNTIFS(nrES_PID,$B19,nrES_Code,R$5,nrES_Final,"Yes",nrES_Rec,"&gt;=0")=0,"",SUMIFS(nrES_Rec,nrES_PID,$B19,nrES_Code,R$5,nrES_Final,"Yes")))</f>
        <v/>
      </c>
      <c r="S19" s="17">
        <f>IF(OR($B19="",S$5=""),"",IF(COUNTIFS(nrES_PID,$B19,nrES_Code,S$5,nrES_Final,"Yes",nrES_Rec,"&gt;=0")=0,"",SUMIFS(nrES_Rec,nrES_PID,$B19,nrES_Code,S$5,nrES_Final,"Yes")))</f>
        <v/>
      </c>
      <c r="T19" s="17">
        <f>IF(OR($B19="",T$5=""),"",IF(COUNTIFS(nrES_PID,$B19,nrES_Code,T$5,nrES_Final,"Yes",nrES_Rec,"&gt;=0")=0,"",SUMIFS(nrES_Rec,nrES_PID,$B19,nrES_Code,T$5,nrES_Final,"Yes")))</f>
        <v/>
      </c>
      <c r="U19" s="17">
        <f>IF(OR($B19="",U$5=""),"",IF(COUNTIFS(nrES_PID,$B19,nrES_Code,U$5,nrES_Final,"Yes",nrES_Rec,"&gt;=0")=0,"",SUMIFS(nrES_Rec,nrES_PID,$B19,nrES_Code,U$5,nrES_Final,"Yes")))</f>
        <v/>
      </c>
      <c r="V19" s="17">
        <f>IF(OR($B19="",V$5=""),"",IF(COUNTIFS(nrES_PID,$B19,nrES_Code,V$5,nrES_Final,"Yes",nrES_Rec,"&gt;=0")=0,"",SUMIFS(nrES_Rec,nrES_PID,$B19,nrES_Code,V$5,nrES_Final,"Yes")))</f>
        <v/>
      </c>
      <c r="W19" s="17">
        <f>IF(OR($B19="",W$5=""),"",IF(COUNTIFS(nrES_PID,$B19,nrES_Code,W$5,nrES_Final,"Yes",nrES_Rec,"&gt;=0")=0,"",SUMIFS(nrES_Rec,nrES_PID,$B19,nrES_Code,W$5,nrES_Final,"Yes")))</f>
        <v/>
      </c>
      <c r="X19" s="17">
        <f>IF(OR($B19="",X$5=""),"",IF(COUNTIFS(nrES_PID,$B19,nrES_Code,X$5,nrES_Final,"Yes",nrES_Rec,"&gt;=0")=0,"",SUMIFS(nrES_Rec,nrES_PID,$B19,nrES_Code,X$5,nrES_Final,"Yes")))</f>
        <v/>
      </c>
      <c r="Y19" s="17">
        <f>IF(OR($B19="",Y$5=""),"",IF(COUNTIFS(nrES_PID,$B19,nrES_Code,Y$5,nrES_Final,"Yes",nrES_Rec,"&gt;=0")=0,"",SUMIFS(nrES_Rec,nrES_PID,$B19,nrES_Code,Y$5,nrES_Final,"Yes")))</f>
        <v/>
      </c>
      <c r="Z19" s="17">
        <f>IF(OR($B19="",Z$5=""),"",IF(COUNTIFS(nrES_PID,$B19,nrES_Code,Z$5,nrES_Final,"Yes",nrES_Rec,"&gt;=0")=0,"",SUMIFS(nrES_Rec,nrES_PID,$B19,nrES_Code,Z$5,nrES_Final,"Yes")))</f>
        <v/>
      </c>
      <c r="AA19" s="17">
        <f>IF(OR($B19="",AA$5=""),"",IF(COUNTIFS(nrES_PID,$B19,nrES_Code,AA$5,nrES_Final,"Yes",nrES_Rec,"&gt;=0")=0,"",SUMIFS(nrES_Rec,nrES_PID,$B19,nrES_Code,AA$5,nrES_Final,"Yes")))</f>
        <v/>
      </c>
      <c r="AB19" s="17">
        <f>IF(OR($B19="",AB$5=""),"",IF(COUNTIFS(nrES_PID,$B19,nrES_Code,AB$5,nrES_Final,"Yes",nrES_Rec,"&gt;=0")=0,"",SUMIFS(nrES_Rec,nrES_PID,$B19,nrES_Code,AB$5,nrES_Final,"Yes")))</f>
        <v/>
      </c>
      <c r="AC19" s="17">
        <f>IF($B19="","",sysGrades!$M19)</f>
        <v/>
      </c>
      <c r="AD19" s="17">
        <f>IF($B19="","",IFERROR(sysGrades!$U19,""))</f>
        <v/>
      </c>
      <c r="AE19" s="17">
        <f>IF(Cadets!$B19="","",Cadets!$I19)</f>
        <v/>
      </c>
    </row>
    <row r="20">
      <c r="B20" s="17">
        <f>IF(Cadets!$B20="","",Cadets!$B20)</f>
        <v/>
      </c>
      <c r="C20" s="17">
        <f>IF($B20="","",Cadets!$F20)</f>
        <v/>
      </c>
      <c r="D20" s="17">
        <f>IF(OR($B20="",D$5=""),"",IF(COUNTIFS(nrES_PID,$B20,nrES_Code,D$5,nrES_Final,"Yes",nrES_Rec,"&gt;=0")=0,"",SUMIFS(nrES_Rec,nrES_PID,$B20,nrES_Code,D$5,nrES_Final,"Yes")))</f>
        <v/>
      </c>
      <c r="E20" s="17">
        <f>IF(OR($B20="",E$5=""),"",IF(COUNTIFS(nrES_PID,$B20,nrES_Code,E$5,nrES_Final,"Yes",nrES_Rec,"&gt;=0")=0,"",SUMIFS(nrES_Rec,nrES_PID,$B20,nrES_Code,E$5,nrES_Final,"Yes")))</f>
        <v/>
      </c>
      <c r="F20" s="17">
        <f>IF(OR($B20="",F$5=""),"",IF(COUNTIFS(nrES_PID,$B20,nrES_Code,F$5,nrES_Final,"Yes",nrES_Rec,"&gt;=0")=0,"",SUMIFS(nrES_Rec,nrES_PID,$B20,nrES_Code,F$5,nrES_Final,"Yes")))</f>
        <v/>
      </c>
      <c r="G20" s="17">
        <f>IF(OR($B20="",G$5=""),"",IF(COUNTIFS(nrES_PID,$B20,nrES_Code,G$5,nrES_Final,"Yes",nrES_Rec,"&gt;=0")=0,"",SUMIFS(nrES_Rec,nrES_PID,$B20,nrES_Code,G$5,nrES_Final,"Yes")))</f>
        <v/>
      </c>
      <c r="H20" s="17">
        <f>IF(OR($B20="",H$5=""),"",IF(COUNTIFS(nrES_PID,$B20,nrES_Code,H$5,nrES_Final,"Yes",nrES_Rec,"&gt;=0")=0,"",SUMIFS(nrES_Rec,nrES_PID,$B20,nrES_Code,H$5,nrES_Final,"Yes")))</f>
        <v/>
      </c>
      <c r="I20" s="17">
        <f>IF(OR($B20="",I$5=""),"",IF(COUNTIFS(nrES_PID,$B20,nrES_Code,I$5,nrES_Final,"Yes",nrES_Rec,"&gt;=0")=0,"",SUMIFS(nrES_Rec,nrES_PID,$B20,nrES_Code,I$5,nrES_Final,"Yes")))</f>
        <v/>
      </c>
      <c r="J20" s="17">
        <f>IF(OR($B20="",J$5=""),"",IF(COUNTIFS(nrES_PID,$B20,nrES_Code,J$5,nrES_Final,"Yes",nrES_Rec,"&gt;=0")=0,"",SUMIFS(nrES_Rec,nrES_PID,$B20,nrES_Code,J$5,nrES_Final,"Yes")))</f>
        <v/>
      </c>
      <c r="K20" s="17">
        <f>IF(OR($B20="",K$5=""),"",IF(COUNTIFS(nrES_PID,$B20,nrES_Code,K$5,nrES_Final,"Yes",nrES_Rec,"&gt;=0")=0,"",SUMIFS(nrES_Rec,nrES_PID,$B20,nrES_Code,K$5,nrES_Final,"Yes")))</f>
        <v/>
      </c>
      <c r="L20" s="17">
        <f>IF(OR($B20="",L$5=""),"",IF(COUNTIFS(nrES_PID,$B20,nrES_Code,L$5,nrES_Final,"Yes",nrES_Rec,"&gt;=0")=0,"",SUMIFS(nrES_Rec,nrES_PID,$B20,nrES_Code,L$5,nrES_Final,"Yes")))</f>
        <v/>
      </c>
      <c r="M20" s="17">
        <f>IF(OR($B20="",M$5=""),"",IF(COUNTIFS(nrES_PID,$B20,nrES_Code,M$5,nrES_Final,"Yes",nrES_Rec,"&gt;=0")=0,"",SUMIFS(nrES_Rec,nrES_PID,$B20,nrES_Code,M$5,nrES_Final,"Yes")))</f>
        <v/>
      </c>
      <c r="N20" s="17">
        <f>IF(OR($B20="",N$5=""),"",IF(COUNTIFS(nrES_PID,$B20,nrES_Code,N$5,nrES_Final,"Yes",nrES_Rec,"&gt;=0")=0,"",SUMIFS(nrES_Rec,nrES_PID,$B20,nrES_Code,N$5,nrES_Final,"Yes")))</f>
        <v/>
      </c>
      <c r="O20" s="17">
        <f>IF(OR($B20="",O$5=""),"",IF(COUNTIFS(nrES_PID,$B20,nrES_Code,O$5,nrES_Final,"Yes",nrES_Rec,"&gt;=0")=0,"",SUMIFS(nrES_Rec,nrES_PID,$B20,nrES_Code,O$5,nrES_Final,"Yes")))</f>
        <v/>
      </c>
      <c r="P20" s="17">
        <f>IF(OR($B20="",P$5=""),"",IF(COUNTIFS(nrES_PID,$B20,nrES_Code,P$5,nrES_Final,"Yes",nrES_Rec,"&gt;=0")=0,"",SUMIFS(nrES_Rec,nrES_PID,$B20,nrES_Code,P$5,nrES_Final,"Yes")))</f>
        <v/>
      </c>
      <c r="Q20" s="17">
        <f>IF(OR($B20="",Q$5=""),"",IF(COUNTIFS(nrES_PID,$B20,nrES_Code,Q$5,nrES_Final,"Yes",nrES_Rec,"&gt;=0")=0,"",SUMIFS(nrES_Rec,nrES_PID,$B20,nrES_Code,Q$5,nrES_Final,"Yes")))</f>
        <v/>
      </c>
      <c r="R20" s="17">
        <f>IF(OR($B20="",R$5=""),"",IF(COUNTIFS(nrES_PID,$B20,nrES_Code,R$5,nrES_Final,"Yes",nrES_Rec,"&gt;=0")=0,"",SUMIFS(nrES_Rec,nrES_PID,$B20,nrES_Code,R$5,nrES_Final,"Yes")))</f>
        <v/>
      </c>
      <c r="S20" s="17">
        <f>IF(OR($B20="",S$5=""),"",IF(COUNTIFS(nrES_PID,$B20,nrES_Code,S$5,nrES_Final,"Yes",nrES_Rec,"&gt;=0")=0,"",SUMIFS(nrES_Rec,nrES_PID,$B20,nrES_Code,S$5,nrES_Final,"Yes")))</f>
        <v/>
      </c>
      <c r="T20" s="17">
        <f>IF(OR($B20="",T$5=""),"",IF(COUNTIFS(nrES_PID,$B20,nrES_Code,T$5,nrES_Final,"Yes",nrES_Rec,"&gt;=0")=0,"",SUMIFS(nrES_Rec,nrES_PID,$B20,nrES_Code,T$5,nrES_Final,"Yes")))</f>
        <v/>
      </c>
      <c r="U20" s="17">
        <f>IF(OR($B20="",U$5=""),"",IF(COUNTIFS(nrES_PID,$B20,nrES_Code,U$5,nrES_Final,"Yes",nrES_Rec,"&gt;=0")=0,"",SUMIFS(nrES_Rec,nrES_PID,$B20,nrES_Code,U$5,nrES_Final,"Yes")))</f>
        <v/>
      </c>
      <c r="V20" s="17">
        <f>IF(OR($B20="",V$5=""),"",IF(COUNTIFS(nrES_PID,$B20,nrES_Code,V$5,nrES_Final,"Yes",nrES_Rec,"&gt;=0")=0,"",SUMIFS(nrES_Rec,nrES_PID,$B20,nrES_Code,V$5,nrES_Final,"Yes")))</f>
        <v/>
      </c>
      <c r="W20" s="17">
        <f>IF(OR($B20="",W$5=""),"",IF(COUNTIFS(nrES_PID,$B20,nrES_Code,W$5,nrES_Final,"Yes",nrES_Rec,"&gt;=0")=0,"",SUMIFS(nrES_Rec,nrES_PID,$B20,nrES_Code,W$5,nrES_Final,"Yes")))</f>
        <v/>
      </c>
      <c r="X20" s="17">
        <f>IF(OR($B20="",X$5=""),"",IF(COUNTIFS(nrES_PID,$B20,nrES_Code,X$5,nrES_Final,"Yes",nrES_Rec,"&gt;=0")=0,"",SUMIFS(nrES_Rec,nrES_PID,$B20,nrES_Code,X$5,nrES_Final,"Yes")))</f>
        <v/>
      </c>
      <c r="Y20" s="17">
        <f>IF(OR($B20="",Y$5=""),"",IF(COUNTIFS(nrES_PID,$B20,nrES_Code,Y$5,nrES_Final,"Yes",nrES_Rec,"&gt;=0")=0,"",SUMIFS(nrES_Rec,nrES_PID,$B20,nrES_Code,Y$5,nrES_Final,"Yes")))</f>
        <v/>
      </c>
      <c r="Z20" s="17">
        <f>IF(OR($B20="",Z$5=""),"",IF(COUNTIFS(nrES_PID,$B20,nrES_Code,Z$5,nrES_Final,"Yes",nrES_Rec,"&gt;=0")=0,"",SUMIFS(nrES_Rec,nrES_PID,$B20,nrES_Code,Z$5,nrES_Final,"Yes")))</f>
        <v/>
      </c>
      <c r="AA20" s="17">
        <f>IF(OR($B20="",AA$5=""),"",IF(COUNTIFS(nrES_PID,$B20,nrES_Code,AA$5,nrES_Final,"Yes",nrES_Rec,"&gt;=0")=0,"",SUMIFS(nrES_Rec,nrES_PID,$B20,nrES_Code,AA$5,nrES_Final,"Yes")))</f>
        <v/>
      </c>
      <c r="AB20" s="17">
        <f>IF(OR($B20="",AB$5=""),"",IF(COUNTIFS(nrES_PID,$B20,nrES_Code,AB$5,nrES_Final,"Yes",nrES_Rec,"&gt;=0")=0,"",SUMIFS(nrES_Rec,nrES_PID,$B20,nrES_Code,AB$5,nrES_Final,"Yes")))</f>
        <v/>
      </c>
      <c r="AC20" s="17">
        <f>IF($B20="","",sysGrades!$M20)</f>
        <v/>
      </c>
      <c r="AD20" s="17">
        <f>IF($B20="","",IFERROR(sysGrades!$U20,""))</f>
        <v/>
      </c>
      <c r="AE20" s="17">
        <f>IF(Cadets!$B20="","",Cadets!$I20)</f>
        <v/>
      </c>
    </row>
    <row r="21">
      <c r="B21" s="17">
        <f>IF(Cadets!$B21="","",Cadets!$B21)</f>
        <v/>
      </c>
      <c r="C21" s="17">
        <f>IF($B21="","",Cadets!$F21)</f>
        <v/>
      </c>
      <c r="D21" s="17">
        <f>IF(OR($B21="",D$5=""),"",IF(COUNTIFS(nrES_PID,$B21,nrES_Code,D$5,nrES_Final,"Yes",nrES_Rec,"&gt;=0")=0,"",SUMIFS(nrES_Rec,nrES_PID,$B21,nrES_Code,D$5,nrES_Final,"Yes")))</f>
        <v/>
      </c>
      <c r="E21" s="17">
        <f>IF(OR($B21="",E$5=""),"",IF(COUNTIFS(nrES_PID,$B21,nrES_Code,E$5,nrES_Final,"Yes",nrES_Rec,"&gt;=0")=0,"",SUMIFS(nrES_Rec,nrES_PID,$B21,nrES_Code,E$5,nrES_Final,"Yes")))</f>
        <v/>
      </c>
      <c r="F21" s="17">
        <f>IF(OR($B21="",F$5=""),"",IF(COUNTIFS(nrES_PID,$B21,nrES_Code,F$5,nrES_Final,"Yes",nrES_Rec,"&gt;=0")=0,"",SUMIFS(nrES_Rec,nrES_PID,$B21,nrES_Code,F$5,nrES_Final,"Yes")))</f>
        <v/>
      </c>
      <c r="G21" s="17">
        <f>IF(OR($B21="",G$5=""),"",IF(COUNTIFS(nrES_PID,$B21,nrES_Code,G$5,nrES_Final,"Yes",nrES_Rec,"&gt;=0")=0,"",SUMIFS(nrES_Rec,nrES_PID,$B21,nrES_Code,G$5,nrES_Final,"Yes")))</f>
        <v/>
      </c>
      <c r="H21" s="17">
        <f>IF(OR($B21="",H$5=""),"",IF(COUNTIFS(nrES_PID,$B21,nrES_Code,H$5,nrES_Final,"Yes",nrES_Rec,"&gt;=0")=0,"",SUMIFS(nrES_Rec,nrES_PID,$B21,nrES_Code,H$5,nrES_Final,"Yes")))</f>
        <v/>
      </c>
      <c r="I21" s="17">
        <f>IF(OR($B21="",I$5=""),"",IF(COUNTIFS(nrES_PID,$B21,nrES_Code,I$5,nrES_Final,"Yes",nrES_Rec,"&gt;=0")=0,"",SUMIFS(nrES_Rec,nrES_PID,$B21,nrES_Code,I$5,nrES_Final,"Yes")))</f>
        <v/>
      </c>
      <c r="J21" s="17">
        <f>IF(OR($B21="",J$5=""),"",IF(COUNTIFS(nrES_PID,$B21,nrES_Code,J$5,nrES_Final,"Yes",nrES_Rec,"&gt;=0")=0,"",SUMIFS(nrES_Rec,nrES_PID,$B21,nrES_Code,J$5,nrES_Final,"Yes")))</f>
        <v/>
      </c>
      <c r="K21" s="17">
        <f>IF(OR($B21="",K$5=""),"",IF(COUNTIFS(nrES_PID,$B21,nrES_Code,K$5,nrES_Final,"Yes",nrES_Rec,"&gt;=0")=0,"",SUMIFS(nrES_Rec,nrES_PID,$B21,nrES_Code,K$5,nrES_Final,"Yes")))</f>
        <v/>
      </c>
      <c r="L21" s="17">
        <f>IF(OR($B21="",L$5=""),"",IF(COUNTIFS(nrES_PID,$B21,nrES_Code,L$5,nrES_Final,"Yes",nrES_Rec,"&gt;=0")=0,"",SUMIFS(nrES_Rec,nrES_PID,$B21,nrES_Code,L$5,nrES_Final,"Yes")))</f>
        <v/>
      </c>
      <c r="M21" s="17">
        <f>IF(OR($B21="",M$5=""),"",IF(COUNTIFS(nrES_PID,$B21,nrES_Code,M$5,nrES_Final,"Yes",nrES_Rec,"&gt;=0")=0,"",SUMIFS(nrES_Rec,nrES_PID,$B21,nrES_Code,M$5,nrES_Final,"Yes")))</f>
        <v/>
      </c>
      <c r="N21" s="17">
        <f>IF(OR($B21="",N$5=""),"",IF(COUNTIFS(nrES_PID,$B21,nrES_Code,N$5,nrES_Final,"Yes",nrES_Rec,"&gt;=0")=0,"",SUMIFS(nrES_Rec,nrES_PID,$B21,nrES_Code,N$5,nrES_Final,"Yes")))</f>
        <v/>
      </c>
      <c r="O21" s="17">
        <f>IF(OR($B21="",O$5=""),"",IF(COUNTIFS(nrES_PID,$B21,nrES_Code,O$5,nrES_Final,"Yes",nrES_Rec,"&gt;=0")=0,"",SUMIFS(nrES_Rec,nrES_PID,$B21,nrES_Code,O$5,nrES_Final,"Yes")))</f>
        <v/>
      </c>
      <c r="P21" s="17">
        <f>IF(OR($B21="",P$5=""),"",IF(COUNTIFS(nrES_PID,$B21,nrES_Code,P$5,nrES_Final,"Yes",nrES_Rec,"&gt;=0")=0,"",SUMIFS(nrES_Rec,nrES_PID,$B21,nrES_Code,P$5,nrES_Final,"Yes")))</f>
        <v/>
      </c>
      <c r="Q21" s="17">
        <f>IF(OR($B21="",Q$5=""),"",IF(COUNTIFS(nrES_PID,$B21,nrES_Code,Q$5,nrES_Final,"Yes",nrES_Rec,"&gt;=0")=0,"",SUMIFS(nrES_Rec,nrES_PID,$B21,nrES_Code,Q$5,nrES_Final,"Yes")))</f>
        <v/>
      </c>
      <c r="R21" s="17">
        <f>IF(OR($B21="",R$5=""),"",IF(COUNTIFS(nrES_PID,$B21,nrES_Code,R$5,nrES_Final,"Yes",nrES_Rec,"&gt;=0")=0,"",SUMIFS(nrES_Rec,nrES_PID,$B21,nrES_Code,R$5,nrES_Final,"Yes")))</f>
        <v/>
      </c>
      <c r="S21" s="17">
        <f>IF(OR($B21="",S$5=""),"",IF(COUNTIFS(nrES_PID,$B21,nrES_Code,S$5,nrES_Final,"Yes",nrES_Rec,"&gt;=0")=0,"",SUMIFS(nrES_Rec,nrES_PID,$B21,nrES_Code,S$5,nrES_Final,"Yes")))</f>
        <v/>
      </c>
      <c r="T21" s="17">
        <f>IF(OR($B21="",T$5=""),"",IF(COUNTIFS(nrES_PID,$B21,nrES_Code,T$5,nrES_Final,"Yes",nrES_Rec,"&gt;=0")=0,"",SUMIFS(nrES_Rec,nrES_PID,$B21,nrES_Code,T$5,nrES_Final,"Yes")))</f>
        <v/>
      </c>
      <c r="U21" s="17">
        <f>IF(OR($B21="",U$5=""),"",IF(COUNTIFS(nrES_PID,$B21,nrES_Code,U$5,nrES_Final,"Yes",nrES_Rec,"&gt;=0")=0,"",SUMIFS(nrES_Rec,nrES_PID,$B21,nrES_Code,U$5,nrES_Final,"Yes")))</f>
        <v/>
      </c>
      <c r="V21" s="17">
        <f>IF(OR($B21="",V$5=""),"",IF(COUNTIFS(nrES_PID,$B21,nrES_Code,V$5,nrES_Final,"Yes",nrES_Rec,"&gt;=0")=0,"",SUMIFS(nrES_Rec,nrES_PID,$B21,nrES_Code,V$5,nrES_Final,"Yes")))</f>
        <v/>
      </c>
      <c r="W21" s="17">
        <f>IF(OR($B21="",W$5=""),"",IF(COUNTIFS(nrES_PID,$B21,nrES_Code,W$5,nrES_Final,"Yes",nrES_Rec,"&gt;=0")=0,"",SUMIFS(nrES_Rec,nrES_PID,$B21,nrES_Code,W$5,nrES_Final,"Yes")))</f>
        <v/>
      </c>
      <c r="X21" s="17">
        <f>IF(OR($B21="",X$5=""),"",IF(COUNTIFS(nrES_PID,$B21,nrES_Code,X$5,nrES_Final,"Yes",nrES_Rec,"&gt;=0")=0,"",SUMIFS(nrES_Rec,nrES_PID,$B21,nrES_Code,X$5,nrES_Final,"Yes")))</f>
        <v/>
      </c>
      <c r="Y21" s="17">
        <f>IF(OR($B21="",Y$5=""),"",IF(COUNTIFS(nrES_PID,$B21,nrES_Code,Y$5,nrES_Final,"Yes",nrES_Rec,"&gt;=0")=0,"",SUMIFS(nrES_Rec,nrES_PID,$B21,nrES_Code,Y$5,nrES_Final,"Yes")))</f>
        <v/>
      </c>
      <c r="Z21" s="17">
        <f>IF(OR($B21="",Z$5=""),"",IF(COUNTIFS(nrES_PID,$B21,nrES_Code,Z$5,nrES_Final,"Yes",nrES_Rec,"&gt;=0")=0,"",SUMIFS(nrES_Rec,nrES_PID,$B21,nrES_Code,Z$5,nrES_Final,"Yes")))</f>
        <v/>
      </c>
      <c r="AA21" s="17">
        <f>IF(OR($B21="",AA$5=""),"",IF(COUNTIFS(nrES_PID,$B21,nrES_Code,AA$5,nrES_Final,"Yes",nrES_Rec,"&gt;=0")=0,"",SUMIFS(nrES_Rec,nrES_PID,$B21,nrES_Code,AA$5,nrES_Final,"Yes")))</f>
        <v/>
      </c>
      <c r="AB21" s="17">
        <f>IF(OR($B21="",AB$5=""),"",IF(COUNTIFS(nrES_PID,$B21,nrES_Code,AB$5,nrES_Final,"Yes",nrES_Rec,"&gt;=0")=0,"",SUMIFS(nrES_Rec,nrES_PID,$B21,nrES_Code,AB$5,nrES_Final,"Yes")))</f>
        <v/>
      </c>
      <c r="AC21" s="17">
        <f>IF($B21="","",sysGrades!$M21)</f>
        <v/>
      </c>
      <c r="AD21" s="17">
        <f>IF($B21="","",IFERROR(sysGrades!$U21,""))</f>
        <v/>
      </c>
      <c r="AE21" s="17">
        <f>IF(Cadets!$B21="","",Cadets!$I21)</f>
        <v/>
      </c>
    </row>
    <row r="22">
      <c r="B22" s="17">
        <f>IF(Cadets!$B22="","",Cadets!$B22)</f>
        <v/>
      </c>
      <c r="C22" s="17">
        <f>IF($B22="","",Cadets!$F22)</f>
        <v/>
      </c>
      <c r="D22" s="17">
        <f>IF(OR($B22="",D$5=""),"",IF(COUNTIFS(nrES_PID,$B22,nrES_Code,D$5,nrES_Final,"Yes",nrES_Rec,"&gt;=0")=0,"",SUMIFS(nrES_Rec,nrES_PID,$B22,nrES_Code,D$5,nrES_Final,"Yes")))</f>
        <v/>
      </c>
      <c r="E22" s="17">
        <f>IF(OR($B22="",E$5=""),"",IF(COUNTIFS(nrES_PID,$B22,nrES_Code,E$5,nrES_Final,"Yes",nrES_Rec,"&gt;=0")=0,"",SUMIFS(nrES_Rec,nrES_PID,$B22,nrES_Code,E$5,nrES_Final,"Yes")))</f>
        <v/>
      </c>
      <c r="F22" s="17">
        <f>IF(OR($B22="",F$5=""),"",IF(COUNTIFS(nrES_PID,$B22,nrES_Code,F$5,nrES_Final,"Yes",nrES_Rec,"&gt;=0")=0,"",SUMIFS(nrES_Rec,nrES_PID,$B22,nrES_Code,F$5,nrES_Final,"Yes")))</f>
        <v/>
      </c>
      <c r="G22" s="17">
        <f>IF(OR($B22="",G$5=""),"",IF(COUNTIFS(nrES_PID,$B22,nrES_Code,G$5,nrES_Final,"Yes",nrES_Rec,"&gt;=0")=0,"",SUMIFS(nrES_Rec,nrES_PID,$B22,nrES_Code,G$5,nrES_Final,"Yes")))</f>
        <v/>
      </c>
      <c r="H22" s="17">
        <f>IF(OR($B22="",H$5=""),"",IF(COUNTIFS(nrES_PID,$B22,nrES_Code,H$5,nrES_Final,"Yes",nrES_Rec,"&gt;=0")=0,"",SUMIFS(nrES_Rec,nrES_PID,$B22,nrES_Code,H$5,nrES_Final,"Yes")))</f>
        <v/>
      </c>
      <c r="I22" s="17">
        <f>IF(OR($B22="",I$5=""),"",IF(COUNTIFS(nrES_PID,$B22,nrES_Code,I$5,nrES_Final,"Yes",nrES_Rec,"&gt;=0")=0,"",SUMIFS(nrES_Rec,nrES_PID,$B22,nrES_Code,I$5,nrES_Final,"Yes")))</f>
        <v/>
      </c>
      <c r="J22" s="17">
        <f>IF(OR($B22="",J$5=""),"",IF(COUNTIFS(nrES_PID,$B22,nrES_Code,J$5,nrES_Final,"Yes",nrES_Rec,"&gt;=0")=0,"",SUMIFS(nrES_Rec,nrES_PID,$B22,nrES_Code,J$5,nrES_Final,"Yes")))</f>
        <v/>
      </c>
      <c r="K22" s="17">
        <f>IF(OR($B22="",K$5=""),"",IF(COUNTIFS(nrES_PID,$B22,nrES_Code,K$5,nrES_Final,"Yes",nrES_Rec,"&gt;=0")=0,"",SUMIFS(nrES_Rec,nrES_PID,$B22,nrES_Code,K$5,nrES_Final,"Yes")))</f>
        <v/>
      </c>
      <c r="L22" s="17">
        <f>IF(OR($B22="",L$5=""),"",IF(COUNTIFS(nrES_PID,$B22,nrES_Code,L$5,nrES_Final,"Yes",nrES_Rec,"&gt;=0")=0,"",SUMIFS(nrES_Rec,nrES_PID,$B22,nrES_Code,L$5,nrES_Final,"Yes")))</f>
        <v/>
      </c>
      <c r="M22" s="17">
        <f>IF(OR($B22="",M$5=""),"",IF(COUNTIFS(nrES_PID,$B22,nrES_Code,M$5,nrES_Final,"Yes",nrES_Rec,"&gt;=0")=0,"",SUMIFS(nrES_Rec,nrES_PID,$B22,nrES_Code,M$5,nrES_Final,"Yes")))</f>
        <v/>
      </c>
      <c r="N22" s="17">
        <f>IF(OR($B22="",N$5=""),"",IF(COUNTIFS(nrES_PID,$B22,nrES_Code,N$5,nrES_Final,"Yes",nrES_Rec,"&gt;=0")=0,"",SUMIFS(nrES_Rec,nrES_PID,$B22,nrES_Code,N$5,nrES_Final,"Yes")))</f>
        <v/>
      </c>
      <c r="O22" s="17">
        <f>IF(OR($B22="",O$5=""),"",IF(COUNTIFS(nrES_PID,$B22,nrES_Code,O$5,nrES_Final,"Yes",nrES_Rec,"&gt;=0")=0,"",SUMIFS(nrES_Rec,nrES_PID,$B22,nrES_Code,O$5,nrES_Final,"Yes")))</f>
        <v/>
      </c>
      <c r="P22" s="17">
        <f>IF(OR($B22="",P$5=""),"",IF(COUNTIFS(nrES_PID,$B22,nrES_Code,P$5,nrES_Final,"Yes",nrES_Rec,"&gt;=0")=0,"",SUMIFS(nrES_Rec,nrES_PID,$B22,nrES_Code,P$5,nrES_Final,"Yes")))</f>
        <v/>
      </c>
      <c r="Q22" s="17">
        <f>IF(OR($B22="",Q$5=""),"",IF(COUNTIFS(nrES_PID,$B22,nrES_Code,Q$5,nrES_Final,"Yes",nrES_Rec,"&gt;=0")=0,"",SUMIFS(nrES_Rec,nrES_PID,$B22,nrES_Code,Q$5,nrES_Final,"Yes")))</f>
        <v/>
      </c>
      <c r="R22" s="17">
        <f>IF(OR($B22="",R$5=""),"",IF(COUNTIFS(nrES_PID,$B22,nrES_Code,R$5,nrES_Final,"Yes",nrES_Rec,"&gt;=0")=0,"",SUMIFS(nrES_Rec,nrES_PID,$B22,nrES_Code,R$5,nrES_Final,"Yes")))</f>
        <v/>
      </c>
      <c r="S22" s="17">
        <f>IF(OR($B22="",S$5=""),"",IF(COUNTIFS(nrES_PID,$B22,nrES_Code,S$5,nrES_Final,"Yes",nrES_Rec,"&gt;=0")=0,"",SUMIFS(nrES_Rec,nrES_PID,$B22,nrES_Code,S$5,nrES_Final,"Yes")))</f>
        <v/>
      </c>
      <c r="T22" s="17">
        <f>IF(OR($B22="",T$5=""),"",IF(COUNTIFS(nrES_PID,$B22,nrES_Code,T$5,nrES_Final,"Yes",nrES_Rec,"&gt;=0")=0,"",SUMIFS(nrES_Rec,nrES_PID,$B22,nrES_Code,T$5,nrES_Final,"Yes")))</f>
        <v/>
      </c>
      <c r="U22" s="17">
        <f>IF(OR($B22="",U$5=""),"",IF(COUNTIFS(nrES_PID,$B22,nrES_Code,U$5,nrES_Final,"Yes",nrES_Rec,"&gt;=0")=0,"",SUMIFS(nrES_Rec,nrES_PID,$B22,nrES_Code,U$5,nrES_Final,"Yes")))</f>
        <v/>
      </c>
      <c r="V22" s="17">
        <f>IF(OR($B22="",V$5=""),"",IF(COUNTIFS(nrES_PID,$B22,nrES_Code,V$5,nrES_Final,"Yes",nrES_Rec,"&gt;=0")=0,"",SUMIFS(nrES_Rec,nrES_PID,$B22,nrES_Code,V$5,nrES_Final,"Yes")))</f>
        <v/>
      </c>
      <c r="W22" s="17">
        <f>IF(OR($B22="",W$5=""),"",IF(COUNTIFS(nrES_PID,$B22,nrES_Code,W$5,nrES_Final,"Yes",nrES_Rec,"&gt;=0")=0,"",SUMIFS(nrES_Rec,nrES_PID,$B22,nrES_Code,W$5,nrES_Final,"Yes")))</f>
        <v/>
      </c>
      <c r="X22" s="17">
        <f>IF(OR($B22="",X$5=""),"",IF(COUNTIFS(nrES_PID,$B22,nrES_Code,X$5,nrES_Final,"Yes",nrES_Rec,"&gt;=0")=0,"",SUMIFS(nrES_Rec,nrES_PID,$B22,nrES_Code,X$5,nrES_Final,"Yes")))</f>
        <v/>
      </c>
      <c r="Y22" s="17">
        <f>IF(OR($B22="",Y$5=""),"",IF(COUNTIFS(nrES_PID,$B22,nrES_Code,Y$5,nrES_Final,"Yes",nrES_Rec,"&gt;=0")=0,"",SUMIFS(nrES_Rec,nrES_PID,$B22,nrES_Code,Y$5,nrES_Final,"Yes")))</f>
        <v/>
      </c>
      <c r="Z22" s="17">
        <f>IF(OR($B22="",Z$5=""),"",IF(COUNTIFS(nrES_PID,$B22,nrES_Code,Z$5,nrES_Final,"Yes",nrES_Rec,"&gt;=0")=0,"",SUMIFS(nrES_Rec,nrES_PID,$B22,nrES_Code,Z$5,nrES_Final,"Yes")))</f>
        <v/>
      </c>
      <c r="AA22" s="17">
        <f>IF(OR($B22="",AA$5=""),"",IF(COUNTIFS(nrES_PID,$B22,nrES_Code,AA$5,nrES_Final,"Yes",nrES_Rec,"&gt;=0")=0,"",SUMIFS(nrES_Rec,nrES_PID,$B22,nrES_Code,AA$5,nrES_Final,"Yes")))</f>
        <v/>
      </c>
      <c r="AB22" s="17">
        <f>IF(OR($B22="",AB$5=""),"",IF(COUNTIFS(nrES_PID,$B22,nrES_Code,AB$5,nrES_Final,"Yes",nrES_Rec,"&gt;=0")=0,"",SUMIFS(nrES_Rec,nrES_PID,$B22,nrES_Code,AB$5,nrES_Final,"Yes")))</f>
        <v/>
      </c>
      <c r="AC22" s="17">
        <f>IF($B22="","",sysGrades!$M22)</f>
        <v/>
      </c>
      <c r="AD22" s="17">
        <f>IF($B22="","",IFERROR(sysGrades!$U22,""))</f>
        <v/>
      </c>
      <c r="AE22" s="17">
        <f>IF(Cadets!$B22="","",Cadets!$I22)</f>
        <v/>
      </c>
    </row>
    <row r="23">
      <c r="B23" s="17">
        <f>IF(Cadets!$B23="","",Cadets!$B23)</f>
        <v/>
      </c>
      <c r="C23" s="17">
        <f>IF($B23="","",Cadets!$F23)</f>
        <v/>
      </c>
      <c r="D23" s="17">
        <f>IF(OR($B23="",D$5=""),"",IF(COUNTIFS(nrES_PID,$B23,nrES_Code,D$5,nrES_Final,"Yes",nrES_Rec,"&gt;=0")=0,"",SUMIFS(nrES_Rec,nrES_PID,$B23,nrES_Code,D$5,nrES_Final,"Yes")))</f>
        <v/>
      </c>
      <c r="E23" s="17">
        <f>IF(OR($B23="",E$5=""),"",IF(COUNTIFS(nrES_PID,$B23,nrES_Code,E$5,nrES_Final,"Yes",nrES_Rec,"&gt;=0")=0,"",SUMIFS(nrES_Rec,nrES_PID,$B23,nrES_Code,E$5,nrES_Final,"Yes")))</f>
        <v/>
      </c>
      <c r="F23" s="17">
        <f>IF(OR($B23="",F$5=""),"",IF(COUNTIFS(nrES_PID,$B23,nrES_Code,F$5,nrES_Final,"Yes",nrES_Rec,"&gt;=0")=0,"",SUMIFS(nrES_Rec,nrES_PID,$B23,nrES_Code,F$5,nrES_Final,"Yes")))</f>
        <v/>
      </c>
      <c r="G23" s="17">
        <f>IF(OR($B23="",G$5=""),"",IF(COUNTIFS(nrES_PID,$B23,nrES_Code,G$5,nrES_Final,"Yes",nrES_Rec,"&gt;=0")=0,"",SUMIFS(nrES_Rec,nrES_PID,$B23,nrES_Code,G$5,nrES_Final,"Yes")))</f>
        <v/>
      </c>
      <c r="H23" s="17">
        <f>IF(OR($B23="",H$5=""),"",IF(COUNTIFS(nrES_PID,$B23,nrES_Code,H$5,nrES_Final,"Yes",nrES_Rec,"&gt;=0")=0,"",SUMIFS(nrES_Rec,nrES_PID,$B23,nrES_Code,H$5,nrES_Final,"Yes")))</f>
        <v/>
      </c>
      <c r="I23" s="17">
        <f>IF(OR($B23="",I$5=""),"",IF(COUNTIFS(nrES_PID,$B23,nrES_Code,I$5,nrES_Final,"Yes",nrES_Rec,"&gt;=0")=0,"",SUMIFS(nrES_Rec,nrES_PID,$B23,nrES_Code,I$5,nrES_Final,"Yes")))</f>
        <v/>
      </c>
      <c r="J23" s="17">
        <f>IF(OR($B23="",J$5=""),"",IF(COUNTIFS(nrES_PID,$B23,nrES_Code,J$5,nrES_Final,"Yes",nrES_Rec,"&gt;=0")=0,"",SUMIFS(nrES_Rec,nrES_PID,$B23,nrES_Code,J$5,nrES_Final,"Yes")))</f>
        <v/>
      </c>
      <c r="K23" s="17">
        <f>IF(OR($B23="",K$5=""),"",IF(COUNTIFS(nrES_PID,$B23,nrES_Code,K$5,nrES_Final,"Yes",nrES_Rec,"&gt;=0")=0,"",SUMIFS(nrES_Rec,nrES_PID,$B23,nrES_Code,K$5,nrES_Final,"Yes")))</f>
        <v/>
      </c>
      <c r="L23" s="17">
        <f>IF(OR($B23="",L$5=""),"",IF(COUNTIFS(nrES_PID,$B23,nrES_Code,L$5,nrES_Final,"Yes",nrES_Rec,"&gt;=0")=0,"",SUMIFS(nrES_Rec,nrES_PID,$B23,nrES_Code,L$5,nrES_Final,"Yes")))</f>
        <v/>
      </c>
      <c r="M23" s="17">
        <f>IF(OR($B23="",M$5=""),"",IF(COUNTIFS(nrES_PID,$B23,nrES_Code,M$5,nrES_Final,"Yes",nrES_Rec,"&gt;=0")=0,"",SUMIFS(nrES_Rec,nrES_PID,$B23,nrES_Code,M$5,nrES_Final,"Yes")))</f>
        <v/>
      </c>
      <c r="N23" s="17">
        <f>IF(OR($B23="",N$5=""),"",IF(COUNTIFS(nrES_PID,$B23,nrES_Code,N$5,nrES_Final,"Yes",nrES_Rec,"&gt;=0")=0,"",SUMIFS(nrES_Rec,nrES_PID,$B23,nrES_Code,N$5,nrES_Final,"Yes")))</f>
        <v/>
      </c>
      <c r="O23" s="17">
        <f>IF(OR($B23="",O$5=""),"",IF(COUNTIFS(nrES_PID,$B23,nrES_Code,O$5,nrES_Final,"Yes",nrES_Rec,"&gt;=0")=0,"",SUMIFS(nrES_Rec,nrES_PID,$B23,nrES_Code,O$5,nrES_Final,"Yes")))</f>
        <v/>
      </c>
      <c r="P23" s="17">
        <f>IF(OR($B23="",P$5=""),"",IF(COUNTIFS(nrES_PID,$B23,nrES_Code,P$5,nrES_Final,"Yes",nrES_Rec,"&gt;=0")=0,"",SUMIFS(nrES_Rec,nrES_PID,$B23,nrES_Code,P$5,nrES_Final,"Yes")))</f>
        <v/>
      </c>
      <c r="Q23" s="17">
        <f>IF(OR($B23="",Q$5=""),"",IF(COUNTIFS(nrES_PID,$B23,nrES_Code,Q$5,nrES_Final,"Yes",nrES_Rec,"&gt;=0")=0,"",SUMIFS(nrES_Rec,nrES_PID,$B23,nrES_Code,Q$5,nrES_Final,"Yes")))</f>
        <v/>
      </c>
      <c r="R23" s="17">
        <f>IF(OR($B23="",R$5=""),"",IF(COUNTIFS(nrES_PID,$B23,nrES_Code,R$5,nrES_Final,"Yes",nrES_Rec,"&gt;=0")=0,"",SUMIFS(nrES_Rec,nrES_PID,$B23,nrES_Code,R$5,nrES_Final,"Yes")))</f>
        <v/>
      </c>
      <c r="S23" s="17">
        <f>IF(OR($B23="",S$5=""),"",IF(COUNTIFS(nrES_PID,$B23,nrES_Code,S$5,nrES_Final,"Yes",nrES_Rec,"&gt;=0")=0,"",SUMIFS(nrES_Rec,nrES_PID,$B23,nrES_Code,S$5,nrES_Final,"Yes")))</f>
        <v/>
      </c>
      <c r="T23" s="17">
        <f>IF(OR($B23="",T$5=""),"",IF(COUNTIFS(nrES_PID,$B23,nrES_Code,T$5,nrES_Final,"Yes",nrES_Rec,"&gt;=0")=0,"",SUMIFS(nrES_Rec,nrES_PID,$B23,nrES_Code,T$5,nrES_Final,"Yes")))</f>
        <v/>
      </c>
      <c r="U23" s="17">
        <f>IF(OR($B23="",U$5=""),"",IF(COUNTIFS(nrES_PID,$B23,nrES_Code,U$5,nrES_Final,"Yes",nrES_Rec,"&gt;=0")=0,"",SUMIFS(nrES_Rec,nrES_PID,$B23,nrES_Code,U$5,nrES_Final,"Yes")))</f>
        <v/>
      </c>
      <c r="V23" s="17">
        <f>IF(OR($B23="",V$5=""),"",IF(COUNTIFS(nrES_PID,$B23,nrES_Code,V$5,nrES_Final,"Yes",nrES_Rec,"&gt;=0")=0,"",SUMIFS(nrES_Rec,nrES_PID,$B23,nrES_Code,V$5,nrES_Final,"Yes")))</f>
        <v/>
      </c>
      <c r="W23" s="17">
        <f>IF(OR($B23="",W$5=""),"",IF(COUNTIFS(nrES_PID,$B23,nrES_Code,W$5,nrES_Final,"Yes",nrES_Rec,"&gt;=0")=0,"",SUMIFS(nrES_Rec,nrES_PID,$B23,nrES_Code,W$5,nrES_Final,"Yes")))</f>
        <v/>
      </c>
      <c r="X23" s="17">
        <f>IF(OR($B23="",X$5=""),"",IF(COUNTIFS(nrES_PID,$B23,nrES_Code,X$5,nrES_Final,"Yes",nrES_Rec,"&gt;=0")=0,"",SUMIFS(nrES_Rec,nrES_PID,$B23,nrES_Code,X$5,nrES_Final,"Yes")))</f>
        <v/>
      </c>
      <c r="Y23" s="17">
        <f>IF(OR($B23="",Y$5=""),"",IF(COUNTIFS(nrES_PID,$B23,nrES_Code,Y$5,nrES_Final,"Yes",nrES_Rec,"&gt;=0")=0,"",SUMIFS(nrES_Rec,nrES_PID,$B23,nrES_Code,Y$5,nrES_Final,"Yes")))</f>
        <v/>
      </c>
      <c r="Z23" s="17">
        <f>IF(OR($B23="",Z$5=""),"",IF(COUNTIFS(nrES_PID,$B23,nrES_Code,Z$5,nrES_Final,"Yes",nrES_Rec,"&gt;=0")=0,"",SUMIFS(nrES_Rec,nrES_PID,$B23,nrES_Code,Z$5,nrES_Final,"Yes")))</f>
        <v/>
      </c>
      <c r="AA23" s="17">
        <f>IF(OR($B23="",AA$5=""),"",IF(COUNTIFS(nrES_PID,$B23,nrES_Code,AA$5,nrES_Final,"Yes",nrES_Rec,"&gt;=0")=0,"",SUMIFS(nrES_Rec,nrES_PID,$B23,nrES_Code,AA$5,nrES_Final,"Yes")))</f>
        <v/>
      </c>
      <c r="AB23" s="17">
        <f>IF(OR($B23="",AB$5=""),"",IF(COUNTIFS(nrES_PID,$B23,nrES_Code,AB$5,nrES_Final,"Yes",nrES_Rec,"&gt;=0")=0,"",SUMIFS(nrES_Rec,nrES_PID,$B23,nrES_Code,AB$5,nrES_Final,"Yes")))</f>
        <v/>
      </c>
      <c r="AC23" s="17">
        <f>IF($B23="","",sysGrades!$M23)</f>
        <v/>
      </c>
      <c r="AD23" s="17">
        <f>IF($B23="","",IFERROR(sysGrades!$U23,""))</f>
        <v/>
      </c>
      <c r="AE23" s="17">
        <f>IF(Cadets!$B23="","",Cadets!$I23)</f>
        <v/>
      </c>
    </row>
    <row r="24">
      <c r="B24" s="17">
        <f>IF(Cadets!$B24="","",Cadets!$B24)</f>
        <v/>
      </c>
      <c r="C24" s="17">
        <f>IF($B24="","",Cadets!$F24)</f>
        <v/>
      </c>
      <c r="D24" s="17">
        <f>IF(OR($B24="",D$5=""),"",IF(COUNTIFS(nrES_PID,$B24,nrES_Code,D$5,nrES_Final,"Yes",nrES_Rec,"&gt;=0")=0,"",SUMIFS(nrES_Rec,nrES_PID,$B24,nrES_Code,D$5,nrES_Final,"Yes")))</f>
        <v/>
      </c>
      <c r="E24" s="17">
        <f>IF(OR($B24="",E$5=""),"",IF(COUNTIFS(nrES_PID,$B24,nrES_Code,E$5,nrES_Final,"Yes",nrES_Rec,"&gt;=0")=0,"",SUMIFS(nrES_Rec,nrES_PID,$B24,nrES_Code,E$5,nrES_Final,"Yes")))</f>
        <v/>
      </c>
      <c r="F24" s="17">
        <f>IF(OR($B24="",F$5=""),"",IF(COUNTIFS(nrES_PID,$B24,nrES_Code,F$5,nrES_Final,"Yes",nrES_Rec,"&gt;=0")=0,"",SUMIFS(nrES_Rec,nrES_PID,$B24,nrES_Code,F$5,nrES_Final,"Yes")))</f>
        <v/>
      </c>
      <c r="G24" s="17">
        <f>IF(OR($B24="",G$5=""),"",IF(COUNTIFS(nrES_PID,$B24,nrES_Code,G$5,nrES_Final,"Yes",nrES_Rec,"&gt;=0")=0,"",SUMIFS(nrES_Rec,nrES_PID,$B24,nrES_Code,G$5,nrES_Final,"Yes")))</f>
        <v/>
      </c>
      <c r="H24" s="17">
        <f>IF(OR($B24="",H$5=""),"",IF(COUNTIFS(nrES_PID,$B24,nrES_Code,H$5,nrES_Final,"Yes",nrES_Rec,"&gt;=0")=0,"",SUMIFS(nrES_Rec,nrES_PID,$B24,nrES_Code,H$5,nrES_Final,"Yes")))</f>
        <v/>
      </c>
      <c r="I24" s="17">
        <f>IF(OR($B24="",I$5=""),"",IF(COUNTIFS(nrES_PID,$B24,nrES_Code,I$5,nrES_Final,"Yes",nrES_Rec,"&gt;=0")=0,"",SUMIFS(nrES_Rec,nrES_PID,$B24,nrES_Code,I$5,nrES_Final,"Yes")))</f>
        <v/>
      </c>
      <c r="J24" s="17">
        <f>IF(OR($B24="",J$5=""),"",IF(COUNTIFS(nrES_PID,$B24,nrES_Code,J$5,nrES_Final,"Yes",nrES_Rec,"&gt;=0")=0,"",SUMIFS(nrES_Rec,nrES_PID,$B24,nrES_Code,J$5,nrES_Final,"Yes")))</f>
        <v/>
      </c>
      <c r="K24" s="17">
        <f>IF(OR($B24="",K$5=""),"",IF(COUNTIFS(nrES_PID,$B24,nrES_Code,K$5,nrES_Final,"Yes",nrES_Rec,"&gt;=0")=0,"",SUMIFS(nrES_Rec,nrES_PID,$B24,nrES_Code,K$5,nrES_Final,"Yes")))</f>
        <v/>
      </c>
      <c r="L24" s="17">
        <f>IF(OR($B24="",L$5=""),"",IF(COUNTIFS(nrES_PID,$B24,nrES_Code,L$5,nrES_Final,"Yes",nrES_Rec,"&gt;=0")=0,"",SUMIFS(nrES_Rec,nrES_PID,$B24,nrES_Code,L$5,nrES_Final,"Yes")))</f>
        <v/>
      </c>
      <c r="M24" s="17">
        <f>IF(OR($B24="",M$5=""),"",IF(COUNTIFS(nrES_PID,$B24,nrES_Code,M$5,nrES_Final,"Yes",nrES_Rec,"&gt;=0")=0,"",SUMIFS(nrES_Rec,nrES_PID,$B24,nrES_Code,M$5,nrES_Final,"Yes")))</f>
        <v/>
      </c>
      <c r="N24" s="17">
        <f>IF(OR($B24="",N$5=""),"",IF(COUNTIFS(nrES_PID,$B24,nrES_Code,N$5,nrES_Final,"Yes",nrES_Rec,"&gt;=0")=0,"",SUMIFS(nrES_Rec,nrES_PID,$B24,nrES_Code,N$5,nrES_Final,"Yes")))</f>
        <v/>
      </c>
      <c r="O24" s="17">
        <f>IF(OR($B24="",O$5=""),"",IF(COUNTIFS(nrES_PID,$B24,nrES_Code,O$5,nrES_Final,"Yes",nrES_Rec,"&gt;=0")=0,"",SUMIFS(nrES_Rec,nrES_PID,$B24,nrES_Code,O$5,nrES_Final,"Yes")))</f>
        <v/>
      </c>
      <c r="P24" s="17">
        <f>IF(OR($B24="",P$5=""),"",IF(COUNTIFS(nrES_PID,$B24,nrES_Code,P$5,nrES_Final,"Yes",nrES_Rec,"&gt;=0")=0,"",SUMIFS(nrES_Rec,nrES_PID,$B24,nrES_Code,P$5,nrES_Final,"Yes")))</f>
        <v/>
      </c>
      <c r="Q24" s="17">
        <f>IF(OR($B24="",Q$5=""),"",IF(COUNTIFS(nrES_PID,$B24,nrES_Code,Q$5,nrES_Final,"Yes",nrES_Rec,"&gt;=0")=0,"",SUMIFS(nrES_Rec,nrES_PID,$B24,nrES_Code,Q$5,nrES_Final,"Yes")))</f>
        <v/>
      </c>
      <c r="R24" s="17">
        <f>IF(OR($B24="",R$5=""),"",IF(COUNTIFS(nrES_PID,$B24,nrES_Code,R$5,nrES_Final,"Yes",nrES_Rec,"&gt;=0")=0,"",SUMIFS(nrES_Rec,nrES_PID,$B24,nrES_Code,R$5,nrES_Final,"Yes")))</f>
        <v/>
      </c>
      <c r="S24" s="17">
        <f>IF(OR($B24="",S$5=""),"",IF(COUNTIFS(nrES_PID,$B24,nrES_Code,S$5,nrES_Final,"Yes",nrES_Rec,"&gt;=0")=0,"",SUMIFS(nrES_Rec,nrES_PID,$B24,nrES_Code,S$5,nrES_Final,"Yes")))</f>
        <v/>
      </c>
      <c r="T24" s="17">
        <f>IF(OR($B24="",T$5=""),"",IF(COUNTIFS(nrES_PID,$B24,nrES_Code,T$5,nrES_Final,"Yes",nrES_Rec,"&gt;=0")=0,"",SUMIFS(nrES_Rec,nrES_PID,$B24,nrES_Code,T$5,nrES_Final,"Yes")))</f>
        <v/>
      </c>
      <c r="U24" s="17">
        <f>IF(OR($B24="",U$5=""),"",IF(COUNTIFS(nrES_PID,$B24,nrES_Code,U$5,nrES_Final,"Yes",nrES_Rec,"&gt;=0")=0,"",SUMIFS(nrES_Rec,nrES_PID,$B24,nrES_Code,U$5,nrES_Final,"Yes")))</f>
        <v/>
      </c>
      <c r="V24" s="17">
        <f>IF(OR($B24="",V$5=""),"",IF(COUNTIFS(nrES_PID,$B24,nrES_Code,V$5,nrES_Final,"Yes",nrES_Rec,"&gt;=0")=0,"",SUMIFS(nrES_Rec,nrES_PID,$B24,nrES_Code,V$5,nrES_Final,"Yes")))</f>
        <v/>
      </c>
      <c r="W24" s="17">
        <f>IF(OR($B24="",W$5=""),"",IF(COUNTIFS(nrES_PID,$B24,nrES_Code,W$5,nrES_Final,"Yes",nrES_Rec,"&gt;=0")=0,"",SUMIFS(nrES_Rec,nrES_PID,$B24,nrES_Code,W$5,nrES_Final,"Yes")))</f>
        <v/>
      </c>
      <c r="X24" s="17">
        <f>IF(OR($B24="",X$5=""),"",IF(COUNTIFS(nrES_PID,$B24,nrES_Code,X$5,nrES_Final,"Yes",nrES_Rec,"&gt;=0")=0,"",SUMIFS(nrES_Rec,nrES_PID,$B24,nrES_Code,X$5,nrES_Final,"Yes")))</f>
        <v/>
      </c>
      <c r="Y24" s="17">
        <f>IF(OR($B24="",Y$5=""),"",IF(COUNTIFS(nrES_PID,$B24,nrES_Code,Y$5,nrES_Final,"Yes",nrES_Rec,"&gt;=0")=0,"",SUMIFS(nrES_Rec,nrES_PID,$B24,nrES_Code,Y$5,nrES_Final,"Yes")))</f>
        <v/>
      </c>
      <c r="Z24" s="17">
        <f>IF(OR($B24="",Z$5=""),"",IF(COUNTIFS(nrES_PID,$B24,nrES_Code,Z$5,nrES_Final,"Yes",nrES_Rec,"&gt;=0")=0,"",SUMIFS(nrES_Rec,nrES_PID,$B24,nrES_Code,Z$5,nrES_Final,"Yes")))</f>
        <v/>
      </c>
      <c r="AA24" s="17">
        <f>IF(OR($B24="",AA$5=""),"",IF(COUNTIFS(nrES_PID,$B24,nrES_Code,AA$5,nrES_Final,"Yes",nrES_Rec,"&gt;=0")=0,"",SUMIFS(nrES_Rec,nrES_PID,$B24,nrES_Code,AA$5,nrES_Final,"Yes")))</f>
        <v/>
      </c>
      <c r="AB24" s="17">
        <f>IF(OR($B24="",AB$5=""),"",IF(COUNTIFS(nrES_PID,$B24,nrES_Code,AB$5,nrES_Final,"Yes",nrES_Rec,"&gt;=0")=0,"",SUMIFS(nrES_Rec,nrES_PID,$B24,nrES_Code,AB$5,nrES_Final,"Yes")))</f>
        <v/>
      </c>
      <c r="AC24" s="17">
        <f>IF($B24="","",sysGrades!$M24)</f>
        <v/>
      </c>
      <c r="AD24" s="17">
        <f>IF($B24="","",IFERROR(sysGrades!$U24,""))</f>
        <v/>
      </c>
      <c r="AE24" s="17">
        <f>IF(Cadets!$B24="","",Cadets!$I24)</f>
        <v/>
      </c>
    </row>
    <row r="25">
      <c r="B25" s="17">
        <f>IF(Cadets!$B25="","",Cadets!$B25)</f>
        <v/>
      </c>
      <c r="C25" s="17">
        <f>IF($B25="","",Cadets!$F25)</f>
        <v/>
      </c>
      <c r="D25" s="17">
        <f>IF(OR($B25="",D$5=""),"",IF(COUNTIFS(nrES_PID,$B25,nrES_Code,D$5,nrES_Final,"Yes",nrES_Rec,"&gt;=0")=0,"",SUMIFS(nrES_Rec,nrES_PID,$B25,nrES_Code,D$5,nrES_Final,"Yes")))</f>
        <v/>
      </c>
      <c r="E25" s="17">
        <f>IF(OR($B25="",E$5=""),"",IF(COUNTIFS(nrES_PID,$B25,nrES_Code,E$5,nrES_Final,"Yes",nrES_Rec,"&gt;=0")=0,"",SUMIFS(nrES_Rec,nrES_PID,$B25,nrES_Code,E$5,nrES_Final,"Yes")))</f>
        <v/>
      </c>
      <c r="F25" s="17">
        <f>IF(OR($B25="",F$5=""),"",IF(COUNTIFS(nrES_PID,$B25,nrES_Code,F$5,nrES_Final,"Yes",nrES_Rec,"&gt;=0")=0,"",SUMIFS(nrES_Rec,nrES_PID,$B25,nrES_Code,F$5,nrES_Final,"Yes")))</f>
        <v/>
      </c>
      <c r="G25" s="17">
        <f>IF(OR($B25="",G$5=""),"",IF(COUNTIFS(nrES_PID,$B25,nrES_Code,G$5,nrES_Final,"Yes",nrES_Rec,"&gt;=0")=0,"",SUMIFS(nrES_Rec,nrES_PID,$B25,nrES_Code,G$5,nrES_Final,"Yes")))</f>
        <v/>
      </c>
      <c r="H25" s="17">
        <f>IF(OR($B25="",H$5=""),"",IF(COUNTIFS(nrES_PID,$B25,nrES_Code,H$5,nrES_Final,"Yes",nrES_Rec,"&gt;=0")=0,"",SUMIFS(nrES_Rec,nrES_PID,$B25,nrES_Code,H$5,nrES_Final,"Yes")))</f>
        <v/>
      </c>
      <c r="I25" s="17">
        <f>IF(OR($B25="",I$5=""),"",IF(COUNTIFS(nrES_PID,$B25,nrES_Code,I$5,nrES_Final,"Yes",nrES_Rec,"&gt;=0")=0,"",SUMIFS(nrES_Rec,nrES_PID,$B25,nrES_Code,I$5,nrES_Final,"Yes")))</f>
        <v/>
      </c>
      <c r="J25" s="17">
        <f>IF(OR($B25="",J$5=""),"",IF(COUNTIFS(nrES_PID,$B25,nrES_Code,J$5,nrES_Final,"Yes",nrES_Rec,"&gt;=0")=0,"",SUMIFS(nrES_Rec,nrES_PID,$B25,nrES_Code,J$5,nrES_Final,"Yes")))</f>
        <v/>
      </c>
      <c r="K25" s="17">
        <f>IF(OR($B25="",K$5=""),"",IF(COUNTIFS(nrES_PID,$B25,nrES_Code,K$5,nrES_Final,"Yes",nrES_Rec,"&gt;=0")=0,"",SUMIFS(nrES_Rec,nrES_PID,$B25,nrES_Code,K$5,nrES_Final,"Yes")))</f>
        <v/>
      </c>
      <c r="L25" s="17">
        <f>IF(OR($B25="",L$5=""),"",IF(COUNTIFS(nrES_PID,$B25,nrES_Code,L$5,nrES_Final,"Yes",nrES_Rec,"&gt;=0")=0,"",SUMIFS(nrES_Rec,nrES_PID,$B25,nrES_Code,L$5,nrES_Final,"Yes")))</f>
        <v/>
      </c>
      <c r="M25" s="17">
        <f>IF(OR($B25="",M$5=""),"",IF(COUNTIFS(nrES_PID,$B25,nrES_Code,M$5,nrES_Final,"Yes",nrES_Rec,"&gt;=0")=0,"",SUMIFS(nrES_Rec,nrES_PID,$B25,nrES_Code,M$5,nrES_Final,"Yes")))</f>
        <v/>
      </c>
      <c r="N25" s="17">
        <f>IF(OR($B25="",N$5=""),"",IF(COUNTIFS(nrES_PID,$B25,nrES_Code,N$5,nrES_Final,"Yes",nrES_Rec,"&gt;=0")=0,"",SUMIFS(nrES_Rec,nrES_PID,$B25,nrES_Code,N$5,nrES_Final,"Yes")))</f>
        <v/>
      </c>
      <c r="O25" s="17">
        <f>IF(OR($B25="",O$5=""),"",IF(COUNTIFS(nrES_PID,$B25,nrES_Code,O$5,nrES_Final,"Yes",nrES_Rec,"&gt;=0")=0,"",SUMIFS(nrES_Rec,nrES_PID,$B25,nrES_Code,O$5,nrES_Final,"Yes")))</f>
        <v/>
      </c>
      <c r="P25" s="17">
        <f>IF(OR($B25="",P$5=""),"",IF(COUNTIFS(nrES_PID,$B25,nrES_Code,P$5,nrES_Final,"Yes",nrES_Rec,"&gt;=0")=0,"",SUMIFS(nrES_Rec,nrES_PID,$B25,nrES_Code,P$5,nrES_Final,"Yes")))</f>
        <v/>
      </c>
      <c r="Q25" s="17">
        <f>IF(OR($B25="",Q$5=""),"",IF(COUNTIFS(nrES_PID,$B25,nrES_Code,Q$5,nrES_Final,"Yes",nrES_Rec,"&gt;=0")=0,"",SUMIFS(nrES_Rec,nrES_PID,$B25,nrES_Code,Q$5,nrES_Final,"Yes")))</f>
        <v/>
      </c>
      <c r="R25" s="17">
        <f>IF(OR($B25="",R$5=""),"",IF(COUNTIFS(nrES_PID,$B25,nrES_Code,R$5,nrES_Final,"Yes",nrES_Rec,"&gt;=0")=0,"",SUMIFS(nrES_Rec,nrES_PID,$B25,nrES_Code,R$5,nrES_Final,"Yes")))</f>
        <v/>
      </c>
      <c r="S25" s="17">
        <f>IF(OR($B25="",S$5=""),"",IF(COUNTIFS(nrES_PID,$B25,nrES_Code,S$5,nrES_Final,"Yes",nrES_Rec,"&gt;=0")=0,"",SUMIFS(nrES_Rec,nrES_PID,$B25,nrES_Code,S$5,nrES_Final,"Yes")))</f>
        <v/>
      </c>
      <c r="T25" s="17">
        <f>IF(OR($B25="",T$5=""),"",IF(COUNTIFS(nrES_PID,$B25,nrES_Code,T$5,nrES_Final,"Yes",nrES_Rec,"&gt;=0")=0,"",SUMIFS(nrES_Rec,nrES_PID,$B25,nrES_Code,T$5,nrES_Final,"Yes")))</f>
        <v/>
      </c>
      <c r="U25" s="17">
        <f>IF(OR($B25="",U$5=""),"",IF(COUNTIFS(nrES_PID,$B25,nrES_Code,U$5,nrES_Final,"Yes",nrES_Rec,"&gt;=0")=0,"",SUMIFS(nrES_Rec,nrES_PID,$B25,nrES_Code,U$5,nrES_Final,"Yes")))</f>
        <v/>
      </c>
      <c r="V25" s="17">
        <f>IF(OR($B25="",V$5=""),"",IF(COUNTIFS(nrES_PID,$B25,nrES_Code,V$5,nrES_Final,"Yes",nrES_Rec,"&gt;=0")=0,"",SUMIFS(nrES_Rec,nrES_PID,$B25,nrES_Code,V$5,nrES_Final,"Yes")))</f>
        <v/>
      </c>
      <c r="W25" s="17">
        <f>IF(OR($B25="",W$5=""),"",IF(COUNTIFS(nrES_PID,$B25,nrES_Code,W$5,nrES_Final,"Yes",nrES_Rec,"&gt;=0")=0,"",SUMIFS(nrES_Rec,nrES_PID,$B25,nrES_Code,W$5,nrES_Final,"Yes")))</f>
        <v/>
      </c>
      <c r="X25" s="17">
        <f>IF(OR($B25="",X$5=""),"",IF(COUNTIFS(nrES_PID,$B25,nrES_Code,X$5,nrES_Final,"Yes",nrES_Rec,"&gt;=0")=0,"",SUMIFS(nrES_Rec,nrES_PID,$B25,nrES_Code,X$5,nrES_Final,"Yes")))</f>
        <v/>
      </c>
      <c r="Y25" s="17">
        <f>IF(OR($B25="",Y$5=""),"",IF(COUNTIFS(nrES_PID,$B25,nrES_Code,Y$5,nrES_Final,"Yes",nrES_Rec,"&gt;=0")=0,"",SUMIFS(nrES_Rec,nrES_PID,$B25,nrES_Code,Y$5,nrES_Final,"Yes")))</f>
        <v/>
      </c>
      <c r="Z25" s="17">
        <f>IF(OR($B25="",Z$5=""),"",IF(COUNTIFS(nrES_PID,$B25,nrES_Code,Z$5,nrES_Final,"Yes",nrES_Rec,"&gt;=0")=0,"",SUMIFS(nrES_Rec,nrES_PID,$B25,nrES_Code,Z$5,nrES_Final,"Yes")))</f>
        <v/>
      </c>
      <c r="AA25" s="17">
        <f>IF(OR($B25="",AA$5=""),"",IF(COUNTIFS(nrES_PID,$B25,nrES_Code,AA$5,nrES_Final,"Yes",nrES_Rec,"&gt;=0")=0,"",SUMIFS(nrES_Rec,nrES_PID,$B25,nrES_Code,AA$5,nrES_Final,"Yes")))</f>
        <v/>
      </c>
      <c r="AB25" s="17">
        <f>IF(OR($B25="",AB$5=""),"",IF(COUNTIFS(nrES_PID,$B25,nrES_Code,AB$5,nrES_Final,"Yes",nrES_Rec,"&gt;=0")=0,"",SUMIFS(nrES_Rec,nrES_PID,$B25,nrES_Code,AB$5,nrES_Final,"Yes")))</f>
        <v/>
      </c>
      <c r="AC25" s="17">
        <f>IF($B25="","",sysGrades!$M25)</f>
        <v/>
      </c>
      <c r="AD25" s="17">
        <f>IF($B25="","",IFERROR(sysGrades!$U25,""))</f>
        <v/>
      </c>
      <c r="AE25" s="17">
        <f>IF(Cadets!$B25="","",Cadets!$I25)</f>
        <v/>
      </c>
    </row>
    <row r="26">
      <c r="B26" s="17">
        <f>IF(Cadets!$B26="","",Cadets!$B26)</f>
        <v/>
      </c>
      <c r="C26" s="17">
        <f>IF($B26="","",Cadets!$F26)</f>
        <v/>
      </c>
      <c r="D26" s="17">
        <f>IF(OR($B26="",D$5=""),"",IF(COUNTIFS(nrES_PID,$B26,nrES_Code,D$5,nrES_Final,"Yes",nrES_Rec,"&gt;=0")=0,"",SUMIFS(nrES_Rec,nrES_PID,$B26,nrES_Code,D$5,nrES_Final,"Yes")))</f>
        <v/>
      </c>
      <c r="E26" s="17">
        <f>IF(OR($B26="",E$5=""),"",IF(COUNTIFS(nrES_PID,$B26,nrES_Code,E$5,nrES_Final,"Yes",nrES_Rec,"&gt;=0")=0,"",SUMIFS(nrES_Rec,nrES_PID,$B26,nrES_Code,E$5,nrES_Final,"Yes")))</f>
        <v/>
      </c>
      <c r="F26" s="17">
        <f>IF(OR($B26="",F$5=""),"",IF(COUNTIFS(nrES_PID,$B26,nrES_Code,F$5,nrES_Final,"Yes",nrES_Rec,"&gt;=0")=0,"",SUMIFS(nrES_Rec,nrES_PID,$B26,nrES_Code,F$5,nrES_Final,"Yes")))</f>
        <v/>
      </c>
      <c r="G26" s="17">
        <f>IF(OR($B26="",G$5=""),"",IF(COUNTIFS(nrES_PID,$B26,nrES_Code,G$5,nrES_Final,"Yes",nrES_Rec,"&gt;=0")=0,"",SUMIFS(nrES_Rec,nrES_PID,$B26,nrES_Code,G$5,nrES_Final,"Yes")))</f>
        <v/>
      </c>
      <c r="H26" s="17">
        <f>IF(OR($B26="",H$5=""),"",IF(COUNTIFS(nrES_PID,$B26,nrES_Code,H$5,nrES_Final,"Yes",nrES_Rec,"&gt;=0")=0,"",SUMIFS(nrES_Rec,nrES_PID,$B26,nrES_Code,H$5,nrES_Final,"Yes")))</f>
        <v/>
      </c>
      <c r="I26" s="17">
        <f>IF(OR($B26="",I$5=""),"",IF(COUNTIFS(nrES_PID,$B26,nrES_Code,I$5,nrES_Final,"Yes",nrES_Rec,"&gt;=0")=0,"",SUMIFS(nrES_Rec,nrES_PID,$B26,nrES_Code,I$5,nrES_Final,"Yes")))</f>
        <v/>
      </c>
      <c r="J26" s="17">
        <f>IF(OR($B26="",J$5=""),"",IF(COUNTIFS(nrES_PID,$B26,nrES_Code,J$5,nrES_Final,"Yes",nrES_Rec,"&gt;=0")=0,"",SUMIFS(nrES_Rec,nrES_PID,$B26,nrES_Code,J$5,nrES_Final,"Yes")))</f>
        <v/>
      </c>
      <c r="K26" s="17">
        <f>IF(OR($B26="",K$5=""),"",IF(COUNTIFS(nrES_PID,$B26,nrES_Code,K$5,nrES_Final,"Yes",nrES_Rec,"&gt;=0")=0,"",SUMIFS(nrES_Rec,nrES_PID,$B26,nrES_Code,K$5,nrES_Final,"Yes")))</f>
        <v/>
      </c>
      <c r="L26" s="17">
        <f>IF(OR($B26="",L$5=""),"",IF(COUNTIFS(nrES_PID,$B26,nrES_Code,L$5,nrES_Final,"Yes",nrES_Rec,"&gt;=0")=0,"",SUMIFS(nrES_Rec,nrES_PID,$B26,nrES_Code,L$5,nrES_Final,"Yes")))</f>
        <v/>
      </c>
      <c r="M26" s="17">
        <f>IF(OR($B26="",M$5=""),"",IF(COUNTIFS(nrES_PID,$B26,nrES_Code,M$5,nrES_Final,"Yes",nrES_Rec,"&gt;=0")=0,"",SUMIFS(nrES_Rec,nrES_PID,$B26,nrES_Code,M$5,nrES_Final,"Yes")))</f>
        <v/>
      </c>
      <c r="N26" s="17">
        <f>IF(OR($B26="",N$5=""),"",IF(COUNTIFS(nrES_PID,$B26,nrES_Code,N$5,nrES_Final,"Yes",nrES_Rec,"&gt;=0")=0,"",SUMIFS(nrES_Rec,nrES_PID,$B26,nrES_Code,N$5,nrES_Final,"Yes")))</f>
        <v/>
      </c>
      <c r="O26" s="17">
        <f>IF(OR($B26="",O$5=""),"",IF(COUNTIFS(nrES_PID,$B26,nrES_Code,O$5,nrES_Final,"Yes",nrES_Rec,"&gt;=0")=0,"",SUMIFS(nrES_Rec,nrES_PID,$B26,nrES_Code,O$5,nrES_Final,"Yes")))</f>
        <v/>
      </c>
      <c r="P26" s="17">
        <f>IF(OR($B26="",P$5=""),"",IF(COUNTIFS(nrES_PID,$B26,nrES_Code,P$5,nrES_Final,"Yes",nrES_Rec,"&gt;=0")=0,"",SUMIFS(nrES_Rec,nrES_PID,$B26,nrES_Code,P$5,nrES_Final,"Yes")))</f>
        <v/>
      </c>
      <c r="Q26" s="17">
        <f>IF(OR($B26="",Q$5=""),"",IF(COUNTIFS(nrES_PID,$B26,nrES_Code,Q$5,nrES_Final,"Yes",nrES_Rec,"&gt;=0")=0,"",SUMIFS(nrES_Rec,nrES_PID,$B26,nrES_Code,Q$5,nrES_Final,"Yes")))</f>
        <v/>
      </c>
      <c r="R26" s="17">
        <f>IF(OR($B26="",R$5=""),"",IF(COUNTIFS(nrES_PID,$B26,nrES_Code,R$5,nrES_Final,"Yes",nrES_Rec,"&gt;=0")=0,"",SUMIFS(nrES_Rec,nrES_PID,$B26,nrES_Code,R$5,nrES_Final,"Yes")))</f>
        <v/>
      </c>
      <c r="S26" s="17">
        <f>IF(OR($B26="",S$5=""),"",IF(COUNTIFS(nrES_PID,$B26,nrES_Code,S$5,nrES_Final,"Yes",nrES_Rec,"&gt;=0")=0,"",SUMIFS(nrES_Rec,nrES_PID,$B26,nrES_Code,S$5,nrES_Final,"Yes")))</f>
        <v/>
      </c>
      <c r="T26" s="17">
        <f>IF(OR($B26="",T$5=""),"",IF(COUNTIFS(nrES_PID,$B26,nrES_Code,T$5,nrES_Final,"Yes",nrES_Rec,"&gt;=0")=0,"",SUMIFS(nrES_Rec,nrES_PID,$B26,nrES_Code,T$5,nrES_Final,"Yes")))</f>
        <v/>
      </c>
      <c r="U26" s="17">
        <f>IF(OR($B26="",U$5=""),"",IF(COUNTIFS(nrES_PID,$B26,nrES_Code,U$5,nrES_Final,"Yes",nrES_Rec,"&gt;=0")=0,"",SUMIFS(nrES_Rec,nrES_PID,$B26,nrES_Code,U$5,nrES_Final,"Yes")))</f>
        <v/>
      </c>
      <c r="V26" s="17">
        <f>IF(OR($B26="",V$5=""),"",IF(COUNTIFS(nrES_PID,$B26,nrES_Code,V$5,nrES_Final,"Yes",nrES_Rec,"&gt;=0")=0,"",SUMIFS(nrES_Rec,nrES_PID,$B26,nrES_Code,V$5,nrES_Final,"Yes")))</f>
        <v/>
      </c>
      <c r="W26" s="17">
        <f>IF(OR($B26="",W$5=""),"",IF(COUNTIFS(nrES_PID,$B26,nrES_Code,W$5,nrES_Final,"Yes",nrES_Rec,"&gt;=0")=0,"",SUMIFS(nrES_Rec,nrES_PID,$B26,nrES_Code,W$5,nrES_Final,"Yes")))</f>
        <v/>
      </c>
      <c r="X26" s="17">
        <f>IF(OR($B26="",X$5=""),"",IF(COUNTIFS(nrES_PID,$B26,nrES_Code,X$5,nrES_Final,"Yes",nrES_Rec,"&gt;=0")=0,"",SUMIFS(nrES_Rec,nrES_PID,$B26,nrES_Code,X$5,nrES_Final,"Yes")))</f>
        <v/>
      </c>
      <c r="Y26" s="17">
        <f>IF(OR($B26="",Y$5=""),"",IF(COUNTIFS(nrES_PID,$B26,nrES_Code,Y$5,nrES_Final,"Yes",nrES_Rec,"&gt;=0")=0,"",SUMIFS(nrES_Rec,nrES_PID,$B26,nrES_Code,Y$5,nrES_Final,"Yes")))</f>
        <v/>
      </c>
      <c r="Z26" s="17">
        <f>IF(OR($B26="",Z$5=""),"",IF(COUNTIFS(nrES_PID,$B26,nrES_Code,Z$5,nrES_Final,"Yes",nrES_Rec,"&gt;=0")=0,"",SUMIFS(nrES_Rec,nrES_PID,$B26,nrES_Code,Z$5,nrES_Final,"Yes")))</f>
        <v/>
      </c>
      <c r="AA26" s="17">
        <f>IF(OR($B26="",AA$5=""),"",IF(COUNTIFS(nrES_PID,$B26,nrES_Code,AA$5,nrES_Final,"Yes",nrES_Rec,"&gt;=0")=0,"",SUMIFS(nrES_Rec,nrES_PID,$B26,nrES_Code,AA$5,nrES_Final,"Yes")))</f>
        <v/>
      </c>
      <c r="AB26" s="17">
        <f>IF(OR($B26="",AB$5=""),"",IF(COUNTIFS(nrES_PID,$B26,nrES_Code,AB$5,nrES_Final,"Yes",nrES_Rec,"&gt;=0")=0,"",SUMIFS(nrES_Rec,nrES_PID,$B26,nrES_Code,AB$5,nrES_Final,"Yes")))</f>
        <v/>
      </c>
      <c r="AC26" s="17">
        <f>IF($B26="","",sysGrades!$M26)</f>
        <v/>
      </c>
      <c r="AD26" s="17">
        <f>IF($B26="","",IFERROR(sysGrades!$U26,""))</f>
        <v/>
      </c>
      <c r="AE26" s="17">
        <f>IF(Cadets!$B26="","",Cadets!$I26)</f>
        <v/>
      </c>
    </row>
    <row r="27">
      <c r="B27" s="17">
        <f>IF(Cadets!$B27="","",Cadets!$B27)</f>
        <v/>
      </c>
      <c r="C27" s="17">
        <f>IF($B27="","",Cadets!$F27)</f>
        <v/>
      </c>
      <c r="D27" s="17">
        <f>IF(OR($B27="",D$5=""),"",IF(COUNTIFS(nrES_PID,$B27,nrES_Code,D$5,nrES_Final,"Yes",nrES_Rec,"&gt;=0")=0,"",SUMIFS(nrES_Rec,nrES_PID,$B27,nrES_Code,D$5,nrES_Final,"Yes")))</f>
        <v/>
      </c>
      <c r="E27" s="17">
        <f>IF(OR($B27="",E$5=""),"",IF(COUNTIFS(nrES_PID,$B27,nrES_Code,E$5,nrES_Final,"Yes",nrES_Rec,"&gt;=0")=0,"",SUMIFS(nrES_Rec,nrES_PID,$B27,nrES_Code,E$5,nrES_Final,"Yes")))</f>
        <v/>
      </c>
      <c r="F27" s="17">
        <f>IF(OR($B27="",F$5=""),"",IF(COUNTIFS(nrES_PID,$B27,nrES_Code,F$5,nrES_Final,"Yes",nrES_Rec,"&gt;=0")=0,"",SUMIFS(nrES_Rec,nrES_PID,$B27,nrES_Code,F$5,nrES_Final,"Yes")))</f>
        <v/>
      </c>
      <c r="G27" s="17">
        <f>IF(OR($B27="",G$5=""),"",IF(COUNTIFS(nrES_PID,$B27,nrES_Code,G$5,nrES_Final,"Yes",nrES_Rec,"&gt;=0")=0,"",SUMIFS(nrES_Rec,nrES_PID,$B27,nrES_Code,G$5,nrES_Final,"Yes")))</f>
        <v/>
      </c>
      <c r="H27" s="17">
        <f>IF(OR($B27="",H$5=""),"",IF(COUNTIFS(nrES_PID,$B27,nrES_Code,H$5,nrES_Final,"Yes",nrES_Rec,"&gt;=0")=0,"",SUMIFS(nrES_Rec,nrES_PID,$B27,nrES_Code,H$5,nrES_Final,"Yes")))</f>
        <v/>
      </c>
      <c r="I27" s="17">
        <f>IF(OR($B27="",I$5=""),"",IF(COUNTIFS(nrES_PID,$B27,nrES_Code,I$5,nrES_Final,"Yes",nrES_Rec,"&gt;=0")=0,"",SUMIFS(nrES_Rec,nrES_PID,$B27,nrES_Code,I$5,nrES_Final,"Yes")))</f>
        <v/>
      </c>
      <c r="J27" s="17">
        <f>IF(OR($B27="",J$5=""),"",IF(COUNTIFS(nrES_PID,$B27,nrES_Code,J$5,nrES_Final,"Yes",nrES_Rec,"&gt;=0")=0,"",SUMIFS(nrES_Rec,nrES_PID,$B27,nrES_Code,J$5,nrES_Final,"Yes")))</f>
        <v/>
      </c>
      <c r="K27" s="17">
        <f>IF(OR($B27="",K$5=""),"",IF(COUNTIFS(nrES_PID,$B27,nrES_Code,K$5,nrES_Final,"Yes",nrES_Rec,"&gt;=0")=0,"",SUMIFS(nrES_Rec,nrES_PID,$B27,nrES_Code,K$5,nrES_Final,"Yes")))</f>
        <v/>
      </c>
      <c r="L27" s="17">
        <f>IF(OR($B27="",L$5=""),"",IF(COUNTIFS(nrES_PID,$B27,nrES_Code,L$5,nrES_Final,"Yes",nrES_Rec,"&gt;=0")=0,"",SUMIFS(nrES_Rec,nrES_PID,$B27,nrES_Code,L$5,nrES_Final,"Yes")))</f>
        <v/>
      </c>
      <c r="M27" s="17">
        <f>IF(OR($B27="",M$5=""),"",IF(COUNTIFS(nrES_PID,$B27,nrES_Code,M$5,nrES_Final,"Yes",nrES_Rec,"&gt;=0")=0,"",SUMIFS(nrES_Rec,nrES_PID,$B27,nrES_Code,M$5,nrES_Final,"Yes")))</f>
        <v/>
      </c>
      <c r="N27" s="17">
        <f>IF(OR($B27="",N$5=""),"",IF(COUNTIFS(nrES_PID,$B27,nrES_Code,N$5,nrES_Final,"Yes",nrES_Rec,"&gt;=0")=0,"",SUMIFS(nrES_Rec,nrES_PID,$B27,nrES_Code,N$5,nrES_Final,"Yes")))</f>
        <v/>
      </c>
      <c r="O27" s="17">
        <f>IF(OR($B27="",O$5=""),"",IF(COUNTIFS(nrES_PID,$B27,nrES_Code,O$5,nrES_Final,"Yes",nrES_Rec,"&gt;=0")=0,"",SUMIFS(nrES_Rec,nrES_PID,$B27,nrES_Code,O$5,nrES_Final,"Yes")))</f>
        <v/>
      </c>
      <c r="P27" s="17">
        <f>IF(OR($B27="",P$5=""),"",IF(COUNTIFS(nrES_PID,$B27,nrES_Code,P$5,nrES_Final,"Yes",nrES_Rec,"&gt;=0")=0,"",SUMIFS(nrES_Rec,nrES_PID,$B27,nrES_Code,P$5,nrES_Final,"Yes")))</f>
        <v/>
      </c>
      <c r="Q27" s="17">
        <f>IF(OR($B27="",Q$5=""),"",IF(COUNTIFS(nrES_PID,$B27,nrES_Code,Q$5,nrES_Final,"Yes",nrES_Rec,"&gt;=0")=0,"",SUMIFS(nrES_Rec,nrES_PID,$B27,nrES_Code,Q$5,nrES_Final,"Yes")))</f>
        <v/>
      </c>
      <c r="R27" s="17">
        <f>IF(OR($B27="",R$5=""),"",IF(COUNTIFS(nrES_PID,$B27,nrES_Code,R$5,nrES_Final,"Yes",nrES_Rec,"&gt;=0")=0,"",SUMIFS(nrES_Rec,nrES_PID,$B27,nrES_Code,R$5,nrES_Final,"Yes")))</f>
        <v/>
      </c>
      <c r="S27" s="17">
        <f>IF(OR($B27="",S$5=""),"",IF(COUNTIFS(nrES_PID,$B27,nrES_Code,S$5,nrES_Final,"Yes",nrES_Rec,"&gt;=0")=0,"",SUMIFS(nrES_Rec,nrES_PID,$B27,nrES_Code,S$5,nrES_Final,"Yes")))</f>
        <v/>
      </c>
      <c r="T27" s="17">
        <f>IF(OR($B27="",T$5=""),"",IF(COUNTIFS(nrES_PID,$B27,nrES_Code,T$5,nrES_Final,"Yes",nrES_Rec,"&gt;=0")=0,"",SUMIFS(nrES_Rec,nrES_PID,$B27,nrES_Code,T$5,nrES_Final,"Yes")))</f>
        <v/>
      </c>
      <c r="U27" s="17">
        <f>IF(OR($B27="",U$5=""),"",IF(COUNTIFS(nrES_PID,$B27,nrES_Code,U$5,nrES_Final,"Yes",nrES_Rec,"&gt;=0")=0,"",SUMIFS(nrES_Rec,nrES_PID,$B27,nrES_Code,U$5,nrES_Final,"Yes")))</f>
        <v/>
      </c>
      <c r="V27" s="17">
        <f>IF(OR($B27="",V$5=""),"",IF(COUNTIFS(nrES_PID,$B27,nrES_Code,V$5,nrES_Final,"Yes",nrES_Rec,"&gt;=0")=0,"",SUMIFS(nrES_Rec,nrES_PID,$B27,nrES_Code,V$5,nrES_Final,"Yes")))</f>
        <v/>
      </c>
      <c r="W27" s="17">
        <f>IF(OR($B27="",W$5=""),"",IF(COUNTIFS(nrES_PID,$B27,nrES_Code,W$5,nrES_Final,"Yes",nrES_Rec,"&gt;=0")=0,"",SUMIFS(nrES_Rec,nrES_PID,$B27,nrES_Code,W$5,nrES_Final,"Yes")))</f>
        <v/>
      </c>
      <c r="X27" s="17">
        <f>IF(OR($B27="",X$5=""),"",IF(COUNTIFS(nrES_PID,$B27,nrES_Code,X$5,nrES_Final,"Yes",nrES_Rec,"&gt;=0")=0,"",SUMIFS(nrES_Rec,nrES_PID,$B27,nrES_Code,X$5,nrES_Final,"Yes")))</f>
        <v/>
      </c>
      <c r="Y27" s="17">
        <f>IF(OR($B27="",Y$5=""),"",IF(COUNTIFS(nrES_PID,$B27,nrES_Code,Y$5,nrES_Final,"Yes",nrES_Rec,"&gt;=0")=0,"",SUMIFS(nrES_Rec,nrES_PID,$B27,nrES_Code,Y$5,nrES_Final,"Yes")))</f>
        <v/>
      </c>
      <c r="Z27" s="17">
        <f>IF(OR($B27="",Z$5=""),"",IF(COUNTIFS(nrES_PID,$B27,nrES_Code,Z$5,nrES_Final,"Yes",nrES_Rec,"&gt;=0")=0,"",SUMIFS(nrES_Rec,nrES_PID,$B27,nrES_Code,Z$5,nrES_Final,"Yes")))</f>
        <v/>
      </c>
      <c r="AA27" s="17">
        <f>IF(OR($B27="",AA$5=""),"",IF(COUNTIFS(nrES_PID,$B27,nrES_Code,AA$5,nrES_Final,"Yes",nrES_Rec,"&gt;=0")=0,"",SUMIFS(nrES_Rec,nrES_PID,$B27,nrES_Code,AA$5,nrES_Final,"Yes")))</f>
        <v/>
      </c>
      <c r="AB27" s="17">
        <f>IF(OR($B27="",AB$5=""),"",IF(COUNTIFS(nrES_PID,$B27,nrES_Code,AB$5,nrES_Final,"Yes",nrES_Rec,"&gt;=0")=0,"",SUMIFS(nrES_Rec,nrES_PID,$B27,nrES_Code,AB$5,nrES_Final,"Yes")))</f>
        <v/>
      </c>
      <c r="AC27" s="17">
        <f>IF($B27="","",sysGrades!$M27)</f>
        <v/>
      </c>
      <c r="AD27" s="17">
        <f>IF($B27="","",IFERROR(sysGrades!$U27,""))</f>
        <v/>
      </c>
      <c r="AE27" s="17">
        <f>IF(Cadets!$B27="","",Cadets!$I27)</f>
        <v/>
      </c>
    </row>
    <row r="28">
      <c r="B28" s="17">
        <f>IF(Cadets!$B28="","",Cadets!$B28)</f>
        <v/>
      </c>
      <c r="C28" s="17">
        <f>IF($B28="","",Cadets!$F28)</f>
        <v/>
      </c>
      <c r="D28" s="17">
        <f>IF(OR($B28="",D$5=""),"",IF(COUNTIFS(nrES_PID,$B28,nrES_Code,D$5,nrES_Final,"Yes",nrES_Rec,"&gt;=0")=0,"",SUMIFS(nrES_Rec,nrES_PID,$B28,nrES_Code,D$5,nrES_Final,"Yes")))</f>
        <v/>
      </c>
      <c r="E28" s="17">
        <f>IF(OR($B28="",E$5=""),"",IF(COUNTIFS(nrES_PID,$B28,nrES_Code,E$5,nrES_Final,"Yes",nrES_Rec,"&gt;=0")=0,"",SUMIFS(nrES_Rec,nrES_PID,$B28,nrES_Code,E$5,nrES_Final,"Yes")))</f>
        <v/>
      </c>
      <c r="F28" s="17">
        <f>IF(OR($B28="",F$5=""),"",IF(COUNTIFS(nrES_PID,$B28,nrES_Code,F$5,nrES_Final,"Yes",nrES_Rec,"&gt;=0")=0,"",SUMIFS(nrES_Rec,nrES_PID,$B28,nrES_Code,F$5,nrES_Final,"Yes")))</f>
        <v/>
      </c>
      <c r="G28" s="17">
        <f>IF(OR($B28="",G$5=""),"",IF(COUNTIFS(nrES_PID,$B28,nrES_Code,G$5,nrES_Final,"Yes",nrES_Rec,"&gt;=0")=0,"",SUMIFS(nrES_Rec,nrES_PID,$B28,nrES_Code,G$5,nrES_Final,"Yes")))</f>
        <v/>
      </c>
      <c r="H28" s="17">
        <f>IF(OR($B28="",H$5=""),"",IF(COUNTIFS(nrES_PID,$B28,nrES_Code,H$5,nrES_Final,"Yes",nrES_Rec,"&gt;=0")=0,"",SUMIFS(nrES_Rec,nrES_PID,$B28,nrES_Code,H$5,nrES_Final,"Yes")))</f>
        <v/>
      </c>
      <c r="I28" s="17">
        <f>IF(OR($B28="",I$5=""),"",IF(COUNTIFS(nrES_PID,$B28,nrES_Code,I$5,nrES_Final,"Yes",nrES_Rec,"&gt;=0")=0,"",SUMIFS(nrES_Rec,nrES_PID,$B28,nrES_Code,I$5,nrES_Final,"Yes")))</f>
        <v/>
      </c>
      <c r="J28" s="17">
        <f>IF(OR($B28="",J$5=""),"",IF(COUNTIFS(nrES_PID,$B28,nrES_Code,J$5,nrES_Final,"Yes",nrES_Rec,"&gt;=0")=0,"",SUMIFS(nrES_Rec,nrES_PID,$B28,nrES_Code,J$5,nrES_Final,"Yes")))</f>
        <v/>
      </c>
      <c r="K28" s="17">
        <f>IF(OR($B28="",K$5=""),"",IF(COUNTIFS(nrES_PID,$B28,nrES_Code,K$5,nrES_Final,"Yes",nrES_Rec,"&gt;=0")=0,"",SUMIFS(nrES_Rec,nrES_PID,$B28,nrES_Code,K$5,nrES_Final,"Yes")))</f>
        <v/>
      </c>
      <c r="L28" s="17">
        <f>IF(OR($B28="",L$5=""),"",IF(COUNTIFS(nrES_PID,$B28,nrES_Code,L$5,nrES_Final,"Yes",nrES_Rec,"&gt;=0")=0,"",SUMIFS(nrES_Rec,nrES_PID,$B28,nrES_Code,L$5,nrES_Final,"Yes")))</f>
        <v/>
      </c>
      <c r="M28" s="17">
        <f>IF(OR($B28="",M$5=""),"",IF(COUNTIFS(nrES_PID,$B28,nrES_Code,M$5,nrES_Final,"Yes",nrES_Rec,"&gt;=0")=0,"",SUMIFS(nrES_Rec,nrES_PID,$B28,nrES_Code,M$5,nrES_Final,"Yes")))</f>
        <v/>
      </c>
      <c r="N28" s="17">
        <f>IF(OR($B28="",N$5=""),"",IF(COUNTIFS(nrES_PID,$B28,nrES_Code,N$5,nrES_Final,"Yes",nrES_Rec,"&gt;=0")=0,"",SUMIFS(nrES_Rec,nrES_PID,$B28,nrES_Code,N$5,nrES_Final,"Yes")))</f>
        <v/>
      </c>
      <c r="O28" s="17">
        <f>IF(OR($B28="",O$5=""),"",IF(COUNTIFS(nrES_PID,$B28,nrES_Code,O$5,nrES_Final,"Yes",nrES_Rec,"&gt;=0")=0,"",SUMIFS(nrES_Rec,nrES_PID,$B28,nrES_Code,O$5,nrES_Final,"Yes")))</f>
        <v/>
      </c>
      <c r="P28" s="17">
        <f>IF(OR($B28="",P$5=""),"",IF(COUNTIFS(nrES_PID,$B28,nrES_Code,P$5,nrES_Final,"Yes",nrES_Rec,"&gt;=0")=0,"",SUMIFS(nrES_Rec,nrES_PID,$B28,nrES_Code,P$5,nrES_Final,"Yes")))</f>
        <v/>
      </c>
      <c r="Q28" s="17">
        <f>IF(OR($B28="",Q$5=""),"",IF(COUNTIFS(nrES_PID,$B28,nrES_Code,Q$5,nrES_Final,"Yes",nrES_Rec,"&gt;=0")=0,"",SUMIFS(nrES_Rec,nrES_PID,$B28,nrES_Code,Q$5,nrES_Final,"Yes")))</f>
        <v/>
      </c>
      <c r="R28" s="17">
        <f>IF(OR($B28="",R$5=""),"",IF(COUNTIFS(nrES_PID,$B28,nrES_Code,R$5,nrES_Final,"Yes",nrES_Rec,"&gt;=0")=0,"",SUMIFS(nrES_Rec,nrES_PID,$B28,nrES_Code,R$5,nrES_Final,"Yes")))</f>
        <v/>
      </c>
      <c r="S28" s="17">
        <f>IF(OR($B28="",S$5=""),"",IF(COUNTIFS(nrES_PID,$B28,nrES_Code,S$5,nrES_Final,"Yes",nrES_Rec,"&gt;=0")=0,"",SUMIFS(nrES_Rec,nrES_PID,$B28,nrES_Code,S$5,nrES_Final,"Yes")))</f>
        <v/>
      </c>
      <c r="T28" s="17">
        <f>IF(OR($B28="",T$5=""),"",IF(COUNTIFS(nrES_PID,$B28,nrES_Code,T$5,nrES_Final,"Yes",nrES_Rec,"&gt;=0")=0,"",SUMIFS(nrES_Rec,nrES_PID,$B28,nrES_Code,T$5,nrES_Final,"Yes")))</f>
        <v/>
      </c>
      <c r="U28" s="17">
        <f>IF(OR($B28="",U$5=""),"",IF(COUNTIFS(nrES_PID,$B28,nrES_Code,U$5,nrES_Final,"Yes",nrES_Rec,"&gt;=0")=0,"",SUMIFS(nrES_Rec,nrES_PID,$B28,nrES_Code,U$5,nrES_Final,"Yes")))</f>
        <v/>
      </c>
      <c r="V28" s="17">
        <f>IF(OR($B28="",V$5=""),"",IF(COUNTIFS(nrES_PID,$B28,nrES_Code,V$5,nrES_Final,"Yes",nrES_Rec,"&gt;=0")=0,"",SUMIFS(nrES_Rec,nrES_PID,$B28,nrES_Code,V$5,nrES_Final,"Yes")))</f>
        <v/>
      </c>
      <c r="W28" s="17">
        <f>IF(OR($B28="",W$5=""),"",IF(COUNTIFS(nrES_PID,$B28,nrES_Code,W$5,nrES_Final,"Yes",nrES_Rec,"&gt;=0")=0,"",SUMIFS(nrES_Rec,nrES_PID,$B28,nrES_Code,W$5,nrES_Final,"Yes")))</f>
        <v/>
      </c>
      <c r="X28" s="17">
        <f>IF(OR($B28="",X$5=""),"",IF(COUNTIFS(nrES_PID,$B28,nrES_Code,X$5,nrES_Final,"Yes",nrES_Rec,"&gt;=0")=0,"",SUMIFS(nrES_Rec,nrES_PID,$B28,nrES_Code,X$5,nrES_Final,"Yes")))</f>
        <v/>
      </c>
      <c r="Y28" s="17">
        <f>IF(OR($B28="",Y$5=""),"",IF(COUNTIFS(nrES_PID,$B28,nrES_Code,Y$5,nrES_Final,"Yes",nrES_Rec,"&gt;=0")=0,"",SUMIFS(nrES_Rec,nrES_PID,$B28,nrES_Code,Y$5,nrES_Final,"Yes")))</f>
        <v/>
      </c>
      <c r="Z28" s="17">
        <f>IF(OR($B28="",Z$5=""),"",IF(COUNTIFS(nrES_PID,$B28,nrES_Code,Z$5,nrES_Final,"Yes",nrES_Rec,"&gt;=0")=0,"",SUMIFS(nrES_Rec,nrES_PID,$B28,nrES_Code,Z$5,nrES_Final,"Yes")))</f>
        <v/>
      </c>
      <c r="AA28" s="17">
        <f>IF(OR($B28="",AA$5=""),"",IF(COUNTIFS(nrES_PID,$B28,nrES_Code,AA$5,nrES_Final,"Yes",nrES_Rec,"&gt;=0")=0,"",SUMIFS(nrES_Rec,nrES_PID,$B28,nrES_Code,AA$5,nrES_Final,"Yes")))</f>
        <v/>
      </c>
      <c r="AB28" s="17">
        <f>IF(OR($B28="",AB$5=""),"",IF(COUNTIFS(nrES_PID,$B28,nrES_Code,AB$5,nrES_Final,"Yes",nrES_Rec,"&gt;=0")=0,"",SUMIFS(nrES_Rec,nrES_PID,$B28,nrES_Code,AB$5,nrES_Final,"Yes")))</f>
        <v/>
      </c>
      <c r="AC28" s="17">
        <f>IF($B28="","",sysGrades!$M28)</f>
        <v/>
      </c>
      <c r="AD28" s="17">
        <f>IF($B28="","",IFERROR(sysGrades!$U28,""))</f>
        <v/>
      </c>
      <c r="AE28" s="17">
        <f>IF(Cadets!$B28="","",Cadets!$I28)</f>
        <v/>
      </c>
    </row>
    <row r="29">
      <c r="B29" s="17">
        <f>IF(Cadets!$B29="","",Cadets!$B29)</f>
        <v/>
      </c>
      <c r="C29" s="17">
        <f>IF($B29="","",Cadets!$F29)</f>
        <v/>
      </c>
      <c r="D29" s="17">
        <f>IF(OR($B29="",D$5=""),"",IF(COUNTIFS(nrES_PID,$B29,nrES_Code,D$5,nrES_Final,"Yes",nrES_Rec,"&gt;=0")=0,"",SUMIFS(nrES_Rec,nrES_PID,$B29,nrES_Code,D$5,nrES_Final,"Yes")))</f>
        <v/>
      </c>
      <c r="E29" s="17">
        <f>IF(OR($B29="",E$5=""),"",IF(COUNTIFS(nrES_PID,$B29,nrES_Code,E$5,nrES_Final,"Yes",nrES_Rec,"&gt;=0")=0,"",SUMIFS(nrES_Rec,nrES_PID,$B29,nrES_Code,E$5,nrES_Final,"Yes")))</f>
        <v/>
      </c>
      <c r="F29" s="17">
        <f>IF(OR($B29="",F$5=""),"",IF(COUNTIFS(nrES_PID,$B29,nrES_Code,F$5,nrES_Final,"Yes",nrES_Rec,"&gt;=0")=0,"",SUMIFS(nrES_Rec,nrES_PID,$B29,nrES_Code,F$5,nrES_Final,"Yes")))</f>
        <v/>
      </c>
      <c r="G29" s="17">
        <f>IF(OR($B29="",G$5=""),"",IF(COUNTIFS(nrES_PID,$B29,nrES_Code,G$5,nrES_Final,"Yes",nrES_Rec,"&gt;=0")=0,"",SUMIFS(nrES_Rec,nrES_PID,$B29,nrES_Code,G$5,nrES_Final,"Yes")))</f>
        <v/>
      </c>
      <c r="H29" s="17">
        <f>IF(OR($B29="",H$5=""),"",IF(COUNTIFS(nrES_PID,$B29,nrES_Code,H$5,nrES_Final,"Yes",nrES_Rec,"&gt;=0")=0,"",SUMIFS(nrES_Rec,nrES_PID,$B29,nrES_Code,H$5,nrES_Final,"Yes")))</f>
        <v/>
      </c>
      <c r="I29" s="17">
        <f>IF(OR($B29="",I$5=""),"",IF(COUNTIFS(nrES_PID,$B29,nrES_Code,I$5,nrES_Final,"Yes",nrES_Rec,"&gt;=0")=0,"",SUMIFS(nrES_Rec,nrES_PID,$B29,nrES_Code,I$5,nrES_Final,"Yes")))</f>
        <v/>
      </c>
      <c r="J29" s="17">
        <f>IF(OR($B29="",J$5=""),"",IF(COUNTIFS(nrES_PID,$B29,nrES_Code,J$5,nrES_Final,"Yes",nrES_Rec,"&gt;=0")=0,"",SUMIFS(nrES_Rec,nrES_PID,$B29,nrES_Code,J$5,nrES_Final,"Yes")))</f>
        <v/>
      </c>
      <c r="K29" s="17">
        <f>IF(OR($B29="",K$5=""),"",IF(COUNTIFS(nrES_PID,$B29,nrES_Code,K$5,nrES_Final,"Yes",nrES_Rec,"&gt;=0")=0,"",SUMIFS(nrES_Rec,nrES_PID,$B29,nrES_Code,K$5,nrES_Final,"Yes")))</f>
        <v/>
      </c>
      <c r="L29" s="17">
        <f>IF(OR($B29="",L$5=""),"",IF(COUNTIFS(nrES_PID,$B29,nrES_Code,L$5,nrES_Final,"Yes",nrES_Rec,"&gt;=0")=0,"",SUMIFS(nrES_Rec,nrES_PID,$B29,nrES_Code,L$5,nrES_Final,"Yes")))</f>
        <v/>
      </c>
      <c r="M29" s="17">
        <f>IF(OR($B29="",M$5=""),"",IF(COUNTIFS(nrES_PID,$B29,nrES_Code,M$5,nrES_Final,"Yes",nrES_Rec,"&gt;=0")=0,"",SUMIFS(nrES_Rec,nrES_PID,$B29,nrES_Code,M$5,nrES_Final,"Yes")))</f>
        <v/>
      </c>
      <c r="N29" s="17">
        <f>IF(OR($B29="",N$5=""),"",IF(COUNTIFS(nrES_PID,$B29,nrES_Code,N$5,nrES_Final,"Yes",nrES_Rec,"&gt;=0")=0,"",SUMIFS(nrES_Rec,nrES_PID,$B29,nrES_Code,N$5,nrES_Final,"Yes")))</f>
        <v/>
      </c>
      <c r="O29" s="17">
        <f>IF(OR($B29="",O$5=""),"",IF(COUNTIFS(nrES_PID,$B29,nrES_Code,O$5,nrES_Final,"Yes",nrES_Rec,"&gt;=0")=0,"",SUMIFS(nrES_Rec,nrES_PID,$B29,nrES_Code,O$5,nrES_Final,"Yes")))</f>
        <v/>
      </c>
      <c r="P29" s="17">
        <f>IF(OR($B29="",P$5=""),"",IF(COUNTIFS(nrES_PID,$B29,nrES_Code,P$5,nrES_Final,"Yes",nrES_Rec,"&gt;=0")=0,"",SUMIFS(nrES_Rec,nrES_PID,$B29,nrES_Code,P$5,nrES_Final,"Yes")))</f>
        <v/>
      </c>
      <c r="Q29" s="17">
        <f>IF(OR($B29="",Q$5=""),"",IF(COUNTIFS(nrES_PID,$B29,nrES_Code,Q$5,nrES_Final,"Yes",nrES_Rec,"&gt;=0")=0,"",SUMIFS(nrES_Rec,nrES_PID,$B29,nrES_Code,Q$5,nrES_Final,"Yes")))</f>
        <v/>
      </c>
      <c r="R29" s="17">
        <f>IF(OR($B29="",R$5=""),"",IF(COUNTIFS(nrES_PID,$B29,nrES_Code,R$5,nrES_Final,"Yes",nrES_Rec,"&gt;=0")=0,"",SUMIFS(nrES_Rec,nrES_PID,$B29,nrES_Code,R$5,nrES_Final,"Yes")))</f>
        <v/>
      </c>
      <c r="S29" s="17">
        <f>IF(OR($B29="",S$5=""),"",IF(COUNTIFS(nrES_PID,$B29,nrES_Code,S$5,nrES_Final,"Yes",nrES_Rec,"&gt;=0")=0,"",SUMIFS(nrES_Rec,nrES_PID,$B29,nrES_Code,S$5,nrES_Final,"Yes")))</f>
        <v/>
      </c>
      <c r="T29" s="17">
        <f>IF(OR($B29="",T$5=""),"",IF(COUNTIFS(nrES_PID,$B29,nrES_Code,T$5,nrES_Final,"Yes",nrES_Rec,"&gt;=0")=0,"",SUMIFS(nrES_Rec,nrES_PID,$B29,nrES_Code,T$5,nrES_Final,"Yes")))</f>
        <v/>
      </c>
      <c r="U29" s="17">
        <f>IF(OR($B29="",U$5=""),"",IF(COUNTIFS(nrES_PID,$B29,nrES_Code,U$5,nrES_Final,"Yes",nrES_Rec,"&gt;=0")=0,"",SUMIFS(nrES_Rec,nrES_PID,$B29,nrES_Code,U$5,nrES_Final,"Yes")))</f>
        <v/>
      </c>
      <c r="V29" s="17">
        <f>IF(OR($B29="",V$5=""),"",IF(COUNTIFS(nrES_PID,$B29,nrES_Code,V$5,nrES_Final,"Yes",nrES_Rec,"&gt;=0")=0,"",SUMIFS(nrES_Rec,nrES_PID,$B29,nrES_Code,V$5,nrES_Final,"Yes")))</f>
        <v/>
      </c>
      <c r="W29" s="17">
        <f>IF(OR($B29="",W$5=""),"",IF(COUNTIFS(nrES_PID,$B29,nrES_Code,W$5,nrES_Final,"Yes",nrES_Rec,"&gt;=0")=0,"",SUMIFS(nrES_Rec,nrES_PID,$B29,nrES_Code,W$5,nrES_Final,"Yes")))</f>
        <v/>
      </c>
      <c r="X29" s="17">
        <f>IF(OR($B29="",X$5=""),"",IF(COUNTIFS(nrES_PID,$B29,nrES_Code,X$5,nrES_Final,"Yes",nrES_Rec,"&gt;=0")=0,"",SUMIFS(nrES_Rec,nrES_PID,$B29,nrES_Code,X$5,nrES_Final,"Yes")))</f>
        <v/>
      </c>
      <c r="Y29" s="17">
        <f>IF(OR($B29="",Y$5=""),"",IF(COUNTIFS(nrES_PID,$B29,nrES_Code,Y$5,nrES_Final,"Yes",nrES_Rec,"&gt;=0")=0,"",SUMIFS(nrES_Rec,nrES_PID,$B29,nrES_Code,Y$5,nrES_Final,"Yes")))</f>
        <v/>
      </c>
      <c r="Z29" s="17">
        <f>IF(OR($B29="",Z$5=""),"",IF(COUNTIFS(nrES_PID,$B29,nrES_Code,Z$5,nrES_Final,"Yes",nrES_Rec,"&gt;=0")=0,"",SUMIFS(nrES_Rec,nrES_PID,$B29,nrES_Code,Z$5,nrES_Final,"Yes")))</f>
        <v/>
      </c>
      <c r="AA29" s="17">
        <f>IF(OR($B29="",AA$5=""),"",IF(COUNTIFS(nrES_PID,$B29,nrES_Code,AA$5,nrES_Final,"Yes",nrES_Rec,"&gt;=0")=0,"",SUMIFS(nrES_Rec,nrES_PID,$B29,nrES_Code,AA$5,nrES_Final,"Yes")))</f>
        <v/>
      </c>
      <c r="AB29" s="17">
        <f>IF(OR($B29="",AB$5=""),"",IF(COUNTIFS(nrES_PID,$B29,nrES_Code,AB$5,nrES_Final,"Yes",nrES_Rec,"&gt;=0")=0,"",SUMIFS(nrES_Rec,nrES_PID,$B29,nrES_Code,AB$5,nrES_Final,"Yes")))</f>
        <v/>
      </c>
      <c r="AC29" s="17">
        <f>IF($B29="","",sysGrades!$M29)</f>
        <v/>
      </c>
      <c r="AD29" s="17">
        <f>IF($B29="","",IFERROR(sysGrades!$U29,""))</f>
        <v/>
      </c>
      <c r="AE29" s="17">
        <f>IF(Cadets!$B29="","",Cadets!$I29)</f>
        <v/>
      </c>
    </row>
    <row r="30">
      <c r="B30" s="17">
        <f>IF(Cadets!$B30="","",Cadets!$B30)</f>
        <v/>
      </c>
      <c r="C30" s="17">
        <f>IF($B30="","",Cadets!$F30)</f>
        <v/>
      </c>
      <c r="D30" s="17">
        <f>IF(OR($B30="",D$5=""),"",IF(COUNTIFS(nrES_PID,$B30,nrES_Code,D$5,nrES_Final,"Yes",nrES_Rec,"&gt;=0")=0,"",SUMIFS(nrES_Rec,nrES_PID,$B30,nrES_Code,D$5,nrES_Final,"Yes")))</f>
        <v/>
      </c>
      <c r="E30" s="17">
        <f>IF(OR($B30="",E$5=""),"",IF(COUNTIFS(nrES_PID,$B30,nrES_Code,E$5,nrES_Final,"Yes",nrES_Rec,"&gt;=0")=0,"",SUMIFS(nrES_Rec,nrES_PID,$B30,nrES_Code,E$5,nrES_Final,"Yes")))</f>
        <v/>
      </c>
      <c r="F30" s="17">
        <f>IF(OR($B30="",F$5=""),"",IF(COUNTIFS(nrES_PID,$B30,nrES_Code,F$5,nrES_Final,"Yes",nrES_Rec,"&gt;=0")=0,"",SUMIFS(nrES_Rec,nrES_PID,$B30,nrES_Code,F$5,nrES_Final,"Yes")))</f>
        <v/>
      </c>
      <c r="G30" s="17">
        <f>IF(OR($B30="",G$5=""),"",IF(COUNTIFS(nrES_PID,$B30,nrES_Code,G$5,nrES_Final,"Yes",nrES_Rec,"&gt;=0")=0,"",SUMIFS(nrES_Rec,nrES_PID,$B30,nrES_Code,G$5,nrES_Final,"Yes")))</f>
        <v/>
      </c>
      <c r="H30" s="17">
        <f>IF(OR($B30="",H$5=""),"",IF(COUNTIFS(nrES_PID,$B30,nrES_Code,H$5,nrES_Final,"Yes",nrES_Rec,"&gt;=0")=0,"",SUMIFS(nrES_Rec,nrES_PID,$B30,nrES_Code,H$5,nrES_Final,"Yes")))</f>
        <v/>
      </c>
      <c r="I30" s="17">
        <f>IF(OR($B30="",I$5=""),"",IF(COUNTIFS(nrES_PID,$B30,nrES_Code,I$5,nrES_Final,"Yes",nrES_Rec,"&gt;=0")=0,"",SUMIFS(nrES_Rec,nrES_PID,$B30,nrES_Code,I$5,nrES_Final,"Yes")))</f>
        <v/>
      </c>
      <c r="J30" s="17">
        <f>IF(OR($B30="",J$5=""),"",IF(COUNTIFS(nrES_PID,$B30,nrES_Code,J$5,nrES_Final,"Yes",nrES_Rec,"&gt;=0")=0,"",SUMIFS(nrES_Rec,nrES_PID,$B30,nrES_Code,J$5,nrES_Final,"Yes")))</f>
        <v/>
      </c>
      <c r="K30" s="17">
        <f>IF(OR($B30="",K$5=""),"",IF(COUNTIFS(nrES_PID,$B30,nrES_Code,K$5,nrES_Final,"Yes",nrES_Rec,"&gt;=0")=0,"",SUMIFS(nrES_Rec,nrES_PID,$B30,nrES_Code,K$5,nrES_Final,"Yes")))</f>
        <v/>
      </c>
      <c r="L30" s="17">
        <f>IF(OR($B30="",L$5=""),"",IF(COUNTIFS(nrES_PID,$B30,nrES_Code,L$5,nrES_Final,"Yes",nrES_Rec,"&gt;=0")=0,"",SUMIFS(nrES_Rec,nrES_PID,$B30,nrES_Code,L$5,nrES_Final,"Yes")))</f>
        <v/>
      </c>
      <c r="M30" s="17">
        <f>IF(OR($B30="",M$5=""),"",IF(COUNTIFS(nrES_PID,$B30,nrES_Code,M$5,nrES_Final,"Yes",nrES_Rec,"&gt;=0")=0,"",SUMIFS(nrES_Rec,nrES_PID,$B30,nrES_Code,M$5,nrES_Final,"Yes")))</f>
        <v/>
      </c>
      <c r="N30" s="17">
        <f>IF(OR($B30="",N$5=""),"",IF(COUNTIFS(nrES_PID,$B30,nrES_Code,N$5,nrES_Final,"Yes",nrES_Rec,"&gt;=0")=0,"",SUMIFS(nrES_Rec,nrES_PID,$B30,nrES_Code,N$5,nrES_Final,"Yes")))</f>
        <v/>
      </c>
      <c r="O30" s="17">
        <f>IF(OR($B30="",O$5=""),"",IF(COUNTIFS(nrES_PID,$B30,nrES_Code,O$5,nrES_Final,"Yes",nrES_Rec,"&gt;=0")=0,"",SUMIFS(nrES_Rec,nrES_PID,$B30,nrES_Code,O$5,nrES_Final,"Yes")))</f>
        <v/>
      </c>
      <c r="P30" s="17">
        <f>IF(OR($B30="",P$5=""),"",IF(COUNTIFS(nrES_PID,$B30,nrES_Code,P$5,nrES_Final,"Yes",nrES_Rec,"&gt;=0")=0,"",SUMIFS(nrES_Rec,nrES_PID,$B30,nrES_Code,P$5,nrES_Final,"Yes")))</f>
        <v/>
      </c>
      <c r="Q30" s="17">
        <f>IF(OR($B30="",Q$5=""),"",IF(COUNTIFS(nrES_PID,$B30,nrES_Code,Q$5,nrES_Final,"Yes",nrES_Rec,"&gt;=0")=0,"",SUMIFS(nrES_Rec,nrES_PID,$B30,nrES_Code,Q$5,nrES_Final,"Yes")))</f>
        <v/>
      </c>
      <c r="R30" s="17">
        <f>IF(OR($B30="",R$5=""),"",IF(COUNTIFS(nrES_PID,$B30,nrES_Code,R$5,nrES_Final,"Yes",nrES_Rec,"&gt;=0")=0,"",SUMIFS(nrES_Rec,nrES_PID,$B30,nrES_Code,R$5,nrES_Final,"Yes")))</f>
        <v/>
      </c>
      <c r="S30" s="17">
        <f>IF(OR($B30="",S$5=""),"",IF(COUNTIFS(nrES_PID,$B30,nrES_Code,S$5,nrES_Final,"Yes",nrES_Rec,"&gt;=0")=0,"",SUMIFS(nrES_Rec,nrES_PID,$B30,nrES_Code,S$5,nrES_Final,"Yes")))</f>
        <v/>
      </c>
      <c r="T30" s="17">
        <f>IF(OR($B30="",T$5=""),"",IF(COUNTIFS(nrES_PID,$B30,nrES_Code,T$5,nrES_Final,"Yes",nrES_Rec,"&gt;=0")=0,"",SUMIFS(nrES_Rec,nrES_PID,$B30,nrES_Code,T$5,nrES_Final,"Yes")))</f>
        <v/>
      </c>
      <c r="U30" s="17">
        <f>IF(OR($B30="",U$5=""),"",IF(COUNTIFS(nrES_PID,$B30,nrES_Code,U$5,nrES_Final,"Yes",nrES_Rec,"&gt;=0")=0,"",SUMIFS(nrES_Rec,nrES_PID,$B30,nrES_Code,U$5,nrES_Final,"Yes")))</f>
        <v/>
      </c>
      <c r="V30" s="17">
        <f>IF(OR($B30="",V$5=""),"",IF(COUNTIFS(nrES_PID,$B30,nrES_Code,V$5,nrES_Final,"Yes",nrES_Rec,"&gt;=0")=0,"",SUMIFS(nrES_Rec,nrES_PID,$B30,nrES_Code,V$5,nrES_Final,"Yes")))</f>
        <v/>
      </c>
      <c r="W30" s="17">
        <f>IF(OR($B30="",W$5=""),"",IF(COUNTIFS(nrES_PID,$B30,nrES_Code,W$5,nrES_Final,"Yes",nrES_Rec,"&gt;=0")=0,"",SUMIFS(nrES_Rec,nrES_PID,$B30,nrES_Code,W$5,nrES_Final,"Yes")))</f>
        <v/>
      </c>
      <c r="X30" s="17">
        <f>IF(OR($B30="",X$5=""),"",IF(COUNTIFS(nrES_PID,$B30,nrES_Code,X$5,nrES_Final,"Yes",nrES_Rec,"&gt;=0")=0,"",SUMIFS(nrES_Rec,nrES_PID,$B30,nrES_Code,X$5,nrES_Final,"Yes")))</f>
        <v/>
      </c>
      <c r="Y30" s="17">
        <f>IF(OR($B30="",Y$5=""),"",IF(COUNTIFS(nrES_PID,$B30,nrES_Code,Y$5,nrES_Final,"Yes",nrES_Rec,"&gt;=0")=0,"",SUMIFS(nrES_Rec,nrES_PID,$B30,nrES_Code,Y$5,nrES_Final,"Yes")))</f>
        <v/>
      </c>
      <c r="Z30" s="17">
        <f>IF(OR($B30="",Z$5=""),"",IF(COUNTIFS(nrES_PID,$B30,nrES_Code,Z$5,nrES_Final,"Yes",nrES_Rec,"&gt;=0")=0,"",SUMIFS(nrES_Rec,nrES_PID,$B30,nrES_Code,Z$5,nrES_Final,"Yes")))</f>
        <v/>
      </c>
      <c r="AA30" s="17">
        <f>IF(OR($B30="",AA$5=""),"",IF(COUNTIFS(nrES_PID,$B30,nrES_Code,AA$5,nrES_Final,"Yes",nrES_Rec,"&gt;=0")=0,"",SUMIFS(nrES_Rec,nrES_PID,$B30,nrES_Code,AA$5,nrES_Final,"Yes")))</f>
        <v/>
      </c>
      <c r="AB30" s="17">
        <f>IF(OR($B30="",AB$5=""),"",IF(COUNTIFS(nrES_PID,$B30,nrES_Code,AB$5,nrES_Final,"Yes",nrES_Rec,"&gt;=0")=0,"",SUMIFS(nrES_Rec,nrES_PID,$B30,nrES_Code,AB$5,nrES_Final,"Yes")))</f>
        <v/>
      </c>
      <c r="AC30" s="17">
        <f>IF($B30="","",sysGrades!$M30)</f>
        <v/>
      </c>
      <c r="AD30" s="17">
        <f>IF($B30="","",IFERROR(sysGrades!$U30,""))</f>
        <v/>
      </c>
      <c r="AE30" s="17">
        <f>IF(Cadets!$B30="","",Cadets!$I30)</f>
        <v/>
      </c>
    </row>
    <row r="31">
      <c r="B31" s="17">
        <f>IF(Cadets!$B31="","",Cadets!$B31)</f>
        <v/>
      </c>
      <c r="C31" s="17">
        <f>IF($B31="","",Cadets!$F31)</f>
        <v/>
      </c>
      <c r="D31" s="17">
        <f>IF(OR($B31="",D$5=""),"",IF(COUNTIFS(nrES_PID,$B31,nrES_Code,D$5,nrES_Final,"Yes",nrES_Rec,"&gt;=0")=0,"",SUMIFS(nrES_Rec,nrES_PID,$B31,nrES_Code,D$5,nrES_Final,"Yes")))</f>
        <v/>
      </c>
      <c r="E31" s="17">
        <f>IF(OR($B31="",E$5=""),"",IF(COUNTIFS(nrES_PID,$B31,nrES_Code,E$5,nrES_Final,"Yes",nrES_Rec,"&gt;=0")=0,"",SUMIFS(nrES_Rec,nrES_PID,$B31,nrES_Code,E$5,nrES_Final,"Yes")))</f>
        <v/>
      </c>
      <c r="F31" s="17">
        <f>IF(OR($B31="",F$5=""),"",IF(COUNTIFS(nrES_PID,$B31,nrES_Code,F$5,nrES_Final,"Yes",nrES_Rec,"&gt;=0")=0,"",SUMIFS(nrES_Rec,nrES_PID,$B31,nrES_Code,F$5,nrES_Final,"Yes")))</f>
        <v/>
      </c>
      <c r="G31" s="17">
        <f>IF(OR($B31="",G$5=""),"",IF(COUNTIFS(nrES_PID,$B31,nrES_Code,G$5,nrES_Final,"Yes",nrES_Rec,"&gt;=0")=0,"",SUMIFS(nrES_Rec,nrES_PID,$B31,nrES_Code,G$5,nrES_Final,"Yes")))</f>
        <v/>
      </c>
      <c r="H31" s="17">
        <f>IF(OR($B31="",H$5=""),"",IF(COUNTIFS(nrES_PID,$B31,nrES_Code,H$5,nrES_Final,"Yes",nrES_Rec,"&gt;=0")=0,"",SUMIFS(nrES_Rec,nrES_PID,$B31,nrES_Code,H$5,nrES_Final,"Yes")))</f>
        <v/>
      </c>
      <c r="I31" s="17">
        <f>IF(OR($B31="",I$5=""),"",IF(COUNTIFS(nrES_PID,$B31,nrES_Code,I$5,nrES_Final,"Yes",nrES_Rec,"&gt;=0")=0,"",SUMIFS(nrES_Rec,nrES_PID,$B31,nrES_Code,I$5,nrES_Final,"Yes")))</f>
        <v/>
      </c>
      <c r="J31" s="17">
        <f>IF(OR($B31="",J$5=""),"",IF(COUNTIFS(nrES_PID,$B31,nrES_Code,J$5,nrES_Final,"Yes",nrES_Rec,"&gt;=0")=0,"",SUMIFS(nrES_Rec,nrES_PID,$B31,nrES_Code,J$5,nrES_Final,"Yes")))</f>
        <v/>
      </c>
      <c r="K31" s="17">
        <f>IF(OR($B31="",K$5=""),"",IF(COUNTIFS(nrES_PID,$B31,nrES_Code,K$5,nrES_Final,"Yes",nrES_Rec,"&gt;=0")=0,"",SUMIFS(nrES_Rec,nrES_PID,$B31,nrES_Code,K$5,nrES_Final,"Yes")))</f>
        <v/>
      </c>
      <c r="L31" s="17">
        <f>IF(OR($B31="",L$5=""),"",IF(COUNTIFS(nrES_PID,$B31,nrES_Code,L$5,nrES_Final,"Yes",nrES_Rec,"&gt;=0")=0,"",SUMIFS(nrES_Rec,nrES_PID,$B31,nrES_Code,L$5,nrES_Final,"Yes")))</f>
        <v/>
      </c>
      <c r="M31" s="17">
        <f>IF(OR($B31="",M$5=""),"",IF(COUNTIFS(nrES_PID,$B31,nrES_Code,M$5,nrES_Final,"Yes",nrES_Rec,"&gt;=0")=0,"",SUMIFS(nrES_Rec,nrES_PID,$B31,nrES_Code,M$5,nrES_Final,"Yes")))</f>
        <v/>
      </c>
      <c r="N31" s="17">
        <f>IF(OR($B31="",N$5=""),"",IF(COUNTIFS(nrES_PID,$B31,nrES_Code,N$5,nrES_Final,"Yes",nrES_Rec,"&gt;=0")=0,"",SUMIFS(nrES_Rec,nrES_PID,$B31,nrES_Code,N$5,nrES_Final,"Yes")))</f>
        <v/>
      </c>
      <c r="O31" s="17">
        <f>IF(OR($B31="",O$5=""),"",IF(COUNTIFS(nrES_PID,$B31,nrES_Code,O$5,nrES_Final,"Yes",nrES_Rec,"&gt;=0")=0,"",SUMIFS(nrES_Rec,nrES_PID,$B31,nrES_Code,O$5,nrES_Final,"Yes")))</f>
        <v/>
      </c>
      <c r="P31" s="17">
        <f>IF(OR($B31="",P$5=""),"",IF(COUNTIFS(nrES_PID,$B31,nrES_Code,P$5,nrES_Final,"Yes",nrES_Rec,"&gt;=0")=0,"",SUMIFS(nrES_Rec,nrES_PID,$B31,nrES_Code,P$5,nrES_Final,"Yes")))</f>
        <v/>
      </c>
      <c r="Q31" s="17">
        <f>IF(OR($B31="",Q$5=""),"",IF(COUNTIFS(nrES_PID,$B31,nrES_Code,Q$5,nrES_Final,"Yes",nrES_Rec,"&gt;=0")=0,"",SUMIFS(nrES_Rec,nrES_PID,$B31,nrES_Code,Q$5,nrES_Final,"Yes")))</f>
        <v/>
      </c>
      <c r="R31" s="17">
        <f>IF(OR($B31="",R$5=""),"",IF(COUNTIFS(nrES_PID,$B31,nrES_Code,R$5,nrES_Final,"Yes",nrES_Rec,"&gt;=0")=0,"",SUMIFS(nrES_Rec,nrES_PID,$B31,nrES_Code,R$5,nrES_Final,"Yes")))</f>
        <v/>
      </c>
      <c r="S31" s="17">
        <f>IF(OR($B31="",S$5=""),"",IF(COUNTIFS(nrES_PID,$B31,nrES_Code,S$5,nrES_Final,"Yes",nrES_Rec,"&gt;=0")=0,"",SUMIFS(nrES_Rec,nrES_PID,$B31,nrES_Code,S$5,nrES_Final,"Yes")))</f>
        <v/>
      </c>
      <c r="T31" s="17">
        <f>IF(OR($B31="",T$5=""),"",IF(COUNTIFS(nrES_PID,$B31,nrES_Code,T$5,nrES_Final,"Yes",nrES_Rec,"&gt;=0")=0,"",SUMIFS(nrES_Rec,nrES_PID,$B31,nrES_Code,T$5,nrES_Final,"Yes")))</f>
        <v/>
      </c>
      <c r="U31" s="17">
        <f>IF(OR($B31="",U$5=""),"",IF(COUNTIFS(nrES_PID,$B31,nrES_Code,U$5,nrES_Final,"Yes",nrES_Rec,"&gt;=0")=0,"",SUMIFS(nrES_Rec,nrES_PID,$B31,nrES_Code,U$5,nrES_Final,"Yes")))</f>
        <v/>
      </c>
      <c r="V31" s="17">
        <f>IF(OR($B31="",V$5=""),"",IF(COUNTIFS(nrES_PID,$B31,nrES_Code,V$5,nrES_Final,"Yes",nrES_Rec,"&gt;=0")=0,"",SUMIFS(nrES_Rec,nrES_PID,$B31,nrES_Code,V$5,nrES_Final,"Yes")))</f>
        <v/>
      </c>
      <c r="W31" s="17">
        <f>IF(OR($B31="",W$5=""),"",IF(COUNTIFS(nrES_PID,$B31,nrES_Code,W$5,nrES_Final,"Yes",nrES_Rec,"&gt;=0")=0,"",SUMIFS(nrES_Rec,nrES_PID,$B31,nrES_Code,W$5,nrES_Final,"Yes")))</f>
        <v/>
      </c>
      <c r="X31" s="17">
        <f>IF(OR($B31="",X$5=""),"",IF(COUNTIFS(nrES_PID,$B31,nrES_Code,X$5,nrES_Final,"Yes",nrES_Rec,"&gt;=0")=0,"",SUMIFS(nrES_Rec,nrES_PID,$B31,nrES_Code,X$5,nrES_Final,"Yes")))</f>
        <v/>
      </c>
      <c r="Y31" s="17">
        <f>IF(OR($B31="",Y$5=""),"",IF(COUNTIFS(nrES_PID,$B31,nrES_Code,Y$5,nrES_Final,"Yes",nrES_Rec,"&gt;=0")=0,"",SUMIFS(nrES_Rec,nrES_PID,$B31,nrES_Code,Y$5,nrES_Final,"Yes")))</f>
        <v/>
      </c>
      <c r="Z31" s="17">
        <f>IF(OR($B31="",Z$5=""),"",IF(COUNTIFS(nrES_PID,$B31,nrES_Code,Z$5,nrES_Final,"Yes",nrES_Rec,"&gt;=0")=0,"",SUMIFS(nrES_Rec,nrES_PID,$B31,nrES_Code,Z$5,nrES_Final,"Yes")))</f>
        <v/>
      </c>
      <c r="AA31" s="17">
        <f>IF(OR($B31="",AA$5=""),"",IF(COUNTIFS(nrES_PID,$B31,nrES_Code,AA$5,nrES_Final,"Yes",nrES_Rec,"&gt;=0")=0,"",SUMIFS(nrES_Rec,nrES_PID,$B31,nrES_Code,AA$5,nrES_Final,"Yes")))</f>
        <v/>
      </c>
      <c r="AB31" s="17">
        <f>IF(OR($B31="",AB$5=""),"",IF(COUNTIFS(nrES_PID,$B31,nrES_Code,AB$5,nrES_Final,"Yes",nrES_Rec,"&gt;=0")=0,"",SUMIFS(nrES_Rec,nrES_PID,$B31,nrES_Code,AB$5,nrES_Final,"Yes")))</f>
        <v/>
      </c>
      <c r="AC31" s="17">
        <f>IF($B31="","",sysGrades!$M31)</f>
        <v/>
      </c>
      <c r="AD31" s="17">
        <f>IF($B31="","",IFERROR(sysGrades!$U31,""))</f>
        <v/>
      </c>
      <c r="AE31" s="17">
        <f>IF(Cadets!$B31="","",Cadets!$I31)</f>
        <v/>
      </c>
    </row>
    <row r="32">
      <c r="B32" s="17">
        <f>IF(Cadets!$B32="","",Cadets!$B32)</f>
        <v/>
      </c>
      <c r="C32" s="17">
        <f>IF($B32="","",Cadets!$F32)</f>
        <v/>
      </c>
      <c r="D32" s="17">
        <f>IF(OR($B32="",D$5=""),"",IF(COUNTIFS(nrES_PID,$B32,nrES_Code,D$5,nrES_Final,"Yes",nrES_Rec,"&gt;=0")=0,"",SUMIFS(nrES_Rec,nrES_PID,$B32,nrES_Code,D$5,nrES_Final,"Yes")))</f>
        <v/>
      </c>
      <c r="E32" s="17">
        <f>IF(OR($B32="",E$5=""),"",IF(COUNTIFS(nrES_PID,$B32,nrES_Code,E$5,nrES_Final,"Yes",nrES_Rec,"&gt;=0")=0,"",SUMIFS(nrES_Rec,nrES_PID,$B32,nrES_Code,E$5,nrES_Final,"Yes")))</f>
        <v/>
      </c>
      <c r="F32" s="17">
        <f>IF(OR($B32="",F$5=""),"",IF(COUNTIFS(nrES_PID,$B32,nrES_Code,F$5,nrES_Final,"Yes",nrES_Rec,"&gt;=0")=0,"",SUMIFS(nrES_Rec,nrES_PID,$B32,nrES_Code,F$5,nrES_Final,"Yes")))</f>
        <v/>
      </c>
      <c r="G32" s="17">
        <f>IF(OR($B32="",G$5=""),"",IF(COUNTIFS(nrES_PID,$B32,nrES_Code,G$5,nrES_Final,"Yes",nrES_Rec,"&gt;=0")=0,"",SUMIFS(nrES_Rec,nrES_PID,$B32,nrES_Code,G$5,nrES_Final,"Yes")))</f>
        <v/>
      </c>
      <c r="H32" s="17">
        <f>IF(OR($B32="",H$5=""),"",IF(COUNTIFS(nrES_PID,$B32,nrES_Code,H$5,nrES_Final,"Yes",nrES_Rec,"&gt;=0")=0,"",SUMIFS(nrES_Rec,nrES_PID,$B32,nrES_Code,H$5,nrES_Final,"Yes")))</f>
        <v/>
      </c>
      <c r="I32" s="17">
        <f>IF(OR($B32="",I$5=""),"",IF(COUNTIFS(nrES_PID,$B32,nrES_Code,I$5,nrES_Final,"Yes",nrES_Rec,"&gt;=0")=0,"",SUMIFS(nrES_Rec,nrES_PID,$B32,nrES_Code,I$5,nrES_Final,"Yes")))</f>
        <v/>
      </c>
      <c r="J32" s="17">
        <f>IF(OR($B32="",J$5=""),"",IF(COUNTIFS(nrES_PID,$B32,nrES_Code,J$5,nrES_Final,"Yes",nrES_Rec,"&gt;=0")=0,"",SUMIFS(nrES_Rec,nrES_PID,$B32,nrES_Code,J$5,nrES_Final,"Yes")))</f>
        <v/>
      </c>
      <c r="K32" s="17">
        <f>IF(OR($B32="",K$5=""),"",IF(COUNTIFS(nrES_PID,$B32,nrES_Code,K$5,nrES_Final,"Yes",nrES_Rec,"&gt;=0")=0,"",SUMIFS(nrES_Rec,nrES_PID,$B32,nrES_Code,K$5,nrES_Final,"Yes")))</f>
        <v/>
      </c>
      <c r="L32" s="17">
        <f>IF(OR($B32="",L$5=""),"",IF(COUNTIFS(nrES_PID,$B32,nrES_Code,L$5,nrES_Final,"Yes",nrES_Rec,"&gt;=0")=0,"",SUMIFS(nrES_Rec,nrES_PID,$B32,nrES_Code,L$5,nrES_Final,"Yes")))</f>
        <v/>
      </c>
      <c r="M32" s="17">
        <f>IF(OR($B32="",M$5=""),"",IF(COUNTIFS(nrES_PID,$B32,nrES_Code,M$5,nrES_Final,"Yes",nrES_Rec,"&gt;=0")=0,"",SUMIFS(nrES_Rec,nrES_PID,$B32,nrES_Code,M$5,nrES_Final,"Yes")))</f>
        <v/>
      </c>
      <c r="N32" s="17">
        <f>IF(OR($B32="",N$5=""),"",IF(COUNTIFS(nrES_PID,$B32,nrES_Code,N$5,nrES_Final,"Yes",nrES_Rec,"&gt;=0")=0,"",SUMIFS(nrES_Rec,nrES_PID,$B32,nrES_Code,N$5,nrES_Final,"Yes")))</f>
        <v/>
      </c>
      <c r="O32" s="17">
        <f>IF(OR($B32="",O$5=""),"",IF(COUNTIFS(nrES_PID,$B32,nrES_Code,O$5,nrES_Final,"Yes",nrES_Rec,"&gt;=0")=0,"",SUMIFS(nrES_Rec,nrES_PID,$B32,nrES_Code,O$5,nrES_Final,"Yes")))</f>
        <v/>
      </c>
      <c r="P32" s="17">
        <f>IF(OR($B32="",P$5=""),"",IF(COUNTIFS(nrES_PID,$B32,nrES_Code,P$5,nrES_Final,"Yes",nrES_Rec,"&gt;=0")=0,"",SUMIFS(nrES_Rec,nrES_PID,$B32,nrES_Code,P$5,nrES_Final,"Yes")))</f>
        <v/>
      </c>
      <c r="Q32" s="17">
        <f>IF(OR($B32="",Q$5=""),"",IF(COUNTIFS(nrES_PID,$B32,nrES_Code,Q$5,nrES_Final,"Yes",nrES_Rec,"&gt;=0")=0,"",SUMIFS(nrES_Rec,nrES_PID,$B32,nrES_Code,Q$5,nrES_Final,"Yes")))</f>
        <v/>
      </c>
      <c r="R32" s="17">
        <f>IF(OR($B32="",R$5=""),"",IF(COUNTIFS(nrES_PID,$B32,nrES_Code,R$5,nrES_Final,"Yes",nrES_Rec,"&gt;=0")=0,"",SUMIFS(nrES_Rec,nrES_PID,$B32,nrES_Code,R$5,nrES_Final,"Yes")))</f>
        <v/>
      </c>
      <c r="S32" s="17">
        <f>IF(OR($B32="",S$5=""),"",IF(COUNTIFS(nrES_PID,$B32,nrES_Code,S$5,nrES_Final,"Yes",nrES_Rec,"&gt;=0")=0,"",SUMIFS(nrES_Rec,nrES_PID,$B32,nrES_Code,S$5,nrES_Final,"Yes")))</f>
        <v/>
      </c>
      <c r="T32" s="17">
        <f>IF(OR($B32="",T$5=""),"",IF(COUNTIFS(nrES_PID,$B32,nrES_Code,T$5,nrES_Final,"Yes",nrES_Rec,"&gt;=0")=0,"",SUMIFS(nrES_Rec,nrES_PID,$B32,nrES_Code,T$5,nrES_Final,"Yes")))</f>
        <v/>
      </c>
      <c r="U32" s="17">
        <f>IF(OR($B32="",U$5=""),"",IF(COUNTIFS(nrES_PID,$B32,nrES_Code,U$5,nrES_Final,"Yes",nrES_Rec,"&gt;=0")=0,"",SUMIFS(nrES_Rec,nrES_PID,$B32,nrES_Code,U$5,nrES_Final,"Yes")))</f>
        <v/>
      </c>
      <c r="V32" s="17">
        <f>IF(OR($B32="",V$5=""),"",IF(COUNTIFS(nrES_PID,$B32,nrES_Code,V$5,nrES_Final,"Yes",nrES_Rec,"&gt;=0")=0,"",SUMIFS(nrES_Rec,nrES_PID,$B32,nrES_Code,V$5,nrES_Final,"Yes")))</f>
        <v/>
      </c>
      <c r="W32" s="17">
        <f>IF(OR($B32="",W$5=""),"",IF(COUNTIFS(nrES_PID,$B32,nrES_Code,W$5,nrES_Final,"Yes",nrES_Rec,"&gt;=0")=0,"",SUMIFS(nrES_Rec,nrES_PID,$B32,nrES_Code,W$5,nrES_Final,"Yes")))</f>
        <v/>
      </c>
      <c r="X32" s="17">
        <f>IF(OR($B32="",X$5=""),"",IF(COUNTIFS(nrES_PID,$B32,nrES_Code,X$5,nrES_Final,"Yes",nrES_Rec,"&gt;=0")=0,"",SUMIFS(nrES_Rec,nrES_PID,$B32,nrES_Code,X$5,nrES_Final,"Yes")))</f>
        <v/>
      </c>
      <c r="Y32" s="17">
        <f>IF(OR($B32="",Y$5=""),"",IF(COUNTIFS(nrES_PID,$B32,nrES_Code,Y$5,nrES_Final,"Yes",nrES_Rec,"&gt;=0")=0,"",SUMIFS(nrES_Rec,nrES_PID,$B32,nrES_Code,Y$5,nrES_Final,"Yes")))</f>
        <v/>
      </c>
      <c r="Z32" s="17">
        <f>IF(OR($B32="",Z$5=""),"",IF(COUNTIFS(nrES_PID,$B32,nrES_Code,Z$5,nrES_Final,"Yes",nrES_Rec,"&gt;=0")=0,"",SUMIFS(nrES_Rec,nrES_PID,$B32,nrES_Code,Z$5,nrES_Final,"Yes")))</f>
        <v/>
      </c>
      <c r="AA32" s="17">
        <f>IF(OR($B32="",AA$5=""),"",IF(COUNTIFS(nrES_PID,$B32,nrES_Code,AA$5,nrES_Final,"Yes",nrES_Rec,"&gt;=0")=0,"",SUMIFS(nrES_Rec,nrES_PID,$B32,nrES_Code,AA$5,nrES_Final,"Yes")))</f>
        <v/>
      </c>
      <c r="AB32" s="17">
        <f>IF(OR($B32="",AB$5=""),"",IF(COUNTIFS(nrES_PID,$B32,nrES_Code,AB$5,nrES_Final,"Yes",nrES_Rec,"&gt;=0")=0,"",SUMIFS(nrES_Rec,nrES_PID,$B32,nrES_Code,AB$5,nrES_Final,"Yes")))</f>
        <v/>
      </c>
      <c r="AC32" s="17">
        <f>IF($B32="","",sysGrades!$M32)</f>
        <v/>
      </c>
      <c r="AD32" s="17">
        <f>IF($B32="","",IFERROR(sysGrades!$U32,""))</f>
        <v/>
      </c>
      <c r="AE32" s="17">
        <f>IF(Cadets!$B32="","",Cadets!$I32)</f>
        <v/>
      </c>
    </row>
    <row r="33">
      <c r="B33" s="17">
        <f>IF(Cadets!$B33="","",Cadets!$B33)</f>
        <v/>
      </c>
      <c r="C33" s="17">
        <f>IF($B33="","",Cadets!$F33)</f>
        <v/>
      </c>
      <c r="D33" s="17">
        <f>IF(OR($B33="",D$5=""),"",IF(COUNTIFS(nrES_PID,$B33,nrES_Code,D$5,nrES_Final,"Yes",nrES_Rec,"&gt;=0")=0,"",SUMIFS(nrES_Rec,nrES_PID,$B33,nrES_Code,D$5,nrES_Final,"Yes")))</f>
        <v/>
      </c>
      <c r="E33" s="17">
        <f>IF(OR($B33="",E$5=""),"",IF(COUNTIFS(nrES_PID,$B33,nrES_Code,E$5,nrES_Final,"Yes",nrES_Rec,"&gt;=0")=0,"",SUMIFS(nrES_Rec,nrES_PID,$B33,nrES_Code,E$5,nrES_Final,"Yes")))</f>
        <v/>
      </c>
      <c r="F33" s="17">
        <f>IF(OR($B33="",F$5=""),"",IF(COUNTIFS(nrES_PID,$B33,nrES_Code,F$5,nrES_Final,"Yes",nrES_Rec,"&gt;=0")=0,"",SUMIFS(nrES_Rec,nrES_PID,$B33,nrES_Code,F$5,nrES_Final,"Yes")))</f>
        <v/>
      </c>
      <c r="G33" s="17">
        <f>IF(OR($B33="",G$5=""),"",IF(COUNTIFS(nrES_PID,$B33,nrES_Code,G$5,nrES_Final,"Yes",nrES_Rec,"&gt;=0")=0,"",SUMIFS(nrES_Rec,nrES_PID,$B33,nrES_Code,G$5,nrES_Final,"Yes")))</f>
        <v/>
      </c>
      <c r="H33" s="17">
        <f>IF(OR($B33="",H$5=""),"",IF(COUNTIFS(nrES_PID,$B33,nrES_Code,H$5,nrES_Final,"Yes",nrES_Rec,"&gt;=0")=0,"",SUMIFS(nrES_Rec,nrES_PID,$B33,nrES_Code,H$5,nrES_Final,"Yes")))</f>
        <v/>
      </c>
      <c r="I33" s="17">
        <f>IF(OR($B33="",I$5=""),"",IF(COUNTIFS(nrES_PID,$B33,nrES_Code,I$5,nrES_Final,"Yes",nrES_Rec,"&gt;=0")=0,"",SUMIFS(nrES_Rec,nrES_PID,$B33,nrES_Code,I$5,nrES_Final,"Yes")))</f>
        <v/>
      </c>
      <c r="J33" s="17">
        <f>IF(OR($B33="",J$5=""),"",IF(COUNTIFS(nrES_PID,$B33,nrES_Code,J$5,nrES_Final,"Yes",nrES_Rec,"&gt;=0")=0,"",SUMIFS(nrES_Rec,nrES_PID,$B33,nrES_Code,J$5,nrES_Final,"Yes")))</f>
        <v/>
      </c>
      <c r="K33" s="17">
        <f>IF(OR($B33="",K$5=""),"",IF(COUNTIFS(nrES_PID,$B33,nrES_Code,K$5,nrES_Final,"Yes",nrES_Rec,"&gt;=0")=0,"",SUMIFS(nrES_Rec,nrES_PID,$B33,nrES_Code,K$5,nrES_Final,"Yes")))</f>
        <v/>
      </c>
      <c r="L33" s="17">
        <f>IF(OR($B33="",L$5=""),"",IF(COUNTIFS(nrES_PID,$B33,nrES_Code,L$5,nrES_Final,"Yes",nrES_Rec,"&gt;=0")=0,"",SUMIFS(nrES_Rec,nrES_PID,$B33,nrES_Code,L$5,nrES_Final,"Yes")))</f>
        <v/>
      </c>
      <c r="M33" s="17">
        <f>IF(OR($B33="",M$5=""),"",IF(COUNTIFS(nrES_PID,$B33,nrES_Code,M$5,nrES_Final,"Yes",nrES_Rec,"&gt;=0")=0,"",SUMIFS(nrES_Rec,nrES_PID,$B33,nrES_Code,M$5,nrES_Final,"Yes")))</f>
        <v/>
      </c>
      <c r="N33" s="17">
        <f>IF(OR($B33="",N$5=""),"",IF(COUNTIFS(nrES_PID,$B33,nrES_Code,N$5,nrES_Final,"Yes",nrES_Rec,"&gt;=0")=0,"",SUMIFS(nrES_Rec,nrES_PID,$B33,nrES_Code,N$5,nrES_Final,"Yes")))</f>
        <v/>
      </c>
      <c r="O33" s="17">
        <f>IF(OR($B33="",O$5=""),"",IF(COUNTIFS(nrES_PID,$B33,nrES_Code,O$5,nrES_Final,"Yes",nrES_Rec,"&gt;=0")=0,"",SUMIFS(nrES_Rec,nrES_PID,$B33,nrES_Code,O$5,nrES_Final,"Yes")))</f>
        <v/>
      </c>
      <c r="P33" s="17">
        <f>IF(OR($B33="",P$5=""),"",IF(COUNTIFS(nrES_PID,$B33,nrES_Code,P$5,nrES_Final,"Yes",nrES_Rec,"&gt;=0")=0,"",SUMIFS(nrES_Rec,nrES_PID,$B33,nrES_Code,P$5,nrES_Final,"Yes")))</f>
        <v/>
      </c>
      <c r="Q33" s="17">
        <f>IF(OR($B33="",Q$5=""),"",IF(COUNTIFS(nrES_PID,$B33,nrES_Code,Q$5,nrES_Final,"Yes",nrES_Rec,"&gt;=0")=0,"",SUMIFS(nrES_Rec,nrES_PID,$B33,nrES_Code,Q$5,nrES_Final,"Yes")))</f>
        <v/>
      </c>
      <c r="R33" s="17">
        <f>IF(OR($B33="",R$5=""),"",IF(COUNTIFS(nrES_PID,$B33,nrES_Code,R$5,nrES_Final,"Yes",nrES_Rec,"&gt;=0")=0,"",SUMIFS(nrES_Rec,nrES_PID,$B33,nrES_Code,R$5,nrES_Final,"Yes")))</f>
        <v/>
      </c>
      <c r="S33" s="17">
        <f>IF(OR($B33="",S$5=""),"",IF(COUNTIFS(nrES_PID,$B33,nrES_Code,S$5,nrES_Final,"Yes",nrES_Rec,"&gt;=0")=0,"",SUMIFS(nrES_Rec,nrES_PID,$B33,nrES_Code,S$5,nrES_Final,"Yes")))</f>
        <v/>
      </c>
      <c r="T33" s="17">
        <f>IF(OR($B33="",T$5=""),"",IF(COUNTIFS(nrES_PID,$B33,nrES_Code,T$5,nrES_Final,"Yes",nrES_Rec,"&gt;=0")=0,"",SUMIFS(nrES_Rec,nrES_PID,$B33,nrES_Code,T$5,nrES_Final,"Yes")))</f>
        <v/>
      </c>
      <c r="U33" s="17">
        <f>IF(OR($B33="",U$5=""),"",IF(COUNTIFS(nrES_PID,$B33,nrES_Code,U$5,nrES_Final,"Yes",nrES_Rec,"&gt;=0")=0,"",SUMIFS(nrES_Rec,nrES_PID,$B33,nrES_Code,U$5,nrES_Final,"Yes")))</f>
        <v/>
      </c>
      <c r="V33" s="17">
        <f>IF(OR($B33="",V$5=""),"",IF(COUNTIFS(nrES_PID,$B33,nrES_Code,V$5,nrES_Final,"Yes",nrES_Rec,"&gt;=0")=0,"",SUMIFS(nrES_Rec,nrES_PID,$B33,nrES_Code,V$5,nrES_Final,"Yes")))</f>
        <v/>
      </c>
      <c r="W33" s="17">
        <f>IF(OR($B33="",W$5=""),"",IF(COUNTIFS(nrES_PID,$B33,nrES_Code,W$5,nrES_Final,"Yes",nrES_Rec,"&gt;=0")=0,"",SUMIFS(nrES_Rec,nrES_PID,$B33,nrES_Code,W$5,nrES_Final,"Yes")))</f>
        <v/>
      </c>
      <c r="X33" s="17">
        <f>IF(OR($B33="",X$5=""),"",IF(COUNTIFS(nrES_PID,$B33,nrES_Code,X$5,nrES_Final,"Yes",nrES_Rec,"&gt;=0")=0,"",SUMIFS(nrES_Rec,nrES_PID,$B33,nrES_Code,X$5,nrES_Final,"Yes")))</f>
        <v/>
      </c>
      <c r="Y33" s="17">
        <f>IF(OR($B33="",Y$5=""),"",IF(COUNTIFS(nrES_PID,$B33,nrES_Code,Y$5,nrES_Final,"Yes",nrES_Rec,"&gt;=0")=0,"",SUMIFS(nrES_Rec,nrES_PID,$B33,nrES_Code,Y$5,nrES_Final,"Yes")))</f>
        <v/>
      </c>
      <c r="Z33" s="17">
        <f>IF(OR($B33="",Z$5=""),"",IF(COUNTIFS(nrES_PID,$B33,nrES_Code,Z$5,nrES_Final,"Yes",nrES_Rec,"&gt;=0")=0,"",SUMIFS(nrES_Rec,nrES_PID,$B33,nrES_Code,Z$5,nrES_Final,"Yes")))</f>
        <v/>
      </c>
      <c r="AA33" s="17">
        <f>IF(OR($B33="",AA$5=""),"",IF(COUNTIFS(nrES_PID,$B33,nrES_Code,AA$5,nrES_Final,"Yes",nrES_Rec,"&gt;=0")=0,"",SUMIFS(nrES_Rec,nrES_PID,$B33,nrES_Code,AA$5,nrES_Final,"Yes")))</f>
        <v/>
      </c>
      <c r="AB33" s="17">
        <f>IF(OR($B33="",AB$5=""),"",IF(COUNTIFS(nrES_PID,$B33,nrES_Code,AB$5,nrES_Final,"Yes",nrES_Rec,"&gt;=0")=0,"",SUMIFS(nrES_Rec,nrES_PID,$B33,nrES_Code,AB$5,nrES_Final,"Yes")))</f>
        <v/>
      </c>
      <c r="AC33" s="17">
        <f>IF($B33="","",sysGrades!$M33)</f>
        <v/>
      </c>
      <c r="AD33" s="17">
        <f>IF($B33="","",IFERROR(sysGrades!$U33,""))</f>
        <v/>
      </c>
      <c r="AE33" s="17">
        <f>IF(Cadets!$B33="","",Cadets!$I33)</f>
        <v/>
      </c>
    </row>
    <row r="34">
      <c r="B34" s="17">
        <f>IF(Cadets!$B34="","",Cadets!$B34)</f>
        <v/>
      </c>
      <c r="C34" s="17">
        <f>IF($B34="","",Cadets!$F34)</f>
        <v/>
      </c>
      <c r="D34" s="17">
        <f>IF(OR($B34="",D$5=""),"",IF(COUNTIFS(nrES_PID,$B34,nrES_Code,D$5,nrES_Final,"Yes",nrES_Rec,"&gt;=0")=0,"",SUMIFS(nrES_Rec,nrES_PID,$B34,nrES_Code,D$5,nrES_Final,"Yes")))</f>
        <v/>
      </c>
      <c r="E34" s="17">
        <f>IF(OR($B34="",E$5=""),"",IF(COUNTIFS(nrES_PID,$B34,nrES_Code,E$5,nrES_Final,"Yes",nrES_Rec,"&gt;=0")=0,"",SUMIFS(nrES_Rec,nrES_PID,$B34,nrES_Code,E$5,nrES_Final,"Yes")))</f>
        <v/>
      </c>
      <c r="F34" s="17">
        <f>IF(OR($B34="",F$5=""),"",IF(COUNTIFS(nrES_PID,$B34,nrES_Code,F$5,nrES_Final,"Yes",nrES_Rec,"&gt;=0")=0,"",SUMIFS(nrES_Rec,nrES_PID,$B34,nrES_Code,F$5,nrES_Final,"Yes")))</f>
        <v/>
      </c>
      <c r="G34" s="17">
        <f>IF(OR($B34="",G$5=""),"",IF(COUNTIFS(nrES_PID,$B34,nrES_Code,G$5,nrES_Final,"Yes",nrES_Rec,"&gt;=0")=0,"",SUMIFS(nrES_Rec,nrES_PID,$B34,nrES_Code,G$5,nrES_Final,"Yes")))</f>
        <v/>
      </c>
      <c r="H34" s="17">
        <f>IF(OR($B34="",H$5=""),"",IF(COUNTIFS(nrES_PID,$B34,nrES_Code,H$5,nrES_Final,"Yes",nrES_Rec,"&gt;=0")=0,"",SUMIFS(nrES_Rec,nrES_PID,$B34,nrES_Code,H$5,nrES_Final,"Yes")))</f>
        <v/>
      </c>
      <c r="I34" s="17">
        <f>IF(OR($B34="",I$5=""),"",IF(COUNTIFS(nrES_PID,$B34,nrES_Code,I$5,nrES_Final,"Yes",nrES_Rec,"&gt;=0")=0,"",SUMIFS(nrES_Rec,nrES_PID,$B34,nrES_Code,I$5,nrES_Final,"Yes")))</f>
        <v/>
      </c>
      <c r="J34" s="17">
        <f>IF(OR($B34="",J$5=""),"",IF(COUNTIFS(nrES_PID,$B34,nrES_Code,J$5,nrES_Final,"Yes",nrES_Rec,"&gt;=0")=0,"",SUMIFS(nrES_Rec,nrES_PID,$B34,nrES_Code,J$5,nrES_Final,"Yes")))</f>
        <v/>
      </c>
      <c r="K34" s="17">
        <f>IF(OR($B34="",K$5=""),"",IF(COUNTIFS(nrES_PID,$B34,nrES_Code,K$5,nrES_Final,"Yes",nrES_Rec,"&gt;=0")=0,"",SUMIFS(nrES_Rec,nrES_PID,$B34,nrES_Code,K$5,nrES_Final,"Yes")))</f>
        <v/>
      </c>
      <c r="L34" s="17">
        <f>IF(OR($B34="",L$5=""),"",IF(COUNTIFS(nrES_PID,$B34,nrES_Code,L$5,nrES_Final,"Yes",nrES_Rec,"&gt;=0")=0,"",SUMIFS(nrES_Rec,nrES_PID,$B34,nrES_Code,L$5,nrES_Final,"Yes")))</f>
        <v/>
      </c>
      <c r="M34" s="17">
        <f>IF(OR($B34="",M$5=""),"",IF(COUNTIFS(nrES_PID,$B34,nrES_Code,M$5,nrES_Final,"Yes",nrES_Rec,"&gt;=0")=0,"",SUMIFS(nrES_Rec,nrES_PID,$B34,nrES_Code,M$5,nrES_Final,"Yes")))</f>
        <v/>
      </c>
      <c r="N34" s="17">
        <f>IF(OR($B34="",N$5=""),"",IF(COUNTIFS(nrES_PID,$B34,nrES_Code,N$5,nrES_Final,"Yes",nrES_Rec,"&gt;=0")=0,"",SUMIFS(nrES_Rec,nrES_PID,$B34,nrES_Code,N$5,nrES_Final,"Yes")))</f>
        <v/>
      </c>
      <c r="O34" s="17">
        <f>IF(OR($B34="",O$5=""),"",IF(COUNTIFS(nrES_PID,$B34,nrES_Code,O$5,nrES_Final,"Yes",nrES_Rec,"&gt;=0")=0,"",SUMIFS(nrES_Rec,nrES_PID,$B34,nrES_Code,O$5,nrES_Final,"Yes")))</f>
        <v/>
      </c>
      <c r="P34" s="17">
        <f>IF(OR($B34="",P$5=""),"",IF(COUNTIFS(nrES_PID,$B34,nrES_Code,P$5,nrES_Final,"Yes",nrES_Rec,"&gt;=0")=0,"",SUMIFS(nrES_Rec,nrES_PID,$B34,nrES_Code,P$5,nrES_Final,"Yes")))</f>
        <v/>
      </c>
      <c r="Q34" s="17">
        <f>IF(OR($B34="",Q$5=""),"",IF(COUNTIFS(nrES_PID,$B34,nrES_Code,Q$5,nrES_Final,"Yes",nrES_Rec,"&gt;=0")=0,"",SUMIFS(nrES_Rec,nrES_PID,$B34,nrES_Code,Q$5,nrES_Final,"Yes")))</f>
        <v/>
      </c>
      <c r="R34" s="17">
        <f>IF(OR($B34="",R$5=""),"",IF(COUNTIFS(nrES_PID,$B34,nrES_Code,R$5,nrES_Final,"Yes",nrES_Rec,"&gt;=0")=0,"",SUMIFS(nrES_Rec,nrES_PID,$B34,nrES_Code,R$5,nrES_Final,"Yes")))</f>
        <v/>
      </c>
      <c r="S34" s="17">
        <f>IF(OR($B34="",S$5=""),"",IF(COUNTIFS(nrES_PID,$B34,nrES_Code,S$5,nrES_Final,"Yes",nrES_Rec,"&gt;=0")=0,"",SUMIFS(nrES_Rec,nrES_PID,$B34,nrES_Code,S$5,nrES_Final,"Yes")))</f>
        <v/>
      </c>
      <c r="T34" s="17">
        <f>IF(OR($B34="",T$5=""),"",IF(COUNTIFS(nrES_PID,$B34,nrES_Code,T$5,nrES_Final,"Yes",nrES_Rec,"&gt;=0")=0,"",SUMIFS(nrES_Rec,nrES_PID,$B34,nrES_Code,T$5,nrES_Final,"Yes")))</f>
        <v/>
      </c>
      <c r="U34" s="17">
        <f>IF(OR($B34="",U$5=""),"",IF(COUNTIFS(nrES_PID,$B34,nrES_Code,U$5,nrES_Final,"Yes",nrES_Rec,"&gt;=0")=0,"",SUMIFS(nrES_Rec,nrES_PID,$B34,nrES_Code,U$5,nrES_Final,"Yes")))</f>
        <v/>
      </c>
      <c r="V34" s="17">
        <f>IF(OR($B34="",V$5=""),"",IF(COUNTIFS(nrES_PID,$B34,nrES_Code,V$5,nrES_Final,"Yes",nrES_Rec,"&gt;=0")=0,"",SUMIFS(nrES_Rec,nrES_PID,$B34,nrES_Code,V$5,nrES_Final,"Yes")))</f>
        <v/>
      </c>
      <c r="W34" s="17">
        <f>IF(OR($B34="",W$5=""),"",IF(COUNTIFS(nrES_PID,$B34,nrES_Code,W$5,nrES_Final,"Yes",nrES_Rec,"&gt;=0")=0,"",SUMIFS(nrES_Rec,nrES_PID,$B34,nrES_Code,W$5,nrES_Final,"Yes")))</f>
        <v/>
      </c>
      <c r="X34" s="17">
        <f>IF(OR($B34="",X$5=""),"",IF(COUNTIFS(nrES_PID,$B34,nrES_Code,X$5,nrES_Final,"Yes",nrES_Rec,"&gt;=0")=0,"",SUMIFS(nrES_Rec,nrES_PID,$B34,nrES_Code,X$5,nrES_Final,"Yes")))</f>
        <v/>
      </c>
      <c r="Y34" s="17">
        <f>IF(OR($B34="",Y$5=""),"",IF(COUNTIFS(nrES_PID,$B34,nrES_Code,Y$5,nrES_Final,"Yes",nrES_Rec,"&gt;=0")=0,"",SUMIFS(nrES_Rec,nrES_PID,$B34,nrES_Code,Y$5,nrES_Final,"Yes")))</f>
        <v/>
      </c>
      <c r="Z34" s="17">
        <f>IF(OR($B34="",Z$5=""),"",IF(COUNTIFS(nrES_PID,$B34,nrES_Code,Z$5,nrES_Final,"Yes",nrES_Rec,"&gt;=0")=0,"",SUMIFS(nrES_Rec,nrES_PID,$B34,nrES_Code,Z$5,nrES_Final,"Yes")))</f>
        <v/>
      </c>
      <c r="AA34" s="17">
        <f>IF(OR($B34="",AA$5=""),"",IF(COUNTIFS(nrES_PID,$B34,nrES_Code,AA$5,nrES_Final,"Yes",nrES_Rec,"&gt;=0")=0,"",SUMIFS(nrES_Rec,nrES_PID,$B34,nrES_Code,AA$5,nrES_Final,"Yes")))</f>
        <v/>
      </c>
      <c r="AB34" s="17">
        <f>IF(OR($B34="",AB$5=""),"",IF(COUNTIFS(nrES_PID,$B34,nrES_Code,AB$5,nrES_Final,"Yes",nrES_Rec,"&gt;=0")=0,"",SUMIFS(nrES_Rec,nrES_PID,$B34,nrES_Code,AB$5,nrES_Final,"Yes")))</f>
        <v/>
      </c>
      <c r="AC34" s="17">
        <f>IF($B34="","",sysGrades!$M34)</f>
        <v/>
      </c>
      <c r="AD34" s="17">
        <f>IF($B34="","",IFERROR(sysGrades!$U34,""))</f>
        <v/>
      </c>
      <c r="AE34" s="17">
        <f>IF(Cadets!$B34="","",Cadets!$I34)</f>
        <v/>
      </c>
    </row>
    <row r="35">
      <c r="B35" s="17">
        <f>IF(Cadets!$B35="","",Cadets!$B35)</f>
        <v/>
      </c>
      <c r="C35" s="17">
        <f>IF($B35="","",Cadets!$F35)</f>
        <v/>
      </c>
      <c r="D35" s="17">
        <f>IF(OR($B35="",D$5=""),"",IF(COUNTIFS(nrES_PID,$B35,nrES_Code,D$5,nrES_Final,"Yes",nrES_Rec,"&gt;=0")=0,"",SUMIFS(nrES_Rec,nrES_PID,$B35,nrES_Code,D$5,nrES_Final,"Yes")))</f>
        <v/>
      </c>
      <c r="E35" s="17">
        <f>IF(OR($B35="",E$5=""),"",IF(COUNTIFS(nrES_PID,$B35,nrES_Code,E$5,nrES_Final,"Yes",nrES_Rec,"&gt;=0")=0,"",SUMIFS(nrES_Rec,nrES_PID,$B35,nrES_Code,E$5,nrES_Final,"Yes")))</f>
        <v/>
      </c>
      <c r="F35" s="17">
        <f>IF(OR($B35="",F$5=""),"",IF(COUNTIFS(nrES_PID,$B35,nrES_Code,F$5,nrES_Final,"Yes",nrES_Rec,"&gt;=0")=0,"",SUMIFS(nrES_Rec,nrES_PID,$B35,nrES_Code,F$5,nrES_Final,"Yes")))</f>
        <v/>
      </c>
      <c r="G35" s="17">
        <f>IF(OR($B35="",G$5=""),"",IF(COUNTIFS(nrES_PID,$B35,nrES_Code,G$5,nrES_Final,"Yes",nrES_Rec,"&gt;=0")=0,"",SUMIFS(nrES_Rec,nrES_PID,$B35,nrES_Code,G$5,nrES_Final,"Yes")))</f>
        <v/>
      </c>
      <c r="H35" s="17">
        <f>IF(OR($B35="",H$5=""),"",IF(COUNTIFS(nrES_PID,$B35,nrES_Code,H$5,nrES_Final,"Yes",nrES_Rec,"&gt;=0")=0,"",SUMIFS(nrES_Rec,nrES_PID,$B35,nrES_Code,H$5,nrES_Final,"Yes")))</f>
        <v/>
      </c>
      <c r="I35" s="17">
        <f>IF(OR($B35="",I$5=""),"",IF(COUNTIFS(nrES_PID,$B35,nrES_Code,I$5,nrES_Final,"Yes",nrES_Rec,"&gt;=0")=0,"",SUMIFS(nrES_Rec,nrES_PID,$B35,nrES_Code,I$5,nrES_Final,"Yes")))</f>
        <v/>
      </c>
      <c r="J35" s="17">
        <f>IF(OR($B35="",J$5=""),"",IF(COUNTIFS(nrES_PID,$B35,nrES_Code,J$5,nrES_Final,"Yes",nrES_Rec,"&gt;=0")=0,"",SUMIFS(nrES_Rec,nrES_PID,$B35,nrES_Code,J$5,nrES_Final,"Yes")))</f>
        <v/>
      </c>
      <c r="K35" s="17">
        <f>IF(OR($B35="",K$5=""),"",IF(COUNTIFS(nrES_PID,$B35,nrES_Code,K$5,nrES_Final,"Yes",nrES_Rec,"&gt;=0")=0,"",SUMIFS(nrES_Rec,nrES_PID,$B35,nrES_Code,K$5,nrES_Final,"Yes")))</f>
        <v/>
      </c>
      <c r="L35" s="17">
        <f>IF(OR($B35="",L$5=""),"",IF(COUNTIFS(nrES_PID,$B35,nrES_Code,L$5,nrES_Final,"Yes",nrES_Rec,"&gt;=0")=0,"",SUMIFS(nrES_Rec,nrES_PID,$B35,nrES_Code,L$5,nrES_Final,"Yes")))</f>
        <v/>
      </c>
      <c r="M35" s="17">
        <f>IF(OR($B35="",M$5=""),"",IF(COUNTIFS(nrES_PID,$B35,nrES_Code,M$5,nrES_Final,"Yes",nrES_Rec,"&gt;=0")=0,"",SUMIFS(nrES_Rec,nrES_PID,$B35,nrES_Code,M$5,nrES_Final,"Yes")))</f>
        <v/>
      </c>
      <c r="N35" s="17">
        <f>IF(OR($B35="",N$5=""),"",IF(COUNTIFS(nrES_PID,$B35,nrES_Code,N$5,nrES_Final,"Yes",nrES_Rec,"&gt;=0")=0,"",SUMIFS(nrES_Rec,nrES_PID,$B35,nrES_Code,N$5,nrES_Final,"Yes")))</f>
        <v/>
      </c>
      <c r="O35" s="17">
        <f>IF(OR($B35="",O$5=""),"",IF(COUNTIFS(nrES_PID,$B35,nrES_Code,O$5,nrES_Final,"Yes",nrES_Rec,"&gt;=0")=0,"",SUMIFS(nrES_Rec,nrES_PID,$B35,nrES_Code,O$5,nrES_Final,"Yes")))</f>
        <v/>
      </c>
      <c r="P35" s="17">
        <f>IF(OR($B35="",P$5=""),"",IF(COUNTIFS(nrES_PID,$B35,nrES_Code,P$5,nrES_Final,"Yes",nrES_Rec,"&gt;=0")=0,"",SUMIFS(nrES_Rec,nrES_PID,$B35,nrES_Code,P$5,nrES_Final,"Yes")))</f>
        <v/>
      </c>
      <c r="Q35" s="17">
        <f>IF(OR($B35="",Q$5=""),"",IF(COUNTIFS(nrES_PID,$B35,nrES_Code,Q$5,nrES_Final,"Yes",nrES_Rec,"&gt;=0")=0,"",SUMIFS(nrES_Rec,nrES_PID,$B35,nrES_Code,Q$5,nrES_Final,"Yes")))</f>
        <v/>
      </c>
      <c r="R35" s="17">
        <f>IF(OR($B35="",R$5=""),"",IF(COUNTIFS(nrES_PID,$B35,nrES_Code,R$5,nrES_Final,"Yes",nrES_Rec,"&gt;=0")=0,"",SUMIFS(nrES_Rec,nrES_PID,$B35,nrES_Code,R$5,nrES_Final,"Yes")))</f>
        <v/>
      </c>
      <c r="S35" s="17">
        <f>IF(OR($B35="",S$5=""),"",IF(COUNTIFS(nrES_PID,$B35,nrES_Code,S$5,nrES_Final,"Yes",nrES_Rec,"&gt;=0")=0,"",SUMIFS(nrES_Rec,nrES_PID,$B35,nrES_Code,S$5,nrES_Final,"Yes")))</f>
        <v/>
      </c>
      <c r="T35" s="17">
        <f>IF(OR($B35="",T$5=""),"",IF(COUNTIFS(nrES_PID,$B35,nrES_Code,T$5,nrES_Final,"Yes",nrES_Rec,"&gt;=0")=0,"",SUMIFS(nrES_Rec,nrES_PID,$B35,nrES_Code,T$5,nrES_Final,"Yes")))</f>
        <v/>
      </c>
      <c r="U35" s="17">
        <f>IF(OR($B35="",U$5=""),"",IF(COUNTIFS(nrES_PID,$B35,nrES_Code,U$5,nrES_Final,"Yes",nrES_Rec,"&gt;=0")=0,"",SUMIFS(nrES_Rec,nrES_PID,$B35,nrES_Code,U$5,nrES_Final,"Yes")))</f>
        <v/>
      </c>
      <c r="V35" s="17">
        <f>IF(OR($B35="",V$5=""),"",IF(COUNTIFS(nrES_PID,$B35,nrES_Code,V$5,nrES_Final,"Yes",nrES_Rec,"&gt;=0")=0,"",SUMIFS(nrES_Rec,nrES_PID,$B35,nrES_Code,V$5,nrES_Final,"Yes")))</f>
        <v/>
      </c>
      <c r="W35" s="17">
        <f>IF(OR($B35="",W$5=""),"",IF(COUNTIFS(nrES_PID,$B35,nrES_Code,W$5,nrES_Final,"Yes",nrES_Rec,"&gt;=0")=0,"",SUMIFS(nrES_Rec,nrES_PID,$B35,nrES_Code,W$5,nrES_Final,"Yes")))</f>
        <v/>
      </c>
      <c r="X35" s="17">
        <f>IF(OR($B35="",X$5=""),"",IF(COUNTIFS(nrES_PID,$B35,nrES_Code,X$5,nrES_Final,"Yes",nrES_Rec,"&gt;=0")=0,"",SUMIFS(nrES_Rec,nrES_PID,$B35,nrES_Code,X$5,nrES_Final,"Yes")))</f>
        <v/>
      </c>
      <c r="Y35" s="17">
        <f>IF(OR($B35="",Y$5=""),"",IF(COUNTIFS(nrES_PID,$B35,nrES_Code,Y$5,nrES_Final,"Yes",nrES_Rec,"&gt;=0")=0,"",SUMIFS(nrES_Rec,nrES_PID,$B35,nrES_Code,Y$5,nrES_Final,"Yes")))</f>
        <v/>
      </c>
      <c r="Z35" s="17">
        <f>IF(OR($B35="",Z$5=""),"",IF(COUNTIFS(nrES_PID,$B35,nrES_Code,Z$5,nrES_Final,"Yes",nrES_Rec,"&gt;=0")=0,"",SUMIFS(nrES_Rec,nrES_PID,$B35,nrES_Code,Z$5,nrES_Final,"Yes")))</f>
        <v/>
      </c>
      <c r="AA35" s="17">
        <f>IF(OR($B35="",AA$5=""),"",IF(COUNTIFS(nrES_PID,$B35,nrES_Code,AA$5,nrES_Final,"Yes",nrES_Rec,"&gt;=0")=0,"",SUMIFS(nrES_Rec,nrES_PID,$B35,nrES_Code,AA$5,nrES_Final,"Yes")))</f>
        <v/>
      </c>
      <c r="AB35" s="17">
        <f>IF(OR($B35="",AB$5=""),"",IF(COUNTIFS(nrES_PID,$B35,nrES_Code,AB$5,nrES_Final,"Yes",nrES_Rec,"&gt;=0")=0,"",SUMIFS(nrES_Rec,nrES_PID,$B35,nrES_Code,AB$5,nrES_Final,"Yes")))</f>
        <v/>
      </c>
      <c r="AC35" s="17">
        <f>IF($B35="","",sysGrades!$M35)</f>
        <v/>
      </c>
      <c r="AD35" s="17">
        <f>IF($B35="","",IFERROR(sysGrades!$U35,""))</f>
        <v/>
      </c>
      <c r="AE35" s="17">
        <f>IF(Cadets!$B35="","",Cadets!$I35)</f>
        <v/>
      </c>
    </row>
    <row r="36">
      <c r="B36" s="17">
        <f>IF(Cadets!$B36="","",Cadets!$B36)</f>
        <v/>
      </c>
      <c r="C36" s="17">
        <f>IF($B36="","",Cadets!$F36)</f>
        <v/>
      </c>
      <c r="D36" s="17">
        <f>IF(OR($B36="",D$5=""),"",IF(COUNTIFS(nrES_PID,$B36,nrES_Code,D$5,nrES_Final,"Yes",nrES_Rec,"&gt;=0")=0,"",SUMIFS(nrES_Rec,nrES_PID,$B36,nrES_Code,D$5,nrES_Final,"Yes")))</f>
        <v/>
      </c>
      <c r="E36" s="17">
        <f>IF(OR($B36="",E$5=""),"",IF(COUNTIFS(nrES_PID,$B36,nrES_Code,E$5,nrES_Final,"Yes",nrES_Rec,"&gt;=0")=0,"",SUMIFS(nrES_Rec,nrES_PID,$B36,nrES_Code,E$5,nrES_Final,"Yes")))</f>
        <v/>
      </c>
      <c r="F36" s="17">
        <f>IF(OR($B36="",F$5=""),"",IF(COUNTIFS(nrES_PID,$B36,nrES_Code,F$5,nrES_Final,"Yes",nrES_Rec,"&gt;=0")=0,"",SUMIFS(nrES_Rec,nrES_PID,$B36,nrES_Code,F$5,nrES_Final,"Yes")))</f>
        <v/>
      </c>
      <c r="G36" s="17">
        <f>IF(OR($B36="",G$5=""),"",IF(COUNTIFS(nrES_PID,$B36,nrES_Code,G$5,nrES_Final,"Yes",nrES_Rec,"&gt;=0")=0,"",SUMIFS(nrES_Rec,nrES_PID,$B36,nrES_Code,G$5,nrES_Final,"Yes")))</f>
        <v/>
      </c>
      <c r="H36" s="17">
        <f>IF(OR($B36="",H$5=""),"",IF(COUNTIFS(nrES_PID,$B36,nrES_Code,H$5,nrES_Final,"Yes",nrES_Rec,"&gt;=0")=0,"",SUMIFS(nrES_Rec,nrES_PID,$B36,nrES_Code,H$5,nrES_Final,"Yes")))</f>
        <v/>
      </c>
      <c r="I36" s="17">
        <f>IF(OR($B36="",I$5=""),"",IF(COUNTIFS(nrES_PID,$B36,nrES_Code,I$5,nrES_Final,"Yes",nrES_Rec,"&gt;=0")=0,"",SUMIFS(nrES_Rec,nrES_PID,$B36,nrES_Code,I$5,nrES_Final,"Yes")))</f>
        <v/>
      </c>
      <c r="J36" s="17">
        <f>IF(OR($B36="",J$5=""),"",IF(COUNTIFS(nrES_PID,$B36,nrES_Code,J$5,nrES_Final,"Yes",nrES_Rec,"&gt;=0")=0,"",SUMIFS(nrES_Rec,nrES_PID,$B36,nrES_Code,J$5,nrES_Final,"Yes")))</f>
        <v/>
      </c>
      <c r="K36" s="17">
        <f>IF(OR($B36="",K$5=""),"",IF(COUNTIFS(nrES_PID,$B36,nrES_Code,K$5,nrES_Final,"Yes",nrES_Rec,"&gt;=0")=0,"",SUMIFS(nrES_Rec,nrES_PID,$B36,nrES_Code,K$5,nrES_Final,"Yes")))</f>
        <v/>
      </c>
      <c r="L36" s="17">
        <f>IF(OR($B36="",L$5=""),"",IF(COUNTIFS(nrES_PID,$B36,nrES_Code,L$5,nrES_Final,"Yes",nrES_Rec,"&gt;=0")=0,"",SUMIFS(nrES_Rec,nrES_PID,$B36,nrES_Code,L$5,nrES_Final,"Yes")))</f>
        <v/>
      </c>
      <c r="M36" s="17">
        <f>IF(OR($B36="",M$5=""),"",IF(COUNTIFS(nrES_PID,$B36,nrES_Code,M$5,nrES_Final,"Yes",nrES_Rec,"&gt;=0")=0,"",SUMIFS(nrES_Rec,nrES_PID,$B36,nrES_Code,M$5,nrES_Final,"Yes")))</f>
        <v/>
      </c>
      <c r="N36" s="17">
        <f>IF(OR($B36="",N$5=""),"",IF(COUNTIFS(nrES_PID,$B36,nrES_Code,N$5,nrES_Final,"Yes",nrES_Rec,"&gt;=0")=0,"",SUMIFS(nrES_Rec,nrES_PID,$B36,nrES_Code,N$5,nrES_Final,"Yes")))</f>
        <v/>
      </c>
      <c r="O36" s="17">
        <f>IF(OR($B36="",O$5=""),"",IF(COUNTIFS(nrES_PID,$B36,nrES_Code,O$5,nrES_Final,"Yes",nrES_Rec,"&gt;=0")=0,"",SUMIFS(nrES_Rec,nrES_PID,$B36,nrES_Code,O$5,nrES_Final,"Yes")))</f>
        <v/>
      </c>
      <c r="P36" s="17">
        <f>IF(OR($B36="",P$5=""),"",IF(COUNTIFS(nrES_PID,$B36,nrES_Code,P$5,nrES_Final,"Yes",nrES_Rec,"&gt;=0")=0,"",SUMIFS(nrES_Rec,nrES_PID,$B36,nrES_Code,P$5,nrES_Final,"Yes")))</f>
        <v/>
      </c>
      <c r="Q36" s="17">
        <f>IF(OR($B36="",Q$5=""),"",IF(COUNTIFS(nrES_PID,$B36,nrES_Code,Q$5,nrES_Final,"Yes",nrES_Rec,"&gt;=0")=0,"",SUMIFS(nrES_Rec,nrES_PID,$B36,nrES_Code,Q$5,nrES_Final,"Yes")))</f>
        <v/>
      </c>
      <c r="R36" s="17">
        <f>IF(OR($B36="",R$5=""),"",IF(COUNTIFS(nrES_PID,$B36,nrES_Code,R$5,nrES_Final,"Yes",nrES_Rec,"&gt;=0")=0,"",SUMIFS(nrES_Rec,nrES_PID,$B36,nrES_Code,R$5,nrES_Final,"Yes")))</f>
        <v/>
      </c>
      <c r="S36" s="17">
        <f>IF(OR($B36="",S$5=""),"",IF(COUNTIFS(nrES_PID,$B36,nrES_Code,S$5,nrES_Final,"Yes",nrES_Rec,"&gt;=0")=0,"",SUMIFS(nrES_Rec,nrES_PID,$B36,nrES_Code,S$5,nrES_Final,"Yes")))</f>
        <v/>
      </c>
      <c r="T36" s="17">
        <f>IF(OR($B36="",T$5=""),"",IF(COUNTIFS(nrES_PID,$B36,nrES_Code,T$5,nrES_Final,"Yes",nrES_Rec,"&gt;=0")=0,"",SUMIFS(nrES_Rec,nrES_PID,$B36,nrES_Code,T$5,nrES_Final,"Yes")))</f>
        <v/>
      </c>
      <c r="U36" s="17">
        <f>IF(OR($B36="",U$5=""),"",IF(COUNTIFS(nrES_PID,$B36,nrES_Code,U$5,nrES_Final,"Yes",nrES_Rec,"&gt;=0")=0,"",SUMIFS(nrES_Rec,nrES_PID,$B36,nrES_Code,U$5,nrES_Final,"Yes")))</f>
        <v/>
      </c>
      <c r="V36" s="17">
        <f>IF(OR($B36="",V$5=""),"",IF(COUNTIFS(nrES_PID,$B36,nrES_Code,V$5,nrES_Final,"Yes",nrES_Rec,"&gt;=0")=0,"",SUMIFS(nrES_Rec,nrES_PID,$B36,nrES_Code,V$5,nrES_Final,"Yes")))</f>
        <v/>
      </c>
      <c r="W36" s="17">
        <f>IF(OR($B36="",W$5=""),"",IF(COUNTIFS(nrES_PID,$B36,nrES_Code,W$5,nrES_Final,"Yes",nrES_Rec,"&gt;=0")=0,"",SUMIFS(nrES_Rec,nrES_PID,$B36,nrES_Code,W$5,nrES_Final,"Yes")))</f>
        <v/>
      </c>
      <c r="X36" s="17">
        <f>IF(OR($B36="",X$5=""),"",IF(COUNTIFS(nrES_PID,$B36,nrES_Code,X$5,nrES_Final,"Yes",nrES_Rec,"&gt;=0")=0,"",SUMIFS(nrES_Rec,nrES_PID,$B36,nrES_Code,X$5,nrES_Final,"Yes")))</f>
        <v/>
      </c>
      <c r="Y36" s="17">
        <f>IF(OR($B36="",Y$5=""),"",IF(COUNTIFS(nrES_PID,$B36,nrES_Code,Y$5,nrES_Final,"Yes",nrES_Rec,"&gt;=0")=0,"",SUMIFS(nrES_Rec,nrES_PID,$B36,nrES_Code,Y$5,nrES_Final,"Yes")))</f>
        <v/>
      </c>
      <c r="Z36" s="17">
        <f>IF(OR($B36="",Z$5=""),"",IF(COUNTIFS(nrES_PID,$B36,nrES_Code,Z$5,nrES_Final,"Yes",nrES_Rec,"&gt;=0")=0,"",SUMIFS(nrES_Rec,nrES_PID,$B36,nrES_Code,Z$5,nrES_Final,"Yes")))</f>
        <v/>
      </c>
      <c r="AA36" s="17">
        <f>IF(OR($B36="",AA$5=""),"",IF(COUNTIFS(nrES_PID,$B36,nrES_Code,AA$5,nrES_Final,"Yes",nrES_Rec,"&gt;=0")=0,"",SUMIFS(nrES_Rec,nrES_PID,$B36,nrES_Code,AA$5,nrES_Final,"Yes")))</f>
        <v/>
      </c>
      <c r="AB36" s="17">
        <f>IF(OR($B36="",AB$5=""),"",IF(COUNTIFS(nrES_PID,$B36,nrES_Code,AB$5,nrES_Final,"Yes",nrES_Rec,"&gt;=0")=0,"",SUMIFS(nrES_Rec,nrES_PID,$B36,nrES_Code,AB$5,nrES_Final,"Yes")))</f>
        <v/>
      </c>
      <c r="AC36" s="17">
        <f>IF($B36="","",sysGrades!$M36)</f>
        <v/>
      </c>
      <c r="AD36" s="17">
        <f>IF($B36="","",IFERROR(sysGrades!$U36,""))</f>
        <v/>
      </c>
      <c r="AE36" s="17">
        <f>IF(Cadets!$B36="","",Cadets!$I36)</f>
        <v/>
      </c>
    </row>
    <row r="37">
      <c r="B37" s="17">
        <f>IF(Cadets!$B37="","",Cadets!$B37)</f>
        <v/>
      </c>
      <c r="C37" s="17">
        <f>IF($B37="","",Cadets!$F37)</f>
        <v/>
      </c>
      <c r="D37" s="17">
        <f>IF(OR($B37="",D$5=""),"",IF(COUNTIFS(nrES_PID,$B37,nrES_Code,D$5,nrES_Final,"Yes",nrES_Rec,"&gt;=0")=0,"",SUMIFS(nrES_Rec,nrES_PID,$B37,nrES_Code,D$5,nrES_Final,"Yes")))</f>
        <v/>
      </c>
      <c r="E37" s="17">
        <f>IF(OR($B37="",E$5=""),"",IF(COUNTIFS(nrES_PID,$B37,nrES_Code,E$5,nrES_Final,"Yes",nrES_Rec,"&gt;=0")=0,"",SUMIFS(nrES_Rec,nrES_PID,$B37,nrES_Code,E$5,nrES_Final,"Yes")))</f>
        <v/>
      </c>
      <c r="F37" s="17">
        <f>IF(OR($B37="",F$5=""),"",IF(COUNTIFS(nrES_PID,$B37,nrES_Code,F$5,nrES_Final,"Yes",nrES_Rec,"&gt;=0")=0,"",SUMIFS(nrES_Rec,nrES_PID,$B37,nrES_Code,F$5,nrES_Final,"Yes")))</f>
        <v/>
      </c>
      <c r="G37" s="17">
        <f>IF(OR($B37="",G$5=""),"",IF(COUNTIFS(nrES_PID,$B37,nrES_Code,G$5,nrES_Final,"Yes",nrES_Rec,"&gt;=0")=0,"",SUMIFS(nrES_Rec,nrES_PID,$B37,nrES_Code,G$5,nrES_Final,"Yes")))</f>
        <v/>
      </c>
      <c r="H37" s="17">
        <f>IF(OR($B37="",H$5=""),"",IF(COUNTIFS(nrES_PID,$B37,nrES_Code,H$5,nrES_Final,"Yes",nrES_Rec,"&gt;=0")=0,"",SUMIFS(nrES_Rec,nrES_PID,$B37,nrES_Code,H$5,nrES_Final,"Yes")))</f>
        <v/>
      </c>
      <c r="I37" s="17">
        <f>IF(OR($B37="",I$5=""),"",IF(COUNTIFS(nrES_PID,$B37,nrES_Code,I$5,nrES_Final,"Yes",nrES_Rec,"&gt;=0")=0,"",SUMIFS(nrES_Rec,nrES_PID,$B37,nrES_Code,I$5,nrES_Final,"Yes")))</f>
        <v/>
      </c>
      <c r="J37" s="17">
        <f>IF(OR($B37="",J$5=""),"",IF(COUNTIFS(nrES_PID,$B37,nrES_Code,J$5,nrES_Final,"Yes",nrES_Rec,"&gt;=0")=0,"",SUMIFS(nrES_Rec,nrES_PID,$B37,nrES_Code,J$5,nrES_Final,"Yes")))</f>
        <v/>
      </c>
      <c r="K37" s="17">
        <f>IF(OR($B37="",K$5=""),"",IF(COUNTIFS(nrES_PID,$B37,nrES_Code,K$5,nrES_Final,"Yes",nrES_Rec,"&gt;=0")=0,"",SUMIFS(nrES_Rec,nrES_PID,$B37,nrES_Code,K$5,nrES_Final,"Yes")))</f>
        <v/>
      </c>
      <c r="L37" s="17">
        <f>IF(OR($B37="",L$5=""),"",IF(COUNTIFS(nrES_PID,$B37,nrES_Code,L$5,nrES_Final,"Yes",nrES_Rec,"&gt;=0")=0,"",SUMIFS(nrES_Rec,nrES_PID,$B37,nrES_Code,L$5,nrES_Final,"Yes")))</f>
        <v/>
      </c>
      <c r="M37" s="17">
        <f>IF(OR($B37="",M$5=""),"",IF(COUNTIFS(nrES_PID,$B37,nrES_Code,M$5,nrES_Final,"Yes",nrES_Rec,"&gt;=0")=0,"",SUMIFS(nrES_Rec,nrES_PID,$B37,nrES_Code,M$5,nrES_Final,"Yes")))</f>
        <v/>
      </c>
      <c r="N37" s="17">
        <f>IF(OR($B37="",N$5=""),"",IF(COUNTIFS(nrES_PID,$B37,nrES_Code,N$5,nrES_Final,"Yes",nrES_Rec,"&gt;=0")=0,"",SUMIFS(nrES_Rec,nrES_PID,$B37,nrES_Code,N$5,nrES_Final,"Yes")))</f>
        <v/>
      </c>
      <c r="O37" s="17">
        <f>IF(OR($B37="",O$5=""),"",IF(COUNTIFS(nrES_PID,$B37,nrES_Code,O$5,nrES_Final,"Yes",nrES_Rec,"&gt;=0")=0,"",SUMIFS(nrES_Rec,nrES_PID,$B37,nrES_Code,O$5,nrES_Final,"Yes")))</f>
        <v/>
      </c>
      <c r="P37" s="17">
        <f>IF(OR($B37="",P$5=""),"",IF(COUNTIFS(nrES_PID,$B37,nrES_Code,P$5,nrES_Final,"Yes",nrES_Rec,"&gt;=0")=0,"",SUMIFS(nrES_Rec,nrES_PID,$B37,nrES_Code,P$5,nrES_Final,"Yes")))</f>
        <v/>
      </c>
      <c r="Q37" s="17">
        <f>IF(OR($B37="",Q$5=""),"",IF(COUNTIFS(nrES_PID,$B37,nrES_Code,Q$5,nrES_Final,"Yes",nrES_Rec,"&gt;=0")=0,"",SUMIFS(nrES_Rec,nrES_PID,$B37,nrES_Code,Q$5,nrES_Final,"Yes")))</f>
        <v/>
      </c>
      <c r="R37" s="17">
        <f>IF(OR($B37="",R$5=""),"",IF(COUNTIFS(nrES_PID,$B37,nrES_Code,R$5,nrES_Final,"Yes",nrES_Rec,"&gt;=0")=0,"",SUMIFS(nrES_Rec,nrES_PID,$B37,nrES_Code,R$5,nrES_Final,"Yes")))</f>
        <v/>
      </c>
      <c r="S37" s="17">
        <f>IF(OR($B37="",S$5=""),"",IF(COUNTIFS(nrES_PID,$B37,nrES_Code,S$5,nrES_Final,"Yes",nrES_Rec,"&gt;=0")=0,"",SUMIFS(nrES_Rec,nrES_PID,$B37,nrES_Code,S$5,nrES_Final,"Yes")))</f>
        <v/>
      </c>
      <c r="T37" s="17">
        <f>IF(OR($B37="",T$5=""),"",IF(COUNTIFS(nrES_PID,$B37,nrES_Code,T$5,nrES_Final,"Yes",nrES_Rec,"&gt;=0")=0,"",SUMIFS(nrES_Rec,nrES_PID,$B37,nrES_Code,T$5,nrES_Final,"Yes")))</f>
        <v/>
      </c>
      <c r="U37" s="17">
        <f>IF(OR($B37="",U$5=""),"",IF(COUNTIFS(nrES_PID,$B37,nrES_Code,U$5,nrES_Final,"Yes",nrES_Rec,"&gt;=0")=0,"",SUMIFS(nrES_Rec,nrES_PID,$B37,nrES_Code,U$5,nrES_Final,"Yes")))</f>
        <v/>
      </c>
      <c r="V37" s="17">
        <f>IF(OR($B37="",V$5=""),"",IF(COUNTIFS(nrES_PID,$B37,nrES_Code,V$5,nrES_Final,"Yes",nrES_Rec,"&gt;=0")=0,"",SUMIFS(nrES_Rec,nrES_PID,$B37,nrES_Code,V$5,nrES_Final,"Yes")))</f>
        <v/>
      </c>
      <c r="W37" s="17">
        <f>IF(OR($B37="",W$5=""),"",IF(COUNTIFS(nrES_PID,$B37,nrES_Code,W$5,nrES_Final,"Yes",nrES_Rec,"&gt;=0")=0,"",SUMIFS(nrES_Rec,nrES_PID,$B37,nrES_Code,W$5,nrES_Final,"Yes")))</f>
        <v/>
      </c>
      <c r="X37" s="17">
        <f>IF(OR($B37="",X$5=""),"",IF(COUNTIFS(nrES_PID,$B37,nrES_Code,X$5,nrES_Final,"Yes",nrES_Rec,"&gt;=0")=0,"",SUMIFS(nrES_Rec,nrES_PID,$B37,nrES_Code,X$5,nrES_Final,"Yes")))</f>
        <v/>
      </c>
      <c r="Y37" s="17">
        <f>IF(OR($B37="",Y$5=""),"",IF(COUNTIFS(nrES_PID,$B37,nrES_Code,Y$5,nrES_Final,"Yes",nrES_Rec,"&gt;=0")=0,"",SUMIFS(nrES_Rec,nrES_PID,$B37,nrES_Code,Y$5,nrES_Final,"Yes")))</f>
        <v/>
      </c>
      <c r="Z37" s="17">
        <f>IF(OR($B37="",Z$5=""),"",IF(COUNTIFS(nrES_PID,$B37,nrES_Code,Z$5,nrES_Final,"Yes",nrES_Rec,"&gt;=0")=0,"",SUMIFS(nrES_Rec,nrES_PID,$B37,nrES_Code,Z$5,nrES_Final,"Yes")))</f>
        <v/>
      </c>
      <c r="AA37" s="17">
        <f>IF(OR($B37="",AA$5=""),"",IF(COUNTIFS(nrES_PID,$B37,nrES_Code,AA$5,nrES_Final,"Yes",nrES_Rec,"&gt;=0")=0,"",SUMIFS(nrES_Rec,nrES_PID,$B37,nrES_Code,AA$5,nrES_Final,"Yes")))</f>
        <v/>
      </c>
      <c r="AB37" s="17">
        <f>IF(OR($B37="",AB$5=""),"",IF(COUNTIFS(nrES_PID,$B37,nrES_Code,AB$5,nrES_Final,"Yes",nrES_Rec,"&gt;=0")=0,"",SUMIFS(nrES_Rec,nrES_PID,$B37,nrES_Code,AB$5,nrES_Final,"Yes")))</f>
        <v/>
      </c>
      <c r="AC37" s="17">
        <f>IF($B37="","",sysGrades!$M37)</f>
        <v/>
      </c>
      <c r="AD37" s="17">
        <f>IF($B37="","",IFERROR(sysGrades!$U37,""))</f>
        <v/>
      </c>
      <c r="AE37" s="17">
        <f>IF(Cadets!$B37="","",Cadets!$I37)</f>
        <v/>
      </c>
    </row>
    <row r="38">
      <c r="B38" s="17">
        <f>IF(Cadets!$B38="","",Cadets!$B38)</f>
        <v/>
      </c>
      <c r="C38" s="17">
        <f>IF($B38="","",Cadets!$F38)</f>
        <v/>
      </c>
      <c r="D38" s="17">
        <f>IF(OR($B38="",D$5=""),"",IF(COUNTIFS(nrES_PID,$B38,nrES_Code,D$5,nrES_Final,"Yes",nrES_Rec,"&gt;=0")=0,"",SUMIFS(nrES_Rec,nrES_PID,$B38,nrES_Code,D$5,nrES_Final,"Yes")))</f>
        <v/>
      </c>
      <c r="E38" s="17">
        <f>IF(OR($B38="",E$5=""),"",IF(COUNTIFS(nrES_PID,$B38,nrES_Code,E$5,nrES_Final,"Yes",nrES_Rec,"&gt;=0")=0,"",SUMIFS(nrES_Rec,nrES_PID,$B38,nrES_Code,E$5,nrES_Final,"Yes")))</f>
        <v/>
      </c>
      <c r="F38" s="17">
        <f>IF(OR($B38="",F$5=""),"",IF(COUNTIFS(nrES_PID,$B38,nrES_Code,F$5,nrES_Final,"Yes",nrES_Rec,"&gt;=0")=0,"",SUMIFS(nrES_Rec,nrES_PID,$B38,nrES_Code,F$5,nrES_Final,"Yes")))</f>
        <v/>
      </c>
      <c r="G38" s="17">
        <f>IF(OR($B38="",G$5=""),"",IF(COUNTIFS(nrES_PID,$B38,nrES_Code,G$5,nrES_Final,"Yes",nrES_Rec,"&gt;=0")=0,"",SUMIFS(nrES_Rec,nrES_PID,$B38,nrES_Code,G$5,nrES_Final,"Yes")))</f>
        <v/>
      </c>
      <c r="H38" s="17">
        <f>IF(OR($B38="",H$5=""),"",IF(COUNTIFS(nrES_PID,$B38,nrES_Code,H$5,nrES_Final,"Yes",nrES_Rec,"&gt;=0")=0,"",SUMIFS(nrES_Rec,nrES_PID,$B38,nrES_Code,H$5,nrES_Final,"Yes")))</f>
        <v/>
      </c>
      <c r="I38" s="17">
        <f>IF(OR($B38="",I$5=""),"",IF(COUNTIFS(nrES_PID,$B38,nrES_Code,I$5,nrES_Final,"Yes",nrES_Rec,"&gt;=0")=0,"",SUMIFS(nrES_Rec,nrES_PID,$B38,nrES_Code,I$5,nrES_Final,"Yes")))</f>
        <v/>
      </c>
      <c r="J38" s="17">
        <f>IF(OR($B38="",J$5=""),"",IF(COUNTIFS(nrES_PID,$B38,nrES_Code,J$5,nrES_Final,"Yes",nrES_Rec,"&gt;=0")=0,"",SUMIFS(nrES_Rec,nrES_PID,$B38,nrES_Code,J$5,nrES_Final,"Yes")))</f>
        <v/>
      </c>
      <c r="K38" s="17">
        <f>IF(OR($B38="",K$5=""),"",IF(COUNTIFS(nrES_PID,$B38,nrES_Code,K$5,nrES_Final,"Yes",nrES_Rec,"&gt;=0")=0,"",SUMIFS(nrES_Rec,nrES_PID,$B38,nrES_Code,K$5,nrES_Final,"Yes")))</f>
        <v/>
      </c>
      <c r="L38" s="17">
        <f>IF(OR($B38="",L$5=""),"",IF(COUNTIFS(nrES_PID,$B38,nrES_Code,L$5,nrES_Final,"Yes",nrES_Rec,"&gt;=0")=0,"",SUMIFS(nrES_Rec,nrES_PID,$B38,nrES_Code,L$5,nrES_Final,"Yes")))</f>
        <v/>
      </c>
      <c r="M38" s="17">
        <f>IF(OR($B38="",M$5=""),"",IF(COUNTIFS(nrES_PID,$B38,nrES_Code,M$5,nrES_Final,"Yes",nrES_Rec,"&gt;=0")=0,"",SUMIFS(nrES_Rec,nrES_PID,$B38,nrES_Code,M$5,nrES_Final,"Yes")))</f>
        <v/>
      </c>
      <c r="N38" s="17">
        <f>IF(OR($B38="",N$5=""),"",IF(COUNTIFS(nrES_PID,$B38,nrES_Code,N$5,nrES_Final,"Yes",nrES_Rec,"&gt;=0")=0,"",SUMIFS(nrES_Rec,nrES_PID,$B38,nrES_Code,N$5,nrES_Final,"Yes")))</f>
        <v/>
      </c>
      <c r="O38" s="17">
        <f>IF(OR($B38="",O$5=""),"",IF(COUNTIFS(nrES_PID,$B38,nrES_Code,O$5,nrES_Final,"Yes",nrES_Rec,"&gt;=0")=0,"",SUMIFS(nrES_Rec,nrES_PID,$B38,nrES_Code,O$5,nrES_Final,"Yes")))</f>
        <v/>
      </c>
      <c r="P38" s="17">
        <f>IF(OR($B38="",P$5=""),"",IF(COUNTIFS(nrES_PID,$B38,nrES_Code,P$5,nrES_Final,"Yes",nrES_Rec,"&gt;=0")=0,"",SUMIFS(nrES_Rec,nrES_PID,$B38,nrES_Code,P$5,nrES_Final,"Yes")))</f>
        <v/>
      </c>
      <c r="Q38" s="17">
        <f>IF(OR($B38="",Q$5=""),"",IF(COUNTIFS(nrES_PID,$B38,nrES_Code,Q$5,nrES_Final,"Yes",nrES_Rec,"&gt;=0")=0,"",SUMIFS(nrES_Rec,nrES_PID,$B38,nrES_Code,Q$5,nrES_Final,"Yes")))</f>
        <v/>
      </c>
      <c r="R38" s="17">
        <f>IF(OR($B38="",R$5=""),"",IF(COUNTIFS(nrES_PID,$B38,nrES_Code,R$5,nrES_Final,"Yes",nrES_Rec,"&gt;=0")=0,"",SUMIFS(nrES_Rec,nrES_PID,$B38,nrES_Code,R$5,nrES_Final,"Yes")))</f>
        <v/>
      </c>
      <c r="S38" s="17">
        <f>IF(OR($B38="",S$5=""),"",IF(COUNTIFS(nrES_PID,$B38,nrES_Code,S$5,nrES_Final,"Yes",nrES_Rec,"&gt;=0")=0,"",SUMIFS(nrES_Rec,nrES_PID,$B38,nrES_Code,S$5,nrES_Final,"Yes")))</f>
        <v/>
      </c>
      <c r="T38" s="17">
        <f>IF(OR($B38="",T$5=""),"",IF(COUNTIFS(nrES_PID,$B38,nrES_Code,T$5,nrES_Final,"Yes",nrES_Rec,"&gt;=0")=0,"",SUMIFS(nrES_Rec,nrES_PID,$B38,nrES_Code,T$5,nrES_Final,"Yes")))</f>
        <v/>
      </c>
      <c r="U38" s="17">
        <f>IF(OR($B38="",U$5=""),"",IF(COUNTIFS(nrES_PID,$B38,nrES_Code,U$5,nrES_Final,"Yes",nrES_Rec,"&gt;=0")=0,"",SUMIFS(nrES_Rec,nrES_PID,$B38,nrES_Code,U$5,nrES_Final,"Yes")))</f>
        <v/>
      </c>
      <c r="V38" s="17">
        <f>IF(OR($B38="",V$5=""),"",IF(COUNTIFS(nrES_PID,$B38,nrES_Code,V$5,nrES_Final,"Yes",nrES_Rec,"&gt;=0")=0,"",SUMIFS(nrES_Rec,nrES_PID,$B38,nrES_Code,V$5,nrES_Final,"Yes")))</f>
        <v/>
      </c>
      <c r="W38" s="17">
        <f>IF(OR($B38="",W$5=""),"",IF(COUNTIFS(nrES_PID,$B38,nrES_Code,W$5,nrES_Final,"Yes",nrES_Rec,"&gt;=0")=0,"",SUMIFS(nrES_Rec,nrES_PID,$B38,nrES_Code,W$5,nrES_Final,"Yes")))</f>
        <v/>
      </c>
      <c r="X38" s="17">
        <f>IF(OR($B38="",X$5=""),"",IF(COUNTIFS(nrES_PID,$B38,nrES_Code,X$5,nrES_Final,"Yes",nrES_Rec,"&gt;=0")=0,"",SUMIFS(nrES_Rec,nrES_PID,$B38,nrES_Code,X$5,nrES_Final,"Yes")))</f>
        <v/>
      </c>
      <c r="Y38" s="17">
        <f>IF(OR($B38="",Y$5=""),"",IF(COUNTIFS(nrES_PID,$B38,nrES_Code,Y$5,nrES_Final,"Yes",nrES_Rec,"&gt;=0")=0,"",SUMIFS(nrES_Rec,nrES_PID,$B38,nrES_Code,Y$5,nrES_Final,"Yes")))</f>
        <v/>
      </c>
      <c r="Z38" s="17">
        <f>IF(OR($B38="",Z$5=""),"",IF(COUNTIFS(nrES_PID,$B38,nrES_Code,Z$5,nrES_Final,"Yes",nrES_Rec,"&gt;=0")=0,"",SUMIFS(nrES_Rec,nrES_PID,$B38,nrES_Code,Z$5,nrES_Final,"Yes")))</f>
        <v/>
      </c>
      <c r="AA38" s="17">
        <f>IF(OR($B38="",AA$5=""),"",IF(COUNTIFS(nrES_PID,$B38,nrES_Code,AA$5,nrES_Final,"Yes",nrES_Rec,"&gt;=0")=0,"",SUMIFS(nrES_Rec,nrES_PID,$B38,nrES_Code,AA$5,nrES_Final,"Yes")))</f>
        <v/>
      </c>
      <c r="AB38" s="17">
        <f>IF(OR($B38="",AB$5=""),"",IF(COUNTIFS(nrES_PID,$B38,nrES_Code,AB$5,nrES_Final,"Yes",nrES_Rec,"&gt;=0")=0,"",SUMIFS(nrES_Rec,nrES_PID,$B38,nrES_Code,AB$5,nrES_Final,"Yes")))</f>
        <v/>
      </c>
      <c r="AC38" s="17">
        <f>IF($B38="","",sysGrades!$M38)</f>
        <v/>
      </c>
      <c r="AD38" s="17">
        <f>IF($B38="","",IFERROR(sysGrades!$U38,""))</f>
        <v/>
      </c>
      <c r="AE38" s="17">
        <f>IF(Cadets!$B38="","",Cadets!$I38)</f>
        <v/>
      </c>
    </row>
    <row r="39">
      <c r="B39" s="17">
        <f>IF(Cadets!$B39="","",Cadets!$B39)</f>
        <v/>
      </c>
      <c r="C39" s="17">
        <f>IF($B39="","",Cadets!$F39)</f>
        <v/>
      </c>
      <c r="D39" s="17">
        <f>IF(OR($B39="",D$5=""),"",IF(COUNTIFS(nrES_PID,$B39,nrES_Code,D$5,nrES_Final,"Yes",nrES_Rec,"&gt;=0")=0,"",SUMIFS(nrES_Rec,nrES_PID,$B39,nrES_Code,D$5,nrES_Final,"Yes")))</f>
        <v/>
      </c>
      <c r="E39" s="17">
        <f>IF(OR($B39="",E$5=""),"",IF(COUNTIFS(nrES_PID,$B39,nrES_Code,E$5,nrES_Final,"Yes",nrES_Rec,"&gt;=0")=0,"",SUMIFS(nrES_Rec,nrES_PID,$B39,nrES_Code,E$5,nrES_Final,"Yes")))</f>
        <v/>
      </c>
      <c r="F39" s="17">
        <f>IF(OR($B39="",F$5=""),"",IF(COUNTIFS(nrES_PID,$B39,nrES_Code,F$5,nrES_Final,"Yes",nrES_Rec,"&gt;=0")=0,"",SUMIFS(nrES_Rec,nrES_PID,$B39,nrES_Code,F$5,nrES_Final,"Yes")))</f>
        <v/>
      </c>
      <c r="G39" s="17">
        <f>IF(OR($B39="",G$5=""),"",IF(COUNTIFS(nrES_PID,$B39,nrES_Code,G$5,nrES_Final,"Yes",nrES_Rec,"&gt;=0")=0,"",SUMIFS(nrES_Rec,nrES_PID,$B39,nrES_Code,G$5,nrES_Final,"Yes")))</f>
        <v/>
      </c>
      <c r="H39" s="17">
        <f>IF(OR($B39="",H$5=""),"",IF(COUNTIFS(nrES_PID,$B39,nrES_Code,H$5,nrES_Final,"Yes",nrES_Rec,"&gt;=0")=0,"",SUMIFS(nrES_Rec,nrES_PID,$B39,nrES_Code,H$5,nrES_Final,"Yes")))</f>
        <v/>
      </c>
      <c r="I39" s="17">
        <f>IF(OR($B39="",I$5=""),"",IF(COUNTIFS(nrES_PID,$B39,nrES_Code,I$5,nrES_Final,"Yes",nrES_Rec,"&gt;=0")=0,"",SUMIFS(nrES_Rec,nrES_PID,$B39,nrES_Code,I$5,nrES_Final,"Yes")))</f>
        <v/>
      </c>
      <c r="J39" s="17">
        <f>IF(OR($B39="",J$5=""),"",IF(COUNTIFS(nrES_PID,$B39,nrES_Code,J$5,nrES_Final,"Yes",nrES_Rec,"&gt;=0")=0,"",SUMIFS(nrES_Rec,nrES_PID,$B39,nrES_Code,J$5,nrES_Final,"Yes")))</f>
        <v/>
      </c>
      <c r="K39" s="17">
        <f>IF(OR($B39="",K$5=""),"",IF(COUNTIFS(nrES_PID,$B39,nrES_Code,K$5,nrES_Final,"Yes",nrES_Rec,"&gt;=0")=0,"",SUMIFS(nrES_Rec,nrES_PID,$B39,nrES_Code,K$5,nrES_Final,"Yes")))</f>
        <v/>
      </c>
      <c r="L39" s="17">
        <f>IF(OR($B39="",L$5=""),"",IF(COUNTIFS(nrES_PID,$B39,nrES_Code,L$5,nrES_Final,"Yes",nrES_Rec,"&gt;=0")=0,"",SUMIFS(nrES_Rec,nrES_PID,$B39,nrES_Code,L$5,nrES_Final,"Yes")))</f>
        <v/>
      </c>
      <c r="M39" s="17">
        <f>IF(OR($B39="",M$5=""),"",IF(COUNTIFS(nrES_PID,$B39,nrES_Code,M$5,nrES_Final,"Yes",nrES_Rec,"&gt;=0")=0,"",SUMIFS(nrES_Rec,nrES_PID,$B39,nrES_Code,M$5,nrES_Final,"Yes")))</f>
        <v/>
      </c>
      <c r="N39" s="17">
        <f>IF(OR($B39="",N$5=""),"",IF(COUNTIFS(nrES_PID,$B39,nrES_Code,N$5,nrES_Final,"Yes",nrES_Rec,"&gt;=0")=0,"",SUMIFS(nrES_Rec,nrES_PID,$B39,nrES_Code,N$5,nrES_Final,"Yes")))</f>
        <v/>
      </c>
      <c r="O39" s="17">
        <f>IF(OR($B39="",O$5=""),"",IF(COUNTIFS(nrES_PID,$B39,nrES_Code,O$5,nrES_Final,"Yes",nrES_Rec,"&gt;=0")=0,"",SUMIFS(nrES_Rec,nrES_PID,$B39,nrES_Code,O$5,nrES_Final,"Yes")))</f>
        <v/>
      </c>
      <c r="P39" s="17">
        <f>IF(OR($B39="",P$5=""),"",IF(COUNTIFS(nrES_PID,$B39,nrES_Code,P$5,nrES_Final,"Yes",nrES_Rec,"&gt;=0")=0,"",SUMIFS(nrES_Rec,nrES_PID,$B39,nrES_Code,P$5,nrES_Final,"Yes")))</f>
        <v/>
      </c>
      <c r="Q39" s="17">
        <f>IF(OR($B39="",Q$5=""),"",IF(COUNTIFS(nrES_PID,$B39,nrES_Code,Q$5,nrES_Final,"Yes",nrES_Rec,"&gt;=0")=0,"",SUMIFS(nrES_Rec,nrES_PID,$B39,nrES_Code,Q$5,nrES_Final,"Yes")))</f>
        <v/>
      </c>
      <c r="R39" s="17">
        <f>IF(OR($B39="",R$5=""),"",IF(COUNTIFS(nrES_PID,$B39,nrES_Code,R$5,nrES_Final,"Yes",nrES_Rec,"&gt;=0")=0,"",SUMIFS(nrES_Rec,nrES_PID,$B39,nrES_Code,R$5,nrES_Final,"Yes")))</f>
        <v/>
      </c>
      <c r="S39" s="17">
        <f>IF(OR($B39="",S$5=""),"",IF(COUNTIFS(nrES_PID,$B39,nrES_Code,S$5,nrES_Final,"Yes",nrES_Rec,"&gt;=0")=0,"",SUMIFS(nrES_Rec,nrES_PID,$B39,nrES_Code,S$5,nrES_Final,"Yes")))</f>
        <v/>
      </c>
      <c r="T39" s="17">
        <f>IF(OR($B39="",T$5=""),"",IF(COUNTIFS(nrES_PID,$B39,nrES_Code,T$5,nrES_Final,"Yes",nrES_Rec,"&gt;=0")=0,"",SUMIFS(nrES_Rec,nrES_PID,$B39,nrES_Code,T$5,nrES_Final,"Yes")))</f>
        <v/>
      </c>
      <c r="U39" s="17">
        <f>IF(OR($B39="",U$5=""),"",IF(COUNTIFS(nrES_PID,$B39,nrES_Code,U$5,nrES_Final,"Yes",nrES_Rec,"&gt;=0")=0,"",SUMIFS(nrES_Rec,nrES_PID,$B39,nrES_Code,U$5,nrES_Final,"Yes")))</f>
        <v/>
      </c>
      <c r="V39" s="17">
        <f>IF(OR($B39="",V$5=""),"",IF(COUNTIFS(nrES_PID,$B39,nrES_Code,V$5,nrES_Final,"Yes",nrES_Rec,"&gt;=0")=0,"",SUMIFS(nrES_Rec,nrES_PID,$B39,nrES_Code,V$5,nrES_Final,"Yes")))</f>
        <v/>
      </c>
      <c r="W39" s="17">
        <f>IF(OR($B39="",W$5=""),"",IF(COUNTIFS(nrES_PID,$B39,nrES_Code,W$5,nrES_Final,"Yes",nrES_Rec,"&gt;=0")=0,"",SUMIFS(nrES_Rec,nrES_PID,$B39,nrES_Code,W$5,nrES_Final,"Yes")))</f>
        <v/>
      </c>
      <c r="X39" s="17">
        <f>IF(OR($B39="",X$5=""),"",IF(COUNTIFS(nrES_PID,$B39,nrES_Code,X$5,nrES_Final,"Yes",nrES_Rec,"&gt;=0")=0,"",SUMIFS(nrES_Rec,nrES_PID,$B39,nrES_Code,X$5,nrES_Final,"Yes")))</f>
        <v/>
      </c>
      <c r="Y39" s="17">
        <f>IF(OR($B39="",Y$5=""),"",IF(COUNTIFS(nrES_PID,$B39,nrES_Code,Y$5,nrES_Final,"Yes",nrES_Rec,"&gt;=0")=0,"",SUMIFS(nrES_Rec,nrES_PID,$B39,nrES_Code,Y$5,nrES_Final,"Yes")))</f>
        <v/>
      </c>
      <c r="Z39" s="17">
        <f>IF(OR($B39="",Z$5=""),"",IF(COUNTIFS(nrES_PID,$B39,nrES_Code,Z$5,nrES_Final,"Yes",nrES_Rec,"&gt;=0")=0,"",SUMIFS(nrES_Rec,nrES_PID,$B39,nrES_Code,Z$5,nrES_Final,"Yes")))</f>
        <v/>
      </c>
      <c r="AA39" s="17">
        <f>IF(OR($B39="",AA$5=""),"",IF(COUNTIFS(nrES_PID,$B39,nrES_Code,AA$5,nrES_Final,"Yes",nrES_Rec,"&gt;=0")=0,"",SUMIFS(nrES_Rec,nrES_PID,$B39,nrES_Code,AA$5,nrES_Final,"Yes")))</f>
        <v/>
      </c>
      <c r="AB39" s="17">
        <f>IF(OR($B39="",AB$5=""),"",IF(COUNTIFS(nrES_PID,$B39,nrES_Code,AB$5,nrES_Final,"Yes",nrES_Rec,"&gt;=0")=0,"",SUMIFS(nrES_Rec,nrES_PID,$B39,nrES_Code,AB$5,nrES_Final,"Yes")))</f>
        <v/>
      </c>
      <c r="AC39" s="17">
        <f>IF($B39="","",sysGrades!$M39)</f>
        <v/>
      </c>
      <c r="AD39" s="17">
        <f>IF($B39="","",IFERROR(sysGrades!$U39,""))</f>
        <v/>
      </c>
      <c r="AE39" s="17">
        <f>IF(Cadets!$B39="","",Cadets!$I39)</f>
        <v/>
      </c>
    </row>
    <row r="40">
      <c r="B40" s="17">
        <f>IF(Cadets!$B40="","",Cadets!$B40)</f>
        <v/>
      </c>
      <c r="C40" s="17">
        <f>IF($B40="","",Cadets!$F40)</f>
        <v/>
      </c>
      <c r="D40" s="17">
        <f>IF(OR($B40="",D$5=""),"",IF(COUNTIFS(nrES_PID,$B40,nrES_Code,D$5,nrES_Final,"Yes",nrES_Rec,"&gt;=0")=0,"",SUMIFS(nrES_Rec,nrES_PID,$B40,nrES_Code,D$5,nrES_Final,"Yes")))</f>
        <v/>
      </c>
      <c r="E40" s="17">
        <f>IF(OR($B40="",E$5=""),"",IF(COUNTIFS(nrES_PID,$B40,nrES_Code,E$5,nrES_Final,"Yes",nrES_Rec,"&gt;=0")=0,"",SUMIFS(nrES_Rec,nrES_PID,$B40,nrES_Code,E$5,nrES_Final,"Yes")))</f>
        <v/>
      </c>
      <c r="F40" s="17">
        <f>IF(OR($B40="",F$5=""),"",IF(COUNTIFS(nrES_PID,$B40,nrES_Code,F$5,nrES_Final,"Yes",nrES_Rec,"&gt;=0")=0,"",SUMIFS(nrES_Rec,nrES_PID,$B40,nrES_Code,F$5,nrES_Final,"Yes")))</f>
        <v/>
      </c>
      <c r="G40" s="17">
        <f>IF(OR($B40="",G$5=""),"",IF(COUNTIFS(nrES_PID,$B40,nrES_Code,G$5,nrES_Final,"Yes",nrES_Rec,"&gt;=0")=0,"",SUMIFS(nrES_Rec,nrES_PID,$B40,nrES_Code,G$5,nrES_Final,"Yes")))</f>
        <v/>
      </c>
      <c r="H40" s="17">
        <f>IF(OR($B40="",H$5=""),"",IF(COUNTIFS(nrES_PID,$B40,nrES_Code,H$5,nrES_Final,"Yes",nrES_Rec,"&gt;=0")=0,"",SUMIFS(nrES_Rec,nrES_PID,$B40,nrES_Code,H$5,nrES_Final,"Yes")))</f>
        <v/>
      </c>
      <c r="I40" s="17">
        <f>IF(OR($B40="",I$5=""),"",IF(COUNTIFS(nrES_PID,$B40,nrES_Code,I$5,nrES_Final,"Yes",nrES_Rec,"&gt;=0")=0,"",SUMIFS(nrES_Rec,nrES_PID,$B40,nrES_Code,I$5,nrES_Final,"Yes")))</f>
        <v/>
      </c>
      <c r="J40" s="17">
        <f>IF(OR($B40="",J$5=""),"",IF(COUNTIFS(nrES_PID,$B40,nrES_Code,J$5,nrES_Final,"Yes",nrES_Rec,"&gt;=0")=0,"",SUMIFS(nrES_Rec,nrES_PID,$B40,nrES_Code,J$5,nrES_Final,"Yes")))</f>
        <v/>
      </c>
      <c r="K40" s="17">
        <f>IF(OR($B40="",K$5=""),"",IF(COUNTIFS(nrES_PID,$B40,nrES_Code,K$5,nrES_Final,"Yes",nrES_Rec,"&gt;=0")=0,"",SUMIFS(nrES_Rec,nrES_PID,$B40,nrES_Code,K$5,nrES_Final,"Yes")))</f>
        <v/>
      </c>
      <c r="L40" s="17">
        <f>IF(OR($B40="",L$5=""),"",IF(COUNTIFS(nrES_PID,$B40,nrES_Code,L$5,nrES_Final,"Yes",nrES_Rec,"&gt;=0")=0,"",SUMIFS(nrES_Rec,nrES_PID,$B40,nrES_Code,L$5,nrES_Final,"Yes")))</f>
        <v/>
      </c>
      <c r="M40" s="17">
        <f>IF(OR($B40="",M$5=""),"",IF(COUNTIFS(nrES_PID,$B40,nrES_Code,M$5,nrES_Final,"Yes",nrES_Rec,"&gt;=0")=0,"",SUMIFS(nrES_Rec,nrES_PID,$B40,nrES_Code,M$5,nrES_Final,"Yes")))</f>
        <v/>
      </c>
      <c r="N40" s="17">
        <f>IF(OR($B40="",N$5=""),"",IF(COUNTIFS(nrES_PID,$B40,nrES_Code,N$5,nrES_Final,"Yes",nrES_Rec,"&gt;=0")=0,"",SUMIFS(nrES_Rec,nrES_PID,$B40,nrES_Code,N$5,nrES_Final,"Yes")))</f>
        <v/>
      </c>
      <c r="O40" s="17">
        <f>IF(OR($B40="",O$5=""),"",IF(COUNTIFS(nrES_PID,$B40,nrES_Code,O$5,nrES_Final,"Yes",nrES_Rec,"&gt;=0")=0,"",SUMIFS(nrES_Rec,nrES_PID,$B40,nrES_Code,O$5,nrES_Final,"Yes")))</f>
        <v/>
      </c>
      <c r="P40" s="17">
        <f>IF(OR($B40="",P$5=""),"",IF(COUNTIFS(nrES_PID,$B40,nrES_Code,P$5,nrES_Final,"Yes",nrES_Rec,"&gt;=0")=0,"",SUMIFS(nrES_Rec,nrES_PID,$B40,nrES_Code,P$5,nrES_Final,"Yes")))</f>
        <v/>
      </c>
      <c r="Q40" s="17">
        <f>IF(OR($B40="",Q$5=""),"",IF(COUNTIFS(nrES_PID,$B40,nrES_Code,Q$5,nrES_Final,"Yes",nrES_Rec,"&gt;=0")=0,"",SUMIFS(nrES_Rec,nrES_PID,$B40,nrES_Code,Q$5,nrES_Final,"Yes")))</f>
        <v/>
      </c>
      <c r="R40" s="17">
        <f>IF(OR($B40="",R$5=""),"",IF(COUNTIFS(nrES_PID,$B40,nrES_Code,R$5,nrES_Final,"Yes",nrES_Rec,"&gt;=0")=0,"",SUMIFS(nrES_Rec,nrES_PID,$B40,nrES_Code,R$5,nrES_Final,"Yes")))</f>
        <v/>
      </c>
      <c r="S40" s="17">
        <f>IF(OR($B40="",S$5=""),"",IF(COUNTIFS(nrES_PID,$B40,nrES_Code,S$5,nrES_Final,"Yes",nrES_Rec,"&gt;=0")=0,"",SUMIFS(nrES_Rec,nrES_PID,$B40,nrES_Code,S$5,nrES_Final,"Yes")))</f>
        <v/>
      </c>
      <c r="T40" s="17">
        <f>IF(OR($B40="",T$5=""),"",IF(COUNTIFS(nrES_PID,$B40,nrES_Code,T$5,nrES_Final,"Yes",nrES_Rec,"&gt;=0")=0,"",SUMIFS(nrES_Rec,nrES_PID,$B40,nrES_Code,T$5,nrES_Final,"Yes")))</f>
        <v/>
      </c>
      <c r="U40" s="17">
        <f>IF(OR($B40="",U$5=""),"",IF(COUNTIFS(nrES_PID,$B40,nrES_Code,U$5,nrES_Final,"Yes",nrES_Rec,"&gt;=0")=0,"",SUMIFS(nrES_Rec,nrES_PID,$B40,nrES_Code,U$5,nrES_Final,"Yes")))</f>
        <v/>
      </c>
      <c r="V40" s="17">
        <f>IF(OR($B40="",V$5=""),"",IF(COUNTIFS(nrES_PID,$B40,nrES_Code,V$5,nrES_Final,"Yes",nrES_Rec,"&gt;=0")=0,"",SUMIFS(nrES_Rec,nrES_PID,$B40,nrES_Code,V$5,nrES_Final,"Yes")))</f>
        <v/>
      </c>
      <c r="W40" s="17">
        <f>IF(OR($B40="",W$5=""),"",IF(COUNTIFS(nrES_PID,$B40,nrES_Code,W$5,nrES_Final,"Yes",nrES_Rec,"&gt;=0")=0,"",SUMIFS(nrES_Rec,nrES_PID,$B40,nrES_Code,W$5,nrES_Final,"Yes")))</f>
        <v/>
      </c>
      <c r="X40" s="17">
        <f>IF(OR($B40="",X$5=""),"",IF(COUNTIFS(nrES_PID,$B40,nrES_Code,X$5,nrES_Final,"Yes",nrES_Rec,"&gt;=0")=0,"",SUMIFS(nrES_Rec,nrES_PID,$B40,nrES_Code,X$5,nrES_Final,"Yes")))</f>
        <v/>
      </c>
      <c r="Y40" s="17">
        <f>IF(OR($B40="",Y$5=""),"",IF(COUNTIFS(nrES_PID,$B40,nrES_Code,Y$5,nrES_Final,"Yes",nrES_Rec,"&gt;=0")=0,"",SUMIFS(nrES_Rec,nrES_PID,$B40,nrES_Code,Y$5,nrES_Final,"Yes")))</f>
        <v/>
      </c>
      <c r="Z40" s="17">
        <f>IF(OR($B40="",Z$5=""),"",IF(COUNTIFS(nrES_PID,$B40,nrES_Code,Z$5,nrES_Final,"Yes",nrES_Rec,"&gt;=0")=0,"",SUMIFS(nrES_Rec,nrES_PID,$B40,nrES_Code,Z$5,nrES_Final,"Yes")))</f>
        <v/>
      </c>
      <c r="AA40" s="17">
        <f>IF(OR($B40="",AA$5=""),"",IF(COUNTIFS(nrES_PID,$B40,nrES_Code,AA$5,nrES_Final,"Yes",nrES_Rec,"&gt;=0")=0,"",SUMIFS(nrES_Rec,nrES_PID,$B40,nrES_Code,AA$5,nrES_Final,"Yes")))</f>
        <v/>
      </c>
      <c r="AB40" s="17">
        <f>IF(OR($B40="",AB$5=""),"",IF(COUNTIFS(nrES_PID,$B40,nrES_Code,AB$5,nrES_Final,"Yes",nrES_Rec,"&gt;=0")=0,"",SUMIFS(nrES_Rec,nrES_PID,$B40,nrES_Code,AB$5,nrES_Final,"Yes")))</f>
        <v/>
      </c>
      <c r="AC40" s="17">
        <f>IF($B40="","",sysGrades!$M40)</f>
        <v/>
      </c>
      <c r="AD40" s="17">
        <f>IF($B40="","",IFERROR(sysGrades!$U40,""))</f>
        <v/>
      </c>
      <c r="AE40" s="17">
        <f>IF(Cadets!$B40="","",Cadets!$I40)</f>
        <v/>
      </c>
    </row>
    <row r="41">
      <c r="B41" s="17">
        <f>IF(Cadets!$B41="","",Cadets!$B41)</f>
        <v/>
      </c>
      <c r="C41" s="17">
        <f>IF($B41="","",Cadets!$F41)</f>
        <v/>
      </c>
      <c r="D41" s="17">
        <f>IF(OR($B41="",D$5=""),"",IF(COUNTIFS(nrES_PID,$B41,nrES_Code,D$5,nrES_Final,"Yes",nrES_Rec,"&gt;=0")=0,"",SUMIFS(nrES_Rec,nrES_PID,$B41,nrES_Code,D$5,nrES_Final,"Yes")))</f>
        <v/>
      </c>
      <c r="E41" s="17">
        <f>IF(OR($B41="",E$5=""),"",IF(COUNTIFS(nrES_PID,$B41,nrES_Code,E$5,nrES_Final,"Yes",nrES_Rec,"&gt;=0")=0,"",SUMIFS(nrES_Rec,nrES_PID,$B41,nrES_Code,E$5,nrES_Final,"Yes")))</f>
        <v/>
      </c>
      <c r="F41" s="17">
        <f>IF(OR($B41="",F$5=""),"",IF(COUNTIFS(nrES_PID,$B41,nrES_Code,F$5,nrES_Final,"Yes",nrES_Rec,"&gt;=0")=0,"",SUMIFS(nrES_Rec,nrES_PID,$B41,nrES_Code,F$5,nrES_Final,"Yes")))</f>
        <v/>
      </c>
      <c r="G41" s="17">
        <f>IF(OR($B41="",G$5=""),"",IF(COUNTIFS(nrES_PID,$B41,nrES_Code,G$5,nrES_Final,"Yes",nrES_Rec,"&gt;=0")=0,"",SUMIFS(nrES_Rec,nrES_PID,$B41,nrES_Code,G$5,nrES_Final,"Yes")))</f>
        <v/>
      </c>
      <c r="H41" s="17">
        <f>IF(OR($B41="",H$5=""),"",IF(COUNTIFS(nrES_PID,$B41,nrES_Code,H$5,nrES_Final,"Yes",nrES_Rec,"&gt;=0")=0,"",SUMIFS(nrES_Rec,nrES_PID,$B41,nrES_Code,H$5,nrES_Final,"Yes")))</f>
        <v/>
      </c>
      <c r="I41" s="17">
        <f>IF(OR($B41="",I$5=""),"",IF(COUNTIFS(nrES_PID,$B41,nrES_Code,I$5,nrES_Final,"Yes",nrES_Rec,"&gt;=0")=0,"",SUMIFS(nrES_Rec,nrES_PID,$B41,nrES_Code,I$5,nrES_Final,"Yes")))</f>
        <v/>
      </c>
      <c r="J41" s="17">
        <f>IF(OR($B41="",J$5=""),"",IF(COUNTIFS(nrES_PID,$B41,nrES_Code,J$5,nrES_Final,"Yes",nrES_Rec,"&gt;=0")=0,"",SUMIFS(nrES_Rec,nrES_PID,$B41,nrES_Code,J$5,nrES_Final,"Yes")))</f>
        <v/>
      </c>
      <c r="K41" s="17">
        <f>IF(OR($B41="",K$5=""),"",IF(COUNTIFS(nrES_PID,$B41,nrES_Code,K$5,nrES_Final,"Yes",nrES_Rec,"&gt;=0")=0,"",SUMIFS(nrES_Rec,nrES_PID,$B41,nrES_Code,K$5,nrES_Final,"Yes")))</f>
        <v/>
      </c>
      <c r="L41" s="17">
        <f>IF(OR($B41="",L$5=""),"",IF(COUNTIFS(nrES_PID,$B41,nrES_Code,L$5,nrES_Final,"Yes",nrES_Rec,"&gt;=0")=0,"",SUMIFS(nrES_Rec,nrES_PID,$B41,nrES_Code,L$5,nrES_Final,"Yes")))</f>
        <v/>
      </c>
      <c r="M41" s="17">
        <f>IF(OR($B41="",M$5=""),"",IF(COUNTIFS(nrES_PID,$B41,nrES_Code,M$5,nrES_Final,"Yes",nrES_Rec,"&gt;=0")=0,"",SUMIFS(nrES_Rec,nrES_PID,$B41,nrES_Code,M$5,nrES_Final,"Yes")))</f>
        <v/>
      </c>
      <c r="N41" s="17">
        <f>IF(OR($B41="",N$5=""),"",IF(COUNTIFS(nrES_PID,$B41,nrES_Code,N$5,nrES_Final,"Yes",nrES_Rec,"&gt;=0")=0,"",SUMIFS(nrES_Rec,nrES_PID,$B41,nrES_Code,N$5,nrES_Final,"Yes")))</f>
        <v/>
      </c>
      <c r="O41" s="17">
        <f>IF(OR($B41="",O$5=""),"",IF(COUNTIFS(nrES_PID,$B41,nrES_Code,O$5,nrES_Final,"Yes",nrES_Rec,"&gt;=0")=0,"",SUMIFS(nrES_Rec,nrES_PID,$B41,nrES_Code,O$5,nrES_Final,"Yes")))</f>
        <v/>
      </c>
      <c r="P41" s="17">
        <f>IF(OR($B41="",P$5=""),"",IF(COUNTIFS(nrES_PID,$B41,nrES_Code,P$5,nrES_Final,"Yes",nrES_Rec,"&gt;=0")=0,"",SUMIFS(nrES_Rec,nrES_PID,$B41,nrES_Code,P$5,nrES_Final,"Yes")))</f>
        <v/>
      </c>
      <c r="Q41" s="17">
        <f>IF(OR($B41="",Q$5=""),"",IF(COUNTIFS(nrES_PID,$B41,nrES_Code,Q$5,nrES_Final,"Yes",nrES_Rec,"&gt;=0")=0,"",SUMIFS(nrES_Rec,nrES_PID,$B41,nrES_Code,Q$5,nrES_Final,"Yes")))</f>
        <v/>
      </c>
      <c r="R41" s="17">
        <f>IF(OR($B41="",R$5=""),"",IF(COUNTIFS(nrES_PID,$B41,nrES_Code,R$5,nrES_Final,"Yes",nrES_Rec,"&gt;=0")=0,"",SUMIFS(nrES_Rec,nrES_PID,$B41,nrES_Code,R$5,nrES_Final,"Yes")))</f>
        <v/>
      </c>
      <c r="S41" s="17">
        <f>IF(OR($B41="",S$5=""),"",IF(COUNTIFS(nrES_PID,$B41,nrES_Code,S$5,nrES_Final,"Yes",nrES_Rec,"&gt;=0")=0,"",SUMIFS(nrES_Rec,nrES_PID,$B41,nrES_Code,S$5,nrES_Final,"Yes")))</f>
        <v/>
      </c>
      <c r="T41" s="17">
        <f>IF(OR($B41="",T$5=""),"",IF(COUNTIFS(nrES_PID,$B41,nrES_Code,T$5,nrES_Final,"Yes",nrES_Rec,"&gt;=0")=0,"",SUMIFS(nrES_Rec,nrES_PID,$B41,nrES_Code,T$5,nrES_Final,"Yes")))</f>
        <v/>
      </c>
      <c r="U41" s="17">
        <f>IF(OR($B41="",U$5=""),"",IF(COUNTIFS(nrES_PID,$B41,nrES_Code,U$5,nrES_Final,"Yes",nrES_Rec,"&gt;=0")=0,"",SUMIFS(nrES_Rec,nrES_PID,$B41,nrES_Code,U$5,nrES_Final,"Yes")))</f>
        <v/>
      </c>
      <c r="V41" s="17">
        <f>IF(OR($B41="",V$5=""),"",IF(COUNTIFS(nrES_PID,$B41,nrES_Code,V$5,nrES_Final,"Yes",nrES_Rec,"&gt;=0")=0,"",SUMIFS(nrES_Rec,nrES_PID,$B41,nrES_Code,V$5,nrES_Final,"Yes")))</f>
        <v/>
      </c>
      <c r="W41" s="17">
        <f>IF(OR($B41="",W$5=""),"",IF(COUNTIFS(nrES_PID,$B41,nrES_Code,W$5,nrES_Final,"Yes",nrES_Rec,"&gt;=0")=0,"",SUMIFS(nrES_Rec,nrES_PID,$B41,nrES_Code,W$5,nrES_Final,"Yes")))</f>
        <v/>
      </c>
      <c r="X41" s="17">
        <f>IF(OR($B41="",X$5=""),"",IF(COUNTIFS(nrES_PID,$B41,nrES_Code,X$5,nrES_Final,"Yes",nrES_Rec,"&gt;=0")=0,"",SUMIFS(nrES_Rec,nrES_PID,$B41,nrES_Code,X$5,nrES_Final,"Yes")))</f>
        <v/>
      </c>
      <c r="Y41" s="17">
        <f>IF(OR($B41="",Y$5=""),"",IF(COUNTIFS(nrES_PID,$B41,nrES_Code,Y$5,nrES_Final,"Yes",nrES_Rec,"&gt;=0")=0,"",SUMIFS(nrES_Rec,nrES_PID,$B41,nrES_Code,Y$5,nrES_Final,"Yes")))</f>
        <v/>
      </c>
      <c r="Z41" s="17">
        <f>IF(OR($B41="",Z$5=""),"",IF(COUNTIFS(nrES_PID,$B41,nrES_Code,Z$5,nrES_Final,"Yes",nrES_Rec,"&gt;=0")=0,"",SUMIFS(nrES_Rec,nrES_PID,$B41,nrES_Code,Z$5,nrES_Final,"Yes")))</f>
        <v/>
      </c>
      <c r="AA41" s="17">
        <f>IF(OR($B41="",AA$5=""),"",IF(COUNTIFS(nrES_PID,$B41,nrES_Code,AA$5,nrES_Final,"Yes",nrES_Rec,"&gt;=0")=0,"",SUMIFS(nrES_Rec,nrES_PID,$B41,nrES_Code,AA$5,nrES_Final,"Yes")))</f>
        <v/>
      </c>
      <c r="AB41" s="17">
        <f>IF(OR($B41="",AB$5=""),"",IF(COUNTIFS(nrES_PID,$B41,nrES_Code,AB$5,nrES_Final,"Yes",nrES_Rec,"&gt;=0")=0,"",SUMIFS(nrES_Rec,nrES_PID,$B41,nrES_Code,AB$5,nrES_Final,"Yes")))</f>
        <v/>
      </c>
      <c r="AC41" s="17">
        <f>IF($B41="","",sysGrades!$M41)</f>
        <v/>
      </c>
      <c r="AD41" s="17">
        <f>IF($B41="","",IFERROR(sysGrades!$U41,""))</f>
        <v/>
      </c>
      <c r="AE41" s="17">
        <f>IF(Cadets!$B41="","",Cadets!$I41)</f>
        <v/>
      </c>
    </row>
    <row r="42">
      <c r="B42" s="17">
        <f>IF(Cadets!$B42="","",Cadets!$B42)</f>
        <v/>
      </c>
      <c r="C42" s="17">
        <f>IF($B42="","",Cadets!$F42)</f>
        <v/>
      </c>
      <c r="D42" s="17">
        <f>IF(OR($B42="",D$5=""),"",IF(COUNTIFS(nrES_PID,$B42,nrES_Code,D$5,nrES_Final,"Yes",nrES_Rec,"&gt;=0")=0,"",SUMIFS(nrES_Rec,nrES_PID,$B42,nrES_Code,D$5,nrES_Final,"Yes")))</f>
        <v/>
      </c>
      <c r="E42" s="17">
        <f>IF(OR($B42="",E$5=""),"",IF(COUNTIFS(nrES_PID,$B42,nrES_Code,E$5,nrES_Final,"Yes",nrES_Rec,"&gt;=0")=0,"",SUMIFS(nrES_Rec,nrES_PID,$B42,nrES_Code,E$5,nrES_Final,"Yes")))</f>
        <v/>
      </c>
      <c r="F42" s="17">
        <f>IF(OR($B42="",F$5=""),"",IF(COUNTIFS(nrES_PID,$B42,nrES_Code,F$5,nrES_Final,"Yes",nrES_Rec,"&gt;=0")=0,"",SUMIFS(nrES_Rec,nrES_PID,$B42,nrES_Code,F$5,nrES_Final,"Yes")))</f>
        <v/>
      </c>
      <c r="G42" s="17">
        <f>IF(OR($B42="",G$5=""),"",IF(COUNTIFS(nrES_PID,$B42,nrES_Code,G$5,nrES_Final,"Yes",nrES_Rec,"&gt;=0")=0,"",SUMIFS(nrES_Rec,nrES_PID,$B42,nrES_Code,G$5,nrES_Final,"Yes")))</f>
        <v/>
      </c>
      <c r="H42" s="17">
        <f>IF(OR($B42="",H$5=""),"",IF(COUNTIFS(nrES_PID,$B42,nrES_Code,H$5,nrES_Final,"Yes",nrES_Rec,"&gt;=0")=0,"",SUMIFS(nrES_Rec,nrES_PID,$B42,nrES_Code,H$5,nrES_Final,"Yes")))</f>
        <v/>
      </c>
      <c r="I42" s="17">
        <f>IF(OR($B42="",I$5=""),"",IF(COUNTIFS(nrES_PID,$B42,nrES_Code,I$5,nrES_Final,"Yes",nrES_Rec,"&gt;=0")=0,"",SUMIFS(nrES_Rec,nrES_PID,$B42,nrES_Code,I$5,nrES_Final,"Yes")))</f>
        <v/>
      </c>
      <c r="J42" s="17">
        <f>IF(OR($B42="",J$5=""),"",IF(COUNTIFS(nrES_PID,$B42,nrES_Code,J$5,nrES_Final,"Yes",nrES_Rec,"&gt;=0")=0,"",SUMIFS(nrES_Rec,nrES_PID,$B42,nrES_Code,J$5,nrES_Final,"Yes")))</f>
        <v/>
      </c>
      <c r="K42" s="17">
        <f>IF(OR($B42="",K$5=""),"",IF(COUNTIFS(nrES_PID,$B42,nrES_Code,K$5,nrES_Final,"Yes",nrES_Rec,"&gt;=0")=0,"",SUMIFS(nrES_Rec,nrES_PID,$B42,nrES_Code,K$5,nrES_Final,"Yes")))</f>
        <v/>
      </c>
      <c r="L42" s="17">
        <f>IF(OR($B42="",L$5=""),"",IF(COUNTIFS(nrES_PID,$B42,nrES_Code,L$5,nrES_Final,"Yes",nrES_Rec,"&gt;=0")=0,"",SUMIFS(nrES_Rec,nrES_PID,$B42,nrES_Code,L$5,nrES_Final,"Yes")))</f>
        <v/>
      </c>
      <c r="M42" s="17">
        <f>IF(OR($B42="",M$5=""),"",IF(COUNTIFS(nrES_PID,$B42,nrES_Code,M$5,nrES_Final,"Yes",nrES_Rec,"&gt;=0")=0,"",SUMIFS(nrES_Rec,nrES_PID,$B42,nrES_Code,M$5,nrES_Final,"Yes")))</f>
        <v/>
      </c>
      <c r="N42" s="17">
        <f>IF(OR($B42="",N$5=""),"",IF(COUNTIFS(nrES_PID,$B42,nrES_Code,N$5,nrES_Final,"Yes",nrES_Rec,"&gt;=0")=0,"",SUMIFS(nrES_Rec,nrES_PID,$B42,nrES_Code,N$5,nrES_Final,"Yes")))</f>
        <v/>
      </c>
      <c r="O42" s="17">
        <f>IF(OR($B42="",O$5=""),"",IF(COUNTIFS(nrES_PID,$B42,nrES_Code,O$5,nrES_Final,"Yes",nrES_Rec,"&gt;=0")=0,"",SUMIFS(nrES_Rec,nrES_PID,$B42,nrES_Code,O$5,nrES_Final,"Yes")))</f>
        <v/>
      </c>
      <c r="P42" s="17">
        <f>IF(OR($B42="",P$5=""),"",IF(COUNTIFS(nrES_PID,$B42,nrES_Code,P$5,nrES_Final,"Yes",nrES_Rec,"&gt;=0")=0,"",SUMIFS(nrES_Rec,nrES_PID,$B42,nrES_Code,P$5,nrES_Final,"Yes")))</f>
        <v/>
      </c>
      <c r="Q42" s="17">
        <f>IF(OR($B42="",Q$5=""),"",IF(COUNTIFS(nrES_PID,$B42,nrES_Code,Q$5,nrES_Final,"Yes",nrES_Rec,"&gt;=0")=0,"",SUMIFS(nrES_Rec,nrES_PID,$B42,nrES_Code,Q$5,nrES_Final,"Yes")))</f>
        <v/>
      </c>
      <c r="R42" s="17">
        <f>IF(OR($B42="",R$5=""),"",IF(COUNTIFS(nrES_PID,$B42,nrES_Code,R$5,nrES_Final,"Yes",nrES_Rec,"&gt;=0")=0,"",SUMIFS(nrES_Rec,nrES_PID,$B42,nrES_Code,R$5,nrES_Final,"Yes")))</f>
        <v/>
      </c>
      <c r="S42" s="17">
        <f>IF(OR($B42="",S$5=""),"",IF(COUNTIFS(nrES_PID,$B42,nrES_Code,S$5,nrES_Final,"Yes",nrES_Rec,"&gt;=0")=0,"",SUMIFS(nrES_Rec,nrES_PID,$B42,nrES_Code,S$5,nrES_Final,"Yes")))</f>
        <v/>
      </c>
      <c r="T42" s="17">
        <f>IF(OR($B42="",T$5=""),"",IF(COUNTIFS(nrES_PID,$B42,nrES_Code,T$5,nrES_Final,"Yes",nrES_Rec,"&gt;=0")=0,"",SUMIFS(nrES_Rec,nrES_PID,$B42,nrES_Code,T$5,nrES_Final,"Yes")))</f>
        <v/>
      </c>
      <c r="U42" s="17">
        <f>IF(OR($B42="",U$5=""),"",IF(COUNTIFS(nrES_PID,$B42,nrES_Code,U$5,nrES_Final,"Yes",nrES_Rec,"&gt;=0")=0,"",SUMIFS(nrES_Rec,nrES_PID,$B42,nrES_Code,U$5,nrES_Final,"Yes")))</f>
        <v/>
      </c>
      <c r="V42" s="17">
        <f>IF(OR($B42="",V$5=""),"",IF(COUNTIFS(nrES_PID,$B42,nrES_Code,V$5,nrES_Final,"Yes",nrES_Rec,"&gt;=0")=0,"",SUMIFS(nrES_Rec,nrES_PID,$B42,nrES_Code,V$5,nrES_Final,"Yes")))</f>
        <v/>
      </c>
      <c r="W42" s="17">
        <f>IF(OR($B42="",W$5=""),"",IF(COUNTIFS(nrES_PID,$B42,nrES_Code,W$5,nrES_Final,"Yes",nrES_Rec,"&gt;=0")=0,"",SUMIFS(nrES_Rec,nrES_PID,$B42,nrES_Code,W$5,nrES_Final,"Yes")))</f>
        <v/>
      </c>
      <c r="X42" s="17">
        <f>IF(OR($B42="",X$5=""),"",IF(COUNTIFS(nrES_PID,$B42,nrES_Code,X$5,nrES_Final,"Yes",nrES_Rec,"&gt;=0")=0,"",SUMIFS(nrES_Rec,nrES_PID,$B42,nrES_Code,X$5,nrES_Final,"Yes")))</f>
        <v/>
      </c>
      <c r="Y42" s="17">
        <f>IF(OR($B42="",Y$5=""),"",IF(COUNTIFS(nrES_PID,$B42,nrES_Code,Y$5,nrES_Final,"Yes",nrES_Rec,"&gt;=0")=0,"",SUMIFS(nrES_Rec,nrES_PID,$B42,nrES_Code,Y$5,nrES_Final,"Yes")))</f>
        <v/>
      </c>
      <c r="Z42" s="17">
        <f>IF(OR($B42="",Z$5=""),"",IF(COUNTIFS(nrES_PID,$B42,nrES_Code,Z$5,nrES_Final,"Yes",nrES_Rec,"&gt;=0")=0,"",SUMIFS(nrES_Rec,nrES_PID,$B42,nrES_Code,Z$5,nrES_Final,"Yes")))</f>
        <v/>
      </c>
      <c r="AA42" s="17">
        <f>IF(OR($B42="",AA$5=""),"",IF(COUNTIFS(nrES_PID,$B42,nrES_Code,AA$5,nrES_Final,"Yes",nrES_Rec,"&gt;=0")=0,"",SUMIFS(nrES_Rec,nrES_PID,$B42,nrES_Code,AA$5,nrES_Final,"Yes")))</f>
        <v/>
      </c>
      <c r="AB42" s="17">
        <f>IF(OR($B42="",AB$5=""),"",IF(COUNTIFS(nrES_PID,$B42,nrES_Code,AB$5,nrES_Final,"Yes",nrES_Rec,"&gt;=0")=0,"",SUMIFS(nrES_Rec,nrES_PID,$B42,nrES_Code,AB$5,nrES_Final,"Yes")))</f>
        <v/>
      </c>
      <c r="AC42" s="17">
        <f>IF($B42="","",sysGrades!$M42)</f>
        <v/>
      </c>
      <c r="AD42" s="17">
        <f>IF($B42="","",IFERROR(sysGrades!$U42,""))</f>
        <v/>
      </c>
      <c r="AE42" s="17">
        <f>IF(Cadets!$B42="","",Cadets!$I42)</f>
        <v/>
      </c>
    </row>
    <row r="43">
      <c r="B43" s="17">
        <f>IF(Cadets!$B43="","",Cadets!$B43)</f>
        <v/>
      </c>
      <c r="C43" s="17">
        <f>IF($B43="","",Cadets!$F43)</f>
        <v/>
      </c>
      <c r="D43" s="17">
        <f>IF(OR($B43="",D$5=""),"",IF(COUNTIFS(nrES_PID,$B43,nrES_Code,D$5,nrES_Final,"Yes",nrES_Rec,"&gt;=0")=0,"",SUMIFS(nrES_Rec,nrES_PID,$B43,nrES_Code,D$5,nrES_Final,"Yes")))</f>
        <v/>
      </c>
      <c r="E43" s="17">
        <f>IF(OR($B43="",E$5=""),"",IF(COUNTIFS(nrES_PID,$B43,nrES_Code,E$5,nrES_Final,"Yes",nrES_Rec,"&gt;=0")=0,"",SUMIFS(nrES_Rec,nrES_PID,$B43,nrES_Code,E$5,nrES_Final,"Yes")))</f>
        <v/>
      </c>
      <c r="F43" s="17">
        <f>IF(OR($B43="",F$5=""),"",IF(COUNTIFS(nrES_PID,$B43,nrES_Code,F$5,nrES_Final,"Yes",nrES_Rec,"&gt;=0")=0,"",SUMIFS(nrES_Rec,nrES_PID,$B43,nrES_Code,F$5,nrES_Final,"Yes")))</f>
        <v/>
      </c>
      <c r="G43" s="17">
        <f>IF(OR($B43="",G$5=""),"",IF(COUNTIFS(nrES_PID,$B43,nrES_Code,G$5,nrES_Final,"Yes",nrES_Rec,"&gt;=0")=0,"",SUMIFS(nrES_Rec,nrES_PID,$B43,nrES_Code,G$5,nrES_Final,"Yes")))</f>
        <v/>
      </c>
      <c r="H43" s="17">
        <f>IF(OR($B43="",H$5=""),"",IF(COUNTIFS(nrES_PID,$B43,nrES_Code,H$5,nrES_Final,"Yes",nrES_Rec,"&gt;=0")=0,"",SUMIFS(nrES_Rec,nrES_PID,$B43,nrES_Code,H$5,nrES_Final,"Yes")))</f>
        <v/>
      </c>
      <c r="I43" s="17">
        <f>IF(OR($B43="",I$5=""),"",IF(COUNTIFS(nrES_PID,$B43,nrES_Code,I$5,nrES_Final,"Yes",nrES_Rec,"&gt;=0")=0,"",SUMIFS(nrES_Rec,nrES_PID,$B43,nrES_Code,I$5,nrES_Final,"Yes")))</f>
        <v/>
      </c>
      <c r="J43" s="17">
        <f>IF(OR($B43="",J$5=""),"",IF(COUNTIFS(nrES_PID,$B43,nrES_Code,J$5,nrES_Final,"Yes",nrES_Rec,"&gt;=0")=0,"",SUMIFS(nrES_Rec,nrES_PID,$B43,nrES_Code,J$5,nrES_Final,"Yes")))</f>
        <v/>
      </c>
      <c r="K43" s="17">
        <f>IF(OR($B43="",K$5=""),"",IF(COUNTIFS(nrES_PID,$B43,nrES_Code,K$5,nrES_Final,"Yes",nrES_Rec,"&gt;=0")=0,"",SUMIFS(nrES_Rec,nrES_PID,$B43,nrES_Code,K$5,nrES_Final,"Yes")))</f>
        <v/>
      </c>
      <c r="L43" s="17">
        <f>IF(OR($B43="",L$5=""),"",IF(COUNTIFS(nrES_PID,$B43,nrES_Code,L$5,nrES_Final,"Yes",nrES_Rec,"&gt;=0")=0,"",SUMIFS(nrES_Rec,nrES_PID,$B43,nrES_Code,L$5,nrES_Final,"Yes")))</f>
        <v/>
      </c>
      <c r="M43" s="17">
        <f>IF(OR($B43="",M$5=""),"",IF(COUNTIFS(nrES_PID,$B43,nrES_Code,M$5,nrES_Final,"Yes",nrES_Rec,"&gt;=0")=0,"",SUMIFS(nrES_Rec,nrES_PID,$B43,nrES_Code,M$5,nrES_Final,"Yes")))</f>
        <v/>
      </c>
      <c r="N43" s="17">
        <f>IF(OR($B43="",N$5=""),"",IF(COUNTIFS(nrES_PID,$B43,nrES_Code,N$5,nrES_Final,"Yes",nrES_Rec,"&gt;=0")=0,"",SUMIFS(nrES_Rec,nrES_PID,$B43,nrES_Code,N$5,nrES_Final,"Yes")))</f>
        <v/>
      </c>
      <c r="O43" s="17">
        <f>IF(OR($B43="",O$5=""),"",IF(COUNTIFS(nrES_PID,$B43,nrES_Code,O$5,nrES_Final,"Yes",nrES_Rec,"&gt;=0")=0,"",SUMIFS(nrES_Rec,nrES_PID,$B43,nrES_Code,O$5,nrES_Final,"Yes")))</f>
        <v/>
      </c>
      <c r="P43" s="17">
        <f>IF(OR($B43="",P$5=""),"",IF(COUNTIFS(nrES_PID,$B43,nrES_Code,P$5,nrES_Final,"Yes",nrES_Rec,"&gt;=0")=0,"",SUMIFS(nrES_Rec,nrES_PID,$B43,nrES_Code,P$5,nrES_Final,"Yes")))</f>
        <v/>
      </c>
      <c r="Q43" s="17">
        <f>IF(OR($B43="",Q$5=""),"",IF(COUNTIFS(nrES_PID,$B43,nrES_Code,Q$5,nrES_Final,"Yes",nrES_Rec,"&gt;=0")=0,"",SUMIFS(nrES_Rec,nrES_PID,$B43,nrES_Code,Q$5,nrES_Final,"Yes")))</f>
        <v/>
      </c>
      <c r="R43" s="17">
        <f>IF(OR($B43="",R$5=""),"",IF(COUNTIFS(nrES_PID,$B43,nrES_Code,R$5,nrES_Final,"Yes",nrES_Rec,"&gt;=0")=0,"",SUMIFS(nrES_Rec,nrES_PID,$B43,nrES_Code,R$5,nrES_Final,"Yes")))</f>
        <v/>
      </c>
      <c r="S43" s="17">
        <f>IF(OR($B43="",S$5=""),"",IF(COUNTIFS(nrES_PID,$B43,nrES_Code,S$5,nrES_Final,"Yes",nrES_Rec,"&gt;=0")=0,"",SUMIFS(nrES_Rec,nrES_PID,$B43,nrES_Code,S$5,nrES_Final,"Yes")))</f>
        <v/>
      </c>
      <c r="T43" s="17">
        <f>IF(OR($B43="",T$5=""),"",IF(COUNTIFS(nrES_PID,$B43,nrES_Code,T$5,nrES_Final,"Yes",nrES_Rec,"&gt;=0")=0,"",SUMIFS(nrES_Rec,nrES_PID,$B43,nrES_Code,T$5,nrES_Final,"Yes")))</f>
        <v/>
      </c>
      <c r="U43" s="17">
        <f>IF(OR($B43="",U$5=""),"",IF(COUNTIFS(nrES_PID,$B43,nrES_Code,U$5,nrES_Final,"Yes",nrES_Rec,"&gt;=0")=0,"",SUMIFS(nrES_Rec,nrES_PID,$B43,nrES_Code,U$5,nrES_Final,"Yes")))</f>
        <v/>
      </c>
      <c r="V43" s="17">
        <f>IF(OR($B43="",V$5=""),"",IF(COUNTIFS(nrES_PID,$B43,nrES_Code,V$5,nrES_Final,"Yes",nrES_Rec,"&gt;=0")=0,"",SUMIFS(nrES_Rec,nrES_PID,$B43,nrES_Code,V$5,nrES_Final,"Yes")))</f>
        <v/>
      </c>
      <c r="W43" s="17">
        <f>IF(OR($B43="",W$5=""),"",IF(COUNTIFS(nrES_PID,$B43,nrES_Code,W$5,nrES_Final,"Yes",nrES_Rec,"&gt;=0")=0,"",SUMIFS(nrES_Rec,nrES_PID,$B43,nrES_Code,W$5,nrES_Final,"Yes")))</f>
        <v/>
      </c>
      <c r="X43" s="17">
        <f>IF(OR($B43="",X$5=""),"",IF(COUNTIFS(nrES_PID,$B43,nrES_Code,X$5,nrES_Final,"Yes",nrES_Rec,"&gt;=0")=0,"",SUMIFS(nrES_Rec,nrES_PID,$B43,nrES_Code,X$5,nrES_Final,"Yes")))</f>
        <v/>
      </c>
      <c r="Y43" s="17">
        <f>IF(OR($B43="",Y$5=""),"",IF(COUNTIFS(nrES_PID,$B43,nrES_Code,Y$5,nrES_Final,"Yes",nrES_Rec,"&gt;=0")=0,"",SUMIFS(nrES_Rec,nrES_PID,$B43,nrES_Code,Y$5,nrES_Final,"Yes")))</f>
        <v/>
      </c>
      <c r="Z43" s="17">
        <f>IF(OR($B43="",Z$5=""),"",IF(COUNTIFS(nrES_PID,$B43,nrES_Code,Z$5,nrES_Final,"Yes",nrES_Rec,"&gt;=0")=0,"",SUMIFS(nrES_Rec,nrES_PID,$B43,nrES_Code,Z$5,nrES_Final,"Yes")))</f>
        <v/>
      </c>
      <c r="AA43" s="17">
        <f>IF(OR($B43="",AA$5=""),"",IF(COUNTIFS(nrES_PID,$B43,nrES_Code,AA$5,nrES_Final,"Yes",nrES_Rec,"&gt;=0")=0,"",SUMIFS(nrES_Rec,nrES_PID,$B43,nrES_Code,AA$5,nrES_Final,"Yes")))</f>
        <v/>
      </c>
      <c r="AB43" s="17">
        <f>IF(OR($B43="",AB$5=""),"",IF(COUNTIFS(nrES_PID,$B43,nrES_Code,AB$5,nrES_Final,"Yes",nrES_Rec,"&gt;=0")=0,"",SUMIFS(nrES_Rec,nrES_PID,$B43,nrES_Code,AB$5,nrES_Final,"Yes")))</f>
        <v/>
      </c>
      <c r="AC43" s="17">
        <f>IF($B43="","",sysGrades!$M43)</f>
        <v/>
      </c>
      <c r="AD43" s="17">
        <f>IF($B43="","",IFERROR(sysGrades!$U43,""))</f>
        <v/>
      </c>
      <c r="AE43" s="17">
        <f>IF(Cadets!$B43="","",Cadets!$I43)</f>
        <v/>
      </c>
    </row>
    <row r="44">
      <c r="B44" s="17">
        <f>IF(Cadets!$B44="","",Cadets!$B44)</f>
        <v/>
      </c>
      <c r="C44" s="17">
        <f>IF($B44="","",Cadets!$F44)</f>
        <v/>
      </c>
      <c r="D44" s="17">
        <f>IF(OR($B44="",D$5=""),"",IF(COUNTIFS(nrES_PID,$B44,nrES_Code,D$5,nrES_Final,"Yes",nrES_Rec,"&gt;=0")=0,"",SUMIFS(nrES_Rec,nrES_PID,$B44,nrES_Code,D$5,nrES_Final,"Yes")))</f>
        <v/>
      </c>
      <c r="E44" s="17">
        <f>IF(OR($B44="",E$5=""),"",IF(COUNTIFS(nrES_PID,$B44,nrES_Code,E$5,nrES_Final,"Yes",nrES_Rec,"&gt;=0")=0,"",SUMIFS(nrES_Rec,nrES_PID,$B44,nrES_Code,E$5,nrES_Final,"Yes")))</f>
        <v/>
      </c>
      <c r="F44" s="17">
        <f>IF(OR($B44="",F$5=""),"",IF(COUNTIFS(nrES_PID,$B44,nrES_Code,F$5,nrES_Final,"Yes",nrES_Rec,"&gt;=0")=0,"",SUMIFS(nrES_Rec,nrES_PID,$B44,nrES_Code,F$5,nrES_Final,"Yes")))</f>
        <v/>
      </c>
      <c r="G44" s="17">
        <f>IF(OR($B44="",G$5=""),"",IF(COUNTIFS(nrES_PID,$B44,nrES_Code,G$5,nrES_Final,"Yes",nrES_Rec,"&gt;=0")=0,"",SUMIFS(nrES_Rec,nrES_PID,$B44,nrES_Code,G$5,nrES_Final,"Yes")))</f>
        <v/>
      </c>
      <c r="H44" s="17">
        <f>IF(OR($B44="",H$5=""),"",IF(COUNTIFS(nrES_PID,$B44,nrES_Code,H$5,nrES_Final,"Yes",nrES_Rec,"&gt;=0")=0,"",SUMIFS(nrES_Rec,nrES_PID,$B44,nrES_Code,H$5,nrES_Final,"Yes")))</f>
        <v/>
      </c>
      <c r="I44" s="17">
        <f>IF(OR($B44="",I$5=""),"",IF(COUNTIFS(nrES_PID,$B44,nrES_Code,I$5,nrES_Final,"Yes",nrES_Rec,"&gt;=0")=0,"",SUMIFS(nrES_Rec,nrES_PID,$B44,nrES_Code,I$5,nrES_Final,"Yes")))</f>
        <v/>
      </c>
      <c r="J44" s="17">
        <f>IF(OR($B44="",J$5=""),"",IF(COUNTIFS(nrES_PID,$B44,nrES_Code,J$5,nrES_Final,"Yes",nrES_Rec,"&gt;=0")=0,"",SUMIFS(nrES_Rec,nrES_PID,$B44,nrES_Code,J$5,nrES_Final,"Yes")))</f>
        <v/>
      </c>
      <c r="K44" s="17">
        <f>IF(OR($B44="",K$5=""),"",IF(COUNTIFS(nrES_PID,$B44,nrES_Code,K$5,nrES_Final,"Yes",nrES_Rec,"&gt;=0")=0,"",SUMIFS(nrES_Rec,nrES_PID,$B44,nrES_Code,K$5,nrES_Final,"Yes")))</f>
        <v/>
      </c>
      <c r="L44" s="17">
        <f>IF(OR($B44="",L$5=""),"",IF(COUNTIFS(nrES_PID,$B44,nrES_Code,L$5,nrES_Final,"Yes",nrES_Rec,"&gt;=0")=0,"",SUMIFS(nrES_Rec,nrES_PID,$B44,nrES_Code,L$5,nrES_Final,"Yes")))</f>
        <v/>
      </c>
      <c r="M44" s="17">
        <f>IF(OR($B44="",M$5=""),"",IF(COUNTIFS(nrES_PID,$B44,nrES_Code,M$5,nrES_Final,"Yes",nrES_Rec,"&gt;=0")=0,"",SUMIFS(nrES_Rec,nrES_PID,$B44,nrES_Code,M$5,nrES_Final,"Yes")))</f>
        <v/>
      </c>
      <c r="N44" s="17">
        <f>IF(OR($B44="",N$5=""),"",IF(COUNTIFS(nrES_PID,$B44,nrES_Code,N$5,nrES_Final,"Yes",nrES_Rec,"&gt;=0")=0,"",SUMIFS(nrES_Rec,nrES_PID,$B44,nrES_Code,N$5,nrES_Final,"Yes")))</f>
        <v/>
      </c>
      <c r="O44" s="17">
        <f>IF(OR($B44="",O$5=""),"",IF(COUNTIFS(nrES_PID,$B44,nrES_Code,O$5,nrES_Final,"Yes",nrES_Rec,"&gt;=0")=0,"",SUMIFS(nrES_Rec,nrES_PID,$B44,nrES_Code,O$5,nrES_Final,"Yes")))</f>
        <v/>
      </c>
      <c r="P44" s="17">
        <f>IF(OR($B44="",P$5=""),"",IF(COUNTIFS(nrES_PID,$B44,nrES_Code,P$5,nrES_Final,"Yes",nrES_Rec,"&gt;=0")=0,"",SUMIFS(nrES_Rec,nrES_PID,$B44,nrES_Code,P$5,nrES_Final,"Yes")))</f>
        <v/>
      </c>
      <c r="Q44" s="17">
        <f>IF(OR($B44="",Q$5=""),"",IF(COUNTIFS(nrES_PID,$B44,nrES_Code,Q$5,nrES_Final,"Yes",nrES_Rec,"&gt;=0")=0,"",SUMIFS(nrES_Rec,nrES_PID,$B44,nrES_Code,Q$5,nrES_Final,"Yes")))</f>
        <v/>
      </c>
      <c r="R44" s="17">
        <f>IF(OR($B44="",R$5=""),"",IF(COUNTIFS(nrES_PID,$B44,nrES_Code,R$5,nrES_Final,"Yes",nrES_Rec,"&gt;=0")=0,"",SUMIFS(nrES_Rec,nrES_PID,$B44,nrES_Code,R$5,nrES_Final,"Yes")))</f>
        <v/>
      </c>
      <c r="S44" s="17">
        <f>IF(OR($B44="",S$5=""),"",IF(COUNTIFS(nrES_PID,$B44,nrES_Code,S$5,nrES_Final,"Yes",nrES_Rec,"&gt;=0")=0,"",SUMIFS(nrES_Rec,nrES_PID,$B44,nrES_Code,S$5,nrES_Final,"Yes")))</f>
        <v/>
      </c>
      <c r="T44" s="17">
        <f>IF(OR($B44="",T$5=""),"",IF(COUNTIFS(nrES_PID,$B44,nrES_Code,T$5,nrES_Final,"Yes",nrES_Rec,"&gt;=0")=0,"",SUMIFS(nrES_Rec,nrES_PID,$B44,nrES_Code,T$5,nrES_Final,"Yes")))</f>
        <v/>
      </c>
      <c r="U44" s="17">
        <f>IF(OR($B44="",U$5=""),"",IF(COUNTIFS(nrES_PID,$B44,nrES_Code,U$5,nrES_Final,"Yes",nrES_Rec,"&gt;=0")=0,"",SUMIFS(nrES_Rec,nrES_PID,$B44,nrES_Code,U$5,nrES_Final,"Yes")))</f>
        <v/>
      </c>
      <c r="V44" s="17">
        <f>IF(OR($B44="",V$5=""),"",IF(COUNTIFS(nrES_PID,$B44,nrES_Code,V$5,nrES_Final,"Yes",nrES_Rec,"&gt;=0")=0,"",SUMIFS(nrES_Rec,nrES_PID,$B44,nrES_Code,V$5,nrES_Final,"Yes")))</f>
        <v/>
      </c>
      <c r="W44" s="17">
        <f>IF(OR($B44="",W$5=""),"",IF(COUNTIFS(nrES_PID,$B44,nrES_Code,W$5,nrES_Final,"Yes",nrES_Rec,"&gt;=0")=0,"",SUMIFS(nrES_Rec,nrES_PID,$B44,nrES_Code,W$5,nrES_Final,"Yes")))</f>
        <v/>
      </c>
      <c r="X44" s="17">
        <f>IF(OR($B44="",X$5=""),"",IF(COUNTIFS(nrES_PID,$B44,nrES_Code,X$5,nrES_Final,"Yes",nrES_Rec,"&gt;=0")=0,"",SUMIFS(nrES_Rec,nrES_PID,$B44,nrES_Code,X$5,nrES_Final,"Yes")))</f>
        <v/>
      </c>
      <c r="Y44" s="17">
        <f>IF(OR($B44="",Y$5=""),"",IF(COUNTIFS(nrES_PID,$B44,nrES_Code,Y$5,nrES_Final,"Yes",nrES_Rec,"&gt;=0")=0,"",SUMIFS(nrES_Rec,nrES_PID,$B44,nrES_Code,Y$5,nrES_Final,"Yes")))</f>
        <v/>
      </c>
      <c r="Z44" s="17">
        <f>IF(OR($B44="",Z$5=""),"",IF(COUNTIFS(nrES_PID,$B44,nrES_Code,Z$5,nrES_Final,"Yes",nrES_Rec,"&gt;=0")=0,"",SUMIFS(nrES_Rec,nrES_PID,$B44,nrES_Code,Z$5,nrES_Final,"Yes")))</f>
        <v/>
      </c>
      <c r="AA44" s="17">
        <f>IF(OR($B44="",AA$5=""),"",IF(COUNTIFS(nrES_PID,$B44,nrES_Code,AA$5,nrES_Final,"Yes",nrES_Rec,"&gt;=0")=0,"",SUMIFS(nrES_Rec,nrES_PID,$B44,nrES_Code,AA$5,nrES_Final,"Yes")))</f>
        <v/>
      </c>
      <c r="AB44" s="17">
        <f>IF(OR($B44="",AB$5=""),"",IF(COUNTIFS(nrES_PID,$B44,nrES_Code,AB$5,nrES_Final,"Yes",nrES_Rec,"&gt;=0")=0,"",SUMIFS(nrES_Rec,nrES_PID,$B44,nrES_Code,AB$5,nrES_Final,"Yes")))</f>
        <v/>
      </c>
      <c r="AC44" s="17">
        <f>IF($B44="","",sysGrades!$M44)</f>
        <v/>
      </c>
      <c r="AD44" s="17">
        <f>IF($B44="","",IFERROR(sysGrades!$U44,""))</f>
        <v/>
      </c>
      <c r="AE44" s="17">
        <f>IF(Cadets!$B44="","",Cadets!$I44)</f>
        <v/>
      </c>
    </row>
    <row r="45">
      <c r="B45" s="17">
        <f>IF(Cadets!$B45="","",Cadets!$B45)</f>
        <v/>
      </c>
      <c r="C45" s="17">
        <f>IF($B45="","",Cadets!$F45)</f>
        <v/>
      </c>
      <c r="D45" s="17">
        <f>IF(OR($B45="",D$5=""),"",IF(COUNTIFS(nrES_PID,$B45,nrES_Code,D$5,nrES_Final,"Yes",nrES_Rec,"&gt;=0")=0,"",SUMIFS(nrES_Rec,nrES_PID,$B45,nrES_Code,D$5,nrES_Final,"Yes")))</f>
        <v/>
      </c>
      <c r="E45" s="17">
        <f>IF(OR($B45="",E$5=""),"",IF(COUNTIFS(nrES_PID,$B45,nrES_Code,E$5,nrES_Final,"Yes",nrES_Rec,"&gt;=0")=0,"",SUMIFS(nrES_Rec,nrES_PID,$B45,nrES_Code,E$5,nrES_Final,"Yes")))</f>
        <v/>
      </c>
      <c r="F45" s="17">
        <f>IF(OR($B45="",F$5=""),"",IF(COUNTIFS(nrES_PID,$B45,nrES_Code,F$5,nrES_Final,"Yes",nrES_Rec,"&gt;=0")=0,"",SUMIFS(nrES_Rec,nrES_PID,$B45,nrES_Code,F$5,nrES_Final,"Yes")))</f>
        <v/>
      </c>
      <c r="G45" s="17">
        <f>IF(OR($B45="",G$5=""),"",IF(COUNTIFS(nrES_PID,$B45,nrES_Code,G$5,nrES_Final,"Yes",nrES_Rec,"&gt;=0")=0,"",SUMIFS(nrES_Rec,nrES_PID,$B45,nrES_Code,G$5,nrES_Final,"Yes")))</f>
        <v/>
      </c>
      <c r="H45" s="17">
        <f>IF(OR($B45="",H$5=""),"",IF(COUNTIFS(nrES_PID,$B45,nrES_Code,H$5,nrES_Final,"Yes",nrES_Rec,"&gt;=0")=0,"",SUMIFS(nrES_Rec,nrES_PID,$B45,nrES_Code,H$5,nrES_Final,"Yes")))</f>
        <v/>
      </c>
      <c r="I45" s="17">
        <f>IF(OR($B45="",I$5=""),"",IF(COUNTIFS(nrES_PID,$B45,nrES_Code,I$5,nrES_Final,"Yes",nrES_Rec,"&gt;=0")=0,"",SUMIFS(nrES_Rec,nrES_PID,$B45,nrES_Code,I$5,nrES_Final,"Yes")))</f>
        <v/>
      </c>
      <c r="J45" s="17">
        <f>IF(OR($B45="",J$5=""),"",IF(COUNTIFS(nrES_PID,$B45,nrES_Code,J$5,nrES_Final,"Yes",nrES_Rec,"&gt;=0")=0,"",SUMIFS(nrES_Rec,nrES_PID,$B45,nrES_Code,J$5,nrES_Final,"Yes")))</f>
        <v/>
      </c>
      <c r="K45" s="17">
        <f>IF(OR($B45="",K$5=""),"",IF(COUNTIFS(nrES_PID,$B45,nrES_Code,K$5,nrES_Final,"Yes",nrES_Rec,"&gt;=0")=0,"",SUMIFS(nrES_Rec,nrES_PID,$B45,nrES_Code,K$5,nrES_Final,"Yes")))</f>
        <v/>
      </c>
      <c r="L45" s="17">
        <f>IF(OR($B45="",L$5=""),"",IF(COUNTIFS(nrES_PID,$B45,nrES_Code,L$5,nrES_Final,"Yes",nrES_Rec,"&gt;=0")=0,"",SUMIFS(nrES_Rec,nrES_PID,$B45,nrES_Code,L$5,nrES_Final,"Yes")))</f>
        <v/>
      </c>
      <c r="M45" s="17">
        <f>IF(OR($B45="",M$5=""),"",IF(COUNTIFS(nrES_PID,$B45,nrES_Code,M$5,nrES_Final,"Yes",nrES_Rec,"&gt;=0")=0,"",SUMIFS(nrES_Rec,nrES_PID,$B45,nrES_Code,M$5,nrES_Final,"Yes")))</f>
        <v/>
      </c>
      <c r="N45" s="17">
        <f>IF(OR($B45="",N$5=""),"",IF(COUNTIFS(nrES_PID,$B45,nrES_Code,N$5,nrES_Final,"Yes",nrES_Rec,"&gt;=0")=0,"",SUMIFS(nrES_Rec,nrES_PID,$B45,nrES_Code,N$5,nrES_Final,"Yes")))</f>
        <v/>
      </c>
      <c r="O45" s="17">
        <f>IF(OR($B45="",O$5=""),"",IF(COUNTIFS(nrES_PID,$B45,nrES_Code,O$5,nrES_Final,"Yes",nrES_Rec,"&gt;=0")=0,"",SUMIFS(nrES_Rec,nrES_PID,$B45,nrES_Code,O$5,nrES_Final,"Yes")))</f>
        <v/>
      </c>
      <c r="P45" s="17">
        <f>IF(OR($B45="",P$5=""),"",IF(COUNTIFS(nrES_PID,$B45,nrES_Code,P$5,nrES_Final,"Yes",nrES_Rec,"&gt;=0")=0,"",SUMIFS(nrES_Rec,nrES_PID,$B45,nrES_Code,P$5,nrES_Final,"Yes")))</f>
        <v/>
      </c>
      <c r="Q45" s="17">
        <f>IF(OR($B45="",Q$5=""),"",IF(COUNTIFS(nrES_PID,$B45,nrES_Code,Q$5,nrES_Final,"Yes",nrES_Rec,"&gt;=0")=0,"",SUMIFS(nrES_Rec,nrES_PID,$B45,nrES_Code,Q$5,nrES_Final,"Yes")))</f>
        <v/>
      </c>
      <c r="R45" s="17">
        <f>IF(OR($B45="",R$5=""),"",IF(COUNTIFS(nrES_PID,$B45,nrES_Code,R$5,nrES_Final,"Yes",nrES_Rec,"&gt;=0")=0,"",SUMIFS(nrES_Rec,nrES_PID,$B45,nrES_Code,R$5,nrES_Final,"Yes")))</f>
        <v/>
      </c>
      <c r="S45" s="17">
        <f>IF(OR($B45="",S$5=""),"",IF(COUNTIFS(nrES_PID,$B45,nrES_Code,S$5,nrES_Final,"Yes",nrES_Rec,"&gt;=0")=0,"",SUMIFS(nrES_Rec,nrES_PID,$B45,nrES_Code,S$5,nrES_Final,"Yes")))</f>
        <v/>
      </c>
      <c r="T45" s="17">
        <f>IF(OR($B45="",T$5=""),"",IF(COUNTIFS(nrES_PID,$B45,nrES_Code,T$5,nrES_Final,"Yes",nrES_Rec,"&gt;=0")=0,"",SUMIFS(nrES_Rec,nrES_PID,$B45,nrES_Code,T$5,nrES_Final,"Yes")))</f>
        <v/>
      </c>
      <c r="U45" s="17">
        <f>IF(OR($B45="",U$5=""),"",IF(COUNTIFS(nrES_PID,$B45,nrES_Code,U$5,nrES_Final,"Yes",nrES_Rec,"&gt;=0")=0,"",SUMIFS(nrES_Rec,nrES_PID,$B45,nrES_Code,U$5,nrES_Final,"Yes")))</f>
        <v/>
      </c>
      <c r="V45" s="17">
        <f>IF(OR($B45="",V$5=""),"",IF(COUNTIFS(nrES_PID,$B45,nrES_Code,V$5,nrES_Final,"Yes",nrES_Rec,"&gt;=0")=0,"",SUMIFS(nrES_Rec,nrES_PID,$B45,nrES_Code,V$5,nrES_Final,"Yes")))</f>
        <v/>
      </c>
      <c r="W45" s="17">
        <f>IF(OR($B45="",W$5=""),"",IF(COUNTIFS(nrES_PID,$B45,nrES_Code,W$5,nrES_Final,"Yes",nrES_Rec,"&gt;=0")=0,"",SUMIFS(nrES_Rec,nrES_PID,$B45,nrES_Code,W$5,nrES_Final,"Yes")))</f>
        <v/>
      </c>
      <c r="X45" s="17">
        <f>IF(OR($B45="",X$5=""),"",IF(COUNTIFS(nrES_PID,$B45,nrES_Code,X$5,nrES_Final,"Yes",nrES_Rec,"&gt;=0")=0,"",SUMIFS(nrES_Rec,nrES_PID,$B45,nrES_Code,X$5,nrES_Final,"Yes")))</f>
        <v/>
      </c>
      <c r="Y45" s="17">
        <f>IF(OR($B45="",Y$5=""),"",IF(COUNTIFS(nrES_PID,$B45,nrES_Code,Y$5,nrES_Final,"Yes",nrES_Rec,"&gt;=0")=0,"",SUMIFS(nrES_Rec,nrES_PID,$B45,nrES_Code,Y$5,nrES_Final,"Yes")))</f>
        <v/>
      </c>
      <c r="Z45" s="17">
        <f>IF(OR($B45="",Z$5=""),"",IF(COUNTIFS(nrES_PID,$B45,nrES_Code,Z$5,nrES_Final,"Yes",nrES_Rec,"&gt;=0")=0,"",SUMIFS(nrES_Rec,nrES_PID,$B45,nrES_Code,Z$5,nrES_Final,"Yes")))</f>
        <v/>
      </c>
      <c r="AA45" s="17">
        <f>IF(OR($B45="",AA$5=""),"",IF(COUNTIFS(nrES_PID,$B45,nrES_Code,AA$5,nrES_Final,"Yes",nrES_Rec,"&gt;=0")=0,"",SUMIFS(nrES_Rec,nrES_PID,$B45,nrES_Code,AA$5,nrES_Final,"Yes")))</f>
        <v/>
      </c>
      <c r="AB45" s="17">
        <f>IF(OR($B45="",AB$5=""),"",IF(COUNTIFS(nrES_PID,$B45,nrES_Code,AB$5,nrES_Final,"Yes",nrES_Rec,"&gt;=0")=0,"",SUMIFS(nrES_Rec,nrES_PID,$B45,nrES_Code,AB$5,nrES_Final,"Yes")))</f>
        <v/>
      </c>
      <c r="AC45" s="17">
        <f>IF($B45="","",sysGrades!$M45)</f>
        <v/>
      </c>
      <c r="AD45" s="17">
        <f>IF($B45="","",IFERROR(sysGrades!$U45,""))</f>
        <v/>
      </c>
      <c r="AE45" s="17">
        <f>IF(Cadets!$B45="","",Cadets!$I45)</f>
        <v/>
      </c>
    </row>
    <row r="46">
      <c r="B46" s="17">
        <f>IF(Cadets!$B46="","",Cadets!$B46)</f>
        <v/>
      </c>
      <c r="C46" s="17">
        <f>IF($B46="","",Cadets!$F46)</f>
        <v/>
      </c>
      <c r="D46" s="17">
        <f>IF(OR($B46="",D$5=""),"",IF(COUNTIFS(nrES_PID,$B46,nrES_Code,D$5,nrES_Final,"Yes",nrES_Rec,"&gt;=0")=0,"",SUMIFS(nrES_Rec,nrES_PID,$B46,nrES_Code,D$5,nrES_Final,"Yes")))</f>
        <v/>
      </c>
      <c r="E46" s="17">
        <f>IF(OR($B46="",E$5=""),"",IF(COUNTIFS(nrES_PID,$B46,nrES_Code,E$5,nrES_Final,"Yes",nrES_Rec,"&gt;=0")=0,"",SUMIFS(nrES_Rec,nrES_PID,$B46,nrES_Code,E$5,nrES_Final,"Yes")))</f>
        <v/>
      </c>
      <c r="F46" s="17">
        <f>IF(OR($B46="",F$5=""),"",IF(COUNTIFS(nrES_PID,$B46,nrES_Code,F$5,nrES_Final,"Yes",nrES_Rec,"&gt;=0")=0,"",SUMIFS(nrES_Rec,nrES_PID,$B46,nrES_Code,F$5,nrES_Final,"Yes")))</f>
        <v/>
      </c>
      <c r="G46" s="17">
        <f>IF(OR($B46="",G$5=""),"",IF(COUNTIFS(nrES_PID,$B46,nrES_Code,G$5,nrES_Final,"Yes",nrES_Rec,"&gt;=0")=0,"",SUMIFS(nrES_Rec,nrES_PID,$B46,nrES_Code,G$5,nrES_Final,"Yes")))</f>
        <v/>
      </c>
      <c r="H46" s="17">
        <f>IF(OR($B46="",H$5=""),"",IF(COUNTIFS(nrES_PID,$B46,nrES_Code,H$5,nrES_Final,"Yes",nrES_Rec,"&gt;=0")=0,"",SUMIFS(nrES_Rec,nrES_PID,$B46,nrES_Code,H$5,nrES_Final,"Yes")))</f>
        <v/>
      </c>
      <c r="I46" s="17">
        <f>IF(OR($B46="",I$5=""),"",IF(COUNTIFS(nrES_PID,$B46,nrES_Code,I$5,nrES_Final,"Yes",nrES_Rec,"&gt;=0")=0,"",SUMIFS(nrES_Rec,nrES_PID,$B46,nrES_Code,I$5,nrES_Final,"Yes")))</f>
        <v/>
      </c>
      <c r="J46" s="17">
        <f>IF(OR($B46="",J$5=""),"",IF(COUNTIFS(nrES_PID,$B46,nrES_Code,J$5,nrES_Final,"Yes",nrES_Rec,"&gt;=0")=0,"",SUMIFS(nrES_Rec,nrES_PID,$B46,nrES_Code,J$5,nrES_Final,"Yes")))</f>
        <v/>
      </c>
      <c r="K46" s="17">
        <f>IF(OR($B46="",K$5=""),"",IF(COUNTIFS(nrES_PID,$B46,nrES_Code,K$5,nrES_Final,"Yes",nrES_Rec,"&gt;=0")=0,"",SUMIFS(nrES_Rec,nrES_PID,$B46,nrES_Code,K$5,nrES_Final,"Yes")))</f>
        <v/>
      </c>
      <c r="L46" s="17">
        <f>IF(OR($B46="",L$5=""),"",IF(COUNTIFS(nrES_PID,$B46,nrES_Code,L$5,nrES_Final,"Yes",nrES_Rec,"&gt;=0")=0,"",SUMIFS(nrES_Rec,nrES_PID,$B46,nrES_Code,L$5,nrES_Final,"Yes")))</f>
        <v/>
      </c>
      <c r="M46" s="17">
        <f>IF(OR($B46="",M$5=""),"",IF(COUNTIFS(nrES_PID,$B46,nrES_Code,M$5,nrES_Final,"Yes",nrES_Rec,"&gt;=0")=0,"",SUMIFS(nrES_Rec,nrES_PID,$B46,nrES_Code,M$5,nrES_Final,"Yes")))</f>
        <v/>
      </c>
      <c r="N46" s="17">
        <f>IF(OR($B46="",N$5=""),"",IF(COUNTIFS(nrES_PID,$B46,nrES_Code,N$5,nrES_Final,"Yes",nrES_Rec,"&gt;=0")=0,"",SUMIFS(nrES_Rec,nrES_PID,$B46,nrES_Code,N$5,nrES_Final,"Yes")))</f>
        <v/>
      </c>
      <c r="O46" s="17">
        <f>IF(OR($B46="",O$5=""),"",IF(COUNTIFS(nrES_PID,$B46,nrES_Code,O$5,nrES_Final,"Yes",nrES_Rec,"&gt;=0")=0,"",SUMIFS(nrES_Rec,nrES_PID,$B46,nrES_Code,O$5,nrES_Final,"Yes")))</f>
        <v/>
      </c>
      <c r="P46" s="17">
        <f>IF(OR($B46="",P$5=""),"",IF(COUNTIFS(nrES_PID,$B46,nrES_Code,P$5,nrES_Final,"Yes",nrES_Rec,"&gt;=0")=0,"",SUMIFS(nrES_Rec,nrES_PID,$B46,nrES_Code,P$5,nrES_Final,"Yes")))</f>
        <v/>
      </c>
      <c r="Q46" s="17">
        <f>IF(OR($B46="",Q$5=""),"",IF(COUNTIFS(nrES_PID,$B46,nrES_Code,Q$5,nrES_Final,"Yes",nrES_Rec,"&gt;=0")=0,"",SUMIFS(nrES_Rec,nrES_PID,$B46,nrES_Code,Q$5,nrES_Final,"Yes")))</f>
        <v/>
      </c>
      <c r="R46" s="17">
        <f>IF(OR($B46="",R$5=""),"",IF(COUNTIFS(nrES_PID,$B46,nrES_Code,R$5,nrES_Final,"Yes",nrES_Rec,"&gt;=0")=0,"",SUMIFS(nrES_Rec,nrES_PID,$B46,nrES_Code,R$5,nrES_Final,"Yes")))</f>
        <v/>
      </c>
      <c r="S46" s="17">
        <f>IF(OR($B46="",S$5=""),"",IF(COUNTIFS(nrES_PID,$B46,nrES_Code,S$5,nrES_Final,"Yes",nrES_Rec,"&gt;=0")=0,"",SUMIFS(nrES_Rec,nrES_PID,$B46,nrES_Code,S$5,nrES_Final,"Yes")))</f>
        <v/>
      </c>
      <c r="T46" s="17">
        <f>IF(OR($B46="",T$5=""),"",IF(COUNTIFS(nrES_PID,$B46,nrES_Code,T$5,nrES_Final,"Yes",nrES_Rec,"&gt;=0")=0,"",SUMIFS(nrES_Rec,nrES_PID,$B46,nrES_Code,T$5,nrES_Final,"Yes")))</f>
        <v/>
      </c>
      <c r="U46" s="17">
        <f>IF(OR($B46="",U$5=""),"",IF(COUNTIFS(nrES_PID,$B46,nrES_Code,U$5,nrES_Final,"Yes",nrES_Rec,"&gt;=0")=0,"",SUMIFS(nrES_Rec,nrES_PID,$B46,nrES_Code,U$5,nrES_Final,"Yes")))</f>
        <v/>
      </c>
      <c r="V46" s="17">
        <f>IF(OR($B46="",V$5=""),"",IF(COUNTIFS(nrES_PID,$B46,nrES_Code,V$5,nrES_Final,"Yes",nrES_Rec,"&gt;=0")=0,"",SUMIFS(nrES_Rec,nrES_PID,$B46,nrES_Code,V$5,nrES_Final,"Yes")))</f>
        <v/>
      </c>
      <c r="W46" s="17">
        <f>IF(OR($B46="",W$5=""),"",IF(COUNTIFS(nrES_PID,$B46,nrES_Code,W$5,nrES_Final,"Yes",nrES_Rec,"&gt;=0")=0,"",SUMIFS(nrES_Rec,nrES_PID,$B46,nrES_Code,W$5,nrES_Final,"Yes")))</f>
        <v/>
      </c>
      <c r="X46" s="17">
        <f>IF(OR($B46="",X$5=""),"",IF(COUNTIFS(nrES_PID,$B46,nrES_Code,X$5,nrES_Final,"Yes",nrES_Rec,"&gt;=0")=0,"",SUMIFS(nrES_Rec,nrES_PID,$B46,nrES_Code,X$5,nrES_Final,"Yes")))</f>
        <v/>
      </c>
      <c r="Y46" s="17">
        <f>IF(OR($B46="",Y$5=""),"",IF(COUNTIFS(nrES_PID,$B46,nrES_Code,Y$5,nrES_Final,"Yes",nrES_Rec,"&gt;=0")=0,"",SUMIFS(nrES_Rec,nrES_PID,$B46,nrES_Code,Y$5,nrES_Final,"Yes")))</f>
        <v/>
      </c>
      <c r="Z46" s="17">
        <f>IF(OR($B46="",Z$5=""),"",IF(COUNTIFS(nrES_PID,$B46,nrES_Code,Z$5,nrES_Final,"Yes",nrES_Rec,"&gt;=0")=0,"",SUMIFS(nrES_Rec,nrES_PID,$B46,nrES_Code,Z$5,nrES_Final,"Yes")))</f>
        <v/>
      </c>
      <c r="AA46" s="17">
        <f>IF(OR($B46="",AA$5=""),"",IF(COUNTIFS(nrES_PID,$B46,nrES_Code,AA$5,nrES_Final,"Yes",nrES_Rec,"&gt;=0")=0,"",SUMIFS(nrES_Rec,nrES_PID,$B46,nrES_Code,AA$5,nrES_Final,"Yes")))</f>
        <v/>
      </c>
      <c r="AB46" s="17">
        <f>IF(OR($B46="",AB$5=""),"",IF(COUNTIFS(nrES_PID,$B46,nrES_Code,AB$5,nrES_Final,"Yes",nrES_Rec,"&gt;=0")=0,"",SUMIFS(nrES_Rec,nrES_PID,$B46,nrES_Code,AB$5,nrES_Final,"Yes")))</f>
        <v/>
      </c>
      <c r="AC46" s="17">
        <f>IF($B46="","",sysGrades!$M46)</f>
        <v/>
      </c>
      <c r="AD46" s="17">
        <f>IF($B46="","",IFERROR(sysGrades!$U46,""))</f>
        <v/>
      </c>
      <c r="AE46" s="17">
        <f>IF(Cadets!$B46="","",Cadets!$I46)</f>
        <v/>
      </c>
    </row>
    <row r="47">
      <c r="B47" s="17">
        <f>IF(Cadets!$B47="","",Cadets!$B47)</f>
        <v/>
      </c>
      <c r="C47" s="17">
        <f>IF($B47="","",Cadets!$F47)</f>
        <v/>
      </c>
      <c r="D47" s="17">
        <f>IF(OR($B47="",D$5=""),"",IF(COUNTIFS(nrES_PID,$B47,nrES_Code,D$5,nrES_Final,"Yes",nrES_Rec,"&gt;=0")=0,"",SUMIFS(nrES_Rec,nrES_PID,$B47,nrES_Code,D$5,nrES_Final,"Yes")))</f>
        <v/>
      </c>
      <c r="E47" s="17">
        <f>IF(OR($B47="",E$5=""),"",IF(COUNTIFS(nrES_PID,$B47,nrES_Code,E$5,nrES_Final,"Yes",nrES_Rec,"&gt;=0")=0,"",SUMIFS(nrES_Rec,nrES_PID,$B47,nrES_Code,E$5,nrES_Final,"Yes")))</f>
        <v/>
      </c>
      <c r="F47" s="17">
        <f>IF(OR($B47="",F$5=""),"",IF(COUNTIFS(nrES_PID,$B47,nrES_Code,F$5,nrES_Final,"Yes",nrES_Rec,"&gt;=0")=0,"",SUMIFS(nrES_Rec,nrES_PID,$B47,nrES_Code,F$5,nrES_Final,"Yes")))</f>
        <v/>
      </c>
      <c r="G47" s="17">
        <f>IF(OR($B47="",G$5=""),"",IF(COUNTIFS(nrES_PID,$B47,nrES_Code,G$5,nrES_Final,"Yes",nrES_Rec,"&gt;=0")=0,"",SUMIFS(nrES_Rec,nrES_PID,$B47,nrES_Code,G$5,nrES_Final,"Yes")))</f>
        <v/>
      </c>
      <c r="H47" s="17">
        <f>IF(OR($B47="",H$5=""),"",IF(COUNTIFS(nrES_PID,$B47,nrES_Code,H$5,nrES_Final,"Yes",nrES_Rec,"&gt;=0")=0,"",SUMIFS(nrES_Rec,nrES_PID,$B47,nrES_Code,H$5,nrES_Final,"Yes")))</f>
        <v/>
      </c>
      <c r="I47" s="17">
        <f>IF(OR($B47="",I$5=""),"",IF(COUNTIFS(nrES_PID,$B47,nrES_Code,I$5,nrES_Final,"Yes",nrES_Rec,"&gt;=0")=0,"",SUMIFS(nrES_Rec,nrES_PID,$B47,nrES_Code,I$5,nrES_Final,"Yes")))</f>
        <v/>
      </c>
      <c r="J47" s="17">
        <f>IF(OR($B47="",J$5=""),"",IF(COUNTIFS(nrES_PID,$B47,nrES_Code,J$5,nrES_Final,"Yes",nrES_Rec,"&gt;=0")=0,"",SUMIFS(nrES_Rec,nrES_PID,$B47,nrES_Code,J$5,nrES_Final,"Yes")))</f>
        <v/>
      </c>
      <c r="K47" s="17">
        <f>IF(OR($B47="",K$5=""),"",IF(COUNTIFS(nrES_PID,$B47,nrES_Code,K$5,nrES_Final,"Yes",nrES_Rec,"&gt;=0")=0,"",SUMIFS(nrES_Rec,nrES_PID,$B47,nrES_Code,K$5,nrES_Final,"Yes")))</f>
        <v/>
      </c>
      <c r="L47" s="17">
        <f>IF(OR($B47="",L$5=""),"",IF(COUNTIFS(nrES_PID,$B47,nrES_Code,L$5,nrES_Final,"Yes",nrES_Rec,"&gt;=0")=0,"",SUMIFS(nrES_Rec,nrES_PID,$B47,nrES_Code,L$5,nrES_Final,"Yes")))</f>
        <v/>
      </c>
      <c r="M47" s="17">
        <f>IF(OR($B47="",M$5=""),"",IF(COUNTIFS(nrES_PID,$B47,nrES_Code,M$5,nrES_Final,"Yes",nrES_Rec,"&gt;=0")=0,"",SUMIFS(nrES_Rec,nrES_PID,$B47,nrES_Code,M$5,nrES_Final,"Yes")))</f>
        <v/>
      </c>
      <c r="N47" s="17">
        <f>IF(OR($B47="",N$5=""),"",IF(COUNTIFS(nrES_PID,$B47,nrES_Code,N$5,nrES_Final,"Yes",nrES_Rec,"&gt;=0")=0,"",SUMIFS(nrES_Rec,nrES_PID,$B47,nrES_Code,N$5,nrES_Final,"Yes")))</f>
        <v/>
      </c>
      <c r="O47" s="17">
        <f>IF(OR($B47="",O$5=""),"",IF(COUNTIFS(nrES_PID,$B47,nrES_Code,O$5,nrES_Final,"Yes",nrES_Rec,"&gt;=0")=0,"",SUMIFS(nrES_Rec,nrES_PID,$B47,nrES_Code,O$5,nrES_Final,"Yes")))</f>
        <v/>
      </c>
      <c r="P47" s="17">
        <f>IF(OR($B47="",P$5=""),"",IF(COUNTIFS(nrES_PID,$B47,nrES_Code,P$5,nrES_Final,"Yes",nrES_Rec,"&gt;=0")=0,"",SUMIFS(nrES_Rec,nrES_PID,$B47,nrES_Code,P$5,nrES_Final,"Yes")))</f>
        <v/>
      </c>
      <c r="Q47" s="17">
        <f>IF(OR($B47="",Q$5=""),"",IF(COUNTIFS(nrES_PID,$B47,nrES_Code,Q$5,nrES_Final,"Yes",nrES_Rec,"&gt;=0")=0,"",SUMIFS(nrES_Rec,nrES_PID,$B47,nrES_Code,Q$5,nrES_Final,"Yes")))</f>
        <v/>
      </c>
      <c r="R47" s="17">
        <f>IF(OR($B47="",R$5=""),"",IF(COUNTIFS(nrES_PID,$B47,nrES_Code,R$5,nrES_Final,"Yes",nrES_Rec,"&gt;=0")=0,"",SUMIFS(nrES_Rec,nrES_PID,$B47,nrES_Code,R$5,nrES_Final,"Yes")))</f>
        <v/>
      </c>
      <c r="S47" s="17">
        <f>IF(OR($B47="",S$5=""),"",IF(COUNTIFS(nrES_PID,$B47,nrES_Code,S$5,nrES_Final,"Yes",nrES_Rec,"&gt;=0")=0,"",SUMIFS(nrES_Rec,nrES_PID,$B47,nrES_Code,S$5,nrES_Final,"Yes")))</f>
        <v/>
      </c>
      <c r="T47" s="17">
        <f>IF(OR($B47="",T$5=""),"",IF(COUNTIFS(nrES_PID,$B47,nrES_Code,T$5,nrES_Final,"Yes",nrES_Rec,"&gt;=0")=0,"",SUMIFS(nrES_Rec,nrES_PID,$B47,nrES_Code,T$5,nrES_Final,"Yes")))</f>
        <v/>
      </c>
      <c r="U47" s="17">
        <f>IF(OR($B47="",U$5=""),"",IF(COUNTIFS(nrES_PID,$B47,nrES_Code,U$5,nrES_Final,"Yes",nrES_Rec,"&gt;=0")=0,"",SUMIFS(nrES_Rec,nrES_PID,$B47,nrES_Code,U$5,nrES_Final,"Yes")))</f>
        <v/>
      </c>
      <c r="V47" s="17">
        <f>IF(OR($B47="",V$5=""),"",IF(COUNTIFS(nrES_PID,$B47,nrES_Code,V$5,nrES_Final,"Yes",nrES_Rec,"&gt;=0")=0,"",SUMIFS(nrES_Rec,nrES_PID,$B47,nrES_Code,V$5,nrES_Final,"Yes")))</f>
        <v/>
      </c>
      <c r="W47" s="17">
        <f>IF(OR($B47="",W$5=""),"",IF(COUNTIFS(nrES_PID,$B47,nrES_Code,W$5,nrES_Final,"Yes",nrES_Rec,"&gt;=0")=0,"",SUMIFS(nrES_Rec,nrES_PID,$B47,nrES_Code,W$5,nrES_Final,"Yes")))</f>
        <v/>
      </c>
      <c r="X47" s="17">
        <f>IF(OR($B47="",X$5=""),"",IF(COUNTIFS(nrES_PID,$B47,nrES_Code,X$5,nrES_Final,"Yes",nrES_Rec,"&gt;=0")=0,"",SUMIFS(nrES_Rec,nrES_PID,$B47,nrES_Code,X$5,nrES_Final,"Yes")))</f>
        <v/>
      </c>
      <c r="Y47" s="17">
        <f>IF(OR($B47="",Y$5=""),"",IF(COUNTIFS(nrES_PID,$B47,nrES_Code,Y$5,nrES_Final,"Yes",nrES_Rec,"&gt;=0")=0,"",SUMIFS(nrES_Rec,nrES_PID,$B47,nrES_Code,Y$5,nrES_Final,"Yes")))</f>
        <v/>
      </c>
      <c r="Z47" s="17">
        <f>IF(OR($B47="",Z$5=""),"",IF(COUNTIFS(nrES_PID,$B47,nrES_Code,Z$5,nrES_Final,"Yes",nrES_Rec,"&gt;=0")=0,"",SUMIFS(nrES_Rec,nrES_PID,$B47,nrES_Code,Z$5,nrES_Final,"Yes")))</f>
        <v/>
      </c>
      <c r="AA47" s="17">
        <f>IF(OR($B47="",AA$5=""),"",IF(COUNTIFS(nrES_PID,$B47,nrES_Code,AA$5,nrES_Final,"Yes",nrES_Rec,"&gt;=0")=0,"",SUMIFS(nrES_Rec,nrES_PID,$B47,nrES_Code,AA$5,nrES_Final,"Yes")))</f>
        <v/>
      </c>
      <c r="AB47" s="17">
        <f>IF(OR($B47="",AB$5=""),"",IF(COUNTIFS(nrES_PID,$B47,nrES_Code,AB$5,nrES_Final,"Yes",nrES_Rec,"&gt;=0")=0,"",SUMIFS(nrES_Rec,nrES_PID,$B47,nrES_Code,AB$5,nrES_Final,"Yes")))</f>
        <v/>
      </c>
      <c r="AC47" s="17">
        <f>IF($B47="","",sysGrades!$M47)</f>
        <v/>
      </c>
      <c r="AD47" s="17">
        <f>IF($B47="","",IFERROR(sysGrades!$U47,""))</f>
        <v/>
      </c>
      <c r="AE47" s="17">
        <f>IF(Cadets!$B47="","",Cadets!$I47)</f>
        <v/>
      </c>
    </row>
    <row r="48">
      <c r="B48" s="17">
        <f>IF(Cadets!$B48="","",Cadets!$B48)</f>
        <v/>
      </c>
      <c r="C48" s="17">
        <f>IF($B48="","",Cadets!$F48)</f>
        <v/>
      </c>
      <c r="D48" s="17">
        <f>IF(OR($B48="",D$5=""),"",IF(COUNTIFS(nrES_PID,$B48,nrES_Code,D$5,nrES_Final,"Yes",nrES_Rec,"&gt;=0")=0,"",SUMIFS(nrES_Rec,nrES_PID,$B48,nrES_Code,D$5,nrES_Final,"Yes")))</f>
        <v/>
      </c>
      <c r="E48" s="17">
        <f>IF(OR($B48="",E$5=""),"",IF(COUNTIFS(nrES_PID,$B48,nrES_Code,E$5,nrES_Final,"Yes",nrES_Rec,"&gt;=0")=0,"",SUMIFS(nrES_Rec,nrES_PID,$B48,nrES_Code,E$5,nrES_Final,"Yes")))</f>
        <v/>
      </c>
      <c r="F48" s="17">
        <f>IF(OR($B48="",F$5=""),"",IF(COUNTIFS(nrES_PID,$B48,nrES_Code,F$5,nrES_Final,"Yes",nrES_Rec,"&gt;=0")=0,"",SUMIFS(nrES_Rec,nrES_PID,$B48,nrES_Code,F$5,nrES_Final,"Yes")))</f>
        <v/>
      </c>
      <c r="G48" s="17">
        <f>IF(OR($B48="",G$5=""),"",IF(COUNTIFS(nrES_PID,$B48,nrES_Code,G$5,nrES_Final,"Yes",nrES_Rec,"&gt;=0")=0,"",SUMIFS(nrES_Rec,nrES_PID,$B48,nrES_Code,G$5,nrES_Final,"Yes")))</f>
        <v/>
      </c>
      <c r="H48" s="17">
        <f>IF(OR($B48="",H$5=""),"",IF(COUNTIFS(nrES_PID,$B48,nrES_Code,H$5,nrES_Final,"Yes",nrES_Rec,"&gt;=0")=0,"",SUMIFS(nrES_Rec,nrES_PID,$B48,nrES_Code,H$5,nrES_Final,"Yes")))</f>
        <v/>
      </c>
      <c r="I48" s="17">
        <f>IF(OR($B48="",I$5=""),"",IF(COUNTIFS(nrES_PID,$B48,nrES_Code,I$5,nrES_Final,"Yes",nrES_Rec,"&gt;=0")=0,"",SUMIFS(nrES_Rec,nrES_PID,$B48,nrES_Code,I$5,nrES_Final,"Yes")))</f>
        <v/>
      </c>
      <c r="J48" s="17">
        <f>IF(OR($B48="",J$5=""),"",IF(COUNTIFS(nrES_PID,$B48,nrES_Code,J$5,nrES_Final,"Yes",nrES_Rec,"&gt;=0")=0,"",SUMIFS(nrES_Rec,nrES_PID,$B48,nrES_Code,J$5,nrES_Final,"Yes")))</f>
        <v/>
      </c>
      <c r="K48" s="17">
        <f>IF(OR($B48="",K$5=""),"",IF(COUNTIFS(nrES_PID,$B48,nrES_Code,K$5,nrES_Final,"Yes",nrES_Rec,"&gt;=0")=0,"",SUMIFS(nrES_Rec,nrES_PID,$B48,nrES_Code,K$5,nrES_Final,"Yes")))</f>
        <v/>
      </c>
      <c r="L48" s="17">
        <f>IF(OR($B48="",L$5=""),"",IF(COUNTIFS(nrES_PID,$B48,nrES_Code,L$5,nrES_Final,"Yes",nrES_Rec,"&gt;=0")=0,"",SUMIFS(nrES_Rec,nrES_PID,$B48,nrES_Code,L$5,nrES_Final,"Yes")))</f>
        <v/>
      </c>
      <c r="M48" s="17">
        <f>IF(OR($B48="",M$5=""),"",IF(COUNTIFS(nrES_PID,$B48,nrES_Code,M$5,nrES_Final,"Yes",nrES_Rec,"&gt;=0")=0,"",SUMIFS(nrES_Rec,nrES_PID,$B48,nrES_Code,M$5,nrES_Final,"Yes")))</f>
        <v/>
      </c>
      <c r="N48" s="17">
        <f>IF(OR($B48="",N$5=""),"",IF(COUNTIFS(nrES_PID,$B48,nrES_Code,N$5,nrES_Final,"Yes",nrES_Rec,"&gt;=0")=0,"",SUMIFS(nrES_Rec,nrES_PID,$B48,nrES_Code,N$5,nrES_Final,"Yes")))</f>
        <v/>
      </c>
      <c r="O48" s="17">
        <f>IF(OR($B48="",O$5=""),"",IF(COUNTIFS(nrES_PID,$B48,nrES_Code,O$5,nrES_Final,"Yes",nrES_Rec,"&gt;=0")=0,"",SUMIFS(nrES_Rec,nrES_PID,$B48,nrES_Code,O$5,nrES_Final,"Yes")))</f>
        <v/>
      </c>
      <c r="P48" s="17">
        <f>IF(OR($B48="",P$5=""),"",IF(COUNTIFS(nrES_PID,$B48,nrES_Code,P$5,nrES_Final,"Yes",nrES_Rec,"&gt;=0")=0,"",SUMIFS(nrES_Rec,nrES_PID,$B48,nrES_Code,P$5,nrES_Final,"Yes")))</f>
        <v/>
      </c>
      <c r="Q48" s="17">
        <f>IF(OR($B48="",Q$5=""),"",IF(COUNTIFS(nrES_PID,$B48,nrES_Code,Q$5,nrES_Final,"Yes",nrES_Rec,"&gt;=0")=0,"",SUMIFS(nrES_Rec,nrES_PID,$B48,nrES_Code,Q$5,nrES_Final,"Yes")))</f>
        <v/>
      </c>
      <c r="R48" s="17">
        <f>IF(OR($B48="",R$5=""),"",IF(COUNTIFS(nrES_PID,$B48,nrES_Code,R$5,nrES_Final,"Yes",nrES_Rec,"&gt;=0")=0,"",SUMIFS(nrES_Rec,nrES_PID,$B48,nrES_Code,R$5,nrES_Final,"Yes")))</f>
        <v/>
      </c>
      <c r="S48" s="17">
        <f>IF(OR($B48="",S$5=""),"",IF(COUNTIFS(nrES_PID,$B48,nrES_Code,S$5,nrES_Final,"Yes",nrES_Rec,"&gt;=0")=0,"",SUMIFS(nrES_Rec,nrES_PID,$B48,nrES_Code,S$5,nrES_Final,"Yes")))</f>
        <v/>
      </c>
      <c r="T48" s="17">
        <f>IF(OR($B48="",T$5=""),"",IF(COUNTIFS(nrES_PID,$B48,nrES_Code,T$5,nrES_Final,"Yes",nrES_Rec,"&gt;=0")=0,"",SUMIFS(nrES_Rec,nrES_PID,$B48,nrES_Code,T$5,nrES_Final,"Yes")))</f>
        <v/>
      </c>
      <c r="U48" s="17">
        <f>IF(OR($B48="",U$5=""),"",IF(COUNTIFS(nrES_PID,$B48,nrES_Code,U$5,nrES_Final,"Yes",nrES_Rec,"&gt;=0")=0,"",SUMIFS(nrES_Rec,nrES_PID,$B48,nrES_Code,U$5,nrES_Final,"Yes")))</f>
        <v/>
      </c>
      <c r="V48" s="17">
        <f>IF(OR($B48="",V$5=""),"",IF(COUNTIFS(nrES_PID,$B48,nrES_Code,V$5,nrES_Final,"Yes",nrES_Rec,"&gt;=0")=0,"",SUMIFS(nrES_Rec,nrES_PID,$B48,nrES_Code,V$5,nrES_Final,"Yes")))</f>
        <v/>
      </c>
      <c r="W48" s="17">
        <f>IF(OR($B48="",W$5=""),"",IF(COUNTIFS(nrES_PID,$B48,nrES_Code,W$5,nrES_Final,"Yes",nrES_Rec,"&gt;=0")=0,"",SUMIFS(nrES_Rec,nrES_PID,$B48,nrES_Code,W$5,nrES_Final,"Yes")))</f>
        <v/>
      </c>
      <c r="X48" s="17">
        <f>IF(OR($B48="",X$5=""),"",IF(COUNTIFS(nrES_PID,$B48,nrES_Code,X$5,nrES_Final,"Yes",nrES_Rec,"&gt;=0")=0,"",SUMIFS(nrES_Rec,nrES_PID,$B48,nrES_Code,X$5,nrES_Final,"Yes")))</f>
        <v/>
      </c>
      <c r="Y48" s="17">
        <f>IF(OR($B48="",Y$5=""),"",IF(COUNTIFS(nrES_PID,$B48,nrES_Code,Y$5,nrES_Final,"Yes",nrES_Rec,"&gt;=0")=0,"",SUMIFS(nrES_Rec,nrES_PID,$B48,nrES_Code,Y$5,nrES_Final,"Yes")))</f>
        <v/>
      </c>
      <c r="Z48" s="17">
        <f>IF(OR($B48="",Z$5=""),"",IF(COUNTIFS(nrES_PID,$B48,nrES_Code,Z$5,nrES_Final,"Yes",nrES_Rec,"&gt;=0")=0,"",SUMIFS(nrES_Rec,nrES_PID,$B48,nrES_Code,Z$5,nrES_Final,"Yes")))</f>
        <v/>
      </c>
      <c r="AA48" s="17">
        <f>IF(OR($B48="",AA$5=""),"",IF(COUNTIFS(nrES_PID,$B48,nrES_Code,AA$5,nrES_Final,"Yes",nrES_Rec,"&gt;=0")=0,"",SUMIFS(nrES_Rec,nrES_PID,$B48,nrES_Code,AA$5,nrES_Final,"Yes")))</f>
        <v/>
      </c>
      <c r="AB48" s="17">
        <f>IF(OR($B48="",AB$5=""),"",IF(COUNTIFS(nrES_PID,$B48,nrES_Code,AB$5,nrES_Final,"Yes",nrES_Rec,"&gt;=0")=0,"",SUMIFS(nrES_Rec,nrES_PID,$B48,nrES_Code,AB$5,nrES_Final,"Yes")))</f>
        <v/>
      </c>
      <c r="AC48" s="17">
        <f>IF($B48="","",sysGrades!$M48)</f>
        <v/>
      </c>
      <c r="AD48" s="17">
        <f>IF($B48="","",IFERROR(sysGrades!$U48,""))</f>
        <v/>
      </c>
      <c r="AE48" s="17">
        <f>IF(Cadets!$B48="","",Cadets!$I48)</f>
        <v/>
      </c>
    </row>
    <row r="49">
      <c r="B49" s="17">
        <f>IF(Cadets!$B49="","",Cadets!$B49)</f>
        <v/>
      </c>
      <c r="C49" s="17">
        <f>IF($B49="","",Cadets!$F49)</f>
        <v/>
      </c>
      <c r="D49" s="17">
        <f>IF(OR($B49="",D$5=""),"",IF(COUNTIFS(nrES_PID,$B49,nrES_Code,D$5,nrES_Final,"Yes",nrES_Rec,"&gt;=0")=0,"",SUMIFS(nrES_Rec,nrES_PID,$B49,nrES_Code,D$5,nrES_Final,"Yes")))</f>
        <v/>
      </c>
      <c r="E49" s="17">
        <f>IF(OR($B49="",E$5=""),"",IF(COUNTIFS(nrES_PID,$B49,nrES_Code,E$5,nrES_Final,"Yes",nrES_Rec,"&gt;=0")=0,"",SUMIFS(nrES_Rec,nrES_PID,$B49,nrES_Code,E$5,nrES_Final,"Yes")))</f>
        <v/>
      </c>
      <c r="F49" s="17">
        <f>IF(OR($B49="",F$5=""),"",IF(COUNTIFS(nrES_PID,$B49,nrES_Code,F$5,nrES_Final,"Yes",nrES_Rec,"&gt;=0")=0,"",SUMIFS(nrES_Rec,nrES_PID,$B49,nrES_Code,F$5,nrES_Final,"Yes")))</f>
        <v/>
      </c>
      <c r="G49" s="17">
        <f>IF(OR($B49="",G$5=""),"",IF(COUNTIFS(nrES_PID,$B49,nrES_Code,G$5,nrES_Final,"Yes",nrES_Rec,"&gt;=0")=0,"",SUMIFS(nrES_Rec,nrES_PID,$B49,nrES_Code,G$5,nrES_Final,"Yes")))</f>
        <v/>
      </c>
      <c r="H49" s="17">
        <f>IF(OR($B49="",H$5=""),"",IF(COUNTIFS(nrES_PID,$B49,nrES_Code,H$5,nrES_Final,"Yes",nrES_Rec,"&gt;=0")=0,"",SUMIFS(nrES_Rec,nrES_PID,$B49,nrES_Code,H$5,nrES_Final,"Yes")))</f>
        <v/>
      </c>
      <c r="I49" s="17">
        <f>IF(OR($B49="",I$5=""),"",IF(COUNTIFS(nrES_PID,$B49,nrES_Code,I$5,nrES_Final,"Yes",nrES_Rec,"&gt;=0")=0,"",SUMIFS(nrES_Rec,nrES_PID,$B49,nrES_Code,I$5,nrES_Final,"Yes")))</f>
        <v/>
      </c>
      <c r="J49" s="17">
        <f>IF(OR($B49="",J$5=""),"",IF(COUNTIFS(nrES_PID,$B49,nrES_Code,J$5,nrES_Final,"Yes",nrES_Rec,"&gt;=0")=0,"",SUMIFS(nrES_Rec,nrES_PID,$B49,nrES_Code,J$5,nrES_Final,"Yes")))</f>
        <v/>
      </c>
      <c r="K49" s="17">
        <f>IF(OR($B49="",K$5=""),"",IF(COUNTIFS(nrES_PID,$B49,nrES_Code,K$5,nrES_Final,"Yes",nrES_Rec,"&gt;=0")=0,"",SUMIFS(nrES_Rec,nrES_PID,$B49,nrES_Code,K$5,nrES_Final,"Yes")))</f>
        <v/>
      </c>
      <c r="L49" s="17">
        <f>IF(OR($B49="",L$5=""),"",IF(COUNTIFS(nrES_PID,$B49,nrES_Code,L$5,nrES_Final,"Yes",nrES_Rec,"&gt;=0")=0,"",SUMIFS(nrES_Rec,nrES_PID,$B49,nrES_Code,L$5,nrES_Final,"Yes")))</f>
        <v/>
      </c>
      <c r="M49" s="17">
        <f>IF(OR($B49="",M$5=""),"",IF(COUNTIFS(nrES_PID,$B49,nrES_Code,M$5,nrES_Final,"Yes",nrES_Rec,"&gt;=0")=0,"",SUMIFS(nrES_Rec,nrES_PID,$B49,nrES_Code,M$5,nrES_Final,"Yes")))</f>
        <v/>
      </c>
      <c r="N49" s="17">
        <f>IF(OR($B49="",N$5=""),"",IF(COUNTIFS(nrES_PID,$B49,nrES_Code,N$5,nrES_Final,"Yes",nrES_Rec,"&gt;=0")=0,"",SUMIFS(nrES_Rec,nrES_PID,$B49,nrES_Code,N$5,nrES_Final,"Yes")))</f>
        <v/>
      </c>
      <c r="O49" s="17">
        <f>IF(OR($B49="",O$5=""),"",IF(COUNTIFS(nrES_PID,$B49,nrES_Code,O$5,nrES_Final,"Yes",nrES_Rec,"&gt;=0")=0,"",SUMIFS(nrES_Rec,nrES_PID,$B49,nrES_Code,O$5,nrES_Final,"Yes")))</f>
        <v/>
      </c>
      <c r="P49" s="17">
        <f>IF(OR($B49="",P$5=""),"",IF(COUNTIFS(nrES_PID,$B49,nrES_Code,P$5,nrES_Final,"Yes",nrES_Rec,"&gt;=0")=0,"",SUMIFS(nrES_Rec,nrES_PID,$B49,nrES_Code,P$5,nrES_Final,"Yes")))</f>
        <v/>
      </c>
      <c r="Q49" s="17">
        <f>IF(OR($B49="",Q$5=""),"",IF(COUNTIFS(nrES_PID,$B49,nrES_Code,Q$5,nrES_Final,"Yes",nrES_Rec,"&gt;=0")=0,"",SUMIFS(nrES_Rec,nrES_PID,$B49,nrES_Code,Q$5,nrES_Final,"Yes")))</f>
        <v/>
      </c>
      <c r="R49" s="17">
        <f>IF(OR($B49="",R$5=""),"",IF(COUNTIFS(nrES_PID,$B49,nrES_Code,R$5,nrES_Final,"Yes",nrES_Rec,"&gt;=0")=0,"",SUMIFS(nrES_Rec,nrES_PID,$B49,nrES_Code,R$5,nrES_Final,"Yes")))</f>
        <v/>
      </c>
      <c r="S49" s="17">
        <f>IF(OR($B49="",S$5=""),"",IF(COUNTIFS(nrES_PID,$B49,nrES_Code,S$5,nrES_Final,"Yes",nrES_Rec,"&gt;=0")=0,"",SUMIFS(nrES_Rec,nrES_PID,$B49,nrES_Code,S$5,nrES_Final,"Yes")))</f>
        <v/>
      </c>
      <c r="T49" s="17">
        <f>IF(OR($B49="",T$5=""),"",IF(COUNTIFS(nrES_PID,$B49,nrES_Code,T$5,nrES_Final,"Yes",nrES_Rec,"&gt;=0")=0,"",SUMIFS(nrES_Rec,nrES_PID,$B49,nrES_Code,T$5,nrES_Final,"Yes")))</f>
        <v/>
      </c>
      <c r="U49" s="17">
        <f>IF(OR($B49="",U$5=""),"",IF(COUNTIFS(nrES_PID,$B49,nrES_Code,U$5,nrES_Final,"Yes",nrES_Rec,"&gt;=0")=0,"",SUMIFS(nrES_Rec,nrES_PID,$B49,nrES_Code,U$5,nrES_Final,"Yes")))</f>
        <v/>
      </c>
      <c r="V49" s="17">
        <f>IF(OR($B49="",V$5=""),"",IF(COUNTIFS(nrES_PID,$B49,nrES_Code,V$5,nrES_Final,"Yes",nrES_Rec,"&gt;=0")=0,"",SUMIFS(nrES_Rec,nrES_PID,$B49,nrES_Code,V$5,nrES_Final,"Yes")))</f>
        <v/>
      </c>
      <c r="W49" s="17">
        <f>IF(OR($B49="",W$5=""),"",IF(COUNTIFS(nrES_PID,$B49,nrES_Code,W$5,nrES_Final,"Yes",nrES_Rec,"&gt;=0")=0,"",SUMIFS(nrES_Rec,nrES_PID,$B49,nrES_Code,W$5,nrES_Final,"Yes")))</f>
        <v/>
      </c>
      <c r="X49" s="17">
        <f>IF(OR($B49="",X$5=""),"",IF(COUNTIFS(nrES_PID,$B49,nrES_Code,X$5,nrES_Final,"Yes",nrES_Rec,"&gt;=0")=0,"",SUMIFS(nrES_Rec,nrES_PID,$B49,nrES_Code,X$5,nrES_Final,"Yes")))</f>
        <v/>
      </c>
      <c r="Y49" s="17">
        <f>IF(OR($B49="",Y$5=""),"",IF(COUNTIFS(nrES_PID,$B49,nrES_Code,Y$5,nrES_Final,"Yes",nrES_Rec,"&gt;=0")=0,"",SUMIFS(nrES_Rec,nrES_PID,$B49,nrES_Code,Y$5,nrES_Final,"Yes")))</f>
        <v/>
      </c>
      <c r="Z49" s="17">
        <f>IF(OR($B49="",Z$5=""),"",IF(COUNTIFS(nrES_PID,$B49,nrES_Code,Z$5,nrES_Final,"Yes",nrES_Rec,"&gt;=0")=0,"",SUMIFS(nrES_Rec,nrES_PID,$B49,nrES_Code,Z$5,nrES_Final,"Yes")))</f>
        <v/>
      </c>
      <c r="AA49" s="17">
        <f>IF(OR($B49="",AA$5=""),"",IF(COUNTIFS(nrES_PID,$B49,nrES_Code,AA$5,nrES_Final,"Yes",nrES_Rec,"&gt;=0")=0,"",SUMIFS(nrES_Rec,nrES_PID,$B49,nrES_Code,AA$5,nrES_Final,"Yes")))</f>
        <v/>
      </c>
      <c r="AB49" s="17">
        <f>IF(OR($B49="",AB$5=""),"",IF(COUNTIFS(nrES_PID,$B49,nrES_Code,AB$5,nrES_Final,"Yes",nrES_Rec,"&gt;=0")=0,"",SUMIFS(nrES_Rec,nrES_PID,$B49,nrES_Code,AB$5,nrES_Final,"Yes")))</f>
        <v/>
      </c>
      <c r="AC49" s="17">
        <f>IF($B49="","",sysGrades!$M49)</f>
        <v/>
      </c>
      <c r="AD49" s="17">
        <f>IF($B49="","",IFERROR(sysGrades!$U49,""))</f>
        <v/>
      </c>
      <c r="AE49" s="17">
        <f>IF(Cadets!$B49="","",Cadets!$I49)</f>
        <v/>
      </c>
    </row>
    <row r="50">
      <c r="B50" s="17">
        <f>IF(Cadets!$B50="","",Cadets!$B50)</f>
        <v/>
      </c>
      <c r="C50" s="17">
        <f>IF($B50="","",Cadets!$F50)</f>
        <v/>
      </c>
      <c r="D50" s="17">
        <f>IF(OR($B50="",D$5=""),"",IF(COUNTIFS(nrES_PID,$B50,nrES_Code,D$5,nrES_Final,"Yes",nrES_Rec,"&gt;=0")=0,"",SUMIFS(nrES_Rec,nrES_PID,$B50,nrES_Code,D$5,nrES_Final,"Yes")))</f>
        <v/>
      </c>
      <c r="E50" s="17">
        <f>IF(OR($B50="",E$5=""),"",IF(COUNTIFS(nrES_PID,$B50,nrES_Code,E$5,nrES_Final,"Yes",nrES_Rec,"&gt;=0")=0,"",SUMIFS(nrES_Rec,nrES_PID,$B50,nrES_Code,E$5,nrES_Final,"Yes")))</f>
        <v/>
      </c>
      <c r="F50" s="17">
        <f>IF(OR($B50="",F$5=""),"",IF(COUNTIFS(nrES_PID,$B50,nrES_Code,F$5,nrES_Final,"Yes",nrES_Rec,"&gt;=0")=0,"",SUMIFS(nrES_Rec,nrES_PID,$B50,nrES_Code,F$5,nrES_Final,"Yes")))</f>
        <v/>
      </c>
      <c r="G50" s="17">
        <f>IF(OR($B50="",G$5=""),"",IF(COUNTIFS(nrES_PID,$B50,nrES_Code,G$5,nrES_Final,"Yes",nrES_Rec,"&gt;=0")=0,"",SUMIFS(nrES_Rec,nrES_PID,$B50,nrES_Code,G$5,nrES_Final,"Yes")))</f>
        <v/>
      </c>
      <c r="H50" s="17">
        <f>IF(OR($B50="",H$5=""),"",IF(COUNTIFS(nrES_PID,$B50,nrES_Code,H$5,nrES_Final,"Yes",nrES_Rec,"&gt;=0")=0,"",SUMIFS(nrES_Rec,nrES_PID,$B50,nrES_Code,H$5,nrES_Final,"Yes")))</f>
        <v/>
      </c>
      <c r="I50" s="17">
        <f>IF(OR($B50="",I$5=""),"",IF(COUNTIFS(nrES_PID,$B50,nrES_Code,I$5,nrES_Final,"Yes",nrES_Rec,"&gt;=0")=0,"",SUMIFS(nrES_Rec,nrES_PID,$B50,nrES_Code,I$5,nrES_Final,"Yes")))</f>
        <v/>
      </c>
      <c r="J50" s="17">
        <f>IF(OR($B50="",J$5=""),"",IF(COUNTIFS(nrES_PID,$B50,nrES_Code,J$5,nrES_Final,"Yes",nrES_Rec,"&gt;=0")=0,"",SUMIFS(nrES_Rec,nrES_PID,$B50,nrES_Code,J$5,nrES_Final,"Yes")))</f>
        <v/>
      </c>
      <c r="K50" s="17">
        <f>IF(OR($B50="",K$5=""),"",IF(COUNTIFS(nrES_PID,$B50,nrES_Code,K$5,nrES_Final,"Yes",nrES_Rec,"&gt;=0")=0,"",SUMIFS(nrES_Rec,nrES_PID,$B50,nrES_Code,K$5,nrES_Final,"Yes")))</f>
        <v/>
      </c>
      <c r="L50" s="17">
        <f>IF(OR($B50="",L$5=""),"",IF(COUNTIFS(nrES_PID,$B50,nrES_Code,L$5,nrES_Final,"Yes",nrES_Rec,"&gt;=0")=0,"",SUMIFS(nrES_Rec,nrES_PID,$B50,nrES_Code,L$5,nrES_Final,"Yes")))</f>
        <v/>
      </c>
      <c r="M50" s="17">
        <f>IF(OR($B50="",M$5=""),"",IF(COUNTIFS(nrES_PID,$B50,nrES_Code,M$5,nrES_Final,"Yes",nrES_Rec,"&gt;=0")=0,"",SUMIFS(nrES_Rec,nrES_PID,$B50,nrES_Code,M$5,nrES_Final,"Yes")))</f>
        <v/>
      </c>
      <c r="N50" s="17">
        <f>IF(OR($B50="",N$5=""),"",IF(COUNTIFS(nrES_PID,$B50,nrES_Code,N$5,nrES_Final,"Yes",nrES_Rec,"&gt;=0")=0,"",SUMIFS(nrES_Rec,nrES_PID,$B50,nrES_Code,N$5,nrES_Final,"Yes")))</f>
        <v/>
      </c>
      <c r="O50" s="17">
        <f>IF(OR($B50="",O$5=""),"",IF(COUNTIFS(nrES_PID,$B50,nrES_Code,O$5,nrES_Final,"Yes",nrES_Rec,"&gt;=0")=0,"",SUMIFS(nrES_Rec,nrES_PID,$B50,nrES_Code,O$5,nrES_Final,"Yes")))</f>
        <v/>
      </c>
      <c r="P50" s="17">
        <f>IF(OR($B50="",P$5=""),"",IF(COUNTIFS(nrES_PID,$B50,nrES_Code,P$5,nrES_Final,"Yes",nrES_Rec,"&gt;=0")=0,"",SUMIFS(nrES_Rec,nrES_PID,$B50,nrES_Code,P$5,nrES_Final,"Yes")))</f>
        <v/>
      </c>
      <c r="Q50" s="17">
        <f>IF(OR($B50="",Q$5=""),"",IF(COUNTIFS(nrES_PID,$B50,nrES_Code,Q$5,nrES_Final,"Yes",nrES_Rec,"&gt;=0")=0,"",SUMIFS(nrES_Rec,nrES_PID,$B50,nrES_Code,Q$5,nrES_Final,"Yes")))</f>
        <v/>
      </c>
      <c r="R50" s="17">
        <f>IF(OR($B50="",R$5=""),"",IF(COUNTIFS(nrES_PID,$B50,nrES_Code,R$5,nrES_Final,"Yes",nrES_Rec,"&gt;=0")=0,"",SUMIFS(nrES_Rec,nrES_PID,$B50,nrES_Code,R$5,nrES_Final,"Yes")))</f>
        <v/>
      </c>
      <c r="S50" s="17">
        <f>IF(OR($B50="",S$5=""),"",IF(COUNTIFS(nrES_PID,$B50,nrES_Code,S$5,nrES_Final,"Yes",nrES_Rec,"&gt;=0")=0,"",SUMIFS(nrES_Rec,nrES_PID,$B50,nrES_Code,S$5,nrES_Final,"Yes")))</f>
        <v/>
      </c>
      <c r="T50" s="17">
        <f>IF(OR($B50="",T$5=""),"",IF(COUNTIFS(nrES_PID,$B50,nrES_Code,T$5,nrES_Final,"Yes",nrES_Rec,"&gt;=0")=0,"",SUMIFS(nrES_Rec,nrES_PID,$B50,nrES_Code,T$5,nrES_Final,"Yes")))</f>
        <v/>
      </c>
      <c r="U50" s="17">
        <f>IF(OR($B50="",U$5=""),"",IF(COUNTIFS(nrES_PID,$B50,nrES_Code,U$5,nrES_Final,"Yes",nrES_Rec,"&gt;=0")=0,"",SUMIFS(nrES_Rec,nrES_PID,$B50,nrES_Code,U$5,nrES_Final,"Yes")))</f>
        <v/>
      </c>
      <c r="V50" s="17">
        <f>IF(OR($B50="",V$5=""),"",IF(COUNTIFS(nrES_PID,$B50,nrES_Code,V$5,nrES_Final,"Yes",nrES_Rec,"&gt;=0")=0,"",SUMIFS(nrES_Rec,nrES_PID,$B50,nrES_Code,V$5,nrES_Final,"Yes")))</f>
        <v/>
      </c>
      <c r="W50" s="17">
        <f>IF(OR($B50="",W$5=""),"",IF(COUNTIFS(nrES_PID,$B50,nrES_Code,W$5,nrES_Final,"Yes",nrES_Rec,"&gt;=0")=0,"",SUMIFS(nrES_Rec,nrES_PID,$B50,nrES_Code,W$5,nrES_Final,"Yes")))</f>
        <v/>
      </c>
      <c r="X50" s="17">
        <f>IF(OR($B50="",X$5=""),"",IF(COUNTIFS(nrES_PID,$B50,nrES_Code,X$5,nrES_Final,"Yes",nrES_Rec,"&gt;=0")=0,"",SUMIFS(nrES_Rec,nrES_PID,$B50,nrES_Code,X$5,nrES_Final,"Yes")))</f>
        <v/>
      </c>
      <c r="Y50" s="17">
        <f>IF(OR($B50="",Y$5=""),"",IF(COUNTIFS(nrES_PID,$B50,nrES_Code,Y$5,nrES_Final,"Yes",nrES_Rec,"&gt;=0")=0,"",SUMIFS(nrES_Rec,nrES_PID,$B50,nrES_Code,Y$5,nrES_Final,"Yes")))</f>
        <v/>
      </c>
      <c r="Z50" s="17">
        <f>IF(OR($B50="",Z$5=""),"",IF(COUNTIFS(nrES_PID,$B50,nrES_Code,Z$5,nrES_Final,"Yes",nrES_Rec,"&gt;=0")=0,"",SUMIFS(nrES_Rec,nrES_PID,$B50,nrES_Code,Z$5,nrES_Final,"Yes")))</f>
        <v/>
      </c>
      <c r="AA50" s="17">
        <f>IF(OR($B50="",AA$5=""),"",IF(COUNTIFS(nrES_PID,$B50,nrES_Code,AA$5,nrES_Final,"Yes",nrES_Rec,"&gt;=0")=0,"",SUMIFS(nrES_Rec,nrES_PID,$B50,nrES_Code,AA$5,nrES_Final,"Yes")))</f>
        <v/>
      </c>
      <c r="AB50" s="17">
        <f>IF(OR($B50="",AB$5=""),"",IF(COUNTIFS(nrES_PID,$B50,nrES_Code,AB$5,nrES_Final,"Yes",nrES_Rec,"&gt;=0")=0,"",SUMIFS(nrES_Rec,nrES_PID,$B50,nrES_Code,AB$5,nrES_Final,"Yes")))</f>
        <v/>
      </c>
      <c r="AC50" s="17">
        <f>IF($B50="","",sysGrades!$M50)</f>
        <v/>
      </c>
      <c r="AD50" s="17">
        <f>IF($B50="","",IFERROR(sysGrades!$U50,""))</f>
        <v/>
      </c>
      <c r="AE50" s="17">
        <f>IF(Cadets!$B50="","",Cadets!$I50)</f>
        <v/>
      </c>
    </row>
    <row r="51">
      <c r="B51" s="17">
        <f>IF(Cadets!$B51="","",Cadets!$B51)</f>
        <v/>
      </c>
      <c r="C51" s="17">
        <f>IF($B51="","",Cadets!$F51)</f>
        <v/>
      </c>
      <c r="D51" s="17">
        <f>IF(OR($B51="",D$5=""),"",IF(COUNTIFS(nrES_PID,$B51,nrES_Code,D$5,nrES_Final,"Yes",nrES_Rec,"&gt;=0")=0,"",SUMIFS(nrES_Rec,nrES_PID,$B51,nrES_Code,D$5,nrES_Final,"Yes")))</f>
        <v/>
      </c>
      <c r="E51" s="17">
        <f>IF(OR($B51="",E$5=""),"",IF(COUNTIFS(nrES_PID,$B51,nrES_Code,E$5,nrES_Final,"Yes",nrES_Rec,"&gt;=0")=0,"",SUMIFS(nrES_Rec,nrES_PID,$B51,nrES_Code,E$5,nrES_Final,"Yes")))</f>
        <v/>
      </c>
      <c r="F51" s="17">
        <f>IF(OR($B51="",F$5=""),"",IF(COUNTIFS(nrES_PID,$B51,nrES_Code,F$5,nrES_Final,"Yes",nrES_Rec,"&gt;=0")=0,"",SUMIFS(nrES_Rec,nrES_PID,$B51,nrES_Code,F$5,nrES_Final,"Yes")))</f>
        <v/>
      </c>
      <c r="G51" s="17">
        <f>IF(OR($B51="",G$5=""),"",IF(COUNTIFS(nrES_PID,$B51,nrES_Code,G$5,nrES_Final,"Yes",nrES_Rec,"&gt;=0")=0,"",SUMIFS(nrES_Rec,nrES_PID,$B51,nrES_Code,G$5,nrES_Final,"Yes")))</f>
        <v/>
      </c>
      <c r="H51" s="17">
        <f>IF(OR($B51="",H$5=""),"",IF(COUNTIFS(nrES_PID,$B51,nrES_Code,H$5,nrES_Final,"Yes",nrES_Rec,"&gt;=0")=0,"",SUMIFS(nrES_Rec,nrES_PID,$B51,nrES_Code,H$5,nrES_Final,"Yes")))</f>
        <v/>
      </c>
      <c r="I51" s="17">
        <f>IF(OR($B51="",I$5=""),"",IF(COUNTIFS(nrES_PID,$B51,nrES_Code,I$5,nrES_Final,"Yes",nrES_Rec,"&gt;=0")=0,"",SUMIFS(nrES_Rec,nrES_PID,$B51,nrES_Code,I$5,nrES_Final,"Yes")))</f>
        <v/>
      </c>
      <c r="J51" s="17">
        <f>IF(OR($B51="",J$5=""),"",IF(COUNTIFS(nrES_PID,$B51,nrES_Code,J$5,nrES_Final,"Yes",nrES_Rec,"&gt;=0")=0,"",SUMIFS(nrES_Rec,nrES_PID,$B51,nrES_Code,J$5,nrES_Final,"Yes")))</f>
        <v/>
      </c>
      <c r="K51" s="17">
        <f>IF(OR($B51="",K$5=""),"",IF(COUNTIFS(nrES_PID,$B51,nrES_Code,K$5,nrES_Final,"Yes",nrES_Rec,"&gt;=0")=0,"",SUMIFS(nrES_Rec,nrES_PID,$B51,nrES_Code,K$5,nrES_Final,"Yes")))</f>
        <v/>
      </c>
      <c r="L51" s="17">
        <f>IF(OR($B51="",L$5=""),"",IF(COUNTIFS(nrES_PID,$B51,nrES_Code,L$5,nrES_Final,"Yes",nrES_Rec,"&gt;=0")=0,"",SUMIFS(nrES_Rec,nrES_PID,$B51,nrES_Code,L$5,nrES_Final,"Yes")))</f>
        <v/>
      </c>
      <c r="M51" s="17">
        <f>IF(OR($B51="",M$5=""),"",IF(COUNTIFS(nrES_PID,$B51,nrES_Code,M$5,nrES_Final,"Yes",nrES_Rec,"&gt;=0")=0,"",SUMIFS(nrES_Rec,nrES_PID,$B51,nrES_Code,M$5,nrES_Final,"Yes")))</f>
        <v/>
      </c>
      <c r="N51" s="17">
        <f>IF(OR($B51="",N$5=""),"",IF(COUNTIFS(nrES_PID,$B51,nrES_Code,N$5,nrES_Final,"Yes",nrES_Rec,"&gt;=0")=0,"",SUMIFS(nrES_Rec,nrES_PID,$B51,nrES_Code,N$5,nrES_Final,"Yes")))</f>
        <v/>
      </c>
      <c r="O51" s="17">
        <f>IF(OR($B51="",O$5=""),"",IF(COUNTIFS(nrES_PID,$B51,nrES_Code,O$5,nrES_Final,"Yes",nrES_Rec,"&gt;=0")=0,"",SUMIFS(nrES_Rec,nrES_PID,$B51,nrES_Code,O$5,nrES_Final,"Yes")))</f>
        <v/>
      </c>
      <c r="P51" s="17">
        <f>IF(OR($B51="",P$5=""),"",IF(COUNTIFS(nrES_PID,$B51,nrES_Code,P$5,nrES_Final,"Yes",nrES_Rec,"&gt;=0")=0,"",SUMIFS(nrES_Rec,nrES_PID,$B51,nrES_Code,P$5,nrES_Final,"Yes")))</f>
        <v/>
      </c>
      <c r="Q51" s="17">
        <f>IF(OR($B51="",Q$5=""),"",IF(COUNTIFS(nrES_PID,$B51,nrES_Code,Q$5,nrES_Final,"Yes",nrES_Rec,"&gt;=0")=0,"",SUMIFS(nrES_Rec,nrES_PID,$B51,nrES_Code,Q$5,nrES_Final,"Yes")))</f>
        <v/>
      </c>
      <c r="R51" s="17">
        <f>IF(OR($B51="",R$5=""),"",IF(COUNTIFS(nrES_PID,$B51,nrES_Code,R$5,nrES_Final,"Yes",nrES_Rec,"&gt;=0")=0,"",SUMIFS(nrES_Rec,nrES_PID,$B51,nrES_Code,R$5,nrES_Final,"Yes")))</f>
        <v/>
      </c>
      <c r="S51" s="17">
        <f>IF(OR($B51="",S$5=""),"",IF(COUNTIFS(nrES_PID,$B51,nrES_Code,S$5,nrES_Final,"Yes",nrES_Rec,"&gt;=0")=0,"",SUMIFS(nrES_Rec,nrES_PID,$B51,nrES_Code,S$5,nrES_Final,"Yes")))</f>
        <v/>
      </c>
      <c r="T51" s="17">
        <f>IF(OR($B51="",T$5=""),"",IF(COUNTIFS(nrES_PID,$B51,nrES_Code,T$5,nrES_Final,"Yes",nrES_Rec,"&gt;=0")=0,"",SUMIFS(nrES_Rec,nrES_PID,$B51,nrES_Code,T$5,nrES_Final,"Yes")))</f>
        <v/>
      </c>
      <c r="U51" s="17">
        <f>IF(OR($B51="",U$5=""),"",IF(COUNTIFS(nrES_PID,$B51,nrES_Code,U$5,nrES_Final,"Yes",nrES_Rec,"&gt;=0")=0,"",SUMIFS(nrES_Rec,nrES_PID,$B51,nrES_Code,U$5,nrES_Final,"Yes")))</f>
        <v/>
      </c>
      <c r="V51" s="17">
        <f>IF(OR($B51="",V$5=""),"",IF(COUNTIFS(nrES_PID,$B51,nrES_Code,V$5,nrES_Final,"Yes",nrES_Rec,"&gt;=0")=0,"",SUMIFS(nrES_Rec,nrES_PID,$B51,nrES_Code,V$5,nrES_Final,"Yes")))</f>
        <v/>
      </c>
      <c r="W51" s="17">
        <f>IF(OR($B51="",W$5=""),"",IF(COUNTIFS(nrES_PID,$B51,nrES_Code,W$5,nrES_Final,"Yes",nrES_Rec,"&gt;=0")=0,"",SUMIFS(nrES_Rec,nrES_PID,$B51,nrES_Code,W$5,nrES_Final,"Yes")))</f>
        <v/>
      </c>
      <c r="X51" s="17">
        <f>IF(OR($B51="",X$5=""),"",IF(COUNTIFS(nrES_PID,$B51,nrES_Code,X$5,nrES_Final,"Yes",nrES_Rec,"&gt;=0")=0,"",SUMIFS(nrES_Rec,nrES_PID,$B51,nrES_Code,X$5,nrES_Final,"Yes")))</f>
        <v/>
      </c>
      <c r="Y51" s="17">
        <f>IF(OR($B51="",Y$5=""),"",IF(COUNTIFS(nrES_PID,$B51,nrES_Code,Y$5,nrES_Final,"Yes",nrES_Rec,"&gt;=0")=0,"",SUMIFS(nrES_Rec,nrES_PID,$B51,nrES_Code,Y$5,nrES_Final,"Yes")))</f>
        <v/>
      </c>
      <c r="Z51" s="17">
        <f>IF(OR($B51="",Z$5=""),"",IF(COUNTIFS(nrES_PID,$B51,nrES_Code,Z$5,nrES_Final,"Yes",nrES_Rec,"&gt;=0")=0,"",SUMIFS(nrES_Rec,nrES_PID,$B51,nrES_Code,Z$5,nrES_Final,"Yes")))</f>
        <v/>
      </c>
      <c r="AA51" s="17">
        <f>IF(OR($B51="",AA$5=""),"",IF(COUNTIFS(nrES_PID,$B51,nrES_Code,AA$5,nrES_Final,"Yes",nrES_Rec,"&gt;=0")=0,"",SUMIFS(nrES_Rec,nrES_PID,$B51,nrES_Code,AA$5,nrES_Final,"Yes")))</f>
        <v/>
      </c>
      <c r="AB51" s="17">
        <f>IF(OR($B51="",AB$5=""),"",IF(COUNTIFS(nrES_PID,$B51,nrES_Code,AB$5,nrES_Final,"Yes",nrES_Rec,"&gt;=0")=0,"",SUMIFS(nrES_Rec,nrES_PID,$B51,nrES_Code,AB$5,nrES_Final,"Yes")))</f>
        <v/>
      </c>
      <c r="AC51" s="17">
        <f>IF($B51="","",sysGrades!$M51)</f>
        <v/>
      </c>
      <c r="AD51" s="17">
        <f>IF($B51="","",IFERROR(sysGrades!$U51,""))</f>
        <v/>
      </c>
      <c r="AE51" s="17">
        <f>IF(Cadets!$B51="","",Cadets!$I51)</f>
        <v/>
      </c>
    </row>
    <row r="52">
      <c r="B52" s="17">
        <f>IF(Cadets!$B52="","",Cadets!$B52)</f>
        <v/>
      </c>
      <c r="C52" s="17">
        <f>IF($B52="","",Cadets!$F52)</f>
        <v/>
      </c>
      <c r="D52" s="17">
        <f>IF(OR($B52="",D$5=""),"",IF(COUNTIFS(nrES_PID,$B52,nrES_Code,D$5,nrES_Final,"Yes",nrES_Rec,"&gt;=0")=0,"",SUMIFS(nrES_Rec,nrES_PID,$B52,nrES_Code,D$5,nrES_Final,"Yes")))</f>
        <v/>
      </c>
      <c r="E52" s="17">
        <f>IF(OR($B52="",E$5=""),"",IF(COUNTIFS(nrES_PID,$B52,nrES_Code,E$5,nrES_Final,"Yes",nrES_Rec,"&gt;=0")=0,"",SUMIFS(nrES_Rec,nrES_PID,$B52,nrES_Code,E$5,nrES_Final,"Yes")))</f>
        <v/>
      </c>
      <c r="F52" s="17">
        <f>IF(OR($B52="",F$5=""),"",IF(COUNTIFS(nrES_PID,$B52,nrES_Code,F$5,nrES_Final,"Yes",nrES_Rec,"&gt;=0")=0,"",SUMIFS(nrES_Rec,nrES_PID,$B52,nrES_Code,F$5,nrES_Final,"Yes")))</f>
        <v/>
      </c>
      <c r="G52" s="17">
        <f>IF(OR($B52="",G$5=""),"",IF(COUNTIFS(nrES_PID,$B52,nrES_Code,G$5,nrES_Final,"Yes",nrES_Rec,"&gt;=0")=0,"",SUMIFS(nrES_Rec,nrES_PID,$B52,nrES_Code,G$5,nrES_Final,"Yes")))</f>
        <v/>
      </c>
      <c r="H52" s="17">
        <f>IF(OR($B52="",H$5=""),"",IF(COUNTIFS(nrES_PID,$B52,nrES_Code,H$5,nrES_Final,"Yes",nrES_Rec,"&gt;=0")=0,"",SUMIFS(nrES_Rec,nrES_PID,$B52,nrES_Code,H$5,nrES_Final,"Yes")))</f>
        <v/>
      </c>
      <c r="I52" s="17">
        <f>IF(OR($B52="",I$5=""),"",IF(COUNTIFS(nrES_PID,$B52,nrES_Code,I$5,nrES_Final,"Yes",nrES_Rec,"&gt;=0")=0,"",SUMIFS(nrES_Rec,nrES_PID,$B52,nrES_Code,I$5,nrES_Final,"Yes")))</f>
        <v/>
      </c>
      <c r="J52" s="17">
        <f>IF(OR($B52="",J$5=""),"",IF(COUNTIFS(nrES_PID,$B52,nrES_Code,J$5,nrES_Final,"Yes",nrES_Rec,"&gt;=0")=0,"",SUMIFS(nrES_Rec,nrES_PID,$B52,nrES_Code,J$5,nrES_Final,"Yes")))</f>
        <v/>
      </c>
      <c r="K52" s="17">
        <f>IF(OR($B52="",K$5=""),"",IF(COUNTIFS(nrES_PID,$B52,nrES_Code,K$5,nrES_Final,"Yes",nrES_Rec,"&gt;=0")=0,"",SUMIFS(nrES_Rec,nrES_PID,$B52,nrES_Code,K$5,nrES_Final,"Yes")))</f>
        <v/>
      </c>
      <c r="L52" s="17">
        <f>IF(OR($B52="",L$5=""),"",IF(COUNTIFS(nrES_PID,$B52,nrES_Code,L$5,nrES_Final,"Yes",nrES_Rec,"&gt;=0")=0,"",SUMIFS(nrES_Rec,nrES_PID,$B52,nrES_Code,L$5,nrES_Final,"Yes")))</f>
        <v/>
      </c>
      <c r="M52" s="17">
        <f>IF(OR($B52="",M$5=""),"",IF(COUNTIFS(nrES_PID,$B52,nrES_Code,M$5,nrES_Final,"Yes",nrES_Rec,"&gt;=0")=0,"",SUMIFS(nrES_Rec,nrES_PID,$B52,nrES_Code,M$5,nrES_Final,"Yes")))</f>
        <v/>
      </c>
      <c r="N52" s="17">
        <f>IF(OR($B52="",N$5=""),"",IF(COUNTIFS(nrES_PID,$B52,nrES_Code,N$5,nrES_Final,"Yes",nrES_Rec,"&gt;=0")=0,"",SUMIFS(nrES_Rec,nrES_PID,$B52,nrES_Code,N$5,nrES_Final,"Yes")))</f>
        <v/>
      </c>
      <c r="O52" s="17">
        <f>IF(OR($B52="",O$5=""),"",IF(COUNTIFS(nrES_PID,$B52,nrES_Code,O$5,nrES_Final,"Yes",nrES_Rec,"&gt;=0")=0,"",SUMIFS(nrES_Rec,nrES_PID,$B52,nrES_Code,O$5,nrES_Final,"Yes")))</f>
        <v/>
      </c>
      <c r="P52" s="17">
        <f>IF(OR($B52="",P$5=""),"",IF(COUNTIFS(nrES_PID,$B52,nrES_Code,P$5,nrES_Final,"Yes",nrES_Rec,"&gt;=0")=0,"",SUMIFS(nrES_Rec,nrES_PID,$B52,nrES_Code,P$5,nrES_Final,"Yes")))</f>
        <v/>
      </c>
      <c r="Q52" s="17">
        <f>IF(OR($B52="",Q$5=""),"",IF(COUNTIFS(nrES_PID,$B52,nrES_Code,Q$5,nrES_Final,"Yes",nrES_Rec,"&gt;=0")=0,"",SUMIFS(nrES_Rec,nrES_PID,$B52,nrES_Code,Q$5,nrES_Final,"Yes")))</f>
        <v/>
      </c>
      <c r="R52" s="17">
        <f>IF(OR($B52="",R$5=""),"",IF(COUNTIFS(nrES_PID,$B52,nrES_Code,R$5,nrES_Final,"Yes",nrES_Rec,"&gt;=0")=0,"",SUMIFS(nrES_Rec,nrES_PID,$B52,nrES_Code,R$5,nrES_Final,"Yes")))</f>
        <v/>
      </c>
      <c r="S52" s="17">
        <f>IF(OR($B52="",S$5=""),"",IF(COUNTIFS(nrES_PID,$B52,nrES_Code,S$5,nrES_Final,"Yes",nrES_Rec,"&gt;=0")=0,"",SUMIFS(nrES_Rec,nrES_PID,$B52,nrES_Code,S$5,nrES_Final,"Yes")))</f>
        <v/>
      </c>
      <c r="T52" s="17">
        <f>IF(OR($B52="",T$5=""),"",IF(COUNTIFS(nrES_PID,$B52,nrES_Code,T$5,nrES_Final,"Yes",nrES_Rec,"&gt;=0")=0,"",SUMIFS(nrES_Rec,nrES_PID,$B52,nrES_Code,T$5,nrES_Final,"Yes")))</f>
        <v/>
      </c>
      <c r="U52" s="17">
        <f>IF(OR($B52="",U$5=""),"",IF(COUNTIFS(nrES_PID,$B52,nrES_Code,U$5,nrES_Final,"Yes",nrES_Rec,"&gt;=0")=0,"",SUMIFS(nrES_Rec,nrES_PID,$B52,nrES_Code,U$5,nrES_Final,"Yes")))</f>
        <v/>
      </c>
      <c r="V52" s="17">
        <f>IF(OR($B52="",V$5=""),"",IF(COUNTIFS(nrES_PID,$B52,nrES_Code,V$5,nrES_Final,"Yes",nrES_Rec,"&gt;=0")=0,"",SUMIFS(nrES_Rec,nrES_PID,$B52,nrES_Code,V$5,nrES_Final,"Yes")))</f>
        <v/>
      </c>
      <c r="W52" s="17">
        <f>IF(OR($B52="",W$5=""),"",IF(COUNTIFS(nrES_PID,$B52,nrES_Code,W$5,nrES_Final,"Yes",nrES_Rec,"&gt;=0")=0,"",SUMIFS(nrES_Rec,nrES_PID,$B52,nrES_Code,W$5,nrES_Final,"Yes")))</f>
        <v/>
      </c>
      <c r="X52" s="17">
        <f>IF(OR($B52="",X$5=""),"",IF(COUNTIFS(nrES_PID,$B52,nrES_Code,X$5,nrES_Final,"Yes",nrES_Rec,"&gt;=0")=0,"",SUMIFS(nrES_Rec,nrES_PID,$B52,nrES_Code,X$5,nrES_Final,"Yes")))</f>
        <v/>
      </c>
      <c r="Y52" s="17">
        <f>IF(OR($B52="",Y$5=""),"",IF(COUNTIFS(nrES_PID,$B52,nrES_Code,Y$5,nrES_Final,"Yes",nrES_Rec,"&gt;=0")=0,"",SUMIFS(nrES_Rec,nrES_PID,$B52,nrES_Code,Y$5,nrES_Final,"Yes")))</f>
        <v/>
      </c>
      <c r="Z52" s="17">
        <f>IF(OR($B52="",Z$5=""),"",IF(COUNTIFS(nrES_PID,$B52,nrES_Code,Z$5,nrES_Final,"Yes",nrES_Rec,"&gt;=0")=0,"",SUMIFS(nrES_Rec,nrES_PID,$B52,nrES_Code,Z$5,nrES_Final,"Yes")))</f>
        <v/>
      </c>
      <c r="AA52" s="17">
        <f>IF(OR($B52="",AA$5=""),"",IF(COUNTIFS(nrES_PID,$B52,nrES_Code,AA$5,nrES_Final,"Yes",nrES_Rec,"&gt;=0")=0,"",SUMIFS(nrES_Rec,nrES_PID,$B52,nrES_Code,AA$5,nrES_Final,"Yes")))</f>
        <v/>
      </c>
      <c r="AB52" s="17">
        <f>IF(OR($B52="",AB$5=""),"",IF(COUNTIFS(nrES_PID,$B52,nrES_Code,AB$5,nrES_Final,"Yes",nrES_Rec,"&gt;=0")=0,"",SUMIFS(nrES_Rec,nrES_PID,$B52,nrES_Code,AB$5,nrES_Final,"Yes")))</f>
        <v/>
      </c>
      <c r="AC52" s="17">
        <f>IF($B52="","",sysGrades!$M52)</f>
        <v/>
      </c>
      <c r="AD52" s="17">
        <f>IF($B52="","",IFERROR(sysGrades!$U52,""))</f>
        <v/>
      </c>
      <c r="AE52" s="17">
        <f>IF(Cadets!$B52="","",Cadets!$I52)</f>
        <v/>
      </c>
    </row>
    <row r="53">
      <c r="B53" s="17">
        <f>IF(Cadets!$B53="","",Cadets!$B53)</f>
        <v/>
      </c>
      <c r="C53" s="17">
        <f>IF($B53="","",Cadets!$F53)</f>
        <v/>
      </c>
      <c r="D53" s="17">
        <f>IF(OR($B53="",D$5=""),"",IF(COUNTIFS(nrES_PID,$B53,nrES_Code,D$5,nrES_Final,"Yes",nrES_Rec,"&gt;=0")=0,"",SUMIFS(nrES_Rec,nrES_PID,$B53,nrES_Code,D$5,nrES_Final,"Yes")))</f>
        <v/>
      </c>
      <c r="E53" s="17">
        <f>IF(OR($B53="",E$5=""),"",IF(COUNTIFS(nrES_PID,$B53,nrES_Code,E$5,nrES_Final,"Yes",nrES_Rec,"&gt;=0")=0,"",SUMIFS(nrES_Rec,nrES_PID,$B53,nrES_Code,E$5,nrES_Final,"Yes")))</f>
        <v/>
      </c>
      <c r="F53" s="17">
        <f>IF(OR($B53="",F$5=""),"",IF(COUNTIFS(nrES_PID,$B53,nrES_Code,F$5,nrES_Final,"Yes",nrES_Rec,"&gt;=0")=0,"",SUMIFS(nrES_Rec,nrES_PID,$B53,nrES_Code,F$5,nrES_Final,"Yes")))</f>
        <v/>
      </c>
      <c r="G53" s="17">
        <f>IF(OR($B53="",G$5=""),"",IF(COUNTIFS(nrES_PID,$B53,nrES_Code,G$5,nrES_Final,"Yes",nrES_Rec,"&gt;=0")=0,"",SUMIFS(nrES_Rec,nrES_PID,$B53,nrES_Code,G$5,nrES_Final,"Yes")))</f>
        <v/>
      </c>
      <c r="H53" s="17">
        <f>IF(OR($B53="",H$5=""),"",IF(COUNTIFS(nrES_PID,$B53,nrES_Code,H$5,nrES_Final,"Yes",nrES_Rec,"&gt;=0")=0,"",SUMIFS(nrES_Rec,nrES_PID,$B53,nrES_Code,H$5,nrES_Final,"Yes")))</f>
        <v/>
      </c>
      <c r="I53" s="17">
        <f>IF(OR($B53="",I$5=""),"",IF(COUNTIFS(nrES_PID,$B53,nrES_Code,I$5,nrES_Final,"Yes",nrES_Rec,"&gt;=0")=0,"",SUMIFS(nrES_Rec,nrES_PID,$B53,nrES_Code,I$5,nrES_Final,"Yes")))</f>
        <v/>
      </c>
      <c r="J53" s="17">
        <f>IF(OR($B53="",J$5=""),"",IF(COUNTIFS(nrES_PID,$B53,nrES_Code,J$5,nrES_Final,"Yes",nrES_Rec,"&gt;=0")=0,"",SUMIFS(nrES_Rec,nrES_PID,$B53,nrES_Code,J$5,nrES_Final,"Yes")))</f>
        <v/>
      </c>
      <c r="K53" s="17">
        <f>IF(OR($B53="",K$5=""),"",IF(COUNTIFS(nrES_PID,$B53,nrES_Code,K$5,nrES_Final,"Yes",nrES_Rec,"&gt;=0")=0,"",SUMIFS(nrES_Rec,nrES_PID,$B53,nrES_Code,K$5,nrES_Final,"Yes")))</f>
        <v/>
      </c>
      <c r="L53" s="17">
        <f>IF(OR($B53="",L$5=""),"",IF(COUNTIFS(nrES_PID,$B53,nrES_Code,L$5,nrES_Final,"Yes",nrES_Rec,"&gt;=0")=0,"",SUMIFS(nrES_Rec,nrES_PID,$B53,nrES_Code,L$5,nrES_Final,"Yes")))</f>
        <v/>
      </c>
      <c r="M53" s="17">
        <f>IF(OR($B53="",M$5=""),"",IF(COUNTIFS(nrES_PID,$B53,nrES_Code,M$5,nrES_Final,"Yes",nrES_Rec,"&gt;=0")=0,"",SUMIFS(nrES_Rec,nrES_PID,$B53,nrES_Code,M$5,nrES_Final,"Yes")))</f>
        <v/>
      </c>
      <c r="N53" s="17">
        <f>IF(OR($B53="",N$5=""),"",IF(COUNTIFS(nrES_PID,$B53,nrES_Code,N$5,nrES_Final,"Yes",nrES_Rec,"&gt;=0")=0,"",SUMIFS(nrES_Rec,nrES_PID,$B53,nrES_Code,N$5,nrES_Final,"Yes")))</f>
        <v/>
      </c>
      <c r="O53" s="17">
        <f>IF(OR($B53="",O$5=""),"",IF(COUNTIFS(nrES_PID,$B53,nrES_Code,O$5,nrES_Final,"Yes",nrES_Rec,"&gt;=0")=0,"",SUMIFS(nrES_Rec,nrES_PID,$B53,nrES_Code,O$5,nrES_Final,"Yes")))</f>
        <v/>
      </c>
      <c r="P53" s="17">
        <f>IF(OR($B53="",P$5=""),"",IF(COUNTIFS(nrES_PID,$B53,nrES_Code,P$5,nrES_Final,"Yes",nrES_Rec,"&gt;=0")=0,"",SUMIFS(nrES_Rec,nrES_PID,$B53,nrES_Code,P$5,nrES_Final,"Yes")))</f>
        <v/>
      </c>
      <c r="Q53" s="17">
        <f>IF(OR($B53="",Q$5=""),"",IF(COUNTIFS(nrES_PID,$B53,nrES_Code,Q$5,nrES_Final,"Yes",nrES_Rec,"&gt;=0")=0,"",SUMIFS(nrES_Rec,nrES_PID,$B53,nrES_Code,Q$5,nrES_Final,"Yes")))</f>
        <v/>
      </c>
      <c r="R53" s="17">
        <f>IF(OR($B53="",R$5=""),"",IF(COUNTIFS(nrES_PID,$B53,nrES_Code,R$5,nrES_Final,"Yes",nrES_Rec,"&gt;=0")=0,"",SUMIFS(nrES_Rec,nrES_PID,$B53,nrES_Code,R$5,nrES_Final,"Yes")))</f>
        <v/>
      </c>
      <c r="S53" s="17">
        <f>IF(OR($B53="",S$5=""),"",IF(COUNTIFS(nrES_PID,$B53,nrES_Code,S$5,nrES_Final,"Yes",nrES_Rec,"&gt;=0")=0,"",SUMIFS(nrES_Rec,nrES_PID,$B53,nrES_Code,S$5,nrES_Final,"Yes")))</f>
        <v/>
      </c>
      <c r="T53" s="17">
        <f>IF(OR($B53="",T$5=""),"",IF(COUNTIFS(nrES_PID,$B53,nrES_Code,T$5,nrES_Final,"Yes",nrES_Rec,"&gt;=0")=0,"",SUMIFS(nrES_Rec,nrES_PID,$B53,nrES_Code,T$5,nrES_Final,"Yes")))</f>
        <v/>
      </c>
      <c r="U53" s="17">
        <f>IF(OR($B53="",U$5=""),"",IF(COUNTIFS(nrES_PID,$B53,nrES_Code,U$5,nrES_Final,"Yes",nrES_Rec,"&gt;=0")=0,"",SUMIFS(nrES_Rec,nrES_PID,$B53,nrES_Code,U$5,nrES_Final,"Yes")))</f>
        <v/>
      </c>
      <c r="V53" s="17">
        <f>IF(OR($B53="",V$5=""),"",IF(COUNTIFS(nrES_PID,$B53,nrES_Code,V$5,nrES_Final,"Yes",nrES_Rec,"&gt;=0")=0,"",SUMIFS(nrES_Rec,nrES_PID,$B53,nrES_Code,V$5,nrES_Final,"Yes")))</f>
        <v/>
      </c>
      <c r="W53" s="17">
        <f>IF(OR($B53="",W$5=""),"",IF(COUNTIFS(nrES_PID,$B53,nrES_Code,W$5,nrES_Final,"Yes",nrES_Rec,"&gt;=0")=0,"",SUMIFS(nrES_Rec,nrES_PID,$B53,nrES_Code,W$5,nrES_Final,"Yes")))</f>
        <v/>
      </c>
      <c r="X53" s="17">
        <f>IF(OR($B53="",X$5=""),"",IF(COUNTIFS(nrES_PID,$B53,nrES_Code,X$5,nrES_Final,"Yes",nrES_Rec,"&gt;=0")=0,"",SUMIFS(nrES_Rec,nrES_PID,$B53,nrES_Code,X$5,nrES_Final,"Yes")))</f>
        <v/>
      </c>
      <c r="Y53" s="17">
        <f>IF(OR($B53="",Y$5=""),"",IF(COUNTIFS(nrES_PID,$B53,nrES_Code,Y$5,nrES_Final,"Yes",nrES_Rec,"&gt;=0")=0,"",SUMIFS(nrES_Rec,nrES_PID,$B53,nrES_Code,Y$5,nrES_Final,"Yes")))</f>
        <v/>
      </c>
      <c r="Z53" s="17">
        <f>IF(OR($B53="",Z$5=""),"",IF(COUNTIFS(nrES_PID,$B53,nrES_Code,Z$5,nrES_Final,"Yes",nrES_Rec,"&gt;=0")=0,"",SUMIFS(nrES_Rec,nrES_PID,$B53,nrES_Code,Z$5,nrES_Final,"Yes")))</f>
        <v/>
      </c>
      <c r="AA53" s="17">
        <f>IF(OR($B53="",AA$5=""),"",IF(COUNTIFS(nrES_PID,$B53,nrES_Code,AA$5,nrES_Final,"Yes",nrES_Rec,"&gt;=0")=0,"",SUMIFS(nrES_Rec,nrES_PID,$B53,nrES_Code,AA$5,nrES_Final,"Yes")))</f>
        <v/>
      </c>
      <c r="AB53" s="17">
        <f>IF(OR($B53="",AB$5=""),"",IF(COUNTIFS(nrES_PID,$B53,nrES_Code,AB$5,nrES_Final,"Yes",nrES_Rec,"&gt;=0")=0,"",SUMIFS(nrES_Rec,nrES_PID,$B53,nrES_Code,AB$5,nrES_Final,"Yes")))</f>
        <v/>
      </c>
      <c r="AC53" s="17">
        <f>IF($B53="","",sysGrades!$M53)</f>
        <v/>
      </c>
      <c r="AD53" s="17">
        <f>IF($B53="","",IFERROR(sysGrades!$U53,""))</f>
        <v/>
      </c>
      <c r="AE53" s="17">
        <f>IF(Cadets!$B53="","",Cadets!$I53)</f>
        <v/>
      </c>
    </row>
    <row r="54">
      <c r="B54" s="17">
        <f>IF(Cadets!$B54="","",Cadets!$B54)</f>
        <v/>
      </c>
      <c r="C54" s="17">
        <f>IF($B54="","",Cadets!$F54)</f>
        <v/>
      </c>
      <c r="D54" s="17">
        <f>IF(OR($B54="",D$5=""),"",IF(COUNTIFS(nrES_PID,$B54,nrES_Code,D$5,nrES_Final,"Yes",nrES_Rec,"&gt;=0")=0,"",SUMIFS(nrES_Rec,nrES_PID,$B54,nrES_Code,D$5,nrES_Final,"Yes")))</f>
        <v/>
      </c>
      <c r="E54" s="17">
        <f>IF(OR($B54="",E$5=""),"",IF(COUNTIFS(nrES_PID,$B54,nrES_Code,E$5,nrES_Final,"Yes",nrES_Rec,"&gt;=0")=0,"",SUMIFS(nrES_Rec,nrES_PID,$B54,nrES_Code,E$5,nrES_Final,"Yes")))</f>
        <v/>
      </c>
      <c r="F54" s="17">
        <f>IF(OR($B54="",F$5=""),"",IF(COUNTIFS(nrES_PID,$B54,nrES_Code,F$5,nrES_Final,"Yes",nrES_Rec,"&gt;=0")=0,"",SUMIFS(nrES_Rec,nrES_PID,$B54,nrES_Code,F$5,nrES_Final,"Yes")))</f>
        <v/>
      </c>
      <c r="G54" s="17">
        <f>IF(OR($B54="",G$5=""),"",IF(COUNTIFS(nrES_PID,$B54,nrES_Code,G$5,nrES_Final,"Yes",nrES_Rec,"&gt;=0")=0,"",SUMIFS(nrES_Rec,nrES_PID,$B54,nrES_Code,G$5,nrES_Final,"Yes")))</f>
        <v/>
      </c>
      <c r="H54" s="17">
        <f>IF(OR($B54="",H$5=""),"",IF(COUNTIFS(nrES_PID,$B54,nrES_Code,H$5,nrES_Final,"Yes",nrES_Rec,"&gt;=0")=0,"",SUMIFS(nrES_Rec,nrES_PID,$B54,nrES_Code,H$5,nrES_Final,"Yes")))</f>
        <v/>
      </c>
      <c r="I54" s="17">
        <f>IF(OR($B54="",I$5=""),"",IF(COUNTIFS(nrES_PID,$B54,nrES_Code,I$5,nrES_Final,"Yes",nrES_Rec,"&gt;=0")=0,"",SUMIFS(nrES_Rec,nrES_PID,$B54,nrES_Code,I$5,nrES_Final,"Yes")))</f>
        <v/>
      </c>
      <c r="J54" s="17">
        <f>IF(OR($B54="",J$5=""),"",IF(COUNTIFS(nrES_PID,$B54,nrES_Code,J$5,nrES_Final,"Yes",nrES_Rec,"&gt;=0")=0,"",SUMIFS(nrES_Rec,nrES_PID,$B54,nrES_Code,J$5,nrES_Final,"Yes")))</f>
        <v/>
      </c>
      <c r="K54" s="17">
        <f>IF(OR($B54="",K$5=""),"",IF(COUNTIFS(nrES_PID,$B54,nrES_Code,K$5,nrES_Final,"Yes",nrES_Rec,"&gt;=0")=0,"",SUMIFS(nrES_Rec,nrES_PID,$B54,nrES_Code,K$5,nrES_Final,"Yes")))</f>
        <v/>
      </c>
      <c r="L54" s="17">
        <f>IF(OR($B54="",L$5=""),"",IF(COUNTIFS(nrES_PID,$B54,nrES_Code,L$5,nrES_Final,"Yes",nrES_Rec,"&gt;=0")=0,"",SUMIFS(nrES_Rec,nrES_PID,$B54,nrES_Code,L$5,nrES_Final,"Yes")))</f>
        <v/>
      </c>
      <c r="M54" s="17">
        <f>IF(OR($B54="",M$5=""),"",IF(COUNTIFS(nrES_PID,$B54,nrES_Code,M$5,nrES_Final,"Yes",nrES_Rec,"&gt;=0")=0,"",SUMIFS(nrES_Rec,nrES_PID,$B54,nrES_Code,M$5,nrES_Final,"Yes")))</f>
        <v/>
      </c>
      <c r="N54" s="17">
        <f>IF(OR($B54="",N$5=""),"",IF(COUNTIFS(nrES_PID,$B54,nrES_Code,N$5,nrES_Final,"Yes",nrES_Rec,"&gt;=0")=0,"",SUMIFS(nrES_Rec,nrES_PID,$B54,nrES_Code,N$5,nrES_Final,"Yes")))</f>
        <v/>
      </c>
      <c r="O54" s="17">
        <f>IF(OR($B54="",O$5=""),"",IF(COUNTIFS(nrES_PID,$B54,nrES_Code,O$5,nrES_Final,"Yes",nrES_Rec,"&gt;=0")=0,"",SUMIFS(nrES_Rec,nrES_PID,$B54,nrES_Code,O$5,nrES_Final,"Yes")))</f>
        <v/>
      </c>
      <c r="P54" s="17">
        <f>IF(OR($B54="",P$5=""),"",IF(COUNTIFS(nrES_PID,$B54,nrES_Code,P$5,nrES_Final,"Yes",nrES_Rec,"&gt;=0")=0,"",SUMIFS(nrES_Rec,nrES_PID,$B54,nrES_Code,P$5,nrES_Final,"Yes")))</f>
        <v/>
      </c>
      <c r="Q54" s="17">
        <f>IF(OR($B54="",Q$5=""),"",IF(COUNTIFS(nrES_PID,$B54,nrES_Code,Q$5,nrES_Final,"Yes",nrES_Rec,"&gt;=0")=0,"",SUMIFS(nrES_Rec,nrES_PID,$B54,nrES_Code,Q$5,nrES_Final,"Yes")))</f>
        <v/>
      </c>
      <c r="R54" s="17">
        <f>IF(OR($B54="",R$5=""),"",IF(COUNTIFS(nrES_PID,$B54,nrES_Code,R$5,nrES_Final,"Yes",nrES_Rec,"&gt;=0")=0,"",SUMIFS(nrES_Rec,nrES_PID,$B54,nrES_Code,R$5,nrES_Final,"Yes")))</f>
        <v/>
      </c>
      <c r="S54" s="17">
        <f>IF(OR($B54="",S$5=""),"",IF(COUNTIFS(nrES_PID,$B54,nrES_Code,S$5,nrES_Final,"Yes",nrES_Rec,"&gt;=0")=0,"",SUMIFS(nrES_Rec,nrES_PID,$B54,nrES_Code,S$5,nrES_Final,"Yes")))</f>
        <v/>
      </c>
      <c r="T54" s="17">
        <f>IF(OR($B54="",T$5=""),"",IF(COUNTIFS(nrES_PID,$B54,nrES_Code,T$5,nrES_Final,"Yes",nrES_Rec,"&gt;=0")=0,"",SUMIFS(nrES_Rec,nrES_PID,$B54,nrES_Code,T$5,nrES_Final,"Yes")))</f>
        <v/>
      </c>
      <c r="U54" s="17">
        <f>IF(OR($B54="",U$5=""),"",IF(COUNTIFS(nrES_PID,$B54,nrES_Code,U$5,nrES_Final,"Yes",nrES_Rec,"&gt;=0")=0,"",SUMIFS(nrES_Rec,nrES_PID,$B54,nrES_Code,U$5,nrES_Final,"Yes")))</f>
        <v/>
      </c>
      <c r="V54" s="17">
        <f>IF(OR($B54="",V$5=""),"",IF(COUNTIFS(nrES_PID,$B54,nrES_Code,V$5,nrES_Final,"Yes",nrES_Rec,"&gt;=0")=0,"",SUMIFS(nrES_Rec,nrES_PID,$B54,nrES_Code,V$5,nrES_Final,"Yes")))</f>
        <v/>
      </c>
      <c r="W54" s="17">
        <f>IF(OR($B54="",W$5=""),"",IF(COUNTIFS(nrES_PID,$B54,nrES_Code,W$5,nrES_Final,"Yes",nrES_Rec,"&gt;=0")=0,"",SUMIFS(nrES_Rec,nrES_PID,$B54,nrES_Code,W$5,nrES_Final,"Yes")))</f>
        <v/>
      </c>
      <c r="X54" s="17">
        <f>IF(OR($B54="",X$5=""),"",IF(COUNTIFS(nrES_PID,$B54,nrES_Code,X$5,nrES_Final,"Yes",nrES_Rec,"&gt;=0")=0,"",SUMIFS(nrES_Rec,nrES_PID,$B54,nrES_Code,X$5,nrES_Final,"Yes")))</f>
        <v/>
      </c>
      <c r="Y54" s="17">
        <f>IF(OR($B54="",Y$5=""),"",IF(COUNTIFS(nrES_PID,$B54,nrES_Code,Y$5,nrES_Final,"Yes",nrES_Rec,"&gt;=0")=0,"",SUMIFS(nrES_Rec,nrES_PID,$B54,nrES_Code,Y$5,nrES_Final,"Yes")))</f>
        <v/>
      </c>
      <c r="Z54" s="17">
        <f>IF(OR($B54="",Z$5=""),"",IF(COUNTIFS(nrES_PID,$B54,nrES_Code,Z$5,nrES_Final,"Yes",nrES_Rec,"&gt;=0")=0,"",SUMIFS(nrES_Rec,nrES_PID,$B54,nrES_Code,Z$5,nrES_Final,"Yes")))</f>
        <v/>
      </c>
      <c r="AA54" s="17">
        <f>IF(OR($B54="",AA$5=""),"",IF(COUNTIFS(nrES_PID,$B54,nrES_Code,AA$5,nrES_Final,"Yes",nrES_Rec,"&gt;=0")=0,"",SUMIFS(nrES_Rec,nrES_PID,$B54,nrES_Code,AA$5,nrES_Final,"Yes")))</f>
        <v/>
      </c>
      <c r="AB54" s="17">
        <f>IF(OR($B54="",AB$5=""),"",IF(COUNTIFS(nrES_PID,$B54,nrES_Code,AB$5,nrES_Final,"Yes",nrES_Rec,"&gt;=0")=0,"",SUMIFS(nrES_Rec,nrES_PID,$B54,nrES_Code,AB$5,nrES_Final,"Yes")))</f>
        <v/>
      </c>
      <c r="AC54" s="17">
        <f>IF($B54="","",sysGrades!$M54)</f>
        <v/>
      </c>
      <c r="AD54" s="17">
        <f>IF($B54="","",IFERROR(sysGrades!$U54,""))</f>
        <v/>
      </c>
      <c r="AE54" s="17">
        <f>IF(Cadets!$B54="","",Cadets!$I54)</f>
        <v/>
      </c>
    </row>
    <row r="55">
      <c r="B55" s="17">
        <f>IF(Cadets!$B55="","",Cadets!$B55)</f>
        <v/>
      </c>
      <c r="C55" s="17">
        <f>IF($B55="","",Cadets!$F55)</f>
        <v/>
      </c>
      <c r="D55" s="17">
        <f>IF(OR($B55="",D$5=""),"",IF(COUNTIFS(nrES_PID,$B55,nrES_Code,D$5,nrES_Final,"Yes",nrES_Rec,"&gt;=0")=0,"",SUMIFS(nrES_Rec,nrES_PID,$B55,nrES_Code,D$5,nrES_Final,"Yes")))</f>
        <v/>
      </c>
      <c r="E55" s="17">
        <f>IF(OR($B55="",E$5=""),"",IF(COUNTIFS(nrES_PID,$B55,nrES_Code,E$5,nrES_Final,"Yes",nrES_Rec,"&gt;=0")=0,"",SUMIFS(nrES_Rec,nrES_PID,$B55,nrES_Code,E$5,nrES_Final,"Yes")))</f>
        <v/>
      </c>
      <c r="F55" s="17">
        <f>IF(OR($B55="",F$5=""),"",IF(COUNTIFS(nrES_PID,$B55,nrES_Code,F$5,nrES_Final,"Yes",nrES_Rec,"&gt;=0")=0,"",SUMIFS(nrES_Rec,nrES_PID,$B55,nrES_Code,F$5,nrES_Final,"Yes")))</f>
        <v/>
      </c>
      <c r="G55" s="17">
        <f>IF(OR($B55="",G$5=""),"",IF(COUNTIFS(nrES_PID,$B55,nrES_Code,G$5,nrES_Final,"Yes",nrES_Rec,"&gt;=0")=0,"",SUMIFS(nrES_Rec,nrES_PID,$B55,nrES_Code,G$5,nrES_Final,"Yes")))</f>
        <v/>
      </c>
      <c r="H55" s="17">
        <f>IF(OR($B55="",H$5=""),"",IF(COUNTIFS(nrES_PID,$B55,nrES_Code,H$5,nrES_Final,"Yes",nrES_Rec,"&gt;=0")=0,"",SUMIFS(nrES_Rec,nrES_PID,$B55,nrES_Code,H$5,nrES_Final,"Yes")))</f>
        <v/>
      </c>
      <c r="I55" s="17">
        <f>IF(OR($B55="",I$5=""),"",IF(COUNTIFS(nrES_PID,$B55,nrES_Code,I$5,nrES_Final,"Yes",nrES_Rec,"&gt;=0")=0,"",SUMIFS(nrES_Rec,nrES_PID,$B55,nrES_Code,I$5,nrES_Final,"Yes")))</f>
        <v/>
      </c>
      <c r="J55" s="17">
        <f>IF(OR($B55="",J$5=""),"",IF(COUNTIFS(nrES_PID,$B55,nrES_Code,J$5,nrES_Final,"Yes",nrES_Rec,"&gt;=0")=0,"",SUMIFS(nrES_Rec,nrES_PID,$B55,nrES_Code,J$5,nrES_Final,"Yes")))</f>
        <v/>
      </c>
      <c r="K55" s="17">
        <f>IF(OR($B55="",K$5=""),"",IF(COUNTIFS(nrES_PID,$B55,nrES_Code,K$5,nrES_Final,"Yes",nrES_Rec,"&gt;=0")=0,"",SUMIFS(nrES_Rec,nrES_PID,$B55,nrES_Code,K$5,nrES_Final,"Yes")))</f>
        <v/>
      </c>
      <c r="L55" s="17">
        <f>IF(OR($B55="",L$5=""),"",IF(COUNTIFS(nrES_PID,$B55,nrES_Code,L$5,nrES_Final,"Yes",nrES_Rec,"&gt;=0")=0,"",SUMIFS(nrES_Rec,nrES_PID,$B55,nrES_Code,L$5,nrES_Final,"Yes")))</f>
        <v/>
      </c>
      <c r="M55" s="17">
        <f>IF(OR($B55="",M$5=""),"",IF(COUNTIFS(nrES_PID,$B55,nrES_Code,M$5,nrES_Final,"Yes",nrES_Rec,"&gt;=0")=0,"",SUMIFS(nrES_Rec,nrES_PID,$B55,nrES_Code,M$5,nrES_Final,"Yes")))</f>
        <v/>
      </c>
      <c r="N55" s="17">
        <f>IF(OR($B55="",N$5=""),"",IF(COUNTIFS(nrES_PID,$B55,nrES_Code,N$5,nrES_Final,"Yes",nrES_Rec,"&gt;=0")=0,"",SUMIFS(nrES_Rec,nrES_PID,$B55,nrES_Code,N$5,nrES_Final,"Yes")))</f>
        <v/>
      </c>
      <c r="O55" s="17">
        <f>IF(OR($B55="",O$5=""),"",IF(COUNTIFS(nrES_PID,$B55,nrES_Code,O$5,nrES_Final,"Yes",nrES_Rec,"&gt;=0")=0,"",SUMIFS(nrES_Rec,nrES_PID,$B55,nrES_Code,O$5,nrES_Final,"Yes")))</f>
        <v/>
      </c>
      <c r="P55" s="17">
        <f>IF(OR($B55="",P$5=""),"",IF(COUNTIFS(nrES_PID,$B55,nrES_Code,P$5,nrES_Final,"Yes",nrES_Rec,"&gt;=0")=0,"",SUMIFS(nrES_Rec,nrES_PID,$B55,nrES_Code,P$5,nrES_Final,"Yes")))</f>
        <v/>
      </c>
      <c r="Q55" s="17">
        <f>IF(OR($B55="",Q$5=""),"",IF(COUNTIFS(nrES_PID,$B55,nrES_Code,Q$5,nrES_Final,"Yes",nrES_Rec,"&gt;=0")=0,"",SUMIFS(nrES_Rec,nrES_PID,$B55,nrES_Code,Q$5,nrES_Final,"Yes")))</f>
        <v/>
      </c>
      <c r="R55" s="17">
        <f>IF(OR($B55="",R$5=""),"",IF(COUNTIFS(nrES_PID,$B55,nrES_Code,R$5,nrES_Final,"Yes",nrES_Rec,"&gt;=0")=0,"",SUMIFS(nrES_Rec,nrES_PID,$B55,nrES_Code,R$5,nrES_Final,"Yes")))</f>
        <v/>
      </c>
      <c r="S55" s="17">
        <f>IF(OR($B55="",S$5=""),"",IF(COUNTIFS(nrES_PID,$B55,nrES_Code,S$5,nrES_Final,"Yes",nrES_Rec,"&gt;=0")=0,"",SUMIFS(nrES_Rec,nrES_PID,$B55,nrES_Code,S$5,nrES_Final,"Yes")))</f>
        <v/>
      </c>
      <c r="T55" s="17">
        <f>IF(OR($B55="",T$5=""),"",IF(COUNTIFS(nrES_PID,$B55,nrES_Code,T$5,nrES_Final,"Yes",nrES_Rec,"&gt;=0")=0,"",SUMIFS(nrES_Rec,nrES_PID,$B55,nrES_Code,T$5,nrES_Final,"Yes")))</f>
        <v/>
      </c>
      <c r="U55" s="17">
        <f>IF(OR($B55="",U$5=""),"",IF(COUNTIFS(nrES_PID,$B55,nrES_Code,U$5,nrES_Final,"Yes",nrES_Rec,"&gt;=0")=0,"",SUMIFS(nrES_Rec,nrES_PID,$B55,nrES_Code,U$5,nrES_Final,"Yes")))</f>
        <v/>
      </c>
      <c r="V55" s="17">
        <f>IF(OR($B55="",V$5=""),"",IF(COUNTIFS(nrES_PID,$B55,nrES_Code,V$5,nrES_Final,"Yes",nrES_Rec,"&gt;=0")=0,"",SUMIFS(nrES_Rec,nrES_PID,$B55,nrES_Code,V$5,nrES_Final,"Yes")))</f>
        <v/>
      </c>
      <c r="W55" s="17">
        <f>IF(OR($B55="",W$5=""),"",IF(COUNTIFS(nrES_PID,$B55,nrES_Code,W$5,nrES_Final,"Yes",nrES_Rec,"&gt;=0")=0,"",SUMIFS(nrES_Rec,nrES_PID,$B55,nrES_Code,W$5,nrES_Final,"Yes")))</f>
        <v/>
      </c>
      <c r="X55" s="17">
        <f>IF(OR($B55="",X$5=""),"",IF(COUNTIFS(nrES_PID,$B55,nrES_Code,X$5,nrES_Final,"Yes",nrES_Rec,"&gt;=0")=0,"",SUMIFS(nrES_Rec,nrES_PID,$B55,nrES_Code,X$5,nrES_Final,"Yes")))</f>
        <v/>
      </c>
      <c r="Y55" s="17">
        <f>IF(OR($B55="",Y$5=""),"",IF(COUNTIFS(nrES_PID,$B55,nrES_Code,Y$5,nrES_Final,"Yes",nrES_Rec,"&gt;=0")=0,"",SUMIFS(nrES_Rec,nrES_PID,$B55,nrES_Code,Y$5,nrES_Final,"Yes")))</f>
        <v/>
      </c>
      <c r="Z55" s="17">
        <f>IF(OR($B55="",Z$5=""),"",IF(COUNTIFS(nrES_PID,$B55,nrES_Code,Z$5,nrES_Final,"Yes",nrES_Rec,"&gt;=0")=0,"",SUMIFS(nrES_Rec,nrES_PID,$B55,nrES_Code,Z$5,nrES_Final,"Yes")))</f>
        <v/>
      </c>
      <c r="AA55" s="17">
        <f>IF(OR($B55="",AA$5=""),"",IF(COUNTIFS(nrES_PID,$B55,nrES_Code,AA$5,nrES_Final,"Yes",nrES_Rec,"&gt;=0")=0,"",SUMIFS(nrES_Rec,nrES_PID,$B55,nrES_Code,AA$5,nrES_Final,"Yes")))</f>
        <v/>
      </c>
      <c r="AB55" s="17">
        <f>IF(OR($B55="",AB$5=""),"",IF(COUNTIFS(nrES_PID,$B55,nrES_Code,AB$5,nrES_Final,"Yes",nrES_Rec,"&gt;=0")=0,"",SUMIFS(nrES_Rec,nrES_PID,$B55,nrES_Code,AB$5,nrES_Final,"Yes")))</f>
        <v/>
      </c>
      <c r="AC55" s="17">
        <f>IF($B55="","",sysGrades!$M55)</f>
        <v/>
      </c>
      <c r="AD55" s="17">
        <f>IF($B55="","",IFERROR(sysGrades!$U55,""))</f>
        <v/>
      </c>
      <c r="AE55" s="17">
        <f>IF(Cadets!$B55="","",Cadets!$I55)</f>
        <v/>
      </c>
    </row>
    <row r="57">
      <c r="C57" s="3" t="inlineStr">
        <is>
          <t>Class average:</t>
        </is>
      </c>
      <c r="D57" s="21">
        <f>IF(D5="","",IFERROR(ROUND(AVERAGEIFS(nrES_Rec,nrES_Code,D5,nrES_Final,"Yes",nrES_Rec,"&gt;=0",nrES_Rec,"&lt;=100"),1),""))</f>
        <v/>
      </c>
      <c r="E57" s="21">
        <f>IF(E5="","",IFERROR(ROUND(AVERAGEIFS(nrES_Rec,nrES_Code,E5,nrES_Final,"Yes",nrES_Rec,"&gt;=0",nrES_Rec,"&lt;=100"),1),""))</f>
        <v/>
      </c>
      <c r="F57" s="21">
        <f>IF(F5="","",IFERROR(ROUND(AVERAGEIFS(nrES_Rec,nrES_Code,F5,nrES_Final,"Yes",nrES_Rec,"&gt;=0",nrES_Rec,"&lt;=100"),1),""))</f>
        <v/>
      </c>
      <c r="G57" s="21">
        <f>IF(G5="","",IFERROR(ROUND(AVERAGEIFS(nrES_Rec,nrES_Code,G5,nrES_Final,"Yes",nrES_Rec,"&gt;=0",nrES_Rec,"&lt;=100"),1),""))</f>
        <v/>
      </c>
      <c r="H57" s="21">
        <f>IF(H5="","",IFERROR(ROUND(AVERAGEIFS(nrES_Rec,nrES_Code,H5,nrES_Final,"Yes",nrES_Rec,"&gt;=0",nrES_Rec,"&lt;=100"),1),""))</f>
        <v/>
      </c>
      <c r="I57" s="21">
        <f>IF(I5="","",IFERROR(ROUND(AVERAGEIFS(nrES_Rec,nrES_Code,I5,nrES_Final,"Yes",nrES_Rec,"&gt;=0",nrES_Rec,"&lt;=100"),1),""))</f>
        <v/>
      </c>
      <c r="J57" s="21">
        <f>IF(J5="","",IFERROR(ROUND(AVERAGEIFS(nrES_Rec,nrES_Code,J5,nrES_Final,"Yes",nrES_Rec,"&gt;=0",nrES_Rec,"&lt;=100"),1),""))</f>
        <v/>
      </c>
      <c r="K57" s="21">
        <f>IF(K5="","",IFERROR(ROUND(AVERAGEIFS(nrES_Rec,nrES_Code,K5,nrES_Final,"Yes",nrES_Rec,"&gt;=0",nrES_Rec,"&lt;=100"),1),""))</f>
        <v/>
      </c>
      <c r="L57" s="21">
        <f>IF(L5="","",IFERROR(ROUND(AVERAGEIFS(nrES_Rec,nrES_Code,L5,nrES_Final,"Yes",nrES_Rec,"&gt;=0",nrES_Rec,"&lt;=100"),1),""))</f>
        <v/>
      </c>
      <c r="M57" s="21">
        <f>IF(M5="","",IFERROR(ROUND(AVERAGEIFS(nrES_Rec,nrES_Code,M5,nrES_Final,"Yes",nrES_Rec,"&gt;=0",nrES_Rec,"&lt;=100"),1),""))</f>
        <v/>
      </c>
      <c r="N57" s="21">
        <f>IF(N5="","",IFERROR(ROUND(AVERAGEIFS(nrES_Rec,nrES_Code,N5,nrES_Final,"Yes",nrES_Rec,"&gt;=0",nrES_Rec,"&lt;=100"),1),""))</f>
        <v/>
      </c>
      <c r="O57" s="21">
        <f>IF(O5="","",IFERROR(ROUND(AVERAGEIFS(nrES_Rec,nrES_Code,O5,nrES_Final,"Yes",nrES_Rec,"&gt;=0",nrES_Rec,"&lt;=100"),1),""))</f>
        <v/>
      </c>
      <c r="P57" s="21">
        <f>IF(P5="","",IFERROR(ROUND(AVERAGEIFS(nrES_Rec,nrES_Code,P5,nrES_Final,"Yes",nrES_Rec,"&gt;=0",nrES_Rec,"&lt;=100"),1),""))</f>
        <v/>
      </c>
      <c r="Q57" s="21">
        <f>IF(Q5="","",IFERROR(ROUND(AVERAGEIFS(nrES_Rec,nrES_Code,Q5,nrES_Final,"Yes",nrES_Rec,"&gt;=0",nrES_Rec,"&lt;=100"),1),""))</f>
        <v/>
      </c>
      <c r="R57" s="21">
        <f>IF(R5="","",IFERROR(ROUND(AVERAGEIFS(nrES_Rec,nrES_Code,R5,nrES_Final,"Yes",nrES_Rec,"&gt;=0",nrES_Rec,"&lt;=100"),1),""))</f>
        <v/>
      </c>
      <c r="S57" s="21">
        <f>IF(S5="","",IFERROR(ROUND(AVERAGEIFS(nrES_Rec,nrES_Code,S5,nrES_Final,"Yes",nrES_Rec,"&gt;=0",nrES_Rec,"&lt;=100"),1),""))</f>
        <v/>
      </c>
      <c r="T57" s="21">
        <f>IF(T5="","",IFERROR(ROUND(AVERAGEIFS(nrES_Rec,nrES_Code,T5,nrES_Final,"Yes",nrES_Rec,"&gt;=0",nrES_Rec,"&lt;=100"),1),""))</f>
        <v/>
      </c>
      <c r="U57" s="21">
        <f>IF(U5="","",IFERROR(ROUND(AVERAGEIFS(nrES_Rec,nrES_Code,U5,nrES_Final,"Yes",nrES_Rec,"&gt;=0",nrES_Rec,"&lt;=100"),1),""))</f>
        <v/>
      </c>
      <c r="V57" s="21">
        <f>IF(V5="","",IFERROR(ROUND(AVERAGEIFS(nrES_Rec,nrES_Code,V5,nrES_Final,"Yes",nrES_Rec,"&gt;=0",nrES_Rec,"&lt;=100"),1),""))</f>
        <v/>
      </c>
      <c r="W57" s="21">
        <f>IF(W5="","",IFERROR(ROUND(AVERAGEIFS(nrES_Rec,nrES_Code,W5,nrES_Final,"Yes",nrES_Rec,"&gt;=0",nrES_Rec,"&lt;=100"),1),""))</f>
        <v/>
      </c>
      <c r="X57" s="21">
        <f>IF(X5="","",IFERROR(ROUND(AVERAGEIFS(nrES_Rec,nrES_Code,X5,nrES_Final,"Yes",nrES_Rec,"&gt;=0",nrES_Rec,"&lt;=100"),1),""))</f>
        <v/>
      </c>
      <c r="Y57" s="21">
        <f>IF(Y5="","",IFERROR(ROUND(AVERAGEIFS(nrES_Rec,nrES_Code,Y5,nrES_Final,"Yes",nrES_Rec,"&gt;=0",nrES_Rec,"&lt;=100"),1),""))</f>
        <v/>
      </c>
      <c r="Z57" s="21">
        <f>IF(Z5="","",IFERROR(ROUND(AVERAGEIFS(nrES_Rec,nrES_Code,Z5,nrES_Final,"Yes",nrES_Rec,"&gt;=0",nrES_Rec,"&lt;=100"),1),""))</f>
        <v/>
      </c>
      <c r="AA57" s="21">
        <f>IF(AA5="","",IFERROR(ROUND(AVERAGEIFS(nrES_Rec,nrES_Code,AA5,nrES_Final,"Yes",nrES_Rec,"&gt;=0",nrES_Rec,"&lt;=100"),1),""))</f>
        <v/>
      </c>
      <c r="AB57" s="21">
        <f>IF(AB5="","",IFERROR(ROUND(AVERAGEIFS(nrES_Rec,nrES_Code,AB5,nrES_Final,"Yes",nrES_Rec,"&gt;=0",nrES_Rec,"&lt;=100"),1),""))</f>
        <v/>
      </c>
    </row>
  </sheetData>
  <sheetProtection selectLockedCells="0" selectUnlockedCells="0" sheet="1" objects="0" insertRows="1" insertHyperlinks="1" autoFilter="0" scenarios="0" formatColumns="1" deleteColumns="1" insertColumns="1" pivotTables="1" deleteRows="1" formatCells="1" formatRows="1" sort="1" password="B4BB"/>
  <autoFilter ref="B5:AE5"/>
  <conditionalFormatting sqref="D6:AB55">
    <cfRule type="expression" priority="1" dxfId="0">
      <formula>AND(D6&lt;&gt;"",ISNUMBER(D6),D6&lt;IFERROR(INDEX(rngEPpass,MATCH(D$5,rngEPcode,0)),cfgPassingScore))</formula>
    </cfRule>
  </conditionalFormatting>
  <conditionalFormatting sqref="B6:AE55">
    <cfRule type="expression" priority="2" dxfId="1">
      <formula>AND(Cadets!$B6&lt;&gt;"",Cadets!$I6&lt;&gt;"Active")</formula>
    </cfRule>
  </conditionalFormatting>
  <pageMargins left="0.75" right="0.75" top="1" bottom="1" header="0.5" footer="0.5"/>
</worksheet>
</file>

<file path=xl/worksheets/sheet24.xml><?xml version="1.0" encoding="utf-8"?>
<worksheet xmlns="http://schemas.openxmlformats.org/spreadsheetml/2006/main">
  <sheetPr>
    <tabColor rgb="001E7145"/>
    <outlinePr summaryBelow="1" summaryRight="1"/>
    <pageSetUpPr fitToPage="1"/>
  </sheetPr>
  <dimension ref="B1:J6"/>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7" customWidth="1" min="2" max="2"/>
    <col width="24" customWidth="1" min="3" max="3"/>
    <col width="20" customWidth="1" min="4" max="4"/>
    <col width="13" customWidth="1" min="5" max="5"/>
    <col width="11" customWidth="1" min="6" max="6"/>
    <col width="11" customWidth="1" min="7" max="7"/>
    <col width="12" customWidth="1" min="8" max="8"/>
    <col width="9" customWidth="1" min="9" max="9"/>
    <col width="11" customWidth="1" min="10" max="10"/>
  </cols>
  <sheetData>
    <row r="1">
      <c r="B1" s="10">
        <f>HYPERLINK("#Dashboard!B5","◄ Dashboard")</f>
        <v/>
      </c>
    </row>
    <row r="4">
      <c r="B4" s="11" t="inlineStr">
        <is>
          <t>Live class ranking (dismissal-review, failed-out and separated cadets are unranked per policy).</t>
        </is>
      </c>
    </row>
    <row r="5" ht="26" customHeight="1">
      <c r="B5" s="12" t="inlineStr">
        <is>
          <t>Rank</t>
        </is>
      </c>
      <c r="C5" s="12" t="inlineStr">
        <is>
          <t>Cadet</t>
        </is>
      </c>
      <c r="D5" s="12" t="inlineStr">
        <is>
          <t>Agency</t>
        </is>
      </c>
      <c r="E5" s="12" t="inlineStr">
        <is>
          <t>Current Grade</t>
        </is>
      </c>
      <c r="F5" s="12" t="inlineStr">
        <is>
          <t>Major Avg</t>
        </is>
      </c>
      <c r="G5" s="12" t="inlineStr">
        <is>
          <t>Minor Avg</t>
        </is>
      </c>
      <c r="H5" s="12" t="inlineStr">
        <is>
          <t>Spelling Avg</t>
        </is>
      </c>
      <c r="I5" s="12" t="inlineStr">
        <is>
          <t>Final</t>
        </is>
      </c>
      <c r="J5" s="12" t="inlineStr">
        <is>
          <t>Grad Elig?</t>
        </is>
      </c>
    </row>
    <row r="6">
      <c r="B6">
        <f>IFERROR(_xlfn._xlws.SORT(_xlfn._xlws.FILTER(_xlfn.HSTACK(nrGRrank,rngCadetNames,nrCadetAgency,nrGRcurrent,nrGRmajavg,sysGrades!$J$6:$J$55,sysGrades!$K$6:$K$55,nrGRfinal,nrCKgradElig),ISNUMBER(nrGRrank),"No eligible cadets yet"),1),"⚠ LIST UNAVAILABLE - a reference in this panel is broken; do NOT read it as 'nothing to report'")</f>
        <v/>
      </c>
    </row>
  </sheetData>
  <sheetProtection selectLockedCells="0" selectUnlockedCells="0" sheet="1" objects="0" insertRows="1" insertHyperlinks="1" autoFilter="1" scenarios="0" formatColumns="1" deleteColumns="1" insertColumns="1" pivotTables="1" deleteRows="1" formatCells="1" formatRows="1" sort="1" password="B4BB"/>
  <pageMargins left="0.75" right="0.75" top="1" bottom="1" header="0.5" footer="0.5"/>
  <pageSetup orientation="portrait" fitToHeight="0" fitToWidth="1"/>
</worksheet>
</file>

<file path=xl/worksheets/sheet25.xml><?xml version="1.0" encoding="utf-8"?>
<worksheet xmlns="http://schemas.openxmlformats.org/spreadsheetml/2006/main">
  <sheetPr>
    <tabColor rgb="001E7145"/>
    <outlinePr summaryBelow="1" summaryRight="1"/>
    <pageSetUpPr fitToPage="1"/>
  </sheetPr>
  <dimension ref="B1:I6"/>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24" customWidth="1" min="2" max="2"/>
    <col width="18" customWidth="1" min="3" max="3"/>
    <col width="7" customWidth="1" min="4" max="4"/>
    <col width="64" customWidth="1" min="5" max="5"/>
    <col width="13" customWidth="1" min="6" max="6"/>
    <col width="13" customWidth="1" min="7" max="7"/>
    <col width="14" customWidth="1" min="8" max="8"/>
    <col width="15" customWidth="1" min="9" max="9"/>
  </cols>
  <sheetData>
    <row r="1">
      <c r="B1" s="10">
        <f>HYPERLINK("#Dashboard!B5","◄ Dashboard")</f>
        <v/>
      </c>
    </row>
    <row r="4">
      <c r="B4" s="11" t="inlineStr">
        <is>
          <t>Every threshold is adjustable on Settings. Document your response on the Counseling log — that's the early-intervention record policy 300.4.B expects.</t>
        </is>
      </c>
    </row>
    <row r="5" ht="26" customHeight="1">
      <c r="B5" s="12" t="inlineStr">
        <is>
          <t>Cadet</t>
        </is>
      </c>
      <c r="C5" s="12" t="inlineStr">
        <is>
          <t>Agency</t>
        </is>
      </c>
      <c r="D5" s="12" t="inlineStr">
        <is>
          <t>Flags</t>
        </is>
      </c>
      <c r="E5" s="12" t="inlineStr">
        <is>
          <t>Reasons</t>
        </is>
      </c>
      <c r="F5" s="12" t="inlineStr">
        <is>
          <t>Current Grade</t>
        </is>
      </c>
      <c r="G5" s="12" t="inlineStr">
        <is>
          <t>Makeup Owed (min)</t>
        </is>
      </c>
      <c r="H5" s="12" t="inlineStr">
        <is>
          <t>Overdue Writing</t>
        </is>
      </c>
      <c r="I5" s="12" t="inlineStr">
        <is>
          <t>Open Counseling</t>
        </is>
      </c>
    </row>
    <row r="6">
      <c r="B6">
        <f>IFERROR(_xlfn.SORTBY(_xlfn._xlws.FILTER(_xlfn.HSTACK(rngCadetNames,nrCadetAgency,nrFLcount,nrFLreasons,nrGRcurrent,TEXT(nrATTclOwed,"#,##0"),nrWRoverdue,sysIncidents!$M$6:$M$55),(nrFLcount&gt;0)*(nrCadetStatus="Active"),"No flagged cadets"),_xlfn._xlws.FILTER(nrFLcount,(nrFLcount&gt;0)*(nrCadetStatus="Active"),"No flagged cadets"),-1),"⚠ LIST UNAVAILABLE - a reference in this panel is broken; do NOT read it as 'nothing to report'")</f>
        <v/>
      </c>
    </row>
  </sheetData>
  <sheetProtection selectLockedCells="0" selectUnlockedCells="0" sheet="1" objects="0" insertRows="1" insertHyperlinks="1" autoFilter="1" scenarios="0" formatColumns="1" deleteColumns="1" insertColumns="1" pivotTables="1" deleteRows="1" formatCells="1" formatRows="1" sort="1" password="B4BB"/>
  <pageMargins left="0.75" right="0.75" top="1" bottom="1" header="0.5" footer="0.5"/>
  <pageSetup orientation="landscape" fitToHeight="0" fitToWidth="1"/>
</worksheet>
</file>

<file path=xl/worksheets/sheet26.xml><?xml version="1.0" encoding="utf-8"?>
<worksheet xmlns="http://schemas.openxmlformats.org/spreadsheetml/2006/main">
  <sheetPr>
    <tabColor rgb="001E7145"/>
    <outlinePr summaryBelow="1" summaryRight="1"/>
    <pageSetUpPr fitToPage="1"/>
  </sheetPr>
  <dimension ref="B1:J80"/>
  <sheetViews>
    <sheetView showGridLines="0" workbookViewId="0">
      <selection activeCell="A1" sqref="A1"/>
    </sheetView>
  </sheetViews>
  <sheetFormatPr baseColWidth="8" defaultRowHeight="15"/>
  <cols>
    <col width="3" customWidth="1" min="1" max="1"/>
    <col width="24" customWidth="1" min="2" max="2"/>
    <col width="14" customWidth="1" min="3" max="3"/>
    <col width="14" customWidth="1" min="4" max="4"/>
    <col width="16" customWidth="1" min="5" max="5"/>
    <col width="14" customWidth="1" min="6" max="6"/>
    <col width="14" customWidth="1" min="7" max="7"/>
    <col width="18" customWidth="1" min="8" max="8"/>
    <col width="14" customWidth="1" min="9" max="9"/>
    <col width="14" customWidth="1" min="10" max="10"/>
  </cols>
  <sheetData>
    <row r="1">
      <c r="B1" s="10">
        <f>HYPERLINK("#Dashboard!B5","◄ Dashboard")</f>
        <v/>
      </c>
    </row>
    <row r="4">
      <c r="B4" s="11" t="inlineStr">
        <is>
          <t>Pick a cadet, print (Print Center button or File &gt; Print). Everything on one page for agency calls and review boards.</t>
        </is>
      </c>
    </row>
    <row r="5">
      <c r="B5" s="3" t="inlineStr">
        <is>
          <t>Cadet:</t>
        </is>
      </c>
      <c r="C5" s="16" t="n"/>
      <c r="D5" s="45" t="n"/>
      <c r="E5" s="44" t="n"/>
      <c r="G5" s="2">
        <f>cfgAcademyClass&amp;" — Cadet Profile — "&amp;TEXT(TODAY(),"mm/dd/yyyy")</f>
        <v/>
      </c>
    </row>
    <row r="7" ht="16" customHeight="1">
      <c r="B7" s="7" t="inlineStr">
        <is>
          <t>Identity &amp; standing</t>
        </is>
      </c>
    </row>
    <row r="8">
      <c r="B8" s="3" t="inlineStr">
        <is>
          <t>PID</t>
        </is>
      </c>
      <c r="C8" s="14">
        <f>_xlfn.XLOOKUP(cfgProfileCadet,rngCadetNames,rngCadetPIDs,"")</f>
        <v/>
      </c>
      <c r="E8" s="3" t="inlineStr">
        <is>
          <t>Agency</t>
        </is>
      </c>
      <c r="F8" s="14">
        <f>_xlfn.XLOOKUP(cfgProfileCadet,rngCadetNames,nrCadetAgency,"")</f>
        <v/>
      </c>
      <c r="H8" s="3" t="inlineStr">
        <is>
          <t>Status</t>
        </is>
      </c>
      <c r="I8" s="14">
        <f>_xlfn.XLOOKUP(cfgProfileCadet,rngCadetNames,nrCadetStatus,"")</f>
        <v/>
      </c>
    </row>
    <row r="9">
      <c r="B9" s="3" t="inlineStr">
        <is>
          <t>Current grade</t>
        </is>
      </c>
      <c r="C9" s="14">
        <f>_xlfn.XLOOKUP(cfgProfileCadet,rngCadetNames,nrGRcurrent,"")</f>
        <v/>
      </c>
      <c r="E9" s="3" t="inlineStr">
        <is>
          <t>Rank</t>
        </is>
      </c>
      <c r="F9" s="14">
        <f>IFERROR(_xlfn.XLOOKUP(cfgProfileCadet,rngCadetNames,nrGRrank),"unranked")</f>
        <v/>
      </c>
      <c r="H9" s="3" t="inlineStr">
        <is>
          <t>Grad eligible</t>
        </is>
      </c>
      <c r="I9" s="14">
        <f>_xlfn.XLOOKUP(cfgProfileCadet,rngCadetNames,nrCKgradElig,"")</f>
        <v/>
      </c>
    </row>
    <row r="10">
      <c r="B10" s="3" t="inlineStr">
        <is>
          <t>Blocking issues</t>
        </is>
      </c>
      <c r="C10" s="14">
        <f>_xlfn.XLOOKUP(cfgProfileCadet,rngCadetNames,nrCKblocking,"")</f>
        <v/>
      </c>
    </row>
    <row r="12" ht="16" customHeight="1">
      <c r="B12" s="7" t="inlineStr">
        <is>
          <t>Academics (pass = 70 in each category)</t>
        </is>
      </c>
    </row>
    <row r="13">
      <c r="B13" s="3" t="inlineStr">
        <is>
          <t>Major avg</t>
        </is>
      </c>
      <c r="C13" s="14">
        <f>_xlfn.XLOOKUP(cfgProfileCadet,rngCadetNames,nrGRmajavg,"—")</f>
        <v/>
      </c>
      <c r="E13" s="3" t="inlineStr">
        <is>
          <t>Needs on remaining Major</t>
        </is>
      </c>
      <c r="F13" s="14">
        <f>_xlfn.XLOOKUP(cfgProfileCadet,rngCadetNames,sysGrades!$W$6:$W$55,"—")</f>
        <v/>
      </c>
      <c r="H13" s="3" t="inlineStr">
        <is>
          <t>Spelling flag</t>
        </is>
      </c>
      <c r="I13" s="14">
        <f>_xlfn.XLOOKUP(cfgProfileCadet,rngCadetNames,nrSpellFlag,"—")</f>
        <v/>
      </c>
    </row>
    <row r="14">
      <c r="B14" s="3" t="inlineStr">
        <is>
          <t>Minor avg</t>
        </is>
      </c>
      <c r="C14" s="14">
        <f>_xlfn.XLOOKUP(cfgProfileCadet,rngCadetNames,sysGrades!$J$6:$J$55,"—")</f>
        <v/>
      </c>
      <c r="E14" s="3" t="inlineStr">
        <is>
          <t>Needs on remaining Minor</t>
        </is>
      </c>
      <c r="F14" s="14">
        <f>_xlfn.XLOOKUP(cfgProfileCadet,rngCadetNames,sysGrades!$X$6:$X$55,"—")</f>
        <v/>
      </c>
      <c r="H14" s="3" t="inlineStr">
        <is>
          <t>Last vs prev score</t>
        </is>
      </c>
      <c r="I14" s="14">
        <f>_xlfn.XLOOKUP(cfgProfileCadet,rngCadetNames,sysGrades!$Z$6:$Z$55,"—")&amp;" / "&amp;_xlfn.XLOOKUP(cfgProfileCadet,rngCadetNames,sysGrades!$AA$6:$AA$55,"—")</f>
        <v/>
      </c>
    </row>
    <row r="15">
      <c r="B15" s="3" t="inlineStr">
        <is>
          <t>Spelling avg</t>
        </is>
      </c>
      <c r="C15" s="14">
        <f>_xlfn.XLOOKUP(cfgProfileCadet,rngCadetNames,sysGrades!$K$6:$K$55,"—")</f>
        <v/>
      </c>
      <c r="E15" s="3" t="inlineStr">
        <is>
          <t>Retakes used</t>
        </is>
      </c>
      <c r="F15" s="14">
        <f>_xlfn.XLOOKUP(cfgProfileCadet,rngCadetNames,nrGRretakes,"—")</f>
        <v/>
      </c>
    </row>
    <row r="16">
      <c r="B16" s="3" t="inlineStr">
        <is>
          <t>Final exam avg</t>
        </is>
      </c>
      <c r="C16" s="14">
        <f>_xlfn.XLOOKUP(cfgProfileCadet,rngCadetNames,nrGRfinalExam,"—")</f>
        <v/>
      </c>
      <c r="E16" s="3" t="inlineStr">
        <is>
          <t>Consecutive fails</t>
        </is>
      </c>
      <c r="F16" s="14">
        <f>_xlfn.XLOOKUP(cfgProfileCadet,rngCadetNames,nrGRconsec,"—")</f>
        <v/>
      </c>
    </row>
    <row r="18" ht="16" customHeight="1">
      <c r="B18" s="7" t="inlineStr">
        <is>
          <t>Attendance / PT / Skills / Writing</t>
        </is>
      </c>
    </row>
    <row r="19">
      <c r="B19" s="3" t="inlineStr">
        <is>
          <t>Classroom missed (net min)</t>
        </is>
      </c>
      <c r="C19" s="14">
        <f>_xlfn.XLOOKUP(cfgProfileCadet,rngCadetNames,sysAttendance!$G$6:$G$55,"—")</f>
        <v/>
      </c>
      <c r="E19" s="3" t="inlineStr">
        <is>
          <t>Tier</t>
        </is>
      </c>
      <c r="F19" s="14">
        <f>_xlfn.XLOOKUP(cfgProfileCadet,rngCadetNames,nrATTclTier,"—")</f>
        <v/>
      </c>
      <c r="H19" s="3" t="inlineStr">
        <is>
          <t>Makeup owed (min)</t>
        </is>
      </c>
      <c r="I19" s="14">
        <f>_xlfn.XLOOKUP(cfgProfileCadet,rngCadetNames,nrATTclOwed,"—")</f>
        <v/>
      </c>
    </row>
    <row r="20">
      <c r="B20" s="3" t="inlineStr">
        <is>
          <t>PT sessions missed (net)</t>
        </is>
      </c>
      <c r="C20" s="14">
        <f>_xlfn.XLOOKUP(cfgProfileCadet,rngCadetNames,sysAttendance!$O$6:$O$55,"—")</f>
        <v/>
      </c>
      <c r="E20" s="3" t="inlineStr">
        <is>
          <t>PT tier</t>
        </is>
      </c>
      <c r="F20" s="14">
        <f>_xlfn.XLOOKUP(cfgProfileCadet,rngCadetNames,nrATTptTier,"—")</f>
        <v/>
      </c>
      <c r="H20" s="3" t="inlineStr">
        <is>
          <t>Final PT</t>
        </is>
      </c>
      <c r="I20" s="14">
        <f>_xlfn.XLOOKUP(cfgProfileCadet,rngCadetNames,nrPT_FinalPass,"—")</f>
        <v/>
      </c>
    </row>
    <row r="21">
      <c r="B21" s="3" t="inlineStr">
        <is>
          <t>Skills status</t>
        </is>
      </c>
      <c r="C21" s="14">
        <f>IF(_xlfn.XLOOKUP(cfgProfileCadet,rngCadetNames,nrSKfailedout,"—")="Yes","FAILED OUT",IF(_xlfn.XLOOKUP(cfgProfileCadet,rngCadetNames,nrSKelig,"—")="Yes","On track","Remediation"))</f>
        <v/>
      </c>
      <c r="E21" s="3" t="inlineStr">
        <is>
          <t>Firearms avg</t>
        </is>
      </c>
      <c r="F21" s="14">
        <f>_xlfn.XLOOKUP(cfgProfileCadet,rngCadetNames,nrSKfirearmsAvg,"—")</f>
        <v/>
      </c>
      <c r="H21" s="3" t="inlineStr">
        <is>
          <t>Writing current</t>
        </is>
      </c>
      <c r="I21" s="14">
        <f>_xlfn.XLOOKUP(cfgProfileCadet,rngCadetNames,nrWRcurrent,"—")&amp;" ("&amp;_xlfn.XLOOKUP(cfgProfileCadet,rngCadetNames,nrWRoverdue,"0")&amp;" overdue)"</f>
        <v/>
      </c>
    </row>
    <row r="23" ht="16" customHeight="1">
      <c r="B23" s="7" t="inlineStr">
        <is>
          <t>Flags</t>
        </is>
      </c>
    </row>
    <row r="24">
      <c r="B24" s="3" t="inlineStr">
        <is>
          <t>Flag reasons</t>
        </is>
      </c>
      <c r="C24" s="14">
        <f>_xlfn.XLOOKUP(cfgProfileCadet,rngCadetNames,nrFLreasons,"none")</f>
        <v/>
      </c>
    </row>
    <row r="26" ht="16" customHeight="1">
      <c r="B26" s="7" t="inlineStr">
        <is>
          <t>Recent incidents &amp; counseling (10 latest)</t>
        </is>
      </c>
    </row>
    <row r="27">
      <c r="B27">
        <f>IFERROR(_xlfn.TAKE(_xlfn.SORTBY(_xlfn._xlws.FILTER(_xlfn.HSTACK(TEXT(nrIN_Date,"mm/dd/yyyy"),nrIN_Dir,nrIN_Sev,nrIN_Desc),(nrIN_PID&lt;&gt;"")*(nrIN_PID=_xlfn.XLOOKUP(cfgProfileCadet,rngCadetNames,rngCadetPIDs,"")),"none"),_xlfn._xlws.FILTER(nrIN_Date,(nrIN_PID&lt;&gt;"")*(nrIN_PID=_xlfn.XLOOKUP(cfgProfileCadet,rngCadetNames,rngCadetPIDs,"")),"none"),-1),10),"⚠ LIST UNAVAILABLE - a reference in this panel is broken; do NOT read it as 'nothing to report'")</f>
        <v/>
      </c>
    </row>
    <row r="38">
      <c r="B38">
        <f>IFERROR(_xlfn.TAKE(_xlfn.SORTBY(_xlfn._xlws.FILTER(_xlfn.HSTACK(TEXT(nrCO_Date,"mm/dd/yyyy"),nrCO_Type,nrCO_Desc),(nrCO_PID&lt;&gt;"")*(nrCO_PID=_xlfn.XLOOKUP(cfgProfileCadet,rngCadetNames,rngCadetPIDs,"")),"none"),_xlfn._xlws.FILTER(nrCO_Date,(nrCO_PID&lt;&gt;"")*(nrCO_PID=_xlfn.XLOOKUP(cfgProfileCadet,rngCadetNames,rngCadetPIDs,"")),"none"),-1),10),"⚠ LIST UNAVAILABLE - a reference in this panel is broken; do NOT read it as 'nothing to report'")</f>
        <v/>
      </c>
    </row>
    <row r="49" ht="16" customHeight="1">
      <c r="B49" s="7" t="inlineStr">
        <is>
          <t>Attendance exceptions &amp; makeup (10 latest)</t>
        </is>
      </c>
    </row>
    <row r="50">
      <c r="B50">
        <f>IFERROR(_xlfn.TAKE(_xlfn.SORTBY(_xlfn._xlws.FILTER(_xlfn.HSTACK(TEXT(nrAT_Date,"mm/dd/yyyy"),nrAT_Type,Attendance!$H$6:$H$805,nrAT_Min,nrAT_Sess,nrAT_Excused),(nrAT_PID&lt;&gt;"")*(nrAT_PID=_xlfn.XLOOKUP(cfgProfileCadet,rngCadetNames,rngCadetPIDs,"")),"none"),_xlfn._xlws.FILTER(nrAT_Date,(nrAT_PID&lt;&gt;"")*(nrAT_PID=_xlfn.XLOOKUP(cfgProfileCadet,rngCadetNames,rngCadetPIDs,"")),"none"),-1),10),"⚠ LIST UNAVAILABLE - a reference in this panel is broken; do NOT read it as 'nothing to report'")</f>
        <v/>
      </c>
    </row>
    <row r="61">
      <c r="B61">
        <f>IFERROR(_xlfn.TAKE(_xlfn.SORTBY(_xlfn._xlws.FILTER(_xlfn.HSTACK(TEXT(Makeup!$C$6:$C$505,"mm/dd/yyyy"),nrMK_Type,nrMK_Min,nrMK_Sess,nrMK_Credit),(nrMK_PID&lt;&gt;"")*(nrMK_PID=_xlfn.XLOOKUP(cfgProfileCadet,rngCadetNames,rngCadetPIDs,"")),"no makeup entries"),_xlfn._xlws.FILTER(Makeup!$C$6:$C$505,(nrMK_PID&lt;&gt;"")*(nrMK_PID=_xlfn.XLOOKUP(cfgProfileCadet,rngCadetNames,rngCadetPIDs,"")),"no makeup entries"),-1),10),"⚠ LIST UNAVAILABLE - a reference in this panel is broken; do NOT read it as 'nothing to report'")</f>
        <v/>
      </c>
    </row>
    <row r="72" ht="16" customHeight="1">
      <c r="B72" s="7" t="inlineStr">
        <is>
          <t>OPEN missed time — 6 most recent (event / date / type / reason / balance owed)</t>
        </is>
      </c>
    </row>
    <row r="73">
      <c r="B73">
        <f>IFERROR(_xlfn.TAKE(_xlfn.SORTBY(_xlfn._xlws.FILTER(_xlfn.HSTACK(nrAT_ID,TEXT(nrAT_Date,"mm/dd"),Attendance!$G$6:$G$805,Attendance!$H$6:$H$805,nrAT_Balance),(nrAT_PID=_xlfn.XLOOKUP(cfgProfileCadet,rngCadetNames,rngCadetPIDs,""))*(nrAT_Cleared="OPEN"),"all missed time cleared"),_xlfn._xlws.FILTER(nrAT_Date,(nrAT_PID=_xlfn.XLOOKUP(cfgProfileCadet,rngCadetNames,rngCadetPIDs,""))*(nrAT_Cleared="OPEN"),"all missed time cleared"),-1),6),"⚠ LIST UNAVAILABLE - a reference in this panel is broken; do NOT read it as 'nothing to report'")</f>
        <v/>
      </c>
    </row>
    <row r="79" ht="16" customHeight="1">
      <c r="B79" s="7" t="inlineStr">
        <is>
          <t>OPEN memos — 7 shown (id / assigned / subject / due / status)</t>
        </is>
      </c>
    </row>
    <row r="80">
      <c r="B80">
        <f>IFERROR(_xlfn.TAKE(_xlfn._xlws.FILTER(_xlfn.HSTACK(Memos!$B$6:$B$305,TEXT(nrME_Assigned,"mm/dd"),nrME_Subject,TEXT(nrME_Due,"mm/dd"),nrME_Status),(nrME_PID=_xlfn.XLOOKUP(cfgProfileCadet,rngCadetNames,rngCadetPIDs,""))*(nrME_Cadet&lt;&gt;"")*(nrME_Received=""),"none outstanding"),7),"⚠ LIST UNAVAILABLE - a reference in this panel is broken; do NOT read it as 'nothing to report'")</f>
        <v/>
      </c>
    </row>
  </sheetData>
  <sheetProtection selectLockedCells="0" selectUnlockedCells="0" sheet="1" objects="0" insertRows="1" insertHyperlinks="1" autoFilter="1" scenarios="0" formatColumns="1" deleteColumns="1" insertColumns="1" pivotTables="1" deleteRows="1" formatCells="1" formatRows="1" sort="1" password="B4BB"/>
  <mergeCells count="36">
    <mergeCell ref="C15:D15"/>
    <mergeCell ref="F16:G16"/>
    <mergeCell ref="F19:G19"/>
    <mergeCell ref="C24:J24"/>
    <mergeCell ref="B23:J23"/>
    <mergeCell ref="C14:D14"/>
    <mergeCell ref="C20:D20"/>
    <mergeCell ref="F21:G21"/>
    <mergeCell ref="C16:D16"/>
    <mergeCell ref="F15:G15"/>
    <mergeCell ref="C10:J10"/>
    <mergeCell ref="F20:G20"/>
    <mergeCell ref="B49:J49"/>
    <mergeCell ref="C9:D9"/>
    <mergeCell ref="F8:G8"/>
    <mergeCell ref="I21:J21"/>
    <mergeCell ref="C21:D21"/>
    <mergeCell ref="B26:J26"/>
    <mergeCell ref="B79:J79"/>
    <mergeCell ref="F13:G13"/>
    <mergeCell ref="I8:J8"/>
    <mergeCell ref="I14:J14"/>
    <mergeCell ref="F9:G9"/>
    <mergeCell ref="C8:D8"/>
    <mergeCell ref="B7:J7"/>
    <mergeCell ref="B72:J72"/>
    <mergeCell ref="I20:J20"/>
    <mergeCell ref="C5:E5"/>
    <mergeCell ref="C19:D19"/>
    <mergeCell ref="I19:J19"/>
    <mergeCell ref="B18:J18"/>
    <mergeCell ref="C13:D13"/>
    <mergeCell ref="F14:G14"/>
    <mergeCell ref="I13:J13"/>
    <mergeCell ref="B12:J12"/>
    <mergeCell ref="I9:J9"/>
  </mergeCells>
  <dataValidations count="1">
    <dataValidation sqref="C5" showDropDown="0" showInputMessage="0" showErrorMessage="1" allowBlank="1" type="list">
      <formula1>=rngCadetNames</formula1>
    </dataValidation>
  </dataValidations>
  <pageMargins left="0.75" right="0.75" top="1" bottom="1" header="0.5" footer="0.5"/>
  <pageSetup orientation="portrait" fitToHeight="0" fitToWidth="1"/>
</worksheet>
</file>

<file path=xl/worksheets/sheet27.xml><?xml version="1.0" encoding="utf-8"?>
<worksheet xmlns="http://schemas.openxmlformats.org/spreadsheetml/2006/main">
  <sheetPr>
    <tabColor rgb="001E7145"/>
    <outlinePr summaryBelow="1" summaryRight="1"/>
    <pageSetUpPr fitToPage="1"/>
  </sheetPr>
  <dimension ref="B1:J58"/>
  <sheetViews>
    <sheetView showGridLines="0" workbookViewId="0">
      <selection activeCell="A1" sqref="A1"/>
    </sheetView>
  </sheetViews>
  <sheetFormatPr baseColWidth="8" defaultRowHeight="15"/>
  <cols>
    <col width="3" customWidth="1" min="1" max="1"/>
    <col width="26" customWidth="1" min="2" max="2"/>
    <col width="14" customWidth="1" min="3" max="3"/>
    <col width="14" customWidth="1" min="4" max="4"/>
    <col width="16" customWidth="1" min="5" max="5"/>
    <col width="14" customWidth="1" min="6" max="6"/>
    <col width="16" customWidth="1" min="7" max="7"/>
    <col width="14" customWidth="1" min="8" max="8"/>
    <col width="12" customWidth="1" min="9" max="9"/>
    <col width="12" customWidth="1" min="10" max="10"/>
  </cols>
  <sheetData>
    <row r="1">
      <c r="B1" s="10">
        <f>HYPERLINK("#Dashboard!B5","◄ Dashboard")</f>
        <v/>
      </c>
    </row>
    <row r="4">
      <c r="B4" s="11" t="inlineStr">
        <is>
          <t>The end-of-academy deliverable per cadet — print one per cadet for the agency packet.</t>
        </is>
      </c>
    </row>
    <row r="5">
      <c r="B5" s="3" t="inlineStr">
        <is>
          <t>Cadet:</t>
        </is>
      </c>
      <c r="C5" s="16" t="n"/>
      <c r="D5" s="45" t="n"/>
      <c r="E5" s="44" t="n"/>
      <c r="G5" s="3">
        <f>"TYLER POLICE ACADEMY — "&amp;cfgAcademyClass&amp;" — OFFICIAL TRANSCRIPT"</f>
        <v/>
      </c>
    </row>
    <row r="7">
      <c r="B7" s="3" t="inlineStr">
        <is>
          <t>PID</t>
        </is>
      </c>
      <c r="C7" s="14">
        <f>_xlfn.XLOOKUP(cfgTranscriptCadet,rngCadetNames,rngCadetPIDs,"")</f>
        <v/>
      </c>
      <c r="E7" s="3" t="inlineStr">
        <is>
          <t>Agency</t>
        </is>
      </c>
      <c r="F7" s="14">
        <f>_xlfn.XLOOKUP(cfgTranscriptCadet,rngCadetNames,nrCadetAgency,"")</f>
        <v/>
      </c>
      <c r="H7" s="3" t="inlineStr">
        <is>
          <t>Status</t>
        </is>
      </c>
      <c r="I7" s="14">
        <f>_xlfn.XLOOKUP(cfgTranscriptCadet,rngCadetNames,nrCadetStatus,"")</f>
        <v/>
      </c>
    </row>
    <row r="8">
      <c r="B8" s="3" t="inlineStr">
        <is>
          <t>Academy dates</t>
        </is>
      </c>
      <c r="C8" s="14">
        <f>TEXT(cfgStartDate,"mm/dd/yyyy")&amp;" – "&amp;TEXT(cfgEndDate,"mm/dd/yyyy")</f>
        <v/>
      </c>
      <c r="E8" s="3" t="inlineStr">
        <is>
          <t>Final grade</t>
        </is>
      </c>
      <c r="F8" s="14">
        <f>_xlfn.XLOOKUP(cfgTranscriptCadet,rngCadetNames,nrGRfinal,"—")</f>
        <v/>
      </c>
      <c r="H8" s="3" t="inlineStr">
        <is>
          <t>Class rank</t>
        </is>
      </c>
      <c r="I8" s="14">
        <f>IFERROR(_xlfn.XLOOKUP(cfgTranscriptCadet,rngCadetNames,nrGRrank),"—")</f>
        <v/>
      </c>
    </row>
    <row r="10" ht="16" customHeight="1">
      <c r="B10" s="7" t="inlineStr">
        <is>
          <t>Category averages (70 required in each)</t>
        </is>
      </c>
    </row>
    <row r="11">
      <c r="B11" s="3" t="inlineStr">
        <is>
          <t>Major (40%)</t>
        </is>
      </c>
      <c r="C11" s="14">
        <f>_xlfn.XLOOKUP(cfgTranscriptCadet,rngCadetNames,nrGRmajavg,"—")</f>
        <v/>
      </c>
    </row>
    <row r="12">
      <c r="B12" s="3" t="inlineStr">
        <is>
          <t>Minor (30%)</t>
        </is>
      </c>
      <c r="C12" s="14">
        <f>_xlfn.XLOOKUP(cfgTranscriptCadet,rngCadetNames,sysGrades!$J$6:$J$55,"—")</f>
        <v/>
      </c>
    </row>
    <row r="13">
      <c r="B13" s="3" t="inlineStr">
        <is>
          <t>Spelling (10%)</t>
        </is>
      </c>
      <c r="C13" s="14">
        <f>_xlfn.XLOOKUP(cfgTranscriptCadet,rngCadetNames,sysGrades!$K$6:$K$55,"—")</f>
        <v/>
      </c>
    </row>
    <row r="14">
      <c r="B14" s="3" t="inlineStr">
        <is>
          <t>Final Exam (20%)</t>
        </is>
      </c>
      <c r="C14" s="14">
        <f>_xlfn.XLOOKUP(cfgTranscriptCadet,rngCadetNames,nrGRfinalExam,"—")</f>
        <v/>
      </c>
    </row>
    <row r="16" ht="16" customHeight="1">
      <c r="B16" s="7" t="inlineStr">
        <is>
          <t>Exam record (recorded scores, final attempts)</t>
        </is>
      </c>
    </row>
    <row r="17">
      <c r="B17">
        <f>IFERROR(_xlfn.TAKE(_xlfn._xlws.FILTER(_xlfn.HSTACK(ExamScores!$G$6:$G$1505,ExamScores!$H$6:$H$1505,ExamScores!$K$6:$K$1505,ExamScores!$M$6:$M$1505,TEXT(ExamScores!$S$6:$S$1505,"mm/dd/yyyy")),(nrES_PID=_xlfn.XLOOKUP(cfgTranscriptCadet,rngCadetNames,rngCadetPIDs,""))*(nrES_Final="Yes")*(nrES_Rec&lt;&gt;""),"—"),26),"⚠ LIST UNAVAILABLE - a reference in this panel is broken; do NOT read it as 'nothing to report'")</f>
        <v/>
      </c>
    </row>
    <row r="43" ht="16" customHeight="1">
      <c r="B43" s="7" t="inlineStr">
        <is>
          <t>Attendance / Skills / PT / Writing / Conduct</t>
        </is>
      </c>
    </row>
    <row r="44">
      <c r="B44" s="3" t="inlineStr">
        <is>
          <t>Classroom minutes still owed</t>
        </is>
      </c>
      <c r="C44" s="14">
        <f>_xlfn.XLOOKUP(cfgTranscriptCadet,rngCadetNames,sysAttendance!$G$6:$G$55,"0")&amp;" min (all missed time must be made up)"</f>
        <v/>
      </c>
    </row>
    <row r="45">
      <c r="B45" s="3" t="inlineStr">
        <is>
          <t>PT sessions missed (net)</t>
        </is>
      </c>
      <c r="C45" s="14">
        <f>_xlfn.XLOOKUP(cfgTranscriptCadet,rngCadetNames,sysAttendance!$O$6:$O$55,"0")&amp;" of "&amp;cfgPTCapSessions&amp;" cap"</f>
        <v/>
      </c>
    </row>
    <row r="46">
      <c r="B46" s="3" t="inlineStr">
        <is>
          <t>Makeup complete</t>
        </is>
      </c>
      <c r="C46" s="14">
        <f>_xlfn.XLOOKUP(cfgTranscriptCadet,rngCadetNames,nrATTmakeupOK,"—")</f>
        <v/>
      </c>
    </row>
    <row r="47">
      <c r="B47" s="3" t="inlineStr">
        <is>
          <t>Skills</t>
        </is>
      </c>
      <c r="C47" s="14">
        <f>IF(_xlfn.XLOOKUP(cfgTranscriptCadet,rngCadetNames,nrSKfailedout,"—")="Yes","FAILED OUT","Qualified/on record — see Skills log")</f>
        <v/>
      </c>
    </row>
    <row r="48">
      <c r="B48" s="3" t="inlineStr">
        <is>
          <t>Firearms average</t>
        </is>
      </c>
      <c r="C48" s="14">
        <f>_xlfn.XLOOKUP(cfgTranscriptCadet,rngCadetNames,nrSKfirearmsAvg,"—")</f>
        <v/>
      </c>
    </row>
    <row r="49">
      <c r="B49" s="3" t="inlineStr">
        <is>
          <t>Final PT assessment</t>
        </is>
      </c>
      <c r="C49" s="14">
        <f>_xlfn.XLOOKUP(cfgTranscriptCadet,rngCadetNames,nrPT_FinalPass,"—")&amp;" ("&amp;_xlfn.XLOOKUP(cfgTranscriptCadet,rngCadetNames,nrPT_FinalPts,"—")&amp;" pts)"</f>
        <v/>
      </c>
    </row>
    <row r="50">
      <c r="B50" s="3" t="inlineStr">
        <is>
          <t>Writing assignments complete</t>
        </is>
      </c>
      <c r="C50" s="14">
        <f>_xlfn.XLOOKUP(cfgTranscriptCadet,rngCadetNames,nrWRcomplete,"0")&amp;" of 40"</f>
        <v/>
      </c>
    </row>
    <row r="51">
      <c r="B51" s="3" t="inlineStr">
        <is>
          <t>Incidents (neg/pos)</t>
        </is>
      </c>
      <c r="C51" s="14">
        <f>_xlfn.XLOOKUP(cfgTranscriptCadet,rngCadetNames,sysIncidents!$F$6:$F$55,"0")&amp;" / "&amp;_xlfn.XLOOKUP(cfgTranscriptCadet,rngCadetNames,sysIncidents!$G$6:$G$55,"0")</f>
        <v/>
      </c>
    </row>
    <row r="52">
      <c r="B52" s="3" t="inlineStr">
        <is>
          <t>Awards</t>
        </is>
      </c>
      <c r="C52" s="14">
        <f>IFERROR(_xlfn.TEXTJOIN(", ",TRUE,IF(nrAWfinal=cfgTranscriptCadet,nrAWnames,"")),"")</f>
        <v/>
      </c>
    </row>
    <row r="53">
      <c r="B53" s="3" t="inlineStr">
        <is>
          <t>Required certifications</t>
        </is>
      </c>
      <c r="C53" s="14">
        <f>_xlfn.LET(_xlpm.m,_xlfn.XLOOKUP(cfgTranscriptCadet,rngCadetNames,nrCERTmissing,""),IF(_xlpm.m="","All on file (TIM, SFST, TCIC, CPR/AED, ALERRT, ICS)","Outstanding: "&amp;_xlpm.m))</f>
        <v/>
      </c>
    </row>
    <row r="54">
      <c r="B54" s="3" t="inlineStr">
        <is>
          <t>State licensing exam</t>
        </is>
      </c>
      <c r="C54" s="14">
        <f>_xlfn.XLOOKUP(cfgTranscriptCadet,rngCadetNames,nrSEstatus,"Not yet attempted")</f>
        <v/>
      </c>
    </row>
    <row r="56">
      <c r="B56" s="3" t="inlineStr">
        <is>
          <t>Training Coordinator:</t>
        </is>
      </c>
      <c r="E56" s="14" t="inlineStr">
        <is>
          <t>_______________________</t>
        </is>
      </c>
      <c r="G56" s="3" t="inlineStr">
        <is>
          <t>Date:</t>
        </is>
      </c>
      <c r="H56" s="14" t="inlineStr">
        <is>
          <t>____________</t>
        </is>
      </c>
    </row>
    <row r="58">
      <c r="B58" s="2" t="inlineStr">
        <is>
          <t>711 W. Ferguson St., Tyler, TX 75702 — (903) 531-1018  Fax (903) 535-0102</t>
        </is>
      </c>
    </row>
  </sheetData>
  <sheetProtection selectLockedCells="0" selectUnlockedCells="0" sheet="1" objects="0" insertRows="1" insertHyperlinks="1" autoFilter="1" scenarios="0" formatColumns="1" deleteColumns="1" insertColumns="1" pivotTables="1" deleteRows="1" formatCells="1" formatRows="1" sort="1" password="B4BB"/>
  <mergeCells count="25">
    <mergeCell ref="C52:F52"/>
    <mergeCell ref="C48:F48"/>
    <mergeCell ref="C14:D14"/>
    <mergeCell ref="F7:G7"/>
    <mergeCell ref="C53:F53"/>
    <mergeCell ref="B10:J10"/>
    <mergeCell ref="C49:F49"/>
    <mergeCell ref="I7:J7"/>
    <mergeCell ref="F8:G8"/>
    <mergeCell ref="C12:D12"/>
    <mergeCell ref="C45:F45"/>
    <mergeCell ref="C11:D11"/>
    <mergeCell ref="C54:F54"/>
    <mergeCell ref="I8:J8"/>
    <mergeCell ref="C47:F47"/>
    <mergeCell ref="C50:F50"/>
    <mergeCell ref="C8:D8"/>
    <mergeCell ref="C44:F44"/>
    <mergeCell ref="B16:J16"/>
    <mergeCell ref="C7:D7"/>
    <mergeCell ref="C5:E5"/>
    <mergeCell ref="C46:F46"/>
    <mergeCell ref="C13:D13"/>
    <mergeCell ref="C51:F51"/>
    <mergeCell ref="B43:J43"/>
  </mergeCells>
  <dataValidations count="1">
    <dataValidation sqref="C5" showDropDown="0" showInputMessage="0" showErrorMessage="1" allowBlank="1" type="list">
      <formula1>=rngCadetNames</formula1>
    </dataValidation>
  </dataValidations>
  <pageMargins left="0.75" right="0.75" top="1" bottom="1" header="0.5" footer="0.5"/>
  <pageSetup orientation="portrait" fitToHeight="0" fitToWidth="1"/>
</worksheet>
</file>

<file path=xl/worksheets/sheet28.xml><?xml version="1.0" encoding="utf-8"?>
<worksheet xmlns="http://schemas.openxmlformats.org/spreadsheetml/2006/main">
  <sheetPr>
    <tabColor rgb="001E7145"/>
    <outlinePr summaryBelow="1" summaryRight="1"/>
    <pageSetUpPr fitToPage="1"/>
  </sheetPr>
  <dimension ref="B1:S55"/>
  <sheetViews>
    <sheetView showGridLines="0" workbookViewId="0">
      <pane xSplit="3" ySplit="5" topLeftCell="D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4" customWidth="1" min="3" max="3"/>
    <col width="18"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54" customWidth="1" min="18" max="18"/>
    <col width="11" customWidth="1" min="19" max="19"/>
  </cols>
  <sheetData>
    <row r="1">
      <c r="B1" s="10">
        <f>HYPERLINK("#Dashboard!B5","◄ Dashboard")</f>
        <v/>
      </c>
    </row>
    <row r="4">
      <c r="B4" s="11" t="inlineStr">
        <is>
          <t>The final gate before the ceremony — columns Academic through Skills P/F must ALL read Yes and Blocking Issues must read 'Eligible' — it is never blank for a passing cadet. Anything else blocks and is spelled out in Blocking Issues: 'No', 'Pending' (Final PT points rubric not entered on Settings) and 'Not taken' (final PT never assessed) are all blocks, not neutral values.</t>
        </is>
      </c>
    </row>
    <row r="5" ht="26" customHeight="1">
      <c r="B5" s="12" t="inlineStr">
        <is>
          <t>PID</t>
        </is>
      </c>
      <c r="C5" s="12" t="inlineStr">
        <is>
          <t>Cadet</t>
        </is>
      </c>
      <c r="D5" s="12" t="inlineStr">
        <is>
          <t>Agency</t>
        </is>
      </c>
      <c r="E5" s="12" t="inlineStr">
        <is>
          <t>Academic</t>
        </is>
      </c>
      <c r="F5" s="12" t="inlineStr">
        <is>
          <t>Classroom</t>
        </is>
      </c>
      <c r="G5" s="12" t="inlineStr">
        <is>
          <t>PT Sessions</t>
        </is>
      </c>
      <c r="H5" s="12" t="inlineStr">
        <is>
          <t>Skills</t>
        </is>
      </c>
      <c r="I5" s="12" t="inlineStr">
        <is>
          <t>Incidents</t>
        </is>
      </c>
      <c r="J5" s="12" t="inlineStr">
        <is>
          <t>Writing</t>
        </is>
      </c>
      <c r="K5" s="12" t="inlineStr">
        <is>
          <t>Makeup</t>
        </is>
      </c>
      <c r="L5" s="12" t="inlineStr">
        <is>
          <t>Final PT</t>
        </is>
      </c>
      <c r="M5" s="12" t="inlineStr">
        <is>
          <t>No Dismiss Rev</t>
        </is>
      </c>
      <c r="N5" s="12" t="inlineStr">
        <is>
          <t>Certs</t>
        </is>
      </c>
      <c r="O5" s="12" t="inlineStr">
        <is>
          <t>Enroll Docs</t>
        </is>
      </c>
      <c r="P5" s="12" t="inlineStr">
        <is>
          <t>Skills P/F</t>
        </is>
      </c>
      <c r="Q5" s="12" t="inlineStr">
        <is>
          <t>ELIGIBLE</t>
        </is>
      </c>
      <c r="R5" s="12" t="inlineStr">
        <is>
          <t>Blocking Issues</t>
        </is>
      </c>
      <c r="S5" s="20" t="inlineStr">
        <is>
          <t>Cadet Status</t>
        </is>
      </c>
    </row>
    <row r="6">
      <c r="B6" s="17">
        <f>IF(Cadets!$B6="","",Cadets!$B6)</f>
        <v/>
      </c>
      <c r="C6" s="17">
        <f>IF($B6="","",Cadets!$F6)</f>
        <v/>
      </c>
      <c r="D6" s="17">
        <f>IF($B6="","",Cadets!$H6)</f>
        <v/>
      </c>
      <c r="E6" s="17">
        <f>IF($B6="","",sysChecks!$E6)</f>
        <v/>
      </c>
      <c r="F6" s="17">
        <f>IF($B6="","",sysChecks!$F6)</f>
        <v/>
      </c>
      <c r="G6" s="17">
        <f>IF($B6="","",sysChecks!$G6)</f>
        <v/>
      </c>
      <c r="H6" s="17">
        <f>IF($B6="","",sysChecks!$H6)</f>
        <v/>
      </c>
      <c r="I6" s="17">
        <f>IF($B6="","",sysChecks!$I6)</f>
        <v/>
      </c>
      <c r="J6" s="17">
        <f>IF($B6="","",sysChecks!$J6)</f>
        <v/>
      </c>
      <c r="K6" s="17">
        <f>IF($B6="","",sysChecks!$K6)</f>
        <v/>
      </c>
      <c r="L6" s="17">
        <f>IF($B6="","",sysChecks!$L6)</f>
        <v/>
      </c>
      <c r="M6" s="17">
        <f>IF($B6="","",IF(sysChecks!$M6="Yes","No","Yes"))</f>
        <v/>
      </c>
      <c r="N6" s="17">
        <f>IF($B6="","",sysChecks!$Q6)</f>
        <v/>
      </c>
      <c r="O6" s="17">
        <f>IF($B6="","",sysChecks!$W6)</f>
        <v/>
      </c>
      <c r="P6" s="17">
        <f>IF($B6="","",sysChecks!$X6)</f>
        <v/>
      </c>
      <c r="Q6" s="17">
        <f>IF($B6="","",sysChecks!$N6)</f>
        <v/>
      </c>
      <c r="R6" s="17">
        <f>IF($B6="","",sysChecks!$O6)</f>
        <v/>
      </c>
      <c r="S6" s="17">
        <f>IF(Cadets!$B6="","",Cadets!$I6)</f>
        <v/>
      </c>
    </row>
    <row r="7">
      <c r="B7" s="17">
        <f>IF(Cadets!$B7="","",Cadets!$B7)</f>
        <v/>
      </c>
      <c r="C7" s="17">
        <f>IF($B7="","",Cadets!$F7)</f>
        <v/>
      </c>
      <c r="D7" s="17">
        <f>IF($B7="","",Cadets!$H7)</f>
        <v/>
      </c>
      <c r="E7" s="17">
        <f>IF($B7="","",sysChecks!$E7)</f>
        <v/>
      </c>
      <c r="F7" s="17">
        <f>IF($B7="","",sysChecks!$F7)</f>
        <v/>
      </c>
      <c r="G7" s="17">
        <f>IF($B7="","",sysChecks!$G7)</f>
        <v/>
      </c>
      <c r="H7" s="17">
        <f>IF($B7="","",sysChecks!$H7)</f>
        <v/>
      </c>
      <c r="I7" s="17">
        <f>IF($B7="","",sysChecks!$I7)</f>
        <v/>
      </c>
      <c r="J7" s="17">
        <f>IF($B7="","",sysChecks!$J7)</f>
        <v/>
      </c>
      <c r="K7" s="17">
        <f>IF($B7="","",sysChecks!$K7)</f>
        <v/>
      </c>
      <c r="L7" s="17">
        <f>IF($B7="","",sysChecks!$L7)</f>
        <v/>
      </c>
      <c r="M7" s="17">
        <f>IF($B7="","",IF(sysChecks!$M7="Yes","No","Yes"))</f>
        <v/>
      </c>
      <c r="N7" s="17">
        <f>IF($B7="","",sysChecks!$Q7)</f>
        <v/>
      </c>
      <c r="O7" s="17">
        <f>IF($B7="","",sysChecks!$W7)</f>
        <v/>
      </c>
      <c r="P7" s="17">
        <f>IF($B7="","",sysChecks!$X7)</f>
        <v/>
      </c>
      <c r="Q7" s="17">
        <f>IF($B7="","",sysChecks!$N7)</f>
        <v/>
      </c>
      <c r="R7" s="17">
        <f>IF($B7="","",sysChecks!$O7)</f>
        <v/>
      </c>
      <c r="S7" s="17">
        <f>IF(Cadets!$B7="","",Cadets!$I7)</f>
        <v/>
      </c>
    </row>
    <row r="8">
      <c r="B8" s="17">
        <f>IF(Cadets!$B8="","",Cadets!$B8)</f>
        <v/>
      </c>
      <c r="C8" s="17">
        <f>IF($B8="","",Cadets!$F8)</f>
        <v/>
      </c>
      <c r="D8" s="17">
        <f>IF($B8="","",Cadets!$H8)</f>
        <v/>
      </c>
      <c r="E8" s="17">
        <f>IF($B8="","",sysChecks!$E8)</f>
        <v/>
      </c>
      <c r="F8" s="17">
        <f>IF($B8="","",sysChecks!$F8)</f>
        <v/>
      </c>
      <c r="G8" s="17">
        <f>IF($B8="","",sysChecks!$G8)</f>
        <v/>
      </c>
      <c r="H8" s="17">
        <f>IF($B8="","",sysChecks!$H8)</f>
        <v/>
      </c>
      <c r="I8" s="17">
        <f>IF($B8="","",sysChecks!$I8)</f>
        <v/>
      </c>
      <c r="J8" s="17">
        <f>IF($B8="","",sysChecks!$J8)</f>
        <v/>
      </c>
      <c r="K8" s="17">
        <f>IF($B8="","",sysChecks!$K8)</f>
        <v/>
      </c>
      <c r="L8" s="17">
        <f>IF($B8="","",sysChecks!$L8)</f>
        <v/>
      </c>
      <c r="M8" s="17">
        <f>IF($B8="","",IF(sysChecks!$M8="Yes","No","Yes"))</f>
        <v/>
      </c>
      <c r="N8" s="17">
        <f>IF($B8="","",sysChecks!$Q8)</f>
        <v/>
      </c>
      <c r="O8" s="17">
        <f>IF($B8="","",sysChecks!$W8)</f>
        <v/>
      </c>
      <c r="P8" s="17">
        <f>IF($B8="","",sysChecks!$X8)</f>
        <v/>
      </c>
      <c r="Q8" s="17">
        <f>IF($B8="","",sysChecks!$N8)</f>
        <v/>
      </c>
      <c r="R8" s="17">
        <f>IF($B8="","",sysChecks!$O8)</f>
        <v/>
      </c>
      <c r="S8" s="17">
        <f>IF(Cadets!$B8="","",Cadets!$I8)</f>
        <v/>
      </c>
    </row>
    <row r="9">
      <c r="B9" s="17">
        <f>IF(Cadets!$B9="","",Cadets!$B9)</f>
        <v/>
      </c>
      <c r="C9" s="17">
        <f>IF($B9="","",Cadets!$F9)</f>
        <v/>
      </c>
      <c r="D9" s="17">
        <f>IF($B9="","",Cadets!$H9)</f>
        <v/>
      </c>
      <c r="E9" s="17">
        <f>IF($B9="","",sysChecks!$E9)</f>
        <v/>
      </c>
      <c r="F9" s="17">
        <f>IF($B9="","",sysChecks!$F9)</f>
        <v/>
      </c>
      <c r="G9" s="17">
        <f>IF($B9="","",sysChecks!$G9)</f>
        <v/>
      </c>
      <c r="H9" s="17">
        <f>IF($B9="","",sysChecks!$H9)</f>
        <v/>
      </c>
      <c r="I9" s="17">
        <f>IF($B9="","",sysChecks!$I9)</f>
        <v/>
      </c>
      <c r="J9" s="17">
        <f>IF($B9="","",sysChecks!$J9)</f>
        <v/>
      </c>
      <c r="K9" s="17">
        <f>IF($B9="","",sysChecks!$K9)</f>
        <v/>
      </c>
      <c r="L9" s="17">
        <f>IF($B9="","",sysChecks!$L9)</f>
        <v/>
      </c>
      <c r="M9" s="17">
        <f>IF($B9="","",IF(sysChecks!$M9="Yes","No","Yes"))</f>
        <v/>
      </c>
      <c r="N9" s="17">
        <f>IF($B9="","",sysChecks!$Q9)</f>
        <v/>
      </c>
      <c r="O9" s="17">
        <f>IF($B9="","",sysChecks!$W9)</f>
        <v/>
      </c>
      <c r="P9" s="17">
        <f>IF($B9="","",sysChecks!$X9)</f>
        <v/>
      </c>
      <c r="Q9" s="17">
        <f>IF($B9="","",sysChecks!$N9)</f>
        <v/>
      </c>
      <c r="R9" s="17">
        <f>IF($B9="","",sysChecks!$O9)</f>
        <v/>
      </c>
      <c r="S9" s="17">
        <f>IF(Cadets!$B9="","",Cadets!$I9)</f>
        <v/>
      </c>
    </row>
    <row r="10">
      <c r="B10" s="17">
        <f>IF(Cadets!$B10="","",Cadets!$B10)</f>
        <v/>
      </c>
      <c r="C10" s="17">
        <f>IF($B10="","",Cadets!$F10)</f>
        <v/>
      </c>
      <c r="D10" s="17">
        <f>IF($B10="","",Cadets!$H10)</f>
        <v/>
      </c>
      <c r="E10" s="17">
        <f>IF($B10="","",sysChecks!$E10)</f>
        <v/>
      </c>
      <c r="F10" s="17">
        <f>IF($B10="","",sysChecks!$F10)</f>
        <v/>
      </c>
      <c r="G10" s="17">
        <f>IF($B10="","",sysChecks!$G10)</f>
        <v/>
      </c>
      <c r="H10" s="17">
        <f>IF($B10="","",sysChecks!$H10)</f>
        <v/>
      </c>
      <c r="I10" s="17">
        <f>IF($B10="","",sysChecks!$I10)</f>
        <v/>
      </c>
      <c r="J10" s="17">
        <f>IF($B10="","",sysChecks!$J10)</f>
        <v/>
      </c>
      <c r="K10" s="17">
        <f>IF($B10="","",sysChecks!$K10)</f>
        <v/>
      </c>
      <c r="L10" s="17">
        <f>IF($B10="","",sysChecks!$L10)</f>
        <v/>
      </c>
      <c r="M10" s="17">
        <f>IF($B10="","",IF(sysChecks!$M10="Yes","No","Yes"))</f>
        <v/>
      </c>
      <c r="N10" s="17">
        <f>IF($B10="","",sysChecks!$Q10)</f>
        <v/>
      </c>
      <c r="O10" s="17">
        <f>IF($B10="","",sysChecks!$W10)</f>
        <v/>
      </c>
      <c r="P10" s="17">
        <f>IF($B10="","",sysChecks!$X10)</f>
        <v/>
      </c>
      <c r="Q10" s="17">
        <f>IF($B10="","",sysChecks!$N10)</f>
        <v/>
      </c>
      <c r="R10" s="17">
        <f>IF($B10="","",sysChecks!$O10)</f>
        <v/>
      </c>
      <c r="S10" s="17">
        <f>IF(Cadets!$B10="","",Cadets!$I10)</f>
        <v/>
      </c>
    </row>
    <row r="11">
      <c r="B11" s="17">
        <f>IF(Cadets!$B11="","",Cadets!$B11)</f>
        <v/>
      </c>
      <c r="C11" s="17">
        <f>IF($B11="","",Cadets!$F11)</f>
        <v/>
      </c>
      <c r="D11" s="17">
        <f>IF($B11="","",Cadets!$H11)</f>
        <v/>
      </c>
      <c r="E11" s="17">
        <f>IF($B11="","",sysChecks!$E11)</f>
        <v/>
      </c>
      <c r="F11" s="17">
        <f>IF($B11="","",sysChecks!$F11)</f>
        <v/>
      </c>
      <c r="G11" s="17">
        <f>IF($B11="","",sysChecks!$G11)</f>
        <v/>
      </c>
      <c r="H11" s="17">
        <f>IF($B11="","",sysChecks!$H11)</f>
        <v/>
      </c>
      <c r="I11" s="17">
        <f>IF($B11="","",sysChecks!$I11)</f>
        <v/>
      </c>
      <c r="J11" s="17">
        <f>IF($B11="","",sysChecks!$J11)</f>
        <v/>
      </c>
      <c r="K11" s="17">
        <f>IF($B11="","",sysChecks!$K11)</f>
        <v/>
      </c>
      <c r="L11" s="17">
        <f>IF($B11="","",sysChecks!$L11)</f>
        <v/>
      </c>
      <c r="M11" s="17">
        <f>IF($B11="","",IF(sysChecks!$M11="Yes","No","Yes"))</f>
        <v/>
      </c>
      <c r="N11" s="17">
        <f>IF($B11="","",sysChecks!$Q11)</f>
        <v/>
      </c>
      <c r="O11" s="17">
        <f>IF($B11="","",sysChecks!$W11)</f>
        <v/>
      </c>
      <c r="P11" s="17">
        <f>IF($B11="","",sysChecks!$X11)</f>
        <v/>
      </c>
      <c r="Q11" s="17">
        <f>IF($B11="","",sysChecks!$N11)</f>
        <v/>
      </c>
      <c r="R11" s="17">
        <f>IF($B11="","",sysChecks!$O11)</f>
        <v/>
      </c>
      <c r="S11" s="17">
        <f>IF(Cadets!$B11="","",Cadets!$I11)</f>
        <v/>
      </c>
    </row>
    <row r="12">
      <c r="B12" s="17">
        <f>IF(Cadets!$B12="","",Cadets!$B12)</f>
        <v/>
      </c>
      <c r="C12" s="17">
        <f>IF($B12="","",Cadets!$F12)</f>
        <v/>
      </c>
      <c r="D12" s="17">
        <f>IF($B12="","",Cadets!$H12)</f>
        <v/>
      </c>
      <c r="E12" s="17">
        <f>IF($B12="","",sysChecks!$E12)</f>
        <v/>
      </c>
      <c r="F12" s="17">
        <f>IF($B12="","",sysChecks!$F12)</f>
        <v/>
      </c>
      <c r="G12" s="17">
        <f>IF($B12="","",sysChecks!$G12)</f>
        <v/>
      </c>
      <c r="H12" s="17">
        <f>IF($B12="","",sysChecks!$H12)</f>
        <v/>
      </c>
      <c r="I12" s="17">
        <f>IF($B12="","",sysChecks!$I12)</f>
        <v/>
      </c>
      <c r="J12" s="17">
        <f>IF($B12="","",sysChecks!$J12)</f>
        <v/>
      </c>
      <c r="K12" s="17">
        <f>IF($B12="","",sysChecks!$K12)</f>
        <v/>
      </c>
      <c r="L12" s="17">
        <f>IF($B12="","",sysChecks!$L12)</f>
        <v/>
      </c>
      <c r="M12" s="17">
        <f>IF($B12="","",IF(sysChecks!$M12="Yes","No","Yes"))</f>
        <v/>
      </c>
      <c r="N12" s="17">
        <f>IF($B12="","",sysChecks!$Q12)</f>
        <v/>
      </c>
      <c r="O12" s="17">
        <f>IF($B12="","",sysChecks!$W12)</f>
        <v/>
      </c>
      <c r="P12" s="17">
        <f>IF($B12="","",sysChecks!$X12)</f>
        <v/>
      </c>
      <c r="Q12" s="17">
        <f>IF($B12="","",sysChecks!$N12)</f>
        <v/>
      </c>
      <c r="R12" s="17">
        <f>IF($B12="","",sysChecks!$O12)</f>
        <v/>
      </c>
      <c r="S12" s="17">
        <f>IF(Cadets!$B12="","",Cadets!$I12)</f>
        <v/>
      </c>
    </row>
    <row r="13">
      <c r="B13" s="17">
        <f>IF(Cadets!$B13="","",Cadets!$B13)</f>
        <v/>
      </c>
      <c r="C13" s="17">
        <f>IF($B13="","",Cadets!$F13)</f>
        <v/>
      </c>
      <c r="D13" s="17">
        <f>IF($B13="","",Cadets!$H13)</f>
        <v/>
      </c>
      <c r="E13" s="17">
        <f>IF($B13="","",sysChecks!$E13)</f>
        <v/>
      </c>
      <c r="F13" s="17">
        <f>IF($B13="","",sysChecks!$F13)</f>
        <v/>
      </c>
      <c r="G13" s="17">
        <f>IF($B13="","",sysChecks!$G13)</f>
        <v/>
      </c>
      <c r="H13" s="17">
        <f>IF($B13="","",sysChecks!$H13)</f>
        <v/>
      </c>
      <c r="I13" s="17">
        <f>IF($B13="","",sysChecks!$I13)</f>
        <v/>
      </c>
      <c r="J13" s="17">
        <f>IF($B13="","",sysChecks!$J13)</f>
        <v/>
      </c>
      <c r="K13" s="17">
        <f>IF($B13="","",sysChecks!$K13)</f>
        <v/>
      </c>
      <c r="L13" s="17">
        <f>IF($B13="","",sysChecks!$L13)</f>
        <v/>
      </c>
      <c r="M13" s="17">
        <f>IF($B13="","",IF(sysChecks!$M13="Yes","No","Yes"))</f>
        <v/>
      </c>
      <c r="N13" s="17">
        <f>IF($B13="","",sysChecks!$Q13)</f>
        <v/>
      </c>
      <c r="O13" s="17">
        <f>IF($B13="","",sysChecks!$W13)</f>
        <v/>
      </c>
      <c r="P13" s="17">
        <f>IF($B13="","",sysChecks!$X13)</f>
        <v/>
      </c>
      <c r="Q13" s="17">
        <f>IF($B13="","",sysChecks!$N13)</f>
        <v/>
      </c>
      <c r="R13" s="17">
        <f>IF($B13="","",sysChecks!$O13)</f>
        <v/>
      </c>
      <c r="S13" s="17">
        <f>IF(Cadets!$B13="","",Cadets!$I13)</f>
        <v/>
      </c>
    </row>
    <row r="14">
      <c r="B14" s="17">
        <f>IF(Cadets!$B14="","",Cadets!$B14)</f>
        <v/>
      </c>
      <c r="C14" s="17">
        <f>IF($B14="","",Cadets!$F14)</f>
        <v/>
      </c>
      <c r="D14" s="17">
        <f>IF($B14="","",Cadets!$H14)</f>
        <v/>
      </c>
      <c r="E14" s="17">
        <f>IF($B14="","",sysChecks!$E14)</f>
        <v/>
      </c>
      <c r="F14" s="17">
        <f>IF($B14="","",sysChecks!$F14)</f>
        <v/>
      </c>
      <c r="G14" s="17">
        <f>IF($B14="","",sysChecks!$G14)</f>
        <v/>
      </c>
      <c r="H14" s="17">
        <f>IF($B14="","",sysChecks!$H14)</f>
        <v/>
      </c>
      <c r="I14" s="17">
        <f>IF($B14="","",sysChecks!$I14)</f>
        <v/>
      </c>
      <c r="J14" s="17">
        <f>IF($B14="","",sysChecks!$J14)</f>
        <v/>
      </c>
      <c r="K14" s="17">
        <f>IF($B14="","",sysChecks!$K14)</f>
        <v/>
      </c>
      <c r="L14" s="17">
        <f>IF($B14="","",sysChecks!$L14)</f>
        <v/>
      </c>
      <c r="M14" s="17">
        <f>IF($B14="","",IF(sysChecks!$M14="Yes","No","Yes"))</f>
        <v/>
      </c>
      <c r="N14" s="17">
        <f>IF($B14="","",sysChecks!$Q14)</f>
        <v/>
      </c>
      <c r="O14" s="17">
        <f>IF($B14="","",sysChecks!$W14)</f>
        <v/>
      </c>
      <c r="P14" s="17">
        <f>IF($B14="","",sysChecks!$X14)</f>
        <v/>
      </c>
      <c r="Q14" s="17">
        <f>IF($B14="","",sysChecks!$N14)</f>
        <v/>
      </c>
      <c r="R14" s="17">
        <f>IF($B14="","",sysChecks!$O14)</f>
        <v/>
      </c>
      <c r="S14" s="17">
        <f>IF(Cadets!$B14="","",Cadets!$I14)</f>
        <v/>
      </c>
    </row>
    <row r="15">
      <c r="B15" s="17">
        <f>IF(Cadets!$B15="","",Cadets!$B15)</f>
        <v/>
      </c>
      <c r="C15" s="17">
        <f>IF($B15="","",Cadets!$F15)</f>
        <v/>
      </c>
      <c r="D15" s="17">
        <f>IF($B15="","",Cadets!$H15)</f>
        <v/>
      </c>
      <c r="E15" s="17">
        <f>IF($B15="","",sysChecks!$E15)</f>
        <v/>
      </c>
      <c r="F15" s="17">
        <f>IF($B15="","",sysChecks!$F15)</f>
        <v/>
      </c>
      <c r="G15" s="17">
        <f>IF($B15="","",sysChecks!$G15)</f>
        <v/>
      </c>
      <c r="H15" s="17">
        <f>IF($B15="","",sysChecks!$H15)</f>
        <v/>
      </c>
      <c r="I15" s="17">
        <f>IF($B15="","",sysChecks!$I15)</f>
        <v/>
      </c>
      <c r="J15" s="17">
        <f>IF($B15="","",sysChecks!$J15)</f>
        <v/>
      </c>
      <c r="K15" s="17">
        <f>IF($B15="","",sysChecks!$K15)</f>
        <v/>
      </c>
      <c r="L15" s="17">
        <f>IF($B15="","",sysChecks!$L15)</f>
        <v/>
      </c>
      <c r="M15" s="17">
        <f>IF($B15="","",IF(sysChecks!$M15="Yes","No","Yes"))</f>
        <v/>
      </c>
      <c r="N15" s="17">
        <f>IF($B15="","",sysChecks!$Q15)</f>
        <v/>
      </c>
      <c r="O15" s="17">
        <f>IF($B15="","",sysChecks!$W15)</f>
        <v/>
      </c>
      <c r="P15" s="17">
        <f>IF($B15="","",sysChecks!$X15)</f>
        <v/>
      </c>
      <c r="Q15" s="17">
        <f>IF($B15="","",sysChecks!$N15)</f>
        <v/>
      </c>
      <c r="R15" s="17">
        <f>IF($B15="","",sysChecks!$O15)</f>
        <v/>
      </c>
      <c r="S15" s="17">
        <f>IF(Cadets!$B15="","",Cadets!$I15)</f>
        <v/>
      </c>
    </row>
    <row r="16">
      <c r="B16" s="17">
        <f>IF(Cadets!$B16="","",Cadets!$B16)</f>
        <v/>
      </c>
      <c r="C16" s="17">
        <f>IF($B16="","",Cadets!$F16)</f>
        <v/>
      </c>
      <c r="D16" s="17">
        <f>IF($B16="","",Cadets!$H16)</f>
        <v/>
      </c>
      <c r="E16" s="17">
        <f>IF($B16="","",sysChecks!$E16)</f>
        <v/>
      </c>
      <c r="F16" s="17">
        <f>IF($B16="","",sysChecks!$F16)</f>
        <v/>
      </c>
      <c r="G16" s="17">
        <f>IF($B16="","",sysChecks!$G16)</f>
        <v/>
      </c>
      <c r="H16" s="17">
        <f>IF($B16="","",sysChecks!$H16)</f>
        <v/>
      </c>
      <c r="I16" s="17">
        <f>IF($B16="","",sysChecks!$I16)</f>
        <v/>
      </c>
      <c r="J16" s="17">
        <f>IF($B16="","",sysChecks!$J16)</f>
        <v/>
      </c>
      <c r="K16" s="17">
        <f>IF($B16="","",sysChecks!$K16)</f>
        <v/>
      </c>
      <c r="L16" s="17">
        <f>IF($B16="","",sysChecks!$L16)</f>
        <v/>
      </c>
      <c r="M16" s="17">
        <f>IF($B16="","",IF(sysChecks!$M16="Yes","No","Yes"))</f>
        <v/>
      </c>
      <c r="N16" s="17">
        <f>IF($B16="","",sysChecks!$Q16)</f>
        <v/>
      </c>
      <c r="O16" s="17">
        <f>IF($B16="","",sysChecks!$W16)</f>
        <v/>
      </c>
      <c r="P16" s="17">
        <f>IF($B16="","",sysChecks!$X16)</f>
        <v/>
      </c>
      <c r="Q16" s="17">
        <f>IF($B16="","",sysChecks!$N16)</f>
        <v/>
      </c>
      <c r="R16" s="17">
        <f>IF($B16="","",sysChecks!$O16)</f>
        <v/>
      </c>
      <c r="S16" s="17">
        <f>IF(Cadets!$B16="","",Cadets!$I16)</f>
        <v/>
      </c>
    </row>
    <row r="17">
      <c r="B17" s="17">
        <f>IF(Cadets!$B17="","",Cadets!$B17)</f>
        <v/>
      </c>
      <c r="C17" s="17">
        <f>IF($B17="","",Cadets!$F17)</f>
        <v/>
      </c>
      <c r="D17" s="17">
        <f>IF($B17="","",Cadets!$H17)</f>
        <v/>
      </c>
      <c r="E17" s="17">
        <f>IF($B17="","",sysChecks!$E17)</f>
        <v/>
      </c>
      <c r="F17" s="17">
        <f>IF($B17="","",sysChecks!$F17)</f>
        <v/>
      </c>
      <c r="G17" s="17">
        <f>IF($B17="","",sysChecks!$G17)</f>
        <v/>
      </c>
      <c r="H17" s="17">
        <f>IF($B17="","",sysChecks!$H17)</f>
        <v/>
      </c>
      <c r="I17" s="17">
        <f>IF($B17="","",sysChecks!$I17)</f>
        <v/>
      </c>
      <c r="J17" s="17">
        <f>IF($B17="","",sysChecks!$J17)</f>
        <v/>
      </c>
      <c r="K17" s="17">
        <f>IF($B17="","",sysChecks!$K17)</f>
        <v/>
      </c>
      <c r="L17" s="17">
        <f>IF($B17="","",sysChecks!$L17)</f>
        <v/>
      </c>
      <c r="M17" s="17">
        <f>IF($B17="","",IF(sysChecks!$M17="Yes","No","Yes"))</f>
        <v/>
      </c>
      <c r="N17" s="17">
        <f>IF($B17="","",sysChecks!$Q17)</f>
        <v/>
      </c>
      <c r="O17" s="17">
        <f>IF($B17="","",sysChecks!$W17)</f>
        <v/>
      </c>
      <c r="P17" s="17">
        <f>IF($B17="","",sysChecks!$X17)</f>
        <v/>
      </c>
      <c r="Q17" s="17">
        <f>IF($B17="","",sysChecks!$N17)</f>
        <v/>
      </c>
      <c r="R17" s="17">
        <f>IF($B17="","",sysChecks!$O17)</f>
        <v/>
      </c>
      <c r="S17" s="17">
        <f>IF(Cadets!$B17="","",Cadets!$I17)</f>
        <v/>
      </c>
    </row>
    <row r="18">
      <c r="B18" s="17">
        <f>IF(Cadets!$B18="","",Cadets!$B18)</f>
        <v/>
      </c>
      <c r="C18" s="17">
        <f>IF($B18="","",Cadets!$F18)</f>
        <v/>
      </c>
      <c r="D18" s="17">
        <f>IF($B18="","",Cadets!$H18)</f>
        <v/>
      </c>
      <c r="E18" s="17">
        <f>IF($B18="","",sysChecks!$E18)</f>
        <v/>
      </c>
      <c r="F18" s="17">
        <f>IF($B18="","",sysChecks!$F18)</f>
        <v/>
      </c>
      <c r="G18" s="17">
        <f>IF($B18="","",sysChecks!$G18)</f>
        <v/>
      </c>
      <c r="H18" s="17">
        <f>IF($B18="","",sysChecks!$H18)</f>
        <v/>
      </c>
      <c r="I18" s="17">
        <f>IF($B18="","",sysChecks!$I18)</f>
        <v/>
      </c>
      <c r="J18" s="17">
        <f>IF($B18="","",sysChecks!$J18)</f>
        <v/>
      </c>
      <c r="K18" s="17">
        <f>IF($B18="","",sysChecks!$K18)</f>
        <v/>
      </c>
      <c r="L18" s="17">
        <f>IF($B18="","",sysChecks!$L18)</f>
        <v/>
      </c>
      <c r="M18" s="17">
        <f>IF($B18="","",IF(sysChecks!$M18="Yes","No","Yes"))</f>
        <v/>
      </c>
      <c r="N18" s="17">
        <f>IF($B18="","",sysChecks!$Q18)</f>
        <v/>
      </c>
      <c r="O18" s="17">
        <f>IF($B18="","",sysChecks!$W18)</f>
        <v/>
      </c>
      <c r="P18" s="17">
        <f>IF($B18="","",sysChecks!$X18)</f>
        <v/>
      </c>
      <c r="Q18" s="17">
        <f>IF($B18="","",sysChecks!$N18)</f>
        <v/>
      </c>
      <c r="R18" s="17">
        <f>IF($B18="","",sysChecks!$O18)</f>
        <v/>
      </c>
      <c r="S18" s="17">
        <f>IF(Cadets!$B18="","",Cadets!$I18)</f>
        <v/>
      </c>
    </row>
    <row r="19">
      <c r="B19" s="17">
        <f>IF(Cadets!$B19="","",Cadets!$B19)</f>
        <v/>
      </c>
      <c r="C19" s="17">
        <f>IF($B19="","",Cadets!$F19)</f>
        <v/>
      </c>
      <c r="D19" s="17">
        <f>IF($B19="","",Cadets!$H19)</f>
        <v/>
      </c>
      <c r="E19" s="17">
        <f>IF($B19="","",sysChecks!$E19)</f>
        <v/>
      </c>
      <c r="F19" s="17">
        <f>IF($B19="","",sysChecks!$F19)</f>
        <v/>
      </c>
      <c r="G19" s="17">
        <f>IF($B19="","",sysChecks!$G19)</f>
        <v/>
      </c>
      <c r="H19" s="17">
        <f>IF($B19="","",sysChecks!$H19)</f>
        <v/>
      </c>
      <c r="I19" s="17">
        <f>IF($B19="","",sysChecks!$I19)</f>
        <v/>
      </c>
      <c r="J19" s="17">
        <f>IF($B19="","",sysChecks!$J19)</f>
        <v/>
      </c>
      <c r="K19" s="17">
        <f>IF($B19="","",sysChecks!$K19)</f>
        <v/>
      </c>
      <c r="L19" s="17">
        <f>IF($B19="","",sysChecks!$L19)</f>
        <v/>
      </c>
      <c r="M19" s="17">
        <f>IF($B19="","",IF(sysChecks!$M19="Yes","No","Yes"))</f>
        <v/>
      </c>
      <c r="N19" s="17">
        <f>IF($B19="","",sysChecks!$Q19)</f>
        <v/>
      </c>
      <c r="O19" s="17">
        <f>IF($B19="","",sysChecks!$W19)</f>
        <v/>
      </c>
      <c r="P19" s="17">
        <f>IF($B19="","",sysChecks!$X19)</f>
        <v/>
      </c>
      <c r="Q19" s="17">
        <f>IF($B19="","",sysChecks!$N19)</f>
        <v/>
      </c>
      <c r="R19" s="17">
        <f>IF($B19="","",sysChecks!$O19)</f>
        <v/>
      </c>
      <c r="S19" s="17">
        <f>IF(Cadets!$B19="","",Cadets!$I19)</f>
        <v/>
      </c>
    </row>
    <row r="20">
      <c r="B20" s="17">
        <f>IF(Cadets!$B20="","",Cadets!$B20)</f>
        <v/>
      </c>
      <c r="C20" s="17">
        <f>IF($B20="","",Cadets!$F20)</f>
        <v/>
      </c>
      <c r="D20" s="17">
        <f>IF($B20="","",Cadets!$H20)</f>
        <v/>
      </c>
      <c r="E20" s="17">
        <f>IF($B20="","",sysChecks!$E20)</f>
        <v/>
      </c>
      <c r="F20" s="17">
        <f>IF($B20="","",sysChecks!$F20)</f>
        <v/>
      </c>
      <c r="G20" s="17">
        <f>IF($B20="","",sysChecks!$G20)</f>
        <v/>
      </c>
      <c r="H20" s="17">
        <f>IF($B20="","",sysChecks!$H20)</f>
        <v/>
      </c>
      <c r="I20" s="17">
        <f>IF($B20="","",sysChecks!$I20)</f>
        <v/>
      </c>
      <c r="J20" s="17">
        <f>IF($B20="","",sysChecks!$J20)</f>
        <v/>
      </c>
      <c r="K20" s="17">
        <f>IF($B20="","",sysChecks!$K20)</f>
        <v/>
      </c>
      <c r="L20" s="17">
        <f>IF($B20="","",sysChecks!$L20)</f>
        <v/>
      </c>
      <c r="M20" s="17">
        <f>IF($B20="","",IF(sysChecks!$M20="Yes","No","Yes"))</f>
        <v/>
      </c>
      <c r="N20" s="17">
        <f>IF($B20="","",sysChecks!$Q20)</f>
        <v/>
      </c>
      <c r="O20" s="17">
        <f>IF($B20="","",sysChecks!$W20)</f>
        <v/>
      </c>
      <c r="P20" s="17">
        <f>IF($B20="","",sysChecks!$X20)</f>
        <v/>
      </c>
      <c r="Q20" s="17">
        <f>IF($B20="","",sysChecks!$N20)</f>
        <v/>
      </c>
      <c r="R20" s="17">
        <f>IF($B20="","",sysChecks!$O20)</f>
        <v/>
      </c>
      <c r="S20" s="17">
        <f>IF(Cadets!$B20="","",Cadets!$I20)</f>
        <v/>
      </c>
    </row>
    <row r="21">
      <c r="B21" s="17">
        <f>IF(Cadets!$B21="","",Cadets!$B21)</f>
        <v/>
      </c>
      <c r="C21" s="17">
        <f>IF($B21="","",Cadets!$F21)</f>
        <v/>
      </c>
      <c r="D21" s="17">
        <f>IF($B21="","",Cadets!$H21)</f>
        <v/>
      </c>
      <c r="E21" s="17">
        <f>IF($B21="","",sysChecks!$E21)</f>
        <v/>
      </c>
      <c r="F21" s="17">
        <f>IF($B21="","",sysChecks!$F21)</f>
        <v/>
      </c>
      <c r="G21" s="17">
        <f>IF($B21="","",sysChecks!$G21)</f>
        <v/>
      </c>
      <c r="H21" s="17">
        <f>IF($B21="","",sysChecks!$H21)</f>
        <v/>
      </c>
      <c r="I21" s="17">
        <f>IF($B21="","",sysChecks!$I21)</f>
        <v/>
      </c>
      <c r="J21" s="17">
        <f>IF($B21="","",sysChecks!$J21)</f>
        <v/>
      </c>
      <c r="K21" s="17">
        <f>IF($B21="","",sysChecks!$K21)</f>
        <v/>
      </c>
      <c r="L21" s="17">
        <f>IF($B21="","",sysChecks!$L21)</f>
        <v/>
      </c>
      <c r="M21" s="17">
        <f>IF($B21="","",IF(sysChecks!$M21="Yes","No","Yes"))</f>
        <v/>
      </c>
      <c r="N21" s="17">
        <f>IF($B21="","",sysChecks!$Q21)</f>
        <v/>
      </c>
      <c r="O21" s="17">
        <f>IF($B21="","",sysChecks!$W21)</f>
        <v/>
      </c>
      <c r="P21" s="17">
        <f>IF($B21="","",sysChecks!$X21)</f>
        <v/>
      </c>
      <c r="Q21" s="17">
        <f>IF($B21="","",sysChecks!$N21)</f>
        <v/>
      </c>
      <c r="R21" s="17">
        <f>IF($B21="","",sysChecks!$O21)</f>
        <v/>
      </c>
      <c r="S21" s="17">
        <f>IF(Cadets!$B21="","",Cadets!$I21)</f>
        <v/>
      </c>
    </row>
    <row r="22">
      <c r="B22" s="17">
        <f>IF(Cadets!$B22="","",Cadets!$B22)</f>
        <v/>
      </c>
      <c r="C22" s="17">
        <f>IF($B22="","",Cadets!$F22)</f>
        <v/>
      </c>
      <c r="D22" s="17">
        <f>IF($B22="","",Cadets!$H22)</f>
        <v/>
      </c>
      <c r="E22" s="17">
        <f>IF($B22="","",sysChecks!$E22)</f>
        <v/>
      </c>
      <c r="F22" s="17">
        <f>IF($B22="","",sysChecks!$F22)</f>
        <v/>
      </c>
      <c r="G22" s="17">
        <f>IF($B22="","",sysChecks!$G22)</f>
        <v/>
      </c>
      <c r="H22" s="17">
        <f>IF($B22="","",sysChecks!$H22)</f>
        <v/>
      </c>
      <c r="I22" s="17">
        <f>IF($B22="","",sysChecks!$I22)</f>
        <v/>
      </c>
      <c r="J22" s="17">
        <f>IF($B22="","",sysChecks!$J22)</f>
        <v/>
      </c>
      <c r="K22" s="17">
        <f>IF($B22="","",sysChecks!$K22)</f>
        <v/>
      </c>
      <c r="L22" s="17">
        <f>IF($B22="","",sysChecks!$L22)</f>
        <v/>
      </c>
      <c r="M22" s="17">
        <f>IF($B22="","",IF(sysChecks!$M22="Yes","No","Yes"))</f>
        <v/>
      </c>
      <c r="N22" s="17">
        <f>IF($B22="","",sysChecks!$Q22)</f>
        <v/>
      </c>
      <c r="O22" s="17">
        <f>IF($B22="","",sysChecks!$W22)</f>
        <v/>
      </c>
      <c r="P22" s="17">
        <f>IF($B22="","",sysChecks!$X22)</f>
        <v/>
      </c>
      <c r="Q22" s="17">
        <f>IF($B22="","",sysChecks!$N22)</f>
        <v/>
      </c>
      <c r="R22" s="17">
        <f>IF($B22="","",sysChecks!$O22)</f>
        <v/>
      </c>
      <c r="S22" s="17">
        <f>IF(Cadets!$B22="","",Cadets!$I22)</f>
        <v/>
      </c>
    </row>
    <row r="23">
      <c r="B23" s="17">
        <f>IF(Cadets!$B23="","",Cadets!$B23)</f>
        <v/>
      </c>
      <c r="C23" s="17">
        <f>IF($B23="","",Cadets!$F23)</f>
        <v/>
      </c>
      <c r="D23" s="17">
        <f>IF($B23="","",Cadets!$H23)</f>
        <v/>
      </c>
      <c r="E23" s="17">
        <f>IF($B23="","",sysChecks!$E23)</f>
        <v/>
      </c>
      <c r="F23" s="17">
        <f>IF($B23="","",sysChecks!$F23)</f>
        <v/>
      </c>
      <c r="G23" s="17">
        <f>IF($B23="","",sysChecks!$G23)</f>
        <v/>
      </c>
      <c r="H23" s="17">
        <f>IF($B23="","",sysChecks!$H23)</f>
        <v/>
      </c>
      <c r="I23" s="17">
        <f>IF($B23="","",sysChecks!$I23)</f>
        <v/>
      </c>
      <c r="J23" s="17">
        <f>IF($B23="","",sysChecks!$J23)</f>
        <v/>
      </c>
      <c r="K23" s="17">
        <f>IF($B23="","",sysChecks!$K23)</f>
        <v/>
      </c>
      <c r="L23" s="17">
        <f>IF($B23="","",sysChecks!$L23)</f>
        <v/>
      </c>
      <c r="M23" s="17">
        <f>IF($B23="","",IF(sysChecks!$M23="Yes","No","Yes"))</f>
        <v/>
      </c>
      <c r="N23" s="17">
        <f>IF($B23="","",sysChecks!$Q23)</f>
        <v/>
      </c>
      <c r="O23" s="17">
        <f>IF($B23="","",sysChecks!$W23)</f>
        <v/>
      </c>
      <c r="P23" s="17">
        <f>IF($B23="","",sysChecks!$X23)</f>
        <v/>
      </c>
      <c r="Q23" s="17">
        <f>IF($B23="","",sysChecks!$N23)</f>
        <v/>
      </c>
      <c r="R23" s="17">
        <f>IF($B23="","",sysChecks!$O23)</f>
        <v/>
      </c>
      <c r="S23" s="17">
        <f>IF(Cadets!$B23="","",Cadets!$I23)</f>
        <v/>
      </c>
    </row>
    <row r="24">
      <c r="B24" s="17">
        <f>IF(Cadets!$B24="","",Cadets!$B24)</f>
        <v/>
      </c>
      <c r="C24" s="17">
        <f>IF($B24="","",Cadets!$F24)</f>
        <v/>
      </c>
      <c r="D24" s="17">
        <f>IF($B24="","",Cadets!$H24)</f>
        <v/>
      </c>
      <c r="E24" s="17">
        <f>IF($B24="","",sysChecks!$E24)</f>
        <v/>
      </c>
      <c r="F24" s="17">
        <f>IF($B24="","",sysChecks!$F24)</f>
        <v/>
      </c>
      <c r="G24" s="17">
        <f>IF($B24="","",sysChecks!$G24)</f>
        <v/>
      </c>
      <c r="H24" s="17">
        <f>IF($B24="","",sysChecks!$H24)</f>
        <v/>
      </c>
      <c r="I24" s="17">
        <f>IF($B24="","",sysChecks!$I24)</f>
        <v/>
      </c>
      <c r="J24" s="17">
        <f>IF($B24="","",sysChecks!$J24)</f>
        <v/>
      </c>
      <c r="K24" s="17">
        <f>IF($B24="","",sysChecks!$K24)</f>
        <v/>
      </c>
      <c r="L24" s="17">
        <f>IF($B24="","",sysChecks!$L24)</f>
        <v/>
      </c>
      <c r="M24" s="17">
        <f>IF($B24="","",IF(sysChecks!$M24="Yes","No","Yes"))</f>
        <v/>
      </c>
      <c r="N24" s="17">
        <f>IF($B24="","",sysChecks!$Q24)</f>
        <v/>
      </c>
      <c r="O24" s="17">
        <f>IF($B24="","",sysChecks!$W24)</f>
        <v/>
      </c>
      <c r="P24" s="17">
        <f>IF($B24="","",sysChecks!$X24)</f>
        <v/>
      </c>
      <c r="Q24" s="17">
        <f>IF($B24="","",sysChecks!$N24)</f>
        <v/>
      </c>
      <c r="R24" s="17">
        <f>IF($B24="","",sysChecks!$O24)</f>
        <v/>
      </c>
      <c r="S24" s="17">
        <f>IF(Cadets!$B24="","",Cadets!$I24)</f>
        <v/>
      </c>
    </row>
    <row r="25">
      <c r="B25" s="17">
        <f>IF(Cadets!$B25="","",Cadets!$B25)</f>
        <v/>
      </c>
      <c r="C25" s="17">
        <f>IF($B25="","",Cadets!$F25)</f>
        <v/>
      </c>
      <c r="D25" s="17">
        <f>IF($B25="","",Cadets!$H25)</f>
        <v/>
      </c>
      <c r="E25" s="17">
        <f>IF($B25="","",sysChecks!$E25)</f>
        <v/>
      </c>
      <c r="F25" s="17">
        <f>IF($B25="","",sysChecks!$F25)</f>
        <v/>
      </c>
      <c r="G25" s="17">
        <f>IF($B25="","",sysChecks!$G25)</f>
        <v/>
      </c>
      <c r="H25" s="17">
        <f>IF($B25="","",sysChecks!$H25)</f>
        <v/>
      </c>
      <c r="I25" s="17">
        <f>IF($B25="","",sysChecks!$I25)</f>
        <v/>
      </c>
      <c r="J25" s="17">
        <f>IF($B25="","",sysChecks!$J25)</f>
        <v/>
      </c>
      <c r="K25" s="17">
        <f>IF($B25="","",sysChecks!$K25)</f>
        <v/>
      </c>
      <c r="L25" s="17">
        <f>IF($B25="","",sysChecks!$L25)</f>
        <v/>
      </c>
      <c r="M25" s="17">
        <f>IF($B25="","",IF(sysChecks!$M25="Yes","No","Yes"))</f>
        <v/>
      </c>
      <c r="N25" s="17">
        <f>IF($B25="","",sysChecks!$Q25)</f>
        <v/>
      </c>
      <c r="O25" s="17">
        <f>IF($B25="","",sysChecks!$W25)</f>
        <v/>
      </c>
      <c r="P25" s="17">
        <f>IF($B25="","",sysChecks!$X25)</f>
        <v/>
      </c>
      <c r="Q25" s="17">
        <f>IF($B25="","",sysChecks!$N25)</f>
        <v/>
      </c>
      <c r="R25" s="17">
        <f>IF($B25="","",sysChecks!$O25)</f>
        <v/>
      </c>
      <c r="S25" s="17">
        <f>IF(Cadets!$B25="","",Cadets!$I25)</f>
        <v/>
      </c>
    </row>
    <row r="26">
      <c r="B26" s="17">
        <f>IF(Cadets!$B26="","",Cadets!$B26)</f>
        <v/>
      </c>
      <c r="C26" s="17">
        <f>IF($B26="","",Cadets!$F26)</f>
        <v/>
      </c>
      <c r="D26" s="17">
        <f>IF($B26="","",Cadets!$H26)</f>
        <v/>
      </c>
      <c r="E26" s="17">
        <f>IF($B26="","",sysChecks!$E26)</f>
        <v/>
      </c>
      <c r="F26" s="17">
        <f>IF($B26="","",sysChecks!$F26)</f>
        <v/>
      </c>
      <c r="G26" s="17">
        <f>IF($B26="","",sysChecks!$G26)</f>
        <v/>
      </c>
      <c r="H26" s="17">
        <f>IF($B26="","",sysChecks!$H26)</f>
        <v/>
      </c>
      <c r="I26" s="17">
        <f>IF($B26="","",sysChecks!$I26)</f>
        <v/>
      </c>
      <c r="J26" s="17">
        <f>IF($B26="","",sysChecks!$J26)</f>
        <v/>
      </c>
      <c r="K26" s="17">
        <f>IF($B26="","",sysChecks!$K26)</f>
        <v/>
      </c>
      <c r="L26" s="17">
        <f>IF($B26="","",sysChecks!$L26)</f>
        <v/>
      </c>
      <c r="M26" s="17">
        <f>IF($B26="","",IF(sysChecks!$M26="Yes","No","Yes"))</f>
        <v/>
      </c>
      <c r="N26" s="17">
        <f>IF($B26="","",sysChecks!$Q26)</f>
        <v/>
      </c>
      <c r="O26" s="17">
        <f>IF($B26="","",sysChecks!$W26)</f>
        <v/>
      </c>
      <c r="P26" s="17">
        <f>IF($B26="","",sysChecks!$X26)</f>
        <v/>
      </c>
      <c r="Q26" s="17">
        <f>IF($B26="","",sysChecks!$N26)</f>
        <v/>
      </c>
      <c r="R26" s="17">
        <f>IF($B26="","",sysChecks!$O26)</f>
        <v/>
      </c>
      <c r="S26" s="17">
        <f>IF(Cadets!$B26="","",Cadets!$I26)</f>
        <v/>
      </c>
    </row>
    <row r="27">
      <c r="B27" s="17">
        <f>IF(Cadets!$B27="","",Cadets!$B27)</f>
        <v/>
      </c>
      <c r="C27" s="17">
        <f>IF($B27="","",Cadets!$F27)</f>
        <v/>
      </c>
      <c r="D27" s="17">
        <f>IF($B27="","",Cadets!$H27)</f>
        <v/>
      </c>
      <c r="E27" s="17">
        <f>IF($B27="","",sysChecks!$E27)</f>
        <v/>
      </c>
      <c r="F27" s="17">
        <f>IF($B27="","",sysChecks!$F27)</f>
        <v/>
      </c>
      <c r="G27" s="17">
        <f>IF($B27="","",sysChecks!$G27)</f>
        <v/>
      </c>
      <c r="H27" s="17">
        <f>IF($B27="","",sysChecks!$H27)</f>
        <v/>
      </c>
      <c r="I27" s="17">
        <f>IF($B27="","",sysChecks!$I27)</f>
        <v/>
      </c>
      <c r="J27" s="17">
        <f>IF($B27="","",sysChecks!$J27)</f>
        <v/>
      </c>
      <c r="K27" s="17">
        <f>IF($B27="","",sysChecks!$K27)</f>
        <v/>
      </c>
      <c r="L27" s="17">
        <f>IF($B27="","",sysChecks!$L27)</f>
        <v/>
      </c>
      <c r="M27" s="17">
        <f>IF($B27="","",IF(sysChecks!$M27="Yes","No","Yes"))</f>
        <v/>
      </c>
      <c r="N27" s="17">
        <f>IF($B27="","",sysChecks!$Q27)</f>
        <v/>
      </c>
      <c r="O27" s="17">
        <f>IF($B27="","",sysChecks!$W27)</f>
        <v/>
      </c>
      <c r="P27" s="17">
        <f>IF($B27="","",sysChecks!$X27)</f>
        <v/>
      </c>
      <c r="Q27" s="17">
        <f>IF($B27="","",sysChecks!$N27)</f>
        <v/>
      </c>
      <c r="R27" s="17">
        <f>IF($B27="","",sysChecks!$O27)</f>
        <v/>
      </c>
      <c r="S27" s="17">
        <f>IF(Cadets!$B27="","",Cadets!$I27)</f>
        <v/>
      </c>
    </row>
    <row r="28">
      <c r="B28" s="17">
        <f>IF(Cadets!$B28="","",Cadets!$B28)</f>
        <v/>
      </c>
      <c r="C28" s="17">
        <f>IF($B28="","",Cadets!$F28)</f>
        <v/>
      </c>
      <c r="D28" s="17">
        <f>IF($B28="","",Cadets!$H28)</f>
        <v/>
      </c>
      <c r="E28" s="17">
        <f>IF($B28="","",sysChecks!$E28)</f>
        <v/>
      </c>
      <c r="F28" s="17">
        <f>IF($B28="","",sysChecks!$F28)</f>
        <v/>
      </c>
      <c r="G28" s="17">
        <f>IF($B28="","",sysChecks!$G28)</f>
        <v/>
      </c>
      <c r="H28" s="17">
        <f>IF($B28="","",sysChecks!$H28)</f>
        <v/>
      </c>
      <c r="I28" s="17">
        <f>IF($B28="","",sysChecks!$I28)</f>
        <v/>
      </c>
      <c r="J28" s="17">
        <f>IF($B28="","",sysChecks!$J28)</f>
        <v/>
      </c>
      <c r="K28" s="17">
        <f>IF($B28="","",sysChecks!$K28)</f>
        <v/>
      </c>
      <c r="L28" s="17">
        <f>IF($B28="","",sysChecks!$L28)</f>
        <v/>
      </c>
      <c r="M28" s="17">
        <f>IF($B28="","",IF(sysChecks!$M28="Yes","No","Yes"))</f>
        <v/>
      </c>
      <c r="N28" s="17">
        <f>IF($B28="","",sysChecks!$Q28)</f>
        <v/>
      </c>
      <c r="O28" s="17">
        <f>IF($B28="","",sysChecks!$W28)</f>
        <v/>
      </c>
      <c r="P28" s="17">
        <f>IF($B28="","",sysChecks!$X28)</f>
        <v/>
      </c>
      <c r="Q28" s="17">
        <f>IF($B28="","",sysChecks!$N28)</f>
        <v/>
      </c>
      <c r="R28" s="17">
        <f>IF($B28="","",sysChecks!$O28)</f>
        <v/>
      </c>
      <c r="S28" s="17">
        <f>IF(Cadets!$B28="","",Cadets!$I28)</f>
        <v/>
      </c>
    </row>
    <row r="29">
      <c r="B29" s="17">
        <f>IF(Cadets!$B29="","",Cadets!$B29)</f>
        <v/>
      </c>
      <c r="C29" s="17">
        <f>IF($B29="","",Cadets!$F29)</f>
        <v/>
      </c>
      <c r="D29" s="17">
        <f>IF($B29="","",Cadets!$H29)</f>
        <v/>
      </c>
      <c r="E29" s="17">
        <f>IF($B29="","",sysChecks!$E29)</f>
        <v/>
      </c>
      <c r="F29" s="17">
        <f>IF($B29="","",sysChecks!$F29)</f>
        <v/>
      </c>
      <c r="G29" s="17">
        <f>IF($B29="","",sysChecks!$G29)</f>
        <v/>
      </c>
      <c r="H29" s="17">
        <f>IF($B29="","",sysChecks!$H29)</f>
        <v/>
      </c>
      <c r="I29" s="17">
        <f>IF($B29="","",sysChecks!$I29)</f>
        <v/>
      </c>
      <c r="J29" s="17">
        <f>IF($B29="","",sysChecks!$J29)</f>
        <v/>
      </c>
      <c r="K29" s="17">
        <f>IF($B29="","",sysChecks!$K29)</f>
        <v/>
      </c>
      <c r="L29" s="17">
        <f>IF($B29="","",sysChecks!$L29)</f>
        <v/>
      </c>
      <c r="M29" s="17">
        <f>IF($B29="","",IF(sysChecks!$M29="Yes","No","Yes"))</f>
        <v/>
      </c>
      <c r="N29" s="17">
        <f>IF($B29="","",sysChecks!$Q29)</f>
        <v/>
      </c>
      <c r="O29" s="17">
        <f>IF($B29="","",sysChecks!$W29)</f>
        <v/>
      </c>
      <c r="P29" s="17">
        <f>IF($B29="","",sysChecks!$X29)</f>
        <v/>
      </c>
      <c r="Q29" s="17">
        <f>IF($B29="","",sysChecks!$N29)</f>
        <v/>
      </c>
      <c r="R29" s="17">
        <f>IF($B29="","",sysChecks!$O29)</f>
        <v/>
      </c>
      <c r="S29" s="17">
        <f>IF(Cadets!$B29="","",Cadets!$I29)</f>
        <v/>
      </c>
    </row>
    <row r="30">
      <c r="B30" s="17">
        <f>IF(Cadets!$B30="","",Cadets!$B30)</f>
        <v/>
      </c>
      <c r="C30" s="17">
        <f>IF($B30="","",Cadets!$F30)</f>
        <v/>
      </c>
      <c r="D30" s="17">
        <f>IF($B30="","",Cadets!$H30)</f>
        <v/>
      </c>
      <c r="E30" s="17">
        <f>IF($B30="","",sysChecks!$E30)</f>
        <v/>
      </c>
      <c r="F30" s="17">
        <f>IF($B30="","",sysChecks!$F30)</f>
        <v/>
      </c>
      <c r="G30" s="17">
        <f>IF($B30="","",sysChecks!$G30)</f>
        <v/>
      </c>
      <c r="H30" s="17">
        <f>IF($B30="","",sysChecks!$H30)</f>
        <v/>
      </c>
      <c r="I30" s="17">
        <f>IF($B30="","",sysChecks!$I30)</f>
        <v/>
      </c>
      <c r="J30" s="17">
        <f>IF($B30="","",sysChecks!$J30)</f>
        <v/>
      </c>
      <c r="K30" s="17">
        <f>IF($B30="","",sysChecks!$K30)</f>
        <v/>
      </c>
      <c r="L30" s="17">
        <f>IF($B30="","",sysChecks!$L30)</f>
        <v/>
      </c>
      <c r="M30" s="17">
        <f>IF($B30="","",IF(sysChecks!$M30="Yes","No","Yes"))</f>
        <v/>
      </c>
      <c r="N30" s="17">
        <f>IF($B30="","",sysChecks!$Q30)</f>
        <v/>
      </c>
      <c r="O30" s="17">
        <f>IF($B30="","",sysChecks!$W30)</f>
        <v/>
      </c>
      <c r="P30" s="17">
        <f>IF($B30="","",sysChecks!$X30)</f>
        <v/>
      </c>
      <c r="Q30" s="17">
        <f>IF($B30="","",sysChecks!$N30)</f>
        <v/>
      </c>
      <c r="R30" s="17">
        <f>IF($B30="","",sysChecks!$O30)</f>
        <v/>
      </c>
      <c r="S30" s="17">
        <f>IF(Cadets!$B30="","",Cadets!$I30)</f>
        <v/>
      </c>
    </row>
    <row r="31">
      <c r="B31" s="17">
        <f>IF(Cadets!$B31="","",Cadets!$B31)</f>
        <v/>
      </c>
      <c r="C31" s="17">
        <f>IF($B31="","",Cadets!$F31)</f>
        <v/>
      </c>
      <c r="D31" s="17">
        <f>IF($B31="","",Cadets!$H31)</f>
        <v/>
      </c>
      <c r="E31" s="17">
        <f>IF($B31="","",sysChecks!$E31)</f>
        <v/>
      </c>
      <c r="F31" s="17">
        <f>IF($B31="","",sysChecks!$F31)</f>
        <v/>
      </c>
      <c r="G31" s="17">
        <f>IF($B31="","",sysChecks!$G31)</f>
        <v/>
      </c>
      <c r="H31" s="17">
        <f>IF($B31="","",sysChecks!$H31)</f>
        <v/>
      </c>
      <c r="I31" s="17">
        <f>IF($B31="","",sysChecks!$I31)</f>
        <v/>
      </c>
      <c r="J31" s="17">
        <f>IF($B31="","",sysChecks!$J31)</f>
        <v/>
      </c>
      <c r="K31" s="17">
        <f>IF($B31="","",sysChecks!$K31)</f>
        <v/>
      </c>
      <c r="L31" s="17">
        <f>IF($B31="","",sysChecks!$L31)</f>
        <v/>
      </c>
      <c r="M31" s="17">
        <f>IF($B31="","",IF(sysChecks!$M31="Yes","No","Yes"))</f>
        <v/>
      </c>
      <c r="N31" s="17">
        <f>IF($B31="","",sysChecks!$Q31)</f>
        <v/>
      </c>
      <c r="O31" s="17">
        <f>IF($B31="","",sysChecks!$W31)</f>
        <v/>
      </c>
      <c r="P31" s="17">
        <f>IF($B31="","",sysChecks!$X31)</f>
        <v/>
      </c>
      <c r="Q31" s="17">
        <f>IF($B31="","",sysChecks!$N31)</f>
        <v/>
      </c>
      <c r="R31" s="17">
        <f>IF($B31="","",sysChecks!$O31)</f>
        <v/>
      </c>
      <c r="S31" s="17">
        <f>IF(Cadets!$B31="","",Cadets!$I31)</f>
        <v/>
      </c>
    </row>
    <row r="32">
      <c r="B32" s="17">
        <f>IF(Cadets!$B32="","",Cadets!$B32)</f>
        <v/>
      </c>
      <c r="C32" s="17">
        <f>IF($B32="","",Cadets!$F32)</f>
        <v/>
      </c>
      <c r="D32" s="17">
        <f>IF($B32="","",Cadets!$H32)</f>
        <v/>
      </c>
      <c r="E32" s="17">
        <f>IF($B32="","",sysChecks!$E32)</f>
        <v/>
      </c>
      <c r="F32" s="17">
        <f>IF($B32="","",sysChecks!$F32)</f>
        <v/>
      </c>
      <c r="G32" s="17">
        <f>IF($B32="","",sysChecks!$G32)</f>
        <v/>
      </c>
      <c r="H32" s="17">
        <f>IF($B32="","",sysChecks!$H32)</f>
        <v/>
      </c>
      <c r="I32" s="17">
        <f>IF($B32="","",sysChecks!$I32)</f>
        <v/>
      </c>
      <c r="J32" s="17">
        <f>IF($B32="","",sysChecks!$J32)</f>
        <v/>
      </c>
      <c r="K32" s="17">
        <f>IF($B32="","",sysChecks!$K32)</f>
        <v/>
      </c>
      <c r="L32" s="17">
        <f>IF($B32="","",sysChecks!$L32)</f>
        <v/>
      </c>
      <c r="M32" s="17">
        <f>IF($B32="","",IF(sysChecks!$M32="Yes","No","Yes"))</f>
        <v/>
      </c>
      <c r="N32" s="17">
        <f>IF($B32="","",sysChecks!$Q32)</f>
        <v/>
      </c>
      <c r="O32" s="17">
        <f>IF($B32="","",sysChecks!$W32)</f>
        <v/>
      </c>
      <c r="P32" s="17">
        <f>IF($B32="","",sysChecks!$X32)</f>
        <v/>
      </c>
      <c r="Q32" s="17">
        <f>IF($B32="","",sysChecks!$N32)</f>
        <v/>
      </c>
      <c r="R32" s="17">
        <f>IF($B32="","",sysChecks!$O32)</f>
        <v/>
      </c>
      <c r="S32" s="17">
        <f>IF(Cadets!$B32="","",Cadets!$I32)</f>
        <v/>
      </c>
    </row>
    <row r="33">
      <c r="B33" s="17">
        <f>IF(Cadets!$B33="","",Cadets!$B33)</f>
        <v/>
      </c>
      <c r="C33" s="17">
        <f>IF($B33="","",Cadets!$F33)</f>
        <v/>
      </c>
      <c r="D33" s="17">
        <f>IF($B33="","",Cadets!$H33)</f>
        <v/>
      </c>
      <c r="E33" s="17">
        <f>IF($B33="","",sysChecks!$E33)</f>
        <v/>
      </c>
      <c r="F33" s="17">
        <f>IF($B33="","",sysChecks!$F33)</f>
        <v/>
      </c>
      <c r="G33" s="17">
        <f>IF($B33="","",sysChecks!$G33)</f>
        <v/>
      </c>
      <c r="H33" s="17">
        <f>IF($B33="","",sysChecks!$H33)</f>
        <v/>
      </c>
      <c r="I33" s="17">
        <f>IF($B33="","",sysChecks!$I33)</f>
        <v/>
      </c>
      <c r="J33" s="17">
        <f>IF($B33="","",sysChecks!$J33)</f>
        <v/>
      </c>
      <c r="K33" s="17">
        <f>IF($B33="","",sysChecks!$K33)</f>
        <v/>
      </c>
      <c r="L33" s="17">
        <f>IF($B33="","",sysChecks!$L33)</f>
        <v/>
      </c>
      <c r="M33" s="17">
        <f>IF($B33="","",IF(sysChecks!$M33="Yes","No","Yes"))</f>
        <v/>
      </c>
      <c r="N33" s="17">
        <f>IF($B33="","",sysChecks!$Q33)</f>
        <v/>
      </c>
      <c r="O33" s="17">
        <f>IF($B33="","",sysChecks!$W33)</f>
        <v/>
      </c>
      <c r="P33" s="17">
        <f>IF($B33="","",sysChecks!$X33)</f>
        <v/>
      </c>
      <c r="Q33" s="17">
        <f>IF($B33="","",sysChecks!$N33)</f>
        <v/>
      </c>
      <c r="R33" s="17">
        <f>IF($B33="","",sysChecks!$O33)</f>
        <v/>
      </c>
      <c r="S33" s="17">
        <f>IF(Cadets!$B33="","",Cadets!$I33)</f>
        <v/>
      </c>
    </row>
    <row r="34">
      <c r="B34" s="17">
        <f>IF(Cadets!$B34="","",Cadets!$B34)</f>
        <v/>
      </c>
      <c r="C34" s="17">
        <f>IF($B34="","",Cadets!$F34)</f>
        <v/>
      </c>
      <c r="D34" s="17">
        <f>IF($B34="","",Cadets!$H34)</f>
        <v/>
      </c>
      <c r="E34" s="17">
        <f>IF($B34="","",sysChecks!$E34)</f>
        <v/>
      </c>
      <c r="F34" s="17">
        <f>IF($B34="","",sysChecks!$F34)</f>
        <v/>
      </c>
      <c r="G34" s="17">
        <f>IF($B34="","",sysChecks!$G34)</f>
        <v/>
      </c>
      <c r="H34" s="17">
        <f>IF($B34="","",sysChecks!$H34)</f>
        <v/>
      </c>
      <c r="I34" s="17">
        <f>IF($B34="","",sysChecks!$I34)</f>
        <v/>
      </c>
      <c r="J34" s="17">
        <f>IF($B34="","",sysChecks!$J34)</f>
        <v/>
      </c>
      <c r="K34" s="17">
        <f>IF($B34="","",sysChecks!$K34)</f>
        <v/>
      </c>
      <c r="L34" s="17">
        <f>IF($B34="","",sysChecks!$L34)</f>
        <v/>
      </c>
      <c r="M34" s="17">
        <f>IF($B34="","",IF(sysChecks!$M34="Yes","No","Yes"))</f>
        <v/>
      </c>
      <c r="N34" s="17">
        <f>IF($B34="","",sysChecks!$Q34)</f>
        <v/>
      </c>
      <c r="O34" s="17">
        <f>IF($B34="","",sysChecks!$W34)</f>
        <v/>
      </c>
      <c r="P34" s="17">
        <f>IF($B34="","",sysChecks!$X34)</f>
        <v/>
      </c>
      <c r="Q34" s="17">
        <f>IF($B34="","",sysChecks!$N34)</f>
        <v/>
      </c>
      <c r="R34" s="17">
        <f>IF($B34="","",sysChecks!$O34)</f>
        <v/>
      </c>
      <c r="S34" s="17">
        <f>IF(Cadets!$B34="","",Cadets!$I34)</f>
        <v/>
      </c>
    </row>
    <row r="35">
      <c r="B35" s="17">
        <f>IF(Cadets!$B35="","",Cadets!$B35)</f>
        <v/>
      </c>
      <c r="C35" s="17">
        <f>IF($B35="","",Cadets!$F35)</f>
        <v/>
      </c>
      <c r="D35" s="17">
        <f>IF($B35="","",Cadets!$H35)</f>
        <v/>
      </c>
      <c r="E35" s="17">
        <f>IF($B35="","",sysChecks!$E35)</f>
        <v/>
      </c>
      <c r="F35" s="17">
        <f>IF($B35="","",sysChecks!$F35)</f>
        <v/>
      </c>
      <c r="G35" s="17">
        <f>IF($B35="","",sysChecks!$G35)</f>
        <v/>
      </c>
      <c r="H35" s="17">
        <f>IF($B35="","",sysChecks!$H35)</f>
        <v/>
      </c>
      <c r="I35" s="17">
        <f>IF($B35="","",sysChecks!$I35)</f>
        <v/>
      </c>
      <c r="J35" s="17">
        <f>IF($B35="","",sysChecks!$J35)</f>
        <v/>
      </c>
      <c r="K35" s="17">
        <f>IF($B35="","",sysChecks!$K35)</f>
        <v/>
      </c>
      <c r="L35" s="17">
        <f>IF($B35="","",sysChecks!$L35)</f>
        <v/>
      </c>
      <c r="M35" s="17">
        <f>IF($B35="","",IF(sysChecks!$M35="Yes","No","Yes"))</f>
        <v/>
      </c>
      <c r="N35" s="17">
        <f>IF($B35="","",sysChecks!$Q35)</f>
        <v/>
      </c>
      <c r="O35" s="17">
        <f>IF($B35="","",sysChecks!$W35)</f>
        <v/>
      </c>
      <c r="P35" s="17">
        <f>IF($B35="","",sysChecks!$X35)</f>
        <v/>
      </c>
      <c r="Q35" s="17">
        <f>IF($B35="","",sysChecks!$N35)</f>
        <v/>
      </c>
      <c r="R35" s="17">
        <f>IF($B35="","",sysChecks!$O35)</f>
        <v/>
      </c>
      <c r="S35" s="17">
        <f>IF(Cadets!$B35="","",Cadets!$I35)</f>
        <v/>
      </c>
    </row>
    <row r="36">
      <c r="B36" s="17">
        <f>IF(Cadets!$B36="","",Cadets!$B36)</f>
        <v/>
      </c>
      <c r="C36" s="17">
        <f>IF($B36="","",Cadets!$F36)</f>
        <v/>
      </c>
      <c r="D36" s="17">
        <f>IF($B36="","",Cadets!$H36)</f>
        <v/>
      </c>
      <c r="E36" s="17">
        <f>IF($B36="","",sysChecks!$E36)</f>
        <v/>
      </c>
      <c r="F36" s="17">
        <f>IF($B36="","",sysChecks!$F36)</f>
        <v/>
      </c>
      <c r="G36" s="17">
        <f>IF($B36="","",sysChecks!$G36)</f>
        <v/>
      </c>
      <c r="H36" s="17">
        <f>IF($B36="","",sysChecks!$H36)</f>
        <v/>
      </c>
      <c r="I36" s="17">
        <f>IF($B36="","",sysChecks!$I36)</f>
        <v/>
      </c>
      <c r="J36" s="17">
        <f>IF($B36="","",sysChecks!$J36)</f>
        <v/>
      </c>
      <c r="K36" s="17">
        <f>IF($B36="","",sysChecks!$K36)</f>
        <v/>
      </c>
      <c r="L36" s="17">
        <f>IF($B36="","",sysChecks!$L36)</f>
        <v/>
      </c>
      <c r="M36" s="17">
        <f>IF($B36="","",IF(sysChecks!$M36="Yes","No","Yes"))</f>
        <v/>
      </c>
      <c r="N36" s="17">
        <f>IF($B36="","",sysChecks!$Q36)</f>
        <v/>
      </c>
      <c r="O36" s="17">
        <f>IF($B36="","",sysChecks!$W36)</f>
        <v/>
      </c>
      <c r="P36" s="17">
        <f>IF($B36="","",sysChecks!$X36)</f>
        <v/>
      </c>
      <c r="Q36" s="17">
        <f>IF($B36="","",sysChecks!$N36)</f>
        <v/>
      </c>
      <c r="R36" s="17">
        <f>IF($B36="","",sysChecks!$O36)</f>
        <v/>
      </c>
      <c r="S36" s="17">
        <f>IF(Cadets!$B36="","",Cadets!$I36)</f>
        <v/>
      </c>
    </row>
    <row r="37">
      <c r="B37" s="17">
        <f>IF(Cadets!$B37="","",Cadets!$B37)</f>
        <v/>
      </c>
      <c r="C37" s="17">
        <f>IF($B37="","",Cadets!$F37)</f>
        <v/>
      </c>
      <c r="D37" s="17">
        <f>IF($B37="","",Cadets!$H37)</f>
        <v/>
      </c>
      <c r="E37" s="17">
        <f>IF($B37="","",sysChecks!$E37)</f>
        <v/>
      </c>
      <c r="F37" s="17">
        <f>IF($B37="","",sysChecks!$F37)</f>
        <v/>
      </c>
      <c r="G37" s="17">
        <f>IF($B37="","",sysChecks!$G37)</f>
        <v/>
      </c>
      <c r="H37" s="17">
        <f>IF($B37="","",sysChecks!$H37)</f>
        <v/>
      </c>
      <c r="I37" s="17">
        <f>IF($B37="","",sysChecks!$I37)</f>
        <v/>
      </c>
      <c r="J37" s="17">
        <f>IF($B37="","",sysChecks!$J37)</f>
        <v/>
      </c>
      <c r="K37" s="17">
        <f>IF($B37="","",sysChecks!$K37)</f>
        <v/>
      </c>
      <c r="L37" s="17">
        <f>IF($B37="","",sysChecks!$L37)</f>
        <v/>
      </c>
      <c r="M37" s="17">
        <f>IF($B37="","",IF(sysChecks!$M37="Yes","No","Yes"))</f>
        <v/>
      </c>
      <c r="N37" s="17">
        <f>IF($B37="","",sysChecks!$Q37)</f>
        <v/>
      </c>
      <c r="O37" s="17">
        <f>IF($B37="","",sysChecks!$W37)</f>
        <v/>
      </c>
      <c r="P37" s="17">
        <f>IF($B37="","",sysChecks!$X37)</f>
        <v/>
      </c>
      <c r="Q37" s="17">
        <f>IF($B37="","",sysChecks!$N37)</f>
        <v/>
      </c>
      <c r="R37" s="17">
        <f>IF($B37="","",sysChecks!$O37)</f>
        <v/>
      </c>
      <c r="S37" s="17">
        <f>IF(Cadets!$B37="","",Cadets!$I37)</f>
        <v/>
      </c>
    </row>
    <row r="38">
      <c r="B38" s="17">
        <f>IF(Cadets!$B38="","",Cadets!$B38)</f>
        <v/>
      </c>
      <c r="C38" s="17">
        <f>IF($B38="","",Cadets!$F38)</f>
        <v/>
      </c>
      <c r="D38" s="17">
        <f>IF($B38="","",Cadets!$H38)</f>
        <v/>
      </c>
      <c r="E38" s="17">
        <f>IF($B38="","",sysChecks!$E38)</f>
        <v/>
      </c>
      <c r="F38" s="17">
        <f>IF($B38="","",sysChecks!$F38)</f>
        <v/>
      </c>
      <c r="G38" s="17">
        <f>IF($B38="","",sysChecks!$G38)</f>
        <v/>
      </c>
      <c r="H38" s="17">
        <f>IF($B38="","",sysChecks!$H38)</f>
        <v/>
      </c>
      <c r="I38" s="17">
        <f>IF($B38="","",sysChecks!$I38)</f>
        <v/>
      </c>
      <c r="J38" s="17">
        <f>IF($B38="","",sysChecks!$J38)</f>
        <v/>
      </c>
      <c r="K38" s="17">
        <f>IF($B38="","",sysChecks!$K38)</f>
        <v/>
      </c>
      <c r="L38" s="17">
        <f>IF($B38="","",sysChecks!$L38)</f>
        <v/>
      </c>
      <c r="M38" s="17">
        <f>IF($B38="","",IF(sysChecks!$M38="Yes","No","Yes"))</f>
        <v/>
      </c>
      <c r="N38" s="17">
        <f>IF($B38="","",sysChecks!$Q38)</f>
        <v/>
      </c>
      <c r="O38" s="17">
        <f>IF($B38="","",sysChecks!$W38)</f>
        <v/>
      </c>
      <c r="P38" s="17">
        <f>IF($B38="","",sysChecks!$X38)</f>
        <v/>
      </c>
      <c r="Q38" s="17">
        <f>IF($B38="","",sysChecks!$N38)</f>
        <v/>
      </c>
      <c r="R38" s="17">
        <f>IF($B38="","",sysChecks!$O38)</f>
        <v/>
      </c>
      <c r="S38" s="17">
        <f>IF(Cadets!$B38="","",Cadets!$I38)</f>
        <v/>
      </c>
    </row>
    <row r="39">
      <c r="B39" s="17">
        <f>IF(Cadets!$B39="","",Cadets!$B39)</f>
        <v/>
      </c>
      <c r="C39" s="17">
        <f>IF($B39="","",Cadets!$F39)</f>
        <v/>
      </c>
      <c r="D39" s="17">
        <f>IF($B39="","",Cadets!$H39)</f>
        <v/>
      </c>
      <c r="E39" s="17">
        <f>IF($B39="","",sysChecks!$E39)</f>
        <v/>
      </c>
      <c r="F39" s="17">
        <f>IF($B39="","",sysChecks!$F39)</f>
        <v/>
      </c>
      <c r="G39" s="17">
        <f>IF($B39="","",sysChecks!$G39)</f>
        <v/>
      </c>
      <c r="H39" s="17">
        <f>IF($B39="","",sysChecks!$H39)</f>
        <v/>
      </c>
      <c r="I39" s="17">
        <f>IF($B39="","",sysChecks!$I39)</f>
        <v/>
      </c>
      <c r="J39" s="17">
        <f>IF($B39="","",sysChecks!$J39)</f>
        <v/>
      </c>
      <c r="K39" s="17">
        <f>IF($B39="","",sysChecks!$K39)</f>
        <v/>
      </c>
      <c r="L39" s="17">
        <f>IF($B39="","",sysChecks!$L39)</f>
        <v/>
      </c>
      <c r="M39" s="17">
        <f>IF($B39="","",IF(sysChecks!$M39="Yes","No","Yes"))</f>
        <v/>
      </c>
      <c r="N39" s="17">
        <f>IF($B39="","",sysChecks!$Q39)</f>
        <v/>
      </c>
      <c r="O39" s="17">
        <f>IF($B39="","",sysChecks!$W39)</f>
        <v/>
      </c>
      <c r="P39" s="17">
        <f>IF($B39="","",sysChecks!$X39)</f>
        <v/>
      </c>
      <c r="Q39" s="17">
        <f>IF($B39="","",sysChecks!$N39)</f>
        <v/>
      </c>
      <c r="R39" s="17">
        <f>IF($B39="","",sysChecks!$O39)</f>
        <v/>
      </c>
      <c r="S39" s="17">
        <f>IF(Cadets!$B39="","",Cadets!$I39)</f>
        <v/>
      </c>
    </row>
    <row r="40">
      <c r="B40" s="17">
        <f>IF(Cadets!$B40="","",Cadets!$B40)</f>
        <v/>
      </c>
      <c r="C40" s="17">
        <f>IF($B40="","",Cadets!$F40)</f>
        <v/>
      </c>
      <c r="D40" s="17">
        <f>IF($B40="","",Cadets!$H40)</f>
        <v/>
      </c>
      <c r="E40" s="17">
        <f>IF($B40="","",sysChecks!$E40)</f>
        <v/>
      </c>
      <c r="F40" s="17">
        <f>IF($B40="","",sysChecks!$F40)</f>
        <v/>
      </c>
      <c r="G40" s="17">
        <f>IF($B40="","",sysChecks!$G40)</f>
        <v/>
      </c>
      <c r="H40" s="17">
        <f>IF($B40="","",sysChecks!$H40)</f>
        <v/>
      </c>
      <c r="I40" s="17">
        <f>IF($B40="","",sysChecks!$I40)</f>
        <v/>
      </c>
      <c r="J40" s="17">
        <f>IF($B40="","",sysChecks!$J40)</f>
        <v/>
      </c>
      <c r="K40" s="17">
        <f>IF($B40="","",sysChecks!$K40)</f>
        <v/>
      </c>
      <c r="L40" s="17">
        <f>IF($B40="","",sysChecks!$L40)</f>
        <v/>
      </c>
      <c r="M40" s="17">
        <f>IF($B40="","",IF(sysChecks!$M40="Yes","No","Yes"))</f>
        <v/>
      </c>
      <c r="N40" s="17">
        <f>IF($B40="","",sysChecks!$Q40)</f>
        <v/>
      </c>
      <c r="O40" s="17">
        <f>IF($B40="","",sysChecks!$W40)</f>
        <v/>
      </c>
      <c r="P40" s="17">
        <f>IF($B40="","",sysChecks!$X40)</f>
        <v/>
      </c>
      <c r="Q40" s="17">
        <f>IF($B40="","",sysChecks!$N40)</f>
        <v/>
      </c>
      <c r="R40" s="17">
        <f>IF($B40="","",sysChecks!$O40)</f>
        <v/>
      </c>
      <c r="S40" s="17">
        <f>IF(Cadets!$B40="","",Cadets!$I40)</f>
        <v/>
      </c>
    </row>
    <row r="41">
      <c r="B41" s="17">
        <f>IF(Cadets!$B41="","",Cadets!$B41)</f>
        <v/>
      </c>
      <c r="C41" s="17">
        <f>IF($B41="","",Cadets!$F41)</f>
        <v/>
      </c>
      <c r="D41" s="17">
        <f>IF($B41="","",Cadets!$H41)</f>
        <v/>
      </c>
      <c r="E41" s="17">
        <f>IF($B41="","",sysChecks!$E41)</f>
        <v/>
      </c>
      <c r="F41" s="17">
        <f>IF($B41="","",sysChecks!$F41)</f>
        <v/>
      </c>
      <c r="G41" s="17">
        <f>IF($B41="","",sysChecks!$G41)</f>
        <v/>
      </c>
      <c r="H41" s="17">
        <f>IF($B41="","",sysChecks!$H41)</f>
        <v/>
      </c>
      <c r="I41" s="17">
        <f>IF($B41="","",sysChecks!$I41)</f>
        <v/>
      </c>
      <c r="J41" s="17">
        <f>IF($B41="","",sysChecks!$J41)</f>
        <v/>
      </c>
      <c r="K41" s="17">
        <f>IF($B41="","",sysChecks!$K41)</f>
        <v/>
      </c>
      <c r="L41" s="17">
        <f>IF($B41="","",sysChecks!$L41)</f>
        <v/>
      </c>
      <c r="M41" s="17">
        <f>IF($B41="","",IF(sysChecks!$M41="Yes","No","Yes"))</f>
        <v/>
      </c>
      <c r="N41" s="17">
        <f>IF($B41="","",sysChecks!$Q41)</f>
        <v/>
      </c>
      <c r="O41" s="17">
        <f>IF($B41="","",sysChecks!$W41)</f>
        <v/>
      </c>
      <c r="P41" s="17">
        <f>IF($B41="","",sysChecks!$X41)</f>
        <v/>
      </c>
      <c r="Q41" s="17">
        <f>IF($B41="","",sysChecks!$N41)</f>
        <v/>
      </c>
      <c r="R41" s="17">
        <f>IF($B41="","",sysChecks!$O41)</f>
        <v/>
      </c>
      <c r="S41" s="17">
        <f>IF(Cadets!$B41="","",Cadets!$I41)</f>
        <v/>
      </c>
    </row>
    <row r="42">
      <c r="B42" s="17">
        <f>IF(Cadets!$B42="","",Cadets!$B42)</f>
        <v/>
      </c>
      <c r="C42" s="17">
        <f>IF($B42="","",Cadets!$F42)</f>
        <v/>
      </c>
      <c r="D42" s="17">
        <f>IF($B42="","",Cadets!$H42)</f>
        <v/>
      </c>
      <c r="E42" s="17">
        <f>IF($B42="","",sysChecks!$E42)</f>
        <v/>
      </c>
      <c r="F42" s="17">
        <f>IF($B42="","",sysChecks!$F42)</f>
        <v/>
      </c>
      <c r="G42" s="17">
        <f>IF($B42="","",sysChecks!$G42)</f>
        <v/>
      </c>
      <c r="H42" s="17">
        <f>IF($B42="","",sysChecks!$H42)</f>
        <v/>
      </c>
      <c r="I42" s="17">
        <f>IF($B42="","",sysChecks!$I42)</f>
        <v/>
      </c>
      <c r="J42" s="17">
        <f>IF($B42="","",sysChecks!$J42)</f>
        <v/>
      </c>
      <c r="K42" s="17">
        <f>IF($B42="","",sysChecks!$K42)</f>
        <v/>
      </c>
      <c r="L42" s="17">
        <f>IF($B42="","",sysChecks!$L42)</f>
        <v/>
      </c>
      <c r="M42" s="17">
        <f>IF($B42="","",IF(sysChecks!$M42="Yes","No","Yes"))</f>
        <v/>
      </c>
      <c r="N42" s="17">
        <f>IF($B42="","",sysChecks!$Q42)</f>
        <v/>
      </c>
      <c r="O42" s="17">
        <f>IF($B42="","",sysChecks!$W42)</f>
        <v/>
      </c>
      <c r="P42" s="17">
        <f>IF($B42="","",sysChecks!$X42)</f>
        <v/>
      </c>
      <c r="Q42" s="17">
        <f>IF($B42="","",sysChecks!$N42)</f>
        <v/>
      </c>
      <c r="R42" s="17">
        <f>IF($B42="","",sysChecks!$O42)</f>
        <v/>
      </c>
      <c r="S42" s="17">
        <f>IF(Cadets!$B42="","",Cadets!$I42)</f>
        <v/>
      </c>
    </row>
    <row r="43">
      <c r="B43" s="17">
        <f>IF(Cadets!$B43="","",Cadets!$B43)</f>
        <v/>
      </c>
      <c r="C43" s="17">
        <f>IF($B43="","",Cadets!$F43)</f>
        <v/>
      </c>
      <c r="D43" s="17">
        <f>IF($B43="","",Cadets!$H43)</f>
        <v/>
      </c>
      <c r="E43" s="17">
        <f>IF($B43="","",sysChecks!$E43)</f>
        <v/>
      </c>
      <c r="F43" s="17">
        <f>IF($B43="","",sysChecks!$F43)</f>
        <v/>
      </c>
      <c r="G43" s="17">
        <f>IF($B43="","",sysChecks!$G43)</f>
        <v/>
      </c>
      <c r="H43" s="17">
        <f>IF($B43="","",sysChecks!$H43)</f>
        <v/>
      </c>
      <c r="I43" s="17">
        <f>IF($B43="","",sysChecks!$I43)</f>
        <v/>
      </c>
      <c r="J43" s="17">
        <f>IF($B43="","",sysChecks!$J43)</f>
        <v/>
      </c>
      <c r="K43" s="17">
        <f>IF($B43="","",sysChecks!$K43)</f>
        <v/>
      </c>
      <c r="L43" s="17">
        <f>IF($B43="","",sysChecks!$L43)</f>
        <v/>
      </c>
      <c r="M43" s="17">
        <f>IF($B43="","",IF(sysChecks!$M43="Yes","No","Yes"))</f>
        <v/>
      </c>
      <c r="N43" s="17">
        <f>IF($B43="","",sysChecks!$Q43)</f>
        <v/>
      </c>
      <c r="O43" s="17">
        <f>IF($B43="","",sysChecks!$W43)</f>
        <v/>
      </c>
      <c r="P43" s="17">
        <f>IF($B43="","",sysChecks!$X43)</f>
        <v/>
      </c>
      <c r="Q43" s="17">
        <f>IF($B43="","",sysChecks!$N43)</f>
        <v/>
      </c>
      <c r="R43" s="17">
        <f>IF($B43="","",sysChecks!$O43)</f>
        <v/>
      </c>
      <c r="S43" s="17">
        <f>IF(Cadets!$B43="","",Cadets!$I43)</f>
        <v/>
      </c>
    </row>
    <row r="44">
      <c r="B44" s="17">
        <f>IF(Cadets!$B44="","",Cadets!$B44)</f>
        <v/>
      </c>
      <c r="C44" s="17">
        <f>IF($B44="","",Cadets!$F44)</f>
        <v/>
      </c>
      <c r="D44" s="17">
        <f>IF($B44="","",Cadets!$H44)</f>
        <v/>
      </c>
      <c r="E44" s="17">
        <f>IF($B44="","",sysChecks!$E44)</f>
        <v/>
      </c>
      <c r="F44" s="17">
        <f>IF($B44="","",sysChecks!$F44)</f>
        <v/>
      </c>
      <c r="G44" s="17">
        <f>IF($B44="","",sysChecks!$G44)</f>
        <v/>
      </c>
      <c r="H44" s="17">
        <f>IF($B44="","",sysChecks!$H44)</f>
        <v/>
      </c>
      <c r="I44" s="17">
        <f>IF($B44="","",sysChecks!$I44)</f>
        <v/>
      </c>
      <c r="J44" s="17">
        <f>IF($B44="","",sysChecks!$J44)</f>
        <v/>
      </c>
      <c r="K44" s="17">
        <f>IF($B44="","",sysChecks!$K44)</f>
        <v/>
      </c>
      <c r="L44" s="17">
        <f>IF($B44="","",sysChecks!$L44)</f>
        <v/>
      </c>
      <c r="M44" s="17">
        <f>IF($B44="","",IF(sysChecks!$M44="Yes","No","Yes"))</f>
        <v/>
      </c>
      <c r="N44" s="17">
        <f>IF($B44="","",sysChecks!$Q44)</f>
        <v/>
      </c>
      <c r="O44" s="17">
        <f>IF($B44="","",sysChecks!$W44)</f>
        <v/>
      </c>
      <c r="P44" s="17">
        <f>IF($B44="","",sysChecks!$X44)</f>
        <v/>
      </c>
      <c r="Q44" s="17">
        <f>IF($B44="","",sysChecks!$N44)</f>
        <v/>
      </c>
      <c r="R44" s="17">
        <f>IF($B44="","",sysChecks!$O44)</f>
        <v/>
      </c>
      <c r="S44" s="17">
        <f>IF(Cadets!$B44="","",Cadets!$I44)</f>
        <v/>
      </c>
    </row>
    <row r="45">
      <c r="B45" s="17">
        <f>IF(Cadets!$B45="","",Cadets!$B45)</f>
        <v/>
      </c>
      <c r="C45" s="17">
        <f>IF($B45="","",Cadets!$F45)</f>
        <v/>
      </c>
      <c r="D45" s="17">
        <f>IF($B45="","",Cadets!$H45)</f>
        <v/>
      </c>
      <c r="E45" s="17">
        <f>IF($B45="","",sysChecks!$E45)</f>
        <v/>
      </c>
      <c r="F45" s="17">
        <f>IF($B45="","",sysChecks!$F45)</f>
        <v/>
      </c>
      <c r="G45" s="17">
        <f>IF($B45="","",sysChecks!$G45)</f>
        <v/>
      </c>
      <c r="H45" s="17">
        <f>IF($B45="","",sysChecks!$H45)</f>
        <v/>
      </c>
      <c r="I45" s="17">
        <f>IF($B45="","",sysChecks!$I45)</f>
        <v/>
      </c>
      <c r="J45" s="17">
        <f>IF($B45="","",sysChecks!$J45)</f>
        <v/>
      </c>
      <c r="K45" s="17">
        <f>IF($B45="","",sysChecks!$K45)</f>
        <v/>
      </c>
      <c r="L45" s="17">
        <f>IF($B45="","",sysChecks!$L45)</f>
        <v/>
      </c>
      <c r="M45" s="17">
        <f>IF($B45="","",IF(sysChecks!$M45="Yes","No","Yes"))</f>
        <v/>
      </c>
      <c r="N45" s="17">
        <f>IF($B45="","",sysChecks!$Q45)</f>
        <v/>
      </c>
      <c r="O45" s="17">
        <f>IF($B45="","",sysChecks!$W45)</f>
        <v/>
      </c>
      <c r="P45" s="17">
        <f>IF($B45="","",sysChecks!$X45)</f>
        <v/>
      </c>
      <c r="Q45" s="17">
        <f>IF($B45="","",sysChecks!$N45)</f>
        <v/>
      </c>
      <c r="R45" s="17">
        <f>IF($B45="","",sysChecks!$O45)</f>
        <v/>
      </c>
      <c r="S45" s="17">
        <f>IF(Cadets!$B45="","",Cadets!$I45)</f>
        <v/>
      </c>
    </row>
    <row r="46">
      <c r="B46" s="17">
        <f>IF(Cadets!$B46="","",Cadets!$B46)</f>
        <v/>
      </c>
      <c r="C46" s="17">
        <f>IF($B46="","",Cadets!$F46)</f>
        <v/>
      </c>
      <c r="D46" s="17">
        <f>IF($B46="","",Cadets!$H46)</f>
        <v/>
      </c>
      <c r="E46" s="17">
        <f>IF($B46="","",sysChecks!$E46)</f>
        <v/>
      </c>
      <c r="F46" s="17">
        <f>IF($B46="","",sysChecks!$F46)</f>
        <v/>
      </c>
      <c r="G46" s="17">
        <f>IF($B46="","",sysChecks!$G46)</f>
        <v/>
      </c>
      <c r="H46" s="17">
        <f>IF($B46="","",sysChecks!$H46)</f>
        <v/>
      </c>
      <c r="I46" s="17">
        <f>IF($B46="","",sysChecks!$I46)</f>
        <v/>
      </c>
      <c r="J46" s="17">
        <f>IF($B46="","",sysChecks!$J46)</f>
        <v/>
      </c>
      <c r="K46" s="17">
        <f>IF($B46="","",sysChecks!$K46)</f>
        <v/>
      </c>
      <c r="L46" s="17">
        <f>IF($B46="","",sysChecks!$L46)</f>
        <v/>
      </c>
      <c r="M46" s="17">
        <f>IF($B46="","",IF(sysChecks!$M46="Yes","No","Yes"))</f>
        <v/>
      </c>
      <c r="N46" s="17">
        <f>IF($B46="","",sysChecks!$Q46)</f>
        <v/>
      </c>
      <c r="O46" s="17">
        <f>IF($B46="","",sysChecks!$W46)</f>
        <v/>
      </c>
      <c r="P46" s="17">
        <f>IF($B46="","",sysChecks!$X46)</f>
        <v/>
      </c>
      <c r="Q46" s="17">
        <f>IF($B46="","",sysChecks!$N46)</f>
        <v/>
      </c>
      <c r="R46" s="17">
        <f>IF($B46="","",sysChecks!$O46)</f>
        <v/>
      </c>
      <c r="S46" s="17">
        <f>IF(Cadets!$B46="","",Cadets!$I46)</f>
        <v/>
      </c>
    </row>
    <row r="47">
      <c r="B47" s="17">
        <f>IF(Cadets!$B47="","",Cadets!$B47)</f>
        <v/>
      </c>
      <c r="C47" s="17">
        <f>IF($B47="","",Cadets!$F47)</f>
        <v/>
      </c>
      <c r="D47" s="17">
        <f>IF($B47="","",Cadets!$H47)</f>
        <v/>
      </c>
      <c r="E47" s="17">
        <f>IF($B47="","",sysChecks!$E47)</f>
        <v/>
      </c>
      <c r="F47" s="17">
        <f>IF($B47="","",sysChecks!$F47)</f>
        <v/>
      </c>
      <c r="G47" s="17">
        <f>IF($B47="","",sysChecks!$G47)</f>
        <v/>
      </c>
      <c r="H47" s="17">
        <f>IF($B47="","",sysChecks!$H47)</f>
        <v/>
      </c>
      <c r="I47" s="17">
        <f>IF($B47="","",sysChecks!$I47)</f>
        <v/>
      </c>
      <c r="J47" s="17">
        <f>IF($B47="","",sysChecks!$J47)</f>
        <v/>
      </c>
      <c r="K47" s="17">
        <f>IF($B47="","",sysChecks!$K47)</f>
        <v/>
      </c>
      <c r="L47" s="17">
        <f>IF($B47="","",sysChecks!$L47)</f>
        <v/>
      </c>
      <c r="M47" s="17">
        <f>IF($B47="","",IF(sysChecks!$M47="Yes","No","Yes"))</f>
        <v/>
      </c>
      <c r="N47" s="17">
        <f>IF($B47="","",sysChecks!$Q47)</f>
        <v/>
      </c>
      <c r="O47" s="17">
        <f>IF($B47="","",sysChecks!$W47)</f>
        <v/>
      </c>
      <c r="P47" s="17">
        <f>IF($B47="","",sysChecks!$X47)</f>
        <v/>
      </c>
      <c r="Q47" s="17">
        <f>IF($B47="","",sysChecks!$N47)</f>
        <v/>
      </c>
      <c r="R47" s="17">
        <f>IF($B47="","",sysChecks!$O47)</f>
        <v/>
      </c>
      <c r="S47" s="17">
        <f>IF(Cadets!$B47="","",Cadets!$I47)</f>
        <v/>
      </c>
    </row>
    <row r="48">
      <c r="B48" s="17">
        <f>IF(Cadets!$B48="","",Cadets!$B48)</f>
        <v/>
      </c>
      <c r="C48" s="17">
        <f>IF($B48="","",Cadets!$F48)</f>
        <v/>
      </c>
      <c r="D48" s="17">
        <f>IF($B48="","",Cadets!$H48)</f>
        <v/>
      </c>
      <c r="E48" s="17">
        <f>IF($B48="","",sysChecks!$E48)</f>
        <v/>
      </c>
      <c r="F48" s="17">
        <f>IF($B48="","",sysChecks!$F48)</f>
        <v/>
      </c>
      <c r="G48" s="17">
        <f>IF($B48="","",sysChecks!$G48)</f>
        <v/>
      </c>
      <c r="H48" s="17">
        <f>IF($B48="","",sysChecks!$H48)</f>
        <v/>
      </c>
      <c r="I48" s="17">
        <f>IF($B48="","",sysChecks!$I48)</f>
        <v/>
      </c>
      <c r="J48" s="17">
        <f>IF($B48="","",sysChecks!$J48)</f>
        <v/>
      </c>
      <c r="K48" s="17">
        <f>IF($B48="","",sysChecks!$K48)</f>
        <v/>
      </c>
      <c r="L48" s="17">
        <f>IF($B48="","",sysChecks!$L48)</f>
        <v/>
      </c>
      <c r="M48" s="17">
        <f>IF($B48="","",IF(sysChecks!$M48="Yes","No","Yes"))</f>
        <v/>
      </c>
      <c r="N48" s="17">
        <f>IF($B48="","",sysChecks!$Q48)</f>
        <v/>
      </c>
      <c r="O48" s="17">
        <f>IF($B48="","",sysChecks!$W48)</f>
        <v/>
      </c>
      <c r="P48" s="17">
        <f>IF($B48="","",sysChecks!$X48)</f>
        <v/>
      </c>
      <c r="Q48" s="17">
        <f>IF($B48="","",sysChecks!$N48)</f>
        <v/>
      </c>
      <c r="R48" s="17">
        <f>IF($B48="","",sysChecks!$O48)</f>
        <v/>
      </c>
      <c r="S48" s="17">
        <f>IF(Cadets!$B48="","",Cadets!$I48)</f>
        <v/>
      </c>
    </row>
    <row r="49">
      <c r="B49" s="17">
        <f>IF(Cadets!$B49="","",Cadets!$B49)</f>
        <v/>
      </c>
      <c r="C49" s="17">
        <f>IF($B49="","",Cadets!$F49)</f>
        <v/>
      </c>
      <c r="D49" s="17">
        <f>IF($B49="","",Cadets!$H49)</f>
        <v/>
      </c>
      <c r="E49" s="17">
        <f>IF($B49="","",sysChecks!$E49)</f>
        <v/>
      </c>
      <c r="F49" s="17">
        <f>IF($B49="","",sysChecks!$F49)</f>
        <v/>
      </c>
      <c r="G49" s="17">
        <f>IF($B49="","",sysChecks!$G49)</f>
        <v/>
      </c>
      <c r="H49" s="17">
        <f>IF($B49="","",sysChecks!$H49)</f>
        <v/>
      </c>
      <c r="I49" s="17">
        <f>IF($B49="","",sysChecks!$I49)</f>
        <v/>
      </c>
      <c r="J49" s="17">
        <f>IF($B49="","",sysChecks!$J49)</f>
        <v/>
      </c>
      <c r="K49" s="17">
        <f>IF($B49="","",sysChecks!$K49)</f>
        <v/>
      </c>
      <c r="L49" s="17">
        <f>IF($B49="","",sysChecks!$L49)</f>
        <v/>
      </c>
      <c r="M49" s="17">
        <f>IF($B49="","",IF(sysChecks!$M49="Yes","No","Yes"))</f>
        <v/>
      </c>
      <c r="N49" s="17">
        <f>IF($B49="","",sysChecks!$Q49)</f>
        <v/>
      </c>
      <c r="O49" s="17">
        <f>IF($B49="","",sysChecks!$W49)</f>
        <v/>
      </c>
      <c r="P49" s="17">
        <f>IF($B49="","",sysChecks!$X49)</f>
        <v/>
      </c>
      <c r="Q49" s="17">
        <f>IF($B49="","",sysChecks!$N49)</f>
        <v/>
      </c>
      <c r="R49" s="17">
        <f>IF($B49="","",sysChecks!$O49)</f>
        <v/>
      </c>
      <c r="S49" s="17">
        <f>IF(Cadets!$B49="","",Cadets!$I49)</f>
        <v/>
      </c>
    </row>
    <row r="50">
      <c r="B50" s="17">
        <f>IF(Cadets!$B50="","",Cadets!$B50)</f>
        <v/>
      </c>
      <c r="C50" s="17">
        <f>IF($B50="","",Cadets!$F50)</f>
        <v/>
      </c>
      <c r="D50" s="17">
        <f>IF($B50="","",Cadets!$H50)</f>
        <v/>
      </c>
      <c r="E50" s="17">
        <f>IF($B50="","",sysChecks!$E50)</f>
        <v/>
      </c>
      <c r="F50" s="17">
        <f>IF($B50="","",sysChecks!$F50)</f>
        <v/>
      </c>
      <c r="G50" s="17">
        <f>IF($B50="","",sysChecks!$G50)</f>
        <v/>
      </c>
      <c r="H50" s="17">
        <f>IF($B50="","",sysChecks!$H50)</f>
        <v/>
      </c>
      <c r="I50" s="17">
        <f>IF($B50="","",sysChecks!$I50)</f>
        <v/>
      </c>
      <c r="J50" s="17">
        <f>IF($B50="","",sysChecks!$J50)</f>
        <v/>
      </c>
      <c r="K50" s="17">
        <f>IF($B50="","",sysChecks!$K50)</f>
        <v/>
      </c>
      <c r="L50" s="17">
        <f>IF($B50="","",sysChecks!$L50)</f>
        <v/>
      </c>
      <c r="M50" s="17">
        <f>IF($B50="","",IF(sysChecks!$M50="Yes","No","Yes"))</f>
        <v/>
      </c>
      <c r="N50" s="17">
        <f>IF($B50="","",sysChecks!$Q50)</f>
        <v/>
      </c>
      <c r="O50" s="17">
        <f>IF($B50="","",sysChecks!$W50)</f>
        <v/>
      </c>
      <c r="P50" s="17">
        <f>IF($B50="","",sysChecks!$X50)</f>
        <v/>
      </c>
      <c r="Q50" s="17">
        <f>IF($B50="","",sysChecks!$N50)</f>
        <v/>
      </c>
      <c r="R50" s="17">
        <f>IF($B50="","",sysChecks!$O50)</f>
        <v/>
      </c>
      <c r="S50" s="17">
        <f>IF(Cadets!$B50="","",Cadets!$I50)</f>
        <v/>
      </c>
    </row>
    <row r="51">
      <c r="B51" s="17">
        <f>IF(Cadets!$B51="","",Cadets!$B51)</f>
        <v/>
      </c>
      <c r="C51" s="17">
        <f>IF($B51="","",Cadets!$F51)</f>
        <v/>
      </c>
      <c r="D51" s="17">
        <f>IF($B51="","",Cadets!$H51)</f>
        <v/>
      </c>
      <c r="E51" s="17">
        <f>IF($B51="","",sysChecks!$E51)</f>
        <v/>
      </c>
      <c r="F51" s="17">
        <f>IF($B51="","",sysChecks!$F51)</f>
        <v/>
      </c>
      <c r="G51" s="17">
        <f>IF($B51="","",sysChecks!$G51)</f>
        <v/>
      </c>
      <c r="H51" s="17">
        <f>IF($B51="","",sysChecks!$H51)</f>
        <v/>
      </c>
      <c r="I51" s="17">
        <f>IF($B51="","",sysChecks!$I51)</f>
        <v/>
      </c>
      <c r="J51" s="17">
        <f>IF($B51="","",sysChecks!$J51)</f>
        <v/>
      </c>
      <c r="K51" s="17">
        <f>IF($B51="","",sysChecks!$K51)</f>
        <v/>
      </c>
      <c r="L51" s="17">
        <f>IF($B51="","",sysChecks!$L51)</f>
        <v/>
      </c>
      <c r="M51" s="17">
        <f>IF($B51="","",IF(sysChecks!$M51="Yes","No","Yes"))</f>
        <v/>
      </c>
      <c r="N51" s="17">
        <f>IF($B51="","",sysChecks!$Q51)</f>
        <v/>
      </c>
      <c r="O51" s="17">
        <f>IF($B51="","",sysChecks!$W51)</f>
        <v/>
      </c>
      <c r="P51" s="17">
        <f>IF($B51="","",sysChecks!$X51)</f>
        <v/>
      </c>
      <c r="Q51" s="17">
        <f>IF($B51="","",sysChecks!$N51)</f>
        <v/>
      </c>
      <c r="R51" s="17">
        <f>IF($B51="","",sysChecks!$O51)</f>
        <v/>
      </c>
      <c r="S51" s="17">
        <f>IF(Cadets!$B51="","",Cadets!$I51)</f>
        <v/>
      </c>
    </row>
    <row r="52">
      <c r="B52" s="17">
        <f>IF(Cadets!$B52="","",Cadets!$B52)</f>
        <v/>
      </c>
      <c r="C52" s="17">
        <f>IF($B52="","",Cadets!$F52)</f>
        <v/>
      </c>
      <c r="D52" s="17">
        <f>IF($B52="","",Cadets!$H52)</f>
        <v/>
      </c>
      <c r="E52" s="17">
        <f>IF($B52="","",sysChecks!$E52)</f>
        <v/>
      </c>
      <c r="F52" s="17">
        <f>IF($B52="","",sysChecks!$F52)</f>
        <v/>
      </c>
      <c r="G52" s="17">
        <f>IF($B52="","",sysChecks!$G52)</f>
        <v/>
      </c>
      <c r="H52" s="17">
        <f>IF($B52="","",sysChecks!$H52)</f>
        <v/>
      </c>
      <c r="I52" s="17">
        <f>IF($B52="","",sysChecks!$I52)</f>
        <v/>
      </c>
      <c r="J52" s="17">
        <f>IF($B52="","",sysChecks!$J52)</f>
        <v/>
      </c>
      <c r="K52" s="17">
        <f>IF($B52="","",sysChecks!$K52)</f>
        <v/>
      </c>
      <c r="L52" s="17">
        <f>IF($B52="","",sysChecks!$L52)</f>
        <v/>
      </c>
      <c r="M52" s="17">
        <f>IF($B52="","",IF(sysChecks!$M52="Yes","No","Yes"))</f>
        <v/>
      </c>
      <c r="N52" s="17">
        <f>IF($B52="","",sysChecks!$Q52)</f>
        <v/>
      </c>
      <c r="O52" s="17">
        <f>IF($B52="","",sysChecks!$W52)</f>
        <v/>
      </c>
      <c r="P52" s="17">
        <f>IF($B52="","",sysChecks!$X52)</f>
        <v/>
      </c>
      <c r="Q52" s="17">
        <f>IF($B52="","",sysChecks!$N52)</f>
        <v/>
      </c>
      <c r="R52" s="17">
        <f>IF($B52="","",sysChecks!$O52)</f>
        <v/>
      </c>
      <c r="S52" s="17">
        <f>IF(Cadets!$B52="","",Cadets!$I52)</f>
        <v/>
      </c>
    </row>
    <row r="53">
      <c r="B53" s="17">
        <f>IF(Cadets!$B53="","",Cadets!$B53)</f>
        <v/>
      </c>
      <c r="C53" s="17">
        <f>IF($B53="","",Cadets!$F53)</f>
        <v/>
      </c>
      <c r="D53" s="17">
        <f>IF($B53="","",Cadets!$H53)</f>
        <v/>
      </c>
      <c r="E53" s="17">
        <f>IF($B53="","",sysChecks!$E53)</f>
        <v/>
      </c>
      <c r="F53" s="17">
        <f>IF($B53="","",sysChecks!$F53)</f>
        <v/>
      </c>
      <c r="G53" s="17">
        <f>IF($B53="","",sysChecks!$G53)</f>
        <v/>
      </c>
      <c r="H53" s="17">
        <f>IF($B53="","",sysChecks!$H53)</f>
        <v/>
      </c>
      <c r="I53" s="17">
        <f>IF($B53="","",sysChecks!$I53)</f>
        <v/>
      </c>
      <c r="J53" s="17">
        <f>IF($B53="","",sysChecks!$J53)</f>
        <v/>
      </c>
      <c r="K53" s="17">
        <f>IF($B53="","",sysChecks!$K53)</f>
        <v/>
      </c>
      <c r="L53" s="17">
        <f>IF($B53="","",sysChecks!$L53)</f>
        <v/>
      </c>
      <c r="M53" s="17">
        <f>IF($B53="","",IF(sysChecks!$M53="Yes","No","Yes"))</f>
        <v/>
      </c>
      <c r="N53" s="17">
        <f>IF($B53="","",sysChecks!$Q53)</f>
        <v/>
      </c>
      <c r="O53" s="17">
        <f>IF($B53="","",sysChecks!$W53)</f>
        <v/>
      </c>
      <c r="P53" s="17">
        <f>IF($B53="","",sysChecks!$X53)</f>
        <v/>
      </c>
      <c r="Q53" s="17">
        <f>IF($B53="","",sysChecks!$N53)</f>
        <v/>
      </c>
      <c r="R53" s="17">
        <f>IF($B53="","",sysChecks!$O53)</f>
        <v/>
      </c>
      <c r="S53" s="17">
        <f>IF(Cadets!$B53="","",Cadets!$I53)</f>
        <v/>
      </c>
    </row>
    <row r="54">
      <c r="B54" s="17">
        <f>IF(Cadets!$B54="","",Cadets!$B54)</f>
        <v/>
      </c>
      <c r="C54" s="17">
        <f>IF($B54="","",Cadets!$F54)</f>
        <v/>
      </c>
      <c r="D54" s="17">
        <f>IF($B54="","",Cadets!$H54)</f>
        <v/>
      </c>
      <c r="E54" s="17">
        <f>IF($B54="","",sysChecks!$E54)</f>
        <v/>
      </c>
      <c r="F54" s="17">
        <f>IF($B54="","",sysChecks!$F54)</f>
        <v/>
      </c>
      <c r="G54" s="17">
        <f>IF($B54="","",sysChecks!$G54)</f>
        <v/>
      </c>
      <c r="H54" s="17">
        <f>IF($B54="","",sysChecks!$H54)</f>
        <v/>
      </c>
      <c r="I54" s="17">
        <f>IF($B54="","",sysChecks!$I54)</f>
        <v/>
      </c>
      <c r="J54" s="17">
        <f>IF($B54="","",sysChecks!$J54)</f>
        <v/>
      </c>
      <c r="K54" s="17">
        <f>IF($B54="","",sysChecks!$K54)</f>
        <v/>
      </c>
      <c r="L54" s="17">
        <f>IF($B54="","",sysChecks!$L54)</f>
        <v/>
      </c>
      <c r="M54" s="17">
        <f>IF($B54="","",IF(sysChecks!$M54="Yes","No","Yes"))</f>
        <v/>
      </c>
      <c r="N54" s="17">
        <f>IF($B54="","",sysChecks!$Q54)</f>
        <v/>
      </c>
      <c r="O54" s="17">
        <f>IF($B54="","",sysChecks!$W54)</f>
        <v/>
      </c>
      <c r="P54" s="17">
        <f>IF($B54="","",sysChecks!$X54)</f>
        <v/>
      </c>
      <c r="Q54" s="17">
        <f>IF($B54="","",sysChecks!$N54)</f>
        <v/>
      </c>
      <c r="R54" s="17">
        <f>IF($B54="","",sysChecks!$O54)</f>
        <v/>
      </c>
      <c r="S54" s="17">
        <f>IF(Cadets!$B54="","",Cadets!$I54)</f>
        <v/>
      </c>
    </row>
    <row r="55">
      <c r="B55" s="17">
        <f>IF(Cadets!$B55="","",Cadets!$B55)</f>
        <v/>
      </c>
      <c r="C55" s="17">
        <f>IF($B55="","",Cadets!$F55)</f>
        <v/>
      </c>
      <c r="D55" s="17">
        <f>IF($B55="","",Cadets!$H55)</f>
        <v/>
      </c>
      <c r="E55" s="17">
        <f>IF($B55="","",sysChecks!$E55)</f>
        <v/>
      </c>
      <c r="F55" s="17">
        <f>IF($B55="","",sysChecks!$F55)</f>
        <v/>
      </c>
      <c r="G55" s="17">
        <f>IF($B55="","",sysChecks!$G55)</f>
        <v/>
      </c>
      <c r="H55" s="17">
        <f>IF($B55="","",sysChecks!$H55)</f>
        <v/>
      </c>
      <c r="I55" s="17">
        <f>IF($B55="","",sysChecks!$I55)</f>
        <v/>
      </c>
      <c r="J55" s="17">
        <f>IF($B55="","",sysChecks!$J55)</f>
        <v/>
      </c>
      <c r="K55" s="17">
        <f>IF($B55="","",sysChecks!$K55)</f>
        <v/>
      </c>
      <c r="L55" s="17">
        <f>IF($B55="","",sysChecks!$L55)</f>
        <v/>
      </c>
      <c r="M55" s="17">
        <f>IF($B55="","",IF(sysChecks!$M55="Yes","No","Yes"))</f>
        <v/>
      </c>
      <c r="N55" s="17">
        <f>IF($B55="","",sysChecks!$Q55)</f>
        <v/>
      </c>
      <c r="O55" s="17">
        <f>IF($B55="","",sysChecks!$W55)</f>
        <v/>
      </c>
      <c r="P55" s="17">
        <f>IF($B55="","",sysChecks!$X55)</f>
        <v/>
      </c>
      <c r="Q55" s="17">
        <f>IF($B55="","",sysChecks!$N55)</f>
        <v/>
      </c>
      <c r="R55" s="17">
        <f>IF($B55="","",sysChecks!$O55)</f>
        <v/>
      </c>
      <c r="S55" s="17">
        <f>IF(Cadets!$B55="","",Cadets!$I55)</f>
        <v/>
      </c>
    </row>
  </sheetData>
  <sheetProtection selectLockedCells="0" selectUnlockedCells="0" sheet="1" objects="0" insertRows="1" insertHyperlinks="1" autoFilter="0" scenarios="0" formatColumns="1" deleteColumns="1" insertColumns="1" pivotTables="1" deleteRows="1" formatCells="1" formatRows="1" sort="1" password="B4BB"/>
  <autoFilter ref="B5:S5"/>
  <conditionalFormatting sqref="E6:Q55">
    <cfRule type="cellIs" priority="1" operator="equal" dxfId="3">
      <formula>"Yes"</formula>
    </cfRule>
    <cfRule type="cellIs" priority="2" operator="equal" dxfId="0">
      <formula>"No"</formula>
    </cfRule>
    <cfRule type="expression" priority="3" dxfId="0">
      <formula>AND(E6&lt;&gt;"",E6&lt;&gt;"Yes")</formula>
    </cfRule>
  </conditionalFormatting>
  <conditionalFormatting sqref="B6:S55">
    <cfRule type="expression" priority="4" dxfId="1">
      <formula>AND(Cadets!$B6&lt;&gt;"",Cadets!$I6&lt;&gt;"Active")</formula>
    </cfRule>
  </conditionalFormatting>
  <pageMargins left="0.75" right="0.75" top="1" bottom="1" header="0.5" footer="0.5"/>
  <pageSetup orientation="landscape" fitToHeight="0" fitToWidth="1"/>
</worksheet>
</file>

<file path=xl/worksheets/sheet29.xml><?xml version="1.0" encoding="utf-8"?>
<worksheet xmlns="http://schemas.openxmlformats.org/spreadsheetml/2006/main">
  <sheetPr>
    <tabColor rgb="001E7145"/>
    <outlinePr summaryBelow="1" summaryRight="1"/>
    <pageSetUpPr fitToPage="1"/>
  </sheetPr>
  <dimension ref="B1:J122"/>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30" customWidth="1" min="2" max="2"/>
    <col width="11" customWidth="1" min="3" max="3"/>
    <col width="11" customWidth="1" min="4" max="4"/>
    <col width="12" customWidth="1" min="5" max="5"/>
    <col width="11" customWidth="1" min="6" max="6"/>
    <col width="12" customWidth="1" min="7" max="7"/>
    <col width="12" customWidth="1" min="8" max="8"/>
    <col width="10" customWidth="1" min="9" max="9"/>
  </cols>
  <sheetData>
    <row r="1">
      <c r="B1" s="10">
        <f>HYPERLINK("#Dashboard!B5","◄ Dashboard")</f>
        <v/>
      </c>
    </row>
    <row r="4">
      <c r="B4" s="11" t="inlineStr">
        <is>
          <t>Top: live program checks. Bottom: per-cadet enrollment file checklist. Chapter-level records live on ChapterMaster; instructor credentials on Instructors.</t>
        </is>
      </c>
    </row>
    <row r="5">
      <c r="B5" s="1">
        <f>"TCOLE AUDIT READINESS — "&amp;cfgAcademyClass&amp;" — "&amp;TEXT(TODAY(),"mm/dd/yyyy")</f>
        <v/>
      </c>
    </row>
    <row r="7" ht="16" customHeight="1">
      <c r="B7" s="7" t="inlineStr">
        <is>
          <t>Program checks (live from the engine)</t>
        </is>
      </c>
    </row>
    <row r="8" ht="26" customHeight="1">
      <c r="B8" s="12" t="inlineStr">
        <is>
          <t>Check</t>
        </is>
      </c>
      <c r="C8" s="12" t="inlineStr">
        <is>
          <t>Value</t>
        </is>
      </c>
      <c r="D8" s="12" t="inlineStr">
        <is>
          <t>Target</t>
        </is>
      </c>
      <c r="E8" s="12" t="inlineStr">
        <is>
          <t>Status</t>
        </is>
      </c>
      <c r="F8" s="12" t="inlineStr">
        <is>
          <t>Detail</t>
        </is>
      </c>
    </row>
    <row r="9">
      <c r="B9" s="14">
        <f>sysAudit!$B$6</f>
        <v/>
      </c>
      <c r="C9" s="21">
        <f>sysAudit!$C$6</f>
        <v/>
      </c>
      <c r="D9" s="21">
        <f>sysAudit!$D$6</f>
        <v/>
      </c>
      <c r="E9" s="3">
        <f>sysAudit!$E$6</f>
        <v/>
      </c>
      <c r="F9" s="2">
        <f>sysAudit!$F$6</f>
        <v/>
      </c>
    </row>
    <row r="10">
      <c r="B10" s="14">
        <f>sysAudit!$B$7</f>
        <v/>
      </c>
      <c r="C10" s="21">
        <f>sysAudit!$C$7</f>
        <v/>
      </c>
      <c r="D10" s="21">
        <f>sysAudit!$D$7</f>
        <v/>
      </c>
      <c r="E10" s="3">
        <f>sysAudit!$E$7</f>
        <v/>
      </c>
      <c r="F10" s="2">
        <f>sysAudit!$F$7</f>
        <v/>
      </c>
    </row>
    <row r="11">
      <c r="B11" s="14">
        <f>sysAudit!$B$8</f>
        <v/>
      </c>
      <c r="C11" s="21">
        <f>sysAudit!$C$8</f>
        <v/>
      </c>
      <c r="D11" s="21">
        <f>sysAudit!$D$8</f>
        <v/>
      </c>
      <c r="E11" s="3">
        <f>sysAudit!$E$8</f>
        <v/>
      </c>
      <c r="F11" s="2">
        <f>sysAudit!$F$8</f>
        <v/>
      </c>
    </row>
    <row r="12">
      <c r="B12" s="14">
        <f>sysAudit!$B$9</f>
        <v/>
      </c>
      <c r="C12" s="21">
        <f>sysAudit!$C$9</f>
        <v/>
      </c>
      <c r="D12" s="21">
        <f>sysAudit!$D$9</f>
        <v/>
      </c>
      <c r="E12" s="3">
        <f>sysAudit!$E$9</f>
        <v/>
      </c>
      <c r="F12" s="2">
        <f>sysAudit!$F$9</f>
        <v/>
      </c>
    </row>
    <row r="13">
      <c r="B13" s="14">
        <f>sysAudit!$B$10</f>
        <v/>
      </c>
      <c r="C13" s="21">
        <f>sysAudit!$C$10</f>
        <v/>
      </c>
      <c r="D13" s="21">
        <f>sysAudit!$D$10</f>
        <v/>
      </c>
      <c r="E13" s="3">
        <f>sysAudit!$E$10</f>
        <v/>
      </c>
      <c r="F13" s="2">
        <f>sysAudit!$F$10</f>
        <v/>
      </c>
    </row>
    <row r="14">
      <c r="B14" s="14">
        <f>sysAudit!$B$11</f>
        <v/>
      </c>
      <c r="C14" s="21">
        <f>sysAudit!$C$11</f>
        <v/>
      </c>
      <c r="D14" s="21">
        <f>sysAudit!$D$11</f>
        <v/>
      </c>
      <c r="E14" s="3">
        <f>sysAudit!$E$11</f>
        <v/>
      </c>
      <c r="F14" s="2">
        <f>sysAudit!$F$11</f>
        <v/>
      </c>
    </row>
    <row r="15">
      <c r="B15" s="14">
        <f>sysAudit!$B$12</f>
        <v/>
      </c>
      <c r="C15" s="21">
        <f>sysAudit!$C$12</f>
        <v/>
      </c>
      <c r="D15" s="21">
        <f>sysAudit!$D$12</f>
        <v/>
      </c>
      <c r="E15" s="3">
        <f>sysAudit!$E$12</f>
        <v/>
      </c>
      <c r="F15" s="2">
        <f>sysAudit!$F$12</f>
        <v/>
      </c>
    </row>
    <row r="16">
      <c r="B16" s="14">
        <f>sysAudit!$B$13</f>
        <v/>
      </c>
      <c r="C16" s="21">
        <f>sysAudit!$C$13</f>
        <v/>
      </c>
      <c r="D16" s="21">
        <f>sysAudit!$D$13</f>
        <v/>
      </c>
      <c r="E16" s="3">
        <f>sysAudit!$E$13</f>
        <v/>
      </c>
      <c r="F16" s="2">
        <f>sysAudit!$F$13</f>
        <v/>
      </c>
    </row>
    <row r="17">
      <c r="B17" s="14">
        <f>sysAudit!$B$14</f>
        <v/>
      </c>
      <c r="C17" s="21">
        <f>sysAudit!$C$14</f>
        <v/>
      </c>
      <c r="D17" s="21">
        <f>sysAudit!$D$14</f>
        <v/>
      </c>
      <c r="E17" s="3">
        <f>sysAudit!$E$14</f>
        <v/>
      </c>
      <c r="F17" s="2">
        <f>sysAudit!$F$14</f>
        <v/>
      </c>
    </row>
    <row r="18">
      <c r="B18" s="14">
        <f>sysAudit!$B$15</f>
        <v/>
      </c>
      <c r="C18" s="21">
        <f>sysAudit!$C$15</f>
        <v/>
      </c>
      <c r="D18" s="21">
        <f>sysAudit!$D$15</f>
        <v/>
      </c>
      <c r="E18" s="3">
        <f>sysAudit!$E$15</f>
        <v/>
      </c>
      <c r="F18" s="2">
        <f>sysAudit!$F$15</f>
        <v/>
      </c>
    </row>
    <row r="19">
      <c r="B19" s="14">
        <f>sysAudit!$B$16</f>
        <v/>
      </c>
      <c r="C19" s="21">
        <f>sysAudit!$C$16</f>
        <v/>
      </c>
      <c r="D19" s="21">
        <f>sysAudit!$D$16</f>
        <v/>
      </c>
      <c r="E19" s="3">
        <f>sysAudit!$E$16</f>
        <v/>
      </c>
      <c r="F19" s="2">
        <f>sysAudit!$F$16</f>
        <v/>
      </c>
    </row>
    <row r="20">
      <c r="B20" s="14">
        <f>sysAudit!$B$17</f>
        <v/>
      </c>
      <c r="C20" s="21">
        <f>sysAudit!$C$17</f>
        <v/>
      </c>
      <c r="D20" s="21">
        <f>sysAudit!$D$17</f>
        <v/>
      </c>
      <c r="E20" s="3">
        <f>sysAudit!$E$17</f>
        <v/>
      </c>
      <c r="F20" s="2">
        <f>sysAudit!$F$17</f>
        <v/>
      </c>
    </row>
    <row r="21">
      <c r="B21" s="14">
        <f>sysAudit!$B$18</f>
        <v/>
      </c>
      <c r="C21" s="21">
        <f>sysAudit!$C$18</f>
        <v/>
      </c>
      <c r="D21" s="21">
        <f>sysAudit!$D$18</f>
        <v/>
      </c>
      <c r="E21" s="3">
        <f>sysAudit!$E$18</f>
        <v/>
      </c>
      <c r="F21" s="2">
        <f>sysAudit!$F$18</f>
        <v/>
      </c>
    </row>
    <row r="22">
      <c r="B22" s="14">
        <f>sysAudit!$B$19</f>
        <v/>
      </c>
      <c r="C22" s="21">
        <f>sysAudit!$C$19</f>
        <v/>
      </c>
      <c r="D22" s="21">
        <f>sysAudit!$D$19</f>
        <v/>
      </c>
      <c r="E22" s="3">
        <f>sysAudit!$E$19</f>
        <v/>
      </c>
      <c r="F22" s="2">
        <f>sysAudit!$F$19</f>
        <v/>
      </c>
    </row>
    <row r="23">
      <c r="B23" s="14">
        <f>sysAudit!$B$20</f>
        <v/>
      </c>
      <c r="C23" s="21">
        <f>sysAudit!$C$20</f>
        <v/>
      </c>
      <c r="D23" s="21">
        <f>sysAudit!$D$20</f>
        <v/>
      </c>
      <c r="E23" s="3">
        <f>sysAudit!$E$20</f>
        <v/>
      </c>
      <c r="F23" s="2">
        <f>sysAudit!$F$20</f>
        <v/>
      </c>
    </row>
    <row r="24">
      <c r="B24" s="14">
        <f>sysAudit!$B$21</f>
        <v/>
      </c>
      <c r="C24" s="21">
        <f>sysAudit!$C$21</f>
        <v/>
      </c>
      <c r="D24" s="21">
        <f>sysAudit!$D$21</f>
        <v/>
      </c>
      <c r="E24" s="3">
        <f>sysAudit!$E$21</f>
        <v/>
      </c>
      <c r="F24" s="2">
        <f>sysAudit!$F$21</f>
        <v/>
      </c>
    </row>
    <row r="25">
      <c r="B25" s="14">
        <f>sysAudit!$B$22</f>
        <v/>
      </c>
      <c r="C25" s="21">
        <f>sysAudit!$C$22</f>
        <v/>
      </c>
      <c r="D25" s="21">
        <f>sysAudit!$D$22</f>
        <v/>
      </c>
      <c r="E25" s="3">
        <f>sysAudit!$E$22</f>
        <v/>
      </c>
      <c r="F25" s="2">
        <f>sysAudit!$F$22</f>
        <v/>
      </c>
    </row>
    <row r="26">
      <c r="B26" s="14">
        <f>sysAudit!$B$23</f>
        <v/>
      </c>
      <c r="C26" s="21">
        <f>sysAudit!$C$23</f>
        <v/>
      </c>
      <c r="D26" s="21">
        <f>sysAudit!$D$23</f>
        <v/>
      </c>
      <c r="E26" s="3">
        <f>sysAudit!$E$23</f>
        <v/>
      </c>
      <c r="F26" s="2">
        <f>sysAudit!$F$23</f>
        <v/>
      </c>
    </row>
    <row r="27">
      <c r="B27" s="14">
        <f>sysAudit!$B$24</f>
        <v/>
      </c>
      <c r="C27" s="21">
        <f>sysAudit!$C$24</f>
        <v/>
      </c>
      <c r="D27" s="21">
        <f>sysAudit!$D$24</f>
        <v/>
      </c>
      <c r="E27" s="3">
        <f>sysAudit!$E$24</f>
        <v/>
      </c>
      <c r="F27" s="2">
        <f>sysAudit!$F$24</f>
        <v/>
      </c>
    </row>
    <row r="28">
      <c r="B28" s="14">
        <f>sysAudit!$B$25</f>
        <v/>
      </c>
      <c r="C28" s="21">
        <f>sysAudit!$C$25</f>
        <v/>
      </c>
      <c r="D28" s="21">
        <f>sysAudit!$D$25</f>
        <v/>
      </c>
      <c r="E28" s="3">
        <f>sysAudit!$E$25</f>
        <v/>
      </c>
      <c r="F28" s="2">
        <f>sysAudit!$F$25</f>
        <v/>
      </c>
    </row>
    <row r="29">
      <c r="B29" s="14">
        <f>sysAudit!$B$26</f>
        <v/>
      </c>
      <c r="C29" s="21">
        <f>sysAudit!$C$26</f>
        <v/>
      </c>
      <c r="D29" s="21">
        <f>sysAudit!$D$26</f>
        <v/>
      </c>
      <c r="E29" s="3">
        <f>sysAudit!$E$26</f>
        <v/>
      </c>
      <c r="F29" s="2">
        <f>sysAudit!$F$26</f>
        <v/>
      </c>
    </row>
    <row r="30">
      <c r="B30" s="14">
        <f>sysAudit!$B$27</f>
        <v/>
      </c>
      <c r="C30" s="21">
        <f>sysAudit!$C$27</f>
        <v/>
      </c>
      <c r="D30" s="21">
        <f>sysAudit!$D$27</f>
        <v/>
      </c>
      <c r="E30" s="3">
        <f>sysAudit!$E$27</f>
        <v/>
      </c>
      <c r="F30" s="2">
        <f>sysAudit!$F$27</f>
        <v/>
      </c>
    </row>
    <row r="31">
      <c r="B31" s="14">
        <f>sysAudit!$B$28</f>
        <v/>
      </c>
      <c r="C31" s="21">
        <f>sysAudit!$C$28</f>
        <v/>
      </c>
      <c r="D31" s="21">
        <f>sysAudit!$D$28</f>
        <v/>
      </c>
      <c r="E31" s="3">
        <f>sysAudit!$E$28</f>
        <v/>
      </c>
      <c r="F31" s="2">
        <f>sysAudit!$F$28</f>
        <v/>
      </c>
    </row>
    <row r="32">
      <c r="B32" s="14">
        <f>sysAudit!$B$29</f>
        <v/>
      </c>
      <c r="C32" s="21">
        <f>sysAudit!$C$29</f>
        <v/>
      </c>
      <c r="D32" s="21">
        <f>sysAudit!$D$29</f>
        <v/>
      </c>
      <c r="E32" s="3">
        <f>sysAudit!$E$29</f>
        <v/>
      </c>
      <c r="F32" s="2">
        <f>sysAudit!$F$29</f>
        <v/>
      </c>
    </row>
    <row r="33">
      <c r="B33" s="14">
        <f>sysAudit!$B$30</f>
        <v/>
      </c>
      <c r="C33" s="21">
        <f>sysAudit!$C$30</f>
        <v/>
      </c>
      <c r="D33" s="21">
        <f>sysAudit!$D$30</f>
        <v/>
      </c>
      <c r="E33" s="3">
        <f>sysAudit!$E$30</f>
        <v/>
      </c>
      <c r="F33" s="2">
        <f>sysAudit!$F$30</f>
        <v/>
      </c>
    </row>
    <row r="34">
      <c r="B34" s="14">
        <f>sysAudit!$B$31</f>
        <v/>
      </c>
      <c r="C34" s="21">
        <f>sysAudit!$C$31</f>
        <v/>
      </c>
      <c r="D34" s="21">
        <f>sysAudit!$D$31</f>
        <v/>
      </c>
      <c r="E34" s="3">
        <f>sysAudit!$E$31</f>
        <v/>
      </c>
      <c r="F34" s="2">
        <f>sysAudit!$F$31</f>
        <v/>
      </c>
    </row>
    <row r="35">
      <c r="B35" s="14">
        <f>sysAudit!$B$32</f>
        <v/>
      </c>
      <c r="C35" s="21">
        <f>sysAudit!$C$32</f>
        <v/>
      </c>
      <c r="D35" s="21">
        <f>sysAudit!$D$32</f>
        <v/>
      </c>
      <c r="E35" s="3">
        <f>sysAudit!$E$32</f>
        <v/>
      </c>
      <c r="F35" s="2">
        <f>sysAudit!$F$32</f>
        <v/>
      </c>
    </row>
    <row r="36">
      <c r="B36" s="14">
        <f>sysAudit!$B$33</f>
        <v/>
      </c>
      <c r="C36" s="21">
        <f>sysAudit!$C$33</f>
        <v/>
      </c>
      <c r="D36" s="21">
        <f>sysAudit!$D$33</f>
        <v/>
      </c>
      <c r="E36" s="3">
        <f>sysAudit!$E$33</f>
        <v/>
      </c>
      <c r="F36" s="2">
        <f>sysAudit!$F$33</f>
        <v/>
      </c>
    </row>
    <row r="37">
      <c r="B37" s="14">
        <f>sysAudit!$B$34</f>
        <v/>
      </c>
      <c r="C37" s="21">
        <f>sysAudit!$C$34</f>
        <v/>
      </c>
      <c r="D37" s="21">
        <f>sysAudit!$D$34</f>
        <v/>
      </c>
      <c r="E37" s="3">
        <f>sysAudit!$E$34</f>
        <v/>
      </c>
      <c r="F37" s="2">
        <f>sysAudit!$F$34</f>
        <v/>
      </c>
    </row>
    <row r="38">
      <c r="B38" s="14">
        <f>sysAudit!$B$35</f>
        <v/>
      </c>
      <c r="C38" s="21">
        <f>sysAudit!$C$35</f>
        <v/>
      </c>
      <c r="D38" s="21">
        <f>sysAudit!$D$35</f>
        <v/>
      </c>
      <c r="E38" s="3">
        <f>sysAudit!$E$35</f>
        <v/>
      </c>
      <c r="F38" s="2">
        <f>sysAudit!$F$35</f>
        <v/>
      </c>
    </row>
    <row r="39">
      <c r="B39" s="14">
        <f>sysAudit!$B$36</f>
        <v/>
      </c>
      <c r="C39" s="21">
        <f>sysAudit!$C$36</f>
        <v/>
      </c>
      <c r="D39" s="21">
        <f>sysAudit!$D$36</f>
        <v/>
      </c>
      <c r="E39" s="3">
        <f>sysAudit!$E$36</f>
        <v/>
      </c>
      <c r="F39" s="2">
        <f>sysAudit!$F$36</f>
        <v/>
      </c>
    </row>
    <row r="40">
      <c r="B40" s="14">
        <f>sysAudit!$B$37</f>
        <v/>
      </c>
      <c r="C40" s="21">
        <f>sysAudit!$C$37</f>
        <v/>
      </c>
      <c r="D40" s="21">
        <f>sysAudit!$D$37</f>
        <v/>
      </c>
      <c r="E40" s="3">
        <f>sysAudit!$E$37</f>
        <v/>
      </c>
      <c r="F40" s="2">
        <f>sysAudit!$F$37</f>
        <v/>
      </c>
    </row>
    <row r="41">
      <c r="B41" s="14">
        <f>sysAudit!$B$38</f>
        <v/>
      </c>
      <c r="C41" s="21">
        <f>sysAudit!$C$38</f>
        <v/>
      </c>
      <c r="D41" s="21">
        <f>sysAudit!$D$38</f>
        <v/>
      </c>
      <c r="E41" s="3">
        <f>sysAudit!$E$38</f>
        <v/>
      </c>
      <c r="F41" s="2">
        <f>sysAudit!$F$38</f>
        <v/>
      </c>
    </row>
    <row r="42">
      <c r="B42" s="14">
        <f>sysAudit!$B$39</f>
        <v/>
      </c>
      <c r="C42" s="21">
        <f>sysAudit!$C$39</f>
        <v/>
      </c>
      <c r="D42" s="21">
        <f>sysAudit!$D$39</f>
        <v/>
      </c>
      <c r="E42" s="3">
        <f>sysAudit!$E$39</f>
        <v/>
      </c>
      <c r="F42" s="2">
        <f>sysAudit!$F$39</f>
        <v/>
      </c>
    </row>
    <row r="43">
      <c r="B43" s="14">
        <f>sysAudit!$B$40</f>
        <v/>
      </c>
      <c r="C43" s="21">
        <f>sysAudit!$C$40</f>
        <v/>
      </c>
      <c r="D43" s="21">
        <f>sysAudit!$D$40</f>
        <v/>
      </c>
      <c r="E43" s="3">
        <f>sysAudit!$E$40</f>
        <v/>
      </c>
      <c r="F43" s="2">
        <f>sysAudit!$F$40</f>
        <v/>
      </c>
    </row>
    <row r="44">
      <c r="B44" s="14">
        <f>sysAudit!$B$41</f>
        <v/>
      </c>
      <c r="C44" s="21">
        <f>sysAudit!$C$41</f>
        <v/>
      </c>
      <c r="D44" s="21">
        <f>sysAudit!$D$41</f>
        <v/>
      </c>
      <c r="E44" s="3">
        <f>sysAudit!$E$41</f>
        <v/>
      </c>
      <c r="F44" s="2">
        <f>sysAudit!$F$41</f>
        <v/>
      </c>
    </row>
    <row r="46" ht="16" customHeight="1">
      <c r="B46" s="7" t="inlineStr">
        <is>
          <t>Requirement sources — what is TCOLE rule vs Academy policy</t>
        </is>
      </c>
    </row>
    <row r="47" ht="26" customHeight="1">
      <c r="B47" s="15" t="inlineStr">
        <is>
          <t>• TCOLE Rule (Ch. 215/218/219): course #1000736 minimum hours per chapter, licensed/SME instructors, course records retention, exam security, student enrollment standards (L2/L3, medical), attendance records.</t>
        </is>
      </c>
    </row>
    <row r="48" ht="26" customHeight="1">
      <c r="B48" s="15" t="inlineStr">
        <is>
          <t>• Academy Policy (May 2026 manual): weighted grading (40/30/10/20), 70-in-each-category rule, 12 spelling tests across the academy + 75% intervention, 40 writing assignments, PT program and caps, awards.</t>
        </is>
      </c>
    </row>
    <row r="50" ht="16" customHeight="1">
      <c r="B50" s="7" t="inlineStr">
        <is>
          <t>Program-level TCOLE requirements (mark Yes when satisfied)</t>
        </is>
      </c>
    </row>
    <row r="51" ht="26" customHeight="1">
      <c r="B51" s="12" t="inlineStr">
        <is>
          <t>Requirement</t>
        </is>
      </c>
      <c r="C51" s="25" t="n"/>
      <c r="D51" s="25" t="n"/>
      <c r="E51" s="23" t="n"/>
      <c r="F51" s="12" t="inlineStr">
        <is>
          <t>Met?</t>
        </is>
      </c>
      <c r="G51" s="12" t="inlineStr">
        <is>
          <t>Notes</t>
        </is>
      </c>
    </row>
    <row r="52" ht="26" customHeight="1">
      <c r="B52" s="13" t="inlineStr">
        <is>
          <t>Commission Rules distributed to all students (Rule 215.9) — Copies of current TCOLE rules given to every student admitted</t>
        </is>
      </c>
      <c r="F52" s="16" t="n"/>
      <c r="G52" s="16" t="n"/>
    </row>
    <row r="53" ht="26" customHeight="1">
      <c r="B53" s="13" t="inlineStr">
        <is>
          <t>Required rule review conducted (215.9) — Reviewed 211.33, 221.1, 223.1, 223.3, 223.15, 223.17, 223.19 in class</t>
        </is>
      </c>
      <c r="F53" s="16" t="n"/>
      <c r="G53" s="16" t="n"/>
    </row>
    <row r="54" ht="26" customHeight="1">
      <c r="B54" s="13" t="inlineStr">
        <is>
          <t>Approved TCLEDDS roster on file — Required element of the training file</t>
        </is>
      </c>
      <c r="F54" s="16" t="n"/>
      <c r="G54" s="16" t="n"/>
    </row>
    <row r="55" ht="26" customHeight="1">
      <c r="B55" s="13" t="inlineStr">
        <is>
          <t>Course reported at exactly 736 hours — Excess hours reported under Addendum to BPOC (course #101), never inside the 736</t>
        </is>
      </c>
      <c r="F55" s="16" t="n"/>
      <c r="G55" s="16" t="n"/>
    </row>
    <row r="56" ht="26" customHeight="1">
      <c r="B56" s="13" t="inlineStr">
        <is>
          <t>Non-BPOC classes reported separately within 30 days — Any additional classes the academy teaches</t>
        </is>
      </c>
      <c r="F56" s="16" t="n"/>
      <c r="G56" s="16" t="n"/>
    </row>
    <row r="57" ht="26" customHeight="1">
      <c r="B57" s="13" t="inlineStr">
        <is>
          <t>Facility standards met (in-person, scenario/skills adequate) — Classroom supports role-play, defensive tactics, firearms demonstration</t>
        </is>
      </c>
      <c r="F57" s="16" t="n"/>
      <c r="G57" s="16" t="n"/>
    </row>
    <row r="58" ht="26" customHeight="1">
      <c r="B58" s="13" t="inlineStr">
        <is>
          <t>Assessments document mastery of all objectives — Learners are never passed on attendance alone</t>
        </is>
      </c>
      <c r="F58" s="16" t="n"/>
      <c r="G58" s="16" t="n"/>
    </row>
    <row r="59" ht="26" customHeight="1">
      <c r="B59" s="13" t="inlineStr">
        <is>
          <t>State exam plan communicated (250 Q, 70%, 3 attempts max) — Third failure requires enrolling in a new BPOC</t>
        </is>
      </c>
      <c r="F59" s="16" t="n"/>
      <c r="G59" s="16" t="n"/>
    </row>
    <row r="60" ht="26" customHeight="1">
      <c r="B60" s="13" t="inlineStr">
        <is>
          <t>Five-year retention of training records — Auditors sample past courses; files must be producible on request</t>
        </is>
      </c>
      <c r="F60" s="16" t="n"/>
      <c r="G60" s="16" t="n"/>
    </row>
    <row r="61" ht="26" customHeight="1">
      <c r="B61" s="13" t="inlineStr">
        <is>
          <t>Prior academies' FINAL workbooks archived and locatable — One file per academy; know where every finished class's file lives</t>
        </is>
      </c>
      <c r="F61" s="16" t="n"/>
      <c r="G61" s="16" t="n"/>
    </row>
    <row r="62" ht="26" customHeight="1">
      <c r="B62" s="13" t="inlineStr">
        <is>
          <t>Digital evidence library organized per chapter — LMS test PDFs, ExamSheet grade sheets, scanned spelling tests, sign-in scans, evals - one folder per chapter, ChapterPacket as cover</t>
        </is>
      </c>
      <c r="F62" s="16" t="n"/>
      <c r="G62" s="16" t="n"/>
    </row>
    <row r="63" ht="26" customHeight="1">
      <c r="B63" s="13" t="inlineStr">
        <is>
          <t>Scanned documents established as legal originals — CONFIRMED by TPD records management: scanned training documents - including sign-in sheets with PID - are the legal originals. Keep that determination on file so an auditor can see the basis</t>
        </is>
      </c>
      <c r="F63" s="16" t="n"/>
      <c r="G63" s="16" t="n"/>
    </row>
    <row r="64" ht="26" customHeight="1">
      <c r="B64" s="13" t="inlineStr">
        <is>
          <t>Exam security maintained — LMS access controlled; test banks/keys stored securely; spelling keys not accessible to cadets</t>
        </is>
      </c>
      <c r="F64" s="16" t="n"/>
      <c r="G64" s="16" t="n"/>
    </row>
    <row r="65" ht="26" customHeight="1">
      <c r="B65" s="13" t="inlineStr">
        <is>
          <t>Lesson plans verified against IRG learning objectives — All ~700 LOs covered unaltered - a PowerPoint alone is not a lesson plan</t>
        </is>
      </c>
      <c r="F65" s="16" t="n"/>
      <c r="G65" s="16" t="n"/>
    </row>
    <row r="66" ht="26" customHeight="1">
      <c r="B66" s="13" t="inlineStr">
        <is>
          <t>TCLEDDS reporting current — Enrollments (L1) entered at start; completions and the BPOC reported on time; non-BPOC classes within 30 days</t>
        </is>
      </c>
      <c r="F66" s="16" t="n"/>
      <c r="G66" s="16" t="n"/>
    </row>
    <row r="67" ht="26" customHeight="1">
      <c r="B67" s="13" t="inlineStr">
        <is>
          <t>Coordinator designation &amp; academy license current — Appointment letter on file; training-provider license active</t>
        </is>
      </c>
      <c r="F67" s="16" t="n"/>
      <c r="G67" s="16" t="n"/>
    </row>
    <row r="68" ht="26" customHeight="1">
      <c r="B68" s="13" t="inlineStr">
        <is>
          <t>Advisory board roster on file — Board composition documented; meeting dates + minutes folder referenced on the AdvisoryBoard sheet (minutes stay on the server)</t>
        </is>
      </c>
      <c r="F68" s="16" t="n"/>
      <c r="G68" s="16" t="n"/>
    </row>
    <row r="69" ht="26" customHeight="1">
      <c r="B69" s="13" t="inlineStr">
        <is>
          <t>Grade-tamper resistance in place — Workbook on OneDrive/SharePoint with version history; engine sheets password-locked</t>
        </is>
      </c>
      <c r="F69" s="16" t="n"/>
      <c r="G69" s="16" t="n"/>
    </row>
    <row r="71" ht="16" customHeight="1">
      <c r="B71" s="7" t="inlineStr">
        <is>
          <t>Per-cadet enrollment documents (mark Yes when on file)</t>
        </is>
      </c>
    </row>
    <row r="72" ht="26" customHeight="1">
      <c r="B72" s="12" t="inlineStr">
        <is>
          <t>Cadet</t>
        </is>
      </c>
      <c r="C72" s="12" t="inlineStr">
        <is>
          <t>Enroll App</t>
        </is>
      </c>
      <c r="D72" s="12" t="inlineStr">
        <is>
          <t>TCLEDDS L1</t>
        </is>
      </c>
      <c r="E72" s="12" t="inlineStr">
        <is>
          <t>Medical (L2)</t>
        </is>
      </c>
      <c r="F72" s="12" t="inlineStr">
        <is>
          <t>Psych (L3)</t>
        </is>
      </c>
      <c r="G72" s="12" t="inlineStr">
        <is>
          <t>Background</t>
        </is>
      </c>
      <c r="H72" s="12" t="inlineStr">
        <is>
          <t>Photo ID/DL</t>
        </is>
      </c>
      <c r="I72" s="12" t="inlineStr">
        <is>
          <t>Rules Ack</t>
        </is>
      </c>
      <c r="J72" s="12" t="inlineStr">
        <is>
          <t>All Docs?</t>
        </is>
      </c>
    </row>
    <row r="73">
      <c r="B73" s="21">
        <f>IF(Cadets!$B6="","",Cadets!$F6)</f>
        <v/>
      </c>
      <c r="C73" s="16" t="n"/>
      <c r="D73" s="16" t="n"/>
      <c r="E73" s="16" t="n"/>
      <c r="F73" s="16" t="n"/>
      <c r="G73" s="16" t="n"/>
      <c r="H73" s="16" t="n"/>
      <c r="I73" s="16" t="n"/>
      <c r="J73" s="21">
        <f>IF($B73="","",IF(COUNTIF(C73:I73,"Yes")=7,"Yes","No"))</f>
        <v/>
      </c>
    </row>
    <row r="74">
      <c r="B74" s="21">
        <f>IF(Cadets!$B7="","",Cadets!$F7)</f>
        <v/>
      </c>
      <c r="C74" s="16" t="n"/>
      <c r="D74" s="16" t="n"/>
      <c r="E74" s="16" t="n"/>
      <c r="F74" s="16" t="n"/>
      <c r="G74" s="16" t="n"/>
      <c r="H74" s="16" t="n"/>
      <c r="I74" s="16" t="n"/>
      <c r="J74" s="21">
        <f>IF($B74="","",IF(COUNTIF(C74:I74,"Yes")=7,"Yes","No"))</f>
        <v/>
      </c>
    </row>
    <row r="75">
      <c r="B75" s="21">
        <f>IF(Cadets!$B8="","",Cadets!$F8)</f>
        <v/>
      </c>
      <c r="C75" s="16" t="n"/>
      <c r="D75" s="16" t="n"/>
      <c r="E75" s="16" t="n"/>
      <c r="F75" s="16" t="n"/>
      <c r="G75" s="16" t="n"/>
      <c r="H75" s="16" t="n"/>
      <c r="I75" s="16" t="n"/>
      <c r="J75" s="21">
        <f>IF($B75="","",IF(COUNTIF(C75:I75,"Yes")=7,"Yes","No"))</f>
        <v/>
      </c>
    </row>
    <row r="76">
      <c r="B76" s="21">
        <f>IF(Cadets!$B9="","",Cadets!$F9)</f>
        <v/>
      </c>
      <c r="C76" s="16" t="n"/>
      <c r="D76" s="16" t="n"/>
      <c r="E76" s="16" t="n"/>
      <c r="F76" s="16" t="n"/>
      <c r="G76" s="16" t="n"/>
      <c r="H76" s="16" t="n"/>
      <c r="I76" s="16" t="n"/>
      <c r="J76" s="21">
        <f>IF($B76="","",IF(COUNTIF(C76:I76,"Yes")=7,"Yes","No"))</f>
        <v/>
      </c>
    </row>
    <row r="77">
      <c r="B77" s="21">
        <f>IF(Cadets!$B10="","",Cadets!$F10)</f>
        <v/>
      </c>
      <c r="C77" s="16" t="n"/>
      <c r="D77" s="16" t="n"/>
      <c r="E77" s="16" t="n"/>
      <c r="F77" s="16" t="n"/>
      <c r="G77" s="16" t="n"/>
      <c r="H77" s="16" t="n"/>
      <c r="I77" s="16" t="n"/>
      <c r="J77" s="21">
        <f>IF($B77="","",IF(COUNTIF(C77:I77,"Yes")=7,"Yes","No"))</f>
        <v/>
      </c>
    </row>
    <row r="78">
      <c r="B78" s="21">
        <f>IF(Cadets!$B11="","",Cadets!$F11)</f>
        <v/>
      </c>
      <c r="C78" s="16" t="n"/>
      <c r="D78" s="16" t="n"/>
      <c r="E78" s="16" t="n"/>
      <c r="F78" s="16" t="n"/>
      <c r="G78" s="16" t="n"/>
      <c r="H78" s="16" t="n"/>
      <c r="I78" s="16" t="n"/>
      <c r="J78" s="21">
        <f>IF($B78="","",IF(COUNTIF(C78:I78,"Yes")=7,"Yes","No"))</f>
        <v/>
      </c>
    </row>
    <row r="79">
      <c r="B79" s="21">
        <f>IF(Cadets!$B12="","",Cadets!$F12)</f>
        <v/>
      </c>
      <c r="C79" s="16" t="n"/>
      <c r="D79" s="16" t="n"/>
      <c r="E79" s="16" t="n"/>
      <c r="F79" s="16" t="n"/>
      <c r="G79" s="16" t="n"/>
      <c r="H79" s="16" t="n"/>
      <c r="I79" s="16" t="n"/>
      <c r="J79" s="21">
        <f>IF($B79="","",IF(COUNTIF(C79:I79,"Yes")=7,"Yes","No"))</f>
        <v/>
      </c>
    </row>
    <row r="80">
      <c r="B80" s="21">
        <f>IF(Cadets!$B13="","",Cadets!$F13)</f>
        <v/>
      </c>
      <c r="C80" s="16" t="n"/>
      <c r="D80" s="16" t="n"/>
      <c r="E80" s="16" t="n"/>
      <c r="F80" s="16" t="n"/>
      <c r="G80" s="16" t="n"/>
      <c r="H80" s="16" t="n"/>
      <c r="I80" s="16" t="n"/>
      <c r="J80" s="21">
        <f>IF($B80="","",IF(COUNTIF(C80:I80,"Yes")=7,"Yes","No"))</f>
        <v/>
      </c>
    </row>
    <row r="81">
      <c r="B81" s="21">
        <f>IF(Cadets!$B14="","",Cadets!$F14)</f>
        <v/>
      </c>
      <c r="C81" s="16" t="n"/>
      <c r="D81" s="16" t="n"/>
      <c r="E81" s="16" t="n"/>
      <c r="F81" s="16" t="n"/>
      <c r="G81" s="16" t="n"/>
      <c r="H81" s="16" t="n"/>
      <c r="I81" s="16" t="n"/>
      <c r="J81" s="21">
        <f>IF($B81="","",IF(COUNTIF(C81:I81,"Yes")=7,"Yes","No"))</f>
        <v/>
      </c>
    </row>
    <row r="82">
      <c r="B82" s="21">
        <f>IF(Cadets!$B15="","",Cadets!$F15)</f>
        <v/>
      </c>
      <c r="C82" s="16" t="n"/>
      <c r="D82" s="16" t="n"/>
      <c r="E82" s="16" t="n"/>
      <c r="F82" s="16" t="n"/>
      <c r="G82" s="16" t="n"/>
      <c r="H82" s="16" t="n"/>
      <c r="I82" s="16" t="n"/>
      <c r="J82" s="21">
        <f>IF($B82="","",IF(COUNTIF(C82:I82,"Yes")=7,"Yes","No"))</f>
        <v/>
      </c>
    </row>
    <row r="83">
      <c r="B83" s="21">
        <f>IF(Cadets!$B16="","",Cadets!$F16)</f>
        <v/>
      </c>
      <c r="C83" s="16" t="n"/>
      <c r="D83" s="16" t="n"/>
      <c r="E83" s="16" t="n"/>
      <c r="F83" s="16" t="n"/>
      <c r="G83" s="16" t="n"/>
      <c r="H83" s="16" t="n"/>
      <c r="I83" s="16" t="n"/>
      <c r="J83" s="21">
        <f>IF($B83="","",IF(COUNTIF(C83:I83,"Yes")=7,"Yes","No"))</f>
        <v/>
      </c>
    </row>
    <row r="84">
      <c r="B84" s="21">
        <f>IF(Cadets!$B17="","",Cadets!$F17)</f>
        <v/>
      </c>
      <c r="C84" s="16" t="n"/>
      <c r="D84" s="16" t="n"/>
      <c r="E84" s="16" t="n"/>
      <c r="F84" s="16" t="n"/>
      <c r="G84" s="16" t="n"/>
      <c r="H84" s="16" t="n"/>
      <c r="I84" s="16" t="n"/>
      <c r="J84" s="21">
        <f>IF($B84="","",IF(COUNTIF(C84:I84,"Yes")=7,"Yes","No"))</f>
        <v/>
      </c>
    </row>
    <row r="85">
      <c r="B85" s="21">
        <f>IF(Cadets!$B18="","",Cadets!$F18)</f>
        <v/>
      </c>
      <c r="C85" s="16" t="n"/>
      <c r="D85" s="16" t="n"/>
      <c r="E85" s="16" t="n"/>
      <c r="F85" s="16" t="n"/>
      <c r="G85" s="16" t="n"/>
      <c r="H85" s="16" t="n"/>
      <c r="I85" s="16" t="n"/>
      <c r="J85" s="21">
        <f>IF($B85="","",IF(COUNTIF(C85:I85,"Yes")=7,"Yes","No"))</f>
        <v/>
      </c>
    </row>
    <row r="86">
      <c r="B86" s="21">
        <f>IF(Cadets!$B19="","",Cadets!$F19)</f>
        <v/>
      </c>
      <c r="C86" s="16" t="n"/>
      <c r="D86" s="16" t="n"/>
      <c r="E86" s="16" t="n"/>
      <c r="F86" s="16" t="n"/>
      <c r="G86" s="16" t="n"/>
      <c r="H86" s="16" t="n"/>
      <c r="I86" s="16" t="n"/>
      <c r="J86" s="21">
        <f>IF($B86="","",IF(COUNTIF(C86:I86,"Yes")=7,"Yes","No"))</f>
        <v/>
      </c>
    </row>
    <row r="87">
      <c r="B87" s="21">
        <f>IF(Cadets!$B20="","",Cadets!$F20)</f>
        <v/>
      </c>
      <c r="C87" s="16" t="n"/>
      <c r="D87" s="16" t="n"/>
      <c r="E87" s="16" t="n"/>
      <c r="F87" s="16" t="n"/>
      <c r="G87" s="16" t="n"/>
      <c r="H87" s="16" t="n"/>
      <c r="I87" s="16" t="n"/>
      <c r="J87" s="21">
        <f>IF($B87="","",IF(COUNTIF(C87:I87,"Yes")=7,"Yes","No"))</f>
        <v/>
      </c>
    </row>
    <row r="88">
      <c r="B88" s="21">
        <f>IF(Cadets!$B21="","",Cadets!$F21)</f>
        <v/>
      </c>
      <c r="C88" s="16" t="n"/>
      <c r="D88" s="16" t="n"/>
      <c r="E88" s="16" t="n"/>
      <c r="F88" s="16" t="n"/>
      <c r="G88" s="16" t="n"/>
      <c r="H88" s="16" t="n"/>
      <c r="I88" s="16" t="n"/>
      <c r="J88" s="21">
        <f>IF($B88="","",IF(COUNTIF(C88:I88,"Yes")=7,"Yes","No"))</f>
        <v/>
      </c>
    </row>
    <row r="89">
      <c r="B89" s="21">
        <f>IF(Cadets!$B22="","",Cadets!$F22)</f>
        <v/>
      </c>
      <c r="C89" s="16" t="n"/>
      <c r="D89" s="16" t="n"/>
      <c r="E89" s="16" t="n"/>
      <c r="F89" s="16" t="n"/>
      <c r="G89" s="16" t="n"/>
      <c r="H89" s="16" t="n"/>
      <c r="I89" s="16" t="n"/>
      <c r="J89" s="21">
        <f>IF($B89="","",IF(COUNTIF(C89:I89,"Yes")=7,"Yes","No"))</f>
        <v/>
      </c>
    </row>
    <row r="90">
      <c r="B90" s="21">
        <f>IF(Cadets!$B23="","",Cadets!$F23)</f>
        <v/>
      </c>
      <c r="C90" s="16" t="n"/>
      <c r="D90" s="16" t="n"/>
      <c r="E90" s="16" t="n"/>
      <c r="F90" s="16" t="n"/>
      <c r="G90" s="16" t="n"/>
      <c r="H90" s="16" t="n"/>
      <c r="I90" s="16" t="n"/>
      <c r="J90" s="21">
        <f>IF($B90="","",IF(COUNTIF(C90:I90,"Yes")=7,"Yes","No"))</f>
        <v/>
      </c>
    </row>
    <row r="91">
      <c r="B91" s="21">
        <f>IF(Cadets!$B24="","",Cadets!$F24)</f>
        <v/>
      </c>
      <c r="C91" s="16" t="n"/>
      <c r="D91" s="16" t="n"/>
      <c r="E91" s="16" t="n"/>
      <c r="F91" s="16" t="n"/>
      <c r="G91" s="16" t="n"/>
      <c r="H91" s="16" t="n"/>
      <c r="I91" s="16" t="n"/>
      <c r="J91" s="21">
        <f>IF($B91="","",IF(COUNTIF(C91:I91,"Yes")=7,"Yes","No"))</f>
        <v/>
      </c>
    </row>
    <row r="92">
      <c r="B92" s="21">
        <f>IF(Cadets!$B25="","",Cadets!$F25)</f>
        <v/>
      </c>
      <c r="C92" s="16" t="n"/>
      <c r="D92" s="16" t="n"/>
      <c r="E92" s="16" t="n"/>
      <c r="F92" s="16" t="n"/>
      <c r="G92" s="16" t="n"/>
      <c r="H92" s="16" t="n"/>
      <c r="I92" s="16" t="n"/>
      <c r="J92" s="21">
        <f>IF($B92="","",IF(COUNTIF(C92:I92,"Yes")=7,"Yes","No"))</f>
        <v/>
      </c>
    </row>
    <row r="93">
      <c r="B93" s="21">
        <f>IF(Cadets!$B26="","",Cadets!$F26)</f>
        <v/>
      </c>
      <c r="C93" s="16" t="n"/>
      <c r="D93" s="16" t="n"/>
      <c r="E93" s="16" t="n"/>
      <c r="F93" s="16" t="n"/>
      <c r="G93" s="16" t="n"/>
      <c r="H93" s="16" t="n"/>
      <c r="I93" s="16" t="n"/>
      <c r="J93" s="21">
        <f>IF($B93="","",IF(COUNTIF(C93:I93,"Yes")=7,"Yes","No"))</f>
        <v/>
      </c>
    </row>
    <row r="94">
      <c r="B94" s="21">
        <f>IF(Cadets!$B27="","",Cadets!$F27)</f>
        <v/>
      </c>
      <c r="C94" s="16" t="n"/>
      <c r="D94" s="16" t="n"/>
      <c r="E94" s="16" t="n"/>
      <c r="F94" s="16" t="n"/>
      <c r="G94" s="16" t="n"/>
      <c r="H94" s="16" t="n"/>
      <c r="I94" s="16" t="n"/>
      <c r="J94" s="21">
        <f>IF($B94="","",IF(COUNTIF(C94:I94,"Yes")=7,"Yes","No"))</f>
        <v/>
      </c>
    </row>
    <row r="95">
      <c r="B95" s="21">
        <f>IF(Cadets!$B28="","",Cadets!$F28)</f>
        <v/>
      </c>
      <c r="C95" s="16" t="n"/>
      <c r="D95" s="16" t="n"/>
      <c r="E95" s="16" t="n"/>
      <c r="F95" s="16" t="n"/>
      <c r="G95" s="16" t="n"/>
      <c r="H95" s="16" t="n"/>
      <c r="I95" s="16" t="n"/>
      <c r="J95" s="21">
        <f>IF($B95="","",IF(COUNTIF(C95:I95,"Yes")=7,"Yes","No"))</f>
        <v/>
      </c>
    </row>
    <row r="96">
      <c r="B96" s="21">
        <f>IF(Cadets!$B29="","",Cadets!$F29)</f>
        <v/>
      </c>
      <c r="C96" s="16" t="n"/>
      <c r="D96" s="16" t="n"/>
      <c r="E96" s="16" t="n"/>
      <c r="F96" s="16" t="n"/>
      <c r="G96" s="16" t="n"/>
      <c r="H96" s="16" t="n"/>
      <c r="I96" s="16" t="n"/>
      <c r="J96" s="21">
        <f>IF($B96="","",IF(COUNTIF(C96:I96,"Yes")=7,"Yes","No"))</f>
        <v/>
      </c>
    </row>
    <row r="97">
      <c r="B97" s="21">
        <f>IF(Cadets!$B30="","",Cadets!$F30)</f>
        <v/>
      </c>
      <c r="C97" s="16" t="n"/>
      <c r="D97" s="16" t="n"/>
      <c r="E97" s="16" t="n"/>
      <c r="F97" s="16" t="n"/>
      <c r="G97" s="16" t="n"/>
      <c r="H97" s="16" t="n"/>
      <c r="I97" s="16" t="n"/>
      <c r="J97" s="21">
        <f>IF($B97="","",IF(COUNTIF(C97:I97,"Yes")=7,"Yes","No"))</f>
        <v/>
      </c>
    </row>
    <row r="98">
      <c r="B98" s="21">
        <f>IF(Cadets!$B31="","",Cadets!$F31)</f>
        <v/>
      </c>
      <c r="C98" s="16" t="n"/>
      <c r="D98" s="16" t="n"/>
      <c r="E98" s="16" t="n"/>
      <c r="F98" s="16" t="n"/>
      <c r="G98" s="16" t="n"/>
      <c r="H98" s="16" t="n"/>
      <c r="I98" s="16" t="n"/>
      <c r="J98" s="21">
        <f>IF($B98="","",IF(COUNTIF(C98:I98,"Yes")=7,"Yes","No"))</f>
        <v/>
      </c>
    </row>
    <row r="99">
      <c r="B99" s="21">
        <f>IF(Cadets!$B32="","",Cadets!$F32)</f>
        <v/>
      </c>
      <c r="C99" s="16" t="n"/>
      <c r="D99" s="16" t="n"/>
      <c r="E99" s="16" t="n"/>
      <c r="F99" s="16" t="n"/>
      <c r="G99" s="16" t="n"/>
      <c r="H99" s="16" t="n"/>
      <c r="I99" s="16" t="n"/>
      <c r="J99" s="21">
        <f>IF($B99="","",IF(COUNTIF(C99:I99,"Yes")=7,"Yes","No"))</f>
        <v/>
      </c>
    </row>
    <row r="100">
      <c r="B100" s="21">
        <f>IF(Cadets!$B33="","",Cadets!$F33)</f>
        <v/>
      </c>
      <c r="C100" s="16" t="n"/>
      <c r="D100" s="16" t="n"/>
      <c r="E100" s="16" t="n"/>
      <c r="F100" s="16" t="n"/>
      <c r="G100" s="16" t="n"/>
      <c r="H100" s="16" t="n"/>
      <c r="I100" s="16" t="n"/>
      <c r="J100" s="21">
        <f>IF($B100="","",IF(COUNTIF(C100:I100,"Yes")=7,"Yes","No"))</f>
        <v/>
      </c>
    </row>
    <row r="101">
      <c r="B101" s="21">
        <f>IF(Cadets!$B34="","",Cadets!$F34)</f>
        <v/>
      </c>
      <c r="C101" s="16" t="n"/>
      <c r="D101" s="16" t="n"/>
      <c r="E101" s="16" t="n"/>
      <c r="F101" s="16" t="n"/>
      <c r="G101" s="16" t="n"/>
      <c r="H101" s="16" t="n"/>
      <c r="I101" s="16" t="n"/>
      <c r="J101" s="21">
        <f>IF($B101="","",IF(COUNTIF(C101:I101,"Yes")=7,"Yes","No"))</f>
        <v/>
      </c>
    </row>
    <row r="102">
      <c r="B102" s="21">
        <f>IF(Cadets!$B35="","",Cadets!$F35)</f>
        <v/>
      </c>
      <c r="C102" s="16" t="n"/>
      <c r="D102" s="16" t="n"/>
      <c r="E102" s="16" t="n"/>
      <c r="F102" s="16" t="n"/>
      <c r="G102" s="16" t="n"/>
      <c r="H102" s="16" t="n"/>
      <c r="I102" s="16" t="n"/>
      <c r="J102" s="21">
        <f>IF($B102="","",IF(COUNTIF(C102:I102,"Yes")=7,"Yes","No"))</f>
        <v/>
      </c>
    </row>
    <row r="103">
      <c r="B103" s="21">
        <f>IF(Cadets!$B36="","",Cadets!$F36)</f>
        <v/>
      </c>
      <c r="C103" s="16" t="n"/>
      <c r="D103" s="16" t="n"/>
      <c r="E103" s="16" t="n"/>
      <c r="F103" s="16" t="n"/>
      <c r="G103" s="16" t="n"/>
      <c r="H103" s="16" t="n"/>
      <c r="I103" s="16" t="n"/>
      <c r="J103" s="21">
        <f>IF($B103="","",IF(COUNTIF(C103:I103,"Yes")=7,"Yes","No"))</f>
        <v/>
      </c>
    </row>
    <row r="104">
      <c r="B104" s="21">
        <f>IF(Cadets!$B37="","",Cadets!$F37)</f>
        <v/>
      </c>
      <c r="C104" s="16" t="n"/>
      <c r="D104" s="16" t="n"/>
      <c r="E104" s="16" t="n"/>
      <c r="F104" s="16" t="n"/>
      <c r="G104" s="16" t="n"/>
      <c r="H104" s="16" t="n"/>
      <c r="I104" s="16" t="n"/>
      <c r="J104" s="21">
        <f>IF($B104="","",IF(COUNTIF(C104:I104,"Yes")=7,"Yes","No"))</f>
        <v/>
      </c>
    </row>
    <row r="105">
      <c r="B105" s="21">
        <f>IF(Cadets!$B38="","",Cadets!$F38)</f>
        <v/>
      </c>
      <c r="C105" s="16" t="n"/>
      <c r="D105" s="16" t="n"/>
      <c r="E105" s="16" t="n"/>
      <c r="F105" s="16" t="n"/>
      <c r="G105" s="16" t="n"/>
      <c r="H105" s="16" t="n"/>
      <c r="I105" s="16" t="n"/>
      <c r="J105" s="21">
        <f>IF($B105="","",IF(COUNTIF(C105:I105,"Yes")=7,"Yes","No"))</f>
        <v/>
      </c>
    </row>
    <row r="106">
      <c r="B106" s="21">
        <f>IF(Cadets!$B39="","",Cadets!$F39)</f>
        <v/>
      </c>
      <c r="C106" s="16" t="n"/>
      <c r="D106" s="16" t="n"/>
      <c r="E106" s="16" t="n"/>
      <c r="F106" s="16" t="n"/>
      <c r="G106" s="16" t="n"/>
      <c r="H106" s="16" t="n"/>
      <c r="I106" s="16" t="n"/>
      <c r="J106" s="21">
        <f>IF($B106="","",IF(COUNTIF(C106:I106,"Yes")=7,"Yes","No"))</f>
        <v/>
      </c>
    </row>
    <row r="107">
      <c r="B107" s="21">
        <f>IF(Cadets!$B40="","",Cadets!$F40)</f>
        <v/>
      </c>
      <c r="C107" s="16" t="n"/>
      <c r="D107" s="16" t="n"/>
      <c r="E107" s="16" t="n"/>
      <c r="F107" s="16" t="n"/>
      <c r="G107" s="16" t="n"/>
      <c r="H107" s="16" t="n"/>
      <c r="I107" s="16" t="n"/>
      <c r="J107" s="21">
        <f>IF($B107="","",IF(COUNTIF(C107:I107,"Yes")=7,"Yes","No"))</f>
        <v/>
      </c>
    </row>
    <row r="108">
      <c r="B108" s="21">
        <f>IF(Cadets!$B41="","",Cadets!$F41)</f>
        <v/>
      </c>
      <c r="C108" s="16" t="n"/>
      <c r="D108" s="16" t="n"/>
      <c r="E108" s="16" t="n"/>
      <c r="F108" s="16" t="n"/>
      <c r="G108" s="16" t="n"/>
      <c r="H108" s="16" t="n"/>
      <c r="I108" s="16" t="n"/>
      <c r="J108" s="21">
        <f>IF($B108="","",IF(COUNTIF(C108:I108,"Yes")=7,"Yes","No"))</f>
        <v/>
      </c>
    </row>
    <row r="109">
      <c r="B109" s="21">
        <f>IF(Cadets!$B42="","",Cadets!$F42)</f>
        <v/>
      </c>
      <c r="C109" s="16" t="n"/>
      <c r="D109" s="16" t="n"/>
      <c r="E109" s="16" t="n"/>
      <c r="F109" s="16" t="n"/>
      <c r="G109" s="16" t="n"/>
      <c r="H109" s="16" t="n"/>
      <c r="I109" s="16" t="n"/>
      <c r="J109" s="21">
        <f>IF($B109="","",IF(COUNTIF(C109:I109,"Yes")=7,"Yes","No"))</f>
        <v/>
      </c>
    </row>
    <row r="110">
      <c r="B110" s="21">
        <f>IF(Cadets!$B43="","",Cadets!$F43)</f>
        <v/>
      </c>
      <c r="C110" s="16" t="n"/>
      <c r="D110" s="16" t="n"/>
      <c r="E110" s="16" t="n"/>
      <c r="F110" s="16" t="n"/>
      <c r="G110" s="16" t="n"/>
      <c r="H110" s="16" t="n"/>
      <c r="I110" s="16" t="n"/>
      <c r="J110" s="21">
        <f>IF($B110="","",IF(COUNTIF(C110:I110,"Yes")=7,"Yes","No"))</f>
        <v/>
      </c>
    </row>
    <row r="111">
      <c r="B111" s="21">
        <f>IF(Cadets!$B44="","",Cadets!$F44)</f>
        <v/>
      </c>
      <c r="C111" s="16" t="n"/>
      <c r="D111" s="16" t="n"/>
      <c r="E111" s="16" t="n"/>
      <c r="F111" s="16" t="n"/>
      <c r="G111" s="16" t="n"/>
      <c r="H111" s="16" t="n"/>
      <c r="I111" s="16" t="n"/>
      <c r="J111" s="21">
        <f>IF($B111="","",IF(COUNTIF(C111:I111,"Yes")=7,"Yes","No"))</f>
        <v/>
      </c>
    </row>
    <row r="112">
      <c r="B112" s="21">
        <f>IF(Cadets!$B45="","",Cadets!$F45)</f>
        <v/>
      </c>
      <c r="C112" s="16" t="n"/>
      <c r="D112" s="16" t="n"/>
      <c r="E112" s="16" t="n"/>
      <c r="F112" s="16" t="n"/>
      <c r="G112" s="16" t="n"/>
      <c r="H112" s="16" t="n"/>
      <c r="I112" s="16" t="n"/>
      <c r="J112" s="21">
        <f>IF($B112="","",IF(COUNTIF(C112:I112,"Yes")=7,"Yes","No"))</f>
        <v/>
      </c>
    </row>
    <row r="113">
      <c r="B113" s="21">
        <f>IF(Cadets!$B46="","",Cadets!$F46)</f>
        <v/>
      </c>
      <c r="C113" s="16" t="n"/>
      <c r="D113" s="16" t="n"/>
      <c r="E113" s="16" t="n"/>
      <c r="F113" s="16" t="n"/>
      <c r="G113" s="16" t="n"/>
      <c r="H113" s="16" t="n"/>
      <c r="I113" s="16" t="n"/>
      <c r="J113" s="21">
        <f>IF($B113="","",IF(COUNTIF(C113:I113,"Yes")=7,"Yes","No"))</f>
        <v/>
      </c>
    </row>
    <row r="114">
      <c r="B114" s="21">
        <f>IF(Cadets!$B47="","",Cadets!$F47)</f>
        <v/>
      </c>
      <c r="C114" s="16" t="n"/>
      <c r="D114" s="16" t="n"/>
      <c r="E114" s="16" t="n"/>
      <c r="F114" s="16" t="n"/>
      <c r="G114" s="16" t="n"/>
      <c r="H114" s="16" t="n"/>
      <c r="I114" s="16" t="n"/>
      <c r="J114" s="21">
        <f>IF($B114="","",IF(COUNTIF(C114:I114,"Yes")=7,"Yes","No"))</f>
        <v/>
      </c>
    </row>
    <row r="115">
      <c r="B115" s="21">
        <f>IF(Cadets!$B48="","",Cadets!$F48)</f>
        <v/>
      </c>
      <c r="C115" s="16" t="n"/>
      <c r="D115" s="16" t="n"/>
      <c r="E115" s="16" t="n"/>
      <c r="F115" s="16" t="n"/>
      <c r="G115" s="16" t="n"/>
      <c r="H115" s="16" t="n"/>
      <c r="I115" s="16" t="n"/>
      <c r="J115" s="21">
        <f>IF($B115="","",IF(COUNTIF(C115:I115,"Yes")=7,"Yes","No"))</f>
        <v/>
      </c>
    </row>
    <row r="116">
      <c r="B116" s="21">
        <f>IF(Cadets!$B49="","",Cadets!$F49)</f>
        <v/>
      </c>
      <c r="C116" s="16" t="n"/>
      <c r="D116" s="16" t="n"/>
      <c r="E116" s="16" t="n"/>
      <c r="F116" s="16" t="n"/>
      <c r="G116" s="16" t="n"/>
      <c r="H116" s="16" t="n"/>
      <c r="I116" s="16" t="n"/>
      <c r="J116" s="21">
        <f>IF($B116="","",IF(COUNTIF(C116:I116,"Yes")=7,"Yes","No"))</f>
        <v/>
      </c>
    </row>
    <row r="117">
      <c r="B117" s="21">
        <f>IF(Cadets!$B50="","",Cadets!$F50)</f>
        <v/>
      </c>
      <c r="C117" s="16" t="n"/>
      <c r="D117" s="16" t="n"/>
      <c r="E117" s="16" t="n"/>
      <c r="F117" s="16" t="n"/>
      <c r="G117" s="16" t="n"/>
      <c r="H117" s="16" t="n"/>
      <c r="I117" s="16" t="n"/>
      <c r="J117" s="21">
        <f>IF($B117="","",IF(COUNTIF(C117:I117,"Yes")=7,"Yes","No"))</f>
        <v/>
      </c>
    </row>
    <row r="118">
      <c r="B118" s="21">
        <f>IF(Cadets!$B51="","",Cadets!$F51)</f>
        <v/>
      </c>
      <c r="C118" s="16" t="n"/>
      <c r="D118" s="16" t="n"/>
      <c r="E118" s="16" t="n"/>
      <c r="F118" s="16" t="n"/>
      <c r="G118" s="16" t="n"/>
      <c r="H118" s="16" t="n"/>
      <c r="I118" s="16" t="n"/>
      <c r="J118" s="21">
        <f>IF($B118="","",IF(COUNTIF(C118:I118,"Yes")=7,"Yes","No"))</f>
        <v/>
      </c>
    </row>
    <row r="119">
      <c r="B119" s="21">
        <f>IF(Cadets!$B52="","",Cadets!$F52)</f>
        <v/>
      </c>
      <c r="C119" s="16" t="n"/>
      <c r="D119" s="16" t="n"/>
      <c r="E119" s="16" t="n"/>
      <c r="F119" s="16" t="n"/>
      <c r="G119" s="16" t="n"/>
      <c r="H119" s="16" t="n"/>
      <c r="I119" s="16" t="n"/>
      <c r="J119" s="21">
        <f>IF($B119="","",IF(COUNTIF(C119:I119,"Yes")=7,"Yes","No"))</f>
        <v/>
      </c>
    </row>
    <row r="120">
      <c r="B120" s="21">
        <f>IF(Cadets!$B53="","",Cadets!$F53)</f>
        <v/>
      </c>
      <c r="C120" s="16" t="n"/>
      <c r="D120" s="16" t="n"/>
      <c r="E120" s="16" t="n"/>
      <c r="F120" s="16" t="n"/>
      <c r="G120" s="16" t="n"/>
      <c r="H120" s="16" t="n"/>
      <c r="I120" s="16" t="n"/>
      <c r="J120" s="21">
        <f>IF($B120="","",IF(COUNTIF(C120:I120,"Yes")=7,"Yes","No"))</f>
        <v/>
      </c>
    </row>
    <row r="121">
      <c r="B121" s="21">
        <f>IF(Cadets!$B54="","",Cadets!$F54)</f>
        <v/>
      </c>
      <c r="C121" s="16" t="n"/>
      <c r="D121" s="16" t="n"/>
      <c r="E121" s="16" t="n"/>
      <c r="F121" s="16" t="n"/>
      <c r="G121" s="16" t="n"/>
      <c r="H121" s="16" t="n"/>
      <c r="I121" s="16" t="n"/>
      <c r="J121" s="21">
        <f>IF($B121="","",IF(COUNTIF(C121:I121,"Yes")=7,"Yes","No"))</f>
        <v/>
      </c>
    </row>
    <row r="122">
      <c r="B122" s="21">
        <f>IF(Cadets!$B55="","",Cadets!$F55)</f>
        <v/>
      </c>
      <c r="C122" s="16" t="n"/>
      <c r="D122" s="16" t="n"/>
      <c r="E122" s="16" t="n"/>
      <c r="F122" s="16" t="n"/>
      <c r="G122" s="16" t="n"/>
      <c r="H122" s="16" t="n"/>
      <c r="I122" s="16" t="n"/>
      <c r="J122" s="21">
        <f>IF($B122="","",IF(COUNTIF(C122:I122,"Yes")=7,"Yes","No"))</f>
        <v/>
      </c>
    </row>
  </sheetData>
  <sheetProtection selectLockedCells="0" selectUnlockedCells="0" sheet="1" objects="0" insertRows="1" insertHyperlinks="1" autoFilter="1" scenarios="0" formatColumns="1" deleteColumns="1" insertColumns="1" pivotTables="1" deleteRows="1" formatCells="1" formatRows="1" sort="1" password="B4BB"/>
  <mergeCells count="25">
    <mergeCell ref="B65:E65"/>
    <mergeCell ref="B68:E68"/>
    <mergeCell ref="B64:E64"/>
    <mergeCell ref="B55:E55"/>
    <mergeCell ref="B51:E51"/>
    <mergeCell ref="B63:E63"/>
    <mergeCell ref="B50:H50"/>
    <mergeCell ref="B54:E54"/>
    <mergeCell ref="B62:E62"/>
    <mergeCell ref="B47:H47"/>
    <mergeCell ref="B59:E59"/>
    <mergeCell ref="B7:H7"/>
    <mergeCell ref="B66:E66"/>
    <mergeCell ref="B46:H46"/>
    <mergeCell ref="B56:E56"/>
    <mergeCell ref="B71:H71"/>
    <mergeCell ref="B58:E58"/>
    <mergeCell ref="B52:E52"/>
    <mergeCell ref="B48:H48"/>
    <mergeCell ref="B60:E60"/>
    <mergeCell ref="B67:E67"/>
    <mergeCell ref="B61:E61"/>
    <mergeCell ref="B57:E57"/>
    <mergeCell ref="B53:E53"/>
    <mergeCell ref="B69:E69"/>
  </mergeCells>
  <conditionalFormatting sqref="E9:E44">
    <cfRule type="expression" priority="1" dxfId="0">
      <formula>AND($E9&lt;&gt;"OK",$E9&lt;&gt;"")</formula>
    </cfRule>
    <cfRule type="expression" priority="2" dxfId="3">
      <formula>$E9="OK"</formula>
    </cfRule>
  </conditionalFormatting>
  <conditionalFormatting sqref="F52:F69">
    <cfRule type="expression" priority="3" dxfId="0">
      <formula>AND($B52&lt;&gt;"",$F52&lt;&gt;"Yes",$F52&lt;&gt;"N/A")</formula>
    </cfRule>
  </conditionalFormatting>
  <conditionalFormatting sqref="J73:J122">
    <cfRule type="cellIs" priority="4" operator="equal" dxfId="3">
      <formula>"Yes"</formula>
    </cfRule>
    <cfRule type="cellIs" priority="5" operator="equal" dxfId="0">
      <formula>"No"</formula>
    </cfRule>
  </conditionalFormatting>
  <dataValidations count="2">
    <dataValidation sqref="F52:F69" showDropDown="0" showInputMessage="0" showErrorMessage="1" allowBlank="1" type="list">
      <formula1>"Yes,No,N/A"</formula1>
    </dataValidation>
    <dataValidation sqref="C73:I122" showDropDown="0" showInputMessage="0" showErrorMessage="1" allowBlank="1" type="list">
      <formula1>=lstYesNo</formula1>
    </dataValidation>
  </dataValidations>
  <pageMargins left="0.75" right="0.75" top="1" bottom="1" header="0.5" footer="0.5"/>
  <pageSetup orientation="portrait" fitToHeight="0" fitToWidth="1"/>
</worksheet>
</file>

<file path=xl/worksheets/sheet30.xml><?xml version="1.0" encoding="utf-8"?>
<worksheet xmlns="http://schemas.openxmlformats.org/spreadsheetml/2006/main">
  <sheetPr>
    <tabColor rgb="001E7145"/>
    <outlinePr summaryBelow="1" summaryRight="1"/>
    <pageSetUpPr fitToPage="1"/>
  </sheetPr>
  <dimension ref="B1:H61"/>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7" customWidth="1" min="2" max="2"/>
    <col width="46" customWidth="1" min="3" max="3"/>
    <col width="12" customWidth="1" min="4" max="4"/>
    <col width="12" customWidth="1" min="5" max="5"/>
    <col width="11" customWidth="1" min="6" max="6"/>
    <col width="30" customWidth="1" min="7" max="7"/>
    <col width="4" customWidth="1" min="8" max="8"/>
  </cols>
  <sheetData>
    <row r="1">
      <c r="B1" s="10">
        <f>HYPERLINK("#Dashboard!B5","◄ Dashboard")</f>
        <v/>
      </c>
    </row>
    <row r="4">
      <c r="B4" s="11" t="inlineStr">
        <is>
          <t>Fills from ChapterMaster/Schedule automatically — only chapters with logged hours show; excess rows highlight. Print for the TCOLE reporting packet.</t>
        </is>
      </c>
    </row>
    <row r="5">
      <c r="B5" s="1">
        <f>"TYLER POLICE ACADEMY — "&amp;cfgAcademyClass&amp;" — EXCESS HOURS REPORTING (ADDENDUM) — "&amp;TEXT(TODAY(),"mm/dd/yyyy")</f>
        <v/>
      </c>
    </row>
    <row r="6" ht="40" customHeight="1">
      <c r="B6" s="15" t="inlineStr">
        <is>
          <t>The BPOC is reported to TCOLE at exactly 736 hours. Hours delivered beyond a chapter's TCOLE minimum are reported separately: Arrest &amp; Control, Driving and Firearms under their own course numbers; all other excess under the Addendum to BPOC (#101). Verify course numbers against current TCOLE reporting guidance before submission.</t>
        </is>
      </c>
    </row>
    <row r="8" ht="26" customHeight="1">
      <c r="B8" s="12" t="inlineStr">
        <is>
          <t>Ch #</t>
        </is>
      </c>
      <c r="C8" s="12" t="inlineStr">
        <is>
          <t>Chapter / Class</t>
        </is>
      </c>
      <c r="D8" s="12" t="inlineStr">
        <is>
          <t>TCOLE Min Hrs</t>
        </is>
      </c>
      <c r="E8" s="12" t="inlineStr">
        <is>
          <t>Delivered Hrs</t>
        </is>
      </c>
      <c r="F8" s="12" t="inlineStr">
        <is>
          <t>Excess Hrs</t>
        </is>
      </c>
      <c r="G8" s="12" t="inlineStr">
        <is>
          <t>Report Under</t>
        </is>
      </c>
    </row>
    <row r="9">
      <c r="B9" s="26">
        <f>ChapterMaster!$C$6</f>
        <v/>
      </c>
      <c r="C9" s="26">
        <f>ChapterMaster!$D$6</f>
        <v/>
      </c>
      <c r="D9" s="27">
        <f>ChapterMaster!$E$6</f>
        <v/>
      </c>
      <c r="E9" s="27">
        <f>IF(ChapterMaster!$G6=0,"",ChapterMaster!$G6)</f>
        <v/>
      </c>
      <c r="F9" s="28">
        <f>IF(OR(ChapterMaster!$G6="",ChapterMaster!$G6=0),"",IF(ChapterMaster!$G6&gt;ChapterMaster!$E6,ROUND(ChapterMaster!$G6-ChapterMaster!$E6,2),""))</f>
        <v/>
      </c>
      <c r="G9" s="26">
        <f>IF($F9="","","#101 (Addendum to BPOC)")</f>
        <v/>
      </c>
    </row>
    <row r="10">
      <c r="B10" s="26">
        <f>ChapterMaster!$C$7</f>
        <v/>
      </c>
      <c r="C10" s="26">
        <f>ChapterMaster!$D$7</f>
        <v/>
      </c>
      <c r="D10" s="27">
        <f>ChapterMaster!$E$7</f>
        <v/>
      </c>
      <c r="E10" s="27">
        <f>IF(ChapterMaster!$G7=0,"",ChapterMaster!$G7)</f>
        <v/>
      </c>
      <c r="F10" s="28">
        <f>IF(OR(ChapterMaster!$G7="",ChapterMaster!$G7=0),"",IF(ChapterMaster!$G7&gt;ChapterMaster!$E7,ROUND(ChapterMaster!$G7-ChapterMaster!$E7,2),""))</f>
        <v/>
      </c>
      <c r="G10" s="26">
        <f>IF($F10="","","#101 (Addendum to BPOC)")</f>
        <v/>
      </c>
    </row>
    <row r="11">
      <c r="B11" s="26">
        <f>ChapterMaster!$C$8</f>
        <v/>
      </c>
      <c r="C11" s="26">
        <f>ChapterMaster!$D$8</f>
        <v/>
      </c>
      <c r="D11" s="27">
        <f>ChapterMaster!$E$8</f>
        <v/>
      </c>
      <c r="E11" s="27">
        <f>IF(ChapterMaster!$G8=0,"",ChapterMaster!$G8)</f>
        <v/>
      </c>
      <c r="F11" s="28">
        <f>IF(OR(ChapterMaster!$G8="",ChapterMaster!$G8=0),"",IF(ChapterMaster!$G8&gt;ChapterMaster!$E8,ROUND(ChapterMaster!$G8-ChapterMaster!$E8,2),""))</f>
        <v/>
      </c>
      <c r="G11" s="26">
        <f>IF($F11="","","#101 (Addendum to BPOC)")</f>
        <v/>
      </c>
    </row>
    <row r="12">
      <c r="B12" s="26">
        <f>ChapterMaster!$C$9</f>
        <v/>
      </c>
      <c r="C12" s="26">
        <f>ChapterMaster!$D$9</f>
        <v/>
      </c>
      <c r="D12" s="27">
        <f>ChapterMaster!$E$9</f>
        <v/>
      </c>
      <c r="E12" s="27">
        <f>IF(ChapterMaster!$G9=0,"",ChapterMaster!$G9)</f>
        <v/>
      </c>
      <c r="F12" s="28">
        <f>IF(OR(ChapterMaster!$G9="",ChapterMaster!$G9=0),"",IF(ChapterMaster!$G9&gt;ChapterMaster!$E9,ROUND(ChapterMaster!$G9-ChapterMaster!$E9,2),""))</f>
        <v/>
      </c>
      <c r="G12" s="26">
        <f>IF($F12="","","#101 (Addendum to BPOC)")</f>
        <v/>
      </c>
    </row>
    <row r="13">
      <c r="B13" s="26">
        <f>ChapterMaster!$C$10</f>
        <v/>
      </c>
      <c r="C13" s="26">
        <f>ChapterMaster!$D$10</f>
        <v/>
      </c>
      <c r="D13" s="27">
        <f>ChapterMaster!$E$10</f>
        <v/>
      </c>
      <c r="E13" s="27">
        <f>IF(ChapterMaster!$G10=0,"",ChapterMaster!$G10)</f>
        <v/>
      </c>
      <c r="F13" s="28">
        <f>IF(OR(ChapterMaster!$G10="",ChapterMaster!$G10=0),"",IF(ChapterMaster!$G10&gt;ChapterMaster!$E10,ROUND(ChapterMaster!$G10-ChapterMaster!$E10,2),""))</f>
        <v/>
      </c>
      <c r="G13" s="26">
        <f>IF($F13="","","#101 (Addendum to BPOC)")</f>
        <v/>
      </c>
    </row>
    <row r="14">
      <c r="B14" s="26">
        <f>ChapterMaster!$C$11</f>
        <v/>
      </c>
      <c r="C14" s="26">
        <f>ChapterMaster!$D$11</f>
        <v/>
      </c>
      <c r="D14" s="27">
        <f>ChapterMaster!$E$11</f>
        <v/>
      </c>
      <c r="E14" s="27">
        <f>IF(ChapterMaster!$G11=0,"",ChapterMaster!$G11)</f>
        <v/>
      </c>
      <c r="F14" s="28">
        <f>IF(OR(ChapterMaster!$G11="",ChapterMaster!$G11=0),"",IF(ChapterMaster!$G11&gt;ChapterMaster!$E11,ROUND(ChapterMaster!$G11-ChapterMaster!$E11,2),""))</f>
        <v/>
      </c>
      <c r="G14" s="26">
        <f>IF($F14="","","#101 (Addendum to BPOC)")</f>
        <v/>
      </c>
    </row>
    <row r="15">
      <c r="B15" s="26">
        <f>ChapterMaster!$C$12</f>
        <v/>
      </c>
      <c r="C15" s="26">
        <f>ChapterMaster!$D$12</f>
        <v/>
      </c>
      <c r="D15" s="27">
        <f>ChapterMaster!$E$12</f>
        <v/>
      </c>
      <c r="E15" s="27">
        <f>IF(ChapterMaster!$G12=0,"",ChapterMaster!$G12)</f>
        <v/>
      </c>
      <c r="F15" s="28">
        <f>IF(OR(ChapterMaster!$G12="",ChapterMaster!$G12=0),"",IF(ChapterMaster!$G12&gt;ChapterMaster!$E12,ROUND(ChapterMaster!$G12-ChapterMaster!$E12,2),""))</f>
        <v/>
      </c>
      <c r="G15" s="26">
        <f>IF($F15="","","#101 (Addendum to BPOC)")</f>
        <v/>
      </c>
    </row>
    <row r="16">
      <c r="B16" s="26">
        <f>ChapterMaster!$C$13</f>
        <v/>
      </c>
      <c r="C16" s="26">
        <f>ChapterMaster!$D$13</f>
        <v/>
      </c>
      <c r="D16" s="27">
        <f>ChapterMaster!$E$13</f>
        <v/>
      </c>
      <c r="E16" s="27">
        <f>IF(ChapterMaster!$G13=0,"",ChapterMaster!$G13)</f>
        <v/>
      </c>
      <c r="F16" s="28">
        <f>IF(OR(ChapterMaster!$G13="",ChapterMaster!$G13=0),"",IF(ChapterMaster!$G13&gt;ChapterMaster!$E13,ROUND(ChapterMaster!$G13-ChapterMaster!$E13,2),""))</f>
        <v/>
      </c>
      <c r="G16" s="26">
        <f>IF($F16="","","#101 (Addendum to BPOC)")</f>
        <v/>
      </c>
    </row>
    <row r="17">
      <c r="B17" s="26">
        <f>ChapterMaster!$C$14</f>
        <v/>
      </c>
      <c r="C17" s="26">
        <f>ChapterMaster!$D$14</f>
        <v/>
      </c>
      <c r="D17" s="27">
        <f>ChapterMaster!$E$14</f>
        <v/>
      </c>
      <c r="E17" s="27">
        <f>IF(ChapterMaster!$G14=0,"",ChapterMaster!$G14)</f>
        <v/>
      </c>
      <c r="F17" s="28">
        <f>IF(OR(ChapterMaster!$G14="",ChapterMaster!$G14=0),"",IF(ChapterMaster!$G14&gt;ChapterMaster!$E14,ROUND(ChapterMaster!$G14-ChapterMaster!$E14,2),""))</f>
        <v/>
      </c>
      <c r="G17" s="26">
        <f>IF($F17="","","#101 (Addendum to BPOC)")</f>
        <v/>
      </c>
    </row>
    <row r="18">
      <c r="B18" s="26">
        <f>ChapterMaster!$C$15</f>
        <v/>
      </c>
      <c r="C18" s="26">
        <f>ChapterMaster!$D$15</f>
        <v/>
      </c>
      <c r="D18" s="27">
        <f>ChapterMaster!$E$15</f>
        <v/>
      </c>
      <c r="E18" s="27">
        <f>IF(ChapterMaster!$G15=0,"",ChapterMaster!$G15)</f>
        <v/>
      </c>
      <c r="F18" s="28">
        <f>IF(OR(ChapterMaster!$G15="",ChapterMaster!$G15=0),"",IF(ChapterMaster!$G15&gt;ChapterMaster!$E15,ROUND(ChapterMaster!$G15-ChapterMaster!$E15,2),""))</f>
        <v/>
      </c>
      <c r="G18" s="26">
        <f>IF($F18="","","#101 (Addendum to BPOC)")</f>
        <v/>
      </c>
    </row>
    <row r="19">
      <c r="B19" s="26">
        <f>ChapterMaster!$C$16</f>
        <v/>
      </c>
      <c r="C19" s="26">
        <f>ChapterMaster!$D$16</f>
        <v/>
      </c>
      <c r="D19" s="27">
        <f>ChapterMaster!$E$16</f>
        <v/>
      </c>
      <c r="E19" s="27">
        <f>IF(ChapterMaster!$G16=0,"",ChapterMaster!$G16)</f>
        <v/>
      </c>
      <c r="F19" s="28">
        <f>IF(OR(ChapterMaster!$G16="",ChapterMaster!$G16=0),"",IF(ChapterMaster!$G16&gt;ChapterMaster!$E16,ROUND(ChapterMaster!$G16-ChapterMaster!$E16,2),""))</f>
        <v/>
      </c>
      <c r="G19" s="26">
        <f>IF($F19="","","#101 (Addendum to BPOC)")</f>
        <v/>
      </c>
    </row>
    <row r="20">
      <c r="B20" s="26">
        <f>ChapterMaster!$C$17</f>
        <v/>
      </c>
      <c r="C20" s="26">
        <f>ChapterMaster!$D$17</f>
        <v/>
      </c>
      <c r="D20" s="27">
        <f>ChapterMaster!$E$17</f>
        <v/>
      </c>
      <c r="E20" s="27">
        <f>IF(ChapterMaster!$G17=0,"",ChapterMaster!$G17)</f>
        <v/>
      </c>
      <c r="F20" s="28">
        <f>IF(OR(ChapterMaster!$G17="",ChapterMaster!$G17=0),"",IF(ChapterMaster!$G17&gt;ChapterMaster!$E17,ROUND(ChapterMaster!$G17-ChapterMaster!$E17,2),""))</f>
        <v/>
      </c>
      <c r="G20" s="26">
        <f>IF($F20="","","#101 (Addendum to BPOC)")</f>
        <v/>
      </c>
    </row>
    <row r="21">
      <c r="B21" s="26">
        <f>ChapterMaster!$C$18</f>
        <v/>
      </c>
      <c r="C21" s="26">
        <f>ChapterMaster!$D$18</f>
        <v/>
      </c>
      <c r="D21" s="27">
        <f>ChapterMaster!$E$18</f>
        <v/>
      </c>
      <c r="E21" s="27">
        <f>IF(ChapterMaster!$G18=0,"",ChapterMaster!$G18)</f>
        <v/>
      </c>
      <c r="F21" s="28">
        <f>IF(OR(ChapterMaster!$G18="",ChapterMaster!$G18=0),"",IF(ChapterMaster!$G18&gt;ChapterMaster!$E18,ROUND(ChapterMaster!$G18-ChapterMaster!$E18,2),""))</f>
        <v/>
      </c>
      <c r="G21" s="26">
        <f>IF($F21="","","#101 (Addendum to BPOC)")</f>
        <v/>
      </c>
    </row>
    <row r="22">
      <c r="B22" s="26">
        <f>ChapterMaster!$C$19</f>
        <v/>
      </c>
      <c r="C22" s="26">
        <f>ChapterMaster!$D$19</f>
        <v/>
      </c>
      <c r="D22" s="27">
        <f>ChapterMaster!$E$19</f>
        <v/>
      </c>
      <c r="E22" s="27">
        <f>IF(ChapterMaster!$G19=0,"",ChapterMaster!$G19)</f>
        <v/>
      </c>
      <c r="F22" s="28">
        <f>IF(OR(ChapterMaster!$G19="",ChapterMaster!$G19=0),"",IF(ChapterMaster!$G19&gt;ChapterMaster!$E19,ROUND(ChapterMaster!$G19-ChapterMaster!$E19,2),""))</f>
        <v/>
      </c>
      <c r="G22" s="26">
        <f>IF($F22="","","#101 (Addendum to BPOC)")</f>
        <v/>
      </c>
    </row>
    <row r="23">
      <c r="B23" s="26">
        <f>ChapterMaster!$C$20</f>
        <v/>
      </c>
      <c r="C23" s="26">
        <f>ChapterMaster!$D$20</f>
        <v/>
      </c>
      <c r="D23" s="27">
        <f>ChapterMaster!$E$20</f>
        <v/>
      </c>
      <c r="E23" s="27">
        <f>IF(ChapterMaster!$G20=0,"",ChapterMaster!$G20)</f>
        <v/>
      </c>
      <c r="F23" s="28">
        <f>IF(OR(ChapterMaster!$G20="",ChapterMaster!$G20=0),"",IF(ChapterMaster!$G20&gt;ChapterMaster!$E20,ROUND(ChapterMaster!$G20-ChapterMaster!$E20,2),""))</f>
        <v/>
      </c>
      <c r="G23" s="26">
        <f>IF($F23="","","#101 (Addendum to BPOC)")</f>
        <v/>
      </c>
    </row>
    <row r="24">
      <c r="B24" s="26">
        <f>ChapterMaster!$C$21</f>
        <v/>
      </c>
      <c r="C24" s="26">
        <f>ChapterMaster!$D$21</f>
        <v/>
      </c>
      <c r="D24" s="27">
        <f>ChapterMaster!$E$21</f>
        <v/>
      </c>
      <c r="E24" s="27">
        <f>IF(ChapterMaster!$G21=0,"",ChapterMaster!$G21)</f>
        <v/>
      </c>
      <c r="F24" s="28">
        <f>IF(OR(ChapterMaster!$G21="",ChapterMaster!$G21=0),"",IF(ChapterMaster!$G21&gt;ChapterMaster!$E21,ROUND(ChapterMaster!$G21-ChapterMaster!$E21,2),""))</f>
        <v/>
      </c>
      <c r="G24" s="26">
        <f>IF($F24="","","#101 (Addendum to BPOC)")</f>
        <v/>
      </c>
    </row>
    <row r="25">
      <c r="B25" s="26">
        <f>ChapterMaster!$C$22</f>
        <v/>
      </c>
      <c r="C25" s="26">
        <f>ChapterMaster!$D$22</f>
        <v/>
      </c>
      <c r="D25" s="27">
        <f>ChapterMaster!$E$22</f>
        <v/>
      </c>
      <c r="E25" s="27">
        <f>IF(ChapterMaster!$G22=0,"",ChapterMaster!$G22)</f>
        <v/>
      </c>
      <c r="F25" s="28">
        <f>IF(OR(ChapterMaster!$G22="",ChapterMaster!$G22=0),"",IF(ChapterMaster!$G22&gt;ChapterMaster!$E22,ROUND(ChapterMaster!$G22-ChapterMaster!$E22,2),""))</f>
        <v/>
      </c>
      <c r="G25" s="26">
        <f>IF($F25="","","#101 (Addendum to BPOC)")</f>
        <v/>
      </c>
    </row>
    <row r="26">
      <c r="B26" s="26">
        <f>ChapterMaster!$C$23</f>
        <v/>
      </c>
      <c r="C26" s="26">
        <f>ChapterMaster!$D$23</f>
        <v/>
      </c>
      <c r="D26" s="27">
        <f>ChapterMaster!$E$23</f>
        <v/>
      </c>
      <c r="E26" s="27">
        <f>IF(ChapterMaster!$G23=0,"",ChapterMaster!$G23)</f>
        <v/>
      </c>
      <c r="F26" s="28">
        <f>IF(OR(ChapterMaster!$G23="",ChapterMaster!$G23=0),"",IF(ChapterMaster!$G23&gt;ChapterMaster!$E23,ROUND(ChapterMaster!$G23-ChapterMaster!$E23,2),""))</f>
        <v/>
      </c>
      <c r="G26" s="26">
        <f>IF($F26="","","#101 (Addendum to BPOC)")</f>
        <v/>
      </c>
    </row>
    <row r="27">
      <c r="B27" s="26">
        <f>ChapterMaster!$C$24</f>
        <v/>
      </c>
      <c r="C27" s="26">
        <f>ChapterMaster!$D$24</f>
        <v/>
      </c>
      <c r="D27" s="27">
        <f>ChapterMaster!$E$24</f>
        <v/>
      </c>
      <c r="E27" s="27">
        <f>IF(ChapterMaster!$G24=0,"",ChapterMaster!$G24)</f>
        <v/>
      </c>
      <c r="F27" s="28">
        <f>IF(OR(ChapterMaster!$G24="",ChapterMaster!$G24=0),"",IF(ChapterMaster!$G24&gt;ChapterMaster!$E24,ROUND(ChapterMaster!$G24-ChapterMaster!$E24,2),""))</f>
        <v/>
      </c>
      <c r="G27" s="26">
        <f>IF($F27="","","#101 (Addendum to BPOC)")</f>
        <v/>
      </c>
    </row>
    <row r="28">
      <c r="B28" s="26">
        <f>ChapterMaster!$C$25</f>
        <v/>
      </c>
      <c r="C28" s="26">
        <f>ChapterMaster!$D$25</f>
        <v/>
      </c>
      <c r="D28" s="27">
        <f>ChapterMaster!$E$25</f>
        <v/>
      </c>
      <c r="E28" s="27">
        <f>IF(ChapterMaster!$G25=0,"",ChapterMaster!$G25)</f>
        <v/>
      </c>
      <c r="F28" s="28">
        <f>IF(OR(ChapterMaster!$G25="",ChapterMaster!$G25=0),"",IF(ChapterMaster!$G25&gt;ChapterMaster!$E25,ROUND(ChapterMaster!$G25-ChapterMaster!$E25,2),""))</f>
        <v/>
      </c>
      <c r="G28" s="26">
        <f>IF($F28="","","#101 (Addendum to BPOC)")</f>
        <v/>
      </c>
    </row>
    <row r="29">
      <c r="B29" s="26">
        <f>ChapterMaster!$C$26</f>
        <v/>
      </c>
      <c r="C29" s="26">
        <f>ChapterMaster!$D$26</f>
        <v/>
      </c>
      <c r="D29" s="27">
        <f>ChapterMaster!$E$26</f>
        <v/>
      </c>
      <c r="E29" s="27">
        <f>IF(ChapterMaster!$G26=0,"",ChapterMaster!$G26)</f>
        <v/>
      </c>
      <c r="F29" s="28">
        <f>IF(OR(ChapterMaster!$G26="",ChapterMaster!$G26=0),"",IF(ChapterMaster!$G26&gt;ChapterMaster!$E26,ROUND(ChapterMaster!$G26-ChapterMaster!$E26,2),""))</f>
        <v/>
      </c>
      <c r="G29" s="26">
        <f>IF($F29="","","#101 (Addendum to BPOC)")</f>
        <v/>
      </c>
    </row>
    <row r="30">
      <c r="B30" s="26">
        <f>ChapterMaster!$C$27</f>
        <v/>
      </c>
      <c r="C30" s="26">
        <f>ChapterMaster!$D$27</f>
        <v/>
      </c>
      <c r="D30" s="27">
        <f>ChapterMaster!$E$27</f>
        <v/>
      </c>
      <c r="E30" s="27">
        <f>IF(ChapterMaster!$G27=0,"",ChapterMaster!$G27)</f>
        <v/>
      </c>
      <c r="F30" s="28">
        <f>IF(OR(ChapterMaster!$G27="",ChapterMaster!$G27=0),"",IF(ChapterMaster!$G27&gt;ChapterMaster!$E27,ROUND(ChapterMaster!$G27-ChapterMaster!$E27,2),""))</f>
        <v/>
      </c>
      <c r="G30" s="26">
        <f>IF($F30="","","#101 (Addendum to BPOC)")</f>
        <v/>
      </c>
    </row>
    <row r="31">
      <c r="B31" s="26">
        <f>ChapterMaster!$C$28</f>
        <v/>
      </c>
      <c r="C31" s="26">
        <f>ChapterMaster!$D$28</f>
        <v/>
      </c>
      <c r="D31" s="27">
        <f>ChapterMaster!$E$28</f>
        <v/>
      </c>
      <c r="E31" s="27">
        <f>IF(ChapterMaster!$G28=0,"",ChapterMaster!$G28)</f>
        <v/>
      </c>
      <c r="F31" s="28">
        <f>IF(OR(ChapterMaster!$G28="",ChapterMaster!$G28=0),"",IF(ChapterMaster!$G28&gt;ChapterMaster!$E28,ROUND(ChapterMaster!$G28-ChapterMaster!$E28,2),""))</f>
        <v/>
      </c>
      <c r="G31" s="26">
        <f>IF($F31="","","#101 (Addendum to BPOC)")</f>
        <v/>
      </c>
    </row>
    <row r="32">
      <c r="B32" s="26">
        <f>ChapterMaster!$C$29</f>
        <v/>
      </c>
      <c r="C32" s="26">
        <f>ChapterMaster!$D$29</f>
        <v/>
      </c>
      <c r="D32" s="27">
        <f>ChapterMaster!$E$29</f>
        <v/>
      </c>
      <c r="E32" s="27">
        <f>IF(ChapterMaster!$G29=0,"",ChapterMaster!$G29)</f>
        <v/>
      </c>
      <c r="F32" s="28">
        <f>IF(OR(ChapterMaster!$G29="",ChapterMaster!$G29=0),"",IF(ChapterMaster!$G29&gt;ChapterMaster!$E29,ROUND(ChapterMaster!$G29-ChapterMaster!$E29,2),""))</f>
        <v/>
      </c>
      <c r="G32" s="26">
        <f>IF($F32="","","#101 (Addendum to BPOC)")</f>
        <v/>
      </c>
    </row>
    <row r="33">
      <c r="B33" s="26">
        <f>ChapterMaster!$C$30</f>
        <v/>
      </c>
      <c r="C33" s="26">
        <f>ChapterMaster!$D$30</f>
        <v/>
      </c>
      <c r="D33" s="27">
        <f>ChapterMaster!$E$30</f>
        <v/>
      </c>
      <c r="E33" s="27">
        <f>IF(ChapterMaster!$G30=0,"",ChapterMaster!$G30)</f>
        <v/>
      </c>
      <c r="F33" s="28">
        <f>IF(OR(ChapterMaster!$G30="",ChapterMaster!$G30=0),"",IF(ChapterMaster!$G30&gt;ChapterMaster!$E30,ROUND(ChapterMaster!$G30-ChapterMaster!$E30,2),""))</f>
        <v/>
      </c>
      <c r="G33" s="26">
        <f>IF($F33="","","#101 (Addendum to BPOC)")</f>
        <v/>
      </c>
    </row>
    <row r="34">
      <c r="B34" s="26">
        <f>ChapterMaster!$C$31</f>
        <v/>
      </c>
      <c r="C34" s="26">
        <f>ChapterMaster!$D$31</f>
        <v/>
      </c>
      <c r="D34" s="27">
        <f>ChapterMaster!$E$31</f>
        <v/>
      </c>
      <c r="E34" s="27">
        <f>IF(ChapterMaster!$G31=0,"",ChapterMaster!$G31)</f>
        <v/>
      </c>
      <c r="F34" s="28">
        <f>IF(OR(ChapterMaster!$G31="",ChapterMaster!$G31=0),"",IF(ChapterMaster!$G31&gt;ChapterMaster!$E31,ROUND(ChapterMaster!$G31-ChapterMaster!$E31,2),""))</f>
        <v/>
      </c>
      <c r="G34" s="26">
        <f>IF($F34="","","#101 (Addendum to BPOC)")</f>
        <v/>
      </c>
    </row>
    <row r="35">
      <c r="B35" s="26">
        <f>ChapterMaster!$C$32</f>
        <v/>
      </c>
      <c r="C35" s="26">
        <f>ChapterMaster!$D$32</f>
        <v/>
      </c>
      <c r="D35" s="27">
        <f>ChapterMaster!$E$32</f>
        <v/>
      </c>
      <c r="E35" s="27">
        <f>IF(ChapterMaster!$G32=0,"",ChapterMaster!$G32)</f>
        <v/>
      </c>
      <c r="F35" s="28">
        <f>IF(OR(ChapterMaster!$G32="",ChapterMaster!$G32=0),"",IF(ChapterMaster!$G32&gt;ChapterMaster!$E32,ROUND(ChapterMaster!$G32-ChapterMaster!$E32,2),""))</f>
        <v/>
      </c>
      <c r="G35" s="26">
        <f>IF($F35="","","#101 (Addendum to BPOC)")</f>
        <v/>
      </c>
    </row>
    <row r="36">
      <c r="B36" s="26">
        <f>ChapterMaster!$C$33</f>
        <v/>
      </c>
      <c r="C36" s="26">
        <f>ChapterMaster!$D$33</f>
        <v/>
      </c>
      <c r="D36" s="27">
        <f>ChapterMaster!$E$33</f>
        <v/>
      </c>
      <c r="E36" s="27">
        <f>IF(ChapterMaster!$G33=0,"",ChapterMaster!$G33)</f>
        <v/>
      </c>
      <c r="F36" s="28">
        <f>IF(OR(ChapterMaster!$G33="",ChapterMaster!$G33=0),"",IF(ChapterMaster!$G33&gt;ChapterMaster!$E33,ROUND(ChapterMaster!$G33-ChapterMaster!$E33,2),""))</f>
        <v/>
      </c>
      <c r="G36" s="26">
        <f>IF($F36="","","#101 (Addendum to BPOC)")</f>
        <v/>
      </c>
    </row>
    <row r="37">
      <c r="B37" s="26">
        <f>ChapterMaster!$C$34</f>
        <v/>
      </c>
      <c r="C37" s="26">
        <f>ChapterMaster!$D$34</f>
        <v/>
      </c>
      <c r="D37" s="27">
        <f>ChapterMaster!$E$34</f>
        <v/>
      </c>
      <c r="E37" s="27">
        <f>IF(ChapterMaster!$G34=0,"",ChapterMaster!$G34)</f>
        <v/>
      </c>
      <c r="F37" s="28">
        <f>IF(OR(ChapterMaster!$G34="",ChapterMaster!$G34=0),"",IF(ChapterMaster!$G34&gt;ChapterMaster!$E34,ROUND(ChapterMaster!$G34-ChapterMaster!$E34,2),""))</f>
        <v/>
      </c>
      <c r="G37" s="26">
        <f>IF($F37="","","#101 (Addendum to BPOC)")</f>
        <v/>
      </c>
    </row>
    <row r="38">
      <c r="B38" s="26">
        <f>ChapterMaster!$C$35</f>
        <v/>
      </c>
      <c r="C38" s="26">
        <f>ChapterMaster!$D$35</f>
        <v/>
      </c>
      <c r="D38" s="27">
        <f>ChapterMaster!$E$35</f>
        <v/>
      </c>
      <c r="E38" s="27">
        <f>IF(ChapterMaster!$G35=0,"",ChapterMaster!$G35)</f>
        <v/>
      </c>
      <c r="F38" s="28">
        <f>IF(OR(ChapterMaster!$G35="",ChapterMaster!$G35=0),"",IF(ChapterMaster!$G35&gt;ChapterMaster!$E35,ROUND(ChapterMaster!$G35-ChapterMaster!$E35,2),""))</f>
        <v/>
      </c>
      <c r="G38" s="26">
        <f>IF($F38="","","#101 (Addendum to BPOC)")</f>
        <v/>
      </c>
    </row>
    <row r="39">
      <c r="B39" s="26">
        <f>ChapterMaster!$C$36</f>
        <v/>
      </c>
      <c r="C39" s="26">
        <f>ChapterMaster!$D$36</f>
        <v/>
      </c>
      <c r="D39" s="27">
        <f>ChapterMaster!$E$36</f>
        <v/>
      </c>
      <c r="E39" s="27">
        <f>IF(ChapterMaster!$G36=0,"",ChapterMaster!$G36)</f>
        <v/>
      </c>
      <c r="F39" s="28">
        <f>IF(OR(ChapterMaster!$G36="",ChapterMaster!$G36=0),"",IF(ChapterMaster!$G36&gt;ChapterMaster!$E36,ROUND(ChapterMaster!$G36-ChapterMaster!$E36,2),""))</f>
        <v/>
      </c>
      <c r="G39" s="26">
        <f>IF($F39="","","#101 (Addendum to BPOC)")</f>
        <v/>
      </c>
    </row>
    <row r="40">
      <c r="B40" s="26">
        <f>ChapterMaster!$C$37</f>
        <v/>
      </c>
      <c r="C40" s="26">
        <f>ChapterMaster!$D$37</f>
        <v/>
      </c>
      <c r="D40" s="27">
        <f>ChapterMaster!$E$37</f>
        <v/>
      </c>
      <c r="E40" s="27">
        <f>IF(ChapterMaster!$G37=0,"",ChapterMaster!$G37)</f>
        <v/>
      </c>
      <c r="F40" s="28">
        <f>IF(OR(ChapterMaster!$G37="",ChapterMaster!$G37=0),"",IF(ChapterMaster!$G37&gt;ChapterMaster!$E37,ROUND(ChapterMaster!$G37-ChapterMaster!$E37,2),""))</f>
        <v/>
      </c>
      <c r="G40" s="26">
        <f>IF($F40="","","#2040 (Arrest and Control)")</f>
        <v/>
      </c>
    </row>
    <row r="41">
      <c r="B41" s="26">
        <f>ChapterMaster!$C$38</f>
        <v/>
      </c>
      <c r="C41" s="26">
        <f>ChapterMaster!$D$38</f>
        <v/>
      </c>
      <c r="D41" s="27">
        <f>ChapterMaster!$E$38</f>
        <v/>
      </c>
      <c r="E41" s="27">
        <f>IF(ChapterMaster!$G38=0,"",ChapterMaster!$G38)</f>
        <v/>
      </c>
      <c r="F41" s="28">
        <f>IF(OR(ChapterMaster!$G38="",ChapterMaster!$G38=0),"",IF(ChapterMaster!$G38&gt;ChapterMaster!$E38,ROUND(ChapterMaster!$G38-ChapterMaster!$E38,2),""))</f>
        <v/>
      </c>
      <c r="G41" s="26">
        <f>IF($F41="","","#101 (Addendum to BPOC)")</f>
        <v/>
      </c>
    </row>
    <row r="42">
      <c r="B42" s="26">
        <f>ChapterMaster!$C$39</f>
        <v/>
      </c>
      <c r="C42" s="26">
        <f>ChapterMaster!$D$39</f>
        <v/>
      </c>
      <c r="D42" s="27">
        <f>ChapterMaster!$E$39</f>
        <v/>
      </c>
      <c r="E42" s="27">
        <f>IF(ChapterMaster!$G39=0,"",ChapterMaster!$G39)</f>
        <v/>
      </c>
      <c r="F42" s="28">
        <f>IF(OR(ChapterMaster!$G39="",ChapterMaster!$G39=0),"",IF(ChapterMaster!$G39&gt;ChapterMaster!$E39,ROUND(ChapterMaster!$G39-ChapterMaster!$E39,2),""))</f>
        <v/>
      </c>
      <c r="G42" s="26">
        <f>IF($F42="","","#101 (Addendum to BPOC)")</f>
        <v/>
      </c>
    </row>
    <row r="43">
      <c r="B43" s="26">
        <f>ChapterMaster!$C$40</f>
        <v/>
      </c>
      <c r="C43" s="26">
        <f>ChapterMaster!$D$40</f>
        <v/>
      </c>
      <c r="D43" s="27">
        <f>ChapterMaster!$E$40</f>
        <v/>
      </c>
      <c r="E43" s="27">
        <f>IF(ChapterMaster!$G40=0,"",ChapterMaster!$G40)</f>
        <v/>
      </c>
      <c r="F43" s="28">
        <f>IF(OR(ChapterMaster!$G40="",ChapterMaster!$G40=0),"",IF(ChapterMaster!$G40&gt;ChapterMaster!$E40,ROUND(ChapterMaster!$G40-ChapterMaster!$E40,2),""))</f>
        <v/>
      </c>
      <c r="G43" s="26">
        <f>IF($F43="","","#2046 (Professional Police Driving)")</f>
        <v/>
      </c>
    </row>
    <row r="44">
      <c r="B44" s="26">
        <f>ChapterMaster!$C$41</f>
        <v/>
      </c>
      <c r="C44" s="26">
        <f>ChapterMaster!$D$41</f>
        <v/>
      </c>
      <c r="D44" s="27">
        <f>ChapterMaster!$E$41</f>
        <v/>
      </c>
      <c r="E44" s="27">
        <f>IF(ChapterMaster!$G41=0,"",ChapterMaster!$G41)</f>
        <v/>
      </c>
      <c r="F44" s="28">
        <f>IF(OR(ChapterMaster!$G41="",ChapterMaster!$G41=0),"",IF(ChapterMaster!$G41&gt;ChapterMaster!$E41,ROUND(ChapterMaster!$G41-ChapterMaster!$E41,2),""))</f>
        <v/>
      </c>
      <c r="G44" s="26">
        <f>IF($F44="","","#101 (Addendum to BPOC)")</f>
        <v/>
      </c>
    </row>
    <row r="45">
      <c r="B45" s="26">
        <f>ChapterMaster!$C$42</f>
        <v/>
      </c>
      <c r="C45" s="26">
        <f>ChapterMaster!$D$42</f>
        <v/>
      </c>
      <c r="D45" s="27">
        <f>ChapterMaster!$E$42</f>
        <v/>
      </c>
      <c r="E45" s="27">
        <f>IF(ChapterMaster!$G42=0,"",ChapterMaster!$G42)</f>
        <v/>
      </c>
      <c r="F45" s="28">
        <f>IF(OR(ChapterMaster!$G42="",ChapterMaster!$G42=0),"",IF(ChapterMaster!$G42&gt;ChapterMaster!$E42,ROUND(ChapterMaster!$G42-ChapterMaster!$E42,2),""))</f>
        <v/>
      </c>
      <c r="G45" s="26">
        <f>IF($F45="","","#101 (Addendum to BPOC)")</f>
        <v/>
      </c>
    </row>
    <row r="46">
      <c r="B46" s="26">
        <f>ChapterMaster!$C$43</f>
        <v/>
      </c>
      <c r="C46" s="26">
        <f>ChapterMaster!$D$43</f>
        <v/>
      </c>
      <c r="D46" s="27">
        <f>ChapterMaster!$E$43</f>
        <v/>
      </c>
      <c r="E46" s="27">
        <f>IF(ChapterMaster!$G43=0,"",ChapterMaster!$G43)</f>
        <v/>
      </c>
      <c r="F46" s="28">
        <f>IF(OR(ChapterMaster!$G43="",ChapterMaster!$G43=0),"",IF(ChapterMaster!$G43&gt;ChapterMaster!$E43,ROUND(ChapterMaster!$G43-ChapterMaster!$E43,2),""))</f>
        <v/>
      </c>
      <c r="G46" s="26">
        <f>IF($F46="","","#101 (Addendum to BPOC)")</f>
        <v/>
      </c>
    </row>
    <row r="47">
      <c r="B47" s="26">
        <f>ChapterMaster!$C$44</f>
        <v/>
      </c>
      <c r="C47" s="26">
        <f>ChapterMaster!$D$44</f>
        <v/>
      </c>
      <c r="D47" s="27">
        <f>ChapterMaster!$E$44</f>
        <v/>
      </c>
      <c r="E47" s="27">
        <f>IF(ChapterMaster!$G44=0,"",ChapterMaster!$G44)</f>
        <v/>
      </c>
      <c r="F47" s="28">
        <f>IF(OR(ChapterMaster!$G44="",ChapterMaster!$G44=0),"",IF(ChapterMaster!$G44&gt;ChapterMaster!$E44,ROUND(ChapterMaster!$G44-ChapterMaster!$E44,2),""))</f>
        <v/>
      </c>
      <c r="G47" s="26">
        <f>IF($F47="","","#101 (Addendum to BPOC)")</f>
        <v/>
      </c>
    </row>
    <row r="48">
      <c r="B48" s="26">
        <f>ChapterMaster!$C$45</f>
        <v/>
      </c>
      <c r="C48" s="26">
        <f>ChapterMaster!$D$45</f>
        <v/>
      </c>
      <c r="D48" s="27">
        <f>ChapterMaster!$E$45</f>
        <v/>
      </c>
      <c r="E48" s="27">
        <f>IF(ChapterMaster!$G45=0,"",ChapterMaster!$G45)</f>
        <v/>
      </c>
      <c r="F48" s="28">
        <f>IF(OR(ChapterMaster!$G45="",ChapterMaster!$G45=0),"",IF(ChapterMaster!$G45&gt;ChapterMaster!$E45,ROUND(ChapterMaster!$G45-ChapterMaster!$E45,2),""))</f>
        <v/>
      </c>
      <c r="G48" s="26">
        <f>IF($F48="","","#101 (Addendum to BPOC)")</f>
        <v/>
      </c>
    </row>
    <row r="49">
      <c r="B49" s="26">
        <f>ChapterMaster!$C$46</f>
        <v/>
      </c>
      <c r="C49" s="26">
        <f>ChapterMaster!$D$46</f>
        <v/>
      </c>
      <c r="D49" s="27">
        <f>ChapterMaster!$E$46</f>
        <v/>
      </c>
      <c r="E49" s="27">
        <f>IF(ChapterMaster!$G46=0,"",ChapterMaster!$G46)</f>
        <v/>
      </c>
      <c r="F49" s="28">
        <f>IF(OR(ChapterMaster!$G46="",ChapterMaster!$G46=0),"",IF(ChapterMaster!$G46&gt;ChapterMaster!$E46,ROUND(ChapterMaster!$G46-ChapterMaster!$E46,2),""))</f>
        <v/>
      </c>
      <c r="G49" s="26">
        <f>IF($F49="","","#101 (Addendum to BPOC)")</f>
        <v/>
      </c>
    </row>
    <row r="50">
      <c r="B50" s="26">
        <f>ChapterMaster!$C$47</f>
        <v/>
      </c>
      <c r="C50" s="26">
        <f>ChapterMaster!$D$47</f>
        <v/>
      </c>
      <c r="D50" s="27">
        <f>ChapterMaster!$E$47</f>
        <v/>
      </c>
      <c r="E50" s="27">
        <f>IF(ChapterMaster!$G47=0,"",ChapterMaster!$G47)</f>
        <v/>
      </c>
      <c r="F50" s="28">
        <f>IF(OR(ChapterMaster!$G47="",ChapterMaster!$G47=0),"",IF(ChapterMaster!$G47&gt;ChapterMaster!$E47,ROUND(ChapterMaster!$G47-ChapterMaster!$E47,2),""))</f>
        <v/>
      </c>
      <c r="G50" s="26">
        <f>IF($F50="","","#2055 (Firearms)")</f>
        <v/>
      </c>
    </row>
    <row r="51">
      <c r="B51" s="26">
        <f>ChapterMaster!$C$48</f>
        <v/>
      </c>
      <c r="C51" s="26">
        <f>ChapterMaster!$D$48</f>
        <v/>
      </c>
      <c r="D51" s="27">
        <f>ChapterMaster!$E$48</f>
        <v/>
      </c>
      <c r="E51" s="27">
        <f>IF(ChapterMaster!$G48=0,"",ChapterMaster!$G48)</f>
        <v/>
      </c>
      <c r="F51" s="28">
        <f>IF(OR(ChapterMaster!$G48="",ChapterMaster!$G48=0),"",IF(ChapterMaster!$G48&gt;ChapterMaster!$E48,ROUND(ChapterMaster!$G48-ChapterMaster!$E48,2),""))</f>
        <v/>
      </c>
      <c r="G51" s="26">
        <f>IF($F51="","","#101 (Addendum to BPOC)")</f>
        <v/>
      </c>
    </row>
    <row r="52">
      <c r="B52" s="26">
        <f>ChapterMaster!$C$49</f>
        <v/>
      </c>
      <c r="C52" s="26">
        <f>ChapterMaster!$D$49</f>
        <v/>
      </c>
      <c r="D52" s="27">
        <f>ChapterMaster!$E$49</f>
        <v/>
      </c>
      <c r="E52" s="27">
        <f>IF(ChapterMaster!$G49=0,"",ChapterMaster!$G49)</f>
        <v/>
      </c>
      <c r="F52" s="28">
        <f>IF(OR(ChapterMaster!$G49="",ChapterMaster!$G49=0),"",IF(ChapterMaster!$G49&gt;ChapterMaster!$E49,ROUND(ChapterMaster!$G49-ChapterMaster!$E49,2),""))</f>
        <v/>
      </c>
      <c r="G52" s="26">
        <f>IF($F52="","","#101 (Addendum to BPOC)")</f>
        <v/>
      </c>
    </row>
    <row r="53">
      <c r="B53" s="26">
        <f>ChapterMaster!$C$50</f>
        <v/>
      </c>
      <c r="C53" s="26">
        <f>ChapterMaster!$D$50</f>
        <v/>
      </c>
      <c r="D53" s="27">
        <f>ChapterMaster!$E$50</f>
        <v/>
      </c>
      <c r="E53" s="27">
        <f>IF(ChapterMaster!$G50=0,"",ChapterMaster!$G50)</f>
        <v/>
      </c>
      <c r="F53" s="28">
        <f>IF(OR(ChapterMaster!$G50="",ChapterMaster!$G50=0),"",IF(ChapterMaster!$G50&gt;ChapterMaster!$E50,ROUND(ChapterMaster!$G50-ChapterMaster!$E50,2),""))</f>
        <v/>
      </c>
      <c r="G53" s="26">
        <f>IF($F53="","","#101 (Addendum to BPOC)")</f>
        <v/>
      </c>
    </row>
    <row r="55">
      <c r="C55" s="3" t="inlineStr">
        <is>
          <t>Total excess to report:</t>
        </is>
      </c>
      <c r="F55" s="1">
        <f>SUM(F9:F53)</f>
        <v/>
      </c>
    </row>
    <row r="56">
      <c r="C56" s="3" t="inlineStr">
        <is>
          <t>— of which under #101 (Addendum):</t>
        </is>
      </c>
      <c r="F56" s="21">
        <f>SUMPRODUCT(($F9:$F53&lt;&gt;"")*($G9:$G53="#101 (Addendum to BPOC)")*IFERROR($F9:$F53+0,0))</f>
        <v/>
      </c>
    </row>
    <row r="57">
      <c r="C57" s="3" t="inlineStr">
        <is>
          <t>— of which under separate course #s:</t>
        </is>
      </c>
      <c r="F57" s="21">
        <f>SUMPRODUCT(($F9:$F53&lt;&gt;"")*($G9:$G53&lt;&gt;"#101 (Addendum to BPOC)")*($G9:$G53&lt;&gt;"")*IFERROR($F9:$F53+0,0))</f>
        <v/>
      </c>
    </row>
    <row r="59">
      <c r="B59" s="3" t="inlineStr">
        <is>
          <t>Training Coordinator:</t>
        </is>
      </c>
      <c r="D59" s="14" t="inlineStr">
        <is>
          <t>_______________________</t>
        </is>
      </c>
      <c r="F59" s="3" t="inlineStr">
        <is>
          <t>Date:</t>
        </is>
      </c>
      <c r="G59" s="14" t="inlineStr">
        <is>
          <t>____________</t>
        </is>
      </c>
    </row>
    <row r="61">
      <c r="B61" s="2" t="inlineStr">
        <is>
          <t>711 W. Ferguson St., Tyler, TX 75702 — (903) 531-1018  Fax (903) 535-0102</t>
        </is>
      </c>
    </row>
  </sheetData>
  <sheetProtection selectLockedCells="0" selectUnlockedCells="0" sheet="1" objects="0" insertRows="1" insertHyperlinks="1" autoFilter="1" scenarios="0" formatColumns="1" deleteColumns="1" insertColumns="1" pivotTables="1" deleteRows="1" formatCells="1" formatRows="1" sort="1" password="B4BB"/>
  <mergeCells count="1">
    <mergeCell ref="B6:H6"/>
  </mergeCells>
  <conditionalFormatting sqref="F9:F53">
    <cfRule type="expression" priority="1" dxfId="2">
      <formula>AND($F9&lt;&gt;"",$F9&gt;0)</formula>
    </cfRule>
  </conditionalFormatting>
  <pageMargins left="0.75" right="0.75" top="1" bottom="1" header="0.5" footer="0.5"/>
  <pageSetup orientation="portrait" fitToHeight="0" fitToWidth="1"/>
</worksheet>
</file>

<file path=xl/worksheets/sheet31.xml><?xml version="1.0" encoding="utf-8"?>
<worksheet xmlns="http://schemas.openxmlformats.org/spreadsheetml/2006/main">
  <sheetPr>
    <tabColor rgb="001E7145"/>
    <outlinePr summaryBelow="1" summaryRight="1"/>
    <pageSetUpPr fitToPage="1"/>
  </sheetPr>
  <dimension ref="B1:J75"/>
  <sheetViews>
    <sheetView showGridLines="0" workbookViewId="0">
      <selection activeCell="A1" sqref="A1"/>
    </sheetView>
  </sheetViews>
  <sheetFormatPr baseColWidth="8" defaultRowHeight="15"/>
  <cols>
    <col width="3" customWidth="1" min="1" max="1"/>
    <col width="24" customWidth="1" min="2" max="2"/>
    <col width="16" customWidth="1" min="3" max="3"/>
    <col width="16" customWidth="1" min="4" max="4"/>
    <col width="14" customWidth="1" min="5" max="5"/>
    <col width="22" customWidth="1" min="6" max="6"/>
    <col width="16" customWidth="1" min="7" max="7"/>
    <col width="16" customWidth="1" min="8" max="8"/>
    <col width="22" customWidth="1" min="9" max="9"/>
  </cols>
  <sheetData>
    <row r="1">
      <c r="B1" s="10">
        <f>HYPERLINK("#Dashboard!B5","◄ Dashboard")</f>
        <v/>
      </c>
    </row>
    <row r="4">
      <c r="B4" s="11" t="inlineStr">
        <is>
          <t>Pick a chapter — the whole training file's status on one printable page. Pair with the ExamSheet grade sheet and the EvalSheet critique for the paper folder.</t>
        </is>
      </c>
    </row>
    <row r="5">
      <c r="B5" s="3" t="inlineStr">
        <is>
          <t>Chapter:</t>
        </is>
      </c>
      <c r="C5" s="29" t="inlineStr">
        <is>
          <t>1</t>
        </is>
      </c>
      <c r="E5" s="1">
        <f>"TCOLE TRAINING FILE — "&amp;cfgAcademyClass&amp;" — Ch. "&amp;cfgPacketChapter&amp;" "&amp;IFERROR(_xlfn.XLOOKUP(cfgPacketChapter,nrCHnum,nrCHname),"")</f>
        <v/>
      </c>
    </row>
    <row r="7">
      <c r="B7" s="3" t="inlineStr">
        <is>
          <t>Module</t>
        </is>
      </c>
      <c r="C7" s="14">
        <f>IFERROR(_xlfn.XLOOKUP(cfgPacketChapter,nrCHnum,nrCHmod),"")</f>
        <v/>
      </c>
      <c r="E7" s="3" t="inlineStr">
        <is>
          <t>TCOLE min hrs</t>
        </is>
      </c>
      <c r="F7" s="14">
        <f>IFERROR(_xlfn.XLOOKUP(cfgPacketChapter,nrCHnum,nrCHmin),"")</f>
        <v/>
      </c>
      <c r="H7" s="3" t="inlineStr">
        <is>
          <t>Delivered hrs</t>
        </is>
      </c>
      <c r="I7" s="14">
        <f>IFERROR(_xlfn.XLOOKUP(cfgPacketChapter,nrCHnum,nrCHdeliv),"")</f>
        <v/>
      </c>
    </row>
    <row r="8">
      <c r="B8" s="3" t="inlineStr">
        <is>
          <t>First taught</t>
        </is>
      </c>
      <c r="C8" s="14">
        <f>IF(IFERROR(N(_xlfn.XLOOKUP(cfgPacketChapter,nrCHnum,nrCHfirst)),0)=0,"(not yet taught)",TEXT(_xlfn.XLOOKUP(cfgPacketChapter,nrCHnum,nrCHfirst),"mm/dd/yyyy"))</f>
        <v/>
      </c>
      <c r="E8" s="3" t="inlineStr">
        <is>
          <t>Last taught</t>
        </is>
      </c>
      <c r="F8" s="14">
        <f>IF(IFERROR(_xlfn.MAXIFS(nrSCH_Date,nrSCH_ChNum,cfgPacketChapter),0)=0,"(not yet taught)",TEXT(_xlfn.MAXIFS(nrSCH_Date,nrSCH_ChNum,cfgPacketChapter),"mm/dd/yyyy"))</f>
        <v/>
      </c>
      <c r="H8" s="3" t="inlineStr">
        <is>
          <t>vs TCOLE min</t>
        </is>
      </c>
      <c r="I8" s="14">
        <f>_xlfn.LET(_xlpm.d,IFERROR(_xlfn.XLOOKUP(cfgPacketChapter,nrCHnum,nrCHdeliv),0),_xlpm.m,IFERROR(_xlfn.XLOOKUP(cfgPacketChapter,nrCHnum,nrCHmin),0),IF(_xlpm.d=0,"no hours logged",TEXT(_xlpm.d-_xlpm.m,"+0.##;-0.##;0")))</f>
        <v/>
      </c>
    </row>
    <row r="10" ht="16" customHeight="1">
      <c r="B10" s="7" t="inlineStr">
        <is>
          <t>Training-file contents (required by the IRG)</t>
        </is>
      </c>
    </row>
    <row r="11">
      <c r="B11" s="3" t="inlineStr">
        <is>
          <t>Lesson plan (SME)</t>
        </is>
      </c>
      <c r="C11" s="14">
        <f>IFERROR(_xlfn.XLOOKUP(cfgPacketChapter,nrCHnum,nrCHlesson),"")</f>
        <v/>
      </c>
      <c r="F11" s="3" t="inlineStr">
        <is>
          <t>Special TCOLE requirement</t>
        </is>
      </c>
      <c r="G11" s="14">
        <f>IFERROR(_xlfn.XLOOKUP(cfgPacketChapter,nrCHnum,nrCHspecial),"")&amp;""</f>
        <v/>
      </c>
    </row>
    <row r="12">
      <c r="B12" s="3" t="inlineStr">
        <is>
          <t>Instructor bio(s)</t>
        </is>
      </c>
      <c r="C12" s="14">
        <f>IFERROR(_xlfn.XLOOKUP(cfgPacketChapter,nrCHnum,nrCHbio),"")</f>
        <v/>
      </c>
      <c r="F12" s="3" t="inlineStr">
        <is>
          <t>Special requirement met</t>
        </is>
      </c>
      <c r="G12" s="14">
        <f>IFERROR(_xlfn.XLOOKUP(cfgPacketChapter,nrCHnum,nrCHspecialMet),"—")</f>
        <v/>
      </c>
    </row>
    <row r="13">
      <c r="B13" s="3" t="inlineStr">
        <is>
          <t>Sign-in sheets (w/ PID)</t>
        </is>
      </c>
      <c r="C13" s="14">
        <f>IFERROR(_xlfn.XLOOKUP(cfgPacketChapter,nrCHnum,nrCHsignin),"")</f>
        <v/>
      </c>
      <c r="F13" s="3" t="inlineStr">
        <is>
          <t>File complete?</t>
        </is>
      </c>
      <c r="G13" s="14">
        <f>IFERROR(_xlfn.XLOOKUP(cfgPacketChapter,nrCHnum,nrCHfileOK),"No")</f>
        <v/>
      </c>
    </row>
    <row r="14">
      <c r="B14" s="3" t="inlineStr">
        <is>
          <t>Assessment</t>
        </is>
      </c>
      <c r="C14" s="14">
        <f>IFERROR(_xlfn.XLOOKUP(cfgPacketChapter,nrCHnum,nrCHassess),"")</f>
        <v/>
      </c>
      <c r="F14" s="3" t="inlineStr">
        <is>
          <t>Linked exam</t>
        </is>
      </c>
      <c r="G14" s="14">
        <f>IF(IFERROR(INDEX(rngEPcode,MATCH(cfgPacketChapter,rngEPch,0)),"")="","(none)",IFERROR(INDEX(rngEPcode,MATCH(cfgPacketChapter,rngEPch,0)),"")&amp;" — "&amp;IFERROR(INDEX(rngEPname,MATCH(cfgPacketChapter,rngEPch,0)),""))</f>
        <v/>
      </c>
    </row>
    <row r="15">
      <c r="B15" s="3" t="inlineStr">
        <is>
          <t>Grade sheet</t>
        </is>
      </c>
      <c r="C15" s="14">
        <f>IFERROR(_xlfn.XLOOKUP(cfgPacketChapter,nrCHnum,nrCHgrade),"")</f>
        <v/>
      </c>
      <c r="F15" s="3" t="inlineStr">
        <is>
          <t>Exam class avg / low / fails</t>
        </is>
      </c>
      <c r="G15" s="14">
        <f>_xlfn.LET(_xlpm.c,IFERROR(INDEX(rngEPcode,MATCH(cfgPacketChapter,rngEPch,0)),""),IF(_xlpm.c="","—",IFERROR(ROUND(AVERAGEIFS(nrES_Rec,nrES_Code,_xlpm.c,nrES_Final,"Yes",nrES_Rec,"&gt;=0",nrES_Rec,"&lt;=100"),1),"—")&amp;" / "&amp;IFERROR(_xlfn.MINIFS(nrES_Rec,nrES_Code,_xlpm.c,nrES_Final,"Yes",nrES_Rec,"&gt;=0",nrES_Rec,"&lt;=100"),"—")&amp;" / "&amp;COUNTIFS(nrES_Code,_xlpm.c,nrES_Final,"Yes",nrES_Rec,"&gt;=0",nrES_Rec,"&lt;"&amp;cfgPassingScore)))</f>
        <v/>
      </c>
    </row>
    <row r="16">
      <c r="B16" s="3" t="inlineStr">
        <is>
          <t>Course evaluations</t>
        </is>
      </c>
      <c r="C16" s="14">
        <f>IFERROR(_xlfn.XLOOKUP(cfgPacketChapter,nrCHnum,nrCHevals),"")</f>
        <v/>
      </c>
    </row>
    <row r="17">
      <c r="B17" s="3" t="inlineStr">
        <is>
          <t>Handouts/PPT (optional)</t>
        </is>
      </c>
      <c r="C17" s="14">
        <f>IFERROR(_xlfn.XLOOKUP(cfgPacketChapter,nrCHnum,nrCHhandoutOpt),"")</f>
        <v/>
      </c>
    </row>
    <row r="19" ht="16" customHeight="1">
      <c r="B19" s="7" t="inlineStr">
        <is>
          <t>Instructors who taught this chapter (from the schedule)</t>
        </is>
      </c>
    </row>
    <row r="20">
      <c r="B20">
        <f>IF(cfgPacketChapter="","— pick a chapter in C5 —",IFERROR(_xlfn.TAKE(_xlfn._xlws.FILTER(_xlfn.HSTACK(nrInstrNames,nrInstrReady,nrInstrChTaught),(nrInstrNames&lt;&gt;"")*(nrInstrChTaught&lt;&gt;"")*ISNUMBER(SEARCH(", "&amp;cfgPacketChapter&amp;",",", "&amp;nrInstrChTaught&amp;",")),"— none on the schedule yet —"),20),"⚠ LIST UNAVAILABLE - a reference in this panel is broken; do NOT read it as 'nothing to report'"))</f>
        <v/>
      </c>
    </row>
    <row r="40">
      <c r="B40" s="2">
        <f>IF(cfgPacketChapter="","",IF(SUMPRODUCT((nrInstrNames&lt;&gt;"")*(nrInstrChTaught&lt;&gt;"")*ISNUMBER(SEARCH(", "&amp;cfgPacketChapter&amp;",",", "&amp;nrInstrChTaught&amp;",")))&gt;20,"+ "&amp;(SUMPRODUCT((nrInstrNames&lt;&gt;"")*(nrInstrChTaught&lt;&gt;"")*ISNUMBER(SEARCH(", "&amp;cfgPacketChapter&amp;",",", "&amp;nrInstrChTaught&amp;",")))-20)&amp;" more instructor(s) not shown — see the Instructors sheet",""))</f>
        <v/>
      </c>
    </row>
    <row r="41" ht="16" customHeight="1">
      <c r="B41" s="7" t="inlineStr">
        <is>
          <t>Schedule blocks delivered</t>
        </is>
      </c>
    </row>
    <row r="42">
      <c r="B42">
        <f>IF(cfgPacketChapter="","— pick a chapter in C5 —",IFERROR(_xlfn.TAKE(_xlfn._xlws.FILTER(_xlfn.HSTACK(TEXT(nrSCH_Date,"mm/dd/yyyy"),TEXT(nrSCH_Start,"h:mm AM/PM"),TEXT(nrSCH_End,"h:mm AM/PM"),nrSCH_Act,nrSCH_Instr),(nrSCH_ChNum&lt;&gt;"")*(nrSCH_ChNum=cfgPacketChapter),"— no blocks scheduled —"),32),"⚠ LIST UNAVAILABLE - a reference in this panel is broken; do NOT read it as 'nothing to report'"))</f>
        <v/>
      </c>
    </row>
    <row r="74">
      <c r="B74" s="2">
        <f>IF(cfgPacketChapter="","",IF(COUNTIF(nrSCH_ChNum,cfgPacketChapter)&gt;32,"+ "&amp;(COUNTIF(nrSCH_ChNum,cfgPacketChapter)-32)&amp;" more block(s) not shown — see the Schedule sheet",""))</f>
        <v/>
      </c>
    </row>
    <row r="75">
      <c r="B75" s="3" t="inlineStr">
        <is>
          <t>Training Coordinator:</t>
        </is>
      </c>
      <c r="D75" s="14" t="inlineStr">
        <is>
          <t>_______________________</t>
        </is>
      </c>
      <c r="F75" s="3" t="inlineStr">
        <is>
          <t>Date:</t>
        </is>
      </c>
      <c r="G75" s="14" t="inlineStr">
        <is>
          <t>____________</t>
        </is>
      </c>
    </row>
  </sheetData>
  <sheetProtection selectLockedCells="0" selectUnlockedCells="0" sheet="1" objects="0" insertRows="1" insertHyperlinks="1" autoFilter="1" scenarios="0" formatColumns="1" deleteColumns="1" insertColumns="1" pivotTables="1" deleteRows="1" formatCells="1" formatRows="1" sort="1" password="B4BB"/>
  <mergeCells count="21">
    <mergeCell ref="G12:H12"/>
    <mergeCell ref="C15:D15"/>
    <mergeCell ref="C14:D14"/>
    <mergeCell ref="F7:G7"/>
    <mergeCell ref="C16:D16"/>
    <mergeCell ref="I7:J7"/>
    <mergeCell ref="G13:H13"/>
    <mergeCell ref="G11:J11"/>
    <mergeCell ref="F8:G8"/>
    <mergeCell ref="C12:D12"/>
    <mergeCell ref="C11:D11"/>
    <mergeCell ref="B10:I10"/>
    <mergeCell ref="B19:I19"/>
    <mergeCell ref="I8:J8"/>
    <mergeCell ref="C17:D17"/>
    <mergeCell ref="C8:D8"/>
    <mergeCell ref="C7:D7"/>
    <mergeCell ref="C13:D13"/>
    <mergeCell ref="G15:J15"/>
    <mergeCell ref="B41:I41"/>
    <mergeCell ref="G14:J14"/>
  </mergeCells>
  <dataValidations count="1">
    <dataValidation sqref="C5" showDropDown="0" showInputMessage="0" showErrorMessage="1" allowBlank="1" type="list">
      <formula1>=nrCHnum</formula1>
    </dataValidation>
  </dataValidations>
  <pageMargins left="0.75" right="0.75" top="1" bottom="1" header="0.5" footer="0.5"/>
  <pageSetup orientation="portrait" fitToHeight="0" fitToWidth="1"/>
</worksheet>
</file>

<file path=xl/worksheets/sheet32.xml><?xml version="1.0" encoding="utf-8"?>
<worksheet xmlns="http://schemas.openxmlformats.org/spreadsheetml/2006/main">
  <sheetPr>
    <tabColor rgb="001E7145"/>
    <outlinePr summaryBelow="1" summaryRight="1"/>
    <pageSetUpPr fitToPage="1"/>
  </sheetPr>
  <dimension ref="B1:J64"/>
  <sheetViews>
    <sheetView showGridLines="0" workbookViewId="0">
      <selection activeCell="A1" sqref="A1"/>
    </sheetView>
  </sheetViews>
  <sheetFormatPr baseColWidth="8" defaultRowHeight="15"/>
  <cols>
    <col width="3" customWidth="1" min="1" max="1"/>
    <col width="5" customWidth="1" min="2" max="2"/>
    <col width="28" customWidth="1" min="3" max="3"/>
    <col width="10" customWidth="1" min="4" max="4"/>
    <col width="16" customWidth="1" min="5" max="5"/>
    <col width="11" customWidth="1" min="6" max="6"/>
    <col width="11" customWidth="1" min="7" max="7"/>
    <col width="9" customWidth="1" min="8" max="8"/>
    <col width="10" customWidth="1" min="9" max="9"/>
    <col width="20" customWidth="1" min="10" max="10"/>
  </cols>
  <sheetData>
    <row r="1">
      <c r="B1" s="10">
        <f>HYPERLINK("#Dashboard!B5","◄ Dashboard")</f>
        <v/>
      </c>
    </row>
    <row r="4">
      <c r="B4" s="11" t="inlineStr">
        <is>
          <t>The IRG requires a grade sheet for each assessment in the training file — print one per exam and file it with the chapter packet.</t>
        </is>
      </c>
    </row>
    <row r="5">
      <c r="B5" s="3" t="inlineStr">
        <is>
          <t>Exam seq #:</t>
        </is>
      </c>
      <c r="C5" s="16" t="n">
        <v>1</v>
      </c>
    </row>
    <row r="7">
      <c r="B7" s="1">
        <f>"TYLER POLICE ACADEMY — "&amp;cfgAcademyClass&amp;" — GRADE SHEET — "&amp;IFERROR(INDEX(rngEPname,MATCH(cfgGradeSheetExam,IFERROR(rngEPseq+0,-1),0)),"(set exam #)")</f>
        <v/>
      </c>
    </row>
    <row r="8">
      <c r="B8" s="2">
        <f>"Exam code: "&amp;IFERROR(INDEX(rngEPcode,MATCH(cfgGradeSheetExam,IFERROR(rngEPseq+0,-1),0)),"?")&amp;"   Administered: "&amp;_xlfn.LET(_xlpm.s,_xlfn.MAXIFS(nrSCH_Date,nrSCH_Act,"Test "&amp;cfgGradeSheetExam),_xlpm.a,IFERROR(_xlfn.MINIFS(nrES_Date,nrES_Code,INDEX(rngEPcode,MATCH(cfgGradeSheetExam,IFERROR(rngEPseq+0,-1),0)),nrES_Att,1,nrES_Date,"&gt;0"),0),IF(_xlpm.s&gt;0,TEXT(_xlpm.s,"mm/dd/yyyy"),IF(_xlpm.a&gt;0,TEXT(_xlpm.a,"mm/dd/yyyy"),"(not scheduled)")))&amp;"   Passing score: "&amp;IFERROR(INDEX(rngEPpass,MATCH(cfgGradeSheetExam,IFERROR(rngEPseq+0,-1),0)),cfgPassingScore)&amp;"   (passed retests record at "&amp;cfgRetakeRecordedCap&amp;")"</f>
        <v/>
      </c>
    </row>
    <row r="10" ht="26" customHeight="1">
      <c r="B10" s="12" t="inlineStr">
        <is>
          <t>#</t>
        </is>
      </c>
      <c r="C10" s="12" t="inlineStr">
        <is>
          <t>Cadet</t>
        </is>
      </c>
      <c r="D10" s="12" t="inlineStr">
        <is>
          <t>PID</t>
        </is>
      </c>
      <c r="E10" s="12" t="inlineStr">
        <is>
          <t>Agency</t>
        </is>
      </c>
      <c r="F10" s="12" t="inlineStr">
        <is>
          <t>Raw Score</t>
        </is>
      </c>
      <c r="G10" s="12" t="inlineStr">
        <is>
          <t>Recorded</t>
        </is>
      </c>
      <c r="H10" s="12" t="inlineStr">
        <is>
          <t>Pass?</t>
        </is>
      </c>
      <c r="I10" s="12" t="inlineStr">
        <is>
          <t>Retest</t>
        </is>
      </c>
      <c r="J10" s="12" t="inlineStr">
        <is>
          <t>Absence</t>
        </is>
      </c>
    </row>
    <row r="11">
      <c r="B11" s="27">
        <f>IF(Cadets!$B6="","",ROW()-10)</f>
        <v/>
      </c>
      <c r="C11" s="26">
        <f>IF(Cadets!$B6="","",Cadets!$F6)</f>
        <v/>
      </c>
      <c r="D11" s="27">
        <f>IF($C11="","",Cadets!$B6)</f>
        <v/>
      </c>
      <c r="E11" s="27">
        <f>IF($C11="","",Cadets!$H6)</f>
        <v/>
      </c>
      <c r="F11" s="27">
        <f>IF($C11="","",_xlfn.LET(_xlpm.c,IFERROR(INDEX(rngEPcode,MATCH(cfgGradeSheetExam,IFERROR(rngEPseq+0,-1),0)),""),IF(COUNTIFS(nrES_PID,Cadets!$B6,nrES_Code,_xlpm.c,nrES_Att,1,nrES_Raw,"&gt;=0")=0,"",SUMIFS(nrES_Raw,nrES_PID,Cadets!$B6,nrES_Code,_xlpm.c,nrES_Att,1))))</f>
        <v/>
      </c>
      <c r="G11" s="27">
        <f>IF($C11="","",_xlfn.LET(_xlpm.c,IFERROR(INDEX(rngEPcode,MATCH(cfgGradeSheetExam,IFERROR(rngEPseq+0,-1),0)),""),IF(COUNTIFS(nrES_PID,Cadets!$B6,nrES_Code,_xlpm.c,nrES_Final,"Yes",nrES_Rec,"&gt;=0")=0,"",SUMIFS(nrES_Rec,nrES_PID,Cadets!$B6,nrES_Code,_xlpm.c,nrES_Final,"Yes"))))</f>
        <v/>
      </c>
      <c r="H11" s="27">
        <f>IF(OR($C11="",$G11=""),"",IF($G11&gt;=IFERROR(INDEX(rngEPpass,MATCH(cfgGradeSheetExam,IFERROR(rngEPseq+0,-1),0)),cfgPassingScore),"Pass","FAIL"))</f>
        <v/>
      </c>
      <c r="I11" s="27">
        <f>IF($C11="","",_xlfn.LET(_xlpm.c,IFERROR(INDEX(rngEPcode,MATCH(cfgGradeSheetExam,IFERROR(rngEPseq+0,-1),0)),""),IF(COUNTIFS(nrES_PID,Cadets!$B6,nrES_Code,_xlpm.c,nrES_Att,2,nrES_Raw,"&gt;=0")&gt;0,"Retested","")))</f>
        <v/>
      </c>
      <c r="J11" s="27">
        <f>IF($C11="","",_xlfn.LET(_xlpm.c,IFERROR(INDEX(rngEPcode,MATCH(cfgGradeSheetExam,IFERROR(rngEPseq+0,-1),0)),""),_xlpm.n,COUNTIFS(nrES_PID,Cadets!$B6,nrES_Code,_xlpm.c,nrES_Att,1),_xlpm.s,COUNTIFS(nrES_PID,Cadets!$B6,nrES_Code,_xlpm.c,nrES_Att,1,nrES_Raw,"&gt;=0"),_xlpm.x,COUNTIFS(nrES_PID,Cadets!$B6,nrES_Code,_xlpm.c,nrES_Att,1,nrES_Absence,"Excused"),_xlpm.u,COUNTIFS(nrES_PID,Cadets!$B6,nrES_Code,_xlpm.c,nrES_Att,1,nrES_Absence,"Unexcused"),IF(_xlpm.u&gt;0,"Unexcused",IF(_xlpm.x&gt;0,IF(_xlpm.s&gt;0,"Excused - taken later","Excused - pending"),IF(OR(_xlpm.n=0,_xlpm.s&gt;0),"","No score recorded")))))</f>
        <v/>
      </c>
    </row>
    <row r="12">
      <c r="B12" s="27">
        <f>IF(Cadets!$B7="","",ROW()-10)</f>
        <v/>
      </c>
      <c r="C12" s="26">
        <f>IF(Cadets!$B7="","",Cadets!$F7)</f>
        <v/>
      </c>
      <c r="D12" s="27">
        <f>IF($C12="","",Cadets!$B7)</f>
        <v/>
      </c>
      <c r="E12" s="27">
        <f>IF($C12="","",Cadets!$H7)</f>
        <v/>
      </c>
      <c r="F12" s="27">
        <f>IF($C12="","",_xlfn.LET(_xlpm.c,IFERROR(INDEX(rngEPcode,MATCH(cfgGradeSheetExam,IFERROR(rngEPseq+0,-1),0)),""),IF(COUNTIFS(nrES_PID,Cadets!$B7,nrES_Code,_xlpm.c,nrES_Att,1,nrES_Raw,"&gt;=0")=0,"",SUMIFS(nrES_Raw,nrES_PID,Cadets!$B7,nrES_Code,_xlpm.c,nrES_Att,1))))</f>
        <v/>
      </c>
      <c r="G12" s="27">
        <f>IF($C12="","",_xlfn.LET(_xlpm.c,IFERROR(INDEX(rngEPcode,MATCH(cfgGradeSheetExam,IFERROR(rngEPseq+0,-1),0)),""),IF(COUNTIFS(nrES_PID,Cadets!$B7,nrES_Code,_xlpm.c,nrES_Final,"Yes",nrES_Rec,"&gt;=0")=0,"",SUMIFS(nrES_Rec,nrES_PID,Cadets!$B7,nrES_Code,_xlpm.c,nrES_Final,"Yes"))))</f>
        <v/>
      </c>
      <c r="H12" s="27">
        <f>IF(OR($C12="",$G12=""),"",IF($G12&gt;=IFERROR(INDEX(rngEPpass,MATCH(cfgGradeSheetExam,IFERROR(rngEPseq+0,-1),0)),cfgPassingScore),"Pass","FAIL"))</f>
        <v/>
      </c>
      <c r="I12" s="27">
        <f>IF($C12="","",_xlfn.LET(_xlpm.c,IFERROR(INDEX(rngEPcode,MATCH(cfgGradeSheetExam,IFERROR(rngEPseq+0,-1),0)),""),IF(COUNTIFS(nrES_PID,Cadets!$B7,nrES_Code,_xlpm.c,nrES_Att,2,nrES_Raw,"&gt;=0")&gt;0,"Retested","")))</f>
        <v/>
      </c>
      <c r="J12" s="27">
        <f>IF($C12="","",_xlfn.LET(_xlpm.c,IFERROR(INDEX(rngEPcode,MATCH(cfgGradeSheetExam,IFERROR(rngEPseq+0,-1),0)),""),_xlpm.n,COUNTIFS(nrES_PID,Cadets!$B7,nrES_Code,_xlpm.c,nrES_Att,1),_xlpm.s,COUNTIFS(nrES_PID,Cadets!$B7,nrES_Code,_xlpm.c,nrES_Att,1,nrES_Raw,"&gt;=0"),_xlpm.x,COUNTIFS(nrES_PID,Cadets!$B7,nrES_Code,_xlpm.c,nrES_Att,1,nrES_Absence,"Excused"),_xlpm.u,COUNTIFS(nrES_PID,Cadets!$B7,nrES_Code,_xlpm.c,nrES_Att,1,nrES_Absence,"Unexcused"),IF(_xlpm.u&gt;0,"Unexcused",IF(_xlpm.x&gt;0,IF(_xlpm.s&gt;0,"Excused - taken later","Excused - pending"),IF(OR(_xlpm.n=0,_xlpm.s&gt;0),"","No score recorded")))))</f>
        <v/>
      </c>
    </row>
    <row r="13">
      <c r="B13" s="27">
        <f>IF(Cadets!$B8="","",ROW()-10)</f>
        <v/>
      </c>
      <c r="C13" s="26">
        <f>IF(Cadets!$B8="","",Cadets!$F8)</f>
        <v/>
      </c>
      <c r="D13" s="27">
        <f>IF($C13="","",Cadets!$B8)</f>
        <v/>
      </c>
      <c r="E13" s="27">
        <f>IF($C13="","",Cadets!$H8)</f>
        <v/>
      </c>
      <c r="F13" s="27">
        <f>IF($C13="","",_xlfn.LET(_xlpm.c,IFERROR(INDEX(rngEPcode,MATCH(cfgGradeSheetExam,IFERROR(rngEPseq+0,-1),0)),""),IF(COUNTIFS(nrES_PID,Cadets!$B8,nrES_Code,_xlpm.c,nrES_Att,1,nrES_Raw,"&gt;=0")=0,"",SUMIFS(nrES_Raw,nrES_PID,Cadets!$B8,nrES_Code,_xlpm.c,nrES_Att,1))))</f>
        <v/>
      </c>
      <c r="G13" s="27">
        <f>IF($C13="","",_xlfn.LET(_xlpm.c,IFERROR(INDEX(rngEPcode,MATCH(cfgGradeSheetExam,IFERROR(rngEPseq+0,-1),0)),""),IF(COUNTIFS(nrES_PID,Cadets!$B8,nrES_Code,_xlpm.c,nrES_Final,"Yes",nrES_Rec,"&gt;=0")=0,"",SUMIFS(nrES_Rec,nrES_PID,Cadets!$B8,nrES_Code,_xlpm.c,nrES_Final,"Yes"))))</f>
        <v/>
      </c>
      <c r="H13" s="27">
        <f>IF(OR($C13="",$G13=""),"",IF($G13&gt;=IFERROR(INDEX(rngEPpass,MATCH(cfgGradeSheetExam,IFERROR(rngEPseq+0,-1),0)),cfgPassingScore),"Pass","FAIL"))</f>
        <v/>
      </c>
      <c r="I13" s="27">
        <f>IF($C13="","",_xlfn.LET(_xlpm.c,IFERROR(INDEX(rngEPcode,MATCH(cfgGradeSheetExam,IFERROR(rngEPseq+0,-1),0)),""),IF(COUNTIFS(nrES_PID,Cadets!$B8,nrES_Code,_xlpm.c,nrES_Att,2,nrES_Raw,"&gt;=0")&gt;0,"Retested","")))</f>
        <v/>
      </c>
      <c r="J13" s="27">
        <f>IF($C13="","",_xlfn.LET(_xlpm.c,IFERROR(INDEX(rngEPcode,MATCH(cfgGradeSheetExam,IFERROR(rngEPseq+0,-1),0)),""),_xlpm.n,COUNTIFS(nrES_PID,Cadets!$B8,nrES_Code,_xlpm.c,nrES_Att,1),_xlpm.s,COUNTIFS(nrES_PID,Cadets!$B8,nrES_Code,_xlpm.c,nrES_Att,1,nrES_Raw,"&gt;=0"),_xlpm.x,COUNTIFS(nrES_PID,Cadets!$B8,nrES_Code,_xlpm.c,nrES_Att,1,nrES_Absence,"Excused"),_xlpm.u,COUNTIFS(nrES_PID,Cadets!$B8,nrES_Code,_xlpm.c,nrES_Att,1,nrES_Absence,"Unexcused"),IF(_xlpm.u&gt;0,"Unexcused",IF(_xlpm.x&gt;0,IF(_xlpm.s&gt;0,"Excused - taken later","Excused - pending"),IF(OR(_xlpm.n=0,_xlpm.s&gt;0),"","No score recorded")))))</f>
        <v/>
      </c>
    </row>
    <row r="14">
      <c r="B14" s="27">
        <f>IF(Cadets!$B9="","",ROW()-10)</f>
        <v/>
      </c>
      <c r="C14" s="26">
        <f>IF(Cadets!$B9="","",Cadets!$F9)</f>
        <v/>
      </c>
      <c r="D14" s="27">
        <f>IF($C14="","",Cadets!$B9)</f>
        <v/>
      </c>
      <c r="E14" s="27">
        <f>IF($C14="","",Cadets!$H9)</f>
        <v/>
      </c>
      <c r="F14" s="27">
        <f>IF($C14="","",_xlfn.LET(_xlpm.c,IFERROR(INDEX(rngEPcode,MATCH(cfgGradeSheetExam,IFERROR(rngEPseq+0,-1),0)),""),IF(COUNTIFS(nrES_PID,Cadets!$B9,nrES_Code,_xlpm.c,nrES_Att,1,nrES_Raw,"&gt;=0")=0,"",SUMIFS(nrES_Raw,nrES_PID,Cadets!$B9,nrES_Code,_xlpm.c,nrES_Att,1))))</f>
        <v/>
      </c>
      <c r="G14" s="27">
        <f>IF($C14="","",_xlfn.LET(_xlpm.c,IFERROR(INDEX(rngEPcode,MATCH(cfgGradeSheetExam,IFERROR(rngEPseq+0,-1),0)),""),IF(COUNTIFS(nrES_PID,Cadets!$B9,nrES_Code,_xlpm.c,nrES_Final,"Yes",nrES_Rec,"&gt;=0")=0,"",SUMIFS(nrES_Rec,nrES_PID,Cadets!$B9,nrES_Code,_xlpm.c,nrES_Final,"Yes"))))</f>
        <v/>
      </c>
      <c r="H14" s="27">
        <f>IF(OR($C14="",$G14=""),"",IF($G14&gt;=IFERROR(INDEX(rngEPpass,MATCH(cfgGradeSheetExam,IFERROR(rngEPseq+0,-1),0)),cfgPassingScore),"Pass","FAIL"))</f>
        <v/>
      </c>
      <c r="I14" s="27">
        <f>IF($C14="","",_xlfn.LET(_xlpm.c,IFERROR(INDEX(rngEPcode,MATCH(cfgGradeSheetExam,IFERROR(rngEPseq+0,-1),0)),""),IF(COUNTIFS(nrES_PID,Cadets!$B9,nrES_Code,_xlpm.c,nrES_Att,2,nrES_Raw,"&gt;=0")&gt;0,"Retested","")))</f>
        <v/>
      </c>
      <c r="J14" s="27">
        <f>IF($C14="","",_xlfn.LET(_xlpm.c,IFERROR(INDEX(rngEPcode,MATCH(cfgGradeSheetExam,IFERROR(rngEPseq+0,-1),0)),""),_xlpm.n,COUNTIFS(nrES_PID,Cadets!$B9,nrES_Code,_xlpm.c,nrES_Att,1),_xlpm.s,COUNTIFS(nrES_PID,Cadets!$B9,nrES_Code,_xlpm.c,nrES_Att,1,nrES_Raw,"&gt;=0"),_xlpm.x,COUNTIFS(nrES_PID,Cadets!$B9,nrES_Code,_xlpm.c,nrES_Att,1,nrES_Absence,"Excused"),_xlpm.u,COUNTIFS(nrES_PID,Cadets!$B9,nrES_Code,_xlpm.c,nrES_Att,1,nrES_Absence,"Unexcused"),IF(_xlpm.u&gt;0,"Unexcused",IF(_xlpm.x&gt;0,IF(_xlpm.s&gt;0,"Excused - taken later","Excused - pending"),IF(OR(_xlpm.n=0,_xlpm.s&gt;0),"","No score recorded")))))</f>
        <v/>
      </c>
    </row>
    <row r="15">
      <c r="B15" s="27">
        <f>IF(Cadets!$B10="","",ROW()-10)</f>
        <v/>
      </c>
      <c r="C15" s="26">
        <f>IF(Cadets!$B10="","",Cadets!$F10)</f>
        <v/>
      </c>
      <c r="D15" s="27">
        <f>IF($C15="","",Cadets!$B10)</f>
        <v/>
      </c>
      <c r="E15" s="27">
        <f>IF($C15="","",Cadets!$H10)</f>
        <v/>
      </c>
      <c r="F15" s="27">
        <f>IF($C15="","",_xlfn.LET(_xlpm.c,IFERROR(INDEX(rngEPcode,MATCH(cfgGradeSheetExam,IFERROR(rngEPseq+0,-1),0)),""),IF(COUNTIFS(nrES_PID,Cadets!$B10,nrES_Code,_xlpm.c,nrES_Att,1,nrES_Raw,"&gt;=0")=0,"",SUMIFS(nrES_Raw,nrES_PID,Cadets!$B10,nrES_Code,_xlpm.c,nrES_Att,1))))</f>
        <v/>
      </c>
      <c r="G15" s="27">
        <f>IF($C15="","",_xlfn.LET(_xlpm.c,IFERROR(INDEX(rngEPcode,MATCH(cfgGradeSheetExam,IFERROR(rngEPseq+0,-1),0)),""),IF(COUNTIFS(nrES_PID,Cadets!$B10,nrES_Code,_xlpm.c,nrES_Final,"Yes",nrES_Rec,"&gt;=0")=0,"",SUMIFS(nrES_Rec,nrES_PID,Cadets!$B10,nrES_Code,_xlpm.c,nrES_Final,"Yes"))))</f>
        <v/>
      </c>
      <c r="H15" s="27">
        <f>IF(OR($C15="",$G15=""),"",IF($G15&gt;=IFERROR(INDEX(rngEPpass,MATCH(cfgGradeSheetExam,IFERROR(rngEPseq+0,-1),0)),cfgPassingScore),"Pass","FAIL"))</f>
        <v/>
      </c>
      <c r="I15" s="27">
        <f>IF($C15="","",_xlfn.LET(_xlpm.c,IFERROR(INDEX(rngEPcode,MATCH(cfgGradeSheetExam,IFERROR(rngEPseq+0,-1),0)),""),IF(COUNTIFS(nrES_PID,Cadets!$B10,nrES_Code,_xlpm.c,nrES_Att,2,nrES_Raw,"&gt;=0")&gt;0,"Retested","")))</f>
        <v/>
      </c>
      <c r="J15" s="27">
        <f>IF($C15="","",_xlfn.LET(_xlpm.c,IFERROR(INDEX(rngEPcode,MATCH(cfgGradeSheetExam,IFERROR(rngEPseq+0,-1),0)),""),_xlpm.n,COUNTIFS(nrES_PID,Cadets!$B10,nrES_Code,_xlpm.c,nrES_Att,1),_xlpm.s,COUNTIFS(nrES_PID,Cadets!$B10,nrES_Code,_xlpm.c,nrES_Att,1,nrES_Raw,"&gt;=0"),_xlpm.x,COUNTIFS(nrES_PID,Cadets!$B10,nrES_Code,_xlpm.c,nrES_Att,1,nrES_Absence,"Excused"),_xlpm.u,COUNTIFS(nrES_PID,Cadets!$B10,nrES_Code,_xlpm.c,nrES_Att,1,nrES_Absence,"Unexcused"),IF(_xlpm.u&gt;0,"Unexcused",IF(_xlpm.x&gt;0,IF(_xlpm.s&gt;0,"Excused - taken later","Excused - pending"),IF(OR(_xlpm.n=0,_xlpm.s&gt;0),"","No score recorded")))))</f>
        <v/>
      </c>
    </row>
    <row r="16">
      <c r="B16" s="27">
        <f>IF(Cadets!$B11="","",ROW()-10)</f>
        <v/>
      </c>
      <c r="C16" s="26">
        <f>IF(Cadets!$B11="","",Cadets!$F11)</f>
        <v/>
      </c>
      <c r="D16" s="27">
        <f>IF($C16="","",Cadets!$B11)</f>
        <v/>
      </c>
      <c r="E16" s="27">
        <f>IF($C16="","",Cadets!$H11)</f>
        <v/>
      </c>
      <c r="F16" s="27">
        <f>IF($C16="","",_xlfn.LET(_xlpm.c,IFERROR(INDEX(rngEPcode,MATCH(cfgGradeSheetExam,IFERROR(rngEPseq+0,-1),0)),""),IF(COUNTIFS(nrES_PID,Cadets!$B11,nrES_Code,_xlpm.c,nrES_Att,1,nrES_Raw,"&gt;=0")=0,"",SUMIFS(nrES_Raw,nrES_PID,Cadets!$B11,nrES_Code,_xlpm.c,nrES_Att,1))))</f>
        <v/>
      </c>
      <c r="G16" s="27">
        <f>IF($C16="","",_xlfn.LET(_xlpm.c,IFERROR(INDEX(rngEPcode,MATCH(cfgGradeSheetExam,IFERROR(rngEPseq+0,-1),0)),""),IF(COUNTIFS(nrES_PID,Cadets!$B11,nrES_Code,_xlpm.c,nrES_Final,"Yes",nrES_Rec,"&gt;=0")=0,"",SUMIFS(nrES_Rec,nrES_PID,Cadets!$B11,nrES_Code,_xlpm.c,nrES_Final,"Yes"))))</f>
        <v/>
      </c>
      <c r="H16" s="27">
        <f>IF(OR($C16="",$G16=""),"",IF($G16&gt;=IFERROR(INDEX(rngEPpass,MATCH(cfgGradeSheetExam,IFERROR(rngEPseq+0,-1),0)),cfgPassingScore),"Pass","FAIL"))</f>
        <v/>
      </c>
      <c r="I16" s="27">
        <f>IF($C16="","",_xlfn.LET(_xlpm.c,IFERROR(INDEX(rngEPcode,MATCH(cfgGradeSheetExam,IFERROR(rngEPseq+0,-1),0)),""),IF(COUNTIFS(nrES_PID,Cadets!$B11,nrES_Code,_xlpm.c,nrES_Att,2,nrES_Raw,"&gt;=0")&gt;0,"Retested","")))</f>
        <v/>
      </c>
      <c r="J16" s="27">
        <f>IF($C16="","",_xlfn.LET(_xlpm.c,IFERROR(INDEX(rngEPcode,MATCH(cfgGradeSheetExam,IFERROR(rngEPseq+0,-1),0)),""),_xlpm.n,COUNTIFS(nrES_PID,Cadets!$B11,nrES_Code,_xlpm.c,nrES_Att,1),_xlpm.s,COUNTIFS(nrES_PID,Cadets!$B11,nrES_Code,_xlpm.c,nrES_Att,1,nrES_Raw,"&gt;=0"),_xlpm.x,COUNTIFS(nrES_PID,Cadets!$B11,nrES_Code,_xlpm.c,nrES_Att,1,nrES_Absence,"Excused"),_xlpm.u,COUNTIFS(nrES_PID,Cadets!$B11,nrES_Code,_xlpm.c,nrES_Att,1,nrES_Absence,"Unexcused"),IF(_xlpm.u&gt;0,"Unexcused",IF(_xlpm.x&gt;0,IF(_xlpm.s&gt;0,"Excused - taken later","Excused - pending"),IF(OR(_xlpm.n=0,_xlpm.s&gt;0),"","No score recorded")))))</f>
        <v/>
      </c>
    </row>
    <row r="17">
      <c r="B17" s="27">
        <f>IF(Cadets!$B12="","",ROW()-10)</f>
        <v/>
      </c>
      <c r="C17" s="26">
        <f>IF(Cadets!$B12="","",Cadets!$F12)</f>
        <v/>
      </c>
      <c r="D17" s="27">
        <f>IF($C17="","",Cadets!$B12)</f>
        <v/>
      </c>
      <c r="E17" s="27">
        <f>IF($C17="","",Cadets!$H12)</f>
        <v/>
      </c>
      <c r="F17" s="27">
        <f>IF($C17="","",_xlfn.LET(_xlpm.c,IFERROR(INDEX(rngEPcode,MATCH(cfgGradeSheetExam,IFERROR(rngEPseq+0,-1),0)),""),IF(COUNTIFS(nrES_PID,Cadets!$B12,nrES_Code,_xlpm.c,nrES_Att,1,nrES_Raw,"&gt;=0")=0,"",SUMIFS(nrES_Raw,nrES_PID,Cadets!$B12,nrES_Code,_xlpm.c,nrES_Att,1))))</f>
        <v/>
      </c>
      <c r="G17" s="27">
        <f>IF($C17="","",_xlfn.LET(_xlpm.c,IFERROR(INDEX(rngEPcode,MATCH(cfgGradeSheetExam,IFERROR(rngEPseq+0,-1),0)),""),IF(COUNTIFS(nrES_PID,Cadets!$B12,nrES_Code,_xlpm.c,nrES_Final,"Yes",nrES_Rec,"&gt;=0")=0,"",SUMIFS(nrES_Rec,nrES_PID,Cadets!$B12,nrES_Code,_xlpm.c,nrES_Final,"Yes"))))</f>
        <v/>
      </c>
      <c r="H17" s="27">
        <f>IF(OR($C17="",$G17=""),"",IF($G17&gt;=IFERROR(INDEX(rngEPpass,MATCH(cfgGradeSheetExam,IFERROR(rngEPseq+0,-1),0)),cfgPassingScore),"Pass","FAIL"))</f>
        <v/>
      </c>
      <c r="I17" s="27">
        <f>IF($C17="","",_xlfn.LET(_xlpm.c,IFERROR(INDEX(rngEPcode,MATCH(cfgGradeSheetExam,IFERROR(rngEPseq+0,-1),0)),""),IF(COUNTIFS(nrES_PID,Cadets!$B12,nrES_Code,_xlpm.c,nrES_Att,2,nrES_Raw,"&gt;=0")&gt;0,"Retested","")))</f>
        <v/>
      </c>
      <c r="J17" s="27">
        <f>IF($C17="","",_xlfn.LET(_xlpm.c,IFERROR(INDEX(rngEPcode,MATCH(cfgGradeSheetExam,IFERROR(rngEPseq+0,-1),0)),""),_xlpm.n,COUNTIFS(nrES_PID,Cadets!$B12,nrES_Code,_xlpm.c,nrES_Att,1),_xlpm.s,COUNTIFS(nrES_PID,Cadets!$B12,nrES_Code,_xlpm.c,nrES_Att,1,nrES_Raw,"&gt;=0"),_xlpm.x,COUNTIFS(nrES_PID,Cadets!$B12,nrES_Code,_xlpm.c,nrES_Att,1,nrES_Absence,"Excused"),_xlpm.u,COUNTIFS(nrES_PID,Cadets!$B12,nrES_Code,_xlpm.c,nrES_Att,1,nrES_Absence,"Unexcused"),IF(_xlpm.u&gt;0,"Unexcused",IF(_xlpm.x&gt;0,IF(_xlpm.s&gt;0,"Excused - taken later","Excused - pending"),IF(OR(_xlpm.n=0,_xlpm.s&gt;0),"","No score recorded")))))</f>
        <v/>
      </c>
    </row>
    <row r="18">
      <c r="B18" s="27">
        <f>IF(Cadets!$B13="","",ROW()-10)</f>
        <v/>
      </c>
      <c r="C18" s="26">
        <f>IF(Cadets!$B13="","",Cadets!$F13)</f>
        <v/>
      </c>
      <c r="D18" s="27">
        <f>IF($C18="","",Cadets!$B13)</f>
        <v/>
      </c>
      <c r="E18" s="27">
        <f>IF($C18="","",Cadets!$H13)</f>
        <v/>
      </c>
      <c r="F18" s="27">
        <f>IF($C18="","",_xlfn.LET(_xlpm.c,IFERROR(INDEX(rngEPcode,MATCH(cfgGradeSheetExam,IFERROR(rngEPseq+0,-1),0)),""),IF(COUNTIFS(nrES_PID,Cadets!$B13,nrES_Code,_xlpm.c,nrES_Att,1,nrES_Raw,"&gt;=0")=0,"",SUMIFS(nrES_Raw,nrES_PID,Cadets!$B13,nrES_Code,_xlpm.c,nrES_Att,1))))</f>
        <v/>
      </c>
      <c r="G18" s="27">
        <f>IF($C18="","",_xlfn.LET(_xlpm.c,IFERROR(INDEX(rngEPcode,MATCH(cfgGradeSheetExam,IFERROR(rngEPseq+0,-1),0)),""),IF(COUNTIFS(nrES_PID,Cadets!$B13,nrES_Code,_xlpm.c,nrES_Final,"Yes",nrES_Rec,"&gt;=0")=0,"",SUMIFS(nrES_Rec,nrES_PID,Cadets!$B13,nrES_Code,_xlpm.c,nrES_Final,"Yes"))))</f>
        <v/>
      </c>
      <c r="H18" s="27">
        <f>IF(OR($C18="",$G18=""),"",IF($G18&gt;=IFERROR(INDEX(rngEPpass,MATCH(cfgGradeSheetExam,IFERROR(rngEPseq+0,-1),0)),cfgPassingScore),"Pass","FAIL"))</f>
        <v/>
      </c>
      <c r="I18" s="27">
        <f>IF($C18="","",_xlfn.LET(_xlpm.c,IFERROR(INDEX(rngEPcode,MATCH(cfgGradeSheetExam,IFERROR(rngEPseq+0,-1),0)),""),IF(COUNTIFS(nrES_PID,Cadets!$B13,nrES_Code,_xlpm.c,nrES_Att,2,nrES_Raw,"&gt;=0")&gt;0,"Retested","")))</f>
        <v/>
      </c>
      <c r="J18" s="27">
        <f>IF($C18="","",_xlfn.LET(_xlpm.c,IFERROR(INDEX(rngEPcode,MATCH(cfgGradeSheetExam,IFERROR(rngEPseq+0,-1),0)),""),_xlpm.n,COUNTIFS(nrES_PID,Cadets!$B13,nrES_Code,_xlpm.c,nrES_Att,1),_xlpm.s,COUNTIFS(nrES_PID,Cadets!$B13,nrES_Code,_xlpm.c,nrES_Att,1,nrES_Raw,"&gt;=0"),_xlpm.x,COUNTIFS(nrES_PID,Cadets!$B13,nrES_Code,_xlpm.c,nrES_Att,1,nrES_Absence,"Excused"),_xlpm.u,COUNTIFS(nrES_PID,Cadets!$B13,nrES_Code,_xlpm.c,nrES_Att,1,nrES_Absence,"Unexcused"),IF(_xlpm.u&gt;0,"Unexcused",IF(_xlpm.x&gt;0,IF(_xlpm.s&gt;0,"Excused - taken later","Excused - pending"),IF(OR(_xlpm.n=0,_xlpm.s&gt;0),"","No score recorded")))))</f>
        <v/>
      </c>
    </row>
    <row r="19">
      <c r="B19" s="27">
        <f>IF(Cadets!$B14="","",ROW()-10)</f>
        <v/>
      </c>
      <c r="C19" s="26">
        <f>IF(Cadets!$B14="","",Cadets!$F14)</f>
        <v/>
      </c>
      <c r="D19" s="27">
        <f>IF($C19="","",Cadets!$B14)</f>
        <v/>
      </c>
      <c r="E19" s="27">
        <f>IF($C19="","",Cadets!$H14)</f>
        <v/>
      </c>
      <c r="F19" s="27">
        <f>IF($C19="","",_xlfn.LET(_xlpm.c,IFERROR(INDEX(rngEPcode,MATCH(cfgGradeSheetExam,IFERROR(rngEPseq+0,-1),0)),""),IF(COUNTIFS(nrES_PID,Cadets!$B14,nrES_Code,_xlpm.c,nrES_Att,1,nrES_Raw,"&gt;=0")=0,"",SUMIFS(nrES_Raw,nrES_PID,Cadets!$B14,nrES_Code,_xlpm.c,nrES_Att,1))))</f>
        <v/>
      </c>
      <c r="G19" s="27">
        <f>IF($C19="","",_xlfn.LET(_xlpm.c,IFERROR(INDEX(rngEPcode,MATCH(cfgGradeSheetExam,IFERROR(rngEPseq+0,-1),0)),""),IF(COUNTIFS(nrES_PID,Cadets!$B14,nrES_Code,_xlpm.c,nrES_Final,"Yes",nrES_Rec,"&gt;=0")=0,"",SUMIFS(nrES_Rec,nrES_PID,Cadets!$B14,nrES_Code,_xlpm.c,nrES_Final,"Yes"))))</f>
        <v/>
      </c>
      <c r="H19" s="27">
        <f>IF(OR($C19="",$G19=""),"",IF($G19&gt;=IFERROR(INDEX(rngEPpass,MATCH(cfgGradeSheetExam,IFERROR(rngEPseq+0,-1),0)),cfgPassingScore),"Pass","FAIL"))</f>
        <v/>
      </c>
      <c r="I19" s="27">
        <f>IF($C19="","",_xlfn.LET(_xlpm.c,IFERROR(INDEX(rngEPcode,MATCH(cfgGradeSheetExam,IFERROR(rngEPseq+0,-1),0)),""),IF(COUNTIFS(nrES_PID,Cadets!$B14,nrES_Code,_xlpm.c,nrES_Att,2,nrES_Raw,"&gt;=0")&gt;0,"Retested","")))</f>
        <v/>
      </c>
      <c r="J19" s="27">
        <f>IF($C19="","",_xlfn.LET(_xlpm.c,IFERROR(INDEX(rngEPcode,MATCH(cfgGradeSheetExam,IFERROR(rngEPseq+0,-1),0)),""),_xlpm.n,COUNTIFS(nrES_PID,Cadets!$B14,nrES_Code,_xlpm.c,nrES_Att,1),_xlpm.s,COUNTIFS(nrES_PID,Cadets!$B14,nrES_Code,_xlpm.c,nrES_Att,1,nrES_Raw,"&gt;=0"),_xlpm.x,COUNTIFS(nrES_PID,Cadets!$B14,nrES_Code,_xlpm.c,nrES_Att,1,nrES_Absence,"Excused"),_xlpm.u,COUNTIFS(nrES_PID,Cadets!$B14,nrES_Code,_xlpm.c,nrES_Att,1,nrES_Absence,"Unexcused"),IF(_xlpm.u&gt;0,"Unexcused",IF(_xlpm.x&gt;0,IF(_xlpm.s&gt;0,"Excused - taken later","Excused - pending"),IF(OR(_xlpm.n=0,_xlpm.s&gt;0),"","No score recorded")))))</f>
        <v/>
      </c>
    </row>
    <row r="20">
      <c r="B20" s="27">
        <f>IF(Cadets!$B15="","",ROW()-10)</f>
        <v/>
      </c>
      <c r="C20" s="26">
        <f>IF(Cadets!$B15="","",Cadets!$F15)</f>
        <v/>
      </c>
      <c r="D20" s="27">
        <f>IF($C20="","",Cadets!$B15)</f>
        <v/>
      </c>
      <c r="E20" s="27">
        <f>IF($C20="","",Cadets!$H15)</f>
        <v/>
      </c>
      <c r="F20" s="27">
        <f>IF($C20="","",_xlfn.LET(_xlpm.c,IFERROR(INDEX(rngEPcode,MATCH(cfgGradeSheetExam,IFERROR(rngEPseq+0,-1),0)),""),IF(COUNTIFS(nrES_PID,Cadets!$B15,nrES_Code,_xlpm.c,nrES_Att,1,nrES_Raw,"&gt;=0")=0,"",SUMIFS(nrES_Raw,nrES_PID,Cadets!$B15,nrES_Code,_xlpm.c,nrES_Att,1))))</f>
        <v/>
      </c>
      <c r="G20" s="27">
        <f>IF($C20="","",_xlfn.LET(_xlpm.c,IFERROR(INDEX(rngEPcode,MATCH(cfgGradeSheetExam,IFERROR(rngEPseq+0,-1),0)),""),IF(COUNTIFS(nrES_PID,Cadets!$B15,nrES_Code,_xlpm.c,nrES_Final,"Yes",nrES_Rec,"&gt;=0")=0,"",SUMIFS(nrES_Rec,nrES_PID,Cadets!$B15,nrES_Code,_xlpm.c,nrES_Final,"Yes"))))</f>
        <v/>
      </c>
      <c r="H20" s="27">
        <f>IF(OR($C20="",$G20=""),"",IF($G20&gt;=IFERROR(INDEX(rngEPpass,MATCH(cfgGradeSheetExam,IFERROR(rngEPseq+0,-1),0)),cfgPassingScore),"Pass","FAIL"))</f>
        <v/>
      </c>
      <c r="I20" s="27">
        <f>IF($C20="","",_xlfn.LET(_xlpm.c,IFERROR(INDEX(rngEPcode,MATCH(cfgGradeSheetExam,IFERROR(rngEPseq+0,-1),0)),""),IF(COUNTIFS(nrES_PID,Cadets!$B15,nrES_Code,_xlpm.c,nrES_Att,2,nrES_Raw,"&gt;=0")&gt;0,"Retested","")))</f>
        <v/>
      </c>
      <c r="J20" s="27">
        <f>IF($C20="","",_xlfn.LET(_xlpm.c,IFERROR(INDEX(rngEPcode,MATCH(cfgGradeSheetExam,IFERROR(rngEPseq+0,-1),0)),""),_xlpm.n,COUNTIFS(nrES_PID,Cadets!$B15,nrES_Code,_xlpm.c,nrES_Att,1),_xlpm.s,COUNTIFS(nrES_PID,Cadets!$B15,nrES_Code,_xlpm.c,nrES_Att,1,nrES_Raw,"&gt;=0"),_xlpm.x,COUNTIFS(nrES_PID,Cadets!$B15,nrES_Code,_xlpm.c,nrES_Att,1,nrES_Absence,"Excused"),_xlpm.u,COUNTIFS(nrES_PID,Cadets!$B15,nrES_Code,_xlpm.c,nrES_Att,1,nrES_Absence,"Unexcused"),IF(_xlpm.u&gt;0,"Unexcused",IF(_xlpm.x&gt;0,IF(_xlpm.s&gt;0,"Excused - taken later","Excused - pending"),IF(OR(_xlpm.n=0,_xlpm.s&gt;0),"","No score recorded")))))</f>
        <v/>
      </c>
    </row>
    <row r="21">
      <c r="B21" s="27">
        <f>IF(Cadets!$B16="","",ROW()-10)</f>
        <v/>
      </c>
      <c r="C21" s="26">
        <f>IF(Cadets!$B16="","",Cadets!$F16)</f>
        <v/>
      </c>
      <c r="D21" s="27">
        <f>IF($C21="","",Cadets!$B16)</f>
        <v/>
      </c>
      <c r="E21" s="27">
        <f>IF($C21="","",Cadets!$H16)</f>
        <v/>
      </c>
      <c r="F21" s="27">
        <f>IF($C21="","",_xlfn.LET(_xlpm.c,IFERROR(INDEX(rngEPcode,MATCH(cfgGradeSheetExam,IFERROR(rngEPseq+0,-1),0)),""),IF(COUNTIFS(nrES_PID,Cadets!$B16,nrES_Code,_xlpm.c,nrES_Att,1,nrES_Raw,"&gt;=0")=0,"",SUMIFS(nrES_Raw,nrES_PID,Cadets!$B16,nrES_Code,_xlpm.c,nrES_Att,1))))</f>
        <v/>
      </c>
      <c r="G21" s="27">
        <f>IF($C21="","",_xlfn.LET(_xlpm.c,IFERROR(INDEX(rngEPcode,MATCH(cfgGradeSheetExam,IFERROR(rngEPseq+0,-1),0)),""),IF(COUNTIFS(nrES_PID,Cadets!$B16,nrES_Code,_xlpm.c,nrES_Final,"Yes",nrES_Rec,"&gt;=0")=0,"",SUMIFS(nrES_Rec,nrES_PID,Cadets!$B16,nrES_Code,_xlpm.c,nrES_Final,"Yes"))))</f>
        <v/>
      </c>
      <c r="H21" s="27">
        <f>IF(OR($C21="",$G21=""),"",IF($G21&gt;=IFERROR(INDEX(rngEPpass,MATCH(cfgGradeSheetExam,IFERROR(rngEPseq+0,-1),0)),cfgPassingScore),"Pass","FAIL"))</f>
        <v/>
      </c>
      <c r="I21" s="27">
        <f>IF($C21="","",_xlfn.LET(_xlpm.c,IFERROR(INDEX(rngEPcode,MATCH(cfgGradeSheetExam,IFERROR(rngEPseq+0,-1),0)),""),IF(COUNTIFS(nrES_PID,Cadets!$B16,nrES_Code,_xlpm.c,nrES_Att,2,nrES_Raw,"&gt;=0")&gt;0,"Retested","")))</f>
        <v/>
      </c>
      <c r="J21" s="27">
        <f>IF($C21="","",_xlfn.LET(_xlpm.c,IFERROR(INDEX(rngEPcode,MATCH(cfgGradeSheetExam,IFERROR(rngEPseq+0,-1),0)),""),_xlpm.n,COUNTIFS(nrES_PID,Cadets!$B16,nrES_Code,_xlpm.c,nrES_Att,1),_xlpm.s,COUNTIFS(nrES_PID,Cadets!$B16,nrES_Code,_xlpm.c,nrES_Att,1,nrES_Raw,"&gt;=0"),_xlpm.x,COUNTIFS(nrES_PID,Cadets!$B16,nrES_Code,_xlpm.c,nrES_Att,1,nrES_Absence,"Excused"),_xlpm.u,COUNTIFS(nrES_PID,Cadets!$B16,nrES_Code,_xlpm.c,nrES_Att,1,nrES_Absence,"Unexcused"),IF(_xlpm.u&gt;0,"Unexcused",IF(_xlpm.x&gt;0,IF(_xlpm.s&gt;0,"Excused - taken later","Excused - pending"),IF(OR(_xlpm.n=0,_xlpm.s&gt;0),"","No score recorded")))))</f>
        <v/>
      </c>
    </row>
    <row r="22">
      <c r="B22" s="27">
        <f>IF(Cadets!$B17="","",ROW()-10)</f>
        <v/>
      </c>
      <c r="C22" s="26">
        <f>IF(Cadets!$B17="","",Cadets!$F17)</f>
        <v/>
      </c>
      <c r="D22" s="27">
        <f>IF($C22="","",Cadets!$B17)</f>
        <v/>
      </c>
      <c r="E22" s="27">
        <f>IF($C22="","",Cadets!$H17)</f>
        <v/>
      </c>
      <c r="F22" s="27">
        <f>IF($C22="","",_xlfn.LET(_xlpm.c,IFERROR(INDEX(rngEPcode,MATCH(cfgGradeSheetExam,IFERROR(rngEPseq+0,-1),0)),""),IF(COUNTIFS(nrES_PID,Cadets!$B17,nrES_Code,_xlpm.c,nrES_Att,1,nrES_Raw,"&gt;=0")=0,"",SUMIFS(nrES_Raw,nrES_PID,Cadets!$B17,nrES_Code,_xlpm.c,nrES_Att,1))))</f>
        <v/>
      </c>
      <c r="G22" s="27">
        <f>IF($C22="","",_xlfn.LET(_xlpm.c,IFERROR(INDEX(rngEPcode,MATCH(cfgGradeSheetExam,IFERROR(rngEPseq+0,-1),0)),""),IF(COUNTIFS(nrES_PID,Cadets!$B17,nrES_Code,_xlpm.c,nrES_Final,"Yes",nrES_Rec,"&gt;=0")=0,"",SUMIFS(nrES_Rec,nrES_PID,Cadets!$B17,nrES_Code,_xlpm.c,nrES_Final,"Yes"))))</f>
        <v/>
      </c>
      <c r="H22" s="27">
        <f>IF(OR($C22="",$G22=""),"",IF($G22&gt;=IFERROR(INDEX(rngEPpass,MATCH(cfgGradeSheetExam,IFERROR(rngEPseq+0,-1),0)),cfgPassingScore),"Pass","FAIL"))</f>
        <v/>
      </c>
      <c r="I22" s="27">
        <f>IF($C22="","",_xlfn.LET(_xlpm.c,IFERROR(INDEX(rngEPcode,MATCH(cfgGradeSheetExam,IFERROR(rngEPseq+0,-1),0)),""),IF(COUNTIFS(nrES_PID,Cadets!$B17,nrES_Code,_xlpm.c,nrES_Att,2,nrES_Raw,"&gt;=0")&gt;0,"Retested","")))</f>
        <v/>
      </c>
      <c r="J22" s="27">
        <f>IF($C22="","",_xlfn.LET(_xlpm.c,IFERROR(INDEX(rngEPcode,MATCH(cfgGradeSheetExam,IFERROR(rngEPseq+0,-1),0)),""),_xlpm.n,COUNTIFS(nrES_PID,Cadets!$B17,nrES_Code,_xlpm.c,nrES_Att,1),_xlpm.s,COUNTIFS(nrES_PID,Cadets!$B17,nrES_Code,_xlpm.c,nrES_Att,1,nrES_Raw,"&gt;=0"),_xlpm.x,COUNTIFS(nrES_PID,Cadets!$B17,nrES_Code,_xlpm.c,nrES_Att,1,nrES_Absence,"Excused"),_xlpm.u,COUNTIFS(nrES_PID,Cadets!$B17,nrES_Code,_xlpm.c,nrES_Att,1,nrES_Absence,"Unexcused"),IF(_xlpm.u&gt;0,"Unexcused",IF(_xlpm.x&gt;0,IF(_xlpm.s&gt;0,"Excused - taken later","Excused - pending"),IF(OR(_xlpm.n=0,_xlpm.s&gt;0),"","No score recorded")))))</f>
        <v/>
      </c>
    </row>
    <row r="23">
      <c r="B23" s="27">
        <f>IF(Cadets!$B18="","",ROW()-10)</f>
        <v/>
      </c>
      <c r="C23" s="26">
        <f>IF(Cadets!$B18="","",Cadets!$F18)</f>
        <v/>
      </c>
      <c r="D23" s="27">
        <f>IF($C23="","",Cadets!$B18)</f>
        <v/>
      </c>
      <c r="E23" s="27">
        <f>IF($C23="","",Cadets!$H18)</f>
        <v/>
      </c>
      <c r="F23" s="27">
        <f>IF($C23="","",_xlfn.LET(_xlpm.c,IFERROR(INDEX(rngEPcode,MATCH(cfgGradeSheetExam,IFERROR(rngEPseq+0,-1),0)),""),IF(COUNTIFS(nrES_PID,Cadets!$B18,nrES_Code,_xlpm.c,nrES_Att,1,nrES_Raw,"&gt;=0")=0,"",SUMIFS(nrES_Raw,nrES_PID,Cadets!$B18,nrES_Code,_xlpm.c,nrES_Att,1))))</f>
        <v/>
      </c>
      <c r="G23" s="27">
        <f>IF($C23="","",_xlfn.LET(_xlpm.c,IFERROR(INDEX(rngEPcode,MATCH(cfgGradeSheetExam,IFERROR(rngEPseq+0,-1),0)),""),IF(COUNTIFS(nrES_PID,Cadets!$B18,nrES_Code,_xlpm.c,nrES_Final,"Yes",nrES_Rec,"&gt;=0")=0,"",SUMIFS(nrES_Rec,nrES_PID,Cadets!$B18,nrES_Code,_xlpm.c,nrES_Final,"Yes"))))</f>
        <v/>
      </c>
      <c r="H23" s="27">
        <f>IF(OR($C23="",$G23=""),"",IF($G23&gt;=IFERROR(INDEX(rngEPpass,MATCH(cfgGradeSheetExam,IFERROR(rngEPseq+0,-1),0)),cfgPassingScore),"Pass","FAIL"))</f>
        <v/>
      </c>
      <c r="I23" s="27">
        <f>IF($C23="","",_xlfn.LET(_xlpm.c,IFERROR(INDEX(rngEPcode,MATCH(cfgGradeSheetExam,IFERROR(rngEPseq+0,-1),0)),""),IF(COUNTIFS(nrES_PID,Cadets!$B18,nrES_Code,_xlpm.c,nrES_Att,2,nrES_Raw,"&gt;=0")&gt;0,"Retested","")))</f>
        <v/>
      </c>
      <c r="J23" s="27">
        <f>IF($C23="","",_xlfn.LET(_xlpm.c,IFERROR(INDEX(rngEPcode,MATCH(cfgGradeSheetExam,IFERROR(rngEPseq+0,-1),0)),""),_xlpm.n,COUNTIFS(nrES_PID,Cadets!$B18,nrES_Code,_xlpm.c,nrES_Att,1),_xlpm.s,COUNTIFS(nrES_PID,Cadets!$B18,nrES_Code,_xlpm.c,nrES_Att,1,nrES_Raw,"&gt;=0"),_xlpm.x,COUNTIFS(nrES_PID,Cadets!$B18,nrES_Code,_xlpm.c,nrES_Att,1,nrES_Absence,"Excused"),_xlpm.u,COUNTIFS(nrES_PID,Cadets!$B18,nrES_Code,_xlpm.c,nrES_Att,1,nrES_Absence,"Unexcused"),IF(_xlpm.u&gt;0,"Unexcused",IF(_xlpm.x&gt;0,IF(_xlpm.s&gt;0,"Excused - taken later","Excused - pending"),IF(OR(_xlpm.n=0,_xlpm.s&gt;0),"","No score recorded")))))</f>
        <v/>
      </c>
    </row>
    <row r="24">
      <c r="B24" s="27">
        <f>IF(Cadets!$B19="","",ROW()-10)</f>
        <v/>
      </c>
      <c r="C24" s="26">
        <f>IF(Cadets!$B19="","",Cadets!$F19)</f>
        <v/>
      </c>
      <c r="D24" s="27">
        <f>IF($C24="","",Cadets!$B19)</f>
        <v/>
      </c>
      <c r="E24" s="27">
        <f>IF($C24="","",Cadets!$H19)</f>
        <v/>
      </c>
      <c r="F24" s="27">
        <f>IF($C24="","",_xlfn.LET(_xlpm.c,IFERROR(INDEX(rngEPcode,MATCH(cfgGradeSheetExam,IFERROR(rngEPseq+0,-1),0)),""),IF(COUNTIFS(nrES_PID,Cadets!$B19,nrES_Code,_xlpm.c,nrES_Att,1,nrES_Raw,"&gt;=0")=0,"",SUMIFS(nrES_Raw,nrES_PID,Cadets!$B19,nrES_Code,_xlpm.c,nrES_Att,1))))</f>
        <v/>
      </c>
      <c r="G24" s="27">
        <f>IF($C24="","",_xlfn.LET(_xlpm.c,IFERROR(INDEX(rngEPcode,MATCH(cfgGradeSheetExam,IFERROR(rngEPseq+0,-1),0)),""),IF(COUNTIFS(nrES_PID,Cadets!$B19,nrES_Code,_xlpm.c,nrES_Final,"Yes",nrES_Rec,"&gt;=0")=0,"",SUMIFS(nrES_Rec,nrES_PID,Cadets!$B19,nrES_Code,_xlpm.c,nrES_Final,"Yes"))))</f>
        <v/>
      </c>
      <c r="H24" s="27">
        <f>IF(OR($C24="",$G24=""),"",IF($G24&gt;=IFERROR(INDEX(rngEPpass,MATCH(cfgGradeSheetExam,IFERROR(rngEPseq+0,-1),0)),cfgPassingScore),"Pass","FAIL"))</f>
        <v/>
      </c>
      <c r="I24" s="27">
        <f>IF($C24="","",_xlfn.LET(_xlpm.c,IFERROR(INDEX(rngEPcode,MATCH(cfgGradeSheetExam,IFERROR(rngEPseq+0,-1),0)),""),IF(COUNTIFS(nrES_PID,Cadets!$B19,nrES_Code,_xlpm.c,nrES_Att,2,nrES_Raw,"&gt;=0")&gt;0,"Retested","")))</f>
        <v/>
      </c>
      <c r="J24" s="27">
        <f>IF($C24="","",_xlfn.LET(_xlpm.c,IFERROR(INDEX(rngEPcode,MATCH(cfgGradeSheetExam,IFERROR(rngEPseq+0,-1),0)),""),_xlpm.n,COUNTIFS(nrES_PID,Cadets!$B19,nrES_Code,_xlpm.c,nrES_Att,1),_xlpm.s,COUNTIFS(nrES_PID,Cadets!$B19,nrES_Code,_xlpm.c,nrES_Att,1,nrES_Raw,"&gt;=0"),_xlpm.x,COUNTIFS(nrES_PID,Cadets!$B19,nrES_Code,_xlpm.c,nrES_Att,1,nrES_Absence,"Excused"),_xlpm.u,COUNTIFS(nrES_PID,Cadets!$B19,nrES_Code,_xlpm.c,nrES_Att,1,nrES_Absence,"Unexcused"),IF(_xlpm.u&gt;0,"Unexcused",IF(_xlpm.x&gt;0,IF(_xlpm.s&gt;0,"Excused - taken later","Excused - pending"),IF(OR(_xlpm.n=0,_xlpm.s&gt;0),"","No score recorded")))))</f>
        <v/>
      </c>
    </row>
    <row r="25">
      <c r="B25" s="27">
        <f>IF(Cadets!$B20="","",ROW()-10)</f>
        <v/>
      </c>
      <c r="C25" s="26">
        <f>IF(Cadets!$B20="","",Cadets!$F20)</f>
        <v/>
      </c>
      <c r="D25" s="27">
        <f>IF($C25="","",Cadets!$B20)</f>
        <v/>
      </c>
      <c r="E25" s="27">
        <f>IF($C25="","",Cadets!$H20)</f>
        <v/>
      </c>
      <c r="F25" s="27">
        <f>IF($C25="","",_xlfn.LET(_xlpm.c,IFERROR(INDEX(rngEPcode,MATCH(cfgGradeSheetExam,IFERROR(rngEPseq+0,-1),0)),""),IF(COUNTIFS(nrES_PID,Cadets!$B20,nrES_Code,_xlpm.c,nrES_Att,1,nrES_Raw,"&gt;=0")=0,"",SUMIFS(nrES_Raw,nrES_PID,Cadets!$B20,nrES_Code,_xlpm.c,nrES_Att,1))))</f>
        <v/>
      </c>
      <c r="G25" s="27">
        <f>IF($C25="","",_xlfn.LET(_xlpm.c,IFERROR(INDEX(rngEPcode,MATCH(cfgGradeSheetExam,IFERROR(rngEPseq+0,-1),0)),""),IF(COUNTIFS(nrES_PID,Cadets!$B20,nrES_Code,_xlpm.c,nrES_Final,"Yes",nrES_Rec,"&gt;=0")=0,"",SUMIFS(nrES_Rec,nrES_PID,Cadets!$B20,nrES_Code,_xlpm.c,nrES_Final,"Yes"))))</f>
        <v/>
      </c>
      <c r="H25" s="27">
        <f>IF(OR($C25="",$G25=""),"",IF($G25&gt;=IFERROR(INDEX(rngEPpass,MATCH(cfgGradeSheetExam,IFERROR(rngEPseq+0,-1),0)),cfgPassingScore),"Pass","FAIL"))</f>
        <v/>
      </c>
      <c r="I25" s="27">
        <f>IF($C25="","",_xlfn.LET(_xlpm.c,IFERROR(INDEX(rngEPcode,MATCH(cfgGradeSheetExam,IFERROR(rngEPseq+0,-1),0)),""),IF(COUNTIFS(nrES_PID,Cadets!$B20,nrES_Code,_xlpm.c,nrES_Att,2,nrES_Raw,"&gt;=0")&gt;0,"Retested","")))</f>
        <v/>
      </c>
      <c r="J25" s="27">
        <f>IF($C25="","",_xlfn.LET(_xlpm.c,IFERROR(INDEX(rngEPcode,MATCH(cfgGradeSheetExam,IFERROR(rngEPseq+0,-1),0)),""),_xlpm.n,COUNTIFS(nrES_PID,Cadets!$B20,nrES_Code,_xlpm.c,nrES_Att,1),_xlpm.s,COUNTIFS(nrES_PID,Cadets!$B20,nrES_Code,_xlpm.c,nrES_Att,1,nrES_Raw,"&gt;=0"),_xlpm.x,COUNTIFS(nrES_PID,Cadets!$B20,nrES_Code,_xlpm.c,nrES_Att,1,nrES_Absence,"Excused"),_xlpm.u,COUNTIFS(nrES_PID,Cadets!$B20,nrES_Code,_xlpm.c,nrES_Att,1,nrES_Absence,"Unexcused"),IF(_xlpm.u&gt;0,"Unexcused",IF(_xlpm.x&gt;0,IF(_xlpm.s&gt;0,"Excused - taken later","Excused - pending"),IF(OR(_xlpm.n=0,_xlpm.s&gt;0),"","No score recorded")))))</f>
        <v/>
      </c>
    </row>
    <row r="26">
      <c r="B26" s="27">
        <f>IF(Cadets!$B21="","",ROW()-10)</f>
        <v/>
      </c>
      <c r="C26" s="26">
        <f>IF(Cadets!$B21="","",Cadets!$F21)</f>
        <v/>
      </c>
      <c r="D26" s="27">
        <f>IF($C26="","",Cadets!$B21)</f>
        <v/>
      </c>
      <c r="E26" s="27">
        <f>IF($C26="","",Cadets!$H21)</f>
        <v/>
      </c>
      <c r="F26" s="27">
        <f>IF($C26="","",_xlfn.LET(_xlpm.c,IFERROR(INDEX(rngEPcode,MATCH(cfgGradeSheetExam,IFERROR(rngEPseq+0,-1),0)),""),IF(COUNTIFS(nrES_PID,Cadets!$B21,nrES_Code,_xlpm.c,nrES_Att,1,nrES_Raw,"&gt;=0")=0,"",SUMIFS(nrES_Raw,nrES_PID,Cadets!$B21,nrES_Code,_xlpm.c,nrES_Att,1))))</f>
        <v/>
      </c>
      <c r="G26" s="27">
        <f>IF($C26="","",_xlfn.LET(_xlpm.c,IFERROR(INDEX(rngEPcode,MATCH(cfgGradeSheetExam,IFERROR(rngEPseq+0,-1),0)),""),IF(COUNTIFS(nrES_PID,Cadets!$B21,nrES_Code,_xlpm.c,nrES_Final,"Yes",nrES_Rec,"&gt;=0")=0,"",SUMIFS(nrES_Rec,nrES_PID,Cadets!$B21,nrES_Code,_xlpm.c,nrES_Final,"Yes"))))</f>
        <v/>
      </c>
      <c r="H26" s="27">
        <f>IF(OR($C26="",$G26=""),"",IF($G26&gt;=IFERROR(INDEX(rngEPpass,MATCH(cfgGradeSheetExam,IFERROR(rngEPseq+0,-1),0)),cfgPassingScore),"Pass","FAIL"))</f>
        <v/>
      </c>
      <c r="I26" s="27">
        <f>IF($C26="","",_xlfn.LET(_xlpm.c,IFERROR(INDEX(rngEPcode,MATCH(cfgGradeSheetExam,IFERROR(rngEPseq+0,-1),0)),""),IF(COUNTIFS(nrES_PID,Cadets!$B21,nrES_Code,_xlpm.c,nrES_Att,2,nrES_Raw,"&gt;=0")&gt;0,"Retested","")))</f>
        <v/>
      </c>
      <c r="J26" s="27">
        <f>IF($C26="","",_xlfn.LET(_xlpm.c,IFERROR(INDEX(rngEPcode,MATCH(cfgGradeSheetExam,IFERROR(rngEPseq+0,-1),0)),""),_xlpm.n,COUNTIFS(nrES_PID,Cadets!$B21,nrES_Code,_xlpm.c,nrES_Att,1),_xlpm.s,COUNTIFS(nrES_PID,Cadets!$B21,nrES_Code,_xlpm.c,nrES_Att,1,nrES_Raw,"&gt;=0"),_xlpm.x,COUNTIFS(nrES_PID,Cadets!$B21,nrES_Code,_xlpm.c,nrES_Att,1,nrES_Absence,"Excused"),_xlpm.u,COUNTIFS(nrES_PID,Cadets!$B21,nrES_Code,_xlpm.c,nrES_Att,1,nrES_Absence,"Unexcused"),IF(_xlpm.u&gt;0,"Unexcused",IF(_xlpm.x&gt;0,IF(_xlpm.s&gt;0,"Excused - taken later","Excused - pending"),IF(OR(_xlpm.n=0,_xlpm.s&gt;0),"","No score recorded")))))</f>
        <v/>
      </c>
    </row>
    <row r="27">
      <c r="B27" s="27">
        <f>IF(Cadets!$B22="","",ROW()-10)</f>
        <v/>
      </c>
      <c r="C27" s="26">
        <f>IF(Cadets!$B22="","",Cadets!$F22)</f>
        <v/>
      </c>
      <c r="D27" s="27">
        <f>IF($C27="","",Cadets!$B22)</f>
        <v/>
      </c>
      <c r="E27" s="27">
        <f>IF($C27="","",Cadets!$H22)</f>
        <v/>
      </c>
      <c r="F27" s="27">
        <f>IF($C27="","",_xlfn.LET(_xlpm.c,IFERROR(INDEX(rngEPcode,MATCH(cfgGradeSheetExam,IFERROR(rngEPseq+0,-1),0)),""),IF(COUNTIFS(nrES_PID,Cadets!$B22,nrES_Code,_xlpm.c,nrES_Att,1,nrES_Raw,"&gt;=0")=0,"",SUMIFS(nrES_Raw,nrES_PID,Cadets!$B22,nrES_Code,_xlpm.c,nrES_Att,1))))</f>
        <v/>
      </c>
      <c r="G27" s="27">
        <f>IF($C27="","",_xlfn.LET(_xlpm.c,IFERROR(INDEX(rngEPcode,MATCH(cfgGradeSheetExam,IFERROR(rngEPseq+0,-1),0)),""),IF(COUNTIFS(nrES_PID,Cadets!$B22,nrES_Code,_xlpm.c,nrES_Final,"Yes",nrES_Rec,"&gt;=0")=0,"",SUMIFS(nrES_Rec,nrES_PID,Cadets!$B22,nrES_Code,_xlpm.c,nrES_Final,"Yes"))))</f>
        <v/>
      </c>
      <c r="H27" s="27">
        <f>IF(OR($C27="",$G27=""),"",IF($G27&gt;=IFERROR(INDEX(rngEPpass,MATCH(cfgGradeSheetExam,IFERROR(rngEPseq+0,-1),0)),cfgPassingScore),"Pass","FAIL"))</f>
        <v/>
      </c>
      <c r="I27" s="27">
        <f>IF($C27="","",_xlfn.LET(_xlpm.c,IFERROR(INDEX(rngEPcode,MATCH(cfgGradeSheetExam,IFERROR(rngEPseq+0,-1),0)),""),IF(COUNTIFS(nrES_PID,Cadets!$B22,nrES_Code,_xlpm.c,nrES_Att,2,nrES_Raw,"&gt;=0")&gt;0,"Retested","")))</f>
        <v/>
      </c>
      <c r="J27" s="27">
        <f>IF($C27="","",_xlfn.LET(_xlpm.c,IFERROR(INDEX(rngEPcode,MATCH(cfgGradeSheetExam,IFERROR(rngEPseq+0,-1),0)),""),_xlpm.n,COUNTIFS(nrES_PID,Cadets!$B22,nrES_Code,_xlpm.c,nrES_Att,1),_xlpm.s,COUNTIFS(nrES_PID,Cadets!$B22,nrES_Code,_xlpm.c,nrES_Att,1,nrES_Raw,"&gt;=0"),_xlpm.x,COUNTIFS(nrES_PID,Cadets!$B22,nrES_Code,_xlpm.c,nrES_Att,1,nrES_Absence,"Excused"),_xlpm.u,COUNTIFS(nrES_PID,Cadets!$B22,nrES_Code,_xlpm.c,nrES_Att,1,nrES_Absence,"Unexcused"),IF(_xlpm.u&gt;0,"Unexcused",IF(_xlpm.x&gt;0,IF(_xlpm.s&gt;0,"Excused - taken later","Excused - pending"),IF(OR(_xlpm.n=0,_xlpm.s&gt;0),"","No score recorded")))))</f>
        <v/>
      </c>
    </row>
    <row r="28">
      <c r="B28" s="27">
        <f>IF(Cadets!$B23="","",ROW()-10)</f>
        <v/>
      </c>
      <c r="C28" s="26">
        <f>IF(Cadets!$B23="","",Cadets!$F23)</f>
        <v/>
      </c>
      <c r="D28" s="27">
        <f>IF($C28="","",Cadets!$B23)</f>
        <v/>
      </c>
      <c r="E28" s="27">
        <f>IF($C28="","",Cadets!$H23)</f>
        <v/>
      </c>
      <c r="F28" s="27">
        <f>IF($C28="","",_xlfn.LET(_xlpm.c,IFERROR(INDEX(rngEPcode,MATCH(cfgGradeSheetExam,IFERROR(rngEPseq+0,-1),0)),""),IF(COUNTIFS(nrES_PID,Cadets!$B23,nrES_Code,_xlpm.c,nrES_Att,1,nrES_Raw,"&gt;=0")=0,"",SUMIFS(nrES_Raw,nrES_PID,Cadets!$B23,nrES_Code,_xlpm.c,nrES_Att,1))))</f>
        <v/>
      </c>
      <c r="G28" s="27">
        <f>IF($C28="","",_xlfn.LET(_xlpm.c,IFERROR(INDEX(rngEPcode,MATCH(cfgGradeSheetExam,IFERROR(rngEPseq+0,-1),0)),""),IF(COUNTIFS(nrES_PID,Cadets!$B23,nrES_Code,_xlpm.c,nrES_Final,"Yes",nrES_Rec,"&gt;=0")=0,"",SUMIFS(nrES_Rec,nrES_PID,Cadets!$B23,nrES_Code,_xlpm.c,nrES_Final,"Yes"))))</f>
        <v/>
      </c>
      <c r="H28" s="27">
        <f>IF(OR($C28="",$G28=""),"",IF($G28&gt;=IFERROR(INDEX(rngEPpass,MATCH(cfgGradeSheetExam,IFERROR(rngEPseq+0,-1),0)),cfgPassingScore),"Pass","FAIL"))</f>
        <v/>
      </c>
      <c r="I28" s="27">
        <f>IF($C28="","",_xlfn.LET(_xlpm.c,IFERROR(INDEX(rngEPcode,MATCH(cfgGradeSheetExam,IFERROR(rngEPseq+0,-1),0)),""),IF(COUNTIFS(nrES_PID,Cadets!$B23,nrES_Code,_xlpm.c,nrES_Att,2,nrES_Raw,"&gt;=0")&gt;0,"Retested","")))</f>
        <v/>
      </c>
      <c r="J28" s="27">
        <f>IF($C28="","",_xlfn.LET(_xlpm.c,IFERROR(INDEX(rngEPcode,MATCH(cfgGradeSheetExam,IFERROR(rngEPseq+0,-1),0)),""),_xlpm.n,COUNTIFS(nrES_PID,Cadets!$B23,nrES_Code,_xlpm.c,nrES_Att,1),_xlpm.s,COUNTIFS(nrES_PID,Cadets!$B23,nrES_Code,_xlpm.c,nrES_Att,1,nrES_Raw,"&gt;=0"),_xlpm.x,COUNTIFS(nrES_PID,Cadets!$B23,nrES_Code,_xlpm.c,nrES_Att,1,nrES_Absence,"Excused"),_xlpm.u,COUNTIFS(nrES_PID,Cadets!$B23,nrES_Code,_xlpm.c,nrES_Att,1,nrES_Absence,"Unexcused"),IF(_xlpm.u&gt;0,"Unexcused",IF(_xlpm.x&gt;0,IF(_xlpm.s&gt;0,"Excused - taken later","Excused - pending"),IF(OR(_xlpm.n=0,_xlpm.s&gt;0),"","No score recorded")))))</f>
        <v/>
      </c>
    </row>
    <row r="29">
      <c r="B29" s="27">
        <f>IF(Cadets!$B24="","",ROW()-10)</f>
        <v/>
      </c>
      <c r="C29" s="26">
        <f>IF(Cadets!$B24="","",Cadets!$F24)</f>
        <v/>
      </c>
      <c r="D29" s="27">
        <f>IF($C29="","",Cadets!$B24)</f>
        <v/>
      </c>
      <c r="E29" s="27">
        <f>IF($C29="","",Cadets!$H24)</f>
        <v/>
      </c>
      <c r="F29" s="27">
        <f>IF($C29="","",_xlfn.LET(_xlpm.c,IFERROR(INDEX(rngEPcode,MATCH(cfgGradeSheetExam,IFERROR(rngEPseq+0,-1),0)),""),IF(COUNTIFS(nrES_PID,Cadets!$B24,nrES_Code,_xlpm.c,nrES_Att,1,nrES_Raw,"&gt;=0")=0,"",SUMIFS(nrES_Raw,nrES_PID,Cadets!$B24,nrES_Code,_xlpm.c,nrES_Att,1))))</f>
        <v/>
      </c>
      <c r="G29" s="27">
        <f>IF($C29="","",_xlfn.LET(_xlpm.c,IFERROR(INDEX(rngEPcode,MATCH(cfgGradeSheetExam,IFERROR(rngEPseq+0,-1),0)),""),IF(COUNTIFS(nrES_PID,Cadets!$B24,nrES_Code,_xlpm.c,nrES_Final,"Yes",nrES_Rec,"&gt;=0")=0,"",SUMIFS(nrES_Rec,nrES_PID,Cadets!$B24,nrES_Code,_xlpm.c,nrES_Final,"Yes"))))</f>
        <v/>
      </c>
      <c r="H29" s="27">
        <f>IF(OR($C29="",$G29=""),"",IF($G29&gt;=IFERROR(INDEX(rngEPpass,MATCH(cfgGradeSheetExam,IFERROR(rngEPseq+0,-1),0)),cfgPassingScore),"Pass","FAIL"))</f>
        <v/>
      </c>
      <c r="I29" s="27">
        <f>IF($C29="","",_xlfn.LET(_xlpm.c,IFERROR(INDEX(rngEPcode,MATCH(cfgGradeSheetExam,IFERROR(rngEPseq+0,-1),0)),""),IF(COUNTIFS(nrES_PID,Cadets!$B24,nrES_Code,_xlpm.c,nrES_Att,2,nrES_Raw,"&gt;=0")&gt;0,"Retested","")))</f>
        <v/>
      </c>
      <c r="J29" s="27">
        <f>IF($C29="","",_xlfn.LET(_xlpm.c,IFERROR(INDEX(rngEPcode,MATCH(cfgGradeSheetExam,IFERROR(rngEPseq+0,-1),0)),""),_xlpm.n,COUNTIFS(nrES_PID,Cadets!$B24,nrES_Code,_xlpm.c,nrES_Att,1),_xlpm.s,COUNTIFS(nrES_PID,Cadets!$B24,nrES_Code,_xlpm.c,nrES_Att,1,nrES_Raw,"&gt;=0"),_xlpm.x,COUNTIFS(nrES_PID,Cadets!$B24,nrES_Code,_xlpm.c,nrES_Att,1,nrES_Absence,"Excused"),_xlpm.u,COUNTIFS(nrES_PID,Cadets!$B24,nrES_Code,_xlpm.c,nrES_Att,1,nrES_Absence,"Unexcused"),IF(_xlpm.u&gt;0,"Unexcused",IF(_xlpm.x&gt;0,IF(_xlpm.s&gt;0,"Excused - taken later","Excused - pending"),IF(OR(_xlpm.n=0,_xlpm.s&gt;0),"","No score recorded")))))</f>
        <v/>
      </c>
    </row>
    <row r="30">
      <c r="B30" s="27">
        <f>IF(Cadets!$B25="","",ROW()-10)</f>
        <v/>
      </c>
      <c r="C30" s="26">
        <f>IF(Cadets!$B25="","",Cadets!$F25)</f>
        <v/>
      </c>
      <c r="D30" s="27">
        <f>IF($C30="","",Cadets!$B25)</f>
        <v/>
      </c>
      <c r="E30" s="27">
        <f>IF($C30="","",Cadets!$H25)</f>
        <v/>
      </c>
      <c r="F30" s="27">
        <f>IF($C30="","",_xlfn.LET(_xlpm.c,IFERROR(INDEX(rngEPcode,MATCH(cfgGradeSheetExam,IFERROR(rngEPseq+0,-1),0)),""),IF(COUNTIFS(nrES_PID,Cadets!$B25,nrES_Code,_xlpm.c,nrES_Att,1,nrES_Raw,"&gt;=0")=0,"",SUMIFS(nrES_Raw,nrES_PID,Cadets!$B25,nrES_Code,_xlpm.c,nrES_Att,1))))</f>
        <v/>
      </c>
      <c r="G30" s="27">
        <f>IF($C30="","",_xlfn.LET(_xlpm.c,IFERROR(INDEX(rngEPcode,MATCH(cfgGradeSheetExam,IFERROR(rngEPseq+0,-1),0)),""),IF(COUNTIFS(nrES_PID,Cadets!$B25,nrES_Code,_xlpm.c,nrES_Final,"Yes",nrES_Rec,"&gt;=0")=0,"",SUMIFS(nrES_Rec,nrES_PID,Cadets!$B25,nrES_Code,_xlpm.c,nrES_Final,"Yes"))))</f>
        <v/>
      </c>
      <c r="H30" s="27">
        <f>IF(OR($C30="",$G30=""),"",IF($G30&gt;=IFERROR(INDEX(rngEPpass,MATCH(cfgGradeSheetExam,IFERROR(rngEPseq+0,-1),0)),cfgPassingScore),"Pass","FAIL"))</f>
        <v/>
      </c>
      <c r="I30" s="27">
        <f>IF($C30="","",_xlfn.LET(_xlpm.c,IFERROR(INDEX(rngEPcode,MATCH(cfgGradeSheetExam,IFERROR(rngEPseq+0,-1),0)),""),IF(COUNTIFS(nrES_PID,Cadets!$B25,nrES_Code,_xlpm.c,nrES_Att,2,nrES_Raw,"&gt;=0")&gt;0,"Retested","")))</f>
        <v/>
      </c>
      <c r="J30" s="27">
        <f>IF($C30="","",_xlfn.LET(_xlpm.c,IFERROR(INDEX(rngEPcode,MATCH(cfgGradeSheetExam,IFERROR(rngEPseq+0,-1),0)),""),_xlpm.n,COUNTIFS(nrES_PID,Cadets!$B25,nrES_Code,_xlpm.c,nrES_Att,1),_xlpm.s,COUNTIFS(nrES_PID,Cadets!$B25,nrES_Code,_xlpm.c,nrES_Att,1,nrES_Raw,"&gt;=0"),_xlpm.x,COUNTIFS(nrES_PID,Cadets!$B25,nrES_Code,_xlpm.c,nrES_Att,1,nrES_Absence,"Excused"),_xlpm.u,COUNTIFS(nrES_PID,Cadets!$B25,nrES_Code,_xlpm.c,nrES_Att,1,nrES_Absence,"Unexcused"),IF(_xlpm.u&gt;0,"Unexcused",IF(_xlpm.x&gt;0,IF(_xlpm.s&gt;0,"Excused - taken later","Excused - pending"),IF(OR(_xlpm.n=0,_xlpm.s&gt;0),"","No score recorded")))))</f>
        <v/>
      </c>
    </row>
    <row r="31">
      <c r="B31" s="27">
        <f>IF(Cadets!$B26="","",ROW()-10)</f>
        <v/>
      </c>
      <c r="C31" s="26">
        <f>IF(Cadets!$B26="","",Cadets!$F26)</f>
        <v/>
      </c>
      <c r="D31" s="27">
        <f>IF($C31="","",Cadets!$B26)</f>
        <v/>
      </c>
      <c r="E31" s="27">
        <f>IF($C31="","",Cadets!$H26)</f>
        <v/>
      </c>
      <c r="F31" s="27">
        <f>IF($C31="","",_xlfn.LET(_xlpm.c,IFERROR(INDEX(rngEPcode,MATCH(cfgGradeSheetExam,IFERROR(rngEPseq+0,-1),0)),""),IF(COUNTIFS(nrES_PID,Cadets!$B26,nrES_Code,_xlpm.c,nrES_Att,1,nrES_Raw,"&gt;=0")=0,"",SUMIFS(nrES_Raw,nrES_PID,Cadets!$B26,nrES_Code,_xlpm.c,nrES_Att,1))))</f>
        <v/>
      </c>
      <c r="G31" s="27">
        <f>IF($C31="","",_xlfn.LET(_xlpm.c,IFERROR(INDEX(rngEPcode,MATCH(cfgGradeSheetExam,IFERROR(rngEPseq+0,-1),0)),""),IF(COUNTIFS(nrES_PID,Cadets!$B26,nrES_Code,_xlpm.c,nrES_Final,"Yes",nrES_Rec,"&gt;=0")=0,"",SUMIFS(nrES_Rec,nrES_PID,Cadets!$B26,nrES_Code,_xlpm.c,nrES_Final,"Yes"))))</f>
        <v/>
      </c>
      <c r="H31" s="27">
        <f>IF(OR($C31="",$G31=""),"",IF($G31&gt;=IFERROR(INDEX(rngEPpass,MATCH(cfgGradeSheetExam,IFERROR(rngEPseq+0,-1),0)),cfgPassingScore),"Pass","FAIL"))</f>
        <v/>
      </c>
      <c r="I31" s="27">
        <f>IF($C31="","",_xlfn.LET(_xlpm.c,IFERROR(INDEX(rngEPcode,MATCH(cfgGradeSheetExam,IFERROR(rngEPseq+0,-1),0)),""),IF(COUNTIFS(nrES_PID,Cadets!$B26,nrES_Code,_xlpm.c,nrES_Att,2,nrES_Raw,"&gt;=0")&gt;0,"Retested","")))</f>
        <v/>
      </c>
      <c r="J31" s="27">
        <f>IF($C31="","",_xlfn.LET(_xlpm.c,IFERROR(INDEX(rngEPcode,MATCH(cfgGradeSheetExam,IFERROR(rngEPseq+0,-1),0)),""),_xlpm.n,COUNTIFS(nrES_PID,Cadets!$B26,nrES_Code,_xlpm.c,nrES_Att,1),_xlpm.s,COUNTIFS(nrES_PID,Cadets!$B26,nrES_Code,_xlpm.c,nrES_Att,1,nrES_Raw,"&gt;=0"),_xlpm.x,COUNTIFS(nrES_PID,Cadets!$B26,nrES_Code,_xlpm.c,nrES_Att,1,nrES_Absence,"Excused"),_xlpm.u,COUNTIFS(nrES_PID,Cadets!$B26,nrES_Code,_xlpm.c,nrES_Att,1,nrES_Absence,"Unexcused"),IF(_xlpm.u&gt;0,"Unexcused",IF(_xlpm.x&gt;0,IF(_xlpm.s&gt;0,"Excused - taken later","Excused - pending"),IF(OR(_xlpm.n=0,_xlpm.s&gt;0),"","No score recorded")))))</f>
        <v/>
      </c>
    </row>
    <row r="32">
      <c r="B32" s="27">
        <f>IF(Cadets!$B27="","",ROW()-10)</f>
        <v/>
      </c>
      <c r="C32" s="26">
        <f>IF(Cadets!$B27="","",Cadets!$F27)</f>
        <v/>
      </c>
      <c r="D32" s="27">
        <f>IF($C32="","",Cadets!$B27)</f>
        <v/>
      </c>
      <c r="E32" s="27">
        <f>IF($C32="","",Cadets!$H27)</f>
        <v/>
      </c>
      <c r="F32" s="27">
        <f>IF($C32="","",_xlfn.LET(_xlpm.c,IFERROR(INDEX(rngEPcode,MATCH(cfgGradeSheetExam,IFERROR(rngEPseq+0,-1),0)),""),IF(COUNTIFS(nrES_PID,Cadets!$B27,nrES_Code,_xlpm.c,nrES_Att,1,nrES_Raw,"&gt;=0")=0,"",SUMIFS(nrES_Raw,nrES_PID,Cadets!$B27,nrES_Code,_xlpm.c,nrES_Att,1))))</f>
        <v/>
      </c>
      <c r="G32" s="27">
        <f>IF($C32="","",_xlfn.LET(_xlpm.c,IFERROR(INDEX(rngEPcode,MATCH(cfgGradeSheetExam,IFERROR(rngEPseq+0,-1),0)),""),IF(COUNTIFS(nrES_PID,Cadets!$B27,nrES_Code,_xlpm.c,nrES_Final,"Yes",nrES_Rec,"&gt;=0")=0,"",SUMIFS(nrES_Rec,nrES_PID,Cadets!$B27,nrES_Code,_xlpm.c,nrES_Final,"Yes"))))</f>
        <v/>
      </c>
      <c r="H32" s="27">
        <f>IF(OR($C32="",$G32=""),"",IF($G32&gt;=IFERROR(INDEX(rngEPpass,MATCH(cfgGradeSheetExam,IFERROR(rngEPseq+0,-1),0)),cfgPassingScore),"Pass","FAIL"))</f>
        <v/>
      </c>
      <c r="I32" s="27">
        <f>IF($C32="","",_xlfn.LET(_xlpm.c,IFERROR(INDEX(rngEPcode,MATCH(cfgGradeSheetExam,IFERROR(rngEPseq+0,-1),0)),""),IF(COUNTIFS(nrES_PID,Cadets!$B27,nrES_Code,_xlpm.c,nrES_Att,2,nrES_Raw,"&gt;=0")&gt;0,"Retested","")))</f>
        <v/>
      </c>
      <c r="J32" s="27">
        <f>IF($C32="","",_xlfn.LET(_xlpm.c,IFERROR(INDEX(rngEPcode,MATCH(cfgGradeSheetExam,IFERROR(rngEPseq+0,-1),0)),""),_xlpm.n,COUNTIFS(nrES_PID,Cadets!$B27,nrES_Code,_xlpm.c,nrES_Att,1),_xlpm.s,COUNTIFS(nrES_PID,Cadets!$B27,nrES_Code,_xlpm.c,nrES_Att,1,nrES_Raw,"&gt;=0"),_xlpm.x,COUNTIFS(nrES_PID,Cadets!$B27,nrES_Code,_xlpm.c,nrES_Att,1,nrES_Absence,"Excused"),_xlpm.u,COUNTIFS(nrES_PID,Cadets!$B27,nrES_Code,_xlpm.c,nrES_Att,1,nrES_Absence,"Unexcused"),IF(_xlpm.u&gt;0,"Unexcused",IF(_xlpm.x&gt;0,IF(_xlpm.s&gt;0,"Excused - taken later","Excused - pending"),IF(OR(_xlpm.n=0,_xlpm.s&gt;0),"","No score recorded")))))</f>
        <v/>
      </c>
    </row>
    <row r="33">
      <c r="B33" s="27">
        <f>IF(Cadets!$B28="","",ROW()-10)</f>
        <v/>
      </c>
      <c r="C33" s="26">
        <f>IF(Cadets!$B28="","",Cadets!$F28)</f>
        <v/>
      </c>
      <c r="D33" s="27">
        <f>IF($C33="","",Cadets!$B28)</f>
        <v/>
      </c>
      <c r="E33" s="27">
        <f>IF($C33="","",Cadets!$H28)</f>
        <v/>
      </c>
      <c r="F33" s="27">
        <f>IF($C33="","",_xlfn.LET(_xlpm.c,IFERROR(INDEX(rngEPcode,MATCH(cfgGradeSheetExam,IFERROR(rngEPseq+0,-1),0)),""),IF(COUNTIFS(nrES_PID,Cadets!$B28,nrES_Code,_xlpm.c,nrES_Att,1,nrES_Raw,"&gt;=0")=0,"",SUMIFS(nrES_Raw,nrES_PID,Cadets!$B28,nrES_Code,_xlpm.c,nrES_Att,1))))</f>
        <v/>
      </c>
      <c r="G33" s="27">
        <f>IF($C33="","",_xlfn.LET(_xlpm.c,IFERROR(INDEX(rngEPcode,MATCH(cfgGradeSheetExam,IFERROR(rngEPseq+0,-1),0)),""),IF(COUNTIFS(nrES_PID,Cadets!$B28,nrES_Code,_xlpm.c,nrES_Final,"Yes",nrES_Rec,"&gt;=0")=0,"",SUMIFS(nrES_Rec,nrES_PID,Cadets!$B28,nrES_Code,_xlpm.c,nrES_Final,"Yes"))))</f>
        <v/>
      </c>
      <c r="H33" s="27">
        <f>IF(OR($C33="",$G33=""),"",IF($G33&gt;=IFERROR(INDEX(rngEPpass,MATCH(cfgGradeSheetExam,IFERROR(rngEPseq+0,-1),0)),cfgPassingScore),"Pass","FAIL"))</f>
        <v/>
      </c>
      <c r="I33" s="27">
        <f>IF($C33="","",_xlfn.LET(_xlpm.c,IFERROR(INDEX(rngEPcode,MATCH(cfgGradeSheetExam,IFERROR(rngEPseq+0,-1),0)),""),IF(COUNTIFS(nrES_PID,Cadets!$B28,nrES_Code,_xlpm.c,nrES_Att,2,nrES_Raw,"&gt;=0")&gt;0,"Retested","")))</f>
        <v/>
      </c>
      <c r="J33" s="27">
        <f>IF($C33="","",_xlfn.LET(_xlpm.c,IFERROR(INDEX(rngEPcode,MATCH(cfgGradeSheetExam,IFERROR(rngEPseq+0,-1),0)),""),_xlpm.n,COUNTIFS(nrES_PID,Cadets!$B28,nrES_Code,_xlpm.c,nrES_Att,1),_xlpm.s,COUNTIFS(nrES_PID,Cadets!$B28,nrES_Code,_xlpm.c,nrES_Att,1,nrES_Raw,"&gt;=0"),_xlpm.x,COUNTIFS(nrES_PID,Cadets!$B28,nrES_Code,_xlpm.c,nrES_Att,1,nrES_Absence,"Excused"),_xlpm.u,COUNTIFS(nrES_PID,Cadets!$B28,nrES_Code,_xlpm.c,nrES_Att,1,nrES_Absence,"Unexcused"),IF(_xlpm.u&gt;0,"Unexcused",IF(_xlpm.x&gt;0,IF(_xlpm.s&gt;0,"Excused - taken later","Excused - pending"),IF(OR(_xlpm.n=0,_xlpm.s&gt;0),"","No score recorded")))))</f>
        <v/>
      </c>
    </row>
    <row r="34">
      <c r="B34" s="27">
        <f>IF(Cadets!$B29="","",ROW()-10)</f>
        <v/>
      </c>
      <c r="C34" s="26">
        <f>IF(Cadets!$B29="","",Cadets!$F29)</f>
        <v/>
      </c>
      <c r="D34" s="27">
        <f>IF($C34="","",Cadets!$B29)</f>
        <v/>
      </c>
      <c r="E34" s="27">
        <f>IF($C34="","",Cadets!$H29)</f>
        <v/>
      </c>
      <c r="F34" s="27">
        <f>IF($C34="","",_xlfn.LET(_xlpm.c,IFERROR(INDEX(rngEPcode,MATCH(cfgGradeSheetExam,IFERROR(rngEPseq+0,-1),0)),""),IF(COUNTIFS(nrES_PID,Cadets!$B29,nrES_Code,_xlpm.c,nrES_Att,1,nrES_Raw,"&gt;=0")=0,"",SUMIFS(nrES_Raw,nrES_PID,Cadets!$B29,nrES_Code,_xlpm.c,nrES_Att,1))))</f>
        <v/>
      </c>
      <c r="G34" s="27">
        <f>IF($C34="","",_xlfn.LET(_xlpm.c,IFERROR(INDEX(rngEPcode,MATCH(cfgGradeSheetExam,IFERROR(rngEPseq+0,-1),0)),""),IF(COUNTIFS(nrES_PID,Cadets!$B29,nrES_Code,_xlpm.c,nrES_Final,"Yes",nrES_Rec,"&gt;=0")=0,"",SUMIFS(nrES_Rec,nrES_PID,Cadets!$B29,nrES_Code,_xlpm.c,nrES_Final,"Yes"))))</f>
        <v/>
      </c>
      <c r="H34" s="27">
        <f>IF(OR($C34="",$G34=""),"",IF($G34&gt;=IFERROR(INDEX(rngEPpass,MATCH(cfgGradeSheetExam,IFERROR(rngEPseq+0,-1),0)),cfgPassingScore),"Pass","FAIL"))</f>
        <v/>
      </c>
      <c r="I34" s="27">
        <f>IF($C34="","",_xlfn.LET(_xlpm.c,IFERROR(INDEX(rngEPcode,MATCH(cfgGradeSheetExam,IFERROR(rngEPseq+0,-1),0)),""),IF(COUNTIFS(nrES_PID,Cadets!$B29,nrES_Code,_xlpm.c,nrES_Att,2,nrES_Raw,"&gt;=0")&gt;0,"Retested","")))</f>
        <v/>
      </c>
      <c r="J34" s="27">
        <f>IF($C34="","",_xlfn.LET(_xlpm.c,IFERROR(INDEX(rngEPcode,MATCH(cfgGradeSheetExam,IFERROR(rngEPseq+0,-1),0)),""),_xlpm.n,COUNTIFS(nrES_PID,Cadets!$B29,nrES_Code,_xlpm.c,nrES_Att,1),_xlpm.s,COUNTIFS(nrES_PID,Cadets!$B29,nrES_Code,_xlpm.c,nrES_Att,1,nrES_Raw,"&gt;=0"),_xlpm.x,COUNTIFS(nrES_PID,Cadets!$B29,nrES_Code,_xlpm.c,nrES_Att,1,nrES_Absence,"Excused"),_xlpm.u,COUNTIFS(nrES_PID,Cadets!$B29,nrES_Code,_xlpm.c,nrES_Att,1,nrES_Absence,"Unexcused"),IF(_xlpm.u&gt;0,"Unexcused",IF(_xlpm.x&gt;0,IF(_xlpm.s&gt;0,"Excused - taken later","Excused - pending"),IF(OR(_xlpm.n=0,_xlpm.s&gt;0),"","No score recorded")))))</f>
        <v/>
      </c>
    </row>
    <row r="35">
      <c r="B35" s="27">
        <f>IF(Cadets!$B30="","",ROW()-10)</f>
        <v/>
      </c>
      <c r="C35" s="26">
        <f>IF(Cadets!$B30="","",Cadets!$F30)</f>
        <v/>
      </c>
      <c r="D35" s="27">
        <f>IF($C35="","",Cadets!$B30)</f>
        <v/>
      </c>
      <c r="E35" s="27">
        <f>IF($C35="","",Cadets!$H30)</f>
        <v/>
      </c>
      <c r="F35" s="27">
        <f>IF($C35="","",_xlfn.LET(_xlpm.c,IFERROR(INDEX(rngEPcode,MATCH(cfgGradeSheetExam,IFERROR(rngEPseq+0,-1),0)),""),IF(COUNTIFS(nrES_PID,Cadets!$B30,nrES_Code,_xlpm.c,nrES_Att,1,nrES_Raw,"&gt;=0")=0,"",SUMIFS(nrES_Raw,nrES_PID,Cadets!$B30,nrES_Code,_xlpm.c,nrES_Att,1))))</f>
        <v/>
      </c>
      <c r="G35" s="27">
        <f>IF($C35="","",_xlfn.LET(_xlpm.c,IFERROR(INDEX(rngEPcode,MATCH(cfgGradeSheetExam,IFERROR(rngEPseq+0,-1),0)),""),IF(COUNTIFS(nrES_PID,Cadets!$B30,nrES_Code,_xlpm.c,nrES_Final,"Yes",nrES_Rec,"&gt;=0")=0,"",SUMIFS(nrES_Rec,nrES_PID,Cadets!$B30,nrES_Code,_xlpm.c,nrES_Final,"Yes"))))</f>
        <v/>
      </c>
      <c r="H35" s="27">
        <f>IF(OR($C35="",$G35=""),"",IF($G35&gt;=IFERROR(INDEX(rngEPpass,MATCH(cfgGradeSheetExam,IFERROR(rngEPseq+0,-1),0)),cfgPassingScore),"Pass","FAIL"))</f>
        <v/>
      </c>
      <c r="I35" s="27">
        <f>IF($C35="","",_xlfn.LET(_xlpm.c,IFERROR(INDEX(rngEPcode,MATCH(cfgGradeSheetExam,IFERROR(rngEPseq+0,-1),0)),""),IF(COUNTIFS(nrES_PID,Cadets!$B30,nrES_Code,_xlpm.c,nrES_Att,2,nrES_Raw,"&gt;=0")&gt;0,"Retested","")))</f>
        <v/>
      </c>
      <c r="J35" s="27">
        <f>IF($C35="","",_xlfn.LET(_xlpm.c,IFERROR(INDEX(rngEPcode,MATCH(cfgGradeSheetExam,IFERROR(rngEPseq+0,-1),0)),""),_xlpm.n,COUNTIFS(nrES_PID,Cadets!$B30,nrES_Code,_xlpm.c,nrES_Att,1),_xlpm.s,COUNTIFS(nrES_PID,Cadets!$B30,nrES_Code,_xlpm.c,nrES_Att,1,nrES_Raw,"&gt;=0"),_xlpm.x,COUNTIFS(nrES_PID,Cadets!$B30,nrES_Code,_xlpm.c,nrES_Att,1,nrES_Absence,"Excused"),_xlpm.u,COUNTIFS(nrES_PID,Cadets!$B30,nrES_Code,_xlpm.c,nrES_Att,1,nrES_Absence,"Unexcused"),IF(_xlpm.u&gt;0,"Unexcused",IF(_xlpm.x&gt;0,IF(_xlpm.s&gt;0,"Excused - taken later","Excused - pending"),IF(OR(_xlpm.n=0,_xlpm.s&gt;0),"","No score recorded")))))</f>
        <v/>
      </c>
    </row>
    <row r="36">
      <c r="B36" s="27">
        <f>IF(Cadets!$B31="","",ROW()-10)</f>
        <v/>
      </c>
      <c r="C36" s="26">
        <f>IF(Cadets!$B31="","",Cadets!$F31)</f>
        <v/>
      </c>
      <c r="D36" s="27">
        <f>IF($C36="","",Cadets!$B31)</f>
        <v/>
      </c>
      <c r="E36" s="27">
        <f>IF($C36="","",Cadets!$H31)</f>
        <v/>
      </c>
      <c r="F36" s="27">
        <f>IF($C36="","",_xlfn.LET(_xlpm.c,IFERROR(INDEX(rngEPcode,MATCH(cfgGradeSheetExam,IFERROR(rngEPseq+0,-1),0)),""),IF(COUNTIFS(nrES_PID,Cadets!$B31,nrES_Code,_xlpm.c,nrES_Att,1,nrES_Raw,"&gt;=0")=0,"",SUMIFS(nrES_Raw,nrES_PID,Cadets!$B31,nrES_Code,_xlpm.c,nrES_Att,1))))</f>
        <v/>
      </c>
      <c r="G36" s="27">
        <f>IF($C36="","",_xlfn.LET(_xlpm.c,IFERROR(INDEX(rngEPcode,MATCH(cfgGradeSheetExam,IFERROR(rngEPseq+0,-1),0)),""),IF(COUNTIFS(nrES_PID,Cadets!$B31,nrES_Code,_xlpm.c,nrES_Final,"Yes",nrES_Rec,"&gt;=0")=0,"",SUMIFS(nrES_Rec,nrES_PID,Cadets!$B31,nrES_Code,_xlpm.c,nrES_Final,"Yes"))))</f>
        <v/>
      </c>
      <c r="H36" s="27">
        <f>IF(OR($C36="",$G36=""),"",IF($G36&gt;=IFERROR(INDEX(rngEPpass,MATCH(cfgGradeSheetExam,IFERROR(rngEPseq+0,-1),0)),cfgPassingScore),"Pass","FAIL"))</f>
        <v/>
      </c>
      <c r="I36" s="27">
        <f>IF($C36="","",_xlfn.LET(_xlpm.c,IFERROR(INDEX(rngEPcode,MATCH(cfgGradeSheetExam,IFERROR(rngEPseq+0,-1),0)),""),IF(COUNTIFS(nrES_PID,Cadets!$B31,nrES_Code,_xlpm.c,nrES_Att,2,nrES_Raw,"&gt;=0")&gt;0,"Retested","")))</f>
        <v/>
      </c>
      <c r="J36" s="27">
        <f>IF($C36="","",_xlfn.LET(_xlpm.c,IFERROR(INDEX(rngEPcode,MATCH(cfgGradeSheetExam,IFERROR(rngEPseq+0,-1),0)),""),_xlpm.n,COUNTIFS(nrES_PID,Cadets!$B31,nrES_Code,_xlpm.c,nrES_Att,1),_xlpm.s,COUNTIFS(nrES_PID,Cadets!$B31,nrES_Code,_xlpm.c,nrES_Att,1,nrES_Raw,"&gt;=0"),_xlpm.x,COUNTIFS(nrES_PID,Cadets!$B31,nrES_Code,_xlpm.c,nrES_Att,1,nrES_Absence,"Excused"),_xlpm.u,COUNTIFS(nrES_PID,Cadets!$B31,nrES_Code,_xlpm.c,nrES_Att,1,nrES_Absence,"Unexcused"),IF(_xlpm.u&gt;0,"Unexcused",IF(_xlpm.x&gt;0,IF(_xlpm.s&gt;0,"Excused - taken later","Excused - pending"),IF(OR(_xlpm.n=0,_xlpm.s&gt;0),"","No score recorded")))))</f>
        <v/>
      </c>
    </row>
    <row r="37">
      <c r="B37" s="27">
        <f>IF(Cadets!$B32="","",ROW()-10)</f>
        <v/>
      </c>
      <c r="C37" s="26">
        <f>IF(Cadets!$B32="","",Cadets!$F32)</f>
        <v/>
      </c>
      <c r="D37" s="27">
        <f>IF($C37="","",Cadets!$B32)</f>
        <v/>
      </c>
      <c r="E37" s="27">
        <f>IF($C37="","",Cadets!$H32)</f>
        <v/>
      </c>
      <c r="F37" s="27">
        <f>IF($C37="","",_xlfn.LET(_xlpm.c,IFERROR(INDEX(rngEPcode,MATCH(cfgGradeSheetExam,IFERROR(rngEPseq+0,-1),0)),""),IF(COUNTIFS(nrES_PID,Cadets!$B32,nrES_Code,_xlpm.c,nrES_Att,1,nrES_Raw,"&gt;=0")=0,"",SUMIFS(nrES_Raw,nrES_PID,Cadets!$B32,nrES_Code,_xlpm.c,nrES_Att,1))))</f>
        <v/>
      </c>
      <c r="G37" s="27">
        <f>IF($C37="","",_xlfn.LET(_xlpm.c,IFERROR(INDEX(rngEPcode,MATCH(cfgGradeSheetExam,IFERROR(rngEPseq+0,-1),0)),""),IF(COUNTIFS(nrES_PID,Cadets!$B32,nrES_Code,_xlpm.c,nrES_Final,"Yes",nrES_Rec,"&gt;=0")=0,"",SUMIFS(nrES_Rec,nrES_PID,Cadets!$B32,nrES_Code,_xlpm.c,nrES_Final,"Yes"))))</f>
        <v/>
      </c>
      <c r="H37" s="27">
        <f>IF(OR($C37="",$G37=""),"",IF($G37&gt;=IFERROR(INDEX(rngEPpass,MATCH(cfgGradeSheetExam,IFERROR(rngEPseq+0,-1),0)),cfgPassingScore),"Pass","FAIL"))</f>
        <v/>
      </c>
      <c r="I37" s="27">
        <f>IF($C37="","",_xlfn.LET(_xlpm.c,IFERROR(INDEX(rngEPcode,MATCH(cfgGradeSheetExam,IFERROR(rngEPseq+0,-1),0)),""),IF(COUNTIFS(nrES_PID,Cadets!$B32,nrES_Code,_xlpm.c,nrES_Att,2,nrES_Raw,"&gt;=0")&gt;0,"Retested","")))</f>
        <v/>
      </c>
      <c r="J37" s="27">
        <f>IF($C37="","",_xlfn.LET(_xlpm.c,IFERROR(INDEX(rngEPcode,MATCH(cfgGradeSheetExam,IFERROR(rngEPseq+0,-1),0)),""),_xlpm.n,COUNTIFS(nrES_PID,Cadets!$B32,nrES_Code,_xlpm.c,nrES_Att,1),_xlpm.s,COUNTIFS(nrES_PID,Cadets!$B32,nrES_Code,_xlpm.c,nrES_Att,1,nrES_Raw,"&gt;=0"),_xlpm.x,COUNTIFS(nrES_PID,Cadets!$B32,nrES_Code,_xlpm.c,nrES_Att,1,nrES_Absence,"Excused"),_xlpm.u,COUNTIFS(nrES_PID,Cadets!$B32,nrES_Code,_xlpm.c,nrES_Att,1,nrES_Absence,"Unexcused"),IF(_xlpm.u&gt;0,"Unexcused",IF(_xlpm.x&gt;0,IF(_xlpm.s&gt;0,"Excused - taken later","Excused - pending"),IF(OR(_xlpm.n=0,_xlpm.s&gt;0),"","No score recorded")))))</f>
        <v/>
      </c>
    </row>
    <row r="38">
      <c r="B38" s="27">
        <f>IF(Cadets!$B33="","",ROW()-10)</f>
        <v/>
      </c>
      <c r="C38" s="26">
        <f>IF(Cadets!$B33="","",Cadets!$F33)</f>
        <v/>
      </c>
      <c r="D38" s="27">
        <f>IF($C38="","",Cadets!$B33)</f>
        <v/>
      </c>
      <c r="E38" s="27">
        <f>IF($C38="","",Cadets!$H33)</f>
        <v/>
      </c>
      <c r="F38" s="27">
        <f>IF($C38="","",_xlfn.LET(_xlpm.c,IFERROR(INDEX(rngEPcode,MATCH(cfgGradeSheetExam,IFERROR(rngEPseq+0,-1),0)),""),IF(COUNTIFS(nrES_PID,Cadets!$B33,nrES_Code,_xlpm.c,nrES_Att,1,nrES_Raw,"&gt;=0")=0,"",SUMIFS(nrES_Raw,nrES_PID,Cadets!$B33,nrES_Code,_xlpm.c,nrES_Att,1))))</f>
        <v/>
      </c>
      <c r="G38" s="27">
        <f>IF($C38="","",_xlfn.LET(_xlpm.c,IFERROR(INDEX(rngEPcode,MATCH(cfgGradeSheetExam,IFERROR(rngEPseq+0,-1),0)),""),IF(COUNTIFS(nrES_PID,Cadets!$B33,nrES_Code,_xlpm.c,nrES_Final,"Yes",nrES_Rec,"&gt;=0")=0,"",SUMIFS(nrES_Rec,nrES_PID,Cadets!$B33,nrES_Code,_xlpm.c,nrES_Final,"Yes"))))</f>
        <v/>
      </c>
      <c r="H38" s="27">
        <f>IF(OR($C38="",$G38=""),"",IF($G38&gt;=IFERROR(INDEX(rngEPpass,MATCH(cfgGradeSheetExam,IFERROR(rngEPseq+0,-1),0)),cfgPassingScore),"Pass","FAIL"))</f>
        <v/>
      </c>
      <c r="I38" s="27">
        <f>IF($C38="","",_xlfn.LET(_xlpm.c,IFERROR(INDEX(rngEPcode,MATCH(cfgGradeSheetExam,IFERROR(rngEPseq+0,-1),0)),""),IF(COUNTIFS(nrES_PID,Cadets!$B33,nrES_Code,_xlpm.c,nrES_Att,2,nrES_Raw,"&gt;=0")&gt;0,"Retested","")))</f>
        <v/>
      </c>
      <c r="J38" s="27">
        <f>IF($C38="","",_xlfn.LET(_xlpm.c,IFERROR(INDEX(rngEPcode,MATCH(cfgGradeSheetExam,IFERROR(rngEPseq+0,-1),0)),""),_xlpm.n,COUNTIFS(nrES_PID,Cadets!$B33,nrES_Code,_xlpm.c,nrES_Att,1),_xlpm.s,COUNTIFS(nrES_PID,Cadets!$B33,nrES_Code,_xlpm.c,nrES_Att,1,nrES_Raw,"&gt;=0"),_xlpm.x,COUNTIFS(nrES_PID,Cadets!$B33,nrES_Code,_xlpm.c,nrES_Att,1,nrES_Absence,"Excused"),_xlpm.u,COUNTIFS(nrES_PID,Cadets!$B33,nrES_Code,_xlpm.c,nrES_Att,1,nrES_Absence,"Unexcused"),IF(_xlpm.u&gt;0,"Unexcused",IF(_xlpm.x&gt;0,IF(_xlpm.s&gt;0,"Excused - taken later","Excused - pending"),IF(OR(_xlpm.n=0,_xlpm.s&gt;0),"","No score recorded")))))</f>
        <v/>
      </c>
    </row>
    <row r="39">
      <c r="B39" s="27">
        <f>IF(Cadets!$B34="","",ROW()-10)</f>
        <v/>
      </c>
      <c r="C39" s="26">
        <f>IF(Cadets!$B34="","",Cadets!$F34)</f>
        <v/>
      </c>
      <c r="D39" s="27">
        <f>IF($C39="","",Cadets!$B34)</f>
        <v/>
      </c>
      <c r="E39" s="27">
        <f>IF($C39="","",Cadets!$H34)</f>
        <v/>
      </c>
      <c r="F39" s="27">
        <f>IF($C39="","",_xlfn.LET(_xlpm.c,IFERROR(INDEX(rngEPcode,MATCH(cfgGradeSheetExam,IFERROR(rngEPseq+0,-1),0)),""),IF(COUNTIFS(nrES_PID,Cadets!$B34,nrES_Code,_xlpm.c,nrES_Att,1,nrES_Raw,"&gt;=0")=0,"",SUMIFS(nrES_Raw,nrES_PID,Cadets!$B34,nrES_Code,_xlpm.c,nrES_Att,1))))</f>
        <v/>
      </c>
      <c r="G39" s="27">
        <f>IF($C39="","",_xlfn.LET(_xlpm.c,IFERROR(INDEX(rngEPcode,MATCH(cfgGradeSheetExam,IFERROR(rngEPseq+0,-1),0)),""),IF(COUNTIFS(nrES_PID,Cadets!$B34,nrES_Code,_xlpm.c,nrES_Final,"Yes",nrES_Rec,"&gt;=0")=0,"",SUMIFS(nrES_Rec,nrES_PID,Cadets!$B34,nrES_Code,_xlpm.c,nrES_Final,"Yes"))))</f>
        <v/>
      </c>
      <c r="H39" s="27">
        <f>IF(OR($C39="",$G39=""),"",IF($G39&gt;=IFERROR(INDEX(rngEPpass,MATCH(cfgGradeSheetExam,IFERROR(rngEPseq+0,-1),0)),cfgPassingScore),"Pass","FAIL"))</f>
        <v/>
      </c>
      <c r="I39" s="27">
        <f>IF($C39="","",_xlfn.LET(_xlpm.c,IFERROR(INDEX(rngEPcode,MATCH(cfgGradeSheetExam,IFERROR(rngEPseq+0,-1),0)),""),IF(COUNTIFS(nrES_PID,Cadets!$B34,nrES_Code,_xlpm.c,nrES_Att,2,nrES_Raw,"&gt;=0")&gt;0,"Retested","")))</f>
        <v/>
      </c>
      <c r="J39" s="27">
        <f>IF($C39="","",_xlfn.LET(_xlpm.c,IFERROR(INDEX(rngEPcode,MATCH(cfgGradeSheetExam,IFERROR(rngEPseq+0,-1),0)),""),_xlpm.n,COUNTIFS(nrES_PID,Cadets!$B34,nrES_Code,_xlpm.c,nrES_Att,1),_xlpm.s,COUNTIFS(nrES_PID,Cadets!$B34,nrES_Code,_xlpm.c,nrES_Att,1,nrES_Raw,"&gt;=0"),_xlpm.x,COUNTIFS(nrES_PID,Cadets!$B34,nrES_Code,_xlpm.c,nrES_Att,1,nrES_Absence,"Excused"),_xlpm.u,COUNTIFS(nrES_PID,Cadets!$B34,nrES_Code,_xlpm.c,nrES_Att,1,nrES_Absence,"Unexcused"),IF(_xlpm.u&gt;0,"Unexcused",IF(_xlpm.x&gt;0,IF(_xlpm.s&gt;0,"Excused - taken later","Excused - pending"),IF(OR(_xlpm.n=0,_xlpm.s&gt;0),"","No score recorded")))))</f>
        <v/>
      </c>
    </row>
    <row r="40">
      <c r="B40" s="27">
        <f>IF(Cadets!$B35="","",ROW()-10)</f>
        <v/>
      </c>
      <c r="C40" s="26">
        <f>IF(Cadets!$B35="","",Cadets!$F35)</f>
        <v/>
      </c>
      <c r="D40" s="27">
        <f>IF($C40="","",Cadets!$B35)</f>
        <v/>
      </c>
      <c r="E40" s="27">
        <f>IF($C40="","",Cadets!$H35)</f>
        <v/>
      </c>
      <c r="F40" s="27">
        <f>IF($C40="","",_xlfn.LET(_xlpm.c,IFERROR(INDEX(rngEPcode,MATCH(cfgGradeSheetExam,IFERROR(rngEPseq+0,-1),0)),""),IF(COUNTIFS(nrES_PID,Cadets!$B35,nrES_Code,_xlpm.c,nrES_Att,1,nrES_Raw,"&gt;=0")=0,"",SUMIFS(nrES_Raw,nrES_PID,Cadets!$B35,nrES_Code,_xlpm.c,nrES_Att,1))))</f>
        <v/>
      </c>
      <c r="G40" s="27">
        <f>IF($C40="","",_xlfn.LET(_xlpm.c,IFERROR(INDEX(rngEPcode,MATCH(cfgGradeSheetExam,IFERROR(rngEPseq+0,-1),0)),""),IF(COUNTIFS(nrES_PID,Cadets!$B35,nrES_Code,_xlpm.c,nrES_Final,"Yes",nrES_Rec,"&gt;=0")=0,"",SUMIFS(nrES_Rec,nrES_PID,Cadets!$B35,nrES_Code,_xlpm.c,nrES_Final,"Yes"))))</f>
        <v/>
      </c>
      <c r="H40" s="27">
        <f>IF(OR($C40="",$G40=""),"",IF($G40&gt;=IFERROR(INDEX(rngEPpass,MATCH(cfgGradeSheetExam,IFERROR(rngEPseq+0,-1),0)),cfgPassingScore),"Pass","FAIL"))</f>
        <v/>
      </c>
      <c r="I40" s="27">
        <f>IF($C40="","",_xlfn.LET(_xlpm.c,IFERROR(INDEX(rngEPcode,MATCH(cfgGradeSheetExam,IFERROR(rngEPseq+0,-1),0)),""),IF(COUNTIFS(nrES_PID,Cadets!$B35,nrES_Code,_xlpm.c,nrES_Att,2,nrES_Raw,"&gt;=0")&gt;0,"Retested","")))</f>
        <v/>
      </c>
      <c r="J40" s="27">
        <f>IF($C40="","",_xlfn.LET(_xlpm.c,IFERROR(INDEX(rngEPcode,MATCH(cfgGradeSheetExam,IFERROR(rngEPseq+0,-1),0)),""),_xlpm.n,COUNTIFS(nrES_PID,Cadets!$B35,nrES_Code,_xlpm.c,nrES_Att,1),_xlpm.s,COUNTIFS(nrES_PID,Cadets!$B35,nrES_Code,_xlpm.c,nrES_Att,1,nrES_Raw,"&gt;=0"),_xlpm.x,COUNTIFS(nrES_PID,Cadets!$B35,nrES_Code,_xlpm.c,nrES_Att,1,nrES_Absence,"Excused"),_xlpm.u,COUNTIFS(nrES_PID,Cadets!$B35,nrES_Code,_xlpm.c,nrES_Att,1,nrES_Absence,"Unexcused"),IF(_xlpm.u&gt;0,"Unexcused",IF(_xlpm.x&gt;0,IF(_xlpm.s&gt;0,"Excused - taken later","Excused - pending"),IF(OR(_xlpm.n=0,_xlpm.s&gt;0),"","No score recorded")))))</f>
        <v/>
      </c>
    </row>
    <row r="41">
      <c r="B41" s="27">
        <f>IF(Cadets!$B36="","",ROW()-10)</f>
        <v/>
      </c>
      <c r="C41" s="26">
        <f>IF(Cadets!$B36="","",Cadets!$F36)</f>
        <v/>
      </c>
      <c r="D41" s="27">
        <f>IF($C41="","",Cadets!$B36)</f>
        <v/>
      </c>
      <c r="E41" s="27">
        <f>IF($C41="","",Cadets!$H36)</f>
        <v/>
      </c>
      <c r="F41" s="27">
        <f>IF($C41="","",_xlfn.LET(_xlpm.c,IFERROR(INDEX(rngEPcode,MATCH(cfgGradeSheetExam,IFERROR(rngEPseq+0,-1),0)),""),IF(COUNTIFS(nrES_PID,Cadets!$B36,nrES_Code,_xlpm.c,nrES_Att,1,nrES_Raw,"&gt;=0")=0,"",SUMIFS(nrES_Raw,nrES_PID,Cadets!$B36,nrES_Code,_xlpm.c,nrES_Att,1))))</f>
        <v/>
      </c>
      <c r="G41" s="27">
        <f>IF($C41="","",_xlfn.LET(_xlpm.c,IFERROR(INDEX(rngEPcode,MATCH(cfgGradeSheetExam,IFERROR(rngEPseq+0,-1),0)),""),IF(COUNTIFS(nrES_PID,Cadets!$B36,nrES_Code,_xlpm.c,nrES_Final,"Yes",nrES_Rec,"&gt;=0")=0,"",SUMIFS(nrES_Rec,nrES_PID,Cadets!$B36,nrES_Code,_xlpm.c,nrES_Final,"Yes"))))</f>
        <v/>
      </c>
      <c r="H41" s="27">
        <f>IF(OR($C41="",$G41=""),"",IF($G41&gt;=IFERROR(INDEX(rngEPpass,MATCH(cfgGradeSheetExam,IFERROR(rngEPseq+0,-1),0)),cfgPassingScore),"Pass","FAIL"))</f>
        <v/>
      </c>
      <c r="I41" s="27">
        <f>IF($C41="","",_xlfn.LET(_xlpm.c,IFERROR(INDEX(rngEPcode,MATCH(cfgGradeSheetExam,IFERROR(rngEPseq+0,-1),0)),""),IF(COUNTIFS(nrES_PID,Cadets!$B36,nrES_Code,_xlpm.c,nrES_Att,2,nrES_Raw,"&gt;=0")&gt;0,"Retested","")))</f>
        <v/>
      </c>
      <c r="J41" s="27">
        <f>IF($C41="","",_xlfn.LET(_xlpm.c,IFERROR(INDEX(rngEPcode,MATCH(cfgGradeSheetExam,IFERROR(rngEPseq+0,-1),0)),""),_xlpm.n,COUNTIFS(nrES_PID,Cadets!$B36,nrES_Code,_xlpm.c,nrES_Att,1),_xlpm.s,COUNTIFS(nrES_PID,Cadets!$B36,nrES_Code,_xlpm.c,nrES_Att,1,nrES_Raw,"&gt;=0"),_xlpm.x,COUNTIFS(nrES_PID,Cadets!$B36,nrES_Code,_xlpm.c,nrES_Att,1,nrES_Absence,"Excused"),_xlpm.u,COUNTIFS(nrES_PID,Cadets!$B36,nrES_Code,_xlpm.c,nrES_Att,1,nrES_Absence,"Unexcused"),IF(_xlpm.u&gt;0,"Unexcused",IF(_xlpm.x&gt;0,IF(_xlpm.s&gt;0,"Excused - taken later","Excused - pending"),IF(OR(_xlpm.n=0,_xlpm.s&gt;0),"","No score recorded")))))</f>
        <v/>
      </c>
    </row>
    <row r="42">
      <c r="B42" s="27">
        <f>IF(Cadets!$B37="","",ROW()-10)</f>
        <v/>
      </c>
      <c r="C42" s="26">
        <f>IF(Cadets!$B37="","",Cadets!$F37)</f>
        <v/>
      </c>
      <c r="D42" s="27">
        <f>IF($C42="","",Cadets!$B37)</f>
        <v/>
      </c>
      <c r="E42" s="27">
        <f>IF($C42="","",Cadets!$H37)</f>
        <v/>
      </c>
      <c r="F42" s="27">
        <f>IF($C42="","",_xlfn.LET(_xlpm.c,IFERROR(INDEX(rngEPcode,MATCH(cfgGradeSheetExam,IFERROR(rngEPseq+0,-1),0)),""),IF(COUNTIFS(nrES_PID,Cadets!$B37,nrES_Code,_xlpm.c,nrES_Att,1,nrES_Raw,"&gt;=0")=0,"",SUMIFS(nrES_Raw,nrES_PID,Cadets!$B37,nrES_Code,_xlpm.c,nrES_Att,1))))</f>
        <v/>
      </c>
      <c r="G42" s="27">
        <f>IF($C42="","",_xlfn.LET(_xlpm.c,IFERROR(INDEX(rngEPcode,MATCH(cfgGradeSheetExam,IFERROR(rngEPseq+0,-1),0)),""),IF(COUNTIFS(nrES_PID,Cadets!$B37,nrES_Code,_xlpm.c,nrES_Final,"Yes",nrES_Rec,"&gt;=0")=0,"",SUMIFS(nrES_Rec,nrES_PID,Cadets!$B37,nrES_Code,_xlpm.c,nrES_Final,"Yes"))))</f>
        <v/>
      </c>
      <c r="H42" s="27">
        <f>IF(OR($C42="",$G42=""),"",IF($G42&gt;=IFERROR(INDEX(rngEPpass,MATCH(cfgGradeSheetExam,IFERROR(rngEPseq+0,-1),0)),cfgPassingScore),"Pass","FAIL"))</f>
        <v/>
      </c>
      <c r="I42" s="27">
        <f>IF($C42="","",_xlfn.LET(_xlpm.c,IFERROR(INDEX(rngEPcode,MATCH(cfgGradeSheetExam,IFERROR(rngEPseq+0,-1),0)),""),IF(COUNTIFS(nrES_PID,Cadets!$B37,nrES_Code,_xlpm.c,nrES_Att,2,nrES_Raw,"&gt;=0")&gt;0,"Retested","")))</f>
        <v/>
      </c>
      <c r="J42" s="27">
        <f>IF($C42="","",_xlfn.LET(_xlpm.c,IFERROR(INDEX(rngEPcode,MATCH(cfgGradeSheetExam,IFERROR(rngEPseq+0,-1),0)),""),_xlpm.n,COUNTIFS(nrES_PID,Cadets!$B37,nrES_Code,_xlpm.c,nrES_Att,1),_xlpm.s,COUNTIFS(nrES_PID,Cadets!$B37,nrES_Code,_xlpm.c,nrES_Att,1,nrES_Raw,"&gt;=0"),_xlpm.x,COUNTIFS(nrES_PID,Cadets!$B37,nrES_Code,_xlpm.c,nrES_Att,1,nrES_Absence,"Excused"),_xlpm.u,COUNTIFS(nrES_PID,Cadets!$B37,nrES_Code,_xlpm.c,nrES_Att,1,nrES_Absence,"Unexcused"),IF(_xlpm.u&gt;0,"Unexcused",IF(_xlpm.x&gt;0,IF(_xlpm.s&gt;0,"Excused - taken later","Excused - pending"),IF(OR(_xlpm.n=0,_xlpm.s&gt;0),"","No score recorded")))))</f>
        <v/>
      </c>
    </row>
    <row r="43">
      <c r="B43" s="27">
        <f>IF(Cadets!$B38="","",ROW()-10)</f>
        <v/>
      </c>
      <c r="C43" s="26">
        <f>IF(Cadets!$B38="","",Cadets!$F38)</f>
        <v/>
      </c>
      <c r="D43" s="27">
        <f>IF($C43="","",Cadets!$B38)</f>
        <v/>
      </c>
      <c r="E43" s="27">
        <f>IF($C43="","",Cadets!$H38)</f>
        <v/>
      </c>
      <c r="F43" s="27">
        <f>IF($C43="","",_xlfn.LET(_xlpm.c,IFERROR(INDEX(rngEPcode,MATCH(cfgGradeSheetExam,IFERROR(rngEPseq+0,-1),0)),""),IF(COUNTIFS(nrES_PID,Cadets!$B38,nrES_Code,_xlpm.c,nrES_Att,1,nrES_Raw,"&gt;=0")=0,"",SUMIFS(nrES_Raw,nrES_PID,Cadets!$B38,nrES_Code,_xlpm.c,nrES_Att,1))))</f>
        <v/>
      </c>
      <c r="G43" s="27">
        <f>IF($C43="","",_xlfn.LET(_xlpm.c,IFERROR(INDEX(rngEPcode,MATCH(cfgGradeSheetExam,IFERROR(rngEPseq+0,-1),0)),""),IF(COUNTIFS(nrES_PID,Cadets!$B38,nrES_Code,_xlpm.c,nrES_Final,"Yes",nrES_Rec,"&gt;=0")=0,"",SUMIFS(nrES_Rec,nrES_PID,Cadets!$B38,nrES_Code,_xlpm.c,nrES_Final,"Yes"))))</f>
        <v/>
      </c>
      <c r="H43" s="27">
        <f>IF(OR($C43="",$G43=""),"",IF($G43&gt;=IFERROR(INDEX(rngEPpass,MATCH(cfgGradeSheetExam,IFERROR(rngEPseq+0,-1),0)),cfgPassingScore),"Pass","FAIL"))</f>
        <v/>
      </c>
      <c r="I43" s="27">
        <f>IF($C43="","",_xlfn.LET(_xlpm.c,IFERROR(INDEX(rngEPcode,MATCH(cfgGradeSheetExam,IFERROR(rngEPseq+0,-1),0)),""),IF(COUNTIFS(nrES_PID,Cadets!$B38,nrES_Code,_xlpm.c,nrES_Att,2,nrES_Raw,"&gt;=0")&gt;0,"Retested","")))</f>
        <v/>
      </c>
      <c r="J43" s="27">
        <f>IF($C43="","",_xlfn.LET(_xlpm.c,IFERROR(INDEX(rngEPcode,MATCH(cfgGradeSheetExam,IFERROR(rngEPseq+0,-1),0)),""),_xlpm.n,COUNTIFS(nrES_PID,Cadets!$B38,nrES_Code,_xlpm.c,nrES_Att,1),_xlpm.s,COUNTIFS(nrES_PID,Cadets!$B38,nrES_Code,_xlpm.c,nrES_Att,1,nrES_Raw,"&gt;=0"),_xlpm.x,COUNTIFS(nrES_PID,Cadets!$B38,nrES_Code,_xlpm.c,nrES_Att,1,nrES_Absence,"Excused"),_xlpm.u,COUNTIFS(nrES_PID,Cadets!$B38,nrES_Code,_xlpm.c,nrES_Att,1,nrES_Absence,"Unexcused"),IF(_xlpm.u&gt;0,"Unexcused",IF(_xlpm.x&gt;0,IF(_xlpm.s&gt;0,"Excused - taken later","Excused - pending"),IF(OR(_xlpm.n=0,_xlpm.s&gt;0),"","No score recorded")))))</f>
        <v/>
      </c>
    </row>
    <row r="44">
      <c r="B44" s="27">
        <f>IF(Cadets!$B39="","",ROW()-10)</f>
        <v/>
      </c>
      <c r="C44" s="26">
        <f>IF(Cadets!$B39="","",Cadets!$F39)</f>
        <v/>
      </c>
      <c r="D44" s="27">
        <f>IF($C44="","",Cadets!$B39)</f>
        <v/>
      </c>
      <c r="E44" s="27">
        <f>IF($C44="","",Cadets!$H39)</f>
        <v/>
      </c>
      <c r="F44" s="27">
        <f>IF($C44="","",_xlfn.LET(_xlpm.c,IFERROR(INDEX(rngEPcode,MATCH(cfgGradeSheetExam,IFERROR(rngEPseq+0,-1),0)),""),IF(COUNTIFS(nrES_PID,Cadets!$B39,nrES_Code,_xlpm.c,nrES_Att,1,nrES_Raw,"&gt;=0")=0,"",SUMIFS(nrES_Raw,nrES_PID,Cadets!$B39,nrES_Code,_xlpm.c,nrES_Att,1))))</f>
        <v/>
      </c>
      <c r="G44" s="27">
        <f>IF($C44="","",_xlfn.LET(_xlpm.c,IFERROR(INDEX(rngEPcode,MATCH(cfgGradeSheetExam,IFERROR(rngEPseq+0,-1),0)),""),IF(COUNTIFS(nrES_PID,Cadets!$B39,nrES_Code,_xlpm.c,nrES_Final,"Yes",nrES_Rec,"&gt;=0")=0,"",SUMIFS(nrES_Rec,nrES_PID,Cadets!$B39,nrES_Code,_xlpm.c,nrES_Final,"Yes"))))</f>
        <v/>
      </c>
      <c r="H44" s="27">
        <f>IF(OR($C44="",$G44=""),"",IF($G44&gt;=IFERROR(INDEX(rngEPpass,MATCH(cfgGradeSheetExam,IFERROR(rngEPseq+0,-1),0)),cfgPassingScore),"Pass","FAIL"))</f>
        <v/>
      </c>
      <c r="I44" s="27">
        <f>IF($C44="","",_xlfn.LET(_xlpm.c,IFERROR(INDEX(rngEPcode,MATCH(cfgGradeSheetExam,IFERROR(rngEPseq+0,-1),0)),""),IF(COUNTIFS(nrES_PID,Cadets!$B39,nrES_Code,_xlpm.c,nrES_Att,2,nrES_Raw,"&gt;=0")&gt;0,"Retested","")))</f>
        <v/>
      </c>
      <c r="J44" s="27">
        <f>IF($C44="","",_xlfn.LET(_xlpm.c,IFERROR(INDEX(rngEPcode,MATCH(cfgGradeSheetExam,IFERROR(rngEPseq+0,-1),0)),""),_xlpm.n,COUNTIFS(nrES_PID,Cadets!$B39,nrES_Code,_xlpm.c,nrES_Att,1),_xlpm.s,COUNTIFS(nrES_PID,Cadets!$B39,nrES_Code,_xlpm.c,nrES_Att,1,nrES_Raw,"&gt;=0"),_xlpm.x,COUNTIFS(nrES_PID,Cadets!$B39,nrES_Code,_xlpm.c,nrES_Att,1,nrES_Absence,"Excused"),_xlpm.u,COUNTIFS(nrES_PID,Cadets!$B39,nrES_Code,_xlpm.c,nrES_Att,1,nrES_Absence,"Unexcused"),IF(_xlpm.u&gt;0,"Unexcused",IF(_xlpm.x&gt;0,IF(_xlpm.s&gt;0,"Excused - taken later","Excused - pending"),IF(OR(_xlpm.n=0,_xlpm.s&gt;0),"","No score recorded")))))</f>
        <v/>
      </c>
    </row>
    <row r="45">
      <c r="B45" s="27">
        <f>IF(Cadets!$B40="","",ROW()-10)</f>
        <v/>
      </c>
      <c r="C45" s="26">
        <f>IF(Cadets!$B40="","",Cadets!$F40)</f>
        <v/>
      </c>
      <c r="D45" s="27">
        <f>IF($C45="","",Cadets!$B40)</f>
        <v/>
      </c>
      <c r="E45" s="27">
        <f>IF($C45="","",Cadets!$H40)</f>
        <v/>
      </c>
      <c r="F45" s="27">
        <f>IF($C45="","",_xlfn.LET(_xlpm.c,IFERROR(INDEX(rngEPcode,MATCH(cfgGradeSheetExam,IFERROR(rngEPseq+0,-1),0)),""),IF(COUNTIFS(nrES_PID,Cadets!$B40,nrES_Code,_xlpm.c,nrES_Att,1,nrES_Raw,"&gt;=0")=0,"",SUMIFS(nrES_Raw,nrES_PID,Cadets!$B40,nrES_Code,_xlpm.c,nrES_Att,1))))</f>
        <v/>
      </c>
      <c r="G45" s="27">
        <f>IF($C45="","",_xlfn.LET(_xlpm.c,IFERROR(INDEX(rngEPcode,MATCH(cfgGradeSheetExam,IFERROR(rngEPseq+0,-1),0)),""),IF(COUNTIFS(nrES_PID,Cadets!$B40,nrES_Code,_xlpm.c,nrES_Final,"Yes",nrES_Rec,"&gt;=0")=0,"",SUMIFS(nrES_Rec,nrES_PID,Cadets!$B40,nrES_Code,_xlpm.c,nrES_Final,"Yes"))))</f>
        <v/>
      </c>
      <c r="H45" s="27">
        <f>IF(OR($C45="",$G45=""),"",IF($G45&gt;=IFERROR(INDEX(rngEPpass,MATCH(cfgGradeSheetExam,IFERROR(rngEPseq+0,-1),0)),cfgPassingScore),"Pass","FAIL"))</f>
        <v/>
      </c>
      <c r="I45" s="27">
        <f>IF($C45="","",_xlfn.LET(_xlpm.c,IFERROR(INDEX(rngEPcode,MATCH(cfgGradeSheetExam,IFERROR(rngEPseq+0,-1),0)),""),IF(COUNTIFS(nrES_PID,Cadets!$B40,nrES_Code,_xlpm.c,nrES_Att,2,nrES_Raw,"&gt;=0")&gt;0,"Retested","")))</f>
        <v/>
      </c>
      <c r="J45" s="27">
        <f>IF($C45="","",_xlfn.LET(_xlpm.c,IFERROR(INDEX(rngEPcode,MATCH(cfgGradeSheetExam,IFERROR(rngEPseq+0,-1),0)),""),_xlpm.n,COUNTIFS(nrES_PID,Cadets!$B40,nrES_Code,_xlpm.c,nrES_Att,1),_xlpm.s,COUNTIFS(nrES_PID,Cadets!$B40,nrES_Code,_xlpm.c,nrES_Att,1,nrES_Raw,"&gt;=0"),_xlpm.x,COUNTIFS(nrES_PID,Cadets!$B40,nrES_Code,_xlpm.c,nrES_Att,1,nrES_Absence,"Excused"),_xlpm.u,COUNTIFS(nrES_PID,Cadets!$B40,nrES_Code,_xlpm.c,nrES_Att,1,nrES_Absence,"Unexcused"),IF(_xlpm.u&gt;0,"Unexcused",IF(_xlpm.x&gt;0,IF(_xlpm.s&gt;0,"Excused - taken later","Excused - pending"),IF(OR(_xlpm.n=0,_xlpm.s&gt;0),"","No score recorded")))))</f>
        <v/>
      </c>
    </row>
    <row r="46">
      <c r="B46" s="27">
        <f>IF(Cadets!$B41="","",ROW()-10)</f>
        <v/>
      </c>
      <c r="C46" s="26">
        <f>IF(Cadets!$B41="","",Cadets!$F41)</f>
        <v/>
      </c>
      <c r="D46" s="27">
        <f>IF($C46="","",Cadets!$B41)</f>
        <v/>
      </c>
      <c r="E46" s="27">
        <f>IF($C46="","",Cadets!$H41)</f>
        <v/>
      </c>
      <c r="F46" s="27">
        <f>IF($C46="","",_xlfn.LET(_xlpm.c,IFERROR(INDEX(rngEPcode,MATCH(cfgGradeSheetExam,IFERROR(rngEPseq+0,-1),0)),""),IF(COUNTIFS(nrES_PID,Cadets!$B41,nrES_Code,_xlpm.c,nrES_Att,1,nrES_Raw,"&gt;=0")=0,"",SUMIFS(nrES_Raw,nrES_PID,Cadets!$B41,nrES_Code,_xlpm.c,nrES_Att,1))))</f>
        <v/>
      </c>
      <c r="G46" s="27">
        <f>IF($C46="","",_xlfn.LET(_xlpm.c,IFERROR(INDEX(rngEPcode,MATCH(cfgGradeSheetExam,IFERROR(rngEPseq+0,-1),0)),""),IF(COUNTIFS(nrES_PID,Cadets!$B41,nrES_Code,_xlpm.c,nrES_Final,"Yes",nrES_Rec,"&gt;=0")=0,"",SUMIFS(nrES_Rec,nrES_PID,Cadets!$B41,nrES_Code,_xlpm.c,nrES_Final,"Yes"))))</f>
        <v/>
      </c>
      <c r="H46" s="27">
        <f>IF(OR($C46="",$G46=""),"",IF($G46&gt;=IFERROR(INDEX(rngEPpass,MATCH(cfgGradeSheetExam,IFERROR(rngEPseq+0,-1),0)),cfgPassingScore),"Pass","FAIL"))</f>
        <v/>
      </c>
      <c r="I46" s="27">
        <f>IF($C46="","",_xlfn.LET(_xlpm.c,IFERROR(INDEX(rngEPcode,MATCH(cfgGradeSheetExam,IFERROR(rngEPseq+0,-1),0)),""),IF(COUNTIFS(nrES_PID,Cadets!$B41,nrES_Code,_xlpm.c,nrES_Att,2,nrES_Raw,"&gt;=0")&gt;0,"Retested","")))</f>
        <v/>
      </c>
      <c r="J46" s="27">
        <f>IF($C46="","",_xlfn.LET(_xlpm.c,IFERROR(INDEX(rngEPcode,MATCH(cfgGradeSheetExam,IFERROR(rngEPseq+0,-1),0)),""),_xlpm.n,COUNTIFS(nrES_PID,Cadets!$B41,nrES_Code,_xlpm.c,nrES_Att,1),_xlpm.s,COUNTIFS(nrES_PID,Cadets!$B41,nrES_Code,_xlpm.c,nrES_Att,1,nrES_Raw,"&gt;=0"),_xlpm.x,COUNTIFS(nrES_PID,Cadets!$B41,nrES_Code,_xlpm.c,nrES_Att,1,nrES_Absence,"Excused"),_xlpm.u,COUNTIFS(nrES_PID,Cadets!$B41,nrES_Code,_xlpm.c,nrES_Att,1,nrES_Absence,"Unexcused"),IF(_xlpm.u&gt;0,"Unexcused",IF(_xlpm.x&gt;0,IF(_xlpm.s&gt;0,"Excused - taken later","Excused - pending"),IF(OR(_xlpm.n=0,_xlpm.s&gt;0),"","No score recorded")))))</f>
        <v/>
      </c>
    </row>
    <row r="47">
      <c r="B47" s="27">
        <f>IF(Cadets!$B42="","",ROW()-10)</f>
        <v/>
      </c>
      <c r="C47" s="26">
        <f>IF(Cadets!$B42="","",Cadets!$F42)</f>
        <v/>
      </c>
      <c r="D47" s="27">
        <f>IF($C47="","",Cadets!$B42)</f>
        <v/>
      </c>
      <c r="E47" s="27">
        <f>IF($C47="","",Cadets!$H42)</f>
        <v/>
      </c>
      <c r="F47" s="27">
        <f>IF($C47="","",_xlfn.LET(_xlpm.c,IFERROR(INDEX(rngEPcode,MATCH(cfgGradeSheetExam,IFERROR(rngEPseq+0,-1),0)),""),IF(COUNTIFS(nrES_PID,Cadets!$B42,nrES_Code,_xlpm.c,nrES_Att,1,nrES_Raw,"&gt;=0")=0,"",SUMIFS(nrES_Raw,nrES_PID,Cadets!$B42,nrES_Code,_xlpm.c,nrES_Att,1))))</f>
        <v/>
      </c>
      <c r="G47" s="27">
        <f>IF($C47="","",_xlfn.LET(_xlpm.c,IFERROR(INDEX(rngEPcode,MATCH(cfgGradeSheetExam,IFERROR(rngEPseq+0,-1),0)),""),IF(COUNTIFS(nrES_PID,Cadets!$B42,nrES_Code,_xlpm.c,nrES_Final,"Yes",nrES_Rec,"&gt;=0")=0,"",SUMIFS(nrES_Rec,nrES_PID,Cadets!$B42,nrES_Code,_xlpm.c,nrES_Final,"Yes"))))</f>
        <v/>
      </c>
      <c r="H47" s="27">
        <f>IF(OR($C47="",$G47=""),"",IF($G47&gt;=IFERROR(INDEX(rngEPpass,MATCH(cfgGradeSheetExam,IFERROR(rngEPseq+0,-1),0)),cfgPassingScore),"Pass","FAIL"))</f>
        <v/>
      </c>
      <c r="I47" s="27">
        <f>IF($C47="","",_xlfn.LET(_xlpm.c,IFERROR(INDEX(rngEPcode,MATCH(cfgGradeSheetExam,IFERROR(rngEPseq+0,-1),0)),""),IF(COUNTIFS(nrES_PID,Cadets!$B42,nrES_Code,_xlpm.c,nrES_Att,2,nrES_Raw,"&gt;=0")&gt;0,"Retested","")))</f>
        <v/>
      </c>
      <c r="J47" s="27">
        <f>IF($C47="","",_xlfn.LET(_xlpm.c,IFERROR(INDEX(rngEPcode,MATCH(cfgGradeSheetExam,IFERROR(rngEPseq+0,-1),0)),""),_xlpm.n,COUNTIFS(nrES_PID,Cadets!$B42,nrES_Code,_xlpm.c,nrES_Att,1),_xlpm.s,COUNTIFS(nrES_PID,Cadets!$B42,nrES_Code,_xlpm.c,nrES_Att,1,nrES_Raw,"&gt;=0"),_xlpm.x,COUNTIFS(nrES_PID,Cadets!$B42,nrES_Code,_xlpm.c,nrES_Att,1,nrES_Absence,"Excused"),_xlpm.u,COUNTIFS(nrES_PID,Cadets!$B42,nrES_Code,_xlpm.c,nrES_Att,1,nrES_Absence,"Unexcused"),IF(_xlpm.u&gt;0,"Unexcused",IF(_xlpm.x&gt;0,IF(_xlpm.s&gt;0,"Excused - taken later","Excused - pending"),IF(OR(_xlpm.n=0,_xlpm.s&gt;0),"","No score recorded")))))</f>
        <v/>
      </c>
    </row>
    <row r="48">
      <c r="B48" s="27">
        <f>IF(Cadets!$B43="","",ROW()-10)</f>
        <v/>
      </c>
      <c r="C48" s="26">
        <f>IF(Cadets!$B43="","",Cadets!$F43)</f>
        <v/>
      </c>
      <c r="D48" s="27">
        <f>IF($C48="","",Cadets!$B43)</f>
        <v/>
      </c>
      <c r="E48" s="27">
        <f>IF($C48="","",Cadets!$H43)</f>
        <v/>
      </c>
      <c r="F48" s="27">
        <f>IF($C48="","",_xlfn.LET(_xlpm.c,IFERROR(INDEX(rngEPcode,MATCH(cfgGradeSheetExam,IFERROR(rngEPseq+0,-1),0)),""),IF(COUNTIFS(nrES_PID,Cadets!$B43,nrES_Code,_xlpm.c,nrES_Att,1,nrES_Raw,"&gt;=0")=0,"",SUMIFS(nrES_Raw,nrES_PID,Cadets!$B43,nrES_Code,_xlpm.c,nrES_Att,1))))</f>
        <v/>
      </c>
      <c r="G48" s="27">
        <f>IF($C48="","",_xlfn.LET(_xlpm.c,IFERROR(INDEX(rngEPcode,MATCH(cfgGradeSheetExam,IFERROR(rngEPseq+0,-1),0)),""),IF(COUNTIFS(nrES_PID,Cadets!$B43,nrES_Code,_xlpm.c,nrES_Final,"Yes",nrES_Rec,"&gt;=0")=0,"",SUMIFS(nrES_Rec,nrES_PID,Cadets!$B43,nrES_Code,_xlpm.c,nrES_Final,"Yes"))))</f>
        <v/>
      </c>
      <c r="H48" s="27">
        <f>IF(OR($C48="",$G48=""),"",IF($G48&gt;=IFERROR(INDEX(rngEPpass,MATCH(cfgGradeSheetExam,IFERROR(rngEPseq+0,-1),0)),cfgPassingScore),"Pass","FAIL"))</f>
        <v/>
      </c>
      <c r="I48" s="27">
        <f>IF($C48="","",_xlfn.LET(_xlpm.c,IFERROR(INDEX(rngEPcode,MATCH(cfgGradeSheetExam,IFERROR(rngEPseq+0,-1),0)),""),IF(COUNTIFS(nrES_PID,Cadets!$B43,nrES_Code,_xlpm.c,nrES_Att,2,nrES_Raw,"&gt;=0")&gt;0,"Retested","")))</f>
        <v/>
      </c>
      <c r="J48" s="27">
        <f>IF($C48="","",_xlfn.LET(_xlpm.c,IFERROR(INDEX(rngEPcode,MATCH(cfgGradeSheetExam,IFERROR(rngEPseq+0,-1),0)),""),_xlpm.n,COUNTIFS(nrES_PID,Cadets!$B43,nrES_Code,_xlpm.c,nrES_Att,1),_xlpm.s,COUNTIFS(nrES_PID,Cadets!$B43,nrES_Code,_xlpm.c,nrES_Att,1,nrES_Raw,"&gt;=0"),_xlpm.x,COUNTIFS(nrES_PID,Cadets!$B43,nrES_Code,_xlpm.c,nrES_Att,1,nrES_Absence,"Excused"),_xlpm.u,COUNTIFS(nrES_PID,Cadets!$B43,nrES_Code,_xlpm.c,nrES_Att,1,nrES_Absence,"Unexcused"),IF(_xlpm.u&gt;0,"Unexcused",IF(_xlpm.x&gt;0,IF(_xlpm.s&gt;0,"Excused - taken later","Excused - pending"),IF(OR(_xlpm.n=0,_xlpm.s&gt;0),"","No score recorded")))))</f>
        <v/>
      </c>
    </row>
    <row r="49">
      <c r="B49" s="27">
        <f>IF(Cadets!$B44="","",ROW()-10)</f>
        <v/>
      </c>
      <c r="C49" s="26">
        <f>IF(Cadets!$B44="","",Cadets!$F44)</f>
        <v/>
      </c>
      <c r="D49" s="27">
        <f>IF($C49="","",Cadets!$B44)</f>
        <v/>
      </c>
      <c r="E49" s="27">
        <f>IF($C49="","",Cadets!$H44)</f>
        <v/>
      </c>
      <c r="F49" s="27">
        <f>IF($C49="","",_xlfn.LET(_xlpm.c,IFERROR(INDEX(rngEPcode,MATCH(cfgGradeSheetExam,IFERROR(rngEPseq+0,-1),0)),""),IF(COUNTIFS(nrES_PID,Cadets!$B44,nrES_Code,_xlpm.c,nrES_Att,1,nrES_Raw,"&gt;=0")=0,"",SUMIFS(nrES_Raw,nrES_PID,Cadets!$B44,nrES_Code,_xlpm.c,nrES_Att,1))))</f>
        <v/>
      </c>
      <c r="G49" s="27">
        <f>IF($C49="","",_xlfn.LET(_xlpm.c,IFERROR(INDEX(rngEPcode,MATCH(cfgGradeSheetExam,IFERROR(rngEPseq+0,-1),0)),""),IF(COUNTIFS(nrES_PID,Cadets!$B44,nrES_Code,_xlpm.c,nrES_Final,"Yes",nrES_Rec,"&gt;=0")=0,"",SUMIFS(nrES_Rec,nrES_PID,Cadets!$B44,nrES_Code,_xlpm.c,nrES_Final,"Yes"))))</f>
        <v/>
      </c>
      <c r="H49" s="27">
        <f>IF(OR($C49="",$G49=""),"",IF($G49&gt;=IFERROR(INDEX(rngEPpass,MATCH(cfgGradeSheetExam,IFERROR(rngEPseq+0,-1),0)),cfgPassingScore),"Pass","FAIL"))</f>
        <v/>
      </c>
      <c r="I49" s="27">
        <f>IF($C49="","",_xlfn.LET(_xlpm.c,IFERROR(INDEX(rngEPcode,MATCH(cfgGradeSheetExam,IFERROR(rngEPseq+0,-1),0)),""),IF(COUNTIFS(nrES_PID,Cadets!$B44,nrES_Code,_xlpm.c,nrES_Att,2,nrES_Raw,"&gt;=0")&gt;0,"Retested","")))</f>
        <v/>
      </c>
      <c r="J49" s="27">
        <f>IF($C49="","",_xlfn.LET(_xlpm.c,IFERROR(INDEX(rngEPcode,MATCH(cfgGradeSheetExam,IFERROR(rngEPseq+0,-1),0)),""),_xlpm.n,COUNTIFS(nrES_PID,Cadets!$B44,nrES_Code,_xlpm.c,nrES_Att,1),_xlpm.s,COUNTIFS(nrES_PID,Cadets!$B44,nrES_Code,_xlpm.c,nrES_Att,1,nrES_Raw,"&gt;=0"),_xlpm.x,COUNTIFS(nrES_PID,Cadets!$B44,nrES_Code,_xlpm.c,nrES_Att,1,nrES_Absence,"Excused"),_xlpm.u,COUNTIFS(nrES_PID,Cadets!$B44,nrES_Code,_xlpm.c,nrES_Att,1,nrES_Absence,"Unexcused"),IF(_xlpm.u&gt;0,"Unexcused",IF(_xlpm.x&gt;0,IF(_xlpm.s&gt;0,"Excused - taken later","Excused - pending"),IF(OR(_xlpm.n=0,_xlpm.s&gt;0),"","No score recorded")))))</f>
        <v/>
      </c>
    </row>
    <row r="50">
      <c r="B50" s="27">
        <f>IF(Cadets!$B45="","",ROW()-10)</f>
        <v/>
      </c>
      <c r="C50" s="26">
        <f>IF(Cadets!$B45="","",Cadets!$F45)</f>
        <v/>
      </c>
      <c r="D50" s="27">
        <f>IF($C50="","",Cadets!$B45)</f>
        <v/>
      </c>
      <c r="E50" s="27">
        <f>IF($C50="","",Cadets!$H45)</f>
        <v/>
      </c>
      <c r="F50" s="27">
        <f>IF($C50="","",_xlfn.LET(_xlpm.c,IFERROR(INDEX(rngEPcode,MATCH(cfgGradeSheetExam,IFERROR(rngEPseq+0,-1),0)),""),IF(COUNTIFS(nrES_PID,Cadets!$B45,nrES_Code,_xlpm.c,nrES_Att,1,nrES_Raw,"&gt;=0")=0,"",SUMIFS(nrES_Raw,nrES_PID,Cadets!$B45,nrES_Code,_xlpm.c,nrES_Att,1))))</f>
        <v/>
      </c>
      <c r="G50" s="27">
        <f>IF($C50="","",_xlfn.LET(_xlpm.c,IFERROR(INDEX(rngEPcode,MATCH(cfgGradeSheetExam,IFERROR(rngEPseq+0,-1),0)),""),IF(COUNTIFS(nrES_PID,Cadets!$B45,nrES_Code,_xlpm.c,nrES_Final,"Yes",nrES_Rec,"&gt;=0")=0,"",SUMIFS(nrES_Rec,nrES_PID,Cadets!$B45,nrES_Code,_xlpm.c,nrES_Final,"Yes"))))</f>
        <v/>
      </c>
      <c r="H50" s="27">
        <f>IF(OR($C50="",$G50=""),"",IF($G50&gt;=IFERROR(INDEX(rngEPpass,MATCH(cfgGradeSheetExam,IFERROR(rngEPseq+0,-1),0)),cfgPassingScore),"Pass","FAIL"))</f>
        <v/>
      </c>
      <c r="I50" s="27">
        <f>IF($C50="","",_xlfn.LET(_xlpm.c,IFERROR(INDEX(rngEPcode,MATCH(cfgGradeSheetExam,IFERROR(rngEPseq+0,-1),0)),""),IF(COUNTIFS(nrES_PID,Cadets!$B45,nrES_Code,_xlpm.c,nrES_Att,2,nrES_Raw,"&gt;=0")&gt;0,"Retested","")))</f>
        <v/>
      </c>
      <c r="J50" s="27">
        <f>IF($C50="","",_xlfn.LET(_xlpm.c,IFERROR(INDEX(rngEPcode,MATCH(cfgGradeSheetExam,IFERROR(rngEPseq+0,-1),0)),""),_xlpm.n,COUNTIFS(nrES_PID,Cadets!$B45,nrES_Code,_xlpm.c,nrES_Att,1),_xlpm.s,COUNTIFS(nrES_PID,Cadets!$B45,nrES_Code,_xlpm.c,nrES_Att,1,nrES_Raw,"&gt;=0"),_xlpm.x,COUNTIFS(nrES_PID,Cadets!$B45,nrES_Code,_xlpm.c,nrES_Att,1,nrES_Absence,"Excused"),_xlpm.u,COUNTIFS(nrES_PID,Cadets!$B45,nrES_Code,_xlpm.c,nrES_Att,1,nrES_Absence,"Unexcused"),IF(_xlpm.u&gt;0,"Unexcused",IF(_xlpm.x&gt;0,IF(_xlpm.s&gt;0,"Excused - taken later","Excused - pending"),IF(OR(_xlpm.n=0,_xlpm.s&gt;0),"","No score recorded")))))</f>
        <v/>
      </c>
    </row>
    <row r="51">
      <c r="B51" s="27">
        <f>IF(Cadets!$B46="","",ROW()-10)</f>
        <v/>
      </c>
      <c r="C51" s="26">
        <f>IF(Cadets!$B46="","",Cadets!$F46)</f>
        <v/>
      </c>
      <c r="D51" s="27">
        <f>IF($C51="","",Cadets!$B46)</f>
        <v/>
      </c>
      <c r="E51" s="27">
        <f>IF($C51="","",Cadets!$H46)</f>
        <v/>
      </c>
      <c r="F51" s="27">
        <f>IF($C51="","",_xlfn.LET(_xlpm.c,IFERROR(INDEX(rngEPcode,MATCH(cfgGradeSheetExam,IFERROR(rngEPseq+0,-1),0)),""),IF(COUNTIFS(nrES_PID,Cadets!$B46,nrES_Code,_xlpm.c,nrES_Att,1,nrES_Raw,"&gt;=0")=0,"",SUMIFS(nrES_Raw,nrES_PID,Cadets!$B46,nrES_Code,_xlpm.c,nrES_Att,1))))</f>
        <v/>
      </c>
      <c r="G51" s="27">
        <f>IF($C51="","",_xlfn.LET(_xlpm.c,IFERROR(INDEX(rngEPcode,MATCH(cfgGradeSheetExam,IFERROR(rngEPseq+0,-1),0)),""),IF(COUNTIFS(nrES_PID,Cadets!$B46,nrES_Code,_xlpm.c,nrES_Final,"Yes",nrES_Rec,"&gt;=0")=0,"",SUMIFS(nrES_Rec,nrES_PID,Cadets!$B46,nrES_Code,_xlpm.c,nrES_Final,"Yes"))))</f>
        <v/>
      </c>
      <c r="H51" s="27">
        <f>IF(OR($C51="",$G51=""),"",IF($G51&gt;=IFERROR(INDEX(rngEPpass,MATCH(cfgGradeSheetExam,IFERROR(rngEPseq+0,-1),0)),cfgPassingScore),"Pass","FAIL"))</f>
        <v/>
      </c>
      <c r="I51" s="27">
        <f>IF($C51="","",_xlfn.LET(_xlpm.c,IFERROR(INDEX(rngEPcode,MATCH(cfgGradeSheetExam,IFERROR(rngEPseq+0,-1),0)),""),IF(COUNTIFS(nrES_PID,Cadets!$B46,nrES_Code,_xlpm.c,nrES_Att,2,nrES_Raw,"&gt;=0")&gt;0,"Retested","")))</f>
        <v/>
      </c>
      <c r="J51" s="27">
        <f>IF($C51="","",_xlfn.LET(_xlpm.c,IFERROR(INDEX(rngEPcode,MATCH(cfgGradeSheetExam,IFERROR(rngEPseq+0,-1),0)),""),_xlpm.n,COUNTIFS(nrES_PID,Cadets!$B46,nrES_Code,_xlpm.c,nrES_Att,1),_xlpm.s,COUNTIFS(nrES_PID,Cadets!$B46,nrES_Code,_xlpm.c,nrES_Att,1,nrES_Raw,"&gt;=0"),_xlpm.x,COUNTIFS(nrES_PID,Cadets!$B46,nrES_Code,_xlpm.c,nrES_Att,1,nrES_Absence,"Excused"),_xlpm.u,COUNTIFS(nrES_PID,Cadets!$B46,nrES_Code,_xlpm.c,nrES_Att,1,nrES_Absence,"Unexcused"),IF(_xlpm.u&gt;0,"Unexcused",IF(_xlpm.x&gt;0,IF(_xlpm.s&gt;0,"Excused - taken later","Excused - pending"),IF(OR(_xlpm.n=0,_xlpm.s&gt;0),"","No score recorded")))))</f>
        <v/>
      </c>
    </row>
    <row r="52">
      <c r="B52" s="27">
        <f>IF(Cadets!$B47="","",ROW()-10)</f>
        <v/>
      </c>
      <c r="C52" s="26">
        <f>IF(Cadets!$B47="","",Cadets!$F47)</f>
        <v/>
      </c>
      <c r="D52" s="27">
        <f>IF($C52="","",Cadets!$B47)</f>
        <v/>
      </c>
      <c r="E52" s="27">
        <f>IF($C52="","",Cadets!$H47)</f>
        <v/>
      </c>
      <c r="F52" s="27">
        <f>IF($C52="","",_xlfn.LET(_xlpm.c,IFERROR(INDEX(rngEPcode,MATCH(cfgGradeSheetExam,IFERROR(rngEPseq+0,-1),0)),""),IF(COUNTIFS(nrES_PID,Cadets!$B47,nrES_Code,_xlpm.c,nrES_Att,1,nrES_Raw,"&gt;=0")=0,"",SUMIFS(nrES_Raw,nrES_PID,Cadets!$B47,nrES_Code,_xlpm.c,nrES_Att,1))))</f>
        <v/>
      </c>
      <c r="G52" s="27">
        <f>IF($C52="","",_xlfn.LET(_xlpm.c,IFERROR(INDEX(rngEPcode,MATCH(cfgGradeSheetExam,IFERROR(rngEPseq+0,-1),0)),""),IF(COUNTIFS(nrES_PID,Cadets!$B47,nrES_Code,_xlpm.c,nrES_Final,"Yes",nrES_Rec,"&gt;=0")=0,"",SUMIFS(nrES_Rec,nrES_PID,Cadets!$B47,nrES_Code,_xlpm.c,nrES_Final,"Yes"))))</f>
        <v/>
      </c>
      <c r="H52" s="27">
        <f>IF(OR($C52="",$G52=""),"",IF($G52&gt;=IFERROR(INDEX(rngEPpass,MATCH(cfgGradeSheetExam,IFERROR(rngEPseq+0,-1),0)),cfgPassingScore),"Pass","FAIL"))</f>
        <v/>
      </c>
      <c r="I52" s="27">
        <f>IF($C52="","",_xlfn.LET(_xlpm.c,IFERROR(INDEX(rngEPcode,MATCH(cfgGradeSheetExam,IFERROR(rngEPseq+0,-1),0)),""),IF(COUNTIFS(nrES_PID,Cadets!$B47,nrES_Code,_xlpm.c,nrES_Att,2,nrES_Raw,"&gt;=0")&gt;0,"Retested","")))</f>
        <v/>
      </c>
      <c r="J52" s="27">
        <f>IF($C52="","",_xlfn.LET(_xlpm.c,IFERROR(INDEX(rngEPcode,MATCH(cfgGradeSheetExam,IFERROR(rngEPseq+0,-1),0)),""),_xlpm.n,COUNTIFS(nrES_PID,Cadets!$B47,nrES_Code,_xlpm.c,nrES_Att,1),_xlpm.s,COUNTIFS(nrES_PID,Cadets!$B47,nrES_Code,_xlpm.c,nrES_Att,1,nrES_Raw,"&gt;=0"),_xlpm.x,COUNTIFS(nrES_PID,Cadets!$B47,nrES_Code,_xlpm.c,nrES_Att,1,nrES_Absence,"Excused"),_xlpm.u,COUNTIFS(nrES_PID,Cadets!$B47,nrES_Code,_xlpm.c,nrES_Att,1,nrES_Absence,"Unexcused"),IF(_xlpm.u&gt;0,"Unexcused",IF(_xlpm.x&gt;0,IF(_xlpm.s&gt;0,"Excused - taken later","Excused - pending"),IF(OR(_xlpm.n=0,_xlpm.s&gt;0),"","No score recorded")))))</f>
        <v/>
      </c>
    </row>
    <row r="53">
      <c r="B53" s="27">
        <f>IF(Cadets!$B48="","",ROW()-10)</f>
        <v/>
      </c>
      <c r="C53" s="26">
        <f>IF(Cadets!$B48="","",Cadets!$F48)</f>
        <v/>
      </c>
      <c r="D53" s="27">
        <f>IF($C53="","",Cadets!$B48)</f>
        <v/>
      </c>
      <c r="E53" s="27">
        <f>IF($C53="","",Cadets!$H48)</f>
        <v/>
      </c>
      <c r="F53" s="27">
        <f>IF($C53="","",_xlfn.LET(_xlpm.c,IFERROR(INDEX(rngEPcode,MATCH(cfgGradeSheetExam,IFERROR(rngEPseq+0,-1),0)),""),IF(COUNTIFS(nrES_PID,Cadets!$B48,nrES_Code,_xlpm.c,nrES_Att,1,nrES_Raw,"&gt;=0")=0,"",SUMIFS(nrES_Raw,nrES_PID,Cadets!$B48,nrES_Code,_xlpm.c,nrES_Att,1))))</f>
        <v/>
      </c>
      <c r="G53" s="27">
        <f>IF($C53="","",_xlfn.LET(_xlpm.c,IFERROR(INDEX(rngEPcode,MATCH(cfgGradeSheetExam,IFERROR(rngEPseq+0,-1),0)),""),IF(COUNTIFS(nrES_PID,Cadets!$B48,nrES_Code,_xlpm.c,nrES_Final,"Yes",nrES_Rec,"&gt;=0")=0,"",SUMIFS(nrES_Rec,nrES_PID,Cadets!$B48,nrES_Code,_xlpm.c,nrES_Final,"Yes"))))</f>
        <v/>
      </c>
      <c r="H53" s="27">
        <f>IF(OR($C53="",$G53=""),"",IF($G53&gt;=IFERROR(INDEX(rngEPpass,MATCH(cfgGradeSheetExam,IFERROR(rngEPseq+0,-1),0)),cfgPassingScore),"Pass","FAIL"))</f>
        <v/>
      </c>
      <c r="I53" s="27">
        <f>IF($C53="","",_xlfn.LET(_xlpm.c,IFERROR(INDEX(rngEPcode,MATCH(cfgGradeSheetExam,IFERROR(rngEPseq+0,-1),0)),""),IF(COUNTIFS(nrES_PID,Cadets!$B48,nrES_Code,_xlpm.c,nrES_Att,2,nrES_Raw,"&gt;=0")&gt;0,"Retested","")))</f>
        <v/>
      </c>
      <c r="J53" s="27">
        <f>IF($C53="","",_xlfn.LET(_xlpm.c,IFERROR(INDEX(rngEPcode,MATCH(cfgGradeSheetExam,IFERROR(rngEPseq+0,-1),0)),""),_xlpm.n,COUNTIFS(nrES_PID,Cadets!$B48,nrES_Code,_xlpm.c,nrES_Att,1),_xlpm.s,COUNTIFS(nrES_PID,Cadets!$B48,nrES_Code,_xlpm.c,nrES_Att,1,nrES_Raw,"&gt;=0"),_xlpm.x,COUNTIFS(nrES_PID,Cadets!$B48,nrES_Code,_xlpm.c,nrES_Att,1,nrES_Absence,"Excused"),_xlpm.u,COUNTIFS(nrES_PID,Cadets!$B48,nrES_Code,_xlpm.c,nrES_Att,1,nrES_Absence,"Unexcused"),IF(_xlpm.u&gt;0,"Unexcused",IF(_xlpm.x&gt;0,IF(_xlpm.s&gt;0,"Excused - taken later","Excused - pending"),IF(OR(_xlpm.n=0,_xlpm.s&gt;0),"","No score recorded")))))</f>
        <v/>
      </c>
    </row>
    <row r="54">
      <c r="B54" s="27">
        <f>IF(Cadets!$B49="","",ROW()-10)</f>
        <v/>
      </c>
      <c r="C54" s="26">
        <f>IF(Cadets!$B49="","",Cadets!$F49)</f>
        <v/>
      </c>
      <c r="D54" s="27">
        <f>IF($C54="","",Cadets!$B49)</f>
        <v/>
      </c>
      <c r="E54" s="27">
        <f>IF($C54="","",Cadets!$H49)</f>
        <v/>
      </c>
      <c r="F54" s="27">
        <f>IF($C54="","",_xlfn.LET(_xlpm.c,IFERROR(INDEX(rngEPcode,MATCH(cfgGradeSheetExam,IFERROR(rngEPseq+0,-1),0)),""),IF(COUNTIFS(nrES_PID,Cadets!$B49,nrES_Code,_xlpm.c,nrES_Att,1,nrES_Raw,"&gt;=0")=0,"",SUMIFS(nrES_Raw,nrES_PID,Cadets!$B49,nrES_Code,_xlpm.c,nrES_Att,1))))</f>
        <v/>
      </c>
      <c r="G54" s="27">
        <f>IF($C54="","",_xlfn.LET(_xlpm.c,IFERROR(INDEX(rngEPcode,MATCH(cfgGradeSheetExam,IFERROR(rngEPseq+0,-1),0)),""),IF(COUNTIFS(nrES_PID,Cadets!$B49,nrES_Code,_xlpm.c,nrES_Final,"Yes",nrES_Rec,"&gt;=0")=0,"",SUMIFS(nrES_Rec,nrES_PID,Cadets!$B49,nrES_Code,_xlpm.c,nrES_Final,"Yes"))))</f>
        <v/>
      </c>
      <c r="H54" s="27">
        <f>IF(OR($C54="",$G54=""),"",IF($G54&gt;=IFERROR(INDEX(rngEPpass,MATCH(cfgGradeSheetExam,IFERROR(rngEPseq+0,-1),0)),cfgPassingScore),"Pass","FAIL"))</f>
        <v/>
      </c>
      <c r="I54" s="27">
        <f>IF($C54="","",_xlfn.LET(_xlpm.c,IFERROR(INDEX(rngEPcode,MATCH(cfgGradeSheetExam,IFERROR(rngEPseq+0,-1),0)),""),IF(COUNTIFS(nrES_PID,Cadets!$B49,nrES_Code,_xlpm.c,nrES_Att,2,nrES_Raw,"&gt;=0")&gt;0,"Retested","")))</f>
        <v/>
      </c>
      <c r="J54" s="27">
        <f>IF($C54="","",_xlfn.LET(_xlpm.c,IFERROR(INDEX(rngEPcode,MATCH(cfgGradeSheetExam,IFERROR(rngEPseq+0,-1),0)),""),_xlpm.n,COUNTIFS(nrES_PID,Cadets!$B49,nrES_Code,_xlpm.c,nrES_Att,1),_xlpm.s,COUNTIFS(nrES_PID,Cadets!$B49,nrES_Code,_xlpm.c,nrES_Att,1,nrES_Raw,"&gt;=0"),_xlpm.x,COUNTIFS(nrES_PID,Cadets!$B49,nrES_Code,_xlpm.c,nrES_Att,1,nrES_Absence,"Excused"),_xlpm.u,COUNTIFS(nrES_PID,Cadets!$B49,nrES_Code,_xlpm.c,nrES_Att,1,nrES_Absence,"Unexcused"),IF(_xlpm.u&gt;0,"Unexcused",IF(_xlpm.x&gt;0,IF(_xlpm.s&gt;0,"Excused - taken later","Excused - pending"),IF(OR(_xlpm.n=0,_xlpm.s&gt;0),"","No score recorded")))))</f>
        <v/>
      </c>
    </row>
    <row r="55">
      <c r="B55" s="27">
        <f>IF(Cadets!$B50="","",ROW()-10)</f>
        <v/>
      </c>
      <c r="C55" s="26">
        <f>IF(Cadets!$B50="","",Cadets!$F50)</f>
        <v/>
      </c>
      <c r="D55" s="27">
        <f>IF($C55="","",Cadets!$B50)</f>
        <v/>
      </c>
      <c r="E55" s="27">
        <f>IF($C55="","",Cadets!$H50)</f>
        <v/>
      </c>
      <c r="F55" s="27">
        <f>IF($C55="","",_xlfn.LET(_xlpm.c,IFERROR(INDEX(rngEPcode,MATCH(cfgGradeSheetExam,IFERROR(rngEPseq+0,-1),0)),""),IF(COUNTIFS(nrES_PID,Cadets!$B50,nrES_Code,_xlpm.c,nrES_Att,1,nrES_Raw,"&gt;=0")=0,"",SUMIFS(nrES_Raw,nrES_PID,Cadets!$B50,nrES_Code,_xlpm.c,nrES_Att,1))))</f>
        <v/>
      </c>
      <c r="G55" s="27">
        <f>IF($C55="","",_xlfn.LET(_xlpm.c,IFERROR(INDEX(rngEPcode,MATCH(cfgGradeSheetExam,IFERROR(rngEPseq+0,-1),0)),""),IF(COUNTIFS(nrES_PID,Cadets!$B50,nrES_Code,_xlpm.c,nrES_Final,"Yes",nrES_Rec,"&gt;=0")=0,"",SUMIFS(nrES_Rec,nrES_PID,Cadets!$B50,nrES_Code,_xlpm.c,nrES_Final,"Yes"))))</f>
        <v/>
      </c>
      <c r="H55" s="27">
        <f>IF(OR($C55="",$G55=""),"",IF($G55&gt;=IFERROR(INDEX(rngEPpass,MATCH(cfgGradeSheetExam,IFERROR(rngEPseq+0,-1),0)),cfgPassingScore),"Pass","FAIL"))</f>
        <v/>
      </c>
      <c r="I55" s="27">
        <f>IF($C55="","",_xlfn.LET(_xlpm.c,IFERROR(INDEX(rngEPcode,MATCH(cfgGradeSheetExam,IFERROR(rngEPseq+0,-1),0)),""),IF(COUNTIFS(nrES_PID,Cadets!$B50,nrES_Code,_xlpm.c,nrES_Att,2,nrES_Raw,"&gt;=0")&gt;0,"Retested","")))</f>
        <v/>
      </c>
      <c r="J55" s="27">
        <f>IF($C55="","",_xlfn.LET(_xlpm.c,IFERROR(INDEX(rngEPcode,MATCH(cfgGradeSheetExam,IFERROR(rngEPseq+0,-1),0)),""),_xlpm.n,COUNTIFS(nrES_PID,Cadets!$B50,nrES_Code,_xlpm.c,nrES_Att,1),_xlpm.s,COUNTIFS(nrES_PID,Cadets!$B50,nrES_Code,_xlpm.c,nrES_Att,1,nrES_Raw,"&gt;=0"),_xlpm.x,COUNTIFS(nrES_PID,Cadets!$B50,nrES_Code,_xlpm.c,nrES_Att,1,nrES_Absence,"Excused"),_xlpm.u,COUNTIFS(nrES_PID,Cadets!$B50,nrES_Code,_xlpm.c,nrES_Att,1,nrES_Absence,"Unexcused"),IF(_xlpm.u&gt;0,"Unexcused",IF(_xlpm.x&gt;0,IF(_xlpm.s&gt;0,"Excused - taken later","Excused - pending"),IF(OR(_xlpm.n=0,_xlpm.s&gt;0),"","No score recorded")))))</f>
        <v/>
      </c>
    </row>
    <row r="56">
      <c r="B56" s="27">
        <f>IF(Cadets!$B51="","",ROW()-10)</f>
        <v/>
      </c>
      <c r="C56" s="26">
        <f>IF(Cadets!$B51="","",Cadets!$F51)</f>
        <v/>
      </c>
      <c r="D56" s="27">
        <f>IF($C56="","",Cadets!$B51)</f>
        <v/>
      </c>
      <c r="E56" s="27">
        <f>IF($C56="","",Cadets!$H51)</f>
        <v/>
      </c>
      <c r="F56" s="27">
        <f>IF($C56="","",_xlfn.LET(_xlpm.c,IFERROR(INDEX(rngEPcode,MATCH(cfgGradeSheetExam,IFERROR(rngEPseq+0,-1),0)),""),IF(COUNTIFS(nrES_PID,Cadets!$B51,nrES_Code,_xlpm.c,nrES_Att,1,nrES_Raw,"&gt;=0")=0,"",SUMIFS(nrES_Raw,nrES_PID,Cadets!$B51,nrES_Code,_xlpm.c,nrES_Att,1))))</f>
        <v/>
      </c>
      <c r="G56" s="27">
        <f>IF($C56="","",_xlfn.LET(_xlpm.c,IFERROR(INDEX(rngEPcode,MATCH(cfgGradeSheetExam,IFERROR(rngEPseq+0,-1),0)),""),IF(COUNTIFS(nrES_PID,Cadets!$B51,nrES_Code,_xlpm.c,nrES_Final,"Yes",nrES_Rec,"&gt;=0")=0,"",SUMIFS(nrES_Rec,nrES_PID,Cadets!$B51,nrES_Code,_xlpm.c,nrES_Final,"Yes"))))</f>
        <v/>
      </c>
      <c r="H56" s="27">
        <f>IF(OR($C56="",$G56=""),"",IF($G56&gt;=IFERROR(INDEX(rngEPpass,MATCH(cfgGradeSheetExam,IFERROR(rngEPseq+0,-1),0)),cfgPassingScore),"Pass","FAIL"))</f>
        <v/>
      </c>
      <c r="I56" s="27">
        <f>IF($C56="","",_xlfn.LET(_xlpm.c,IFERROR(INDEX(rngEPcode,MATCH(cfgGradeSheetExam,IFERROR(rngEPseq+0,-1),0)),""),IF(COUNTIFS(nrES_PID,Cadets!$B51,nrES_Code,_xlpm.c,nrES_Att,2,nrES_Raw,"&gt;=0")&gt;0,"Retested","")))</f>
        <v/>
      </c>
      <c r="J56" s="27">
        <f>IF($C56="","",_xlfn.LET(_xlpm.c,IFERROR(INDEX(rngEPcode,MATCH(cfgGradeSheetExam,IFERROR(rngEPseq+0,-1),0)),""),_xlpm.n,COUNTIFS(nrES_PID,Cadets!$B51,nrES_Code,_xlpm.c,nrES_Att,1),_xlpm.s,COUNTIFS(nrES_PID,Cadets!$B51,nrES_Code,_xlpm.c,nrES_Att,1,nrES_Raw,"&gt;=0"),_xlpm.x,COUNTIFS(nrES_PID,Cadets!$B51,nrES_Code,_xlpm.c,nrES_Att,1,nrES_Absence,"Excused"),_xlpm.u,COUNTIFS(nrES_PID,Cadets!$B51,nrES_Code,_xlpm.c,nrES_Att,1,nrES_Absence,"Unexcused"),IF(_xlpm.u&gt;0,"Unexcused",IF(_xlpm.x&gt;0,IF(_xlpm.s&gt;0,"Excused - taken later","Excused - pending"),IF(OR(_xlpm.n=0,_xlpm.s&gt;0),"","No score recorded")))))</f>
        <v/>
      </c>
    </row>
    <row r="57">
      <c r="B57" s="27">
        <f>IF(Cadets!$B52="","",ROW()-10)</f>
        <v/>
      </c>
      <c r="C57" s="26">
        <f>IF(Cadets!$B52="","",Cadets!$F52)</f>
        <v/>
      </c>
      <c r="D57" s="27">
        <f>IF($C57="","",Cadets!$B52)</f>
        <v/>
      </c>
      <c r="E57" s="27">
        <f>IF($C57="","",Cadets!$H52)</f>
        <v/>
      </c>
      <c r="F57" s="27">
        <f>IF($C57="","",_xlfn.LET(_xlpm.c,IFERROR(INDEX(rngEPcode,MATCH(cfgGradeSheetExam,IFERROR(rngEPseq+0,-1),0)),""),IF(COUNTIFS(nrES_PID,Cadets!$B52,nrES_Code,_xlpm.c,nrES_Att,1,nrES_Raw,"&gt;=0")=0,"",SUMIFS(nrES_Raw,nrES_PID,Cadets!$B52,nrES_Code,_xlpm.c,nrES_Att,1))))</f>
        <v/>
      </c>
      <c r="G57" s="27">
        <f>IF($C57="","",_xlfn.LET(_xlpm.c,IFERROR(INDEX(rngEPcode,MATCH(cfgGradeSheetExam,IFERROR(rngEPseq+0,-1),0)),""),IF(COUNTIFS(nrES_PID,Cadets!$B52,nrES_Code,_xlpm.c,nrES_Final,"Yes",nrES_Rec,"&gt;=0")=0,"",SUMIFS(nrES_Rec,nrES_PID,Cadets!$B52,nrES_Code,_xlpm.c,nrES_Final,"Yes"))))</f>
        <v/>
      </c>
      <c r="H57" s="27">
        <f>IF(OR($C57="",$G57=""),"",IF($G57&gt;=IFERROR(INDEX(rngEPpass,MATCH(cfgGradeSheetExam,IFERROR(rngEPseq+0,-1),0)),cfgPassingScore),"Pass","FAIL"))</f>
        <v/>
      </c>
      <c r="I57" s="27">
        <f>IF($C57="","",_xlfn.LET(_xlpm.c,IFERROR(INDEX(rngEPcode,MATCH(cfgGradeSheetExam,IFERROR(rngEPseq+0,-1),0)),""),IF(COUNTIFS(nrES_PID,Cadets!$B52,nrES_Code,_xlpm.c,nrES_Att,2,nrES_Raw,"&gt;=0")&gt;0,"Retested","")))</f>
        <v/>
      </c>
      <c r="J57" s="27">
        <f>IF($C57="","",_xlfn.LET(_xlpm.c,IFERROR(INDEX(rngEPcode,MATCH(cfgGradeSheetExam,IFERROR(rngEPseq+0,-1),0)),""),_xlpm.n,COUNTIFS(nrES_PID,Cadets!$B52,nrES_Code,_xlpm.c,nrES_Att,1),_xlpm.s,COUNTIFS(nrES_PID,Cadets!$B52,nrES_Code,_xlpm.c,nrES_Att,1,nrES_Raw,"&gt;=0"),_xlpm.x,COUNTIFS(nrES_PID,Cadets!$B52,nrES_Code,_xlpm.c,nrES_Att,1,nrES_Absence,"Excused"),_xlpm.u,COUNTIFS(nrES_PID,Cadets!$B52,nrES_Code,_xlpm.c,nrES_Att,1,nrES_Absence,"Unexcused"),IF(_xlpm.u&gt;0,"Unexcused",IF(_xlpm.x&gt;0,IF(_xlpm.s&gt;0,"Excused - taken later","Excused - pending"),IF(OR(_xlpm.n=0,_xlpm.s&gt;0),"","No score recorded")))))</f>
        <v/>
      </c>
    </row>
    <row r="58">
      <c r="B58" s="27">
        <f>IF(Cadets!$B53="","",ROW()-10)</f>
        <v/>
      </c>
      <c r="C58" s="26">
        <f>IF(Cadets!$B53="","",Cadets!$F53)</f>
        <v/>
      </c>
      <c r="D58" s="27">
        <f>IF($C58="","",Cadets!$B53)</f>
        <v/>
      </c>
      <c r="E58" s="27">
        <f>IF($C58="","",Cadets!$H53)</f>
        <v/>
      </c>
      <c r="F58" s="27">
        <f>IF($C58="","",_xlfn.LET(_xlpm.c,IFERROR(INDEX(rngEPcode,MATCH(cfgGradeSheetExam,IFERROR(rngEPseq+0,-1),0)),""),IF(COUNTIFS(nrES_PID,Cadets!$B53,nrES_Code,_xlpm.c,nrES_Att,1,nrES_Raw,"&gt;=0")=0,"",SUMIFS(nrES_Raw,nrES_PID,Cadets!$B53,nrES_Code,_xlpm.c,nrES_Att,1))))</f>
        <v/>
      </c>
      <c r="G58" s="27">
        <f>IF($C58="","",_xlfn.LET(_xlpm.c,IFERROR(INDEX(rngEPcode,MATCH(cfgGradeSheetExam,IFERROR(rngEPseq+0,-1),0)),""),IF(COUNTIFS(nrES_PID,Cadets!$B53,nrES_Code,_xlpm.c,nrES_Final,"Yes",nrES_Rec,"&gt;=0")=0,"",SUMIFS(nrES_Rec,nrES_PID,Cadets!$B53,nrES_Code,_xlpm.c,nrES_Final,"Yes"))))</f>
        <v/>
      </c>
      <c r="H58" s="27">
        <f>IF(OR($C58="",$G58=""),"",IF($G58&gt;=IFERROR(INDEX(rngEPpass,MATCH(cfgGradeSheetExam,IFERROR(rngEPseq+0,-1),0)),cfgPassingScore),"Pass","FAIL"))</f>
        <v/>
      </c>
      <c r="I58" s="27">
        <f>IF($C58="","",_xlfn.LET(_xlpm.c,IFERROR(INDEX(rngEPcode,MATCH(cfgGradeSheetExam,IFERROR(rngEPseq+0,-1),0)),""),IF(COUNTIFS(nrES_PID,Cadets!$B53,nrES_Code,_xlpm.c,nrES_Att,2,nrES_Raw,"&gt;=0")&gt;0,"Retested","")))</f>
        <v/>
      </c>
      <c r="J58" s="27">
        <f>IF($C58="","",_xlfn.LET(_xlpm.c,IFERROR(INDEX(rngEPcode,MATCH(cfgGradeSheetExam,IFERROR(rngEPseq+0,-1),0)),""),_xlpm.n,COUNTIFS(nrES_PID,Cadets!$B53,nrES_Code,_xlpm.c,nrES_Att,1),_xlpm.s,COUNTIFS(nrES_PID,Cadets!$B53,nrES_Code,_xlpm.c,nrES_Att,1,nrES_Raw,"&gt;=0"),_xlpm.x,COUNTIFS(nrES_PID,Cadets!$B53,nrES_Code,_xlpm.c,nrES_Att,1,nrES_Absence,"Excused"),_xlpm.u,COUNTIFS(nrES_PID,Cadets!$B53,nrES_Code,_xlpm.c,nrES_Att,1,nrES_Absence,"Unexcused"),IF(_xlpm.u&gt;0,"Unexcused",IF(_xlpm.x&gt;0,IF(_xlpm.s&gt;0,"Excused - taken later","Excused - pending"),IF(OR(_xlpm.n=0,_xlpm.s&gt;0),"","No score recorded")))))</f>
        <v/>
      </c>
    </row>
    <row r="59">
      <c r="B59" s="27">
        <f>IF(Cadets!$B54="","",ROW()-10)</f>
        <v/>
      </c>
      <c r="C59" s="26">
        <f>IF(Cadets!$B54="","",Cadets!$F54)</f>
        <v/>
      </c>
      <c r="D59" s="27">
        <f>IF($C59="","",Cadets!$B54)</f>
        <v/>
      </c>
      <c r="E59" s="27">
        <f>IF($C59="","",Cadets!$H54)</f>
        <v/>
      </c>
      <c r="F59" s="27">
        <f>IF($C59="","",_xlfn.LET(_xlpm.c,IFERROR(INDEX(rngEPcode,MATCH(cfgGradeSheetExam,IFERROR(rngEPseq+0,-1),0)),""),IF(COUNTIFS(nrES_PID,Cadets!$B54,nrES_Code,_xlpm.c,nrES_Att,1,nrES_Raw,"&gt;=0")=0,"",SUMIFS(nrES_Raw,nrES_PID,Cadets!$B54,nrES_Code,_xlpm.c,nrES_Att,1))))</f>
        <v/>
      </c>
      <c r="G59" s="27">
        <f>IF($C59="","",_xlfn.LET(_xlpm.c,IFERROR(INDEX(rngEPcode,MATCH(cfgGradeSheetExam,IFERROR(rngEPseq+0,-1),0)),""),IF(COUNTIFS(nrES_PID,Cadets!$B54,nrES_Code,_xlpm.c,nrES_Final,"Yes",nrES_Rec,"&gt;=0")=0,"",SUMIFS(nrES_Rec,nrES_PID,Cadets!$B54,nrES_Code,_xlpm.c,nrES_Final,"Yes"))))</f>
        <v/>
      </c>
      <c r="H59" s="27">
        <f>IF(OR($C59="",$G59=""),"",IF($G59&gt;=IFERROR(INDEX(rngEPpass,MATCH(cfgGradeSheetExam,IFERROR(rngEPseq+0,-1),0)),cfgPassingScore),"Pass","FAIL"))</f>
        <v/>
      </c>
      <c r="I59" s="27">
        <f>IF($C59="","",_xlfn.LET(_xlpm.c,IFERROR(INDEX(rngEPcode,MATCH(cfgGradeSheetExam,IFERROR(rngEPseq+0,-1),0)),""),IF(COUNTIFS(nrES_PID,Cadets!$B54,nrES_Code,_xlpm.c,nrES_Att,2,nrES_Raw,"&gt;=0")&gt;0,"Retested","")))</f>
        <v/>
      </c>
      <c r="J59" s="27">
        <f>IF($C59="","",_xlfn.LET(_xlpm.c,IFERROR(INDEX(rngEPcode,MATCH(cfgGradeSheetExam,IFERROR(rngEPseq+0,-1),0)),""),_xlpm.n,COUNTIFS(nrES_PID,Cadets!$B54,nrES_Code,_xlpm.c,nrES_Att,1),_xlpm.s,COUNTIFS(nrES_PID,Cadets!$B54,nrES_Code,_xlpm.c,nrES_Att,1,nrES_Raw,"&gt;=0"),_xlpm.x,COUNTIFS(nrES_PID,Cadets!$B54,nrES_Code,_xlpm.c,nrES_Att,1,nrES_Absence,"Excused"),_xlpm.u,COUNTIFS(nrES_PID,Cadets!$B54,nrES_Code,_xlpm.c,nrES_Att,1,nrES_Absence,"Unexcused"),IF(_xlpm.u&gt;0,"Unexcused",IF(_xlpm.x&gt;0,IF(_xlpm.s&gt;0,"Excused - taken later","Excused - pending"),IF(OR(_xlpm.n=0,_xlpm.s&gt;0),"","No score recorded")))))</f>
        <v/>
      </c>
    </row>
    <row r="60">
      <c r="B60" s="27">
        <f>IF(Cadets!$B55="","",ROW()-10)</f>
        <v/>
      </c>
      <c r="C60" s="26">
        <f>IF(Cadets!$B55="","",Cadets!$F55)</f>
        <v/>
      </c>
      <c r="D60" s="27">
        <f>IF($C60="","",Cadets!$B55)</f>
        <v/>
      </c>
      <c r="E60" s="27">
        <f>IF($C60="","",Cadets!$H55)</f>
        <v/>
      </c>
      <c r="F60" s="27">
        <f>IF($C60="","",_xlfn.LET(_xlpm.c,IFERROR(INDEX(rngEPcode,MATCH(cfgGradeSheetExam,IFERROR(rngEPseq+0,-1),0)),""),IF(COUNTIFS(nrES_PID,Cadets!$B55,nrES_Code,_xlpm.c,nrES_Att,1,nrES_Raw,"&gt;=0")=0,"",SUMIFS(nrES_Raw,nrES_PID,Cadets!$B55,nrES_Code,_xlpm.c,nrES_Att,1))))</f>
        <v/>
      </c>
      <c r="G60" s="27">
        <f>IF($C60="","",_xlfn.LET(_xlpm.c,IFERROR(INDEX(rngEPcode,MATCH(cfgGradeSheetExam,IFERROR(rngEPseq+0,-1),0)),""),IF(COUNTIFS(nrES_PID,Cadets!$B55,nrES_Code,_xlpm.c,nrES_Final,"Yes",nrES_Rec,"&gt;=0")=0,"",SUMIFS(nrES_Rec,nrES_PID,Cadets!$B55,nrES_Code,_xlpm.c,nrES_Final,"Yes"))))</f>
        <v/>
      </c>
      <c r="H60" s="27">
        <f>IF(OR($C60="",$G60=""),"",IF($G60&gt;=IFERROR(INDEX(rngEPpass,MATCH(cfgGradeSheetExam,IFERROR(rngEPseq+0,-1),0)),cfgPassingScore),"Pass","FAIL"))</f>
        <v/>
      </c>
      <c r="I60" s="27">
        <f>IF($C60="","",_xlfn.LET(_xlpm.c,IFERROR(INDEX(rngEPcode,MATCH(cfgGradeSheetExam,IFERROR(rngEPseq+0,-1),0)),""),IF(COUNTIFS(nrES_PID,Cadets!$B55,nrES_Code,_xlpm.c,nrES_Att,2,nrES_Raw,"&gt;=0")&gt;0,"Retested","")))</f>
        <v/>
      </c>
      <c r="J60" s="27">
        <f>IF($C60="","",_xlfn.LET(_xlpm.c,IFERROR(INDEX(rngEPcode,MATCH(cfgGradeSheetExam,IFERROR(rngEPseq+0,-1),0)),""),_xlpm.n,COUNTIFS(nrES_PID,Cadets!$B55,nrES_Code,_xlpm.c,nrES_Att,1),_xlpm.s,COUNTIFS(nrES_PID,Cadets!$B55,nrES_Code,_xlpm.c,nrES_Att,1,nrES_Raw,"&gt;=0"),_xlpm.x,COUNTIFS(nrES_PID,Cadets!$B55,nrES_Code,_xlpm.c,nrES_Att,1,nrES_Absence,"Excused"),_xlpm.u,COUNTIFS(nrES_PID,Cadets!$B55,nrES_Code,_xlpm.c,nrES_Att,1,nrES_Absence,"Unexcused"),IF(_xlpm.u&gt;0,"Unexcused",IF(_xlpm.x&gt;0,IF(_xlpm.s&gt;0,"Excused - taken later","Excused - pending"),IF(OR(_xlpm.n=0,_xlpm.s&gt;0),"","No score recorded")))))</f>
        <v/>
      </c>
    </row>
    <row r="61">
      <c r="C61" s="3" t="inlineStr">
        <is>
          <t>Class average / low / high / fails:</t>
        </is>
      </c>
      <c r="F61" s="21">
        <f>_xlfn.LET(_xlpm.c,IFERROR(INDEX(rngEPcode,MATCH(cfgGradeSheetExam,IFERROR(rngEPseq+0,-1),0)),""),IF(_xlpm.c="","",IFERROR(ROUND(AVERAGEIFS(nrES_Rec,nrES_Code,_xlpm.c,nrES_Final,"Yes",nrES_Rec,"&gt;=0",nrES_Rec,"&lt;=100"),1),"—")&amp;" / "&amp;IFERROR(_xlfn.MINIFS(nrES_Rec,nrES_Code,_xlpm.c,nrES_Final,"Yes",nrES_Rec,"&gt;=0",nrES_Rec,"&lt;=100"),"—")&amp;" / "&amp;IFERROR(_xlfn.MAXIFS(nrES_Rec,nrES_Code,_xlpm.c,nrES_Final,"Yes",nrES_Rec,"&gt;=0",nrES_Rec,"&lt;=100"),"—")&amp;" / "&amp;COUNTIFS(nrES_Code,_xlpm.c,nrES_Final,"Yes",nrES_Rec,"&gt;=0",nrES_Rec,"&lt;"&amp;IFERROR(INDEX(rngEPpass,MATCH(cfgGradeSheetExam,IFERROR(rngEPseq+0,-1),0)),cfgPassingScore))))</f>
        <v/>
      </c>
    </row>
    <row r="63">
      <c r="B63" s="14" t="inlineStr">
        <is>
          <t>Proctor / Instructor: ________________________     Training Coordinator: ________________________</t>
        </is>
      </c>
    </row>
    <row r="64">
      <c r="B64" s="2" t="inlineStr">
        <is>
          <t>711 W. Ferguson St., Tyler, TX 75702 — (903) 531-1018  Fax (903) 535-0102</t>
        </is>
      </c>
    </row>
  </sheetData>
  <sheetProtection selectLockedCells="0" selectUnlockedCells="0" sheet="1" objects="0" insertRows="1" insertHyperlinks="1" autoFilter="1" scenarios="0" formatColumns="1" deleteColumns="1" insertColumns="1" pivotTables="1" deleteRows="1" formatCells="1" formatRows="1" sort="1" password="B4BB"/>
  <conditionalFormatting sqref="H11:H60">
    <cfRule type="expression" priority="1" dxfId="0">
      <formula>$H11="FAIL"</formula>
    </cfRule>
  </conditionalFormatting>
  <conditionalFormatting sqref="J11:J60">
    <cfRule type="expression" priority="2" dxfId="2">
      <formula>OR($J11="Excused - pending",$J11="No score recorded")</formula>
    </cfRule>
    <cfRule type="expression" priority="3" dxfId="0">
      <formula>$J11="Unexcused"</formula>
    </cfRule>
  </conditionalFormatting>
  <dataValidations count="1">
    <dataValidation sqref="C5" showDropDown="0" showInputMessage="0" showErrorMessage="1" allowBlank="1" type="list">
      <formula1>=rngEPseq</formula1>
    </dataValidation>
  </dataValidations>
  <pageMargins left="0.75" right="0.75" top="1" bottom="1" header="0.5" footer="0.5"/>
  <pageSetup orientation="portrait" fitToHeight="0" fitToWidth="1"/>
</worksheet>
</file>

<file path=xl/worksheets/sheet33.xml><?xml version="1.0" encoding="utf-8"?>
<worksheet xmlns="http://schemas.openxmlformats.org/spreadsheetml/2006/main">
  <sheetPr>
    <tabColor rgb="001E7145"/>
    <outlinePr summaryBelow="1" summaryRight="1"/>
    <pageSetUpPr fitToPage="1"/>
  </sheetPr>
  <dimension ref="B1:I81"/>
  <sheetViews>
    <sheetView showGridLines="0" workbookViewId="0">
      <selection activeCell="A1" sqref="A1"/>
    </sheetView>
  </sheetViews>
  <sheetFormatPr baseColWidth="8" defaultRowHeight="15"/>
  <cols>
    <col width="3" customWidth="1" min="1" max="1"/>
    <col width="6" customWidth="1" min="2" max="2"/>
    <col width="28" customWidth="1" min="3" max="3"/>
    <col width="10" customWidth="1" min="4" max="4"/>
    <col width="18" customWidth="1" min="5" max="5"/>
    <col width="21" customWidth="1" min="6" max="6"/>
    <col width="21" customWidth="1" min="7" max="7"/>
    <col width="22" customWidth="1" min="8" max="8"/>
    <col width="12" customWidth="1" min="9" max="9"/>
  </cols>
  <sheetData>
    <row r="1">
      <c r="B1" s="10">
        <f>HYPERLINK("#Dashboard!B5","◄ Dashboard")</f>
        <v/>
      </c>
    </row>
    <row r="4">
      <c r="B4" s="11" t="inlineStr">
        <is>
          <t>The one-page daily report &amp; roster: AM roll call, sign-in, PM changes, signatures. Print on demand; the signed sheet is scanned into that day's folder and the scan is the legal original (confirmed by TPD records management - see the Audit sheet item 'Scanned documents established as legal originals'). The day is logged as one DailyLog row. Exceptions still go on Attendance.</t>
        </is>
      </c>
    </row>
    <row r="5">
      <c r="B5" s="3" t="inlineStr">
        <is>
          <t>Sign-in date:</t>
        </is>
      </c>
      <c r="C5" s="18" t="n"/>
      <c r="E5" s="3">
        <f>IFERROR("Training Day #"&amp;_xlfn.XLOOKUP(cfgSignInDate,nrCDdate,nrCDnum)&amp;"  (Week "&amp;_xlfn.XLOOKUP(cfgSignInDate,nrCDdate,nrCDweek)&amp;")","")</f>
        <v/>
      </c>
    </row>
    <row r="7">
      <c r="B7" s="1">
        <f>"TYLER POLICE ACADEMY — "&amp;cfgAcademyClass&amp;" — DAILY REPORT &amp; ATTENDANCE ROSTER — "&amp;IF(cfgSignInDate="","(date: ____________)",TEXT(cfgSignInDate,"dddd, mmmm d, yyyy"))</f>
        <v/>
      </c>
    </row>
    <row r="9" ht="16" customHeight="1">
      <c r="B9" s="7" t="inlineStr">
        <is>
          <t>Instruction scheduled this date</t>
        </is>
      </c>
    </row>
    <row r="10">
      <c r="B10">
        <f>IFERROR(_xlfn.TAKE(_xlfn._xlws.FILTER(TEXT(nrSCH_Start,"h:mm AM/PM")&amp;" – "&amp;TEXT(nrSCH_End,"h:mm AM/PM")&amp;"   "&amp;nrSCH_Act&amp;IF(nrSCH_Instr="",""," ("&amp;nrSCH_Instr&amp;")")&amp;IF(nrSCH_Loc="",""," — "&amp;nrSCH_Loc),(nrSCH_Date&lt;&gt;"")*(nrSCH_Date=cfgSignInDate),"— no schedule entered for this date —"),9),"⚠ LIST UNAVAILABLE - a reference in this panel is broken; do NOT read it as 'nothing to report'")</f>
        <v/>
      </c>
    </row>
    <row r="19" ht="16" customHeight="1">
      <c r="B19" s="7" t="inlineStr">
        <is>
          <t>AM roll call</t>
        </is>
      </c>
    </row>
    <row r="20" ht="20" customHeight="1">
      <c r="B20" s="14" t="inlineStr">
        <is>
          <t>Present: ______ of ______     Absent/Late (name &amp; reason): ____________________________________________</t>
        </is>
      </c>
    </row>
    <row r="21" ht="20" customHeight="1">
      <c r="B21" s="14" t="inlineStr">
        <is>
          <t>PT: [ ] Full participation   [ ] Modified: ______________   [ ] Missed: ______________</t>
        </is>
      </c>
    </row>
    <row r="22" ht="16" customHeight="1">
      <c r="B22" s="7" t="inlineStr">
        <is>
          <t>Cadet sign-in</t>
        </is>
      </c>
    </row>
    <row r="23" ht="26" customHeight="1">
      <c r="B23" s="12" t="inlineStr">
        <is>
          <t>#</t>
        </is>
      </c>
      <c r="C23" s="12" t="inlineStr">
        <is>
          <t>Cadet</t>
        </is>
      </c>
      <c r="D23" s="12" t="inlineStr">
        <is>
          <t>PID</t>
        </is>
      </c>
      <c r="E23" s="12" t="inlineStr">
        <is>
          <t>Agency</t>
        </is>
      </c>
      <c r="F23" s="12" t="inlineStr">
        <is>
          <t>AM Signature</t>
        </is>
      </c>
      <c r="G23" s="12" t="inlineStr">
        <is>
          <t>PM Signature</t>
        </is>
      </c>
      <c r="H23" s="12" t="inlineStr">
        <is>
          <t>Remarks</t>
        </is>
      </c>
    </row>
    <row r="24" ht="20" customHeight="1">
      <c r="B24" s="27">
        <f>IF(C24="","",COUNTIF($C$24:C24,"?*"))</f>
        <v/>
      </c>
      <c r="C24" s="26">
        <f>IF(Cadets!$B6="","",IF(Cadets!$I6&lt;&gt;"Active","",Cadets!$F6))</f>
        <v/>
      </c>
      <c r="D24" s="26">
        <f>IF(C24="","",Cadets!$B6)</f>
        <v/>
      </c>
      <c r="E24" s="26">
        <f>IF(C24="","",Cadets!$H6)</f>
        <v/>
      </c>
      <c r="F24" s="30" t="n"/>
      <c r="G24" s="30" t="n"/>
      <c r="H24" s="30" t="n"/>
    </row>
    <row r="25" ht="20" customHeight="1">
      <c r="B25" s="27">
        <f>IF(C25="","",COUNTIF($C$24:C25,"?*"))</f>
        <v/>
      </c>
      <c r="C25" s="26">
        <f>IF(Cadets!$B7="","",IF(Cadets!$I7&lt;&gt;"Active","",Cadets!$F7))</f>
        <v/>
      </c>
      <c r="D25" s="26">
        <f>IF(C25="","",Cadets!$B7)</f>
        <v/>
      </c>
      <c r="E25" s="26">
        <f>IF(C25="","",Cadets!$H7)</f>
        <v/>
      </c>
      <c r="F25" s="30" t="n"/>
      <c r="G25" s="30" t="n"/>
      <c r="H25" s="30" t="n"/>
    </row>
    <row r="26" ht="20" customHeight="1">
      <c r="B26" s="27">
        <f>IF(C26="","",COUNTIF($C$24:C26,"?*"))</f>
        <v/>
      </c>
      <c r="C26" s="26">
        <f>IF(Cadets!$B8="","",IF(Cadets!$I8&lt;&gt;"Active","",Cadets!$F8))</f>
        <v/>
      </c>
      <c r="D26" s="26">
        <f>IF(C26="","",Cadets!$B8)</f>
        <v/>
      </c>
      <c r="E26" s="26">
        <f>IF(C26="","",Cadets!$H8)</f>
        <v/>
      </c>
      <c r="F26" s="30" t="n"/>
      <c r="G26" s="30" t="n"/>
      <c r="H26" s="30" t="n"/>
    </row>
    <row r="27" ht="20" customHeight="1">
      <c r="B27" s="27">
        <f>IF(C27="","",COUNTIF($C$24:C27,"?*"))</f>
        <v/>
      </c>
      <c r="C27" s="26">
        <f>IF(Cadets!$B9="","",IF(Cadets!$I9&lt;&gt;"Active","",Cadets!$F9))</f>
        <v/>
      </c>
      <c r="D27" s="26">
        <f>IF(C27="","",Cadets!$B9)</f>
        <v/>
      </c>
      <c r="E27" s="26">
        <f>IF(C27="","",Cadets!$H9)</f>
        <v/>
      </c>
      <c r="F27" s="30" t="n"/>
      <c r="G27" s="30" t="n"/>
      <c r="H27" s="30" t="n"/>
    </row>
    <row r="28" ht="20" customHeight="1">
      <c r="B28" s="27">
        <f>IF(C28="","",COUNTIF($C$24:C28,"?*"))</f>
        <v/>
      </c>
      <c r="C28" s="26">
        <f>IF(Cadets!$B10="","",IF(Cadets!$I10&lt;&gt;"Active","",Cadets!$F10))</f>
        <v/>
      </c>
      <c r="D28" s="26">
        <f>IF(C28="","",Cadets!$B10)</f>
        <v/>
      </c>
      <c r="E28" s="26">
        <f>IF(C28="","",Cadets!$H10)</f>
        <v/>
      </c>
      <c r="F28" s="30" t="n"/>
      <c r="G28" s="30" t="n"/>
      <c r="H28" s="30" t="n"/>
    </row>
    <row r="29" ht="20" customHeight="1">
      <c r="B29" s="27">
        <f>IF(C29="","",COUNTIF($C$24:C29,"?*"))</f>
        <v/>
      </c>
      <c r="C29" s="26">
        <f>IF(Cadets!$B11="","",IF(Cadets!$I11&lt;&gt;"Active","",Cadets!$F11))</f>
        <v/>
      </c>
      <c r="D29" s="26">
        <f>IF(C29="","",Cadets!$B11)</f>
        <v/>
      </c>
      <c r="E29" s="26">
        <f>IF(C29="","",Cadets!$H11)</f>
        <v/>
      </c>
      <c r="F29" s="30" t="n"/>
      <c r="G29" s="30" t="n"/>
      <c r="H29" s="30" t="n"/>
    </row>
    <row r="30" ht="20" customHeight="1">
      <c r="B30" s="27">
        <f>IF(C30="","",COUNTIF($C$24:C30,"?*"))</f>
        <v/>
      </c>
      <c r="C30" s="26">
        <f>IF(Cadets!$B12="","",IF(Cadets!$I12&lt;&gt;"Active","",Cadets!$F12))</f>
        <v/>
      </c>
      <c r="D30" s="26">
        <f>IF(C30="","",Cadets!$B12)</f>
        <v/>
      </c>
      <c r="E30" s="26">
        <f>IF(C30="","",Cadets!$H12)</f>
        <v/>
      </c>
      <c r="F30" s="30" t="n"/>
      <c r="G30" s="30" t="n"/>
      <c r="H30" s="30" t="n"/>
    </row>
    <row r="31" ht="20" customHeight="1">
      <c r="B31" s="27">
        <f>IF(C31="","",COUNTIF($C$24:C31,"?*"))</f>
        <v/>
      </c>
      <c r="C31" s="26">
        <f>IF(Cadets!$B13="","",IF(Cadets!$I13&lt;&gt;"Active","",Cadets!$F13))</f>
        <v/>
      </c>
      <c r="D31" s="26">
        <f>IF(C31="","",Cadets!$B13)</f>
        <v/>
      </c>
      <c r="E31" s="26">
        <f>IF(C31="","",Cadets!$H13)</f>
        <v/>
      </c>
      <c r="F31" s="30" t="n"/>
      <c r="G31" s="30" t="n"/>
      <c r="H31" s="30" t="n"/>
    </row>
    <row r="32" ht="20" customHeight="1">
      <c r="B32" s="27">
        <f>IF(C32="","",COUNTIF($C$24:C32,"?*"))</f>
        <v/>
      </c>
      <c r="C32" s="26">
        <f>IF(Cadets!$B14="","",IF(Cadets!$I14&lt;&gt;"Active","",Cadets!$F14))</f>
        <v/>
      </c>
      <c r="D32" s="26">
        <f>IF(C32="","",Cadets!$B14)</f>
        <v/>
      </c>
      <c r="E32" s="26">
        <f>IF(C32="","",Cadets!$H14)</f>
        <v/>
      </c>
      <c r="F32" s="30" t="n"/>
      <c r="G32" s="30" t="n"/>
      <c r="H32" s="30" t="n"/>
    </row>
    <row r="33" ht="20" customHeight="1">
      <c r="B33" s="27">
        <f>IF(C33="","",COUNTIF($C$24:C33,"?*"))</f>
        <v/>
      </c>
      <c r="C33" s="26">
        <f>IF(Cadets!$B15="","",IF(Cadets!$I15&lt;&gt;"Active","",Cadets!$F15))</f>
        <v/>
      </c>
      <c r="D33" s="26">
        <f>IF(C33="","",Cadets!$B15)</f>
        <v/>
      </c>
      <c r="E33" s="26">
        <f>IF(C33="","",Cadets!$H15)</f>
        <v/>
      </c>
      <c r="F33" s="30" t="n"/>
      <c r="G33" s="30" t="n"/>
      <c r="H33" s="30" t="n"/>
    </row>
    <row r="34" ht="20" customHeight="1">
      <c r="B34" s="27">
        <f>IF(C34="","",COUNTIF($C$24:C34,"?*"))</f>
        <v/>
      </c>
      <c r="C34" s="26">
        <f>IF(Cadets!$B16="","",IF(Cadets!$I16&lt;&gt;"Active","",Cadets!$F16))</f>
        <v/>
      </c>
      <c r="D34" s="26">
        <f>IF(C34="","",Cadets!$B16)</f>
        <v/>
      </c>
      <c r="E34" s="26">
        <f>IF(C34="","",Cadets!$H16)</f>
        <v/>
      </c>
      <c r="F34" s="30" t="n"/>
      <c r="G34" s="30" t="n"/>
      <c r="H34" s="30" t="n"/>
    </row>
    <row r="35" ht="20" customHeight="1">
      <c r="B35" s="27">
        <f>IF(C35="","",COUNTIF($C$24:C35,"?*"))</f>
        <v/>
      </c>
      <c r="C35" s="26">
        <f>IF(Cadets!$B17="","",IF(Cadets!$I17&lt;&gt;"Active","",Cadets!$F17))</f>
        <v/>
      </c>
      <c r="D35" s="26">
        <f>IF(C35="","",Cadets!$B17)</f>
        <v/>
      </c>
      <c r="E35" s="26">
        <f>IF(C35="","",Cadets!$H17)</f>
        <v/>
      </c>
      <c r="F35" s="30" t="n"/>
      <c r="G35" s="30" t="n"/>
      <c r="H35" s="30" t="n"/>
    </row>
    <row r="36" ht="20" customHeight="1">
      <c r="B36" s="27">
        <f>IF(C36="","",COUNTIF($C$24:C36,"?*"))</f>
        <v/>
      </c>
      <c r="C36" s="26">
        <f>IF(Cadets!$B18="","",IF(Cadets!$I18&lt;&gt;"Active","",Cadets!$F18))</f>
        <v/>
      </c>
      <c r="D36" s="26">
        <f>IF(C36="","",Cadets!$B18)</f>
        <v/>
      </c>
      <c r="E36" s="26">
        <f>IF(C36="","",Cadets!$H18)</f>
        <v/>
      </c>
      <c r="F36" s="30" t="n"/>
      <c r="G36" s="30" t="n"/>
      <c r="H36" s="30" t="n"/>
    </row>
    <row r="37" ht="20" customHeight="1">
      <c r="B37" s="27">
        <f>IF(C37="","",COUNTIF($C$24:C37,"?*"))</f>
        <v/>
      </c>
      <c r="C37" s="26">
        <f>IF(Cadets!$B19="","",IF(Cadets!$I19&lt;&gt;"Active","",Cadets!$F19))</f>
        <v/>
      </c>
      <c r="D37" s="26">
        <f>IF(C37="","",Cadets!$B19)</f>
        <v/>
      </c>
      <c r="E37" s="26">
        <f>IF(C37="","",Cadets!$H19)</f>
        <v/>
      </c>
      <c r="F37" s="30" t="n"/>
      <c r="G37" s="30" t="n"/>
      <c r="H37" s="30" t="n"/>
    </row>
    <row r="38" ht="20" customHeight="1">
      <c r="B38" s="27">
        <f>IF(C38="","",COUNTIF($C$24:C38,"?*"))</f>
        <v/>
      </c>
      <c r="C38" s="26">
        <f>IF(Cadets!$B20="","",IF(Cadets!$I20&lt;&gt;"Active","",Cadets!$F20))</f>
        <v/>
      </c>
      <c r="D38" s="26">
        <f>IF(C38="","",Cadets!$B20)</f>
        <v/>
      </c>
      <c r="E38" s="26">
        <f>IF(C38="","",Cadets!$H20)</f>
        <v/>
      </c>
      <c r="F38" s="30" t="n"/>
      <c r="G38" s="30" t="n"/>
      <c r="H38" s="30" t="n"/>
    </row>
    <row r="39" ht="20" customHeight="1">
      <c r="B39" s="27">
        <f>IF(C39="","",COUNTIF($C$24:C39,"?*"))</f>
        <v/>
      </c>
      <c r="C39" s="26">
        <f>IF(Cadets!$B21="","",IF(Cadets!$I21&lt;&gt;"Active","",Cadets!$F21))</f>
        <v/>
      </c>
      <c r="D39" s="26">
        <f>IF(C39="","",Cadets!$B21)</f>
        <v/>
      </c>
      <c r="E39" s="26">
        <f>IF(C39="","",Cadets!$H21)</f>
        <v/>
      </c>
      <c r="F39" s="30" t="n"/>
      <c r="G39" s="30" t="n"/>
      <c r="H39" s="30" t="n"/>
    </row>
    <row r="40" ht="20" customHeight="1">
      <c r="B40" s="27">
        <f>IF(C40="","",COUNTIF($C$24:C40,"?*"))</f>
        <v/>
      </c>
      <c r="C40" s="26">
        <f>IF(Cadets!$B22="","",IF(Cadets!$I22&lt;&gt;"Active","",Cadets!$F22))</f>
        <v/>
      </c>
      <c r="D40" s="26">
        <f>IF(C40="","",Cadets!$B22)</f>
        <v/>
      </c>
      <c r="E40" s="26">
        <f>IF(C40="","",Cadets!$H22)</f>
        <v/>
      </c>
      <c r="F40" s="30" t="n"/>
      <c r="G40" s="30" t="n"/>
      <c r="H40" s="30" t="n"/>
    </row>
    <row r="41" ht="20" customHeight="1">
      <c r="B41" s="27">
        <f>IF(C41="","",COUNTIF($C$24:C41,"?*"))</f>
        <v/>
      </c>
      <c r="C41" s="26">
        <f>IF(Cadets!$B23="","",IF(Cadets!$I23&lt;&gt;"Active","",Cadets!$F23))</f>
        <v/>
      </c>
      <c r="D41" s="26">
        <f>IF(C41="","",Cadets!$B23)</f>
        <v/>
      </c>
      <c r="E41" s="26">
        <f>IF(C41="","",Cadets!$H23)</f>
        <v/>
      </c>
      <c r="F41" s="30" t="n"/>
      <c r="G41" s="30" t="n"/>
      <c r="H41" s="30" t="n"/>
    </row>
    <row r="42" ht="20" customHeight="1">
      <c r="B42" s="27">
        <f>IF(C42="","",COUNTIF($C$24:C42,"?*"))</f>
        <v/>
      </c>
      <c r="C42" s="26">
        <f>IF(Cadets!$B24="","",IF(Cadets!$I24&lt;&gt;"Active","",Cadets!$F24))</f>
        <v/>
      </c>
      <c r="D42" s="26">
        <f>IF(C42="","",Cadets!$B24)</f>
        <v/>
      </c>
      <c r="E42" s="26">
        <f>IF(C42="","",Cadets!$H24)</f>
        <v/>
      </c>
      <c r="F42" s="30" t="n"/>
      <c r="G42" s="30" t="n"/>
      <c r="H42" s="30" t="n"/>
    </row>
    <row r="43" ht="20" customHeight="1">
      <c r="B43" s="27">
        <f>IF(C43="","",COUNTIF($C$24:C43,"?*"))</f>
        <v/>
      </c>
      <c r="C43" s="26">
        <f>IF(Cadets!$B25="","",IF(Cadets!$I25&lt;&gt;"Active","",Cadets!$F25))</f>
        <v/>
      </c>
      <c r="D43" s="26">
        <f>IF(C43="","",Cadets!$B25)</f>
        <v/>
      </c>
      <c r="E43" s="26">
        <f>IF(C43="","",Cadets!$H25)</f>
        <v/>
      </c>
      <c r="F43" s="30" t="n"/>
      <c r="G43" s="30" t="n"/>
      <c r="H43" s="30" t="n"/>
    </row>
    <row r="44" ht="20" customHeight="1">
      <c r="B44" s="27">
        <f>IF(C44="","",COUNTIF($C$24:C44,"?*"))</f>
        <v/>
      </c>
      <c r="C44" s="26">
        <f>IF(Cadets!$B26="","",IF(Cadets!$I26&lt;&gt;"Active","",Cadets!$F26))</f>
        <v/>
      </c>
      <c r="D44" s="26">
        <f>IF(C44="","",Cadets!$B26)</f>
        <v/>
      </c>
      <c r="E44" s="26">
        <f>IF(C44="","",Cadets!$H26)</f>
        <v/>
      </c>
      <c r="F44" s="30" t="n"/>
      <c r="G44" s="30" t="n"/>
      <c r="H44" s="30" t="n"/>
    </row>
    <row r="45" ht="20" customHeight="1">
      <c r="B45" s="27">
        <f>IF(C45="","",COUNTIF($C$24:C45,"?*"))</f>
        <v/>
      </c>
      <c r="C45" s="26">
        <f>IF(Cadets!$B27="","",IF(Cadets!$I27&lt;&gt;"Active","",Cadets!$F27))</f>
        <v/>
      </c>
      <c r="D45" s="26">
        <f>IF(C45="","",Cadets!$B27)</f>
        <v/>
      </c>
      <c r="E45" s="26">
        <f>IF(C45="","",Cadets!$H27)</f>
        <v/>
      </c>
      <c r="F45" s="30" t="n"/>
      <c r="G45" s="30" t="n"/>
      <c r="H45" s="30" t="n"/>
    </row>
    <row r="46" ht="20" customHeight="1">
      <c r="B46" s="27">
        <f>IF(C46="","",COUNTIF($C$24:C46,"?*"))</f>
        <v/>
      </c>
      <c r="C46" s="26">
        <f>IF(Cadets!$B28="","",IF(Cadets!$I28&lt;&gt;"Active","",Cadets!$F28))</f>
        <v/>
      </c>
      <c r="D46" s="26">
        <f>IF(C46="","",Cadets!$B28)</f>
        <v/>
      </c>
      <c r="E46" s="26">
        <f>IF(C46="","",Cadets!$H28)</f>
        <v/>
      </c>
      <c r="F46" s="30" t="n"/>
      <c r="G46" s="30" t="n"/>
      <c r="H46" s="30" t="n"/>
    </row>
    <row r="47" ht="20" customHeight="1">
      <c r="B47" s="27">
        <f>IF(C47="","",COUNTIF($C$24:C47,"?*"))</f>
        <v/>
      </c>
      <c r="C47" s="26">
        <f>IF(Cadets!$B29="","",IF(Cadets!$I29&lt;&gt;"Active","",Cadets!$F29))</f>
        <v/>
      </c>
      <c r="D47" s="26">
        <f>IF(C47="","",Cadets!$B29)</f>
        <v/>
      </c>
      <c r="E47" s="26">
        <f>IF(C47="","",Cadets!$H29)</f>
        <v/>
      </c>
      <c r="F47" s="30" t="n"/>
      <c r="G47" s="30" t="n"/>
      <c r="H47" s="30" t="n"/>
    </row>
    <row r="48" ht="20" customHeight="1">
      <c r="B48" s="27">
        <f>IF(C48="","",COUNTIF($C$24:C48,"?*"))</f>
        <v/>
      </c>
      <c r="C48" s="26">
        <f>IF(Cadets!$B30="","",IF(Cadets!$I30&lt;&gt;"Active","",Cadets!$F30))</f>
        <v/>
      </c>
      <c r="D48" s="26">
        <f>IF(C48="","",Cadets!$B30)</f>
        <v/>
      </c>
      <c r="E48" s="26">
        <f>IF(C48="","",Cadets!$H30)</f>
        <v/>
      </c>
      <c r="F48" s="30" t="n"/>
      <c r="G48" s="30" t="n"/>
      <c r="H48" s="30" t="n"/>
    </row>
    <row r="49" ht="20" customHeight="1">
      <c r="B49" s="27">
        <f>IF(C49="","",COUNTIF($C$24:C49,"?*"))</f>
        <v/>
      </c>
      <c r="C49" s="26">
        <f>IF(Cadets!$B31="","",IF(Cadets!$I31&lt;&gt;"Active","",Cadets!$F31))</f>
        <v/>
      </c>
      <c r="D49" s="26">
        <f>IF(C49="","",Cadets!$B31)</f>
        <v/>
      </c>
      <c r="E49" s="26">
        <f>IF(C49="","",Cadets!$H31)</f>
        <v/>
      </c>
      <c r="F49" s="30" t="n"/>
      <c r="G49" s="30" t="n"/>
      <c r="H49" s="30" t="n"/>
    </row>
    <row r="50" ht="20" customHeight="1">
      <c r="B50" s="27">
        <f>IF(C50="","",COUNTIF($C$24:C50,"?*"))</f>
        <v/>
      </c>
      <c r="C50" s="26">
        <f>IF(Cadets!$B32="","",IF(Cadets!$I32&lt;&gt;"Active","",Cadets!$F32))</f>
        <v/>
      </c>
      <c r="D50" s="26">
        <f>IF(C50="","",Cadets!$B32)</f>
        <v/>
      </c>
      <c r="E50" s="26">
        <f>IF(C50="","",Cadets!$H32)</f>
        <v/>
      </c>
      <c r="F50" s="30" t="n"/>
      <c r="G50" s="30" t="n"/>
      <c r="H50" s="30" t="n"/>
    </row>
    <row r="51" ht="20" customHeight="1">
      <c r="B51" s="27">
        <f>IF(C51="","",COUNTIF($C$24:C51,"?*"))</f>
        <v/>
      </c>
      <c r="C51" s="26">
        <f>IF(Cadets!$B33="","",IF(Cadets!$I33&lt;&gt;"Active","",Cadets!$F33))</f>
        <v/>
      </c>
      <c r="D51" s="26">
        <f>IF(C51="","",Cadets!$B33)</f>
        <v/>
      </c>
      <c r="E51" s="26">
        <f>IF(C51="","",Cadets!$H33)</f>
        <v/>
      </c>
      <c r="F51" s="30" t="n"/>
      <c r="G51" s="30" t="n"/>
      <c r="H51" s="30" t="n"/>
    </row>
    <row r="52" ht="20" customHeight="1">
      <c r="B52" s="27">
        <f>IF(C52="","",COUNTIF($C$24:C52,"?*"))</f>
        <v/>
      </c>
      <c r="C52" s="26">
        <f>IF(Cadets!$B34="","",IF(Cadets!$I34&lt;&gt;"Active","",Cadets!$F34))</f>
        <v/>
      </c>
      <c r="D52" s="26">
        <f>IF(C52="","",Cadets!$B34)</f>
        <v/>
      </c>
      <c r="E52" s="26">
        <f>IF(C52="","",Cadets!$H34)</f>
        <v/>
      </c>
      <c r="F52" s="30" t="n"/>
      <c r="G52" s="30" t="n"/>
      <c r="H52" s="30" t="n"/>
    </row>
    <row r="53" ht="20" customHeight="1">
      <c r="B53" s="27">
        <f>IF(C53="","",COUNTIF($C$24:C53,"?*"))</f>
        <v/>
      </c>
      <c r="C53" s="26">
        <f>IF(Cadets!$B35="","",IF(Cadets!$I35&lt;&gt;"Active","",Cadets!$F35))</f>
        <v/>
      </c>
      <c r="D53" s="26">
        <f>IF(C53="","",Cadets!$B35)</f>
        <v/>
      </c>
      <c r="E53" s="26">
        <f>IF(C53="","",Cadets!$H35)</f>
        <v/>
      </c>
      <c r="F53" s="30" t="n"/>
      <c r="G53" s="30" t="n"/>
      <c r="H53" s="30" t="n"/>
    </row>
    <row r="54" ht="20" customHeight="1">
      <c r="B54" s="27">
        <f>IF(C54="","",COUNTIF($C$24:C54,"?*"))</f>
        <v/>
      </c>
      <c r="C54" s="26">
        <f>IF(Cadets!$B36="","",IF(Cadets!$I36&lt;&gt;"Active","",Cadets!$F36))</f>
        <v/>
      </c>
      <c r="D54" s="26">
        <f>IF(C54="","",Cadets!$B36)</f>
        <v/>
      </c>
      <c r="E54" s="26">
        <f>IF(C54="","",Cadets!$H36)</f>
        <v/>
      </c>
      <c r="F54" s="30" t="n"/>
      <c r="G54" s="30" t="n"/>
      <c r="H54" s="30" t="n"/>
    </row>
    <row r="55" ht="20" customHeight="1">
      <c r="B55" s="27">
        <f>IF(C55="","",COUNTIF($C$24:C55,"?*"))</f>
        <v/>
      </c>
      <c r="C55" s="26">
        <f>IF(Cadets!$B37="","",IF(Cadets!$I37&lt;&gt;"Active","",Cadets!$F37))</f>
        <v/>
      </c>
      <c r="D55" s="26">
        <f>IF(C55="","",Cadets!$B37)</f>
        <v/>
      </c>
      <c r="E55" s="26">
        <f>IF(C55="","",Cadets!$H37)</f>
        <v/>
      </c>
      <c r="F55" s="30" t="n"/>
      <c r="G55" s="30" t="n"/>
      <c r="H55" s="30" t="n"/>
    </row>
    <row r="56" ht="20" customHeight="1">
      <c r="B56" s="27">
        <f>IF(C56="","",COUNTIF($C$24:C56,"?*"))</f>
        <v/>
      </c>
      <c r="C56" s="26">
        <f>IF(Cadets!$B38="","",IF(Cadets!$I38&lt;&gt;"Active","",Cadets!$F38))</f>
        <v/>
      </c>
      <c r="D56" s="26">
        <f>IF(C56="","",Cadets!$B38)</f>
        <v/>
      </c>
      <c r="E56" s="26">
        <f>IF(C56="","",Cadets!$H38)</f>
        <v/>
      </c>
      <c r="F56" s="30" t="n"/>
      <c r="G56" s="30" t="n"/>
      <c r="H56" s="30" t="n"/>
    </row>
    <row r="57" ht="20" customHeight="1">
      <c r="B57" s="27">
        <f>IF(C57="","",COUNTIF($C$24:C57,"?*"))</f>
        <v/>
      </c>
      <c r="C57" s="26">
        <f>IF(Cadets!$B39="","",IF(Cadets!$I39&lt;&gt;"Active","",Cadets!$F39))</f>
        <v/>
      </c>
      <c r="D57" s="26">
        <f>IF(C57="","",Cadets!$B39)</f>
        <v/>
      </c>
      <c r="E57" s="26">
        <f>IF(C57="","",Cadets!$H39)</f>
        <v/>
      </c>
      <c r="F57" s="30" t="n"/>
      <c r="G57" s="30" t="n"/>
      <c r="H57" s="30" t="n"/>
    </row>
    <row r="58" ht="20" customHeight="1">
      <c r="B58" s="27">
        <f>IF(C58="","",COUNTIF($C$24:C58,"?*"))</f>
        <v/>
      </c>
      <c r="C58" s="26">
        <f>IF(Cadets!$B40="","",IF(Cadets!$I40&lt;&gt;"Active","",Cadets!$F40))</f>
        <v/>
      </c>
      <c r="D58" s="26">
        <f>IF(C58="","",Cadets!$B40)</f>
        <v/>
      </c>
      <c r="E58" s="26">
        <f>IF(C58="","",Cadets!$H40)</f>
        <v/>
      </c>
      <c r="F58" s="30" t="n"/>
      <c r="G58" s="30" t="n"/>
      <c r="H58" s="30" t="n"/>
    </row>
    <row r="59" ht="20" customHeight="1">
      <c r="B59" s="27">
        <f>IF(C59="","",COUNTIF($C$24:C59,"?*"))</f>
        <v/>
      </c>
      <c r="C59" s="26">
        <f>IF(Cadets!$B41="","",IF(Cadets!$I41&lt;&gt;"Active","",Cadets!$F41))</f>
        <v/>
      </c>
      <c r="D59" s="26">
        <f>IF(C59="","",Cadets!$B41)</f>
        <v/>
      </c>
      <c r="E59" s="26">
        <f>IF(C59="","",Cadets!$H41)</f>
        <v/>
      </c>
      <c r="F59" s="30" t="n"/>
      <c r="G59" s="30" t="n"/>
      <c r="H59" s="30" t="n"/>
    </row>
    <row r="60" ht="20" customHeight="1">
      <c r="B60" s="27">
        <f>IF(C60="","",COUNTIF($C$24:C60,"?*"))</f>
        <v/>
      </c>
      <c r="C60" s="26">
        <f>IF(Cadets!$B42="","",IF(Cadets!$I42&lt;&gt;"Active","",Cadets!$F42))</f>
        <v/>
      </c>
      <c r="D60" s="26">
        <f>IF(C60="","",Cadets!$B42)</f>
        <v/>
      </c>
      <c r="E60" s="26">
        <f>IF(C60="","",Cadets!$H42)</f>
        <v/>
      </c>
      <c r="F60" s="30" t="n"/>
      <c r="G60" s="30" t="n"/>
      <c r="H60" s="30" t="n"/>
    </row>
    <row r="61" ht="20" customHeight="1">
      <c r="B61" s="27">
        <f>IF(C61="","",COUNTIF($C$24:C61,"?*"))</f>
        <v/>
      </c>
      <c r="C61" s="26">
        <f>IF(Cadets!$B43="","",IF(Cadets!$I43&lt;&gt;"Active","",Cadets!$F43))</f>
        <v/>
      </c>
      <c r="D61" s="26">
        <f>IF(C61="","",Cadets!$B43)</f>
        <v/>
      </c>
      <c r="E61" s="26">
        <f>IF(C61="","",Cadets!$H43)</f>
        <v/>
      </c>
      <c r="F61" s="30" t="n"/>
      <c r="G61" s="30" t="n"/>
      <c r="H61" s="30" t="n"/>
    </row>
    <row r="62" ht="20" customHeight="1">
      <c r="B62" s="27">
        <f>IF(C62="","",COUNTIF($C$24:C62,"?*"))</f>
        <v/>
      </c>
      <c r="C62" s="26">
        <f>IF(Cadets!$B44="","",IF(Cadets!$I44&lt;&gt;"Active","",Cadets!$F44))</f>
        <v/>
      </c>
      <c r="D62" s="26">
        <f>IF(C62="","",Cadets!$B44)</f>
        <v/>
      </c>
      <c r="E62" s="26">
        <f>IF(C62="","",Cadets!$H44)</f>
        <v/>
      </c>
      <c r="F62" s="30" t="n"/>
      <c r="G62" s="30" t="n"/>
      <c r="H62" s="30" t="n"/>
    </row>
    <row r="63" ht="20" customHeight="1">
      <c r="B63" s="27">
        <f>IF(C63="","",COUNTIF($C$24:C63,"?*"))</f>
        <v/>
      </c>
      <c r="C63" s="26">
        <f>IF(Cadets!$B45="","",IF(Cadets!$I45&lt;&gt;"Active","",Cadets!$F45))</f>
        <v/>
      </c>
      <c r="D63" s="26">
        <f>IF(C63="","",Cadets!$B45)</f>
        <v/>
      </c>
      <c r="E63" s="26">
        <f>IF(C63="","",Cadets!$H45)</f>
        <v/>
      </c>
      <c r="F63" s="30" t="n"/>
      <c r="G63" s="30" t="n"/>
      <c r="H63" s="30" t="n"/>
    </row>
    <row r="64" ht="20" customHeight="1">
      <c r="B64" s="27">
        <f>IF(C64="","",COUNTIF($C$24:C64,"?*"))</f>
        <v/>
      </c>
      <c r="C64" s="26">
        <f>IF(Cadets!$B46="","",IF(Cadets!$I46&lt;&gt;"Active","",Cadets!$F46))</f>
        <v/>
      </c>
      <c r="D64" s="26">
        <f>IF(C64="","",Cadets!$B46)</f>
        <v/>
      </c>
      <c r="E64" s="26">
        <f>IF(C64="","",Cadets!$H46)</f>
        <v/>
      </c>
      <c r="F64" s="30" t="n"/>
      <c r="G64" s="30" t="n"/>
      <c r="H64" s="30" t="n"/>
    </row>
    <row r="65" ht="20" customHeight="1">
      <c r="B65" s="27">
        <f>IF(C65="","",COUNTIF($C$24:C65,"?*"))</f>
        <v/>
      </c>
      <c r="C65" s="26">
        <f>IF(Cadets!$B47="","",IF(Cadets!$I47&lt;&gt;"Active","",Cadets!$F47))</f>
        <v/>
      </c>
      <c r="D65" s="26">
        <f>IF(C65="","",Cadets!$B47)</f>
        <v/>
      </c>
      <c r="E65" s="26">
        <f>IF(C65="","",Cadets!$H47)</f>
        <v/>
      </c>
      <c r="F65" s="30" t="n"/>
      <c r="G65" s="30" t="n"/>
      <c r="H65" s="30" t="n"/>
    </row>
    <row r="66" ht="20" customHeight="1">
      <c r="B66" s="27">
        <f>IF(C66="","",COUNTIF($C$24:C66,"?*"))</f>
        <v/>
      </c>
      <c r="C66" s="26">
        <f>IF(Cadets!$B48="","",IF(Cadets!$I48&lt;&gt;"Active","",Cadets!$F48))</f>
        <v/>
      </c>
      <c r="D66" s="26">
        <f>IF(C66="","",Cadets!$B48)</f>
        <v/>
      </c>
      <c r="E66" s="26">
        <f>IF(C66="","",Cadets!$H48)</f>
        <v/>
      </c>
      <c r="F66" s="30" t="n"/>
      <c r="G66" s="30" t="n"/>
      <c r="H66" s="30" t="n"/>
    </row>
    <row r="67" ht="20" customHeight="1">
      <c r="B67" s="27">
        <f>IF(C67="","",COUNTIF($C$24:C67,"?*"))</f>
        <v/>
      </c>
      <c r="C67" s="26">
        <f>IF(Cadets!$B49="","",IF(Cadets!$I49&lt;&gt;"Active","",Cadets!$F49))</f>
        <v/>
      </c>
      <c r="D67" s="26">
        <f>IF(C67="","",Cadets!$B49)</f>
        <v/>
      </c>
      <c r="E67" s="26">
        <f>IF(C67="","",Cadets!$H49)</f>
        <v/>
      </c>
      <c r="F67" s="30" t="n"/>
      <c r="G67" s="30" t="n"/>
      <c r="H67" s="30" t="n"/>
    </row>
    <row r="68" ht="20" customHeight="1">
      <c r="B68" s="27">
        <f>IF(C68="","",COUNTIF($C$24:C68,"?*"))</f>
        <v/>
      </c>
      <c r="C68" s="26">
        <f>IF(Cadets!$B50="","",IF(Cadets!$I50&lt;&gt;"Active","",Cadets!$F50))</f>
        <v/>
      </c>
      <c r="D68" s="26">
        <f>IF(C68="","",Cadets!$B50)</f>
        <v/>
      </c>
      <c r="E68" s="26">
        <f>IF(C68="","",Cadets!$H50)</f>
        <v/>
      </c>
      <c r="F68" s="30" t="n"/>
      <c r="G68" s="30" t="n"/>
      <c r="H68" s="30" t="n"/>
    </row>
    <row r="69" ht="20" customHeight="1">
      <c r="B69" s="27">
        <f>IF(C69="","",COUNTIF($C$24:C69,"?*"))</f>
        <v/>
      </c>
      <c r="C69" s="26">
        <f>IF(Cadets!$B51="","",IF(Cadets!$I51&lt;&gt;"Active","",Cadets!$F51))</f>
        <v/>
      </c>
      <c r="D69" s="26">
        <f>IF(C69="","",Cadets!$B51)</f>
        <v/>
      </c>
      <c r="E69" s="26">
        <f>IF(C69="","",Cadets!$H51)</f>
        <v/>
      </c>
      <c r="F69" s="30" t="n"/>
      <c r="G69" s="30" t="n"/>
      <c r="H69" s="30" t="n"/>
    </row>
    <row r="70" ht="20" customHeight="1">
      <c r="B70" s="27">
        <f>IF(C70="","",COUNTIF($C$24:C70,"?*"))</f>
        <v/>
      </c>
      <c r="C70" s="26">
        <f>IF(Cadets!$B52="","",IF(Cadets!$I52&lt;&gt;"Active","",Cadets!$F52))</f>
        <v/>
      </c>
      <c r="D70" s="26">
        <f>IF(C70="","",Cadets!$B52)</f>
        <v/>
      </c>
      <c r="E70" s="26">
        <f>IF(C70="","",Cadets!$H52)</f>
        <v/>
      </c>
      <c r="F70" s="30" t="n"/>
      <c r="G70" s="30" t="n"/>
      <c r="H70" s="30" t="n"/>
    </row>
    <row r="71" ht="20" customHeight="1">
      <c r="B71" s="27">
        <f>IF(C71="","",COUNTIF($C$24:C71,"?*"))</f>
        <v/>
      </c>
      <c r="C71" s="26">
        <f>IF(Cadets!$B53="","",IF(Cadets!$I53&lt;&gt;"Active","",Cadets!$F53))</f>
        <v/>
      </c>
      <c r="D71" s="26">
        <f>IF(C71="","",Cadets!$B53)</f>
        <v/>
      </c>
      <c r="E71" s="26">
        <f>IF(C71="","",Cadets!$H53)</f>
        <v/>
      </c>
      <c r="F71" s="30" t="n"/>
      <c r="G71" s="30" t="n"/>
      <c r="H71" s="30" t="n"/>
    </row>
    <row r="72" ht="20" customHeight="1">
      <c r="B72" s="27">
        <f>IF(C72="","",COUNTIF($C$24:C72,"?*"))</f>
        <v/>
      </c>
      <c r="C72" s="26">
        <f>IF(Cadets!$B54="","",IF(Cadets!$I54&lt;&gt;"Active","",Cadets!$F54))</f>
        <v/>
      </c>
      <c r="D72" s="26">
        <f>IF(C72="","",Cadets!$B54)</f>
        <v/>
      </c>
      <c r="E72" s="26">
        <f>IF(C72="","",Cadets!$H54)</f>
        <v/>
      </c>
      <c r="F72" s="30" t="n"/>
      <c r="G72" s="30" t="n"/>
      <c r="H72" s="30" t="n"/>
    </row>
    <row r="73" ht="20" customHeight="1">
      <c r="B73" s="27">
        <f>IF(C73="","",COUNTIF($C$24:C73,"?*"))</f>
        <v/>
      </c>
      <c r="C73" s="26">
        <f>IF(Cadets!$B55="","",IF(Cadets!$I55&lt;&gt;"Active","",Cadets!$F55))</f>
        <v/>
      </c>
      <c r="D73" s="26">
        <f>IF(C73="","",Cadets!$B55)</f>
        <v/>
      </c>
      <c r="E73" s="26">
        <f>IF(C73="","",Cadets!$H55)</f>
        <v/>
      </c>
      <c r="F73" s="30" t="n"/>
      <c r="G73" s="30" t="n"/>
      <c r="H73" s="30" t="n"/>
    </row>
    <row r="74" ht="16" customHeight="1">
      <c r="B74" s="7" t="inlineStr">
        <is>
          <t>PM report — changes through the day</t>
        </is>
      </c>
    </row>
    <row r="75" ht="20" customHeight="1">
      <c r="B75" s="14" t="inlineStr">
        <is>
          <t>Early departures (name / time out / reason — e.g. agency recall): ______________________________________________</t>
        </is>
      </c>
    </row>
    <row r="76" ht="20" customHeight="1">
      <c r="B76" s="14" t="inlineStr">
        <is>
          <t>________________________________________________________________________________________________________</t>
        </is>
      </c>
    </row>
    <row r="77" ht="20" customHeight="1">
      <c r="B77" s="14" t="inlineStr">
        <is>
          <t>Incidents / injuries: ___________________________________________________________________________________</t>
        </is>
      </c>
    </row>
    <row r="78" ht="20" customHeight="1">
      <c r="B78" s="14" t="inlineStr">
        <is>
          <t>Memos turned in: ____________________________   Remarks: _____________________________________________</t>
        </is>
      </c>
    </row>
    <row r="79" ht="22" customHeight="1">
      <c r="B79" s="14" t="inlineStr">
        <is>
          <t>Class Leader signature: ______________________________     Coordinator: ______________________________</t>
        </is>
      </c>
    </row>
    <row r="80">
      <c r="B80" s="14" t="inlineStr">
        <is>
          <t>Instructor verification: ________________________________     Time: ____________</t>
        </is>
      </c>
    </row>
    <row r="81">
      <c r="B81" s="2" t="inlineStr">
        <is>
          <t>711 W. Ferguson St., Tyler, TX 75702 — (903) 531-1018  Fax (903) 535-0102</t>
        </is>
      </c>
    </row>
  </sheetData>
  <sheetProtection selectLockedCells="0" selectUnlockedCells="0" sheet="1" objects="0" insertRows="1" insertHyperlinks="1" autoFilter="1" scenarios="0" formatColumns="1" deleteColumns="1" insertColumns="1" pivotTables="1" deleteRows="1" formatCells="1" formatRows="1" sort="1" password="B4BB"/>
  <mergeCells count="4">
    <mergeCell ref="B9:I9"/>
    <mergeCell ref="B74:I74"/>
    <mergeCell ref="B19:I19"/>
    <mergeCell ref="B22:I22"/>
  </mergeCells>
  <dataValidations count="1">
    <dataValidation sqref="C5" showDropDown="0" showInputMessage="0" showErrorMessage="1" allowBlank="1" errorTitle="Not an academy date" error="Pick a date between the academy's Start Date and End Date (Settings)." type="date" operator="between">
      <formula1>cfgStartDate</formula1>
      <formula2>cfgEndDate</formula2>
    </dataValidation>
  </dataValidations>
  <pageMargins left="0.75" right="0.75" top="1" bottom="1" header="0.5" footer="0.5"/>
  <pageSetup orientation="portrait" fitToHeight="0" fitToWidth="1"/>
</worksheet>
</file>

<file path=xl/worksheets/sheet34.xml><?xml version="1.0" encoding="utf-8"?>
<worksheet xmlns="http://schemas.openxmlformats.org/spreadsheetml/2006/main">
  <sheetPr>
    <tabColor rgb="001E7145"/>
    <outlinePr summaryBelow="1" summaryRight="1"/>
    <pageSetUpPr fitToPage="1"/>
  </sheetPr>
  <dimension ref="B1:H36"/>
  <sheetViews>
    <sheetView showGridLines="0" workbookViewId="0">
      <selection activeCell="A1" sqref="A1"/>
    </sheetView>
  </sheetViews>
  <sheetFormatPr baseColWidth="8" defaultRowHeight="15"/>
  <cols>
    <col width="3" customWidth="1" min="1" max="1"/>
    <col width="5" customWidth="1" min="2" max="2"/>
    <col width="62" customWidth="1" min="3" max="3"/>
    <col width="6" customWidth="1" min="4" max="4"/>
    <col width="6" customWidth="1" min="5" max="5"/>
    <col width="6" customWidth="1" min="6" max="6"/>
    <col width="6" customWidth="1" min="7" max="7"/>
    <col width="6" customWidth="1" min="8" max="8"/>
  </cols>
  <sheetData>
    <row r="1">
      <c r="B1" s="10">
        <f>HYPERLINK("#Dashboard!B5","◄ Dashboard")</f>
        <v/>
      </c>
    </row>
    <row r="4">
      <c r="B4" s="11" t="inlineStr">
        <is>
          <t>Modernized replica of the existing critique form. Pick a chapter — course, instructor and dates fill from the schedule. Print one per cadet (Print Center does stacks).</t>
        </is>
      </c>
    </row>
    <row r="5">
      <c r="B5" s="3" t="inlineStr">
        <is>
          <t>Chapter:</t>
        </is>
      </c>
      <c r="C5" s="29" t="n"/>
      <c r="E5" s="2">
        <f>"(prints for: "&amp;IFERROR(_xlfn.XLOOKUP(cfgEvalChapter,nrCHnum,nrCHname),"pick a chapter")&amp;")"</f>
        <v/>
      </c>
    </row>
    <row r="7">
      <c r="B7" s="1" t="inlineStr">
        <is>
          <t>TYLER POLICE ACADEMY</t>
        </is>
      </c>
    </row>
    <row r="8">
      <c r="B8" s="2" t="inlineStr">
        <is>
          <t>711 W. Ferguson St., Tyler, TX 75702 — (903) 531-1018  Fax (903) 535-0102</t>
        </is>
      </c>
    </row>
    <row r="10">
      <c r="B10" s="3" t="inlineStr">
        <is>
          <t>CLASS EVALUATION AND ASSESSMENT</t>
        </is>
      </c>
    </row>
    <row r="11">
      <c r="B11" s="2" t="inlineStr">
        <is>
          <t>CHECK APPROPRIATE BOX.  1 LOWEST TO 5 HIGHEST RATING FOR EACH OF THE BELOW LISTED QUESTIONS.</t>
        </is>
      </c>
    </row>
    <row r="13">
      <c r="B13" s="3" t="inlineStr">
        <is>
          <t>Course</t>
        </is>
      </c>
      <c r="C13" s="14">
        <f>cfgAcademyClass&amp;" — Ch. "&amp;cfgEvalChapter&amp;" "&amp;IFERROR(_xlfn.XLOOKUP(cfgEvalChapter,nrCHnum,nrCHname),"")</f>
        <v/>
      </c>
    </row>
    <row r="14">
      <c r="B14" s="3" t="inlineStr">
        <is>
          <t>Instructor</t>
        </is>
      </c>
      <c r="C14" s="14">
        <f>IFERROR(_xlfn.XLOOKUP(cfgEvalChapter,nrCHnum,nrCHinstr),"")</f>
        <v/>
      </c>
      <c r="F14" s="3" t="inlineStr">
        <is>
          <t>Date(s)</t>
        </is>
      </c>
      <c r="G14" s="14">
        <f>IFERROR(TEXT(_xlfn.XLOOKUP(cfgEvalChapter,nrCHnum,nrCHfirst),"mm/dd")&amp;" – "&amp;TEXT(_xlfn.MAXIFS(nrSCH_Date,nrSCH_ChNum,cfgEvalChapter),"mm/dd/yyyy"),"")</f>
        <v/>
      </c>
    </row>
    <row r="16" ht="26" customHeight="1">
      <c r="B16" s="12" t="inlineStr">
        <is>
          <t>#</t>
        </is>
      </c>
      <c r="C16" s="12" t="inlineStr">
        <is>
          <t>Question</t>
        </is>
      </c>
      <c r="D16" s="12" t="inlineStr">
        <is>
          <t>1</t>
        </is>
      </c>
      <c r="E16" s="12" t="inlineStr">
        <is>
          <t>2</t>
        </is>
      </c>
      <c r="F16" s="12" t="inlineStr">
        <is>
          <t>3</t>
        </is>
      </c>
      <c r="G16" s="12" t="inlineStr">
        <is>
          <t>4</t>
        </is>
      </c>
      <c r="H16" s="12" t="inlineStr">
        <is>
          <t>5</t>
        </is>
      </c>
    </row>
    <row r="17" ht="26" customHeight="1">
      <c r="B17" s="26" t="n">
        <v>1</v>
      </c>
      <c r="C17" s="31" t="inlineStr">
        <is>
          <t>Were the goals and objectives for the course provided at the beginning of the class?</t>
        </is>
      </c>
      <c r="D17" s="30" t="n"/>
      <c r="E17" s="30" t="n"/>
      <c r="F17" s="30" t="n"/>
      <c r="G17" s="30" t="n"/>
      <c r="H17" s="30" t="n"/>
    </row>
    <row r="18" ht="26" customHeight="1">
      <c r="B18" s="26" t="n">
        <v>2</v>
      </c>
      <c r="C18" s="31" t="inlineStr">
        <is>
          <t>Was the material presented in a logical order?</t>
        </is>
      </c>
      <c r="D18" s="30" t="n"/>
      <c r="E18" s="30" t="n"/>
      <c r="F18" s="30" t="n"/>
      <c r="G18" s="30" t="n"/>
      <c r="H18" s="30" t="n"/>
    </row>
    <row r="19" ht="26" customHeight="1">
      <c r="B19" s="26" t="n">
        <v>3</v>
      </c>
      <c r="C19" s="31" t="inlineStr">
        <is>
          <t>Was the course related to my job needs?</t>
        </is>
      </c>
      <c r="D19" s="30" t="n"/>
      <c r="E19" s="30" t="n"/>
      <c r="F19" s="30" t="n"/>
      <c r="G19" s="30" t="n"/>
      <c r="H19" s="30" t="n"/>
    </row>
    <row r="20" ht="26" customHeight="1">
      <c r="B20" s="26" t="n">
        <v>4</v>
      </c>
      <c r="C20" s="31" t="inlineStr">
        <is>
          <t>Were real life examples or situations used to relate the materials?</t>
        </is>
      </c>
      <c r="D20" s="30" t="n"/>
      <c r="E20" s="30" t="n"/>
      <c r="F20" s="30" t="n"/>
      <c r="G20" s="30" t="n"/>
      <c r="H20" s="30" t="n"/>
    </row>
    <row r="21" ht="26" customHeight="1">
      <c r="B21" s="26" t="n">
        <v>5</v>
      </c>
      <c r="C21" s="31" t="inlineStr">
        <is>
          <t>Will this course improve your job performance?</t>
        </is>
      </c>
      <c r="D21" s="30" t="n"/>
      <c r="E21" s="30" t="n"/>
      <c r="F21" s="30" t="n"/>
      <c r="G21" s="30" t="n"/>
      <c r="H21" s="30" t="n"/>
    </row>
    <row r="22" ht="26" customHeight="1">
      <c r="B22" s="26" t="n">
        <v>6</v>
      </c>
      <c r="C22" s="31" t="inlineStr">
        <is>
          <t>Were the teaching aids (demonstrations) handout materials of adequate quality?</t>
        </is>
      </c>
      <c r="D22" s="30" t="n"/>
      <c r="E22" s="30" t="n"/>
      <c r="F22" s="30" t="n"/>
      <c r="G22" s="30" t="n"/>
      <c r="H22" s="30" t="n"/>
    </row>
    <row r="23" ht="26" customHeight="1">
      <c r="B23" s="26" t="n">
        <v>7</v>
      </c>
      <c r="C23" s="31" t="inlineStr">
        <is>
          <t>Was the instructor knowledgeable about the course material?</t>
        </is>
      </c>
      <c r="D23" s="30" t="n"/>
      <c r="E23" s="30" t="n"/>
      <c r="F23" s="30" t="n"/>
      <c r="G23" s="30" t="n"/>
      <c r="H23" s="30" t="n"/>
    </row>
    <row r="24" ht="26" customHeight="1">
      <c r="B24" s="26" t="n">
        <v>8</v>
      </c>
      <c r="C24" s="31" t="inlineStr">
        <is>
          <t>Did the instructor present the information a clear and understandable way?</t>
        </is>
      </c>
      <c r="D24" s="30" t="n"/>
      <c r="E24" s="30" t="n"/>
      <c r="F24" s="30" t="n"/>
      <c r="G24" s="30" t="n"/>
      <c r="H24" s="30" t="n"/>
    </row>
    <row r="25" ht="26" customHeight="1">
      <c r="B25" s="26" t="n">
        <v>9</v>
      </c>
      <c r="C25" s="31" t="inlineStr">
        <is>
          <t>Did the instructor give you an opportunity to interact with the class or ask questions?</t>
        </is>
      </c>
      <c r="D25" s="30" t="n"/>
      <c r="E25" s="30" t="n"/>
      <c r="F25" s="30" t="n"/>
      <c r="G25" s="30" t="n"/>
      <c r="H25" s="30" t="n"/>
    </row>
    <row r="26" ht="26" customHeight="1">
      <c r="B26" s="26" t="n">
        <v>10</v>
      </c>
      <c r="C26" s="31" t="inlineStr">
        <is>
          <t>Did you get satisfactory answers to your questions about the materials?</t>
        </is>
      </c>
      <c r="D26" s="30" t="n"/>
      <c r="E26" s="30" t="n"/>
      <c r="F26" s="30" t="n"/>
      <c r="G26" s="30" t="n"/>
      <c r="H26" s="30" t="n"/>
    </row>
    <row r="27" ht="26" customHeight="1">
      <c r="B27" s="26" t="n">
        <v>11</v>
      </c>
      <c r="C27" s="31" t="inlineStr">
        <is>
          <t>Would you recommend this course to others?</t>
        </is>
      </c>
      <c r="D27" s="30" t="n"/>
      <c r="E27" s="30" t="n"/>
      <c r="F27" s="30" t="n"/>
      <c r="G27" s="30" t="n"/>
      <c r="H27" s="30" t="n"/>
    </row>
    <row r="29">
      <c r="B29" s="3" t="inlineStr">
        <is>
          <t>ADDITIONAL COMMENTS</t>
        </is>
      </c>
    </row>
    <row r="30" ht="20" customHeight="1">
      <c r="B30" s="32" t="n"/>
      <c r="C30" s="46" t="n"/>
      <c r="D30" s="46" t="n"/>
      <c r="E30" s="46" t="n"/>
      <c r="F30" s="46" t="n"/>
      <c r="G30" s="46" t="n"/>
      <c r="H30" s="46" t="n"/>
    </row>
    <row r="31" ht="20" customHeight="1">
      <c r="B31" s="32" t="n"/>
      <c r="C31" s="46" t="n"/>
      <c r="D31" s="46" t="n"/>
      <c r="E31" s="46" t="n"/>
      <c r="F31" s="46" t="n"/>
      <c r="G31" s="46" t="n"/>
      <c r="H31" s="46" t="n"/>
    </row>
    <row r="32" ht="20" customHeight="1">
      <c r="B32" s="32" t="n"/>
      <c r="C32" s="46" t="n"/>
      <c r="D32" s="46" t="n"/>
      <c r="E32" s="46" t="n"/>
      <c r="F32" s="46" t="n"/>
      <c r="G32" s="46" t="n"/>
      <c r="H32" s="46" t="n"/>
    </row>
    <row r="33" ht="20" customHeight="1">
      <c r="B33" s="32" t="n"/>
      <c r="C33" s="46" t="n"/>
      <c r="D33" s="46" t="n"/>
      <c r="E33" s="46" t="n"/>
      <c r="F33" s="46" t="n"/>
      <c r="G33" s="46" t="n"/>
      <c r="H33" s="46" t="n"/>
    </row>
    <row r="34" ht="20" customHeight="1">
      <c r="B34" s="32" t="n"/>
      <c r="C34" s="46" t="n"/>
      <c r="D34" s="46" t="n"/>
      <c r="E34" s="46" t="n"/>
      <c r="F34" s="46" t="n"/>
      <c r="G34" s="46" t="n"/>
      <c r="H34" s="46" t="n"/>
    </row>
    <row r="35" ht="20" customHeight="1">
      <c r="B35" s="32" t="n"/>
      <c r="C35" s="46" t="n"/>
      <c r="D35" s="46" t="n"/>
      <c r="E35" s="46" t="n"/>
      <c r="F35" s="46" t="n"/>
      <c r="G35" s="46" t="n"/>
      <c r="H35" s="46" t="n"/>
    </row>
    <row r="36" ht="28" customHeight="1">
      <c r="B36" s="15" t="inlineStr">
        <is>
          <t>Please use the below listed space to elaborate on any of the above points or any personal comments you may have. Your responses will be used to shape and refine the quality and content of future schools.</t>
        </is>
      </c>
    </row>
  </sheetData>
  <sheetProtection selectLockedCells="0" selectUnlockedCells="0" sheet="1" objects="0" insertRows="1" insertHyperlinks="1" autoFilter="1" scenarios="0" formatColumns="1" deleteColumns="1" insertColumns="1" pivotTables="1" deleteRows="1" formatCells="1" formatRows="1" sort="1" password="B4BB"/>
  <mergeCells count="10">
    <mergeCell ref="B36:H36"/>
    <mergeCell ref="B32:H32"/>
    <mergeCell ref="C14:E14"/>
    <mergeCell ref="B35:H35"/>
    <mergeCell ref="B30:H30"/>
    <mergeCell ref="G14:H14"/>
    <mergeCell ref="B33:H33"/>
    <mergeCell ref="C13:G13"/>
    <mergeCell ref="B34:H34"/>
    <mergeCell ref="B31:H31"/>
  </mergeCells>
  <dataValidations count="1">
    <dataValidation sqref="C5" showDropDown="0" showInputMessage="0" showErrorMessage="1" allowBlank="1" type="list">
      <formula1>=nrCHnum</formula1>
    </dataValidation>
  </dataValidations>
  <pageMargins left="0.75" right="0.75" top="1" bottom="1" header="0.5" footer="0.5"/>
  <pageSetup orientation="portrait" fitToHeight="0" fitToWidth="1"/>
</worksheet>
</file>

<file path=xl/worksheets/sheet35.xml><?xml version="1.0" encoding="utf-8"?>
<worksheet xmlns="http://schemas.openxmlformats.org/spreadsheetml/2006/main">
  <sheetPr>
    <tabColor rgb="001E7145"/>
    <outlinePr summaryBelow="1" summaryRight="1"/>
    <pageSetUpPr fitToPage="1"/>
  </sheetPr>
  <dimension ref="B1:F26"/>
  <sheetViews>
    <sheetView showGridLines="0" workbookViewId="0">
      <selection activeCell="A1" sqref="A1"/>
    </sheetView>
  </sheetViews>
  <sheetFormatPr baseColWidth="8" defaultRowHeight="15"/>
  <cols>
    <col width="3" customWidth="1" min="1" max="1"/>
    <col width="5" customWidth="1" min="2" max="2"/>
    <col width="30" customWidth="1" min="3" max="3"/>
    <col width="4" customWidth="1" min="4" max="4"/>
    <col width="5" customWidth="1" min="5" max="5"/>
    <col width="30" customWidth="1" min="6" max="6"/>
  </cols>
  <sheetData>
    <row r="1">
      <c r="B1" s="10">
        <f>HYPERLINK("#Dashboard!B5","◄ Dashboard")</f>
        <v/>
      </c>
    </row>
    <row r="4">
      <c r="B4" s="11" t="inlineStr">
        <is>
          <t>Pick test # and Test/Key mode; print. Words come from SpellingMaster.</t>
        </is>
      </c>
    </row>
    <row r="5">
      <c r="B5" s="3" t="inlineStr">
        <is>
          <t>Test #:</t>
        </is>
      </c>
      <c r="C5" s="16" t="n">
        <v>1</v>
      </c>
      <c r="D5" s="3" t="inlineStr">
        <is>
          <t>Mode:</t>
        </is>
      </c>
      <c r="E5" s="16" t="inlineStr">
        <is>
          <t>Test</t>
        </is>
      </c>
    </row>
    <row r="7">
      <c r="B7" s="1" t="inlineStr">
        <is>
          <t>TYLER POLICE DEPARTMENT ACADEMY</t>
        </is>
      </c>
    </row>
    <row r="8">
      <c r="B8" s="3">
        <f>IF(OR(N(cfgSpellPrintNum)&lt;1,N(cfgSpellPrintNum)&gt;12),"Pick a spelling test number 1-12 in C5","Spelling Test #"&amp;cfgSpellPrintNum&amp;IF(cfgSpellPrintMode="Key"," — KEY",""))</f>
        <v/>
      </c>
    </row>
    <row r="10">
      <c r="B10" s="14" t="inlineStr">
        <is>
          <t>Name: ______________________    Date: ____________    Score: ________</t>
        </is>
      </c>
    </row>
    <row r="12" ht="24" customHeight="1">
      <c r="B12" s="14" t="inlineStr">
        <is>
          <t>1.</t>
        </is>
      </c>
      <c r="C12" s="14">
        <f>IF(OR(N(cfgSpellPrintNum)&lt;1,N(cfgSpellPrintNum)&gt;12),"",IF(cfgSpellPrintMode="Key",INDEX(nrSpellWords,1,cfgSpellPrintNum),"_______________________"))</f>
        <v/>
      </c>
      <c r="E12" s="14" t="inlineStr">
        <is>
          <t>14.</t>
        </is>
      </c>
      <c r="F12" s="14">
        <f>IF(OR(N(cfgSpellPrintNum)&lt;1,N(cfgSpellPrintNum)&gt;12),"",IF(cfgSpellPrintMode="Key",INDEX(nrSpellWords,14,cfgSpellPrintNum),"_______________________"))</f>
        <v/>
      </c>
    </row>
    <row r="13" ht="24" customHeight="1">
      <c r="B13" s="14" t="inlineStr">
        <is>
          <t>2.</t>
        </is>
      </c>
      <c r="C13" s="14">
        <f>IF(OR(N(cfgSpellPrintNum)&lt;1,N(cfgSpellPrintNum)&gt;12),"",IF(cfgSpellPrintMode="Key",INDEX(nrSpellWords,2,cfgSpellPrintNum),"_______________________"))</f>
        <v/>
      </c>
      <c r="E13" s="14" t="inlineStr">
        <is>
          <t>15.</t>
        </is>
      </c>
      <c r="F13" s="14">
        <f>IF(OR(N(cfgSpellPrintNum)&lt;1,N(cfgSpellPrintNum)&gt;12),"",IF(cfgSpellPrintMode="Key",INDEX(nrSpellWords,15,cfgSpellPrintNum),"_______________________"))</f>
        <v/>
      </c>
    </row>
    <row r="14" ht="24" customHeight="1">
      <c r="B14" s="14" t="inlineStr">
        <is>
          <t>3.</t>
        </is>
      </c>
      <c r="C14" s="14">
        <f>IF(OR(N(cfgSpellPrintNum)&lt;1,N(cfgSpellPrintNum)&gt;12),"",IF(cfgSpellPrintMode="Key",INDEX(nrSpellWords,3,cfgSpellPrintNum),"_______________________"))</f>
        <v/>
      </c>
      <c r="E14" s="14" t="inlineStr">
        <is>
          <t>16.</t>
        </is>
      </c>
      <c r="F14" s="14">
        <f>IF(OR(N(cfgSpellPrintNum)&lt;1,N(cfgSpellPrintNum)&gt;12),"",IF(cfgSpellPrintMode="Key",INDEX(nrSpellWords,16,cfgSpellPrintNum),"_______________________"))</f>
        <v/>
      </c>
    </row>
    <row r="15" ht="24" customHeight="1">
      <c r="B15" s="14" t="inlineStr">
        <is>
          <t>4.</t>
        </is>
      </c>
      <c r="C15" s="14">
        <f>IF(OR(N(cfgSpellPrintNum)&lt;1,N(cfgSpellPrintNum)&gt;12),"",IF(cfgSpellPrintMode="Key",INDEX(nrSpellWords,4,cfgSpellPrintNum),"_______________________"))</f>
        <v/>
      </c>
      <c r="E15" s="14" t="inlineStr">
        <is>
          <t>17.</t>
        </is>
      </c>
      <c r="F15" s="14">
        <f>IF(OR(N(cfgSpellPrintNum)&lt;1,N(cfgSpellPrintNum)&gt;12),"",IF(cfgSpellPrintMode="Key",INDEX(nrSpellWords,17,cfgSpellPrintNum),"_______________________"))</f>
        <v/>
      </c>
    </row>
    <row r="16" ht="24" customHeight="1">
      <c r="B16" s="14" t="inlineStr">
        <is>
          <t>5.</t>
        </is>
      </c>
      <c r="C16" s="14">
        <f>IF(OR(N(cfgSpellPrintNum)&lt;1,N(cfgSpellPrintNum)&gt;12),"",IF(cfgSpellPrintMode="Key",INDEX(nrSpellWords,5,cfgSpellPrintNum),"_______________________"))</f>
        <v/>
      </c>
      <c r="E16" s="14" t="inlineStr">
        <is>
          <t>18.</t>
        </is>
      </c>
      <c r="F16" s="14">
        <f>IF(OR(N(cfgSpellPrintNum)&lt;1,N(cfgSpellPrintNum)&gt;12),"",IF(cfgSpellPrintMode="Key",INDEX(nrSpellWords,18,cfgSpellPrintNum),"_______________________"))</f>
        <v/>
      </c>
    </row>
    <row r="17" ht="24" customHeight="1">
      <c r="B17" s="14" t="inlineStr">
        <is>
          <t>6.</t>
        </is>
      </c>
      <c r="C17" s="14">
        <f>IF(OR(N(cfgSpellPrintNum)&lt;1,N(cfgSpellPrintNum)&gt;12),"",IF(cfgSpellPrintMode="Key",INDEX(nrSpellWords,6,cfgSpellPrintNum),"_______________________"))</f>
        <v/>
      </c>
      <c r="E17" s="14" t="inlineStr">
        <is>
          <t>19.</t>
        </is>
      </c>
      <c r="F17" s="14">
        <f>IF(OR(N(cfgSpellPrintNum)&lt;1,N(cfgSpellPrintNum)&gt;12),"",IF(cfgSpellPrintMode="Key",INDEX(nrSpellWords,19,cfgSpellPrintNum),"_______________________"))</f>
        <v/>
      </c>
    </row>
    <row r="18" ht="24" customHeight="1">
      <c r="B18" s="14" t="inlineStr">
        <is>
          <t>7.</t>
        </is>
      </c>
      <c r="C18" s="14">
        <f>IF(OR(N(cfgSpellPrintNum)&lt;1,N(cfgSpellPrintNum)&gt;12),"",IF(cfgSpellPrintMode="Key",INDEX(nrSpellWords,7,cfgSpellPrintNum),"_______________________"))</f>
        <v/>
      </c>
      <c r="E18" s="14" t="inlineStr">
        <is>
          <t>20.</t>
        </is>
      </c>
      <c r="F18" s="14">
        <f>IF(OR(N(cfgSpellPrintNum)&lt;1,N(cfgSpellPrintNum)&gt;12),"",IF(cfgSpellPrintMode="Key",INDEX(nrSpellWords,20,cfgSpellPrintNum),"_______________________"))</f>
        <v/>
      </c>
    </row>
    <row r="19" ht="24" customHeight="1">
      <c r="B19" s="14" t="inlineStr">
        <is>
          <t>8.</t>
        </is>
      </c>
      <c r="C19" s="14">
        <f>IF(OR(N(cfgSpellPrintNum)&lt;1,N(cfgSpellPrintNum)&gt;12),"",IF(cfgSpellPrintMode="Key",INDEX(nrSpellWords,8,cfgSpellPrintNum),"_______________________"))</f>
        <v/>
      </c>
      <c r="E19" s="14" t="inlineStr">
        <is>
          <t>21.</t>
        </is>
      </c>
      <c r="F19" s="14">
        <f>IF(OR(N(cfgSpellPrintNum)&lt;1,N(cfgSpellPrintNum)&gt;12),"",IF(cfgSpellPrintMode="Key",INDEX(nrSpellWords,21,cfgSpellPrintNum),"_______________________"))</f>
        <v/>
      </c>
    </row>
    <row r="20" ht="24" customHeight="1">
      <c r="B20" s="14" t="inlineStr">
        <is>
          <t>9.</t>
        </is>
      </c>
      <c r="C20" s="14">
        <f>IF(OR(N(cfgSpellPrintNum)&lt;1,N(cfgSpellPrintNum)&gt;12),"",IF(cfgSpellPrintMode="Key",INDEX(nrSpellWords,9,cfgSpellPrintNum),"_______________________"))</f>
        <v/>
      </c>
      <c r="E20" s="14" t="inlineStr">
        <is>
          <t>22.</t>
        </is>
      </c>
      <c r="F20" s="14">
        <f>IF(OR(N(cfgSpellPrintNum)&lt;1,N(cfgSpellPrintNum)&gt;12),"",IF(cfgSpellPrintMode="Key",INDEX(nrSpellWords,22,cfgSpellPrintNum),"_______________________"))</f>
        <v/>
      </c>
    </row>
    <row r="21" ht="24" customHeight="1">
      <c r="B21" s="14" t="inlineStr">
        <is>
          <t>10.</t>
        </is>
      </c>
      <c r="C21" s="14">
        <f>IF(OR(N(cfgSpellPrintNum)&lt;1,N(cfgSpellPrintNum)&gt;12),"",IF(cfgSpellPrintMode="Key",INDEX(nrSpellWords,10,cfgSpellPrintNum),"_______________________"))</f>
        <v/>
      </c>
      <c r="E21" s="14" t="inlineStr">
        <is>
          <t>23.</t>
        </is>
      </c>
      <c r="F21" s="14">
        <f>IF(OR(N(cfgSpellPrintNum)&lt;1,N(cfgSpellPrintNum)&gt;12),"",IF(cfgSpellPrintMode="Key",INDEX(nrSpellWords,23,cfgSpellPrintNum),"_______________________"))</f>
        <v/>
      </c>
    </row>
    <row r="22" ht="24" customHeight="1">
      <c r="B22" s="14" t="inlineStr">
        <is>
          <t>11.</t>
        </is>
      </c>
      <c r="C22" s="14">
        <f>IF(OR(N(cfgSpellPrintNum)&lt;1,N(cfgSpellPrintNum)&gt;12),"",IF(cfgSpellPrintMode="Key",INDEX(nrSpellWords,11,cfgSpellPrintNum),"_______________________"))</f>
        <v/>
      </c>
      <c r="E22" s="14" t="inlineStr">
        <is>
          <t>24.</t>
        </is>
      </c>
      <c r="F22" s="14">
        <f>IF(OR(N(cfgSpellPrintNum)&lt;1,N(cfgSpellPrintNum)&gt;12),"",IF(cfgSpellPrintMode="Key",INDEX(nrSpellWords,24,cfgSpellPrintNum),"_______________________"))</f>
        <v/>
      </c>
    </row>
    <row r="23" ht="24" customHeight="1">
      <c r="B23" s="14" t="inlineStr">
        <is>
          <t>12.</t>
        </is>
      </c>
      <c r="C23" s="14">
        <f>IF(OR(N(cfgSpellPrintNum)&lt;1,N(cfgSpellPrintNum)&gt;12),"",IF(cfgSpellPrintMode="Key",INDEX(nrSpellWords,12,cfgSpellPrintNum),"_______________________"))</f>
        <v/>
      </c>
      <c r="E23" s="14" t="inlineStr">
        <is>
          <t>25.</t>
        </is>
      </c>
      <c r="F23" s="14">
        <f>IF(OR(N(cfgSpellPrintNum)&lt;1,N(cfgSpellPrintNum)&gt;12),"",IF(cfgSpellPrintMode="Key",INDEX(nrSpellWords,25,cfgSpellPrintNum),"_______________________"))</f>
        <v/>
      </c>
    </row>
    <row r="24" ht="24" customHeight="1">
      <c r="B24" s="14" t="inlineStr">
        <is>
          <t>13.</t>
        </is>
      </c>
      <c r="C24" s="14">
        <f>IF(OR(N(cfgSpellPrintNum)&lt;1,N(cfgSpellPrintNum)&gt;12),"",IF(cfgSpellPrintMode="Key",INDEX(nrSpellWords,13,cfgSpellPrintNum),"_______________________"))</f>
        <v/>
      </c>
    </row>
    <row r="26">
      <c r="B26" s="2" t="inlineStr">
        <is>
          <t>Each word is worth 4 points.</t>
        </is>
      </c>
    </row>
  </sheetData>
  <sheetProtection selectLockedCells="0" selectUnlockedCells="0" sheet="1" objects="0" insertRows="1" insertHyperlinks="1" autoFilter="1" scenarios="0" formatColumns="1" deleteColumns="1" insertColumns="1" pivotTables="1" deleteRows="1" formatCells="1" formatRows="1" sort="1" password="B4BB"/>
  <dataValidations count="2">
    <dataValidation sqref="C5" showDropDown="0" showInputMessage="0" showErrorMessage="1" allowBlank="1" type="list">
      <formula1>=nrSpellTestNums</formula1>
    </dataValidation>
    <dataValidation sqref="E5" showDropDown="0" showInputMessage="0" showErrorMessage="1" allowBlank="1" type="list">
      <formula1>"Test,Key"</formula1>
    </dataValidation>
  </dataValidations>
  <pageMargins left="0.75" right="0.75" top="1" bottom="1" header="0.5" footer="0.5"/>
  <pageSetup orientation="portrait" fitToHeight="0" fitToWidth="1"/>
</worksheet>
</file>

<file path=xl/worksheets/sheet36.xml><?xml version="1.0" encoding="utf-8"?>
<worksheet xmlns="http://schemas.openxmlformats.org/spreadsheetml/2006/main">
  <sheetPr>
    <tabColor rgb="001E7145"/>
    <outlinePr summaryBelow="1" summaryRight="1"/>
    <pageSetUpPr fitToPage="1"/>
  </sheetPr>
  <dimension ref="B1:H18"/>
  <sheetViews>
    <sheetView showGridLines="0" workbookViewId="0">
      <selection activeCell="A1" sqref="A1"/>
    </sheetView>
  </sheetViews>
  <sheetFormatPr baseColWidth="8" defaultRowHeight="15"/>
  <cols>
    <col width="3" customWidth="1" min="1" max="1"/>
    <col width="5" customWidth="1" min="2" max="2"/>
    <col width="32" customWidth="1" min="3" max="3"/>
    <col width="10" customWidth="1" min="4" max="4"/>
    <col width="10" customWidth="1" min="5" max="5"/>
    <col width="80" customWidth="1" min="6" max="6"/>
  </cols>
  <sheetData>
    <row r="1">
      <c r="B1" s="10">
        <f>HYPERLINK("#Dashboard!B5","◄ Dashboard")</f>
        <v/>
      </c>
    </row>
    <row r="4">
      <c r="B4" s="11" t="inlineStr">
        <is>
          <t>Pick an academy week; assignments whose computed assigned date falls in that week appear with their prompts (up to 8 — the page holds 8; a week with more is split across two handouts by moving the extras' Override Assigned dates on WritingMaster). The Due column header shows the Writing Due Time from Settings.</t>
        </is>
      </c>
    </row>
    <row r="5">
      <c r="B5" s="3" t="inlineStr">
        <is>
          <t>Week #:</t>
        </is>
      </c>
      <c r="C5" s="16" t="n">
        <v>1</v>
      </c>
    </row>
    <row r="7">
      <c r="B7" s="1">
        <f>"TYLER POLICE ACADEMY — "&amp;cfgAcademyClass&amp;" — WRITING ASSIGNMENTS — WEEK "&amp;cfgHandoutWeek</f>
        <v/>
      </c>
    </row>
    <row r="8" ht="28" customHeight="1">
      <c r="B8" s="15" t="inlineStr">
        <is>
          <t>Each assignment must be at least one (1) page, typed, single-spaced, 12-point Arial or Times New Roman font. Due by 1700 on the due date. Late submissions require prior approval from the Training Coordinator. All case-law assignments require proper citation including court, year, and case name.</t>
        </is>
      </c>
    </row>
    <row r="10" ht="26" customHeight="1">
      <c r="B10" s="12" t="inlineStr">
        <is>
          <t>#</t>
        </is>
      </c>
      <c r="C10" s="12" t="inlineStr">
        <is>
          <t>Title</t>
        </is>
      </c>
      <c r="D10" s="12" t="inlineStr">
        <is>
          <t>Assigned</t>
        </is>
      </c>
      <c r="E10" s="33">
        <f>"Due ("&amp;IFERROR(TEXT(TIMEVALUE(LEFT(TEXT(cfgWritingDueTime,"0000"),2)&amp;":"&amp;RIGHT(TEXT(cfgWritingDueTime,"0000"),2)),"h:mm AM/PM"),cfgWritingDueTime)&amp;")"</f>
        <v/>
      </c>
      <c r="F10" s="12" t="inlineStr">
        <is>
          <t>Prompt</t>
        </is>
      </c>
    </row>
    <row r="11" ht="60" customHeight="1">
      <c r="B11" s="34">
        <f>IFERROR(_xlfn.TAKE(_xlfn._xlws.FILTER(_xlfn.HSTACK(rngWMnum,rngWMtitle,TEXT(rngWMassigned,"mm/dd"),TEXT(rngWMdue,"mm/dd"),rngWMprompt),IF(ISNUMBER(rngWMassigned),IFERROR(_xlfn.XLOOKUP(rngWMassigned,nrCDdate,nrCDweek,MAX(nrCDweek),1),0),0)=cfgHandoutWeek,"— no assignments start this week —"),8),"⚠ LIST UNAVAILABLE - a reference in this panel is broken; do NOT read it as 'nothing to report'")</f>
        <v/>
      </c>
      <c r="C11" s="34" t="n"/>
      <c r="D11" s="34" t="n"/>
      <c r="E11" s="34" t="n"/>
      <c r="F11" s="34" t="n"/>
      <c r="G11" s="34" t="n"/>
      <c r="H11" s="34" t="n"/>
    </row>
    <row r="12" ht="60" customHeight="1">
      <c r="B12" s="34" t="n"/>
      <c r="C12" s="34" t="n"/>
      <c r="D12" s="34" t="n"/>
      <c r="E12" s="34" t="n"/>
      <c r="F12" s="34" t="n"/>
      <c r="G12" s="34" t="n"/>
      <c r="H12" s="34" t="n"/>
    </row>
    <row r="13" ht="60" customHeight="1">
      <c r="B13" s="34" t="n"/>
      <c r="C13" s="34" t="n"/>
      <c r="D13" s="34" t="n"/>
      <c r="E13" s="34" t="n"/>
      <c r="F13" s="34" t="n"/>
      <c r="G13" s="34" t="n"/>
      <c r="H13" s="34" t="n"/>
    </row>
    <row r="14" ht="60" customHeight="1">
      <c r="B14" s="34" t="n"/>
      <c r="C14" s="34" t="n"/>
      <c r="D14" s="34" t="n"/>
      <c r="E14" s="34" t="n"/>
      <c r="F14" s="34" t="n"/>
      <c r="G14" s="34" t="n"/>
      <c r="H14" s="34" t="n"/>
    </row>
    <row r="15" ht="60" customHeight="1">
      <c r="B15" s="34" t="n"/>
      <c r="C15" s="34" t="n"/>
      <c r="D15" s="34" t="n"/>
      <c r="E15" s="34" t="n"/>
      <c r="F15" s="34" t="n"/>
      <c r="G15" s="34" t="n"/>
      <c r="H15" s="34" t="n"/>
    </row>
    <row r="16" ht="60" customHeight="1">
      <c r="B16" s="34" t="n"/>
      <c r="C16" s="34" t="n"/>
      <c r="D16" s="34" t="n"/>
      <c r="E16" s="34" t="n"/>
      <c r="F16" s="34" t="n"/>
      <c r="G16" s="34" t="n"/>
      <c r="H16" s="34" t="n"/>
    </row>
    <row r="17" ht="60" customHeight="1">
      <c r="B17" s="34" t="n"/>
      <c r="C17" s="34" t="n"/>
      <c r="D17" s="34" t="n"/>
      <c r="E17" s="34" t="n"/>
      <c r="F17" s="34" t="n"/>
      <c r="G17" s="34" t="n"/>
      <c r="H17" s="34" t="n"/>
    </row>
    <row r="18" ht="60" customHeight="1">
      <c r="B18" s="34" t="n"/>
      <c r="C18" s="34" t="n"/>
      <c r="D18" s="34" t="n"/>
      <c r="E18" s="34" t="n"/>
      <c r="F18" s="34" t="n"/>
      <c r="G18" s="34" t="n"/>
      <c r="H18" s="34" t="n"/>
    </row>
  </sheetData>
  <sheetProtection selectLockedCells="0" selectUnlockedCells="0" sheet="1" objects="0" insertRows="1" insertHyperlinks="1" autoFilter="1" scenarios="0" formatColumns="1" deleteColumns="1" insertColumns="1" pivotTables="1" deleteRows="1" formatCells="1" formatRows="1" sort="1" password="B4BB"/>
  <mergeCells count="1">
    <mergeCell ref="B8:H8"/>
  </mergeCells>
  <dataValidations count="1">
    <dataValidation sqref="C5" showDropDown="0" showInputMessage="0" showErrorMessage="1" allowBlank="1" errorTitle="Out of range" error="Pick an academy week number (1 = the first week of class)." type="whole" operator="between">
      <formula1>1</formula1>
      <formula2>52</formula2>
    </dataValidation>
  </dataValidations>
  <pageMargins left="0.75" right="0.75" top="1" bottom="1" header="0.5" footer="0.5"/>
  <pageSetup orientation="portrait" fitToHeight="0" fitToWidth="1"/>
</worksheet>
</file>

<file path=xl/worksheets/sheet37.xml><?xml version="1.0" encoding="utf-8"?>
<worksheet xmlns="http://schemas.openxmlformats.org/spreadsheetml/2006/main">
  <sheetPr>
    <tabColor rgb="001E7145"/>
    <outlinePr summaryBelow="1" summaryRight="1"/>
    <pageSetUpPr/>
  </sheetPr>
  <dimension ref="B1:L361"/>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2" customWidth="1" min="2" max="2"/>
    <col width="24" customWidth="1" min="3" max="3"/>
    <col width="11" customWidth="1" min="4" max="4"/>
    <col width="11" customWidth="1" min="5" max="5"/>
    <col width="18" customWidth="1" min="6" max="6"/>
    <col width="22" customWidth="1" min="7" max="7"/>
    <col width="20" customWidth="1" min="8" max="8"/>
    <col width="18" customWidth="1" min="9" max="9"/>
    <col width="60" customWidth="1" min="10" max="10"/>
  </cols>
  <sheetData>
    <row r="1">
      <c r="B1" s="10">
        <f>HYPERLINK("#Dashboard!B5","◄ Dashboard")</f>
        <v/>
      </c>
    </row>
    <row r="4">
      <c r="B4" s="11" t="inlineStr">
        <is>
          <t>Preview of what the Outlook draft will contain — the same day-granular 'since last email' cutoff the sender uses. The buttons on THIS sheet and on the Dashboard build the drafts — for review, never auto-sent.</t>
        </is>
      </c>
    </row>
    <row r="5">
      <c r="B5" s="3" t="inlineStr">
        <is>
          <t>Agency:</t>
        </is>
      </c>
      <c r="C5" s="16" t="inlineStr">
        <is>
          <t>TPD</t>
        </is>
      </c>
      <c r="E5" s="2">
        <f>"Exam #"&amp;cfgCurrentExamNum&amp;" — "&amp;IFERROR(INDEX(rngEPname,MATCH(cfgCurrentExamNum,IFERROR(rngEPseq+0,-1),0)),"?")&amp;" | Spelling through #"&amp;cfgCurrentSpellingNum&amp;" | Last emailed: "&amp;IF(IFERROR(_xlfn.MAXIFS(nrELdate,nrELagency,cfgPreviewAgency),0)=0,"never",TEXT(_xlfn.MAXIFS(nrELdate,nrELagency,cfgPreviewAgency),"mm/dd/yyyy"))</f>
        <v/>
      </c>
    </row>
    <row r="7" ht="16" customHeight="1">
      <c r="B7" s="7" t="inlineStr">
        <is>
          <t>Cadet results (as the email will report them)</t>
        </is>
      </c>
    </row>
    <row r="8" ht="26" customHeight="1">
      <c r="B8" s="12" t="inlineStr">
        <is>
          <t>Cadet</t>
        </is>
      </c>
      <c r="C8" s="12" t="inlineStr">
        <is>
          <t>Score</t>
        </is>
      </c>
      <c r="D8" s="12" t="inlineStr">
        <is>
          <t>Class Avg</t>
        </is>
      </c>
      <c r="E8" s="12" t="inlineStr">
        <is>
          <t>Retake?</t>
        </is>
      </c>
      <c r="F8" s="12" t="inlineStr">
        <is>
          <t>Spelling (test #)</t>
        </is>
      </c>
      <c r="G8" s="12" t="inlineStr">
        <is>
          <t>Spelling Flag</t>
        </is>
      </c>
      <c r="H8" s="12" t="inlineStr">
        <is>
          <t>Attendance</t>
        </is>
      </c>
      <c r="I8" s="12" t="inlineStr">
        <is>
          <t>Writing Current</t>
        </is>
      </c>
      <c r="J8" s="12" t="inlineStr">
        <is>
          <t>Open Flags</t>
        </is>
      </c>
    </row>
    <row r="9">
      <c r="B9" s="21">
        <f>IF(IF(OR(Cadets!$B6="",Cadets!$I6&lt;&gt;"Active"),FALSE,OR(cfgPreviewAgency=cfgHomeAgency,Cadets!$G6=cfgPreviewAgency)),Cadets!$F6,"")</f>
        <v/>
      </c>
      <c r="C9" s="21">
        <f>IF($B9="","",IF(COUNTIFS(nrES_PID,Cadets!$B6,nrES_Seq,cfgCurrentExamNum,nrES_Final,"Yes",nrES_Rec,"&gt;=0")=0,"",SUMIFS(nrES_Rec,nrES_PID,Cadets!$B6,nrES_Seq,cfgCurrentExamNum,nrES_Final,"Yes")))</f>
        <v/>
      </c>
      <c r="D9" s="21">
        <f>IF($B9="","",IFERROR(ROUND(AVERAGEIFS(nrES_Rec,nrES_Seq,cfgCurrentExamNum,nrES_Final,"Yes",nrES_Rec,"&gt;=0",nrES_Rec,"&lt;=100"),1),""))</f>
        <v/>
      </c>
      <c r="E9" s="21">
        <f>IF($B9="","",IF(COUNTIFS(nrES_PID,Cadets!$B6,nrES_Seq,cfgCurrentExamNum,nrES_Att,2,nrES_Raw,"&gt;=0",nrES_AttPass,"Yes")&gt;0,"RETEST (cap 70)",IF(COUNTIFS(nrES_PID,Cadets!$B6,nrES_Seq,cfgCurrentExamNum,nrES_Att,2,nrES_Raw,"&gt;=0",nrES_AttPass,"No")&gt;0,"RETEST FAILED (first-attempt score shown)","")))</f>
        <v/>
      </c>
      <c r="F9" s="21">
        <f>IF($B9="","",IF(OR(cfgCurrentSpellingNum&lt;cfgCurrentExamNum,cfgCurrentSpellingNum&lt;=0,cfgCurrentSpellingNum&gt;12),"(omitted)",_xlfn.LET(_xlpm.sc,IF(INDEX(Spelling!$D6:$O6,cfgCurrentSpellingNum)="","",INDEX(Spelling!$D6:$O6,cfgCurrentSpellingNum)),_xlpm.av,Spelling!$P6,IF(AND(ISNUMBER(_xlpm.av),_xlpm.av&lt;cfgSpellInterventionAvg),_xlpm.sc&amp;" (avg "&amp;_xlpm.av&amp;")",_xlpm.sc))))</f>
        <v/>
      </c>
      <c r="G9" s="21">
        <f>IF($B9="","",IF(OR(cfgCurrentSpellingNum&lt;cfgCurrentExamNum,cfgCurrentSpellingNum&lt;=0,cfgCurrentSpellingNum&gt;12),"",IF(Spelling!$R6="INTERVENTION","BELOW "&amp;cfgSpellInterventionAvg&amp;" — intervention","")))</f>
        <v/>
      </c>
      <c r="H9" s="21">
        <f>IF($B9="","",sysAttendance!$J6&amp;" / PT "&amp;sysAttendance!$R6)</f>
        <v/>
      </c>
      <c r="I9" s="21">
        <f>IF($B9="","",Writing!$AT6&amp;" ("&amp;Writing!$AS6&amp;" overdue)")</f>
        <v/>
      </c>
      <c r="J9" s="21">
        <f>IF($B9="","",sysFlags!$T6)</f>
        <v/>
      </c>
    </row>
    <row r="10">
      <c r="B10" s="21">
        <f>IF(IF(OR(Cadets!$B7="",Cadets!$I7&lt;&gt;"Active"),FALSE,OR(cfgPreviewAgency=cfgHomeAgency,Cadets!$G7=cfgPreviewAgency)),Cadets!$F7,"")</f>
        <v/>
      </c>
      <c r="C10" s="21">
        <f>IF($B10="","",IF(COUNTIFS(nrES_PID,Cadets!$B7,nrES_Seq,cfgCurrentExamNum,nrES_Final,"Yes",nrES_Rec,"&gt;=0")=0,"",SUMIFS(nrES_Rec,nrES_PID,Cadets!$B7,nrES_Seq,cfgCurrentExamNum,nrES_Final,"Yes")))</f>
        <v/>
      </c>
      <c r="D10" s="21">
        <f>IF($B10="","",IFERROR(ROUND(AVERAGEIFS(nrES_Rec,nrES_Seq,cfgCurrentExamNum,nrES_Final,"Yes",nrES_Rec,"&gt;=0",nrES_Rec,"&lt;=100"),1),""))</f>
        <v/>
      </c>
      <c r="E10" s="21">
        <f>IF($B10="","",IF(COUNTIFS(nrES_PID,Cadets!$B7,nrES_Seq,cfgCurrentExamNum,nrES_Att,2,nrES_Raw,"&gt;=0",nrES_AttPass,"Yes")&gt;0,"RETEST (cap 70)",IF(COUNTIFS(nrES_PID,Cadets!$B7,nrES_Seq,cfgCurrentExamNum,nrES_Att,2,nrES_Raw,"&gt;=0",nrES_AttPass,"No")&gt;0,"RETEST FAILED (first-attempt score shown)","")))</f>
        <v/>
      </c>
      <c r="F10" s="21">
        <f>IF($B10="","",IF(OR(cfgCurrentSpellingNum&lt;cfgCurrentExamNum,cfgCurrentSpellingNum&lt;=0,cfgCurrentSpellingNum&gt;12),"(omitted)",_xlfn.LET(_xlpm.sc,IF(INDEX(Spelling!$D7:$O7,cfgCurrentSpellingNum)="","",INDEX(Spelling!$D7:$O7,cfgCurrentSpellingNum)),_xlpm.av,Spelling!$P7,IF(AND(ISNUMBER(_xlpm.av),_xlpm.av&lt;cfgSpellInterventionAvg),_xlpm.sc&amp;" (avg "&amp;_xlpm.av&amp;")",_xlpm.sc))))</f>
        <v/>
      </c>
      <c r="G10" s="21">
        <f>IF($B10="","",IF(OR(cfgCurrentSpellingNum&lt;cfgCurrentExamNum,cfgCurrentSpellingNum&lt;=0,cfgCurrentSpellingNum&gt;12),"",IF(Spelling!$R7="INTERVENTION","BELOW "&amp;cfgSpellInterventionAvg&amp;" — intervention","")))</f>
        <v/>
      </c>
      <c r="H10" s="21">
        <f>IF($B10="","",sysAttendance!$J7&amp;" / PT "&amp;sysAttendance!$R7)</f>
        <v/>
      </c>
      <c r="I10" s="21">
        <f>IF($B10="","",Writing!$AT7&amp;" ("&amp;Writing!$AS7&amp;" overdue)")</f>
        <v/>
      </c>
      <c r="J10" s="21">
        <f>IF($B10="","",sysFlags!$T7)</f>
        <v/>
      </c>
    </row>
    <row r="11">
      <c r="B11" s="21">
        <f>IF(IF(OR(Cadets!$B8="",Cadets!$I8&lt;&gt;"Active"),FALSE,OR(cfgPreviewAgency=cfgHomeAgency,Cadets!$G8=cfgPreviewAgency)),Cadets!$F8,"")</f>
        <v/>
      </c>
      <c r="C11" s="21">
        <f>IF($B11="","",IF(COUNTIFS(nrES_PID,Cadets!$B8,nrES_Seq,cfgCurrentExamNum,nrES_Final,"Yes",nrES_Rec,"&gt;=0")=0,"",SUMIFS(nrES_Rec,nrES_PID,Cadets!$B8,nrES_Seq,cfgCurrentExamNum,nrES_Final,"Yes")))</f>
        <v/>
      </c>
      <c r="D11" s="21">
        <f>IF($B11="","",IFERROR(ROUND(AVERAGEIFS(nrES_Rec,nrES_Seq,cfgCurrentExamNum,nrES_Final,"Yes",nrES_Rec,"&gt;=0",nrES_Rec,"&lt;=100"),1),""))</f>
        <v/>
      </c>
      <c r="E11" s="21">
        <f>IF($B11="","",IF(COUNTIFS(nrES_PID,Cadets!$B8,nrES_Seq,cfgCurrentExamNum,nrES_Att,2,nrES_Raw,"&gt;=0",nrES_AttPass,"Yes")&gt;0,"RETEST (cap 70)",IF(COUNTIFS(nrES_PID,Cadets!$B8,nrES_Seq,cfgCurrentExamNum,nrES_Att,2,nrES_Raw,"&gt;=0",nrES_AttPass,"No")&gt;0,"RETEST FAILED (first-attempt score shown)","")))</f>
        <v/>
      </c>
      <c r="F11" s="21">
        <f>IF($B11="","",IF(OR(cfgCurrentSpellingNum&lt;cfgCurrentExamNum,cfgCurrentSpellingNum&lt;=0,cfgCurrentSpellingNum&gt;12),"(omitted)",_xlfn.LET(_xlpm.sc,IF(INDEX(Spelling!$D8:$O8,cfgCurrentSpellingNum)="","",INDEX(Spelling!$D8:$O8,cfgCurrentSpellingNum)),_xlpm.av,Spelling!$P8,IF(AND(ISNUMBER(_xlpm.av),_xlpm.av&lt;cfgSpellInterventionAvg),_xlpm.sc&amp;" (avg "&amp;_xlpm.av&amp;")",_xlpm.sc))))</f>
        <v/>
      </c>
      <c r="G11" s="21">
        <f>IF($B11="","",IF(OR(cfgCurrentSpellingNum&lt;cfgCurrentExamNum,cfgCurrentSpellingNum&lt;=0,cfgCurrentSpellingNum&gt;12),"",IF(Spelling!$R8="INTERVENTION","BELOW "&amp;cfgSpellInterventionAvg&amp;" — intervention","")))</f>
        <v/>
      </c>
      <c r="H11" s="21">
        <f>IF($B11="","",sysAttendance!$J8&amp;" / PT "&amp;sysAttendance!$R8)</f>
        <v/>
      </c>
      <c r="I11" s="21">
        <f>IF($B11="","",Writing!$AT8&amp;" ("&amp;Writing!$AS8&amp;" overdue)")</f>
        <v/>
      </c>
      <c r="J11" s="21">
        <f>IF($B11="","",sysFlags!$T8)</f>
        <v/>
      </c>
    </row>
    <row r="12">
      <c r="B12" s="21">
        <f>IF(IF(OR(Cadets!$B9="",Cadets!$I9&lt;&gt;"Active"),FALSE,OR(cfgPreviewAgency=cfgHomeAgency,Cadets!$G9=cfgPreviewAgency)),Cadets!$F9,"")</f>
        <v/>
      </c>
      <c r="C12" s="21">
        <f>IF($B12="","",IF(COUNTIFS(nrES_PID,Cadets!$B9,nrES_Seq,cfgCurrentExamNum,nrES_Final,"Yes",nrES_Rec,"&gt;=0")=0,"",SUMIFS(nrES_Rec,nrES_PID,Cadets!$B9,nrES_Seq,cfgCurrentExamNum,nrES_Final,"Yes")))</f>
        <v/>
      </c>
      <c r="D12" s="21">
        <f>IF($B12="","",IFERROR(ROUND(AVERAGEIFS(nrES_Rec,nrES_Seq,cfgCurrentExamNum,nrES_Final,"Yes",nrES_Rec,"&gt;=0",nrES_Rec,"&lt;=100"),1),""))</f>
        <v/>
      </c>
      <c r="E12" s="21">
        <f>IF($B12="","",IF(COUNTIFS(nrES_PID,Cadets!$B9,nrES_Seq,cfgCurrentExamNum,nrES_Att,2,nrES_Raw,"&gt;=0",nrES_AttPass,"Yes")&gt;0,"RETEST (cap 70)",IF(COUNTIFS(nrES_PID,Cadets!$B9,nrES_Seq,cfgCurrentExamNum,nrES_Att,2,nrES_Raw,"&gt;=0",nrES_AttPass,"No")&gt;0,"RETEST FAILED (first-attempt score shown)","")))</f>
        <v/>
      </c>
      <c r="F12" s="21">
        <f>IF($B12="","",IF(OR(cfgCurrentSpellingNum&lt;cfgCurrentExamNum,cfgCurrentSpellingNum&lt;=0,cfgCurrentSpellingNum&gt;12),"(omitted)",_xlfn.LET(_xlpm.sc,IF(INDEX(Spelling!$D9:$O9,cfgCurrentSpellingNum)="","",INDEX(Spelling!$D9:$O9,cfgCurrentSpellingNum)),_xlpm.av,Spelling!$P9,IF(AND(ISNUMBER(_xlpm.av),_xlpm.av&lt;cfgSpellInterventionAvg),_xlpm.sc&amp;" (avg "&amp;_xlpm.av&amp;")",_xlpm.sc))))</f>
        <v/>
      </c>
      <c r="G12" s="21">
        <f>IF($B12="","",IF(OR(cfgCurrentSpellingNum&lt;cfgCurrentExamNum,cfgCurrentSpellingNum&lt;=0,cfgCurrentSpellingNum&gt;12),"",IF(Spelling!$R9="INTERVENTION","BELOW "&amp;cfgSpellInterventionAvg&amp;" — intervention","")))</f>
        <v/>
      </c>
      <c r="H12" s="21">
        <f>IF($B12="","",sysAttendance!$J9&amp;" / PT "&amp;sysAttendance!$R9)</f>
        <v/>
      </c>
      <c r="I12" s="21">
        <f>IF($B12="","",Writing!$AT9&amp;" ("&amp;Writing!$AS9&amp;" overdue)")</f>
        <v/>
      </c>
      <c r="J12" s="21">
        <f>IF($B12="","",sysFlags!$T9)</f>
        <v/>
      </c>
    </row>
    <row r="13">
      <c r="B13" s="21">
        <f>IF(IF(OR(Cadets!$B10="",Cadets!$I10&lt;&gt;"Active"),FALSE,OR(cfgPreviewAgency=cfgHomeAgency,Cadets!$G10=cfgPreviewAgency)),Cadets!$F10,"")</f>
        <v/>
      </c>
      <c r="C13" s="21">
        <f>IF($B13="","",IF(COUNTIFS(nrES_PID,Cadets!$B10,nrES_Seq,cfgCurrentExamNum,nrES_Final,"Yes",nrES_Rec,"&gt;=0")=0,"",SUMIFS(nrES_Rec,nrES_PID,Cadets!$B10,nrES_Seq,cfgCurrentExamNum,nrES_Final,"Yes")))</f>
        <v/>
      </c>
      <c r="D13" s="21">
        <f>IF($B13="","",IFERROR(ROUND(AVERAGEIFS(nrES_Rec,nrES_Seq,cfgCurrentExamNum,nrES_Final,"Yes",nrES_Rec,"&gt;=0",nrES_Rec,"&lt;=100"),1),""))</f>
        <v/>
      </c>
      <c r="E13" s="21">
        <f>IF($B13="","",IF(COUNTIFS(nrES_PID,Cadets!$B10,nrES_Seq,cfgCurrentExamNum,nrES_Att,2,nrES_Raw,"&gt;=0",nrES_AttPass,"Yes")&gt;0,"RETEST (cap 70)",IF(COUNTIFS(nrES_PID,Cadets!$B10,nrES_Seq,cfgCurrentExamNum,nrES_Att,2,nrES_Raw,"&gt;=0",nrES_AttPass,"No")&gt;0,"RETEST FAILED (first-attempt score shown)","")))</f>
        <v/>
      </c>
      <c r="F13" s="21">
        <f>IF($B13="","",IF(OR(cfgCurrentSpellingNum&lt;cfgCurrentExamNum,cfgCurrentSpellingNum&lt;=0,cfgCurrentSpellingNum&gt;12),"(omitted)",_xlfn.LET(_xlpm.sc,IF(INDEX(Spelling!$D10:$O10,cfgCurrentSpellingNum)="","",INDEX(Spelling!$D10:$O10,cfgCurrentSpellingNum)),_xlpm.av,Spelling!$P10,IF(AND(ISNUMBER(_xlpm.av),_xlpm.av&lt;cfgSpellInterventionAvg),_xlpm.sc&amp;" (avg "&amp;_xlpm.av&amp;")",_xlpm.sc))))</f>
        <v/>
      </c>
      <c r="G13" s="21">
        <f>IF($B13="","",IF(OR(cfgCurrentSpellingNum&lt;cfgCurrentExamNum,cfgCurrentSpellingNum&lt;=0,cfgCurrentSpellingNum&gt;12),"",IF(Spelling!$R10="INTERVENTION","BELOW "&amp;cfgSpellInterventionAvg&amp;" — intervention","")))</f>
        <v/>
      </c>
      <c r="H13" s="21">
        <f>IF($B13="","",sysAttendance!$J10&amp;" / PT "&amp;sysAttendance!$R10)</f>
        <v/>
      </c>
      <c r="I13" s="21">
        <f>IF($B13="","",Writing!$AT10&amp;" ("&amp;Writing!$AS10&amp;" overdue)")</f>
        <v/>
      </c>
      <c r="J13" s="21">
        <f>IF($B13="","",sysFlags!$T10)</f>
        <v/>
      </c>
    </row>
    <row r="14">
      <c r="B14" s="21">
        <f>IF(IF(OR(Cadets!$B11="",Cadets!$I11&lt;&gt;"Active"),FALSE,OR(cfgPreviewAgency=cfgHomeAgency,Cadets!$G11=cfgPreviewAgency)),Cadets!$F11,"")</f>
        <v/>
      </c>
      <c r="C14" s="21">
        <f>IF($B14="","",IF(COUNTIFS(nrES_PID,Cadets!$B11,nrES_Seq,cfgCurrentExamNum,nrES_Final,"Yes",nrES_Rec,"&gt;=0")=0,"",SUMIFS(nrES_Rec,nrES_PID,Cadets!$B11,nrES_Seq,cfgCurrentExamNum,nrES_Final,"Yes")))</f>
        <v/>
      </c>
      <c r="D14" s="21">
        <f>IF($B14="","",IFERROR(ROUND(AVERAGEIFS(nrES_Rec,nrES_Seq,cfgCurrentExamNum,nrES_Final,"Yes",nrES_Rec,"&gt;=0",nrES_Rec,"&lt;=100"),1),""))</f>
        <v/>
      </c>
      <c r="E14" s="21">
        <f>IF($B14="","",IF(COUNTIFS(nrES_PID,Cadets!$B11,nrES_Seq,cfgCurrentExamNum,nrES_Att,2,nrES_Raw,"&gt;=0",nrES_AttPass,"Yes")&gt;0,"RETEST (cap 70)",IF(COUNTIFS(nrES_PID,Cadets!$B11,nrES_Seq,cfgCurrentExamNum,nrES_Att,2,nrES_Raw,"&gt;=0",nrES_AttPass,"No")&gt;0,"RETEST FAILED (first-attempt score shown)","")))</f>
        <v/>
      </c>
      <c r="F14" s="21">
        <f>IF($B14="","",IF(OR(cfgCurrentSpellingNum&lt;cfgCurrentExamNum,cfgCurrentSpellingNum&lt;=0,cfgCurrentSpellingNum&gt;12),"(omitted)",_xlfn.LET(_xlpm.sc,IF(INDEX(Spelling!$D11:$O11,cfgCurrentSpellingNum)="","",INDEX(Spelling!$D11:$O11,cfgCurrentSpellingNum)),_xlpm.av,Spelling!$P11,IF(AND(ISNUMBER(_xlpm.av),_xlpm.av&lt;cfgSpellInterventionAvg),_xlpm.sc&amp;" (avg "&amp;_xlpm.av&amp;")",_xlpm.sc))))</f>
        <v/>
      </c>
      <c r="G14" s="21">
        <f>IF($B14="","",IF(OR(cfgCurrentSpellingNum&lt;cfgCurrentExamNum,cfgCurrentSpellingNum&lt;=0,cfgCurrentSpellingNum&gt;12),"",IF(Spelling!$R11="INTERVENTION","BELOW "&amp;cfgSpellInterventionAvg&amp;" — intervention","")))</f>
        <v/>
      </c>
      <c r="H14" s="21">
        <f>IF($B14="","",sysAttendance!$J11&amp;" / PT "&amp;sysAttendance!$R11)</f>
        <v/>
      </c>
      <c r="I14" s="21">
        <f>IF($B14="","",Writing!$AT11&amp;" ("&amp;Writing!$AS11&amp;" overdue)")</f>
        <v/>
      </c>
      <c r="J14" s="21">
        <f>IF($B14="","",sysFlags!$T11)</f>
        <v/>
      </c>
    </row>
    <row r="15">
      <c r="B15" s="21">
        <f>IF(IF(OR(Cadets!$B12="",Cadets!$I12&lt;&gt;"Active"),FALSE,OR(cfgPreviewAgency=cfgHomeAgency,Cadets!$G12=cfgPreviewAgency)),Cadets!$F12,"")</f>
        <v/>
      </c>
      <c r="C15" s="21">
        <f>IF($B15="","",IF(COUNTIFS(nrES_PID,Cadets!$B12,nrES_Seq,cfgCurrentExamNum,nrES_Final,"Yes",nrES_Rec,"&gt;=0")=0,"",SUMIFS(nrES_Rec,nrES_PID,Cadets!$B12,nrES_Seq,cfgCurrentExamNum,nrES_Final,"Yes")))</f>
        <v/>
      </c>
      <c r="D15" s="21">
        <f>IF($B15="","",IFERROR(ROUND(AVERAGEIFS(nrES_Rec,nrES_Seq,cfgCurrentExamNum,nrES_Final,"Yes",nrES_Rec,"&gt;=0",nrES_Rec,"&lt;=100"),1),""))</f>
        <v/>
      </c>
      <c r="E15" s="21">
        <f>IF($B15="","",IF(COUNTIFS(nrES_PID,Cadets!$B12,nrES_Seq,cfgCurrentExamNum,nrES_Att,2,nrES_Raw,"&gt;=0",nrES_AttPass,"Yes")&gt;0,"RETEST (cap 70)",IF(COUNTIFS(nrES_PID,Cadets!$B12,nrES_Seq,cfgCurrentExamNum,nrES_Att,2,nrES_Raw,"&gt;=0",nrES_AttPass,"No")&gt;0,"RETEST FAILED (first-attempt score shown)","")))</f>
        <v/>
      </c>
      <c r="F15" s="21">
        <f>IF($B15="","",IF(OR(cfgCurrentSpellingNum&lt;cfgCurrentExamNum,cfgCurrentSpellingNum&lt;=0,cfgCurrentSpellingNum&gt;12),"(omitted)",_xlfn.LET(_xlpm.sc,IF(INDEX(Spelling!$D12:$O12,cfgCurrentSpellingNum)="","",INDEX(Spelling!$D12:$O12,cfgCurrentSpellingNum)),_xlpm.av,Spelling!$P12,IF(AND(ISNUMBER(_xlpm.av),_xlpm.av&lt;cfgSpellInterventionAvg),_xlpm.sc&amp;" (avg "&amp;_xlpm.av&amp;")",_xlpm.sc))))</f>
        <v/>
      </c>
      <c r="G15" s="21">
        <f>IF($B15="","",IF(OR(cfgCurrentSpellingNum&lt;cfgCurrentExamNum,cfgCurrentSpellingNum&lt;=0,cfgCurrentSpellingNum&gt;12),"",IF(Spelling!$R12="INTERVENTION","BELOW "&amp;cfgSpellInterventionAvg&amp;" — intervention","")))</f>
        <v/>
      </c>
      <c r="H15" s="21">
        <f>IF($B15="","",sysAttendance!$J12&amp;" / PT "&amp;sysAttendance!$R12)</f>
        <v/>
      </c>
      <c r="I15" s="21">
        <f>IF($B15="","",Writing!$AT12&amp;" ("&amp;Writing!$AS12&amp;" overdue)")</f>
        <v/>
      </c>
      <c r="J15" s="21">
        <f>IF($B15="","",sysFlags!$T12)</f>
        <v/>
      </c>
    </row>
    <row r="16">
      <c r="B16" s="21">
        <f>IF(IF(OR(Cadets!$B13="",Cadets!$I13&lt;&gt;"Active"),FALSE,OR(cfgPreviewAgency=cfgHomeAgency,Cadets!$G13=cfgPreviewAgency)),Cadets!$F13,"")</f>
        <v/>
      </c>
      <c r="C16" s="21">
        <f>IF($B16="","",IF(COUNTIFS(nrES_PID,Cadets!$B13,nrES_Seq,cfgCurrentExamNum,nrES_Final,"Yes",nrES_Rec,"&gt;=0")=0,"",SUMIFS(nrES_Rec,nrES_PID,Cadets!$B13,nrES_Seq,cfgCurrentExamNum,nrES_Final,"Yes")))</f>
        <v/>
      </c>
      <c r="D16" s="21">
        <f>IF($B16="","",IFERROR(ROUND(AVERAGEIFS(nrES_Rec,nrES_Seq,cfgCurrentExamNum,nrES_Final,"Yes",nrES_Rec,"&gt;=0",nrES_Rec,"&lt;=100"),1),""))</f>
        <v/>
      </c>
      <c r="E16" s="21">
        <f>IF($B16="","",IF(COUNTIFS(nrES_PID,Cadets!$B13,nrES_Seq,cfgCurrentExamNum,nrES_Att,2,nrES_Raw,"&gt;=0",nrES_AttPass,"Yes")&gt;0,"RETEST (cap 70)",IF(COUNTIFS(nrES_PID,Cadets!$B13,nrES_Seq,cfgCurrentExamNum,nrES_Att,2,nrES_Raw,"&gt;=0",nrES_AttPass,"No")&gt;0,"RETEST FAILED (first-attempt score shown)","")))</f>
        <v/>
      </c>
      <c r="F16" s="21">
        <f>IF($B16="","",IF(OR(cfgCurrentSpellingNum&lt;cfgCurrentExamNum,cfgCurrentSpellingNum&lt;=0,cfgCurrentSpellingNum&gt;12),"(omitted)",_xlfn.LET(_xlpm.sc,IF(INDEX(Spelling!$D13:$O13,cfgCurrentSpellingNum)="","",INDEX(Spelling!$D13:$O13,cfgCurrentSpellingNum)),_xlpm.av,Spelling!$P13,IF(AND(ISNUMBER(_xlpm.av),_xlpm.av&lt;cfgSpellInterventionAvg),_xlpm.sc&amp;" (avg "&amp;_xlpm.av&amp;")",_xlpm.sc))))</f>
        <v/>
      </c>
      <c r="G16" s="21">
        <f>IF($B16="","",IF(OR(cfgCurrentSpellingNum&lt;cfgCurrentExamNum,cfgCurrentSpellingNum&lt;=0,cfgCurrentSpellingNum&gt;12),"",IF(Spelling!$R13="INTERVENTION","BELOW "&amp;cfgSpellInterventionAvg&amp;" — intervention","")))</f>
        <v/>
      </c>
      <c r="H16" s="21">
        <f>IF($B16="","",sysAttendance!$J13&amp;" / PT "&amp;sysAttendance!$R13)</f>
        <v/>
      </c>
      <c r="I16" s="21">
        <f>IF($B16="","",Writing!$AT13&amp;" ("&amp;Writing!$AS13&amp;" overdue)")</f>
        <v/>
      </c>
      <c r="J16" s="21">
        <f>IF($B16="","",sysFlags!$T13)</f>
        <v/>
      </c>
    </row>
    <row r="17">
      <c r="B17" s="21">
        <f>IF(IF(OR(Cadets!$B14="",Cadets!$I14&lt;&gt;"Active"),FALSE,OR(cfgPreviewAgency=cfgHomeAgency,Cadets!$G14=cfgPreviewAgency)),Cadets!$F14,"")</f>
        <v/>
      </c>
      <c r="C17" s="21">
        <f>IF($B17="","",IF(COUNTIFS(nrES_PID,Cadets!$B14,nrES_Seq,cfgCurrentExamNum,nrES_Final,"Yes",nrES_Rec,"&gt;=0")=0,"",SUMIFS(nrES_Rec,nrES_PID,Cadets!$B14,nrES_Seq,cfgCurrentExamNum,nrES_Final,"Yes")))</f>
        <v/>
      </c>
      <c r="D17" s="21">
        <f>IF($B17="","",IFERROR(ROUND(AVERAGEIFS(nrES_Rec,nrES_Seq,cfgCurrentExamNum,nrES_Final,"Yes",nrES_Rec,"&gt;=0",nrES_Rec,"&lt;=100"),1),""))</f>
        <v/>
      </c>
      <c r="E17" s="21">
        <f>IF($B17="","",IF(COUNTIFS(nrES_PID,Cadets!$B14,nrES_Seq,cfgCurrentExamNum,nrES_Att,2,nrES_Raw,"&gt;=0",nrES_AttPass,"Yes")&gt;0,"RETEST (cap 70)",IF(COUNTIFS(nrES_PID,Cadets!$B14,nrES_Seq,cfgCurrentExamNum,nrES_Att,2,nrES_Raw,"&gt;=0",nrES_AttPass,"No")&gt;0,"RETEST FAILED (first-attempt score shown)","")))</f>
        <v/>
      </c>
      <c r="F17" s="21">
        <f>IF($B17="","",IF(OR(cfgCurrentSpellingNum&lt;cfgCurrentExamNum,cfgCurrentSpellingNum&lt;=0,cfgCurrentSpellingNum&gt;12),"(omitted)",_xlfn.LET(_xlpm.sc,IF(INDEX(Spelling!$D14:$O14,cfgCurrentSpellingNum)="","",INDEX(Spelling!$D14:$O14,cfgCurrentSpellingNum)),_xlpm.av,Spelling!$P14,IF(AND(ISNUMBER(_xlpm.av),_xlpm.av&lt;cfgSpellInterventionAvg),_xlpm.sc&amp;" (avg "&amp;_xlpm.av&amp;")",_xlpm.sc))))</f>
        <v/>
      </c>
      <c r="G17" s="21">
        <f>IF($B17="","",IF(OR(cfgCurrentSpellingNum&lt;cfgCurrentExamNum,cfgCurrentSpellingNum&lt;=0,cfgCurrentSpellingNum&gt;12),"",IF(Spelling!$R14="INTERVENTION","BELOW "&amp;cfgSpellInterventionAvg&amp;" — intervention","")))</f>
        <v/>
      </c>
      <c r="H17" s="21">
        <f>IF($B17="","",sysAttendance!$J14&amp;" / PT "&amp;sysAttendance!$R14)</f>
        <v/>
      </c>
      <c r="I17" s="21">
        <f>IF($B17="","",Writing!$AT14&amp;" ("&amp;Writing!$AS14&amp;" overdue)")</f>
        <v/>
      </c>
      <c r="J17" s="21">
        <f>IF($B17="","",sysFlags!$T14)</f>
        <v/>
      </c>
    </row>
    <row r="18">
      <c r="B18" s="21">
        <f>IF(IF(OR(Cadets!$B15="",Cadets!$I15&lt;&gt;"Active"),FALSE,OR(cfgPreviewAgency=cfgHomeAgency,Cadets!$G15=cfgPreviewAgency)),Cadets!$F15,"")</f>
        <v/>
      </c>
      <c r="C18" s="21">
        <f>IF($B18="","",IF(COUNTIFS(nrES_PID,Cadets!$B15,nrES_Seq,cfgCurrentExamNum,nrES_Final,"Yes",nrES_Rec,"&gt;=0")=0,"",SUMIFS(nrES_Rec,nrES_PID,Cadets!$B15,nrES_Seq,cfgCurrentExamNum,nrES_Final,"Yes")))</f>
        <v/>
      </c>
      <c r="D18" s="21">
        <f>IF($B18="","",IFERROR(ROUND(AVERAGEIFS(nrES_Rec,nrES_Seq,cfgCurrentExamNum,nrES_Final,"Yes",nrES_Rec,"&gt;=0",nrES_Rec,"&lt;=100"),1),""))</f>
        <v/>
      </c>
      <c r="E18" s="21">
        <f>IF($B18="","",IF(COUNTIFS(nrES_PID,Cadets!$B15,nrES_Seq,cfgCurrentExamNum,nrES_Att,2,nrES_Raw,"&gt;=0",nrES_AttPass,"Yes")&gt;0,"RETEST (cap 70)",IF(COUNTIFS(nrES_PID,Cadets!$B15,nrES_Seq,cfgCurrentExamNum,nrES_Att,2,nrES_Raw,"&gt;=0",nrES_AttPass,"No")&gt;0,"RETEST FAILED (first-attempt score shown)","")))</f>
        <v/>
      </c>
      <c r="F18" s="21">
        <f>IF($B18="","",IF(OR(cfgCurrentSpellingNum&lt;cfgCurrentExamNum,cfgCurrentSpellingNum&lt;=0,cfgCurrentSpellingNum&gt;12),"(omitted)",_xlfn.LET(_xlpm.sc,IF(INDEX(Spelling!$D15:$O15,cfgCurrentSpellingNum)="","",INDEX(Spelling!$D15:$O15,cfgCurrentSpellingNum)),_xlpm.av,Spelling!$P15,IF(AND(ISNUMBER(_xlpm.av),_xlpm.av&lt;cfgSpellInterventionAvg),_xlpm.sc&amp;" (avg "&amp;_xlpm.av&amp;")",_xlpm.sc))))</f>
        <v/>
      </c>
      <c r="G18" s="21">
        <f>IF($B18="","",IF(OR(cfgCurrentSpellingNum&lt;cfgCurrentExamNum,cfgCurrentSpellingNum&lt;=0,cfgCurrentSpellingNum&gt;12),"",IF(Spelling!$R15="INTERVENTION","BELOW "&amp;cfgSpellInterventionAvg&amp;" — intervention","")))</f>
        <v/>
      </c>
      <c r="H18" s="21">
        <f>IF($B18="","",sysAttendance!$J15&amp;" / PT "&amp;sysAttendance!$R15)</f>
        <v/>
      </c>
      <c r="I18" s="21">
        <f>IF($B18="","",Writing!$AT15&amp;" ("&amp;Writing!$AS15&amp;" overdue)")</f>
        <v/>
      </c>
      <c r="J18" s="21">
        <f>IF($B18="","",sysFlags!$T15)</f>
        <v/>
      </c>
    </row>
    <row r="19">
      <c r="B19" s="21">
        <f>IF(IF(OR(Cadets!$B16="",Cadets!$I16&lt;&gt;"Active"),FALSE,OR(cfgPreviewAgency=cfgHomeAgency,Cadets!$G16=cfgPreviewAgency)),Cadets!$F16,"")</f>
        <v/>
      </c>
      <c r="C19" s="21">
        <f>IF($B19="","",IF(COUNTIFS(nrES_PID,Cadets!$B16,nrES_Seq,cfgCurrentExamNum,nrES_Final,"Yes",nrES_Rec,"&gt;=0")=0,"",SUMIFS(nrES_Rec,nrES_PID,Cadets!$B16,nrES_Seq,cfgCurrentExamNum,nrES_Final,"Yes")))</f>
        <v/>
      </c>
      <c r="D19" s="21">
        <f>IF($B19="","",IFERROR(ROUND(AVERAGEIFS(nrES_Rec,nrES_Seq,cfgCurrentExamNum,nrES_Final,"Yes",nrES_Rec,"&gt;=0",nrES_Rec,"&lt;=100"),1),""))</f>
        <v/>
      </c>
      <c r="E19" s="21">
        <f>IF($B19="","",IF(COUNTIFS(nrES_PID,Cadets!$B16,nrES_Seq,cfgCurrentExamNum,nrES_Att,2,nrES_Raw,"&gt;=0",nrES_AttPass,"Yes")&gt;0,"RETEST (cap 70)",IF(COUNTIFS(nrES_PID,Cadets!$B16,nrES_Seq,cfgCurrentExamNum,nrES_Att,2,nrES_Raw,"&gt;=0",nrES_AttPass,"No")&gt;0,"RETEST FAILED (first-attempt score shown)","")))</f>
        <v/>
      </c>
      <c r="F19" s="21">
        <f>IF($B19="","",IF(OR(cfgCurrentSpellingNum&lt;cfgCurrentExamNum,cfgCurrentSpellingNum&lt;=0,cfgCurrentSpellingNum&gt;12),"(omitted)",_xlfn.LET(_xlpm.sc,IF(INDEX(Spelling!$D16:$O16,cfgCurrentSpellingNum)="","",INDEX(Spelling!$D16:$O16,cfgCurrentSpellingNum)),_xlpm.av,Spelling!$P16,IF(AND(ISNUMBER(_xlpm.av),_xlpm.av&lt;cfgSpellInterventionAvg),_xlpm.sc&amp;" (avg "&amp;_xlpm.av&amp;")",_xlpm.sc))))</f>
        <v/>
      </c>
      <c r="G19" s="21">
        <f>IF($B19="","",IF(OR(cfgCurrentSpellingNum&lt;cfgCurrentExamNum,cfgCurrentSpellingNum&lt;=0,cfgCurrentSpellingNum&gt;12),"",IF(Spelling!$R16="INTERVENTION","BELOW "&amp;cfgSpellInterventionAvg&amp;" — intervention","")))</f>
        <v/>
      </c>
      <c r="H19" s="21">
        <f>IF($B19="","",sysAttendance!$J16&amp;" / PT "&amp;sysAttendance!$R16)</f>
        <v/>
      </c>
      <c r="I19" s="21">
        <f>IF($B19="","",Writing!$AT16&amp;" ("&amp;Writing!$AS16&amp;" overdue)")</f>
        <v/>
      </c>
      <c r="J19" s="21">
        <f>IF($B19="","",sysFlags!$T16)</f>
        <v/>
      </c>
    </row>
    <row r="20">
      <c r="B20" s="21">
        <f>IF(IF(OR(Cadets!$B17="",Cadets!$I17&lt;&gt;"Active"),FALSE,OR(cfgPreviewAgency=cfgHomeAgency,Cadets!$G17=cfgPreviewAgency)),Cadets!$F17,"")</f>
        <v/>
      </c>
      <c r="C20" s="21">
        <f>IF($B20="","",IF(COUNTIFS(nrES_PID,Cadets!$B17,nrES_Seq,cfgCurrentExamNum,nrES_Final,"Yes",nrES_Rec,"&gt;=0")=0,"",SUMIFS(nrES_Rec,nrES_PID,Cadets!$B17,nrES_Seq,cfgCurrentExamNum,nrES_Final,"Yes")))</f>
        <v/>
      </c>
      <c r="D20" s="21">
        <f>IF($B20="","",IFERROR(ROUND(AVERAGEIFS(nrES_Rec,nrES_Seq,cfgCurrentExamNum,nrES_Final,"Yes",nrES_Rec,"&gt;=0",nrES_Rec,"&lt;=100"),1),""))</f>
        <v/>
      </c>
      <c r="E20" s="21">
        <f>IF($B20="","",IF(COUNTIFS(nrES_PID,Cadets!$B17,nrES_Seq,cfgCurrentExamNum,nrES_Att,2,nrES_Raw,"&gt;=0",nrES_AttPass,"Yes")&gt;0,"RETEST (cap 70)",IF(COUNTIFS(nrES_PID,Cadets!$B17,nrES_Seq,cfgCurrentExamNum,nrES_Att,2,nrES_Raw,"&gt;=0",nrES_AttPass,"No")&gt;0,"RETEST FAILED (first-attempt score shown)","")))</f>
        <v/>
      </c>
      <c r="F20" s="21">
        <f>IF($B20="","",IF(OR(cfgCurrentSpellingNum&lt;cfgCurrentExamNum,cfgCurrentSpellingNum&lt;=0,cfgCurrentSpellingNum&gt;12),"(omitted)",_xlfn.LET(_xlpm.sc,IF(INDEX(Spelling!$D17:$O17,cfgCurrentSpellingNum)="","",INDEX(Spelling!$D17:$O17,cfgCurrentSpellingNum)),_xlpm.av,Spelling!$P17,IF(AND(ISNUMBER(_xlpm.av),_xlpm.av&lt;cfgSpellInterventionAvg),_xlpm.sc&amp;" (avg "&amp;_xlpm.av&amp;")",_xlpm.sc))))</f>
        <v/>
      </c>
      <c r="G20" s="21">
        <f>IF($B20="","",IF(OR(cfgCurrentSpellingNum&lt;cfgCurrentExamNum,cfgCurrentSpellingNum&lt;=0,cfgCurrentSpellingNum&gt;12),"",IF(Spelling!$R17="INTERVENTION","BELOW "&amp;cfgSpellInterventionAvg&amp;" — intervention","")))</f>
        <v/>
      </c>
      <c r="H20" s="21">
        <f>IF($B20="","",sysAttendance!$J17&amp;" / PT "&amp;sysAttendance!$R17)</f>
        <v/>
      </c>
      <c r="I20" s="21">
        <f>IF($B20="","",Writing!$AT17&amp;" ("&amp;Writing!$AS17&amp;" overdue)")</f>
        <v/>
      </c>
      <c r="J20" s="21">
        <f>IF($B20="","",sysFlags!$T17)</f>
        <v/>
      </c>
    </row>
    <row r="21">
      <c r="B21" s="21">
        <f>IF(IF(OR(Cadets!$B18="",Cadets!$I18&lt;&gt;"Active"),FALSE,OR(cfgPreviewAgency=cfgHomeAgency,Cadets!$G18=cfgPreviewAgency)),Cadets!$F18,"")</f>
        <v/>
      </c>
      <c r="C21" s="21">
        <f>IF($B21="","",IF(COUNTIFS(nrES_PID,Cadets!$B18,nrES_Seq,cfgCurrentExamNum,nrES_Final,"Yes",nrES_Rec,"&gt;=0")=0,"",SUMIFS(nrES_Rec,nrES_PID,Cadets!$B18,nrES_Seq,cfgCurrentExamNum,nrES_Final,"Yes")))</f>
        <v/>
      </c>
      <c r="D21" s="21">
        <f>IF($B21="","",IFERROR(ROUND(AVERAGEIFS(nrES_Rec,nrES_Seq,cfgCurrentExamNum,nrES_Final,"Yes",nrES_Rec,"&gt;=0",nrES_Rec,"&lt;=100"),1),""))</f>
        <v/>
      </c>
      <c r="E21" s="21">
        <f>IF($B21="","",IF(COUNTIFS(nrES_PID,Cadets!$B18,nrES_Seq,cfgCurrentExamNum,nrES_Att,2,nrES_Raw,"&gt;=0",nrES_AttPass,"Yes")&gt;0,"RETEST (cap 70)",IF(COUNTIFS(nrES_PID,Cadets!$B18,nrES_Seq,cfgCurrentExamNum,nrES_Att,2,nrES_Raw,"&gt;=0",nrES_AttPass,"No")&gt;0,"RETEST FAILED (first-attempt score shown)","")))</f>
        <v/>
      </c>
      <c r="F21" s="21">
        <f>IF($B21="","",IF(OR(cfgCurrentSpellingNum&lt;cfgCurrentExamNum,cfgCurrentSpellingNum&lt;=0,cfgCurrentSpellingNum&gt;12),"(omitted)",_xlfn.LET(_xlpm.sc,IF(INDEX(Spelling!$D18:$O18,cfgCurrentSpellingNum)="","",INDEX(Spelling!$D18:$O18,cfgCurrentSpellingNum)),_xlpm.av,Spelling!$P18,IF(AND(ISNUMBER(_xlpm.av),_xlpm.av&lt;cfgSpellInterventionAvg),_xlpm.sc&amp;" (avg "&amp;_xlpm.av&amp;")",_xlpm.sc))))</f>
        <v/>
      </c>
      <c r="G21" s="21">
        <f>IF($B21="","",IF(OR(cfgCurrentSpellingNum&lt;cfgCurrentExamNum,cfgCurrentSpellingNum&lt;=0,cfgCurrentSpellingNum&gt;12),"",IF(Spelling!$R18="INTERVENTION","BELOW "&amp;cfgSpellInterventionAvg&amp;" — intervention","")))</f>
        <v/>
      </c>
      <c r="H21" s="21">
        <f>IF($B21="","",sysAttendance!$J18&amp;" / PT "&amp;sysAttendance!$R18)</f>
        <v/>
      </c>
      <c r="I21" s="21">
        <f>IF($B21="","",Writing!$AT18&amp;" ("&amp;Writing!$AS18&amp;" overdue)")</f>
        <v/>
      </c>
      <c r="J21" s="21">
        <f>IF($B21="","",sysFlags!$T18)</f>
        <v/>
      </c>
    </row>
    <row r="22">
      <c r="B22" s="21">
        <f>IF(IF(OR(Cadets!$B19="",Cadets!$I19&lt;&gt;"Active"),FALSE,OR(cfgPreviewAgency=cfgHomeAgency,Cadets!$G19=cfgPreviewAgency)),Cadets!$F19,"")</f>
        <v/>
      </c>
      <c r="C22" s="21">
        <f>IF($B22="","",IF(COUNTIFS(nrES_PID,Cadets!$B19,nrES_Seq,cfgCurrentExamNum,nrES_Final,"Yes",nrES_Rec,"&gt;=0")=0,"",SUMIFS(nrES_Rec,nrES_PID,Cadets!$B19,nrES_Seq,cfgCurrentExamNum,nrES_Final,"Yes")))</f>
        <v/>
      </c>
      <c r="D22" s="21">
        <f>IF($B22="","",IFERROR(ROUND(AVERAGEIFS(nrES_Rec,nrES_Seq,cfgCurrentExamNum,nrES_Final,"Yes",nrES_Rec,"&gt;=0",nrES_Rec,"&lt;=100"),1),""))</f>
        <v/>
      </c>
      <c r="E22" s="21">
        <f>IF($B22="","",IF(COUNTIFS(nrES_PID,Cadets!$B19,nrES_Seq,cfgCurrentExamNum,nrES_Att,2,nrES_Raw,"&gt;=0",nrES_AttPass,"Yes")&gt;0,"RETEST (cap 70)",IF(COUNTIFS(nrES_PID,Cadets!$B19,nrES_Seq,cfgCurrentExamNum,nrES_Att,2,nrES_Raw,"&gt;=0",nrES_AttPass,"No")&gt;0,"RETEST FAILED (first-attempt score shown)","")))</f>
        <v/>
      </c>
      <c r="F22" s="21">
        <f>IF($B22="","",IF(OR(cfgCurrentSpellingNum&lt;cfgCurrentExamNum,cfgCurrentSpellingNum&lt;=0,cfgCurrentSpellingNum&gt;12),"(omitted)",_xlfn.LET(_xlpm.sc,IF(INDEX(Spelling!$D19:$O19,cfgCurrentSpellingNum)="","",INDEX(Spelling!$D19:$O19,cfgCurrentSpellingNum)),_xlpm.av,Spelling!$P19,IF(AND(ISNUMBER(_xlpm.av),_xlpm.av&lt;cfgSpellInterventionAvg),_xlpm.sc&amp;" (avg "&amp;_xlpm.av&amp;")",_xlpm.sc))))</f>
        <v/>
      </c>
      <c r="G22" s="21">
        <f>IF($B22="","",IF(OR(cfgCurrentSpellingNum&lt;cfgCurrentExamNum,cfgCurrentSpellingNum&lt;=0,cfgCurrentSpellingNum&gt;12),"",IF(Spelling!$R19="INTERVENTION","BELOW "&amp;cfgSpellInterventionAvg&amp;" — intervention","")))</f>
        <v/>
      </c>
      <c r="H22" s="21">
        <f>IF($B22="","",sysAttendance!$J19&amp;" / PT "&amp;sysAttendance!$R19)</f>
        <v/>
      </c>
      <c r="I22" s="21">
        <f>IF($B22="","",Writing!$AT19&amp;" ("&amp;Writing!$AS19&amp;" overdue)")</f>
        <v/>
      </c>
      <c r="J22" s="21">
        <f>IF($B22="","",sysFlags!$T19)</f>
        <v/>
      </c>
    </row>
    <row r="23">
      <c r="B23" s="21">
        <f>IF(IF(OR(Cadets!$B20="",Cadets!$I20&lt;&gt;"Active"),FALSE,OR(cfgPreviewAgency=cfgHomeAgency,Cadets!$G20=cfgPreviewAgency)),Cadets!$F20,"")</f>
        <v/>
      </c>
      <c r="C23" s="21">
        <f>IF($B23="","",IF(COUNTIFS(nrES_PID,Cadets!$B20,nrES_Seq,cfgCurrentExamNum,nrES_Final,"Yes",nrES_Rec,"&gt;=0")=0,"",SUMIFS(nrES_Rec,nrES_PID,Cadets!$B20,nrES_Seq,cfgCurrentExamNum,nrES_Final,"Yes")))</f>
        <v/>
      </c>
      <c r="D23" s="21">
        <f>IF($B23="","",IFERROR(ROUND(AVERAGEIFS(nrES_Rec,nrES_Seq,cfgCurrentExamNum,nrES_Final,"Yes",nrES_Rec,"&gt;=0",nrES_Rec,"&lt;=100"),1),""))</f>
        <v/>
      </c>
      <c r="E23" s="21">
        <f>IF($B23="","",IF(COUNTIFS(nrES_PID,Cadets!$B20,nrES_Seq,cfgCurrentExamNum,nrES_Att,2,nrES_Raw,"&gt;=0",nrES_AttPass,"Yes")&gt;0,"RETEST (cap 70)",IF(COUNTIFS(nrES_PID,Cadets!$B20,nrES_Seq,cfgCurrentExamNum,nrES_Att,2,nrES_Raw,"&gt;=0",nrES_AttPass,"No")&gt;0,"RETEST FAILED (first-attempt score shown)","")))</f>
        <v/>
      </c>
      <c r="F23" s="21">
        <f>IF($B23="","",IF(OR(cfgCurrentSpellingNum&lt;cfgCurrentExamNum,cfgCurrentSpellingNum&lt;=0,cfgCurrentSpellingNum&gt;12),"(omitted)",_xlfn.LET(_xlpm.sc,IF(INDEX(Spelling!$D20:$O20,cfgCurrentSpellingNum)="","",INDEX(Spelling!$D20:$O20,cfgCurrentSpellingNum)),_xlpm.av,Spelling!$P20,IF(AND(ISNUMBER(_xlpm.av),_xlpm.av&lt;cfgSpellInterventionAvg),_xlpm.sc&amp;" (avg "&amp;_xlpm.av&amp;")",_xlpm.sc))))</f>
        <v/>
      </c>
      <c r="G23" s="21">
        <f>IF($B23="","",IF(OR(cfgCurrentSpellingNum&lt;cfgCurrentExamNum,cfgCurrentSpellingNum&lt;=0,cfgCurrentSpellingNum&gt;12),"",IF(Spelling!$R20="INTERVENTION","BELOW "&amp;cfgSpellInterventionAvg&amp;" — intervention","")))</f>
        <v/>
      </c>
      <c r="H23" s="21">
        <f>IF($B23="","",sysAttendance!$J20&amp;" / PT "&amp;sysAttendance!$R20)</f>
        <v/>
      </c>
      <c r="I23" s="21">
        <f>IF($B23="","",Writing!$AT20&amp;" ("&amp;Writing!$AS20&amp;" overdue)")</f>
        <v/>
      </c>
      <c r="J23" s="21">
        <f>IF($B23="","",sysFlags!$T20)</f>
        <v/>
      </c>
    </row>
    <row r="24">
      <c r="B24" s="21">
        <f>IF(IF(OR(Cadets!$B21="",Cadets!$I21&lt;&gt;"Active"),FALSE,OR(cfgPreviewAgency=cfgHomeAgency,Cadets!$G21=cfgPreviewAgency)),Cadets!$F21,"")</f>
        <v/>
      </c>
      <c r="C24" s="21">
        <f>IF($B24="","",IF(COUNTIFS(nrES_PID,Cadets!$B21,nrES_Seq,cfgCurrentExamNum,nrES_Final,"Yes",nrES_Rec,"&gt;=0")=0,"",SUMIFS(nrES_Rec,nrES_PID,Cadets!$B21,nrES_Seq,cfgCurrentExamNum,nrES_Final,"Yes")))</f>
        <v/>
      </c>
      <c r="D24" s="21">
        <f>IF($B24="","",IFERROR(ROUND(AVERAGEIFS(nrES_Rec,nrES_Seq,cfgCurrentExamNum,nrES_Final,"Yes",nrES_Rec,"&gt;=0",nrES_Rec,"&lt;=100"),1),""))</f>
        <v/>
      </c>
      <c r="E24" s="21">
        <f>IF($B24="","",IF(COUNTIFS(nrES_PID,Cadets!$B21,nrES_Seq,cfgCurrentExamNum,nrES_Att,2,nrES_Raw,"&gt;=0",nrES_AttPass,"Yes")&gt;0,"RETEST (cap 70)",IF(COUNTIFS(nrES_PID,Cadets!$B21,nrES_Seq,cfgCurrentExamNum,nrES_Att,2,nrES_Raw,"&gt;=0",nrES_AttPass,"No")&gt;0,"RETEST FAILED (first-attempt score shown)","")))</f>
        <v/>
      </c>
      <c r="F24" s="21">
        <f>IF($B24="","",IF(OR(cfgCurrentSpellingNum&lt;cfgCurrentExamNum,cfgCurrentSpellingNum&lt;=0,cfgCurrentSpellingNum&gt;12),"(omitted)",_xlfn.LET(_xlpm.sc,IF(INDEX(Spelling!$D21:$O21,cfgCurrentSpellingNum)="","",INDEX(Spelling!$D21:$O21,cfgCurrentSpellingNum)),_xlpm.av,Spelling!$P21,IF(AND(ISNUMBER(_xlpm.av),_xlpm.av&lt;cfgSpellInterventionAvg),_xlpm.sc&amp;" (avg "&amp;_xlpm.av&amp;")",_xlpm.sc))))</f>
        <v/>
      </c>
      <c r="G24" s="21">
        <f>IF($B24="","",IF(OR(cfgCurrentSpellingNum&lt;cfgCurrentExamNum,cfgCurrentSpellingNum&lt;=0,cfgCurrentSpellingNum&gt;12),"",IF(Spelling!$R21="INTERVENTION","BELOW "&amp;cfgSpellInterventionAvg&amp;" — intervention","")))</f>
        <v/>
      </c>
      <c r="H24" s="21">
        <f>IF($B24="","",sysAttendance!$J21&amp;" / PT "&amp;sysAttendance!$R21)</f>
        <v/>
      </c>
      <c r="I24" s="21">
        <f>IF($B24="","",Writing!$AT21&amp;" ("&amp;Writing!$AS21&amp;" overdue)")</f>
        <v/>
      </c>
      <c r="J24" s="21">
        <f>IF($B24="","",sysFlags!$T21)</f>
        <v/>
      </c>
    </row>
    <row r="25">
      <c r="B25" s="21">
        <f>IF(IF(OR(Cadets!$B22="",Cadets!$I22&lt;&gt;"Active"),FALSE,OR(cfgPreviewAgency=cfgHomeAgency,Cadets!$G22=cfgPreviewAgency)),Cadets!$F22,"")</f>
        <v/>
      </c>
      <c r="C25" s="21">
        <f>IF($B25="","",IF(COUNTIFS(nrES_PID,Cadets!$B22,nrES_Seq,cfgCurrentExamNum,nrES_Final,"Yes",nrES_Rec,"&gt;=0")=0,"",SUMIFS(nrES_Rec,nrES_PID,Cadets!$B22,nrES_Seq,cfgCurrentExamNum,nrES_Final,"Yes")))</f>
        <v/>
      </c>
      <c r="D25" s="21">
        <f>IF($B25="","",IFERROR(ROUND(AVERAGEIFS(nrES_Rec,nrES_Seq,cfgCurrentExamNum,nrES_Final,"Yes",nrES_Rec,"&gt;=0",nrES_Rec,"&lt;=100"),1),""))</f>
        <v/>
      </c>
      <c r="E25" s="21">
        <f>IF($B25="","",IF(COUNTIFS(nrES_PID,Cadets!$B22,nrES_Seq,cfgCurrentExamNum,nrES_Att,2,nrES_Raw,"&gt;=0",nrES_AttPass,"Yes")&gt;0,"RETEST (cap 70)",IF(COUNTIFS(nrES_PID,Cadets!$B22,nrES_Seq,cfgCurrentExamNum,nrES_Att,2,nrES_Raw,"&gt;=0",nrES_AttPass,"No")&gt;0,"RETEST FAILED (first-attempt score shown)","")))</f>
        <v/>
      </c>
      <c r="F25" s="21">
        <f>IF($B25="","",IF(OR(cfgCurrentSpellingNum&lt;cfgCurrentExamNum,cfgCurrentSpellingNum&lt;=0,cfgCurrentSpellingNum&gt;12),"(omitted)",_xlfn.LET(_xlpm.sc,IF(INDEX(Spelling!$D22:$O22,cfgCurrentSpellingNum)="","",INDEX(Spelling!$D22:$O22,cfgCurrentSpellingNum)),_xlpm.av,Spelling!$P22,IF(AND(ISNUMBER(_xlpm.av),_xlpm.av&lt;cfgSpellInterventionAvg),_xlpm.sc&amp;" (avg "&amp;_xlpm.av&amp;")",_xlpm.sc))))</f>
        <v/>
      </c>
      <c r="G25" s="21">
        <f>IF($B25="","",IF(OR(cfgCurrentSpellingNum&lt;cfgCurrentExamNum,cfgCurrentSpellingNum&lt;=0,cfgCurrentSpellingNum&gt;12),"",IF(Spelling!$R22="INTERVENTION","BELOW "&amp;cfgSpellInterventionAvg&amp;" — intervention","")))</f>
        <v/>
      </c>
      <c r="H25" s="21">
        <f>IF($B25="","",sysAttendance!$J22&amp;" / PT "&amp;sysAttendance!$R22)</f>
        <v/>
      </c>
      <c r="I25" s="21">
        <f>IF($B25="","",Writing!$AT22&amp;" ("&amp;Writing!$AS22&amp;" overdue)")</f>
        <v/>
      </c>
      <c r="J25" s="21">
        <f>IF($B25="","",sysFlags!$T22)</f>
        <v/>
      </c>
    </row>
    <row r="26">
      <c r="B26" s="21">
        <f>IF(IF(OR(Cadets!$B23="",Cadets!$I23&lt;&gt;"Active"),FALSE,OR(cfgPreviewAgency=cfgHomeAgency,Cadets!$G23=cfgPreviewAgency)),Cadets!$F23,"")</f>
        <v/>
      </c>
      <c r="C26" s="21">
        <f>IF($B26="","",IF(COUNTIFS(nrES_PID,Cadets!$B23,nrES_Seq,cfgCurrentExamNum,nrES_Final,"Yes",nrES_Rec,"&gt;=0")=0,"",SUMIFS(nrES_Rec,nrES_PID,Cadets!$B23,nrES_Seq,cfgCurrentExamNum,nrES_Final,"Yes")))</f>
        <v/>
      </c>
      <c r="D26" s="21">
        <f>IF($B26="","",IFERROR(ROUND(AVERAGEIFS(nrES_Rec,nrES_Seq,cfgCurrentExamNum,nrES_Final,"Yes",nrES_Rec,"&gt;=0",nrES_Rec,"&lt;=100"),1),""))</f>
        <v/>
      </c>
      <c r="E26" s="21">
        <f>IF($B26="","",IF(COUNTIFS(nrES_PID,Cadets!$B23,nrES_Seq,cfgCurrentExamNum,nrES_Att,2,nrES_Raw,"&gt;=0",nrES_AttPass,"Yes")&gt;0,"RETEST (cap 70)",IF(COUNTIFS(nrES_PID,Cadets!$B23,nrES_Seq,cfgCurrentExamNum,nrES_Att,2,nrES_Raw,"&gt;=0",nrES_AttPass,"No")&gt;0,"RETEST FAILED (first-attempt score shown)","")))</f>
        <v/>
      </c>
      <c r="F26" s="21">
        <f>IF($B26="","",IF(OR(cfgCurrentSpellingNum&lt;cfgCurrentExamNum,cfgCurrentSpellingNum&lt;=0,cfgCurrentSpellingNum&gt;12),"(omitted)",_xlfn.LET(_xlpm.sc,IF(INDEX(Spelling!$D23:$O23,cfgCurrentSpellingNum)="","",INDEX(Spelling!$D23:$O23,cfgCurrentSpellingNum)),_xlpm.av,Spelling!$P23,IF(AND(ISNUMBER(_xlpm.av),_xlpm.av&lt;cfgSpellInterventionAvg),_xlpm.sc&amp;" (avg "&amp;_xlpm.av&amp;")",_xlpm.sc))))</f>
        <v/>
      </c>
      <c r="G26" s="21">
        <f>IF($B26="","",IF(OR(cfgCurrentSpellingNum&lt;cfgCurrentExamNum,cfgCurrentSpellingNum&lt;=0,cfgCurrentSpellingNum&gt;12),"",IF(Spelling!$R23="INTERVENTION","BELOW "&amp;cfgSpellInterventionAvg&amp;" — intervention","")))</f>
        <v/>
      </c>
      <c r="H26" s="21">
        <f>IF($B26="","",sysAttendance!$J23&amp;" / PT "&amp;sysAttendance!$R23)</f>
        <v/>
      </c>
      <c r="I26" s="21">
        <f>IF($B26="","",Writing!$AT23&amp;" ("&amp;Writing!$AS23&amp;" overdue)")</f>
        <v/>
      </c>
      <c r="J26" s="21">
        <f>IF($B26="","",sysFlags!$T23)</f>
        <v/>
      </c>
    </row>
    <row r="27">
      <c r="B27" s="21">
        <f>IF(IF(OR(Cadets!$B24="",Cadets!$I24&lt;&gt;"Active"),FALSE,OR(cfgPreviewAgency=cfgHomeAgency,Cadets!$G24=cfgPreviewAgency)),Cadets!$F24,"")</f>
        <v/>
      </c>
      <c r="C27" s="21">
        <f>IF($B27="","",IF(COUNTIFS(nrES_PID,Cadets!$B24,nrES_Seq,cfgCurrentExamNum,nrES_Final,"Yes",nrES_Rec,"&gt;=0")=0,"",SUMIFS(nrES_Rec,nrES_PID,Cadets!$B24,nrES_Seq,cfgCurrentExamNum,nrES_Final,"Yes")))</f>
        <v/>
      </c>
      <c r="D27" s="21">
        <f>IF($B27="","",IFERROR(ROUND(AVERAGEIFS(nrES_Rec,nrES_Seq,cfgCurrentExamNum,nrES_Final,"Yes",nrES_Rec,"&gt;=0",nrES_Rec,"&lt;=100"),1),""))</f>
        <v/>
      </c>
      <c r="E27" s="21">
        <f>IF($B27="","",IF(COUNTIFS(nrES_PID,Cadets!$B24,nrES_Seq,cfgCurrentExamNum,nrES_Att,2,nrES_Raw,"&gt;=0",nrES_AttPass,"Yes")&gt;0,"RETEST (cap 70)",IF(COUNTIFS(nrES_PID,Cadets!$B24,nrES_Seq,cfgCurrentExamNum,nrES_Att,2,nrES_Raw,"&gt;=0",nrES_AttPass,"No")&gt;0,"RETEST FAILED (first-attempt score shown)","")))</f>
        <v/>
      </c>
      <c r="F27" s="21">
        <f>IF($B27="","",IF(OR(cfgCurrentSpellingNum&lt;cfgCurrentExamNum,cfgCurrentSpellingNum&lt;=0,cfgCurrentSpellingNum&gt;12),"(omitted)",_xlfn.LET(_xlpm.sc,IF(INDEX(Spelling!$D24:$O24,cfgCurrentSpellingNum)="","",INDEX(Spelling!$D24:$O24,cfgCurrentSpellingNum)),_xlpm.av,Spelling!$P24,IF(AND(ISNUMBER(_xlpm.av),_xlpm.av&lt;cfgSpellInterventionAvg),_xlpm.sc&amp;" (avg "&amp;_xlpm.av&amp;")",_xlpm.sc))))</f>
        <v/>
      </c>
      <c r="G27" s="21">
        <f>IF($B27="","",IF(OR(cfgCurrentSpellingNum&lt;cfgCurrentExamNum,cfgCurrentSpellingNum&lt;=0,cfgCurrentSpellingNum&gt;12),"",IF(Spelling!$R24="INTERVENTION","BELOW "&amp;cfgSpellInterventionAvg&amp;" — intervention","")))</f>
        <v/>
      </c>
      <c r="H27" s="21">
        <f>IF($B27="","",sysAttendance!$J24&amp;" / PT "&amp;sysAttendance!$R24)</f>
        <v/>
      </c>
      <c r="I27" s="21">
        <f>IF($B27="","",Writing!$AT24&amp;" ("&amp;Writing!$AS24&amp;" overdue)")</f>
        <v/>
      </c>
      <c r="J27" s="21">
        <f>IF($B27="","",sysFlags!$T24)</f>
        <v/>
      </c>
    </row>
    <row r="28">
      <c r="B28" s="21">
        <f>IF(IF(OR(Cadets!$B25="",Cadets!$I25&lt;&gt;"Active"),FALSE,OR(cfgPreviewAgency=cfgHomeAgency,Cadets!$G25=cfgPreviewAgency)),Cadets!$F25,"")</f>
        <v/>
      </c>
      <c r="C28" s="21">
        <f>IF($B28="","",IF(COUNTIFS(nrES_PID,Cadets!$B25,nrES_Seq,cfgCurrentExamNum,nrES_Final,"Yes",nrES_Rec,"&gt;=0")=0,"",SUMIFS(nrES_Rec,nrES_PID,Cadets!$B25,nrES_Seq,cfgCurrentExamNum,nrES_Final,"Yes")))</f>
        <v/>
      </c>
      <c r="D28" s="21">
        <f>IF($B28="","",IFERROR(ROUND(AVERAGEIFS(nrES_Rec,nrES_Seq,cfgCurrentExamNum,nrES_Final,"Yes",nrES_Rec,"&gt;=0",nrES_Rec,"&lt;=100"),1),""))</f>
        <v/>
      </c>
      <c r="E28" s="21">
        <f>IF($B28="","",IF(COUNTIFS(nrES_PID,Cadets!$B25,nrES_Seq,cfgCurrentExamNum,nrES_Att,2,nrES_Raw,"&gt;=0",nrES_AttPass,"Yes")&gt;0,"RETEST (cap 70)",IF(COUNTIFS(nrES_PID,Cadets!$B25,nrES_Seq,cfgCurrentExamNum,nrES_Att,2,nrES_Raw,"&gt;=0",nrES_AttPass,"No")&gt;0,"RETEST FAILED (first-attempt score shown)","")))</f>
        <v/>
      </c>
      <c r="F28" s="21">
        <f>IF($B28="","",IF(OR(cfgCurrentSpellingNum&lt;cfgCurrentExamNum,cfgCurrentSpellingNum&lt;=0,cfgCurrentSpellingNum&gt;12),"(omitted)",_xlfn.LET(_xlpm.sc,IF(INDEX(Spelling!$D25:$O25,cfgCurrentSpellingNum)="","",INDEX(Spelling!$D25:$O25,cfgCurrentSpellingNum)),_xlpm.av,Spelling!$P25,IF(AND(ISNUMBER(_xlpm.av),_xlpm.av&lt;cfgSpellInterventionAvg),_xlpm.sc&amp;" (avg "&amp;_xlpm.av&amp;")",_xlpm.sc))))</f>
        <v/>
      </c>
      <c r="G28" s="21">
        <f>IF($B28="","",IF(OR(cfgCurrentSpellingNum&lt;cfgCurrentExamNum,cfgCurrentSpellingNum&lt;=0,cfgCurrentSpellingNum&gt;12),"",IF(Spelling!$R25="INTERVENTION","BELOW "&amp;cfgSpellInterventionAvg&amp;" — intervention","")))</f>
        <v/>
      </c>
      <c r="H28" s="21">
        <f>IF($B28="","",sysAttendance!$J25&amp;" / PT "&amp;sysAttendance!$R25)</f>
        <v/>
      </c>
      <c r="I28" s="21">
        <f>IF($B28="","",Writing!$AT25&amp;" ("&amp;Writing!$AS25&amp;" overdue)")</f>
        <v/>
      </c>
      <c r="J28" s="21">
        <f>IF($B28="","",sysFlags!$T25)</f>
        <v/>
      </c>
    </row>
    <row r="29">
      <c r="B29" s="21">
        <f>IF(IF(OR(Cadets!$B26="",Cadets!$I26&lt;&gt;"Active"),FALSE,OR(cfgPreviewAgency=cfgHomeAgency,Cadets!$G26=cfgPreviewAgency)),Cadets!$F26,"")</f>
        <v/>
      </c>
      <c r="C29" s="21">
        <f>IF($B29="","",IF(COUNTIFS(nrES_PID,Cadets!$B26,nrES_Seq,cfgCurrentExamNum,nrES_Final,"Yes",nrES_Rec,"&gt;=0")=0,"",SUMIFS(nrES_Rec,nrES_PID,Cadets!$B26,nrES_Seq,cfgCurrentExamNum,nrES_Final,"Yes")))</f>
        <v/>
      </c>
      <c r="D29" s="21">
        <f>IF($B29="","",IFERROR(ROUND(AVERAGEIFS(nrES_Rec,nrES_Seq,cfgCurrentExamNum,nrES_Final,"Yes",nrES_Rec,"&gt;=0",nrES_Rec,"&lt;=100"),1),""))</f>
        <v/>
      </c>
      <c r="E29" s="21">
        <f>IF($B29="","",IF(COUNTIFS(nrES_PID,Cadets!$B26,nrES_Seq,cfgCurrentExamNum,nrES_Att,2,nrES_Raw,"&gt;=0",nrES_AttPass,"Yes")&gt;0,"RETEST (cap 70)",IF(COUNTIFS(nrES_PID,Cadets!$B26,nrES_Seq,cfgCurrentExamNum,nrES_Att,2,nrES_Raw,"&gt;=0",nrES_AttPass,"No")&gt;0,"RETEST FAILED (first-attempt score shown)","")))</f>
        <v/>
      </c>
      <c r="F29" s="21">
        <f>IF($B29="","",IF(OR(cfgCurrentSpellingNum&lt;cfgCurrentExamNum,cfgCurrentSpellingNum&lt;=0,cfgCurrentSpellingNum&gt;12),"(omitted)",_xlfn.LET(_xlpm.sc,IF(INDEX(Spelling!$D26:$O26,cfgCurrentSpellingNum)="","",INDEX(Spelling!$D26:$O26,cfgCurrentSpellingNum)),_xlpm.av,Spelling!$P26,IF(AND(ISNUMBER(_xlpm.av),_xlpm.av&lt;cfgSpellInterventionAvg),_xlpm.sc&amp;" (avg "&amp;_xlpm.av&amp;")",_xlpm.sc))))</f>
        <v/>
      </c>
      <c r="G29" s="21">
        <f>IF($B29="","",IF(OR(cfgCurrentSpellingNum&lt;cfgCurrentExamNum,cfgCurrentSpellingNum&lt;=0,cfgCurrentSpellingNum&gt;12),"",IF(Spelling!$R26="INTERVENTION","BELOW "&amp;cfgSpellInterventionAvg&amp;" — intervention","")))</f>
        <v/>
      </c>
      <c r="H29" s="21">
        <f>IF($B29="","",sysAttendance!$J26&amp;" / PT "&amp;sysAttendance!$R26)</f>
        <v/>
      </c>
      <c r="I29" s="21">
        <f>IF($B29="","",Writing!$AT26&amp;" ("&amp;Writing!$AS26&amp;" overdue)")</f>
        <v/>
      </c>
      <c r="J29" s="21">
        <f>IF($B29="","",sysFlags!$T26)</f>
        <v/>
      </c>
    </row>
    <row r="30">
      <c r="B30" s="21">
        <f>IF(IF(OR(Cadets!$B27="",Cadets!$I27&lt;&gt;"Active"),FALSE,OR(cfgPreviewAgency=cfgHomeAgency,Cadets!$G27=cfgPreviewAgency)),Cadets!$F27,"")</f>
        <v/>
      </c>
      <c r="C30" s="21">
        <f>IF($B30="","",IF(COUNTIFS(nrES_PID,Cadets!$B27,nrES_Seq,cfgCurrentExamNum,nrES_Final,"Yes",nrES_Rec,"&gt;=0")=0,"",SUMIFS(nrES_Rec,nrES_PID,Cadets!$B27,nrES_Seq,cfgCurrentExamNum,nrES_Final,"Yes")))</f>
        <v/>
      </c>
      <c r="D30" s="21">
        <f>IF($B30="","",IFERROR(ROUND(AVERAGEIFS(nrES_Rec,nrES_Seq,cfgCurrentExamNum,nrES_Final,"Yes",nrES_Rec,"&gt;=0",nrES_Rec,"&lt;=100"),1),""))</f>
        <v/>
      </c>
      <c r="E30" s="21">
        <f>IF($B30="","",IF(COUNTIFS(nrES_PID,Cadets!$B27,nrES_Seq,cfgCurrentExamNum,nrES_Att,2,nrES_Raw,"&gt;=0",nrES_AttPass,"Yes")&gt;0,"RETEST (cap 70)",IF(COUNTIFS(nrES_PID,Cadets!$B27,nrES_Seq,cfgCurrentExamNum,nrES_Att,2,nrES_Raw,"&gt;=0",nrES_AttPass,"No")&gt;0,"RETEST FAILED (first-attempt score shown)","")))</f>
        <v/>
      </c>
      <c r="F30" s="21">
        <f>IF($B30="","",IF(OR(cfgCurrentSpellingNum&lt;cfgCurrentExamNum,cfgCurrentSpellingNum&lt;=0,cfgCurrentSpellingNum&gt;12),"(omitted)",_xlfn.LET(_xlpm.sc,IF(INDEX(Spelling!$D27:$O27,cfgCurrentSpellingNum)="","",INDEX(Spelling!$D27:$O27,cfgCurrentSpellingNum)),_xlpm.av,Spelling!$P27,IF(AND(ISNUMBER(_xlpm.av),_xlpm.av&lt;cfgSpellInterventionAvg),_xlpm.sc&amp;" (avg "&amp;_xlpm.av&amp;")",_xlpm.sc))))</f>
        <v/>
      </c>
      <c r="G30" s="21">
        <f>IF($B30="","",IF(OR(cfgCurrentSpellingNum&lt;cfgCurrentExamNum,cfgCurrentSpellingNum&lt;=0,cfgCurrentSpellingNum&gt;12),"",IF(Spelling!$R27="INTERVENTION","BELOW "&amp;cfgSpellInterventionAvg&amp;" — intervention","")))</f>
        <v/>
      </c>
      <c r="H30" s="21">
        <f>IF($B30="","",sysAttendance!$J27&amp;" / PT "&amp;sysAttendance!$R27)</f>
        <v/>
      </c>
      <c r="I30" s="21">
        <f>IF($B30="","",Writing!$AT27&amp;" ("&amp;Writing!$AS27&amp;" overdue)")</f>
        <v/>
      </c>
      <c r="J30" s="21">
        <f>IF($B30="","",sysFlags!$T27)</f>
        <v/>
      </c>
    </row>
    <row r="31">
      <c r="B31" s="21">
        <f>IF(IF(OR(Cadets!$B28="",Cadets!$I28&lt;&gt;"Active"),FALSE,OR(cfgPreviewAgency=cfgHomeAgency,Cadets!$G28=cfgPreviewAgency)),Cadets!$F28,"")</f>
        <v/>
      </c>
      <c r="C31" s="21">
        <f>IF($B31="","",IF(COUNTIFS(nrES_PID,Cadets!$B28,nrES_Seq,cfgCurrentExamNum,nrES_Final,"Yes",nrES_Rec,"&gt;=0")=0,"",SUMIFS(nrES_Rec,nrES_PID,Cadets!$B28,nrES_Seq,cfgCurrentExamNum,nrES_Final,"Yes")))</f>
        <v/>
      </c>
      <c r="D31" s="21">
        <f>IF($B31="","",IFERROR(ROUND(AVERAGEIFS(nrES_Rec,nrES_Seq,cfgCurrentExamNum,nrES_Final,"Yes",nrES_Rec,"&gt;=0",nrES_Rec,"&lt;=100"),1),""))</f>
        <v/>
      </c>
      <c r="E31" s="21">
        <f>IF($B31="","",IF(COUNTIFS(nrES_PID,Cadets!$B28,nrES_Seq,cfgCurrentExamNum,nrES_Att,2,nrES_Raw,"&gt;=0",nrES_AttPass,"Yes")&gt;0,"RETEST (cap 70)",IF(COUNTIFS(nrES_PID,Cadets!$B28,nrES_Seq,cfgCurrentExamNum,nrES_Att,2,nrES_Raw,"&gt;=0",nrES_AttPass,"No")&gt;0,"RETEST FAILED (first-attempt score shown)","")))</f>
        <v/>
      </c>
      <c r="F31" s="21">
        <f>IF($B31="","",IF(OR(cfgCurrentSpellingNum&lt;cfgCurrentExamNum,cfgCurrentSpellingNum&lt;=0,cfgCurrentSpellingNum&gt;12),"(omitted)",_xlfn.LET(_xlpm.sc,IF(INDEX(Spelling!$D28:$O28,cfgCurrentSpellingNum)="","",INDEX(Spelling!$D28:$O28,cfgCurrentSpellingNum)),_xlpm.av,Spelling!$P28,IF(AND(ISNUMBER(_xlpm.av),_xlpm.av&lt;cfgSpellInterventionAvg),_xlpm.sc&amp;" (avg "&amp;_xlpm.av&amp;")",_xlpm.sc))))</f>
        <v/>
      </c>
      <c r="G31" s="21">
        <f>IF($B31="","",IF(OR(cfgCurrentSpellingNum&lt;cfgCurrentExamNum,cfgCurrentSpellingNum&lt;=0,cfgCurrentSpellingNum&gt;12),"",IF(Spelling!$R28="INTERVENTION","BELOW "&amp;cfgSpellInterventionAvg&amp;" — intervention","")))</f>
        <v/>
      </c>
      <c r="H31" s="21">
        <f>IF($B31="","",sysAttendance!$J28&amp;" / PT "&amp;sysAttendance!$R28)</f>
        <v/>
      </c>
      <c r="I31" s="21">
        <f>IF($B31="","",Writing!$AT28&amp;" ("&amp;Writing!$AS28&amp;" overdue)")</f>
        <v/>
      </c>
      <c r="J31" s="21">
        <f>IF($B31="","",sysFlags!$T28)</f>
        <v/>
      </c>
    </row>
    <row r="32">
      <c r="B32" s="21">
        <f>IF(IF(OR(Cadets!$B29="",Cadets!$I29&lt;&gt;"Active"),FALSE,OR(cfgPreviewAgency=cfgHomeAgency,Cadets!$G29=cfgPreviewAgency)),Cadets!$F29,"")</f>
        <v/>
      </c>
      <c r="C32" s="21">
        <f>IF($B32="","",IF(COUNTIFS(nrES_PID,Cadets!$B29,nrES_Seq,cfgCurrentExamNum,nrES_Final,"Yes",nrES_Rec,"&gt;=0")=0,"",SUMIFS(nrES_Rec,nrES_PID,Cadets!$B29,nrES_Seq,cfgCurrentExamNum,nrES_Final,"Yes")))</f>
        <v/>
      </c>
      <c r="D32" s="21">
        <f>IF($B32="","",IFERROR(ROUND(AVERAGEIFS(nrES_Rec,nrES_Seq,cfgCurrentExamNum,nrES_Final,"Yes",nrES_Rec,"&gt;=0",nrES_Rec,"&lt;=100"),1),""))</f>
        <v/>
      </c>
      <c r="E32" s="21">
        <f>IF($B32="","",IF(COUNTIFS(nrES_PID,Cadets!$B29,nrES_Seq,cfgCurrentExamNum,nrES_Att,2,nrES_Raw,"&gt;=0",nrES_AttPass,"Yes")&gt;0,"RETEST (cap 70)",IF(COUNTIFS(nrES_PID,Cadets!$B29,nrES_Seq,cfgCurrentExamNum,nrES_Att,2,nrES_Raw,"&gt;=0",nrES_AttPass,"No")&gt;0,"RETEST FAILED (first-attempt score shown)","")))</f>
        <v/>
      </c>
      <c r="F32" s="21">
        <f>IF($B32="","",IF(OR(cfgCurrentSpellingNum&lt;cfgCurrentExamNum,cfgCurrentSpellingNum&lt;=0,cfgCurrentSpellingNum&gt;12),"(omitted)",_xlfn.LET(_xlpm.sc,IF(INDEX(Spelling!$D29:$O29,cfgCurrentSpellingNum)="","",INDEX(Spelling!$D29:$O29,cfgCurrentSpellingNum)),_xlpm.av,Spelling!$P29,IF(AND(ISNUMBER(_xlpm.av),_xlpm.av&lt;cfgSpellInterventionAvg),_xlpm.sc&amp;" (avg "&amp;_xlpm.av&amp;")",_xlpm.sc))))</f>
        <v/>
      </c>
      <c r="G32" s="21">
        <f>IF($B32="","",IF(OR(cfgCurrentSpellingNum&lt;cfgCurrentExamNum,cfgCurrentSpellingNum&lt;=0,cfgCurrentSpellingNum&gt;12),"",IF(Spelling!$R29="INTERVENTION","BELOW "&amp;cfgSpellInterventionAvg&amp;" — intervention","")))</f>
        <v/>
      </c>
      <c r="H32" s="21">
        <f>IF($B32="","",sysAttendance!$J29&amp;" / PT "&amp;sysAttendance!$R29)</f>
        <v/>
      </c>
      <c r="I32" s="21">
        <f>IF($B32="","",Writing!$AT29&amp;" ("&amp;Writing!$AS29&amp;" overdue)")</f>
        <v/>
      </c>
      <c r="J32" s="21">
        <f>IF($B32="","",sysFlags!$T29)</f>
        <v/>
      </c>
    </row>
    <row r="33">
      <c r="B33" s="21">
        <f>IF(IF(OR(Cadets!$B30="",Cadets!$I30&lt;&gt;"Active"),FALSE,OR(cfgPreviewAgency=cfgHomeAgency,Cadets!$G30=cfgPreviewAgency)),Cadets!$F30,"")</f>
        <v/>
      </c>
      <c r="C33" s="21">
        <f>IF($B33="","",IF(COUNTIFS(nrES_PID,Cadets!$B30,nrES_Seq,cfgCurrentExamNum,nrES_Final,"Yes",nrES_Rec,"&gt;=0")=0,"",SUMIFS(nrES_Rec,nrES_PID,Cadets!$B30,nrES_Seq,cfgCurrentExamNum,nrES_Final,"Yes")))</f>
        <v/>
      </c>
      <c r="D33" s="21">
        <f>IF($B33="","",IFERROR(ROUND(AVERAGEIFS(nrES_Rec,nrES_Seq,cfgCurrentExamNum,nrES_Final,"Yes",nrES_Rec,"&gt;=0",nrES_Rec,"&lt;=100"),1),""))</f>
        <v/>
      </c>
      <c r="E33" s="21">
        <f>IF($B33="","",IF(COUNTIFS(nrES_PID,Cadets!$B30,nrES_Seq,cfgCurrentExamNum,nrES_Att,2,nrES_Raw,"&gt;=0",nrES_AttPass,"Yes")&gt;0,"RETEST (cap 70)",IF(COUNTIFS(nrES_PID,Cadets!$B30,nrES_Seq,cfgCurrentExamNum,nrES_Att,2,nrES_Raw,"&gt;=0",nrES_AttPass,"No")&gt;0,"RETEST FAILED (first-attempt score shown)","")))</f>
        <v/>
      </c>
      <c r="F33" s="21">
        <f>IF($B33="","",IF(OR(cfgCurrentSpellingNum&lt;cfgCurrentExamNum,cfgCurrentSpellingNum&lt;=0,cfgCurrentSpellingNum&gt;12),"(omitted)",_xlfn.LET(_xlpm.sc,IF(INDEX(Spelling!$D30:$O30,cfgCurrentSpellingNum)="","",INDEX(Spelling!$D30:$O30,cfgCurrentSpellingNum)),_xlpm.av,Spelling!$P30,IF(AND(ISNUMBER(_xlpm.av),_xlpm.av&lt;cfgSpellInterventionAvg),_xlpm.sc&amp;" (avg "&amp;_xlpm.av&amp;")",_xlpm.sc))))</f>
        <v/>
      </c>
      <c r="G33" s="21">
        <f>IF($B33="","",IF(OR(cfgCurrentSpellingNum&lt;cfgCurrentExamNum,cfgCurrentSpellingNum&lt;=0,cfgCurrentSpellingNum&gt;12),"",IF(Spelling!$R30="INTERVENTION","BELOW "&amp;cfgSpellInterventionAvg&amp;" — intervention","")))</f>
        <v/>
      </c>
      <c r="H33" s="21">
        <f>IF($B33="","",sysAttendance!$J30&amp;" / PT "&amp;sysAttendance!$R30)</f>
        <v/>
      </c>
      <c r="I33" s="21">
        <f>IF($B33="","",Writing!$AT30&amp;" ("&amp;Writing!$AS30&amp;" overdue)")</f>
        <v/>
      </c>
      <c r="J33" s="21">
        <f>IF($B33="","",sysFlags!$T30)</f>
        <v/>
      </c>
    </row>
    <row r="34">
      <c r="B34" s="21">
        <f>IF(IF(OR(Cadets!$B31="",Cadets!$I31&lt;&gt;"Active"),FALSE,OR(cfgPreviewAgency=cfgHomeAgency,Cadets!$G31=cfgPreviewAgency)),Cadets!$F31,"")</f>
        <v/>
      </c>
      <c r="C34" s="21">
        <f>IF($B34="","",IF(COUNTIFS(nrES_PID,Cadets!$B31,nrES_Seq,cfgCurrentExamNum,nrES_Final,"Yes",nrES_Rec,"&gt;=0")=0,"",SUMIFS(nrES_Rec,nrES_PID,Cadets!$B31,nrES_Seq,cfgCurrentExamNum,nrES_Final,"Yes")))</f>
        <v/>
      </c>
      <c r="D34" s="21">
        <f>IF($B34="","",IFERROR(ROUND(AVERAGEIFS(nrES_Rec,nrES_Seq,cfgCurrentExamNum,nrES_Final,"Yes",nrES_Rec,"&gt;=0",nrES_Rec,"&lt;=100"),1),""))</f>
        <v/>
      </c>
      <c r="E34" s="21">
        <f>IF($B34="","",IF(COUNTIFS(nrES_PID,Cadets!$B31,nrES_Seq,cfgCurrentExamNum,nrES_Att,2,nrES_Raw,"&gt;=0",nrES_AttPass,"Yes")&gt;0,"RETEST (cap 70)",IF(COUNTIFS(nrES_PID,Cadets!$B31,nrES_Seq,cfgCurrentExamNum,nrES_Att,2,nrES_Raw,"&gt;=0",nrES_AttPass,"No")&gt;0,"RETEST FAILED (first-attempt score shown)","")))</f>
        <v/>
      </c>
      <c r="F34" s="21">
        <f>IF($B34="","",IF(OR(cfgCurrentSpellingNum&lt;cfgCurrentExamNum,cfgCurrentSpellingNum&lt;=0,cfgCurrentSpellingNum&gt;12),"(omitted)",_xlfn.LET(_xlpm.sc,IF(INDEX(Spelling!$D31:$O31,cfgCurrentSpellingNum)="","",INDEX(Spelling!$D31:$O31,cfgCurrentSpellingNum)),_xlpm.av,Spelling!$P31,IF(AND(ISNUMBER(_xlpm.av),_xlpm.av&lt;cfgSpellInterventionAvg),_xlpm.sc&amp;" (avg "&amp;_xlpm.av&amp;")",_xlpm.sc))))</f>
        <v/>
      </c>
      <c r="G34" s="21">
        <f>IF($B34="","",IF(OR(cfgCurrentSpellingNum&lt;cfgCurrentExamNum,cfgCurrentSpellingNum&lt;=0,cfgCurrentSpellingNum&gt;12),"",IF(Spelling!$R31="INTERVENTION","BELOW "&amp;cfgSpellInterventionAvg&amp;" — intervention","")))</f>
        <v/>
      </c>
      <c r="H34" s="21">
        <f>IF($B34="","",sysAttendance!$J31&amp;" / PT "&amp;sysAttendance!$R31)</f>
        <v/>
      </c>
      <c r="I34" s="21">
        <f>IF($B34="","",Writing!$AT31&amp;" ("&amp;Writing!$AS31&amp;" overdue)")</f>
        <v/>
      </c>
      <c r="J34" s="21">
        <f>IF($B34="","",sysFlags!$T31)</f>
        <v/>
      </c>
    </row>
    <row r="35">
      <c r="B35" s="21">
        <f>IF(IF(OR(Cadets!$B32="",Cadets!$I32&lt;&gt;"Active"),FALSE,OR(cfgPreviewAgency=cfgHomeAgency,Cadets!$G32=cfgPreviewAgency)),Cadets!$F32,"")</f>
        <v/>
      </c>
      <c r="C35" s="21">
        <f>IF($B35="","",IF(COUNTIFS(nrES_PID,Cadets!$B32,nrES_Seq,cfgCurrentExamNum,nrES_Final,"Yes",nrES_Rec,"&gt;=0")=0,"",SUMIFS(nrES_Rec,nrES_PID,Cadets!$B32,nrES_Seq,cfgCurrentExamNum,nrES_Final,"Yes")))</f>
        <v/>
      </c>
      <c r="D35" s="21">
        <f>IF($B35="","",IFERROR(ROUND(AVERAGEIFS(nrES_Rec,nrES_Seq,cfgCurrentExamNum,nrES_Final,"Yes",nrES_Rec,"&gt;=0",nrES_Rec,"&lt;=100"),1),""))</f>
        <v/>
      </c>
      <c r="E35" s="21">
        <f>IF($B35="","",IF(COUNTIFS(nrES_PID,Cadets!$B32,nrES_Seq,cfgCurrentExamNum,nrES_Att,2,nrES_Raw,"&gt;=0",nrES_AttPass,"Yes")&gt;0,"RETEST (cap 70)",IF(COUNTIFS(nrES_PID,Cadets!$B32,nrES_Seq,cfgCurrentExamNum,nrES_Att,2,nrES_Raw,"&gt;=0",nrES_AttPass,"No")&gt;0,"RETEST FAILED (first-attempt score shown)","")))</f>
        <v/>
      </c>
      <c r="F35" s="21">
        <f>IF($B35="","",IF(OR(cfgCurrentSpellingNum&lt;cfgCurrentExamNum,cfgCurrentSpellingNum&lt;=0,cfgCurrentSpellingNum&gt;12),"(omitted)",_xlfn.LET(_xlpm.sc,IF(INDEX(Spelling!$D32:$O32,cfgCurrentSpellingNum)="","",INDEX(Spelling!$D32:$O32,cfgCurrentSpellingNum)),_xlpm.av,Spelling!$P32,IF(AND(ISNUMBER(_xlpm.av),_xlpm.av&lt;cfgSpellInterventionAvg),_xlpm.sc&amp;" (avg "&amp;_xlpm.av&amp;")",_xlpm.sc))))</f>
        <v/>
      </c>
      <c r="G35" s="21">
        <f>IF($B35="","",IF(OR(cfgCurrentSpellingNum&lt;cfgCurrentExamNum,cfgCurrentSpellingNum&lt;=0,cfgCurrentSpellingNum&gt;12),"",IF(Spelling!$R32="INTERVENTION","BELOW "&amp;cfgSpellInterventionAvg&amp;" — intervention","")))</f>
        <v/>
      </c>
      <c r="H35" s="21">
        <f>IF($B35="","",sysAttendance!$J32&amp;" / PT "&amp;sysAttendance!$R32)</f>
        <v/>
      </c>
      <c r="I35" s="21">
        <f>IF($B35="","",Writing!$AT32&amp;" ("&amp;Writing!$AS32&amp;" overdue)")</f>
        <v/>
      </c>
      <c r="J35" s="21">
        <f>IF($B35="","",sysFlags!$T32)</f>
        <v/>
      </c>
    </row>
    <row r="36">
      <c r="B36" s="21">
        <f>IF(IF(OR(Cadets!$B33="",Cadets!$I33&lt;&gt;"Active"),FALSE,OR(cfgPreviewAgency=cfgHomeAgency,Cadets!$G33=cfgPreviewAgency)),Cadets!$F33,"")</f>
        <v/>
      </c>
      <c r="C36" s="21">
        <f>IF($B36="","",IF(COUNTIFS(nrES_PID,Cadets!$B33,nrES_Seq,cfgCurrentExamNum,nrES_Final,"Yes",nrES_Rec,"&gt;=0")=0,"",SUMIFS(nrES_Rec,nrES_PID,Cadets!$B33,nrES_Seq,cfgCurrentExamNum,nrES_Final,"Yes")))</f>
        <v/>
      </c>
      <c r="D36" s="21">
        <f>IF($B36="","",IFERROR(ROUND(AVERAGEIFS(nrES_Rec,nrES_Seq,cfgCurrentExamNum,nrES_Final,"Yes",nrES_Rec,"&gt;=0",nrES_Rec,"&lt;=100"),1),""))</f>
        <v/>
      </c>
      <c r="E36" s="21">
        <f>IF($B36="","",IF(COUNTIFS(nrES_PID,Cadets!$B33,nrES_Seq,cfgCurrentExamNum,nrES_Att,2,nrES_Raw,"&gt;=0",nrES_AttPass,"Yes")&gt;0,"RETEST (cap 70)",IF(COUNTIFS(nrES_PID,Cadets!$B33,nrES_Seq,cfgCurrentExamNum,nrES_Att,2,nrES_Raw,"&gt;=0",nrES_AttPass,"No")&gt;0,"RETEST FAILED (first-attempt score shown)","")))</f>
        <v/>
      </c>
      <c r="F36" s="21">
        <f>IF($B36="","",IF(OR(cfgCurrentSpellingNum&lt;cfgCurrentExamNum,cfgCurrentSpellingNum&lt;=0,cfgCurrentSpellingNum&gt;12),"(omitted)",_xlfn.LET(_xlpm.sc,IF(INDEX(Spelling!$D33:$O33,cfgCurrentSpellingNum)="","",INDEX(Spelling!$D33:$O33,cfgCurrentSpellingNum)),_xlpm.av,Spelling!$P33,IF(AND(ISNUMBER(_xlpm.av),_xlpm.av&lt;cfgSpellInterventionAvg),_xlpm.sc&amp;" (avg "&amp;_xlpm.av&amp;")",_xlpm.sc))))</f>
        <v/>
      </c>
      <c r="G36" s="21">
        <f>IF($B36="","",IF(OR(cfgCurrentSpellingNum&lt;cfgCurrentExamNum,cfgCurrentSpellingNum&lt;=0,cfgCurrentSpellingNum&gt;12),"",IF(Spelling!$R33="INTERVENTION","BELOW "&amp;cfgSpellInterventionAvg&amp;" — intervention","")))</f>
        <v/>
      </c>
      <c r="H36" s="21">
        <f>IF($B36="","",sysAttendance!$J33&amp;" / PT "&amp;sysAttendance!$R33)</f>
        <v/>
      </c>
      <c r="I36" s="21">
        <f>IF($B36="","",Writing!$AT33&amp;" ("&amp;Writing!$AS33&amp;" overdue)")</f>
        <v/>
      </c>
      <c r="J36" s="21">
        <f>IF($B36="","",sysFlags!$T33)</f>
        <v/>
      </c>
    </row>
    <row r="37">
      <c r="B37" s="21">
        <f>IF(IF(OR(Cadets!$B34="",Cadets!$I34&lt;&gt;"Active"),FALSE,OR(cfgPreviewAgency=cfgHomeAgency,Cadets!$G34=cfgPreviewAgency)),Cadets!$F34,"")</f>
        <v/>
      </c>
      <c r="C37" s="21">
        <f>IF($B37="","",IF(COUNTIFS(nrES_PID,Cadets!$B34,nrES_Seq,cfgCurrentExamNum,nrES_Final,"Yes",nrES_Rec,"&gt;=0")=0,"",SUMIFS(nrES_Rec,nrES_PID,Cadets!$B34,nrES_Seq,cfgCurrentExamNum,nrES_Final,"Yes")))</f>
        <v/>
      </c>
      <c r="D37" s="21">
        <f>IF($B37="","",IFERROR(ROUND(AVERAGEIFS(nrES_Rec,nrES_Seq,cfgCurrentExamNum,nrES_Final,"Yes",nrES_Rec,"&gt;=0",nrES_Rec,"&lt;=100"),1),""))</f>
        <v/>
      </c>
      <c r="E37" s="21">
        <f>IF($B37="","",IF(COUNTIFS(nrES_PID,Cadets!$B34,nrES_Seq,cfgCurrentExamNum,nrES_Att,2,nrES_Raw,"&gt;=0",nrES_AttPass,"Yes")&gt;0,"RETEST (cap 70)",IF(COUNTIFS(nrES_PID,Cadets!$B34,nrES_Seq,cfgCurrentExamNum,nrES_Att,2,nrES_Raw,"&gt;=0",nrES_AttPass,"No")&gt;0,"RETEST FAILED (first-attempt score shown)","")))</f>
        <v/>
      </c>
      <c r="F37" s="21">
        <f>IF($B37="","",IF(OR(cfgCurrentSpellingNum&lt;cfgCurrentExamNum,cfgCurrentSpellingNum&lt;=0,cfgCurrentSpellingNum&gt;12),"(omitted)",_xlfn.LET(_xlpm.sc,IF(INDEX(Spelling!$D34:$O34,cfgCurrentSpellingNum)="","",INDEX(Spelling!$D34:$O34,cfgCurrentSpellingNum)),_xlpm.av,Spelling!$P34,IF(AND(ISNUMBER(_xlpm.av),_xlpm.av&lt;cfgSpellInterventionAvg),_xlpm.sc&amp;" (avg "&amp;_xlpm.av&amp;")",_xlpm.sc))))</f>
        <v/>
      </c>
      <c r="G37" s="21">
        <f>IF($B37="","",IF(OR(cfgCurrentSpellingNum&lt;cfgCurrentExamNum,cfgCurrentSpellingNum&lt;=0,cfgCurrentSpellingNum&gt;12),"",IF(Spelling!$R34="INTERVENTION","BELOW "&amp;cfgSpellInterventionAvg&amp;" — intervention","")))</f>
        <v/>
      </c>
      <c r="H37" s="21">
        <f>IF($B37="","",sysAttendance!$J34&amp;" / PT "&amp;sysAttendance!$R34)</f>
        <v/>
      </c>
      <c r="I37" s="21">
        <f>IF($B37="","",Writing!$AT34&amp;" ("&amp;Writing!$AS34&amp;" overdue)")</f>
        <v/>
      </c>
      <c r="J37" s="21">
        <f>IF($B37="","",sysFlags!$T34)</f>
        <v/>
      </c>
    </row>
    <row r="38">
      <c r="B38" s="21">
        <f>IF(IF(OR(Cadets!$B35="",Cadets!$I35&lt;&gt;"Active"),FALSE,OR(cfgPreviewAgency=cfgHomeAgency,Cadets!$G35=cfgPreviewAgency)),Cadets!$F35,"")</f>
        <v/>
      </c>
      <c r="C38" s="21">
        <f>IF($B38="","",IF(COUNTIFS(nrES_PID,Cadets!$B35,nrES_Seq,cfgCurrentExamNum,nrES_Final,"Yes",nrES_Rec,"&gt;=0")=0,"",SUMIFS(nrES_Rec,nrES_PID,Cadets!$B35,nrES_Seq,cfgCurrentExamNum,nrES_Final,"Yes")))</f>
        <v/>
      </c>
      <c r="D38" s="21">
        <f>IF($B38="","",IFERROR(ROUND(AVERAGEIFS(nrES_Rec,nrES_Seq,cfgCurrentExamNum,nrES_Final,"Yes",nrES_Rec,"&gt;=0",nrES_Rec,"&lt;=100"),1),""))</f>
        <v/>
      </c>
      <c r="E38" s="21">
        <f>IF($B38="","",IF(COUNTIFS(nrES_PID,Cadets!$B35,nrES_Seq,cfgCurrentExamNum,nrES_Att,2,nrES_Raw,"&gt;=0",nrES_AttPass,"Yes")&gt;0,"RETEST (cap 70)",IF(COUNTIFS(nrES_PID,Cadets!$B35,nrES_Seq,cfgCurrentExamNum,nrES_Att,2,nrES_Raw,"&gt;=0",nrES_AttPass,"No")&gt;0,"RETEST FAILED (first-attempt score shown)","")))</f>
        <v/>
      </c>
      <c r="F38" s="21">
        <f>IF($B38="","",IF(OR(cfgCurrentSpellingNum&lt;cfgCurrentExamNum,cfgCurrentSpellingNum&lt;=0,cfgCurrentSpellingNum&gt;12),"(omitted)",_xlfn.LET(_xlpm.sc,IF(INDEX(Spelling!$D35:$O35,cfgCurrentSpellingNum)="","",INDEX(Spelling!$D35:$O35,cfgCurrentSpellingNum)),_xlpm.av,Spelling!$P35,IF(AND(ISNUMBER(_xlpm.av),_xlpm.av&lt;cfgSpellInterventionAvg),_xlpm.sc&amp;" (avg "&amp;_xlpm.av&amp;")",_xlpm.sc))))</f>
        <v/>
      </c>
      <c r="G38" s="21">
        <f>IF($B38="","",IF(OR(cfgCurrentSpellingNum&lt;cfgCurrentExamNum,cfgCurrentSpellingNum&lt;=0,cfgCurrentSpellingNum&gt;12),"",IF(Spelling!$R35="INTERVENTION","BELOW "&amp;cfgSpellInterventionAvg&amp;" — intervention","")))</f>
        <v/>
      </c>
      <c r="H38" s="21">
        <f>IF($B38="","",sysAttendance!$J35&amp;" / PT "&amp;sysAttendance!$R35)</f>
        <v/>
      </c>
      <c r="I38" s="21">
        <f>IF($B38="","",Writing!$AT35&amp;" ("&amp;Writing!$AS35&amp;" overdue)")</f>
        <v/>
      </c>
      <c r="J38" s="21">
        <f>IF($B38="","",sysFlags!$T35)</f>
        <v/>
      </c>
    </row>
    <row r="39">
      <c r="B39" s="21">
        <f>IF(IF(OR(Cadets!$B36="",Cadets!$I36&lt;&gt;"Active"),FALSE,OR(cfgPreviewAgency=cfgHomeAgency,Cadets!$G36=cfgPreviewAgency)),Cadets!$F36,"")</f>
        <v/>
      </c>
      <c r="C39" s="21">
        <f>IF($B39="","",IF(COUNTIFS(nrES_PID,Cadets!$B36,nrES_Seq,cfgCurrentExamNum,nrES_Final,"Yes",nrES_Rec,"&gt;=0")=0,"",SUMIFS(nrES_Rec,nrES_PID,Cadets!$B36,nrES_Seq,cfgCurrentExamNum,nrES_Final,"Yes")))</f>
        <v/>
      </c>
      <c r="D39" s="21">
        <f>IF($B39="","",IFERROR(ROUND(AVERAGEIFS(nrES_Rec,nrES_Seq,cfgCurrentExamNum,nrES_Final,"Yes",nrES_Rec,"&gt;=0",nrES_Rec,"&lt;=100"),1),""))</f>
        <v/>
      </c>
      <c r="E39" s="21">
        <f>IF($B39="","",IF(COUNTIFS(nrES_PID,Cadets!$B36,nrES_Seq,cfgCurrentExamNum,nrES_Att,2,nrES_Raw,"&gt;=0",nrES_AttPass,"Yes")&gt;0,"RETEST (cap 70)",IF(COUNTIFS(nrES_PID,Cadets!$B36,nrES_Seq,cfgCurrentExamNum,nrES_Att,2,nrES_Raw,"&gt;=0",nrES_AttPass,"No")&gt;0,"RETEST FAILED (first-attempt score shown)","")))</f>
        <v/>
      </c>
      <c r="F39" s="21">
        <f>IF($B39="","",IF(OR(cfgCurrentSpellingNum&lt;cfgCurrentExamNum,cfgCurrentSpellingNum&lt;=0,cfgCurrentSpellingNum&gt;12),"(omitted)",_xlfn.LET(_xlpm.sc,IF(INDEX(Spelling!$D36:$O36,cfgCurrentSpellingNum)="","",INDEX(Spelling!$D36:$O36,cfgCurrentSpellingNum)),_xlpm.av,Spelling!$P36,IF(AND(ISNUMBER(_xlpm.av),_xlpm.av&lt;cfgSpellInterventionAvg),_xlpm.sc&amp;" (avg "&amp;_xlpm.av&amp;")",_xlpm.sc))))</f>
        <v/>
      </c>
      <c r="G39" s="21">
        <f>IF($B39="","",IF(OR(cfgCurrentSpellingNum&lt;cfgCurrentExamNum,cfgCurrentSpellingNum&lt;=0,cfgCurrentSpellingNum&gt;12),"",IF(Spelling!$R36="INTERVENTION","BELOW "&amp;cfgSpellInterventionAvg&amp;" — intervention","")))</f>
        <v/>
      </c>
      <c r="H39" s="21">
        <f>IF($B39="","",sysAttendance!$J36&amp;" / PT "&amp;sysAttendance!$R36)</f>
        <v/>
      </c>
      <c r="I39" s="21">
        <f>IF($B39="","",Writing!$AT36&amp;" ("&amp;Writing!$AS36&amp;" overdue)")</f>
        <v/>
      </c>
      <c r="J39" s="21">
        <f>IF($B39="","",sysFlags!$T36)</f>
        <v/>
      </c>
    </row>
    <row r="40">
      <c r="B40" s="21">
        <f>IF(IF(OR(Cadets!$B37="",Cadets!$I37&lt;&gt;"Active"),FALSE,OR(cfgPreviewAgency=cfgHomeAgency,Cadets!$G37=cfgPreviewAgency)),Cadets!$F37,"")</f>
        <v/>
      </c>
      <c r="C40" s="21">
        <f>IF($B40="","",IF(COUNTIFS(nrES_PID,Cadets!$B37,nrES_Seq,cfgCurrentExamNum,nrES_Final,"Yes",nrES_Rec,"&gt;=0")=0,"",SUMIFS(nrES_Rec,nrES_PID,Cadets!$B37,nrES_Seq,cfgCurrentExamNum,nrES_Final,"Yes")))</f>
        <v/>
      </c>
      <c r="D40" s="21">
        <f>IF($B40="","",IFERROR(ROUND(AVERAGEIFS(nrES_Rec,nrES_Seq,cfgCurrentExamNum,nrES_Final,"Yes",nrES_Rec,"&gt;=0",nrES_Rec,"&lt;=100"),1),""))</f>
        <v/>
      </c>
      <c r="E40" s="21">
        <f>IF($B40="","",IF(COUNTIFS(nrES_PID,Cadets!$B37,nrES_Seq,cfgCurrentExamNum,nrES_Att,2,nrES_Raw,"&gt;=0",nrES_AttPass,"Yes")&gt;0,"RETEST (cap 70)",IF(COUNTIFS(nrES_PID,Cadets!$B37,nrES_Seq,cfgCurrentExamNum,nrES_Att,2,nrES_Raw,"&gt;=0",nrES_AttPass,"No")&gt;0,"RETEST FAILED (first-attempt score shown)","")))</f>
        <v/>
      </c>
      <c r="F40" s="21">
        <f>IF($B40="","",IF(OR(cfgCurrentSpellingNum&lt;cfgCurrentExamNum,cfgCurrentSpellingNum&lt;=0,cfgCurrentSpellingNum&gt;12),"(omitted)",_xlfn.LET(_xlpm.sc,IF(INDEX(Spelling!$D37:$O37,cfgCurrentSpellingNum)="","",INDEX(Spelling!$D37:$O37,cfgCurrentSpellingNum)),_xlpm.av,Spelling!$P37,IF(AND(ISNUMBER(_xlpm.av),_xlpm.av&lt;cfgSpellInterventionAvg),_xlpm.sc&amp;" (avg "&amp;_xlpm.av&amp;")",_xlpm.sc))))</f>
        <v/>
      </c>
      <c r="G40" s="21">
        <f>IF($B40="","",IF(OR(cfgCurrentSpellingNum&lt;cfgCurrentExamNum,cfgCurrentSpellingNum&lt;=0,cfgCurrentSpellingNum&gt;12),"",IF(Spelling!$R37="INTERVENTION","BELOW "&amp;cfgSpellInterventionAvg&amp;" — intervention","")))</f>
        <v/>
      </c>
      <c r="H40" s="21">
        <f>IF($B40="","",sysAttendance!$J37&amp;" / PT "&amp;sysAttendance!$R37)</f>
        <v/>
      </c>
      <c r="I40" s="21">
        <f>IF($B40="","",Writing!$AT37&amp;" ("&amp;Writing!$AS37&amp;" overdue)")</f>
        <v/>
      </c>
      <c r="J40" s="21">
        <f>IF($B40="","",sysFlags!$T37)</f>
        <v/>
      </c>
    </row>
    <row r="41">
      <c r="B41" s="21">
        <f>IF(IF(OR(Cadets!$B38="",Cadets!$I38&lt;&gt;"Active"),FALSE,OR(cfgPreviewAgency=cfgHomeAgency,Cadets!$G38=cfgPreviewAgency)),Cadets!$F38,"")</f>
        <v/>
      </c>
      <c r="C41" s="21">
        <f>IF($B41="","",IF(COUNTIFS(nrES_PID,Cadets!$B38,nrES_Seq,cfgCurrentExamNum,nrES_Final,"Yes",nrES_Rec,"&gt;=0")=0,"",SUMIFS(nrES_Rec,nrES_PID,Cadets!$B38,nrES_Seq,cfgCurrentExamNum,nrES_Final,"Yes")))</f>
        <v/>
      </c>
      <c r="D41" s="21">
        <f>IF($B41="","",IFERROR(ROUND(AVERAGEIFS(nrES_Rec,nrES_Seq,cfgCurrentExamNum,nrES_Final,"Yes",nrES_Rec,"&gt;=0",nrES_Rec,"&lt;=100"),1),""))</f>
        <v/>
      </c>
      <c r="E41" s="21">
        <f>IF($B41="","",IF(COUNTIFS(nrES_PID,Cadets!$B38,nrES_Seq,cfgCurrentExamNum,nrES_Att,2,nrES_Raw,"&gt;=0",nrES_AttPass,"Yes")&gt;0,"RETEST (cap 70)",IF(COUNTIFS(nrES_PID,Cadets!$B38,nrES_Seq,cfgCurrentExamNum,nrES_Att,2,nrES_Raw,"&gt;=0",nrES_AttPass,"No")&gt;0,"RETEST FAILED (first-attempt score shown)","")))</f>
        <v/>
      </c>
      <c r="F41" s="21">
        <f>IF($B41="","",IF(OR(cfgCurrentSpellingNum&lt;cfgCurrentExamNum,cfgCurrentSpellingNum&lt;=0,cfgCurrentSpellingNum&gt;12),"(omitted)",_xlfn.LET(_xlpm.sc,IF(INDEX(Spelling!$D38:$O38,cfgCurrentSpellingNum)="","",INDEX(Spelling!$D38:$O38,cfgCurrentSpellingNum)),_xlpm.av,Spelling!$P38,IF(AND(ISNUMBER(_xlpm.av),_xlpm.av&lt;cfgSpellInterventionAvg),_xlpm.sc&amp;" (avg "&amp;_xlpm.av&amp;")",_xlpm.sc))))</f>
        <v/>
      </c>
      <c r="G41" s="21">
        <f>IF($B41="","",IF(OR(cfgCurrentSpellingNum&lt;cfgCurrentExamNum,cfgCurrentSpellingNum&lt;=0,cfgCurrentSpellingNum&gt;12),"",IF(Spelling!$R38="INTERVENTION","BELOW "&amp;cfgSpellInterventionAvg&amp;" — intervention","")))</f>
        <v/>
      </c>
      <c r="H41" s="21">
        <f>IF($B41="","",sysAttendance!$J38&amp;" / PT "&amp;sysAttendance!$R38)</f>
        <v/>
      </c>
      <c r="I41" s="21">
        <f>IF($B41="","",Writing!$AT38&amp;" ("&amp;Writing!$AS38&amp;" overdue)")</f>
        <v/>
      </c>
      <c r="J41" s="21">
        <f>IF($B41="","",sysFlags!$T38)</f>
        <v/>
      </c>
    </row>
    <row r="42">
      <c r="B42" s="21">
        <f>IF(IF(OR(Cadets!$B39="",Cadets!$I39&lt;&gt;"Active"),FALSE,OR(cfgPreviewAgency=cfgHomeAgency,Cadets!$G39=cfgPreviewAgency)),Cadets!$F39,"")</f>
        <v/>
      </c>
      <c r="C42" s="21">
        <f>IF($B42="","",IF(COUNTIFS(nrES_PID,Cadets!$B39,nrES_Seq,cfgCurrentExamNum,nrES_Final,"Yes",nrES_Rec,"&gt;=0")=0,"",SUMIFS(nrES_Rec,nrES_PID,Cadets!$B39,nrES_Seq,cfgCurrentExamNum,nrES_Final,"Yes")))</f>
        <v/>
      </c>
      <c r="D42" s="21">
        <f>IF($B42="","",IFERROR(ROUND(AVERAGEIFS(nrES_Rec,nrES_Seq,cfgCurrentExamNum,nrES_Final,"Yes",nrES_Rec,"&gt;=0",nrES_Rec,"&lt;=100"),1),""))</f>
        <v/>
      </c>
      <c r="E42" s="21">
        <f>IF($B42="","",IF(COUNTIFS(nrES_PID,Cadets!$B39,nrES_Seq,cfgCurrentExamNum,nrES_Att,2,nrES_Raw,"&gt;=0",nrES_AttPass,"Yes")&gt;0,"RETEST (cap 70)",IF(COUNTIFS(nrES_PID,Cadets!$B39,nrES_Seq,cfgCurrentExamNum,nrES_Att,2,nrES_Raw,"&gt;=0",nrES_AttPass,"No")&gt;0,"RETEST FAILED (first-attempt score shown)","")))</f>
        <v/>
      </c>
      <c r="F42" s="21">
        <f>IF($B42="","",IF(OR(cfgCurrentSpellingNum&lt;cfgCurrentExamNum,cfgCurrentSpellingNum&lt;=0,cfgCurrentSpellingNum&gt;12),"(omitted)",_xlfn.LET(_xlpm.sc,IF(INDEX(Spelling!$D39:$O39,cfgCurrentSpellingNum)="","",INDEX(Spelling!$D39:$O39,cfgCurrentSpellingNum)),_xlpm.av,Spelling!$P39,IF(AND(ISNUMBER(_xlpm.av),_xlpm.av&lt;cfgSpellInterventionAvg),_xlpm.sc&amp;" (avg "&amp;_xlpm.av&amp;")",_xlpm.sc))))</f>
        <v/>
      </c>
      <c r="G42" s="21">
        <f>IF($B42="","",IF(OR(cfgCurrentSpellingNum&lt;cfgCurrentExamNum,cfgCurrentSpellingNum&lt;=0,cfgCurrentSpellingNum&gt;12),"",IF(Spelling!$R39="INTERVENTION","BELOW "&amp;cfgSpellInterventionAvg&amp;" — intervention","")))</f>
        <v/>
      </c>
      <c r="H42" s="21">
        <f>IF($B42="","",sysAttendance!$J39&amp;" / PT "&amp;sysAttendance!$R39)</f>
        <v/>
      </c>
      <c r="I42" s="21">
        <f>IF($B42="","",Writing!$AT39&amp;" ("&amp;Writing!$AS39&amp;" overdue)")</f>
        <v/>
      </c>
      <c r="J42" s="21">
        <f>IF($B42="","",sysFlags!$T39)</f>
        <v/>
      </c>
    </row>
    <row r="43">
      <c r="B43" s="21">
        <f>IF(IF(OR(Cadets!$B40="",Cadets!$I40&lt;&gt;"Active"),FALSE,OR(cfgPreviewAgency=cfgHomeAgency,Cadets!$G40=cfgPreviewAgency)),Cadets!$F40,"")</f>
        <v/>
      </c>
      <c r="C43" s="21">
        <f>IF($B43="","",IF(COUNTIFS(nrES_PID,Cadets!$B40,nrES_Seq,cfgCurrentExamNum,nrES_Final,"Yes",nrES_Rec,"&gt;=0")=0,"",SUMIFS(nrES_Rec,nrES_PID,Cadets!$B40,nrES_Seq,cfgCurrentExamNum,nrES_Final,"Yes")))</f>
        <v/>
      </c>
      <c r="D43" s="21">
        <f>IF($B43="","",IFERROR(ROUND(AVERAGEIFS(nrES_Rec,nrES_Seq,cfgCurrentExamNum,nrES_Final,"Yes",nrES_Rec,"&gt;=0",nrES_Rec,"&lt;=100"),1),""))</f>
        <v/>
      </c>
      <c r="E43" s="21">
        <f>IF($B43="","",IF(COUNTIFS(nrES_PID,Cadets!$B40,nrES_Seq,cfgCurrentExamNum,nrES_Att,2,nrES_Raw,"&gt;=0",nrES_AttPass,"Yes")&gt;0,"RETEST (cap 70)",IF(COUNTIFS(nrES_PID,Cadets!$B40,nrES_Seq,cfgCurrentExamNum,nrES_Att,2,nrES_Raw,"&gt;=0",nrES_AttPass,"No")&gt;0,"RETEST FAILED (first-attempt score shown)","")))</f>
        <v/>
      </c>
      <c r="F43" s="21">
        <f>IF($B43="","",IF(OR(cfgCurrentSpellingNum&lt;cfgCurrentExamNum,cfgCurrentSpellingNum&lt;=0,cfgCurrentSpellingNum&gt;12),"(omitted)",_xlfn.LET(_xlpm.sc,IF(INDEX(Spelling!$D40:$O40,cfgCurrentSpellingNum)="","",INDEX(Spelling!$D40:$O40,cfgCurrentSpellingNum)),_xlpm.av,Spelling!$P40,IF(AND(ISNUMBER(_xlpm.av),_xlpm.av&lt;cfgSpellInterventionAvg),_xlpm.sc&amp;" (avg "&amp;_xlpm.av&amp;")",_xlpm.sc))))</f>
        <v/>
      </c>
      <c r="G43" s="21">
        <f>IF($B43="","",IF(OR(cfgCurrentSpellingNum&lt;cfgCurrentExamNum,cfgCurrentSpellingNum&lt;=0,cfgCurrentSpellingNum&gt;12),"",IF(Spelling!$R40="INTERVENTION","BELOW "&amp;cfgSpellInterventionAvg&amp;" — intervention","")))</f>
        <v/>
      </c>
      <c r="H43" s="21">
        <f>IF($B43="","",sysAttendance!$J40&amp;" / PT "&amp;sysAttendance!$R40)</f>
        <v/>
      </c>
      <c r="I43" s="21">
        <f>IF($B43="","",Writing!$AT40&amp;" ("&amp;Writing!$AS40&amp;" overdue)")</f>
        <v/>
      </c>
      <c r="J43" s="21">
        <f>IF($B43="","",sysFlags!$T40)</f>
        <v/>
      </c>
    </row>
    <row r="44">
      <c r="B44" s="21">
        <f>IF(IF(OR(Cadets!$B41="",Cadets!$I41&lt;&gt;"Active"),FALSE,OR(cfgPreviewAgency=cfgHomeAgency,Cadets!$G41=cfgPreviewAgency)),Cadets!$F41,"")</f>
        <v/>
      </c>
      <c r="C44" s="21">
        <f>IF($B44="","",IF(COUNTIFS(nrES_PID,Cadets!$B41,nrES_Seq,cfgCurrentExamNum,nrES_Final,"Yes",nrES_Rec,"&gt;=0")=0,"",SUMIFS(nrES_Rec,nrES_PID,Cadets!$B41,nrES_Seq,cfgCurrentExamNum,nrES_Final,"Yes")))</f>
        <v/>
      </c>
      <c r="D44" s="21">
        <f>IF($B44="","",IFERROR(ROUND(AVERAGEIFS(nrES_Rec,nrES_Seq,cfgCurrentExamNum,nrES_Final,"Yes",nrES_Rec,"&gt;=0",nrES_Rec,"&lt;=100"),1),""))</f>
        <v/>
      </c>
      <c r="E44" s="21">
        <f>IF($B44="","",IF(COUNTIFS(nrES_PID,Cadets!$B41,nrES_Seq,cfgCurrentExamNum,nrES_Att,2,nrES_Raw,"&gt;=0",nrES_AttPass,"Yes")&gt;0,"RETEST (cap 70)",IF(COUNTIFS(nrES_PID,Cadets!$B41,nrES_Seq,cfgCurrentExamNum,nrES_Att,2,nrES_Raw,"&gt;=0",nrES_AttPass,"No")&gt;0,"RETEST FAILED (first-attempt score shown)","")))</f>
        <v/>
      </c>
      <c r="F44" s="21">
        <f>IF($B44="","",IF(OR(cfgCurrentSpellingNum&lt;cfgCurrentExamNum,cfgCurrentSpellingNum&lt;=0,cfgCurrentSpellingNum&gt;12),"(omitted)",_xlfn.LET(_xlpm.sc,IF(INDEX(Spelling!$D41:$O41,cfgCurrentSpellingNum)="","",INDEX(Spelling!$D41:$O41,cfgCurrentSpellingNum)),_xlpm.av,Spelling!$P41,IF(AND(ISNUMBER(_xlpm.av),_xlpm.av&lt;cfgSpellInterventionAvg),_xlpm.sc&amp;" (avg "&amp;_xlpm.av&amp;")",_xlpm.sc))))</f>
        <v/>
      </c>
      <c r="G44" s="21">
        <f>IF($B44="","",IF(OR(cfgCurrentSpellingNum&lt;cfgCurrentExamNum,cfgCurrentSpellingNum&lt;=0,cfgCurrentSpellingNum&gt;12),"",IF(Spelling!$R41="INTERVENTION","BELOW "&amp;cfgSpellInterventionAvg&amp;" — intervention","")))</f>
        <v/>
      </c>
      <c r="H44" s="21">
        <f>IF($B44="","",sysAttendance!$J41&amp;" / PT "&amp;sysAttendance!$R41)</f>
        <v/>
      </c>
      <c r="I44" s="21">
        <f>IF($B44="","",Writing!$AT41&amp;" ("&amp;Writing!$AS41&amp;" overdue)")</f>
        <v/>
      </c>
      <c r="J44" s="21">
        <f>IF($B44="","",sysFlags!$T41)</f>
        <v/>
      </c>
    </row>
    <row r="45">
      <c r="B45" s="21">
        <f>IF(IF(OR(Cadets!$B42="",Cadets!$I42&lt;&gt;"Active"),FALSE,OR(cfgPreviewAgency=cfgHomeAgency,Cadets!$G42=cfgPreviewAgency)),Cadets!$F42,"")</f>
        <v/>
      </c>
      <c r="C45" s="21">
        <f>IF($B45="","",IF(COUNTIFS(nrES_PID,Cadets!$B42,nrES_Seq,cfgCurrentExamNum,nrES_Final,"Yes",nrES_Rec,"&gt;=0")=0,"",SUMIFS(nrES_Rec,nrES_PID,Cadets!$B42,nrES_Seq,cfgCurrentExamNum,nrES_Final,"Yes")))</f>
        <v/>
      </c>
      <c r="D45" s="21">
        <f>IF($B45="","",IFERROR(ROUND(AVERAGEIFS(nrES_Rec,nrES_Seq,cfgCurrentExamNum,nrES_Final,"Yes",nrES_Rec,"&gt;=0",nrES_Rec,"&lt;=100"),1),""))</f>
        <v/>
      </c>
      <c r="E45" s="21">
        <f>IF($B45="","",IF(COUNTIFS(nrES_PID,Cadets!$B42,nrES_Seq,cfgCurrentExamNum,nrES_Att,2,nrES_Raw,"&gt;=0",nrES_AttPass,"Yes")&gt;0,"RETEST (cap 70)",IF(COUNTIFS(nrES_PID,Cadets!$B42,nrES_Seq,cfgCurrentExamNum,nrES_Att,2,nrES_Raw,"&gt;=0",nrES_AttPass,"No")&gt;0,"RETEST FAILED (first-attempt score shown)","")))</f>
        <v/>
      </c>
      <c r="F45" s="21">
        <f>IF($B45="","",IF(OR(cfgCurrentSpellingNum&lt;cfgCurrentExamNum,cfgCurrentSpellingNum&lt;=0,cfgCurrentSpellingNum&gt;12),"(omitted)",_xlfn.LET(_xlpm.sc,IF(INDEX(Spelling!$D42:$O42,cfgCurrentSpellingNum)="","",INDEX(Spelling!$D42:$O42,cfgCurrentSpellingNum)),_xlpm.av,Spelling!$P42,IF(AND(ISNUMBER(_xlpm.av),_xlpm.av&lt;cfgSpellInterventionAvg),_xlpm.sc&amp;" (avg "&amp;_xlpm.av&amp;")",_xlpm.sc))))</f>
        <v/>
      </c>
      <c r="G45" s="21">
        <f>IF($B45="","",IF(OR(cfgCurrentSpellingNum&lt;cfgCurrentExamNum,cfgCurrentSpellingNum&lt;=0,cfgCurrentSpellingNum&gt;12),"",IF(Spelling!$R42="INTERVENTION","BELOW "&amp;cfgSpellInterventionAvg&amp;" — intervention","")))</f>
        <v/>
      </c>
      <c r="H45" s="21">
        <f>IF($B45="","",sysAttendance!$J42&amp;" / PT "&amp;sysAttendance!$R42)</f>
        <v/>
      </c>
      <c r="I45" s="21">
        <f>IF($B45="","",Writing!$AT42&amp;" ("&amp;Writing!$AS42&amp;" overdue)")</f>
        <v/>
      </c>
      <c r="J45" s="21">
        <f>IF($B45="","",sysFlags!$T42)</f>
        <v/>
      </c>
    </row>
    <row r="46">
      <c r="B46" s="21">
        <f>IF(IF(OR(Cadets!$B43="",Cadets!$I43&lt;&gt;"Active"),FALSE,OR(cfgPreviewAgency=cfgHomeAgency,Cadets!$G43=cfgPreviewAgency)),Cadets!$F43,"")</f>
        <v/>
      </c>
      <c r="C46" s="21">
        <f>IF($B46="","",IF(COUNTIFS(nrES_PID,Cadets!$B43,nrES_Seq,cfgCurrentExamNum,nrES_Final,"Yes",nrES_Rec,"&gt;=0")=0,"",SUMIFS(nrES_Rec,nrES_PID,Cadets!$B43,nrES_Seq,cfgCurrentExamNum,nrES_Final,"Yes")))</f>
        <v/>
      </c>
      <c r="D46" s="21">
        <f>IF($B46="","",IFERROR(ROUND(AVERAGEIFS(nrES_Rec,nrES_Seq,cfgCurrentExamNum,nrES_Final,"Yes",nrES_Rec,"&gt;=0",nrES_Rec,"&lt;=100"),1),""))</f>
        <v/>
      </c>
      <c r="E46" s="21">
        <f>IF($B46="","",IF(COUNTIFS(nrES_PID,Cadets!$B43,nrES_Seq,cfgCurrentExamNum,nrES_Att,2,nrES_Raw,"&gt;=0",nrES_AttPass,"Yes")&gt;0,"RETEST (cap 70)",IF(COUNTIFS(nrES_PID,Cadets!$B43,nrES_Seq,cfgCurrentExamNum,nrES_Att,2,nrES_Raw,"&gt;=0",nrES_AttPass,"No")&gt;0,"RETEST FAILED (first-attempt score shown)","")))</f>
        <v/>
      </c>
      <c r="F46" s="21">
        <f>IF($B46="","",IF(OR(cfgCurrentSpellingNum&lt;cfgCurrentExamNum,cfgCurrentSpellingNum&lt;=0,cfgCurrentSpellingNum&gt;12),"(omitted)",_xlfn.LET(_xlpm.sc,IF(INDEX(Spelling!$D43:$O43,cfgCurrentSpellingNum)="","",INDEX(Spelling!$D43:$O43,cfgCurrentSpellingNum)),_xlpm.av,Spelling!$P43,IF(AND(ISNUMBER(_xlpm.av),_xlpm.av&lt;cfgSpellInterventionAvg),_xlpm.sc&amp;" (avg "&amp;_xlpm.av&amp;")",_xlpm.sc))))</f>
        <v/>
      </c>
      <c r="G46" s="21">
        <f>IF($B46="","",IF(OR(cfgCurrentSpellingNum&lt;cfgCurrentExamNum,cfgCurrentSpellingNum&lt;=0,cfgCurrentSpellingNum&gt;12),"",IF(Spelling!$R43="INTERVENTION","BELOW "&amp;cfgSpellInterventionAvg&amp;" — intervention","")))</f>
        <v/>
      </c>
      <c r="H46" s="21">
        <f>IF($B46="","",sysAttendance!$J43&amp;" / PT "&amp;sysAttendance!$R43)</f>
        <v/>
      </c>
      <c r="I46" s="21">
        <f>IF($B46="","",Writing!$AT43&amp;" ("&amp;Writing!$AS43&amp;" overdue)")</f>
        <v/>
      </c>
      <c r="J46" s="21">
        <f>IF($B46="","",sysFlags!$T43)</f>
        <v/>
      </c>
    </row>
    <row r="47">
      <c r="B47" s="21">
        <f>IF(IF(OR(Cadets!$B44="",Cadets!$I44&lt;&gt;"Active"),FALSE,OR(cfgPreviewAgency=cfgHomeAgency,Cadets!$G44=cfgPreviewAgency)),Cadets!$F44,"")</f>
        <v/>
      </c>
      <c r="C47" s="21">
        <f>IF($B47="","",IF(COUNTIFS(nrES_PID,Cadets!$B44,nrES_Seq,cfgCurrentExamNum,nrES_Final,"Yes",nrES_Rec,"&gt;=0")=0,"",SUMIFS(nrES_Rec,nrES_PID,Cadets!$B44,nrES_Seq,cfgCurrentExamNum,nrES_Final,"Yes")))</f>
        <v/>
      </c>
      <c r="D47" s="21">
        <f>IF($B47="","",IFERROR(ROUND(AVERAGEIFS(nrES_Rec,nrES_Seq,cfgCurrentExamNum,nrES_Final,"Yes",nrES_Rec,"&gt;=0",nrES_Rec,"&lt;=100"),1),""))</f>
        <v/>
      </c>
      <c r="E47" s="21">
        <f>IF($B47="","",IF(COUNTIFS(nrES_PID,Cadets!$B44,nrES_Seq,cfgCurrentExamNum,nrES_Att,2,nrES_Raw,"&gt;=0",nrES_AttPass,"Yes")&gt;0,"RETEST (cap 70)",IF(COUNTIFS(nrES_PID,Cadets!$B44,nrES_Seq,cfgCurrentExamNum,nrES_Att,2,nrES_Raw,"&gt;=0",nrES_AttPass,"No")&gt;0,"RETEST FAILED (first-attempt score shown)","")))</f>
        <v/>
      </c>
      <c r="F47" s="21">
        <f>IF($B47="","",IF(OR(cfgCurrentSpellingNum&lt;cfgCurrentExamNum,cfgCurrentSpellingNum&lt;=0,cfgCurrentSpellingNum&gt;12),"(omitted)",_xlfn.LET(_xlpm.sc,IF(INDEX(Spelling!$D44:$O44,cfgCurrentSpellingNum)="","",INDEX(Spelling!$D44:$O44,cfgCurrentSpellingNum)),_xlpm.av,Spelling!$P44,IF(AND(ISNUMBER(_xlpm.av),_xlpm.av&lt;cfgSpellInterventionAvg),_xlpm.sc&amp;" (avg "&amp;_xlpm.av&amp;")",_xlpm.sc))))</f>
        <v/>
      </c>
      <c r="G47" s="21">
        <f>IF($B47="","",IF(OR(cfgCurrentSpellingNum&lt;cfgCurrentExamNum,cfgCurrentSpellingNum&lt;=0,cfgCurrentSpellingNum&gt;12),"",IF(Spelling!$R44="INTERVENTION","BELOW "&amp;cfgSpellInterventionAvg&amp;" — intervention","")))</f>
        <v/>
      </c>
      <c r="H47" s="21">
        <f>IF($B47="","",sysAttendance!$J44&amp;" / PT "&amp;sysAttendance!$R44)</f>
        <v/>
      </c>
      <c r="I47" s="21">
        <f>IF($B47="","",Writing!$AT44&amp;" ("&amp;Writing!$AS44&amp;" overdue)")</f>
        <v/>
      </c>
      <c r="J47" s="21">
        <f>IF($B47="","",sysFlags!$T44)</f>
        <v/>
      </c>
    </row>
    <row r="48">
      <c r="B48" s="21">
        <f>IF(IF(OR(Cadets!$B45="",Cadets!$I45&lt;&gt;"Active"),FALSE,OR(cfgPreviewAgency=cfgHomeAgency,Cadets!$G45=cfgPreviewAgency)),Cadets!$F45,"")</f>
        <v/>
      </c>
      <c r="C48" s="21">
        <f>IF($B48="","",IF(COUNTIFS(nrES_PID,Cadets!$B45,nrES_Seq,cfgCurrentExamNum,nrES_Final,"Yes",nrES_Rec,"&gt;=0")=0,"",SUMIFS(nrES_Rec,nrES_PID,Cadets!$B45,nrES_Seq,cfgCurrentExamNum,nrES_Final,"Yes")))</f>
        <v/>
      </c>
      <c r="D48" s="21">
        <f>IF($B48="","",IFERROR(ROUND(AVERAGEIFS(nrES_Rec,nrES_Seq,cfgCurrentExamNum,nrES_Final,"Yes",nrES_Rec,"&gt;=0",nrES_Rec,"&lt;=100"),1),""))</f>
        <v/>
      </c>
      <c r="E48" s="21">
        <f>IF($B48="","",IF(COUNTIFS(nrES_PID,Cadets!$B45,nrES_Seq,cfgCurrentExamNum,nrES_Att,2,nrES_Raw,"&gt;=0",nrES_AttPass,"Yes")&gt;0,"RETEST (cap 70)",IF(COUNTIFS(nrES_PID,Cadets!$B45,nrES_Seq,cfgCurrentExamNum,nrES_Att,2,nrES_Raw,"&gt;=0",nrES_AttPass,"No")&gt;0,"RETEST FAILED (first-attempt score shown)","")))</f>
        <v/>
      </c>
      <c r="F48" s="21">
        <f>IF($B48="","",IF(OR(cfgCurrentSpellingNum&lt;cfgCurrentExamNum,cfgCurrentSpellingNum&lt;=0,cfgCurrentSpellingNum&gt;12),"(omitted)",_xlfn.LET(_xlpm.sc,IF(INDEX(Spelling!$D45:$O45,cfgCurrentSpellingNum)="","",INDEX(Spelling!$D45:$O45,cfgCurrentSpellingNum)),_xlpm.av,Spelling!$P45,IF(AND(ISNUMBER(_xlpm.av),_xlpm.av&lt;cfgSpellInterventionAvg),_xlpm.sc&amp;" (avg "&amp;_xlpm.av&amp;")",_xlpm.sc))))</f>
        <v/>
      </c>
      <c r="G48" s="21">
        <f>IF($B48="","",IF(OR(cfgCurrentSpellingNum&lt;cfgCurrentExamNum,cfgCurrentSpellingNum&lt;=0,cfgCurrentSpellingNum&gt;12),"",IF(Spelling!$R45="INTERVENTION","BELOW "&amp;cfgSpellInterventionAvg&amp;" — intervention","")))</f>
        <v/>
      </c>
      <c r="H48" s="21">
        <f>IF($B48="","",sysAttendance!$J45&amp;" / PT "&amp;sysAttendance!$R45)</f>
        <v/>
      </c>
      <c r="I48" s="21">
        <f>IF($B48="","",Writing!$AT45&amp;" ("&amp;Writing!$AS45&amp;" overdue)")</f>
        <v/>
      </c>
      <c r="J48" s="21">
        <f>IF($B48="","",sysFlags!$T45)</f>
        <v/>
      </c>
    </row>
    <row r="49">
      <c r="B49" s="21">
        <f>IF(IF(OR(Cadets!$B46="",Cadets!$I46&lt;&gt;"Active"),FALSE,OR(cfgPreviewAgency=cfgHomeAgency,Cadets!$G46=cfgPreviewAgency)),Cadets!$F46,"")</f>
        <v/>
      </c>
      <c r="C49" s="21">
        <f>IF($B49="","",IF(COUNTIFS(nrES_PID,Cadets!$B46,nrES_Seq,cfgCurrentExamNum,nrES_Final,"Yes",nrES_Rec,"&gt;=0")=0,"",SUMIFS(nrES_Rec,nrES_PID,Cadets!$B46,nrES_Seq,cfgCurrentExamNum,nrES_Final,"Yes")))</f>
        <v/>
      </c>
      <c r="D49" s="21">
        <f>IF($B49="","",IFERROR(ROUND(AVERAGEIFS(nrES_Rec,nrES_Seq,cfgCurrentExamNum,nrES_Final,"Yes",nrES_Rec,"&gt;=0",nrES_Rec,"&lt;=100"),1),""))</f>
        <v/>
      </c>
      <c r="E49" s="21">
        <f>IF($B49="","",IF(COUNTIFS(nrES_PID,Cadets!$B46,nrES_Seq,cfgCurrentExamNum,nrES_Att,2,nrES_Raw,"&gt;=0",nrES_AttPass,"Yes")&gt;0,"RETEST (cap 70)",IF(COUNTIFS(nrES_PID,Cadets!$B46,nrES_Seq,cfgCurrentExamNum,nrES_Att,2,nrES_Raw,"&gt;=0",nrES_AttPass,"No")&gt;0,"RETEST FAILED (first-attempt score shown)","")))</f>
        <v/>
      </c>
      <c r="F49" s="21">
        <f>IF($B49="","",IF(OR(cfgCurrentSpellingNum&lt;cfgCurrentExamNum,cfgCurrentSpellingNum&lt;=0,cfgCurrentSpellingNum&gt;12),"(omitted)",_xlfn.LET(_xlpm.sc,IF(INDEX(Spelling!$D46:$O46,cfgCurrentSpellingNum)="","",INDEX(Spelling!$D46:$O46,cfgCurrentSpellingNum)),_xlpm.av,Spelling!$P46,IF(AND(ISNUMBER(_xlpm.av),_xlpm.av&lt;cfgSpellInterventionAvg),_xlpm.sc&amp;" (avg "&amp;_xlpm.av&amp;")",_xlpm.sc))))</f>
        <v/>
      </c>
      <c r="G49" s="21">
        <f>IF($B49="","",IF(OR(cfgCurrentSpellingNum&lt;cfgCurrentExamNum,cfgCurrentSpellingNum&lt;=0,cfgCurrentSpellingNum&gt;12),"",IF(Spelling!$R46="INTERVENTION","BELOW "&amp;cfgSpellInterventionAvg&amp;" — intervention","")))</f>
        <v/>
      </c>
      <c r="H49" s="21">
        <f>IF($B49="","",sysAttendance!$J46&amp;" / PT "&amp;sysAttendance!$R46)</f>
        <v/>
      </c>
      <c r="I49" s="21">
        <f>IF($B49="","",Writing!$AT46&amp;" ("&amp;Writing!$AS46&amp;" overdue)")</f>
        <v/>
      </c>
      <c r="J49" s="21">
        <f>IF($B49="","",sysFlags!$T46)</f>
        <v/>
      </c>
    </row>
    <row r="50">
      <c r="B50" s="21">
        <f>IF(IF(OR(Cadets!$B47="",Cadets!$I47&lt;&gt;"Active"),FALSE,OR(cfgPreviewAgency=cfgHomeAgency,Cadets!$G47=cfgPreviewAgency)),Cadets!$F47,"")</f>
        <v/>
      </c>
      <c r="C50" s="21">
        <f>IF($B50="","",IF(COUNTIFS(nrES_PID,Cadets!$B47,nrES_Seq,cfgCurrentExamNum,nrES_Final,"Yes",nrES_Rec,"&gt;=0")=0,"",SUMIFS(nrES_Rec,nrES_PID,Cadets!$B47,nrES_Seq,cfgCurrentExamNum,nrES_Final,"Yes")))</f>
        <v/>
      </c>
      <c r="D50" s="21">
        <f>IF($B50="","",IFERROR(ROUND(AVERAGEIFS(nrES_Rec,nrES_Seq,cfgCurrentExamNum,nrES_Final,"Yes",nrES_Rec,"&gt;=0",nrES_Rec,"&lt;=100"),1),""))</f>
        <v/>
      </c>
      <c r="E50" s="21">
        <f>IF($B50="","",IF(COUNTIFS(nrES_PID,Cadets!$B47,nrES_Seq,cfgCurrentExamNum,nrES_Att,2,nrES_Raw,"&gt;=0",nrES_AttPass,"Yes")&gt;0,"RETEST (cap 70)",IF(COUNTIFS(nrES_PID,Cadets!$B47,nrES_Seq,cfgCurrentExamNum,nrES_Att,2,nrES_Raw,"&gt;=0",nrES_AttPass,"No")&gt;0,"RETEST FAILED (first-attempt score shown)","")))</f>
        <v/>
      </c>
      <c r="F50" s="21">
        <f>IF($B50="","",IF(OR(cfgCurrentSpellingNum&lt;cfgCurrentExamNum,cfgCurrentSpellingNum&lt;=0,cfgCurrentSpellingNum&gt;12),"(omitted)",_xlfn.LET(_xlpm.sc,IF(INDEX(Spelling!$D47:$O47,cfgCurrentSpellingNum)="","",INDEX(Spelling!$D47:$O47,cfgCurrentSpellingNum)),_xlpm.av,Spelling!$P47,IF(AND(ISNUMBER(_xlpm.av),_xlpm.av&lt;cfgSpellInterventionAvg),_xlpm.sc&amp;" (avg "&amp;_xlpm.av&amp;")",_xlpm.sc))))</f>
        <v/>
      </c>
      <c r="G50" s="21">
        <f>IF($B50="","",IF(OR(cfgCurrentSpellingNum&lt;cfgCurrentExamNum,cfgCurrentSpellingNum&lt;=0,cfgCurrentSpellingNum&gt;12),"",IF(Spelling!$R47="INTERVENTION","BELOW "&amp;cfgSpellInterventionAvg&amp;" — intervention","")))</f>
        <v/>
      </c>
      <c r="H50" s="21">
        <f>IF($B50="","",sysAttendance!$J47&amp;" / PT "&amp;sysAttendance!$R47)</f>
        <v/>
      </c>
      <c r="I50" s="21">
        <f>IF($B50="","",Writing!$AT47&amp;" ("&amp;Writing!$AS47&amp;" overdue)")</f>
        <v/>
      </c>
      <c r="J50" s="21">
        <f>IF($B50="","",sysFlags!$T47)</f>
        <v/>
      </c>
    </row>
    <row r="51">
      <c r="B51" s="21">
        <f>IF(IF(OR(Cadets!$B48="",Cadets!$I48&lt;&gt;"Active"),FALSE,OR(cfgPreviewAgency=cfgHomeAgency,Cadets!$G48=cfgPreviewAgency)),Cadets!$F48,"")</f>
        <v/>
      </c>
      <c r="C51" s="21">
        <f>IF($B51="","",IF(COUNTIFS(nrES_PID,Cadets!$B48,nrES_Seq,cfgCurrentExamNum,nrES_Final,"Yes",nrES_Rec,"&gt;=0")=0,"",SUMIFS(nrES_Rec,nrES_PID,Cadets!$B48,nrES_Seq,cfgCurrentExamNum,nrES_Final,"Yes")))</f>
        <v/>
      </c>
      <c r="D51" s="21">
        <f>IF($B51="","",IFERROR(ROUND(AVERAGEIFS(nrES_Rec,nrES_Seq,cfgCurrentExamNum,nrES_Final,"Yes",nrES_Rec,"&gt;=0",nrES_Rec,"&lt;=100"),1),""))</f>
        <v/>
      </c>
      <c r="E51" s="21">
        <f>IF($B51="","",IF(COUNTIFS(nrES_PID,Cadets!$B48,nrES_Seq,cfgCurrentExamNum,nrES_Att,2,nrES_Raw,"&gt;=0",nrES_AttPass,"Yes")&gt;0,"RETEST (cap 70)",IF(COUNTIFS(nrES_PID,Cadets!$B48,nrES_Seq,cfgCurrentExamNum,nrES_Att,2,nrES_Raw,"&gt;=0",nrES_AttPass,"No")&gt;0,"RETEST FAILED (first-attempt score shown)","")))</f>
        <v/>
      </c>
      <c r="F51" s="21">
        <f>IF($B51="","",IF(OR(cfgCurrentSpellingNum&lt;cfgCurrentExamNum,cfgCurrentSpellingNum&lt;=0,cfgCurrentSpellingNum&gt;12),"(omitted)",_xlfn.LET(_xlpm.sc,IF(INDEX(Spelling!$D48:$O48,cfgCurrentSpellingNum)="","",INDEX(Spelling!$D48:$O48,cfgCurrentSpellingNum)),_xlpm.av,Spelling!$P48,IF(AND(ISNUMBER(_xlpm.av),_xlpm.av&lt;cfgSpellInterventionAvg),_xlpm.sc&amp;" (avg "&amp;_xlpm.av&amp;")",_xlpm.sc))))</f>
        <v/>
      </c>
      <c r="G51" s="21">
        <f>IF($B51="","",IF(OR(cfgCurrentSpellingNum&lt;cfgCurrentExamNum,cfgCurrentSpellingNum&lt;=0,cfgCurrentSpellingNum&gt;12),"",IF(Spelling!$R48="INTERVENTION","BELOW "&amp;cfgSpellInterventionAvg&amp;" — intervention","")))</f>
        <v/>
      </c>
      <c r="H51" s="21">
        <f>IF($B51="","",sysAttendance!$J48&amp;" / PT "&amp;sysAttendance!$R48)</f>
        <v/>
      </c>
      <c r="I51" s="21">
        <f>IF($B51="","",Writing!$AT48&amp;" ("&amp;Writing!$AS48&amp;" overdue)")</f>
        <v/>
      </c>
      <c r="J51" s="21">
        <f>IF($B51="","",sysFlags!$T48)</f>
        <v/>
      </c>
    </row>
    <row r="52">
      <c r="B52" s="21">
        <f>IF(IF(OR(Cadets!$B49="",Cadets!$I49&lt;&gt;"Active"),FALSE,OR(cfgPreviewAgency=cfgHomeAgency,Cadets!$G49=cfgPreviewAgency)),Cadets!$F49,"")</f>
        <v/>
      </c>
      <c r="C52" s="21">
        <f>IF($B52="","",IF(COUNTIFS(nrES_PID,Cadets!$B49,nrES_Seq,cfgCurrentExamNum,nrES_Final,"Yes",nrES_Rec,"&gt;=0")=0,"",SUMIFS(nrES_Rec,nrES_PID,Cadets!$B49,nrES_Seq,cfgCurrentExamNum,nrES_Final,"Yes")))</f>
        <v/>
      </c>
      <c r="D52" s="21">
        <f>IF($B52="","",IFERROR(ROUND(AVERAGEIFS(nrES_Rec,nrES_Seq,cfgCurrentExamNum,nrES_Final,"Yes",nrES_Rec,"&gt;=0",nrES_Rec,"&lt;=100"),1),""))</f>
        <v/>
      </c>
      <c r="E52" s="21">
        <f>IF($B52="","",IF(COUNTIFS(nrES_PID,Cadets!$B49,nrES_Seq,cfgCurrentExamNum,nrES_Att,2,nrES_Raw,"&gt;=0",nrES_AttPass,"Yes")&gt;0,"RETEST (cap 70)",IF(COUNTIFS(nrES_PID,Cadets!$B49,nrES_Seq,cfgCurrentExamNum,nrES_Att,2,nrES_Raw,"&gt;=0",nrES_AttPass,"No")&gt;0,"RETEST FAILED (first-attempt score shown)","")))</f>
        <v/>
      </c>
      <c r="F52" s="21">
        <f>IF($B52="","",IF(OR(cfgCurrentSpellingNum&lt;cfgCurrentExamNum,cfgCurrentSpellingNum&lt;=0,cfgCurrentSpellingNum&gt;12),"(omitted)",_xlfn.LET(_xlpm.sc,IF(INDEX(Spelling!$D49:$O49,cfgCurrentSpellingNum)="","",INDEX(Spelling!$D49:$O49,cfgCurrentSpellingNum)),_xlpm.av,Spelling!$P49,IF(AND(ISNUMBER(_xlpm.av),_xlpm.av&lt;cfgSpellInterventionAvg),_xlpm.sc&amp;" (avg "&amp;_xlpm.av&amp;")",_xlpm.sc))))</f>
        <v/>
      </c>
      <c r="G52" s="21">
        <f>IF($B52="","",IF(OR(cfgCurrentSpellingNum&lt;cfgCurrentExamNum,cfgCurrentSpellingNum&lt;=0,cfgCurrentSpellingNum&gt;12),"",IF(Spelling!$R49="INTERVENTION","BELOW "&amp;cfgSpellInterventionAvg&amp;" — intervention","")))</f>
        <v/>
      </c>
      <c r="H52" s="21">
        <f>IF($B52="","",sysAttendance!$J49&amp;" / PT "&amp;sysAttendance!$R49)</f>
        <v/>
      </c>
      <c r="I52" s="21">
        <f>IF($B52="","",Writing!$AT49&amp;" ("&amp;Writing!$AS49&amp;" overdue)")</f>
        <v/>
      </c>
      <c r="J52" s="21">
        <f>IF($B52="","",sysFlags!$T49)</f>
        <v/>
      </c>
    </row>
    <row r="53">
      <c r="B53" s="21">
        <f>IF(IF(OR(Cadets!$B50="",Cadets!$I50&lt;&gt;"Active"),FALSE,OR(cfgPreviewAgency=cfgHomeAgency,Cadets!$G50=cfgPreviewAgency)),Cadets!$F50,"")</f>
        <v/>
      </c>
      <c r="C53" s="21">
        <f>IF($B53="","",IF(COUNTIFS(nrES_PID,Cadets!$B50,nrES_Seq,cfgCurrentExamNum,nrES_Final,"Yes",nrES_Rec,"&gt;=0")=0,"",SUMIFS(nrES_Rec,nrES_PID,Cadets!$B50,nrES_Seq,cfgCurrentExamNum,nrES_Final,"Yes")))</f>
        <v/>
      </c>
      <c r="D53" s="21">
        <f>IF($B53="","",IFERROR(ROUND(AVERAGEIFS(nrES_Rec,nrES_Seq,cfgCurrentExamNum,nrES_Final,"Yes",nrES_Rec,"&gt;=0",nrES_Rec,"&lt;=100"),1),""))</f>
        <v/>
      </c>
      <c r="E53" s="21">
        <f>IF($B53="","",IF(COUNTIFS(nrES_PID,Cadets!$B50,nrES_Seq,cfgCurrentExamNum,nrES_Att,2,nrES_Raw,"&gt;=0",nrES_AttPass,"Yes")&gt;0,"RETEST (cap 70)",IF(COUNTIFS(nrES_PID,Cadets!$B50,nrES_Seq,cfgCurrentExamNum,nrES_Att,2,nrES_Raw,"&gt;=0",nrES_AttPass,"No")&gt;0,"RETEST FAILED (first-attempt score shown)","")))</f>
        <v/>
      </c>
      <c r="F53" s="21">
        <f>IF($B53="","",IF(OR(cfgCurrentSpellingNum&lt;cfgCurrentExamNum,cfgCurrentSpellingNum&lt;=0,cfgCurrentSpellingNum&gt;12),"(omitted)",_xlfn.LET(_xlpm.sc,IF(INDEX(Spelling!$D50:$O50,cfgCurrentSpellingNum)="","",INDEX(Spelling!$D50:$O50,cfgCurrentSpellingNum)),_xlpm.av,Spelling!$P50,IF(AND(ISNUMBER(_xlpm.av),_xlpm.av&lt;cfgSpellInterventionAvg),_xlpm.sc&amp;" (avg "&amp;_xlpm.av&amp;")",_xlpm.sc))))</f>
        <v/>
      </c>
      <c r="G53" s="21">
        <f>IF($B53="","",IF(OR(cfgCurrentSpellingNum&lt;cfgCurrentExamNum,cfgCurrentSpellingNum&lt;=0,cfgCurrentSpellingNum&gt;12),"",IF(Spelling!$R50="INTERVENTION","BELOW "&amp;cfgSpellInterventionAvg&amp;" — intervention","")))</f>
        <v/>
      </c>
      <c r="H53" s="21">
        <f>IF($B53="","",sysAttendance!$J50&amp;" / PT "&amp;sysAttendance!$R50)</f>
        <v/>
      </c>
      <c r="I53" s="21">
        <f>IF($B53="","",Writing!$AT50&amp;" ("&amp;Writing!$AS50&amp;" overdue)")</f>
        <v/>
      </c>
      <c r="J53" s="21">
        <f>IF($B53="","",sysFlags!$T50)</f>
        <v/>
      </c>
    </row>
    <row r="54">
      <c r="B54" s="21">
        <f>IF(IF(OR(Cadets!$B51="",Cadets!$I51&lt;&gt;"Active"),FALSE,OR(cfgPreviewAgency=cfgHomeAgency,Cadets!$G51=cfgPreviewAgency)),Cadets!$F51,"")</f>
        <v/>
      </c>
      <c r="C54" s="21">
        <f>IF($B54="","",IF(COUNTIFS(nrES_PID,Cadets!$B51,nrES_Seq,cfgCurrentExamNum,nrES_Final,"Yes",nrES_Rec,"&gt;=0")=0,"",SUMIFS(nrES_Rec,nrES_PID,Cadets!$B51,nrES_Seq,cfgCurrentExamNum,nrES_Final,"Yes")))</f>
        <v/>
      </c>
      <c r="D54" s="21">
        <f>IF($B54="","",IFERROR(ROUND(AVERAGEIFS(nrES_Rec,nrES_Seq,cfgCurrentExamNum,nrES_Final,"Yes",nrES_Rec,"&gt;=0",nrES_Rec,"&lt;=100"),1),""))</f>
        <v/>
      </c>
      <c r="E54" s="21">
        <f>IF($B54="","",IF(COUNTIFS(nrES_PID,Cadets!$B51,nrES_Seq,cfgCurrentExamNum,nrES_Att,2,nrES_Raw,"&gt;=0",nrES_AttPass,"Yes")&gt;0,"RETEST (cap 70)",IF(COUNTIFS(nrES_PID,Cadets!$B51,nrES_Seq,cfgCurrentExamNum,nrES_Att,2,nrES_Raw,"&gt;=0",nrES_AttPass,"No")&gt;0,"RETEST FAILED (first-attempt score shown)","")))</f>
        <v/>
      </c>
      <c r="F54" s="21">
        <f>IF($B54="","",IF(OR(cfgCurrentSpellingNum&lt;cfgCurrentExamNum,cfgCurrentSpellingNum&lt;=0,cfgCurrentSpellingNum&gt;12),"(omitted)",_xlfn.LET(_xlpm.sc,IF(INDEX(Spelling!$D51:$O51,cfgCurrentSpellingNum)="","",INDEX(Spelling!$D51:$O51,cfgCurrentSpellingNum)),_xlpm.av,Spelling!$P51,IF(AND(ISNUMBER(_xlpm.av),_xlpm.av&lt;cfgSpellInterventionAvg),_xlpm.sc&amp;" (avg "&amp;_xlpm.av&amp;")",_xlpm.sc))))</f>
        <v/>
      </c>
      <c r="G54" s="21">
        <f>IF($B54="","",IF(OR(cfgCurrentSpellingNum&lt;cfgCurrentExamNum,cfgCurrentSpellingNum&lt;=0,cfgCurrentSpellingNum&gt;12),"",IF(Spelling!$R51="INTERVENTION","BELOW "&amp;cfgSpellInterventionAvg&amp;" — intervention","")))</f>
        <v/>
      </c>
      <c r="H54" s="21">
        <f>IF($B54="","",sysAttendance!$J51&amp;" / PT "&amp;sysAttendance!$R51)</f>
        <v/>
      </c>
      <c r="I54" s="21">
        <f>IF($B54="","",Writing!$AT51&amp;" ("&amp;Writing!$AS51&amp;" overdue)")</f>
        <v/>
      </c>
      <c r="J54" s="21">
        <f>IF($B54="","",sysFlags!$T51)</f>
        <v/>
      </c>
    </row>
    <row r="55">
      <c r="B55" s="21">
        <f>IF(IF(OR(Cadets!$B52="",Cadets!$I52&lt;&gt;"Active"),FALSE,OR(cfgPreviewAgency=cfgHomeAgency,Cadets!$G52=cfgPreviewAgency)),Cadets!$F52,"")</f>
        <v/>
      </c>
      <c r="C55" s="21">
        <f>IF($B55="","",IF(COUNTIFS(nrES_PID,Cadets!$B52,nrES_Seq,cfgCurrentExamNum,nrES_Final,"Yes",nrES_Rec,"&gt;=0")=0,"",SUMIFS(nrES_Rec,nrES_PID,Cadets!$B52,nrES_Seq,cfgCurrentExamNum,nrES_Final,"Yes")))</f>
        <v/>
      </c>
      <c r="D55" s="21">
        <f>IF($B55="","",IFERROR(ROUND(AVERAGEIFS(nrES_Rec,nrES_Seq,cfgCurrentExamNum,nrES_Final,"Yes",nrES_Rec,"&gt;=0",nrES_Rec,"&lt;=100"),1),""))</f>
        <v/>
      </c>
      <c r="E55" s="21">
        <f>IF($B55="","",IF(COUNTIFS(nrES_PID,Cadets!$B52,nrES_Seq,cfgCurrentExamNum,nrES_Att,2,nrES_Raw,"&gt;=0",nrES_AttPass,"Yes")&gt;0,"RETEST (cap 70)",IF(COUNTIFS(nrES_PID,Cadets!$B52,nrES_Seq,cfgCurrentExamNum,nrES_Att,2,nrES_Raw,"&gt;=0",nrES_AttPass,"No")&gt;0,"RETEST FAILED (first-attempt score shown)","")))</f>
        <v/>
      </c>
      <c r="F55" s="21">
        <f>IF($B55="","",IF(OR(cfgCurrentSpellingNum&lt;cfgCurrentExamNum,cfgCurrentSpellingNum&lt;=0,cfgCurrentSpellingNum&gt;12),"(omitted)",_xlfn.LET(_xlpm.sc,IF(INDEX(Spelling!$D52:$O52,cfgCurrentSpellingNum)="","",INDEX(Spelling!$D52:$O52,cfgCurrentSpellingNum)),_xlpm.av,Spelling!$P52,IF(AND(ISNUMBER(_xlpm.av),_xlpm.av&lt;cfgSpellInterventionAvg),_xlpm.sc&amp;" (avg "&amp;_xlpm.av&amp;")",_xlpm.sc))))</f>
        <v/>
      </c>
      <c r="G55" s="21">
        <f>IF($B55="","",IF(OR(cfgCurrentSpellingNum&lt;cfgCurrentExamNum,cfgCurrentSpellingNum&lt;=0,cfgCurrentSpellingNum&gt;12),"",IF(Spelling!$R52="INTERVENTION","BELOW "&amp;cfgSpellInterventionAvg&amp;" — intervention","")))</f>
        <v/>
      </c>
      <c r="H55" s="21">
        <f>IF($B55="","",sysAttendance!$J52&amp;" / PT "&amp;sysAttendance!$R52)</f>
        <v/>
      </c>
      <c r="I55" s="21">
        <f>IF($B55="","",Writing!$AT52&amp;" ("&amp;Writing!$AS52&amp;" overdue)")</f>
        <v/>
      </c>
      <c r="J55" s="21">
        <f>IF($B55="","",sysFlags!$T52)</f>
        <v/>
      </c>
    </row>
    <row r="56">
      <c r="B56" s="21">
        <f>IF(IF(OR(Cadets!$B53="",Cadets!$I53&lt;&gt;"Active"),FALSE,OR(cfgPreviewAgency=cfgHomeAgency,Cadets!$G53=cfgPreviewAgency)),Cadets!$F53,"")</f>
        <v/>
      </c>
      <c r="C56" s="21">
        <f>IF($B56="","",IF(COUNTIFS(nrES_PID,Cadets!$B53,nrES_Seq,cfgCurrentExamNum,nrES_Final,"Yes",nrES_Rec,"&gt;=0")=0,"",SUMIFS(nrES_Rec,nrES_PID,Cadets!$B53,nrES_Seq,cfgCurrentExamNum,nrES_Final,"Yes")))</f>
        <v/>
      </c>
      <c r="D56" s="21">
        <f>IF($B56="","",IFERROR(ROUND(AVERAGEIFS(nrES_Rec,nrES_Seq,cfgCurrentExamNum,nrES_Final,"Yes",nrES_Rec,"&gt;=0",nrES_Rec,"&lt;=100"),1),""))</f>
        <v/>
      </c>
      <c r="E56" s="21">
        <f>IF($B56="","",IF(COUNTIFS(nrES_PID,Cadets!$B53,nrES_Seq,cfgCurrentExamNum,nrES_Att,2,nrES_Raw,"&gt;=0",nrES_AttPass,"Yes")&gt;0,"RETEST (cap 70)",IF(COUNTIFS(nrES_PID,Cadets!$B53,nrES_Seq,cfgCurrentExamNum,nrES_Att,2,nrES_Raw,"&gt;=0",nrES_AttPass,"No")&gt;0,"RETEST FAILED (first-attempt score shown)","")))</f>
        <v/>
      </c>
      <c r="F56" s="21">
        <f>IF($B56="","",IF(OR(cfgCurrentSpellingNum&lt;cfgCurrentExamNum,cfgCurrentSpellingNum&lt;=0,cfgCurrentSpellingNum&gt;12),"(omitted)",_xlfn.LET(_xlpm.sc,IF(INDEX(Spelling!$D53:$O53,cfgCurrentSpellingNum)="","",INDEX(Spelling!$D53:$O53,cfgCurrentSpellingNum)),_xlpm.av,Spelling!$P53,IF(AND(ISNUMBER(_xlpm.av),_xlpm.av&lt;cfgSpellInterventionAvg),_xlpm.sc&amp;" (avg "&amp;_xlpm.av&amp;")",_xlpm.sc))))</f>
        <v/>
      </c>
      <c r="G56" s="21">
        <f>IF($B56="","",IF(OR(cfgCurrentSpellingNum&lt;cfgCurrentExamNum,cfgCurrentSpellingNum&lt;=0,cfgCurrentSpellingNum&gt;12),"",IF(Spelling!$R53="INTERVENTION","BELOW "&amp;cfgSpellInterventionAvg&amp;" — intervention","")))</f>
        <v/>
      </c>
      <c r="H56" s="21">
        <f>IF($B56="","",sysAttendance!$J53&amp;" / PT "&amp;sysAttendance!$R53)</f>
        <v/>
      </c>
      <c r="I56" s="21">
        <f>IF($B56="","",Writing!$AT53&amp;" ("&amp;Writing!$AS53&amp;" overdue)")</f>
        <v/>
      </c>
      <c r="J56" s="21">
        <f>IF($B56="","",sysFlags!$T53)</f>
        <v/>
      </c>
    </row>
    <row r="57">
      <c r="B57" s="21">
        <f>IF(IF(OR(Cadets!$B54="",Cadets!$I54&lt;&gt;"Active"),FALSE,OR(cfgPreviewAgency=cfgHomeAgency,Cadets!$G54=cfgPreviewAgency)),Cadets!$F54,"")</f>
        <v/>
      </c>
      <c r="C57" s="21">
        <f>IF($B57="","",IF(COUNTIFS(nrES_PID,Cadets!$B54,nrES_Seq,cfgCurrentExamNum,nrES_Final,"Yes",nrES_Rec,"&gt;=0")=0,"",SUMIFS(nrES_Rec,nrES_PID,Cadets!$B54,nrES_Seq,cfgCurrentExamNum,nrES_Final,"Yes")))</f>
        <v/>
      </c>
      <c r="D57" s="21">
        <f>IF($B57="","",IFERROR(ROUND(AVERAGEIFS(nrES_Rec,nrES_Seq,cfgCurrentExamNum,nrES_Final,"Yes",nrES_Rec,"&gt;=0",nrES_Rec,"&lt;=100"),1),""))</f>
        <v/>
      </c>
      <c r="E57" s="21">
        <f>IF($B57="","",IF(COUNTIFS(nrES_PID,Cadets!$B54,nrES_Seq,cfgCurrentExamNum,nrES_Att,2,nrES_Raw,"&gt;=0",nrES_AttPass,"Yes")&gt;0,"RETEST (cap 70)",IF(COUNTIFS(nrES_PID,Cadets!$B54,nrES_Seq,cfgCurrentExamNum,nrES_Att,2,nrES_Raw,"&gt;=0",nrES_AttPass,"No")&gt;0,"RETEST FAILED (first-attempt score shown)","")))</f>
        <v/>
      </c>
      <c r="F57" s="21">
        <f>IF($B57="","",IF(OR(cfgCurrentSpellingNum&lt;cfgCurrentExamNum,cfgCurrentSpellingNum&lt;=0,cfgCurrentSpellingNum&gt;12),"(omitted)",_xlfn.LET(_xlpm.sc,IF(INDEX(Spelling!$D54:$O54,cfgCurrentSpellingNum)="","",INDEX(Spelling!$D54:$O54,cfgCurrentSpellingNum)),_xlpm.av,Spelling!$P54,IF(AND(ISNUMBER(_xlpm.av),_xlpm.av&lt;cfgSpellInterventionAvg),_xlpm.sc&amp;" (avg "&amp;_xlpm.av&amp;")",_xlpm.sc))))</f>
        <v/>
      </c>
      <c r="G57" s="21">
        <f>IF($B57="","",IF(OR(cfgCurrentSpellingNum&lt;cfgCurrentExamNum,cfgCurrentSpellingNum&lt;=0,cfgCurrentSpellingNum&gt;12),"",IF(Spelling!$R54="INTERVENTION","BELOW "&amp;cfgSpellInterventionAvg&amp;" — intervention","")))</f>
        <v/>
      </c>
      <c r="H57" s="21">
        <f>IF($B57="","",sysAttendance!$J54&amp;" / PT "&amp;sysAttendance!$R54)</f>
        <v/>
      </c>
      <c r="I57" s="21">
        <f>IF($B57="","",Writing!$AT54&amp;" ("&amp;Writing!$AS54&amp;" overdue)")</f>
        <v/>
      </c>
      <c r="J57" s="21">
        <f>IF($B57="","",sysFlags!$T54)</f>
        <v/>
      </c>
    </row>
    <row r="58">
      <c r="B58" s="21">
        <f>IF(IF(OR(Cadets!$B55="",Cadets!$I55&lt;&gt;"Active"),FALSE,OR(cfgPreviewAgency=cfgHomeAgency,Cadets!$G55=cfgPreviewAgency)),Cadets!$F55,"")</f>
        <v/>
      </c>
      <c r="C58" s="21">
        <f>IF($B58="","",IF(COUNTIFS(nrES_PID,Cadets!$B55,nrES_Seq,cfgCurrentExamNum,nrES_Final,"Yes",nrES_Rec,"&gt;=0")=0,"",SUMIFS(nrES_Rec,nrES_PID,Cadets!$B55,nrES_Seq,cfgCurrentExamNum,nrES_Final,"Yes")))</f>
        <v/>
      </c>
      <c r="D58" s="21">
        <f>IF($B58="","",IFERROR(ROUND(AVERAGEIFS(nrES_Rec,nrES_Seq,cfgCurrentExamNum,nrES_Final,"Yes",nrES_Rec,"&gt;=0",nrES_Rec,"&lt;=100"),1),""))</f>
        <v/>
      </c>
      <c r="E58" s="21">
        <f>IF($B58="","",IF(COUNTIFS(nrES_PID,Cadets!$B55,nrES_Seq,cfgCurrentExamNum,nrES_Att,2,nrES_Raw,"&gt;=0",nrES_AttPass,"Yes")&gt;0,"RETEST (cap 70)",IF(COUNTIFS(nrES_PID,Cadets!$B55,nrES_Seq,cfgCurrentExamNum,nrES_Att,2,nrES_Raw,"&gt;=0",nrES_AttPass,"No")&gt;0,"RETEST FAILED (first-attempt score shown)","")))</f>
        <v/>
      </c>
      <c r="F58" s="21">
        <f>IF($B58="","",IF(OR(cfgCurrentSpellingNum&lt;cfgCurrentExamNum,cfgCurrentSpellingNum&lt;=0,cfgCurrentSpellingNum&gt;12),"(omitted)",_xlfn.LET(_xlpm.sc,IF(INDEX(Spelling!$D55:$O55,cfgCurrentSpellingNum)="","",INDEX(Spelling!$D55:$O55,cfgCurrentSpellingNum)),_xlpm.av,Spelling!$P55,IF(AND(ISNUMBER(_xlpm.av),_xlpm.av&lt;cfgSpellInterventionAvg),_xlpm.sc&amp;" (avg "&amp;_xlpm.av&amp;")",_xlpm.sc))))</f>
        <v/>
      </c>
      <c r="G58" s="21">
        <f>IF($B58="","",IF(OR(cfgCurrentSpellingNum&lt;cfgCurrentExamNum,cfgCurrentSpellingNum&lt;=0,cfgCurrentSpellingNum&gt;12),"",IF(Spelling!$R55="INTERVENTION","BELOW "&amp;cfgSpellInterventionAvg&amp;" — intervention","")))</f>
        <v/>
      </c>
      <c r="H58" s="21">
        <f>IF($B58="","",sysAttendance!$J55&amp;" / PT "&amp;sysAttendance!$R55)</f>
        <v/>
      </c>
      <c r="I58" s="21">
        <f>IF($B58="","",Writing!$AT55&amp;" ("&amp;Writing!$AS55&amp;" overdue)")</f>
        <v/>
      </c>
      <c r="J58" s="21">
        <f>IF($B58="","",sysFlags!$T55)</f>
        <v/>
      </c>
    </row>
    <row r="60" ht="16" customHeight="1">
      <c r="B60" s="7" t="inlineStr">
        <is>
          <t>Marked-for-reporting items since last email to this agency (incidents / counseling / memos you flagged Yes)</t>
        </is>
      </c>
    </row>
    <row r="61" ht="26" customHeight="1">
      <c r="B61" s="12" t="inlineStr">
        <is>
          <t>Date</t>
        </is>
      </c>
      <c r="C61" s="12" t="inlineStr">
        <is>
          <t>Cadet</t>
        </is>
      </c>
      <c r="D61" s="12" t="inlineStr">
        <is>
          <t>Type</t>
        </is>
      </c>
      <c r="E61" s="12" t="inlineStr">
        <is>
          <t>Severity/Kind</t>
        </is>
      </c>
      <c r="F61" s="12" t="inlineStr">
        <is>
          <t>Description</t>
        </is>
      </c>
    </row>
    <row r="62">
      <c r="B62" s="35">
        <f>IFERROR(_xlfn.LET(_xlpm.cutoff,INT(IFERROR(_xlfn.MAXIFS(nrELdate,nrELagency,cfgPreviewAgency),0)),_xlpm.inc,_xlfn._xlws.FILTER(_xlfn.HSTACK(nrIN_Date,IFERROR(_xlfn.XLOOKUP(nrIN_PID,rngCadetPIDs,rngCadetNames),""),IF(_xlfn.SEQUENCE(ROWS(nrIN_Date)),"Incident"),nrIN_Sev,nrIN_Desc),(nrIN_Date&gt;=_xlpm.cutoff)*(nrIN_Report="Yes")*IFERROR((_xlfn.XLOOKUP(nrIN_PID,rngCadetPIDs,nrCadetAgencyID)=cfgPreviewAgency)+(cfgPreviewAgency=cfgHomeAgency),0),{"","","","",""}),_xlpm.cns,_xlfn._xlws.FILTER(_xlfn.HSTACK(nrCO_Date,IFERROR(_xlfn.XLOOKUP(nrCO_PID,rngCadetPIDs,rngCadetNames),""),IF(_xlfn.SEQUENCE(ROWS(nrCO_Date)),"Counseling"),nrCO_Type,nrCO_Desc),(nrCO_Date&gt;=_xlpm.cutoff)*(nrCO_Report="Yes")*IFERROR((_xlfn.XLOOKUP(nrCO_PID,rngCadetPIDs,nrCadetAgencyID)=cfgPreviewAgency)+(cfgPreviewAgency=cfgHomeAgency),0),{"","","","",""}),_xlpm.mem,_xlfn._xlws.FILTER(_xlfn.HSTACK(nrME_Assigned,IFERROR(_xlfn.XLOOKUP(nrME_PID,rngCadetPIDs,rngCadetNames),""),IF(_xlfn.SEQUENCE(ROWS(nrME_Assigned)),"Memo"),nrME_Status,nrME_Subject),(nrME_Assigned&gt;=_xlpm.cutoff)*(nrME_Report="Yes")*IFERROR((_xlfn.XLOOKUP(nrME_PID,rngCadetPIDs,nrCadetAgencyID)=cfgPreviewAgency)+(cfgPreviewAgency=cfgHomeAgency),0),{"","","","",""}),_xlpm.all,_xlfn.VSTACK(_xlpm.inc,_xlpm.cns,_xlpm.mem),_xlfn._xlws.SORT(_xlfn._xlws.FILTER(_xlpm.all,INDEX(_xlpm.all,0,1)&lt;&gt;"","— nothing marked for this agency since last email —"),1)),"⚠ LIST UNAVAILABLE - a reference in this panel is broken; do NOT read it as 'nothing to report'")</f>
        <v/>
      </c>
    </row>
    <row r="63">
      <c r="B63" s="35" t="n"/>
    </row>
    <row r="64">
      <c r="B64" s="35" t="n"/>
    </row>
    <row r="65">
      <c r="B65" s="35" t="n"/>
    </row>
    <row r="66">
      <c r="B66" s="35" t="n"/>
    </row>
    <row r="67">
      <c r="B67" s="35" t="n"/>
    </row>
    <row r="68">
      <c r="B68" s="35" t="n"/>
    </row>
    <row r="69">
      <c r="B69" s="35" t="n"/>
    </row>
    <row r="70">
      <c r="B70" s="35" t="n"/>
    </row>
    <row r="71">
      <c r="B71" s="35" t="n"/>
    </row>
    <row r="72">
      <c r="B72" s="35" t="n"/>
    </row>
    <row r="73">
      <c r="B73" s="35" t="n"/>
    </row>
    <row r="74">
      <c r="B74" s="35" t="n"/>
    </row>
    <row r="75">
      <c r="B75" s="35" t="n"/>
    </row>
    <row r="76">
      <c r="B76" s="35" t="n"/>
    </row>
    <row r="77">
      <c r="B77" s="35" t="n"/>
    </row>
    <row r="78">
      <c r="B78" s="35" t="n"/>
    </row>
    <row r="79">
      <c r="B79" s="35" t="n"/>
    </row>
    <row r="80">
      <c r="B80" s="35" t="n"/>
    </row>
    <row r="81">
      <c r="B81" s="35" t="n"/>
    </row>
    <row r="82">
      <c r="B82" s="35" t="n"/>
    </row>
    <row r="83">
      <c r="B83" s="35" t="n"/>
    </row>
    <row r="84">
      <c r="B84" s="35" t="n"/>
    </row>
    <row r="85">
      <c r="B85" s="35" t="n"/>
    </row>
    <row r="86">
      <c r="B86" s="35" t="n"/>
    </row>
    <row r="87">
      <c r="B87" s="35" t="n"/>
    </row>
    <row r="88">
      <c r="B88" s="35" t="n"/>
    </row>
    <row r="89">
      <c r="B89" s="35" t="n"/>
    </row>
    <row r="90">
      <c r="B90" s="35" t="n"/>
    </row>
    <row r="91">
      <c r="B91" s="35" t="n"/>
    </row>
    <row r="92">
      <c r="B92" s="35" t="n"/>
    </row>
    <row r="93">
      <c r="B93" s="35" t="n"/>
    </row>
    <row r="94">
      <c r="B94" s="35" t="n"/>
    </row>
    <row r="95">
      <c r="B95" s="35" t="n"/>
    </row>
    <row r="96">
      <c r="B96" s="35" t="n"/>
    </row>
    <row r="97">
      <c r="B97" s="35" t="n"/>
    </row>
    <row r="98">
      <c r="B98" s="35" t="n"/>
    </row>
    <row r="99">
      <c r="B99" s="35" t="n"/>
    </row>
    <row r="100">
      <c r="B100" s="35" t="n"/>
    </row>
    <row r="101">
      <c r="B101" s="35" t="n"/>
    </row>
    <row r="102">
      <c r="B102" s="35" t="n"/>
    </row>
    <row r="103">
      <c r="B103" s="35" t="n"/>
    </row>
    <row r="104">
      <c r="B104" s="35" t="n"/>
    </row>
    <row r="105">
      <c r="B105" s="35" t="n"/>
    </row>
    <row r="106">
      <c r="B106" s="35" t="n"/>
    </row>
    <row r="107">
      <c r="B107" s="35" t="n"/>
    </row>
    <row r="108">
      <c r="B108" s="35" t="n"/>
    </row>
    <row r="109">
      <c r="B109" s="35" t="n"/>
    </row>
    <row r="110">
      <c r="B110" s="35" t="n"/>
    </row>
    <row r="111">
      <c r="B111" s="35" t="n"/>
    </row>
    <row r="112">
      <c r="B112" s="35" t="n"/>
    </row>
    <row r="113">
      <c r="B113" s="35" t="n"/>
    </row>
    <row r="114">
      <c r="B114" s="35" t="n"/>
    </row>
    <row r="115">
      <c r="B115" s="35" t="n"/>
    </row>
    <row r="116">
      <c r="B116" s="35" t="n"/>
    </row>
    <row r="117">
      <c r="B117" s="35" t="n"/>
    </row>
    <row r="118">
      <c r="B118" s="35" t="n"/>
    </row>
    <row r="119">
      <c r="B119" s="35" t="n"/>
    </row>
    <row r="120">
      <c r="B120" s="35" t="n"/>
    </row>
    <row r="121">
      <c r="B121" s="35" t="n"/>
    </row>
    <row r="122">
      <c r="B122" s="35" t="n"/>
    </row>
    <row r="123">
      <c r="B123" s="35" t="n"/>
    </row>
    <row r="124">
      <c r="B124" s="35" t="n"/>
    </row>
    <row r="125">
      <c r="B125" s="35" t="n"/>
    </row>
    <row r="126">
      <c r="B126" s="35" t="n"/>
    </row>
    <row r="127">
      <c r="B127" s="35" t="n"/>
    </row>
    <row r="128">
      <c r="B128" s="35" t="n"/>
    </row>
    <row r="129">
      <c r="B129" s="35" t="n"/>
    </row>
    <row r="130">
      <c r="B130" s="35" t="n"/>
    </row>
    <row r="131">
      <c r="B131" s="35" t="n"/>
    </row>
    <row r="132">
      <c r="B132" s="35" t="n"/>
    </row>
    <row r="133">
      <c r="B133" s="35" t="n"/>
    </row>
    <row r="134">
      <c r="B134" s="35" t="n"/>
    </row>
    <row r="135">
      <c r="B135" s="35" t="n"/>
    </row>
    <row r="136">
      <c r="B136" s="35" t="n"/>
    </row>
    <row r="137">
      <c r="B137" s="35" t="n"/>
    </row>
    <row r="138">
      <c r="B138" s="35" t="n"/>
    </row>
    <row r="139">
      <c r="B139" s="35" t="n"/>
    </row>
    <row r="140">
      <c r="B140" s="35" t="n"/>
    </row>
    <row r="141">
      <c r="B141" s="35" t="n"/>
    </row>
    <row r="142">
      <c r="B142" s="35" t="n"/>
    </row>
    <row r="143">
      <c r="B143" s="35" t="n"/>
    </row>
    <row r="144">
      <c r="B144" s="35" t="n"/>
    </row>
    <row r="145">
      <c r="B145" s="35" t="n"/>
    </row>
    <row r="146">
      <c r="B146" s="35" t="n"/>
    </row>
    <row r="147">
      <c r="B147" s="35" t="n"/>
    </row>
    <row r="148">
      <c r="B148" s="35" t="n"/>
    </row>
    <row r="149">
      <c r="B149" s="35" t="n"/>
    </row>
    <row r="150">
      <c r="B150" s="35" t="n"/>
    </row>
    <row r="151">
      <c r="B151" s="35" t="n"/>
    </row>
    <row r="152">
      <c r="B152" s="35" t="n"/>
    </row>
    <row r="153">
      <c r="B153" s="35" t="n"/>
    </row>
    <row r="154">
      <c r="B154" s="35" t="n"/>
    </row>
    <row r="155">
      <c r="B155" s="35" t="n"/>
    </row>
    <row r="156">
      <c r="B156" s="35" t="n"/>
    </row>
    <row r="157">
      <c r="B157" s="35" t="n"/>
    </row>
    <row r="158">
      <c r="B158" s="35" t="n"/>
    </row>
    <row r="159">
      <c r="B159" s="35" t="n"/>
    </row>
    <row r="160">
      <c r="B160" s="35" t="n"/>
    </row>
    <row r="161">
      <c r="B161" s="35" t="n"/>
    </row>
    <row r="162">
      <c r="B162" s="35" t="n"/>
    </row>
    <row r="163">
      <c r="B163" s="35" t="n"/>
    </row>
    <row r="164">
      <c r="B164" s="35" t="n"/>
    </row>
    <row r="165">
      <c r="B165" s="35" t="n"/>
    </row>
    <row r="166">
      <c r="B166" s="35" t="n"/>
    </row>
    <row r="167">
      <c r="B167" s="35" t="n"/>
    </row>
    <row r="168">
      <c r="B168" s="35" t="n"/>
    </row>
    <row r="169">
      <c r="B169" s="35" t="n"/>
    </row>
    <row r="170">
      <c r="B170" s="35" t="n"/>
    </row>
    <row r="171">
      <c r="B171" s="35" t="n"/>
    </row>
    <row r="172">
      <c r="B172" s="35" t="n"/>
    </row>
    <row r="173">
      <c r="B173" s="35" t="n"/>
    </row>
    <row r="174">
      <c r="B174" s="35" t="n"/>
    </row>
    <row r="175">
      <c r="B175" s="35" t="n"/>
    </row>
    <row r="176">
      <c r="B176" s="35" t="n"/>
    </row>
    <row r="177">
      <c r="B177" s="35" t="n"/>
    </row>
    <row r="178">
      <c r="B178" s="35" t="n"/>
    </row>
    <row r="179">
      <c r="B179" s="35" t="n"/>
    </row>
    <row r="180">
      <c r="B180" s="35" t="n"/>
    </row>
    <row r="181">
      <c r="B181" s="35" t="n"/>
    </row>
    <row r="182">
      <c r="B182" s="35" t="n"/>
    </row>
    <row r="183">
      <c r="B183" s="35" t="n"/>
    </row>
    <row r="184">
      <c r="B184" s="35" t="n"/>
    </row>
    <row r="185">
      <c r="B185" s="35" t="n"/>
    </row>
    <row r="186">
      <c r="B186" s="35" t="n"/>
    </row>
    <row r="187">
      <c r="B187" s="35" t="n"/>
    </row>
    <row r="188">
      <c r="B188" s="35" t="n"/>
    </row>
    <row r="189">
      <c r="B189" s="35" t="n"/>
    </row>
    <row r="190">
      <c r="B190" s="35" t="n"/>
    </row>
    <row r="191">
      <c r="B191" s="35" t="n"/>
    </row>
    <row r="192">
      <c r="B192" s="35" t="n"/>
    </row>
    <row r="193">
      <c r="B193" s="35" t="n"/>
    </row>
    <row r="194">
      <c r="B194" s="35" t="n"/>
    </row>
    <row r="195">
      <c r="B195" s="35" t="n"/>
    </row>
    <row r="196">
      <c r="B196" s="35" t="n"/>
    </row>
    <row r="197">
      <c r="B197" s="35" t="n"/>
    </row>
    <row r="198">
      <c r="B198" s="35" t="n"/>
    </row>
    <row r="199">
      <c r="B199" s="35" t="n"/>
    </row>
    <row r="200">
      <c r="B200" s="35" t="n"/>
    </row>
    <row r="201">
      <c r="B201" s="35" t="n"/>
    </row>
    <row r="202">
      <c r="B202" s="35" t="n"/>
    </row>
    <row r="203">
      <c r="B203" s="35" t="n"/>
    </row>
    <row r="204">
      <c r="B204" s="35" t="n"/>
    </row>
    <row r="205">
      <c r="B205" s="35" t="n"/>
    </row>
    <row r="206">
      <c r="B206" s="35" t="n"/>
    </row>
    <row r="207">
      <c r="B207" s="35" t="n"/>
    </row>
    <row r="208">
      <c r="B208" s="35" t="n"/>
    </row>
    <row r="209">
      <c r="B209" s="35" t="n"/>
    </row>
    <row r="210">
      <c r="B210" s="35" t="n"/>
    </row>
    <row r="211">
      <c r="B211" s="35" t="n"/>
    </row>
    <row r="212">
      <c r="B212" s="35" t="n"/>
    </row>
    <row r="213">
      <c r="B213" s="35" t="n"/>
    </row>
    <row r="214">
      <c r="B214" s="35" t="n"/>
    </row>
    <row r="215">
      <c r="B215" s="35" t="n"/>
    </row>
    <row r="216">
      <c r="B216" s="35" t="n"/>
    </row>
    <row r="217">
      <c r="B217" s="35" t="n"/>
    </row>
    <row r="218">
      <c r="B218" s="35" t="n"/>
    </row>
    <row r="219">
      <c r="B219" s="35" t="n"/>
    </row>
    <row r="220">
      <c r="B220" s="35" t="n"/>
    </row>
    <row r="221">
      <c r="B221" s="35" t="n"/>
    </row>
    <row r="222">
      <c r="B222" s="35" t="n"/>
    </row>
    <row r="223">
      <c r="B223" s="35" t="n"/>
    </row>
    <row r="224">
      <c r="B224" s="35" t="n"/>
    </row>
    <row r="225">
      <c r="B225" s="35" t="n"/>
    </row>
    <row r="226">
      <c r="B226" s="35" t="n"/>
    </row>
    <row r="227">
      <c r="B227" s="35" t="n"/>
    </row>
    <row r="228">
      <c r="B228" s="35" t="n"/>
    </row>
    <row r="229">
      <c r="B229" s="35" t="n"/>
    </row>
    <row r="230">
      <c r="B230" s="35" t="n"/>
    </row>
    <row r="231">
      <c r="B231" s="35" t="n"/>
    </row>
    <row r="232">
      <c r="B232" s="35" t="n"/>
    </row>
    <row r="233">
      <c r="B233" s="35" t="n"/>
    </row>
    <row r="234">
      <c r="B234" s="35" t="n"/>
    </row>
    <row r="235">
      <c r="B235" s="35" t="n"/>
    </row>
    <row r="236">
      <c r="B236" s="35" t="n"/>
    </row>
    <row r="237">
      <c r="B237" s="35" t="n"/>
    </row>
    <row r="238">
      <c r="B238" s="35" t="n"/>
    </row>
    <row r="239">
      <c r="B239" s="35" t="n"/>
    </row>
    <row r="240">
      <c r="B240" s="35" t="n"/>
    </row>
    <row r="241">
      <c r="B241" s="35" t="n"/>
    </row>
    <row r="242">
      <c r="B242" s="35" t="n"/>
    </row>
    <row r="243">
      <c r="B243" s="35" t="n"/>
    </row>
    <row r="244">
      <c r="B244" s="35" t="n"/>
    </row>
    <row r="245">
      <c r="B245" s="35" t="n"/>
    </row>
    <row r="246">
      <c r="B246" s="35" t="n"/>
    </row>
    <row r="247">
      <c r="B247" s="35" t="n"/>
    </row>
    <row r="248">
      <c r="B248" s="35" t="n"/>
    </row>
    <row r="249">
      <c r="B249" s="35" t="n"/>
    </row>
    <row r="250">
      <c r="B250" s="35" t="n"/>
    </row>
    <row r="251">
      <c r="B251" s="35" t="n"/>
    </row>
    <row r="252">
      <c r="B252" s="35" t="n"/>
    </row>
    <row r="253">
      <c r="B253" s="35" t="n"/>
    </row>
    <row r="254">
      <c r="B254" s="35" t="n"/>
    </row>
    <row r="255">
      <c r="B255" s="35" t="n"/>
    </row>
    <row r="256">
      <c r="B256" s="35" t="n"/>
    </row>
    <row r="257">
      <c r="B257" s="35" t="n"/>
    </row>
    <row r="258">
      <c r="B258" s="35" t="n"/>
    </row>
    <row r="259">
      <c r="B259" s="35" t="n"/>
    </row>
    <row r="260">
      <c r="B260" s="35" t="n"/>
    </row>
    <row r="261">
      <c r="B261" s="35" t="n"/>
    </row>
    <row r="262">
      <c r="B262" s="35" t="n"/>
    </row>
    <row r="263">
      <c r="B263" s="35" t="n"/>
    </row>
    <row r="264">
      <c r="B264" s="35" t="n"/>
    </row>
    <row r="265">
      <c r="B265" s="35" t="n"/>
    </row>
    <row r="266">
      <c r="B266" s="35" t="n"/>
    </row>
    <row r="267">
      <c r="B267" s="35" t="n"/>
    </row>
    <row r="268">
      <c r="B268" s="35" t="n"/>
    </row>
    <row r="269">
      <c r="B269" s="35" t="n"/>
    </row>
    <row r="270">
      <c r="B270" s="35" t="n"/>
    </row>
    <row r="271">
      <c r="B271" s="35" t="n"/>
    </row>
    <row r="272">
      <c r="B272" s="35" t="n"/>
    </row>
    <row r="273">
      <c r="B273" s="35" t="n"/>
    </row>
    <row r="274">
      <c r="B274" s="35" t="n"/>
    </row>
    <row r="275">
      <c r="B275" s="35" t="n"/>
    </row>
    <row r="276">
      <c r="B276" s="35" t="n"/>
    </row>
    <row r="277">
      <c r="B277" s="35" t="n"/>
    </row>
    <row r="278">
      <c r="B278" s="35" t="n"/>
    </row>
    <row r="279">
      <c r="B279" s="35" t="n"/>
    </row>
    <row r="280">
      <c r="B280" s="35" t="n"/>
    </row>
    <row r="281">
      <c r="B281" s="35" t="n"/>
    </row>
    <row r="282">
      <c r="B282" s="35" t="n"/>
    </row>
    <row r="283">
      <c r="B283" s="35" t="n"/>
    </row>
    <row r="284">
      <c r="B284" s="35" t="n"/>
    </row>
    <row r="285">
      <c r="B285" s="35" t="n"/>
    </row>
    <row r="286">
      <c r="B286" s="35" t="n"/>
    </row>
    <row r="287">
      <c r="B287" s="35" t="n"/>
    </row>
    <row r="288">
      <c r="B288" s="35" t="n"/>
    </row>
    <row r="289">
      <c r="B289" s="35" t="n"/>
    </row>
    <row r="290">
      <c r="B290" s="35" t="n"/>
    </row>
    <row r="291">
      <c r="B291" s="35" t="n"/>
    </row>
    <row r="292">
      <c r="B292" s="35" t="n"/>
    </row>
    <row r="293">
      <c r="B293" s="35" t="n"/>
    </row>
    <row r="294">
      <c r="B294" s="35" t="n"/>
    </row>
    <row r="295">
      <c r="B295" s="35" t="n"/>
    </row>
    <row r="296">
      <c r="B296" s="35" t="n"/>
    </row>
    <row r="297">
      <c r="B297" s="35" t="n"/>
    </row>
    <row r="298">
      <c r="B298" s="35" t="n"/>
    </row>
    <row r="299">
      <c r="B299" s="35" t="n"/>
    </row>
    <row r="300">
      <c r="B300" s="35" t="n"/>
    </row>
    <row r="301">
      <c r="B301" s="35" t="n"/>
    </row>
    <row r="302">
      <c r="B302" s="35" t="n"/>
    </row>
    <row r="303">
      <c r="B303" s="35" t="n"/>
    </row>
    <row r="304">
      <c r="B304" s="35" t="n"/>
    </row>
    <row r="305">
      <c r="B305" s="35" t="n"/>
    </row>
    <row r="306">
      <c r="B306" s="35" t="n"/>
    </row>
    <row r="307">
      <c r="B307" s="35" t="n"/>
    </row>
    <row r="308">
      <c r="B308" s="35" t="n"/>
    </row>
    <row r="309">
      <c r="B309" s="35" t="n"/>
    </row>
    <row r="310">
      <c r="B310" s="35" t="n"/>
    </row>
    <row r="311">
      <c r="B311" s="35" t="n"/>
    </row>
    <row r="312">
      <c r="B312" s="35" t="n"/>
    </row>
    <row r="313">
      <c r="B313" s="35" t="n"/>
    </row>
    <row r="314">
      <c r="B314" s="35" t="n"/>
    </row>
    <row r="315">
      <c r="B315" s="35" t="n"/>
    </row>
    <row r="316">
      <c r="B316" s="35" t="n"/>
    </row>
    <row r="317">
      <c r="B317" s="35" t="n"/>
    </row>
    <row r="318">
      <c r="B318" s="35" t="n"/>
    </row>
    <row r="319">
      <c r="B319" s="35" t="n"/>
    </row>
    <row r="320">
      <c r="B320" s="35" t="n"/>
    </row>
    <row r="321">
      <c r="B321" s="35" t="n"/>
    </row>
    <row r="322">
      <c r="B322" s="35" t="n"/>
    </row>
    <row r="323">
      <c r="B323" s="35" t="n"/>
    </row>
    <row r="324">
      <c r="B324" s="35" t="n"/>
    </row>
    <row r="325">
      <c r="B325" s="35" t="n"/>
    </row>
    <row r="326">
      <c r="B326" s="35" t="n"/>
    </row>
    <row r="327">
      <c r="B327" s="35" t="n"/>
    </row>
    <row r="328">
      <c r="B328" s="35" t="n"/>
    </row>
    <row r="329">
      <c r="B329" s="35" t="n"/>
    </row>
    <row r="330">
      <c r="B330" s="35" t="n"/>
    </row>
    <row r="331">
      <c r="B331" s="35" t="n"/>
    </row>
    <row r="332">
      <c r="B332" s="35" t="n"/>
    </row>
    <row r="333">
      <c r="B333" s="35" t="n"/>
    </row>
    <row r="334">
      <c r="B334" s="35" t="n"/>
    </row>
    <row r="335">
      <c r="B335" s="35" t="n"/>
    </row>
    <row r="336">
      <c r="B336" s="35" t="n"/>
    </row>
    <row r="337">
      <c r="B337" s="35" t="n"/>
    </row>
    <row r="338">
      <c r="B338" s="35" t="n"/>
    </row>
    <row r="339">
      <c r="B339" s="35" t="n"/>
    </row>
    <row r="340">
      <c r="B340" s="35" t="n"/>
    </row>
    <row r="341">
      <c r="B341" s="35" t="n"/>
    </row>
    <row r="342">
      <c r="B342" s="35" t="n"/>
    </row>
    <row r="343">
      <c r="B343" s="35" t="n"/>
    </row>
    <row r="344">
      <c r="B344" s="35" t="n"/>
    </row>
    <row r="345">
      <c r="B345" s="35" t="n"/>
    </row>
    <row r="346">
      <c r="B346" s="35" t="n"/>
    </row>
    <row r="347">
      <c r="B347" s="35" t="n"/>
    </row>
    <row r="348">
      <c r="B348" s="35" t="n"/>
    </row>
    <row r="349">
      <c r="B349" s="35" t="n"/>
    </row>
    <row r="350">
      <c r="B350" s="35" t="n"/>
    </row>
    <row r="351">
      <c r="B351" s="35" t="n"/>
    </row>
    <row r="352">
      <c r="B352" s="35" t="n"/>
    </row>
    <row r="353">
      <c r="B353" s="35" t="n"/>
    </row>
    <row r="354">
      <c r="B354" s="35" t="n"/>
    </row>
    <row r="355">
      <c r="B355" s="35" t="n"/>
    </row>
    <row r="356">
      <c r="B356" s="35" t="n"/>
    </row>
    <row r="357">
      <c r="B357" s="35" t="n"/>
    </row>
    <row r="358">
      <c r="B358" s="35" t="n"/>
    </row>
    <row r="359">
      <c r="B359" s="35" t="n"/>
    </row>
    <row r="360">
      <c r="B360" s="35" t="n"/>
    </row>
    <row r="361">
      <c r="B361" s="35" t="n"/>
    </row>
  </sheetData>
  <sheetProtection selectLockedCells="0" selectUnlockedCells="0" sheet="1" objects="0" insertRows="1" insertHyperlinks="1" autoFilter="1" scenarios="0" formatColumns="1" deleteColumns="1" insertColumns="1" pivotTables="1" deleteRows="1" formatCells="1" formatRows="1" sort="1" password="B4BB"/>
  <mergeCells count="2">
    <mergeCell ref="B60:L60"/>
    <mergeCell ref="B7:L7"/>
  </mergeCells>
  <dataValidations count="1">
    <dataValidation sqref="C5" showDropDown="0" showInputMessage="0" showErrorMessage="1" allowBlank="1" type="list">
      <formula1>=rngAgencyIDs</formula1>
    </dataValidation>
  </dataValidations>
  <pageMargins left="0.75" right="0.75" top="1" bottom="1" header="0.5" footer="0.5"/>
</worksheet>
</file>

<file path=xl/worksheets/sheet38.xml><?xml version="1.0" encoding="utf-8"?>
<worksheet xmlns="http://schemas.openxmlformats.org/spreadsheetml/2006/main">
  <sheetPr>
    <tabColor rgb="002E75B6"/>
    <outlinePr summaryBelow="1" summaryRight="1"/>
    <pageSetUpPr/>
  </sheetPr>
  <dimension ref="B1:I505"/>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2" customWidth="1" min="2" max="2"/>
    <col width="10" customWidth="1" min="3" max="3"/>
    <col width="8" customWidth="1" min="4" max="4"/>
    <col width="10" customWidth="1" min="5" max="5"/>
    <col width="9" customWidth="1" min="6" max="6"/>
    <col width="22" customWidth="1" min="7" max="7"/>
    <col width="16" customWidth="1" min="8" max="8"/>
    <col width="30" customWidth="1" min="9" max="9"/>
  </cols>
  <sheetData>
    <row r="1">
      <c r="B1" s="10">
        <f>HYPERLINK("#Dashboard!B5","◄ Dashboard")</f>
        <v/>
      </c>
    </row>
    <row r="4">
      <c r="B4" s="11" t="inlineStr">
        <is>
          <t>Appended by the email macro (one row per agency) only after you confirm the draft was actually SENT — drafts are never auto-sent, and a row here advances that agency's since-last-report cutoff, so anything older drops out of every later digest. 'Last Email Sent' on Agencies and the digest cutoff read from here; delete a row logged in error.</t>
        </is>
      </c>
    </row>
    <row r="5" ht="26" customHeight="1">
      <c r="B5" s="12" t="inlineStr">
        <is>
          <t>Date</t>
        </is>
      </c>
      <c r="C5" s="12" t="inlineStr">
        <is>
          <t>AgencyID</t>
        </is>
      </c>
      <c r="D5" s="12" t="inlineStr">
        <is>
          <t>Exam #</t>
        </is>
      </c>
      <c r="E5" s="12" t="inlineStr">
        <is>
          <t>Spelling #</t>
        </is>
      </c>
      <c r="F5" s="12" t="inlineStr">
        <is>
          <t>Cadets</t>
        </is>
      </c>
      <c r="G5" s="12" t="inlineStr">
        <is>
          <t>Included Discipline Since</t>
        </is>
      </c>
      <c r="H5" s="12" t="inlineStr">
        <is>
          <t>Logged By</t>
        </is>
      </c>
      <c r="I5" s="12" t="inlineStr">
        <is>
          <t>Notes</t>
        </is>
      </c>
    </row>
    <row r="6">
      <c r="B6" s="18" t="n"/>
      <c r="C6" s="16" t="n"/>
      <c r="D6" s="16" t="n"/>
      <c r="E6" s="16" t="n"/>
      <c r="F6" s="16" t="n"/>
      <c r="G6" s="16" t="n"/>
      <c r="H6" s="16" t="n"/>
      <c r="I6" s="16" t="n"/>
    </row>
    <row r="7">
      <c r="B7" s="18" t="n"/>
      <c r="C7" s="16" t="n"/>
      <c r="D7" s="16" t="n"/>
      <c r="E7" s="16" t="n"/>
      <c r="F7" s="16" t="n"/>
      <c r="G7" s="16" t="n"/>
      <c r="H7" s="16" t="n"/>
      <c r="I7" s="16" t="n"/>
    </row>
    <row r="8">
      <c r="B8" s="18" t="n"/>
      <c r="C8" s="16" t="n"/>
      <c r="D8" s="16" t="n"/>
      <c r="E8" s="16" t="n"/>
      <c r="F8" s="16" t="n"/>
      <c r="G8" s="16" t="n"/>
      <c r="H8" s="16" t="n"/>
      <c r="I8" s="16" t="n"/>
    </row>
    <row r="9">
      <c r="B9" s="18" t="n"/>
      <c r="C9" s="16" t="n"/>
      <c r="D9" s="16" t="n"/>
      <c r="E9" s="16" t="n"/>
      <c r="F9" s="16" t="n"/>
      <c r="G9" s="16" t="n"/>
      <c r="H9" s="16" t="n"/>
      <c r="I9" s="16" t="n"/>
    </row>
    <row r="10">
      <c r="B10" s="18" t="n"/>
      <c r="C10" s="16" t="n"/>
      <c r="D10" s="16" t="n"/>
      <c r="E10" s="16" t="n"/>
      <c r="F10" s="16" t="n"/>
      <c r="G10" s="16" t="n"/>
      <c r="H10" s="16" t="n"/>
      <c r="I10" s="16" t="n"/>
    </row>
    <row r="11">
      <c r="B11" s="18" t="n"/>
      <c r="C11" s="16" t="n"/>
      <c r="D11" s="16" t="n"/>
      <c r="E11" s="16" t="n"/>
      <c r="F11" s="16" t="n"/>
      <c r="G11" s="16" t="n"/>
      <c r="H11" s="16" t="n"/>
      <c r="I11" s="16" t="n"/>
    </row>
    <row r="12">
      <c r="B12" s="18" t="n"/>
      <c r="C12" s="16" t="n"/>
      <c r="D12" s="16" t="n"/>
      <c r="E12" s="16" t="n"/>
      <c r="F12" s="16" t="n"/>
      <c r="G12" s="16" t="n"/>
      <c r="H12" s="16" t="n"/>
      <c r="I12" s="16" t="n"/>
    </row>
    <row r="13">
      <c r="B13" s="18" t="n"/>
      <c r="C13" s="16" t="n"/>
      <c r="D13" s="16" t="n"/>
      <c r="E13" s="16" t="n"/>
      <c r="F13" s="16" t="n"/>
      <c r="G13" s="16" t="n"/>
      <c r="H13" s="16" t="n"/>
      <c r="I13" s="16" t="n"/>
    </row>
    <row r="14">
      <c r="B14" s="18" t="n"/>
      <c r="C14" s="16" t="n"/>
      <c r="D14" s="16" t="n"/>
      <c r="E14" s="16" t="n"/>
      <c r="F14" s="16" t="n"/>
      <c r="G14" s="16" t="n"/>
      <c r="H14" s="16" t="n"/>
      <c r="I14" s="16" t="n"/>
    </row>
    <row r="15">
      <c r="B15" s="18" t="n"/>
      <c r="C15" s="16" t="n"/>
      <c r="D15" s="16" t="n"/>
      <c r="E15" s="16" t="n"/>
      <c r="F15" s="16" t="n"/>
      <c r="G15" s="16" t="n"/>
      <c r="H15" s="16" t="n"/>
      <c r="I15" s="16" t="n"/>
    </row>
    <row r="16">
      <c r="B16" s="18" t="n"/>
      <c r="C16" s="16" t="n"/>
      <c r="D16" s="16" t="n"/>
      <c r="E16" s="16" t="n"/>
      <c r="F16" s="16" t="n"/>
      <c r="G16" s="16" t="n"/>
      <c r="H16" s="16" t="n"/>
      <c r="I16" s="16" t="n"/>
    </row>
    <row r="17">
      <c r="B17" s="18" t="n"/>
      <c r="C17" s="16" t="n"/>
      <c r="D17" s="16" t="n"/>
      <c r="E17" s="16" t="n"/>
      <c r="F17" s="16" t="n"/>
      <c r="G17" s="16" t="n"/>
      <c r="H17" s="16" t="n"/>
      <c r="I17" s="16" t="n"/>
    </row>
    <row r="18">
      <c r="B18" s="18" t="n"/>
      <c r="C18" s="16" t="n"/>
      <c r="D18" s="16" t="n"/>
      <c r="E18" s="16" t="n"/>
      <c r="F18" s="16" t="n"/>
      <c r="G18" s="16" t="n"/>
      <c r="H18" s="16" t="n"/>
      <c r="I18" s="16" t="n"/>
    </row>
    <row r="19">
      <c r="B19" s="18" t="n"/>
      <c r="C19" s="16" t="n"/>
      <c r="D19" s="16" t="n"/>
      <c r="E19" s="16" t="n"/>
      <c r="F19" s="16" t="n"/>
      <c r="G19" s="16" t="n"/>
      <c r="H19" s="16" t="n"/>
      <c r="I19" s="16" t="n"/>
    </row>
    <row r="20">
      <c r="B20" s="18" t="n"/>
      <c r="C20" s="16" t="n"/>
      <c r="D20" s="16" t="n"/>
      <c r="E20" s="16" t="n"/>
      <c r="F20" s="16" t="n"/>
      <c r="G20" s="16" t="n"/>
      <c r="H20" s="16" t="n"/>
      <c r="I20" s="16" t="n"/>
    </row>
    <row r="21">
      <c r="B21" s="18" t="n"/>
      <c r="C21" s="16" t="n"/>
      <c r="D21" s="16" t="n"/>
      <c r="E21" s="16" t="n"/>
      <c r="F21" s="16" t="n"/>
      <c r="G21" s="16" t="n"/>
      <c r="H21" s="16" t="n"/>
      <c r="I21" s="16" t="n"/>
    </row>
    <row r="22">
      <c r="B22" s="18" t="n"/>
      <c r="C22" s="16" t="n"/>
      <c r="D22" s="16" t="n"/>
      <c r="E22" s="16" t="n"/>
      <c r="F22" s="16" t="n"/>
      <c r="G22" s="16" t="n"/>
      <c r="H22" s="16" t="n"/>
      <c r="I22" s="16" t="n"/>
    </row>
    <row r="23">
      <c r="B23" s="18" t="n"/>
      <c r="C23" s="16" t="n"/>
      <c r="D23" s="16" t="n"/>
      <c r="E23" s="16" t="n"/>
      <c r="F23" s="16" t="n"/>
      <c r="G23" s="16" t="n"/>
      <c r="H23" s="16" t="n"/>
      <c r="I23" s="16" t="n"/>
    </row>
    <row r="24">
      <c r="B24" s="18" t="n"/>
      <c r="C24" s="16" t="n"/>
      <c r="D24" s="16" t="n"/>
      <c r="E24" s="16" t="n"/>
      <c r="F24" s="16" t="n"/>
      <c r="G24" s="16" t="n"/>
      <c r="H24" s="16" t="n"/>
      <c r="I24" s="16" t="n"/>
    </row>
    <row r="25">
      <c r="B25" s="18" t="n"/>
      <c r="C25" s="16" t="n"/>
      <c r="D25" s="16" t="n"/>
      <c r="E25" s="16" t="n"/>
      <c r="F25" s="16" t="n"/>
      <c r="G25" s="16" t="n"/>
      <c r="H25" s="16" t="n"/>
      <c r="I25" s="16" t="n"/>
    </row>
    <row r="26">
      <c r="B26" s="18" t="n"/>
      <c r="C26" s="16" t="n"/>
      <c r="D26" s="16" t="n"/>
      <c r="E26" s="16" t="n"/>
      <c r="F26" s="16" t="n"/>
      <c r="G26" s="16" t="n"/>
      <c r="H26" s="16" t="n"/>
      <c r="I26" s="16" t="n"/>
    </row>
    <row r="27">
      <c r="B27" s="18" t="n"/>
      <c r="C27" s="16" t="n"/>
      <c r="D27" s="16" t="n"/>
      <c r="E27" s="16" t="n"/>
      <c r="F27" s="16" t="n"/>
      <c r="G27" s="16" t="n"/>
      <c r="H27" s="16" t="n"/>
      <c r="I27" s="16" t="n"/>
    </row>
    <row r="28">
      <c r="B28" s="18" t="n"/>
      <c r="C28" s="16" t="n"/>
      <c r="D28" s="16" t="n"/>
      <c r="E28" s="16" t="n"/>
      <c r="F28" s="16" t="n"/>
      <c r="G28" s="16" t="n"/>
      <c r="H28" s="16" t="n"/>
      <c r="I28" s="16" t="n"/>
    </row>
    <row r="29">
      <c r="B29" s="18" t="n"/>
      <c r="C29" s="16" t="n"/>
      <c r="D29" s="16" t="n"/>
      <c r="E29" s="16" t="n"/>
      <c r="F29" s="16" t="n"/>
      <c r="G29" s="16" t="n"/>
      <c r="H29" s="16" t="n"/>
      <c r="I29" s="16" t="n"/>
    </row>
    <row r="30">
      <c r="B30" s="18" t="n"/>
      <c r="C30" s="16" t="n"/>
      <c r="D30" s="16" t="n"/>
      <c r="E30" s="16" t="n"/>
      <c r="F30" s="16" t="n"/>
      <c r="G30" s="16" t="n"/>
      <c r="H30" s="16" t="n"/>
      <c r="I30" s="16" t="n"/>
    </row>
    <row r="31">
      <c r="B31" s="18" t="n"/>
      <c r="C31" s="16" t="n"/>
      <c r="D31" s="16" t="n"/>
      <c r="E31" s="16" t="n"/>
      <c r="F31" s="16" t="n"/>
      <c r="G31" s="16" t="n"/>
      <c r="H31" s="16" t="n"/>
      <c r="I31" s="16" t="n"/>
    </row>
    <row r="32">
      <c r="B32" s="18" t="n"/>
      <c r="C32" s="16" t="n"/>
      <c r="D32" s="16" t="n"/>
      <c r="E32" s="16" t="n"/>
      <c r="F32" s="16" t="n"/>
      <c r="G32" s="16" t="n"/>
      <c r="H32" s="16" t="n"/>
      <c r="I32" s="16" t="n"/>
    </row>
    <row r="33">
      <c r="B33" s="18" t="n"/>
      <c r="C33" s="16" t="n"/>
      <c r="D33" s="16" t="n"/>
      <c r="E33" s="16" t="n"/>
      <c r="F33" s="16" t="n"/>
      <c r="G33" s="16" t="n"/>
      <c r="H33" s="16" t="n"/>
      <c r="I33" s="16" t="n"/>
    </row>
    <row r="34">
      <c r="B34" s="18" t="n"/>
      <c r="C34" s="16" t="n"/>
      <c r="D34" s="16" t="n"/>
      <c r="E34" s="16" t="n"/>
      <c r="F34" s="16" t="n"/>
      <c r="G34" s="16" t="n"/>
      <c r="H34" s="16" t="n"/>
      <c r="I34" s="16" t="n"/>
    </row>
    <row r="35">
      <c r="B35" s="18" t="n"/>
      <c r="C35" s="16" t="n"/>
      <c r="D35" s="16" t="n"/>
      <c r="E35" s="16" t="n"/>
      <c r="F35" s="16" t="n"/>
      <c r="G35" s="16" t="n"/>
      <c r="H35" s="16" t="n"/>
      <c r="I35" s="16" t="n"/>
    </row>
    <row r="36">
      <c r="B36" s="18" t="n"/>
      <c r="C36" s="16" t="n"/>
      <c r="D36" s="16" t="n"/>
      <c r="E36" s="16" t="n"/>
      <c r="F36" s="16" t="n"/>
      <c r="G36" s="16" t="n"/>
      <c r="H36" s="16" t="n"/>
      <c r="I36" s="16" t="n"/>
    </row>
    <row r="37">
      <c r="B37" s="18" t="n"/>
      <c r="C37" s="16" t="n"/>
      <c r="D37" s="16" t="n"/>
      <c r="E37" s="16" t="n"/>
      <c r="F37" s="16" t="n"/>
      <c r="G37" s="16" t="n"/>
      <c r="H37" s="16" t="n"/>
      <c r="I37" s="16" t="n"/>
    </row>
    <row r="38">
      <c r="B38" s="18" t="n"/>
      <c r="C38" s="16" t="n"/>
      <c r="D38" s="16" t="n"/>
      <c r="E38" s="16" t="n"/>
      <c r="F38" s="16" t="n"/>
      <c r="G38" s="16" t="n"/>
      <c r="H38" s="16" t="n"/>
      <c r="I38" s="16" t="n"/>
    </row>
    <row r="39">
      <c r="B39" s="18" t="n"/>
      <c r="C39" s="16" t="n"/>
      <c r="D39" s="16" t="n"/>
      <c r="E39" s="16" t="n"/>
      <c r="F39" s="16" t="n"/>
      <c r="G39" s="16" t="n"/>
      <c r="H39" s="16" t="n"/>
      <c r="I39" s="16" t="n"/>
    </row>
    <row r="40">
      <c r="B40" s="18" t="n"/>
      <c r="C40" s="16" t="n"/>
      <c r="D40" s="16" t="n"/>
      <c r="E40" s="16" t="n"/>
      <c r="F40" s="16" t="n"/>
      <c r="G40" s="16" t="n"/>
      <c r="H40" s="16" t="n"/>
      <c r="I40" s="16" t="n"/>
    </row>
    <row r="41">
      <c r="B41" s="18" t="n"/>
      <c r="C41" s="16" t="n"/>
      <c r="D41" s="16" t="n"/>
      <c r="E41" s="16" t="n"/>
      <c r="F41" s="16" t="n"/>
      <c r="G41" s="16" t="n"/>
      <c r="H41" s="16" t="n"/>
      <c r="I41" s="16" t="n"/>
    </row>
    <row r="42">
      <c r="B42" s="18" t="n"/>
      <c r="C42" s="16" t="n"/>
      <c r="D42" s="16" t="n"/>
      <c r="E42" s="16" t="n"/>
      <c r="F42" s="16" t="n"/>
      <c r="G42" s="16" t="n"/>
      <c r="H42" s="16" t="n"/>
      <c r="I42" s="16" t="n"/>
    </row>
    <row r="43">
      <c r="B43" s="18" t="n"/>
      <c r="C43" s="16" t="n"/>
      <c r="D43" s="16" t="n"/>
      <c r="E43" s="16" t="n"/>
      <c r="F43" s="16" t="n"/>
      <c r="G43" s="16" t="n"/>
      <c r="H43" s="16" t="n"/>
      <c r="I43" s="16" t="n"/>
    </row>
    <row r="44">
      <c r="B44" s="18" t="n"/>
      <c r="C44" s="16" t="n"/>
      <c r="D44" s="16" t="n"/>
      <c r="E44" s="16" t="n"/>
      <c r="F44" s="16" t="n"/>
      <c r="G44" s="16" t="n"/>
      <c r="H44" s="16" t="n"/>
      <c r="I44" s="16" t="n"/>
    </row>
    <row r="45">
      <c r="B45" s="18" t="n"/>
      <c r="C45" s="16" t="n"/>
      <c r="D45" s="16" t="n"/>
      <c r="E45" s="16" t="n"/>
      <c r="F45" s="16" t="n"/>
      <c r="G45" s="16" t="n"/>
      <c r="H45" s="16" t="n"/>
      <c r="I45" s="16" t="n"/>
    </row>
    <row r="46">
      <c r="B46" s="18" t="n"/>
      <c r="C46" s="16" t="n"/>
      <c r="D46" s="16" t="n"/>
      <c r="E46" s="16" t="n"/>
      <c r="F46" s="16" t="n"/>
      <c r="G46" s="16" t="n"/>
      <c r="H46" s="16" t="n"/>
      <c r="I46" s="16" t="n"/>
    </row>
    <row r="47">
      <c r="B47" s="18" t="n"/>
      <c r="C47" s="16" t="n"/>
      <c r="D47" s="16" t="n"/>
      <c r="E47" s="16" t="n"/>
      <c r="F47" s="16" t="n"/>
      <c r="G47" s="16" t="n"/>
      <c r="H47" s="16" t="n"/>
      <c r="I47" s="16" t="n"/>
    </row>
    <row r="48">
      <c r="B48" s="18" t="n"/>
      <c r="C48" s="16" t="n"/>
      <c r="D48" s="16" t="n"/>
      <c r="E48" s="16" t="n"/>
      <c r="F48" s="16" t="n"/>
      <c r="G48" s="16" t="n"/>
      <c r="H48" s="16" t="n"/>
      <c r="I48" s="16" t="n"/>
    </row>
    <row r="49">
      <c r="B49" s="18" t="n"/>
      <c r="C49" s="16" t="n"/>
      <c r="D49" s="16" t="n"/>
      <c r="E49" s="16" t="n"/>
      <c r="F49" s="16" t="n"/>
      <c r="G49" s="16" t="n"/>
      <c r="H49" s="16" t="n"/>
      <c r="I49" s="16" t="n"/>
    </row>
    <row r="50">
      <c r="B50" s="18" t="n"/>
      <c r="C50" s="16" t="n"/>
      <c r="D50" s="16" t="n"/>
      <c r="E50" s="16" t="n"/>
      <c r="F50" s="16" t="n"/>
      <c r="G50" s="16" t="n"/>
      <c r="H50" s="16" t="n"/>
      <c r="I50" s="16" t="n"/>
    </row>
    <row r="51">
      <c r="B51" s="18" t="n"/>
      <c r="C51" s="16" t="n"/>
      <c r="D51" s="16" t="n"/>
      <c r="E51" s="16" t="n"/>
      <c r="F51" s="16" t="n"/>
      <c r="G51" s="16" t="n"/>
      <c r="H51" s="16" t="n"/>
      <c r="I51" s="16" t="n"/>
    </row>
    <row r="52">
      <c r="B52" s="18" t="n"/>
      <c r="C52" s="16" t="n"/>
      <c r="D52" s="16" t="n"/>
      <c r="E52" s="16" t="n"/>
      <c r="F52" s="16" t="n"/>
      <c r="G52" s="16" t="n"/>
      <c r="H52" s="16" t="n"/>
      <c r="I52" s="16" t="n"/>
    </row>
    <row r="53">
      <c r="B53" s="18" t="n"/>
      <c r="C53" s="16" t="n"/>
      <c r="D53" s="16" t="n"/>
      <c r="E53" s="16" t="n"/>
      <c r="F53" s="16" t="n"/>
      <c r="G53" s="16" t="n"/>
      <c r="H53" s="16" t="n"/>
      <c r="I53" s="16" t="n"/>
    </row>
    <row r="54">
      <c r="B54" s="18" t="n"/>
      <c r="C54" s="16" t="n"/>
      <c r="D54" s="16" t="n"/>
      <c r="E54" s="16" t="n"/>
      <c r="F54" s="16" t="n"/>
      <c r="G54" s="16" t="n"/>
      <c r="H54" s="16" t="n"/>
      <c r="I54" s="16" t="n"/>
    </row>
    <row r="55">
      <c r="B55" s="18" t="n"/>
      <c r="C55" s="16" t="n"/>
      <c r="D55" s="16" t="n"/>
      <c r="E55" s="16" t="n"/>
      <c r="F55" s="16" t="n"/>
      <c r="G55" s="16" t="n"/>
      <c r="H55" s="16" t="n"/>
      <c r="I55" s="16" t="n"/>
    </row>
    <row r="56">
      <c r="B56" s="18" t="n"/>
      <c r="C56" s="16" t="n"/>
      <c r="D56" s="16" t="n"/>
      <c r="E56" s="16" t="n"/>
      <c r="F56" s="16" t="n"/>
      <c r="G56" s="16" t="n"/>
      <c r="H56" s="16" t="n"/>
      <c r="I56" s="16" t="n"/>
    </row>
    <row r="57">
      <c r="B57" s="18" t="n"/>
      <c r="C57" s="16" t="n"/>
      <c r="D57" s="16" t="n"/>
      <c r="E57" s="16" t="n"/>
      <c r="F57" s="16" t="n"/>
      <c r="G57" s="16" t="n"/>
      <c r="H57" s="16" t="n"/>
      <c r="I57" s="16" t="n"/>
    </row>
    <row r="58">
      <c r="B58" s="18" t="n"/>
      <c r="C58" s="16" t="n"/>
      <c r="D58" s="16" t="n"/>
      <c r="E58" s="16" t="n"/>
      <c r="F58" s="16" t="n"/>
      <c r="G58" s="16" t="n"/>
      <c r="H58" s="16" t="n"/>
      <c r="I58" s="16" t="n"/>
    </row>
    <row r="59">
      <c r="B59" s="18" t="n"/>
      <c r="C59" s="16" t="n"/>
      <c r="D59" s="16" t="n"/>
      <c r="E59" s="16" t="n"/>
      <c r="F59" s="16" t="n"/>
      <c r="G59" s="16" t="n"/>
      <c r="H59" s="16" t="n"/>
      <c r="I59" s="16" t="n"/>
    </row>
    <row r="60">
      <c r="B60" s="18" t="n"/>
      <c r="C60" s="16" t="n"/>
      <c r="D60" s="16" t="n"/>
      <c r="E60" s="16" t="n"/>
      <c r="F60" s="16" t="n"/>
      <c r="G60" s="16" t="n"/>
      <c r="H60" s="16" t="n"/>
      <c r="I60" s="16" t="n"/>
    </row>
    <row r="61">
      <c r="B61" s="18" t="n"/>
      <c r="C61" s="16" t="n"/>
      <c r="D61" s="16" t="n"/>
      <c r="E61" s="16" t="n"/>
      <c r="F61" s="16" t="n"/>
      <c r="G61" s="16" t="n"/>
      <c r="H61" s="16" t="n"/>
      <c r="I61" s="16" t="n"/>
    </row>
    <row r="62">
      <c r="B62" s="18" t="n"/>
      <c r="C62" s="16" t="n"/>
      <c r="D62" s="16" t="n"/>
      <c r="E62" s="16" t="n"/>
      <c r="F62" s="16" t="n"/>
      <c r="G62" s="16" t="n"/>
      <c r="H62" s="16" t="n"/>
      <c r="I62" s="16" t="n"/>
    </row>
    <row r="63">
      <c r="B63" s="18" t="n"/>
      <c r="C63" s="16" t="n"/>
      <c r="D63" s="16" t="n"/>
      <c r="E63" s="16" t="n"/>
      <c r="F63" s="16" t="n"/>
      <c r="G63" s="16" t="n"/>
      <c r="H63" s="16" t="n"/>
      <c r="I63" s="16" t="n"/>
    </row>
    <row r="64">
      <c r="B64" s="18" t="n"/>
      <c r="C64" s="16" t="n"/>
      <c r="D64" s="16" t="n"/>
      <c r="E64" s="16" t="n"/>
      <c r="F64" s="16" t="n"/>
      <c r="G64" s="16" t="n"/>
      <c r="H64" s="16" t="n"/>
      <c r="I64" s="16" t="n"/>
    </row>
    <row r="65">
      <c r="B65" s="18" t="n"/>
      <c r="C65" s="16" t="n"/>
      <c r="D65" s="16" t="n"/>
      <c r="E65" s="16" t="n"/>
      <c r="F65" s="16" t="n"/>
      <c r="G65" s="16" t="n"/>
      <c r="H65" s="16" t="n"/>
      <c r="I65" s="16" t="n"/>
    </row>
    <row r="66">
      <c r="B66" s="18" t="n"/>
      <c r="C66" s="16" t="n"/>
      <c r="D66" s="16" t="n"/>
      <c r="E66" s="16" t="n"/>
      <c r="F66" s="16" t="n"/>
      <c r="G66" s="16" t="n"/>
      <c r="H66" s="16" t="n"/>
      <c r="I66" s="16" t="n"/>
    </row>
    <row r="67">
      <c r="B67" s="18" t="n"/>
      <c r="C67" s="16" t="n"/>
      <c r="D67" s="16" t="n"/>
      <c r="E67" s="16" t="n"/>
      <c r="F67" s="16" t="n"/>
      <c r="G67" s="16" t="n"/>
      <c r="H67" s="16" t="n"/>
      <c r="I67" s="16" t="n"/>
    </row>
    <row r="68">
      <c r="B68" s="18" t="n"/>
      <c r="C68" s="16" t="n"/>
      <c r="D68" s="16" t="n"/>
      <c r="E68" s="16" t="n"/>
      <c r="F68" s="16" t="n"/>
      <c r="G68" s="16" t="n"/>
      <c r="H68" s="16" t="n"/>
      <c r="I68" s="16" t="n"/>
    </row>
    <row r="69">
      <c r="B69" s="18" t="n"/>
      <c r="C69" s="16" t="n"/>
      <c r="D69" s="16" t="n"/>
      <c r="E69" s="16" t="n"/>
      <c r="F69" s="16" t="n"/>
      <c r="G69" s="16" t="n"/>
      <c r="H69" s="16" t="n"/>
      <c r="I69" s="16" t="n"/>
    </row>
    <row r="70">
      <c r="B70" s="18" t="n"/>
      <c r="C70" s="16" t="n"/>
      <c r="D70" s="16" t="n"/>
      <c r="E70" s="16" t="n"/>
      <c r="F70" s="16" t="n"/>
      <c r="G70" s="16" t="n"/>
      <c r="H70" s="16" t="n"/>
      <c r="I70" s="16" t="n"/>
    </row>
    <row r="71">
      <c r="B71" s="18" t="n"/>
      <c r="C71" s="16" t="n"/>
      <c r="D71" s="16" t="n"/>
      <c r="E71" s="16" t="n"/>
      <c r="F71" s="16" t="n"/>
      <c r="G71" s="16" t="n"/>
      <c r="H71" s="16" t="n"/>
      <c r="I71" s="16" t="n"/>
    </row>
    <row r="72">
      <c r="B72" s="18" t="n"/>
      <c r="C72" s="16" t="n"/>
      <c r="D72" s="16" t="n"/>
      <c r="E72" s="16" t="n"/>
      <c r="F72" s="16" t="n"/>
      <c r="G72" s="16" t="n"/>
      <c r="H72" s="16" t="n"/>
      <c r="I72" s="16" t="n"/>
    </row>
    <row r="73">
      <c r="B73" s="18" t="n"/>
      <c r="C73" s="16" t="n"/>
      <c r="D73" s="16" t="n"/>
      <c r="E73" s="16" t="n"/>
      <c r="F73" s="16" t="n"/>
      <c r="G73" s="16" t="n"/>
      <c r="H73" s="16" t="n"/>
      <c r="I73" s="16" t="n"/>
    </row>
    <row r="74">
      <c r="B74" s="18" t="n"/>
      <c r="C74" s="16" t="n"/>
      <c r="D74" s="16" t="n"/>
      <c r="E74" s="16" t="n"/>
      <c r="F74" s="16" t="n"/>
      <c r="G74" s="16" t="n"/>
      <c r="H74" s="16" t="n"/>
      <c r="I74" s="16" t="n"/>
    </row>
    <row r="75">
      <c r="B75" s="18" t="n"/>
      <c r="C75" s="16" t="n"/>
      <c r="D75" s="16" t="n"/>
      <c r="E75" s="16" t="n"/>
      <c r="F75" s="16" t="n"/>
      <c r="G75" s="16" t="n"/>
      <c r="H75" s="16" t="n"/>
      <c r="I75" s="16" t="n"/>
    </row>
    <row r="76">
      <c r="B76" s="18" t="n"/>
      <c r="C76" s="16" t="n"/>
      <c r="D76" s="16" t="n"/>
      <c r="E76" s="16" t="n"/>
      <c r="F76" s="16" t="n"/>
      <c r="G76" s="16" t="n"/>
      <c r="H76" s="16" t="n"/>
      <c r="I76" s="16" t="n"/>
    </row>
    <row r="77">
      <c r="B77" s="18" t="n"/>
      <c r="C77" s="16" t="n"/>
      <c r="D77" s="16" t="n"/>
      <c r="E77" s="16" t="n"/>
      <c r="F77" s="16" t="n"/>
      <c r="G77" s="16" t="n"/>
      <c r="H77" s="16" t="n"/>
      <c r="I77" s="16" t="n"/>
    </row>
    <row r="78">
      <c r="B78" s="18" t="n"/>
      <c r="C78" s="16" t="n"/>
      <c r="D78" s="16" t="n"/>
      <c r="E78" s="16" t="n"/>
      <c r="F78" s="16" t="n"/>
      <c r="G78" s="16" t="n"/>
      <c r="H78" s="16" t="n"/>
      <c r="I78" s="16" t="n"/>
    </row>
    <row r="79">
      <c r="B79" s="18" t="n"/>
      <c r="C79" s="16" t="n"/>
      <c r="D79" s="16" t="n"/>
      <c r="E79" s="16" t="n"/>
      <c r="F79" s="16" t="n"/>
      <c r="G79" s="16" t="n"/>
      <c r="H79" s="16" t="n"/>
      <c r="I79" s="16" t="n"/>
    </row>
    <row r="80">
      <c r="B80" s="18" t="n"/>
      <c r="C80" s="16" t="n"/>
      <c r="D80" s="16" t="n"/>
      <c r="E80" s="16" t="n"/>
      <c r="F80" s="16" t="n"/>
      <c r="G80" s="16" t="n"/>
      <c r="H80" s="16" t="n"/>
      <c r="I80" s="16" t="n"/>
    </row>
    <row r="81">
      <c r="B81" s="18" t="n"/>
      <c r="C81" s="16" t="n"/>
      <c r="D81" s="16" t="n"/>
      <c r="E81" s="16" t="n"/>
      <c r="F81" s="16" t="n"/>
      <c r="G81" s="16" t="n"/>
      <c r="H81" s="16" t="n"/>
      <c r="I81" s="16" t="n"/>
    </row>
    <row r="82">
      <c r="B82" s="18" t="n"/>
      <c r="C82" s="16" t="n"/>
      <c r="D82" s="16" t="n"/>
      <c r="E82" s="16" t="n"/>
      <c r="F82" s="16" t="n"/>
      <c r="G82" s="16" t="n"/>
      <c r="H82" s="16" t="n"/>
      <c r="I82" s="16" t="n"/>
    </row>
    <row r="83">
      <c r="B83" s="18" t="n"/>
      <c r="C83" s="16" t="n"/>
      <c r="D83" s="16" t="n"/>
      <c r="E83" s="16" t="n"/>
      <c r="F83" s="16" t="n"/>
      <c r="G83" s="16" t="n"/>
      <c r="H83" s="16" t="n"/>
      <c r="I83" s="16" t="n"/>
    </row>
    <row r="84">
      <c r="B84" s="18" t="n"/>
      <c r="C84" s="16" t="n"/>
      <c r="D84" s="16" t="n"/>
      <c r="E84" s="16" t="n"/>
      <c r="F84" s="16" t="n"/>
      <c r="G84" s="16" t="n"/>
      <c r="H84" s="16" t="n"/>
      <c r="I84" s="16" t="n"/>
    </row>
    <row r="85">
      <c r="B85" s="18" t="n"/>
      <c r="C85" s="16" t="n"/>
      <c r="D85" s="16" t="n"/>
      <c r="E85" s="16" t="n"/>
      <c r="F85" s="16" t="n"/>
      <c r="G85" s="16" t="n"/>
      <c r="H85" s="16" t="n"/>
      <c r="I85" s="16" t="n"/>
    </row>
    <row r="86">
      <c r="B86" s="18" t="n"/>
      <c r="C86" s="16" t="n"/>
      <c r="D86" s="16" t="n"/>
      <c r="E86" s="16" t="n"/>
      <c r="F86" s="16" t="n"/>
      <c r="G86" s="16" t="n"/>
      <c r="H86" s="16" t="n"/>
      <c r="I86" s="16" t="n"/>
    </row>
    <row r="87">
      <c r="B87" s="18" t="n"/>
      <c r="C87" s="16" t="n"/>
      <c r="D87" s="16" t="n"/>
      <c r="E87" s="16" t="n"/>
      <c r="F87" s="16" t="n"/>
      <c r="G87" s="16" t="n"/>
      <c r="H87" s="16" t="n"/>
      <c r="I87" s="16" t="n"/>
    </row>
    <row r="88">
      <c r="B88" s="18" t="n"/>
      <c r="C88" s="16" t="n"/>
      <c r="D88" s="16" t="n"/>
      <c r="E88" s="16" t="n"/>
      <c r="F88" s="16" t="n"/>
      <c r="G88" s="16" t="n"/>
      <c r="H88" s="16" t="n"/>
      <c r="I88" s="16" t="n"/>
    </row>
    <row r="89">
      <c r="B89" s="18" t="n"/>
      <c r="C89" s="16" t="n"/>
      <c r="D89" s="16" t="n"/>
      <c r="E89" s="16" t="n"/>
      <c r="F89" s="16" t="n"/>
      <c r="G89" s="16" t="n"/>
      <c r="H89" s="16" t="n"/>
      <c r="I89" s="16" t="n"/>
    </row>
    <row r="90">
      <c r="B90" s="18" t="n"/>
      <c r="C90" s="16" t="n"/>
      <c r="D90" s="16" t="n"/>
      <c r="E90" s="16" t="n"/>
      <c r="F90" s="16" t="n"/>
      <c r="G90" s="16" t="n"/>
      <c r="H90" s="16" t="n"/>
      <c r="I90" s="16" t="n"/>
    </row>
    <row r="91">
      <c r="B91" s="18" t="n"/>
      <c r="C91" s="16" t="n"/>
      <c r="D91" s="16" t="n"/>
      <c r="E91" s="16" t="n"/>
      <c r="F91" s="16" t="n"/>
      <c r="G91" s="16" t="n"/>
      <c r="H91" s="16" t="n"/>
      <c r="I91" s="16" t="n"/>
    </row>
    <row r="92">
      <c r="B92" s="18" t="n"/>
      <c r="C92" s="16" t="n"/>
      <c r="D92" s="16" t="n"/>
      <c r="E92" s="16" t="n"/>
      <c r="F92" s="16" t="n"/>
      <c r="G92" s="16" t="n"/>
      <c r="H92" s="16" t="n"/>
      <c r="I92" s="16" t="n"/>
    </row>
    <row r="93">
      <c r="B93" s="18" t="n"/>
      <c r="C93" s="16" t="n"/>
      <c r="D93" s="16" t="n"/>
      <c r="E93" s="16" t="n"/>
      <c r="F93" s="16" t="n"/>
      <c r="G93" s="16" t="n"/>
      <c r="H93" s="16" t="n"/>
      <c r="I93" s="16" t="n"/>
    </row>
    <row r="94">
      <c r="B94" s="18" t="n"/>
      <c r="C94" s="16" t="n"/>
      <c r="D94" s="16" t="n"/>
      <c r="E94" s="16" t="n"/>
      <c r="F94" s="16" t="n"/>
      <c r="G94" s="16" t="n"/>
      <c r="H94" s="16" t="n"/>
      <c r="I94" s="16" t="n"/>
    </row>
    <row r="95">
      <c r="B95" s="18" t="n"/>
      <c r="C95" s="16" t="n"/>
      <c r="D95" s="16" t="n"/>
      <c r="E95" s="16" t="n"/>
      <c r="F95" s="16" t="n"/>
      <c r="G95" s="16" t="n"/>
      <c r="H95" s="16" t="n"/>
      <c r="I95" s="16" t="n"/>
    </row>
    <row r="96">
      <c r="B96" s="18" t="n"/>
      <c r="C96" s="16" t="n"/>
      <c r="D96" s="16" t="n"/>
      <c r="E96" s="16" t="n"/>
      <c r="F96" s="16" t="n"/>
      <c r="G96" s="16" t="n"/>
      <c r="H96" s="16" t="n"/>
      <c r="I96" s="16" t="n"/>
    </row>
    <row r="97">
      <c r="B97" s="18" t="n"/>
      <c r="C97" s="16" t="n"/>
      <c r="D97" s="16" t="n"/>
      <c r="E97" s="16" t="n"/>
      <c r="F97" s="16" t="n"/>
      <c r="G97" s="16" t="n"/>
      <c r="H97" s="16" t="n"/>
      <c r="I97" s="16" t="n"/>
    </row>
    <row r="98">
      <c r="B98" s="18" t="n"/>
      <c r="C98" s="16" t="n"/>
      <c r="D98" s="16" t="n"/>
      <c r="E98" s="16" t="n"/>
      <c r="F98" s="16" t="n"/>
      <c r="G98" s="16" t="n"/>
      <c r="H98" s="16" t="n"/>
      <c r="I98" s="16" t="n"/>
    </row>
    <row r="99">
      <c r="B99" s="18" t="n"/>
      <c r="C99" s="16" t="n"/>
      <c r="D99" s="16" t="n"/>
      <c r="E99" s="16" t="n"/>
      <c r="F99" s="16" t="n"/>
      <c r="G99" s="16" t="n"/>
      <c r="H99" s="16" t="n"/>
      <c r="I99" s="16" t="n"/>
    </row>
    <row r="100">
      <c r="B100" s="18" t="n"/>
      <c r="C100" s="16" t="n"/>
      <c r="D100" s="16" t="n"/>
      <c r="E100" s="16" t="n"/>
      <c r="F100" s="16" t="n"/>
      <c r="G100" s="16" t="n"/>
      <c r="H100" s="16" t="n"/>
      <c r="I100" s="16" t="n"/>
    </row>
    <row r="101">
      <c r="B101" s="18" t="n"/>
      <c r="C101" s="16" t="n"/>
      <c r="D101" s="16" t="n"/>
      <c r="E101" s="16" t="n"/>
      <c r="F101" s="16" t="n"/>
      <c r="G101" s="16" t="n"/>
      <c r="H101" s="16" t="n"/>
      <c r="I101" s="16" t="n"/>
    </row>
    <row r="102">
      <c r="B102" s="18" t="n"/>
      <c r="C102" s="16" t="n"/>
      <c r="D102" s="16" t="n"/>
      <c r="E102" s="16" t="n"/>
      <c r="F102" s="16" t="n"/>
      <c r="G102" s="16" t="n"/>
      <c r="H102" s="16" t="n"/>
      <c r="I102" s="16" t="n"/>
    </row>
    <row r="103">
      <c r="B103" s="18" t="n"/>
      <c r="C103" s="16" t="n"/>
      <c r="D103" s="16" t="n"/>
      <c r="E103" s="16" t="n"/>
      <c r="F103" s="16" t="n"/>
      <c r="G103" s="16" t="n"/>
      <c r="H103" s="16" t="n"/>
      <c r="I103" s="16" t="n"/>
    </row>
    <row r="104">
      <c r="B104" s="18" t="n"/>
      <c r="C104" s="16" t="n"/>
      <c r="D104" s="16" t="n"/>
      <c r="E104" s="16" t="n"/>
      <c r="F104" s="16" t="n"/>
      <c r="G104" s="16" t="n"/>
      <c r="H104" s="16" t="n"/>
      <c r="I104" s="16" t="n"/>
    </row>
    <row r="105">
      <c r="B105" s="18" t="n"/>
      <c r="C105" s="16" t="n"/>
      <c r="D105" s="16" t="n"/>
      <c r="E105" s="16" t="n"/>
      <c r="F105" s="16" t="n"/>
      <c r="G105" s="16" t="n"/>
      <c r="H105" s="16" t="n"/>
      <c r="I105" s="16" t="n"/>
    </row>
    <row r="106">
      <c r="B106" s="18" t="n"/>
      <c r="C106" s="16" t="n"/>
      <c r="D106" s="16" t="n"/>
      <c r="E106" s="16" t="n"/>
      <c r="F106" s="16" t="n"/>
      <c r="G106" s="16" t="n"/>
      <c r="H106" s="16" t="n"/>
      <c r="I106" s="16" t="n"/>
    </row>
    <row r="107">
      <c r="B107" s="18" t="n"/>
      <c r="C107" s="16" t="n"/>
      <c r="D107" s="16" t="n"/>
      <c r="E107" s="16" t="n"/>
      <c r="F107" s="16" t="n"/>
      <c r="G107" s="16" t="n"/>
      <c r="H107" s="16" t="n"/>
      <c r="I107" s="16" t="n"/>
    </row>
    <row r="108">
      <c r="B108" s="18" t="n"/>
      <c r="C108" s="16" t="n"/>
      <c r="D108" s="16" t="n"/>
      <c r="E108" s="16" t="n"/>
      <c r="F108" s="16" t="n"/>
      <c r="G108" s="16" t="n"/>
      <c r="H108" s="16" t="n"/>
      <c r="I108" s="16" t="n"/>
    </row>
    <row r="109">
      <c r="B109" s="18" t="n"/>
      <c r="C109" s="16" t="n"/>
      <c r="D109" s="16" t="n"/>
      <c r="E109" s="16" t="n"/>
      <c r="F109" s="16" t="n"/>
      <c r="G109" s="16" t="n"/>
      <c r="H109" s="16" t="n"/>
      <c r="I109" s="16" t="n"/>
    </row>
    <row r="110">
      <c r="B110" s="18" t="n"/>
      <c r="C110" s="16" t="n"/>
      <c r="D110" s="16" t="n"/>
      <c r="E110" s="16" t="n"/>
      <c r="F110" s="16" t="n"/>
      <c r="G110" s="16" t="n"/>
      <c r="H110" s="16" t="n"/>
      <c r="I110" s="16" t="n"/>
    </row>
    <row r="111">
      <c r="B111" s="18" t="n"/>
      <c r="C111" s="16" t="n"/>
      <c r="D111" s="16" t="n"/>
      <c r="E111" s="16" t="n"/>
      <c r="F111" s="16" t="n"/>
      <c r="G111" s="16" t="n"/>
      <c r="H111" s="16" t="n"/>
      <c r="I111" s="16" t="n"/>
    </row>
    <row r="112">
      <c r="B112" s="18" t="n"/>
      <c r="C112" s="16" t="n"/>
      <c r="D112" s="16" t="n"/>
      <c r="E112" s="16" t="n"/>
      <c r="F112" s="16" t="n"/>
      <c r="G112" s="16" t="n"/>
      <c r="H112" s="16" t="n"/>
      <c r="I112" s="16" t="n"/>
    </row>
    <row r="113">
      <c r="B113" s="18" t="n"/>
      <c r="C113" s="16" t="n"/>
      <c r="D113" s="16" t="n"/>
      <c r="E113" s="16" t="n"/>
      <c r="F113" s="16" t="n"/>
      <c r="G113" s="16" t="n"/>
      <c r="H113" s="16" t="n"/>
      <c r="I113" s="16" t="n"/>
    </row>
    <row r="114">
      <c r="B114" s="18" t="n"/>
      <c r="C114" s="16" t="n"/>
      <c r="D114" s="16" t="n"/>
      <c r="E114" s="16" t="n"/>
      <c r="F114" s="16" t="n"/>
      <c r="G114" s="16" t="n"/>
      <c r="H114" s="16" t="n"/>
      <c r="I114" s="16" t="n"/>
    </row>
    <row r="115">
      <c r="B115" s="18" t="n"/>
      <c r="C115" s="16" t="n"/>
      <c r="D115" s="16" t="n"/>
      <c r="E115" s="16" t="n"/>
      <c r="F115" s="16" t="n"/>
      <c r="G115" s="16" t="n"/>
      <c r="H115" s="16" t="n"/>
      <c r="I115" s="16" t="n"/>
    </row>
    <row r="116">
      <c r="B116" s="18" t="n"/>
      <c r="C116" s="16" t="n"/>
      <c r="D116" s="16" t="n"/>
      <c r="E116" s="16" t="n"/>
      <c r="F116" s="16" t="n"/>
      <c r="G116" s="16" t="n"/>
      <c r="H116" s="16" t="n"/>
      <c r="I116" s="16" t="n"/>
    </row>
    <row r="117">
      <c r="B117" s="18" t="n"/>
      <c r="C117" s="16" t="n"/>
      <c r="D117" s="16" t="n"/>
      <c r="E117" s="16" t="n"/>
      <c r="F117" s="16" t="n"/>
      <c r="G117" s="16" t="n"/>
      <c r="H117" s="16" t="n"/>
      <c r="I117" s="16" t="n"/>
    </row>
    <row r="118">
      <c r="B118" s="18" t="n"/>
      <c r="C118" s="16" t="n"/>
      <c r="D118" s="16" t="n"/>
      <c r="E118" s="16" t="n"/>
      <c r="F118" s="16" t="n"/>
      <c r="G118" s="16" t="n"/>
      <c r="H118" s="16" t="n"/>
      <c r="I118" s="16" t="n"/>
    </row>
    <row r="119">
      <c r="B119" s="18" t="n"/>
      <c r="C119" s="16" t="n"/>
      <c r="D119" s="16" t="n"/>
      <c r="E119" s="16" t="n"/>
      <c r="F119" s="16" t="n"/>
      <c r="G119" s="16" t="n"/>
      <c r="H119" s="16" t="n"/>
      <c r="I119" s="16" t="n"/>
    </row>
    <row r="120">
      <c r="B120" s="18" t="n"/>
      <c r="C120" s="16" t="n"/>
      <c r="D120" s="16" t="n"/>
      <c r="E120" s="16" t="n"/>
      <c r="F120" s="16" t="n"/>
      <c r="G120" s="16" t="n"/>
      <c r="H120" s="16" t="n"/>
      <c r="I120" s="16" t="n"/>
    </row>
    <row r="121">
      <c r="B121" s="18" t="n"/>
      <c r="C121" s="16" t="n"/>
      <c r="D121" s="16" t="n"/>
      <c r="E121" s="16" t="n"/>
      <c r="F121" s="16" t="n"/>
      <c r="G121" s="16" t="n"/>
      <c r="H121" s="16" t="n"/>
      <c r="I121" s="16" t="n"/>
    </row>
    <row r="122">
      <c r="B122" s="18" t="n"/>
      <c r="C122" s="16" t="n"/>
      <c r="D122" s="16" t="n"/>
      <c r="E122" s="16" t="n"/>
      <c r="F122" s="16" t="n"/>
      <c r="G122" s="16" t="n"/>
      <c r="H122" s="16" t="n"/>
      <c r="I122" s="16" t="n"/>
    </row>
    <row r="123">
      <c r="B123" s="18" t="n"/>
      <c r="C123" s="16" t="n"/>
      <c r="D123" s="16" t="n"/>
      <c r="E123" s="16" t="n"/>
      <c r="F123" s="16" t="n"/>
      <c r="G123" s="16" t="n"/>
      <c r="H123" s="16" t="n"/>
      <c r="I123" s="16" t="n"/>
    </row>
    <row r="124">
      <c r="B124" s="18" t="n"/>
      <c r="C124" s="16" t="n"/>
      <c r="D124" s="16" t="n"/>
      <c r="E124" s="16" t="n"/>
      <c r="F124" s="16" t="n"/>
      <c r="G124" s="16" t="n"/>
      <c r="H124" s="16" t="n"/>
      <c r="I124" s="16" t="n"/>
    </row>
    <row r="125">
      <c r="B125" s="18" t="n"/>
      <c r="C125" s="16" t="n"/>
      <c r="D125" s="16" t="n"/>
      <c r="E125" s="16" t="n"/>
      <c r="F125" s="16" t="n"/>
      <c r="G125" s="16" t="n"/>
      <c r="H125" s="16" t="n"/>
      <c r="I125" s="16" t="n"/>
    </row>
    <row r="126">
      <c r="B126" s="18" t="n"/>
      <c r="C126" s="16" t="n"/>
      <c r="D126" s="16" t="n"/>
      <c r="E126" s="16" t="n"/>
      <c r="F126" s="16" t="n"/>
      <c r="G126" s="16" t="n"/>
      <c r="H126" s="16" t="n"/>
      <c r="I126" s="16" t="n"/>
    </row>
    <row r="127">
      <c r="B127" s="18" t="n"/>
      <c r="C127" s="16" t="n"/>
      <c r="D127" s="16" t="n"/>
      <c r="E127" s="16" t="n"/>
      <c r="F127" s="16" t="n"/>
      <c r="G127" s="16" t="n"/>
      <c r="H127" s="16" t="n"/>
      <c r="I127" s="16" t="n"/>
    </row>
    <row r="128">
      <c r="B128" s="18" t="n"/>
      <c r="C128" s="16" t="n"/>
      <c r="D128" s="16" t="n"/>
      <c r="E128" s="16" t="n"/>
      <c r="F128" s="16" t="n"/>
      <c r="G128" s="16" t="n"/>
      <c r="H128" s="16" t="n"/>
      <c r="I128" s="16" t="n"/>
    </row>
    <row r="129">
      <c r="B129" s="18" t="n"/>
      <c r="C129" s="16" t="n"/>
      <c r="D129" s="16" t="n"/>
      <c r="E129" s="16" t="n"/>
      <c r="F129" s="16" t="n"/>
      <c r="G129" s="16" t="n"/>
      <c r="H129" s="16" t="n"/>
      <c r="I129" s="16" t="n"/>
    </row>
    <row r="130">
      <c r="B130" s="18" t="n"/>
      <c r="C130" s="16" t="n"/>
      <c r="D130" s="16" t="n"/>
      <c r="E130" s="16" t="n"/>
      <c r="F130" s="16" t="n"/>
      <c r="G130" s="16" t="n"/>
      <c r="H130" s="16" t="n"/>
      <c r="I130" s="16" t="n"/>
    </row>
    <row r="131">
      <c r="B131" s="18" t="n"/>
      <c r="C131" s="16" t="n"/>
      <c r="D131" s="16" t="n"/>
      <c r="E131" s="16" t="n"/>
      <c r="F131" s="16" t="n"/>
      <c r="G131" s="16" t="n"/>
      <c r="H131" s="16" t="n"/>
      <c r="I131" s="16" t="n"/>
    </row>
    <row r="132">
      <c r="B132" s="18" t="n"/>
      <c r="C132" s="16" t="n"/>
      <c r="D132" s="16" t="n"/>
      <c r="E132" s="16" t="n"/>
      <c r="F132" s="16" t="n"/>
      <c r="G132" s="16" t="n"/>
      <c r="H132" s="16" t="n"/>
      <c r="I132" s="16" t="n"/>
    </row>
    <row r="133">
      <c r="B133" s="18" t="n"/>
      <c r="C133" s="16" t="n"/>
      <c r="D133" s="16" t="n"/>
      <c r="E133" s="16" t="n"/>
      <c r="F133" s="16" t="n"/>
      <c r="G133" s="16" t="n"/>
      <c r="H133" s="16" t="n"/>
      <c r="I133" s="16" t="n"/>
    </row>
    <row r="134">
      <c r="B134" s="18" t="n"/>
      <c r="C134" s="16" t="n"/>
      <c r="D134" s="16" t="n"/>
      <c r="E134" s="16" t="n"/>
      <c r="F134" s="16" t="n"/>
      <c r="G134" s="16" t="n"/>
      <c r="H134" s="16" t="n"/>
      <c r="I134" s="16" t="n"/>
    </row>
    <row r="135">
      <c r="B135" s="18" t="n"/>
      <c r="C135" s="16" t="n"/>
      <c r="D135" s="16" t="n"/>
      <c r="E135" s="16" t="n"/>
      <c r="F135" s="16" t="n"/>
      <c r="G135" s="16" t="n"/>
      <c r="H135" s="16" t="n"/>
      <c r="I135" s="16" t="n"/>
    </row>
    <row r="136">
      <c r="B136" s="18" t="n"/>
      <c r="C136" s="16" t="n"/>
      <c r="D136" s="16" t="n"/>
      <c r="E136" s="16" t="n"/>
      <c r="F136" s="16" t="n"/>
      <c r="G136" s="16" t="n"/>
      <c r="H136" s="16" t="n"/>
      <c r="I136" s="16" t="n"/>
    </row>
    <row r="137">
      <c r="B137" s="18" t="n"/>
      <c r="C137" s="16" t="n"/>
      <c r="D137" s="16" t="n"/>
      <c r="E137" s="16" t="n"/>
      <c r="F137" s="16" t="n"/>
      <c r="G137" s="16" t="n"/>
      <c r="H137" s="16" t="n"/>
      <c r="I137" s="16" t="n"/>
    </row>
    <row r="138">
      <c r="B138" s="18" t="n"/>
      <c r="C138" s="16" t="n"/>
      <c r="D138" s="16" t="n"/>
      <c r="E138" s="16" t="n"/>
      <c r="F138" s="16" t="n"/>
      <c r="G138" s="16" t="n"/>
      <c r="H138" s="16" t="n"/>
      <c r="I138" s="16" t="n"/>
    </row>
    <row r="139">
      <c r="B139" s="18" t="n"/>
      <c r="C139" s="16" t="n"/>
      <c r="D139" s="16" t="n"/>
      <c r="E139" s="16" t="n"/>
      <c r="F139" s="16" t="n"/>
      <c r="G139" s="16" t="n"/>
      <c r="H139" s="16" t="n"/>
      <c r="I139" s="16" t="n"/>
    </row>
    <row r="140">
      <c r="B140" s="18" t="n"/>
      <c r="C140" s="16" t="n"/>
      <c r="D140" s="16" t="n"/>
      <c r="E140" s="16" t="n"/>
      <c r="F140" s="16" t="n"/>
      <c r="G140" s="16" t="n"/>
      <c r="H140" s="16" t="n"/>
      <c r="I140" s="16" t="n"/>
    </row>
    <row r="141">
      <c r="B141" s="18" t="n"/>
      <c r="C141" s="16" t="n"/>
      <c r="D141" s="16" t="n"/>
      <c r="E141" s="16" t="n"/>
      <c r="F141" s="16" t="n"/>
      <c r="G141" s="16" t="n"/>
      <c r="H141" s="16" t="n"/>
      <c r="I141" s="16" t="n"/>
    </row>
    <row r="142">
      <c r="B142" s="18" t="n"/>
      <c r="C142" s="16" t="n"/>
      <c r="D142" s="16" t="n"/>
      <c r="E142" s="16" t="n"/>
      <c r="F142" s="16" t="n"/>
      <c r="G142" s="16" t="n"/>
      <c r="H142" s="16" t="n"/>
      <c r="I142" s="16" t="n"/>
    </row>
    <row r="143">
      <c r="B143" s="18" t="n"/>
      <c r="C143" s="16" t="n"/>
      <c r="D143" s="16" t="n"/>
      <c r="E143" s="16" t="n"/>
      <c r="F143" s="16" t="n"/>
      <c r="G143" s="16" t="n"/>
      <c r="H143" s="16" t="n"/>
      <c r="I143" s="16" t="n"/>
    </row>
    <row r="144">
      <c r="B144" s="18" t="n"/>
      <c r="C144" s="16" t="n"/>
      <c r="D144" s="16" t="n"/>
      <c r="E144" s="16" t="n"/>
      <c r="F144" s="16" t="n"/>
      <c r="G144" s="16" t="n"/>
      <c r="H144" s="16" t="n"/>
      <c r="I144" s="16" t="n"/>
    </row>
    <row r="145">
      <c r="B145" s="18" t="n"/>
      <c r="C145" s="16" t="n"/>
      <c r="D145" s="16" t="n"/>
      <c r="E145" s="16" t="n"/>
      <c r="F145" s="16" t="n"/>
      <c r="G145" s="16" t="n"/>
      <c r="H145" s="16" t="n"/>
      <c r="I145" s="16" t="n"/>
    </row>
    <row r="146">
      <c r="B146" s="18" t="n"/>
      <c r="C146" s="16" t="n"/>
      <c r="D146" s="16" t="n"/>
      <c r="E146" s="16" t="n"/>
      <c r="F146" s="16" t="n"/>
      <c r="G146" s="16" t="n"/>
      <c r="H146" s="16" t="n"/>
      <c r="I146" s="16" t="n"/>
    </row>
    <row r="147">
      <c r="B147" s="18" t="n"/>
      <c r="C147" s="16" t="n"/>
      <c r="D147" s="16" t="n"/>
      <c r="E147" s="16" t="n"/>
      <c r="F147" s="16" t="n"/>
      <c r="G147" s="16" t="n"/>
      <c r="H147" s="16" t="n"/>
      <c r="I147" s="16" t="n"/>
    </row>
    <row r="148">
      <c r="B148" s="18" t="n"/>
      <c r="C148" s="16" t="n"/>
      <c r="D148" s="16" t="n"/>
      <c r="E148" s="16" t="n"/>
      <c r="F148" s="16" t="n"/>
      <c r="G148" s="16" t="n"/>
      <c r="H148" s="16" t="n"/>
      <c r="I148" s="16" t="n"/>
    </row>
    <row r="149">
      <c r="B149" s="18" t="n"/>
      <c r="C149" s="16" t="n"/>
      <c r="D149" s="16" t="n"/>
      <c r="E149" s="16" t="n"/>
      <c r="F149" s="16" t="n"/>
      <c r="G149" s="16" t="n"/>
      <c r="H149" s="16" t="n"/>
      <c r="I149" s="16" t="n"/>
    </row>
    <row r="150">
      <c r="B150" s="18" t="n"/>
      <c r="C150" s="16" t="n"/>
      <c r="D150" s="16" t="n"/>
      <c r="E150" s="16" t="n"/>
      <c r="F150" s="16" t="n"/>
      <c r="G150" s="16" t="n"/>
      <c r="H150" s="16" t="n"/>
      <c r="I150" s="16" t="n"/>
    </row>
    <row r="151">
      <c r="B151" s="18" t="n"/>
      <c r="C151" s="16" t="n"/>
      <c r="D151" s="16" t="n"/>
      <c r="E151" s="16" t="n"/>
      <c r="F151" s="16" t="n"/>
      <c r="G151" s="16" t="n"/>
      <c r="H151" s="16" t="n"/>
      <c r="I151" s="16" t="n"/>
    </row>
    <row r="152">
      <c r="B152" s="18" t="n"/>
      <c r="C152" s="16" t="n"/>
      <c r="D152" s="16" t="n"/>
      <c r="E152" s="16" t="n"/>
      <c r="F152" s="16" t="n"/>
      <c r="G152" s="16" t="n"/>
      <c r="H152" s="16" t="n"/>
      <c r="I152" s="16" t="n"/>
    </row>
    <row r="153">
      <c r="B153" s="18" t="n"/>
      <c r="C153" s="16" t="n"/>
      <c r="D153" s="16" t="n"/>
      <c r="E153" s="16" t="n"/>
      <c r="F153" s="16" t="n"/>
      <c r="G153" s="16" t="n"/>
      <c r="H153" s="16" t="n"/>
      <c r="I153" s="16" t="n"/>
    </row>
    <row r="154">
      <c r="B154" s="18" t="n"/>
      <c r="C154" s="16" t="n"/>
      <c r="D154" s="16" t="n"/>
      <c r="E154" s="16" t="n"/>
      <c r="F154" s="16" t="n"/>
      <c r="G154" s="16" t="n"/>
      <c r="H154" s="16" t="n"/>
      <c r="I154" s="16" t="n"/>
    </row>
    <row r="155">
      <c r="B155" s="18" t="n"/>
      <c r="C155" s="16" t="n"/>
      <c r="D155" s="16" t="n"/>
      <c r="E155" s="16" t="n"/>
      <c r="F155" s="16" t="n"/>
      <c r="G155" s="16" t="n"/>
      <c r="H155" s="16" t="n"/>
      <c r="I155" s="16" t="n"/>
    </row>
    <row r="156">
      <c r="B156" s="18" t="n"/>
      <c r="C156" s="16" t="n"/>
      <c r="D156" s="16" t="n"/>
      <c r="E156" s="16" t="n"/>
      <c r="F156" s="16" t="n"/>
      <c r="G156" s="16" t="n"/>
      <c r="H156" s="16" t="n"/>
      <c r="I156" s="16" t="n"/>
    </row>
    <row r="157">
      <c r="B157" s="18" t="n"/>
      <c r="C157" s="16" t="n"/>
      <c r="D157" s="16" t="n"/>
      <c r="E157" s="16" t="n"/>
      <c r="F157" s="16" t="n"/>
      <c r="G157" s="16" t="n"/>
      <c r="H157" s="16" t="n"/>
      <c r="I157" s="16" t="n"/>
    </row>
    <row r="158">
      <c r="B158" s="18" t="n"/>
      <c r="C158" s="16" t="n"/>
      <c r="D158" s="16" t="n"/>
      <c r="E158" s="16" t="n"/>
      <c r="F158" s="16" t="n"/>
      <c r="G158" s="16" t="n"/>
      <c r="H158" s="16" t="n"/>
      <c r="I158" s="16" t="n"/>
    </row>
    <row r="159">
      <c r="B159" s="18" t="n"/>
      <c r="C159" s="16" t="n"/>
      <c r="D159" s="16" t="n"/>
      <c r="E159" s="16" t="n"/>
      <c r="F159" s="16" t="n"/>
      <c r="G159" s="16" t="n"/>
      <c r="H159" s="16" t="n"/>
      <c r="I159" s="16" t="n"/>
    </row>
    <row r="160">
      <c r="B160" s="18" t="n"/>
      <c r="C160" s="16" t="n"/>
      <c r="D160" s="16" t="n"/>
      <c r="E160" s="16" t="n"/>
      <c r="F160" s="16" t="n"/>
      <c r="G160" s="16" t="n"/>
      <c r="H160" s="16" t="n"/>
      <c r="I160" s="16" t="n"/>
    </row>
    <row r="161">
      <c r="B161" s="18" t="n"/>
      <c r="C161" s="16" t="n"/>
      <c r="D161" s="16" t="n"/>
      <c r="E161" s="16" t="n"/>
      <c r="F161" s="16" t="n"/>
      <c r="G161" s="16" t="n"/>
      <c r="H161" s="16" t="n"/>
      <c r="I161" s="16" t="n"/>
    </row>
    <row r="162">
      <c r="B162" s="18" t="n"/>
      <c r="C162" s="16" t="n"/>
      <c r="D162" s="16" t="n"/>
      <c r="E162" s="16" t="n"/>
      <c r="F162" s="16" t="n"/>
      <c r="G162" s="16" t="n"/>
      <c r="H162" s="16" t="n"/>
      <c r="I162" s="16" t="n"/>
    </row>
    <row r="163">
      <c r="B163" s="18" t="n"/>
      <c r="C163" s="16" t="n"/>
      <c r="D163" s="16" t="n"/>
      <c r="E163" s="16" t="n"/>
      <c r="F163" s="16" t="n"/>
      <c r="G163" s="16" t="n"/>
      <c r="H163" s="16" t="n"/>
      <c r="I163" s="16" t="n"/>
    </row>
    <row r="164">
      <c r="B164" s="18" t="n"/>
      <c r="C164" s="16" t="n"/>
      <c r="D164" s="16" t="n"/>
      <c r="E164" s="16" t="n"/>
      <c r="F164" s="16" t="n"/>
      <c r="G164" s="16" t="n"/>
      <c r="H164" s="16" t="n"/>
      <c r="I164" s="16" t="n"/>
    </row>
    <row r="165">
      <c r="B165" s="18" t="n"/>
      <c r="C165" s="16" t="n"/>
      <c r="D165" s="16" t="n"/>
      <c r="E165" s="16" t="n"/>
      <c r="F165" s="16" t="n"/>
      <c r="G165" s="16" t="n"/>
      <c r="H165" s="16" t="n"/>
      <c r="I165" s="16" t="n"/>
    </row>
    <row r="166">
      <c r="B166" s="18" t="n"/>
      <c r="C166" s="16" t="n"/>
      <c r="D166" s="16" t="n"/>
      <c r="E166" s="16" t="n"/>
      <c r="F166" s="16" t="n"/>
      <c r="G166" s="16" t="n"/>
      <c r="H166" s="16" t="n"/>
      <c r="I166" s="16" t="n"/>
    </row>
    <row r="167">
      <c r="B167" s="18" t="n"/>
      <c r="C167" s="16" t="n"/>
      <c r="D167" s="16" t="n"/>
      <c r="E167" s="16" t="n"/>
      <c r="F167" s="16" t="n"/>
      <c r="G167" s="16" t="n"/>
      <c r="H167" s="16" t="n"/>
      <c r="I167" s="16" t="n"/>
    </row>
    <row r="168">
      <c r="B168" s="18" t="n"/>
      <c r="C168" s="16" t="n"/>
      <c r="D168" s="16" t="n"/>
      <c r="E168" s="16" t="n"/>
      <c r="F168" s="16" t="n"/>
      <c r="G168" s="16" t="n"/>
      <c r="H168" s="16" t="n"/>
      <c r="I168" s="16" t="n"/>
    </row>
    <row r="169">
      <c r="B169" s="18" t="n"/>
      <c r="C169" s="16" t="n"/>
      <c r="D169" s="16" t="n"/>
      <c r="E169" s="16" t="n"/>
      <c r="F169" s="16" t="n"/>
      <c r="G169" s="16" t="n"/>
      <c r="H169" s="16" t="n"/>
      <c r="I169" s="16" t="n"/>
    </row>
    <row r="170">
      <c r="B170" s="18" t="n"/>
      <c r="C170" s="16" t="n"/>
      <c r="D170" s="16" t="n"/>
      <c r="E170" s="16" t="n"/>
      <c r="F170" s="16" t="n"/>
      <c r="G170" s="16" t="n"/>
      <c r="H170" s="16" t="n"/>
      <c r="I170" s="16" t="n"/>
    </row>
    <row r="171">
      <c r="B171" s="18" t="n"/>
      <c r="C171" s="16" t="n"/>
      <c r="D171" s="16" t="n"/>
      <c r="E171" s="16" t="n"/>
      <c r="F171" s="16" t="n"/>
      <c r="G171" s="16" t="n"/>
      <c r="H171" s="16" t="n"/>
      <c r="I171" s="16" t="n"/>
    </row>
    <row r="172">
      <c r="B172" s="18" t="n"/>
      <c r="C172" s="16" t="n"/>
      <c r="D172" s="16" t="n"/>
      <c r="E172" s="16" t="n"/>
      <c r="F172" s="16" t="n"/>
      <c r="G172" s="16" t="n"/>
      <c r="H172" s="16" t="n"/>
      <c r="I172" s="16" t="n"/>
    </row>
    <row r="173">
      <c r="B173" s="18" t="n"/>
      <c r="C173" s="16" t="n"/>
      <c r="D173" s="16" t="n"/>
      <c r="E173" s="16" t="n"/>
      <c r="F173" s="16" t="n"/>
      <c r="G173" s="16" t="n"/>
      <c r="H173" s="16" t="n"/>
      <c r="I173" s="16" t="n"/>
    </row>
    <row r="174">
      <c r="B174" s="18" t="n"/>
      <c r="C174" s="16" t="n"/>
      <c r="D174" s="16" t="n"/>
      <c r="E174" s="16" t="n"/>
      <c r="F174" s="16" t="n"/>
      <c r="G174" s="16" t="n"/>
      <c r="H174" s="16" t="n"/>
      <c r="I174" s="16" t="n"/>
    </row>
    <row r="175">
      <c r="B175" s="18" t="n"/>
      <c r="C175" s="16" t="n"/>
      <c r="D175" s="16" t="n"/>
      <c r="E175" s="16" t="n"/>
      <c r="F175" s="16" t="n"/>
      <c r="G175" s="16" t="n"/>
      <c r="H175" s="16" t="n"/>
      <c r="I175" s="16" t="n"/>
    </row>
    <row r="176">
      <c r="B176" s="18" t="n"/>
      <c r="C176" s="16" t="n"/>
      <c r="D176" s="16" t="n"/>
      <c r="E176" s="16" t="n"/>
      <c r="F176" s="16" t="n"/>
      <c r="G176" s="16" t="n"/>
      <c r="H176" s="16" t="n"/>
      <c r="I176" s="16" t="n"/>
    </row>
    <row r="177">
      <c r="B177" s="18" t="n"/>
      <c r="C177" s="16" t="n"/>
      <c r="D177" s="16" t="n"/>
      <c r="E177" s="16" t="n"/>
      <c r="F177" s="16" t="n"/>
      <c r="G177" s="16" t="n"/>
      <c r="H177" s="16" t="n"/>
      <c r="I177" s="16" t="n"/>
    </row>
    <row r="178">
      <c r="B178" s="18" t="n"/>
      <c r="C178" s="16" t="n"/>
      <c r="D178" s="16" t="n"/>
      <c r="E178" s="16" t="n"/>
      <c r="F178" s="16" t="n"/>
      <c r="G178" s="16" t="n"/>
      <c r="H178" s="16" t="n"/>
      <c r="I178" s="16" t="n"/>
    </row>
    <row r="179">
      <c r="B179" s="18" t="n"/>
      <c r="C179" s="16" t="n"/>
      <c r="D179" s="16" t="n"/>
      <c r="E179" s="16" t="n"/>
      <c r="F179" s="16" t="n"/>
      <c r="G179" s="16" t="n"/>
      <c r="H179" s="16" t="n"/>
      <c r="I179" s="16" t="n"/>
    </row>
    <row r="180">
      <c r="B180" s="18" t="n"/>
      <c r="C180" s="16" t="n"/>
      <c r="D180" s="16" t="n"/>
      <c r="E180" s="16" t="n"/>
      <c r="F180" s="16" t="n"/>
      <c r="G180" s="16" t="n"/>
      <c r="H180" s="16" t="n"/>
      <c r="I180" s="16" t="n"/>
    </row>
    <row r="181">
      <c r="B181" s="18" t="n"/>
      <c r="C181" s="16" t="n"/>
      <c r="D181" s="16" t="n"/>
      <c r="E181" s="16" t="n"/>
      <c r="F181" s="16" t="n"/>
      <c r="G181" s="16" t="n"/>
      <c r="H181" s="16" t="n"/>
      <c r="I181" s="16" t="n"/>
    </row>
    <row r="182">
      <c r="B182" s="18" t="n"/>
      <c r="C182" s="16" t="n"/>
      <c r="D182" s="16" t="n"/>
      <c r="E182" s="16" t="n"/>
      <c r="F182" s="16" t="n"/>
      <c r="G182" s="16" t="n"/>
      <c r="H182" s="16" t="n"/>
      <c r="I182" s="16" t="n"/>
    </row>
    <row r="183">
      <c r="B183" s="18" t="n"/>
      <c r="C183" s="16" t="n"/>
      <c r="D183" s="16" t="n"/>
      <c r="E183" s="16" t="n"/>
      <c r="F183" s="16" t="n"/>
      <c r="G183" s="16" t="n"/>
      <c r="H183" s="16" t="n"/>
      <c r="I183" s="16" t="n"/>
    </row>
    <row r="184">
      <c r="B184" s="18" t="n"/>
      <c r="C184" s="16" t="n"/>
      <c r="D184" s="16" t="n"/>
      <c r="E184" s="16" t="n"/>
      <c r="F184" s="16" t="n"/>
      <c r="G184" s="16" t="n"/>
      <c r="H184" s="16" t="n"/>
      <c r="I184" s="16" t="n"/>
    </row>
    <row r="185">
      <c r="B185" s="18" t="n"/>
      <c r="C185" s="16" t="n"/>
      <c r="D185" s="16" t="n"/>
      <c r="E185" s="16" t="n"/>
      <c r="F185" s="16" t="n"/>
      <c r="G185" s="16" t="n"/>
      <c r="H185" s="16" t="n"/>
      <c r="I185" s="16" t="n"/>
    </row>
    <row r="186">
      <c r="B186" s="18" t="n"/>
      <c r="C186" s="16" t="n"/>
      <c r="D186" s="16" t="n"/>
      <c r="E186" s="16" t="n"/>
      <c r="F186" s="16" t="n"/>
      <c r="G186" s="16" t="n"/>
      <c r="H186" s="16" t="n"/>
      <c r="I186" s="16" t="n"/>
    </row>
    <row r="187">
      <c r="B187" s="18" t="n"/>
      <c r="C187" s="16" t="n"/>
      <c r="D187" s="16" t="n"/>
      <c r="E187" s="16" t="n"/>
      <c r="F187" s="16" t="n"/>
      <c r="G187" s="16" t="n"/>
      <c r="H187" s="16" t="n"/>
      <c r="I187" s="16" t="n"/>
    </row>
    <row r="188">
      <c r="B188" s="18" t="n"/>
      <c r="C188" s="16" t="n"/>
      <c r="D188" s="16" t="n"/>
      <c r="E188" s="16" t="n"/>
      <c r="F188" s="16" t="n"/>
      <c r="G188" s="16" t="n"/>
      <c r="H188" s="16" t="n"/>
      <c r="I188" s="16" t="n"/>
    </row>
    <row r="189">
      <c r="B189" s="18" t="n"/>
      <c r="C189" s="16" t="n"/>
      <c r="D189" s="16" t="n"/>
      <c r="E189" s="16" t="n"/>
      <c r="F189" s="16" t="n"/>
      <c r="G189" s="16" t="n"/>
      <c r="H189" s="16" t="n"/>
      <c r="I189" s="16" t="n"/>
    </row>
    <row r="190">
      <c r="B190" s="18" t="n"/>
      <c r="C190" s="16" t="n"/>
      <c r="D190" s="16" t="n"/>
      <c r="E190" s="16" t="n"/>
      <c r="F190" s="16" t="n"/>
      <c r="G190" s="16" t="n"/>
      <c r="H190" s="16" t="n"/>
      <c r="I190" s="16" t="n"/>
    </row>
    <row r="191">
      <c r="B191" s="18" t="n"/>
      <c r="C191" s="16" t="n"/>
      <c r="D191" s="16" t="n"/>
      <c r="E191" s="16" t="n"/>
      <c r="F191" s="16" t="n"/>
      <c r="G191" s="16" t="n"/>
      <c r="H191" s="16" t="n"/>
      <c r="I191" s="16" t="n"/>
    </row>
    <row r="192">
      <c r="B192" s="18" t="n"/>
      <c r="C192" s="16" t="n"/>
      <c r="D192" s="16" t="n"/>
      <c r="E192" s="16" t="n"/>
      <c r="F192" s="16" t="n"/>
      <c r="G192" s="16" t="n"/>
      <c r="H192" s="16" t="n"/>
      <c r="I192" s="16" t="n"/>
    </row>
    <row r="193">
      <c r="B193" s="18" t="n"/>
      <c r="C193" s="16" t="n"/>
      <c r="D193" s="16" t="n"/>
      <c r="E193" s="16" t="n"/>
      <c r="F193" s="16" t="n"/>
      <c r="G193" s="16" t="n"/>
      <c r="H193" s="16" t="n"/>
      <c r="I193" s="16" t="n"/>
    </row>
    <row r="194">
      <c r="B194" s="18" t="n"/>
      <c r="C194" s="16" t="n"/>
      <c r="D194" s="16" t="n"/>
      <c r="E194" s="16" t="n"/>
      <c r="F194" s="16" t="n"/>
      <c r="G194" s="16" t="n"/>
      <c r="H194" s="16" t="n"/>
      <c r="I194" s="16" t="n"/>
    </row>
    <row r="195">
      <c r="B195" s="18" t="n"/>
      <c r="C195" s="16" t="n"/>
      <c r="D195" s="16" t="n"/>
      <c r="E195" s="16" t="n"/>
      <c r="F195" s="16" t="n"/>
      <c r="G195" s="16" t="n"/>
      <c r="H195" s="16" t="n"/>
      <c r="I195" s="16" t="n"/>
    </row>
    <row r="196">
      <c r="B196" s="18" t="n"/>
      <c r="C196" s="16" t="n"/>
      <c r="D196" s="16" t="n"/>
      <c r="E196" s="16" t="n"/>
      <c r="F196" s="16" t="n"/>
      <c r="G196" s="16" t="n"/>
      <c r="H196" s="16" t="n"/>
      <c r="I196" s="16" t="n"/>
    </row>
    <row r="197">
      <c r="B197" s="18" t="n"/>
      <c r="C197" s="16" t="n"/>
      <c r="D197" s="16" t="n"/>
      <c r="E197" s="16" t="n"/>
      <c r="F197" s="16" t="n"/>
      <c r="G197" s="16" t="n"/>
      <c r="H197" s="16" t="n"/>
      <c r="I197" s="16" t="n"/>
    </row>
    <row r="198">
      <c r="B198" s="18" t="n"/>
      <c r="C198" s="16" t="n"/>
      <c r="D198" s="16" t="n"/>
      <c r="E198" s="16" t="n"/>
      <c r="F198" s="16" t="n"/>
      <c r="G198" s="16" t="n"/>
      <c r="H198" s="16" t="n"/>
      <c r="I198" s="16" t="n"/>
    </row>
    <row r="199">
      <c r="B199" s="18" t="n"/>
      <c r="C199" s="16" t="n"/>
      <c r="D199" s="16" t="n"/>
      <c r="E199" s="16" t="n"/>
      <c r="F199" s="16" t="n"/>
      <c r="G199" s="16" t="n"/>
      <c r="H199" s="16" t="n"/>
      <c r="I199" s="16" t="n"/>
    </row>
    <row r="200">
      <c r="B200" s="18" t="n"/>
      <c r="C200" s="16" t="n"/>
      <c r="D200" s="16" t="n"/>
      <c r="E200" s="16" t="n"/>
      <c r="F200" s="16" t="n"/>
      <c r="G200" s="16" t="n"/>
      <c r="H200" s="16" t="n"/>
      <c r="I200" s="16" t="n"/>
    </row>
    <row r="201">
      <c r="B201" s="18" t="n"/>
      <c r="C201" s="16" t="n"/>
      <c r="D201" s="16" t="n"/>
      <c r="E201" s="16" t="n"/>
      <c r="F201" s="16" t="n"/>
      <c r="G201" s="16" t="n"/>
      <c r="H201" s="16" t="n"/>
      <c r="I201" s="16" t="n"/>
    </row>
    <row r="202">
      <c r="B202" s="18" t="n"/>
      <c r="C202" s="16" t="n"/>
      <c r="D202" s="16" t="n"/>
      <c r="E202" s="16" t="n"/>
      <c r="F202" s="16" t="n"/>
      <c r="G202" s="16" t="n"/>
      <c r="H202" s="16" t="n"/>
      <c r="I202" s="16" t="n"/>
    </row>
    <row r="203">
      <c r="B203" s="18" t="n"/>
      <c r="C203" s="16" t="n"/>
      <c r="D203" s="16" t="n"/>
      <c r="E203" s="16" t="n"/>
      <c r="F203" s="16" t="n"/>
      <c r="G203" s="16" t="n"/>
      <c r="H203" s="16" t="n"/>
      <c r="I203" s="16" t="n"/>
    </row>
    <row r="204">
      <c r="B204" s="18" t="n"/>
      <c r="C204" s="16" t="n"/>
      <c r="D204" s="16" t="n"/>
      <c r="E204" s="16" t="n"/>
      <c r="F204" s="16" t="n"/>
      <c r="G204" s="16" t="n"/>
      <c r="H204" s="16" t="n"/>
      <c r="I204" s="16" t="n"/>
    </row>
    <row r="205">
      <c r="B205" s="18" t="n"/>
      <c r="C205" s="16" t="n"/>
      <c r="D205" s="16" t="n"/>
      <c r="E205" s="16" t="n"/>
      <c r="F205" s="16" t="n"/>
      <c r="G205" s="16" t="n"/>
      <c r="H205" s="16" t="n"/>
      <c r="I205" s="16" t="n"/>
    </row>
    <row r="206">
      <c r="B206" s="18" t="n"/>
      <c r="C206" s="16" t="n"/>
      <c r="D206" s="16" t="n"/>
      <c r="E206" s="16" t="n"/>
      <c r="F206" s="16" t="n"/>
      <c r="G206" s="16" t="n"/>
      <c r="H206" s="16" t="n"/>
      <c r="I206" s="16" t="n"/>
    </row>
    <row r="207">
      <c r="B207" s="18" t="n"/>
      <c r="C207" s="16" t="n"/>
      <c r="D207" s="16" t="n"/>
      <c r="E207" s="16" t="n"/>
      <c r="F207" s="16" t="n"/>
      <c r="G207" s="16" t="n"/>
      <c r="H207" s="16" t="n"/>
      <c r="I207" s="16" t="n"/>
    </row>
    <row r="208">
      <c r="B208" s="18" t="n"/>
      <c r="C208" s="16" t="n"/>
      <c r="D208" s="16" t="n"/>
      <c r="E208" s="16" t="n"/>
      <c r="F208" s="16" t="n"/>
      <c r="G208" s="16" t="n"/>
      <c r="H208" s="16" t="n"/>
      <c r="I208" s="16" t="n"/>
    </row>
    <row r="209">
      <c r="B209" s="18" t="n"/>
      <c r="C209" s="16" t="n"/>
      <c r="D209" s="16" t="n"/>
      <c r="E209" s="16" t="n"/>
      <c r="F209" s="16" t="n"/>
      <c r="G209" s="16" t="n"/>
      <c r="H209" s="16" t="n"/>
      <c r="I209" s="16" t="n"/>
    </row>
    <row r="210">
      <c r="B210" s="18" t="n"/>
      <c r="C210" s="16" t="n"/>
      <c r="D210" s="16" t="n"/>
      <c r="E210" s="16" t="n"/>
      <c r="F210" s="16" t="n"/>
      <c r="G210" s="16" t="n"/>
      <c r="H210" s="16" t="n"/>
      <c r="I210" s="16" t="n"/>
    </row>
    <row r="211">
      <c r="B211" s="18" t="n"/>
      <c r="C211" s="16" t="n"/>
      <c r="D211" s="16" t="n"/>
      <c r="E211" s="16" t="n"/>
      <c r="F211" s="16" t="n"/>
      <c r="G211" s="16" t="n"/>
      <c r="H211" s="16" t="n"/>
      <c r="I211" s="16" t="n"/>
    </row>
    <row r="212">
      <c r="B212" s="18" t="n"/>
      <c r="C212" s="16" t="n"/>
      <c r="D212" s="16" t="n"/>
      <c r="E212" s="16" t="n"/>
      <c r="F212" s="16" t="n"/>
      <c r="G212" s="16" t="n"/>
      <c r="H212" s="16" t="n"/>
      <c r="I212" s="16" t="n"/>
    </row>
    <row r="213">
      <c r="B213" s="18" t="n"/>
      <c r="C213" s="16" t="n"/>
      <c r="D213" s="16" t="n"/>
      <c r="E213" s="16" t="n"/>
      <c r="F213" s="16" t="n"/>
      <c r="G213" s="16" t="n"/>
      <c r="H213" s="16" t="n"/>
      <c r="I213" s="16" t="n"/>
    </row>
    <row r="214">
      <c r="B214" s="18" t="n"/>
      <c r="C214" s="16" t="n"/>
      <c r="D214" s="16" t="n"/>
      <c r="E214" s="16" t="n"/>
      <c r="F214" s="16" t="n"/>
      <c r="G214" s="16" t="n"/>
      <c r="H214" s="16" t="n"/>
      <c r="I214" s="16" t="n"/>
    </row>
    <row r="215">
      <c r="B215" s="18" t="n"/>
      <c r="C215" s="16" t="n"/>
      <c r="D215" s="16" t="n"/>
      <c r="E215" s="16" t="n"/>
      <c r="F215" s="16" t="n"/>
      <c r="G215" s="16" t="n"/>
      <c r="H215" s="16" t="n"/>
      <c r="I215" s="16" t="n"/>
    </row>
    <row r="216">
      <c r="B216" s="18" t="n"/>
      <c r="C216" s="16" t="n"/>
      <c r="D216" s="16" t="n"/>
      <c r="E216" s="16" t="n"/>
      <c r="F216" s="16" t="n"/>
      <c r="G216" s="16" t="n"/>
      <c r="H216" s="16" t="n"/>
      <c r="I216" s="16" t="n"/>
    </row>
    <row r="217">
      <c r="B217" s="18" t="n"/>
      <c r="C217" s="16" t="n"/>
      <c r="D217" s="16" t="n"/>
      <c r="E217" s="16" t="n"/>
      <c r="F217" s="16" t="n"/>
      <c r="G217" s="16" t="n"/>
      <c r="H217" s="16" t="n"/>
      <c r="I217" s="16" t="n"/>
    </row>
    <row r="218">
      <c r="B218" s="18" t="n"/>
      <c r="C218" s="16" t="n"/>
      <c r="D218" s="16" t="n"/>
      <c r="E218" s="16" t="n"/>
      <c r="F218" s="16" t="n"/>
      <c r="G218" s="16" t="n"/>
      <c r="H218" s="16" t="n"/>
      <c r="I218" s="16" t="n"/>
    </row>
    <row r="219">
      <c r="B219" s="18" t="n"/>
      <c r="C219" s="16" t="n"/>
      <c r="D219" s="16" t="n"/>
      <c r="E219" s="16" t="n"/>
      <c r="F219" s="16" t="n"/>
      <c r="G219" s="16" t="n"/>
      <c r="H219" s="16" t="n"/>
      <c r="I219" s="16" t="n"/>
    </row>
    <row r="220">
      <c r="B220" s="18" t="n"/>
      <c r="C220" s="16" t="n"/>
      <c r="D220" s="16" t="n"/>
      <c r="E220" s="16" t="n"/>
      <c r="F220" s="16" t="n"/>
      <c r="G220" s="16" t="n"/>
      <c r="H220" s="16" t="n"/>
      <c r="I220" s="16" t="n"/>
    </row>
    <row r="221">
      <c r="B221" s="18" t="n"/>
      <c r="C221" s="16" t="n"/>
      <c r="D221" s="16" t="n"/>
      <c r="E221" s="16" t="n"/>
      <c r="F221" s="16" t="n"/>
      <c r="G221" s="16" t="n"/>
      <c r="H221" s="16" t="n"/>
      <c r="I221" s="16" t="n"/>
    </row>
    <row r="222">
      <c r="B222" s="18" t="n"/>
      <c r="C222" s="16" t="n"/>
      <c r="D222" s="16" t="n"/>
      <c r="E222" s="16" t="n"/>
      <c r="F222" s="16" t="n"/>
      <c r="G222" s="16" t="n"/>
      <c r="H222" s="16" t="n"/>
      <c r="I222" s="16" t="n"/>
    </row>
    <row r="223">
      <c r="B223" s="18" t="n"/>
      <c r="C223" s="16" t="n"/>
      <c r="D223" s="16" t="n"/>
      <c r="E223" s="16" t="n"/>
      <c r="F223" s="16" t="n"/>
      <c r="G223" s="16" t="n"/>
      <c r="H223" s="16" t="n"/>
      <c r="I223" s="16" t="n"/>
    </row>
    <row r="224">
      <c r="B224" s="18" t="n"/>
      <c r="C224" s="16" t="n"/>
      <c r="D224" s="16" t="n"/>
      <c r="E224" s="16" t="n"/>
      <c r="F224" s="16" t="n"/>
      <c r="G224" s="16" t="n"/>
      <c r="H224" s="16" t="n"/>
      <c r="I224" s="16" t="n"/>
    </row>
    <row r="225">
      <c r="B225" s="18" t="n"/>
      <c r="C225" s="16" t="n"/>
      <c r="D225" s="16" t="n"/>
      <c r="E225" s="16" t="n"/>
      <c r="F225" s="16" t="n"/>
      <c r="G225" s="16" t="n"/>
      <c r="H225" s="16" t="n"/>
      <c r="I225" s="16" t="n"/>
    </row>
    <row r="226">
      <c r="B226" s="18" t="n"/>
      <c r="C226" s="16" t="n"/>
      <c r="D226" s="16" t="n"/>
      <c r="E226" s="16" t="n"/>
      <c r="F226" s="16" t="n"/>
      <c r="G226" s="16" t="n"/>
      <c r="H226" s="16" t="n"/>
      <c r="I226" s="16" t="n"/>
    </row>
    <row r="227">
      <c r="B227" s="18" t="n"/>
      <c r="C227" s="16" t="n"/>
      <c r="D227" s="16" t="n"/>
      <c r="E227" s="16" t="n"/>
      <c r="F227" s="16" t="n"/>
      <c r="G227" s="16" t="n"/>
      <c r="H227" s="16" t="n"/>
      <c r="I227" s="16" t="n"/>
    </row>
    <row r="228">
      <c r="B228" s="18" t="n"/>
      <c r="C228" s="16" t="n"/>
      <c r="D228" s="16" t="n"/>
      <c r="E228" s="16" t="n"/>
      <c r="F228" s="16" t="n"/>
      <c r="G228" s="16" t="n"/>
      <c r="H228" s="16" t="n"/>
      <c r="I228" s="16" t="n"/>
    </row>
    <row r="229">
      <c r="B229" s="18" t="n"/>
      <c r="C229" s="16" t="n"/>
      <c r="D229" s="16" t="n"/>
      <c r="E229" s="16" t="n"/>
      <c r="F229" s="16" t="n"/>
      <c r="G229" s="16" t="n"/>
      <c r="H229" s="16" t="n"/>
      <c r="I229" s="16" t="n"/>
    </row>
    <row r="230">
      <c r="B230" s="18" t="n"/>
      <c r="C230" s="16" t="n"/>
      <c r="D230" s="16" t="n"/>
      <c r="E230" s="16" t="n"/>
      <c r="F230" s="16" t="n"/>
      <c r="G230" s="16" t="n"/>
      <c r="H230" s="16" t="n"/>
      <c r="I230" s="16" t="n"/>
    </row>
    <row r="231">
      <c r="B231" s="18" t="n"/>
      <c r="C231" s="16" t="n"/>
      <c r="D231" s="16" t="n"/>
      <c r="E231" s="16" t="n"/>
      <c r="F231" s="16" t="n"/>
      <c r="G231" s="16" t="n"/>
      <c r="H231" s="16" t="n"/>
      <c r="I231" s="16" t="n"/>
    </row>
    <row r="232">
      <c r="B232" s="18" t="n"/>
      <c r="C232" s="16" t="n"/>
      <c r="D232" s="16" t="n"/>
      <c r="E232" s="16" t="n"/>
      <c r="F232" s="16" t="n"/>
      <c r="G232" s="16" t="n"/>
      <c r="H232" s="16" t="n"/>
      <c r="I232" s="16" t="n"/>
    </row>
    <row r="233">
      <c r="B233" s="18" t="n"/>
      <c r="C233" s="16" t="n"/>
      <c r="D233" s="16" t="n"/>
      <c r="E233" s="16" t="n"/>
      <c r="F233" s="16" t="n"/>
      <c r="G233" s="16" t="n"/>
      <c r="H233" s="16" t="n"/>
      <c r="I233" s="16" t="n"/>
    </row>
    <row r="234">
      <c r="B234" s="18" t="n"/>
      <c r="C234" s="16" t="n"/>
      <c r="D234" s="16" t="n"/>
      <c r="E234" s="16" t="n"/>
      <c r="F234" s="16" t="n"/>
      <c r="G234" s="16" t="n"/>
      <c r="H234" s="16" t="n"/>
      <c r="I234" s="16" t="n"/>
    </row>
    <row r="235">
      <c r="B235" s="18" t="n"/>
      <c r="C235" s="16" t="n"/>
      <c r="D235" s="16" t="n"/>
      <c r="E235" s="16" t="n"/>
      <c r="F235" s="16" t="n"/>
      <c r="G235" s="16" t="n"/>
      <c r="H235" s="16" t="n"/>
      <c r="I235" s="16" t="n"/>
    </row>
    <row r="236">
      <c r="B236" s="18" t="n"/>
      <c r="C236" s="16" t="n"/>
      <c r="D236" s="16" t="n"/>
      <c r="E236" s="16" t="n"/>
      <c r="F236" s="16" t="n"/>
      <c r="G236" s="16" t="n"/>
      <c r="H236" s="16" t="n"/>
      <c r="I236" s="16" t="n"/>
    </row>
    <row r="237">
      <c r="B237" s="18" t="n"/>
      <c r="C237" s="16" t="n"/>
      <c r="D237" s="16" t="n"/>
      <c r="E237" s="16" t="n"/>
      <c r="F237" s="16" t="n"/>
      <c r="G237" s="16" t="n"/>
      <c r="H237" s="16" t="n"/>
      <c r="I237" s="16" t="n"/>
    </row>
    <row r="238">
      <c r="B238" s="18" t="n"/>
      <c r="C238" s="16" t="n"/>
      <c r="D238" s="16" t="n"/>
      <c r="E238" s="16" t="n"/>
      <c r="F238" s="16" t="n"/>
      <c r="G238" s="16" t="n"/>
      <c r="H238" s="16" t="n"/>
      <c r="I238" s="16" t="n"/>
    </row>
    <row r="239">
      <c r="B239" s="18" t="n"/>
      <c r="C239" s="16" t="n"/>
      <c r="D239" s="16" t="n"/>
      <c r="E239" s="16" t="n"/>
      <c r="F239" s="16" t="n"/>
      <c r="G239" s="16" t="n"/>
      <c r="H239" s="16" t="n"/>
      <c r="I239" s="16" t="n"/>
    </row>
    <row r="240">
      <c r="B240" s="18" t="n"/>
      <c r="C240" s="16" t="n"/>
      <c r="D240" s="16" t="n"/>
      <c r="E240" s="16" t="n"/>
      <c r="F240" s="16" t="n"/>
      <c r="G240" s="16" t="n"/>
      <c r="H240" s="16" t="n"/>
      <c r="I240" s="16" t="n"/>
    </row>
    <row r="241">
      <c r="B241" s="18" t="n"/>
      <c r="C241" s="16" t="n"/>
      <c r="D241" s="16" t="n"/>
      <c r="E241" s="16" t="n"/>
      <c r="F241" s="16" t="n"/>
      <c r="G241" s="16" t="n"/>
      <c r="H241" s="16" t="n"/>
      <c r="I241" s="16" t="n"/>
    </row>
    <row r="242">
      <c r="B242" s="18" t="n"/>
      <c r="C242" s="16" t="n"/>
      <c r="D242" s="16" t="n"/>
      <c r="E242" s="16" t="n"/>
      <c r="F242" s="16" t="n"/>
      <c r="G242" s="16" t="n"/>
      <c r="H242" s="16" t="n"/>
      <c r="I242" s="16" t="n"/>
    </row>
    <row r="243">
      <c r="B243" s="18" t="n"/>
      <c r="C243" s="16" t="n"/>
      <c r="D243" s="16" t="n"/>
      <c r="E243" s="16" t="n"/>
      <c r="F243" s="16" t="n"/>
      <c r="G243" s="16" t="n"/>
      <c r="H243" s="16" t="n"/>
      <c r="I243" s="16" t="n"/>
    </row>
    <row r="244">
      <c r="B244" s="18" t="n"/>
      <c r="C244" s="16" t="n"/>
      <c r="D244" s="16" t="n"/>
      <c r="E244" s="16" t="n"/>
      <c r="F244" s="16" t="n"/>
      <c r="G244" s="16" t="n"/>
      <c r="H244" s="16" t="n"/>
      <c r="I244" s="16" t="n"/>
    </row>
    <row r="245">
      <c r="B245" s="18" t="n"/>
      <c r="C245" s="16" t="n"/>
      <c r="D245" s="16" t="n"/>
      <c r="E245" s="16" t="n"/>
      <c r="F245" s="16" t="n"/>
      <c r="G245" s="16" t="n"/>
      <c r="H245" s="16" t="n"/>
      <c r="I245" s="16" t="n"/>
    </row>
    <row r="246">
      <c r="B246" s="18" t="n"/>
      <c r="C246" s="16" t="n"/>
      <c r="D246" s="16" t="n"/>
      <c r="E246" s="16" t="n"/>
      <c r="F246" s="16" t="n"/>
      <c r="G246" s="16" t="n"/>
      <c r="H246" s="16" t="n"/>
      <c r="I246" s="16" t="n"/>
    </row>
    <row r="247">
      <c r="B247" s="18" t="n"/>
      <c r="C247" s="16" t="n"/>
      <c r="D247" s="16" t="n"/>
      <c r="E247" s="16" t="n"/>
      <c r="F247" s="16" t="n"/>
      <c r="G247" s="16" t="n"/>
      <c r="H247" s="16" t="n"/>
      <c r="I247" s="16" t="n"/>
    </row>
    <row r="248">
      <c r="B248" s="18" t="n"/>
      <c r="C248" s="16" t="n"/>
      <c r="D248" s="16" t="n"/>
      <c r="E248" s="16" t="n"/>
      <c r="F248" s="16" t="n"/>
      <c r="G248" s="16" t="n"/>
      <c r="H248" s="16" t="n"/>
      <c r="I248" s="16" t="n"/>
    </row>
    <row r="249">
      <c r="B249" s="18" t="n"/>
      <c r="C249" s="16" t="n"/>
      <c r="D249" s="16" t="n"/>
      <c r="E249" s="16" t="n"/>
      <c r="F249" s="16" t="n"/>
      <c r="G249" s="16" t="n"/>
      <c r="H249" s="16" t="n"/>
      <c r="I249" s="16" t="n"/>
    </row>
    <row r="250">
      <c r="B250" s="18" t="n"/>
      <c r="C250" s="16" t="n"/>
      <c r="D250" s="16" t="n"/>
      <c r="E250" s="16" t="n"/>
      <c r="F250" s="16" t="n"/>
      <c r="G250" s="16" t="n"/>
      <c r="H250" s="16" t="n"/>
      <c r="I250" s="16" t="n"/>
    </row>
    <row r="251">
      <c r="B251" s="18" t="n"/>
      <c r="C251" s="16" t="n"/>
      <c r="D251" s="16" t="n"/>
      <c r="E251" s="16" t="n"/>
      <c r="F251" s="16" t="n"/>
      <c r="G251" s="16" t="n"/>
      <c r="H251" s="16" t="n"/>
      <c r="I251" s="16" t="n"/>
    </row>
    <row r="252">
      <c r="B252" s="18" t="n"/>
      <c r="C252" s="16" t="n"/>
      <c r="D252" s="16" t="n"/>
      <c r="E252" s="16" t="n"/>
      <c r="F252" s="16" t="n"/>
      <c r="G252" s="16" t="n"/>
      <c r="H252" s="16" t="n"/>
      <c r="I252" s="16" t="n"/>
    </row>
    <row r="253">
      <c r="B253" s="18" t="n"/>
      <c r="C253" s="16" t="n"/>
      <c r="D253" s="16" t="n"/>
      <c r="E253" s="16" t="n"/>
      <c r="F253" s="16" t="n"/>
      <c r="G253" s="16" t="n"/>
      <c r="H253" s="16" t="n"/>
      <c r="I253" s="16" t="n"/>
    </row>
    <row r="254">
      <c r="B254" s="18" t="n"/>
      <c r="C254" s="16" t="n"/>
      <c r="D254" s="16" t="n"/>
      <c r="E254" s="16" t="n"/>
      <c r="F254" s="16" t="n"/>
      <c r="G254" s="16" t="n"/>
      <c r="H254" s="16" t="n"/>
      <c r="I254" s="16" t="n"/>
    </row>
    <row r="255">
      <c r="B255" s="18" t="n"/>
      <c r="C255" s="16" t="n"/>
      <c r="D255" s="16" t="n"/>
      <c r="E255" s="16" t="n"/>
      <c r="F255" s="16" t="n"/>
      <c r="G255" s="16" t="n"/>
      <c r="H255" s="16" t="n"/>
      <c r="I255" s="16" t="n"/>
    </row>
    <row r="256">
      <c r="B256" s="18" t="n"/>
      <c r="C256" s="16" t="n"/>
      <c r="D256" s="16" t="n"/>
      <c r="E256" s="16" t="n"/>
      <c r="F256" s="16" t="n"/>
      <c r="G256" s="16" t="n"/>
      <c r="H256" s="16" t="n"/>
      <c r="I256" s="16" t="n"/>
    </row>
    <row r="257">
      <c r="B257" s="18" t="n"/>
      <c r="C257" s="16" t="n"/>
      <c r="D257" s="16" t="n"/>
      <c r="E257" s="16" t="n"/>
      <c r="F257" s="16" t="n"/>
      <c r="G257" s="16" t="n"/>
      <c r="H257" s="16" t="n"/>
      <c r="I257" s="16" t="n"/>
    </row>
    <row r="258">
      <c r="B258" s="18" t="n"/>
      <c r="C258" s="16" t="n"/>
      <c r="D258" s="16" t="n"/>
      <c r="E258" s="16" t="n"/>
      <c r="F258" s="16" t="n"/>
      <c r="G258" s="16" t="n"/>
      <c r="H258" s="16" t="n"/>
      <c r="I258" s="16" t="n"/>
    </row>
    <row r="259">
      <c r="B259" s="18" t="n"/>
      <c r="C259" s="16" t="n"/>
      <c r="D259" s="16" t="n"/>
      <c r="E259" s="16" t="n"/>
      <c r="F259" s="16" t="n"/>
      <c r="G259" s="16" t="n"/>
      <c r="H259" s="16" t="n"/>
      <c r="I259" s="16" t="n"/>
    </row>
    <row r="260">
      <c r="B260" s="18" t="n"/>
      <c r="C260" s="16" t="n"/>
      <c r="D260" s="16" t="n"/>
      <c r="E260" s="16" t="n"/>
      <c r="F260" s="16" t="n"/>
      <c r="G260" s="16" t="n"/>
      <c r="H260" s="16" t="n"/>
      <c r="I260" s="16" t="n"/>
    </row>
    <row r="261">
      <c r="B261" s="18" t="n"/>
      <c r="C261" s="16" t="n"/>
      <c r="D261" s="16" t="n"/>
      <c r="E261" s="16" t="n"/>
      <c r="F261" s="16" t="n"/>
      <c r="G261" s="16" t="n"/>
      <c r="H261" s="16" t="n"/>
      <c r="I261" s="16" t="n"/>
    </row>
    <row r="262">
      <c r="B262" s="18" t="n"/>
      <c r="C262" s="16" t="n"/>
      <c r="D262" s="16" t="n"/>
      <c r="E262" s="16" t="n"/>
      <c r="F262" s="16" t="n"/>
      <c r="G262" s="16" t="n"/>
      <c r="H262" s="16" t="n"/>
      <c r="I262" s="16" t="n"/>
    </row>
    <row r="263">
      <c r="B263" s="18" t="n"/>
      <c r="C263" s="16" t="n"/>
      <c r="D263" s="16" t="n"/>
      <c r="E263" s="16" t="n"/>
      <c r="F263" s="16" t="n"/>
      <c r="G263" s="16" t="n"/>
      <c r="H263" s="16" t="n"/>
      <c r="I263" s="16" t="n"/>
    </row>
    <row r="264">
      <c r="B264" s="18" t="n"/>
      <c r="C264" s="16" t="n"/>
      <c r="D264" s="16" t="n"/>
      <c r="E264" s="16" t="n"/>
      <c r="F264" s="16" t="n"/>
      <c r="G264" s="16" t="n"/>
      <c r="H264" s="16" t="n"/>
      <c r="I264" s="16" t="n"/>
    </row>
    <row r="265">
      <c r="B265" s="18" t="n"/>
      <c r="C265" s="16" t="n"/>
      <c r="D265" s="16" t="n"/>
      <c r="E265" s="16" t="n"/>
      <c r="F265" s="16" t="n"/>
      <c r="G265" s="16" t="n"/>
      <c r="H265" s="16" t="n"/>
      <c r="I265" s="16" t="n"/>
    </row>
    <row r="266">
      <c r="B266" s="18" t="n"/>
      <c r="C266" s="16" t="n"/>
      <c r="D266" s="16" t="n"/>
      <c r="E266" s="16" t="n"/>
      <c r="F266" s="16" t="n"/>
      <c r="G266" s="16" t="n"/>
      <c r="H266" s="16" t="n"/>
      <c r="I266" s="16" t="n"/>
    </row>
    <row r="267">
      <c r="B267" s="18" t="n"/>
      <c r="C267" s="16" t="n"/>
      <c r="D267" s="16" t="n"/>
      <c r="E267" s="16" t="n"/>
      <c r="F267" s="16" t="n"/>
      <c r="G267" s="16" t="n"/>
      <c r="H267" s="16" t="n"/>
      <c r="I267" s="16" t="n"/>
    </row>
    <row r="268">
      <c r="B268" s="18" t="n"/>
      <c r="C268" s="16" t="n"/>
      <c r="D268" s="16" t="n"/>
      <c r="E268" s="16" t="n"/>
      <c r="F268" s="16" t="n"/>
      <c r="G268" s="16" t="n"/>
      <c r="H268" s="16" t="n"/>
      <c r="I268" s="16" t="n"/>
    </row>
    <row r="269">
      <c r="B269" s="18" t="n"/>
      <c r="C269" s="16" t="n"/>
      <c r="D269" s="16" t="n"/>
      <c r="E269" s="16" t="n"/>
      <c r="F269" s="16" t="n"/>
      <c r="G269" s="16" t="n"/>
      <c r="H269" s="16" t="n"/>
      <c r="I269" s="16" t="n"/>
    </row>
    <row r="270">
      <c r="B270" s="18" t="n"/>
      <c r="C270" s="16" t="n"/>
      <c r="D270" s="16" t="n"/>
      <c r="E270" s="16" t="n"/>
      <c r="F270" s="16" t="n"/>
      <c r="G270" s="16" t="n"/>
      <c r="H270" s="16" t="n"/>
      <c r="I270" s="16" t="n"/>
    </row>
    <row r="271">
      <c r="B271" s="18" t="n"/>
      <c r="C271" s="16" t="n"/>
      <c r="D271" s="16" t="n"/>
      <c r="E271" s="16" t="n"/>
      <c r="F271" s="16" t="n"/>
      <c r="G271" s="16" t="n"/>
      <c r="H271" s="16" t="n"/>
      <c r="I271" s="16" t="n"/>
    </row>
    <row r="272">
      <c r="B272" s="18" t="n"/>
      <c r="C272" s="16" t="n"/>
      <c r="D272" s="16" t="n"/>
      <c r="E272" s="16" t="n"/>
      <c r="F272" s="16" t="n"/>
      <c r="G272" s="16" t="n"/>
      <c r="H272" s="16" t="n"/>
      <c r="I272" s="16" t="n"/>
    </row>
    <row r="273">
      <c r="B273" s="18" t="n"/>
      <c r="C273" s="16" t="n"/>
      <c r="D273" s="16" t="n"/>
      <c r="E273" s="16" t="n"/>
      <c r="F273" s="16" t="n"/>
      <c r="G273" s="16" t="n"/>
      <c r="H273" s="16" t="n"/>
      <c r="I273" s="16" t="n"/>
    </row>
    <row r="274">
      <c r="B274" s="18" t="n"/>
      <c r="C274" s="16" t="n"/>
      <c r="D274" s="16" t="n"/>
      <c r="E274" s="16" t="n"/>
      <c r="F274" s="16" t="n"/>
      <c r="G274" s="16" t="n"/>
      <c r="H274" s="16" t="n"/>
      <c r="I274" s="16" t="n"/>
    </row>
    <row r="275">
      <c r="B275" s="18" t="n"/>
      <c r="C275" s="16" t="n"/>
      <c r="D275" s="16" t="n"/>
      <c r="E275" s="16" t="n"/>
      <c r="F275" s="16" t="n"/>
      <c r="G275" s="16" t="n"/>
      <c r="H275" s="16" t="n"/>
      <c r="I275" s="16" t="n"/>
    </row>
    <row r="276">
      <c r="B276" s="18" t="n"/>
      <c r="C276" s="16" t="n"/>
      <c r="D276" s="16" t="n"/>
      <c r="E276" s="16" t="n"/>
      <c r="F276" s="16" t="n"/>
      <c r="G276" s="16" t="n"/>
      <c r="H276" s="16" t="n"/>
      <c r="I276" s="16" t="n"/>
    </row>
    <row r="277">
      <c r="B277" s="18" t="n"/>
      <c r="C277" s="16" t="n"/>
      <c r="D277" s="16" t="n"/>
      <c r="E277" s="16" t="n"/>
      <c r="F277" s="16" t="n"/>
      <c r="G277" s="16" t="n"/>
      <c r="H277" s="16" t="n"/>
      <c r="I277" s="16" t="n"/>
    </row>
    <row r="278">
      <c r="B278" s="18" t="n"/>
      <c r="C278" s="16" t="n"/>
      <c r="D278" s="16" t="n"/>
      <c r="E278" s="16" t="n"/>
      <c r="F278" s="16" t="n"/>
      <c r="G278" s="16" t="n"/>
      <c r="H278" s="16" t="n"/>
      <c r="I278" s="16" t="n"/>
    </row>
    <row r="279">
      <c r="B279" s="18" t="n"/>
      <c r="C279" s="16" t="n"/>
      <c r="D279" s="16" t="n"/>
      <c r="E279" s="16" t="n"/>
      <c r="F279" s="16" t="n"/>
      <c r="G279" s="16" t="n"/>
      <c r="H279" s="16" t="n"/>
      <c r="I279" s="16" t="n"/>
    </row>
    <row r="280">
      <c r="B280" s="18" t="n"/>
      <c r="C280" s="16" t="n"/>
      <c r="D280" s="16" t="n"/>
      <c r="E280" s="16" t="n"/>
      <c r="F280" s="16" t="n"/>
      <c r="G280" s="16" t="n"/>
      <c r="H280" s="16" t="n"/>
      <c r="I280" s="16" t="n"/>
    </row>
    <row r="281">
      <c r="B281" s="18" t="n"/>
      <c r="C281" s="16" t="n"/>
      <c r="D281" s="16" t="n"/>
      <c r="E281" s="16" t="n"/>
      <c r="F281" s="16" t="n"/>
      <c r="G281" s="16" t="n"/>
      <c r="H281" s="16" t="n"/>
      <c r="I281" s="16" t="n"/>
    </row>
    <row r="282">
      <c r="B282" s="18" t="n"/>
      <c r="C282" s="16" t="n"/>
      <c r="D282" s="16" t="n"/>
      <c r="E282" s="16" t="n"/>
      <c r="F282" s="16" t="n"/>
      <c r="G282" s="16" t="n"/>
      <c r="H282" s="16" t="n"/>
      <c r="I282" s="16" t="n"/>
    </row>
    <row r="283">
      <c r="B283" s="18" t="n"/>
      <c r="C283" s="16" t="n"/>
      <c r="D283" s="16" t="n"/>
      <c r="E283" s="16" t="n"/>
      <c r="F283" s="16" t="n"/>
      <c r="G283" s="16" t="n"/>
      <c r="H283" s="16" t="n"/>
      <c r="I283" s="16" t="n"/>
    </row>
    <row r="284">
      <c r="B284" s="18" t="n"/>
      <c r="C284" s="16" t="n"/>
      <c r="D284" s="16" t="n"/>
      <c r="E284" s="16" t="n"/>
      <c r="F284" s="16" t="n"/>
      <c r="G284" s="16" t="n"/>
      <c r="H284" s="16" t="n"/>
      <c r="I284" s="16" t="n"/>
    </row>
    <row r="285">
      <c r="B285" s="18" t="n"/>
      <c r="C285" s="16" t="n"/>
      <c r="D285" s="16" t="n"/>
      <c r="E285" s="16" t="n"/>
      <c r="F285" s="16" t="n"/>
      <c r="G285" s="16" t="n"/>
      <c r="H285" s="16" t="n"/>
      <c r="I285" s="16" t="n"/>
    </row>
    <row r="286">
      <c r="B286" s="18" t="n"/>
      <c r="C286" s="16" t="n"/>
      <c r="D286" s="16" t="n"/>
      <c r="E286" s="16" t="n"/>
      <c r="F286" s="16" t="n"/>
      <c r="G286" s="16" t="n"/>
      <c r="H286" s="16" t="n"/>
      <c r="I286" s="16" t="n"/>
    </row>
    <row r="287">
      <c r="B287" s="18" t="n"/>
      <c r="C287" s="16" t="n"/>
      <c r="D287" s="16" t="n"/>
      <c r="E287" s="16" t="n"/>
      <c r="F287" s="16" t="n"/>
      <c r="G287" s="16" t="n"/>
      <c r="H287" s="16" t="n"/>
      <c r="I287" s="16" t="n"/>
    </row>
    <row r="288">
      <c r="B288" s="18" t="n"/>
      <c r="C288" s="16" t="n"/>
      <c r="D288" s="16" t="n"/>
      <c r="E288" s="16" t="n"/>
      <c r="F288" s="16" t="n"/>
      <c r="G288" s="16" t="n"/>
      <c r="H288" s="16" t="n"/>
      <c r="I288" s="16" t="n"/>
    </row>
    <row r="289">
      <c r="B289" s="18" t="n"/>
      <c r="C289" s="16" t="n"/>
      <c r="D289" s="16" t="n"/>
      <c r="E289" s="16" t="n"/>
      <c r="F289" s="16" t="n"/>
      <c r="G289" s="16" t="n"/>
      <c r="H289" s="16" t="n"/>
      <c r="I289" s="16" t="n"/>
    </row>
    <row r="290">
      <c r="B290" s="18" t="n"/>
      <c r="C290" s="16" t="n"/>
      <c r="D290" s="16" t="n"/>
      <c r="E290" s="16" t="n"/>
      <c r="F290" s="16" t="n"/>
      <c r="G290" s="16" t="n"/>
      <c r="H290" s="16" t="n"/>
      <c r="I290" s="16" t="n"/>
    </row>
    <row r="291">
      <c r="B291" s="18" t="n"/>
      <c r="C291" s="16" t="n"/>
      <c r="D291" s="16" t="n"/>
      <c r="E291" s="16" t="n"/>
      <c r="F291" s="16" t="n"/>
      <c r="G291" s="16" t="n"/>
      <c r="H291" s="16" t="n"/>
      <c r="I291" s="16" t="n"/>
    </row>
    <row r="292">
      <c r="B292" s="18" t="n"/>
      <c r="C292" s="16" t="n"/>
      <c r="D292" s="16" t="n"/>
      <c r="E292" s="16" t="n"/>
      <c r="F292" s="16" t="n"/>
      <c r="G292" s="16" t="n"/>
      <c r="H292" s="16" t="n"/>
      <c r="I292" s="16" t="n"/>
    </row>
    <row r="293">
      <c r="B293" s="18" t="n"/>
      <c r="C293" s="16" t="n"/>
      <c r="D293" s="16" t="n"/>
      <c r="E293" s="16" t="n"/>
      <c r="F293" s="16" t="n"/>
      <c r="G293" s="16" t="n"/>
      <c r="H293" s="16" t="n"/>
      <c r="I293" s="16" t="n"/>
    </row>
    <row r="294">
      <c r="B294" s="18" t="n"/>
      <c r="C294" s="16" t="n"/>
      <c r="D294" s="16" t="n"/>
      <c r="E294" s="16" t="n"/>
      <c r="F294" s="16" t="n"/>
      <c r="G294" s="16" t="n"/>
      <c r="H294" s="16" t="n"/>
      <c r="I294" s="16" t="n"/>
    </row>
    <row r="295">
      <c r="B295" s="18" t="n"/>
      <c r="C295" s="16" t="n"/>
      <c r="D295" s="16" t="n"/>
      <c r="E295" s="16" t="n"/>
      <c r="F295" s="16" t="n"/>
      <c r="G295" s="16" t="n"/>
      <c r="H295" s="16" t="n"/>
      <c r="I295" s="16" t="n"/>
    </row>
    <row r="296">
      <c r="B296" s="18" t="n"/>
      <c r="C296" s="16" t="n"/>
      <c r="D296" s="16" t="n"/>
      <c r="E296" s="16" t="n"/>
      <c r="F296" s="16" t="n"/>
      <c r="G296" s="16" t="n"/>
      <c r="H296" s="16" t="n"/>
      <c r="I296" s="16" t="n"/>
    </row>
    <row r="297">
      <c r="B297" s="18" t="n"/>
      <c r="C297" s="16" t="n"/>
      <c r="D297" s="16" t="n"/>
      <c r="E297" s="16" t="n"/>
      <c r="F297" s="16" t="n"/>
      <c r="G297" s="16" t="n"/>
      <c r="H297" s="16" t="n"/>
      <c r="I297" s="16" t="n"/>
    </row>
    <row r="298">
      <c r="B298" s="18" t="n"/>
      <c r="C298" s="16" t="n"/>
      <c r="D298" s="16" t="n"/>
      <c r="E298" s="16" t="n"/>
      <c r="F298" s="16" t="n"/>
      <c r="G298" s="16" t="n"/>
      <c r="H298" s="16" t="n"/>
      <c r="I298" s="16" t="n"/>
    </row>
    <row r="299">
      <c r="B299" s="18" t="n"/>
      <c r="C299" s="16" t="n"/>
      <c r="D299" s="16" t="n"/>
      <c r="E299" s="16" t="n"/>
      <c r="F299" s="16" t="n"/>
      <c r="G299" s="16" t="n"/>
      <c r="H299" s="16" t="n"/>
      <c r="I299" s="16" t="n"/>
    </row>
    <row r="300">
      <c r="B300" s="18" t="n"/>
      <c r="C300" s="16" t="n"/>
      <c r="D300" s="16" t="n"/>
      <c r="E300" s="16" t="n"/>
      <c r="F300" s="16" t="n"/>
      <c r="G300" s="16" t="n"/>
      <c r="H300" s="16" t="n"/>
      <c r="I300" s="16" t="n"/>
    </row>
    <row r="301">
      <c r="B301" s="18" t="n"/>
      <c r="C301" s="16" t="n"/>
      <c r="D301" s="16" t="n"/>
      <c r="E301" s="16" t="n"/>
      <c r="F301" s="16" t="n"/>
      <c r="G301" s="16" t="n"/>
      <c r="H301" s="16" t="n"/>
      <c r="I301" s="16" t="n"/>
    </row>
    <row r="302">
      <c r="B302" s="18" t="n"/>
      <c r="C302" s="16" t="n"/>
      <c r="D302" s="16" t="n"/>
      <c r="E302" s="16" t="n"/>
      <c r="F302" s="16" t="n"/>
      <c r="G302" s="16" t="n"/>
      <c r="H302" s="16" t="n"/>
      <c r="I302" s="16" t="n"/>
    </row>
    <row r="303">
      <c r="B303" s="18" t="n"/>
      <c r="C303" s="16" t="n"/>
      <c r="D303" s="16" t="n"/>
      <c r="E303" s="16" t="n"/>
      <c r="F303" s="16" t="n"/>
      <c r="G303" s="16" t="n"/>
      <c r="H303" s="16" t="n"/>
      <c r="I303" s="16" t="n"/>
    </row>
    <row r="304">
      <c r="B304" s="18" t="n"/>
      <c r="C304" s="16" t="n"/>
      <c r="D304" s="16" t="n"/>
      <c r="E304" s="16" t="n"/>
      <c r="F304" s="16" t="n"/>
      <c r="G304" s="16" t="n"/>
      <c r="H304" s="16" t="n"/>
      <c r="I304" s="16" t="n"/>
    </row>
    <row r="305">
      <c r="B305" s="18" t="n"/>
      <c r="C305" s="16" t="n"/>
      <c r="D305" s="16" t="n"/>
      <c r="E305" s="16" t="n"/>
      <c r="F305" s="16" t="n"/>
      <c r="G305" s="16" t="n"/>
      <c r="H305" s="16" t="n"/>
      <c r="I305" s="16" t="n"/>
    </row>
    <row r="306">
      <c r="B306" s="18" t="n"/>
      <c r="C306" s="16" t="n"/>
      <c r="D306" s="16" t="n"/>
      <c r="E306" s="16" t="n"/>
      <c r="F306" s="16" t="n"/>
      <c r="G306" s="16" t="n"/>
      <c r="H306" s="16" t="n"/>
      <c r="I306" s="16" t="n"/>
    </row>
    <row r="307">
      <c r="B307" s="18" t="n"/>
      <c r="C307" s="16" t="n"/>
      <c r="D307" s="16" t="n"/>
      <c r="E307" s="16" t="n"/>
      <c r="F307" s="16" t="n"/>
      <c r="G307" s="16" t="n"/>
      <c r="H307" s="16" t="n"/>
      <c r="I307" s="16" t="n"/>
    </row>
    <row r="308">
      <c r="B308" s="18" t="n"/>
      <c r="C308" s="16" t="n"/>
      <c r="D308" s="16" t="n"/>
      <c r="E308" s="16" t="n"/>
      <c r="F308" s="16" t="n"/>
      <c r="G308" s="16" t="n"/>
      <c r="H308" s="16" t="n"/>
      <c r="I308" s="16" t="n"/>
    </row>
    <row r="309">
      <c r="B309" s="18" t="n"/>
      <c r="C309" s="16" t="n"/>
      <c r="D309" s="16" t="n"/>
      <c r="E309" s="16" t="n"/>
      <c r="F309" s="16" t="n"/>
      <c r="G309" s="16" t="n"/>
      <c r="H309" s="16" t="n"/>
      <c r="I309" s="16" t="n"/>
    </row>
    <row r="310">
      <c r="B310" s="18" t="n"/>
      <c r="C310" s="16" t="n"/>
      <c r="D310" s="16" t="n"/>
      <c r="E310" s="16" t="n"/>
      <c r="F310" s="16" t="n"/>
      <c r="G310" s="16" t="n"/>
      <c r="H310" s="16" t="n"/>
      <c r="I310" s="16" t="n"/>
    </row>
    <row r="311">
      <c r="B311" s="18" t="n"/>
      <c r="C311" s="16" t="n"/>
      <c r="D311" s="16" t="n"/>
      <c r="E311" s="16" t="n"/>
      <c r="F311" s="16" t="n"/>
      <c r="G311" s="16" t="n"/>
      <c r="H311" s="16" t="n"/>
      <c r="I311" s="16" t="n"/>
    </row>
    <row r="312">
      <c r="B312" s="18" t="n"/>
      <c r="C312" s="16" t="n"/>
      <c r="D312" s="16" t="n"/>
      <c r="E312" s="16" t="n"/>
      <c r="F312" s="16" t="n"/>
      <c r="G312" s="16" t="n"/>
      <c r="H312" s="16" t="n"/>
      <c r="I312" s="16" t="n"/>
    </row>
    <row r="313">
      <c r="B313" s="18" t="n"/>
      <c r="C313" s="16" t="n"/>
      <c r="D313" s="16" t="n"/>
      <c r="E313" s="16" t="n"/>
      <c r="F313" s="16" t="n"/>
      <c r="G313" s="16" t="n"/>
      <c r="H313" s="16" t="n"/>
      <c r="I313" s="16" t="n"/>
    </row>
    <row r="314">
      <c r="B314" s="18" t="n"/>
      <c r="C314" s="16" t="n"/>
      <c r="D314" s="16" t="n"/>
      <c r="E314" s="16" t="n"/>
      <c r="F314" s="16" t="n"/>
      <c r="G314" s="16" t="n"/>
      <c r="H314" s="16" t="n"/>
      <c r="I314" s="16" t="n"/>
    </row>
    <row r="315">
      <c r="B315" s="18" t="n"/>
      <c r="C315" s="16" t="n"/>
      <c r="D315" s="16" t="n"/>
      <c r="E315" s="16" t="n"/>
      <c r="F315" s="16" t="n"/>
      <c r="G315" s="16" t="n"/>
      <c r="H315" s="16" t="n"/>
      <c r="I315" s="16" t="n"/>
    </row>
    <row r="316">
      <c r="B316" s="18" t="n"/>
      <c r="C316" s="16" t="n"/>
      <c r="D316" s="16" t="n"/>
      <c r="E316" s="16" t="n"/>
      <c r="F316" s="16" t="n"/>
      <c r="G316" s="16" t="n"/>
      <c r="H316" s="16" t="n"/>
      <c r="I316" s="16" t="n"/>
    </row>
    <row r="317">
      <c r="B317" s="18" t="n"/>
      <c r="C317" s="16" t="n"/>
      <c r="D317" s="16" t="n"/>
      <c r="E317" s="16" t="n"/>
      <c r="F317" s="16" t="n"/>
      <c r="G317" s="16" t="n"/>
      <c r="H317" s="16" t="n"/>
      <c r="I317" s="16" t="n"/>
    </row>
    <row r="318">
      <c r="B318" s="18" t="n"/>
      <c r="C318" s="16" t="n"/>
      <c r="D318" s="16" t="n"/>
      <c r="E318" s="16" t="n"/>
      <c r="F318" s="16" t="n"/>
      <c r="G318" s="16" t="n"/>
      <c r="H318" s="16" t="n"/>
      <c r="I318" s="16" t="n"/>
    </row>
    <row r="319">
      <c r="B319" s="18" t="n"/>
      <c r="C319" s="16" t="n"/>
      <c r="D319" s="16" t="n"/>
      <c r="E319" s="16" t="n"/>
      <c r="F319" s="16" t="n"/>
      <c r="G319" s="16" t="n"/>
      <c r="H319" s="16" t="n"/>
      <c r="I319" s="16" t="n"/>
    </row>
    <row r="320">
      <c r="B320" s="18" t="n"/>
      <c r="C320" s="16" t="n"/>
      <c r="D320" s="16" t="n"/>
      <c r="E320" s="16" t="n"/>
      <c r="F320" s="16" t="n"/>
      <c r="G320" s="16" t="n"/>
      <c r="H320" s="16" t="n"/>
      <c r="I320" s="16" t="n"/>
    </row>
    <row r="321">
      <c r="B321" s="18" t="n"/>
      <c r="C321" s="16" t="n"/>
      <c r="D321" s="16" t="n"/>
      <c r="E321" s="16" t="n"/>
      <c r="F321" s="16" t="n"/>
      <c r="G321" s="16" t="n"/>
      <c r="H321" s="16" t="n"/>
      <c r="I321" s="16" t="n"/>
    </row>
    <row r="322">
      <c r="B322" s="18" t="n"/>
      <c r="C322" s="16" t="n"/>
      <c r="D322" s="16" t="n"/>
      <c r="E322" s="16" t="n"/>
      <c r="F322" s="16" t="n"/>
      <c r="G322" s="16" t="n"/>
      <c r="H322" s="16" t="n"/>
      <c r="I322" s="16" t="n"/>
    </row>
    <row r="323">
      <c r="B323" s="18" t="n"/>
      <c r="C323" s="16" t="n"/>
      <c r="D323" s="16" t="n"/>
      <c r="E323" s="16" t="n"/>
      <c r="F323" s="16" t="n"/>
      <c r="G323" s="16" t="n"/>
      <c r="H323" s="16" t="n"/>
      <c r="I323" s="16" t="n"/>
    </row>
    <row r="324">
      <c r="B324" s="18" t="n"/>
      <c r="C324" s="16" t="n"/>
      <c r="D324" s="16" t="n"/>
      <c r="E324" s="16" t="n"/>
      <c r="F324" s="16" t="n"/>
      <c r="G324" s="16" t="n"/>
      <c r="H324" s="16" t="n"/>
      <c r="I324" s="16" t="n"/>
    </row>
    <row r="325">
      <c r="B325" s="18" t="n"/>
      <c r="C325" s="16" t="n"/>
      <c r="D325" s="16" t="n"/>
      <c r="E325" s="16" t="n"/>
      <c r="F325" s="16" t="n"/>
      <c r="G325" s="16" t="n"/>
      <c r="H325" s="16" t="n"/>
      <c r="I325" s="16" t="n"/>
    </row>
    <row r="326">
      <c r="B326" s="18" t="n"/>
      <c r="C326" s="16" t="n"/>
      <c r="D326" s="16" t="n"/>
      <c r="E326" s="16" t="n"/>
      <c r="F326" s="16" t="n"/>
      <c r="G326" s="16" t="n"/>
      <c r="H326" s="16" t="n"/>
      <c r="I326" s="16" t="n"/>
    </row>
    <row r="327">
      <c r="B327" s="18" t="n"/>
      <c r="C327" s="16" t="n"/>
      <c r="D327" s="16" t="n"/>
      <c r="E327" s="16" t="n"/>
      <c r="F327" s="16" t="n"/>
      <c r="G327" s="16" t="n"/>
      <c r="H327" s="16" t="n"/>
      <c r="I327" s="16" t="n"/>
    </row>
    <row r="328">
      <c r="B328" s="18" t="n"/>
      <c r="C328" s="16" t="n"/>
      <c r="D328" s="16" t="n"/>
      <c r="E328" s="16" t="n"/>
      <c r="F328" s="16" t="n"/>
      <c r="G328" s="16" t="n"/>
      <c r="H328" s="16" t="n"/>
      <c r="I328" s="16" t="n"/>
    </row>
    <row r="329">
      <c r="B329" s="18" t="n"/>
      <c r="C329" s="16" t="n"/>
      <c r="D329" s="16" t="n"/>
      <c r="E329" s="16" t="n"/>
      <c r="F329" s="16" t="n"/>
      <c r="G329" s="16" t="n"/>
      <c r="H329" s="16" t="n"/>
      <c r="I329" s="16" t="n"/>
    </row>
    <row r="330">
      <c r="B330" s="18" t="n"/>
      <c r="C330" s="16" t="n"/>
      <c r="D330" s="16" t="n"/>
      <c r="E330" s="16" t="n"/>
      <c r="F330" s="16" t="n"/>
      <c r="G330" s="16" t="n"/>
      <c r="H330" s="16" t="n"/>
      <c r="I330" s="16" t="n"/>
    </row>
    <row r="331">
      <c r="B331" s="18" t="n"/>
      <c r="C331" s="16" t="n"/>
      <c r="D331" s="16" t="n"/>
      <c r="E331" s="16" t="n"/>
      <c r="F331" s="16" t="n"/>
      <c r="G331" s="16" t="n"/>
      <c r="H331" s="16" t="n"/>
      <c r="I331" s="16" t="n"/>
    </row>
    <row r="332">
      <c r="B332" s="18" t="n"/>
      <c r="C332" s="16" t="n"/>
      <c r="D332" s="16" t="n"/>
      <c r="E332" s="16" t="n"/>
      <c r="F332" s="16" t="n"/>
      <c r="G332" s="16" t="n"/>
      <c r="H332" s="16" t="n"/>
      <c r="I332" s="16" t="n"/>
    </row>
    <row r="333">
      <c r="B333" s="18" t="n"/>
      <c r="C333" s="16" t="n"/>
      <c r="D333" s="16" t="n"/>
      <c r="E333" s="16" t="n"/>
      <c r="F333" s="16" t="n"/>
      <c r="G333" s="16" t="n"/>
      <c r="H333" s="16" t="n"/>
      <c r="I333" s="16" t="n"/>
    </row>
    <row r="334">
      <c r="B334" s="18" t="n"/>
      <c r="C334" s="16" t="n"/>
      <c r="D334" s="16" t="n"/>
      <c r="E334" s="16" t="n"/>
      <c r="F334" s="16" t="n"/>
      <c r="G334" s="16" t="n"/>
      <c r="H334" s="16" t="n"/>
      <c r="I334" s="16" t="n"/>
    </row>
    <row r="335">
      <c r="B335" s="18" t="n"/>
      <c r="C335" s="16" t="n"/>
      <c r="D335" s="16" t="n"/>
      <c r="E335" s="16" t="n"/>
      <c r="F335" s="16" t="n"/>
      <c r="G335" s="16" t="n"/>
      <c r="H335" s="16" t="n"/>
      <c r="I335" s="16" t="n"/>
    </row>
    <row r="336">
      <c r="B336" s="18" t="n"/>
      <c r="C336" s="16" t="n"/>
      <c r="D336" s="16" t="n"/>
      <c r="E336" s="16" t="n"/>
      <c r="F336" s="16" t="n"/>
      <c r="G336" s="16" t="n"/>
      <c r="H336" s="16" t="n"/>
      <c r="I336" s="16" t="n"/>
    </row>
    <row r="337">
      <c r="B337" s="18" t="n"/>
      <c r="C337" s="16" t="n"/>
      <c r="D337" s="16" t="n"/>
      <c r="E337" s="16" t="n"/>
      <c r="F337" s="16" t="n"/>
      <c r="G337" s="16" t="n"/>
      <c r="H337" s="16" t="n"/>
      <c r="I337" s="16" t="n"/>
    </row>
    <row r="338">
      <c r="B338" s="18" t="n"/>
      <c r="C338" s="16" t="n"/>
      <c r="D338" s="16" t="n"/>
      <c r="E338" s="16" t="n"/>
      <c r="F338" s="16" t="n"/>
      <c r="G338" s="16" t="n"/>
      <c r="H338" s="16" t="n"/>
      <c r="I338" s="16" t="n"/>
    </row>
    <row r="339">
      <c r="B339" s="18" t="n"/>
      <c r="C339" s="16" t="n"/>
      <c r="D339" s="16" t="n"/>
      <c r="E339" s="16" t="n"/>
      <c r="F339" s="16" t="n"/>
      <c r="G339" s="16" t="n"/>
      <c r="H339" s="16" t="n"/>
      <c r="I339" s="16" t="n"/>
    </row>
    <row r="340">
      <c r="B340" s="18" t="n"/>
      <c r="C340" s="16" t="n"/>
      <c r="D340" s="16" t="n"/>
      <c r="E340" s="16" t="n"/>
      <c r="F340" s="16" t="n"/>
      <c r="G340" s="16" t="n"/>
      <c r="H340" s="16" t="n"/>
      <c r="I340" s="16" t="n"/>
    </row>
    <row r="341">
      <c r="B341" s="18" t="n"/>
      <c r="C341" s="16" t="n"/>
      <c r="D341" s="16" t="n"/>
      <c r="E341" s="16" t="n"/>
      <c r="F341" s="16" t="n"/>
      <c r="G341" s="16" t="n"/>
      <c r="H341" s="16" t="n"/>
      <c r="I341" s="16" t="n"/>
    </row>
    <row r="342">
      <c r="B342" s="18" t="n"/>
      <c r="C342" s="16" t="n"/>
      <c r="D342" s="16" t="n"/>
      <c r="E342" s="16" t="n"/>
      <c r="F342" s="16" t="n"/>
      <c r="G342" s="16" t="n"/>
      <c r="H342" s="16" t="n"/>
      <c r="I342" s="16" t="n"/>
    </row>
    <row r="343">
      <c r="B343" s="18" t="n"/>
      <c r="C343" s="16" t="n"/>
      <c r="D343" s="16" t="n"/>
      <c r="E343" s="16" t="n"/>
      <c r="F343" s="16" t="n"/>
      <c r="G343" s="16" t="n"/>
      <c r="H343" s="16" t="n"/>
      <c r="I343" s="16" t="n"/>
    </row>
    <row r="344">
      <c r="B344" s="18" t="n"/>
      <c r="C344" s="16" t="n"/>
      <c r="D344" s="16" t="n"/>
      <c r="E344" s="16" t="n"/>
      <c r="F344" s="16" t="n"/>
      <c r="G344" s="16" t="n"/>
      <c r="H344" s="16" t="n"/>
      <c r="I344" s="16" t="n"/>
    </row>
    <row r="345">
      <c r="B345" s="18" t="n"/>
      <c r="C345" s="16" t="n"/>
      <c r="D345" s="16" t="n"/>
      <c r="E345" s="16" t="n"/>
      <c r="F345" s="16" t="n"/>
      <c r="G345" s="16" t="n"/>
      <c r="H345" s="16" t="n"/>
      <c r="I345" s="16" t="n"/>
    </row>
    <row r="346">
      <c r="B346" s="18" t="n"/>
      <c r="C346" s="16" t="n"/>
      <c r="D346" s="16" t="n"/>
      <c r="E346" s="16" t="n"/>
      <c r="F346" s="16" t="n"/>
      <c r="G346" s="16" t="n"/>
      <c r="H346" s="16" t="n"/>
      <c r="I346" s="16" t="n"/>
    </row>
    <row r="347">
      <c r="B347" s="18" t="n"/>
      <c r="C347" s="16" t="n"/>
      <c r="D347" s="16" t="n"/>
      <c r="E347" s="16" t="n"/>
      <c r="F347" s="16" t="n"/>
      <c r="G347" s="16" t="n"/>
      <c r="H347" s="16" t="n"/>
      <c r="I347" s="16" t="n"/>
    </row>
    <row r="348">
      <c r="B348" s="18" t="n"/>
      <c r="C348" s="16" t="n"/>
      <c r="D348" s="16" t="n"/>
      <c r="E348" s="16" t="n"/>
      <c r="F348" s="16" t="n"/>
      <c r="G348" s="16" t="n"/>
      <c r="H348" s="16" t="n"/>
      <c r="I348" s="16" t="n"/>
    </row>
    <row r="349">
      <c r="B349" s="18" t="n"/>
      <c r="C349" s="16" t="n"/>
      <c r="D349" s="16" t="n"/>
      <c r="E349" s="16" t="n"/>
      <c r="F349" s="16" t="n"/>
      <c r="G349" s="16" t="n"/>
      <c r="H349" s="16" t="n"/>
      <c r="I349" s="16" t="n"/>
    </row>
    <row r="350">
      <c r="B350" s="18" t="n"/>
      <c r="C350" s="16" t="n"/>
      <c r="D350" s="16" t="n"/>
      <c r="E350" s="16" t="n"/>
      <c r="F350" s="16" t="n"/>
      <c r="G350" s="16" t="n"/>
      <c r="H350" s="16" t="n"/>
      <c r="I350" s="16" t="n"/>
    </row>
    <row r="351">
      <c r="B351" s="18" t="n"/>
      <c r="C351" s="16" t="n"/>
      <c r="D351" s="16" t="n"/>
      <c r="E351" s="16" t="n"/>
      <c r="F351" s="16" t="n"/>
      <c r="G351" s="16" t="n"/>
      <c r="H351" s="16" t="n"/>
      <c r="I351" s="16" t="n"/>
    </row>
    <row r="352">
      <c r="B352" s="18" t="n"/>
      <c r="C352" s="16" t="n"/>
      <c r="D352" s="16" t="n"/>
      <c r="E352" s="16" t="n"/>
      <c r="F352" s="16" t="n"/>
      <c r="G352" s="16" t="n"/>
      <c r="H352" s="16" t="n"/>
      <c r="I352" s="16" t="n"/>
    </row>
    <row r="353">
      <c r="B353" s="18" t="n"/>
      <c r="C353" s="16" t="n"/>
      <c r="D353" s="16" t="n"/>
      <c r="E353" s="16" t="n"/>
      <c r="F353" s="16" t="n"/>
      <c r="G353" s="16" t="n"/>
      <c r="H353" s="16" t="n"/>
      <c r="I353" s="16" t="n"/>
    </row>
    <row r="354">
      <c r="B354" s="18" t="n"/>
      <c r="C354" s="16" t="n"/>
      <c r="D354" s="16" t="n"/>
      <c r="E354" s="16" t="n"/>
      <c r="F354" s="16" t="n"/>
      <c r="G354" s="16" t="n"/>
      <c r="H354" s="16" t="n"/>
      <c r="I354" s="16" t="n"/>
    </row>
    <row r="355">
      <c r="B355" s="18" t="n"/>
      <c r="C355" s="16" t="n"/>
      <c r="D355" s="16" t="n"/>
      <c r="E355" s="16" t="n"/>
      <c r="F355" s="16" t="n"/>
      <c r="G355" s="16" t="n"/>
      <c r="H355" s="16" t="n"/>
      <c r="I355" s="16" t="n"/>
    </row>
    <row r="356">
      <c r="B356" s="18" t="n"/>
      <c r="C356" s="16" t="n"/>
      <c r="D356" s="16" t="n"/>
      <c r="E356" s="16" t="n"/>
      <c r="F356" s="16" t="n"/>
      <c r="G356" s="16" t="n"/>
      <c r="H356" s="16" t="n"/>
      <c r="I356" s="16" t="n"/>
    </row>
    <row r="357">
      <c r="B357" s="18" t="n"/>
      <c r="C357" s="16" t="n"/>
      <c r="D357" s="16" t="n"/>
      <c r="E357" s="16" t="n"/>
      <c r="F357" s="16" t="n"/>
      <c r="G357" s="16" t="n"/>
      <c r="H357" s="16" t="n"/>
      <c r="I357" s="16" t="n"/>
    </row>
    <row r="358">
      <c r="B358" s="18" t="n"/>
      <c r="C358" s="16" t="n"/>
      <c r="D358" s="16" t="n"/>
      <c r="E358" s="16" t="n"/>
      <c r="F358" s="16" t="n"/>
      <c r="G358" s="16" t="n"/>
      <c r="H358" s="16" t="n"/>
      <c r="I358" s="16" t="n"/>
    </row>
    <row r="359">
      <c r="B359" s="18" t="n"/>
      <c r="C359" s="16" t="n"/>
      <c r="D359" s="16" t="n"/>
      <c r="E359" s="16" t="n"/>
      <c r="F359" s="16" t="n"/>
      <c r="G359" s="16" t="n"/>
      <c r="H359" s="16" t="n"/>
      <c r="I359" s="16" t="n"/>
    </row>
    <row r="360">
      <c r="B360" s="18" t="n"/>
      <c r="C360" s="16" t="n"/>
      <c r="D360" s="16" t="n"/>
      <c r="E360" s="16" t="n"/>
      <c r="F360" s="16" t="n"/>
      <c r="G360" s="16" t="n"/>
      <c r="H360" s="16" t="n"/>
      <c r="I360" s="16" t="n"/>
    </row>
    <row r="361">
      <c r="B361" s="18" t="n"/>
      <c r="C361" s="16" t="n"/>
      <c r="D361" s="16" t="n"/>
      <c r="E361" s="16" t="n"/>
      <c r="F361" s="16" t="n"/>
      <c r="G361" s="16" t="n"/>
      <c r="H361" s="16" t="n"/>
      <c r="I361" s="16" t="n"/>
    </row>
    <row r="362">
      <c r="B362" s="18" t="n"/>
      <c r="C362" s="16" t="n"/>
      <c r="D362" s="16" t="n"/>
      <c r="E362" s="16" t="n"/>
      <c r="F362" s="16" t="n"/>
      <c r="G362" s="16" t="n"/>
      <c r="H362" s="16" t="n"/>
      <c r="I362" s="16" t="n"/>
    </row>
    <row r="363">
      <c r="B363" s="18" t="n"/>
      <c r="C363" s="16" t="n"/>
      <c r="D363" s="16" t="n"/>
      <c r="E363" s="16" t="n"/>
      <c r="F363" s="16" t="n"/>
      <c r="G363" s="16" t="n"/>
      <c r="H363" s="16" t="n"/>
      <c r="I363" s="16" t="n"/>
    </row>
    <row r="364">
      <c r="B364" s="18" t="n"/>
      <c r="C364" s="16" t="n"/>
      <c r="D364" s="16" t="n"/>
      <c r="E364" s="16" t="n"/>
      <c r="F364" s="16" t="n"/>
      <c r="G364" s="16" t="n"/>
      <c r="H364" s="16" t="n"/>
      <c r="I364" s="16" t="n"/>
    </row>
    <row r="365">
      <c r="B365" s="18" t="n"/>
      <c r="C365" s="16" t="n"/>
      <c r="D365" s="16" t="n"/>
      <c r="E365" s="16" t="n"/>
      <c r="F365" s="16" t="n"/>
      <c r="G365" s="16" t="n"/>
      <c r="H365" s="16" t="n"/>
      <c r="I365" s="16" t="n"/>
    </row>
    <row r="366">
      <c r="B366" s="18" t="n"/>
      <c r="C366" s="16" t="n"/>
      <c r="D366" s="16" t="n"/>
      <c r="E366" s="16" t="n"/>
      <c r="F366" s="16" t="n"/>
      <c r="G366" s="16" t="n"/>
      <c r="H366" s="16" t="n"/>
      <c r="I366" s="16" t="n"/>
    </row>
    <row r="367">
      <c r="B367" s="18" t="n"/>
      <c r="C367" s="16" t="n"/>
      <c r="D367" s="16" t="n"/>
      <c r="E367" s="16" t="n"/>
      <c r="F367" s="16" t="n"/>
      <c r="G367" s="16" t="n"/>
      <c r="H367" s="16" t="n"/>
      <c r="I367" s="16" t="n"/>
    </row>
    <row r="368">
      <c r="B368" s="18" t="n"/>
      <c r="C368" s="16" t="n"/>
      <c r="D368" s="16" t="n"/>
      <c r="E368" s="16" t="n"/>
      <c r="F368" s="16" t="n"/>
      <c r="G368" s="16" t="n"/>
      <c r="H368" s="16" t="n"/>
      <c r="I368" s="16" t="n"/>
    </row>
    <row r="369">
      <c r="B369" s="18" t="n"/>
      <c r="C369" s="16" t="n"/>
      <c r="D369" s="16" t="n"/>
      <c r="E369" s="16" t="n"/>
      <c r="F369" s="16" t="n"/>
      <c r="G369" s="16" t="n"/>
      <c r="H369" s="16" t="n"/>
      <c r="I369" s="16" t="n"/>
    </row>
    <row r="370">
      <c r="B370" s="18" t="n"/>
      <c r="C370" s="16" t="n"/>
      <c r="D370" s="16" t="n"/>
      <c r="E370" s="16" t="n"/>
      <c r="F370" s="16" t="n"/>
      <c r="G370" s="16" t="n"/>
      <c r="H370" s="16" t="n"/>
      <c r="I370" s="16" t="n"/>
    </row>
    <row r="371">
      <c r="B371" s="18" t="n"/>
      <c r="C371" s="16" t="n"/>
      <c r="D371" s="16" t="n"/>
      <c r="E371" s="16" t="n"/>
      <c r="F371" s="16" t="n"/>
      <c r="G371" s="16" t="n"/>
      <c r="H371" s="16" t="n"/>
      <c r="I371" s="16" t="n"/>
    </row>
    <row r="372">
      <c r="B372" s="18" t="n"/>
      <c r="C372" s="16" t="n"/>
      <c r="D372" s="16" t="n"/>
      <c r="E372" s="16" t="n"/>
      <c r="F372" s="16" t="n"/>
      <c r="G372" s="16" t="n"/>
      <c r="H372" s="16" t="n"/>
      <c r="I372" s="16" t="n"/>
    </row>
    <row r="373">
      <c r="B373" s="18" t="n"/>
      <c r="C373" s="16" t="n"/>
      <c r="D373" s="16" t="n"/>
      <c r="E373" s="16" t="n"/>
      <c r="F373" s="16" t="n"/>
      <c r="G373" s="16" t="n"/>
      <c r="H373" s="16" t="n"/>
      <c r="I373" s="16" t="n"/>
    </row>
    <row r="374">
      <c r="B374" s="18" t="n"/>
      <c r="C374" s="16" t="n"/>
      <c r="D374" s="16" t="n"/>
      <c r="E374" s="16" t="n"/>
      <c r="F374" s="16" t="n"/>
      <c r="G374" s="16" t="n"/>
      <c r="H374" s="16" t="n"/>
      <c r="I374" s="16" t="n"/>
    </row>
    <row r="375">
      <c r="B375" s="18" t="n"/>
      <c r="C375" s="16" t="n"/>
      <c r="D375" s="16" t="n"/>
      <c r="E375" s="16" t="n"/>
      <c r="F375" s="16" t="n"/>
      <c r="G375" s="16" t="n"/>
      <c r="H375" s="16" t="n"/>
      <c r="I375" s="16" t="n"/>
    </row>
    <row r="376">
      <c r="B376" s="18" t="n"/>
      <c r="C376" s="16" t="n"/>
      <c r="D376" s="16" t="n"/>
      <c r="E376" s="16" t="n"/>
      <c r="F376" s="16" t="n"/>
      <c r="G376" s="16" t="n"/>
      <c r="H376" s="16" t="n"/>
      <c r="I376" s="16" t="n"/>
    </row>
    <row r="377">
      <c r="B377" s="18" t="n"/>
      <c r="C377" s="16" t="n"/>
      <c r="D377" s="16" t="n"/>
      <c r="E377" s="16" t="n"/>
      <c r="F377" s="16" t="n"/>
      <c r="G377" s="16" t="n"/>
      <c r="H377" s="16" t="n"/>
      <c r="I377" s="16" t="n"/>
    </row>
    <row r="378">
      <c r="B378" s="18" t="n"/>
      <c r="C378" s="16" t="n"/>
      <c r="D378" s="16" t="n"/>
      <c r="E378" s="16" t="n"/>
      <c r="F378" s="16" t="n"/>
      <c r="G378" s="16" t="n"/>
      <c r="H378" s="16" t="n"/>
      <c r="I378" s="16" t="n"/>
    </row>
    <row r="379">
      <c r="B379" s="18" t="n"/>
      <c r="C379" s="16" t="n"/>
      <c r="D379" s="16" t="n"/>
      <c r="E379" s="16" t="n"/>
      <c r="F379" s="16" t="n"/>
      <c r="G379" s="16" t="n"/>
      <c r="H379" s="16" t="n"/>
      <c r="I379" s="16" t="n"/>
    </row>
    <row r="380">
      <c r="B380" s="18" t="n"/>
      <c r="C380" s="16" t="n"/>
      <c r="D380" s="16" t="n"/>
      <c r="E380" s="16" t="n"/>
      <c r="F380" s="16" t="n"/>
      <c r="G380" s="16" t="n"/>
      <c r="H380" s="16" t="n"/>
      <c r="I380" s="16" t="n"/>
    </row>
    <row r="381">
      <c r="B381" s="18" t="n"/>
      <c r="C381" s="16" t="n"/>
      <c r="D381" s="16" t="n"/>
      <c r="E381" s="16" t="n"/>
      <c r="F381" s="16" t="n"/>
      <c r="G381" s="16" t="n"/>
      <c r="H381" s="16" t="n"/>
      <c r="I381" s="16" t="n"/>
    </row>
    <row r="382">
      <c r="B382" s="18" t="n"/>
      <c r="C382" s="16" t="n"/>
      <c r="D382" s="16" t="n"/>
      <c r="E382" s="16" t="n"/>
      <c r="F382" s="16" t="n"/>
      <c r="G382" s="16" t="n"/>
      <c r="H382" s="16" t="n"/>
      <c r="I382" s="16" t="n"/>
    </row>
    <row r="383">
      <c r="B383" s="18" t="n"/>
      <c r="C383" s="16" t="n"/>
      <c r="D383" s="16" t="n"/>
      <c r="E383" s="16" t="n"/>
      <c r="F383" s="16" t="n"/>
      <c r="G383" s="16" t="n"/>
      <c r="H383" s="16" t="n"/>
      <c r="I383" s="16" t="n"/>
    </row>
    <row r="384">
      <c r="B384" s="18" t="n"/>
      <c r="C384" s="16" t="n"/>
      <c r="D384" s="16" t="n"/>
      <c r="E384" s="16" t="n"/>
      <c r="F384" s="16" t="n"/>
      <c r="G384" s="16" t="n"/>
      <c r="H384" s="16" t="n"/>
      <c r="I384" s="16" t="n"/>
    </row>
    <row r="385">
      <c r="B385" s="18" t="n"/>
      <c r="C385" s="16" t="n"/>
      <c r="D385" s="16" t="n"/>
      <c r="E385" s="16" t="n"/>
      <c r="F385" s="16" t="n"/>
      <c r="G385" s="16" t="n"/>
      <c r="H385" s="16" t="n"/>
      <c r="I385" s="16" t="n"/>
    </row>
    <row r="386">
      <c r="B386" s="18" t="n"/>
      <c r="C386" s="16" t="n"/>
      <c r="D386" s="16" t="n"/>
      <c r="E386" s="16" t="n"/>
      <c r="F386" s="16" t="n"/>
      <c r="G386" s="16" t="n"/>
      <c r="H386" s="16" t="n"/>
      <c r="I386" s="16" t="n"/>
    </row>
    <row r="387">
      <c r="B387" s="18" t="n"/>
      <c r="C387" s="16" t="n"/>
      <c r="D387" s="16" t="n"/>
      <c r="E387" s="16" t="n"/>
      <c r="F387" s="16" t="n"/>
      <c r="G387" s="16" t="n"/>
      <c r="H387" s="16" t="n"/>
      <c r="I387" s="16" t="n"/>
    </row>
    <row r="388">
      <c r="B388" s="18" t="n"/>
      <c r="C388" s="16" t="n"/>
      <c r="D388" s="16" t="n"/>
      <c r="E388" s="16" t="n"/>
      <c r="F388" s="16" t="n"/>
      <c r="G388" s="16" t="n"/>
      <c r="H388" s="16" t="n"/>
      <c r="I388" s="16" t="n"/>
    </row>
    <row r="389">
      <c r="B389" s="18" t="n"/>
      <c r="C389" s="16" t="n"/>
      <c r="D389" s="16" t="n"/>
      <c r="E389" s="16" t="n"/>
      <c r="F389" s="16" t="n"/>
      <c r="G389" s="16" t="n"/>
      <c r="H389" s="16" t="n"/>
      <c r="I389" s="16" t="n"/>
    </row>
    <row r="390">
      <c r="B390" s="18" t="n"/>
      <c r="C390" s="16" t="n"/>
      <c r="D390" s="16" t="n"/>
      <c r="E390" s="16" t="n"/>
      <c r="F390" s="16" t="n"/>
      <c r="G390" s="16" t="n"/>
      <c r="H390" s="16" t="n"/>
      <c r="I390" s="16" t="n"/>
    </row>
    <row r="391">
      <c r="B391" s="18" t="n"/>
      <c r="C391" s="16" t="n"/>
      <c r="D391" s="16" t="n"/>
      <c r="E391" s="16" t="n"/>
      <c r="F391" s="16" t="n"/>
      <c r="G391" s="16" t="n"/>
      <c r="H391" s="16" t="n"/>
      <c r="I391" s="16" t="n"/>
    </row>
    <row r="392">
      <c r="B392" s="18" t="n"/>
      <c r="C392" s="16" t="n"/>
      <c r="D392" s="16" t="n"/>
      <c r="E392" s="16" t="n"/>
      <c r="F392" s="16" t="n"/>
      <c r="G392" s="16" t="n"/>
      <c r="H392" s="16" t="n"/>
      <c r="I392" s="16" t="n"/>
    </row>
    <row r="393">
      <c r="B393" s="18" t="n"/>
      <c r="C393" s="16" t="n"/>
      <c r="D393" s="16" t="n"/>
      <c r="E393" s="16" t="n"/>
      <c r="F393" s="16" t="n"/>
      <c r="G393" s="16" t="n"/>
      <c r="H393" s="16" t="n"/>
      <c r="I393" s="16" t="n"/>
    </row>
    <row r="394">
      <c r="B394" s="18" t="n"/>
      <c r="C394" s="16" t="n"/>
      <c r="D394" s="16" t="n"/>
      <c r="E394" s="16" t="n"/>
      <c r="F394" s="16" t="n"/>
      <c r="G394" s="16" t="n"/>
      <c r="H394" s="16" t="n"/>
      <c r="I394" s="16" t="n"/>
    </row>
    <row r="395">
      <c r="B395" s="18" t="n"/>
      <c r="C395" s="16" t="n"/>
      <c r="D395" s="16" t="n"/>
      <c r="E395" s="16" t="n"/>
      <c r="F395" s="16" t="n"/>
      <c r="G395" s="16" t="n"/>
      <c r="H395" s="16" t="n"/>
      <c r="I395" s="16" t="n"/>
    </row>
    <row r="396">
      <c r="B396" s="18" t="n"/>
      <c r="C396" s="16" t="n"/>
      <c r="D396" s="16" t="n"/>
      <c r="E396" s="16" t="n"/>
      <c r="F396" s="16" t="n"/>
      <c r="G396" s="16" t="n"/>
      <c r="H396" s="16" t="n"/>
      <c r="I396" s="16" t="n"/>
    </row>
    <row r="397">
      <c r="B397" s="18" t="n"/>
      <c r="C397" s="16" t="n"/>
      <c r="D397" s="16" t="n"/>
      <c r="E397" s="16" t="n"/>
      <c r="F397" s="16" t="n"/>
      <c r="G397" s="16" t="n"/>
      <c r="H397" s="16" t="n"/>
      <c r="I397" s="16" t="n"/>
    </row>
    <row r="398">
      <c r="B398" s="18" t="n"/>
      <c r="C398" s="16" t="n"/>
      <c r="D398" s="16" t="n"/>
      <c r="E398" s="16" t="n"/>
      <c r="F398" s="16" t="n"/>
      <c r="G398" s="16" t="n"/>
      <c r="H398" s="16" t="n"/>
      <c r="I398" s="16" t="n"/>
    </row>
    <row r="399">
      <c r="B399" s="18" t="n"/>
      <c r="C399" s="16" t="n"/>
      <c r="D399" s="16" t="n"/>
      <c r="E399" s="16" t="n"/>
      <c r="F399" s="16" t="n"/>
      <c r="G399" s="16" t="n"/>
      <c r="H399" s="16" t="n"/>
      <c r="I399" s="16" t="n"/>
    </row>
    <row r="400">
      <c r="B400" s="18" t="n"/>
      <c r="C400" s="16" t="n"/>
      <c r="D400" s="16" t="n"/>
      <c r="E400" s="16" t="n"/>
      <c r="F400" s="16" t="n"/>
      <c r="G400" s="16" t="n"/>
      <c r="H400" s="16" t="n"/>
      <c r="I400" s="16" t="n"/>
    </row>
    <row r="401">
      <c r="B401" s="18" t="n"/>
      <c r="C401" s="16" t="n"/>
      <c r="D401" s="16" t="n"/>
      <c r="E401" s="16" t="n"/>
      <c r="F401" s="16" t="n"/>
      <c r="G401" s="16" t="n"/>
      <c r="H401" s="16" t="n"/>
      <c r="I401" s="16" t="n"/>
    </row>
    <row r="402">
      <c r="B402" s="18" t="n"/>
      <c r="C402" s="16" t="n"/>
      <c r="D402" s="16" t="n"/>
      <c r="E402" s="16" t="n"/>
      <c r="F402" s="16" t="n"/>
      <c r="G402" s="16" t="n"/>
      <c r="H402" s="16" t="n"/>
      <c r="I402" s="16" t="n"/>
    </row>
    <row r="403">
      <c r="B403" s="18" t="n"/>
      <c r="C403" s="16" t="n"/>
      <c r="D403" s="16" t="n"/>
      <c r="E403" s="16" t="n"/>
      <c r="F403" s="16" t="n"/>
      <c r="G403" s="16" t="n"/>
      <c r="H403" s="16" t="n"/>
      <c r="I403" s="16" t="n"/>
    </row>
    <row r="404">
      <c r="B404" s="18" t="n"/>
      <c r="C404" s="16" t="n"/>
      <c r="D404" s="16" t="n"/>
      <c r="E404" s="16" t="n"/>
      <c r="F404" s="16" t="n"/>
      <c r="G404" s="16" t="n"/>
      <c r="H404" s="16" t="n"/>
      <c r="I404" s="16" t="n"/>
    </row>
    <row r="405">
      <c r="B405" s="18" t="n"/>
      <c r="C405" s="16" t="n"/>
      <c r="D405" s="16" t="n"/>
      <c r="E405" s="16" t="n"/>
      <c r="F405" s="16" t="n"/>
      <c r="G405" s="16" t="n"/>
      <c r="H405" s="16" t="n"/>
      <c r="I405" s="16" t="n"/>
    </row>
    <row r="406">
      <c r="B406" s="18" t="n"/>
      <c r="C406" s="16" t="n"/>
      <c r="D406" s="16" t="n"/>
      <c r="E406" s="16" t="n"/>
      <c r="F406" s="16" t="n"/>
      <c r="G406" s="16" t="n"/>
      <c r="H406" s="16" t="n"/>
      <c r="I406" s="16" t="n"/>
    </row>
    <row r="407">
      <c r="B407" s="18" t="n"/>
      <c r="C407" s="16" t="n"/>
      <c r="D407" s="16" t="n"/>
      <c r="E407" s="16" t="n"/>
      <c r="F407" s="16" t="n"/>
      <c r="G407" s="16" t="n"/>
      <c r="H407" s="16" t="n"/>
      <c r="I407" s="16" t="n"/>
    </row>
    <row r="408">
      <c r="B408" s="18" t="n"/>
      <c r="C408" s="16" t="n"/>
      <c r="D408" s="16" t="n"/>
      <c r="E408" s="16" t="n"/>
      <c r="F408" s="16" t="n"/>
      <c r="G408" s="16" t="n"/>
      <c r="H408" s="16" t="n"/>
      <c r="I408" s="16" t="n"/>
    </row>
    <row r="409">
      <c r="B409" s="18" t="n"/>
      <c r="C409" s="16" t="n"/>
      <c r="D409" s="16" t="n"/>
      <c r="E409" s="16" t="n"/>
      <c r="F409" s="16" t="n"/>
      <c r="G409" s="16" t="n"/>
      <c r="H409" s="16" t="n"/>
      <c r="I409" s="16" t="n"/>
    </row>
    <row r="410">
      <c r="B410" s="18" t="n"/>
      <c r="C410" s="16" t="n"/>
      <c r="D410" s="16" t="n"/>
      <c r="E410" s="16" t="n"/>
      <c r="F410" s="16" t="n"/>
      <c r="G410" s="16" t="n"/>
      <c r="H410" s="16" t="n"/>
      <c r="I410" s="16" t="n"/>
    </row>
    <row r="411">
      <c r="B411" s="18" t="n"/>
      <c r="C411" s="16" t="n"/>
      <c r="D411" s="16" t="n"/>
      <c r="E411" s="16" t="n"/>
      <c r="F411" s="16" t="n"/>
      <c r="G411" s="16" t="n"/>
      <c r="H411" s="16" t="n"/>
      <c r="I411" s="16" t="n"/>
    </row>
    <row r="412">
      <c r="B412" s="18" t="n"/>
      <c r="C412" s="16" t="n"/>
      <c r="D412" s="16" t="n"/>
      <c r="E412" s="16" t="n"/>
      <c r="F412" s="16" t="n"/>
      <c r="G412" s="16" t="n"/>
      <c r="H412" s="16" t="n"/>
      <c r="I412" s="16" t="n"/>
    </row>
    <row r="413">
      <c r="B413" s="18" t="n"/>
      <c r="C413" s="16" t="n"/>
      <c r="D413" s="16" t="n"/>
      <c r="E413" s="16" t="n"/>
      <c r="F413" s="16" t="n"/>
      <c r="G413" s="16" t="n"/>
      <c r="H413" s="16" t="n"/>
      <c r="I413" s="16" t="n"/>
    </row>
    <row r="414">
      <c r="B414" s="18" t="n"/>
      <c r="C414" s="16" t="n"/>
      <c r="D414" s="16" t="n"/>
      <c r="E414" s="16" t="n"/>
      <c r="F414" s="16" t="n"/>
      <c r="G414" s="16" t="n"/>
      <c r="H414" s="16" t="n"/>
      <c r="I414" s="16" t="n"/>
    </row>
    <row r="415">
      <c r="B415" s="18" t="n"/>
      <c r="C415" s="16" t="n"/>
      <c r="D415" s="16" t="n"/>
      <c r="E415" s="16" t="n"/>
      <c r="F415" s="16" t="n"/>
      <c r="G415" s="16" t="n"/>
      <c r="H415" s="16" t="n"/>
      <c r="I415" s="16" t="n"/>
    </row>
    <row r="416">
      <c r="B416" s="18" t="n"/>
      <c r="C416" s="16" t="n"/>
      <c r="D416" s="16" t="n"/>
      <c r="E416" s="16" t="n"/>
      <c r="F416" s="16" t="n"/>
      <c r="G416" s="16" t="n"/>
      <c r="H416" s="16" t="n"/>
      <c r="I416" s="16" t="n"/>
    </row>
    <row r="417">
      <c r="B417" s="18" t="n"/>
      <c r="C417" s="16" t="n"/>
      <c r="D417" s="16" t="n"/>
      <c r="E417" s="16" t="n"/>
      <c r="F417" s="16" t="n"/>
      <c r="G417" s="16" t="n"/>
      <c r="H417" s="16" t="n"/>
      <c r="I417" s="16" t="n"/>
    </row>
    <row r="418">
      <c r="B418" s="18" t="n"/>
      <c r="C418" s="16" t="n"/>
      <c r="D418" s="16" t="n"/>
      <c r="E418" s="16" t="n"/>
      <c r="F418" s="16" t="n"/>
      <c r="G418" s="16" t="n"/>
      <c r="H418" s="16" t="n"/>
      <c r="I418" s="16" t="n"/>
    </row>
    <row r="419">
      <c r="B419" s="18" t="n"/>
      <c r="C419" s="16" t="n"/>
      <c r="D419" s="16" t="n"/>
      <c r="E419" s="16" t="n"/>
      <c r="F419" s="16" t="n"/>
      <c r="G419" s="16" t="n"/>
      <c r="H419" s="16" t="n"/>
      <c r="I419" s="16" t="n"/>
    </row>
    <row r="420">
      <c r="B420" s="18" t="n"/>
      <c r="C420" s="16" t="n"/>
      <c r="D420" s="16" t="n"/>
      <c r="E420" s="16" t="n"/>
      <c r="F420" s="16" t="n"/>
      <c r="G420" s="16" t="n"/>
      <c r="H420" s="16" t="n"/>
      <c r="I420" s="16" t="n"/>
    </row>
    <row r="421">
      <c r="B421" s="18" t="n"/>
      <c r="C421" s="16" t="n"/>
      <c r="D421" s="16" t="n"/>
      <c r="E421" s="16" t="n"/>
      <c r="F421" s="16" t="n"/>
      <c r="G421" s="16" t="n"/>
      <c r="H421" s="16" t="n"/>
      <c r="I421" s="16" t="n"/>
    </row>
    <row r="422">
      <c r="B422" s="18" t="n"/>
      <c r="C422" s="16" t="n"/>
      <c r="D422" s="16" t="n"/>
      <c r="E422" s="16" t="n"/>
      <c r="F422" s="16" t="n"/>
      <c r="G422" s="16" t="n"/>
      <c r="H422" s="16" t="n"/>
      <c r="I422" s="16" t="n"/>
    </row>
    <row r="423">
      <c r="B423" s="18" t="n"/>
      <c r="C423" s="16" t="n"/>
      <c r="D423" s="16" t="n"/>
      <c r="E423" s="16" t="n"/>
      <c r="F423" s="16" t="n"/>
      <c r="G423" s="16" t="n"/>
      <c r="H423" s="16" t="n"/>
      <c r="I423" s="16" t="n"/>
    </row>
    <row r="424">
      <c r="B424" s="18" t="n"/>
      <c r="C424" s="16" t="n"/>
      <c r="D424" s="16" t="n"/>
      <c r="E424" s="16" t="n"/>
      <c r="F424" s="16" t="n"/>
      <c r="G424" s="16" t="n"/>
      <c r="H424" s="16" t="n"/>
      <c r="I424" s="16" t="n"/>
    </row>
    <row r="425">
      <c r="B425" s="18" t="n"/>
      <c r="C425" s="16" t="n"/>
      <c r="D425" s="16" t="n"/>
      <c r="E425" s="16" t="n"/>
      <c r="F425" s="16" t="n"/>
      <c r="G425" s="16" t="n"/>
      <c r="H425" s="16" t="n"/>
      <c r="I425" s="16" t="n"/>
    </row>
    <row r="426">
      <c r="B426" s="18" t="n"/>
      <c r="C426" s="16" t="n"/>
      <c r="D426" s="16" t="n"/>
      <c r="E426" s="16" t="n"/>
      <c r="F426" s="16" t="n"/>
      <c r="G426" s="16" t="n"/>
      <c r="H426" s="16" t="n"/>
      <c r="I426" s="16" t="n"/>
    </row>
    <row r="427">
      <c r="B427" s="18" t="n"/>
      <c r="C427" s="16" t="n"/>
      <c r="D427" s="16" t="n"/>
      <c r="E427" s="16" t="n"/>
      <c r="F427" s="16" t="n"/>
      <c r="G427" s="16" t="n"/>
      <c r="H427" s="16" t="n"/>
      <c r="I427" s="16" t="n"/>
    </row>
    <row r="428">
      <c r="B428" s="18" t="n"/>
      <c r="C428" s="16" t="n"/>
      <c r="D428" s="16" t="n"/>
      <c r="E428" s="16" t="n"/>
      <c r="F428" s="16" t="n"/>
      <c r="G428" s="16" t="n"/>
      <c r="H428" s="16" t="n"/>
      <c r="I428" s="16" t="n"/>
    </row>
    <row r="429">
      <c r="B429" s="18" t="n"/>
      <c r="C429" s="16" t="n"/>
      <c r="D429" s="16" t="n"/>
      <c r="E429" s="16" t="n"/>
      <c r="F429" s="16" t="n"/>
      <c r="G429" s="16" t="n"/>
      <c r="H429" s="16" t="n"/>
      <c r="I429" s="16" t="n"/>
    </row>
    <row r="430">
      <c r="B430" s="18" t="n"/>
      <c r="C430" s="16" t="n"/>
      <c r="D430" s="16" t="n"/>
      <c r="E430" s="16" t="n"/>
      <c r="F430" s="16" t="n"/>
      <c r="G430" s="16" t="n"/>
      <c r="H430" s="16" t="n"/>
      <c r="I430" s="16" t="n"/>
    </row>
    <row r="431">
      <c r="B431" s="18" t="n"/>
      <c r="C431" s="16" t="n"/>
      <c r="D431" s="16" t="n"/>
      <c r="E431" s="16" t="n"/>
      <c r="F431" s="16" t="n"/>
      <c r="G431" s="16" t="n"/>
      <c r="H431" s="16" t="n"/>
      <c r="I431" s="16" t="n"/>
    </row>
    <row r="432">
      <c r="B432" s="18" t="n"/>
      <c r="C432" s="16" t="n"/>
      <c r="D432" s="16" t="n"/>
      <c r="E432" s="16" t="n"/>
      <c r="F432" s="16" t="n"/>
      <c r="G432" s="16" t="n"/>
      <c r="H432" s="16" t="n"/>
      <c r="I432" s="16" t="n"/>
    </row>
    <row r="433">
      <c r="B433" s="18" t="n"/>
      <c r="C433" s="16" t="n"/>
      <c r="D433" s="16" t="n"/>
      <c r="E433" s="16" t="n"/>
      <c r="F433" s="16" t="n"/>
      <c r="G433" s="16" t="n"/>
      <c r="H433" s="16" t="n"/>
      <c r="I433" s="16" t="n"/>
    </row>
    <row r="434">
      <c r="B434" s="18" t="n"/>
      <c r="C434" s="16" t="n"/>
      <c r="D434" s="16" t="n"/>
      <c r="E434" s="16" t="n"/>
      <c r="F434" s="16" t="n"/>
      <c r="G434" s="16" t="n"/>
      <c r="H434" s="16" t="n"/>
      <c r="I434" s="16" t="n"/>
    </row>
    <row r="435">
      <c r="B435" s="18" t="n"/>
      <c r="C435" s="16" t="n"/>
      <c r="D435" s="16" t="n"/>
      <c r="E435" s="16" t="n"/>
      <c r="F435" s="16" t="n"/>
      <c r="G435" s="16" t="n"/>
      <c r="H435" s="16" t="n"/>
      <c r="I435" s="16" t="n"/>
    </row>
    <row r="436">
      <c r="B436" s="18" t="n"/>
      <c r="C436" s="16" t="n"/>
      <c r="D436" s="16" t="n"/>
      <c r="E436" s="16" t="n"/>
      <c r="F436" s="16" t="n"/>
      <c r="G436" s="16" t="n"/>
      <c r="H436" s="16" t="n"/>
      <c r="I436" s="16" t="n"/>
    </row>
    <row r="437">
      <c r="B437" s="18" t="n"/>
      <c r="C437" s="16" t="n"/>
      <c r="D437" s="16" t="n"/>
      <c r="E437" s="16" t="n"/>
      <c r="F437" s="16" t="n"/>
      <c r="G437" s="16" t="n"/>
      <c r="H437" s="16" t="n"/>
      <c r="I437" s="16" t="n"/>
    </row>
    <row r="438">
      <c r="B438" s="18" t="n"/>
      <c r="C438" s="16" t="n"/>
      <c r="D438" s="16" t="n"/>
      <c r="E438" s="16" t="n"/>
      <c r="F438" s="16" t="n"/>
      <c r="G438" s="16" t="n"/>
      <c r="H438" s="16" t="n"/>
      <c r="I438" s="16" t="n"/>
    </row>
    <row r="439">
      <c r="B439" s="18" t="n"/>
      <c r="C439" s="16" t="n"/>
      <c r="D439" s="16" t="n"/>
      <c r="E439" s="16" t="n"/>
      <c r="F439" s="16" t="n"/>
      <c r="G439" s="16" t="n"/>
      <c r="H439" s="16" t="n"/>
      <c r="I439" s="16" t="n"/>
    </row>
    <row r="440">
      <c r="B440" s="18" t="n"/>
      <c r="C440" s="16" t="n"/>
      <c r="D440" s="16" t="n"/>
      <c r="E440" s="16" t="n"/>
      <c r="F440" s="16" t="n"/>
      <c r="G440" s="16" t="n"/>
      <c r="H440" s="16" t="n"/>
      <c r="I440" s="16" t="n"/>
    </row>
    <row r="441">
      <c r="B441" s="18" t="n"/>
      <c r="C441" s="16" t="n"/>
      <c r="D441" s="16" t="n"/>
      <c r="E441" s="16" t="n"/>
      <c r="F441" s="16" t="n"/>
      <c r="G441" s="16" t="n"/>
      <c r="H441" s="16" t="n"/>
      <c r="I441" s="16" t="n"/>
    </row>
    <row r="442">
      <c r="B442" s="18" t="n"/>
      <c r="C442" s="16" t="n"/>
      <c r="D442" s="16" t="n"/>
      <c r="E442" s="16" t="n"/>
      <c r="F442" s="16" t="n"/>
      <c r="G442" s="16" t="n"/>
      <c r="H442" s="16" t="n"/>
      <c r="I442" s="16" t="n"/>
    </row>
    <row r="443">
      <c r="B443" s="18" t="n"/>
      <c r="C443" s="16" t="n"/>
      <c r="D443" s="16" t="n"/>
      <c r="E443" s="16" t="n"/>
      <c r="F443" s="16" t="n"/>
      <c r="G443" s="16" t="n"/>
      <c r="H443" s="16" t="n"/>
      <c r="I443" s="16" t="n"/>
    </row>
    <row r="444">
      <c r="B444" s="18" t="n"/>
      <c r="C444" s="16" t="n"/>
      <c r="D444" s="16" t="n"/>
      <c r="E444" s="16" t="n"/>
      <c r="F444" s="16" t="n"/>
      <c r="G444" s="16" t="n"/>
      <c r="H444" s="16" t="n"/>
      <c r="I444" s="16" t="n"/>
    </row>
    <row r="445">
      <c r="B445" s="18" t="n"/>
      <c r="C445" s="16" t="n"/>
      <c r="D445" s="16" t="n"/>
      <c r="E445" s="16" t="n"/>
      <c r="F445" s="16" t="n"/>
      <c r="G445" s="16" t="n"/>
      <c r="H445" s="16" t="n"/>
      <c r="I445" s="16" t="n"/>
    </row>
    <row r="446">
      <c r="B446" s="18" t="n"/>
      <c r="C446" s="16" t="n"/>
      <c r="D446" s="16" t="n"/>
      <c r="E446" s="16" t="n"/>
      <c r="F446" s="16" t="n"/>
      <c r="G446" s="16" t="n"/>
      <c r="H446" s="16" t="n"/>
      <c r="I446" s="16" t="n"/>
    </row>
    <row r="447">
      <c r="B447" s="18" t="n"/>
      <c r="C447" s="16" t="n"/>
      <c r="D447" s="16" t="n"/>
      <c r="E447" s="16" t="n"/>
      <c r="F447" s="16" t="n"/>
      <c r="G447" s="16" t="n"/>
      <c r="H447" s="16" t="n"/>
      <c r="I447" s="16" t="n"/>
    </row>
    <row r="448">
      <c r="B448" s="18" t="n"/>
      <c r="C448" s="16" t="n"/>
      <c r="D448" s="16" t="n"/>
      <c r="E448" s="16" t="n"/>
      <c r="F448" s="16" t="n"/>
      <c r="G448" s="16" t="n"/>
      <c r="H448" s="16" t="n"/>
      <c r="I448" s="16" t="n"/>
    </row>
    <row r="449">
      <c r="B449" s="18" t="n"/>
      <c r="C449" s="16" t="n"/>
      <c r="D449" s="16" t="n"/>
      <c r="E449" s="16" t="n"/>
      <c r="F449" s="16" t="n"/>
      <c r="G449" s="16" t="n"/>
      <c r="H449" s="16" t="n"/>
      <c r="I449" s="16" t="n"/>
    </row>
    <row r="450">
      <c r="B450" s="18" t="n"/>
      <c r="C450" s="16" t="n"/>
      <c r="D450" s="16" t="n"/>
      <c r="E450" s="16" t="n"/>
      <c r="F450" s="16" t="n"/>
      <c r="G450" s="16" t="n"/>
      <c r="H450" s="16" t="n"/>
      <c r="I450" s="16" t="n"/>
    </row>
    <row r="451">
      <c r="B451" s="18" t="n"/>
      <c r="C451" s="16" t="n"/>
      <c r="D451" s="16" t="n"/>
      <c r="E451" s="16" t="n"/>
      <c r="F451" s="16" t="n"/>
      <c r="G451" s="16" t="n"/>
      <c r="H451" s="16" t="n"/>
      <c r="I451" s="16" t="n"/>
    </row>
    <row r="452">
      <c r="B452" s="18" t="n"/>
      <c r="C452" s="16" t="n"/>
      <c r="D452" s="16" t="n"/>
      <c r="E452" s="16" t="n"/>
      <c r="F452" s="16" t="n"/>
      <c r="G452" s="16" t="n"/>
      <c r="H452" s="16" t="n"/>
      <c r="I452" s="16" t="n"/>
    </row>
    <row r="453">
      <c r="B453" s="18" t="n"/>
      <c r="C453" s="16" t="n"/>
      <c r="D453" s="16" t="n"/>
      <c r="E453" s="16" t="n"/>
      <c r="F453" s="16" t="n"/>
      <c r="G453" s="16" t="n"/>
      <c r="H453" s="16" t="n"/>
      <c r="I453" s="16" t="n"/>
    </row>
    <row r="454">
      <c r="B454" s="18" t="n"/>
      <c r="C454" s="16" t="n"/>
      <c r="D454" s="16" t="n"/>
      <c r="E454" s="16" t="n"/>
      <c r="F454" s="16" t="n"/>
      <c r="G454" s="16" t="n"/>
      <c r="H454" s="16" t="n"/>
      <c r="I454" s="16" t="n"/>
    </row>
    <row r="455">
      <c r="B455" s="18" t="n"/>
      <c r="C455" s="16" t="n"/>
      <c r="D455" s="16" t="n"/>
      <c r="E455" s="16" t="n"/>
      <c r="F455" s="16" t="n"/>
      <c r="G455" s="16" t="n"/>
      <c r="H455" s="16" t="n"/>
      <c r="I455" s="16" t="n"/>
    </row>
    <row r="456">
      <c r="B456" s="18" t="n"/>
      <c r="C456" s="16" t="n"/>
      <c r="D456" s="16" t="n"/>
      <c r="E456" s="16" t="n"/>
      <c r="F456" s="16" t="n"/>
      <c r="G456" s="16" t="n"/>
      <c r="H456" s="16" t="n"/>
      <c r="I456" s="16" t="n"/>
    </row>
    <row r="457">
      <c r="B457" s="18" t="n"/>
      <c r="C457" s="16" t="n"/>
      <c r="D457" s="16" t="n"/>
      <c r="E457" s="16" t="n"/>
      <c r="F457" s="16" t="n"/>
      <c r="G457" s="16" t="n"/>
      <c r="H457" s="16" t="n"/>
      <c r="I457" s="16" t="n"/>
    </row>
    <row r="458">
      <c r="B458" s="18" t="n"/>
      <c r="C458" s="16" t="n"/>
      <c r="D458" s="16" t="n"/>
      <c r="E458" s="16" t="n"/>
      <c r="F458" s="16" t="n"/>
      <c r="G458" s="16" t="n"/>
      <c r="H458" s="16" t="n"/>
      <c r="I458" s="16" t="n"/>
    </row>
    <row r="459">
      <c r="B459" s="18" t="n"/>
      <c r="C459" s="16" t="n"/>
      <c r="D459" s="16" t="n"/>
      <c r="E459" s="16" t="n"/>
      <c r="F459" s="16" t="n"/>
      <c r="G459" s="16" t="n"/>
      <c r="H459" s="16" t="n"/>
      <c r="I459" s="16" t="n"/>
    </row>
    <row r="460">
      <c r="B460" s="18" t="n"/>
      <c r="C460" s="16" t="n"/>
      <c r="D460" s="16" t="n"/>
      <c r="E460" s="16" t="n"/>
      <c r="F460" s="16" t="n"/>
      <c r="G460" s="16" t="n"/>
      <c r="H460" s="16" t="n"/>
      <c r="I460" s="16" t="n"/>
    </row>
    <row r="461">
      <c r="B461" s="18" t="n"/>
      <c r="C461" s="16" t="n"/>
      <c r="D461" s="16" t="n"/>
      <c r="E461" s="16" t="n"/>
      <c r="F461" s="16" t="n"/>
      <c r="G461" s="16" t="n"/>
      <c r="H461" s="16" t="n"/>
      <c r="I461" s="16" t="n"/>
    </row>
    <row r="462">
      <c r="B462" s="18" t="n"/>
      <c r="C462" s="16" t="n"/>
      <c r="D462" s="16" t="n"/>
      <c r="E462" s="16" t="n"/>
      <c r="F462" s="16" t="n"/>
      <c r="G462" s="16" t="n"/>
      <c r="H462" s="16" t="n"/>
      <c r="I462" s="16" t="n"/>
    </row>
    <row r="463">
      <c r="B463" s="18" t="n"/>
      <c r="C463" s="16" t="n"/>
      <c r="D463" s="16" t="n"/>
      <c r="E463" s="16" t="n"/>
      <c r="F463" s="16" t="n"/>
      <c r="G463" s="16" t="n"/>
      <c r="H463" s="16" t="n"/>
      <c r="I463" s="16" t="n"/>
    </row>
    <row r="464">
      <c r="B464" s="18" t="n"/>
      <c r="C464" s="16" t="n"/>
      <c r="D464" s="16" t="n"/>
      <c r="E464" s="16" t="n"/>
      <c r="F464" s="16" t="n"/>
      <c r="G464" s="16" t="n"/>
      <c r="H464" s="16" t="n"/>
      <c r="I464" s="16" t="n"/>
    </row>
    <row r="465">
      <c r="B465" s="18" t="n"/>
      <c r="C465" s="16" t="n"/>
      <c r="D465" s="16" t="n"/>
      <c r="E465" s="16" t="n"/>
      <c r="F465" s="16" t="n"/>
      <c r="G465" s="16" t="n"/>
      <c r="H465" s="16" t="n"/>
      <c r="I465" s="16" t="n"/>
    </row>
    <row r="466">
      <c r="B466" s="18" t="n"/>
      <c r="C466" s="16" t="n"/>
      <c r="D466" s="16" t="n"/>
      <c r="E466" s="16" t="n"/>
      <c r="F466" s="16" t="n"/>
      <c r="G466" s="16" t="n"/>
      <c r="H466" s="16" t="n"/>
      <c r="I466" s="16" t="n"/>
    </row>
    <row r="467">
      <c r="B467" s="18" t="n"/>
      <c r="C467" s="16" t="n"/>
      <c r="D467" s="16" t="n"/>
      <c r="E467" s="16" t="n"/>
      <c r="F467" s="16" t="n"/>
      <c r="G467" s="16" t="n"/>
      <c r="H467" s="16" t="n"/>
      <c r="I467" s="16" t="n"/>
    </row>
    <row r="468">
      <c r="B468" s="18" t="n"/>
      <c r="C468" s="16" t="n"/>
      <c r="D468" s="16" t="n"/>
      <c r="E468" s="16" t="n"/>
      <c r="F468" s="16" t="n"/>
      <c r="G468" s="16" t="n"/>
      <c r="H468" s="16" t="n"/>
      <c r="I468" s="16" t="n"/>
    </row>
    <row r="469">
      <c r="B469" s="18" t="n"/>
      <c r="C469" s="16" t="n"/>
      <c r="D469" s="16" t="n"/>
      <c r="E469" s="16" t="n"/>
      <c r="F469" s="16" t="n"/>
      <c r="G469" s="16" t="n"/>
      <c r="H469" s="16" t="n"/>
      <c r="I469" s="16" t="n"/>
    </row>
    <row r="470">
      <c r="B470" s="18" t="n"/>
      <c r="C470" s="16" t="n"/>
      <c r="D470" s="16" t="n"/>
      <c r="E470" s="16" t="n"/>
      <c r="F470" s="16" t="n"/>
      <c r="G470" s="16" t="n"/>
      <c r="H470" s="16" t="n"/>
      <c r="I470" s="16" t="n"/>
    </row>
    <row r="471">
      <c r="B471" s="18" t="n"/>
      <c r="C471" s="16" t="n"/>
      <c r="D471" s="16" t="n"/>
      <c r="E471" s="16" t="n"/>
      <c r="F471" s="16" t="n"/>
      <c r="G471" s="16" t="n"/>
      <c r="H471" s="16" t="n"/>
      <c r="I471" s="16" t="n"/>
    </row>
    <row r="472">
      <c r="B472" s="18" t="n"/>
      <c r="C472" s="16" t="n"/>
      <c r="D472" s="16" t="n"/>
      <c r="E472" s="16" t="n"/>
      <c r="F472" s="16" t="n"/>
      <c r="G472" s="16" t="n"/>
      <c r="H472" s="16" t="n"/>
      <c r="I472" s="16" t="n"/>
    </row>
    <row r="473">
      <c r="B473" s="18" t="n"/>
      <c r="C473" s="16" t="n"/>
      <c r="D473" s="16" t="n"/>
      <c r="E473" s="16" t="n"/>
      <c r="F473" s="16" t="n"/>
      <c r="G473" s="16" t="n"/>
      <c r="H473" s="16" t="n"/>
      <c r="I473" s="16" t="n"/>
    </row>
    <row r="474">
      <c r="B474" s="18" t="n"/>
      <c r="C474" s="16" t="n"/>
      <c r="D474" s="16" t="n"/>
      <c r="E474" s="16" t="n"/>
      <c r="F474" s="16" t="n"/>
      <c r="G474" s="16" t="n"/>
      <c r="H474" s="16" t="n"/>
      <c r="I474" s="16" t="n"/>
    </row>
    <row r="475">
      <c r="B475" s="18" t="n"/>
      <c r="C475" s="16" t="n"/>
      <c r="D475" s="16" t="n"/>
      <c r="E475" s="16" t="n"/>
      <c r="F475" s="16" t="n"/>
      <c r="G475" s="16" t="n"/>
      <c r="H475" s="16" t="n"/>
      <c r="I475" s="16" t="n"/>
    </row>
    <row r="476">
      <c r="B476" s="18" t="n"/>
      <c r="C476" s="16" t="n"/>
      <c r="D476" s="16" t="n"/>
      <c r="E476" s="16" t="n"/>
      <c r="F476" s="16" t="n"/>
      <c r="G476" s="16" t="n"/>
      <c r="H476" s="16" t="n"/>
      <c r="I476" s="16" t="n"/>
    </row>
    <row r="477">
      <c r="B477" s="18" t="n"/>
      <c r="C477" s="16" t="n"/>
      <c r="D477" s="16" t="n"/>
      <c r="E477" s="16" t="n"/>
      <c r="F477" s="16" t="n"/>
      <c r="G477" s="16" t="n"/>
      <c r="H477" s="16" t="n"/>
      <c r="I477" s="16" t="n"/>
    </row>
    <row r="478">
      <c r="B478" s="18" t="n"/>
      <c r="C478" s="16" t="n"/>
      <c r="D478" s="16" t="n"/>
      <c r="E478" s="16" t="n"/>
      <c r="F478" s="16" t="n"/>
      <c r="G478" s="16" t="n"/>
      <c r="H478" s="16" t="n"/>
      <c r="I478" s="16" t="n"/>
    </row>
    <row r="479">
      <c r="B479" s="18" t="n"/>
      <c r="C479" s="16" t="n"/>
      <c r="D479" s="16" t="n"/>
      <c r="E479" s="16" t="n"/>
      <c r="F479" s="16" t="n"/>
      <c r="G479" s="16" t="n"/>
      <c r="H479" s="16" t="n"/>
      <c r="I479" s="16" t="n"/>
    </row>
    <row r="480">
      <c r="B480" s="18" t="n"/>
      <c r="C480" s="16" t="n"/>
      <c r="D480" s="16" t="n"/>
      <c r="E480" s="16" t="n"/>
      <c r="F480" s="16" t="n"/>
      <c r="G480" s="16" t="n"/>
      <c r="H480" s="16" t="n"/>
      <c r="I480" s="16" t="n"/>
    </row>
    <row r="481">
      <c r="B481" s="18" t="n"/>
      <c r="C481" s="16" t="n"/>
      <c r="D481" s="16" t="n"/>
      <c r="E481" s="16" t="n"/>
      <c r="F481" s="16" t="n"/>
      <c r="G481" s="16" t="n"/>
      <c r="H481" s="16" t="n"/>
      <c r="I481" s="16" t="n"/>
    </row>
    <row r="482">
      <c r="B482" s="18" t="n"/>
      <c r="C482" s="16" t="n"/>
      <c r="D482" s="16" t="n"/>
      <c r="E482" s="16" t="n"/>
      <c r="F482" s="16" t="n"/>
      <c r="G482" s="16" t="n"/>
      <c r="H482" s="16" t="n"/>
      <c r="I482" s="16" t="n"/>
    </row>
    <row r="483">
      <c r="B483" s="18" t="n"/>
      <c r="C483" s="16" t="n"/>
      <c r="D483" s="16" t="n"/>
      <c r="E483" s="16" t="n"/>
      <c r="F483" s="16" t="n"/>
      <c r="G483" s="16" t="n"/>
      <c r="H483" s="16" t="n"/>
      <c r="I483" s="16" t="n"/>
    </row>
    <row r="484">
      <c r="B484" s="18" t="n"/>
      <c r="C484" s="16" t="n"/>
      <c r="D484" s="16" t="n"/>
      <c r="E484" s="16" t="n"/>
      <c r="F484" s="16" t="n"/>
      <c r="G484" s="16" t="n"/>
      <c r="H484" s="16" t="n"/>
      <c r="I484" s="16" t="n"/>
    </row>
    <row r="485">
      <c r="B485" s="18" t="n"/>
      <c r="C485" s="16" t="n"/>
      <c r="D485" s="16" t="n"/>
      <c r="E485" s="16" t="n"/>
      <c r="F485" s="16" t="n"/>
      <c r="G485" s="16" t="n"/>
      <c r="H485" s="16" t="n"/>
      <c r="I485" s="16" t="n"/>
    </row>
    <row r="486">
      <c r="B486" s="18" t="n"/>
      <c r="C486" s="16" t="n"/>
      <c r="D486" s="16" t="n"/>
      <c r="E486" s="16" t="n"/>
      <c r="F486" s="16" t="n"/>
      <c r="G486" s="16" t="n"/>
      <c r="H486" s="16" t="n"/>
      <c r="I486" s="16" t="n"/>
    </row>
    <row r="487">
      <c r="B487" s="18" t="n"/>
      <c r="C487" s="16" t="n"/>
      <c r="D487" s="16" t="n"/>
      <c r="E487" s="16" t="n"/>
      <c r="F487" s="16" t="n"/>
      <c r="G487" s="16" t="n"/>
      <c r="H487" s="16" t="n"/>
      <c r="I487" s="16" t="n"/>
    </row>
    <row r="488">
      <c r="B488" s="18" t="n"/>
      <c r="C488" s="16" t="n"/>
      <c r="D488" s="16" t="n"/>
      <c r="E488" s="16" t="n"/>
      <c r="F488" s="16" t="n"/>
      <c r="G488" s="16" t="n"/>
      <c r="H488" s="16" t="n"/>
      <c r="I488" s="16" t="n"/>
    </row>
    <row r="489">
      <c r="B489" s="18" t="n"/>
      <c r="C489" s="16" t="n"/>
      <c r="D489" s="16" t="n"/>
      <c r="E489" s="16" t="n"/>
      <c r="F489" s="16" t="n"/>
      <c r="G489" s="16" t="n"/>
      <c r="H489" s="16" t="n"/>
      <c r="I489" s="16" t="n"/>
    </row>
    <row r="490">
      <c r="B490" s="18" t="n"/>
      <c r="C490" s="16" t="n"/>
      <c r="D490" s="16" t="n"/>
      <c r="E490" s="16" t="n"/>
      <c r="F490" s="16" t="n"/>
      <c r="G490" s="16" t="n"/>
      <c r="H490" s="16" t="n"/>
      <c r="I490" s="16" t="n"/>
    </row>
    <row r="491">
      <c r="B491" s="18" t="n"/>
      <c r="C491" s="16" t="n"/>
      <c r="D491" s="16" t="n"/>
      <c r="E491" s="16" t="n"/>
      <c r="F491" s="16" t="n"/>
      <c r="G491" s="16" t="n"/>
      <c r="H491" s="16" t="n"/>
      <c r="I491" s="16" t="n"/>
    </row>
    <row r="492">
      <c r="B492" s="18" t="n"/>
      <c r="C492" s="16" t="n"/>
      <c r="D492" s="16" t="n"/>
      <c r="E492" s="16" t="n"/>
      <c r="F492" s="16" t="n"/>
      <c r="G492" s="16" t="n"/>
      <c r="H492" s="16" t="n"/>
      <c r="I492" s="16" t="n"/>
    </row>
    <row r="493">
      <c r="B493" s="18" t="n"/>
      <c r="C493" s="16" t="n"/>
      <c r="D493" s="16" t="n"/>
      <c r="E493" s="16" t="n"/>
      <c r="F493" s="16" t="n"/>
      <c r="G493" s="16" t="n"/>
      <c r="H493" s="16" t="n"/>
      <c r="I493" s="16" t="n"/>
    </row>
    <row r="494">
      <c r="B494" s="18" t="n"/>
      <c r="C494" s="16" t="n"/>
      <c r="D494" s="16" t="n"/>
      <c r="E494" s="16" t="n"/>
      <c r="F494" s="16" t="n"/>
      <c r="G494" s="16" t="n"/>
      <c r="H494" s="16" t="n"/>
      <c r="I494" s="16" t="n"/>
    </row>
    <row r="495">
      <c r="B495" s="18" t="n"/>
      <c r="C495" s="16" t="n"/>
      <c r="D495" s="16" t="n"/>
      <c r="E495" s="16" t="n"/>
      <c r="F495" s="16" t="n"/>
      <c r="G495" s="16" t="n"/>
      <c r="H495" s="16" t="n"/>
      <c r="I495" s="16" t="n"/>
    </row>
    <row r="496">
      <c r="B496" s="18" t="n"/>
      <c r="C496" s="16" t="n"/>
      <c r="D496" s="16" t="n"/>
      <c r="E496" s="16" t="n"/>
      <c r="F496" s="16" t="n"/>
      <c r="G496" s="16" t="n"/>
      <c r="H496" s="16" t="n"/>
      <c r="I496" s="16" t="n"/>
    </row>
    <row r="497">
      <c r="B497" s="18" t="n"/>
      <c r="C497" s="16" t="n"/>
      <c r="D497" s="16" t="n"/>
      <c r="E497" s="16" t="n"/>
      <c r="F497" s="16" t="n"/>
      <c r="G497" s="16" t="n"/>
      <c r="H497" s="16" t="n"/>
      <c r="I497" s="16" t="n"/>
    </row>
    <row r="498">
      <c r="B498" s="18" t="n"/>
      <c r="C498" s="16" t="n"/>
      <c r="D498" s="16" t="n"/>
      <c r="E498" s="16" t="n"/>
      <c r="F498" s="16" t="n"/>
      <c r="G498" s="16" t="n"/>
      <c r="H498" s="16" t="n"/>
      <c r="I498" s="16" t="n"/>
    </row>
    <row r="499">
      <c r="B499" s="18" t="n"/>
      <c r="C499" s="16" t="n"/>
      <c r="D499" s="16" t="n"/>
      <c r="E499" s="16" t="n"/>
      <c r="F499" s="16" t="n"/>
      <c r="G499" s="16" t="n"/>
      <c r="H499" s="16" t="n"/>
      <c r="I499" s="16" t="n"/>
    </row>
    <row r="500">
      <c r="B500" s="18" t="n"/>
      <c r="C500" s="16" t="n"/>
      <c r="D500" s="16" t="n"/>
      <c r="E500" s="16" t="n"/>
      <c r="F500" s="16" t="n"/>
      <c r="G500" s="16" t="n"/>
      <c r="H500" s="16" t="n"/>
      <c r="I500" s="16" t="n"/>
    </row>
    <row r="501">
      <c r="B501" s="18" t="n"/>
      <c r="C501" s="16" t="n"/>
      <c r="D501" s="16" t="n"/>
      <c r="E501" s="16" t="n"/>
      <c r="F501" s="16" t="n"/>
      <c r="G501" s="16" t="n"/>
      <c r="H501" s="16" t="n"/>
      <c r="I501" s="16" t="n"/>
    </row>
    <row r="502">
      <c r="B502" s="18" t="n"/>
      <c r="C502" s="16" t="n"/>
      <c r="D502" s="16" t="n"/>
      <c r="E502" s="16" t="n"/>
      <c r="F502" s="16" t="n"/>
      <c r="G502" s="16" t="n"/>
      <c r="H502" s="16" t="n"/>
      <c r="I502" s="16" t="n"/>
    </row>
    <row r="503">
      <c r="B503" s="18" t="n"/>
      <c r="C503" s="16" t="n"/>
      <c r="D503" s="16" t="n"/>
      <c r="E503" s="16" t="n"/>
      <c r="F503" s="16" t="n"/>
      <c r="G503" s="16" t="n"/>
      <c r="H503" s="16" t="n"/>
      <c r="I503" s="16" t="n"/>
    </row>
    <row r="504">
      <c r="B504" s="18" t="n"/>
      <c r="C504" s="16" t="n"/>
      <c r="D504" s="16" t="n"/>
      <c r="E504" s="16" t="n"/>
      <c r="F504" s="16" t="n"/>
      <c r="G504" s="16" t="n"/>
      <c r="H504" s="16" t="n"/>
      <c r="I504" s="16" t="n"/>
    </row>
    <row r="505">
      <c r="B505" s="18" t="n"/>
      <c r="C505" s="16" t="n"/>
      <c r="D505" s="16" t="n"/>
      <c r="E505" s="16" t="n"/>
      <c r="F505" s="16" t="n"/>
      <c r="G505" s="16" t="n"/>
      <c r="H505" s="16" t="n"/>
      <c r="I505" s="16" t="n"/>
    </row>
  </sheetData>
  <sheetProtection selectLockedCells="0" selectUnlockedCells="0" sheet="1" objects="0" insertRows="1" insertHyperlinks="1" autoFilter="0" scenarios="0" formatColumns="1" deleteColumns="1" insertColumns="1" pivotTables="1" deleteRows="1" formatCells="1" formatRows="1" sort="1" password="B4BB"/>
  <autoFilter ref="B5:I5"/>
  <pageMargins left="0.75" right="0.75" top="1" bottom="1" header="0.5" footer="0.5"/>
</worksheet>
</file>

<file path=xl/worksheets/sheet39.xml><?xml version="1.0" encoding="utf-8"?>
<worksheet xmlns="http://schemas.openxmlformats.org/spreadsheetml/2006/main">
  <sheetPr>
    <tabColor rgb="00C8A24B"/>
    <outlinePr summaryBelow="1" summaryRight="1"/>
    <pageSetUpPr/>
  </sheetPr>
  <dimension ref="B1:I49"/>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34" customWidth="1" min="2" max="2"/>
    <col width="22" customWidth="1" min="3" max="3"/>
    <col width="12" customWidth="1" min="4" max="4"/>
    <col width="12" customWidth="1" min="5" max="5"/>
    <col width="12" customWidth="1" min="6" max="6"/>
    <col width="12" customWidth="1" min="7" max="7"/>
    <col width="12" customWidth="1" min="8" max="8"/>
    <col width="30" customWidth="1" min="9" max="9"/>
  </cols>
  <sheetData>
    <row r="1">
      <c r="B1" s="10">
        <f>HYPERLINK("#Dashboard!B5","◄ Dashboard")</f>
        <v/>
      </c>
    </row>
    <row r="4">
      <c r="B4" s="11" t="inlineStr">
        <is>
          <t>Cream boxes = edit per academy (entries show in blue). Pale blue = calculated. Internal names must not change. The PT rubric block holds the approved PT Test Score Chart — each cell is the value a cadet must REACH for that tier, and the PT sheet scores itself from it.</t>
        </is>
      </c>
    </row>
    <row r="5" ht="26" customHeight="1">
      <c r="B5" s="12" t="inlineStr">
        <is>
          <t>Setting</t>
        </is>
      </c>
      <c r="C5" s="12" t="inlineStr">
        <is>
          <t>Value</t>
        </is>
      </c>
      <c r="D5" s="12" t="inlineStr">
        <is>
          <t>Notes</t>
        </is>
      </c>
      <c r="E5" s="12" t="inlineStr">
        <is>
          <t>Internal name</t>
        </is>
      </c>
      <c r="F5" s="12" t="inlineStr">
        <is>
          <t>Detected from data</t>
        </is>
      </c>
      <c r="G5" s="12" t="inlineStr">
        <is>
          <t>Check</t>
        </is>
      </c>
    </row>
    <row r="6">
      <c r="B6" s="3" t="inlineStr">
        <is>
          <t>Academy Class</t>
        </is>
      </c>
      <c r="C6" s="16" t="inlineStr">
        <is>
          <t>BPOC-2027-01</t>
        </is>
      </c>
      <c r="D6" s="2" t="inlineStr">
        <is>
          <t>Label shown on reports</t>
        </is>
      </c>
      <c r="E6" s="2" t="inlineStr">
        <is>
          <t>cfgAcademyClass</t>
        </is>
      </c>
    </row>
    <row r="7">
      <c r="B7" s="3" t="inlineStr">
        <is>
          <t>Start Date</t>
        </is>
      </c>
      <c r="C7" s="18" t="n">
        <v>46419</v>
      </c>
      <c r="D7" s="2" t="inlineStr">
        <is>
          <t>First day of academy</t>
        </is>
      </c>
      <c r="E7" s="2" t="inlineStr">
        <is>
          <t>cfgStartDate</t>
        </is>
      </c>
      <c r="F7" s="21">
        <f>IF(ISNUMBER($C$7),TEXT($C$7,"ddd mm/dd/yyyy"),"(not a date)")</f>
        <v/>
      </c>
      <c r="G7" s="2">
        <f>IF(NOT(ISNUMBER($C$7)),"FIX - Start Date is blank or is not a real date. The Control class-day calendar is EMPTY until it is set, so every Day #, retest deadline, memo due date, writing date and sign-in sheet is blank too.",IF(WEEKDAY($C$7,2)&gt;5,"CHECK - Start Date falls on a weekend; Day 1 will be the next weekday","OK"))</f>
        <v/>
      </c>
    </row>
    <row r="8">
      <c r="B8" s="3" t="inlineStr">
        <is>
          <t>End Date</t>
        </is>
      </c>
      <c r="C8" s="18" t="n">
        <v>46598</v>
      </c>
      <c r="D8" s="2" t="inlineStr">
        <is>
          <t>Scheduled graduation date</t>
        </is>
      </c>
      <c r="E8" s="2" t="inlineStr">
        <is>
          <t>cfgEndDate</t>
        </is>
      </c>
      <c r="F8" s="21">
        <f>IF(ISNUMBER($C$8),TEXT($C$8,"ddd mm/dd/yyyy"),"(not a date)")</f>
        <v/>
      </c>
      <c r="G8" s="2">
        <f>IF(NOT(ISNUMBER($C$8)),"FIX - End Date is blank or is not a real date; the class-day calendar cannot mark days In Session.",IF(AND(ISNUMBER(cfgStartDate),$C$8&lt;=cfgStartDate),"FIX - End Date is on or before Start Date","OK"))</f>
        <v/>
      </c>
    </row>
    <row r="9">
      <c r="B9" s="3" t="inlineStr">
        <is>
          <t>Total Scheduled Minutes</t>
        </is>
      </c>
      <c r="C9" s="36" t="n">
        <v>145800</v>
      </c>
      <c r="D9" s="2" t="inlineStr">
        <is>
          <t>Academy length in minutes</t>
        </is>
      </c>
      <c r="E9" s="2" t="inlineStr">
        <is>
          <t>cfgTotalScheduledMinutes</t>
        </is>
      </c>
      <c r="F9" s="21">
        <f>IFERROR(ROUND(SUMIFS(nrSCH_Hrs,nrSCH_TimeCheck,"OK")*60,0),0)</f>
        <v/>
      </c>
      <c r="G9" s="2">
        <f>IF(AND($F$9=0,N($C$9)=0),"No schedule entered yet",IF($F$9=0,"CHECK - no schedule entered yet, but Total Scheduled Minutes still reads "&amp;TEXT($C$9,"#,##0")&amp;" (the previous academy's length, or the shipped default) - enter this academy's schedule, then set this to match",IF(ROUND($C$9,0)=ROUND($F$9,0),"OK","CHECK - schedule totals "&amp;TEXT($F$9,"#,##0")&amp;" min ("&amp;TEXT($F$9/60,"#,##0")&amp;" hrs)")))</f>
        <v/>
      </c>
    </row>
    <row r="10">
      <c r="B10" s="3" t="inlineStr">
        <is>
          <t>Passing Score</t>
        </is>
      </c>
      <c r="C10" s="16" t="n">
        <v>70</v>
      </c>
      <c r="D10" s="2" t="inlineStr">
        <is>
          <t>Minimum passing score for exams</t>
        </is>
      </c>
      <c r="E10" s="2" t="inlineStr">
        <is>
          <t>cfgPassingScore</t>
        </is>
      </c>
    </row>
    <row r="11">
      <c r="B11" s="3" t="inlineStr">
        <is>
          <t>Pass Threshold Score</t>
        </is>
      </c>
      <c r="C11" s="16" t="n">
        <v>70</v>
      </c>
      <c r="D11" s="2" t="inlineStr">
        <is>
          <t>Category-average threshold</t>
        </is>
      </c>
      <c r="E11" s="2" t="inlineStr">
        <is>
          <t>cfgThresholdScore</t>
        </is>
      </c>
    </row>
    <row r="12">
      <c r="B12" s="3" t="inlineStr">
        <is>
          <t>Retake Recorded Cap</t>
        </is>
      </c>
      <c r="C12" s="16" t="n">
        <v>70</v>
      </c>
      <c r="D12" s="2" t="inlineStr">
        <is>
          <t>Recorded score after a passed retest</t>
        </is>
      </c>
      <c r="E12" s="2" t="inlineStr">
        <is>
          <t>cfgRetakeRecordedCap</t>
        </is>
      </c>
    </row>
    <row r="13">
      <c r="B13" s="3" t="inlineStr">
        <is>
          <t>Threshold After Exam #</t>
        </is>
      </c>
      <c r="C13" s="16" t="n">
        <v>4</v>
      </c>
      <c r="D13" s="2" t="inlineStr">
        <is>
          <t>Category avg enforced once this many exams of that type are recorded (or all planned ones are)</t>
        </is>
      </c>
      <c r="E13" s="2" t="inlineStr">
        <is>
          <t>cfgThresholdAfterExam</t>
        </is>
      </c>
    </row>
    <row r="14">
      <c r="B14" s="3" t="inlineStr">
        <is>
          <t>Retest Within (class days)</t>
        </is>
      </c>
      <c r="C14" s="16" t="n">
        <v>5</v>
      </c>
      <c r="D14" s="2" t="inlineStr">
        <is>
          <t>Policy 300.5 retest window</t>
        </is>
      </c>
      <c r="E14" s="2" t="inlineStr">
        <is>
          <t>cfgRetestClassDays</t>
        </is>
      </c>
    </row>
    <row r="15">
      <c r="B15" s="3" t="inlineStr">
        <is>
          <t>Memo Due (class days)</t>
        </is>
      </c>
      <c r="C15" s="16" t="n">
        <v>3</v>
      </c>
      <c r="D15" s="2" t="inlineStr">
        <is>
          <t>Deficiency memo due this many class days after assignment</t>
        </is>
      </c>
      <c r="E15" s="2" t="inlineStr">
        <is>
          <t>cfgMemoDueClassDays</t>
        </is>
      </c>
    </row>
    <row r="16">
      <c r="B16" s="3" t="inlineStr">
        <is>
          <t>Weight: Major</t>
        </is>
      </c>
      <c r="C16" s="37" t="n">
        <v>0.4</v>
      </c>
      <c r="D16" s="2" t="inlineStr">
        <is>
          <t>Major exams weight</t>
        </is>
      </c>
      <c r="E16" s="2" t="inlineStr">
        <is>
          <t>cfgWeightMajor</t>
        </is>
      </c>
    </row>
    <row r="17">
      <c r="B17" s="3" t="inlineStr">
        <is>
          <t>Weight: Minor</t>
        </is>
      </c>
      <c r="C17" s="37" t="n">
        <v>0.3</v>
      </c>
      <c r="D17" s="2" t="inlineStr">
        <is>
          <t>Minor exams weight</t>
        </is>
      </c>
      <c r="E17" s="2" t="inlineStr">
        <is>
          <t>cfgWeightMinor</t>
        </is>
      </c>
    </row>
    <row r="18">
      <c r="B18" s="3" t="inlineStr">
        <is>
          <t>Weight: Spelling</t>
        </is>
      </c>
      <c r="C18" s="37" t="n">
        <v>0.1</v>
      </c>
      <c r="D18" s="2" t="inlineStr">
        <is>
          <t>Spelling weight</t>
        </is>
      </c>
      <c r="E18" s="2" t="inlineStr">
        <is>
          <t>cfgWeightSpelling</t>
        </is>
      </c>
    </row>
    <row r="19">
      <c r="B19" s="3" t="inlineStr">
        <is>
          <t>Weight: Final</t>
        </is>
      </c>
      <c r="C19" s="37" t="n">
        <v>0.2</v>
      </c>
      <c r="D19" s="2" t="inlineStr">
        <is>
          <t>Final exam weight</t>
        </is>
      </c>
      <c r="E19" s="2" t="inlineStr">
        <is>
          <t>cfgWeightFinal</t>
        </is>
      </c>
    </row>
    <row r="20">
      <c r="B20" s="3" t="inlineStr">
        <is>
          <t>Spelling Intervention Avg</t>
        </is>
      </c>
      <c r="C20" s="16" t="n">
        <v>75</v>
      </c>
      <c r="D20" s="2" t="inlineStr">
        <is>
          <t>Below this spelling avg = early intervention (300.4.B)</t>
        </is>
      </c>
      <c r="E20" s="2" t="inlineStr">
        <is>
          <t>cfgSpellInterventionAvg</t>
        </is>
      </c>
    </row>
    <row r="21">
      <c r="B21" s="3" t="inlineStr">
        <is>
          <t>Makeup Advisory (minutes owed)</t>
        </is>
      </c>
      <c r="C21" s="36" t="n">
        <v>120</v>
      </c>
      <c r="D21" s="2" t="inlineStr">
        <is>
          <t>Watch a cadet once outstanding makeup reaches this many minutes (early warning only - NOT an allowance)</t>
        </is>
      </c>
      <c r="E21" s="2" t="inlineStr">
        <is>
          <t>cfgMakeupAdvisoryMin</t>
        </is>
      </c>
    </row>
    <row r="22">
      <c r="B22" s="3" t="inlineStr">
        <is>
          <t>Makeup Critical (minutes owed)</t>
        </is>
      </c>
      <c r="C22" s="36" t="n">
        <v>480</v>
      </c>
      <c r="D22" s="2" t="inlineStr">
        <is>
          <t>Escalate once outstanding makeup reaches this many minutes (early warning only - NOT an allowance)</t>
        </is>
      </c>
      <c r="E22" s="2" t="inlineStr">
        <is>
          <t>cfgMakeupCriticalMin</t>
        </is>
      </c>
    </row>
    <row r="23">
      <c r="B23" s="3" t="inlineStr">
        <is>
          <t>PT Cap (sessions)</t>
        </is>
      </c>
      <c r="C23" s="16" t="n">
        <v>5</v>
      </c>
      <c r="D23" s="2" t="inlineStr">
        <is>
          <t>Max PT sessions missed</t>
        </is>
      </c>
      <c r="E23" s="2" t="inlineStr">
        <is>
          <t>cfgPTCapSessions</t>
        </is>
      </c>
    </row>
    <row r="24">
      <c r="B24" s="3" t="inlineStr">
        <is>
          <t>PT Advisory (% of 5-session cap)</t>
        </is>
      </c>
      <c r="C24" s="37" t="n">
        <v>0.6</v>
      </c>
      <c r="D24" s="2" t="inlineStr">
        <is>
          <t>Tier 1 warning at this share of the PT session cap (PT is the only real cap in policy)</t>
        </is>
      </c>
      <c r="E24" s="2" t="inlineStr">
        <is>
          <t>cfgAttendanceAdvisoryPct</t>
        </is>
      </c>
    </row>
    <row r="25">
      <c r="B25" s="3" t="inlineStr">
        <is>
          <t>PT Critical (% of 5-session cap)</t>
        </is>
      </c>
      <c r="C25" s="37" t="n">
        <v>0.8</v>
      </c>
      <c r="D25" s="2" t="inlineStr">
        <is>
          <t>Tier 2 warning at this share of the PT session cap</t>
        </is>
      </c>
      <c r="E25" s="2" t="inlineStr">
        <is>
          <t>cfgAttendanceCriticalPct</t>
        </is>
      </c>
    </row>
    <row r="26">
      <c r="B26" s="3" t="inlineStr">
        <is>
          <t>Home Agency (gets all cadets)</t>
        </is>
      </c>
      <c r="C26" s="16" t="inlineStr">
        <is>
          <t>TPD</t>
        </is>
      </c>
      <c r="D26" s="2" t="inlineStr">
        <is>
          <t>Agency code whose email includes every cadet</t>
        </is>
      </c>
      <c r="E26" s="2" t="inlineStr">
        <is>
          <t>cfgHomeAgency</t>
        </is>
      </c>
      <c r="F26" s="21">
        <f>IF($C$26="","(blank)",IFERROR(INDEX(rngAgencyNames,MATCH($C$26,rngAgencyIDs,0)),"(no such AgencyID)"))</f>
        <v/>
      </c>
      <c r="G26" s="2">
        <f>IF(COUNTIF(rngAgencyIDs,$C$26)=0,"CHECK - not an AgencyID on the Agencies sheet; the 'All Cadets' draft, the all-agency discipline digest and the orphan-cadet warning are all SKIPPED",IF(INDEX(rngAgencyActive,MATCH($C$26,rngAgencyIDs,0))&lt;&gt;"Yes","CHECK - that agency is not marked Active","OK"))</f>
        <v/>
      </c>
    </row>
    <row r="27">
      <c r="B27" s="3" t="inlineStr">
        <is>
          <t>Current Exam # (for emails)</t>
        </is>
      </c>
      <c r="C27" s="16" t="n">
        <v>1</v>
      </c>
      <c r="D27" s="2" t="inlineStr">
        <is>
          <t>Sequence # of the exam to email</t>
        </is>
      </c>
      <c r="E27" s="2" t="inlineStr">
        <is>
          <t>cfgCurrentExamNum</t>
        </is>
      </c>
      <c r="F27" s="21">
        <f>IFERROR(MAX(_xlfn._xlws.FILTER(nrES_Seq,(nrES_Rec&lt;&gt;"")*(nrES_Seq&lt;&gt;""))),0)</f>
        <v/>
      </c>
      <c r="G27" s="2">
        <f>IF($F$27=0,"No exam scores posted yet",IF($C$27&gt;$F$27,"CHECK - set to Test "&amp;$C$27&amp;" but data only has Test "&amp;$F$27,IF($F$27&gt;$C$27,"CHECK - data shows Test "&amp;$F$27,"OK")))</f>
        <v/>
      </c>
    </row>
    <row r="28">
      <c r="B28" s="3" t="inlineStr">
        <is>
          <t>Current Spelling # (for emails)</t>
        </is>
      </c>
      <c r="C28" s="16" t="n">
        <v>1</v>
      </c>
      <c r="D28" s="2" t="inlineStr">
        <is>
          <t>Highest spelling test # administered</t>
        </is>
      </c>
      <c r="E28" s="2" t="inlineStr">
        <is>
          <t>cfgCurrentSpellingNum</t>
        </is>
      </c>
      <c r="F28" s="21">
        <f>MAX(SUMPRODUCT(MAX((nrSpellCounts&gt;0)*COLUMN(nrSpellCounts)))-COLUMN(Spelling!$D$1)+1,0)</f>
        <v/>
      </c>
      <c r="G28" s="2">
        <f>IF($C$28&lt;cfgCurrentExamNum,"CHECK - spelling will be OMITTED this run",IF($F$28&gt;$C$28,"CHECK - data shows Spelling "&amp;$F$28,"OK"))</f>
        <v/>
      </c>
    </row>
    <row r="29">
      <c r="B29" s="3" t="inlineStr">
        <is>
          <t>Writing Due Time</t>
        </is>
      </c>
      <c r="C29" s="16" t="inlineStr">
        <is>
          <t>1700</t>
        </is>
      </c>
      <c r="D29" s="2" t="inlineStr">
        <is>
          <t>Due time shown on handouts</t>
        </is>
      </c>
      <c r="E29" s="2" t="inlineStr">
        <is>
          <t>cfgWritingDueTime</t>
        </is>
      </c>
      <c r="F29" s="21">
        <f>IFERROR(TEXT(TIMEVALUE(LEFT(TEXT($C$29,"0000"),2)&amp;":"&amp;RIGHT(TEXT($C$29,"0000"),2)),"h:mm AM/PM"),"(unreadable)")</f>
        <v/>
      </c>
      <c r="G29" s="2">
        <f>IF($F$29="(unreadable)","CHECK - enter a 24-hour time as 4 digits (e.g. 1700). This is the due time printed on the Writing handout.","OK - shown on the WritingHandout Due column header")</f>
        <v/>
      </c>
    </row>
    <row r="30">
      <c r="B30" s="3" t="inlineStr">
        <is>
          <t>PT Final Min Points</t>
        </is>
      </c>
      <c r="C30" s="16" t="n">
        <v>70</v>
      </c>
      <c r="D30" s="2" t="inlineStr">
        <is>
          <t>Points needed to pass the final PT assessment (approved chart: 60 = every event minimum met, 100 = Tier 5 in all five)</t>
        </is>
      </c>
      <c r="E30" s="2" t="inlineStr">
        <is>
          <t>cfgPTFinalMinPoints</t>
        </is>
      </c>
    </row>
    <row r="31">
      <c r="B31" s="3" t="inlineStr">
        <is>
          <t>Flag: consecutive exam fails</t>
        </is>
      </c>
      <c r="C31" s="16" t="n">
        <v>2</v>
      </c>
      <c r="D31" s="2" t="inlineStr">
        <is>
          <t>Consecutive graded-exam scores below passing</t>
        </is>
      </c>
      <c r="E31" s="2" t="inlineStr">
        <is>
          <t>cfgFlagConsecFails</t>
        </is>
      </c>
    </row>
    <row r="32">
      <c r="B32" s="3" t="inlineStr">
        <is>
          <t>Flag: grade drop (points)</t>
        </is>
      </c>
      <c r="C32" s="16" t="n">
        <v>10</v>
      </c>
      <c r="D32" s="2" t="inlineStr">
        <is>
          <t>Drop in recorded score vs cadet's prior exam</t>
        </is>
      </c>
      <c r="E32" s="2" t="inlineStr">
        <is>
          <t>cfgFlagGradeDrop</t>
        </is>
      </c>
    </row>
    <row r="33">
      <c r="B33" s="3" t="inlineStr">
        <is>
          <t>Flag: category margin</t>
        </is>
      </c>
      <c r="C33" s="16" t="n">
        <v>5</v>
      </c>
      <c r="D33" s="2" t="inlineStr">
        <is>
          <t>Category avg within this many points of 70</t>
        </is>
      </c>
      <c r="E33" s="2" t="inlineStr">
        <is>
          <t>cfgFlagCategoryMargin</t>
        </is>
      </c>
    </row>
    <row r="34">
      <c r="B34" s="3" t="inlineStr">
        <is>
          <t>Flag: PT % of session cap</t>
        </is>
      </c>
      <c r="C34" s="37" t="n">
        <v>0.6</v>
      </c>
      <c r="D34" s="2" t="inlineStr">
        <is>
          <t>Flag once PT sessions missed reach this share of the five-session cap</t>
        </is>
      </c>
      <c r="E34" s="2" t="inlineStr">
        <is>
          <t>cfgFlagAttendancePct</t>
        </is>
      </c>
    </row>
    <row r="35">
      <c r="B35" s="3" t="inlineStr">
        <is>
          <t>Flag: open negative incidents</t>
        </is>
      </c>
      <c r="C35" s="16" t="n">
        <v>2</v>
      </c>
      <c r="D35" s="2" t="inlineStr">
        <is>
          <t>Open negative incidents at/above this count</t>
        </is>
      </c>
      <c r="E35" s="2" t="inlineStr">
        <is>
          <t>cfgFlagOpenIncidents</t>
        </is>
      </c>
    </row>
    <row r="36">
      <c r="B36" s="3" t="inlineStr">
        <is>
          <t>Flag: overdue writing</t>
        </is>
      </c>
      <c r="C36" s="16" t="n">
        <v>1</v>
      </c>
      <c r="D36" s="2" t="inlineStr">
        <is>
          <t>Overdue writing assignments at/above this count</t>
        </is>
      </c>
      <c r="E36" s="2" t="inlineStr">
        <is>
          <t>cfgFlagOverdueWriting</t>
        </is>
      </c>
    </row>
    <row r="37">
      <c r="B37" s="3" t="inlineStr">
        <is>
          <t>Weights total (must = 100%)</t>
        </is>
      </c>
      <c r="C37" s="38">
        <f>cfgWeightMajor+cfgWeightMinor+cfgWeightSpelling+cfgWeightFinal</f>
        <v/>
      </c>
      <c r="D37" s="2" t="inlineStr">
        <is>
          <t>CALCULATED</t>
        </is>
      </c>
      <c r="E37" s="2" t="inlineStr">
        <is>
          <t>cfgWeightsTotal</t>
        </is>
      </c>
    </row>
    <row r="39">
      <c r="B39" s="3" t="inlineStr">
        <is>
          <t>Weights check:</t>
        </is>
      </c>
      <c r="C39" s="21">
        <f>IF(ROUND(cfgWeightsTotal,4)=1,"OK","FIX: weights must total 100%")</f>
        <v/>
      </c>
    </row>
    <row r="41" ht="16" customHeight="1">
      <c r="B41" s="7" t="inlineStr">
        <is>
          <t>Final PT Assessment — Points Rubric (approved PT Test Score Chart, the EXIT standard — each cell is the value a cadet must REACH for that tier; higher than the entry standard by design)</t>
        </is>
      </c>
    </row>
    <row r="42" ht="26" customHeight="1">
      <c r="B42" s="12" t="inlineStr">
        <is>
          <t>Event</t>
        </is>
      </c>
      <c r="C42" s="12" t="inlineStr">
        <is>
          <t>Measure</t>
        </is>
      </c>
      <c r="D42" s="12" t="inlineStr">
        <is>
          <t>Tier 1</t>
        </is>
      </c>
      <c r="E42" s="12" t="inlineStr">
        <is>
          <t>Tier 2</t>
        </is>
      </c>
      <c r="F42" s="12" t="inlineStr">
        <is>
          <t>Tier 3</t>
        </is>
      </c>
      <c r="G42" s="12" t="inlineStr">
        <is>
          <t>Tier 4</t>
        </is>
      </c>
      <c r="H42" s="12" t="inlineStr">
        <is>
          <t>Tier 5</t>
        </is>
      </c>
      <c r="I42" s="12" t="inlineStr">
        <is>
          <t>Notes</t>
        </is>
      </c>
    </row>
    <row r="43">
      <c r="B43" s="3" t="inlineStr">
        <is>
          <t>Points per tier</t>
        </is>
      </c>
      <c r="C43" s="2" t="inlineStr">
        <is>
          <t>(editable)</t>
        </is>
      </c>
      <c r="D43" s="16" t="n">
        <v>12</v>
      </c>
      <c r="E43" s="16" t="n">
        <v>14</v>
      </c>
      <c r="F43" s="16" t="n">
        <v>16</v>
      </c>
      <c r="G43" s="16" t="n">
        <v>18</v>
      </c>
      <c r="H43" s="16" t="n">
        <v>20</v>
      </c>
      <c r="I43" s="2" t="inlineStr">
        <is>
          <t>5 events x 20 = 100 max; x 12 = 60 (every minimum met). Passing = PT Final Min Points above.</t>
        </is>
      </c>
    </row>
    <row r="44">
      <c r="B44" s="3" t="inlineStr">
        <is>
          <t>Push-Ups</t>
        </is>
      </c>
      <c r="C44" s="2" t="inlineStr">
        <is>
          <t>reps (no time limit)</t>
        </is>
      </c>
      <c r="D44" s="16" t="n">
        <v>23</v>
      </c>
      <c r="E44" s="16" t="n">
        <v>33</v>
      </c>
      <c r="F44" s="16" t="n">
        <v>41</v>
      </c>
      <c r="G44" s="16" t="n">
        <v>51</v>
      </c>
      <c r="H44" s="16" t="n">
        <v>79</v>
      </c>
      <c r="I44" s="2" t="inlineStr">
        <is>
          <t>best tier whose threshold is met; higher is better; below Tier 1 scores 0</t>
        </is>
      </c>
    </row>
    <row r="45">
      <c r="B45" s="3" t="inlineStr">
        <is>
          <t>Sit-Ups</t>
        </is>
      </c>
      <c r="C45" s="2" t="inlineStr">
        <is>
          <t>reps in 1:00</t>
        </is>
      </c>
      <c r="D45" s="16" t="n">
        <v>23</v>
      </c>
      <c r="E45" s="16" t="n">
        <v>33</v>
      </c>
      <c r="F45" s="16" t="n">
        <v>41</v>
      </c>
      <c r="G45" s="16" t="n">
        <v>51</v>
      </c>
      <c r="H45" s="16" t="n">
        <v>79</v>
      </c>
      <c r="I45" s="2" t="inlineStr">
        <is>
          <t>best tier whose threshold is met; higher is better; below Tier 1 scores 0</t>
        </is>
      </c>
    </row>
    <row r="46">
      <c r="B46" s="3" t="inlineStr">
        <is>
          <t>Agility Run</t>
        </is>
      </c>
      <c r="C46" s="2" t="inlineStr">
        <is>
          <t>seconds (lower is better)</t>
        </is>
      </c>
      <c r="D46" s="16" t="n">
        <v>20.2</v>
      </c>
      <c r="E46" s="16" t="n">
        <v>18</v>
      </c>
      <c r="F46" s="16" t="n">
        <v>15.8</v>
      </c>
      <c r="G46" s="16" t="n">
        <v>13.6</v>
      </c>
      <c r="H46" s="16" t="n">
        <v>12</v>
      </c>
      <c r="I46" s="2" t="inlineStr">
        <is>
          <t>best tier whose threshold is met; lower is better; below Tier 1 scores 0</t>
        </is>
      </c>
    </row>
    <row r="47">
      <c r="B47" s="3" t="inlineStr">
        <is>
          <t>1.5 Mile Run</t>
        </is>
      </c>
      <c r="C47" s="2" t="inlineStr">
        <is>
          <t>SECONDS (15:42=942, 14:08=848, 12:35=755, 11:02=662, 9:30=570); the PT sheet takes decimal minutes and the engine converts</t>
        </is>
      </c>
      <c r="D47" s="16" t="n">
        <v>942</v>
      </c>
      <c r="E47" s="16" t="n">
        <v>848</v>
      </c>
      <c r="F47" s="16" t="n">
        <v>755</v>
      </c>
      <c r="G47" s="16" t="n">
        <v>662</v>
      </c>
      <c r="H47" s="16" t="n">
        <v>570</v>
      </c>
      <c r="I47" s="2" t="inlineStr">
        <is>
          <t>best tier whose threshold is met; lower is better; below Tier 1 scores 0</t>
        </is>
      </c>
    </row>
    <row r="48">
      <c r="B48" s="3" t="inlineStr">
        <is>
          <t>300 M Sprint</t>
        </is>
      </c>
      <c r="C48" s="2" t="inlineStr">
        <is>
          <t>seconds (lower is better)</t>
        </is>
      </c>
      <c r="D48" s="16" t="n">
        <v>66.98999999999999</v>
      </c>
      <c r="E48" s="16" t="n">
        <v>61.4</v>
      </c>
      <c r="F48" s="16" t="n">
        <v>55.8</v>
      </c>
      <c r="G48" s="16" t="n">
        <v>50.2</v>
      </c>
      <c r="H48" s="16" t="n">
        <v>45.99</v>
      </c>
      <c r="I48" s="2" t="inlineStr">
        <is>
          <t>best tier whose threshold is met; lower is better; below Tier 1 scores 0</t>
        </is>
      </c>
    </row>
    <row r="49">
      <c r="B49" s="2" t="inlineStr">
        <is>
          <t>Bench Press and Vertical Jump are BASELINE standards only — they are not scored at the final assessment.</t>
        </is>
      </c>
    </row>
  </sheetData>
  <sheetProtection selectLockedCells="0" selectUnlockedCells="0" sheet="1" objects="0" insertRows="1" insertHyperlinks="1" autoFilter="0" scenarios="0" formatColumns="1" deleteColumns="1" insertColumns="1" pivotTables="1" deleteRows="1" formatCells="1" formatRows="1" sort="1" password="B4BB"/>
  <mergeCells count="1">
    <mergeCell ref="B41:I41"/>
  </mergeCells>
  <dataValidations count="1">
    <dataValidation sqref="C26" showDropDown="0" showInputMessage="0" showErrorMessage="1" allowBlank="1" type="list">
      <formula1>=rngAgencyIDs</formula1>
    </dataValidation>
  </dataValidations>
  <pageMargins left="0.75" right="0.75" top="1" bottom="1" header="0.5" footer="0.5"/>
</worksheet>
</file>

<file path=xl/worksheets/sheet40.xml><?xml version="1.0" encoding="utf-8"?>
<worksheet xmlns="http://schemas.openxmlformats.org/spreadsheetml/2006/main">
  <sheetPr>
    <tabColor rgb="00C8A24B"/>
    <outlinePr summaryBelow="1" summaryRight="1"/>
    <pageSetUpPr/>
  </sheetPr>
  <dimension ref="B1:AC14"/>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6" customWidth="1" min="2" max="2"/>
    <col width="16" customWidth="1" min="3" max="3"/>
    <col width="16" customWidth="1" min="4" max="4"/>
    <col width="18" customWidth="1" min="5" max="5"/>
    <col width="16" customWidth="1" min="6" max="6"/>
    <col width="16" customWidth="1" min="7" max="7"/>
    <col width="16" customWidth="1" min="8" max="8"/>
    <col width="16" customWidth="1" min="9" max="9"/>
    <col width="16" customWidth="1" min="10" max="10"/>
    <col width="16" customWidth="1" min="11" max="11"/>
    <col width="20" customWidth="1" min="12" max="12"/>
    <col width="16" customWidth="1" min="13" max="13"/>
    <col width="16" customWidth="1" min="14" max="14"/>
    <col width="17" customWidth="1" min="15" max="15"/>
    <col width="16" customWidth="1" min="16" max="16"/>
    <col width="16" customWidth="1" min="17" max="17"/>
    <col width="16" customWidth="1" min="18" max="18"/>
    <col width="16" customWidth="1" min="19" max="19"/>
    <col width="17" customWidth="1" min="20" max="20"/>
    <col width="16" customWidth="1" min="21" max="21"/>
    <col width="16" customWidth="1" min="22" max="22"/>
    <col width="16" customWidth="1" min="23" max="23"/>
    <col width="17" customWidth="1" min="24" max="24"/>
    <col width="18" customWidth="1" min="25" max="25"/>
    <col width="20" customWidth="1" min="26" max="26"/>
    <col width="16" customWidth="1" min="27" max="27"/>
    <col width="16" customWidth="1" min="28" max="28"/>
    <col width="19" customWidth="1" min="29" max="29"/>
  </cols>
  <sheetData>
    <row r="1">
      <c r="B1" s="10">
        <f>HYPERLINK("#Dashboard!B5","◄ Dashboard")</f>
        <v/>
      </c>
    </row>
    <row r="4">
      <c r="B4" s="11" t="inlineStr">
        <is>
          <t>These feed every dropdown. Add items at the bottom of a column, then extend the named range (Formulas &gt; Name Manager) if you exceed the seeded rows.</t>
        </is>
      </c>
    </row>
    <row r="5" ht="26" customHeight="1">
      <c r="B5" s="12" t="inlineStr">
        <is>
          <t>Yes/No</t>
        </is>
      </c>
      <c r="C5" s="12" t="inlineStr">
        <is>
          <t>Cadet Status</t>
        </is>
      </c>
      <c r="D5" s="12" t="inlineStr">
        <is>
          <t>Exam Type</t>
        </is>
      </c>
      <c r="E5" s="12" t="inlineStr">
        <is>
          <t>Attendance Event</t>
        </is>
      </c>
      <c r="F5" s="12" t="inlineStr">
        <is>
          <t>Reason</t>
        </is>
      </c>
      <c r="G5" s="12" t="inlineStr">
        <is>
          <t>Documentation</t>
        </is>
      </c>
      <c r="H5" s="12" t="inlineStr">
        <is>
          <t>Excused?</t>
        </is>
      </c>
      <c r="I5" s="12" t="inlineStr">
        <is>
          <t>Makeup Type</t>
        </is>
      </c>
      <c r="J5" s="12" t="inlineStr">
        <is>
          <t>Scoring Mode</t>
        </is>
      </c>
      <c r="K5" s="12" t="inlineStr">
        <is>
          <t>Skill Result</t>
        </is>
      </c>
      <c r="L5" s="12" t="inlineStr">
        <is>
          <t>Incident Direction</t>
        </is>
      </c>
      <c r="M5" s="12" t="inlineStr">
        <is>
          <t>Severity</t>
        </is>
      </c>
      <c r="N5" s="12" t="inlineStr">
        <is>
          <t>Resolution</t>
        </is>
      </c>
      <c r="O5" s="12" t="inlineStr">
        <is>
          <t>Assignment Type</t>
        </is>
      </c>
      <c r="P5" s="12" t="inlineStr">
        <is>
          <t>Submission</t>
        </is>
      </c>
      <c r="Q5" s="12" t="inlineStr">
        <is>
          <t>Attempt #</t>
        </is>
      </c>
      <c r="R5" s="12" t="inlineStr">
        <is>
          <t>Exam Attempt #</t>
        </is>
      </c>
      <c r="S5" s="12" t="inlineStr">
        <is>
          <t>IssueType</t>
        </is>
      </c>
      <c r="T5" s="12" t="inlineStr">
        <is>
          <t>Counseling Type</t>
        </is>
      </c>
      <c r="U5" s="12" t="inlineStr">
        <is>
          <t>Medical Status</t>
        </is>
      </c>
      <c r="V5" s="12" t="inlineStr">
        <is>
          <t>PT Session</t>
        </is>
      </c>
      <c r="W5" s="12" t="inlineStr">
        <is>
          <t>Award</t>
        </is>
      </c>
      <c r="X5" s="12" t="inlineStr">
        <is>
          <t>Instructor Type</t>
        </is>
      </c>
      <c r="Y5" s="12" t="inlineStr">
        <is>
          <t>Materials Status</t>
        </is>
      </c>
      <c r="Z5" s="12" t="inlineStr">
        <is>
          <t>Requirement Source</t>
        </is>
      </c>
      <c r="AA5" s="12" t="inlineStr">
        <is>
          <t>Review Type</t>
        </is>
      </c>
      <c r="AB5" s="12" t="inlineStr">
        <is>
          <t>Review Outcome</t>
        </is>
      </c>
      <c r="AC5" s="12" t="inlineStr">
        <is>
          <t>Dismissal Trigger</t>
        </is>
      </c>
    </row>
    <row r="6">
      <c r="B6" s="16" t="inlineStr">
        <is>
          <t>Yes</t>
        </is>
      </c>
      <c r="C6" s="16" t="inlineStr">
        <is>
          <t>Active</t>
        </is>
      </c>
      <c r="D6" s="16" t="inlineStr">
        <is>
          <t>Major</t>
        </is>
      </c>
      <c r="E6" s="16" t="inlineStr">
        <is>
          <t>Tardy</t>
        </is>
      </c>
      <c r="F6" s="16" t="inlineStr">
        <is>
          <t>Agency Recall</t>
        </is>
      </c>
      <c r="G6" s="16" t="inlineStr">
        <is>
          <t>Not Required</t>
        </is>
      </c>
      <c r="H6" s="16" t="inlineStr">
        <is>
          <t>Counted</t>
        </is>
      </c>
      <c r="I6" s="16" t="inlineStr">
        <is>
          <t>Classroom</t>
        </is>
      </c>
      <c r="J6" s="16" t="inlineStr">
        <is>
          <t>Score</t>
        </is>
      </c>
      <c r="K6" s="16" t="inlineStr">
        <is>
          <t>Pass</t>
        </is>
      </c>
      <c r="L6" s="16" t="inlineStr">
        <is>
          <t>Positive</t>
        </is>
      </c>
      <c r="M6" s="16" t="inlineStr">
        <is>
          <t>Informational</t>
        </is>
      </c>
      <c r="N6" s="16" t="inlineStr">
        <is>
          <t>Open</t>
        </is>
      </c>
      <c r="O6" s="16" t="inlineStr">
        <is>
          <t>Report</t>
        </is>
      </c>
      <c r="P6" s="16" t="inlineStr">
        <is>
          <t>Not Submitted</t>
        </is>
      </c>
      <c r="Q6" s="16" t="inlineStr">
        <is>
          <t>1</t>
        </is>
      </c>
      <c r="R6" s="16" t="inlineStr">
        <is>
          <t>1</t>
        </is>
      </c>
      <c r="S6" s="16" t="inlineStr">
        <is>
          <t>Absence</t>
        </is>
      </c>
      <c r="T6" s="16" t="inlineStr">
        <is>
          <t>Verbal Counseling</t>
        </is>
      </c>
      <c r="U6" s="16" t="inlineStr">
        <is>
          <t>Cleared - Full Duty</t>
        </is>
      </c>
      <c r="V6" s="16" t="inlineStr">
        <is>
          <t>Baseline</t>
        </is>
      </c>
      <c r="W6" s="16" t="inlineStr">
        <is>
          <t>Valedictorian</t>
        </is>
      </c>
      <c r="X6" s="16" t="inlineStr">
        <is>
          <t>TCOLE Instructor</t>
        </is>
      </c>
      <c r="Y6" s="16" t="inlineStr">
        <is>
          <t>On File</t>
        </is>
      </c>
      <c r="Z6" s="16" t="inlineStr">
        <is>
          <t>TCOLE Rule</t>
        </is>
      </c>
      <c r="AA6" s="16" t="inlineStr">
        <is>
          <t>Dismissal Review</t>
        </is>
      </c>
      <c r="AB6" s="16" t="inlineStr">
        <is>
          <t>Pending</t>
        </is>
      </c>
      <c r="AC6" s="16" t="inlineStr">
        <is>
          <t>Failed retest (exam)</t>
        </is>
      </c>
    </row>
    <row r="7">
      <c r="B7" s="16" t="inlineStr">
        <is>
          <t>No</t>
        </is>
      </c>
      <c r="C7" s="16" t="inlineStr">
        <is>
          <t>Separated</t>
        </is>
      </c>
      <c r="D7" s="16" t="inlineStr">
        <is>
          <t>Minor</t>
        </is>
      </c>
      <c r="E7" s="16" t="inlineStr">
        <is>
          <t>Early Departure</t>
        </is>
      </c>
      <c r="F7" s="16" t="inlineStr">
        <is>
          <t>LE Work</t>
        </is>
      </c>
      <c r="G7" s="16" t="inlineStr">
        <is>
          <t>Pending</t>
        </is>
      </c>
      <c r="H7" s="16" t="inlineStr">
        <is>
          <t>Excused</t>
        </is>
      </c>
      <c r="I7" s="16" t="inlineStr">
        <is>
          <t>PT</t>
        </is>
      </c>
      <c r="J7" s="16" t="inlineStr">
        <is>
          <t>Pass/Fail</t>
        </is>
      </c>
      <c r="K7" s="16" t="inlineStr">
        <is>
          <t>Fail</t>
        </is>
      </c>
      <c r="L7" s="16" t="inlineStr">
        <is>
          <t>Negative</t>
        </is>
      </c>
      <c r="M7" s="16" t="inlineStr">
        <is>
          <t>Minor</t>
        </is>
      </c>
      <c r="N7" s="16" t="inlineStr">
        <is>
          <t>In Review</t>
        </is>
      </c>
      <c r="O7" s="16" t="inlineStr">
        <is>
          <t>Memo</t>
        </is>
      </c>
      <c r="P7" s="16" t="inlineStr">
        <is>
          <t>Submitted</t>
        </is>
      </c>
      <c r="Q7" s="16" t="inlineStr">
        <is>
          <t>2</t>
        </is>
      </c>
      <c r="R7" s="16" t="inlineStr">
        <is>
          <t>2</t>
        </is>
      </c>
      <c r="S7" s="16" t="inlineStr">
        <is>
          <t>Failure to Train</t>
        </is>
      </c>
      <c r="T7" s="16" t="inlineStr">
        <is>
          <t>Written Counseling</t>
        </is>
      </c>
      <c r="U7" s="16" t="inlineStr">
        <is>
          <t>Restricted</t>
        </is>
      </c>
      <c r="V7" s="16" t="inlineStr">
        <is>
          <t>Midpoint</t>
        </is>
      </c>
      <c r="W7" s="16" t="inlineStr">
        <is>
          <t>Physical Fitness</t>
        </is>
      </c>
      <c r="X7" s="16" t="inlineStr">
        <is>
          <t>SME (Letter on File)</t>
        </is>
      </c>
      <c r="Y7" s="16" t="inlineStr">
        <is>
          <t>Requested</t>
        </is>
      </c>
      <c r="Z7" s="16" t="inlineStr">
        <is>
          <t>Academy Policy</t>
        </is>
      </c>
      <c r="AA7" s="16" t="inlineStr">
        <is>
          <t>Academic Review</t>
        </is>
      </c>
      <c r="AB7" s="16" t="inlineStr">
        <is>
          <t>Retained</t>
        </is>
      </c>
      <c r="AC7" s="16" t="inlineStr">
        <is>
          <t>Skills failed out</t>
        </is>
      </c>
    </row>
    <row r="8">
      <c r="C8" s="16" t="inlineStr">
        <is>
          <t>Graduated</t>
        </is>
      </c>
      <c r="D8" s="16" t="inlineStr">
        <is>
          <t>Final</t>
        </is>
      </c>
      <c r="E8" s="16" t="inlineStr">
        <is>
          <t>Late Arrival</t>
        </is>
      </c>
      <c r="F8" s="16" t="inlineStr">
        <is>
          <t>Personal</t>
        </is>
      </c>
      <c r="G8" s="16" t="inlineStr">
        <is>
          <t>Received</t>
        </is>
      </c>
      <c r="K8" s="16" t="inlineStr">
        <is>
          <t>Pending</t>
        </is>
      </c>
      <c r="L8" s="16" t="inlineStr">
        <is>
          <t>Informational</t>
        </is>
      </c>
      <c r="M8" s="16" t="inlineStr">
        <is>
          <t>Moderate</t>
        </is>
      </c>
      <c r="N8" s="16" t="inlineStr">
        <is>
          <t>Resolved</t>
        </is>
      </c>
      <c r="O8" s="16" t="inlineStr">
        <is>
          <t>Essay</t>
        </is>
      </c>
      <c r="P8" s="16" t="inlineStr">
        <is>
          <t>Late</t>
        </is>
      </c>
      <c r="Q8" s="16" t="inlineStr">
        <is>
          <t>3</t>
        </is>
      </c>
      <c r="S8" s="16" t="inlineStr">
        <is>
          <t>Deficiency</t>
        </is>
      </c>
      <c r="T8" s="16" t="inlineStr">
        <is>
          <t>Tutoring</t>
        </is>
      </c>
      <c r="U8" s="16" t="inlineStr">
        <is>
          <t>Pending Eval</t>
        </is>
      </c>
      <c r="V8" s="16" t="inlineStr">
        <is>
          <t>Final</t>
        </is>
      </c>
      <c r="W8" s="16" t="inlineStr">
        <is>
          <t>Top Gun</t>
        </is>
      </c>
      <c r="X8" s="16" t="inlineStr">
        <is>
          <t>SME (Letter Needed)</t>
        </is>
      </c>
      <c r="Y8" s="16" t="inlineStr">
        <is>
          <t>Missing</t>
        </is>
      </c>
      <c r="AA8" s="16" t="inlineStr">
        <is>
          <t>Conduct Review</t>
        </is>
      </c>
      <c r="AB8" s="16" t="inlineStr">
        <is>
          <t>Separated</t>
        </is>
      </c>
      <c r="AC8" s="16" t="inlineStr">
        <is>
          <t>Chain-of-command incident review</t>
        </is>
      </c>
    </row>
    <row r="9">
      <c r="C9" s="16" t="inlineStr">
        <is>
          <t>On Leave</t>
        </is>
      </c>
      <c r="E9" s="16" t="inlineStr">
        <is>
          <t>Removed From Class</t>
        </is>
      </c>
      <c r="F9" s="16" t="inlineStr">
        <is>
          <t>Medical</t>
        </is>
      </c>
      <c r="M9" s="16" t="inlineStr">
        <is>
          <t>Major</t>
        </is>
      </c>
      <c r="N9" s="16" t="inlineStr">
        <is>
          <t>Closed</t>
        </is>
      </c>
      <c r="O9" s="16" t="inlineStr">
        <is>
          <t>Affidavit</t>
        </is>
      </c>
      <c r="P9" s="16" t="inlineStr">
        <is>
          <t>Resubmitted</t>
        </is>
      </c>
      <c r="Q9" s="16" t="inlineStr">
        <is>
          <t>4</t>
        </is>
      </c>
      <c r="S9" s="16" t="inlineStr">
        <is>
          <t>Conduct</t>
        </is>
      </c>
      <c r="T9" s="16" t="inlineStr">
        <is>
          <t>Remedial Training</t>
        </is>
      </c>
      <c r="U9" s="16" t="inlineStr">
        <is>
          <t>Expired</t>
        </is>
      </c>
      <c r="W9" s="16" t="inlineStr">
        <is>
          <t>Grit</t>
        </is>
      </c>
      <c r="X9" s="16" t="inlineStr">
        <is>
          <t>Guest/Outside</t>
        </is>
      </c>
      <c r="Y9" s="16" t="inlineStr">
        <is>
          <t>N/A</t>
        </is>
      </c>
      <c r="AB9" s="16" t="inlineStr">
        <is>
          <t>Retained w/ Plan</t>
        </is>
      </c>
      <c r="AC9" s="16" t="inlineStr">
        <is>
          <t>Unexcused missed exams</t>
        </is>
      </c>
    </row>
    <row r="10">
      <c r="E10" s="16" t="inlineStr">
        <is>
          <t>Absent Full Day</t>
        </is>
      </c>
      <c r="F10" s="16" t="inlineStr">
        <is>
          <t>Military</t>
        </is>
      </c>
      <c r="M10" s="16" t="inlineStr">
        <is>
          <t>Critical</t>
        </is>
      </c>
      <c r="O10" s="16" t="inlineStr">
        <is>
          <t>Other</t>
        </is>
      </c>
      <c r="Q10" s="16" t="inlineStr">
        <is>
          <t>5</t>
        </is>
      </c>
      <c r="S10" s="16" t="inlineStr">
        <is>
          <t>Injury</t>
        </is>
      </c>
      <c r="T10" s="16" t="inlineStr">
        <is>
          <t>Agency Notification</t>
        </is>
      </c>
      <c r="AC10" s="16" t="inlineStr">
        <is>
          <t>Other (not engine-tracked)</t>
        </is>
      </c>
    </row>
    <row r="11">
      <c r="E11" s="16" t="inlineStr">
        <is>
          <t>Absent Partial Day</t>
        </is>
      </c>
      <c r="F11" s="16" t="inlineStr">
        <is>
          <t>Disciplinary</t>
        </is>
      </c>
      <c r="S11" s="16" t="inlineStr">
        <is>
          <t>Equipment</t>
        </is>
      </c>
      <c r="T11" s="16" t="inlineStr">
        <is>
          <t>Performance Plan</t>
        </is>
      </c>
    </row>
    <row r="12">
      <c r="E12" s="16" t="inlineStr">
        <is>
          <t>PT Missed</t>
        </is>
      </c>
      <c r="F12" s="16" t="inlineStr">
        <is>
          <t>Other</t>
        </is>
      </c>
      <c r="S12" s="16" t="inlineStr">
        <is>
          <t>Other</t>
        </is>
      </c>
      <c r="T12" s="16" t="inlineStr">
        <is>
          <t>Commendation</t>
        </is>
      </c>
    </row>
    <row r="13">
      <c r="E13" s="16" t="inlineStr">
        <is>
          <t>PT Modified</t>
        </is>
      </c>
      <c r="T13" s="16" t="inlineStr">
        <is>
          <t>Other</t>
        </is>
      </c>
    </row>
    <row r="14">
      <c r="E14" s="16" t="inlineStr">
        <is>
          <t>PT Refused</t>
        </is>
      </c>
    </row>
  </sheetData>
  <sheetProtection selectLockedCells="0" selectUnlockedCells="0" sheet="1" objects="0" insertRows="1" insertHyperlinks="1" autoFilter="0" scenarios="0" formatColumns="1" deleteColumns="1" insertColumns="1" pivotTables="1" deleteRows="1" formatCells="1" formatRows="1" sort="1" password="B4BB"/>
  <pageMargins left="0.75" right="0.75" top="1" bottom="1" header="0.5" footer="0.5"/>
</worksheet>
</file>

<file path=xl/worksheets/sheet41.xml><?xml version="1.0" encoding="utf-8"?>
<worksheet xmlns="http://schemas.openxmlformats.org/spreadsheetml/2006/main">
  <sheetPr>
    <tabColor rgb="00C8A24B"/>
    <outlinePr summaryBelow="1" summaryRight="1"/>
    <pageSetUpPr/>
  </sheetPr>
  <dimension ref="B1:I50"/>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4" customWidth="1" min="3" max="3"/>
    <col width="20" customWidth="1" min="4" max="4"/>
    <col width="46" customWidth="1" min="5" max="5"/>
    <col width="14" customWidth="1" min="6" max="6"/>
    <col width="32" customWidth="1" min="7" max="7"/>
    <col width="9" customWidth="1" min="8" max="8"/>
    <col width="14" customWidth="1" min="9" max="9"/>
  </cols>
  <sheetData>
    <row r="1">
      <c r="B1" s="10">
        <f>HYPERLINK("#Dashboard!B5","◄ Dashboard")</f>
        <v/>
      </c>
    </row>
    <row r="4">
      <c r="B4" s="11" t="inlineStr">
        <is>
          <t>AgencyID is the short code used on Cadets. 'Last Email Sent' is calculated from EmailLog and drives the since-last-email discipline digest.</t>
        </is>
      </c>
    </row>
    <row r="5" ht="26" customHeight="1">
      <c r="B5" s="12" t="inlineStr">
        <is>
          <t>AgencyID</t>
        </is>
      </c>
      <c r="C5" s="12" t="inlineStr">
        <is>
          <t>AgencyName</t>
        </is>
      </c>
      <c r="D5" s="12" t="inlineStr">
        <is>
          <t>Primary Contact</t>
        </is>
      </c>
      <c r="E5" s="12" t="inlineStr">
        <is>
          <t>Email</t>
        </is>
      </c>
      <c r="F5" s="12" t="inlineStr">
        <is>
          <t>Phone</t>
        </is>
      </c>
      <c r="G5" s="12" t="inlineStr">
        <is>
          <t>Mailing Address</t>
        </is>
      </c>
      <c r="H5" s="12" t="inlineStr">
        <is>
          <t>ActiveYN</t>
        </is>
      </c>
      <c r="I5" s="12" t="inlineStr">
        <is>
          <t>Last Email Sent</t>
        </is>
      </c>
    </row>
    <row r="6">
      <c r="B6" s="16" t="inlineStr">
        <is>
          <t>TPD</t>
        </is>
      </c>
      <c r="C6" s="16" t="inlineStr">
        <is>
          <t>Tyler PD</t>
        </is>
      </c>
      <c r="D6" s="16" t="inlineStr">
        <is>
          <t>Eddie Sheffield</t>
        </is>
      </c>
      <c r="E6" s="16" t="inlineStr">
        <is>
          <t>esheffield@tylertexas.com; dshafer@tylertexas.com; blockhart@tylertexas.com; jmoore@tylertexas.com</t>
        </is>
      </c>
      <c r="F6" s="16" t="inlineStr">
        <is>
          <t>903-531-1090</t>
        </is>
      </c>
      <c r="G6" s="16" t="inlineStr">
        <is>
          <t>711 W Ferguson St, Tyler TX</t>
        </is>
      </c>
      <c r="H6" s="16" t="inlineStr">
        <is>
          <t>Yes</t>
        </is>
      </c>
      <c r="I6" s="19">
        <f>IF($B6="","",IFERROR(IF(_xlfn.MAXIFS(nrELdate,nrELagency,$B6)=0,"",_xlfn.MAXIFS(nrELdate,nrELagency,$B6)),""))</f>
        <v/>
      </c>
    </row>
    <row r="7">
      <c r="B7" s="16" t="inlineStr">
        <is>
          <t>TFD</t>
        </is>
      </c>
      <c r="C7" s="16" t="inlineStr">
        <is>
          <t>Tyler Fire Marshal</t>
        </is>
      </c>
      <c r="D7" s="16" t="inlineStr">
        <is>
          <t>Joey Hooten</t>
        </is>
      </c>
      <c r="E7" s="16" t="inlineStr">
        <is>
          <t>jhooton@tylertexas.com</t>
        </is>
      </c>
      <c r="F7" s="16" t="n"/>
      <c r="G7" s="16" t="inlineStr">
        <is>
          <t>227 N Spring Ave, Tyler TX</t>
        </is>
      </c>
      <c r="H7" s="16" t="inlineStr">
        <is>
          <t>No</t>
        </is>
      </c>
      <c r="I7" s="19">
        <f>IF($B7="","",IFERROR(IF(_xlfn.MAXIFS(nrELdate,nrELagency,$B7)=0,"",_xlfn.MAXIFS(nrELdate,nrELagency,$B7)),""))</f>
        <v/>
      </c>
    </row>
    <row r="8">
      <c r="B8" s="16" t="inlineStr">
        <is>
          <t>APD</t>
        </is>
      </c>
      <c r="C8" s="16" t="inlineStr">
        <is>
          <t>Athens PD</t>
        </is>
      </c>
      <c r="D8" s="16" t="inlineStr">
        <is>
          <t>B. Lee</t>
        </is>
      </c>
      <c r="E8" s="16" t="inlineStr">
        <is>
          <t>blee@athenstx.gov</t>
        </is>
      </c>
      <c r="F8" s="16" t="n"/>
      <c r="G8" s="16" t="inlineStr">
        <is>
          <t>110 Wildcat Dr, Whitehouse TX</t>
        </is>
      </c>
      <c r="H8" s="16" t="inlineStr">
        <is>
          <t>Yes</t>
        </is>
      </c>
      <c r="I8" s="19">
        <f>IF($B8="","",IFERROR(IF(_xlfn.MAXIFS(nrELdate,nrELagency,$B8)=0,"",_xlfn.MAXIFS(nrELdate,nrELagency,$B8)),""))</f>
        <v/>
      </c>
    </row>
    <row r="9">
      <c r="B9" s="16" t="inlineStr">
        <is>
          <t>JPD</t>
        </is>
      </c>
      <c r="C9" s="16" t="inlineStr">
        <is>
          <t>Jacksonville PD</t>
        </is>
      </c>
      <c r="D9" s="16" t="inlineStr">
        <is>
          <t>Steven Markasky</t>
        </is>
      </c>
      <c r="E9" s="16" t="inlineStr">
        <is>
          <t>steven.markasky@jacksonvilletx.org</t>
        </is>
      </c>
      <c r="F9" s="16" t="n"/>
      <c r="G9" s="16" t="n"/>
      <c r="H9" s="16" t="inlineStr">
        <is>
          <t>Yes</t>
        </is>
      </c>
      <c r="I9" s="19">
        <f>IF($B9="","",IFERROR(IF(_xlfn.MAXIFS(nrELdate,nrELagency,$B9)=0,"",_xlfn.MAXIFS(nrELdate,nrELagency,$B9)),""))</f>
        <v/>
      </c>
    </row>
    <row r="10">
      <c r="B10" s="16" t="inlineStr">
        <is>
          <t>LPD</t>
        </is>
      </c>
      <c r="C10" s="16" t="inlineStr">
        <is>
          <t>Longview PD</t>
        </is>
      </c>
      <c r="D10" s="16" t="inlineStr">
        <is>
          <t>Shannon Purdon</t>
        </is>
      </c>
      <c r="E10" s="16" t="inlineStr">
        <is>
          <t>Jpurdon@longviewtexas.com</t>
        </is>
      </c>
      <c r="F10" s="16" t="n"/>
      <c r="G10" s="16" t="n"/>
      <c r="H10" s="16" t="inlineStr">
        <is>
          <t>Yes</t>
        </is>
      </c>
      <c r="I10" s="19">
        <f>IF($B10="","",IFERROR(IF(_xlfn.MAXIFS(nrELdate,nrELagency,$B10)=0,"",_xlfn.MAXIFS(nrELdate,nrELagency,$B10)),""))</f>
        <v/>
      </c>
    </row>
    <row r="11">
      <c r="B11" s="16" t="inlineStr">
        <is>
          <t>TJCPD</t>
        </is>
      </c>
      <c r="C11" s="16" t="inlineStr">
        <is>
          <t>TJC PD</t>
        </is>
      </c>
      <c r="D11" s="16" t="inlineStr">
        <is>
          <t>Michael Seale</t>
        </is>
      </c>
      <c r="E11" s="16" t="inlineStr">
        <is>
          <t>michael.seale@tjc.edu</t>
        </is>
      </c>
      <c r="F11" s="16" t="n"/>
      <c r="G11" s="16" t="n"/>
      <c r="H11" s="16" t="inlineStr">
        <is>
          <t>No</t>
        </is>
      </c>
      <c r="I11" s="19">
        <f>IF($B11="","",IFERROR(IF(_xlfn.MAXIFS(nrELdate,nrELagency,$B11)=0,"",_xlfn.MAXIFS(nrELdate,nrELagency,$B11)),""))</f>
        <v/>
      </c>
    </row>
    <row r="12">
      <c r="B12" s="16" t="inlineStr">
        <is>
          <t>WPD</t>
        </is>
      </c>
      <c r="C12" s="16" t="inlineStr">
        <is>
          <t>Whitehouse PD</t>
        </is>
      </c>
      <c r="D12" s="16" t="inlineStr">
        <is>
          <t>Brian Tomlin</t>
        </is>
      </c>
      <c r="E12" s="16" t="inlineStr">
        <is>
          <t>btomlin@whitehousetx.org</t>
        </is>
      </c>
      <c r="F12" s="16" t="n"/>
      <c r="G12" s="16" t="n"/>
      <c r="H12" s="16" t="inlineStr">
        <is>
          <t>Yes</t>
        </is>
      </c>
      <c r="I12" s="19">
        <f>IF($B12="","",IFERROR(IF(_xlfn.MAXIFS(nrELdate,nrELagency,$B12)=0,"",_xlfn.MAXIFS(nrELdate,nrELagency,$B12)),""))</f>
        <v/>
      </c>
    </row>
    <row r="13">
      <c r="B13" s="16" t="inlineStr">
        <is>
          <t>ArpPD</t>
        </is>
      </c>
      <c r="C13" s="16" t="inlineStr">
        <is>
          <t>Arp PD</t>
        </is>
      </c>
      <c r="D13" s="16" t="n"/>
      <c r="E13" s="16" t="n"/>
      <c r="F13" s="16" t="n"/>
      <c r="G13" s="16" t="inlineStr">
        <is>
          <t>105 Cannery Row, Lindale TX</t>
        </is>
      </c>
      <c r="H13" s="16" t="inlineStr">
        <is>
          <t>No</t>
        </is>
      </c>
      <c r="I13" s="19">
        <f>IF($B13="","",IFERROR(IF(_xlfn.MAXIFS(nrELdate,nrELagency,$B13)=0,"",_xlfn.MAXIFS(nrELdate,nrELagency,$B13)),""))</f>
        <v/>
      </c>
    </row>
    <row r="14">
      <c r="B14" s="16" t="inlineStr">
        <is>
          <t>PPD</t>
        </is>
      </c>
      <c r="C14" s="16" t="inlineStr">
        <is>
          <t>Palestine PD</t>
        </is>
      </c>
      <c r="D14" s="16" t="inlineStr">
        <is>
          <t>David Kassaw</t>
        </is>
      </c>
      <c r="E14" s="16" t="inlineStr">
        <is>
          <t xml:space="preserve">dkassaw@palestine-tx.org </t>
        </is>
      </c>
      <c r="F14" s="16" t="n"/>
      <c r="G14" s="16" t="n"/>
      <c r="H14" s="16" t="n"/>
      <c r="I14" s="19">
        <f>IF($B14="","",IFERROR(IF(_xlfn.MAXIFS(nrELdate,nrELagency,$B14)=0,"",_xlfn.MAXIFS(nrELdate,nrELagency,$B14)),""))</f>
        <v/>
      </c>
    </row>
    <row r="15">
      <c r="B15" s="16" t="inlineStr">
        <is>
          <t>SCSO</t>
        </is>
      </c>
      <c r="C15" s="16" t="inlineStr">
        <is>
          <t>Smith County</t>
        </is>
      </c>
      <c r="D15" s="16" t="inlineStr">
        <is>
          <t>Pete Peters</t>
        </is>
      </c>
      <c r="E15" s="16" t="inlineStr">
        <is>
          <t>jpeters2@smith-county.com</t>
        </is>
      </c>
      <c r="F15" s="16" t="n"/>
      <c r="G15" s="16" t="n"/>
      <c r="H15" s="16" t="n"/>
      <c r="I15" s="19">
        <f>IF($B15="","",IFERROR(IF(_xlfn.MAXIFS(nrELdate,nrELagency,$B15)=0,"",_xlfn.MAXIFS(nrELdate,nrELagency,$B15)),""))</f>
        <v/>
      </c>
    </row>
    <row r="16">
      <c r="B16" s="16" t="n"/>
      <c r="C16" s="16" t="n"/>
      <c r="D16" s="16" t="n"/>
      <c r="E16" s="16" t="n"/>
      <c r="F16" s="16" t="n"/>
      <c r="G16" s="16" t="n"/>
      <c r="H16" s="16" t="n"/>
      <c r="I16" s="19">
        <f>IF($B16="","",IFERROR(IF(_xlfn.MAXIFS(nrELdate,nrELagency,$B16)=0,"",_xlfn.MAXIFS(nrELdate,nrELagency,$B16)),""))</f>
        <v/>
      </c>
    </row>
    <row r="17">
      <c r="B17" s="16" t="n"/>
      <c r="C17" s="16" t="n"/>
      <c r="D17" s="16" t="n"/>
      <c r="E17" s="16" t="n"/>
      <c r="F17" s="16" t="n"/>
      <c r="G17" s="16" t="n"/>
      <c r="H17" s="16" t="n"/>
      <c r="I17" s="19">
        <f>IF($B17="","",IFERROR(IF(_xlfn.MAXIFS(nrELdate,nrELagency,$B17)=0,"",_xlfn.MAXIFS(nrELdate,nrELagency,$B17)),""))</f>
        <v/>
      </c>
    </row>
    <row r="18">
      <c r="B18" s="16" t="n"/>
      <c r="C18" s="16" t="n"/>
      <c r="D18" s="16" t="n"/>
      <c r="E18" s="16" t="n"/>
      <c r="F18" s="16" t="n"/>
      <c r="G18" s="16" t="n"/>
      <c r="H18" s="16" t="n"/>
      <c r="I18" s="19">
        <f>IF($B18="","",IFERROR(IF(_xlfn.MAXIFS(nrELdate,nrELagency,$B18)=0,"",_xlfn.MAXIFS(nrELdate,nrELagency,$B18)),""))</f>
        <v/>
      </c>
    </row>
    <row r="19">
      <c r="B19" s="16" t="n"/>
      <c r="C19" s="16" t="n"/>
      <c r="D19" s="16" t="n"/>
      <c r="E19" s="16" t="n"/>
      <c r="F19" s="16" t="n"/>
      <c r="G19" s="16" t="n"/>
      <c r="H19" s="16" t="n"/>
      <c r="I19" s="19">
        <f>IF($B19="","",IFERROR(IF(_xlfn.MAXIFS(nrELdate,nrELagency,$B19)=0,"",_xlfn.MAXIFS(nrELdate,nrELagency,$B19)),""))</f>
        <v/>
      </c>
    </row>
    <row r="20">
      <c r="B20" s="16" t="n"/>
      <c r="C20" s="16" t="n"/>
      <c r="D20" s="16" t="n"/>
      <c r="E20" s="16" t="n"/>
      <c r="F20" s="16" t="n"/>
      <c r="G20" s="16" t="n"/>
      <c r="H20" s="16" t="n"/>
      <c r="I20" s="19">
        <f>IF($B20="","",IFERROR(IF(_xlfn.MAXIFS(nrELdate,nrELagency,$B20)=0,"",_xlfn.MAXIFS(nrELdate,nrELagency,$B20)),""))</f>
        <v/>
      </c>
    </row>
    <row r="21">
      <c r="B21" s="16" t="n"/>
      <c r="C21" s="16" t="n"/>
      <c r="D21" s="16" t="n"/>
      <c r="E21" s="16" t="n"/>
      <c r="F21" s="16" t="n"/>
      <c r="G21" s="16" t="n"/>
      <c r="H21" s="16" t="n"/>
      <c r="I21" s="19">
        <f>IF($B21="","",IFERROR(IF(_xlfn.MAXIFS(nrELdate,nrELagency,$B21)=0,"",_xlfn.MAXIFS(nrELdate,nrELagency,$B21)),""))</f>
        <v/>
      </c>
    </row>
    <row r="22">
      <c r="B22" s="16" t="n"/>
      <c r="C22" s="16" t="n"/>
      <c r="D22" s="16" t="n"/>
      <c r="E22" s="16" t="n"/>
      <c r="F22" s="16" t="n"/>
      <c r="G22" s="16" t="n"/>
      <c r="H22" s="16" t="n"/>
      <c r="I22" s="19">
        <f>IF($B22="","",IFERROR(IF(_xlfn.MAXIFS(nrELdate,nrELagency,$B22)=0,"",_xlfn.MAXIFS(nrELdate,nrELagency,$B22)),""))</f>
        <v/>
      </c>
    </row>
    <row r="23">
      <c r="B23" s="16" t="n"/>
      <c r="C23" s="16" t="n"/>
      <c r="D23" s="16" t="n"/>
      <c r="E23" s="16" t="n"/>
      <c r="F23" s="16" t="n"/>
      <c r="G23" s="16" t="n"/>
      <c r="H23" s="16" t="n"/>
      <c r="I23" s="19">
        <f>IF($B23="","",IFERROR(IF(_xlfn.MAXIFS(nrELdate,nrELagency,$B23)=0,"",_xlfn.MAXIFS(nrELdate,nrELagency,$B23)),""))</f>
        <v/>
      </c>
    </row>
    <row r="24">
      <c r="B24" s="16" t="n"/>
      <c r="C24" s="16" t="n"/>
      <c r="D24" s="16" t="n"/>
      <c r="E24" s="16" t="n"/>
      <c r="F24" s="16" t="n"/>
      <c r="G24" s="16" t="n"/>
      <c r="H24" s="16" t="n"/>
      <c r="I24" s="19">
        <f>IF($B24="","",IFERROR(IF(_xlfn.MAXIFS(nrELdate,nrELagency,$B24)=0,"",_xlfn.MAXIFS(nrELdate,nrELagency,$B24)),""))</f>
        <v/>
      </c>
    </row>
    <row r="25">
      <c r="B25" s="16" t="n"/>
      <c r="C25" s="16" t="n"/>
      <c r="D25" s="16" t="n"/>
      <c r="E25" s="16" t="n"/>
      <c r="F25" s="16" t="n"/>
      <c r="G25" s="16" t="n"/>
      <c r="H25" s="16" t="n"/>
      <c r="I25" s="19">
        <f>IF($B25="","",IFERROR(IF(_xlfn.MAXIFS(nrELdate,nrELagency,$B25)=0,"",_xlfn.MAXIFS(nrELdate,nrELagency,$B25)),""))</f>
        <v/>
      </c>
    </row>
    <row r="26">
      <c r="B26" s="16" t="n"/>
      <c r="C26" s="16" t="n"/>
      <c r="D26" s="16" t="n"/>
      <c r="E26" s="16" t="n"/>
      <c r="F26" s="16" t="n"/>
      <c r="G26" s="16" t="n"/>
      <c r="H26" s="16" t="n"/>
      <c r="I26" s="19">
        <f>IF($B26="","",IFERROR(IF(_xlfn.MAXIFS(nrELdate,nrELagency,$B26)=0,"",_xlfn.MAXIFS(nrELdate,nrELagency,$B26)),""))</f>
        <v/>
      </c>
    </row>
    <row r="27">
      <c r="B27" s="16" t="n"/>
      <c r="C27" s="16" t="n"/>
      <c r="D27" s="16" t="n"/>
      <c r="E27" s="16" t="n"/>
      <c r="F27" s="16" t="n"/>
      <c r="G27" s="16" t="n"/>
      <c r="H27" s="16" t="n"/>
      <c r="I27" s="19">
        <f>IF($B27="","",IFERROR(IF(_xlfn.MAXIFS(nrELdate,nrELagency,$B27)=0,"",_xlfn.MAXIFS(nrELdate,nrELagency,$B27)),""))</f>
        <v/>
      </c>
    </row>
    <row r="28">
      <c r="B28" s="16" t="n"/>
      <c r="C28" s="16" t="n"/>
      <c r="D28" s="16" t="n"/>
      <c r="E28" s="16" t="n"/>
      <c r="F28" s="16" t="n"/>
      <c r="G28" s="16" t="n"/>
      <c r="H28" s="16" t="n"/>
      <c r="I28" s="19">
        <f>IF($B28="","",IFERROR(IF(_xlfn.MAXIFS(nrELdate,nrELagency,$B28)=0,"",_xlfn.MAXIFS(nrELdate,nrELagency,$B28)),""))</f>
        <v/>
      </c>
    </row>
    <row r="29">
      <c r="B29" s="16" t="n"/>
      <c r="C29" s="16" t="n"/>
      <c r="D29" s="16" t="n"/>
      <c r="E29" s="16" t="n"/>
      <c r="F29" s="16" t="n"/>
      <c r="G29" s="16" t="n"/>
      <c r="H29" s="16" t="n"/>
      <c r="I29" s="19">
        <f>IF($B29="","",IFERROR(IF(_xlfn.MAXIFS(nrELdate,nrELagency,$B29)=0,"",_xlfn.MAXIFS(nrELdate,nrELagency,$B29)),""))</f>
        <v/>
      </c>
    </row>
    <row r="30">
      <c r="B30" s="16" t="n"/>
      <c r="C30" s="16" t="n"/>
      <c r="D30" s="16" t="n"/>
      <c r="E30" s="16" t="n"/>
      <c r="F30" s="16" t="n"/>
      <c r="G30" s="16" t="n"/>
      <c r="H30" s="16" t="n"/>
      <c r="I30" s="19">
        <f>IF($B30="","",IFERROR(IF(_xlfn.MAXIFS(nrELdate,nrELagency,$B30)=0,"",_xlfn.MAXIFS(nrELdate,nrELagency,$B30)),""))</f>
        <v/>
      </c>
    </row>
    <row r="31">
      <c r="B31" s="16" t="n"/>
      <c r="C31" s="16" t="n"/>
      <c r="D31" s="16" t="n"/>
      <c r="E31" s="16" t="n"/>
      <c r="F31" s="16" t="n"/>
      <c r="G31" s="16" t="n"/>
      <c r="H31" s="16" t="n"/>
      <c r="I31" s="19">
        <f>IF($B31="","",IFERROR(IF(_xlfn.MAXIFS(nrELdate,nrELagency,$B31)=0,"",_xlfn.MAXIFS(nrELdate,nrELagency,$B31)),""))</f>
        <v/>
      </c>
    </row>
    <row r="32">
      <c r="B32" s="16" t="n"/>
      <c r="C32" s="16" t="n"/>
      <c r="D32" s="16" t="n"/>
      <c r="E32" s="16" t="n"/>
      <c r="F32" s="16" t="n"/>
      <c r="G32" s="16" t="n"/>
      <c r="H32" s="16" t="n"/>
      <c r="I32" s="19">
        <f>IF($B32="","",IFERROR(IF(_xlfn.MAXIFS(nrELdate,nrELagency,$B32)=0,"",_xlfn.MAXIFS(nrELdate,nrELagency,$B32)),""))</f>
        <v/>
      </c>
    </row>
    <row r="33">
      <c r="B33" s="16" t="n"/>
      <c r="C33" s="16" t="n"/>
      <c r="D33" s="16" t="n"/>
      <c r="E33" s="16" t="n"/>
      <c r="F33" s="16" t="n"/>
      <c r="G33" s="16" t="n"/>
      <c r="H33" s="16" t="n"/>
      <c r="I33" s="19">
        <f>IF($B33="","",IFERROR(IF(_xlfn.MAXIFS(nrELdate,nrELagency,$B33)=0,"",_xlfn.MAXIFS(nrELdate,nrELagency,$B33)),""))</f>
        <v/>
      </c>
    </row>
    <row r="34">
      <c r="B34" s="16" t="n"/>
      <c r="C34" s="16" t="n"/>
      <c r="D34" s="16" t="n"/>
      <c r="E34" s="16" t="n"/>
      <c r="F34" s="16" t="n"/>
      <c r="G34" s="16" t="n"/>
      <c r="H34" s="16" t="n"/>
      <c r="I34" s="19">
        <f>IF($B34="","",IFERROR(IF(_xlfn.MAXIFS(nrELdate,nrELagency,$B34)=0,"",_xlfn.MAXIFS(nrELdate,nrELagency,$B34)),""))</f>
        <v/>
      </c>
    </row>
    <row r="35">
      <c r="B35" s="16" t="n"/>
      <c r="C35" s="16" t="n"/>
      <c r="D35" s="16" t="n"/>
      <c r="E35" s="16" t="n"/>
      <c r="F35" s="16" t="n"/>
      <c r="G35" s="16" t="n"/>
      <c r="H35" s="16" t="n"/>
      <c r="I35" s="19">
        <f>IF($B35="","",IFERROR(IF(_xlfn.MAXIFS(nrELdate,nrELagency,$B35)=0,"",_xlfn.MAXIFS(nrELdate,nrELagency,$B35)),""))</f>
        <v/>
      </c>
    </row>
    <row r="36">
      <c r="B36" s="16" t="n"/>
      <c r="C36" s="16" t="n"/>
      <c r="D36" s="16" t="n"/>
      <c r="E36" s="16" t="n"/>
      <c r="F36" s="16" t="n"/>
      <c r="G36" s="16" t="n"/>
      <c r="H36" s="16" t="n"/>
      <c r="I36" s="19">
        <f>IF($B36="","",IFERROR(IF(_xlfn.MAXIFS(nrELdate,nrELagency,$B36)=0,"",_xlfn.MAXIFS(nrELdate,nrELagency,$B36)),""))</f>
        <v/>
      </c>
    </row>
    <row r="37">
      <c r="B37" s="16" t="n"/>
      <c r="C37" s="16" t="n"/>
      <c r="D37" s="16" t="n"/>
      <c r="E37" s="16" t="n"/>
      <c r="F37" s="16" t="n"/>
      <c r="G37" s="16" t="n"/>
      <c r="H37" s="16" t="n"/>
      <c r="I37" s="19">
        <f>IF($B37="","",IFERROR(IF(_xlfn.MAXIFS(nrELdate,nrELagency,$B37)=0,"",_xlfn.MAXIFS(nrELdate,nrELagency,$B37)),""))</f>
        <v/>
      </c>
    </row>
    <row r="38">
      <c r="B38" s="16" t="n"/>
      <c r="C38" s="16" t="n"/>
      <c r="D38" s="16" t="n"/>
      <c r="E38" s="16" t="n"/>
      <c r="F38" s="16" t="n"/>
      <c r="G38" s="16" t="n"/>
      <c r="H38" s="16" t="n"/>
      <c r="I38" s="19">
        <f>IF($B38="","",IFERROR(IF(_xlfn.MAXIFS(nrELdate,nrELagency,$B38)=0,"",_xlfn.MAXIFS(nrELdate,nrELagency,$B38)),""))</f>
        <v/>
      </c>
    </row>
    <row r="39">
      <c r="B39" s="16" t="n"/>
      <c r="C39" s="16" t="n"/>
      <c r="D39" s="16" t="n"/>
      <c r="E39" s="16" t="n"/>
      <c r="F39" s="16" t="n"/>
      <c r="G39" s="16" t="n"/>
      <c r="H39" s="16" t="n"/>
      <c r="I39" s="19">
        <f>IF($B39="","",IFERROR(IF(_xlfn.MAXIFS(nrELdate,nrELagency,$B39)=0,"",_xlfn.MAXIFS(nrELdate,nrELagency,$B39)),""))</f>
        <v/>
      </c>
    </row>
    <row r="40">
      <c r="B40" s="16" t="n"/>
      <c r="C40" s="16" t="n"/>
      <c r="D40" s="16" t="n"/>
      <c r="E40" s="16" t="n"/>
      <c r="F40" s="16" t="n"/>
      <c r="G40" s="16" t="n"/>
      <c r="H40" s="16" t="n"/>
      <c r="I40" s="19">
        <f>IF($B40="","",IFERROR(IF(_xlfn.MAXIFS(nrELdate,nrELagency,$B40)=0,"",_xlfn.MAXIFS(nrELdate,nrELagency,$B40)),""))</f>
        <v/>
      </c>
    </row>
    <row r="41">
      <c r="B41" s="16" t="n"/>
      <c r="C41" s="16" t="n"/>
      <c r="D41" s="16" t="n"/>
      <c r="E41" s="16" t="n"/>
      <c r="F41" s="16" t="n"/>
      <c r="G41" s="16" t="n"/>
      <c r="H41" s="16" t="n"/>
      <c r="I41" s="19">
        <f>IF($B41="","",IFERROR(IF(_xlfn.MAXIFS(nrELdate,nrELagency,$B41)=0,"",_xlfn.MAXIFS(nrELdate,nrELagency,$B41)),""))</f>
        <v/>
      </c>
    </row>
    <row r="42">
      <c r="B42" s="16" t="n"/>
      <c r="C42" s="16" t="n"/>
      <c r="D42" s="16" t="n"/>
      <c r="E42" s="16" t="n"/>
      <c r="F42" s="16" t="n"/>
      <c r="G42" s="16" t="n"/>
      <c r="H42" s="16" t="n"/>
      <c r="I42" s="19">
        <f>IF($B42="","",IFERROR(IF(_xlfn.MAXIFS(nrELdate,nrELagency,$B42)=0,"",_xlfn.MAXIFS(nrELdate,nrELagency,$B42)),""))</f>
        <v/>
      </c>
    </row>
    <row r="43">
      <c r="B43" s="16" t="n"/>
      <c r="C43" s="16" t="n"/>
      <c r="D43" s="16" t="n"/>
      <c r="E43" s="16" t="n"/>
      <c r="F43" s="16" t="n"/>
      <c r="G43" s="16" t="n"/>
      <c r="H43" s="16" t="n"/>
      <c r="I43" s="19">
        <f>IF($B43="","",IFERROR(IF(_xlfn.MAXIFS(nrELdate,nrELagency,$B43)=0,"",_xlfn.MAXIFS(nrELdate,nrELagency,$B43)),""))</f>
        <v/>
      </c>
    </row>
    <row r="44">
      <c r="B44" s="16" t="n"/>
      <c r="C44" s="16" t="n"/>
      <c r="D44" s="16" t="n"/>
      <c r="E44" s="16" t="n"/>
      <c r="F44" s="16" t="n"/>
      <c r="G44" s="16" t="n"/>
      <c r="H44" s="16" t="n"/>
      <c r="I44" s="19">
        <f>IF($B44="","",IFERROR(IF(_xlfn.MAXIFS(nrELdate,nrELagency,$B44)=0,"",_xlfn.MAXIFS(nrELdate,nrELagency,$B44)),""))</f>
        <v/>
      </c>
    </row>
    <row r="45">
      <c r="B45" s="16" t="n"/>
      <c r="C45" s="16" t="n"/>
      <c r="D45" s="16" t="n"/>
      <c r="E45" s="16" t="n"/>
      <c r="F45" s="16" t="n"/>
      <c r="G45" s="16" t="n"/>
      <c r="H45" s="16" t="n"/>
      <c r="I45" s="19">
        <f>IF($B45="","",IFERROR(IF(_xlfn.MAXIFS(nrELdate,nrELagency,$B45)=0,"",_xlfn.MAXIFS(nrELdate,nrELagency,$B45)),""))</f>
        <v/>
      </c>
    </row>
    <row r="46">
      <c r="B46" s="16" t="n"/>
      <c r="C46" s="16" t="n"/>
      <c r="D46" s="16" t="n"/>
      <c r="E46" s="16" t="n"/>
      <c r="F46" s="16" t="n"/>
      <c r="G46" s="16" t="n"/>
      <c r="H46" s="16" t="n"/>
      <c r="I46" s="19">
        <f>IF($B46="","",IFERROR(IF(_xlfn.MAXIFS(nrELdate,nrELagency,$B46)=0,"",_xlfn.MAXIFS(nrELdate,nrELagency,$B46)),""))</f>
        <v/>
      </c>
    </row>
    <row r="47">
      <c r="B47" s="16" t="n"/>
      <c r="C47" s="16" t="n"/>
      <c r="D47" s="16" t="n"/>
      <c r="E47" s="16" t="n"/>
      <c r="F47" s="16" t="n"/>
      <c r="G47" s="16" t="n"/>
      <c r="H47" s="16" t="n"/>
      <c r="I47" s="19">
        <f>IF($B47="","",IFERROR(IF(_xlfn.MAXIFS(nrELdate,nrELagency,$B47)=0,"",_xlfn.MAXIFS(nrELdate,nrELagency,$B47)),""))</f>
        <v/>
      </c>
    </row>
    <row r="48">
      <c r="B48" s="16" t="n"/>
      <c r="C48" s="16" t="n"/>
      <c r="D48" s="16" t="n"/>
      <c r="E48" s="16" t="n"/>
      <c r="F48" s="16" t="n"/>
      <c r="G48" s="16" t="n"/>
      <c r="H48" s="16" t="n"/>
      <c r="I48" s="19">
        <f>IF($B48="","",IFERROR(IF(_xlfn.MAXIFS(nrELdate,nrELagency,$B48)=0,"",_xlfn.MAXIFS(nrELdate,nrELagency,$B48)),""))</f>
        <v/>
      </c>
    </row>
    <row r="49">
      <c r="B49" s="16" t="n"/>
      <c r="C49" s="16" t="n"/>
      <c r="D49" s="16" t="n"/>
      <c r="E49" s="16" t="n"/>
      <c r="F49" s="16" t="n"/>
      <c r="G49" s="16" t="n"/>
      <c r="H49" s="16" t="n"/>
      <c r="I49" s="19">
        <f>IF($B49="","",IFERROR(IF(_xlfn.MAXIFS(nrELdate,nrELagency,$B49)=0,"",_xlfn.MAXIFS(nrELdate,nrELagency,$B49)),""))</f>
        <v/>
      </c>
    </row>
    <row r="50">
      <c r="B50" s="16" t="n"/>
      <c r="C50" s="16" t="n"/>
      <c r="D50" s="16" t="n"/>
      <c r="E50" s="16" t="n"/>
      <c r="F50" s="16" t="n"/>
      <c r="G50" s="16" t="n"/>
      <c r="H50" s="16" t="n"/>
      <c r="I50" s="19">
        <f>IF($B50="","",IFERROR(IF(_xlfn.MAXIFS(nrELdate,nrELagency,$B50)=0,"",_xlfn.MAXIFS(nrELdate,nrELagency,$B50)),""))</f>
        <v/>
      </c>
    </row>
  </sheetData>
  <sheetProtection selectLockedCells="0" selectUnlockedCells="0" sheet="1" objects="0" insertRows="1" insertHyperlinks="1" autoFilter="0" scenarios="0" formatColumns="1" deleteColumns="1" insertColumns="1" pivotTables="1" deleteRows="1" formatCells="1" formatRows="1" sort="1" password="B4BB"/>
  <dataValidations count="1">
    <dataValidation sqref="H6:H50" showDropDown="0" showInputMessage="0" showErrorMessage="1" allowBlank="1" type="list">
      <formula1>=lstYesNo</formula1>
    </dataValidation>
  </dataValidations>
  <pageMargins left="0.75" right="0.75" top="1" bottom="1" header="0.5" footer="0.5"/>
</worksheet>
</file>

<file path=xl/worksheets/sheet42.xml><?xml version="1.0" encoding="utf-8"?>
<worksheet xmlns="http://schemas.openxmlformats.org/spreadsheetml/2006/main">
  <sheetPr>
    <tabColor rgb="00C8A24B"/>
    <outlinePr summaryBelow="1" summaryRight="1"/>
    <pageSetUpPr/>
  </sheetPr>
  <dimension ref="B1:O95"/>
  <sheetViews>
    <sheetView showGridLines="0" workbookViewId="0">
      <pane xSplit="2" ySplit="5" topLeftCell="C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24" customWidth="1" min="2" max="2"/>
    <col width="18" customWidth="1" min="3" max="3"/>
    <col width="12" customWidth="1" min="4" max="4"/>
    <col width="20" customWidth="1" min="5" max="5"/>
    <col width="30" customWidth="1" min="6" max="6"/>
    <col width="13" customWidth="1" min="7" max="7"/>
    <col width="12" customWidth="1" min="8" max="8"/>
    <col width="12" customWidth="1" min="9" max="9"/>
    <col width="26" customWidth="1" min="10" max="10"/>
    <col width="11" customWidth="1" min="11" max="11"/>
    <col width="12" customWidth="1" min="12" max="12"/>
    <col width="30" customWidth="1" min="13" max="13"/>
    <col width="15" customWidth="1" min="14" max="14"/>
    <col width="34" customWidth="1" min="15" max="15"/>
  </cols>
  <sheetData>
    <row r="1">
      <c r="B1" s="10">
        <f>HYPERLINK("#Dashboard!B5","◄ Dashboard")</f>
        <v/>
      </c>
    </row>
    <row r="4">
      <c r="B4" s="11" t="inlineStr">
        <is>
          <t>IRG: EVERY instructor or co-teacher who teaches a learning objective needs a bio + documented qualification (TCOLE instructor cert, or SME letter approved in writing). 'On Schedule?' scans every schedule block's instructor text — co-teachers in multi-name entries are matched individually. Red = teaching without documentation. Guest/Outside entries (proctors, venues) are exempt.</t>
        </is>
      </c>
    </row>
    <row r="5" ht="26" customHeight="1">
      <c r="B5" s="12" t="inlineStr">
        <is>
          <t>Instructor Name</t>
        </is>
      </c>
      <c r="C5" s="12" t="inlineStr">
        <is>
          <t>Agency / Unit</t>
        </is>
      </c>
      <c r="D5" s="12" t="inlineStr">
        <is>
          <t>TCOLE PID</t>
        </is>
      </c>
      <c r="E5" s="12" t="inlineStr">
        <is>
          <t>Instructor Type</t>
        </is>
      </c>
      <c r="F5" s="12" t="inlineStr">
        <is>
          <t>Certificates (list)</t>
        </is>
      </c>
      <c r="G5" s="12" t="inlineStr">
        <is>
          <t>Cert Expiration</t>
        </is>
      </c>
      <c r="H5" s="12" t="inlineStr">
        <is>
          <t>SME Letter</t>
        </is>
      </c>
      <c r="I5" s="12" t="inlineStr">
        <is>
          <t>Bio On File?</t>
        </is>
      </c>
      <c r="J5" s="12" t="inlineStr">
        <is>
          <t>Notes</t>
        </is>
      </c>
      <c r="K5" s="12" t="inlineStr">
        <is>
          <t>Audit Ready?</t>
        </is>
      </c>
      <c r="L5" s="12" t="inlineStr">
        <is>
          <t>On Schedule?</t>
        </is>
      </c>
      <c r="M5" s="12" t="inlineStr">
        <is>
          <t>Chapters Taught</t>
        </is>
      </c>
      <c r="N5" s="12" t="inlineStr">
        <is>
          <t>Last Class Taught</t>
        </is>
      </c>
      <c r="O5" s="12" t="inlineStr">
        <is>
          <t>Cert Status</t>
        </is>
      </c>
    </row>
    <row r="6">
      <c r="B6" s="16" t="inlineStr">
        <is>
          <t>Tyler Pride</t>
        </is>
      </c>
      <c r="C6" s="16" t="n"/>
      <c r="D6" s="16" t="n"/>
      <c r="E6" s="16" t="n"/>
      <c r="F6" s="16" t="n"/>
      <c r="G6" s="18" t="n"/>
      <c r="H6" s="16" t="n"/>
      <c r="I6" s="16" t="n"/>
      <c r="J6" s="16" t="n"/>
      <c r="K6" s="17">
        <f>IF($B6="","",IF($E6="Guest/Outside","N/A",IF(AND(OR($E6="TCOLE Instructor",AND(LEFT($E6,3)="SME",$H6="On File")),OR($I6="On File",$I6="N/A"),LEFT($O6,7)&lt;&gt;"EXPIRED",$O6&lt;&gt;"MISSING EXPIRATION"),"Yes","No")))</f>
        <v/>
      </c>
      <c r="L6" s="17">
        <f>IF($B6="","",IF(SUMPRODUCT(--ISNUMBER(SEARCH($B6,nrSCH_Instr)))&gt;0,"Yes",""))</f>
        <v/>
      </c>
      <c r="M6" s="17">
        <f>IF($B6="","",IFERROR(_xlfn.LET(_xlpm.v,_xlfn.UNIQUE(_xlfn._xlws.FILTER(nrSCH_ChNum,ISNUMBER(SEARCH($B6,nrSCH_Instr))*(nrSCH_ChNum&lt;&gt;""))),_xlfn.TEXTJOIN(", ",TRUE,_xlfn.SORTBY(_xlpm.v,IFERROR(_xlpm.v+0,99999),1))),""))</f>
        <v/>
      </c>
      <c r="N6" s="19">
        <f>IF($B6="","",IF(SUMPRODUCT(MAX(ISNUMBER(SEARCH($B6,nrSCH_Instr))*nrSCH_Date))=0,"",SUMPRODUCT(MAX(ISNUMBER(SEARCH($B6,nrSCH_Instr))*nrSCH_Date))))</f>
        <v/>
      </c>
      <c r="O6" s="17">
        <f>IF($B6="","",IF($E6="Guest/Outside","N/A",IF($L6&lt;&gt;"Yes","(not on schedule)",IF(LEFT($E6,3)="SME","N/A (SME letter)",IF($E6&lt;&gt;"TCOLE Instructor","CHECK TYPE",IF($G6="","MISSING EXPIRATION",IF(NOT(ISNUMBER($G6)),"CHECK DATE",IF(AND(N($N6)&gt;0,$G6&lt;$N6),"EXPIRED BEFORE LAST CLASS TAUGHT "&amp;TEXT($G6,"mm/dd/yy"),IF($G6&lt;cfgEndDate,"RENEW - expires during academy "&amp;TEXT($G6,"mm/dd/yy"),"Current")))))))))</f>
        <v/>
      </c>
    </row>
    <row r="7">
      <c r="B7" s="16" t="inlineStr">
        <is>
          <t>Trey Edwards</t>
        </is>
      </c>
      <c r="C7" s="16" t="n"/>
      <c r="D7" s="16" t="n"/>
      <c r="E7" s="16" t="n"/>
      <c r="F7" s="16" t="n"/>
      <c r="G7" s="18" t="n"/>
      <c r="H7" s="16" t="n"/>
      <c r="I7" s="16" t="n"/>
      <c r="J7" s="16" t="n"/>
      <c r="K7" s="17">
        <f>IF($B7="","",IF($E7="Guest/Outside","N/A",IF(AND(OR($E7="TCOLE Instructor",AND(LEFT($E7,3)="SME",$H7="On File")),OR($I7="On File",$I7="N/A"),LEFT($O7,7)&lt;&gt;"EXPIRED",$O7&lt;&gt;"MISSING EXPIRATION"),"Yes","No")))</f>
        <v/>
      </c>
      <c r="L7" s="17">
        <f>IF($B7="","",IF(SUMPRODUCT(--ISNUMBER(SEARCH($B7,nrSCH_Instr)))&gt;0,"Yes",""))</f>
        <v/>
      </c>
      <c r="M7" s="17">
        <f>IF($B7="","",IFERROR(_xlfn.LET(_xlpm.v,_xlfn.UNIQUE(_xlfn._xlws.FILTER(nrSCH_ChNum,ISNUMBER(SEARCH($B7,nrSCH_Instr))*(nrSCH_ChNum&lt;&gt;""))),_xlfn.TEXTJOIN(", ",TRUE,_xlfn.SORTBY(_xlpm.v,IFERROR(_xlpm.v+0,99999),1))),""))</f>
        <v/>
      </c>
      <c r="N7" s="19">
        <f>IF($B7="","",IF(SUMPRODUCT(MAX(ISNUMBER(SEARCH($B7,nrSCH_Instr))*nrSCH_Date))=0,"",SUMPRODUCT(MAX(ISNUMBER(SEARCH($B7,nrSCH_Instr))*nrSCH_Date))))</f>
        <v/>
      </c>
      <c r="O7" s="17">
        <f>IF($B7="","",IF($E7="Guest/Outside","N/A",IF($L7&lt;&gt;"Yes","(not on schedule)",IF(LEFT($E7,3)="SME","N/A (SME letter)",IF($E7&lt;&gt;"TCOLE Instructor","CHECK TYPE",IF($G7="","MISSING EXPIRATION",IF(NOT(ISNUMBER($G7)),"CHECK DATE",IF(AND(N($N7)&gt;0,$G7&lt;$N7),"EXPIRED BEFORE LAST CLASS TAUGHT "&amp;TEXT($G7,"mm/dd/yy"),IF($G7&lt;cfgEndDate,"RENEW - expires during academy "&amp;TEXT($G7,"mm/dd/yy"),"Current")))))))))</f>
        <v/>
      </c>
    </row>
    <row r="8">
      <c r="B8" s="16" t="inlineStr">
        <is>
          <t>Judson Moore</t>
        </is>
      </c>
      <c r="C8" s="16" t="n"/>
      <c r="D8" s="16" t="n"/>
      <c r="E8" s="16" t="n"/>
      <c r="F8" s="16" t="n"/>
      <c r="G8" s="18" t="n"/>
      <c r="H8" s="16" t="n"/>
      <c r="I8" s="16" t="n"/>
      <c r="J8" s="16" t="n"/>
      <c r="K8" s="17">
        <f>IF($B8="","",IF($E8="Guest/Outside","N/A",IF(AND(OR($E8="TCOLE Instructor",AND(LEFT($E8,3)="SME",$H8="On File")),OR($I8="On File",$I8="N/A"),LEFT($O8,7)&lt;&gt;"EXPIRED",$O8&lt;&gt;"MISSING EXPIRATION"),"Yes","No")))</f>
        <v/>
      </c>
      <c r="L8" s="17">
        <f>IF($B8="","",IF(SUMPRODUCT(--ISNUMBER(SEARCH($B8,nrSCH_Instr)))&gt;0,"Yes",""))</f>
        <v/>
      </c>
      <c r="M8" s="17">
        <f>IF($B8="","",IFERROR(_xlfn.LET(_xlpm.v,_xlfn.UNIQUE(_xlfn._xlws.FILTER(nrSCH_ChNum,ISNUMBER(SEARCH($B8,nrSCH_Instr))*(nrSCH_ChNum&lt;&gt;""))),_xlfn.TEXTJOIN(", ",TRUE,_xlfn.SORTBY(_xlpm.v,IFERROR(_xlpm.v+0,99999),1))),""))</f>
        <v/>
      </c>
      <c r="N8" s="19">
        <f>IF($B8="","",IF(SUMPRODUCT(MAX(ISNUMBER(SEARCH($B8,nrSCH_Instr))*nrSCH_Date))=0,"",SUMPRODUCT(MAX(ISNUMBER(SEARCH($B8,nrSCH_Instr))*nrSCH_Date))))</f>
        <v/>
      </c>
      <c r="O8" s="17">
        <f>IF($B8="","",IF($E8="Guest/Outside","N/A",IF($L8&lt;&gt;"Yes","(not on schedule)",IF(LEFT($E8,3)="SME","N/A (SME letter)",IF($E8&lt;&gt;"TCOLE Instructor","CHECK TYPE",IF($G8="","MISSING EXPIRATION",IF(NOT(ISNUMBER($G8)),"CHECK DATE",IF(AND(N($N8)&gt;0,$G8&lt;$N8),"EXPIRED BEFORE LAST CLASS TAUGHT "&amp;TEXT($G8,"mm/dd/yy"),IF($G8&lt;cfgEndDate,"RENEW - expires during academy "&amp;TEXT($G8,"mm/dd/yy"),"Current")))))))))</f>
        <v/>
      </c>
    </row>
    <row r="9">
      <c r="B9" s="16" t="inlineStr">
        <is>
          <t>Keven Fite</t>
        </is>
      </c>
      <c r="C9" s="16" t="n"/>
      <c r="D9" s="16" t="n"/>
      <c r="E9" s="16" t="n"/>
      <c r="F9" s="16" t="n"/>
      <c r="G9" s="18" t="n"/>
      <c r="H9" s="16" t="n"/>
      <c r="I9" s="16" t="n"/>
      <c r="J9" s="16" t="n"/>
      <c r="K9" s="17">
        <f>IF($B9="","",IF($E9="Guest/Outside","N/A",IF(AND(OR($E9="TCOLE Instructor",AND(LEFT($E9,3)="SME",$H9="On File")),OR($I9="On File",$I9="N/A"),LEFT($O9,7)&lt;&gt;"EXPIRED",$O9&lt;&gt;"MISSING EXPIRATION"),"Yes","No")))</f>
        <v/>
      </c>
      <c r="L9" s="17">
        <f>IF($B9="","",IF(SUMPRODUCT(--ISNUMBER(SEARCH($B9,nrSCH_Instr)))&gt;0,"Yes",""))</f>
        <v/>
      </c>
      <c r="M9" s="17">
        <f>IF($B9="","",IFERROR(_xlfn.LET(_xlpm.v,_xlfn.UNIQUE(_xlfn._xlws.FILTER(nrSCH_ChNum,ISNUMBER(SEARCH($B9,nrSCH_Instr))*(nrSCH_ChNum&lt;&gt;""))),_xlfn.TEXTJOIN(", ",TRUE,_xlfn.SORTBY(_xlpm.v,IFERROR(_xlpm.v+0,99999),1))),""))</f>
        <v/>
      </c>
      <c r="N9" s="19">
        <f>IF($B9="","",IF(SUMPRODUCT(MAX(ISNUMBER(SEARCH($B9,nrSCH_Instr))*nrSCH_Date))=0,"",SUMPRODUCT(MAX(ISNUMBER(SEARCH($B9,nrSCH_Instr))*nrSCH_Date))))</f>
        <v/>
      </c>
      <c r="O9" s="17">
        <f>IF($B9="","",IF($E9="Guest/Outside","N/A",IF($L9&lt;&gt;"Yes","(not on schedule)",IF(LEFT($E9,3)="SME","N/A (SME letter)",IF($E9&lt;&gt;"TCOLE Instructor","CHECK TYPE",IF($G9="","MISSING EXPIRATION",IF(NOT(ISNUMBER($G9)),"CHECK DATE",IF(AND(N($N9)&gt;0,$G9&lt;$N9),"EXPIRED BEFORE LAST CLASS TAUGHT "&amp;TEXT($G9,"mm/dd/yy"),IF($G9&lt;cfgEndDate,"RENEW - expires during academy "&amp;TEXT($G9,"mm/dd/yy"),"Current")))))))))</f>
        <v/>
      </c>
    </row>
    <row r="10">
      <c r="B10" s="16" t="inlineStr">
        <is>
          <t>Alejandra Flowers</t>
        </is>
      </c>
      <c r="C10" s="16" t="n"/>
      <c r="D10" s="16" t="n"/>
      <c r="E10" s="16" t="n"/>
      <c r="F10" s="16" t="n"/>
      <c r="G10" s="18" t="n"/>
      <c r="H10" s="16" t="n"/>
      <c r="I10" s="16" t="n"/>
      <c r="J10" s="16" t="n"/>
      <c r="K10" s="17">
        <f>IF($B10="","",IF($E10="Guest/Outside","N/A",IF(AND(OR($E10="TCOLE Instructor",AND(LEFT($E10,3)="SME",$H10="On File")),OR($I10="On File",$I10="N/A"),LEFT($O10,7)&lt;&gt;"EXPIRED",$O10&lt;&gt;"MISSING EXPIRATION"),"Yes","No")))</f>
        <v/>
      </c>
      <c r="L10" s="17">
        <f>IF($B10="","",IF(SUMPRODUCT(--ISNUMBER(SEARCH($B10,nrSCH_Instr)))&gt;0,"Yes",""))</f>
        <v/>
      </c>
      <c r="M10" s="17">
        <f>IF($B10="","",IFERROR(_xlfn.LET(_xlpm.v,_xlfn.UNIQUE(_xlfn._xlws.FILTER(nrSCH_ChNum,ISNUMBER(SEARCH($B10,nrSCH_Instr))*(nrSCH_ChNum&lt;&gt;""))),_xlfn.TEXTJOIN(", ",TRUE,_xlfn.SORTBY(_xlpm.v,IFERROR(_xlpm.v+0,99999),1))),""))</f>
        <v/>
      </c>
      <c r="N10" s="19">
        <f>IF($B10="","",IF(SUMPRODUCT(MAX(ISNUMBER(SEARCH($B10,nrSCH_Instr))*nrSCH_Date))=0,"",SUMPRODUCT(MAX(ISNUMBER(SEARCH($B10,nrSCH_Instr))*nrSCH_Date))))</f>
        <v/>
      </c>
      <c r="O10" s="17">
        <f>IF($B10="","",IF($E10="Guest/Outside","N/A",IF($L10&lt;&gt;"Yes","(not on schedule)",IF(LEFT($E10,3)="SME","N/A (SME letter)",IF($E10&lt;&gt;"TCOLE Instructor","CHECK TYPE",IF($G10="","MISSING EXPIRATION",IF(NOT(ISNUMBER($G10)),"CHECK DATE",IF(AND(N($N10)&gt;0,$G10&lt;$N10),"EXPIRED BEFORE LAST CLASS TAUGHT "&amp;TEXT($G10,"mm/dd/yy"),IF($G10&lt;cfgEndDate,"RENEW - expires during academy "&amp;TEXT($G10,"mm/dd/yy"),"Current")))))))))</f>
        <v/>
      </c>
    </row>
    <row r="11">
      <c r="B11" s="16" t="inlineStr">
        <is>
          <t>Reggie Johnson</t>
        </is>
      </c>
      <c r="C11" s="16" t="n"/>
      <c r="D11" s="16" t="n"/>
      <c r="E11" s="16" t="n"/>
      <c r="F11" s="16" t="n"/>
      <c r="G11" s="18" t="n"/>
      <c r="H11" s="16" t="n"/>
      <c r="I11" s="16" t="n"/>
      <c r="J11" s="16" t="n"/>
      <c r="K11" s="17">
        <f>IF($B11="","",IF($E11="Guest/Outside","N/A",IF(AND(OR($E11="TCOLE Instructor",AND(LEFT($E11,3)="SME",$H11="On File")),OR($I11="On File",$I11="N/A"),LEFT($O11,7)&lt;&gt;"EXPIRED",$O11&lt;&gt;"MISSING EXPIRATION"),"Yes","No")))</f>
        <v/>
      </c>
      <c r="L11" s="17">
        <f>IF($B11="","",IF(SUMPRODUCT(--ISNUMBER(SEARCH($B11,nrSCH_Instr)))&gt;0,"Yes",""))</f>
        <v/>
      </c>
      <c r="M11" s="17">
        <f>IF($B11="","",IFERROR(_xlfn.LET(_xlpm.v,_xlfn.UNIQUE(_xlfn._xlws.FILTER(nrSCH_ChNum,ISNUMBER(SEARCH($B11,nrSCH_Instr))*(nrSCH_ChNum&lt;&gt;""))),_xlfn.TEXTJOIN(", ",TRUE,_xlfn.SORTBY(_xlpm.v,IFERROR(_xlpm.v+0,99999),1))),""))</f>
        <v/>
      </c>
      <c r="N11" s="19">
        <f>IF($B11="","",IF(SUMPRODUCT(MAX(ISNUMBER(SEARCH($B11,nrSCH_Instr))*nrSCH_Date))=0,"",SUMPRODUCT(MAX(ISNUMBER(SEARCH($B11,nrSCH_Instr))*nrSCH_Date))))</f>
        <v/>
      </c>
      <c r="O11" s="17">
        <f>IF($B11="","",IF($E11="Guest/Outside","N/A",IF($L11&lt;&gt;"Yes","(not on schedule)",IF(LEFT($E11,3)="SME","N/A (SME letter)",IF($E11&lt;&gt;"TCOLE Instructor","CHECK TYPE",IF($G11="","MISSING EXPIRATION",IF(NOT(ISNUMBER($G11)),"CHECK DATE",IF(AND(N($N11)&gt;0,$G11&lt;$N11),"EXPIRED BEFORE LAST CLASS TAUGHT "&amp;TEXT($G11,"mm/dd/yy"),IF($G11&lt;cfgEndDate,"RENEW - expires during academy "&amp;TEXT($G11,"mm/dd/yy"),"Current")))))))))</f>
        <v/>
      </c>
    </row>
    <row r="12">
      <c r="B12" s="16" t="inlineStr">
        <is>
          <t>Mike Malone</t>
        </is>
      </c>
      <c r="C12" s="16" t="n"/>
      <c r="D12" s="16" t="n"/>
      <c r="E12" s="16" t="n"/>
      <c r="F12" s="16" t="n"/>
      <c r="G12" s="18" t="n"/>
      <c r="H12" s="16" t="n"/>
      <c r="I12" s="16" t="n"/>
      <c r="J12" s="16" t="n"/>
      <c r="K12" s="17">
        <f>IF($B12="","",IF($E12="Guest/Outside","N/A",IF(AND(OR($E12="TCOLE Instructor",AND(LEFT($E12,3)="SME",$H12="On File")),OR($I12="On File",$I12="N/A"),LEFT($O12,7)&lt;&gt;"EXPIRED",$O12&lt;&gt;"MISSING EXPIRATION"),"Yes","No")))</f>
        <v/>
      </c>
      <c r="L12" s="17">
        <f>IF($B12="","",IF(SUMPRODUCT(--ISNUMBER(SEARCH($B12,nrSCH_Instr)))&gt;0,"Yes",""))</f>
        <v/>
      </c>
      <c r="M12" s="17">
        <f>IF($B12="","",IFERROR(_xlfn.LET(_xlpm.v,_xlfn.UNIQUE(_xlfn._xlws.FILTER(nrSCH_ChNum,ISNUMBER(SEARCH($B12,nrSCH_Instr))*(nrSCH_ChNum&lt;&gt;""))),_xlfn.TEXTJOIN(", ",TRUE,_xlfn.SORTBY(_xlpm.v,IFERROR(_xlpm.v+0,99999),1))),""))</f>
        <v/>
      </c>
      <c r="N12" s="19">
        <f>IF($B12="","",IF(SUMPRODUCT(MAX(ISNUMBER(SEARCH($B12,nrSCH_Instr))*nrSCH_Date))=0,"",SUMPRODUCT(MAX(ISNUMBER(SEARCH($B12,nrSCH_Instr))*nrSCH_Date))))</f>
        <v/>
      </c>
      <c r="O12" s="17">
        <f>IF($B12="","",IF($E12="Guest/Outside","N/A",IF($L12&lt;&gt;"Yes","(not on schedule)",IF(LEFT($E12,3)="SME","N/A (SME letter)",IF($E12&lt;&gt;"TCOLE Instructor","CHECK TYPE",IF($G12="","MISSING EXPIRATION",IF(NOT(ISNUMBER($G12)),"CHECK DATE",IF(AND(N($N12)&gt;0,$G12&lt;$N12),"EXPIRED BEFORE LAST CLASS TAUGHT "&amp;TEXT($G12,"mm/dd/yy"),IF($G12&lt;cfgEndDate,"RENEW - expires during academy "&amp;TEXT($G12,"mm/dd/yy"),"Current")))))))))</f>
        <v/>
      </c>
    </row>
    <row r="13">
      <c r="B13" s="16" t="inlineStr">
        <is>
          <t>Jessica Doughten</t>
        </is>
      </c>
      <c r="C13" s="16" t="n"/>
      <c r="D13" s="16" t="n"/>
      <c r="E13" s="16" t="n"/>
      <c r="F13" s="16" t="n"/>
      <c r="G13" s="18" t="n"/>
      <c r="H13" s="16" t="n"/>
      <c r="I13" s="16" t="n"/>
      <c r="J13" s="16" t="n"/>
      <c r="K13" s="17">
        <f>IF($B13="","",IF($E13="Guest/Outside","N/A",IF(AND(OR($E13="TCOLE Instructor",AND(LEFT($E13,3)="SME",$H13="On File")),OR($I13="On File",$I13="N/A"),LEFT($O13,7)&lt;&gt;"EXPIRED",$O13&lt;&gt;"MISSING EXPIRATION"),"Yes","No")))</f>
        <v/>
      </c>
      <c r="L13" s="17">
        <f>IF($B13="","",IF(SUMPRODUCT(--ISNUMBER(SEARCH($B13,nrSCH_Instr)))&gt;0,"Yes",""))</f>
        <v/>
      </c>
      <c r="M13" s="17">
        <f>IF($B13="","",IFERROR(_xlfn.LET(_xlpm.v,_xlfn.UNIQUE(_xlfn._xlws.FILTER(nrSCH_ChNum,ISNUMBER(SEARCH($B13,nrSCH_Instr))*(nrSCH_ChNum&lt;&gt;""))),_xlfn.TEXTJOIN(", ",TRUE,_xlfn.SORTBY(_xlpm.v,IFERROR(_xlpm.v+0,99999),1))),""))</f>
        <v/>
      </c>
      <c r="N13" s="19">
        <f>IF($B13="","",IF(SUMPRODUCT(MAX(ISNUMBER(SEARCH($B13,nrSCH_Instr))*nrSCH_Date))=0,"",SUMPRODUCT(MAX(ISNUMBER(SEARCH($B13,nrSCH_Instr))*nrSCH_Date))))</f>
        <v/>
      </c>
      <c r="O13" s="17">
        <f>IF($B13="","",IF($E13="Guest/Outside","N/A",IF($L13&lt;&gt;"Yes","(not on schedule)",IF(LEFT($E13,3)="SME","N/A (SME letter)",IF($E13&lt;&gt;"TCOLE Instructor","CHECK TYPE",IF($G13="","MISSING EXPIRATION",IF(NOT(ISNUMBER($G13)),"CHECK DATE",IF(AND(N($N13)&gt;0,$G13&lt;$N13),"EXPIRED BEFORE LAST CLASS TAUGHT "&amp;TEXT($G13,"mm/dd/yy"),IF($G13&lt;cfgEndDate,"RENEW - expires during academy "&amp;TEXT($G13,"mm/dd/yy"),"Current")))))))))</f>
        <v/>
      </c>
    </row>
    <row r="14">
      <c r="B14" s="16" t="inlineStr">
        <is>
          <t>Caleb Westbrook</t>
        </is>
      </c>
      <c r="C14" s="16" t="n"/>
      <c r="D14" s="16" t="n"/>
      <c r="E14" s="16" t="n"/>
      <c r="F14" s="16" t="n"/>
      <c r="G14" s="18" t="n"/>
      <c r="H14" s="16" t="n"/>
      <c r="I14" s="16" t="n"/>
      <c r="J14" s="16" t="n"/>
      <c r="K14" s="17">
        <f>IF($B14="","",IF($E14="Guest/Outside","N/A",IF(AND(OR($E14="TCOLE Instructor",AND(LEFT($E14,3)="SME",$H14="On File")),OR($I14="On File",$I14="N/A"),LEFT($O14,7)&lt;&gt;"EXPIRED",$O14&lt;&gt;"MISSING EXPIRATION"),"Yes","No")))</f>
        <v/>
      </c>
      <c r="L14" s="17">
        <f>IF($B14="","",IF(SUMPRODUCT(--ISNUMBER(SEARCH($B14,nrSCH_Instr)))&gt;0,"Yes",""))</f>
        <v/>
      </c>
      <c r="M14" s="17">
        <f>IF($B14="","",IFERROR(_xlfn.LET(_xlpm.v,_xlfn.UNIQUE(_xlfn._xlws.FILTER(nrSCH_ChNum,ISNUMBER(SEARCH($B14,nrSCH_Instr))*(nrSCH_ChNum&lt;&gt;""))),_xlfn.TEXTJOIN(", ",TRUE,_xlfn.SORTBY(_xlpm.v,IFERROR(_xlpm.v+0,99999),1))),""))</f>
        <v/>
      </c>
      <c r="N14" s="19">
        <f>IF($B14="","",IF(SUMPRODUCT(MAX(ISNUMBER(SEARCH($B14,nrSCH_Instr))*nrSCH_Date))=0,"",SUMPRODUCT(MAX(ISNUMBER(SEARCH($B14,nrSCH_Instr))*nrSCH_Date))))</f>
        <v/>
      </c>
      <c r="O14" s="17">
        <f>IF($B14="","",IF($E14="Guest/Outside","N/A",IF($L14&lt;&gt;"Yes","(not on schedule)",IF(LEFT($E14,3)="SME","N/A (SME letter)",IF($E14&lt;&gt;"TCOLE Instructor","CHECK TYPE",IF($G14="","MISSING EXPIRATION",IF(NOT(ISNUMBER($G14)),"CHECK DATE",IF(AND(N($N14)&gt;0,$G14&lt;$N14),"EXPIRED BEFORE LAST CLASS TAUGHT "&amp;TEXT($G14,"mm/dd/yy"),IF($G14&lt;cfgEndDate,"RENEW - expires during academy "&amp;TEXT($G14,"mm/dd/yy"),"Current")))))))))</f>
        <v/>
      </c>
    </row>
    <row r="15">
      <c r="B15" s="16" t="inlineStr">
        <is>
          <t>April Molina</t>
        </is>
      </c>
      <c r="C15" s="16" t="n"/>
      <c r="D15" s="16" t="n"/>
      <c r="E15" s="16" t="n"/>
      <c r="F15" s="16" t="n"/>
      <c r="G15" s="18" t="n"/>
      <c r="H15" s="16" t="n"/>
      <c r="I15" s="16" t="n"/>
      <c r="J15" s="16" t="n"/>
      <c r="K15" s="17">
        <f>IF($B15="","",IF($E15="Guest/Outside","N/A",IF(AND(OR($E15="TCOLE Instructor",AND(LEFT($E15,3)="SME",$H15="On File")),OR($I15="On File",$I15="N/A"),LEFT($O15,7)&lt;&gt;"EXPIRED",$O15&lt;&gt;"MISSING EXPIRATION"),"Yes","No")))</f>
        <v/>
      </c>
      <c r="L15" s="17">
        <f>IF($B15="","",IF(SUMPRODUCT(--ISNUMBER(SEARCH($B15,nrSCH_Instr)))&gt;0,"Yes",""))</f>
        <v/>
      </c>
      <c r="M15" s="17">
        <f>IF($B15="","",IFERROR(_xlfn.LET(_xlpm.v,_xlfn.UNIQUE(_xlfn._xlws.FILTER(nrSCH_ChNum,ISNUMBER(SEARCH($B15,nrSCH_Instr))*(nrSCH_ChNum&lt;&gt;""))),_xlfn.TEXTJOIN(", ",TRUE,_xlfn.SORTBY(_xlpm.v,IFERROR(_xlpm.v+0,99999),1))),""))</f>
        <v/>
      </c>
      <c r="N15" s="19">
        <f>IF($B15="","",IF(SUMPRODUCT(MAX(ISNUMBER(SEARCH($B15,nrSCH_Instr))*nrSCH_Date))=0,"",SUMPRODUCT(MAX(ISNUMBER(SEARCH($B15,nrSCH_Instr))*nrSCH_Date))))</f>
        <v/>
      </c>
      <c r="O15" s="17">
        <f>IF($B15="","",IF($E15="Guest/Outside","N/A",IF($L15&lt;&gt;"Yes","(not on schedule)",IF(LEFT($E15,3)="SME","N/A (SME letter)",IF($E15&lt;&gt;"TCOLE Instructor","CHECK TYPE",IF($G15="","MISSING EXPIRATION",IF(NOT(ISNUMBER($G15)),"CHECK DATE",IF(AND(N($N15)&gt;0,$G15&lt;$N15),"EXPIRED BEFORE LAST CLASS TAUGHT "&amp;TEXT($G15,"mm/dd/yy"),IF($G15&lt;cfgEndDate,"RENEW - expires during academy "&amp;TEXT($G15,"mm/dd/yy"),"Current")))))))))</f>
        <v/>
      </c>
    </row>
    <row r="16">
      <c r="B16" s="16" t="inlineStr">
        <is>
          <t>James Goodman</t>
        </is>
      </c>
      <c r="C16" s="16" t="n"/>
      <c r="D16" s="16" t="n"/>
      <c r="E16" s="16" t="n"/>
      <c r="F16" s="16" t="n"/>
      <c r="G16" s="18" t="n"/>
      <c r="H16" s="16" t="n"/>
      <c r="I16" s="16" t="n"/>
      <c r="J16" s="16" t="n"/>
      <c r="K16" s="17">
        <f>IF($B16="","",IF($E16="Guest/Outside","N/A",IF(AND(OR($E16="TCOLE Instructor",AND(LEFT($E16,3)="SME",$H16="On File")),OR($I16="On File",$I16="N/A"),LEFT($O16,7)&lt;&gt;"EXPIRED",$O16&lt;&gt;"MISSING EXPIRATION"),"Yes","No")))</f>
        <v/>
      </c>
      <c r="L16" s="17">
        <f>IF($B16="","",IF(SUMPRODUCT(--ISNUMBER(SEARCH($B16,nrSCH_Instr)))&gt;0,"Yes",""))</f>
        <v/>
      </c>
      <c r="M16" s="17">
        <f>IF($B16="","",IFERROR(_xlfn.LET(_xlpm.v,_xlfn.UNIQUE(_xlfn._xlws.FILTER(nrSCH_ChNum,ISNUMBER(SEARCH($B16,nrSCH_Instr))*(nrSCH_ChNum&lt;&gt;""))),_xlfn.TEXTJOIN(", ",TRUE,_xlfn.SORTBY(_xlpm.v,IFERROR(_xlpm.v+0,99999),1))),""))</f>
        <v/>
      </c>
      <c r="N16" s="19">
        <f>IF($B16="","",IF(SUMPRODUCT(MAX(ISNUMBER(SEARCH($B16,nrSCH_Instr))*nrSCH_Date))=0,"",SUMPRODUCT(MAX(ISNUMBER(SEARCH($B16,nrSCH_Instr))*nrSCH_Date))))</f>
        <v/>
      </c>
      <c r="O16" s="17">
        <f>IF($B16="","",IF($E16="Guest/Outside","N/A",IF($L16&lt;&gt;"Yes","(not on schedule)",IF(LEFT($E16,3)="SME","N/A (SME letter)",IF($E16&lt;&gt;"TCOLE Instructor","CHECK TYPE",IF($G16="","MISSING EXPIRATION",IF(NOT(ISNUMBER($G16)),"CHECK DATE",IF(AND(N($N16)&gt;0,$G16&lt;$N16),"EXPIRED BEFORE LAST CLASS TAUGHT "&amp;TEXT($G16,"mm/dd/yy"),IF($G16&lt;cfgEndDate,"RENEW - expires during academy "&amp;TEXT($G16,"mm/dd/yy"),"Current")))))))))</f>
        <v/>
      </c>
    </row>
    <row r="17">
      <c r="B17" s="16" t="inlineStr">
        <is>
          <t>Rebekah Hutson</t>
        </is>
      </c>
      <c r="C17" s="16" t="n"/>
      <c r="D17" s="16" t="n"/>
      <c r="E17" s="16" t="n"/>
      <c r="F17" s="16" t="n"/>
      <c r="G17" s="18" t="n"/>
      <c r="H17" s="16" t="n"/>
      <c r="I17" s="16" t="n"/>
      <c r="J17" s="16" t="n"/>
      <c r="K17" s="17">
        <f>IF($B17="","",IF($E17="Guest/Outside","N/A",IF(AND(OR($E17="TCOLE Instructor",AND(LEFT($E17,3)="SME",$H17="On File")),OR($I17="On File",$I17="N/A"),LEFT($O17,7)&lt;&gt;"EXPIRED",$O17&lt;&gt;"MISSING EXPIRATION"),"Yes","No")))</f>
        <v/>
      </c>
      <c r="L17" s="17">
        <f>IF($B17="","",IF(SUMPRODUCT(--ISNUMBER(SEARCH($B17,nrSCH_Instr)))&gt;0,"Yes",""))</f>
        <v/>
      </c>
      <c r="M17" s="17">
        <f>IF($B17="","",IFERROR(_xlfn.LET(_xlpm.v,_xlfn.UNIQUE(_xlfn._xlws.FILTER(nrSCH_ChNum,ISNUMBER(SEARCH($B17,nrSCH_Instr))*(nrSCH_ChNum&lt;&gt;""))),_xlfn.TEXTJOIN(", ",TRUE,_xlfn.SORTBY(_xlpm.v,IFERROR(_xlpm.v+0,99999),1))),""))</f>
        <v/>
      </c>
      <c r="N17" s="19">
        <f>IF($B17="","",IF(SUMPRODUCT(MAX(ISNUMBER(SEARCH($B17,nrSCH_Instr))*nrSCH_Date))=0,"",SUMPRODUCT(MAX(ISNUMBER(SEARCH($B17,nrSCH_Instr))*nrSCH_Date))))</f>
        <v/>
      </c>
      <c r="O17" s="17">
        <f>IF($B17="","",IF($E17="Guest/Outside","N/A",IF($L17&lt;&gt;"Yes","(not on schedule)",IF(LEFT($E17,3)="SME","N/A (SME letter)",IF($E17&lt;&gt;"TCOLE Instructor","CHECK TYPE",IF($G17="","MISSING EXPIRATION",IF(NOT(ISNUMBER($G17)),"CHECK DATE",IF(AND(N($N17)&gt;0,$G17&lt;$N17),"EXPIRED BEFORE LAST CLASS TAUGHT "&amp;TEXT($G17,"mm/dd/yy"),IF($G17&lt;cfgEndDate,"RENEW - expires during academy "&amp;TEXT($G17,"mm/dd/yy"),"Current")))))))))</f>
        <v/>
      </c>
    </row>
    <row r="18">
      <c r="B18" s="16" t="inlineStr">
        <is>
          <t>Ethan Johnson</t>
        </is>
      </c>
      <c r="C18" s="16" t="n"/>
      <c r="D18" s="16" t="n"/>
      <c r="E18" s="16" t="n"/>
      <c r="F18" s="16" t="n"/>
      <c r="G18" s="18" t="n"/>
      <c r="H18" s="16" t="n"/>
      <c r="I18" s="16" t="n"/>
      <c r="J18" s="16" t="n"/>
      <c r="K18" s="17">
        <f>IF($B18="","",IF($E18="Guest/Outside","N/A",IF(AND(OR($E18="TCOLE Instructor",AND(LEFT($E18,3)="SME",$H18="On File")),OR($I18="On File",$I18="N/A"),LEFT($O18,7)&lt;&gt;"EXPIRED",$O18&lt;&gt;"MISSING EXPIRATION"),"Yes","No")))</f>
        <v/>
      </c>
      <c r="L18" s="17">
        <f>IF($B18="","",IF(SUMPRODUCT(--ISNUMBER(SEARCH($B18,nrSCH_Instr)))&gt;0,"Yes",""))</f>
        <v/>
      </c>
      <c r="M18" s="17">
        <f>IF($B18="","",IFERROR(_xlfn.LET(_xlpm.v,_xlfn.UNIQUE(_xlfn._xlws.FILTER(nrSCH_ChNum,ISNUMBER(SEARCH($B18,nrSCH_Instr))*(nrSCH_ChNum&lt;&gt;""))),_xlfn.TEXTJOIN(", ",TRUE,_xlfn.SORTBY(_xlpm.v,IFERROR(_xlpm.v+0,99999),1))),""))</f>
        <v/>
      </c>
      <c r="N18" s="19">
        <f>IF($B18="","",IF(SUMPRODUCT(MAX(ISNUMBER(SEARCH($B18,nrSCH_Instr))*nrSCH_Date))=0,"",SUMPRODUCT(MAX(ISNUMBER(SEARCH($B18,nrSCH_Instr))*nrSCH_Date))))</f>
        <v/>
      </c>
      <c r="O18" s="17">
        <f>IF($B18="","",IF($E18="Guest/Outside","N/A",IF($L18&lt;&gt;"Yes","(not on schedule)",IF(LEFT($E18,3)="SME","N/A (SME letter)",IF($E18&lt;&gt;"TCOLE Instructor","CHECK TYPE",IF($G18="","MISSING EXPIRATION",IF(NOT(ISNUMBER($G18)),"CHECK DATE",IF(AND(N($N18)&gt;0,$G18&lt;$N18),"EXPIRED BEFORE LAST CLASS TAUGHT "&amp;TEXT($G18,"mm/dd/yy"),IF($G18&lt;cfgEndDate,"RENEW - expires during academy "&amp;TEXT($G18,"mm/dd/yy"),"Current")))))))))</f>
        <v/>
      </c>
    </row>
    <row r="19">
      <c r="B19" s="16" t="inlineStr">
        <is>
          <t>Garrett Martin</t>
        </is>
      </c>
      <c r="C19" s="16" t="n"/>
      <c r="D19" s="16" t="n"/>
      <c r="E19" s="16" t="n"/>
      <c r="F19" s="16" t="n"/>
      <c r="G19" s="18" t="n"/>
      <c r="H19" s="16" t="n"/>
      <c r="I19" s="16" t="n"/>
      <c r="J19" s="16" t="n"/>
      <c r="K19" s="17">
        <f>IF($B19="","",IF($E19="Guest/Outside","N/A",IF(AND(OR($E19="TCOLE Instructor",AND(LEFT($E19,3)="SME",$H19="On File")),OR($I19="On File",$I19="N/A"),LEFT($O19,7)&lt;&gt;"EXPIRED",$O19&lt;&gt;"MISSING EXPIRATION"),"Yes","No")))</f>
        <v/>
      </c>
      <c r="L19" s="17">
        <f>IF($B19="","",IF(SUMPRODUCT(--ISNUMBER(SEARCH($B19,nrSCH_Instr)))&gt;0,"Yes",""))</f>
        <v/>
      </c>
      <c r="M19" s="17">
        <f>IF($B19="","",IFERROR(_xlfn.LET(_xlpm.v,_xlfn.UNIQUE(_xlfn._xlws.FILTER(nrSCH_ChNum,ISNUMBER(SEARCH($B19,nrSCH_Instr))*(nrSCH_ChNum&lt;&gt;""))),_xlfn.TEXTJOIN(", ",TRUE,_xlfn.SORTBY(_xlpm.v,IFERROR(_xlpm.v+0,99999),1))),""))</f>
        <v/>
      </c>
      <c r="N19" s="19">
        <f>IF($B19="","",IF(SUMPRODUCT(MAX(ISNUMBER(SEARCH($B19,nrSCH_Instr))*nrSCH_Date))=0,"",SUMPRODUCT(MAX(ISNUMBER(SEARCH($B19,nrSCH_Instr))*nrSCH_Date))))</f>
        <v/>
      </c>
      <c r="O19" s="17">
        <f>IF($B19="","",IF($E19="Guest/Outside","N/A",IF($L19&lt;&gt;"Yes","(not on schedule)",IF(LEFT($E19,3)="SME","N/A (SME letter)",IF($E19&lt;&gt;"TCOLE Instructor","CHECK TYPE",IF($G19="","MISSING EXPIRATION",IF(NOT(ISNUMBER($G19)),"CHECK DATE",IF(AND(N($N19)&gt;0,$G19&lt;$N19),"EXPIRED BEFORE LAST CLASS TAUGHT "&amp;TEXT($G19,"mm/dd/yy"),IF($G19&lt;cfgEndDate,"RENEW - expires during academy "&amp;TEXT($G19,"mm/dd/yy"),"Current")))))))))</f>
        <v/>
      </c>
    </row>
    <row r="20">
      <c r="B20" s="16" t="inlineStr">
        <is>
          <t>Magnolia Custer</t>
        </is>
      </c>
      <c r="C20" s="16" t="n"/>
      <c r="D20" s="16" t="n"/>
      <c r="E20" s="16" t="n"/>
      <c r="F20" s="16" t="n"/>
      <c r="G20" s="18" t="n"/>
      <c r="H20" s="16" t="n"/>
      <c r="I20" s="16" t="n"/>
      <c r="J20" s="16" t="n"/>
      <c r="K20" s="17">
        <f>IF($B20="","",IF($E20="Guest/Outside","N/A",IF(AND(OR($E20="TCOLE Instructor",AND(LEFT($E20,3)="SME",$H20="On File")),OR($I20="On File",$I20="N/A"),LEFT($O20,7)&lt;&gt;"EXPIRED",$O20&lt;&gt;"MISSING EXPIRATION"),"Yes","No")))</f>
        <v/>
      </c>
      <c r="L20" s="17">
        <f>IF($B20="","",IF(SUMPRODUCT(--ISNUMBER(SEARCH($B20,nrSCH_Instr)))&gt;0,"Yes",""))</f>
        <v/>
      </c>
      <c r="M20" s="17">
        <f>IF($B20="","",IFERROR(_xlfn.LET(_xlpm.v,_xlfn.UNIQUE(_xlfn._xlws.FILTER(nrSCH_ChNum,ISNUMBER(SEARCH($B20,nrSCH_Instr))*(nrSCH_ChNum&lt;&gt;""))),_xlfn.TEXTJOIN(", ",TRUE,_xlfn.SORTBY(_xlpm.v,IFERROR(_xlpm.v+0,99999),1))),""))</f>
        <v/>
      </c>
      <c r="N20" s="19">
        <f>IF($B20="","",IF(SUMPRODUCT(MAX(ISNUMBER(SEARCH($B20,nrSCH_Instr))*nrSCH_Date))=0,"",SUMPRODUCT(MAX(ISNUMBER(SEARCH($B20,nrSCH_Instr))*nrSCH_Date))))</f>
        <v/>
      </c>
      <c r="O20" s="17">
        <f>IF($B20="","",IF($E20="Guest/Outside","N/A",IF($L20&lt;&gt;"Yes","(not on schedule)",IF(LEFT($E20,3)="SME","N/A (SME letter)",IF($E20&lt;&gt;"TCOLE Instructor","CHECK TYPE",IF($G20="","MISSING EXPIRATION",IF(NOT(ISNUMBER($G20)),"CHECK DATE",IF(AND(N($N20)&gt;0,$G20&lt;$N20),"EXPIRED BEFORE LAST CLASS TAUGHT "&amp;TEXT($G20,"mm/dd/yy"),IF($G20&lt;cfgEndDate,"RENEW - expires during academy "&amp;TEXT($G20,"mm/dd/yy"),"Current")))))))))</f>
        <v/>
      </c>
    </row>
    <row r="21">
      <c r="B21" s="16" t="inlineStr">
        <is>
          <t>Stephen Thomas</t>
        </is>
      </c>
      <c r="C21" s="16" t="n"/>
      <c r="D21" s="16" t="n"/>
      <c r="E21" s="16" t="n"/>
      <c r="F21" s="16" t="n"/>
      <c r="G21" s="18" t="n"/>
      <c r="H21" s="16" t="n"/>
      <c r="I21" s="16" t="n"/>
      <c r="J21" s="16" t="n"/>
      <c r="K21" s="17">
        <f>IF($B21="","",IF($E21="Guest/Outside","N/A",IF(AND(OR($E21="TCOLE Instructor",AND(LEFT($E21,3)="SME",$H21="On File")),OR($I21="On File",$I21="N/A"),LEFT($O21,7)&lt;&gt;"EXPIRED",$O21&lt;&gt;"MISSING EXPIRATION"),"Yes","No")))</f>
        <v/>
      </c>
      <c r="L21" s="17">
        <f>IF($B21="","",IF(SUMPRODUCT(--ISNUMBER(SEARCH($B21,nrSCH_Instr)))&gt;0,"Yes",""))</f>
        <v/>
      </c>
      <c r="M21" s="17">
        <f>IF($B21="","",IFERROR(_xlfn.LET(_xlpm.v,_xlfn.UNIQUE(_xlfn._xlws.FILTER(nrSCH_ChNum,ISNUMBER(SEARCH($B21,nrSCH_Instr))*(nrSCH_ChNum&lt;&gt;""))),_xlfn.TEXTJOIN(", ",TRUE,_xlfn.SORTBY(_xlpm.v,IFERROR(_xlpm.v+0,99999),1))),""))</f>
        <v/>
      </c>
      <c r="N21" s="19">
        <f>IF($B21="","",IF(SUMPRODUCT(MAX(ISNUMBER(SEARCH($B21,nrSCH_Instr))*nrSCH_Date))=0,"",SUMPRODUCT(MAX(ISNUMBER(SEARCH($B21,nrSCH_Instr))*nrSCH_Date))))</f>
        <v/>
      </c>
      <c r="O21" s="17">
        <f>IF($B21="","",IF($E21="Guest/Outside","N/A",IF($L21&lt;&gt;"Yes","(not on schedule)",IF(LEFT($E21,3)="SME","N/A (SME letter)",IF($E21&lt;&gt;"TCOLE Instructor","CHECK TYPE",IF($G21="","MISSING EXPIRATION",IF(NOT(ISNUMBER($G21)),"CHECK DATE",IF(AND(N($N21)&gt;0,$G21&lt;$N21),"EXPIRED BEFORE LAST CLASS TAUGHT "&amp;TEXT($G21,"mm/dd/yy"),IF($G21&lt;cfgEndDate,"RENEW - expires during academy "&amp;TEXT($G21,"mm/dd/yy"),"Current")))))))))</f>
        <v/>
      </c>
    </row>
    <row r="22">
      <c r="B22" s="16" t="inlineStr">
        <is>
          <t>Tommy Guerrero</t>
        </is>
      </c>
      <c r="C22" s="16" t="n"/>
      <c r="D22" s="16" t="n"/>
      <c r="E22" s="16" t="n"/>
      <c r="F22" s="16" t="n"/>
      <c r="G22" s="18" t="n"/>
      <c r="H22" s="16" t="n"/>
      <c r="I22" s="16" t="n"/>
      <c r="J22" s="16" t="n"/>
      <c r="K22" s="17">
        <f>IF($B22="","",IF($E22="Guest/Outside","N/A",IF(AND(OR($E22="TCOLE Instructor",AND(LEFT($E22,3)="SME",$H22="On File")),OR($I22="On File",$I22="N/A"),LEFT($O22,7)&lt;&gt;"EXPIRED",$O22&lt;&gt;"MISSING EXPIRATION"),"Yes","No")))</f>
        <v/>
      </c>
      <c r="L22" s="17">
        <f>IF($B22="","",IF(SUMPRODUCT(--ISNUMBER(SEARCH($B22,nrSCH_Instr)))&gt;0,"Yes",""))</f>
        <v/>
      </c>
      <c r="M22" s="17">
        <f>IF($B22="","",IFERROR(_xlfn.LET(_xlpm.v,_xlfn.UNIQUE(_xlfn._xlws.FILTER(nrSCH_ChNum,ISNUMBER(SEARCH($B22,nrSCH_Instr))*(nrSCH_ChNum&lt;&gt;""))),_xlfn.TEXTJOIN(", ",TRUE,_xlfn.SORTBY(_xlpm.v,IFERROR(_xlpm.v+0,99999),1))),""))</f>
        <v/>
      </c>
      <c r="N22" s="19">
        <f>IF($B22="","",IF(SUMPRODUCT(MAX(ISNUMBER(SEARCH($B22,nrSCH_Instr))*nrSCH_Date))=0,"",SUMPRODUCT(MAX(ISNUMBER(SEARCH($B22,nrSCH_Instr))*nrSCH_Date))))</f>
        <v/>
      </c>
      <c r="O22" s="17">
        <f>IF($B22="","",IF($E22="Guest/Outside","N/A",IF($L22&lt;&gt;"Yes","(not on schedule)",IF(LEFT($E22,3)="SME","N/A (SME letter)",IF($E22&lt;&gt;"TCOLE Instructor","CHECK TYPE",IF($G22="","MISSING EXPIRATION",IF(NOT(ISNUMBER($G22)),"CHECK DATE",IF(AND(N($N22)&gt;0,$G22&lt;$N22),"EXPIRED BEFORE LAST CLASS TAUGHT "&amp;TEXT($G22,"mm/dd/yy"),IF($G22&lt;cfgEndDate,"RENEW - expires during academy "&amp;TEXT($G22,"mm/dd/yy"),"Current")))))))))</f>
        <v/>
      </c>
    </row>
    <row r="23">
      <c r="B23" s="16" t="inlineStr">
        <is>
          <t>Israel Camarena</t>
        </is>
      </c>
      <c r="C23" s="16" t="n"/>
      <c r="D23" s="16" t="n"/>
      <c r="E23" s="16" t="n"/>
      <c r="F23" s="16" t="n"/>
      <c r="G23" s="18" t="n"/>
      <c r="H23" s="16" t="n"/>
      <c r="I23" s="16" t="n"/>
      <c r="J23" s="16" t="n"/>
      <c r="K23" s="17">
        <f>IF($B23="","",IF($E23="Guest/Outside","N/A",IF(AND(OR($E23="TCOLE Instructor",AND(LEFT($E23,3)="SME",$H23="On File")),OR($I23="On File",$I23="N/A"),LEFT($O23,7)&lt;&gt;"EXPIRED",$O23&lt;&gt;"MISSING EXPIRATION"),"Yes","No")))</f>
        <v/>
      </c>
      <c r="L23" s="17">
        <f>IF($B23="","",IF(SUMPRODUCT(--ISNUMBER(SEARCH($B23,nrSCH_Instr)))&gt;0,"Yes",""))</f>
        <v/>
      </c>
      <c r="M23" s="17">
        <f>IF($B23="","",IFERROR(_xlfn.LET(_xlpm.v,_xlfn.UNIQUE(_xlfn._xlws.FILTER(nrSCH_ChNum,ISNUMBER(SEARCH($B23,nrSCH_Instr))*(nrSCH_ChNum&lt;&gt;""))),_xlfn.TEXTJOIN(", ",TRUE,_xlfn.SORTBY(_xlpm.v,IFERROR(_xlpm.v+0,99999),1))),""))</f>
        <v/>
      </c>
      <c r="N23" s="19">
        <f>IF($B23="","",IF(SUMPRODUCT(MAX(ISNUMBER(SEARCH($B23,nrSCH_Instr))*nrSCH_Date))=0,"",SUMPRODUCT(MAX(ISNUMBER(SEARCH($B23,nrSCH_Instr))*nrSCH_Date))))</f>
        <v/>
      </c>
      <c r="O23" s="17">
        <f>IF($B23="","",IF($E23="Guest/Outside","N/A",IF($L23&lt;&gt;"Yes","(not on schedule)",IF(LEFT($E23,3)="SME","N/A (SME letter)",IF($E23&lt;&gt;"TCOLE Instructor","CHECK TYPE",IF($G23="","MISSING EXPIRATION",IF(NOT(ISNUMBER($G23)),"CHECK DATE",IF(AND(N($N23)&gt;0,$G23&lt;$N23),"EXPIRED BEFORE LAST CLASS TAUGHT "&amp;TEXT($G23,"mm/dd/yy"),IF($G23&lt;cfgEndDate,"RENEW - expires during academy "&amp;TEXT($G23,"mm/dd/yy"),"Current")))))))))</f>
        <v/>
      </c>
    </row>
    <row r="24">
      <c r="B24" s="16" t="inlineStr">
        <is>
          <t>Andy Erbaugh</t>
        </is>
      </c>
      <c r="C24" s="16" t="n"/>
      <c r="D24" s="16" t="n"/>
      <c r="E24" s="16" t="n"/>
      <c r="F24" s="16" t="n"/>
      <c r="G24" s="18" t="n"/>
      <c r="H24" s="16" t="n"/>
      <c r="I24" s="16" t="n"/>
      <c r="J24" s="16" t="n"/>
      <c r="K24" s="17">
        <f>IF($B24="","",IF($E24="Guest/Outside","N/A",IF(AND(OR($E24="TCOLE Instructor",AND(LEFT($E24,3)="SME",$H24="On File")),OR($I24="On File",$I24="N/A"),LEFT($O24,7)&lt;&gt;"EXPIRED",$O24&lt;&gt;"MISSING EXPIRATION"),"Yes","No")))</f>
        <v/>
      </c>
      <c r="L24" s="17">
        <f>IF($B24="","",IF(SUMPRODUCT(--ISNUMBER(SEARCH($B24,nrSCH_Instr)))&gt;0,"Yes",""))</f>
        <v/>
      </c>
      <c r="M24" s="17">
        <f>IF($B24="","",IFERROR(_xlfn.LET(_xlpm.v,_xlfn.UNIQUE(_xlfn._xlws.FILTER(nrSCH_ChNum,ISNUMBER(SEARCH($B24,nrSCH_Instr))*(nrSCH_ChNum&lt;&gt;""))),_xlfn.TEXTJOIN(", ",TRUE,_xlfn.SORTBY(_xlpm.v,IFERROR(_xlpm.v+0,99999),1))),""))</f>
        <v/>
      </c>
      <c r="N24" s="19">
        <f>IF($B24="","",IF(SUMPRODUCT(MAX(ISNUMBER(SEARCH($B24,nrSCH_Instr))*nrSCH_Date))=0,"",SUMPRODUCT(MAX(ISNUMBER(SEARCH($B24,nrSCH_Instr))*nrSCH_Date))))</f>
        <v/>
      </c>
      <c r="O24" s="17">
        <f>IF($B24="","",IF($E24="Guest/Outside","N/A",IF($L24&lt;&gt;"Yes","(not on schedule)",IF(LEFT($E24,3)="SME","N/A (SME letter)",IF($E24&lt;&gt;"TCOLE Instructor","CHECK TYPE",IF($G24="","MISSING EXPIRATION",IF(NOT(ISNUMBER($G24)),"CHECK DATE",IF(AND(N($N24)&gt;0,$G24&lt;$N24),"EXPIRED BEFORE LAST CLASS TAUGHT "&amp;TEXT($G24,"mm/dd/yy"),IF($G24&lt;cfgEndDate,"RENEW - expires during academy "&amp;TEXT($G24,"mm/dd/yy"),"Current")))))))))</f>
        <v/>
      </c>
    </row>
    <row r="25">
      <c r="B25" s="16" t="inlineStr">
        <is>
          <t>JH Burge</t>
        </is>
      </c>
      <c r="C25" s="16" t="n"/>
      <c r="D25" s="16" t="n"/>
      <c r="E25" s="16" t="n"/>
      <c r="F25" s="16" t="n"/>
      <c r="G25" s="18" t="n"/>
      <c r="H25" s="16" t="n"/>
      <c r="I25" s="16" t="n"/>
      <c r="J25" s="16" t="n"/>
      <c r="K25" s="17">
        <f>IF($B25="","",IF($E25="Guest/Outside","N/A",IF(AND(OR($E25="TCOLE Instructor",AND(LEFT($E25,3)="SME",$H25="On File")),OR($I25="On File",$I25="N/A"),LEFT($O25,7)&lt;&gt;"EXPIRED",$O25&lt;&gt;"MISSING EXPIRATION"),"Yes","No")))</f>
        <v/>
      </c>
      <c r="L25" s="17">
        <f>IF($B25="","",IF(SUMPRODUCT(--ISNUMBER(SEARCH($B25,nrSCH_Instr)))&gt;0,"Yes",""))</f>
        <v/>
      </c>
      <c r="M25" s="17">
        <f>IF($B25="","",IFERROR(_xlfn.LET(_xlpm.v,_xlfn.UNIQUE(_xlfn._xlws.FILTER(nrSCH_ChNum,ISNUMBER(SEARCH($B25,nrSCH_Instr))*(nrSCH_ChNum&lt;&gt;""))),_xlfn.TEXTJOIN(", ",TRUE,_xlfn.SORTBY(_xlpm.v,IFERROR(_xlpm.v+0,99999),1))),""))</f>
        <v/>
      </c>
      <c r="N25" s="19">
        <f>IF($B25="","",IF(SUMPRODUCT(MAX(ISNUMBER(SEARCH($B25,nrSCH_Instr))*nrSCH_Date))=0,"",SUMPRODUCT(MAX(ISNUMBER(SEARCH($B25,nrSCH_Instr))*nrSCH_Date))))</f>
        <v/>
      </c>
      <c r="O25" s="17">
        <f>IF($B25="","",IF($E25="Guest/Outside","N/A",IF($L25&lt;&gt;"Yes","(not on schedule)",IF(LEFT($E25,3)="SME","N/A (SME letter)",IF($E25&lt;&gt;"TCOLE Instructor","CHECK TYPE",IF($G25="","MISSING EXPIRATION",IF(NOT(ISNUMBER($G25)),"CHECK DATE",IF(AND(N($N25)&gt;0,$G25&lt;$N25),"EXPIRED BEFORE LAST CLASS TAUGHT "&amp;TEXT($G25,"mm/dd/yy"),IF($G25&lt;cfgEndDate,"RENEW - expires during academy "&amp;TEXT($G25,"mm/dd/yy"),"Current")))))))))</f>
        <v/>
      </c>
    </row>
    <row r="26">
      <c r="B26" s="16" t="inlineStr">
        <is>
          <t>Brandon Crawley</t>
        </is>
      </c>
      <c r="C26" s="16" t="n"/>
      <c r="D26" s="16" t="n"/>
      <c r="E26" s="16" t="n"/>
      <c r="F26" s="16" t="n"/>
      <c r="G26" s="18" t="n"/>
      <c r="H26" s="16" t="n"/>
      <c r="I26" s="16" t="n"/>
      <c r="J26" s="16" t="n"/>
      <c r="K26" s="17">
        <f>IF($B26="","",IF($E26="Guest/Outside","N/A",IF(AND(OR($E26="TCOLE Instructor",AND(LEFT($E26,3)="SME",$H26="On File")),OR($I26="On File",$I26="N/A"),LEFT($O26,7)&lt;&gt;"EXPIRED",$O26&lt;&gt;"MISSING EXPIRATION"),"Yes","No")))</f>
        <v/>
      </c>
      <c r="L26" s="17">
        <f>IF($B26="","",IF(SUMPRODUCT(--ISNUMBER(SEARCH($B26,nrSCH_Instr)))&gt;0,"Yes",""))</f>
        <v/>
      </c>
      <c r="M26" s="17">
        <f>IF($B26="","",IFERROR(_xlfn.LET(_xlpm.v,_xlfn.UNIQUE(_xlfn._xlws.FILTER(nrSCH_ChNum,ISNUMBER(SEARCH($B26,nrSCH_Instr))*(nrSCH_ChNum&lt;&gt;""))),_xlfn.TEXTJOIN(", ",TRUE,_xlfn.SORTBY(_xlpm.v,IFERROR(_xlpm.v+0,99999),1))),""))</f>
        <v/>
      </c>
      <c r="N26" s="19">
        <f>IF($B26="","",IF(SUMPRODUCT(MAX(ISNUMBER(SEARCH($B26,nrSCH_Instr))*nrSCH_Date))=0,"",SUMPRODUCT(MAX(ISNUMBER(SEARCH($B26,nrSCH_Instr))*nrSCH_Date))))</f>
        <v/>
      </c>
      <c r="O26" s="17">
        <f>IF($B26="","",IF($E26="Guest/Outside","N/A",IF($L26&lt;&gt;"Yes","(not on schedule)",IF(LEFT($E26,3)="SME","N/A (SME letter)",IF($E26&lt;&gt;"TCOLE Instructor","CHECK TYPE",IF($G26="","MISSING EXPIRATION",IF(NOT(ISNUMBER($G26)),"CHECK DATE",IF(AND(N($N26)&gt;0,$G26&lt;$N26),"EXPIRED BEFORE LAST CLASS TAUGHT "&amp;TEXT($G26,"mm/dd/yy"),IF($G26&lt;cfgEndDate,"RENEW - expires during academy "&amp;TEXT($G26,"mm/dd/yy"),"Current")))))))))</f>
        <v/>
      </c>
    </row>
    <row r="27">
      <c r="B27" s="16" t="inlineStr">
        <is>
          <t>Jim Holt</t>
        </is>
      </c>
      <c r="C27" s="16" t="n"/>
      <c r="D27" s="16" t="n"/>
      <c r="E27" s="16" t="n"/>
      <c r="F27" s="16" t="n"/>
      <c r="G27" s="18" t="n"/>
      <c r="H27" s="16" t="n"/>
      <c r="I27" s="16" t="n"/>
      <c r="J27" s="16" t="n"/>
      <c r="K27" s="17">
        <f>IF($B27="","",IF($E27="Guest/Outside","N/A",IF(AND(OR($E27="TCOLE Instructor",AND(LEFT($E27,3)="SME",$H27="On File")),OR($I27="On File",$I27="N/A"),LEFT($O27,7)&lt;&gt;"EXPIRED",$O27&lt;&gt;"MISSING EXPIRATION"),"Yes","No")))</f>
        <v/>
      </c>
      <c r="L27" s="17">
        <f>IF($B27="","",IF(SUMPRODUCT(--ISNUMBER(SEARCH($B27,nrSCH_Instr)))&gt;0,"Yes",""))</f>
        <v/>
      </c>
      <c r="M27" s="17">
        <f>IF($B27="","",IFERROR(_xlfn.LET(_xlpm.v,_xlfn.UNIQUE(_xlfn._xlws.FILTER(nrSCH_ChNum,ISNUMBER(SEARCH($B27,nrSCH_Instr))*(nrSCH_ChNum&lt;&gt;""))),_xlfn.TEXTJOIN(", ",TRUE,_xlfn.SORTBY(_xlpm.v,IFERROR(_xlpm.v+0,99999),1))),""))</f>
        <v/>
      </c>
      <c r="N27" s="19">
        <f>IF($B27="","",IF(SUMPRODUCT(MAX(ISNUMBER(SEARCH($B27,nrSCH_Instr))*nrSCH_Date))=0,"",SUMPRODUCT(MAX(ISNUMBER(SEARCH($B27,nrSCH_Instr))*nrSCH_Date))))</f>
        <v/>
      </c>
      <c r="O27" s="17">
        <f>IF($B27="","",IF($E27="Guest/Outside","N/A",IF($L27&lt;&gt;"Yes","(not on schedule)",IF(LEFT($E27,3)="SME","N/A (SME letter)",IF($E27&lt;&gt;"TCOLE Instructor","CHECK TYPE",IF($G27="","MISSING EXPIRATION",IF(NOT(ISNUMBER($G27)),"CHECK DATE",IF(AND(N($N27)&gt;0,$G27&lt;$N27),"EXPIRED BEFORE LAST CLASS TAUGHT "&amp;TEXT($G27,"mm/dd/yy"),IF($G27&lt;cfgEndDate,"RENEW - expires during academy "&amp;TEXT($G27,"mm/dd/yy"),"Current")))))))))</f>
        <v/>
      </c>
    </row>
    <row r="28">
      <c r="B28" s="16" t="inlineStr">
        <is>
          <t>Blake Lockhart</t>
        </is>
      </c>
      <c r="C28" s="16" t="n"/>
      <c r="D28" s="16" t="n"/>
      <c r="E28" s="16" t="n"/>
      <c r="F28" s="16" t="n"/>
      <c r="G28" s="18" t="n"/>
      <c r="H28" s="16" t="n"/>
      <c r="I28" s="16" t="n"/>
      <c r="J28" s="16" t="n"/>
      <c r="K28" s="17">
        <f>IF($B28="","",IF($E28="Guest/Outside","N/A",IF(AND(OR($E28="TCOLE Instructor",AND(LEFT($E28,3)="SME",$H28="On File")),OR($I28="On File",$I28="N/A"),LEFT($O28,7)&lt;&gt;"EXPIRED",$O28&lt;&gt;"MISSING EXPIRATION"),"Yes","No")))</f>
        <v/>
      </c>
      <c r="L28" s="17">
        <f>IF($B28="","",IF(SUMPRODUCT(--ISNUMBER(SEARCH($B28,nrSCH_Instr)))&gt;0,"Yes",""))</f>
        <v/>
      </c>
      <c r="M28" s="17">
        <f>IF($B28="","",IFERROR(_xlfn.LET(_xlpm.v,_xlfn.UNIQUE(_xlfn._xlws.FILTER(nrSCH_ChNum,ISNUMBER(SEARCH($B28,nrSCH_Instr))*(nrSCH_ChNum&lt;&gt;""))),_xlfn.TEXTJOIN(", ",TRUE,_xlfn.SORTBY(_xlpm.v,IFERROR(_xlpm.v+0,99999),1))),""))</f>
        <v/>
      </c>
      <c r="N28" s="19">
        <f>IF($B28="","",IF(SUMPRODUCT(MAX(ISNUMBER(SEARCH($B28,nrSCH_Instr))*nrSCH_Date))=0,"",SUMPRODUCT(MAX(ISNUMBER(SEARCH($B28,nrSCH_Instr))*nrSCH_Date))))</f>
        <v/>
      </c>
      <c r="O28" s="17">
        <f>IF($B28="","",IF($E28="Guest/Outside","N/A",IF($L28&lt;&gt;"Yes","(not on schedule)",IF(LEFT($E28,3)="SME","N/A (SME letter)",IF($E28&lt;&gt;"TCOLE Instructor","CHECK TYPE",IF($G28="","MISSING EXPIRATION",IF(NOT(ISNUMBER($G28)),"CHECK DATE",IF(AND(N($N28)&gt;0,$G28&lt;$N28),"EXPIRED BEFORE LAST CLASS TAUGHT "&amp;TEXT($G28,"mm/dd/yy"),IF($G28&lt;cfgEndDate,"RENEW - expires during academy "&amp;TEXT($G28,"mm/dd/yy"),"Current")))))))))</f>
        <v/>
      </c>
    </row>
    <row r="29">
      <c r="B29" s="16" t="inlineStr">
        <is>
          <t>Luke Shafer</t>
        </is>
      </c>
      <c r="C29" s="16" t="n"/>
      <c r="D29" s="16" t="n"/>
      <c r="E29" s="16" t="n"/>
      <c r="F29" s="16" t="n"/>
      <c r="G29" s="18" t="n"/>
      <c r="H29" s="16" t="n"/>
      <c r="I29" s="16" t="n"/>
      <c r="J29" s="16" t="n"/>
      <c r="K29" s="17">
        <f>IF($B29="","",IF($E29="Guest/Outside","N/A",IF(AND(OR($E29="TCOLE Instructor",AND(LEFT($E29,3)="SME",$H29="On File")),OR($I29="On File",$I29="N/A"),LEFT($O29,7)&lt;&gt;"EXPIRED",$O29&lt;&gt;"MISSING EXPIRATION"),"Yes","No")))</f>
        <v/>
      </c>
      <c r="L29" s="17">
        <f>IF($B29="","",IF(SUMPRODUCT(--ISNUMBER(SEARCH($B29,nrSCH_Instr)))&gt;0,"Yes",""))</f>
        <v/>
      </c>
      <c r="M29" s="17">
        <f>IF($B29="","",IFERROR(_xlfn.LET(_xlpm.v,_xlfn.UNIQUE(_xlfn._xlws.FILTER(nrSCH_ChNum,ISNUMBER(SEARCH($B29,nrSCH_Instr))*(nrSCH_ChNum&lt;&gt;""))),_xlfn.TEXTJOIN(", ",TRUE,_xlfn.SORTBY(_xlpm.v,IFERROR(_xlpm.v+0,99999),1))),""))</f>
        <v/>
      </c>
      <c r="N29" s="19">
        <f>IF($B29="","",IF(SUMPRODUCT(MAX(ISNUMBER(SEARCH($B29,nrSCH_Instr))*nrSCH_Date))=0,"",SUMPRODUCT(MAX(ISNUMBER(SEARCH($B29,nrSCH_Instr))*nrSCH_Date))))</f>
        <v/>
      </c>
      <c r="O29" s="17">
        <f>IF($B29="","",IF($E29="Guest/Outside","N/A",IF($L29&lt;&gt;"Yes","(not on schedule)",IF(LEFT($E29,3)="SME","N/A (SME letter)",IF($E29&lt;&gt;"TCOLE Instructor","CHECK TYPE",IF($G29="","MISSING EXPIRATION",IF(NOT(ISNUMBER($G29)),"CHECK DATE",IF(AND(N($N29)&gt;0,$G29&lt;$N29),"EXPIRED BEFORE LAST CLASS TAUGHT "&amp;TEXT($G29,"mm/dd/yy"),IF($G29&lt;cfgEndDate,"RENEW - expires during academy "&amp;TEXT($G29,"mm/dd/yy"),"Current")))))))))</f>
        <v/>
      </c>
    </row>
    <row r="30">
      <c r="B30" s="16" t="inlineStr">
        <is>
          <t>Luis Aparicio</t>
        </is>
      </c>
      <c r="C30" s="16" t="n"/>
      <c r="D30" s="16" t="n"/>
      <c r="E30" s="16" t="n"/>
      <c r="F30" s="16" t="n"/>
      <c r="G30" s="18" t="n"/>
      <c r="H30" s="16" t="n"/>
      <c r="I30" s="16" t="n"/>
      <c r="J30" s="16" t="n"/>
      <c r="K30" s="17">
        <f>IF($B30="","",IF($E30="Guest/Outside","N/A",IF(AND(OR($E30="TCOLE Instructor",AND(LEFT($E30,3)="SME",$H30="On File")),OR($I30="On File",$I30="N/A"),LEFT($O30,7)&lt;&gt;"EXPIRED",$O30&lt;&gt;"MISSING EXPIRATION"),"Yes","No")))</f>
        <v/>
      </c>
      <c r="L30" s="17">
        <f>IF($B30="","",IF(SUMPRODUCT(--ISNUMBER(SEARCH($B30,nrSCH_Instr)))&gt;0,"Yes",""))</f>
        <v/>
      </c>
      <c r="M30" s="17">
        <f>IF($B30="","",IFERROR(_xlfn.LET(_xlpm.v,_xlfn.UNIQUE(_xlfn._xlws.FILTER(nrSCH_ChNum,ISNUMBER(SEARCH($B30,nrSCH_Instr))*(nrSCH_ChNum&lt;&gt;""))),_xlfn.TEXTJOIN(", ",TRUE,_xlfn.SORTBY(_xlpm.v,IFERROR(_xlpm.v+0,99999),1))),""))</f>
        <v/>
      </c>
      <c r="N30" s="19">
        <f>IF($B30="","",IF(SUMPRODUCT(MAX(ISNUMBER(SEARCH($B30,nrSCH_Instr))*nrSCH_Date))=0,"",SUMPRODUCT(MAX(ISNUMBER(SEARCH($B30,nrSCH_Instr))*nrSCH_Date))))</f>
        <v/>
      </c>
      <c r="O30" s="17">
        <f>IF($B30="","",IF($E30="Guest/Outside","N/A",IF($L30&lt;&gt;"Yes","(not on schedule)",IF(LEFT($E30,3)="SME","N/A (SME letter)",IF($E30&lt;&gt;"TCOLE Instructor","CHECK TYPE",IF($G30="","MISSING EXPIRATION",IF(NOT(ISNUMBER($G30)),"CHECK DATE",IF(AND(N($N30)&gt;0,$G30&lt;$N30),"EXPIRED BEFORE LAST CLASS TAUGHT "&amp;TEXT($G30,"mm/dd/yy"),IF($G30&lt;cfgEndDate,"RENEW - expires during academy "&amp;TEXT($G30,"mm/dd/yy"),"Current")))))))))</f>
        <v/>
      </c>
    </row>
    <row r="31">
      <c r="B31" s="16" t="inlineStr">
        <is>
          <t>David Alexander</t>
        </is>
      </c>
      <c r="C31" s="16" t="n"/>
      <c r="D31" s="16" t="n"/>
      <c r="E31" s="16" t="n"/>
      <c r="F31" s="16" t="n"/>
      <c r="G31" s="18" t="n"/>
      <c r="H31" s="16" t="n"/>
      <c r="I31" s="16" t="n"/>
      <c r="J31" s="16" t="n"/>
      <c r="K31" s="17">
        <f>IF($B31="","",IF($E31="Guest/Outside","N/A",IF(AND(OR($E31="TCOLE Instructor",AND(LEFT($E31,3)="SME",$H31="On File")),OR($I31="On File",$I31="N/A"),LEFT($O31,7)&lt;&gt;"EXPIRED",$O31&lt;&gt;"MISSING EXPIRATION"),"Yes","No")))</f>
        <v/>
      </c>
      <c r="L31" s="17">
        <f>IF($B31="","",IF(SUMPRODUCT(--ISNUMBER(SEARCH($B31,nrSCH_Instr)))&gt;0,"Yes",""))</f>
        <v/>
      </c>
      <c r="M31" s="17">
        <f>IF($B31="","",IFERROR(_xlfn.LET(_xlpm.v,_xlfn.UNIQUE(_xlfn._xlws.FILTER(nrSCH_ChNum,ISNUMBER(SEARCH($B31,nrSCH_Instr))*(nrSCH_ChNum&lt;&gt;""))),_xlfn.TEXTJOIN(", ",TRUE,_xlfn.SORTBY(_xlpm.v,IFERROR(_xlpm.v+0,99999),1))),""))</f>
        <v/>
      </c>
      <c r="N31" s="19">
        <f>IF($B31="","",IF(SUMPRODUCT(MAX(ISNUMBER(SEARCH($B31,nrSCH_Instr))*nrSCH_Date))=0,"",SUMPRODUCT(MAX(ISNUMBER(SEARCH($B31,nrSCH_Instr))*nrSCH_Date))))</f>
        <v/>
      </c>
      <c r="O31" s="17">
        <f>IF($B31="","",IF($E31="Guest/Outside","N/A",IF($L31&lt;&gt;"Yes","(not on schedule)",IF(LEFT($E31,3)="SME","N/A (SME letter)",IF($E31&lt;&gt;"TCOLE Instructor","CHECK TYPE",IF($G31="","MISSING EXPIRATION",IF(NOT(ISNUMBER($G31)),"CHECK DATE",IF(AND(N($N31)&gt;0,$G31&lt;$N31),"EXPIRED BEFORE LAST CLASS TAUGHT "&amp;TEXT($G31,"mm/dd/yy"),IF($G31&lt;cfgEndDate,"RENEW - expires during academy "&amp;TEXT($G31,"mm/dd/yy"),"Current")))))))))</f>
        <v/>
      </c>
    </row>
    <row r="32">
      <c r="B32" s="16" t="inlineStr">
        <is>
          <t>James Reeves</t>
        </is>
      </c>
      <c r="C32" s="16" t="n"/>
      <c r="D32" s="16" t="n"/>
      <c r="E32" s="16" t="n"/>
      <c r="F32" s="16" t="n"/>
      <c r="G32" s="18" t="n"/>
      <c r="H32" s="16" t="n"/>
      <c r="I32" s="16" t="n"/>
      <c r="J32" s="16" t="n"/>
      <c r="K32" s="17">
        <f>IF($B32="","",IF($E32="Guest/Outside","N/A",IF(AND(OR($E32="TCOLE Instructor",AND(LEFT($E32,3)="SME",$H32="On File")),OR($I32="On File",$I32="N/A"),LEFT($O32,7)&lt;&gt;"EXPIRED",$O32&lt;&gt;"MISSING EXPIRATION"),"Yes","No")))</f>
        <v/>
      </c>
      <c r="L32" s="17">
        <f>IF($B32="","",IF(SUMPRODUCT(--ISNUMBER(SEARCH($B32,nrSCH_Instr)))&gt;0,"Yes",""))</f>
        <v/>
      </c>
      <c r="M32" s="17">
        <f>IF($B32="","",IFERROR(_xlfn.LET(_xlpm.v,_xlfn.UNIQUE(_xlfn._xlws.FILTER(nrSCH_ChNum,ISNUMBER(SEARCH($B32,nrSCH_Instr))*(nrSCH_ChNum&lt;&gt;""))),_xlfn.TEXTJOIN(", ",TRUE,_xlfn.SORTBY(_xlpm.v,IFERROR(_xlpm.v+0,99999),1))),""))</f>
        <v/>
      </c>
      <c r="N32" s="19">
        <f>IF($B32="","",IF(SUMPRODUCT(MAX(ISNUMBER(SEARCH($B32,nrSCH_Instr))*nrSCH_Date))=0,"",SUMPRODUCT(MAX(ISNUMBER(SEARCH($B32,nrSCH_Instr))*nrSCH_Date))))</f>
        <v/>
      </c>
      <c r="O32" s="17">
        <f>IF($B32="","",IF($E32="Guest/Outside","N/A",IF($L32&lt;&gt;"Yes","(not on schedule)",IF(LEFT($E32,3)="SME","N/A (SME letter)",IF($E32&lt;&gt;"TCOLE Instructor","CHECK TYPE",IF($G32="","MISSING EXPIRATION",IF(NOT(ISNUMBER($G32)),"CHECK DATE",IF(AND(N($N32)&gt;0,$G32&lt;$N32),"EXPIRED BEFORE LAST CLASS TAUGHT "&amp;TEXT($G32,"mm/dd/yy"),IF($G32&lt;cfgEndDate,"RENEW - expires during academy "&amp;TEXT($G32,"mm/dd/yy"),"Current")))))))))</f>
        <v/>
      </c>
    </row>
    <row r="33">
      <c r="B33" s="16" t="inlineStr">
        <is>
          <t>Jon Phillips</t>
        </is>
      </c>
      <c r="C33" s="16" t="n"/>
      <c r="D33" s="16" t="n"/>
      <c r="E33" s="16" t="n"/>
      <c r="F33" s="16" t="n"/>
      <c r="G33" s="18" t="n"/>
      <c r="H33" s="16" t="n"/>
      <c r="I33" s="16" t="n"/>
      <c r="J33" s="16" t="n"/>
      <c r="K33" s="17">
        <f>IF($B33="","",IF($E33="Guest/Outside","N/A",IF(AND(OR($E33="TCOLE Instructor",AND(LEFT($E33,3)="SME",$H33="On File")),OR($I33="On File",$I33="N/A"),LEFT($O33,7)&lt;&gt;"EXPIRED",$O33&lt;&gt;"MISSING EXPIRATION"),"Yes","No")))</f>
        <v/>
      </c>
      <c r="L33" s="17">
        <f>IF($B33="","",IF(SUMPRODUCT(--ISNUMBER(SEARCH($B33,nrSCH_Instr)))&gt;0,"Yes",""))</f>
        <v/>
      </c>
      <c r="M33" s="17">
        <f>IF($B33="","",IFERROR(_xlfn.LET(_xlpm.v,_xlfn.UNIQUE(_xlfn._xlws.FILTER(nrSCH_ChNum,ISNUMBER(SEARCH($B33,nrSCH_Instr))*(nrSCH_ChNum&lt;&gt;""))),_xlfn.TEXTJOIN(", ",TRUE,_xlfn.SORTBY(_xlpm.v,IFERROR(_xlpm.v+0,99999),1))),""))</f>
        <v/>
      </c>
      <c r="N33" s="19">
        <f>IF($B33="","",IF(SUMPRODUCT(MAX(ISNUMBER(SEARCH($B33,nrSCH_Instr))*nrSCH_Date))=0,"",SUMPRODUCT(MAX(ISNUMBER(SEARCH($B33,nrSCH_Instr))*nrSCH_Date))))</f>
        <v/>
      </c>
      <c r="O33" s="17">
        <f>IF($B33="","",IF($E33="Guest/Outside","N/A",IF($L33&lt;&gt;"Yes","(not on schedule)",IF(LEFT($E33,3)="SME","N/A (SME letter)",IF($E33&lt;&gt;"TCOLE Instructor","CHECK TYPE",IF($G33="","MISSING EXPIRATION",IF(NOT(ISNUMBER($G33)),"CHECK DATE",IF(AND(N($N33)&gt;0,$G33&lt;$N33),"EXPIRED BEFORE LAST CLASS TAUGHT "&amp;TEXT($G33,"mm/dd/yy"),IF($G33&lt;cfgEndDate,"RENEW - expires during academy "&amp;TEXT($G33,"mm/dd/yy"),"Current")))))))))</f>
        <v/>
      </c>
    </row>
    <row r="34">
      <c r="B34" s="16" t="inlineStr">
        <is>
          <t>Matthew Dahl</t>
        </is>
      </c>
      <c r="C34" s="16" t="n"/>
      <c r="D34" s="16" t="n"/>
      <c r="E34" s="16" t="n"/>
      <c r="F34" s="16" t="n"/>
      <c r="G34" s="18" t="n"/>
      <c r="H34" s="16" t="n"/>
      <c r="I34" s="16" t="n"/>
      <c r="J34" s="16" t="n"/>
      <c r="K34" s="17">
        <f>IF($B34="","",IF($E34="Guest/Outside","N/A",IF(AND(OR($E34="TCOLE Instructor",AND(LEFT($E34,3)="SME",$H34="On File")),OR($I34="On File",$I34="N/A"),LEFT($O34,7)&lt;&gt;"EXPIRED",$O34&lt;&gt;"MISSING EXPIRATION"),"Yes","No")))</f>
        <v/>
      </c>
      <c r="L34" s="17">
        <f>IF($B34="","",IF(SUMPRODUCT(--ISNUMBER(SEARCH($B34,nrSCH_Instr)))&gt;0,"Yes",""))</f>
        <v/>
      </c>
      <c r="M34" s="17">
        <f>IF($B34="","",IFERROR(_xlfn.LET(_xlpm.v,_xlfn.UNIQUE(_xlfn._xlws.FILTER(nrSCH_ChNum,ISNUMBER(SEARCH($B34,nrSCH_Instr))*(nrSCH_ChNum&lt;&gt;""))),_xlfn.TEXTJOIN(", ",TRUE,_xlfn.SORTBY(_xlpm.v,IFERROR(_xlpm.v+0,99999),1))),""))</f>
        <v/>
      </c>
      <c r="N34" s="19">
        <f>IF($B34="","",IF(SUMPRODUCT(MAX(ISNUMBER(SEARCH($B34,nrSCH_Instr))*nrSCH_Date))=0,"",SUMPRODUCT(MAX(ISNUMBER(SEARCH($B34,nrSCH_Instr))*nrSCH_Date))))</f>
        <v/>
      </c>
      <c r="O34" s="17">
        <f>IF($B34="","",IF($E34="Guest/Outside","N/A",IF($L34&lt;&gt;"Yes","(not on schedule)",IF(LEFT($E34,3)="SME","N/A (SME letter)",IF($E34&lt;&gt;"TCOLE Instructor","CHECK TYPE",IF($G34="","MISSING EXPIRATION",IF(NOT(ISNUMBER($G34)),"CHECK DATE",IF(AND(N($N34)&gt;0,$G34&lt;$N34),"EXPIRED BEFORE LAST CLASS TAUGHT "&amp;TEXT($G34,"mm/dd/yy"),IF($G34&lt;cfgEndDate,"RENEW - expires during academy "&amp;TEXT($G34,"mm/dd/yy"),"Current")))))))))</f>
        <v/>
      </c>
    </row>
    <row r="35">
      <c r="B35" s="16" t="inlineStr">
        <is>
          <t>Elliott Patterson</t>
        </is>
      </c>
      <c r="C35" s="16" t="n"/>
      <c r="D35" s="16" t="n"/>
      <c r="E35" s="16" t="n"/>
      <c r="F35" s="16" t="n"/>
      <c r="G35" s="18" t="n"/>
      <c r="H35" s="16" t="n"/>
      <c r="I35" s="16" t="n"/>
      <c r="J35" s="16" t="n"/>
      <c r="K35" s="17">
        <f>IF($B35="","",IF($E35="Guest/Outside","N/A",IF(AND(OR($E35="TCOLE Instructor",AND(LEFT($E35,3)="SME",$H35="On File")),OR($I35="On File",$I35="N/A"),LEFT($O35,7)&lt;&gt;"EXPIRED",$O35&lt;&gt;"MISSING EXPIRATION"),"Yes","No")))</f>
        <v/>
      </c>
      <c r="L35" s="17">
        <f>IF($B35="","",IF(SUMPRODUCT(--ISNUMBER(SEARCH($B35,nrSCH_Instr)))&gt;0,"Yes",""))</f>
        <v/>
      </c>
      <c r="M35" s="17">
        <f>IF($B35="","",IFERROR(_xlfn.LET(_xlpm.v,_xlfn.UNIQUE(_xlfn._xlws.FILTER(nrSCH_ChNum,ISNUMBER(SEARCH($B35,nrSCH_Instr))*(nrSCH_ChNum&lt;&gt;""))),_xlfn.TEXTJOIN(", ",TRUE,_xlfn.SORTBY(_xlpm.v,IFERROR(_xlpm.v+0,99999),1))),""))</f>
        <v/>
      </c>
      <c r="N35" s="19">
        <f>IF($B35="","",IF(SUMPRODUCT(MAX(ISNUMBER(SEARCH($B35,nrSCH_Instr))*nrSCH_Date))=0,"",SUMPRODUCT(MAX(ISNUMBER(SEARCH($B35,nrSCH_Instr))*nrSCH_Date))))</f>
        <v/>
      </c>
      <c r="O35" s="17">
        <f>IF($B35="","",IF($E35="Guest/Outside","N/A",IF($L35&lt;&gt;"Yes","(not on schedule)",IF(LEFT($E35,3)="SME","N/A (SME letter)",IF($E35&lt;&gt;"TCOLE Instructor","CHECK TYPE",IF($G35="","MISSING EXPIRATION",IF(NOT(ISNUMBER($G35)),"CHECK DATE",IF(AND(N($N35)&gt;0,$G35&lt;$N35),"EXPIRED BEFORE LAST CLASS TAUGHT "&amp;TEXT($G35,"mm/dd/yy"),IF($G35&lt;cfgEndDate,"RENEW - expires during academy "&amp;TEXT($G35,"mm/dd/yy"),"Current")))))))))</f>
        <v/>
      </c>
    </row>
    <row r="36">
      <c r="B36" s="16" t="inlineStr">
        <is>
          <t>Bianca Smedley</t>
        </is>
      </c>
      <c r="C36" s="16" t="n"/>
      <c r="D36" s="16" t="n"/>
      <c r="E36" s="16" t="n"/>
      <c r="F36" s="16" t="n"/>
      <c r="G36" s="18" t="n"/>
      <c r="H36" s="16" t="n"/>
      <c r="I36" s="16" t="n"/>
      <c r="J36" s="16" t="n"/>
      <c r="K36" s="17">
        <f>IF($B36="","",IF($E36="Guest/Outside","N/A",IF(AND(OR($E36="TCOLE Instructor",AND(LEFT($E36,3)="SME",$H36="On File")),OR($I36="On File",$I36="N/A"),LEFT($O36,7)&lt;&gt;"EXPIRED",$O36&lt;&gt;"MISSING EXPIRATION"),"Yes","No")))</f>
        <v/>
      </c>
      <c r="L36" s="17">
        <f>IF($B36="","",IF(SUMPRODUCT(--ISNUMBER(SEARCH($B36,nrSCH_Instr)))&gt;0,"Yes",""))</f>
        <v/>
      </c>
      <c r="M36" s="17">
        <f>IF($B36="","",IFERROR(_xlfn.LET(_xlpm.v,_xlfn.UNIQUE(_xlfn._xlws.FILTER(nrSCH_ChNum,ISNUMBER(SEARCH($B36,nrSCH_Instr))*(nrSCH_ChNum&lt;&gt;""))),_xlfn.TEXTJOIN(", ",TRUE,_xlfn.SORTBY(_xlpm.v,IFERROR(_xlpm.v+0,99999),1))),""))</f>
        <v/>
      </c>
      <c r="N36" s="19">
        <f>IF($B36="","",IF(SUMPRODUCT(MAX(ISNUMBER(SEARCH($B36,nrSCH_Instr))*nrSCH_Date))=0,"",SUMPRODUCT(MAX(ISNUMBER(SEARCH($B36,nrSCH_Instr))*nrSCH_Date))))</f>
        <v/>
      </c>
      <c r="O36" s="17">
        <f>IF($B36="","",IF($E36="Guest/Outside","N/A",IF($L36&lt;&gt;"Yes","(not on schedule)",IF(LEFT($E36,3)="SME","N/A (SME letter)",IF($E36&lt;&gt;"TCOLE Instructor","CHECK TYPE",IF($G36="","MISSING EXPIRATION",IF(NOT(ISNUMBER($G36)),"CHECK DATE",IF(AND(N($N36)&gt;0,$G36&lt;$N36),"EXPIRED BEFORE LAST CLASS TAUGHT "&amp;TEXT($G36,"mm/dd/yy"),IF($G36&lt;cfgEndDate,"RENEW - expires during academy "&amp;TEXT($G36,"mm/dd/yy"),"Current")))))))))</f>
        <v/>
      </c>
    </row>
    <row r="37">
      <c r="B37" s="16" t="inlineStr">
        <is>
          <t>James Freeman</t>
        </is>
      </c>
      <c r="C37" s="16" t="n"/>
      <c r="D37" s="16" t="n"/>
      <c r="E37" s="16" t="n"/>
      <c r="F37" s="16" t="n"/>
      <c r="G37" s="18" t="n"/>
      <c r="H37" s="16" t="n"/>
      <c r="I37" s="16" t="n"/>
      <c r="J37" s="16" t="n"/>
      <c r="K37" s="17">
        <f>IF($B37="","",IF($E37="Guest/Outside","N/A",IF(AND(OR($E37="TCOLE Instructor",AND(LEFT($E37,3)="SME",$H37="On File")),OR($I37="On File",$I37="N/A"),LEFT($O37,7)&lt;&gt;"EXPIRED",$O37&lt;&gt;"MISSING EXPIRATION"),"Yes","No")))</f>
        <v/>
      </c>
      <c r="L37" s="17">
        <f>IF($B37="","",IF(SUMPRODUCT(--ISNUMBER(SEARCH($B37,nrSCH_Instr)))&gt;0,"Yes",""))</f>
        <v/>
      </c>
      <c r="M37" s="17">
        <f>IF($B37="","",IFERROR(_xlfn.LET(_xlpm.v,_xlfn.UNIQUE(_xlfn._xlws.FILTER(nrSCH_ChNum,ISNUMBER(SEARCH($B37,nrSCH_Instr))*(nrSCH_ChNum&lt;&gt;""))),_xlfn.TEXTJOIN(", ",TRUE,_xlfn.SORTBY(_xlpm.v,IFERROR(_xlpm.v+0,99999),1))),""))</f>
        <v/>
      </c>
      <c r="N37" s="19">
        <f>IF($B37="","",IF(SUMPRODUCT(MAX(ISNUMBER(SEARCH($B37,nrSCH_Instr))*nrSCH_Date))=0,"",SUMPRODUCT(MAX(ISNUMBER(SEARCH($B37,nrSCH_Instr))*nrSCH_Date))))</f>
        <v/>
      </c>
      <c r="O37" s="17">
        <f>IF($B37="","",IF($E37="Guest/Outside","N/A",IF($L37&lt;&gt;"Yes","(not on schedule)",IF(LEFT($E37,3)="SME","N/A (SME letter)",IF($E37&lt;&gt;"TCOLE Instructor","CHECK TYPE",IF($G37="","MISSING EXPIRATION",IF(NOT(ISNUMBER($G37)),"CHECK DATE",IF(AND(N($N37)&gt;0,$G37&lt;$N37),"EXPIRED BEFORE LAST CLASS TAUGHT "&amp;TEXT($G37,"mm/dd/yy"),IF($G37&lt;cfgEndDate,"RENEW - expires during academy "&amp;TEXT($G37,"mm/dd/yy"),"Current")))))))))</f>
        <v/>
      </c>
    </row>
    <row r="38">
      <c r="B38" s="16" t="inlineStr">
        <is>
          <t>Kyle Liggitt</t>
        </is>
      </c>
      <c r="C38" s="16" t="n"/>
      <c r="D38" s="16" t="n"/>
      <c r="E38" s="16" t="n"/>
      <c r="F38" s="16" t="n"/>
      <c r="G38" s="18" t="n"/>
      <c r="H38" s="16" t="n"/>
      <c r="I38" s="16" t="n"/>
      <c r="J38" s="16" t="n"/>
      <c r="K38" s="17">
        <f>IF($B38="","",IF($E38="Guest/Outside","N/A",IF(AND(OR($E38="TCOLE Instructor",AND(LEFT($E38,3)="SME",$H38="On File")),OR($I38="On File",$I38="N/A"),LEFT($O38,7)&lt;&gt;"EXPIRED",$O38&lt;&gt;"MISSING EXPIRATION"),"Yes","No")))</f>
        <v/>
      </c>
      <c r="L38" s="17">
        <f>IF($B38="","",IF(SUMPRODUCT(--ISNUMBER(SEARCH($B38,nrSCH_Instr)))&gt;0,"Yes",""))</f>
        <v/>
      </c>
      <c r="M38" s="17">
        <f>IF($B38="","",IFERROR(_xlfn.LET(_xlpm.v,_xlfn.UNIQUE(_xlfn._xlws.FILTER(nrSCH_ChNum,ISNUMBER(SEARCH($B38,nrSCH_Instr))*(nrSCH_ChNum&lt;&gt;""))),_xlfn.TEXTJOIN(", ",TRUE,_xlfn.SORTBY(_xlpm.v,IFERROR(_xlpm.v+0,99999),1))),""))</f>
        <v/>
      </c>
      <c r="N38" s="19">
        <f>IF($B38="","",IF(SUMPRODUCT(MAX(ISNUMBER(SEARCH($B38,nrSCH_Instr))*nrSCH_Date))=0,"",SUMPRODUCT(MAX(ISNUMBER(SEARCH($B38,nrSCH_Instr))*nrSCH_Date))))</f>
        <v/>
      </c>
      <c r="O38" s="17">
        <f>IF($B38="","",IF($E38="Guest/Outside","N/A",IF($L38&lt;&gt;"Yes","(not on schedule)",IF(LEFT($E38,3)="SME","N/A (SME letter)",IF($E38&lt;&gt;"TCOLE Instructor","CHECK TYPE",IF($G38="","MISSING EXPIRATION",IF(NOT(ISNUMBER($G38)),"CHECK DATE",IF(AND(N($N38)&gt;0,$G38&lt;$N38),"EXPIRED BEFORE LAST CLASS TAUGHT "&amp;TEXT($G38,"mm/dd/yy"),IF($G38&lt;cfgEndDate,"RENEW - expires during academy "&amp;TEXT($G38,"mm/dd/yy"),"Current")))))))))</f>
        <v/>
      </c>
    </row>
    <row r="39">
      <c r="B39" s="16" t="inlineStr">
        <is>
          <t>Ryan Caldwell</t>
        </is>
      </c>
      <c r="C39" s="16" t="n"/>
      <c r="D39" s="16" t="n"/>
      <c r="E39" s="16" t="n"/>
      <c r="F39" s="16" t="n"/>
      <c r="G39" s="18" t="n"/>
      <c r="H39" s="16" t="n"/>
      <c r="I39" s="16" t="n"/>
      <c r="J39" s="16" t="n"/>
      <c r="K39" s="17">
        <f>IF($B39="","",IF($E39="Guest/Outside","N/A",IF(AND(OR($E39="TCOLE Instructor",AND(LEFT($E39,3)="SME",$H39="On File")),OR($I39="On File",$I39="N/A"),LEFT($O39,7)&lt;&gt;"EXPIRED",$O39&lt;&gt;"MISSING EXPIRATION"),"Yes","No")))</f>
        <v/>
      </c>
      <c r="L39" s="17">
        <f>IF($B39="","",IF(SUMPRODUCT(--ISNUMBER(SEARCH($B39,nrSCH_Instr)))&gt;0,"Yes",""))</f>
        <v/>
      </c>
      <c r="M39" s="17">
        <f>IF($B39="","",IFERROR(_xlfn.LET(_xlpm.v,_xlfn.UNIQUE(_xlfn._xlws.FILTER(nrSCH_ChNum,ISNUMBER(SEARCH($B39,nrSCH_Instr))*(nrSCH_ChNum&lt;&gt;""))),_xlfn.TEXTJOIN(", ",TRUE,_xlfn.SORTBY(_xlpm.v,IFERROR(_xlpm.v+0,99999),1))),""))</f>
        <v/>
      </c>
      <c r="N39" s="19">
        <f>IF($B39="","",IF(SUMPRODUCT(MAX(ISNUMBER(SEARCH($B39,nrSCH_Instr))*nrSCH_Date))=0,"",SUMPRODUCT(MAX(ISNUMBER(SEARCH($B39,nrSCH_Instr))*nrSCH_Date))))</f>
        <v/>
      </c>
      <c r="O39" s="17">
        <f>IF($B39="","",IF($E39="Guest/Outside","N/A",IF($L39&lt;&gt;"Yes","(not on schedule)",IF(LEFT($E39,3)="SME","N/A (SME letter)",IF($E39&lt;&gt;"TCOLE Instructor","CHECK TYPE",IF($G39="","MISSING EXPIRATION",IF(NOT(ISNUMBER($G39)),"CHECK DATE",IF(AND(N($N39)&gt;0,$G39&lt;$N39),"EXPIRED BEFORE LAST CLASS TAUGHT "&amp;TEXT($G39,"mm/dd/yy"),IF($G39&lt;cfgEndDate,"RENEW - expires during academy "&amp;TEXT($G39,"mm/dd/yy"),"Current")))))))))</f>
        <v/>
      </c>
    </row>
    <row r="40">
      <c r="B40" s="16" t="inlineStr">
        <is>
          <t>Justin Lambert</t>
        </is>
      </c>
      <c r="C40" s="16" t="n"/>
      <c r="D40" s="16" t="n"/>
      <c r="E40" s="16" t="n"/>
      <c r="F40" s="16" t="n"/>
      <c r="G40" s="18" t="n"/>
      <c r="H40" s="16" t="n"/>
      <c r="I40" s="16" t="n"/>
      <c r="J40" s="16" t="n"/>
      <c r="K40" s="17">
        <f>IF($B40="","",IF($E40="Guest/Outside","N/A",IF(AND(OR($E40="TCOLE Instructor",AND(LEFT($E40,3)="SME",$H40="On File")),OR($I40="On File",$I40="N/A"),LEFT($O40,7)&lt;&gt;"EXPIRED",$O40&lt;&gt;"MISSING EXPIRATION"),"Yes","No")))</f>
        <v/>
      </c>
      <c r="L40" s="17">
        <f>IF($B40="","",IF(SUMPRODUCT(--ISNUMBER(SEARCH($B40,nrSCH_Instr)))&gt;0,"Yes",""))</f>
        <v/>
      </c>
      <c r="M40" s="17">
        <f>IF($B40="","",IFERROR(_xlfn.LET(_xlpm.v,_xlfn.UNIQUE(_xlfn._xlws.FILTER(nrSCH_ChNum,ISNUMBER(SEARCH($B40,nrSCH_Instr))*(nrSCH_ChNum&lt;&gt;""))),_xlfn.TEXTJOIN(", ",TRUE,_xlfn.SORTBY(_xlpm.v,IFERROR(_xlpm.v+0,99999),1))),""))</f>
        <v/>
      </c>
      <c r="N40" s="19">
        <f>IF($B40="","",IF(SUMPRODUCT(MAX(ISNUMBER(SEARCH($B40,nrSCH_Instr))*nrSCH_Date))=0,"",SUMPRODUCT(MAX(ISNUMBER(SEARCH($B40,nrSCH_Instr))*nrSCH_Date))))</f>
        <v/>
      </c>
      <c r="O40" s="17">
        <f>IF($B40="","",IF($E40="Guest/Outside","N/A",IF($L40&lt;&gt;"Yes","(not on schedule)",IF(LEFT($E40,3)="SME","N/A (SME letter)",IF($E40&lt;&gt;"TCOLE Instructor","CHECK TYPE",IF($G40="","MISSING EXPIRATION",IF(NOT(ISNUMBER($G40)),"CHECK DATE",IF(AND(N($N40)&gt;0,$G40&lt;$N40),"EXPIRED BEFORE LAST CLASS TAUGHT "&amp;TEXT($G40,"mm/dd/yy"),IF($G40&lt;cfgEndDate,"RENEW - expires during academy "&amp;TEXT($G40,"mm/dd/yy"),"Current")))))))))</f>
        <v/>
      </c>
    </row>
    <row r="41">
      <c r="B41" s="16" t="inlineStr">
        <is>
          <t>Chuck Boyce</t>
        </is>
      </c>
      <c r="C41" s="16" t="n"/>
      <c r="D41" s="16" t="n"/>
      <c r="E41" s="16" t="n"/>
      <c r="F41" s="16" t="n"/>
      <c r="G41" s="18" t="n"/>
      <c r="H41" s="16" t="n"/>
      <c r="I41" s="16" t="n"/>
      <c r="J41" s="16" t="n"/>
      <c r="K41" s="17">
        <f>IF($B41="","",IF($E41="Guest/Outside","N/A",IF(AND(OR($E41="TCOLE Instructor",AND(LEFT($E41,3)="SME",$H41="On File")),OR($I41="On File",$I41="N/A"),LEFT($O41,7)&lt;&gt;"EXPIRED",$O41&lt;&gt;"MISSING EXPIRATION"),"Yes","No")))</f>
        <v/>
      </c>
      <c r="L41" s="17">
        <f>IF($B41="","",IF(SUMPRODUCT(--ISNUMBER(SEARCH($B41,nrSCH_Instr)))&gt;0,"Yes",""))</f>
        <v/>
      </c>
      <c r="M41" s="17">
        <f>IF($B41="","",IFERROR(_xlfn.LET(_xlpm.v,_xlfn.UNIQUE(_xlfn._xlws.FILTER(nrSCH_ChNum,ISNUMBER(SEARCH($B41,nrSCH_Instr))*(nrSCH_ChNum&lt;&gt;""))),_xlfn.TEXTJOIN(", ",TRUE,_xlfn.SORTBY(_xlpm.v,IFERROR(_xlpm.v+0,99999),1))),""))</f>
        <v/>
      </c>
      <c r="N41" s="19">
        <f>IF($B41="","",IF(SUMPRODUCT(MAX(ISNUMBER(SEARCH($B41,nrSCH_Instr))*nrSCH_Date))=0,"",SUMPRODUCT(MAX(ISNUMBER(SEARCH($B41,nrSCH_Instr))*nrSCH_Date))))</f>
        <v/>
      </c>
      <c r="O41" s="17">
        <f>IF($B41="","",IF($E41="Guest/Outside","N/A",IF($L41&lt;&gt;"Yes","(not on schedule)",IF(LEFT($E41,3)="SME","N/A (SME letter)",IF($E41&lt;&gt;"TCOLE Instructor","CHECK TYPE",IF($G41="","MISSING EXPIRATION",IF(NOT(ISNUMBER($G41)),"CHECK DATE",IF(AND(N($N41)&gt;0,$G41&lt;$N41),"EXPIRED BEFORE LAST CLASS TAUGHT "&amp;TEXT($G41,"mm/dd/yy"),IF($G41&lt;cfgEndDate,"RENEW - expires during academy "&amp;TEXT($G41,"mm/dd/yy"),"Current")))))))))</f>
        <v/>
      </c>
    </row>
    <row r="42">
      <c r="B42" s="16" t="inlineStr">
        <is>
          <t>Adam Riggle</t>
        </is>
      </c>
      <c r="C42" s="16" t="n"/>
      <c r="D42" s="16" t="n"/>
      <c r="E42" s="16" t="n"/>
      <c r="F42" s="16" t="n"/>
      <c r="G42" s="18" t="n"/>
      <c r="H42" s="16" t="n"/>
      <c r="I42" s="16" t="n"/>
      <c r="J42" s="16" t="n"/>
      <c r="K42" s="17">
        <f>IF($B42="","",IF($E42="Guest/Outside","N/A",IF(AND(OR($E42="TCOLE Instructor",AND(LEFT($E42,3)="SME",$H42="On File")),OR($I42="On File",$I42="N/A"),LEFT($O42,7)&lt;&gt;"EXPIRED",$O42&lt;&gt;"MISSING EXPIRATION"),"Yes","No")))</f>
        <v/>
      </c>
      <c r="L42" s="17">
        <f>IF($B42="","",IF(SUMPRODUCT(--ISNUMBER(SEARCH($B42,nrSCH_Instr)))&gt;0,"Yes",""))</f>
        <v/>
      </c>
      <c r="M42" s="17">
        <f>IF($B42="","",IFERROR(_xlfn.LET(_xlpm.v,_xlfn.UNIQUE(_xlfn._xlws.FILTER(nrSCH_ChNum,ISNUMBER(SEARCH($B42,nrSCH_Instr))*(nrSCH_ChNum&lt;&gt;""))),_xlfn.TEXTJOIN(", ",TRUE,_xlfn.SORTBY(_xlpm.v,IFERROR(_xlpm.v+0,99999),1))),""))</f>
        <v/>
      </c>
      <c r="N42" s="19">
        <f>IF($B42="","",IF(SUMPRODUCT(MAX(ISNUMBER(SEARCH($B42,nrSCH_Instr))*nrSCH_Date))=0,"",SUMPRODUCT(MAX(ISNUMBER(SEARCH($B42,nrSCH_Instr))*nrSCH_Date))))</f>
        <v/>
      </c>
      <c r="O42" s="17">
        <f>IF($B42="","",IF($E42="Guest/Outside","N/A",IF($L42&lt;&gt;"Yes","(not on schedule)",IF(LEFT($E42,3)="SME","N/A (SME letter)",IF($E42&lt;&gt;"TCOLE Instructor","CHECK TYPE",IF($G42="","MISSING EXPIRATION",IF(NOT(ISNUMBER($G42)),"CHECK DATE",IF(AND(N($N42)&gt;0,$G42&lt;$N42),"EXPIRED BEFORE LAST CLASS TAUGHT "&amp;TEXT($G42,"mm/dd/yy"),IF($G42&lt;cfgEndDate,"RENEW - expires during academy "&amp;TEXT($G42,"mm/dd/yy"),"Current")))))))))</f>
        <v/>
      </c>
    </row>
    <row r="43">
      <c r="B43" s="16" t="inlineStr">
        <is>
          <t>Adam Tarrant</t>
        </is>
      </c>
      <c r="C43" s="16" t="n"/>
      <c r="D43" s="16" t="n"/>
      <c r="E43" s="16" t="n"/>
      <c r="F43" s="16" t="n"/>
      <c r="G43" s="18" t="n"/>
      <c r="H43" s="16" t="n"/>
      <c r="I43" s="16" t="n"/>
      <c r="J43" s="16" t="n"/>
      <c r="K43" s="17">
        <f>IF($B43="","",IF($E43="Guest/Outside","N/A",IF(AND(OR($E43="TCOLE Instructor",AND(LEFT($E43,3)="SME",$H43="On File")),OR($I43="On File",$I43="N/A"),LEFT($O43,7)&lt;&gt;"EXPIRED",$O43&lt;&gt;"MISSING EXPIRATION"),"Yes","No")))</f>
        <v/>
      </c>
      <c r="L43" s="17">
        <f>IF($B43="","",IF(SUMPRODUCT(--ISNUMBER(SEARCH($B43,nrSCH_Instr)))&gt;0,"Yes",""))</f>
        <v/>
      </c>
      <c r="M43" s="17">
        <f>IF($B43="","",IFERROR(_xlfn.LET(_xlpm.v,_xlfn.UNIQUE(_xlfn._xlws.FILTER(nrSCH_ChNum,ISNUMBER(SEARCH($B43,nrSCH_Instr))*(nrSCH_ChNum&lt;&gt;""))),_xlfn.TEXTJOIN(", ",TRUE,_xlfn.SORTBY(_xlpm.v,IFERROR(_xlpm.v+0,99999),1))),""))</f>
        <v/>
      </c>
      <c r="N43" s="19">
        <f>IF($B43="","",IF(SUMPRODUCT(MAX(ISNUMBER(SEARCH($B43,nrSCH_Instr))*nrSCH_Date))=0,"",SUMPRODUCT(MAX(ISNUMBER(SEARCH($B43,nrSCH_Instr))*nrSCH_Date))))</f>
        <v/>
      </c>
      <c r="O43" s="17">
        <f>IF($B43="","",IF($E43="Guest/Outside","N/A",IF($L43&lt;&gt;"Yes","(not on schedule)",IF(LEFT($E43,3)="SME","N/A (SME letter)",IF($E43&lt;&gt;"TCOLE Instructor","CHECK TYPE",IF($G43="","MISSING EXPIRATION",IF(NOT(ISNUMBER($G43)),"CHECK DATE",IF(AND(N($N43)&gt;0,$G43&lt;$N43),"EXPIRED BEFORE LAST CLASS TAUGHT "&amp;TEXT($G43,"mm/dd/yy"),IF($G43&lt;cfgEndDate,"RENEW - expires during academy "&amp;TEXT($G43,"mm/dd/yy"),"Current")))))))))</f>
        <v/>
      </c>
    </row>
    <row r="44">
      <c r="B44" s="16" t="inlineStr">
        <is>
          <t>Spencer McGregor</t>
        </is>
      </c>
      <c r="C44" s="16" t="n"/>
      <c r="D44" s="16" t="n"/>
      <c r="E44" s="16" t="n"/>
      <c r="F44" s="16" t="n"/>
      <c r="G44" s="18" t="n"/>
      <c r="H44" s="16" t="n"/>
      <c r="I44" s="16" t="n"/>
      <c r="J44" s="16" t="n"/>
      <c r="K44" s="17">
        <f>IF($B44="","",IF($E44="Guest/Outside","N/A",IF(AND(OR($E44="TCOLE Instructor",AND(LEFT($E44,3)="SME",$H44="On File")),OR($I44="On File",$I44="N/A"),LEFT($O44,7)&lt;&gt;"EXPIRED",$O44&lt;&gt;"MISSING EXPIRATION"),"Yes","No")))</f>
        <v/>
      </c>
      <c r="L44" s="17">
        <f>IF($B44="","",IF(SUMPRODUCT(--ISNUMBER(SEARCH($B44,nrSCH_Instr)))&gt;0,"Yes",""))</f>
        <v/>
      </c>
      <c r="M44" s="17">
        <f>IF($B44="","",IFERROR(_xlfn.LET(_xlpm.v,_xlfn.UNIQUE(_xlfn._xlws.FILTER(nrSCH_ChNum,ISNUMBER(SEARCH($B44,nrSCH_Instr))*(nrSCH_ChNum&lt;&gt;""))),_xlfn.TEXTJOIN(", ",TRUE,_xlfn.SORTBY(_xlpm.v,IFERROR(_xlpm.v+0,99999),1))),""))</f>
        <v/>
      </c>
      <c r="N44" s="19">
        <f>IF($B44="","",IF(SUMPRODUCT(MAX(ISNUMBER(SEARCH($B44,nrSCH_Instr))*nrSCH_Date))=0,"",SUMPRODUCT(MAX(ISNUMBER(SEARCH($B44,nrSCH_Instr))*nrSCH_Date))))</f>
        <v/>
      </c>
      <c r="O44" s="17">
        <f>IF($B44="","",IF($E44="Guest/Outside","N/A",IF($L44&lt;&gt;"Yes","(not on schedule)",IF(LEFT($E44,3)="SME","N/A (SME letter)",IF($E44&lt;&gt;"TCOLE Instructor","CHECK TYPE",IF($G44="","MISSING EXPIRATION",IF(NOT(ISNUMBER($G44)),"CHECK DATE",IF(AND(N($N44)&gt;0,$G44&lt;$N44),"EXPIRED BEFORE LAST CLASS TAUGHT "&amp;TEXT($G44,"mm/dd/yy"),IF($G44&lt;cfgEndDate,"RENEW - expires during academy "&amp;TEXT($G44,"mm/dd/yy"),"Current")))))))))</f>
        <v/>
      </c>
    </row>
    <row r="45">
      <c r="B45" s="16" t="inlineStr">
        <is>
          <t>Josh Allen</t>
        </is>
      </c>
      <c r="C45" s="16" t="n"/>
      <c r="D45" s="16" t="n"/>
      <c r="E45" s="16" t="n"/>
      <c r="F45" s="16" t="n"/>
      <c r="G45" s="18" t="n"/>
      <c r="H45" s="16" t="n"/>
      <c r="I45" s="16" t="n"/>
      <c r="J45" s="16" t="n"/>
      <c r="K45" s="17">
        <f>IF($B45="","",IF($E45="Guest/Outside","N/A",IF(AND(OR($E45="TCOLE Instructor",AND(LEFT($E45,3)="SME",$H45="On File")),OR($I45="On File",$I45="N/A"),LEFT($O45,7)&lt;&gt;"EXPIRED",$O45&lt;&gt;"MISSING EXPIRATION"),"Yes","No")))</f>
        <v/>
      </c>
      <c r="L45" s="17">
        <f>IF($B45="","",IF(SUMPRODUCT(--ISNUMBER(SEARCH($B45,nrSCH_Instr)))&gt;0,"Yes",""))</f>
        <v/>
      </c>
      <c r="M45" s="17">
        <f>IF($B45="","",IFERROR(_xlfn.LET(_xlpm.v,_xlfn.UNIQUE(_xlfn._xlws.FILTER(nrSCH_ChNum,ISNUMBER(SEARCH($B45,nrSCH_Instr))*(nrSCH_ChNum&lt;&gt;""))),_xlfn.TEXTJOIN(", ",TRUE,_xlfn.SORTBY(_xlpm.v,IFERROR(_xlpm.v+0,99999),1))),""))</f>
        <v/>
      </c>
      <c r="N45" s="19">
        <f>IF($B45="","",IF(SUMPRODUCT(MAX(ISNUMBER(SEARCH($B45,nrSCH_Instr))*nrSCH_Date))=0,"",SUMPRODUCT(MAX(ISNUMBER(SEARCH($B45,nrSCH_Instr))*nrSCH_Date))))</f>
        <v/>
      </c>
      <c r="O45" s="17">
        <f>IF($B45="","",IF($E45="Guest/Outside","N/A",IF($L45&lt;&gt;"Yes","(not on schedule)",IF(LEFT($E45,3)="SME","N/A (SME letter)",IF($E45&lt;&gt;"TCOLE Instructor","CHECK TYPE",IF($G45="","MISSING EXPIRATION",IF(NOT(ISNUMBER($G45)),"CHECK DATE",IF(AND(N($N45)&gt;0,$G45&lt;$N45),"EXPIRED BEFORE LAST CLASS TAUGHT "&amp;TEXT($G45,"mm/dd/yy"),IF($G45&lt;cfgEndDate,"RENEW - expires during academy "&amp;TEXT($G45,"mm/dd/yy"),"Current")))))))))</f>
        <v/>
      </c>
    </row>
    <row r="46">
      <c r="B46" s="16" t="inlineStr">
        <is>
          <t>Gavin Kirkhart</t>
        </is>
      </c>
      <c r="C46" s="16" t="n"/>
      <c r="D46" s="16" t="n"/>
      <c r="E46" s="16" t="n"/>
      <c r="F46" s="16" t="n"/>
      <c r="G46" s="18" t="n"/>
      <c r="H46" s="16" t="n"/>
      <c r="I46" s="16" t="n"/>
      <c r="J46" s="16" t="n"/>
      <c r="K46" s="17">
        <f>IF($B46="","",IF($E46="Guest/Outside","N/A",IF(AND(OR($E46="TCOLE Instructor",AND(LEFT($E46,3)="SME",$H46="On File")),OR($I46="On File",$I46="N/A"),LEFT($O46,7)&lt;&gt;"EXPIRED",$O46&lt;&gt;"MISSING EXPIRATION"),"Yes","No")))</f>
        <v/>
      </c>
      <c r="L46" s="17">
        <f>IF($B46="","",IF(SUMPRODUCT(--ISNUMBER(SEARCH($B46,nrSCH_Instr)))&gt;0,"Yes",""))</f>
        <v/>
      </c>
      <c r="M46" s="17">
        <f>IF($B46="","",IFERROR(_xlfn.LET(_xlpm.v,_xlfn.UNIQUE(_xlfn._xlws.FILTER(nrSCH_ChNum,ISNUMBER(SEARCH($B46,nrSCH_Instr))*(nrSCH_ChNum&lt;&gt;""))),_xlfn.TEXTJOIN(", ",TRUE,_xlfn.SORTBY(_xlpm.v,IFERROR(_xlpm.v+0,99999),1))),""))</f>
        <v/>
      </c>
      <c r="N46" s="19">
        <f>IF($B46="","",IF(SUMPRODUCT(MAX(ISNUMBER(SEARCH($B46,nrSCH_Instr))*nrSCH_Date))=0,"",SUMPRODUCT(MAX(ISNUMBER(SEARCH($B46,nrSCH_Instr))*nrSCH_Date))))</f>
        <v/>
      </c>
      <c r="O46" s="17">
        <f>IF($B46="","",IF($E46="Guest/Outside","N/A",IF($L46&lt;&gt;"Yes","(not on schedule)",IF(LEFT($E46,3)="SME","N/A (SME letter)",IF($E46&lt;&gt;"TCOLE Instructor","CHECK TYPE",IF($G46="","MISSING EXPIRATION",IF(NOT(ISNUMBER($G46)),"CHECK DATE",IF(AND(N($N46)&gt;0,$G46&lt;$N46),"EXPIRED BEFORE LAST CLASS TAUGHT "&amp;TEXT($G46,"mm/dd/yy"),IF($G46&lt;cfgEndDate,"RENEW - expires during academy "&amp;TEXT($G46,"mm/dd/yy"),"Current")))))))))</f>
        <v/>
      </c>
    </row>
    <row r="47">
      <c r="B47" s="16" t="inlineStr">
        <is>
          <t>Jimmy Turner</t>
        </is>
      </c>
      <c r="C47" s="16" t="n"/>
      <c r="D47" s="16" t="n"/>
      <c r="E47" s="16" t="n"/>
      <c r="F47" s="16" t="n"/>
      <c r="G47" s="18" t="n"/>
      <c r="H47" s="16" t="n"/>
      <c r="I47" s="16" t="n"/>
      <c r="J47" s="16" t="n"/>
      <c r="K47" s="17">
        <f>IF($B47="","",IF($E47="Guest/Outside","N/A",IF(AND(OR($E47="TCOLE Instructor",AND(LEFT($E47,3)="SME",$H47="On File")),OR($I47="On File",$I47="N/A"),LEFT($O47,7)&lt;&gt;"EXPIRED",$O47&lt;&gt;"MISSING EXPIRATION"),"Yes","No")))</f>
        <v/>
      </c>
      <c r="L47" s="17">
        <f>IF($B47="","",IF(SUMPRODUCT(--ISNUMBER(SEARCH($B47,nrSCH_Instr)))&gt;0,"Yes",""))</f>
        <v/>
      </c>
      <c r="M47" s="17">
        <f>IF($B47="","",IFERROR(_xlfn.LET(_xlpm.v,_xlfn.UNIQUE(_xlfn._xlws.FILTER(nrSCH_ChNum,ISNUMBER(SEARCH($B47,nrSCH_Instr))*(nrSCH_ChNum&lt;&gt;""))),_xlfn.TEXTJOIN(", ",TRUE,_xlfn.SORTBY(_xlpm.v,IFERROR(_xlpm.v+0,99999),1))),""))</f>
        <v/>
      </c>
      <c r="N47" s="19">
        <f>IF($B47="","",IF(SUMPRODUCT(MAX(ISNUMBER(SEARCH($B47,nrSCH_Instr))*nrSCH_Date))=0,"",SUMPRODUCT(MAX(ISNUMBER(SEARCH($B47,nrSCH_Instr))*nrSCH_Date))))</f>
        <v/>
      </c>
      <c r="O47" s="17">
        <f>IF($B47="","",IF($E47="Guest/Outside","N/A",IF($L47&lt;&gt;"Yes","(not on schedule)",IF(LEFT($E47,3)="SME","N/A (SME letter)",IF($E47&lt;&gt;"TCOLE Instructor","CHECK TYPE",IF($G47="","MISSING EXPIRATION",IF(NOT(ISNUMBER($G47)),"CHECK DATE",IF(AND(N($N47)&gt;0,$G47&lt;$N47),"EXPIRED BEFORE LAST CLASS TAUGHT "&amp;TEXT($G47,"mm/dd/yy"),IF($G47&lt;cfgEndDate,"RENEW - expires during academy "&amp;TEXT($G47,"mm/dd/yy"),"Current")))))))))</f>
        <v/>
      </c>
    </row>
    <row r="48">
      <c r="B48" s="16" t="inlineStr">
        <is>
          <t>Ken Gardner</t>
        </is>
      </c>
      <c r="C48" s="16" t="n"/>
      <c r="D48" s="16" t="n"/>
      <c r="E48" s="16" t="n"/>
      <c r="F48" s="16" t="n"/>
      <c r="G48" s="18" t="n"/>
      <c r="H48" s="16" t="n"/>
      <c r="I48" s="16" t="n"/>
      <c r="J48" s="16" t="n"/>
      <c r="K48" s="17">
        <f>IF($B48="","",IF($E48="Guest/Outside","N/A",IF(AND(OR($E48="TCOLE Instructor",AND(LEFT($E48,3)="SME",$H48="On File")),OR($I48="On File",$I48="N/A"),LEFT($O48,7)&lt;&gt;"EXPIRED",$O48&lt;&gt;"MISSING EXPIRATION"),"Yes","No")))</f>
        <v/>
      </c>
      <c r="L48" s="17">
        <f>IF($B48="","",IF(SUMPRODUCT(--ISNUMBER(SEARCH($B48,nrSCH_Instr)))&gt;0,"Yes",""))</f>
        <v/>
      </c>
      <c r="M48" s="17">
        <f>IF($B48="","",IFERROR(_xlfn.LET(_xlpm.v,_xlfn.UNIQUE(_xlfn._xlws.FILTER(nrSCH_ChNum,ISNUMBER(SEARCH($B48,nrSCH_Instr))*(nrSCH_ChNum&lt;&gt;""))),_xlfn.TEXTJOIN(", ",TRUE,_xlfn.SORTBY(_xlpm.v,IFERROR(_xlpm.v+0,99999),1))),""))</f>
        <v/>
      </c>
      <c r="N48" s="19">
        <f>IF($B48="","",IF(SUMPRODUCT(MAX(ISNUMBER(SEARCH($B48,nrSCH_Instr))*nrSCH_Date))=0,"",SUMPRODUCT(MAX(ISNUMBER(SEARCH($B48,nrSCH_Instr))*nrSCH_Date))))</f>
        <v/>
      </c>
      <c r="O48" s="17">
        <f>IF($B48="","",IF($E48="Guest/Outside","N/A",IF($L48&lt;&gt;"Yes","(not on schedule)",IF(LEFT($E48,3)="SME","N/A (SME letter)",IF($E48&lt;&gt;"TCOLE Instructor","CHECK TYPE",IF($G48="","MISSING EXPIRATION",IF(NOT(ISNUMBER($G48)),"CHECK DATE",IF(AND(N($N48)&gt;0,$G48&lt;$N48),"EXPIRED BEFORE LAST CLASS TAUGHT "&amp;TEXT($G48,"mm/dd/yy"),IF($G48&lt;cfgEndDate,"RENEW - expires during academy "&amp;TEXT($G48,"mm/dd/yy"),"Current")))))))))</f>
        <v/>
      </c>
    </row>
    <row r="49">
      <c r="B49" s="16" t="inlineStr">
        <is>
          <t>Will Sinclair</t>
        </is>
      </c>
      <c r="C49" s="16" t="n"/>
      <c r="D49" s="16" t="n"/>
      <c r="E49" s="16" t="n"/>
      <c r="F49" s="16" t="n"/>
      <c r="G49" s="18" t="n"/>
      <c r="H49" s="16" t="n"/>
      <c r="I49" s="16" t="n"/>
      <c r="J49" s="16" t="n"/>
      <c r="K49" s="17">
        <f>IF($B49="","",IF($E49="Guest/Outside","N/A",IF(AND(OR($E49="TCOLE Instructor",AND(LEFT($E49,3)="SME",$H49="On File")),OR($I49="On File",$I49="N/A"),LEFT($O49,7)&lt;&gt;"EXPIRED",$O49&lt;&gt;"MISSING EXPIRATION"),"Yes","No")))</f>
        <v/>
      </c>
      <c r="L49" s="17">
        <f>IF($B49="","",IF(SUMPRODUCT(--ISNUMBER(SEARCH($B49,nrSCH_Instr)))&gt;0,"Yes",""))</f>
        <v/>
      </c>
      <c r="M49" s="17">
        <f>IF($B49="","",IFERROR(_xlfn.LET(_xlpm.v,_xlfn.UNIQUE(_xlfn._xlws.FILTER(nrSCH_ChNum,ISNUMBER(SEARCH($B49,nrSCH_Instr))*(nrSCH_ChNum&lt;&gt;""))),_xlfn.TEXTJOIN(", ",TRUE,_xlfn.SORTBY(_xlpm.v,IFERROR(_xlpm.v+0,99999),1))),""))</f>
        <v/>
      </c>
      <c r="N49" s="19">
        <f>IF($B49="","",IF(SUMPRODUCT(MAX(ISNUMBER(SEARCH($B49,nrSCH_Instr))*nrSCH_Date))=0,"",SUMPRODUCT(MAX(ISNUMBER(SEARCH($B49,nrSCH_Instr))*nrSCH_Date))))</f>
        <v/>
      </c>
      <c r="O49" s="17">
        <f>IF($B49="","",IF($E49="Guest/Outside","N/A",IF($L49&lt;&gt;"Yes","(not on schedule)",IF(LEFT($E49,3)="SME","N/A (SME letter)",IF($E49&lt;&gt;"TCOLE Instructor","CHECK TYPE",IF($G49="","MISSING EXPIRATION",IF(NOT(ISNUMBER($G49)),"CHECK DATE",IF(AND(N($N49)&gt;0,$G49&lt;$N49),"EXPIRED BEFORE LAST CLASS TAUGHT "&amp;TEXT($G49,"mm/dd/yy"),IF($G49&lt;cfgEndDate,"RENEW - expires during academy "&amp;TEXT($G49,"mm/dd/yy"),"Current")))))))))</f>
        <v/>
      </c>
    </row>
    <row r="50">
      <c r="B50" s="16" t="inlineStr">
        <is>
          <t>Eddie Zapata</t>
        </is>
      </c>
      <c r="C50" s="16" t="n"/>
      <c r="D50" s="16" t="n"/>
      <c r="E50" s="16" t="n"/>
      <c r="F50" s="16" t="n"/>
      <c r="G50" s="18" t="n"/>
      <c r="H50" s="16" t="n"/>
      <c r="I50" s="16" t="n"/>
      <c r="J50" s="16" t="n"/>
      <c r="K50" s="17">
        <f>IF($B50="","",IF($E50="Guest/Outside","N/A",IF(AND(OR($E50="TCOLE Instructor",AND(LEFT($E50,3)="SME",$H50="On File")),OR($I50="On File",$I50="N/A"),LEFT($O50,7)&lt;&gt;"EXPIRED",$O50&lt;&gt;"MISSING EXPIRATION"),"Yes","No")))</f>
        <v/>
      </c>
      <c r="L50" s="17">
        <f>IF($B50="","",IF(SUMPRODUCT(--ISNUMBER(SEARCH($B50,nrSCH_Instr)))&gt;0,"Yes",""))</f>
        <v/>
      </c>
      <c r="M50" s="17">
        <f>IF($B50="","",IFERROR(_xlfn.LET(_xlpm.v,_xlfn.UNIQUE(_xlfn._xlws.FILTER(nrSCH_ChNum,ISNUMBER(SEARCH($B50,nrSCH_Instr))*(nrSCH_ChNum&lt;&gt;""))),_xlfn.TEXTJOIN(", ",TRUE,_xlfn.SORTBY(_xlpm.v,IFERROR(_xlpm.v+0,99999),1))),""))</f>
        <v/>
      </c>
      <c r="N50" s="19">
        <f>IF($B50="","",IF(SUMPRODUCT(MAX(ISNUMBER(SEARCH($B50,nrSCH_Instr))*nrSCH_Date))=0,"",SUMPRODUCT(MAX(ISNUMBER(SEARCH($B50,nrSCH_Instr))*nrSCH_Date))))</f>
        <v/>
      </c>
      <c r="O50" s="17">
        <f>IF($B50="","",IF($E50="Guest/Outside","N/A",IF($L50&lt;&gt;"Yes","(not on schedule)",IF(LEFT($E50,3)="SME","N/A (SME letter)",IF($E50&lt;&gt;"TCOLE Instructor","CHECK TYPE",IF($G50="","MISSING EXPIRATION",IF(NOT(ISNUMBER($G50)),"CHECK DATE",IF(AND(N($N50)&gt;0,$G50&lt;$N50),"EXPIRED BEFORE LAST CLASS TAUGHT "&amp;TEXT($G50,"mm/dd/yy"),IF($G50&lt;cfgEndDate,"RENEW - expires during academy "&amp;TEXT($G50,"mm/dd/yy"),"Current")))))))))</f>
        <v/>
      </c>
    </row>
    <row r="51">
      <c r="B51" s="16" t="inlineStr">
        <is>
          <t>Jordan Hill</t>
        </is>
      </c>
      <c r="C51" s="16" t="n"/>
      <c r="D51" s="16" t="n"/>
      <c r="E51" s="16" t="n"/>
      <c r="F51" s="16" t="n"/>
      <c r="G51" s="18" t="n"/>
      <c r="H51" s="16" t="n"/>
      <c r="I51" s="16" t="n"/>
      <c r="J51" s="16" t="n"/>
      <c r="K51" s="17">
        <f>IF($B51="","",IF($E51="Guest/Outside","N/A",IF(AND(OR($E51="TCOLE Instructor",AND(LEFT($E51,3)="SME",$H51="On File")),OR($I51="On File",$I51="N/A"),LEFT($O51,7)&lt;&gt;"EXPIRED",$O51&lt;&gt;"MISSING EXPIRATION"),"Yes","No")))</f>
        <v/>
      </c>
      <c r="L51" s="17">
        <f>IF($B51="","",IF(SUMPRODUCT(--ISNUMBER(SEARCH($B51,nrSCH_Instr)))&gt;0,"Yes",""))</f>
        <v/>
      </c>
      <c r="M51" s="17">
        <f>IF($B51="","",IFERROR(_xlfn.LET(_xlpm.v,_xlfn.UNIQUE(_xlfn._xlws.FILTER(nrSCH_ChNum,ISNUMBER(SEARCH($B51,nrSCH_Instr))*(nrSCH_ChNum&lt;&gt;""))),_xlfn.TEXTJOIN(", ",TRUE,_xlfn.SORTBY(_xlpm.v,IFERROR(_xlpm.v+0,99999),1))),""))</f>
        <v/>
      </c>
      <c r="N51" s="19">
        <f>IF($B51="","",IF(SUMPRODUCT(MAX(ISNUMBER(SEARCH($B51,nrSCH_Instr))*nrSCH_Date))=0,"",SUMPRODUCT(MAX(ISNUMBER(SEARCH($B51,nrSCH_Instr))*nrSCH_Date))))</f>
        <v/>
      </c>
      <c r="O51" s="17">
        <f>IF($B51="","",IF($E51="Guest/Outside","N/A",IF($L51&lt;&gt;"Yes","(not on schedule)",IF(LEFT($E51,3)="SME","N/A (SME letter)",IF($E51&lt;&gt;"TCOLE Instructor","CHECK TYPE",IF($G51="","MISSING EXPIRATION",IF(NOT(ISNUMBER($G51)),"CHECK DATE",IF(AND(N($N51)&gt;0,$G51&lt;$N51),"EXPIRED BEFORE LAST CLASS TAUGHT "&amp;TEXT($G51,"mm/dd/yy"),IF($G51&lt;cfgEndDate,"RENEW - expires during academy "&amp;TEXT($G51,"mm/dd/yy"),"Current")))))))))</f>
        <v/>
      </c>
    </row>
    <row r="52">
      <c r="B52" s="16" t="inlineStr">
        <is>
          <t>Chris Mackey</t>
        </is>
      </c>
      <c r="C52" s="16" t="n"/>
      <c r="D52" s="16" t="n"/>
      <c r="E52" s="16" t="n"/>
      <c r="F52" s="16" t="n"/>
      <c r="G52" s="18" t="n"/>
      <c r="H52" s="16" t="n"/>
      <c r="I52" s="16" t="n"/>
      <c r="J52" s="16" t="n"/>
      <c r="K52" s="17">
        <f>IF($B52="","",IF($E52="Guest/Outside","N/A",IF(AND(OR($E52="TCOLE Instructor",AND(LEFT($E52,3)="SME",$H52="On File")),OR($I52="On File",$I52="N/A"),LEFT($O52,7)&lt;&gt;"EXPIRED",$O52&lt;&gt;"MISSING EXPIRATION"),"Yes","No")))</f>
        <v/>
      </c>
      <c r="L52" s="17">
        <f>IF($B52="","",IF(SUMPRODUCT(--ISNUMBER(SEARCH($B52,nrSCH_Instr)))&gt;0,"Yes",""))</f>
        <v/>
      </c>
      <c r="M52" s="17">
        <f>IF($B52="","",IFERROR(_xlfn.LET(_xlpm.v,_xlfn.UNIQUE(_xlfn._xlws.FILTER(nrSCH_ChNum,ISNUMBER(SEARCH($B52,nrSCH_Instr))*(nrSCH_ChNum&lt;&gt;""))),_xlfn.TEXTJOIN(", ",TRUE,_xlfn.SORTBY(_xlpm.v,IFERROR(_xlpm.v+0,99999),1))),""))</f>
        <v/>
      </c>
      <c r="N52" s="19">
        <f>IF($B52="","",IF(SUMPRODUCT(MAX(ISNUMBER(SEARCH($B52,nrSCH_Instr))*nrSCH_Date))=0,"",SUMPRODUCT(MAX(ISNUMBER(SEARCH($B52,nrSCH_Instr))*nrSCH_Date))))</f>
        <v/>
      </c>
      <c r="O52" s="17">
        <f>IF($B52="","",IF($E52="Guest/Outside","N/A",IF($L52&lt;&gt;"Yes","(not on schedule)",IF(LEFT($E52,3)="SME","N/A (SME letter)",IF($E52&lt;&gt;"TCOLE Instructor","CHECK TYPE",IF($G52="","MISSING EXPIRATION",IF(NOT(ISNUMBER($G52)),"CHECK DATE",IF(AND(N($N52)&gt;0,$G52&lt;$N52),"EXPIRED BEFORE LAST CLASS TAUGHT "&amp;TEXT($G52,"mm/dd/yy"),IF($G52&lt;cfgEndDate,"RENEW - expires during academy "&amp;TEXT($G52,"mm/dd/yy"),"Current")))))))))</f>
        <v/>
      </c>
    </row>
    <row r="53">
      <c r="B53" s="16" t="inlineStr">
        <is>
          <t>Braden Barns</t>
        </is>
      </c>
      <c r="C53" s="16" t="n"/>
      <c r="D53" s="16" t="n"/>
      <c r="E53" s="16" t="n"/>
      <c r="F53" s="16" t="n"/>
      <c r="G53" s="18" t="n"/>
      <c r="H53" s="16" t="n"/>
      <c r="I53" s="16" t="n"/>
      <c r="J53" s="16" t="n"/>
      <c r="K53" s="17">
        <f>IF($B53="","",IF($E53="Guest/Outside","N/A",IF(AND(OR($E53="TCOLE Instructor",AND(LEFT($E53,3)="SME",$H53="On File")),OR($I53="On File",$I53="N/A"),LEFT($O53,7)&lt;&gt;"EXPIRED",$O53&lt;&gt;"MISSING EXPIRATION"),"Yes","No")))</f>
        <v/>
      </c>
      <c r="L53" s="17">
        <f>IF($B53="","",IF(SUMPRODUCT(--ISNUMBER(SEARCH($B53,nrSCH_Instr)))&gt;0,"Yes",""))</f>
        <v/>
      </c>
      <c r="M53" s="17">
        <f>IF($B53="","",IFERROR(_xlfn.LET(_xlpm.v,_xlfn.UNIQUE(_xlfn._xlws.FILTER(nrSCH_ChNum,ISNUMBER(SEARCH($B53,nrSCH_Instr))*(nrSCH_ChNum&lt;&gt;""))),_xlfn.TEXTJOIN(", ",TRUE,_xlfn.SORTBY(_xlpm.v,IFERROR(_xlpm.v+0,99999),1))),""))</f>
        <v/>
      </c>
      <c r="N53" s="19">
        <f>IF($B53="","",IF(SUMPRODUCT(MAX(ISNUMBER(SEARCH($B53,nrSCH_Instr))*nrSCH_Date))=0,"",SUMPRODUCT(MAX(ISNUMBER(SEARCH($B53,nrSCH_Instr))*nrSCH_Date))))</f>
        <v/>
      </c>
      <c r="O53" s="17">
        <f>IF($B53="","",IF($E53="Guest/Outside","N/A",IF($L53&lt;&gt;"Yes","(not on schedule)",IF(LEFT($E53,3)="SME","N/A (SME letter)",IF($E53&lt;&gt;"TCOLE Instructor","CHECK TYPE",IF($G53="","MISSING EXPIRATION",IF(NOT(ISNUMBER($G53)),"CHECK DATE",IF(AND(N($N53)&gt;0,$G53&lt;$N53),"EXPIRED BEFORE LAST CLASS TAUGHT "&amp;TEXT($G53,"mm/dd/yy"),IF($G53&lt;cfgEndDate,"RENEW - expires during academy "&amp;TEXT($G53,"mm/dd/yy"),"Current")))))))))</f>
        <v/>
      </c>
    </row>
    <row r="54">
      <c r="B54" s="16" t="inlineStr">
        <is>
          <t>John Hebert</t>
        </is>
      </c>
      <c r="C54" s="16" t="n"/>
      <c r="D54" s="16" t="n"/>
      <c r="E54" s="16" t="n"/>
      <c r="F54" s="16" t="n"/>
      <c r="G54" s="18" t="n"/>
      <c r="H54" s="16" t="n"/>
      <c r="I54" s="16" t="n"/>
      <c r="J54" s="16" t="n"/>
      <c r="K54" s="17">
        <f>IF($B54="","",IF($E54="Guest/Outside","N/A",IF(AND(OR($E54="TCOLE Instructor",AND(LEFT($E54,3)="SME",$H54="On File")),OR($I54="On File",$I54="N/A"),LEFT($O54,7)&lt;&gt;"EXPIRED",$O54&lt;&gt;"MISSING EXPIRATION"),"Yes","No")))</f>
        <v/>
      </c>
      <c r="L54" s="17">
        <f>IF($B54="","",IF(SUMPRODUCT(--ISNUMBER(SEARCH($B54,nrSCH_Instr)))&gt;0,"Yes",""))</f>
        <v/>
      </c>
      <c r="M54" s="17">
        <f>IF($B54="","",IFERROR(_xlfn.LET(_xlpm.v,_xlfn.UNIQUE(_xlfn._xlws.FILTER(nrSCH_ChNum,ISNUMBER(SEARCH($B54,nrSCH_Instr))*(nrSCH_ChNum&lt;&gt;""))),_xlfn.TEXTJOIN(", ",TRUE,_xlfn.SORTBY(_xlpm.v,IFERROR(_xlpm.v+0,99999),1))),""))</f>
        <v/>
      </c>
      <c r="N54" s="19">
        <f>IF($B54="","",IF(SUMPRODUCT(MAX(ISNUMBER(SEARCH($B54,nrSCH_Instr))*nrSCH_Date))=0,"",SUMPRODUCT(MAX(ISNUMBER(SEARCH($B54,nrSCH_Instr))*nrSCH_Date))))</f>
        <v/>
      </c>
      <c r="O54" s="17">
        <f>IF($B54="","",IF($E54="Guest/Outside","N/A",IF($L54&lt;&gt;"Yes","(not on schedule)",IF(LEFT($E54,3)="SME","N/A (SME letter)",IF($E54&lt;&gt;"TCOLE Instructor","CHECK TYPE",IF($G54="","MISSING EXPIRATION",IF(NOT(ISNUMBER($G54)),"CHECK DATE",IF(AND(N($N54)&gt;0,$G54&lt;$N54),"EXPIRED BEFORE LAST CLASS TAUGHT "&amp;TEXT($G54,"mm/dd/yy"),IF($G54&lt;cfgEndDate,"RENEW - expires during academy "&amp;TEXT($G54,"mm/dd/yy"),"Current")))))))))</f>
        <v/>
      </c>
    </row>
    <row r="55">
      <c r="B55" s="16" t="inlineStr">
        <is>
          <t>DJ Schick</t>
        </is>
      </c>
      <c r="C55" s="16" t="n"/>
      <c r="D55" s="16" t="n"/>
      <c r="E55" s="16" t="n"/>
      <c r="F55" s="16" t="n"/>
      <c r="G55" s="18" t="n"/>
      <c r="H55" s="16" t="n"/>
      <c r="I55" s="16" t="n"/>
      <c r="J55" s="16" t="n"/>
      <c r="K55" s="17">
        <f>IF($B55="","",IF($E55="Guest/Outside","N/A",IF(AND(OR($E55="TCOLE Instructor",AND(LEFT($E55,3)="SME",$H55="On File")),OR($I55="On File",$I55="N/A"),LEFT($O55,7)&lt;&gt;"EXPIRED",$O55&lt;&gt;"MISSING EXPIRATION"),"Yes","No")))</f>
        <v/>
      </c>
      <c r="L55" s="17">
        <f>IF($B55="","",IF(SUMPRODUCT(--ISNUMBER(SEARCH($B55,nrSCH_Instr)))&gt;0,"Yes",""))</f>
        <v/>
      </c>
      <c r="M55" s="17">
        <f>IF($B55="","",IFERROR(_xlfn.LET(_xlpm.v,_xlfn.UNIQUE(_xlfn._xlws.FILTER(nrSCH_ChNum,ISNUMBER(SEARCH($B55,nrSCH_Instr))*(nrSCH_ChNum&lt;&gt;""))),_xlfn.TEXTJOIN(", ",TRUE,_xlfn.SORTBY(_xlpm.v,IFERROR(_xlpm.v+0,99999),1))),""))</f>
        <v/>
      </c>
      <c r="N55" s="19">
        <f>IF($B55="","",IF(SUMPRODUCT(MAX(ISNUMBER(SEARCH($B55,nrSCH_Instr))*nrSCH_Date))=0,"",SUMPRODUCT(MAX(ISNUMBER(SEARCH($B55,nrSCH_Instr))*nrSCH_Date))))</f>
        <v/>
      </c>
      <c r="O55" s="17">
        <f>IF($B55="","",IF($E55="Guest/Outside","N/A",IF($L55&lt;&gt;"Yes","(not on schedule)",IF(LEFT($E55,3)="SME","N/A (SME letter)",IF($E55&lt;&gt;"TCOLE Instructor","CHECK TYPE",IF($G55="","MISSING EXPIRATION",IF(NOT(ISNUMBER($G55)),"CHECK DATE",IF(AND(N($N55)&gt;0,$G55&lt;$N55),"EXPIRED BEFORE LAST CLASS TAUGHT "&amp;TEXT($G55,"mm/dd/yy"),IF($G55&lt;cfgEndDate,"RENEW - expires during academy "&amp;TEXT($G55,"mm/dd/yy"),"Current")))))))))</f>
        <v/>
      </c>
    </row>
    <row r="56">
      <c r="B56" s="16" t="inlineStr">
        <is>
          <t>Brandon Lott</t>
        </is>
      </c>
      <c r="C56" s="16" t="n"/>
      <c r="D56" s="16" t="n"/>
      <c r="E56" s="16" t="n"/>
      <c r="F56" s="16" t="n"/>
      <c r="G56" s="18" t="n"/>
      <c r="H56" s="16" t="n"/>
      <c r="I56" s="16" t="n"/>
      <c r="J56" s="16" t="n"/>
      <c r="K56" s="17">
        <f>IF($B56="","",IF($E56="Guest/Outside","N/A",IF(AND(OR($E56="TCOLE Instructor",AND(LEFT($E56,3)="SME",$H56="On File")),OR($I56="On File",$I56="N/A"),LEFT($O56,7)&lt;&gt;"EXPIRED",$O56&lt;&gt;"MISSING EXPIRATION"),"Yes","No")))</f>
        <v/>
      </c>
      <c r="L56" s="17">
        <f>IF($B56="","",IF(SUMPRODUCT(--ISNUMBER(SEARCH($B56,nrSCH_Instr)))&gt;0,"Yes",""))</f>
        <v/>
      </c>
      <c r="M56" s="17">
        <f>IF($B56="","",IFERROR(_xlfn.LET(_xlpm.v,_xlfn.UNIQUE(_xlfn._xlws.FILTER(nrSCH_ChNum,ISNUMBER(SEARCH($B56,nrSCH_Instr))*(nrSCH_ChNum&lt;&gt;""))),_xlfn.TEXTJOIN(", ",TRUE,_xlfn.SORTBY(_xlpm.v,IFERROR(_xlpm.v+0,99999),1))),""))</f>
        <v/>
      </c>
      <c r="N56" s="19">
        <f>IF($B56="","",IF(SUMPRODUCT(MAX(ISNUMBER(SEARCH($B56,nrSCH_Instr))*nrSCH_Date))=0,"",SUMPRODUCT(MAX(ISNUMBER(SEARCH($B56,nrSCH_Instr))*nrSCH_Date))))</f>
        <v/>
      </c>
      <c r="O56" s="17">
        <f>IF($B56="","",IF($E56="Guest/Outside","N/A",IF($L56&lt;&gt;"Yes","(not on schedule)",IF(LEFT($E56,3)="SME","N/A (SME letter)",IF($E56&lt;&gt;"TCOLE Instructor","CHECK TYPE",IF($G56="","MISSING EXPIRATION",IF(NOT(ISNUMBER($G56)),"CHECK DATE",IF(AND(N($N56)&gt;0,$G56&lt;$N56),"EXPIRED BEFORE LAST CLASS TAUGHT "&amp;TEXT($G56,"mm/dd/yy"),IF($G56&lt;cfgEndDate,"RENEW - expires during academy "&amp;TEXT($G56,"mm/dd/yy"),"Current")))))))))</f>
        <v/>
      </c>
    </row>
    <row r="57">
      <c r="B57" s="16" t="inlineStr">
        <is>
          <t>Ryan Tack</t>
        </is>
      </c>
      <c r="C57" s="16" t="n"/>
      <c r="D57" s="16" t="n"/>
      <c r="E57" s="16" t="n"/>
      <c r="F57" s="16" t="n"/>
      <c r="G57" s="18" t="n"/>
      <c r="H57" s="16" t="n"/>
      <c r="I57" s="16" t="n"/>
      <c r="J57" s="16" t="n"/>
      <c r="K57" s="17">
        <f>IF($B57="","",IF($E57="Guest/Outside","N/A",IF(AND(OR($E57="TCOLE Instructor",AND(LEFT($E57,3)="SME",$H57="On File")),OR($I57="On File",$I57="N/A"),LEFT($O57,7)&lt;&gt;"EXPIRED",$O57&lt;&gt;"MISSING EXPIRATION"),"Yes","No")))</f>
        <v/>
      </c>
      <c r="L57" s="17">
        <f>IF($B57="","",IF(SUMPRODUCT(--ISNUMBER(SEARCH($B57,nrSCH_Instr)))&gt;0,"Yes",""))</f>
        <v/>
      </c>
      <c r="M57" s="17">
        <f>IF($B57="","",IFERROR(_xlfn.LET(_xlpm.v,_xlfn.UNIQUE(_xlfn._xlws.FILTER(nrSCH_ChNum,ISNUMBER(SEARCH($B57,nrSCH_Instr))*(nrSCH_ChNum&lt;&gt;""))),_xlfn.TEXTJOIN(", ",TRUE,_xlfn.SORTBY(_xlpm.v,IFERROR(_xlpm.v+0,99999),1))),""))</f>
        <v/>
      </c>
      <c r="N57" s="19">
        <f>IF($B57="","",IF(SUMPRODUCT(MAX(ISNUMBER(SEARCH($B57,nrSCH_Instr))*nrSCH_Date))=0,"",SUMPRODUCT(MAX(ISNUMBER(SEARCH($B57,nrSCH_Instr))*nrSCH_Date))))</f>
        <v/>
      </c>
      <c r="O57" s="17">
        <f>IF($B57="","",IF($E57="Guest/Outside","N/A",IF($L57&lt;&gt;"Yes","(not on schedule)",IF(LEFT($E57,3)="SME","N/A (SME letter)",IF($E57&lt;&gt;"TCOLE Instructor","CHECK TYPE",IF($G57="","MISSING EXPIRATION",IF(NOT(ISNUMBER($G57)),"CHECK DATE",IF(AND(N($N57)&gt;0,$G57&lt;$N57),"EXPIRED BEFORE LAST CLASS TAUGHT "&amp;TEXT($G57,"mm/dd/yy"),IF($G57&lt;cfgEndDate,"RENEW - expires during academy "&amp;TEXT($G57,"mm/dd/yy"),"Current")))))))))</f>
        <v/>
      </c>
    </row>
    <row r="58">
      <c r="B58" s="16" t="inlineStr">
        <is>
          <t>Amanda Cook</t>
        </is>
      </c>
      <c r="C58" s="16" t="n"/>
      <c r="D58" s="16" t="n"/>
      <c r="E58" s="16" t="n"/>
      <c r="F58" s="16" t="n"/>
      <c r="G58" s="18" t="n"/>
      <c r="H58" s="16" t="n"/>
      <c r="I58" s="16" t="n"/>
      <c r="J58" s="16" t="n"/>
      <c r="K58" s="17">
        <f>IF($B58="","",IF($E58="Guest/Outside","N/A",IF(AND(OR($E58="TCOLE Instructor",AND(LEFT($E58,3)="SME",$H58="On File")),OR($I58="On File",$I58="N/A"),LEFT($O58,7)&lt;&gt;"EXPIRED",$O58&lt;&gt;"MISSING EXPIRATION"),"Yes","No")))</f>
        <v/>
      </c>
      <c r="L58" s="17">
        <f>IF($B58="","",IF(SUMPRODUCT(--ISNUMBER(SEARCH($B58,nrSCH_Instr)))&gt;0,"Yes",""))</f>
        <v/>
      </c>
      <c r="M58" s="17">
        <f>IF($B58="","",IFERROR(_xlfn.LET(_xlpm.v,_xlfn.UNIQUE(_xlfn._xlws.FILTER(nrSCH_ChNum,ISNUMBER(SEARCH($B58,nrSCH_Instr))*(nrSCH_ChNum&lt;&gt;""))),_xlfn.TEXTJOIN(", ",TRUE,_xlfn.SORTBY(_xlpm.v,IFERROR(_xlpm.v+0,99999),1))),""))</f>
        <v/>
      </c>
      <c r="N58" s="19">
        <f>IF($B58="","",IF(SUMPRODUCT(MAX(ISNUMBER(SEARCH($B58,nrSCH_Instr))*nrSCH_Date))=0,"",SUMPRODUCT(MAX(ISNUMBER(SEARCH($B58,nrSCH_Instr))*nrSCH_Date))))</f>
        <v/>
      </c>
      <c r="O58" s="17">
        <f>IF($B58="","",IF($E58="Guest/Outside","N/A",IF($L58&lt;&gt;"Yes","(not on schedule)",IF(LEFT($E58,3)="SME","N/A (SME letter)",IF($E58&lt;&gt;"TCOLE Instructor","CHECK TYPE",IF($G58="","MISSING EXPIRATION",IF(NOT(ISNUMBER($G58)),"CHECK DATE",IF(AND(N($N58)&gt;0,$G58&lt;$N58),"EXPIRED BEFORE LAST CLASS TAUGHT "&amp;TEXT($G58,"mm/dd/yy"),IF($G58&lt;cfgEndDate,"RENEW - expires during academy "&amp;TEXT($G58,"mm/dd/yy"),"Current")))))))))</f>
        <v/>
      </c>
    </row>
    <row r="59">
      <c r="B59" s="16" t="inlineStr">
        <is>
          <t>Teressa Dell</t>
        </is>
      </c>
      <c r="C59" s="16" t="n"/>
      <c r="D59" s="16" t="n"/>
      <c r="E59" s="16" t="n"/>
      <c r="F59" s="16" t="n"/>
      <c r="G59" s="18" t="n"/>
      <c r="H59" s="16" t="n"/>
      <c r="I59" s="16" t="n"/>
      <c r="J59" s="16" t="n"/>
      <c r="K59" s="17">
        <f>IF($B59="","",IF($E59="Guest/Outside","N/A",IF(AND(OR($E59="TCOLE Instructor",AND(LEFT($E59,3)="SME",$H59="On File")),OR($I59="On File",$I59="N/A"),LEFT($O59,7)&lt;&gt;"EXPIRED",$O59&lt;&gt;"MISSING EXPIRATION"),"Yes","No")))</f>
        <v/>
      </c>
      <c r="L59" s="17">
        <f>IF($B59="","",IF(SUMPRODUCT(--ISNUMBER(SEARCH($B59,nrSCH_Instr)))&gt;0,"Yes",""))</f>
        <v/>
      </c>
      <c r="M59" s="17">
        <f>IF($B59="","",IFERROR(_xlfn.LET(_xlpm.v,_xlfn.UNIQUE(_xlfn._xlws.FILTER(nrSCH_ChNum,ISNUMBER(SEARCH($B59,nrSCH_Instr))*(nrSCH_ChNum&lt;&gt;""))),_xlfn.TEXTJOIN(", ",TRUE,_xlfn.SORTBY(_xlpm.v,IFERROR(_xlpm.v+0,99999),1))),""))</f>
        <v/>
      </c>
      <c r="N59" s="19">
        <f>IF($B59="","",IF(SUMPRODUCT(MAX(ISNUMBER(SEARCH($B59,nrSCH_Instr))*nrSCH_Date))=0,"",SUMPRODUCT(MAX(ISNUMBER(SEARCH($B59,nrSCH_Instr))*nrSCH_Date))))</f>
        <v/>
      </c>
      <c r="O59" s="17">
        <f>IF($B59="","",IF($E59="Guest/Outside","N/A",IF($L59&lt;&gt;"Yes","(not on schedule)",IF(LEFT($E59,3)="SME","N/A (SME letter)",IF($E59&lt;&gt;"TCOLE Instructor","CHECK TYPE",IF($G59="","MISSING EXPIRATION",IF(NOT(ISNUMBER($G59)),"CHECK DATE",IF(AND(N($N59)&gt;0,$G59&lt;$N59),"EXPIRED BEFORE LAST CLASS TAUGHT "&amp;TEXT($G59,"mm/dd/yy"),IF($G59&lt;cfgEndDate,"RENEW - expires during academy "&amp;TEXT($G59,"mm/dd/yy"),"Current")))))))))</f>
        <v/>
      </c>
    </row>
    <row r="60">
      <c r="B60" s="16" t="inlineStr">
        <is>
          <t>Steve Black</t>
        </is>
      </c>
      <c r="C60" s="16" t="n"/>
      <c r="D60" s="16" t="n"/>
      <c r="E60" s="16" t="n"/>
      <c r="F60" s="16" t="n"/>
      <c r="G60" s="18" t="n"/>
      <c r="H60" s="16" t="n"/>
      <c r="I60" s="16" t="n"/>
      <c r="J60" s="16" t="n"/>
      <c r="K60" s="17">
        <f>IF($B60="","",IF($E60="Guest/Outside","N/A",IF(AND(OR($E60="TCOLE Instructor",AND(LEFT($E60,3)="SME",$H60="On File")),OR($I60="On File",$I60="N/A"),LEFT($O60,7)&lt;&gt;"EXPIRED",$O60&lt;&gt;"MISSING EXPIRATION"),"Yes","No")))</f>
        <v/>
      </c>
      <c r="L60" s="17">
        <f>IF($B60="","",IF(SUMPRODUCT(--ISNUMBER(SEARCH($B60,nrSCH_Instr)))&gt;0,"Yes",""))</f>
        <v/>
      </c>
      <c r="M60" s="17">
        <f>IF($B60="","",IFERROR(_xlfn.LET(_xlpm.v,_xlfn.UNIQUE(_xlfn._xlws.FILTER(nrSCH_ChNum,ISNUMBER(SEARCH($B60,nrSCH_Instr))*(nrSCH_ChNum&lt;&gt;""))),_xlfn.TEXTJOIN(", ",TRUE,_xlfn.SORTBY(_xlpm.v,IFERROR(_xlpm.v+0,99999),1))),""))</f>
        <v/>
      </c>
      <c r="N60" s="19">
        <f>IF($B60="","",IF(SUMPRODUCT(MAX(ISNUMBER(SEARCH($B60,nrSCH_Instr))*nrSCH_Date))=0,"",SUMPRODUCT(MAX(ISNUMBER(SEARCH($B60,nrSCH_Instr))*nrSCH_Date))))</f>
        <v/>
      </c>
      <c r="O60" s="17">
        <f>IF($B60="","",IF($E60="Guest/Outside","N/A",IF($L60&lt;&gt;"Yes","(not on schedule)",IF(LEFT($E60,3)="SME","N/A (SME letter)",IF($E60&lt;&gt;"TCOLE Instructor","CHECK TYPE",IF($G60="","MISSING EXPIRATION",IF(NOT(ISNUMBER($G60)),"CHECK DATE",IF(AND(N($N60)&gt;0,$G60&lt;$N60),"EXPIRED BEFORE LAST CLASS TAUGHT "&amp;TEXT($G60,"mm/dd/yy"),IF($G60&lt;cfgEndDate,"RENEW - expires during academy "&amp;TEXT($G60,"mm/dd/yy"),"Current")))))))))</f>
        <v/>
      </c>
    </row>
    <row r="61">
      <c r="B61" s="16" t="inlineStr">
        <is>
          <t>Chad Homer</t>
        </is>
      </c>
      <c r="C61" s="16" t="n"/>
      <c r="D61" s="16" t="n"/>
      <c r="E61" s="16" t="n"/>
      <c r="F61" s="16" t="n"/>
      <c r="G61" s="18" t="n"/>
      <c r="H61" s="16" t="n"/>
      <c r="I61" s="16" t="n"/>
      <c r="J61" s="16" t="n"/>
      <c r="K61" s="17">
        <f>IF($B61="","",IF($E61="Guest/Outside","N/A",IF(AND(OR($E61="TCOLE Instructor",AND(LEFT($E61,3)="SME",$H61="On File")),OR($I61="On File",$I61="N/A"),LEFT($O61,7)&lt;&gt;"EXPIRED",$O61&lt;&gt;"MISSING EXPIRATION"),"Yes","No")))</f>
        <v/>
      </c>
      <c r="L61" s="17">
        <f>IF($B61="","",IF(SUMPRODUCT(--ISNUMBER(SEARCH($B61,nrSCH_Instr)))&gt;0,"Yes",""))</f>
        <v/>
      </c>
      <c r="M61" s="17">
        <f>IF($B61="","",IFERROR(_xlfn.LET(_xlpm.v,_xlfn.UNIQUE(_xlfn._xlws.FILTER(nrSCH_ChNum,ISNUMBER(SEARCH($B61,nrSCH_Instr))*(nrSCH_ChNum&lt;&gt;""))),_xlfn.TEXTJOIN(", ",TRUE,_xlfn.SORTBY(_xlpm.v,IFERROR(_xlpm.v+0,99999),1))),""))</f>
        <v/>
      </c>
      <c r="N61" s="19">
        <f>IF($B61="","",IF(SUMPRODUCT(MAX(ISNUMBER(SEARCH($B61,nrSCH_Instr))*nrSCH_Date))=0,"",SUMPRODUCT(MAX(ISNUMBER(SEARCH($B61,nrSCH_Instr))*nrSCH_Date))))</f>
        <v/>
      </c>
      <c r="O61" s="17">
        <f>IF($B61="","",IF($E61="Guest/Outside","N/A",IF($L61&lt;&gt;"Yes","(not on schedule)",IF(LEFT($E61,3)="SME","N/A (SME letter)",IF($E61&lt;&gt;"TCOLE Instructor","CHECK TYPE",IF($G61="","MISSING EXPIRATION",IF(NOT(ISNUMBER($G61)),"CHECK DATE",IF(AND(N($N61)&gt;0,$G61&lt;$N61),"EXPIRED BEFORE LAST CLASS TAUGHT "&amp;TEXT($G61,"mm/dd/yy"),IF($G61&lt;cfgEndDate,"RENEW - expires during academy "&amp;TEXT($G61,"mm/dd/yy"),"Current")))))))))</f>
        <v/>
      </c>
    </row>
    <row r="62">
      <c r="B62" s="16" t="inlineStr">
        <is>
          <t>Mike Saxion</t>
        </is>
      </c>
      <c r="C62" s="16" t="n"/>
      <c r="D62" s="16" t="n"/>
      <c r="E62" s="16" t="n"/>
      <c r="F62" s="16" t="n"/>
      <c r="G62" s="18" t="n"/>
      <c r="H62" s="16" t="n"/>
      <c r="I62" s="16" t="n"/>
      <c r="J62" s="16" t="n"/>
      <c r="K62" s="17">
        <f>IF($B62="","",IF($E62="Guest/Outside","N/A",IF(AND(OR($E62="TCOLE Instructor",AND(LEFT($E62,3)="SME",$H62="On File")),OR($I62="On File",$I62="N/A"),LEFT($O62,7)&lt;&gt;"EXPIRED",$O62&lt;&gt;"MISSING EXPIRATION"),"Yes","No")))</f>
        <v/>
      </c>
      <c r="L62" s="17">
        <f>IF($B62="","",IF(SUMPRODUCT(--ISNUMBER(SEARCH($B62,nrSCH_Instr)))&gt;0,"Yes",""))</f>
        <v/>
      </c>
      <c r="M62" s="17">
        <f>IF($B62="","",IFERROR(_xlfn.LET(_xlpm.v,_xlfn.UNIQUE(_xlfn._xlws.FILTER(nrSCH_ChNum,ISNUMBER(SEARCH($B62,nrSCH_Instr))*(nrSCH_ChNum&lt;&gt;""))),_xlfn.TEXTJOIN(", ",TRUE,_xlfn.SORTBY(_xlpm.v,IFERROR(_xlpm.v+0,99999),1))),""))</f>
        <v/>
      </c>
      <c r="N62" s="19">
        <f>IF($B62="","",IF(SUMPRODUCT(MAX(ISNUMBER(SEARCH($B62,nrSCH_Instr))*nrSCH_Date))=0,"",SUMPRODUCT(MAX(ISNUMBER(SEARCH($B62,nrSCH_Instr))*nrSCH_Date))))</f>
        <v/>
      </c>
      <c r="O62" s="17">
        <f>IF($B62="","",IF($E62="Guest/Outside","N/A",IF($L62&lt;&gt;"Yes","(not on schedule)",IF(LEFT($E62,3)="SME","N/A (SME letter)",IF($E62&lt;&gt;"TCOLE Instructor","CHECK TYPE",IF($G62="","MISSING EXPIRATION",IF(NOT(ISNUMBER($G62)),"CHECK DATE",IF(AND(N($N62)&gt;0,$G62&lt;$N62),"EXPIRED BEFORE LAST CLASS TAUGHT "&amp;TEXT($G62,"mm/dd/yy"),IF($G62&lt;cfgEndDate,"RENEW - expires during academy "&amp;TEXT($G62,"mm/dd/yy"),"Current")))))))))</f>
        <v/>
      </c>
    </row>
    <row r="63">
      <c r="B63" s="16" t="inlineStr">
        <is>
          <t>Justin Utley</t>
        </is>
      </c>
      <c r="C63" s="16" t="n"/>
      <c r="D63" s="16" t="n"/>
      <c r="E63" s="16" t="n"/>
      <c r="F63" s="16" t="n"/>
      <c r="G63" s="18" t="n"/>
      <c r="H63" s="16" t="n"/>
      <c r="I63" s="16" t="n"/>
      <c r="J63" s="16" t="n"/>
      <c r="K63" s="17">
        <f>IF($B63="","",IF($E63="Guest/Outside","N/A",IF(AND(OR($E63="TCOLE Instructor",AND(LEFT($E63,3)="SME",$H63="On File")),OR($I63="On File",$I63="N/A"),LEFT($O63,7)&lt;&gt;"EXPIRED",$O63&lt;&gt;"MISSING EXPIRATION"),"Yes","No")))</f>
        <v/>
      </c>
      <c r="L63" s="17">
        <f>IF($B63="","",IF(SUMPRODUCT(--ISNUMBER(SEARCH($B63,nrSCH_Instr)))&gt;0,"Yes",""))</f>
        <v/>
      </c>
      <c r="M63" s="17">
        <f>IF($B63="","",IFERROR(_xlfn.LET(_xlpm.v,_xlfn.UNIQUE(_xlfn._xlws.FILTER(nrSCH_ChNum,ISNUMBER(SEARCH($B63,nrSCH_Instr))*(nrSCH_ChNum&lt;&gt;""))),_xlfn.TEXTJOIN(", ",TRUE,_xlfn.SORTBY(_xlpm.v,IFERROR(_xlpm.v+0,99999),1))),""))</f>
        <v/>
      </c>
      <c r="N63" s="19">
        <f>IF($B63="","",IF(SUMPRODUCT(MAX(ISNUMBER(SEARCH($B63,nrSCH_Instr))*nrSCH_Date))=0,"",SUMPRODUCT(MAX(ISNUMBER(SEARCH($B63,nrSCH_Instr))*nrSCH_Date))))</f>
        <v/>
      </c>
      <c r="O63" s="17">
        <f>IF($B63="","",IF($E63="Guest/Outside","N/A",IF($L63&lt;&gt;"Yes","(not on schedule)",IF(LEFT($E63,3)="SME","N/A (SME letter)",IF($E63&lt;&gt;"TCOLE Instructor","CHECK TYPE",IF($G63="","MISSING EXPIRATION",IF(NOT(ISNUMBER($G63)),"CHECK DATE",IF(AND(N($N63)&gt;0,$G63&lt;$N63),"EXPIRED BEFORE LAST CLASS TAUGHT "&amp;TEXT($G63,"mm/dd/yy"),IF($G63&lt;cfgEndDate,"RENEW - expires during academy "&amp;TEXT($G63,"mm/dd/yy"),"Current")))))))))</f>
        <v/>
      </c>
    </row>
    <row r="64">
      <c r="B64" s="16" t="inlineStr">
        <is>
          <t>Jason Burton</t>
        </is>
      </c>
      <c r="C64" s="16" t="n"/>
      <c r="D64" s="16" t="n"/>
      <c r="E64" s="16" t="n"/>
      <c r="F64" s="16" t="n"/>
      <c r="G64" s="18" t="n"/>
      <c r="H64" s="16" t="n"/>
      <c r="I64" s="16" t="n"/>
      <c r="J64" s="16" t="n"/>
      <c r="K64" s="17">
        <f>IF($B64="","",IF($E64="Guest/Outside","N/A",IF(AND(OR($E64="TCOLE Instructor",AND(LEFT($E64,3)="SME",$H64="On File")),OR($I64="On File",$I64="N/A"),LEFT($O64,7)&lt;&gt;"EXPIRED",$O64&lt;&gt;"MISSING EXPIRATION"),"Yes","No")))</f>
        <v/>
      </c>
      <c r="L64" s="17">
        <f>IF($B64="","",IF(SUMPRODUCT(--ISNUMBER(SEARCH($B64,nrSCH_Instr)))&gt;0,"Yes",""))</f>
        <v/>
      </c>
      <c r="M64" s="17">
        <f>IF($B64="","",IFERROR(_xlfn.LET(_xlpm.v,_xlfn.UNIQUE(_xlfn._xlws.FILTER(nrSCH_ChNum,ISNUMBER(SEARCH($B64,nrSCH_Instr))*(nrSCH_ChNum&lt;&gt;""))),_xlfn.TEXTJOIN(", ",TRUE,_xlfn.SORTBY(_xlpm.v,IFERROR(_xlpm.v+0,99999),1))),""))</f>
        <v/>
      </c>
      <c r="N64" s="19">
        <f>IF($B64="","",IF(SUMPRODUCT(MAX(ISNUMBER(SEARCH($B64,nrSCH_Instr))*nrSCH_Date))=0,"",SUMPRODUCT(MAX(ISNUMBER(SEARCH($B64,nrSCH_Instr))*nrSCH_Date))))</f>
        <v/>
      </c>
      <c r="O64" s="17">
        <f>IF($B64="","",IF($E64="Guest/Outside","N/A",IF($L64&lt;&gt;"Yes","(not on schedule)",IF(LEFT($E64,3)="SME","N/A (SME letter)",IF($E64&lt;&gt;"TCOLE Instructor","CHECK TYPE",IF($G64="","MISSING EXPIRATION",IF(NOT(ISNUMBER($G64)),"CHECK DATE",IF(AND(N($N64)&gt;0,$G64&lt;$N64),"EXPIRED BEFORE LAST CLASS TAUGHT "&amp;TEXT($G64,"mm/dd/yy"),IF($G64&lt;cfgEndDate,"RENEW - expires during academy "&amp;TEXT($G64,"mm/dd/yy"),"Current")))))))))</f>
        <v/>
      </c>
    </row>
    <row r="65">
      <c r="B65" s="16" t="inlineStr">
        <is>
          <t>Nathan Elliott</t>
        </is>
      </c>
      <c r="C65" s="16" t="n"/>
      <c r="D65" s="16" t="n"/>
      <c r="E65" s="16" t="n"/>
      <c r="F65" s="16" t="n"/>
      <c r="G65" s="18" t="n"/>
      <c r="H65" s="16" t="n"/>
      <c r="I65" s="16" t="n"/>
      <c r="J65" s="16" t="n"/>
      <c r="K65" s="17">
        <f>IF($B65="","",IF($E65="Guest/Outside","N/A",IF(AND(OR($E65="TCOLE Instructor",AND(LEFT($E65,3)="SME",$H65="On File")),OR($I65="On File",$I65="N/A"),LEFT($O65,7)&lt;&gt;"EXPIRED",$O65&lt;&gt;"MISSING EXPIRATION"),"Yes","No")))</f>
        <v/>
      </c>
      <c r="L65" s="17">
        <f>IF($B65="","",IF(SUMPRODUCT(--ISNUMBER(SEARCH($B65,nrSCH_Instr)))&gt;0,"Yes",""))</f>
        <v/>
      </c>
      <c r="M65" s="17">
        <f>IF($B65="","",IFERROR(_xlfn.LET(_xlpm.v,_xlfn.UNIQUE(_xlfn._xlws.FILTER(nrSCH_ChNum,ISNUMBER(SEARCH($B65,nrSCH_Instr))*(nrSCH_ChNum&lt;&gt;""))),_xlfn.TEXTJOIN(", ",TRUE,_xlfn.SORTBY(_xlpm.v,IFERROR(_xlpm.v+0,99999),1))),""))</f>
        <v/>
      </c>
      <c r="N65" s="19">
        <f>IF($B65="","",IF(SUMPRODUCT(MAX(ISNUMBER(SEARCH($B65,nrSCH_Instr))*nrSCH_Date))=0,"",SUMPRODUCT(MAX(ISNUMBER(SEARCH($B65,nrSCH_Instr))*nrSCH_Date))))</f>
        <v/>
      </c>
      <c r="O65" s="17">
        <f>IF($B65="","",IF($E65="Guest/Outside","N/A",IF($L65&lt;&gt;"Yes","(not on schedule)",IF(LEFT($E65,3)="SME","N/A (SME letter)",IF($E65&lt;&gt;"TCOLE Instructor","CHECK TYPE",IF($G65="","MISSING EXPIRATION",IF(NOT(ISNUMBER($G65)),"CHECK DATE",IF(AND(N($N65)&gt;0,$G65&lt;$N65),"EXPIRED BEFORE LAST CLASS TAUGHT "&amp;TEXT($G65,"mm/dd/yy"),IF($G65&lt;cfgEndDate,"RENEW - expires during academy "&amp;TEXT($G65,"mm/dd/yy"),"Current")))))))))</f>
        <v/>
      </c>
    </row>
    <row r="66">
      <c r="B66" s="16" t="inlineStr">
        <is>
          <t>Lyndsay Rogers</t>
        </is>
      </c>
      <c r="C66" s="16" t="n"/>
      <c r="D66" s="16" t="n"/>
      <c r="E66" s="16" t="n"/>
      <c r="F66" s="16" t="n"/>
      <c r="G66" s="18" t="n"/>
      <c r="H66" s="16" t="n"/>
      <c r="I66" s="16" t="n"/>
      <c r="J66" s="16" t="n"/>
      <c r="K66" s="17">
        <f>IF($B66="","",IF($E66="Guest/Outside","N/A",IF(AND(OR($E66="TCOLE Instructor",AND(LEFT($E66,3)="SME",$H66="On File")),OR($I66="On File",$I66="N/A"),LEFT($O66,7)&lt;&gt;"EXPIRED",$O66&lt;&gt;"MISSING EXPIRATION"),"Yes","No")))</f>
        <v/>
      </c>
      <c r="L66" s="17">
        <f>IF($B66="","",IF(SUMPRODUCT(--ISNUMBER(SEARCH($B66,nrSCH_Instr)))&gt;0,"Yes",""))</f>
        <v/>
      </c>
      <c r="M66" s="17">
        <f>IF($B66="","",IFERROR(_xlfn.LET(_xlpm.v,_xlfn.UNIQUE(_xlfn._xlws.FILTER(nrSCH_ChNum,ISNUMBER(SEARCH($B66,nrSCH_Instr))*(nrSCH_ChNum&lt;&gt;""))),_xlfn.TEXTJOIN(", ",TRUE,_xlfn.SORTBY(_xlpm.v,IFERROR(_xlpm.v+0,99999),1))),""))</f>
        <v/>
      </c>
      <c r="N66" s="19">
        <f>IF($B66="","",IF(SUMPRODUCT(MAX(ISNUMBER(SEARCH($B66,nrSCH_Instr))*nrSCH_Date))=0,"",SUMPRODUCT(MAX(ISNUMBER(SEARCH($B66,nrSCH_Instr))*nrSCH_Date))))</f>
        <v/>
      </c>
      <c r="O66" s="17">
        <f>IF($B66="","",IF($E66="Guest/Outside","N/A",IF($L66&lt;&gt;"Yes","(not on schedule)",IF(LEFT($E66,3)="SME","N/A (SME letter)",IF($E66&lt;&gt;"TCOLE Instructor","CHECK TYPE",IF($G66="","MISSING EXPIRATION",IF(NOT(ISNUMBER($G66)),"CHECK DATE",IF(AND(N($N66)&gt;0,$G66&lt;$N66),"EXPIRED BEFORE LAST CLASS TAUGHT "&amp;TEXT($G66,"mm/dd/yy"),IF($G66&lt;cfgEndDate,"RENEW - expires during academy "&amp;TEXT($G66,"mm/dd/yy"),"Current")))))))))</f>
        <v/>
      </c>
    </row>
    <row r="67">
      <c r="B67" s="16" t="inlineStr">
        <is>
          <t>Pedro Maya</t>
        </is>
      </c>
      <c r="C67" s="16" t="n"/>
      <c r="D67" s="16" t="n"/>
      <c r="E67" s="16" t="n"/>
      <c r="F67" s="16" t="n"/>
      <c r="G67" s="18" t="n"/>
      <c r="H67" s="16" t="n"/>
      <c r="I67" s="16" t="n"/>
      <c r="J67" s="16" t="n"/>
      <c r="K67" s="17">
        <f>IF($B67="","",IF($E67="Guest/Outside","N/A",IF(AND(OR($E67="TCOLE Instructor",AND(LEFT($E67,3)="SME",$H67="On File")),OR($I67="On File",$I67="N/A"),LEFT($O67,7)&lt;&gt;"EXPIRED",$O67&lt;&gt;"MISSING EXPIRATION"),"Yes","No")))</f>
        <v/>
      </c>
      <c r="L67" s="17">
        <f>IF($B67="","",IF(SUMPRODUCT(--ISNUMBER(SEARCH($B67,nrSCH_Instr)))&gt;0,"Yes",""))</f>
        <v/>
      </c>
      <c r="M67" s="17">
        <f>IF($B67="","",IFERROR(_xlfn.LET(_xlpm.v,_xlfn.UNIQUE(_xlfn._xlws.FILTER(nrSCH_ChNum,ISNUMBER(SEARCH($B67,nrSCH_Instr))*(nrSCH_ChNum&lt;&gt;""))),_xlfn.TEXTJOIN(", ",TRUE,_xlfn.SORTBY(_xlpm.v,IFERROR(_xlpm.v+0,99999),1))),""))</f>
        <v/>
      </c>
      <c r="N67" s="19">
        <f>IF($B67="","",IF(SUMPRODUCT(MAX(ISNUMBER(SEARCH($B67,nrSCH_Instr))*nrSCH_Date))=0,"",SUMPRODUCT(MAX(ISNUMBER(SEARCH($B67,nrSCH_Instr))*nrSCH_Date))))</f>
        <v/>
      </c>
      <c r="O67" s="17">
        <f>IF($B67="","",IF($E67="Guest/Outside","N/A",IF($L67&lt;&gt;"Yes","(not on schedule)",IF(LEFT($E67,3)="SME","N/A (SME letter)",IF($E67&lt;&gt;"TCOLE Instructor","CHECK TYPE",IF($G67="","MISSING EXPIRATION",IF(NOT(ISNUMBER($G67)),"CHECK DATE",IF(AND(N($N67)&gt;0,$G67&lt;$N67),"EXPIRED BEFORE LAST CLASS TAUGHT "&amp;TEXT($G67,"mm/dd/yy"),IF($G67&lt;cfgEndDate,"RENEW - expires during academy "&amp;TEXT($G67,"mm/dd/yy"),"Current")))))))))</f>
        <v/>
      </c>
    </row>
    <row r="68">
      <c r="B68" s="16" t="inlineStr">
        <is>
          <t>Training Staff</t>
        </is>
      </c>
      <c r="C68" s="16" t="n"/>
      <c r="D68" s="16" t="n"/>
      <c r="E68" s="16" t="inlineStr">
        <is>
          <t>Guest/Outside</t>
        </is>
      </c>
      <c r="F68" s="16" t="n"/>
      <c r="G68" s="18" t="n"/>
      <c r="H68" s="16" t="n"/>
      <c r="I68" s="16" t="n"/>
      <c r="J68" s="16" t="n"/>
      <c r="K68" s="17">
        <f>IF($B68="","",IF($E68="Guest/Outside","N/A",IF(AND(OR($E68="TCOLE Instructor",AND(LEFT($E68,3)="SME",$H68="On File")),OR($I68="On File",$I68="N/A"),LEFT($O68,7)&lt;&gt;"EXPIRED",$O68&lt;&gt;"MISSING EXPIRATION"),"Yes","No")))</f>
        <v/>
      </c>
      <c r="L68" s="17">
        <f>IF($B68="","",IF(SUMPRODUCT(--ISNUMBER(SEARCH($B68,nrSCH_Instr)))&gt;0,"Yes",""))</f>
        <v/>
      </c>
      <c r="M68" s="17">
        <f>IF($B68="","",IFERROR(_xlfn.LET(_xlpm.v,_xlfn.UNIQUE(_xlfn._xlws.FILTER(nrSCH_ChNum,ISNUMBER(SEARCH($B68,nrSCH_Instr))*(nrSCH_ChNum&lt;&gt;""))),_xlfn.TEXTJOIN(", ",TRUE,_xlfn.SORTBY(_xlpm.v,IFERROR(_xlpm.v+0,99999),1))),""))</f>
        <v/>
      </c>
      <c r="N68" s="19">
        <f>IF($B68="","",IF(SUMPRODUCT(MAX(ISNUMBER(SEARCH($B68,nrSCH_Instr))*nrSCH_Date))=0,"",SUMPRODUCT(MAX(ISNUMBER(SEARCH($B68,nrSCH_Instr))*nrSCH_Date))))</f>
        <v/>
      </c>
      <c r="O68" s="17">
        <f>IF($B68="","",IF($E68="Guest/Outside","N/A",IF($L68&lt;&gt;"Yes","(not on schedule)",IF(LEFT($E68,3)="SME","N/A (SME letter)",IF($E68&lt;&gt;"TCOLE Instructor","CHECK TYPE",IF($G68="","MISSING EXPIRATION",IF(NOT(ISNUMBER($G68)),"CHECK DATE",IF(AND(N($N68)&gt;0,$G68&lt;$N68),"EXPIRED BEFORE LAST CLASS TAUGHT "&amp;TEXT($G68,"mm/dd/yy"),IF($G68&lt;cfgEndDate,"RENEW - expires during academy "&amp;TEXT($G68,"mm/dd/yy"),"Current")))))))))</f>
        <v/>
      </c>
    </row>
    <row r="69">
      <c r="B69" s="16" t="inlineStr">
        <is>
          <t>Cadre</t>
        </is>
      </c>
      <c r="C69" s="16" t="n"/>
      <c r="D69" s="16" t="n"/>
      <c r="E69" s="16" t="inlineStr">
        <is>
          <t>Guest/Outside</t>
        </is>
      </c>
      <c r="F69" s="16" t="n"/>
      <c r="G69" s="18" t="n"/>
      <c r="H69" s="16" t="n"/>
      <c r="I69" s="16" t="n"/>
      <c r="J69" s="16" t="n"/>
      <c r="K69" s="17">
        <f>IF($B69="","",IF($E69="Guest/Outside","N/A",IF(AND(OR($E69="TCOLE Instructor",AND(LEFT($E69,3)="SME",$H69="On File")),OR($I69="On File",$I69="N/A"),LEFT($O69,7)&lt;&gt;"EXPIRED",$O69&lt;&gt;"MISSING EXPIRATION"),"Yes","No")))</f>
        <v/>
      </c>
      <c r="L69" s="17">
        <f>IF($B69="","",IF(SUMPRODUCT(--ISNUMBER(SEARCH($B69,nrSCH_Instr)))&gt;0,"Yes",""))</f>
        <v/>
      </c>
      <c r="M69" s="17">
        <f>IF($B69="","",IFERROR(_xlfn.LET(_xlpm.v,_xlfn.UNIQUE(_xlfn._xlws.FILTER(nrSCH_ChNum,ISNUMBER(SEARCH($B69,nrSCH_Instr))*(nrSCH_ChNum&lt;&gt;""))),_xlfn.TEXTJOIN(", ",TRUE,_xlfn.SORTBY(_xlpm.v,IFERROR(_xlpm.v+0,99999),1))),""))</f>
        <v/>
      </c>
      <c r="N69" s="19">
        <f>IF($B69="","",IF(SUMPRODUCT(MAX(ISNUMBER(SEARCH($B69,nrSCH_Instr))*nrSCH_Date))=0,"",SUMPRODUCT(MAX(ISNUMBER(SEARCH($B69,nrSCH_Instr))*nrSCH_Date))))</f>
        <v/>
      </c>
      <c r="O69" s="17">
        <f>IF($B69="","",IF($E69="Guest/Outside","N/A",IF($L69&lt;&gt;"Yes","(not on schedule)",IF(LEFT($E69,3)="SME","N/A (SME letter)",IF($E69&lt;&gt;"TCOLE Instructor","CHECK TYPE",IF($G69="","MISSING EXPIRATION",IF(NOT(ISNUMBER($G69)),"CHECK DATE",IF(AND(N($N69)&gt;0,$G69&lt;$N69),"EXPIRED BEFORE LAST CLASS TAUGHT "&amp;TEXT($G69,"mm/dd/yy"),IF($G69&lt;cfgEndDate,"RENEW - expires during academy "&amp;TEXT($G69,"mm/dd/yy"),"Current")))))))))</f>
        <v/>
      </c>
    </row>
    <row r="70">
      <c r="B70" s="16" t="inlineStr">
        <is>
          <t>TJC</t>
        </is>
      </c>
      <c r="C70" s="16" t="n"/>
      <c r="D70" s="16" t="n"/>
      <c r="E70" s="16" t="inlineStr">
        <is>
          <t>Guest/Outside</t>
        </is>
      </c>
      <c r="F70" s="16" t="n"/>
      <c r="G70" s="18" t="n"/>
      <c r="H70" s="16" t="n"/>
      <c r="I70" s="16" t="n"/>
      <c r="J70" s="16" t="n"/>
      <c r="K70" s="17">
        <f>IF($B70="","",IF($E70="Guest/Outside","N/A",IF(AND(OR($E70="TCOLE Instructor",AND(LEFT($E70,3)="SME",$H70="On File")),OR($I70="On File",$I70="N/A"),LEFT($O70,7)&lt;&gt;"EXPIRED",$O70&lt;&gt;"MISSING EXPIRATION"),"Yes","No")))</f>
        <v/>
      </c>
      <c r="L70" s="17">
        <f>IF($B70="","",IF(SUMPRODUCT(--ISNUMBER(SEARCH($B70,nrSCH_Instr)))&gt;0,"Yes",""))</f>
        <v/>
      </c>
      <c r="M70" s="17">
        <f>IF($B70="","",IFERROR(_xlfn.LET(_xlpm.v,_xlfn.UNIQUE(_xlfn._xlws.FILTER(nrSCH_ChNum,ISNUMBER(SEARCH($B70,nrSCH_Instr))*(nrSCH_ChNum&lt;&gt;""))),_xlfn.TEXTJOIN(", ",TRUE,_xlfn.SORTBY(_xlpm.v,IFERROR(_xlpm.v+0,99999),1))),""))</f>
        <v/>
      </c>
      <c r="N70" s="19">
        <f>IF($B70="","",IF(SUMPRODUCT(MAX(ISNUMBER(SEARCH($B70,nrSCH_Instr))*nrSCH_Date))=0,"",SUMPRODUCT(MAX(ISNUMBER(SEARCH($B70,nrSCH_Instr))*nrSCH_Date))))</f>
        <v/>
      </c>
      <c r="O70" s="17">
        <f>IF($B70="","",IF($E70="Guest/Outside","N/A",IF($L70&lt;&gt;"Yes","(not on schedule)",IF(LEFT($E70,3)="SME","N/A (SME letter)",IF($E70&lt;&gt;"TCOLE Instructor","CHECK TYPE",IF($G70="","MISSING EXPIRATION",IF(NOT(ISNUMBER($G70)),"CHECK DATE",IF(AND(N($N70)&gt;0,$G70&lt;$N70),"EXPIRED BEFORE LAST CLASS TAUGHT "&amp;TEXT($G70,"mm/dd/yy"),IF($G70&lt;cfgEndDate,"RENEW - expires during academy "&amp;TEXT($G70,"mm/dd/yy"),"Current")))))))))</f>
        <v/>
      </c>
    </row>
    <row r="71">
      <c r="B71" s="16" t="inlineStr">
        <is>
          <t>TFD</t>
        </is>
      </c>
      <c r="C71" s="16" t="n"/>
      <c r="D71" s="16" t="n"/>
      <c r="E71" s="16" t="inlineStr">
        <is>
          <t>Guest/Outside</t>
        </is>
      </c>
      <c r="F71" s="16" t="n"/>
      <c r="G71" s="18" t="n"/>
      <c r="H71" s="16" t="n"/>
      <c r="I71" s="16" t="n"/>
      <c r="J71" s="16" t="n"/>
      <c r="K71" s="17">
        <f>IF($B71="","",IF($E71="Guest/Outside","N/A",IF(AND(OR($E71="TCOLE Instructor",AND(LEFT($E71,3)="SME",$H71="On File")),OR($I71="On File",$I71="N/A"),LEFT($O71,7)&lt;&gt;"EXPIRED",$O71&lt;&gt;"MISSING EXPIRATION"),"Yes","No")))</f>
        <v/>
      </c>
      <c r="L71" s="17">
        <f>IF($B71="","",IF(SUMPRODUCT(--ISNUMBER(SEARCH($B71,nrSCH_Instr)))&gt;0,"Yes",""))</f>
        <v/>
      </c>
      <c r="M71" s="17">
        <f>IF($B71="","",IFERROR(_xlfn.LET(_xlpm.v,_xlfn.UNIQUE(_xlfn._xlws.FILTER(nrSCH_ChNum,ISNUMBER(SEARCH($B71,nrSCH_Instr))*(nrSCH_ChNum&lt;&gt;""))),_xlfn.TEXTJOIN(", ",TRUE,_xlfn.SORTBY(_xlpm.v,IFERROR(_xlpm.v+0,99999),1))),""))</f>
        <v/>
      </c>
      <c r="N71" s="19">
        <f>IF($B71="","",IF(SUMPRODUCT(MAX(ISNUMBER(SEARCH($B71,nrSCH_Instr))*nrSCH_Date))=0,"",SUMPRODUCT(MAX(ISNUMBER(SEARCH($B71,nrSCH_Instr))*nrSCH_Date))))</f>
        <v/>
      </c>
      <c r="O71" s="17">
        <f>IF($B71="","",IF($E71="Guest/Outside","N/A",IF($L71&lt;&gt;"Yes","(not on schedule)",IF(LEFT($E71,3)="SME","N/A (SME letter)",IF($E71&lt;&gt;"TCOLE Instructor","CHECK TYPE",IF($G71="","MISSING EXPIRATION",IF(NOT(ISNUMBER($G71)),"CHECK DATE",IF(AND(N($N71)&gt;0,$G71&lt;$N71),"EXPIRED BEFORE LAST CLASS TAUGHT "&amp;TEXT($G71,"mm/dd/yy"),IF($G71&lt;cfgEndDate,"RENEW - expires during academy "&amp;TEXT($G71,"mm/dd/yy"),"Current")))))))))</f>
        <v/>
      </c>
    </row>
    <row r="72">
      <c r="B72" s="16" t="inlineStr">
        <is>
          <t>Kilgore College</t>
        </is>
      </c>
      <c r="C72" s="16" t="n"/>
      <c r="D72" s="16" t="n"/>
      <c r="E72" s="16" t="inlineStr">
        <is>
          <t>Guest/Outside</t>
        </is>
      </c>
      <c r="F72" s="16" t="n"/>
      <c r="G72" s="18" t="n"/>
      <c r="H72" s="16" t="n"/>
      <c r="I72" s="16" t="n"/>
      <c r="J72" s="16" t="n"/>
      <c r="K72" s="17">
        <f>IF($B72="","",IF($E72="Guest/Outside","N/A",IF(AND(OR($E72="TCOLE Instructor",AND(LEFT($E72,3)="SME",$H72="On File")),OR($I72="On File",$I72="N/A"),LEFT($O72,7)&lt;&gt;"EXPIRED",$O72&lt;&gt;"MISSING EXPIRATION"),"Yes","No")))</f>
        <v/>
      </c>
      <c r="L72" s="17">
        <f>IF($B72="","",IF(SUMPRODUCT(--ISNUMBER(SEARCH($B72,nrSCH_Instr)))&gt;0,"Yes",""))</f>
        <v/>
      </c>
      <c r="M72" s="17">
        <f>IF($B72="","",IFERROR(_xlfn.LET(_xlpm.v,_xlfn.UNIQUE(_xlfn._xlws.FILTER(nrSCH_ChNum,ISNUMBER(SEARCH($B72,nrSCH_Instr))*(nrSCH_ChNum&lt;&gt;""))),_xlfn.TEXTJOIN(", ",TRUE,_xlfn.SORTBY(_xlpm.v,IFERROR(_xlpm.v+0,99999),1))),""))</f>
        <v/>
      </c>
      <c r="N72" s="19">
        <f>IF($B72="","",IF(SUMPRODUCT(MAX(ISNUMBER(SEARCH($B72,nrSCH_Instr))*nrSCH_Date))=0,"",SUMPRODUCT(MAX(ISNUMBER(SEARCH($B72,nrSCH_Instr))*nrSCH_Date))))</f>
        <v/>
      </c>
      <c r="O72" s="17">
        <f>IF($B72="","",IF($E72="Guest/Outside","N/A",IF($L72&lt;&gt;"Yes","(not on schedule)",IF(LEFT($E72,3)="SME","N/A (SME letter)",IF($E72&lt;&gt;"TCOLE Instructor","CHECK TYPE",IF($G72="","MISSING EXPIRATION",IF(NOT(ISNUMBER($G72)),"CHECK DATE",IF(AND(N($N72)&gt;0,$G72&lt;$N72),"EXPIRED BEFORE LAST CLASS TAUGHT "&amp;TEXT($G72,"mm/dd/yy"),IF($G72&lt;cfgEndDate,"RENEW - expires during academy "&amp;TEXT($G72,"mm/dd/yy"),"Current")))))))))</f>
        <v/>
      </c>
    </row>
    <row r="73">
      <c r="B73" s="16" t="inlineStr">
        <is>
          <t>The Mayfair Building</t>
        </is>
      </c>
      <c r="C73" s="16" t="n"/>
      <c r="D73" s="16" t="n"/>
      <c r="E73" s="16" t="inlineStr">
        <is>
          <t>Guest/Outside</t>
        </is>
      </c>
      <c r="F73" s="16" t="n"/>
      <c r="G73" s="18" t="n"/>
      <c r="H73" s="16" t="n"/>
      <c r="I73" s="16" t="n"/>
      <c r="J73" s="16" t="n"/>
      <c r="K73" s="17">
        <f>IF($B73="","",IF($E73="Guest/Outside","N/A",IF(AND(OR($E73="TCOLE Instructor",AND(LEFT($E73,3)="SME",$H73="On File")),OR($I73="On File",$I73="N/A"),LEFT($O73,7)&lt;&gt;"EXPIRED",$O73&lt;&gt;"MISSING EXPIRATION"),"Yes","No")))</f>
        <v/>
      </c>
      <c r="L73" s="17">
        <f>IF($B73="","",IF(SUMPRODUCT(--ISNUMBER(SEARCH($B73,nrSCH_Instr)))&gt;0,"Yes",""))</f>
        <v/>
      </c>
      <c r="M73" s="17">
        <f>IF($B73="","",IFERROR(_xlfn.LET(_xlpm.v,_xlfn.UNIQUE(_xlfn._xlws.FILTER(nrSCH_ChNum,ISNUMBER(SEARCH($B73,nrSCH_Instr))*(nrSCH_ChNum&lt;&gt;""))),_xlfn.TEXTJOIN(", ",TRUE,_xlfn.SORTBY(_xlpm.v,IFERROR(_xlpm.v+0,99999),1))),""))</f>
        <v/>
      </c>
      <c r="N73" s="19">
        <f>IF($B73="","",IF(SUMPRODUCT(MAX(ISNUMBER(SEARCH($B73,nrSCH_Instr))*nrSCH_Date))=0,"",SUMPRODUCT(MAX(ISNUMBER(SEARCH($B73,nrSCH_Instr))*nrSCH_Date))))</f>
        <v/>
      </c>
      <c r="O73" s="17">
        <f>IF($B73="","",IF($E73="Guest/Outside","N/A",IF($L73&lt;&gt;"Yes","(not on schedule)",IF(LEFT($E73,3)="SME","N/A (SME letter)",IF($E73&lt;&gt;"TCOLE Instructor","CHECK TYPE",IF($G73="","MISSING EXPIRATION",IF(NOT(ISNUMBER($G73)),"CHECK DATE",IF(AND(N($N73)&gt;0,$G73&lt;$N73),"EXPIRED BEFORE LAST CLASS TAUGHT "&amp;TEXT($G73,"mm/dd/yy"),IF($G73&lt;cfgEndDate,"RENEW - expires during academy "&amp;TEXT($G73,"mm/dd/yy"),"Current")))))))))</f>
        <v/>
      </c>
    </row>
    <row r="74">
      <c r="B74" s="16" t="n"/>
      <c r="C74" s="16" t="n"/>
      <c r="D74" s="16" t="n"/>
      <c r="E74" s="16" t="n"/>
      <c r="F74" s="16" t="n"/>
      <c r="G74" s="18" t="n"/>
      <c r="H74" s="16" t="n"/>
      <c r="I74" s="16" t="n"/>
      <c r="J74" s="16" t="n"/>
      <c r="K74" s="17">
        <f>IF($B74="","",IF($E74="Guest/Outside","N/A",IF(AND(OR($E74="TCOLE Instructor",AND(LEFT($E74,3)="SME",$H74="On File")),OR($I74="On File",$I74="N/A"),LEFT($O74,7)&lt;&gt;"EXPIRED",$O74&lt;&gt;"MISSING EXPIRATION"),"Yes","No")))</f>
        <v/>
      </c>
      <c r="L74" s="17">
        <f>IF($B74="","",IF(SUMPRODUCT(--ISNUMBER(SEARCH($B74,nrSCH_Instr)))&gt;0,"Yes",""))</f>
        <v/>
      </c>
      <c r="M74" s="17">
        <f>IF($B74="","",IFERROR(_xlfn.LET(_xlpm.v,_xlfn.UNIQUE(_xlfn._xlws.FILTER(nrSCH_ChNum,ISNUMBER(SEARCH($B74,nrSCH_Instr))*(nrSCH_ChNum&lt;&gt;""))),_xlfn.TEXTJOIN(", ",TRUE,_xlfn.SORTBY(_xlpm.v,IFERROR(_xlpm.v+0,99999),1))),""))</f>
        <v/>
      </c>
      <c r="N74" s="19">
        <f>IF($B74="","",IF(SUMPRODUCT(MAX(ISNUMBER(SEARCH($B74,nrSCH_Instr))*nrSCH_Date))=0,"",SUMPRODUCT(MAX(ISNUMBER(SEARCH($B74,nrSCH_Instr))*nrSCH_Date))))</f>
        <v/>
      </c>
      <c r="O74" s="17">
        <f>IF($B74="","",IF($E74="Guest/Outside","N/A",IF($L74&lt;&gt;"Yes","(not on schedule)",IF(LEFT($E74,3)="SME","N/A (SME letter)",IF($E74&lt;&gt;"TCOLE Instructor","CHECK TYPE",IF($G74="","MISSING EXPIRATION",IF(NOT(ISNUMBER($G74)),"CHECK DATE",IF(AND(N($N74)&gt;0,$G74&lt;$N74),"EXPIRED BEFORE LAST CLASS TAUGHT "&amp;TEXT($G74,"mm/dd/yy"),IF($G74&lt;cfgEndDate,"RENEW - expires during academy "&amp;TEXT($G74,"mm/dd/yy"),"Current")))))))))</f>
        <v/>
      </c>
    </row>
    <row r="75">
      <c r="B75" s="16" t="n"/>
      <c r="C75" s="16" t="n"/>
      <c r="D75" s="16" t="n"/>
      <c r="E75" s="16" t="n"/>
      <c r="F75" s="16" t="n"/>
      <c r="G75" s="18" t="n"/>
      <c r="H75" s="16" t="n"/>
      <c r="I75" s="16" t="n"/>
      <c r="J75" s="16" t="n"/>
      <c r="K75" s="17">
        <f>IF($B75="","",IF($E75="Guest/Outside","N/A",IF(AND(OR($E75="TCOLE Instructor",AND(LEFT($E75,3)="SME",$H75="On File")),OR($I75="On File",$I75="N/A"),LEFT($O75,7)&lt;&gt;"EXPIRED",$O75&lt;&gt;"MISSING EXPIRATION"),"Yes","No")))</f>
        <v/>
      </c>
      <c r="L75" s="17">
        <f>IF($B75="","",IF(SUMPRODUCT(--ISNUMBER(SEARCH($B75,nrSCH_Instr)))&gt;0,"Yes",""))</f>
        <v/>
      </c>
      <c r="M75" s="17">
        <f>IF($B75="","",IFERROR(_xlfn.LET(_xlpm.v,_xlfn.UNIQUE(_xlfn._xlws.FILTER(nrSCH_ChNum,ISNUMBER(SEARCH($B75,nrSCH_Instr))*(nrSCH_ChNum&lt;&gt;""))),_xlfn.TEXTJOIN(", ",TRUE,_xlfn.SORTBY(_xlpm.v,IFERROR(_xlpm.v+0,99999),1))),""))</f>
        <v/>
      </c>
      <c r="N75" s="19">
        <f>IF($B75="","",IF(SUMPRODUCT(MAX(ISNUMBER(SEARCH($B75,nrSCH_Instr))*nrSCH_Date))=0,"",SUMPRODUCT(MAX(ISNUMBER(SEARCH($B75,nrSCH_Instr))*nrSCH_Date))))</f>
        <v/>
      </c>
      <c r="O75" s="17">
        <f>IF($B75="","",IF($E75="Guest/Outside","N/A",IF($L75&lt;&gt;"Yes","(not on schedule)",IF(LEFT($E75,3)="SME","N/A (SME letter)",IF($E75&lt;&gt;"TCOLE Instructor","CHECK TYPE",IF($G75="","MISSING EXPIRATION",IF(NOT(ISNUMBER($G75)),"CHECK DATE",IF(AND(N($N75)&gt;0,$G75&lt;$N75),"EXPIRED BEFORE LAST CLASS TAUGHT "&amp;TEXT($G75,"mm/dd/yy"),IF($G75&lt;cfgEndDate,"RENEW - expires during academy "&amp;TEXT($G75,"mm/dd/yy"),"Current")))))))))</f>
        <v/>
      </c>
    </row>
    <row r="76">
      <c r="B76" s="16" t="n"/>
      <c r="C76" s="16" t="n"/>
      <c r="D76" s="16" t="n"/>
      <c r="E76" s="16" t="n"/>
      <c r="F76" s="16" t="n"/>
      <c r="G76" s="18" t="n"/>
      <c r="H76" s="16" t="n"/>
      <c r="I76" s="16" t="n"/>
      <c r="J76" s="16" t="n"/>
      <c r="K76" s="17">
        <f>IF($B76="","",IF($E76="Guest/Outside","N/A",IF(AND(OR($E76="TCOLE Instructor",AND(LEFT($E76,3)="SME",$H76="On File")),OR($I76="On File",$I76="N/A"),LEFT($O76,7)&lt;&gt;"EXPIRED",$O76&lt;&gt;"MISSING EXPIRATION"),"Yes","No")))</f>
        <v/>
      </c>
      <c r="L76" s="17">
        <f>IF($B76="","",IF(SUMPRODUCT(--ISNUMBER(SEARCH($B76,nrSCH_Instr)))&gt;0,"Yes",""))</f>
        <v/>
      </c>
      <c r="M76" s="17">
        <f>IF($B76="","",IFERROR(_xlfn.LET(_xlpm.v,_xlfn.UNIQUE(_xlfn._xlws.FILTER(nrSCH_ChNum,ISNUMBER(SEARCH($B76,nrSCH_Instr))*(nrSCH_ChNum&lt;&gt;""))),_xlfn.TEXTJOIN(", ",TRUE,_xlfn.SORTBY(_xlpm.v,IFERROR(_xlpm.v+0,99999),1))),""))</f>
        <v/>
      </c>
      <c r="N76" s="19">
        <f>IF($B76="","",IF(SUMPRODUCT(MAX(ISNUMBER(SEARCH($B76,nrSCH_Instr))*nrSCH_Date))=0,"",SUMPRODUCT(MAX(ISNUMBER(SEARCH($B76,nrSCH_Instr))*nrSCH_Date))))</f>
        <v/>
      </c>
      <c r="O76" s="17">
        <f>IF($B76="","",IF($E76="Guest/Outside","N/A",IF($L76&lt;&gt;"Yes","(not on schedule)",IF(LEFT($E76,3)="SME","N/A (SME letter)",IF($E76&lt;&gt;"TCOLE Instructor","CHECK TYPE",IF($G76="","MISSING EXPIRATION",IF(NOT(ISNUMBER($G76)),"CHECK DATE",IF(AND(N($N76)&gt;0,$G76&lt;$N76),"EXPIRED BEFORE LAST CLASS TAUGHT "&amp;TEXT($G76,"mm/dd/yy"),IF($G76&lt;cfgEndDate,"RENEW - expires during academy "&amp;TEXT($G76,"mm/dd/yy"),"Current")))))))))</f>
        <v/>
      </c>
    </row>
    <row r="77">
      <c r="B77" s="16" t="n"/>
      <c r="C77" s="16" t="n"/>
      <c r="D77" s="16" t="n"/>
      <c r="E77" s="16" t="n"/>
      <c r="F77" s="16" t="n"/>
      <c r="G77" s="18" t="n"/>
      <c r="H77" s="16" t="n"/>
      <c r="I77" s="16" t="n"/>
      <c r="J77" s="16" t="n"/>
      <c r="K77" s="17">
        <f>IF($B77="","",IF($E77="Guest/Outside","N/A",IF(AND(OR($E77="TCOLE Instructor",AND(LEFT($E77,3)="SME",$H77="On File")),OR($I77="On File",$I77="N/A"),LEFT($O77,7)&lt;&gt;"EXPIRED",$O77&lt;&gt;"MISSING EXPIRATION"),"Yes","No")))</f>
        <v/>
      </c>
      <c r="L77" s="17">
        <f>IF($B77="","",IF(SUMPRODUCT(--ISNUMBER(SEARCH($B77,nrSCH_Instr)))&gt;0,"Yes",""))</f>
        <v/>
      </c>
      <c r="M77" s="17">
        <f>IF($B77="","",IFERROR(_xlfn.LET(_xlpm.v,_xlfn.UNIQUE(_xlfn._xlws.FILTER(nrSCH_ChNum,ISNUMBER(SEARCH($B77,nrSCH_Instr))*(nrSCH_ChNum&lt;&gt;""))),_xlfn.TEXTJOIN(", ",TRUE,_xlfn.SORTBY(_xlpm.v,IFERROR(_xlpm.v+0,99999),1))),""))</f>
        <v/>
      </c>
      <c r="N77" s="19">
        <f>IF($B77="","",IF(SUMPRODUCT(MAX(ISNUMBER(SEARCH($B77,nrSCH_Instr))*nrSCH_Date))=0,"",SUMPRODUCT(MAX(ISNUMBER(SEARCH($B77,nrSCH_Instr))*nrSCH_Date))))</f>
        <v/>
      </c>
      <c r="O77" s="17">
        <f>IF($B77="","",IF($E77="Guest/Outside","N/A",IF($L77&lt;&gt;"Yes","(not on schedule)",IF(LEFT($E77,3)="SME","N/A (SME letter)",IF($E77&lt;&gt;"TCOLE Instructor","CHECK TYPE",IF($G77="","MISSING EXPIRATION",IF(NOT(ISNUMBER($G77)),"CHECK DATE",IF(AND(N($N77)&gt;0,$G77&lt;$N77),"EXPIRED BEFORE LAST CLASS TAUGHT "&amp;TEXT($G77,"mm/dd/yy"),IF($G77&lt;cfgEndDate,"RENEW - expires during academy "&amp;TEXT($G77,"mm/dd/yy"),"Current")))))))))</f>
        <v/>
      </c>
    </row>
    <row r="78">
      <c r="B78" s="16" t="n"/>
      <c r="C78" s="16" t="n"/>
      <c r="D78" s="16" t="n"/>
      <c r="E78" s="16" t="n"/>
      <c r="F78" s="16" t="n"/>
      <c r="G78" s="18" t="n"/>
      <c r="H78" s="16" t="n"/>
      <c r="I78" s="16" t="n"/>
      <c r="J78" s="16" t="n"/>
      <c r="K78" s="17">
        <f>IF($B78="","",IF($E78="Guest/Outside","N/A",IF(AND(OR($E78="TCOLE Instructor",AND(LEFT($E78,3)="SME",$H78="On File")),OR($I78="On File",$I78="N/A"),LEFT($O78,7)&lt;&gt;"EXPIRED",$O78&lt;&gt;"MISSING EXPIRATION"),"Yes","No")))</f>
        <v/>
      </c>
      <c r="L78" s="17">
        <f>IF($B78="","",IF(SUMPRODUCT(--ISNUMBER(SEARCH($B78,nrSCH_Instr)))&gt;0,"Yes",""))</f>
        <v/>
      </c>
      <c r="M78" s="17">
        <f>IF($B78="","",IFERROR(_xlfn.LET(_xlpm.v,_xlfn.UNIQUE(_xlfn._xlws.FILTER(nrSCH_ChNum,ISNUMBER(SEARCH($B78,nrSCH_Instr))*(nrSCH_ChNum&lt;&gt;""))),_xlfn.TEXTJOIN(", ",TRUE,_xlfn.SORTBY(_xlpm.v,IFERROR(_xlpm.v+0,99999),1))),""))</f>
        <v/>
      </c>
      <c r="N78" s="19">
        <f>IF($B78="","",IF(SUMPRODUCT(MAX(ISNUMBER(SEARCH($B78,nrSCH_Instr))*nrSCH_Date))=0,"",SUMPRODUCT(MAX(ISNUMBER(SEARCH($B78,nrSCH_Instr))*nrSCH_Date))))</f>
        <v/>
      </c>
      <c r="O78" s="17">
        <f>IF($B78="","",IF($E78="Guest/Outside","N/A",IF($L78&lt;&gt;"Yes","(not on schedule)",IF(LEFT($E78,3)="SME","N/A (SME letter)",IF($E78&lt;&gt;"TCOLE Instructor","CHECK TYPE",IF($G78="","MISSING EXPIRATION",IF(NOT(ISNUMBER($G78)),"CHECK DATE",IF(AND(N($N78)&gt;0,$G78&lt;$N78),"EXPIRED BEFORE LAST CLASS TAUGHT "&amp;TEXT($G78,"mm/dd/yy"),IF($G78&lt;cfgEndDate,"RENEW - expires during academy "&amp;TEXT($G78,"mm/dd/yy"),"Current")))))))))</f>
        <v/>
      </c>
    </row>
    <row r="79">
      <c r="B79" s="16" t="n"/>
      <c r="C79" s="16" t="n"/>
      <c r="D79" s="16" t="n"/>
      <c r="E79" s="16" t="n"/>
      <c r="F79" s="16" t="n"/>
      <c r="G79" s="18" t="n"/>
      <c r="H79" s="16" t="n"/>
      <c r="I79" s="16" t="n"/>
      <c r="J79" s="16" t="n"/>
      <c r="K79" s="17">
        <f>IF($B79="","",IF($E79="Guest/Outside","N/A",IF(AND(OR($E79="TCOLE Instructor",AND(LEFT($E79,3)="SME",$H79="On File")),OR($I79="On File",$I79="N/A"),LEFT($O79,7)&lt;&gt;"EXPIRED",$O79&lt;&gt;"MISSING EXPIRATION"),"Yes","No")))</f>
        <v/>
      </c>
      <c r="L79" s="17">
        <f>IF($B79="","",IF(SUMPRODUCT(--ISNUMBER(SEARCH($B79,nrSCH_Instr)))&gt;0,"Yes",""))</f>
        <v/>
      </c>
      <c r="M79" s="17">
        <f>IF($B79="","",IFERROR(_xlfn.LET(_xlpm.v,_xlfn.UNIQUE(_xlfn._xlws.FILTER(nrSCH_ChNum,ISNUMBER(SEARCH($B79,nrSCH_Instr))*(nrSCH_ChNum&lt;&gt;""))),_xlfn.TEXTJOIN(", ",TRUE,_xlfn.SORTBY(_xlpm.v,IFERROR(_xlpm.v+0,99999),1))),""))</f>
        <v/>
      </c>
      <c r="N79" s="19">
        <f>IF($B79="","",IF(SUMPRODUCT(MAX(ISNUMBER(SEARCH($B79,nrSCH_Instr))*nrSCH_Date))=0,"",SUMPRODUCT(MAX(ISNUMBER(SEARCH($B79,nrSCH_Instr))*nrSCH_Date))))</f>
        <v/>
      </c>
      <c r="O79" s="17">
        <f>IF($B79="","",IF($E79="Guest/Outside","N/A",IF($L79&lt;&gt;"Yes","(not on schedule)",IF(LEFT($E79,3)="SME","N/A (SME letter)",IF($E79&lt;&gt;"TCOLE Instructor","CHECK TYPE",IF($G79="","MISSING EXPIRATION",IF(NOT(ISNUMBER($G79)),"CHECK DATE",IF(AND(N($N79)&gt;0,$G79&lt;$N79),"EXPIRED BEFORE LAST CLASS TAUGHT "&amp;TEXT($G79,"mm/dd/yy"),IF($G79&lt;cfgEndDate,"RENEW - expires during academy "&amp;TEXT($G79,"mm/dd/yy"),"Current")))))))))</f>
        <v/>
      </c>
    </row>
    <row r="80">
      <c r="B80" s="16" t="n"/>
      <c r="C80" s="16" t="n"/>
      <c r="D80" s="16" t="n"/>
      <c r="E80" s="16" t="n"/>
      <c r="F80" s="16" t="n"/>
      <c r="G80" s="18" t="n"/>
      <c r="H80" s="16" t="n"/>
      <c r="I80" s="16" t="n"/>
      <c r="J80" s="16" t="n"/>
      <c r="K80" s="17">
        <f>IF($B80="","",IF($E80="Guest/Outside","N/A",IF(AND(OR($E80="TCOLE Instructor",AND(LEFT($E80,3)="SME",$H80="On File")),OR($I80="On File",$I80="N/A"),LEFT($O80,7)&lt;&gt;"EXPIRED",$O80&lt;&gt;"MISSING EXPIRATION"),"Yes","No")))</f>
        <v/>
      </c>
      <c r="L80" s="17">
        <f>IF($B80="","",IF(SUMPRODUCT(--ISNUMBER(SEARCH($B80,nrSCH_Instr)))&gt;0,"Yes",""))</f>
        <v/>
      </c>
      <c r="M80" s="17">
        <f>IF($B80="","",IFERROR(_xlfn.LET(_xlpm.v,_xlfn.UNIQUE(_xlfn._xlws.FILTER(nrSCH_ChNum,ISNUMBER(SEARCH($B80,nrSCH_Instr))*(nrSCH_ChNum&lt;&gt;""))),_xlfn.TEXTJOIN(", ",TRUE,_xlfn.SORTBY(_xlpm.v,IFERROR(_xlpm.v+0,99999),1))),""))</f>
        <v/>
      </c>
      <c r="N80" s="19">
        <f>IF($B80="","",IF(SUMPRODUCT(MAX(ISNUMBER(SEARCH($B80,nrSCH_Instr))*nrSCH_Date))=0,"",SUMPRODUCT(MAX(ISNUMBER(SEARCH($B80,nrSCH_Instr))*nrSCH_Date))))</f>
        <v/>
      </c>
      <c r="O80" s="17">
        <f>IF($B80="","",IF($E80="Guest/Outside","N/A",IF($L80&lt;&gt;"Yes","(not on schedule)",IF(LEFT($E80,3)="SME","N/A (SME letter)",IF($E80&lt;&gt;"TCOLE Instructor","CHECK TYPE",IF($G80="","MISSING EXPIRATION",IF(NOT(ISNUMBER($G80)),"CHECK DATE",IF(AND(N($N80)&gt;0,$G80&lt;$N80),"EXPIRED BEFORE LAST CLASS TAUGHT "&amp;TEXT($G80,"mm/dd/yy"),IF($G80&lt;cfgEndDate,"RENEW - expires during academy "&amp;TEXT($G80,"mm/dd/yy"),"Current")))))))))</f>
        <v/>
      </c>
    </row>
    <row r="81">
      <c r="B81" s="16" t="n"/>
      <c r="C81" s="16" t="n"/>
      <c r="D81" s="16" t="n"/>
      <c r="E81" s="16" t="n"/>
      <c r="F81" s="16" t="n"/>
      <c r="G81" s="18" t="n"/>
      <c r="H81" s="16" t="n"/>
      <c r="I81" s="16" t="n"/>
      <c r="J81" s="16" t="n"/>
      <c r="K81" s="17">
        <f>IF($B81="","",IF($E81="Guest/Outside","N/A",IF(AND(OR($E81="TCOLE Instructor",AND(LEFT($E81,3)="SME",$H81="On File")),OR($I81="On File",$I81="N/A"),LEFT($O81,7)&lt;&gt;"EXPIRED",$O81&lt;&gt;"MISSING EXPIRATION"),"Yes","No")))</f>
        <v/>
      </c>
      <c r="L81" s="17">
        <f>IF($B81="","",IF(SUMPRODUCT(--ISNUMBER(SEARCH($B81,nrSCH_Instr)))&gt;0,"Yes",""))</f>
        <v/>
      </c>
      <c r="M81" s="17">
        <f>IF($B81="","",IFERROR(_xlfn.LET(_xlpm.v,_xlfn.UNIQUE(_xlfn._xlws.FILTER(nrSCH_ChNum,ISNUMBER(SEARCH($B81,nrSCH_Instr))*(nrSCH_ChNum&lt;&gt;""))),_xlfn.TEXTJOIN(", ",TRUE,_xlfn.SORTBY(_xlpm.v,IFERROR(_xlpm.v+0,99999),1))),""))</f>
        <v/>
      </c>
      <c r="N81" s="19">
        <f>IF($B81="","",IF(SUMPRODUCT(MAX(ISNUMBER(SEARCH($B81,nrSCH_Instr))*nrSCH_Date))=0,"",SUMPRODUCT(MAX(ISNUMBER(SEARCH($B81,nrSCH_Instr))*nrSCH_Date))))</f>
        <v/>
      </c>
      <c r="O81" s="17">
        <f>IF($B81="","",IF($E81="Guest/Outside","N/A",IF($L81&lt;&gt;"Yes","(not on schedule)",IF(LEFT($E81,3)="SME","N/A (SME letter)",IF($E81&lt;&gt;"TCOLE Instructor","CHECK TYPE",IF($G81="","MISSING EXPIRATION",IF(NOT(ISNUMBER($G81)),"CHECK DATE",IF(AND(N($N81)&gt;0,$G81&lt;$N81),"EXPIRED BEFORE LAST CLASS TAUGHT "&amp;TEXT($G81,"mm/dd/yy"),IF($G81&lt;cfgEndDate,"RENEW - expires during academy "&amp;TEXT($G81,"mm/dd/yy"),"Current")))))))))</f>
        <v/>
      </c>
    </row>
    <row r="82">
      <c r="B82" s="16" t="n"/>
      <c r="C82" s="16" t="n"/>
      <c r="D82" s="16" t="n"/>
      <c r="E82" s="16" t="n"/>
      <c r="F82" s="16" t="n"/>
      <c r="G82" s="18" t="n"/>
      <c r="H82" s="16" t="n"/>
      <c r="I82" s="16" t="n"/>
      <c r="J82" s="16" t="n"/>
      <c r="K82" s="17">
        <f>IF($B82="","",IF($E82="Guest/Outside","N/A",IF(AND(OR($E82="TCOLE Instructor",AND(LEFT($E82,3)="SME",$H82="On File")),OR($I82="On File",$I82="N/A"),LEFT($O82,7)&lt;&gt;"EXPIRED",$O82&lt;&gt;"MISSING EXPIRATION"),"Yes","No")))</f>
        <v/>
      </c>
      <c r="L82" s="17">
        <f>IF($B82="","",IF(SUMPRODUCT(--ISNUMBER(SEARCH($B82,nrSCH_Instr)))&gt;0,"Yes",""))</f>
        <v/>
      </c>
      <c r="M82" s="17">
        <f>IF($B82="","",IFERROR(_xlfn.LET(_xlpm.v,_xlfn.UNIQUE(_xlfn._xlws.FILTER(nrSCH_ChNum,ISNUMBER(SEARCH($B82,nrSCH_Instr))*(nrSCH_ChNum&lt;&gt;""))),_xlfn.TEXTJOIN(", ",TRUE,_xlfn.SORTBY(_xlpm.v,IFERROR(_xlpm.v+0,99999),1))),""))</f>
        <v/>
      </c>
      <c r="N82" s="19">
        <f>IF($B82="","",IF(SUMPRODUCT(MAX(ISNUMBER(SEARCH($B82,nrSCH_Instr))*nrSCH_Date))=0,"",SUMPRODUCT(MAX(ISNUMBER(SEARCH($B82,nrSCH_Instr))*nrSCH_Date))))</f>
        <v/>
      </c>
      <c r="O82" s="17">
        <f>IF($B82="","",IF($E82="Guest/Outside","N/A",IF($L82&lt;&gt;"Yes","(not on schedule)",IF(LEFT($E82,3)="SME","N/A (SME letter)",IF($E82&lt;&gt;"TCOLE Instructor","CHECK TYPE",IF($G82="","MISSING EXPIRATION",IF(NOT(ISNUMBER($G82)),"CHECK DATE",IF(AND(N($N82)&gt;0,$G82&lt;$N82),"EXPIRED BEFORE LAST CLASS TAUGHT "&amp;TEXT($G82,"mm/dd/yy"),IF($G82&lt;cfgEndDate,"RENEW - expires during academy "&amp;TEXT($G82,"mm/dd/yy"),"Current")))))))))</f>
        <v/>
      </c>
    </row>
    <row r="83">
      <c r="B83" s="16" t="n"/>
      <c r="C83" s="16" t="n"/>
      <c r="D83" s="16" t="n"/>
      <c r="E83" s="16" t="n"/>
      <c r="F83" s="16" t="n"/>
      <c r="G83" s="18" t="n"/>
      <c r="H83" s="16" t="n"/>
      <c r="I83" s="16" t="n"/>
      <c r="J83" s="16" t="n"/>
      <c r="K83" s="17">
        <f>IF($B83="","",IF($E83="Guest/Outside","N/A",IF(AND(OR($E83="TCOLE Instructor",AND(LEFT($E83,3)="SME",$H83="On File")),OR($I83="On File",$I83="N/A"),LEFT($O83,7)&lt;&gt;"EXPIRED",$O83&lt;&gt;"MISSING EXPIRATION"),"Yes","No")))</f>
        <v/>
      </c>
      <c r="L83" s="17">
        <f>IF($B83="","",IF(SUMPRODUCT(--ISNUMBER(SEARCH($B83,nrSCH_Instr)))&gt;0,"Yes",""))</f>
        <v/>
      </c>
      <c r="M83" s="17">
        <f>IF($B83="","",IFERROR(_xlfn.LET(_xlpm.v,_xlfn.UNIQUE(_xlfn._xlws.FILTER(nrSCH_ChNum,ISNUMBER(SEARCH($B83,nrSCH_Instr))*(nrSCH_ChNum&lt;&gt;""))),_xlfn.TEXTJOIN(", ",TRUE,_xlfn.SORTBY(_xlpm.v,IFERROR(_xlpm.v+0,99999),1))),""))</f>
        <v/>
      </c>
      <c r="N83" s="19">
        <f>IF($B83="","",IF(SUMPRODUCT(MAX(ISNUMBER(SEARCH($B83,nrSCH_Instr))*nrSCH_Date))=0,"",SUMPRODUCT(MAX(ISNUMBER(SEARCH($B83,nrSCH_Instr))*nrSCH_Date))))</f>
        <v/>
      </c>
      <c r="O83" s="17">
        <f>IF($B83="","",IF($E83="Guest/Outside","N/A",IF($L83&lt;&gt;"Yes","(not on schedule)",IF(LEFT($E83,3)="SME","N/A (SME letter)",IF($E83&lt;&gt;"TCOLE Instructor","CHECK TYPE",IF($G83="","MISSING EXPIRATION",IF(NOT(ISNUMBER($G83)),"CHECK DATE",IF(AND(N($N83)&gt;0,$G83&lt;$N83),"EXPIRED BEFORE LAST CLASS TAUGHT "&amp;TEXT($G83,"mm/dd/yy"),IF($G83&lt;cfgEndDate,"RENEW - expires during academy "&amp;TEXT($G83,"mm/dd/yy"),"Current")))))))))</f>
        <v/>
      </c>
    </row>
    <row r="84">
      <c r="B84" s="16" t="n"/>
      <c r="C84" s="16" t="n"/>
      <c r="D84" s="16" t="n"/>
      <c r="E84" s="16" t="n"/>
      <c r="F84" s="16" t="n"/>
      <c r="G84" s="18" t="n"/>
      <c r="H84" s="16" t="n"/>
      <c r="I84" s="16" t="n"/>
      <c r="J84" s="16" t="n"/>
      <c r="K84" s="17">
        <f>IF($B84="","",IF($E84="Guest/Outside","N/A",IF(AND(OR($E84="TCOLE Instructor",AND(LEFT($E84,3)="SME",$H84="On File")),OR($I84="On File",$I84="N/A"),LEFT($O84,7)&lt;&gt;"EXPIRED",$O84&lt;&gt;"MISSING EXPIRATION"),"Yes","No")))</f>
        <v/>
      </c>
      <c r="L84" s="17">
        <f>IF($B84="","",IF(SUMPRODUCT(--ISNUMBER(SEARCH($B84,nrSCH_Instr)))&gt;0,"Yes",""))</f>
        <v/>
      </c>
      <c r="M84" s="17">
        <f>IF($B84="","",IFERROR(_xlfn.LET(_xlpm.v,_xlfn.UNIQUE(_xlfn._xlws.FILTER(nrSCH_ChNum,ISNUMBER(SEARCH($B84,nrSCH_Instr))*(nrSCH_ChNum&lt;&gt;""))),_xlfn.TEXTJOIN(", ",TRUE,_xlfn.SORTBY(_xlpm.v,IFERROR(_xlpm.v+0,99999),1))),""))</f>
        <v/>
      </c>
      <c r="N84" s="19">
        <f>IF($B84="","",IF(SUMPRODUCT(MAX(ISNUMBER(SEARCH($B84,nrSCH_Instr))*nrSCH_Date))=0,"",SUMPRODUCT(MAX(ISNUMBER(SEARCH($B84,nrSCH_Instr))*nrSCH_Date))))</f>
        <v/>
      </c>
      <c r="O84" s="17">
        <f>IF($B84="","",IF($E84="Guest/Outside","N/A",IF($L84&lt;&gt;"Yes","(not on schedule)",IF(LEFT($E84,3)="SME","N/A (SME letter)",IF($E84&lt;&gt;"TCOLE Instructor","CHECK TYPE",IF($G84="","MISSING EXPIRATION",IF(NOT(ISNUMBER($G84)),"CHECK DATE",IF(AND(N($N84)&gt;0,$G84&lt;$N84),"EXPIRED BEFORE LAST CLASS TAUGHT "&amp;TEXT($G84,"mm/dd/yy"),IF($G84&lt;cfgEndDate,"RENEW - expires during academy "&amp;TEXT($G84,"mm/dd/yy"),"Current")))))))))</f>
        <v/>
      </c>
    </row>
    <row r="85">
      <c r="B85" s="16" t="n"/>
      <c r="C85" s="16" t="n"/>
      <c r="D85" s="16" t="n"/>
      <c r="E85" s="16" t="n"/>
      <c r="F85" s="16" t="n"/>
      <c r="G85" s="18" t="n"/>
      <c r="H85" s="16" t="n"/>
      <c r="I85" s="16" t="n"/>
      <c r="J85" s="16" t="n"/>
      <c r="K85" s="17">
        <f>IF($B85="","",IF($E85="Guest/Outside","N/A",IF(AND(OR($E85="TCOLE Instructor",AND(LEFT($E85,3)="SME",$H85="On File")),OR($I85="On File",$I85="N/A"),LEFT($O85,7)&lt;&gt;"EXPIRED",$O85&lt;&gt;"MISSING EXPIRATION"),"Yes","No")))</f>
        <v/>
      </c>
      <c r="L85" s="17">
        <f>IF($B85="","",IF(SUMPRODUCT(--ISNUMBER(SEARCH($B85,nrSCH_Instr)))&gt;0,"Yes",""))</f>
        <v/>
      </c>
      <c r="M85" s="17">
        <f>IF($B85="","",IFERROR(_xlfn.LET(_xlpm.v,_xlfn.UNIQUE(_xlfn._xlws.FILTER(nrSCH_ChNum,ISNUMBER(SEARCH($B85,nrSCH_Instr))*(nrSCH_ChNum&lt;&gt;""))),_xlfn.TEXTJOIN(", ",TRUE,_xlfn.SORTBY(_xlpm.v,IFERROR(_xlpm.v+0,99999),1))),""))</f>
        <v/>
      </c>
      <c r="N85" s="19">
        <f>IF($B85="","",IF(SUMPRODUCT(MAX(ISNUMBER(SEARCH($B85,nrSCH_Instr))*nrSCH_Date))=0,"",SUMPRODUCT(MAX(ISNUMBER(SEARCH($B85,nrSCH_Instr))*nrSCH_Date))))</f>
        <v/>
      </c>
      <c r="O85" s="17">
        <f>IF($B85="","",IF($E85="Guest/Outside","N/A",IF($L85&lt;&gt;"Yes","(not on schedule)",IF(LEFT($E85,3)="SME","N/A (SME letter)",IF($E85&lt;&gt;"TCOLE Instructor","CHECK TYPE",IF($G85="","MISSING EXPIRATION",IF(NOT(ISNUMBER($G85)),"CHECK DATE",IF(AND(N($N85)&gt;0,$G85&lt;$N85),"EXPIRED BEFORE LAST CLASS TAUGHT "&amp;TEXT($G85,"mm/dd/yy"),IF($G85&lt;cfgEndDate,"RENEW - expires during academy "&amp;TEXT($G85,"mm/dd/yy"),"Current")))))))))</f>
        <v/>
      </c>
    </row>
    <row r="86">
      <c r="B86" s="16" t="n"/>
      <c r="C86" s="16" t="n"/>
      <c r="D86" s="16" t="n"/>
      <c r="E86" s="16" t="n"/>
      <c r="F86" s="16" t="n"/>
      <c r="G86" s="18" t="n"/>
      <c r="H86" s="16" t="n"/>
      <c r="I86" s="16" t="n"/>
      <c r="J86" s="16" t="n"/>
      <c r="K86" s="17">
        <f>IF($B86="","",IF($E86="Guest/Outside","N/A",IF(AND(OR($E86="TCOLE Instructor",AND(LEFT($E86,3)="SME",$H86="On File")),OR($I86="On File",$I86="N/A"),LEFT($O86,7)&lt;&gt;"EXPIRED",$O86&lt;&gt;"MISSING EXPIRATION"),"Yes","No")))</f>
        <v/>
      </c>
      <c r="L86" s="17">
        <f>IF($B86="","",IF(SUMPRODUCT(--ISNUMBER(SEARCH($B86,nrSCH_Instr)))&gt;0,"Yes",""))</f>
        <v/>
      </c>
      <c r="M86" s="17">
        <f>IF($B86="","",IFERROR(_xlfn.LET(_xlpm.v,_xlfn.UNIQUE(_xlfn._xlws.FILTER(nrSCH_ChNum,ISNUMBER(SEARCH($B86,nrSCH_Instr))*(nrSCH_ChNum&lt;&gt;""))),_xlfn.TEXTJOIN(", ",TRUE,_xlfn.SORTBY(_xlpm.v,IFERROR(_xlpm.v+0,99999),1))),""))</f>
        <v/>
      </c>
      <c r="N86" s="19">
        <f>IF($B86="","",IF(SUMPRODUCT(MAX(ISNUMBER(SEARCH($B86,nrSCH_Instr))*nrSCH_Date))=0,"",SUMPRODUCT(MAX(ISNUMBER(SEARCH($B86,nrSCH_Instr))*nrSCH_Date))))</f>
        <v/>
      </c>
      <c r="O86" s="17">
        <f>IF($B86="","",IF($E86="Guest/Outside","N/A",IF($L86&lt;&gt;"Yes","(not on schedule)",IF(LEFT($E86,3)="SME","N/A (SME letter)",IF($E86&lt;&gt;"TCOLE Instructor","CHECK TYPE",IF($G86="","MISSING EXPIRATION",IF(NOT(ISNUMBER($G86)),"CHECK DATE",IF(AND(N($N86)&gt;0,$G86&lt;$N86),"EXPIRED BEFORE LAST CLASS TAUGHT "&amp;TEXT($G86,"mm/dd/yy"),IF($G86&lt;cfgEndDate,"RENEW - expires during academy "&amp;TEXT($G86,"mm/dd/yy"),"Current")))))))))</f>
        <v/>
      </c>
    </row>
    <row r="87">
      <c r="B87" s="16" t="n"/>
      <c r="C87" s="16" t="n"/>
      <c r="D87" s="16" t="n"/>
      <c r="E87" s="16" t="n"/>
      <c r="F87" s="16" t="n"/>
      <c r="G87" s="18" t="n"/>
      <c r="H87" s="16" t="n"/>
      <c r="I87" s="16" t="n"/>
      <c r="J87" s="16" t="n"/>
      <c r="K87" s="17">
        <f>IF($B87="","",IF($E87="Guest/Outside","N/A",IF(AND(OR($E87="TCOLE Instructor",AND(LEFT($E87,3)="SME",$H87="On File")),OR($I87="On File",$I87="N/A"),LEFT($O87,7)&lt;&gt;"EXPIRED",$O87&lt;&gt;"MISSING EXPIRATION"),"Yes","No")))</f>
        <v/>
      </c>
      <c r="L87" s="17">
        <f>IF($B87="","",IF(SUMPRODUCT(--ISNUMBER(SEARCH($B87,nrSCH_Instr)))&gt;0,"Yes",""))</f>
        <v/>
      </c>
      <c r="M87" s="17">
        <f>IF($B87="","",IFERROR(_xlfn.LET(_xlpm.v,_xlfn.UNIQUE(_xlfn._xlws.FILTER(nrSCH_ChNum,ISNUMBER(SEARCH($B87,nrSCH_Instr))*(nrSCH_ChNum&lt;&gt;""))),_xlfn.TEXTJOIN(", ",TRUE,_xlfn.SORTBY(_xlpm.v,IFERROR(_xlpm.v+0,99999),1))),""))</f>
        <v/>
      </c>
      <c r="N87" s="19">
        <f>IF($B87="","",IF(SUMPRODUCT(MAX(ISNUMBER(SEARCH($B87,nrSCH_Instr))*nrSCH_Date))=0,"",SUMPRODUCT(MAX(ISNUMBER(SEARCH($B87,nrSCH_Instr))*nrSCH_Date))))</f>
        <v/>
      </c>
      <c r="O87" s="17">
        <f>IF($B87="","",IF($E87="Guest/Outside","N/A",IF($L87&lt;&gt;"Yes","(not on schedule)",IF(LEFT($E87,3)="SME","N/A (SME letter)",IF($E87&lt;&gt;"TCOLE Instructor","CHECK TYPE",IF($G87="","MISSING EXPIRATION",IF(NOT(ISNUMBER($G87)),"CHECK DATE",IF(AND(N($N87)&gt;0,$G87&lt;$N87),"EXPIRED BEFORE LAST CLASS TAUGHT "&amp;TEXT($G87,"mm/dd/yy"),IF($G87&lt;cfgEndDate,"RENEW - expires during academy "&amp;TEXT($G87,"mm/dd/yy"),"Current")))))))))</f>
        <v/>
      </c>
    </row>
    <row r="88">
      <c r="B88" s="16" t="n"/>
      <c r="C88" s="16" t="n"/>
      <c r="D88" s="16" t="n"/>
      <c r="E88" s="16" t="n"/>
      <c r="F88" s="16" t="n"/>
      <c r="G88" s="18" t="n"/>
      <c r="H88" s="16" t="n"/>
      <c r="I88" s="16" t="n"/>
      <c r="J88" s="16" t="n"/>
      <c r="K88" s="17">
        <f>IF($B88="","",IF($E88="Guest/Outside","N/A",IF(AND(OR($E88="TCOLE Instructor",AND(LEFT($E88,3)="SME",$H88="On File")),OR($I88="On File",$I88="N/A"),LEFT($O88,7)&lt;&gt;"EXPIRED",$O88&lt;&gt;"MISSING EXPIRATION"),"Yes","No")))</f>
        <v/>
      </c>
      <c r="L88" s="17">
        <f>IF($B88="","",IF(SUMPRODUCT(--ISNUMBER(SEARCH($B88,nrSCH_Instr)))&gt;0,"Yes",""))</f>
        <v/>
      </c>
      <c r="M88" s="17">
        <f>IF($B88="","",IFERROR(_xlfn.LET(_xlpm.v,_xlfn.UNIQUE(_xlfn._xlws.FILTER(nrSCH_ChNum,ISNUMBER(SEARCH($B88,nrSCH_Instr))*(nrSCH_ChNum&lt;&gt;""))),_xlfn.TEXTJOIN(", ",TRUE,_xlfn.SORTBY(_xlpm.v,IFERROR(_xlpm.v+0,99999),1))),""))</f>
        <v/>
      </c>
      <c r="N88" s="19">
        <f>IF($B88="","",IF(SUMPRODUCT(MAX(ISNUMBER(SEARCH($B88,nrSCH_Instr))*nrSCH_Date))=0,"",SUMPRODUCT(MAX(ISNUMBER(SEARCH($B88,nrSCH_Instr))*nrSCH_Date))))</f>
        <v/>
      </c>
      <c r="O88" s="17">
        <f>IF($B88="","",IF($E88="Guest/Outside","N/A",IF($L88&lt;&gt;"Yes","(not on schedule)",IF(LEFT($E88,3)="SME","N/A (SME letter)",IF($E88&lt;&gt;"TCOLE Instructor","CHECK TYPE",IF($G88="","MISSING EXPIRATION",IF(NOT(ISNUMBER($G88)),"CHECK DATE",IF(AND(N($N88)&gt;0,$G88&lt;$N88),"EXPIRED BEFORE LAST CLASS TAUGHT "&amp;TEXT($G88,"mm/dd/yy"),IF($G88&lt;cfgEndDate,"RENEW - expires during academy "&amp;TEXT($G88,"mm/dd/yy"),"Current")))))))))</f>
        <v/>
      </c>
    </row>
    <row r="89">
      <c r="B89" s="16" t="n"/>
      <c r="C89" s="16" t="n"/>
      <c r="D89" s="16" t="n"/>
      <c r="E89" s="16" t="n"/>
      <c r="F89" s="16" t="n"/>
      <c r="G89" s="18" t="n"/>
      <c r="H89" s="16" t="n"/>
      <c r="I89" s="16" t="n"/>
      <c r="J89" s="16" t="n"/>
      <c r="K89" s="17">
        <f>IF($B89="","",IF($E89="Guest/Outside","N/A",IF(AND(OR($E89="TCOLE Instructor",AND(LEFT($E89,3)="SME",$H89="On File")),OR($I89="On File",$I89="N/A"),LEFT($O89,7)&lt;&gt;"EXPIRED",$O89&lt;&gt;"MISSING EXPIRATION"),"Yes","No")))</f>
        <v/>
      </c>
      <c r="L89" s="17">
        <f>IF($B89="","",IF(SUMPRODUCT(--ISNUMBER(SEARCH($B89,nrSCH_Instr)))&gt;0,"Yes",""))</f>
        <v/>
      </c>
      <c r="M89" s="17">
        <f>IF($B89="","",IFERROR(_xlfn.LET(_xlpm.v,_xlfn.UNIQUE(_xlfn._xlws.FILTER(nrSCH_ChNum,ISNUMBER(SEARCH($B89,nrSCH_Instr))*(nrSCH_ChNum&lt;&gt;""))),_xlfn.TEXTJOIN(", ",TRUE,_xlfn.SORTBY(_xlpm.v,IFERROR(_xlpm.v+0,99999),1))),""))</f>
        <v/>
      </c>
      <c r="N89" s="19">
        <f>IF($B89="","",IF(SUMPRODUCT(MAX(ISNUMBER(SEARCH($B89,nrSCH_Instr))*nrSCH_Date))=0,"",SUMPRODUCT(MAX(ISNUMBER(SEARCH($B89,nrSCH_Instr))*nrSCH_Date))))</f>
        <v/>
      </c>
      <c r="O89" s="17">
        <f>IF($B89="","",IF($E89="Guest/Outside","N/A",IF($L89&lt;&gt;"Yes","(not on schedule)",IF(LEFT($E89,3)="SME","N/A (SME letter)",IF($E89&lt;&gt;"TCOLE Instructor","CHECK TYPE",IF($G89="","MISSING EXPIRATION",IF(NOT(ISNUMBER($G89)),"CHECK DATE",IF(AND(N($N89)&gt;0,$G89&lt;$N89),"EXPIRED BEFORE LAST CLASS TAUGHT "&amp;TEXT($G89,"mm/dd/yy"),IF($G89&lt;cfgEndDate,"RENEW - expires during academy "&amp;TEXT($G89,"mm/dd/yy"),"Current")))))))))</f>
        <v/>
      </c>
    </row>
    <row r="90">
      <c r="B90" s="16" t="n"/>
      <c r="C90" s="16" t="n"/>
      <c r="D90" s="16" t="n"/>
      <c r="E90" s="16" t="n"/>
      <c r="F90" s="16" t="n"/>
      <c r="G90" s="18" t="n"/>
      <c r="H90" s="16" t="n"/>
      <c r="I90" s="16" t="n"/>
      <c r="J90" s="16" t="n"/>
      <c r="K90" s="17">
        <f>IF($B90="","",IF($E90="Guest/Outside","N/A",IF(AND(OR($E90="TCOLE Instructor",AND(LEFT($E90,3)="SME",$H90="On File")),OR($I90="On File",$I90="N/A"),LEFT($O90,7)&lt;&gt;"EXPIRED",$O90&lt;&gt;"MISSING EXPIRATION"),"Yes","No")))</f>
        <v/>
      </c>
      <c r="L90" s="17">
        <f>IF($B90="","",IF(SUMPRODUCT(--ISNUMBER(SEARCH($B90,nrSCH_Instr)))&gt;0,"Yes",""))</f>
        <v/>
      </c>
      <c r="M90" s="17">
        <f>IF($B90="","",IFERROR(_xlfn.LET(_xlpm.v,_xlfn.UNIQUE(_xlfn._xlws.FILTER(nrSCH_ChNum,ISNUMBER(SEARCH($B90,nrSCH_Instr))*(nrSCH_ChNum&lt;&gt;""))),_xlfn.TEXTJOIN(", ",TRUE,_xlfn.SORTBY(_xlpm.v,IFERROR(_xlpm.v+0,99999),1))),""))</f>
        <v/>
      </c>
      <c r="N90" s="19">
        <f>IF($B90="","",IF(SUMPRODUCT(MAX(ISNUMBER(SEARCH($B90,nrSCH_Instr))*nrSCH_Date))=0,"",SUMPRODUCT(MAX(ISNUMBER(SEARCH($B90,nrSCH_Instr))*nrSCH_Date))))</f>
        <v/>
      </c>
      <c r="O90" s="17">
        <f>IF($B90="","",IF($E90="Guest/Outside","N/A",IF($L90&lt;&gt;"Yes","(not on schedule)",IF(LEFT($E90,3)="SME","N/A (SME letter)",IF($E90&lt;&gt;"TCOLE Instructor","CHECK TYPE",IF($G90="","MISSING EXPIRATION",IF(NOT(ISNUMBER($G90)),"CHECK DATE",IF(AND(N($N90)&gt;0,$G90&lt;$N90),"EXPIRED BEFORE LAST CLASS TAUGHT "&amp;TEXT($G90,"mm/dd/yy"),IF($G90&lt;cfgEndDate,"RENEW - expires during academy "&amp;TEXT($G90,"mm/dd/yy"),"Current")))))))))</f>
        <v/>
      </c>
    </row>
    <row r="91">
      <c r="B91" s="16" t="n"/>
      <c r="C91" s="16" t="n"/>
      <c r="D91" s="16" t="n"/>
      <c r="E91" s="16" t="n"/>
      <c r="F91" s="16" t="n"/>
      <c r="G91" s="18" t="n"/>
      <c r="H91" s="16" t="n"/>
      <c r="I91" s="16" t="n"/>
      <c r="J91" s="16" t="n"/>
      <c r="K91" s="17">
        <f>IF($B91="","",IF($E91="Guest/Outside","N/A",IF(AND(OR($E91="TCOLE Instructor",AND(LEFT($E91,3)="SME",$H91="On File")),OR($I91="On File",$I91="N/A"),LEFT($O91,7)&lt;&gt;"EXPIRED",$O91&lt;&gt;"MISSING EXPIRATION"),"Yes","No")))</f>
        <v/>
      </c>
      <c r="L91" s="17">
        <f>IF($B91="","",IF(SUMPRODUCT(--ISNUMBER(SEARCH($B91,nrSCH_Instr)))&gt;0,"Yes",""))</f>
        <v/>
      </c>
      <c r="M91" s="17">
        <f>IF($B91="","",IFERROR(_xlfn.LET(_xlpm.v,_xlfn.UNIQUE(_xlfn._xlws.FILTER(nrSCH_ChNum,ISNUMBER(SEARCH($B91,nrSCH_Instr))*(nrSCH_ChNum&lt;&gt;""))),_xlfn.TEXTJOIN(", ",TRUE,_xlfn.SORTBY(_xlpm.v,IFERROR(_xlpm.v+0,99999),1))),""))</f>
        <v/>
      </c>
      <c r="N91" s="19">
        <f>IF($B91="","",IF(SUMPRODUCT(MAX(ISNUMBER(SEARCH($B91,nrSCH_Instr))*nrSCH_Date))=0,"",SUMPRODUCT(MAX(ISNUMBER(SEARCH($B91,nrSCH_Instr))*nrSCH_Date))))</f>
        <v/>
      </c>
      <c r="O91" s="17">
        <f>IF($B91="","",IF($E91="Guest/Outside","N/A",IF($L91&lt;&gt;"Yes","(not on schedule)",IF(LEFT($E91,3)="SME","N/A (SME letter)",IF($E91&lt;&gt;"TCOLE Instructor","CHECK TYPE",IF($G91="","MISSING EXPIRATION",IF(NOT(ISNUMBER($G91)),"CHECK DATE",IF(AND(N($N91)&gt;0,$G91&lt;$N91),"EXPIRED BEFORE LAST CLASS TAUGHT "&amp;TEXT($G91,"mm/dd/yy"),IF($G91&lt;cfgEndDate,"RENEW - expires during academy "&amp;TEXT($G91,"mm/dd/yy"),"Current")))))))))</f>
        <v/>
      </c>
    </row>
    <row r="92">
      <c r="B92" s="16" t="n"/>
      <c r="C92" s="16" t="n"/>
      <c r="D92" s="16" t="n"/>
      <c r="E92" s="16" t="n"/>
      <c r="F92" s="16" t="n"/>
      <c r="G92" s="18" t="n"/>
      <c r="H92" s="16" t="n"/>
      <c r="I92" s="16" t="n"/>
      <c r="J92" s="16" t="n"/>
      <c r="K92" s="17">
        <f>IF($B92="","",IF($E92="Guest/Outside","N/A",IF(AND(OR($E92="TCOLE Instructor",AND(LEFT($E92,3)="SME",$H92="On File")),OR($I92="On File",$I92="N/A"),LEFT($O92,7)&lt;&gt;"EXPIRED",$O92&lt;&gt;"MISSING EXPIRATION"),"Yes","No")))</f>
        <v/>
      </c>
      <c r="L92" s="17">
        <f>IF($B92="","",IF(SUMPRODUCT(--ISNUMBER(SEARCH($B92,nrSCH_Instr)))&gt;0,"Yes",""))</f>
        <v/>
      </c>
      <c r="M92" s="17">
        <f>IF($B92="","",IFERROR(_xlfn.LET(_xlpm.v,_xlfn.UNIQUE(_xlfn._xlws.FILTER(nrSCH_ChNum,ISNUMBER(SEARCH($B92,nrSCH_Instr))*(nrSCH_ChNum&lt;&gt;""))),_xlfn.TEXTJOIN(", ",TRUE,_xlfn.SORTBY(_xlpm.v,IFERROR(_xlpm.v+0,99999),1))),""))</f>
        <v/>
      </c>
      <c r="N92" s="19">
        <f>IF($B92="","",IF(SUMPRODUCT(MAX(ISNUMBER(SEARCH($B92,nrSCH_Instr))*nrSCH_Date))=0,"",SUMPRODUCT(MAX(ISNUMBER(SEARCH($B92,nrSCH_Instr))*nrSCH_Date))))</f>
        <v/>
      </c>
      <c r="O92" s="17">
        <f>IF($B92="","",IF($E92="Guest/Outside","N/A",IF($L92&lt;&gt;"Yes","(not on schedule)",IF(LEFT($E92,3)="SME","N/A (SME letter)",IF($E92&lt;&gt;"TCOLE Instructor","CHECK TYPE",IF($G92="","MISSING EXPIRATION",IF(NOT(ISNUMBER($G92)),"CHECK DATE",IF(AND(N($N92)&gt;0,$G92&lt;$N92),"EXPIRED BEFORE LAST CLASS TAUGHT "&amp;TEXT($G92,"mm/dd/yy"),IF($G92&lt;cfgEndDate,"RENEW - expires during academy "&amp;TEXT($G92,"mm/dd/yy"),"Current")))))))))</f>
        <v/>
      </c>
    </row>
    <row r="93">
      <c r="B93" s="16" t="n"/>
      <c r="C93" s="16" t="n"/>
      <c r="D93" s="16" t="n"/>
      <c r="E93" s="16" t="n"/>
      <c r="F93" s="16" t="n"/>
      <c r="G93" s="18" t="n"/>
      <c r="H93" s="16" t="n"/>
      <c r="I93" s="16" t="n"/>
      <c r="J93" s="16" t="n"/>
      <c r="K93" s="17">
        <f>IF($B93="","",IF($E93="Guest/Outside","N/A",IF(AND(OR($E93="TCOLE Instructor",AND(LEFT($E93,3)="SME",$H93="On File")),OR($I93="On File",$I93="N/A"),LEFT($O93,7)&lt;&gt;"EXPIRED",$O93&lt;&gt;"MISSING EXPIRATION"),"Yes","No")))</f>
        <v/>
      </c>
      <c r="L93" s="17">
        <f>IF($B93="","",IF(SUMPRODUCT(--ISNUMBER(SEARCH($B93,nrSCH_Instr)))&gt;0,"Yes",""))</f>
        <v/>
      </c>
      <c r="M93" s="17">
        <f>IF($B93="","",IFERROR(_xlfn.LET(_xlpm.v,_xlfn.UNIQUE(_xlfn._xlws.FILTER(nrSCH_ChNum,ISNUMBER(SEARCH($B93,nrSCH_Instr))*(nrSCH_ChNum&lt;&gt;""))),_xlfn.TEXTJOIN(", ",TRUE,_xlfn.SORTBY(_xlpm.v,IFERROR(_xlpm.v+0,99999),1))),""))</f>
        <v/>
      </c>
      <c r="N93" s="19">
        <f>IF($B93="","",IF(SUMPRODUCT(MAX(ISNUMBER(SEARCH($B93,nrSCH_Instr))*nrSCH_Date))=0,"",SUMPRODUCT(MAX(ISNUMBER(SEARCH($B93,nrSCH_Instr))*nrSCH_Date))))</f>
        <v/>
      </c>
      <c r="O93" s="17">
        <f>IF($B93="","",IF($E93="Guest/Outside","N/A",IF($L93&lt;&gt;"Yes","(not on schedule)",IF(LEFT($E93,3)="SME","N/A (SME letter)",IF($E93&lt;&gt;"TCOLE Instructor","CHECK TYPE",IF($G93="","MISSING EXPIRATION",IF(NOT(ISNUMBER($G93)),"CHECK DATE",IF(AND(N($N93)&gt;0,$G93&lt;$N93),"EXPIRED BEFORE LAST CLASS TAUGHT "&amp;TEXT($G93,"mm/dd/yy"),IF($G93&lt;cfgEndDate,"RENEW - expires during academy "&amp;TEXT($G93,"mm/dd/yy"),"Current")))))))))</f>
        <v/>
      </c>
    </row>
    <row r="94">
      <c r="B94" s="16" t="n"/>
      <c r="C94" s="16" t="n"/>
      <c r="D94" s="16" t="n"/>
      <c r="E94" s="16" t="n"/>
      <c r="F94" s="16" t="n"/>
      <c r="G94" s="18" t="n"/>
      <c r="H94" s="16" t="n"/>
      <c r="I94" s="16" t="n"/>
      <c r="J94" s="16" t="n"/>
      <c r="K94" s="17">
        <f>IF($B94="","",IF($E94="Guest/Outside","N/A",IF(AND(OR($E94="TCOLE Instructor",AND(LEFT($E94,3)="SME",$H94="On File")),OR($I94="On File",$I94="N/A"),LEFT($O94,7)&lt;&gt;"EXPIRED",$O94&lt;&gt;"MISSING EXPIRATION"),"Yes","No")))</f>
        <v/>
      </c>
      <c r="L94" s="17">
        <f>IF($B94="","",IF(SUMPRODUCT(--ISNUMBER(SEARCH($B94,nrSCH_Instr)))&gt;0,"Yes",""))</f>
        <v/>
      </c>
      <c r="M94" s="17">
        <f>IF($B94="","",IFERROR(_xlfn.LET(_xlpm.v,_xlfn.UNIQUE(_xlfn._xlws.FILTER(nrSCH_ChNum,ISNUMBER(SEARCH($B94,nrSCH_Instr))*(nrSCH_ChNum&lt;&gt;""))),_xlfn.TEXTJOIN(", ",TRUE,_xlfn.SORTBY(_xlpm.v,IFERROR(_xlpm.v+0,99999),1))),""))</f>
        <v/>
      </c>
      <c r="N94" s="19">
        <f>IF($B94="","",IF(SUMPRODUCT(MAX(ISNUMBER(SEARCH($B94,nrSCH_Instr))*nrSCH_Date))=0,"",SUMPRODUCT(MAX(ISNUMBER(SEARCH($B94,nrSCH_Instr))*nrSCH_Date))))</f>
        <v/>
      </c>
      <c r="O94" s="17">
        <f>IF($B94="","",IF($E94="Guest/Outside","N/A",IF($L94&lt;&gt;"Yes","(not on schedule)",IF(LEFT($E94,3)="SME","N/A (SME letter)",IF($E94&lt;&gt;"TCOLE Instructor","CHECK TYPE",IF($G94="","MISSING EXPIRATION",IF(NOT(ISNUMBER($G94)),"CHECK DATE",IF(AND(N($N94)&gt;0,$G94&lt;$N94),"EXPIRED BEFORE LAST CLASS TAUGHT "&amp;TEXT($G94,"mm/dd/yy"),IF($G94&lt;cfgEndDate,"RENEW - expires during academy "&amp;TEXT($G94,"mm/dd/yy"),"Current")))))))))</f>
        <v/>
      </c>
    </row>
    <row r="95">
      <c r="B95" s="16" t="n"/>
      <c r="C95" s="16" t="n"/>
      <c r="D95" s="16" t="n"/>
      <c r="E95" s="16" t="n"/>
      <c r="F95" s="16" t="n"/>
      <c r="G95" s="18" t="n"/>
      <c r="H95" s="16" t="n"/>
      <c r="I95" s="16" t="n"/>
      <c r="J95" s="16" t="n"/>
      <c r="K95" s="17">
        <f>IF($B95="","",IF($E95="Guest/Outside","N/A",IF(AND(OR($E95="TCOLE Instructor",AND(LEFT($E95,3)="SME",$H95="On File")),OR($I95="On File",$I95="N/A"),LEFT($O95,7)&lt;&gt;"EXPIRED",$O95&lt;&gt;"MISSING EXPIRATION"),"Yes","No")))</f>
        <v/>
      </c>
      <c r="L95" s="17">
        <f>IF($B95="","",IF(SUMPRODUCT(--ISNUMBER(SEARCH($B95,nrSCH_Instr)))&gt;0,"Yes",""))</f>
        <v/>
      </c>
      <c r="M95" s="17">
        <f>IF($B95="","",IFERROR(_xlfn.LET(_xlpm.v,_xlfn.UNIQUE(_xlfn._xlws.FILTER(nrSCH_ChNum,ISNUMBER(SEARCH($B95,nrSCH_Instr))*(nrSCH_ChNum&lt;&gt;""))),_xlfn.TEXTJOIN(", ",TRUE,_xlfn.SORTBY(_xlpm.v,IFERROR(_xlpm.v+0,99999),1))),""))</f>
        <v/>
      </c>
      <c r="N95" s="19">
        <f>IF($B95="","",IF(SUMPRODUCT(MAX(ISNUMBER(SEARCH($B95,nrSCH_Instr))*nrSCH_Date))=0,"",SUMPRODUCT(MAX(ISNUMBER(SEARCH($B95,nrSCH_Instr))*nrSCH_Date))))</f>
        <v/>
      </c>
      <c r="O95" s="17">
        <f>IF($B95="","",IF($E95="Guest/Outside","N/A",IF($L95&lt;&gt;"Yes","(not on schedule)",IF(LEFT($E95,3)="SME","N/A (SME letter)",IF($E95&lt;&gt;"TCOLE Instructor","CHECK TYPE",IF($G95="","MISSING EXPIRATION",IF(NOT(ISNUMBER($G95)),"CHECK DATE",IF(AND(N($N95)&gt;0,$G95&lt;$N95),"EXPIRED BEFORE LAST CLASS TAUGHT "&amp;TEXT($G95,"mm/dd/yy"),IF($G95&lt;cfgEndDate,"RENEW - expires during academy "&amp;TEXT($G95,"mm/dd/yy"),"Current")))))))))</f>
        <v/>
      </c>
    </row>
  </sheetData>
  <sheetProtection selectLockedCells="0" selectUnlockedCells="0" sheet="1" objects="0" insertRows="1" insertHyperlinks="1" autoFilter="0" scenarios="0" formatColumns="1" deleteColumns="1" insertColumns="1" pivotTables="1" deleteRows="1" formatCells="1" formatRows="1" sort="1" password="B4BB"/>
  <conditionalFormatting sqref="K6:K95">
    <cfRule type="cellIs" priority="1" operator="equal" dxfId="3">
      <formula>"Yes"</formula>
    </cfRule>
    <cfRule type="cellIs" priority="2" operator="equal" dxfId="0">
      <formula>"No"</formula>
    </cfRule>
  </conditionalFormatting>
  <conditionalFormatting sqref="L6:L95">
    <cfRule type="expression" priority="3" dxfId="0">
      <formula>AND($L6="Yes",$K6="No")</formula>
    </cfRule>
  </conditionalFormatting>
  <conditionalFormatting sqref="O6:O95">
    <cfRule type="expression" priority="4" dxfId="0">
      <formula>OR(LEFT($O6,7)="EXPIRED",LEFT($O6,5)="RENEW",$O6="MISSING EXPIRATION",$O6="CHECK DATE",$O6="CHECK TYPE")</formula>
    </cfRule>
  </conditionalFormatting>
  <dataValidations count="2">
    <dataValidation sqref="E6:E95" showDropDown="0" showInputMessage="0" showErrorMessage="1" allowBlank="1" type="list">
      <formula1>=lstInstructorType</formula1>
    </dataValidation>
    <dataValidation sqref="H6:H95 I6:I95" showDropDown="0" showInputMessage="0" showErrorMessage="1" allowBlank="1" type="list">
      <formula1>=lstMaterialsStatus</formula1>
    </dataValidation>
  </dataValidations>
  <pageMargins left="0.75" right="0.75" top="1" bottom="1" header="0.5" footer="0.5"/>
</worksheet>
</file>

<file path=xl/worksheets/sheet43.xml><?xml version="1.0" encoding="utf-8"?>
<worksheet xmlns="http://schemas.openxmlformats.org/spreadsheetml/2006/main">
  <sheetPr>
    <tabColor rgb="00C8A24B"/>
    <outlinePr summaryBelow="1" summaryRight="1"/>
    <pageSetUpPr/>
  </sheetPr>
  <dimension ref="B1:W81"/>
  <sheetViews>
    <sheetView showGridLines="0" workbookViewId="0">
      <pane xSplit="2" ySplit="5" topLeftCell="C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4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0" customWidth="1" min="23" max="23"/>
  </cols>
  <sheetData>
    <row r="1">
      <c r="B1" s="10">
        <f>HYPERLINK("#Dashboard!B5","◄ Dashboard")</f>
        <v/>
      </c>
    </row>
    <row r="4">
      <c r="B4" s="11" t="inlineStr">
        <is>
          <t>Bank = everyone certified/approved to teach the topic (kept between academies). Teach = who you picked for THIS academy — the Schedule's instructor dropdown for a topic offers exactly these names. Topics without picks fall back to the full roster. New Academy Reset clears Teach columns only.</t>
        </is>
      </c>
    </row>
    <row r="5" ht="26" customHeight="1">
      <c r="B5" s="12" t="inlineStr">
        <is>
          <t>Topic / Class</t>
        </is>
      </c>
      <c r="C5" s="12" t="inlineStr">
        <is>
          <t>Bank 1</t>
        </is>
      </c>
      <c r="D5" s="12" t="inlineStr">
        <is>
          <t>Bank 2</t>
        </is>
      </c>
      <c r="E5" s="12" t="inlineStr">
        <is>
          <t>Bank 3</t>
        </is>
      </c>
      <c r="F5" s="12" t="inlineStr">
        <is>
          <t>Bank 4</t>
        </is>
      </c>
      <c r="G5" s="12" t="inlineStr">
        <is>
          <t>Bank 5</t>
        </is>
      </c>
      <c r="H5" s="12" t="inlineStr">
        <is>
          <t>Bank 6</t>
        </is>
      </c>
      <c r="I5" s="12" t="inlineStr">
        <is>
          <t>Bank 7</t>
        </is>
      </c>
      <c r="J5" s="12" t="inlineStr">
        <is>
          <t>Bank 8</t>
        </is>
      </c>
      <c r="K5" s="12" t="inlineStr">
        <is>
          <t>Bank 9</t>
        </is>
      </c>
      <c r="L5" s="12" t="inlineStr">
        <is>
          <t>Bank 10</t>
        </is>
      </c>
      <c r="M5" s="12" t="inlineStr">
        <is>
          <t>Teach 1</t>
        </is>
      </c>
      <c r="N5" s="12" t="inlineStr">
        <is>
          <t>Teach 2</t>
        </is>
      </c>
      <c r="O5" s="12" t="inlineStr">
        <is>
          <t>Teach 3</t>
        </is>
      </c>
      <c r="P5" s="12" t="inlineStr">
        <is>
          <t>Teach 4</t>
        </is>
      </c>
      <c r="Q5" s="12" t="inlineStr">
        <is>
          <t>Teach 5</t>
        </is>
      </c>
      <c r="R5" s="12" t="inlineStr">
        <is>
          <t>Teach 6</t>
        </is>
      </c>
      <c r="S5" s="12" t="inlineStr">
        <is>
          <t>Teach 7</t>
        </is>
      </c>
      <c r="T5" s="12" t="inlineStr">
        <is>
          <t>Teach 8</t>
        </is>
      </c>
      <c r="U5" s="12" t="inlineStr">
        <is>
          <t>Teach 9</t>
        </is>
      </c>
      <c r="V5" s="12" t="inlineStr">
        <is>
          <t>Teach 10</t>
        </is>
      </c>
      <c r="W5" s="12" t="inlineStr">
        <is>
          <t># Selected</t>
        </is>
      </c>
    </row>
    <row r="6">
      <c r="B6" s="16" t="inlineStr">
        <is>
          <t>Administrative/Departmental Overview</t>
        </is>
      </c>
      <c r="C6" s="16" t="n"/>
      <c r="D6" s="16" t="n"/>
      <c r="E6" s="16" t="n"/>
      <c r="F6" s="16" t="n"/>
      <c r="G6" s="16" t="n"/>
      <c r="H6" s="16" t="n"/>
      <c r="I6" s="16" t="n"/>
      <c r="J6" s="16" t="n"/>
      <c r="K6" s="16" t="n"/>
      <c r="L6" s="16" t="n"/>
      <c r="M6" s="16" t="n"/>
      <c r="N6" s="16" t="n"/>
      <c r="O6" s="16" t="n"/>
      <c r="P6" s="16" t="n"/>
      <c r="Q6" s="16" t="n"/>
      <c r="R6" s="16" t="n"/>
      <c r="S6" s="16" t="n"/>
      <c r="T6" s="16" t="n"/>
      <c r="U6" s="16" t="n"/>
      <c r="V6" s="16" t="n"/>
      <c r="W6" s="17">
        <f>IF($B6="","",COUNTA(M6:V6))</f>
        <v/>
      </c>
    </row>
    <row r="7">
      <c r="B7" s="16" t="inlineStr">
        <is>
          <t>Professionalism and Ethics</t>
        </is>
      </c>
      <c r="C7" s="16" t="n"/>
      <c r="D7" s="16" t="n"/>
      <c r="E7" s="16" t="n"/>
      <c r="F7" s="16" t="n"/>
      <c r="G7" s="16" t="n"/>
      <c r="H7" s="16" t="n"/>
      <c r="I7" s="16" t="n"/>
      <c r="J7" s="16" t="n"/>
      <c r="K7" s="16" t="n"/>
      <c r="L7" s="16" t="n"/>
      <c r="M7" s="16" t="n"/>
      <c r="N7" s="16" t="n"/>
      <c r="O7" s="16" t="n"/>
      <c r="P7" s="16" t="n"/>
      <c r="Q7" s="16" t="n"/>
      <c r="R7" s="16" t="n"/>
      <c r="S7" s="16" t="n"/>
      <c r="T7" s="16" t="n"/>
      <c r="U7" s="16" t="n"/>
      <c r="V7" s="16" t="n"/>
      <c r="W7" s="17">
        <f>IF($B7="","",COUNTA(M7:V7))</f>
        <v/>
      </c>
    </row>
    <row r="8">
      <c r="B8" s="16" t="inlineStr">
        <is>
          <t>Professional Policing</t>
        </is>
      </c>
      <c r="C8" s="16" t="n"/>
      <c r="D8" s="16" t="n"/>
      <c r="E8" s="16" t="n"/>
      <c r="F8" s="16" t="n"/>
      <c r="G8" s="16" t="n"/>
      <c r="H8" s="16" t="n"/>
      <c r="I8" s="16" t="n"/>
      <c r="J8" s="16" t="n"/>
      <c r="K8" s="16" t="n"/>
      <c r="L8" s="16" t="n"/>
      <c r="M8" s="16" t="n"/>
      <c r="N8" s="16" t="n"/>
      <c r="O8" s="16" t="n"/>
      <c r="P8" s="16" t="n"/>
      <c r="Q8" s="16" t="n"/>
      <c r="R8" s="16" t="n"/>
      <c r="S8" s="16" t="n"/>
      <c r="T8" s="16" t="n"/>
      <c r="U8" s="16" t="n"/>
      <c r="V8" s="16" t="n"/>
      <c r="W8" s="17">
        <f>IF($B8="","",COUNTA(M8:V8))</f>
        <v/>
      </c>
    </row>
    <row r="9">
      <c r="B9" s="16" t="inlineStr">
        <is>
          <t>Fitness, Wellness, and Stress Management</t>
        </is>
      </c>
      <c r="C9" s="16" t="n"/>
      <c r="D9" s="16" t="n"/>
      <c r="E9" s="16" t="n"/>
      <c r="F9" s="16" t="n"/>
      <c r="G9" s="16" t="n"/>
      <c r="H9" s="16" t="n"/>
      <c r="I9" s="16" t="n"/>
      <c r="J9" s="16" t="n"/>
      <c r="K9" s="16" t="n"/>
      <c r="L9" s="16" t="n"/>
      <c r="M9" s="16" t="n"/>
      <c r="N9" s="16" t="n"/>
      <c r="O9" s="16" t="n"/>
      <c r="P9" s="16" t="n"/>
      <c r="Q9" s="16" t="n"/>
      <c r="R9" s="16" t="n"/>
      <c r="S9" s="16" t="n"/>
      <c r="T9" s="16" t="n"/>
      <c r="U9" s="16" t="n"/>
      <c r="V9" s="16" t="n"/>
      <c r="W9" s="17">
        <f>IF($B9="","",COUNTA(M9:V9))</f>
        <v/>
      </c>
    </row>
    <row r="10">
      <c r="B10" s="16" t="inlineStr">
        <is>
          <t>TCOLE Rules</t>
        </is>
      </c>
      <c r="C10" s="16" t="n"/>
      <c r="D10" s="16" t="n"/>
      <c r="E10" s="16" t="n"/>
      <c r="F10" s="16" t="n"/>
      <c r="G10" s="16" t="n"/>
      <c r="H10" s="16" t="n"/>
      <c r="I10" s="16" t="n"/>
      <c r="J10" s="16" t="n"/>
      <c r="K10" s="16" t="n"/>
      <c r="L10" s="16" t="n"/>
      <c r="M10" s="16" t="n"/>
      <c r="N10" s="16" t="n"/>
      <c r="O10" s="16" t="n"/>
      <c r="P10" s="16" t="n"/>
      <c r="Q10" s="16" t="n"/>
      <c r="R10" s="16" t="n"/>
      <c r="S10" s="16" t="n"/>
      <c r="T10" s="16" t="n"/>
      <c r="U10" s="16" t="n"/>
      <c r="V10" s="16" t="n"/>
      <c r="W10" s="17">
        <f>IF($B10="","",COUNTA(M10:V10))</f>
        <v/>
      </c>
    </row>
    <row r="11">
      <c r="B11" s="16" t="inlineStr">
        <is>
          <t>Multiculturalism and Human Relations</t>
        </is>
      </c>
      <c r="C11" s="16" t="n"/>
      <c r="D11" s="16" t="n"/>
      <c r="E11" s="16" t="n"/>
      <c r="F11" s="16" t="n"/>
      <c r="G11" s="16" t="n"/>
      <c r="H11" s="16" t="n"/>
      <c r="I11" s="16" t="n"/>
      <c r="J11" s="16" t="n"/>
      <c r="K11" s="16" t="n"/>
      <c r="L11" s="16" t="n"/>
      <c r="M11" s="16" t="n"/>
      <c r="N11" s="16" t="n"/>
      <c r="O11" s="16" t="n"/>
      <c r="P11" s="16" t="n"/>
      <c r="Q11" s="16" t="n"/>
      <c r="R11" s="16" t="n"/>
      <c r="S11" s="16" t="n"/>
      <c r="T11" s="16" t="n"/>
      <c r="U11" s="16" t="n"/>
      <c r="V11" s="16" t="n"/>
      <c r="W11" s="17">
        <f>IF($B11="","",COUNTA(M11:V11))</f>
        <v/>
      </c>
    </row>
    <row r="12">
      <c r="B12" s="16" t="inlineStr">
        <is>
          <t>Racial Profiling</t>
        </is>
      </c>
      <c r="C12" s="16" t="n"/>
      <c r="D12" s="16" t="n"/>
      <c r="E12" s="16" t="n"/>
      <c r="F12" s="16" t="n"/>
      <c r="G12" s="16" t="n"/>
      <c r="H12" s="16" t="n"/>
      <c r="I12" s="16" t="n"/>
      <c r="J12" s="16" t="n"/>
      <c r="K12" s="16" t="n"/>
      <c r="L12" s="16" t="n"/>
      <c r="M12" s="16" t="n"/>
      <c r="N12" s="16" t="n"/>
      <c r="O12" s="16" t="n"/>
      <c r="P12" s="16" t="n"/>
      <c r="Q12" s="16" t="n"/>
      <c r="R12" s="16" t="n"/>
      <c r="S12" s="16" t="n"/>
      <c r="T12" s="16" t="n"/>
      <c r="U12" s="16" t="n"/>
      <c r="V12" s="16" t="n"/>
      <c r="W12" s="17">
        <f>IF($B12="","",COUNTA(M12:V12))</f>
        <v/>
      </c>
    </row>
    <row r="13">
      <c r="B13" s="16" t="inlineStr">
        <is>
          <t>US, Texas Constitution and Rights</t>
        </is>
      </c>
      <c r="C13" s="16" t="n"/>
      <c r="D13" s="16" t="n"/>
      <c r="E13" s="16" t="n"/>
      <c r="F13" s="16" t="n"/>
      <c r="G13" s="16" t="n"/>
      <c r="H13" s="16" t="n"/>
      <c r="I13" s="16" t="n"/>
      <c r="J13" s="16" t="n"/>
      <c r="K13" s="16" t="n"/>
      <c r="L13" s="16" t="n"/>
      <c r="M13" s="16" t="n"/>
      <c r="N13" s="16" t="n"/>
      <c r="O13" s="16" t="n"/>
      <c r="P13" s="16" t="n"/>
      <c r="Q13" s="16" t="n"/>
      <c r="R13" s="16" t="n"/>
      <c r="S13" s="16" t="n"/>
      <c r="T13" s="16" t="n"/>
      <c r="U13" s="16" t="n"/>
      <c r="V13" s="16" t="n"/>
      <c r="W13" s="17">
        <f>IF($B13="","",COUNTA(M13:V13))</f>
        <v/>
      </c>
    </row>
    <row r="14">
      <c r="B14" s="16" t="inlineStr">
        <is>
          <t>Penal Code</t>
        </is>
      </c>
      <c r="C14" s="16" t="n"/>
      <c r="D14" s="16" t="n"/>
      <c r="E14" s="16" t="n"/>
      <c r="F14" s="16" t="n"/>
      <c r="G14" s="16" t="n"/>
      <c r="H14" s="16" t="n"/>
      <c r="I14" s="16" t="n"/>
      <c r="J14" s="16" t="n"/>
      <c r="K14" s="16" t="n"/>
      <c r="L14" s="16" t="n"/>
      <c r="M14" s="16" t="n"/>
      <c r="N14" s="16" t="n"/>
      <c r="O14" s="16" t="n"/>
      <c r="P14" s="16" t="n"/>
      <c r="Q14" s="16" t="n"/>
      <c r="R14" s="16" t="n"/>
      <c r="S14" s="16" t="n"/>
      <c r="T14" s="16" t="n"/>
      <c r="U14" s="16" t="n"/>
      <c r="V14" s="16" t="n"/>
      <c r="W14" s="17">
        <f>IF($B14="","",COUNTA(M14:V14))</f>
        <v/>
      </c>
    </row>
    <row r="15">
      <c r="B15" s="16" t="inlineStr">
        <is>
          <t>Code of Criminal Procedure</t>
        </is>
      </c>
      <c r="C15" s="16" t="n"/>
      <c r="D15" s="16" t="n"/>
      <c r="E15" s="16" t="n"/>
      <c r="F15" s="16" t="n"/>
      <c r="G15" s="16" t="n"/>
      <c r="H15" s="16" t="n"/>
      <c r="I15" s="16" t="n"/>
      <c r="J15" s="16" t="n"/>
      <c r="K15" s="16" t="n"/>
      <c r="L15" s="16" t="n"/>
      <c r="M15" s="16" t="n"/>
      <c r="N15" s="16" t="n"/>
      <c r="O15" s="16" t="n"/>
      <c r="P15" s="16" t="n"/>
      <c r="Q15" s="16" t="n"/>
      <c r="R15" s="16" t="n"/>
      <c r="S15" s="16" t="n"/>
      <c r="T15" s="16" t="n"/>
      <c r="U15" s="16" t="n"/>
      <c r="V15" s="16" t="n"/>
      <c r="W15" s="17">
        <f>IF($B15="","",COUNTA(M15:V15))</f>
        <v/>
      </c>
    </row>
    <row r="16">
      <c r="B16" s="16" t="inlineStr">
        <is>
          <t>Arrest, Search, and Seizure</t>
        </is>
      </c>
      <c r="C16" s="16" t="n"/>
      <c r="D16" s="16" t="n"/>
      <c r="E16" s="16" t="n"/>
      <c r="F16" s="16" t="n"/>
      <c r="G16" s="16" t="n"/>
      <c r="H16" s="16" t="n"/>
      <c r="I16" s="16" t="n"/>
      <c r="J16" s="16" t="n"/>
      <c r="K16" s="16" t="n"/>
      <c r="L16" s="16" t="n"/>
      <c r="M16" s="16" t="n"/>
      <c r="N16" s="16" t="n"/>
      <c r="O16" s="16" t="n"/>
      <c r="P16" s="16" t="n"/>
      <c r="Q16" s="16" t="n"/>
      <c r="R16" s="16" t="n"/>
      <c r="S16" s="16" t="n"/>
      <c r="T16" s="16" t="n"/>
      <c r="U16" s="16" t="n"/>
      <c r="V16" s="16" t="n"/>
      <c r="W16" s="17">
        <f>IF($B16="","",COUNTA(M16:V16))</f>
        <v/>
      </c>
    </row>
    <row r="17">
      <c r="B17" s="16" t="inlineStr">
        <is>
          <t>Asset Forfeiture</t>
        </is>
      </c>
      <c r="C17" s="16" t="n"/>
      <c r="D17" s="16" t="n"/>
      <c r="E17" s="16" t="n"/>
      <c r="F17" s="16" t="n"/>
      <c r="G17" s="16" t="n"/>
      <c r="H17" s="16" t="n"/>
      <c r="I17" s="16" t="n"/>
      <c r="J17" s="16" t="n"/>
      <c r="K17" s="16" t="n"/>
      <c r="L17" s="16" t="n"/>
      <c r="M17" s="16" t="n"/>
      <c r="N17" s="16" t="n"/>
      <c r="O17" s="16" t="n"/>
      <c r="P17" s="16" t="n"/>
      <c r="Q17" s="16" t="n"/>
      <c r="R17" s="16" t="n"/>
      <c r="S17" s="16" t="n"/>
      <c r="T17" s="16" t="n"/>
      <c r="U17" s="16" t="n"/>
      <c r="V17" s="16" t="n"/>
      <c r="W17" s="17">
        <f>IF($B17="","",COUNTA(M17:V17))</f>
        <v/>
      </c>
    </row>
    <row r="18">
      <c r="B18" s="16" t="inlineStr">
        <is>
          <t>Identity Crimes</t>
        </is>
      </c>
      <c r="C18" s="16" t="n"/>
      <c r="D18" s="16" t="n"/>
      <c r="E18" s="16" t="n"/>
      <c r="F18" s="16" t="n"/>
      <c r="G18" s="16" t="n"/>
      <c r="H18" s="16" t="n"/>
      <c r="I18" s="16" t="n"/>
      <c r="J18" s="16" t="n"/>
      <c r="K18" s="16" t="n"/>
      <c r="L18" s="16" t="n"/>
      <c r="M18" s="16" t="n"/>
      <c r="N18" s="16" t="n"/>
      <c r="O18" s="16" t="n"/>
      <c r="P18" s="16" t="n"/>
      <c r="Q18" s="16" t="n"/>
      <c r="R18" s="16" t="n"/>
      <c r="S18" s="16" t="n"/>
      <c r="T18" s="16" t="n"/>
      <c r="U18" s="16" t="n"/>
      <c r="V18" s="16" t="n"/>
      <c r="W18" s="17">
        <f>IF($B18="","",COUNTA(M18:V18))</f>
        <v/>
      </c>
    </row>
    <row r="19">
      <c r="B19" s="16" t="inlineStr">
        <is>
          <t>Consular Notification</t>
        </is>
      </c>
      <c r="C19" s="16" t="n"/>
      <c r="D19" s="16" t="n"/>
      <c r="E19" s="16" t="n"/>
      <c r="F19" s="16" t="n"/>
      <c r="G19" s="16" t="n"/>
      <c r="H19" s="16" t="n"/>
      <c r="I19" s="16" t="n"/>
      <c r="J19" s="16" t="n"/>
      <c r="K19" s="16" t="n"/>
      <c r="L19" s="16" t="n"/>
      <c r="M19" s="16" t="n"/>
      <c r="N19" s="16" t="n"/>
      <c r="O19" s="16" t="n"/>
      <c r="P19" s="16" t="n"/>
      <c r="Q19" s="16" t="n"/>
      <c r="R19" s="16" t="n"/>
      <c r="S19" s="16" t="n"/>
      <c r="T19" s="16" t="n"/>
      <c r="U19" s="16" t="n"/>
      <c r="V19" s="16" t="n"/>
      <c r="W19" s="17">
        <f>IF($B19="","",COUNTA(M19:V19))</f>
        <v/>
      </c>
    </row>
    <row r="20">
      <c r="B20" s="16" t="inlineStr">
        <is>
          <t>Civil Process</t>
        </is>
      </c>
      <c r="C20" s="16" t="n"/>
      <c r="D20" s="16" t="n"/>
      <c r="E20" s="16" t="n"/>
      <c r="F20" s="16" t="n"/>
      <c r="G20" s="16" t="n"/>
      <c r="H20" s="16" t="n"/>
      <c r="I20" s="16" t="n"/>
      <c r="J20" s="16" t="n"/>
      <c r="K20" s="16" t="n"/>
      <c r="L20" s="16" t="n"/>
      <c r="M20" s="16" t="n"/>
      <c r="N20" s="16" t="n"/>
      <c r="O20" s="16" t="n"/>
      <c r="P20" s="16" t="n"/>
      <c r="Q20" s="16" t="n"/>
      <c r="R20" s="16" t="n"/>
      <c r="S20" s="16" t="n"/>
      <c r="T20" s="16" t="n"/>
      <c r="U20" s="16" t="n"/>
      <c r="V20" s="16" t="n"/>
      <c r="W20" s="17">
        <f>IF($B20="","",COUNTA(M20:V20))</f>
        <v/>
      </c>
    </row>
    <row r="21">
      <c r="B21" s="16" t="inlineStr">
        <is>
          <t>Health and Safety Code and Controlled Substance Act</t>
        </is>
      </c>
      <c r="C21" s="16" t="n"/>
      <c r="D21" s="16" t="n"/>
      <c r="E21" s="16" t="n"/>
      <c r="F21" s="16" t="n"/>
      <c r="G21" s="16" t="n"/>
      <c r="H21" s="16" t="n"/>
      <c r="I21" s="16" t="n"/>
      <c r="J21" s="16" t="n"/>
      <c r="K21" s="16" t="n"/>
      <c r="L21" s="16" t="n"/>
      <c r="M21" s="16" t="n"/>
      <c r="N21" s="16" t="n"/>
      <c r="O21" s="16" t="n"/>
      <c r="P21" s="16" t="n"/>
      <c r="Q21" s="16" t="n"/>
      <c r="R21" s="16" t="n"/>
      <c r="S21" s="16" t="n"/>
      <c r="T21" s="16" t="n"/>
      <c r="U21" s="16" t="n"/>
      <c r="V21" s="16" t="n"/>
      <c r="W21" s="17">
        <f>IF($B21="","",COUNTA(M21:V21))</f>
        <v/>
      </c>
    </row>
    <row r="22">
      <c r="B22" s="16" t="inlineStr">
        <is>
          <t>Alcoholic Beverage Code</t>
        </is>
      </c>
      <c r="C22" s="16" t="n"/>
      <c r="D22" s="16" t="n"/>
      <c r="E22" s="16" t="n"/>
      <c r="F22" s="16" t="n"/>
      <c r="G22" s="16" t="n"/>
      <c r="H22" s="16" t="n"/>
      <c r="I22" s="16" t="n"/>
      <c r="J22" s="16" t="n"/>
      <c r="K22" s="16" t="n"/>
      <c r="L22" s="16" t="n"/>
      <c r="M22" s="16" t="n"/>
      <c r="N22" s="16" t="n"/>
      <c r="O22" s="16" t="n"/>
      <c r="P22" s="16" t="n"/>
      <c r="Q22" s="16" t="n"/>
      <c r="R22" s="16" t="n"/>
      <c r="S22" s="16" t="n"/>
      <c r="T22" s="16" t="n"/>
      <c r="U22" s="16" t="n"/>
      <c r="V22" s="16" t="n"/>
      <c r="W22" s="17">
        <f>IF($B22="","",COUNTA(M22:V22))</f>
        <v/>
      </c>
    </row>
    <row r="23">
      <c r="B23" s="16" t="inlineStr">
        <is>
          <t>Sexual Assault and Family Violence</t>
        </is>
      </c>
      <c r="C23" s="16" t="n"/>
      <c r="D23" s="16" t="n"/>
      <c r="E23" s="16" t="n"/>
      <c r="F23" s="16" t="n"/>
      <c r="G23" s="16" t="n"/>
      <c r="H23" s="16" t="n"/>
      <c r="I23" s="16" t="n"/>
      <c r="J23" s="16" t="n"/>
      <c r="K23" s="16" t="n"/>
      <c r="L23" s="16" t="n"/>
      <c r="M23" s="16" t="n"/>
      <c r="N23" s="16" t="n"/>
      <c r="O23" s="16" t="n"/>
      <c r="P23" s="16" t="n"/>
      <c r="Q23" s="16" t="n"/>
      <c r="R23" s="16" t="n"/>
      <c r="S23" s="16" t="n"/>
      <c r="T23" s="16" t="n"/>
      <c r="U23" s="16" t="n"/>
      <c r="V23" s="16" t="n"/>
      <c r="W23" s="17">
        <f>IF($B23="","",COUNTA(M23:V23))</f>
        <v/>
      </c>
    </row>
    <row r="24">
      <c r="B24" s="16" t="inlineStr">
        <is>
          <t>Missing and Exploited Children</t>
        </is>
      </c>
      <c r="C24" s="16" t="n"/>
      <c r="D24" s="16" t="n"/>
      <c r="E24" s="16" t="n"/>
      <c r="F24" s="16" t="n"/>
      <c r="G24" s="16" t="n"/>
      <c r="H24" s="16" t="n"/>
      <c r="I24" s="16" t="n"/>
      <c r="J24" s="16" t="n"/>
      <c r="K24" s="16" t="n"/>
      <c r="L24" s="16" t="n"/>
      <c r="M24" s="16" t="n"/>
      <c r="N24" s="16" t="n"/>
      <c r="O24" s="16" t="n"/>
      <c r="P24" s="16" t="n"/>
      <c r="Q24" s="16" t="n"/>
      <c r="R24" s="16" t="n"/>
      <c r="S24" s="16" t="n"/>
      <c r="T24" s="16" t="n"/>
      <c r="U24" s="16" t="n"/>
      <c r="V24" s="16" t="n"/>
      <c r="W24" s="17">
        <f>IF($B24="","",COUNTA(M24:V24))</f>
        <v/>
      </c>
    </row>
    <row r="25">
      <c r="B25" s="16" t="inlineStr">
        <is>
          <t>Child Safety Check Alert List</t>
        </is>
      </c>
      <c r="C25" s="16" t="n"/>
      <c r="D25" s="16" t="n"/>
      <c r="E25" s="16" t="n"/>
      <c r="F25" s="16" t="n"/>
      <c r="G25" s="16" t="n"/>
      <c r="H25" s="16" t="n"/>
      <c r="I25" s="16" t="n"/>
      <c r="J25" s="16" t="n"/>
      <c r="K25" s="16" t="n"/>
      <c r="L25" s="16" t="n"/>
      <c r="M25" s="16" t="n"/>
      <c r="N25" s="16" t="n"/>
      <c r="O25" s="16" t="n"/>
      <c r="P25" s="16" t="n"/>
      <c r="Q25" s="16" t="n"/>
      <c r="R25" s="16" t="n"/>
      <c r="S25" s="16" t="n"/>
      <c r="T25" s="16" t="n"/>
      <c r="U25" s="16" t="n"/>
      <c r="V25" s="16" t="n"/>
      <c r="W25" s="17">
        <f>IF($B25="","",COUNTA(M25:V25))</f>
        <v/>
      </c>
    </row>
    <row r="26">
      <c r="B26" s="16" t="inlineStr">
        <is>
          <t>Victims of Crime</t>
        </is>
      </c>
      <c r="C26" s="16" t="n"/>
      <c r="D26" s="16" t="n"/>
      <c r="E26" s="16" t="n"/>
      <c r="F26" s="16" t="n"/>
      <c r="G26" s="16" t="n"/>
      <c r="H26" s="16" t="n"/>
      <c r="I26" s="16" t="n"/>
      <c r="J26" s="16" t="n"/>
      <c r="K26" s="16" t="n"/>
      <c r="L26" s="16" t="n"/>
      <c r="M26" s="16" t="n"/>
      <c r="N26" s="16" t="n"/>
      <c r="O26" s="16" t="n"/>
      <c r="P26" s="16" t="n"/>
      <c r="Q26" s="16" t="n"/>
      <c r="R26" s="16" t="n"/>
      <c r="S26" s="16" t="n"/>
      <c r="T26" s="16" t="n"/>
      <c r="U26" s="16" t="n"/>
      <c r="V26" s="16" t="n"/>
      <c r="W26" s="17">
        <f>IF($B26="","",COUNTA(M26:V26))</f>
        <v/>
      </c>
    </row>
    <row r="27">
      <c r="B27" s="16" t="inlineStr">
        <is>
          <t>Human Trafficking</t>
        </is>
      </c>
      <c r="C27" s="16" t="n"/>
      <c r="D27" s="16" t="n"/>
      <c r="E27" s="16" t="n"/>
      <c r="F27" s="16" t="n"/>
      <c r="G27" s="16" t="n"/>
      <c r="H27" s="16" t="n"/>
      <c r="I27" s="16" t="n"/>
      <c r="J27" s="16" t="n"/>
      <c r="K27" s="16" t="n"/>
      <c r="L27" s="16" t="n"/>
      <c r="M27" s="16" t="n"/>
      <c r="N27" s="16" t="n"/>
      <c r="O27" s="16" t="n"/>
      <c r="P27" s="16" t="n"/>
      <c r="Q27" s="16" t="n"/>
      <c r="R27" s="16" t="n"/>
      <c r="S27" s="16" t="n"/>
      <c r="T27" s="16" t="n"/>
      <c r="U27" s="16" t="n"/>
      <c r="V27" s="16" t="n"/>
      <c r="W27" s="17">
        <f>IF($B27="","",COUNTA(M27:V27))</f>
        <v/>
      </c>
    </row>
    <row r="28">
      <c r="B28" s="16" t="inlineStr">
        <is>
          <t>Traffic Code / Crash Investigation / TIM</t>
        </is>
      </c>
      <c r="C28" s="16" t="n"/>
      <c r="D28" s="16" t="n"/>
      <c r="E28" s="16" t="n"/>
      <c r="F28" s="16" t="n"/>
      <c r="G28" s="16" t="n"/>
      <c r="H28" s="16" t="n"/>
      <c r="I28" s="16" t="n"/>
      <c r="J28" s="16" t="n"/>
      <c r="K28" s="16" t="n"/>
      <c r="L28" s="16" t="n"/>
      <c r="M28" s="16" t="n"/>
      <c r="N28" s="16" t="n"/>
      <c r="O28" s="16" t="n"/>
      <c r="P28" s="16" t="n"/>
      <c r="Q28" s="16" t="n"/>
      <c r="R28" s="16" t="n"/>
      <c r="S28" s="16" t="n"/>
      <c r="T28" s="16" t="n"/>
      <c r="U28" s="16" t="n"/>
      <c r="V28" s="16" t="n"/>
      <c r="W28" s="17">
        <f>IF($B28="","",COUNTA(M28:V28))</f>
        <v/>
      </c>
    </row>
    <row r="29">
      <c r="B29" s="16" t="inlineStr">
        <is>
          <t>Intoxicated Driver (SFST)</t>
        </is>
      </c>
      <c r="C29" s="16" t="n"/>
      <c r="D29" s="16" t="n"/>
      <c r="E29" s="16" t="n"/>
      <c r="F29" s="16" t="n"/>
      <c r="G29" s="16" t="n"/>
      <c r="H29" s="16" t="n"/>
      <c r="I29" s="16" t="n"/>
      <c r="J29" s="16" t="n"/>
      <c r="K29" s="16" t="n"/>
      <c r="L29" s="16" t="n"/>
      <c r="M29" s="16" t="n"/>
      <c r="N29" s="16" t="n"/>
      <c r="O29" s="16" t="n"/>
      <c r="P29" s="16" t="n"/>
      <c r="Q29" s="16" t="n"/>
      <c r="R29" s="16" t="n"/>
      <c r="S29" s="16" t="n"/>
      <c r="T29" s="16" t="n"/>
      <c r="U29" s="16" t="n"/>
      <c r="V29" s="16" t="n"/>
      <c r="W29" s="17">
        <f>IF($B29="","",COUNTA(M29:V29))</f>
        <v/>
      </c>
    </row>
    <row r="30">
      <c r="B30" s="16" t="inlineStr">
        <is>
          <t>Written Communication</t>
        </is>
      </c>
      <c r="C30" s="16" t="n"/>
      <c r="D30" s="16" t="n"/>
      <c r="E30" s="16" t="n"/>
      <c r="F30" s="16" t="n"/>
      <c r="G30" s="16" t="n"/>
      <c r="H30" s="16" t="n"/>
      <c r="I30" s="16" t="n"/>
      <c r="J30" s="16" t="n"/>
      <c r="K30" s="16" t="n"/>
      <c r="L30" s="16" t="n"/>
      <c r="M30" s="16" t="n"/>
      <c r="N30" s="16" t="n"/>
      <c r="O30" s="16" t="n"/>
      <c r="P30" s="16" t="n"/>
      <c r="Q30" s="16" t="n"/>
      <c r="R30" s="16" t="n"/>
      <c r="S30" s="16" t="n"/>
      <c r="T30" s="16" t="n"/>
      <c r="U30" s="16" t="n"/>
      <c r="V30" s="16" t="n"/>
      <c r="W30" s="17">
        <f>IF($B30="","",COUNTA(M30:V30))</f>
        <v/>
      </c>
    </row>
    <row r="31">
      <c r="B31" s="16" t="inlineStr">
        <is>
          <t>Verbal Communication/Public Interaction</t>
        </is>
      </c>
      <c r="C31" s="16" t="n"/>
      <c r="D31" s="16" t="n"/>
      <c r="E31" s="16" t="n"/>
      <c r="F31" s="16" t="n"/>
      <c r="G31" s="16" t="n"/>
      <c r="H31" s="16" t="n"/>
      <c r="I31" s="16" t="n"/>
      <c r="J31" s="16" t="n"/>
      <c r="K31" s="16" t="n"/>
      <c r="L31" s="16" t="n"/>
      <c r="M31" s="16" t="n"/>
      <c r="N31" s="16" t="n"/>
      <c r="O31" s="16" t="n"/>
      <c r="P31" s="16" t="n"/>
      <c r="Q31" s="16" t="n"/>
      <c r="R31" s="16" t="n"/>
      <c r="S31" s="16" t="n"/>
      <c r="T31" s="16" t="n"/>
      <c r="U31" s="16" t="n"/>
      <c r="V31" s="16" t="n"/>
      <c r="W31" s="17">
        <f>IF($B31="","",COUNTA(M31:V31))</f>
        <v/>
      </c>
    </row>
    <row r="32">
      <c r="B32" s="16" t="inlineStr">
        <is>
          <t>Spanish</t>
        </is>
      </c>
      <c r="C32" s="16" t="n"/>
      <c r="D32" s="16" t="n"/>
      <c r="E32" s="16" t="n"/>
      <c r="F32" s="16" t="n"/>
      <c r="G32" s="16" t="n"/>
      <c r="H32" s="16" t="n"/>
      <c r="I32" s="16" t="n"/>
      <c r="J32" s="16" t="n"/>
      <c r="K32" s="16" t="n"/>
      <c r="L32" s="16" t="n"/>
      <c r="M32" s="16" t="n"/>
      <c r="N32" s="16" t="n"/>
      <c r="O32" s="16" t="n"/>
      <c r="P32" s="16" t="n"/>
      <c r="Q32" s="16" t="n"/>
      <c r="R32" s="16" t="n"/>
      <c r="S32" s="16" t="n"/>
      <c r="T32" s="16" t="n"/>
      <c r="U32" s="16" t="n"/>
      <c r="V32" s="16" t="n"/>
      <c r="W32" s="17">
        <f>IF($B32="","",COUNTA(M32:V32))</f>
        <v/>
      </c>
    </row>
    <row r="33">
      <c r="B33" s="16" t="inlineStr">
        <is>
          <t>De-escalation Strategies</t>
        </is>
      </c>
      <c r="C33" s="16" t="n"/>
      <c r="D33" s="16" t="n"/>
      <c r="E33" s="16" t="n"/>
      <c r="F33" s="16" t="n"/>
      <c r="G33" s="16" t="n"/>
      <c r="H33" s="16" t="n"/>
      <c r="I33" s="16" t="n"/>
      <c r="J33" s="16" t="n"/>
      <c r="K33" s="16" t="n"/>
      <c r="L33" s="16" t="n"/>
      <c r="M33" s="16" t="n"/>
      <c r="N33" s="16" t="n"/>
      <c r="O33" s="16" t="n"/>
      <c r="P33" s="16" t="n"/>
      <c r="Q33" s="16" t="n"/>
      <c r="R33" s="16" t="n"/>
      <c r="S33" s="16" t="n"/>
      <c r="T33" s="16" t="n"/>
      <c r="U33" s="16" t="n"/>
      <c r="V33" s="16" t="n"/>
      <c r="W33" s="17">
        <f>IF($B33="","",COUNTA(M33:V33))</f>
        <v/>
      </c>
    </row>
    <row r="34">
      <c r="B34" s="16" t="inlineStr">
        <is>
          <t>Force Options Theory</t>
        </is>
      </c>
      <c r="C34" s="16" t="n"/>
      <c r="D34" s="16" t="n"/>
      <c r="E34" s="16" t="n"/>
      <c r="F34" s="16" t="n"/>
      <c r="G34" s="16" t="n"/>
      <c r="H34" s="16" t="n"/>
      <c r="I34" s="16" t="n"/>
      <c r="J34" s="16" t="n"/>
      <c r="K34" s="16" t="n"/>
      <c r="L34" s="16" t="n"/>
      <c r="M34" s="16" t="n"/>
      <c r="N34" s="16" t="n"/>
      <c r="O34" s="16" t="n"/>
      <c r="P34" s="16" t="n"/>
      <c r="Q34" s="16" t="n"/>
      <c r="R34" s="16" t="n"/>
      <c r="S34" s="16" t="n"/>
      <c r="T34" s="16" t="n"/>
      <c r="U34" s="16" t="n"/>
      <c r="V34" s="16" t="n"/>
      <c r="W34" s="17">
        <f>IF($B34="","",COUNTA(M34:V34))</f>
        <v/>
      </c>
    </row>
    <row r="35">
      <c r="B35" s="16" t="inlineStr">
        <is>
          <t>Crisis Intervention Training</t>
        </is>
      </c>
      <c r="C35" s="16" t="n"/>
      <c r="D35" s="16" t="n"/>
      <c r="E35" s="16" t="n"/>
      <c r="F35" s="16" t="n"/>
      <c r="G35" s="16" t="n"/>
      <c r="H35" s="16" t="n"/>
      <c r="I35" s="16" t="n"/>
      <c r="J35" s="16" t="n"/>
      <c r="K35" s="16" t="n"/>
      <c r="L35" s="16" t="n"/>
      <c r="M35" s="16" t="n"/>
      <c r="N35" s="16" t="n"/>
      <c r="O35" s="16" t="n"/>
      <c r="P35" s="16" t="n"/>
      <c r="Q35" s="16" t="n"/>
      <c r="R35" s="16" t="n"/>
      <c r="S35" s="16" t="n"/>
      <c r="T35" s="16" t="n"/>
      <c r="U35" s="16" t="n"/>
      <c r="V35" s="16" t="n"/>
      <c r="W35" s="17">
        <f>IF($B35="","",COUNTA(M35:V35))</f>
        <v/>
      </c>
    </row>
    <row r="36">
      <c r="B36" s="16" t="inlineStr">
        <is>
          <t>Traumatic Brain Injury</t>
        </is>
      </c>
      <c r="C36" s="16" t="n"/>
      <c r="D36" s="16" t="n"/>
      <c r="E36" s="16" t="n"/>
      <c r="F36" s="16" t="n"/>
      <c r="G36" s="16" t="n"/>
      <c r="H36" s="16" t="n"/>
      <c r="I36" s="16" t="n"/>
      <c r="J36" s="16" t="n"/>
      <c r="K36" s="16" t="n"/>
      <c r="L36" s="16" t="n"/>
      <c r="M36" s="16" t="n"/>
      <c r="N36" s="16" t="n"/>
      <c r="O36" s="16" t="n"/>
      <c r="P36" s="16" t="n"/>
      <c r="Q36" s="16" t="n"/>
      <c r="R36" s="16" t="n"/>
      <c r="S36" s="16" t="n"/>
      <c r="T36" s="16" t="n"/>
      <c r="U36" s="16" t="n"/>
      <c r="V36" s="16" t="n"/>
      <c r="W36" s="17">
        <f>IF($B36="","",COUNTA(M36:V36))</f>
        <v/>
      </c>
    </row>
    <row r="37">
      <c r="B37" s="16" t="inlineStr">
        <is>
          <t>Arrest and Control</t>
        </is>
      </c>
      <c r="C37" s="16" t="n"/>
      <c r="D37" s="16" t="n"/>
      <c r="E37" s="16" t="n"/>
      <c r="F37" s="16" t="n"/>
      <c r="G37" s="16" t="n"/>
      <c r="H37" s="16" t="n"/>
      <c r="I37" s="16" t="n"/>
      <c r="J37" s="16" t="n"/>
      <c r="K37" s="16" t="n"/>
      <c r="L37" s="16" t="n"/>
      <c r="M37" s="16" t="n"/>
      <c r="N37" s="16" t="n"/>
      <c r="O37" s="16" t="n"/>
      <c r="P37" s="16" t="n"/>
      <c r="Q37" s="16" t="n"/>
      <c r="R37" s="16" t="n"/>
      <c r="S37" s="16" t="n"/>
      <c r="T37" s="16" t="n"/>
      <c r="U37" s="16" t="n"/>
      <c r="V37" s="16" t="n"/>
      <c r="W37" s="17">
        <f>IF($B37="","",COUNTA(M37:V37))</f>
        <v/>
      </c>
    </row>
    <row r="38">
      <c r="B38" s="16" t="inlineStr">
        <is>
          <t>Criminal Investigations</t>
        </is>
      </c>
      <c r="C38" s="16" t="n"/>
      <c r="D38" s="16" t="n"/>
      <c r="E38" s="16" t="n"/>
      <c r="F38" s="16" t="n"/>
      <c r="G38" s="16" t="n"/>
      <c r="H38" s="16" t="n"/>
      <c r="I38" s="16" t="n"/>
      <c r="J38" s="16" t="n"/>
      <c r="K38" s="16" t="n"/>
      <c r="L38" s="16" t="n"/>
      <c r="M38" s="16" t="n"/>
      <c r="N38" s="16" t="n"/>
      <c r="O38" s="16" t="n"/>
      <c r="P38" s="16" t="n"/>
      <c r="Q38" s="16" t="n"/>
      <c r="R38" s="16" t="n"/>
      <c r="S38" s="16" t="n"/>
      <c r="T38" s="16" t="n"/>
      <c r="U38" s="16" t="n"/>
      <c r="V38" s="16" t="n"/>
      <c r="W38" s="17">
        <f>IF($B38="","",COUNTA(M38:V38))</f>
        <v/>
      </c>
    </row>
    <row r="39">
      <c r="B39" s="16" t="inlineStr">
        <is>
          <t>Juvenile Offenders</t>
        </is>
      </c>
      <c r="C39" s="16" t="n"/>
      <c r="D39" s="16" t="n"/>
      <c r="E39" s="16" t="n"/>
      <c r="F39" s="16" t="n"/>
      <c r="G39" s="16" t="n"/>
      <c r="H39" s="16" t="n"/>
      <c r="I39" s="16" t="n"/>
      <c r="J39" s="16" t="n"/>
      <c r="K39" s="16" t="n"/>
      <c r="L39" s="16" t="n"/>
      <c r="M39" s="16" t="n"/>
      <c r="N39" s="16" t="n"/>
      <c r="O39" s="16" t="n"/>
      <c r="P39" s="16" t="n"/>
      <c r="Q39" s="16" t="n"/>
      <c r="R39" s="16" t="n"/>
      <c r="S39" s="16" t="n"/>
      <c r="T39" s="16" t="n"/>
      <c r="U39" s="16" t="n"/>
      <c r="V39" s="16" t="n"/>
      <c r="W39" s="17">
        <f>IF($B39="","",COUNTA(M39:V39))</f>
        <v/>
      </c>
    </row>
    <row r="40">
      <c r="B40" s="16" t="inlineStr">
        <is>
          <t>Professional Police Driving</t>
        </is>
      </c>
      <c r="C40" s="16" t="n"/>
      <c r="D40" s="16" t="n"/>
      <c r="E40" s="16" t="n"/>
      <c r="F40" s="16" t="n"/>
      <c r="G40" s="16" t="n"/>
      <c r="H40" s="16" t="n"/>
      <c r="I40" s="16" t="n"/>
      <c r="J40" s="16" t="n"/>
      <c r="K40" s="16" t="n"/>
      <c r="L40" s="16" t="n"/>
      <c r="M40" s="16" t="n"/>
      <c r="N40" s="16" t="n"/>
      <c r="O40" s="16" t="n"/>
      <c r="P40" s="16" t="n"/>
      <c r="Q40" s="16" t="n"/>
      <c r="R40" s="16" t="n"/>
      <c r="S40" s="16" t="n"/>
      <c r="T40" s="16" t="n"/>
      <c r="U40" s="16" t="n"/>
      <c r="V40" s="16" t="n"/>
      <c r="W40" s="17">
        <f>IF($B40="","",COUNTA(M40:V40))</f>
        <v/>
      </c>
    </row>
    <row r="41">
      <c r="B41" s="16" t="inlineStr">
        <is>
          <t>Patrol Skills/Traffic Stops</t>
        </is>
      </c>
      <c r="C41" s="16" t="n"/>
      <c r="D41" s="16" t="n"/>
      <c r="E41" s="16" t="n"/>
      <c r="F41" s="16" t="n"/>
      <c r="G41" s="16" t="n"/>
      <c r="H41" s="16" t="n"/>
      <c r="I41" s="16" t="n"/>
      <c r="J41" s="16" t="n"/>
      <c r="K41" s="16" t="n"/>
      <c r="L41" s="16" t="n"/>
      <c r="M41" s="16" t="n"/>
      <c r="N41" s="16" t="n"/>
      <c r="O41" s="16" t="n"/>
      <c r="P41" s="16" t="n"/>
      <c r="Q41" s="16" t="n"/>
      <c r="R41" s="16" t="n"/>
      <c r="S41" s="16" t="n"/>
      <c r="T41" s="16" t="n"/>
      <c r="U41" s="16" t="n"/>
      <c r="V41" s="16" t="n"/>
      <c r="W41" s="17">
        <f>IF($B41="","",COUNTA(M41:V41))</f>
        <v/>
      </c>
    </row>
    <row r="42">
      <c r="B42" s="16" t="inlineStr">
        <is>
          <t>Radio Communications /Amber-Silver Alert / TCIC-TLETS</t>
        </is>
      </c>
      <c r="C42" s="16" t="n"/>
      <c r="D42" s="16" t="n"/>
      <c r="E42" s="16" t="n"/>
      <c r="F42" s="16" t="n"/>
      <c r="G42" s="16" t="n"/>
      <c r="H42" s="16" t="n"/>
      <c r="I42" s="16" t="n"/>
      <c r="J42" s="16" t="n"/>
      <c r="K42" s="16" t="n"/>
      <c r="L42" s="16" t="n"/>
      <c r="M42" s="16" t="n"/>
      <c r="N42" s="16" t="n"/>
      <c r="O42" s="16" t="n"/>
      <c r="P42" s="16" t="n"/>
      <c r="Q42" s="16" t="n"/>
      <c r="R42" s="16" t="n"/>
      <c r="S42" s="16" t="n"/>
      <c r="T42" s="16" t="n"/>
      <c r="U42" s="16" t="n"/>
      <c r="V42" s="16" t="n"/>
      <c r="W42" s="17">
        <f>IF($B42="","",COUNTA(M42:V42))</f>
        <v/>
      </c>
    </row>
    <row r="43">
      <c r="B43" s="16" t="inlineStr">
        <is>
          <t>Civilian Interaction Training</t>
        </is>
      </c>
      <c r="C43" s="16" t="n"/>
      <c r="D43" s="16" t="n"/>
      <c r="E43" s="16" t="n"/>
      <c r="F43" s="16" t="n"/>
      <c r="G43" s="16" t="n"/>
      <c r="H43" s="16" t="n"/>
      <c r="I43" s="16" t="n"/>
      <c r="J43" s="16" t="n"/>
      <c r="K43" s="16" t="n"/>
      <c r="L43" s="16" t="n"/>
      <c r="M43" s="16" t="n"/>
      <c r="N43" s="16" t="n"/>
      <c r="O43" s="16" t="n"/>
      <c r="P43" s="16" t="n"/>
      <c r="Q43" s="16" t="n"/>
      <c r="R43" s="16" t="n"/>
      <c r="S43" s="16" t="n"/>
      <c r="T43" s="16" t="n"/>
      <c r="U43" s="16" t="n"/>
      <c r="V43" s="16" t="n"/>
      <c r="W43" s="17">
        <f>IF($B43="","",COUNTA(M43:V43))</f>
        <v/>
      </c>
    </row>
    <row r="44">
      <c r="B44" s="16" t="inlineStr">
        <is>
          <t>Interacting with Deaf and Hard of Hearing</t>
        </is>
      </c>
      <c r="C44" s="16" t="n"/>
      <c r="D44" s="16" t="n"/>
      <c r="E44" s="16" t="n"/>
      <c r="F44" s="16" t="n"/>
      <c r="G44" s="16" t="n"/>
      <c r="H44" s="16" t="n"/>
      <c r="I44" s="16" t="n"/>
      <c r="J44" s="16" t="n"/>
      <c r="K44" s="16" t="n"/>
      <c r="L44" s="16" t="n"/>
      <c r="M44" s="16" t="n"/>
      <c r="N44" s="16" t="n"/>
      <c r="O44" s="16" t="n"/>
      <c r="P44" s="16" t="n"/>
      <c r="Q44" s="16" t="n"/>
      <c r="R44" s="16" t="n"/>
      <c r="S44" s="16" t="n"/>
      <c r="T44" s="16" t="n"/>
      <c r="U44" s="16" t="n"/>
      <c r="V44" s="16" t="n"/>
      <c r="W44" s="17">
        <f>IF($B44="","",COUNTA(M44:V44))</f>
        <v/>
      </c>
    </row>
    <row r="45">
      <c r="B45" s="16" t="inlineStr">
        <is>
          <t>Canine Encounters</t>
        </is>
      </c>
      <c r="C45" s="16" t="n"/>
      <c r="D45" s="16" t="n"/>
      <c r="E45" s="16" t="n"/>
      <c r="F45" s="16" t="n"/>
      <c r="G45" s="16" t="n"/>
      <c r="H45" s="16" t="n"/>
      <c r="I45" s="16" t="n"/>
      <c r="J45" s="16" t="n"/>
      <c r="K45" s="16" t="n"/>
      <c r="L45" s="16" t="n"/>
      <c r="M45" s="16" t="n"/>
      <c r="N45" s="16" t="n"/>
      <c r="O45" s="16" t="n"/>
      <c r="P45" s="16" t="n"/>
      <c r="Q45" s="16" t="n"/>
      <c r="R45" s="16" t="n"/>
      <c r="S45" s="16" t="n"/>
      <c r="T45" s="16" t="n"/>
      <c r="U45" s="16" t="n"/>
      <c r="V45" s="16" t="n"/>
      <c r="W45" s="17">
        <f>IF($B45="","",COUNTA(M45:V45))</f>
        <v/>
      </c>
    </row>
    <row r="46">
      <c r="B46" s="16" t="inlineStr">
        <is>
          <t>Emergency Medical Assistance</t>
        </is>
      </c>
      <c r="C46" s="16" t="n"/>
      <c r="D46" s="16" t="n"/>
      <c r="E46" s="16" t="n"/>
      <c r="F46" s="16" t="n"/>
      <c r="G46" s="16" t="n"/>
      <c r="H46" s="16" t="n"/>
      <c r="I46" s="16" t="n"/>
      <c r="J46" s="16" t="n"/>
      <c r="K46" s="16" t="n"/>
      <c r="L46" s="16" t="n"/>
      <c r="M46" s="16" t="n"/>
      <c r="N46" s="16" t="n"/>
      <c r="O46" s="16" t="n"/>
      <c r="P46" s="16" t="n"/>
      <c r="Q46" s="16" t="n"/>
      <c r="R46" s="16" t="n"/>
      <c r="S46" s="16" t="n"/>
      <c r="T46" s="16" t="n"/>
      <c r="U46" s="16" t="n"/>
      <c r="V46" s="16" t="n"/>
      <c r="W46" s="17">
        <f>IF($B46="","",COUNTA(M46:V46))</f>
        <v/>
      </c>
    </row>
    <row r="47">
      <c r="B47" s="16" t="inlineStr">
        <is>
          <t>Firearms</t>
        </is>
      </c>
      <c r="C47" s="16" t="n"/>
      <c r="D47" s="16" t="n"/>
      <c r="E47" s="16" t="n"/>
      <c r="F47" s="16" t="n"/>
      <c r="G47" s="16" t="n"/>
      <c r="H47" s="16" t="n"/>
      <c r="I47" s="16" t="n"/>
      <c r="J47" s="16" t="n"/>
      <c r="K47" s="16" t="n"/>
      <c r="L47" s="16" t="n"/>
      <c r="M47" s="16" t="n"/>
      <c r="N47" s="16" t="n"/>
      <c r="O47" s="16" t="n"/>
      <c r="P47" s="16" t="n"/>
      <c r="Q47" s="16" t="n"/>
      <c r="R47" s="16" t="n"/>
      <c r="S47" s="16" t="n"/>
      <c r="T47" s="16" t="n"/>
      <c r="U47" s="16" t="n"/>
      <c r="V47" s="16" t="n"/>
      <c r="W47" s="17">
        <f>IF($B47="","",COUNTA(M47:V47))</f>
        <v/>
      </c>
    </row>
    <row r="48">
      <c r="B48" s="16" t="inlineStr">
        <is>
          <t>HazMat Awareness / ICS</t>
        </is>
      </c>
      <c r="C48" s="16" t="n"/>
      <c r="D48" s="16" t="n"/>
      <c r="E48" s="16" t="n"/>
      <c r="F48" s="16" t="n"/>
      <c r="G48" s="16" t="n"/>
      <c r="H48" s="16" t="n"/>
      <c r="I48" s="16" t="n"/>
      <c r="J48" s="16" t="n"/>
      <c r="K48" s="16" t="n"/>
      <c r="L48" s="16" t="n"/>
      <c r="M48" s="16" t="n"/>
      <c r="N48" s="16" t="n"/>
      <c r="O48" s="16" t="n"/>
      <c r="P48" s="16" t="n"/>
      <c r="Q48" s="16" t="n"/>
      <c r="R48" s="16" t="n"/>
      <c r="S48" s="16" t="n"/>
      <c r="T48" s="16" t="n"/>
      <c r="U48" s="16" t="n"/>
      <c r="V48" s="16" t="n"/>
      <c r="W48" s="17">
        <f>IF($B48="","",COUNTA(M48:V48))</f>
        <v/>
      </c>
    </row>
    <row r="49">
      <c r="B49" s="16" t="inlineStr">
        <is>
          <t>ALERRT Level 1</t>
        </is>
      </c>
      <c r="C49" s="16" t="n"/>
      <c r="D49" s="16" t="n"/>
      <c r="E49" s="16" t="n"/>
      <c r="F49" s="16" t="n"/>
      <c r="G49" s="16" t="n"/>
      <c r="H49" s="16" t="n"/>
      <c r="I49" s="16" t="n"/>
      <c r="J49" s="16" t="n"/>
      <c r="K49" s="16" t="n"/>
      <c r="L49" s="16" t="n"/>
      <c r="M49" s="16" t="n"/>
      <c r="N49" s="16" t="n"/>
      <c r="O49" s="16" t="n"/>
      <c r="P49" s="16" t="n"/>
      <c r="Q49" s="16" t="n"/>
      <c r="R49" s="16" t="n"/>
      <c r="S49" s="16" t="n"/>
      <c r="T49" s="16" t="n"/>
      <c r="U49" s="16" t="n"/>
      <c r="V49" s="16" t="n"/>
      <c r="W49" s="17">
        <f>IF($B49="","",COUNTA(M49:V49))</f>
        <v/>
      </c>
    </row>
    <row r="50">
      <c r="B50" s="16" t="inlineStr">
        <is>
          <t>End of Course Review</t>
        </is>
      </c>
      <c r="C50" s="16" t="n"/>
      <c r="D50" s="16" t="n"/>
      <c r="E50" s="16" t="n"/>
      <c r="F50" s="16" t="n"/>
      <c r="G50" s="16" t="n"/>
      <c r="H50" s="16" t="n"/>
      <c r="I50" s="16" t="n"/>
      <c r="J50" s="16" t="n"/>
      <c r="K50" s="16" t="n"/>
      <c r="L50" s="16" t="n"/>
      <c r="M50" s="16" t="n"/>
      <c r="N50" s="16" t="n"/>
      <c r="O50" s="16" t="n"/>
      <c r="P50" s="16" t="n"/>
      <c r="Q50" s="16" t="n"/>
      <c r="R50" s="16" t="n"/>
      <c r="S50" s="16" t="n"/>
      <c r="T50" s="16" t="n"/>
      <c r="U50" s="16" t="n"/>
      <c r="V50" s="16" t="n"/>
      <c r="W50" s="17">
        <f>IF($B50="","",COUNTA(M50:V50))</f>
        <v/>
      </c>
    </row>
    <row r="51">
      <c r="B51" s="16" t="inlineStr">
        <is>
          <t>Traffic Code</t>
        </is>
      </c>
      <c r="C51" s="16" t="n"/>
      <c r="D51" s="16" t="n"/>
      <c r="E51" s="16" t="n"/>
      <c r="F51" s="16" t="n"/>
      <c r="G51" s="16" t="n"/>
      <c r="H51" s="16" t="n"/>
      <c r="I51" s="16" t="n"/>
      <c r="J51" s="16" t="n"/>
      <c r="K51" s="16" t="n"/>
      <c r="L51" s="16" t="n"/>
      <c r="M51" s="16" t="n"/>
      <c r="N51" s="16" t="n"/>
      <c r="O51" s="16" t="n"/>
      <c r="P51" s="16" t="n"/>
      <c r="Q51" s="16" t="n"/>
      <c r="R51" s="16" t="n"/>
      <c r="S51" s="16" t="n"/>
      <c r="T51" s="16" t="n"/>
      <c r="U51" s="16" t="n"/>
      <c r="V51" s="16" t="n"/>
      <c r="W51" s="17">
        <f>IF($B51="","",COUNTA(M51:V51))</f>
        <v/>
      </c>
    </row>
    <row r="52">
      <c r="B52" s="16" t="inlineStr">
        <is>
          <t>Crash Investigation</t>
        </is>
      </c>
      <c r="C52" s="16" t="n"/>
      <c r="D52" s="16" t="n"/>
      <c r="E52" s="16" t="n"/>
      <c r="F52" s="16" t="n"/>
      <c r="G52" s="16" t="n"/>
      <c r="H52" s="16" t="n"/>
      <c r="I52" s="16" t="n"/>
      <c r="J52" s="16" t="n"/>
      <c r="K52" s="16" t="n"/>
      <c r="L52" s="16" t="n"/>
      <c r="M52" s="16" t="n"/>
      <c r="N52" s="16" t="n"/>
      <c r="O52" s="16" t="n"/>
      <c r="P52" s="16" t="n"/>
      <c r="Q52" s="16" t="n"/>
      <c r="R52" s="16" t="n"/>
      <c r="S52" s="16" t="n"/>
      <c r="T52" s="16" t="n"/>
      <c r="U52" s="16" t="n"/>
      <c r="V52" s="16" t="n"/>
      <c r="W52" s="17">
        <f>IF($B52="","",COUNTA(M52:V52))</f>
        <v/>
      </c>
    </row>
    <row r="53">
      <c r="B53" s="16" t="inlineStr">
        <is>
          <t>TIM</t>
        </is>
      </c>
      <c r="C53" s="16" t="n"/>
      <c r="D53" s="16" t="n"/>
      <c r="E53" s="16" t="n"/>
      <c r="F53" s="16" t="n"/>
      <c r="G53" s="16" t="n"/>
      <c r="H53" s="16" t="n"/>
      <c r="I53" s="16" t="n"/>
      <c r="J53" s="16" t="n"/>
      <c r="K53" s="16" t="n"/>
      <c r="L53" s="16" t="n"/>
      <c r="M53" s="16" t="n"/>
      <c r="N53" s="16" t="n"/>
      <c r="O53" s="16" t="n"/>
      <c r="P53" s="16" t="n"/>
      <c r="Q53" s="16" t="n"/>
      <c r="R53" s="16" t="n"/>
      <c r="S53" s="16" t="n"/>
      <c r="T53" s="16" t="n"/>
      <c r="U53" s="16" t="n"/>
      <c r="V53" s="16" t="n"/>
      <c r="W53" s="17">
        <f>IF($B53="","",COUNTA(M53:V53))</f>
        <v/>
      </c>
    </row>
    <row r="54">
      <c r="B54" s="16" t="inlineStr">
        <is>
          <t>Criminal Investigations - General Investigations</t>
        </is>
      </c>
      <c r="C54" s="16" t="n"/>
      <c r="D54" s="16" t="n"/>
      <c r="E54" s="16" t="n"/>
      <c r="F54" s="16" t="n"/>
      <c r="G54" s="16" t="n"/>
      <c r="H54" s="16" t="n"/>
      <c r="I54" s="16" t="n"/>
      <c r="J54" s="16" t="n"/>
      <c r="K54" s="16" t="n"/>
      <c r="L54" s="16" t="n"/>
      <c r="M54" s="16" t="n"/>
      <c r="N54" s="16" t="n"/>
      <c r="O54" s="16" t="n"/>
      <c r="P54" s="16" t="n"/>
      <c r="Q54" s="16" t="n"/>
      <c r="R54" s="16" t="n"/>
      <c r="S54" s="16" t="n"/>
      <c r="T54" s="16" t="n"/>
      <c r="U54" s="16" t="n"/>
      <c r="V54" s="16" t="n"/>
      <c r="W54" s="17">
        <f>IF($B54="","",COUNTA(M54:V54))</f>
        <v/>
      </c>
    </row>
    <row r="55">
      <c r="B55" s="16" t="inlineStr">
        <is>
          <t>Criminal Investigations - Auto Theft</t>
        </is>
      </c>
      <c r="C55" s="16" t="n"/>
      <c r="D55" s="16" t="n"/>
      <c r="E55" s="16" t="n"/>
      <c r="F55" s="16" t="n"/>
      <c r="G55" s="16" t="n"/>
      <c r="H55" s="16" t="n"/>
      <c r="I55" s="16" t="n"/>
      <c r="J55" s="16" t="n"/>
      <c r="K55" s="16" t="n"/>
      <c r="L55" s="16" t="n"/>
      <c r="M55" s="16" t="n"/>
      <c r="N55" s="16" t="n"/>
      <c r="O55" s="16" t="n"/>
      <c r="P55" s="16" t="n"/>
      <c r="Q55" s="16" t="n"/>
      <c r="R55" s="16" t="n"/>
      <c r="S55" s="16" t="n"/>
      <c r="T55" s="16" t="n"/>
      <c r="U55" s="16" t="n"/>
      <c r="V55" s="16" t="n"/>
      <c r="W55" s="17">
        <f>IF($B55="","",COUNTA(M55:V55))</f>
        <v/>
      </c>
    </row>
    <row r="56">
      <c r="B56" s="16" t="inlineStr">
        <is>
          <t>Criminal Investigations - Crime Scene</t>
        </is>
      </c>
      <c r="C56" s="16" t="n"/>
      <c r="D56" s="16" t="n"/>
      <c r="E56" s="16" t="n"/>
      <c r="F56" s="16" t="n"/>
      <c r="G56" s="16" t="n"/>
      <c r="H56" s="16" t="n"/>
      <c r="I56" s="16" t="n"/>
      <c r="J56" s="16" t="n"/>
      <c r="K56" s="16" t="n"/>
      <c r="L56" s="16" t="n"/>
      <c r="M56" s="16" t="n"/>
      <c r="N56" s="16" t="n"/>
      <c r="O56" s="16" t="n"/>
      <c r="P56" s="16" t="n"/>
      <c r="Q56" s="16" t="n"/>
      <c r="R56" s="16" t="n"/>
      <c r="S56" s="16" t="n"/>
      <c r="T56" s="16" t="n"/>
      <c r="U56" s="16" t="n"/>
      <c r="V56" s="16" t="n"/>
      <c r="W56" s="17">
        <f>IF($B56="","",COUNTA(M56:V56))</f>
        <v/>
      </c>
    </row>
    <row r="57">
      <c r="B57" s="16" t="inlineStr">
        <is>
          <t>Criminal Investigations - Booking Operations</t>
        </is>
      </c>
      <c r="C57" s="16" t="n"/>
      <c r="D57" s="16" t="n"/>
      <c r="E57" s="16" t="n"/>
      <c r="F57" s="16" t="n"/>
      <c r="G57" s="16" t="n"/>
      <c r="H57" s="16" t="n"/>
      <c r="I57" s="16" t="n"/>
      <c r="J57" s="16" t="n"/>
      <c r="K57" s="16" t="n"/>
      <c r="L57" s="16" t="n"/>
      <c r="M57" s="16" t="n"/>
      <c r="N57" s="16" t="n"/>
      <c r="O57" s="16" t="n"/>
      <c r="P57" s="16" t="n"/>
      <c r="Q57" s="16" t="n"/>
      <c r="R57" s="16" t="n"/>
      <c r="S57" s="16" t="n"/>
      <c r="T57" s="16" t="n"/>
      <c r="U57" s="16" t="n"/>
      <c r="V57" s="16" t="n"/>
      <c r="W57" s="17">
        <f>IF($B57="","",COUNTA(M57:V57))</f>
        <v/>
      </c>
    </row>
    <row r="58">
      <c r="B58" s="16" t="inlineStr">
        <is>
          <t>Criminal Investigations - Interview Techniques</t>
        </is>
      </c>
      <c r="C58" s="16" t="n"/>
      <c r="D58" s="16" t="n"/>
      <c r="E58" s="16" t="n"/>
      <c r="F58" s="16" t="n"/>
      <c r="G58" s="16" t="n"/>
      <c r="H58" s="16" t="n"/>
      <c r="I58" s="16" t="n"/>
      <c r="J58" s="16" t="n"/>
      <c r="K58" s="16" t="n"/>
      <c r="L58" s="16" t="n"/>
      <c r="M58" s="16" t="n"/>
      <c r="N58" s="16" t="n"/>
      <c r="O58" s="16" t="n"/>
      <c r="P58" s="16" t="n"/>
      <c r="Q58" s="16" t="n"/>
      <c r="R58" s="16" t="n"/>
      <c r="S58" s="16" t="n"/>
      <c r="T58" s="16" t="n"/>
      <c r="U58" s="16" t="n"/>
      <c r="V58" s="16" t="n"/>
      <c r="W58" s="17">
        <f>IF($B58="","",COUNTA(M58:V58))</f>
        <v/>
      </c>
    </row>
    <row r="59">
      <c r="B59" s="16" t="inlineStr">
        <is>
          <t>Criminal Investigations - Case Management</t>
        </is>
      </c>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7">
        <f>IF($B59="","",COUNTA(M59:V59))</f>
        <v/>
      </c>
    </row>
    <row r="60">
      <c r="B60" s="16" t="inlineStr">
        <is>
          <t>Criminal Investigations - Media Relations</t>
        </is>
      </c>
      <c r="C60" s="16" t="n"/>
      <c r="D60" s="16" t="n"/>
      <c r="E60" s="16" t="n"/>
      <c r="F60" s="16" t="n"/>
      <c r="G60" s="16" t="n"/>
      <c r="H60" s="16" t="n"/>
      <c r="I60" s="16" t="n"/>
      <c r="J60" s="16" t="n"/>
      <c r="K60" s="16" t="n"/>
      <c r="L60" s="16" t="n"/>
      <c r="M60" s="16" t="n"/>
      <c r="N60" s="16" t="n"/>
      <c r="O60" s="16" t="n"/>
      <c r="P60" s="16" t="n"/>
      <c r="Q60" s="16" t="n"/>
      <c r="R60" s="16" t="n"/>
      <c r="S60" s="16" t="n"/>
      <c r="T60" s="16" t="n"/>
      <c r="U60" s="16" t="n"/>
      <c r="V60" s="16" t="n"/>
      <c r="W60" s="17">
        <f>IF($B60="","",COUNTA(M60:V60))</f>
        <v/>
      </c>
    </row>
    <row r="61">
      <c r="B61" s="16" t="inlineStr">
        <is>
          <t>Review</t>
        </is>
      </c>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7">
        <f>IF($B61="","",COUNTA(M61:V61))</f>
        <v/>
      </c>
    </row>
    <row r="62">
      <c r="B62" s="16" t="inlineStr">
        <is>
          <t>Digital Forensics</t>
        </is>
      </c>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7">
        <f>IF($B62="","",COUNTA(M62:V62))</f>
        <v/>
      </c>
    </row>
    <row r="63">
      <c r="B63" s="16" t="inlineStr">
        <is>
          <t>PT - Base Level Evaluation</t>
        </is>
      </c>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7">
        <f>IF($B63="","",COUNTA(M63:V63))</f>
        <v/>
      </c>
    </row>
    <row r="64">
      <c r="B64" s="16" t="inlineStr">
        <is>
          <t>PT</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7">
        <f>IF($B64="","",COUNTA(M64:V64))</f>
        <v/>
      </c>
    </row>
    <row r="65">
      <c r="B65" s="16" t="inlineStr">
        <is>
          <t>PT - Ju Jitsu</t>
        </is>
      </c>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7">
        <f>IF($B65="","",COUNTA(M65:V65))</f>
        <v/>
      </c>
    </row>
    <row r="66">
      <c r="B66" s="16" t="inlineStr">
        <is>
          <t>PT - Final</t>
        </is>
      </c>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7">
        <f>IF($B66="","",COUNTA(M66:V66))</f>
        <v/>
      </c>
    </row>
    <row r="67">
      <c r="B67" s="16" t="inlineStr">
        <is>
          <t>PT - "The Murph"</t>
        </is>
      </c>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7">
        <f>IF($B67="","",COUNTA(M67:V67))</f>
        <v/>
      </c>
    </row>
    <row r="68">
      <c r="B68" s="16" t="inlineStr">
        <is>
          <t>Final Test</t>
        </is>
      </c>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7">
        <f>IF($B68="","",COUNTA(M68:V68))</f>
        <v/>
      </c>
    </row>
    <row r="69">
      <c r="B69" s="16" t="inlineStr">
        <is>
          <t>State Test</t>
        </is>
      </c>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7">
        <f>IF($B69="","",COUNTA(M69:V69))</f>
        <v/>
      </c>
    </row>
    <row r="70">
      <c r="B70" s="16" t="inlineStr">
        <is>
          <t>Final Re-Test (If Needed)</t>
        </is>
      </c>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7">
        <f>IF($B70="","",COUNTA(M70:V70))</f>
        <v/>
      </c>
    </row>
    <row r="71">
      <c r="B71" s="16" t="inlineStr">
        <is>
          <t>Graduation</t>
        </is>
      </c>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7">
        <f>IF($B71="","",COUNTA(M71:V71))</f>
        <v/>
      </c>
    </row>
    <row r="72">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7">
        <f>IF($B72="","",COUNTA(M72:V72))</f>
        <v/>
      </c>
    </row>
    <row r="73">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7">
        <f>IF($B73="","",COUNTA(M73:V73))</f>
        <v/>
      </c>
    </row>
    <row r="74">
      <c r="B74" s="16" t="n"/>
      <c r="C74" s="16" t="n"/>
      <c r="D74" s="16" t="n"/>
      <c r="E74" s="16" t="n"/>
      <c r="F74" s="16" t="n"/>
      <c r="G74" s="16" t="n"/>
      <c r="H74" s="16" t="n"/>
      <c r="I74" s="16" t="n"/>
      <c r="J74" s="16" t="n"/>
      <c r="K74" s="16" t="n"/>
      <c r="L74" s="16" t="n"/>
      <c r="M74" s="16" t="n"/>
      <c r="N74" s="16" t="n"/>
      <c r="O74" s="16" t="n"/>
      <c r="P74" s="16" t="n"/>
      <c r="Q74" s="16" t="n"/>
      <c r="R74" s="16" t="n"/>
      <c r="S74" s="16" t="n"/>
      <c r="T74" s="16" t="n"/>
      <c r="U74" s="16" t="n"/>
      <c r="V74" s="16" t="n"/>
      <c r="W74" s="17">
        <f>IF($B74="","",COUNTA(M74:V74))</f>
        <v/>
      </c>
    </row>
    <row r="75">
      <c r="B75" s="16" t="n"/>
      <c r="C75" s="16" t="n"/>
      <c r="D75" s="16" t="n"/>
      <c r="E75" s="16" t="n"/>
      <c r="F75" s="16" t="n"/>
      <c r="G75" s="16" t="n"/>
      <c r="H75" s="16" t="n"/>
      <c r="I75" s="16" t="n"/>
      <c r="J75" s="16" t="n"/>
      <c r="K75" s="16" t="n"/>
      <c r="L75" s="16" t="n"/>
      <c r="M75" s="16" t="n"/>
      <c r="N75" s="16" t="n"/>
      <c r="O75" s="16" t="n"/>
      <c r="P75" s="16" t="n"/>
      <c r="Q75" s="16" t="n"/>
      <c r="R75" s="16" t="n"/>
      <c r="S75" s="16" t="n"/>
      <c r="T75" s="16" t="n"/>
      <c r="U75" s="16" t="n"/>
      <c r="V75" s="16" t="n"/>
      <c r="W75" s="17">
        <f>IF($B75="","",COUNTA(M75:V75))</f>
        <v/>
      </c>
    </row>
    <row r="76">
      <c r="B76" s="16" t="n"/>
      <c r="C76" s="16" t="n"/>
      <c r="D76" s="16" t="n"/>
      <c r="E76" s="16" t="n"/>
      <c r="F76" s="16" t="n"/>
      <c r="G76" s="16" t="n"/>
      <c r="H76" s="16" t="n"/>
      <c r="I76" s="16" t="n"/>
      <c r="J76" s="16" t="n"/>
      <c r="K76" s="16" t="n"/>
      <c r="L76" s="16" t="n"/>
      <c r="M76" s="16" t="n"/>
      <c r="N76" s="16" t="n"/>
      <c r="O76" s="16" t="n"/>
      <c r="P76" s="16" t="n"/>
      <c r="Q76" s="16" t="n"/>
      <c r="R76" s="16" t="n"/>
      <c r="S76" s="16" t="n"/>
      <c r="T76" s="16" t="n"/>
      <c r="U76" s="16" t="n"/>
      <c r="V76" s="16" t="n"/>
      <c r="W76" s="17">
        <f>IF($B76="","",COUNTA(M76:V76))</f>
        <v/>
      </c>
    </row>
    <row r="77">
      <c r="B77" s="16" t="n"/>
      <c r="C77" s="16" t="n"/>
      <c r="D77" s="16" t="n"/>
      <c r="E77" s="16" t="n"/>
      <c r="F77" s="16" t="n"/>
      <c r="G77" s="16" t="n"/>
      <c r="H77" s="16" t="n"/>
      <c r="I77" s="16" t="n"/>
      <c r="J77" s="16" t="n"/>
      <c r="K77" s="16" t="n"/>
      <c r="L77" s="16" t="n"/>
      <c r="M77" s="16" t="n"/>
      <c r="N77" s="16" t="n"/>
      <c r="O77" s="16" t="n"/>
      <c r="P77" s="16" t="n"/>
      <c r="Q77" s="16" t="n"/>
      <c r="R77" s="16" t="n"/>
      <c r="S77" s="16" t="n"/>
      <c r="T77" s="16" t="n"/>
      <c r="U77" s="16" t="n"/>
      <c r="V77" s="16" t="n"/>
      <c r="W77" s="17">
        <f>IF($B77="","",COUNTA(M77:V77))</f>
        <v/>
      </c>
    </row>
    <row r="78">
      <c r="B78" s="16" t="n"/>
      <c r="C78" s="16" t="n"/>
      <c r="D78" s="16" t="n"/>
      <c r="E78" s="16" t="n"/>
      <c r="F78" s="16" t="n"/>
      <c r="G78" s="16" t="n"/>
      <c r="H78" s="16" t="n"/>
      <c r="I78" s="16" t="n"/>
      <c r="J78" s="16" t="n"/>
      <c r="K78" s="16" t="n"/>
      <c r="L78" s="16" t="n"/>
      <c r="M78" s="16" t="n"/>
      <c r="N78" s="16" t="n"/>
      <c r="O78" s="16" t="n"/>
      <c r="P78" s="16" t="n"/>
      <c r="Q78" s="16" t="n"/>
      <c r="R78" s="16" t="n"/>
      <c r="S78" s="16" t="n"/>
      <c r="T78" s="16" t="n"/>
      <c r="U78" s="16" t="n"/>
      <c r="V78" s="16" t="n"/>
      <c r="W78" s="17">
        <f>IF($B78="","",COUNTA(M78:V78))</f>
        <v/>
      </c>
    </row>
    <row r="79">
      <c r="B79" s="16" t="n"/>
      <c r="C79" s="16" t="n"/>
      <c r="D79" s="16" t="n"/>
      <c r="E79" s="16" t="n"/>
      <c r="F79" s="16" t="n"/>
      <c r="G79" s="16" t="n"/>
      <c r="H79" s="16" t="n"/>
      <c r="I79" s="16" t="n"/>
      <c r="J79" s="16" t="n"/>
      <c r="K79" s="16" t="n"/>
      <c r="L79" s="16" t="n"/>
      <c r="M79" s="16" t="n"/>
      <c r="N79" s="16" t="n"/>
      <c r="O79" s="16" t="n"/>
      <c r="P79" s="16" t="n"/>
      <c r="Q79" s="16" t="n"/>
      <c r="R79" s="16" t="n"/>
      <c r="S79" s="16" t="n"/>
      <c r="T79" s="16" t="n"/>
      <c r="U79" s="16" t="n"/>
      <c r="V79" s="16" t="n"/>
      <c r="W79" s="17">
        <f>IF($B79="","",COUNTA(M79:V79))</f>
        <v/>
      </c>
    </row>
    <row r="80">
      <c r="B80" s="16" t="n"/>
      <c r="C80" s="16" t="n"/>
      <c r="D80" s="16" t="n"/>
      <c r="E80" s="16" t="n"/>
      <c r="F80" s="16" t="n"/>
      <c r="G80" s="16" t="n"/>
      <c r="H80" s="16" t="n"/>
      <c r="I80" s="16" t="n"/>
      <c r="J80" s="16" t="n"/>
      <c r="K80" s="16" t="n"/>
      <c r="L80" s="16" t="n"/>
      <c r="M80" s="16" t="n"/>
      <c r="N80" s="16" t="n"/>
      <c r="O80" s="16" t="n"/>
      <c r="P80" s="16" t="n"/>
      <c r="Q80" s="16" t="n"/>
      <c r="R80" s="16" t="n"/>
      <c r="S80" s="16" t="n"/>
      <c r="T80" s="16" t="n"/>
      <c r="U80" s="16" t="n"/>
      <c r="V80" s="16" t="n"/>
      <c r="W80" s="17">
        <f>IF($B80="","",COUNTA(M80:V80))</f>
        <v/>
      </c>
    </row>
    <row r="81">
      <c r="B81" s="16" t="n"/>
      <c r="C81" s="16" t="n"/>
      <c r="D81" s="16" t="n"/>
      <c r="E81" s="16" t="n"/>
      <c r="F81" s="16" t="n"/>
      <c r="G81" s="16" t="n"/>
      <c r="H81" s="16" t="n"/>
      <c r="I81" s="16" t="n"/>
      <c r="J81" s="16" t="n"/>
      <c r="K81" s="16" t="n"/>
      <c r="L81" s="16" t="n"/>
      <c r="M81" s="16" t="n"/>
      <c r="N81" s="16" t="n"/>
      <c r="O81" s="16" t="n"/>
      <c r="P81" s="16" t="n"/>
      <c r="Q81" s="16" t="n"/>
      <c r="R81" s="16" t="n"/>
      <c r="S81" s="16" t="n"/>
      <c r="T81" s="16" t="n"/>
      <c r="U81" s="16" t="n"/>
      <c r="V81" s="16" t="n"/>
      <c r="W81" s="17">
        <f>IF($B81="","",COUNTA(M81:V81))</f>
        <v/>
      </c>
    </row>
  </sheetData>
  <sheetProtection selectLockedCells="0" selectUnlockedCells="0" sheet="1" objects="0" insertRows="1" insertHyperlinks="1" autoFilter="0" scenarios="0" formatColumns="1" deleteColumns="1" insertColumns="1" pivotTables="1" deleteRows="1" formatCells="1" formatRows="1" sort="1" password="B4BB"/>
  <dataValidations count="2">
    <dataValidation sqref="C6:L81" showDropDown="0" showInputMessage="0" showErrorMessage="1" allowBlank="1" type="list">
      <formula1>=nrInstrNames</formula1>
    </dataValidation>
    <dataValidation sqref="M6:V81" showDropDown="0" showInputMessage="0" showErrorMessage="0" allowBlank="1" type="list">
      <formula1>=INDEX($C$6:$L$81,MATCH($B6,$B$6:$B$81,0),0)</formula1>
    </dataValidation>
  </dataValidations>
  <pageMargins left="0.75" right="0.75" top="1" bottom="1" header="0.5" footer="0.5"/>
</worksheet>
</file>

<file path=xl/worksheets/sheet44.xml><?xml version="1.0" encoding="utf-8"?>
<worksheet xmlns="http://schemas.openxmlformats.org/spreadsheetml/2006/main">
  <sheetPr>
    <tabColor rgb="00C8A24B"/>
    <outlinePr summaryBelow="1" summaryRight="1"/>
    <pageSetUpPr/>
  </sheetPr>
  <dimension ref="B1:U71"/>
  <sheetViews>
    <sheetView showGridLines="0" workbookViewId="0">
      <pane xSplit="4" ySplit="5" topLeftCell="E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8" customWidth="1" min="2" max="2"/>
    <col width="6" customWidth="1" min="3" max="3"/>
    <col width="44" customWidth="1" min="4" max="4"/>
    <col width="10" customWidth="1" min="5" max="5"/>
    <col width="10" customWidth="1" min="6" max="6"/>
    <col width="11" customWidth="1" min="7" max="7"/>
    <col width="10" customWidth="1" min="8" max="8"/>
    <col width="12" customWidth="1" min="9" max="9"/>
    <col width="12" customWidth="1" min="10" max="10"/>
    <col width="20" customWidth="1" min="11" max="11"/>
    <col width="14" customWidth="1" min="12" max="12"/>
    <col width="13" customWidth="1" min="13" max="13"/>
    <col width="13" customWidth="1" min="14" max="14"/>
    <col width="12" customWidth="1" min="15" max="15"/>
    <col width="12" customWidth="1" min="16" max="16"/>
    <col width="13" customWidth="1" min="17" max="17"/>
    <col width="15" customWidth="1" min="18" max="18"/>
    <col width="46" customWidth="1" min="19" max="19"/>
    <col width="13" customWidth="1" min="20" max="20"/>
    <col width="12" customWidth="1" min="21" max="21"/>
  </cols>
  <sheetData>
    <row r="1">
      <c r="B1" s="10">
        <f>HYPERLINK("#Dashboard!B5","◄ Dashboard")</f>
        <v/>
      </c>
    </row>
    <row r="4">
      <c r="B4" s="11" t="inlineStr">
        <is>
          <t>Per the IRG, every chapter's training file needs: SME lesson plan (a PowerPoint alone does NOT count), instructor bio, original sign-in sheets w/ PID, assessment + grade sheet, and course evaluation. 'File Complete?' turns Yes when all are On File/NA and any special TCOLE requirement is met.</t>
        </is>
      </c>
    </row>
    <row r="5" ht="26" customHeight="1">
      <c r="B5" s="12" t="inlineStr">
        <is>
          <t>Module</t>
        </is>
      </c>
      <c r="C5" s="12" t="inlineStr">
        <is>
          <t>Ch #</t>
        </is>
      </c>
      <c r="D5" s="12" t="inlineStr">
        <is>
          <t>Chapter Name</t>
        </is>
      </c>
      <c r="E5" s="12" t="inlineStr">
        <is>
          <t>TCOLE Min Hrs</t>
        </is>
      </c>
      <c r="F5" s="12" t="inlineStr">
        <is>
          <t>Planned Hrs</t>
        </is>
      </c>
      <c r="G5" s="12" t="inlineStr">
        <is>
          <t>Delivered Hrs</t>
        </is>
      </c>
      <c r="H5" s="12" t="inlineStr">
        <is>
          <t>vs TCOLE Min</t>
        </is>
      </c>
      <c r="I5" s="12" t="inlineStr">
        <is>
          <t>First Taught</t>
        </is>
      </c>
      <c r="J5" s="12" t="inlineStr">
        <is>
          <t>Last Taught</t>
        </is>
      </c>
      <c r="K5" s="12" t="inlineStr">
        <is>
          <t>Default Instructor</t>
        </is>
      </c>
      <c r="L5" s="12" t="inlineStr">
        <is>
          <t>Lesson Plan (SME)</t>
        </is>
      </c>
      <c r="M5" s="12" t="inlineStr">
        <is>
          <t>Instructor Bio</t>
        </is>
      </c>
      <c r="N5" s="12" t="inlineStr">
        <is>
          <t>Sign-In Sheets</t>
        </is>
      </c>
      <c r="O5" s="12" t="inlineStr">
        <is>
          <t>Assessment</t>
        </is>
      </c>
      <c r="P5" s="12" t="inlineStr">
        <is>
          <t>Grade Sheet</t>
        </is>
      </c>
      <c r="Q5" s="12" t="inlineStr">
        <is>
          <t>Evals Collected</t>
        </is>
      </c>
      <c r="R5" s="12" t="inlineStr">
        <is>
          <t>Handouts/PPT (opt.)</t>
        </is>
      </c>
      <c r="S5" s="12" t="inlineStr">
        <is>
          <t>Special TCOLE Requirement</t>
        </is>
      </c>
      <c r="T5" s="12" t="inlineStr">
        <is>
          <t>Special Req Met?</t>
        </is>
      </c>
      <c r="U5" s="12" t="inlineStr">
        <is>
          <t>File Complete?</t>
        </is>
      </c>
    </row>
    <row r="6">
      <c r="B6" s="16" t="inlineStr">
        <is>
          <t>A</t>
        </is>
      </c>
      <c r="C6" s="29" t="inlineStr">
        <is>
          <t>0</t>
        </is>
      </c>
      <c r="D6" s="16" t="inlineStr">
        <is>
          <t>Administrative/Departmental Overview</t>
        </is>
      </c>
      <c r="E6" s="16" t="n">
        <v>0</v>
      </c>
      <c r="F6" s="16" t="n">
        <v>0</v>
      </c>
      <c r="G6" s="17">
        <f>IF($D6="","",ROUND(SUMIFS(nrSCH_Hrs,nrSCH_ChNum,$C6,nrSCH_TimeCheck,"OK"),2))</f>
        <v/>
      </c>
      <c r="H6" s="17">
        <f>IF($D6="","",IF($G6=0,"",$G6-$E6))</f>
        <v/>
      </c>
      <c r="I6" s="19">
        <f>IF($D6="","",IFERROR(IF(_xlfn.MINIFS(nrSCH_Date,nrSCH_ChNum,$C6)=0,"",_xlfn.MINIFS(nrSCH_Date,nrSCH_ChNum,$C6)),""))</f>
        <v/>
      </c>
      <c r="J6" s="19">
        <f>IF($D6="","",IFERROR(IF(_xlfn.MAXIFS(nrSCH_Date,nrSCH_ChNum,$C6)=0,"",_xlfn.MAXIFS(nrSCH_Date,nrSCH_ChNum,$C6)),""))</f>
        <v/>
      </c>
      <c r="K6" s="16" t="n"/>
      <c r="L6" s="16" t="n"/>
      <c r="M6" s="16" t="n"/>
      <c r="N6" s="16" t="n"/>
      <c r="O6" s="16" t="n"/>
      <c r="P6" s="16" t="n"/>
      <c r="Q6" s="16" t="n"/>
      <c r="R6" s="16" t="n"/>
      <c r="S6" s="24" t="n"/>
      <c r="T6" s="16" t="n"/>
      <c r="U6" s="17">
        <f>IF($D6="","",IF(AND(COUNTIF(L6:P6,"On File")+COUNTIF(L6:P6,"N/A")=5,OR($Q6="On File",$Q6="N/A"),OR($S6="",$T6="Yes",$T6="N/A")),"Yes","No"))</f>
        <v/>
      </c>
    </row>
    <row r="7">
      <c r="B7" s="16" t="inlineStr">
        <is>
          <t>B</t>
        </is>
      </c>
      <c r="C7" s="29" t="inlineStr">
        <is>
          <t>1</t>
        </is>
      </c>
      <c r="D7" s="16" t="inlineStr">
        <is>
          <t>Professionalism and Ethics</t>
        </is>
      </c>
      <c r="E7" s="16" t="n">
        <v>12</v>
      </c>
      <c r="F7" s="16" t="n">
        <v>12</v>
      </c>
      <c r="G7" s="17">
        <f>IF($D7="","",ROUND(SUMIFS(nrSCH_Hrs,nrSCH_ChNum,$C7,nrSCH_TimeCheck,"OK"),2))</f>
        <v/>
      </c>
      <c r="H7" s="17">
        <f>IF($D7="","",IF($G7=0,"",$G7-$E7))</f>
        <v/>
      </c>
      <c r="I7" s="19">
        <f>IF($D7="","",IFERROR(IF(_xlfn.MINIFS(nrSCH_Date,nrSCH_ChNum,$C7)=0,"",_xlfn.MINIFS(nrSCH_Date,nrSCH_ChNum,$C7)),""))</f>
        <v/>
      </c>
      <c r="J7" s="19">
        <f>IF($D7="","",IFERROR(IF(_xlfn.MAXIFS(nrSCH_Date,nrSCH_ChNum,$C7)=0,"",_xlfn.MAXIFS(nrSCH_Date,nrSCH_ChNum,$C7)),""))</f>
        <v/>
      </c>
      <c r="K7" s="16" t="n"/>
      <c r="L7" s="16" t="n"/>
      <c r="M7" s="16" t="n"/>
      <c r="N7" s="16" t="n"/>
      <c r="O7" s="16" t="n"/>
      <c r="P7" s="16" t="n"/>
      <c r="Q7" s="16" t="n"/>
      <c r="R7" s="16" t="n"/>
      <c r="S7" s="24" t="n"/>
      <c r="T7" s="16" t="n"/>
      <c r="U7" s="17">
        <f>IF($D7="","",IF(AND(COUNTIF(L7:P7,"On File")+COUNTIF(L7:P7,"N/A")=5,OR($Q7="On File",$Q7="N/A"),OR($S7="",$T7="Yes",$T7="N/A")),"Yes","No"))</f>
        <v/>
      </c>
    </row>
    <row r="8">
      <c r="B8" s="16" t="inlineStr">
        <is>
          <t>B</t>
        </is>
      </c>
      <c r="C8" s="29" t="inlineStr">
        <is>
          <t>2</t>
        </is>
      </c>
      <c r="D8" s="16" t="inlineStr">
        <is>
          <t>Professional Policing</t>
        </is>
      </c>
      <c r="E8" s="16" t="n">
        <v>12</v>
      </c>
      <c r="F8" s="16" t="n">
        <v>12</v>
      </c>
      <c r="G8" s="17">
        <f>IF($D8="","",ROUND(SUMIFS(nrSCH_Hrs,nrSCH_ChNum,$C8,nrSCH_TimeCheck,"OK"),2))</f>
        <v/>
      </c>
      <c r="H8" s="17">
        <f>IF($D8="","",IF($G8=0,"",$G8-$E8))</f>
        <v/>
      </c>
      <c r="I8" s="19">
        <f>IF($D8="","",IFERROR(IF(_xlfn.MINIFS(nrSCH_Date,nrSCH_ChNum,$C8)=0,"",_xlfn.MINIFS(nrSCH_Date,nrSCH_ChNum,$C8)),""))</f>
        <v/>
      </c>
      <c r="J8" s="19">
        <f>IF($D8="","",IFERROR(IF(_xlfn.MAXIFS(nrSCH_Date,nrSCH_ChNum,$C8)=0,"",_xlfn.MAXIFS(nrSCH_Date,nrSCH_ChNum,$C8)),""))</f>
        <v/>
      </c>
      <c r="K8" s="16" t="n"/>
      <c r="L8" s="16" t="n"/>
      <c r="M8" s="16" t="n"/>
      <c r="N8" s="16" t="n"/>
      <c r="O8" s="16" t="n"/>
      <c r="P8" s="16" t="n"/>
      <c r="Q8" s="16" t="n"/>
      <c r="R8" s="16" t="n"/>
      <c r="S8" s="24" t="inlineStr">
        <is>
          <t>Crime Stoppers Texas Course #22911 delivered here (not reported separately)</t>
        </is>
      </c>
      <c r="T8" s="16" t="n"/>
      <c r="U8" s="17">
        <f>IF($D8="","",IF(AND(COUNTIF(L8:P8,"On File")+COUNTIF(L8:P8,"N/A")=5,OR($Q8="On File",$Q8="N/A"),OR($S8="",$T8="Yes",$T8="N/A")),"Yes","No"))</f>
        <v/>
      </c>
    </row>
    <row r="9">
      <c r="B9" s="16" t="inlineStr">
        <is>
          <t>B</t>
        </is>
      </c>
      <c r="C9" s="29" t="inlineStr">
        <is>
          <t>3</t>
        </is>
      </c>
      <c r="D9" s="16" t="inlineStr">
        <is>
          <t>Fitness, Wellness, and Stress Management</t>
        </is>
      </c>
      <c r="E9" s="16" t="n">
        <v>16</v>
      </c>
      <c r="F9" s="16" t="n">
        <v>16</v>
      </c>
      <c r="G9" s="17">
        <f>IF($D9="","",ROUND(SUMIFS(nrSCH_Hrs,nrSCH_ChNum,$C9,nrSCH_TimeCheck,"OK"),2))</f>
        <v/>
      </c>
      <c r="H9" s="17">
        <f>IF($D9="","",IF($G9=0,"",$G9-$E9))</f>
        <v/>
      </c>
      <c r="I9" s="19">
        <f>IF($D9="","",IFERROR(IF(_xlfn.MINIFS(nrSCH_Date,nrSCH_ChNum,$C9)=0,"",_xlfn.MINIFS(nrSCH_Date,nrSCH_ChNum,$C9)),""))</f>
        <v/>
      </c>
      <c r="J9" s="19">
        <f>IF($D9="","",IFERROR(IF(_xlfn.MAXIFS(nrSCH_Date,nrSCH_ChNum,$C9)=0,"",_xlfn.MAXIFS(nrSCH_Date,nrSCH_ChNum,$C9)),""))</f>
        <v/>
      </c>
      <c r="K9" s="16" t="n"/>
      <c r="L9" s="16" t="n"/>
      <c r="M9" s="16" t="n"/>
      <c r="N9" s="16" t="n"/>
      <c r="O9" s="16" t="n"/>
      <c r="P9" s="16" t="n"/>
      <c r="Q9" s="16" t="n"/>
      <c r="R9" s="16" t="n"/>
      <c r="S9" s="24" t="n"/>
      <c r="T9" s="16" t="n"/>
      <c r="U9" s="17">
        <f>IF($D9="","",IF(AND(COUNTIF(L9:P9,"On File")+COUNTIF(L9:P9,"N/A")=5,OR($Q9="On File",$Q9="N/A"),OR($S9="",$T9="Yes",$T9="N/A")),"Yes","No"))</f>
        <v/>
      </c>
    </row>
    <row r="10">
      <c r="B10" s="16" t="inlineStr">
        <is>
          <t>B</t>
        </is>
      </c>
      <c r="C10" s="29" t="inlineStr">
        <is>
          <t>4</t>
        </is>
      </c>
      <c r="D10" s="16" t="inlineStr">
        <is>
          <t>TCOLE Rules</t>
        </is>
      </c>
      <c r="E10" s="16" t="n">
        <v>4</v>
      </c>
      <c r="F10" s="16" t="n">
        <v>4</v>
      </c>
      <c r="G10" s="17">
        <f>IF($D10="","",ROUND(SUMIFS(nrSCH_Hrs,nrSCH_ChNum,$C10,nrSCH_TimeCheck,"OK"),2))</f>
        <v/>
      </c>
      <c r="H10" s="17">
        <f>IF($D10="","",IF($G10=0,"",$G10-$E10))</f>
        <v/>
      </c>
      <c r="I10" s="19">
        <f>IF($D10="","",IFERROR(IF(_xlfn.MINIFS(nrSCH_Date,nrSCH_ChNum,$C10)=0,"",_xlfn.MINIFS(nrSCH_Date,nrSCH_ChNum,$C10)),""))</f>
        <v/>
      </c>
      <c r="J10" s="19">
        <f>IF($D10="","",IFERROR(IF(_xlfn.MAXIFS(nrSCH_Date,nrSCH_ChNum,$C10)=0,"",_xlfn.MAXIFS(nrSCH_Date,nrSCH_ChNum,$C10)),""))</f>
        <v/>
      </c>
      <c r="K10" s="16" t="n"/>
      <c r="L10" s="16" t="n"/>
      <c r="M10" s="16" t="n"/>
      <c r="N10" s="16" t="n"/>
      <c r="O10" s="16" t="n"/>
      <c r="P10" s="16" t="n"/>
      <c r="Q10" s="16" t="n"/>
      <c r="R10" s="16" t="n"/>
      <c r="S10" s="24" t="n"/>
      <c r="T10" s="16" t="n"/>
      <c r="U10" s="17">
        <f>IF($D10="","",IF(AND(COUNTIF(L10:P10,"On File")+COUNTIF(L10:P10,"N/A")=5,OR($Q10="On File",$Q10="N/A"),OR($S10="",$T10="Yes",$T10="N/A")),"Yes","No"))</f>
        <v/>
      </c>
    </row>
    <row r="11">
      <c r="B11" s="16" t="inlineStr">
        <is>
          <t>B</t>
        </is>
      </c>
      <c r="C11" s="29" t="inlineStr">
        <is>
          <t>5</t>
        </is>
      </c>
      <c r="D11" s="16" t="inlineStr">
        <is>
          <t>Multiculturalism and Human Relations</t>
        </is>
      </c>
      <c r="E11" s="16" t="n">
        <v>8</v>
      </c>
      <c r="F11" s="16" t="n">
        <v>8</v>
      </c>
      <c r="G11" s="17">
        <f>IF($D11="","",ROUND(SUMIFS(nrSCH_Hrs,nrSCH_ChNum,$C11,nrSCH_TimeCheck,"OK"),2))</f>
        <v/>
      </c>
      <c r="H11" s="17">
        <f>IF($D11="","",IF($G11=0,"",$G11-$E11))</f>
        <v/>
      </c>
      <c r="I11" s="19">
        <f>IF($D11="","",IFERROR(IF(_xlfn.MINIFS(nrSCH_Date,nrSCH_ChNum,$C11)=0,"",_xlfn.MINIFS(nrSCH_Date,nrSCH_ChNum,$C11)),""))</f>
        <v/>
      </c>
      <c r="J11" s="19">
        <f>IF($D11="","",IFERROR(IF(_xlfn.MAXIFS(nrSCH_Date,nrSCH_ChNum,$C11)=0,"",_xlfn.MAXIFS(nrSCH_Date,nrSCH_ChNum,$C11)),""))</f>
        <v/>
      </c>
      <c r="K11" s="16" t="n"/>
      <c r="L11" s="16" t="n"/>
      <c r="M11" s="16" t="n"/>
      <c r="N11" s="16" t="n"/>
      <c r="O11" s="16" t="n"/>
      <c r="P11" s="16" t="n"/>
      <c r="Q11" s="16" t="n"/>
      <c r="R11" s="16" t="n"/>
      <c r="S11" s="24" t="n"/>
      <c r="T11" s="16" t="n"/>
      <c r="U11" s="17">
        <f>IF($D11="","",IF(AND(COUNTIF(L11:P11,"On File")+COUNTIF(L11:P11,"N/A")=5,OR($Q11="On File",$Q11="N/A"),OR($S11="",$T11="Yes",$T11="N/A")),"Yes","No"))</f>
        <v/>
      </c>
    </row>
    <row r="12">
      <c r="B12" s="16" t="inlineStr">
        <is>
          <t>B</t>
        </is>
      </c>
      <c r="C12" s="29" t="inlineStr">
        <is>
          <t>6</t>
        </is>
      </c>
      <c r="D12" s="16" t="inlineStr">
        <is>
          <t>Racial Profiling</t>
        </is>
      </c>
      <c r="E12" s="16" t="n">
        <v>4</v>
      </c>
      <c r="F12" s="16" t="n">
        <v>4</v>
      </c>
      <c r="G12" s="17">
        <f>IF($D12="","",ROUND(SUMIFS(nrSCH_Hrs,nrSCH_ChNum,$C12,nrSCH_TimeCheck,"OK"),2))</f>
        <v/>
      </c>
      <c r="H12" s="17">
        <f>IF($D12="","",IF($G12=0,"",$G12-$E12))</f>
        <v/>
      </c>
      <c r="I12" s="19">
        <f>IF($D12="","",IFERROR(IF(_xlfn.MINIFS(nrSCH_Date,nrSCH_ChNum,$C12)=0,"",_xlfn.MINIFS(nrSCH_Date,nrSCH_ChNum,$C12)),""))</f>
        <v/>
      </c>
      <c r="J12" s="19">
        <f>IF($D12="","",IFERROR(IF(_xlfn.MAXIFS(nrSCH_Date,nrSCH_ChNum,$C12)=0,"",_xlfn.MAXIFS(nrSCH_Date,nrSCH_ChNum,$C12)),""))</f>
        <v/>
      </c>
      <c r="K12" s="16" t="n"/>
      <c r="L12" s="16" t="n"/>
      <c r="M12" s="16" t="n"/>
      <c r="N12" s="16" t="n"/>
      <c r="O12" s="16" t="n"/>
      <c r="P12" s="16" t="n"/>
      <c r="Q12" s="16" t="n"/>
      <c r="R12" s="16" t="n"/>
      <c r="S12" s="24" t="n"/>
      <c r="T12" s="16" t="n"/>
      <c r="U12" s="17">
        <f>IF($D12="","",IF(AND(COUNTIF(L12:P12,"On File")+COUNTIF(L12:P12,"N/A")=5,OR($Q12="On File",$Q12="N/A"),OR($S12="",$T12="Yes",$T12="N/A")),"Yes","No"))</f>
        <v/>
      </c>
    </row>
    <row r="13">
      <c r="B13" s="16" t="inlineStr">
        <is>
          <t>C</t>
        </is>
      </c>
      <c r="C13" s="29" t="inlineStr">
        <is>
          <t>7</t>
        </is>
      </c>
      <c r="D13" s="16" t="inlineStr">
        <is>
          <t>US, Texas Constitution and Rights</t>
        </is>
      </c>
      <c r="E13" s="16" t="n">
        <v>10</v>
      </c>
      <c r="F13" s="16" t="n">
        <v>10</v>
      </c>
      <c r="G13" s="17">
        <f>IF($D13="","",ROUND(SUMIFS(nrSCH_Hrs,nrSCH_ChNum,$C13,nrSCH_TimeCheck,"OK"),2))</f>
        <v/>
      </c>
      <c r="H13" s="17">
        <f>IF($D13="","",IF($G13=0,"",$G13-$E13))</f>
        <v/>
      </c>
      <c r="I13" s="19">
        <f>IF($D13="","",IFERROR(IF(_xlfn.MINIFS(nrSCH_Date,nrSCH_ChNum,$C13)=0,"",_xlfn.MINIFS(nrSCH_Date,nrSCH_ChNum,$C13)),""))</f>
        <v/>
      </c>
      <c r="J13" s="19">
        <f>IF($D13="","",IFERROR(IF(_xlfn.MAXIFS(nrSCH_Date,nrSCH_ChNum,$C13)=0,"",_xlfn.MAXIFS(nrSCH_Date,nrSCH_ChNum,$C13)),""))</f>
        <v/>
      </c>
      <c r="K13" s="16" t="n"/>
      <c r="L13" s="16" t="n"/>
      <c r="M13" s="16" t="n"/>
      <c r="N13" s="16" t="n"/>
      <c r="O13" s="16" t="n"/>
      <c r="P13" s="16" t="n"/>
      <c r="Q13" s="16" t="n"/>
      <c r="R13" s="16" t="n"/>
      <c r="S13" s="24" t="n"/>
      <c r="T13" s="16" t="n"/>
      <c r="U13" s="17">
        <f>IF($D13="","",IF(AND(COUNTIF(L13:P13,"On File")+COUNTIF(L13:P13,"N/A")=5,OR($Q13="On File",$Q13="N/A"),OR($S13="",$T13="Yes",$T13="N/A")),"Yes","No"))</f>
        <v/>
      </c>
    </row>
    <row r="14">
      <c r="B14" s="16" t="inlineStr">
        <is>
          <t>C</t>
        </is>
      </c>
      <c r="C14" s="29" t="inlineStr">
        <is>
          <t>8</t>
        </is>
      </c>
      <c r="D14" s="16" t="inlineStr">
        <is>
          <t>Penal Code</t>
        </is>
      </c>
      <c r="E14" s="16" t="n">
        <v>50</v>
      </c>
      <c r="F14" s="16" t="n">
        <v>60</v>
      </c>
      <c r="G14" s="17">
        <f>IF($D14="","",ROUND(SUMIFS(nrSCH_Hrs,nrSCH_ChNum,$C14,nrSCH_TimeCheck,"OK"),2))</f>
        <v/>
      </c>
      <c r="H14" s="17">
        <f>IF($D14="","",IF($G14=0,"",$G14-$E14))</f>
        <v/>
      </c>
      <c r="I14" s="19">
        <f>IF($D14="","",IFERROR(IF(_xlfn.MINIFS(nrSCH_Date,nrSCH_ChNum,$C14)=0,"",_xlfn.MINIFS(nrSCH_Date,nrSCH_ChNum,$C14)),""))</f>
        <v/>
      </c>
      <c r="J14" s="19">
        <f>IF($D14="","",IFERROR(IF(_xlfn.MAXIFS(nrSCH_Date,nrSCH_ChNum,$C14)=0,"",_xlfn.MAXIFS(nrSCH_Date,nrSCH_ChNum,$C14)),""))</f>
        <v/>
      </c>
      <c r="K14" s="16" t="n"/>
      <c r="L14" s="16" t="n"/>
      <c r="M14" s="16" t="n"/>
      <c r="N14" s="16" t="n"/>
      <c r="O14" s="16" t="n"/>
      <c r="P14" s="16" t="n"/>
      <c r="Q14" s="16" t="n"/>
      <c r="R14" s="16" t="n"/>
      <c r="S14" s="24" t="n"/>
      <c r="T14" s="16" t="n"/>
      <c r="U14" s="17">
        <f>IF($D14="","",IF(AND(COUNTIF(L14:P14,"On File")+COUNTIF(L14:P14,"N/A")=5,OR($Q14="On File",$Q14="N/A"),OR($S14="",$T14="Yes",$T14="N/A")),"Yes","No"))</f>
        <v/>
      </c>
    </row>
    <row r="15">
      <c r="B15" s="16" t="inlineStr">
        <is>
          <t>C</t>
        </is>
      </c>
      <c r="C15" s="29" t="inlineStr">
        <is>
          <t>9</t>
        </is>
      </c>
      <c r="D15" s="16" t="inlineStr">
        <is>
          <t>Code of Criminal Procedure</t>
        </is>
      </c>
      <c r="E15" s="16" t="n">
        <v>12</v>
      </c>
      <c r="F15" s="16" t="n">
        <v>12</v>
      </c>
      <c r="G15" s="17">
        <f>IF($D15="","",ROUND(SUMIFS(nrSCH_Hrs,nrSCH_ChNum,$C15,nrSCH_TimeCheck,"OK"),2))</f>
        <v/>
      </c>
      <c r="H15" s="17">
        <f>IF($D15="","",IF($G15=0,"",$G15-$E15))</f>
        <v/>
      </c>
      <c r="I15" s="19">
        <f>IF($D15="","",IFERROR(IF(_xlfn.MINIFS(nrSCH_Date,nrSCH_ChNum,$C15)=0,"",_xlfn.MINIFS(nrSCH_Date,nrSCH_ChNum,$C15)),""))</f>
        <v/>
      </c>
      <c r="J15" s="19">
        <f>IF($D15="","",IFERROR(IF(_xlfn.MAXIFS(nrSCH_Date,nrSCH_ChNum,$C15)=0,"",_xlfn.MAXIFS(nrSCH_Date,nrSCH_ChNum,$C15)),""))</f>
        <v/>
      </c>
      <c r="K15" s="16" t="n"/>
      <c r="L15" s="16" t="n"/>
      <c r="M15" s="16" t="n"/>
      <c r="N15" s="16" t="n"/>
      <c r="O15" s="16" t="n"/>
      <c r="P15" s="16" t="n"/>
      <c r="Q15" s="16" t="n"/>
      <c r="R15" s="16" t="n"/>
      <c r="S15" s="24" t="n"/>
      <c r="T15" s="16" t="n"/>
      <c r="U15" s="17">
        <f>IF($D15="","",IF(AND(COUNTIF(L15:P15,"On File")+COUNTIF(L15:P15,"N/A")=5,OR($Q15="On File",$Q15="N/A"),OR($S15="",$T15="Yes",$T15="N/A")),"Yes","No"))</f>
        <v/>
      </c>
    </row>
    <row r="16">
      <c r="B16" s="16" t="inlineStr">
        <is>
          <t>C</t>
        </is>
      </c>
      <c r="C16" s="29" t="inlineStr">
        <is>
          <t>10</t>
        </is>
      </c>
      <c r="D16" s="16" t="inlineStr">
        <is>
          <t>Arrest, Search, and Seizure</t>
        </is>
      </c>
      <c r="E16" s="16" t="n">
        <v>40</v>
      </c>
      <c r="F16" s="16" t="n">
        <v>46</v>
      </c>
      <c r="G16" s="17">
        <f>IF($D16="","",ROUND(SUMIFS(nrSCH_Hrs,nrSCH_ChNum,$C16,nrSCH_TimeCheck,"OK"),2))</f>
        <v/>
      </c>
      <c r="H16" s="17">
        <f>IF($D16="","",IF($G16=0,"",$G16-$E16))</f>
        <v/>
      </c>
      <c r="I16" s="19">
        <f>IF($D16="","",IFERROR(IF(_xlfn.MINIFS(nrSCH_Date,nrSCH_ChNum,$C16)=0,"",_xlfn.MINIFS(nrSCH_Date,nrSCH_ChNum,$C16)),""))</f>
        <v/>
      </c>
      <c r="J16" s="19">
        <f>IF($D16="","",IFERROR(IF(_xlfn.MAXIFS(nrSCH_Date,nrSCH_ChNum,$C16)=0,"",_xlfn.MAXIFS(nrSCH_Date,nrSCH_ChNum,$C16)),""))</f>
        <v/>
      </c>
      <c r="K16" s="16" t="n"/>
      <c r="L16" s="16" t="n"/>
      <c r="M16" s="16" t="n"/>
      <c r="N16" s="16" t="n"/>
      <c r="O16" s="16" t="n"/>
      <c r="P16" s="16" t="n"/>
      <c r="Q16" s="16" t="n"/>
      <c r="R16" s="16" t="n"/>
      <c r="S16" s="24" t="n"/>
      <c r="T16" s="16" t="n"/>
      <c r="U16" s="17">
        <f>IF($D16="","",IF(AND(COUNTIF(L16:P16,"On File")+COUNTIF(L16:P16,"N/A")=5,OR($Q16="On File",$Q16="N/A"),OR($S16="",$T16="Yes",$T16="N/A")),"Yes","No"))</f>
        <v/>
      </c>
    </row>
    <row r="17">
      <c r="B17" s="16" t="inlineStr">
        <is>
          <t>C</t>
        </is>
      </c>
      <c r="C17" s="29" t="inlineStr">
        <is>
          <t>11</t>
        </is>
      </c>
      <c r="D17" s="16" t="inlineStr">
        <is>
          <t>Asset Forfeiture</t>
        </is>
      </c>
      <c r="E17" s="16" t="n">
        <v>4</v>
      </c>
      <c r="F17" s="16" t="n">
        <v>5</v>
      </c>
      <c r="G17" s="17">
        <f>IF($D17="","",ROUND(SUMIFS(nrSCH_Hrs,nrSCH_ChNum,$C17,nrSCH_TimeCheck,"OK"),2))</f>
        <v/>
      </c>
      <c r="H17" s="17">
        <f>IF($D17="","",IF($G17=0,"",$G17-$E17))</f>
        <v/>
      </c>
      <c r="I17" s="19">
        <f>IF($D17="","",IFERROR(IF(_xlfn.MINIFS(nrSCH_Date,nrSCH_ChNum,$C17)=0,"",_xlfn.MINIFS(nrSCH_Date,nrSCH_ChNum,$C17)),""))</f>
        <v/>
      </c>
      <c r="J17" s="19">
        <f>IF($D17="","",IFERROR(IF(_xlfn.MAXIFS(nrSCH_Date,nrSCH_ChNum,$C17)=0,"",_xlfn.MAXIFS(nrSCH_Date,nrSCH_ChNum,$C17)),""))</f>
        <v/>
      </c>
      <c r="K17" s="16" t="n"/>
      <c r="L17" s="16" t="n"/>
      <c r="M17" s="16" t="n"/>
      <c r="N17" s="16" t="n"/>
      <c r="O17" s="16" t="n"/>
      <c r="P17" s="16" t="n"/>
      <c r="Q17" s="16" t="n"/>
      <c r="R17" s="16" t="n"/>
      <c r="S17" s="24" t="n"/>
      <c r="T17" s="16" t="n"/>
      <c r="U17" s="17">
        <f>IF($D17="","",IF(AND(COUNTIF(L17:P17,"On File")+COUNTIF(L17:P17,"N/A")=5,OR($Q17="On File",$Q17="N/A"),OR($S17="",$T17="Yes",$T17="N/A")),"Yes","No"))</f>
        <v/>
      </c>
    </row>
    <row r="18">
      <c r="B18" s="16" t="inlineStr">
        <is>
          <t>C</t>
        </is>
      </c>
      <c r="C18" s="29" t="inlineStr">
        <is>
          <t>12</t>
        </is>
      </c>
      <c r="D18" s="16" t="inlineStr">
        <is>
          <t>Identity Crimes</t>
        </is>
      </c>
      <c r="E18" s="16" t="n">
        <v>4</v>
      </c>
      <c r="F18" s="16" t="n">
        <v>4</v>
      </c>
      <c r="G18" s="17">
        <f>IF($D18="","",ROUND(SUMIFS(nrSCH_Hrs,nrSCH_ChNum,$C18,nrSCH_TimeCheck,"OK"),2))</f>
        <v/>
      </c>
      <c r="H18" s="17">
        <f>IF($D18="","",IF($G18=0,"",$G18-$E18))</f>
        <v/>
      </c>
      <c r="I18" s="19">
        <f>IF($D18="","",IFERROR(IF(_xlfn.MINIFS(nrSCH_Date,nrSCH_ChNum,$C18)=0,"",_xlfn.MINIFS(nrSCH_Date,nrSCH_ChNum,$C18)),""))</f>
        <v/>
      </c>
      <c r="J18" s="19">
        <f>IF($D18="","",IFERROR(IF(_xlfn.MAXIFS(nrSCH_Date,nrSCH_ChNum,$C18)=0,"",_xlfn.MAXIFS(nrSCH_Date,nrSCH_ChNum,$C18)),""))</f>
        <v/>
      </c>
      <c r="K18" s="16" t="n"/>
      <c r="L18" s="16" t="n"/>
      <c r="M18" s="16" t="n"/>
      <c r="N18" s="16" t="n"/>
      <c r="O18" s="16" t="n"/>
      <c r="P18" s="16" t="n"/>
      <c r="Q18" s="16" t="n"/>
      <c r="R18" s="16" t="n"/>
      <c r="S18" s="24" t="n"/>
      <c r="T18" s="16" t="n"/>
      <c r="U18" s="17">
        <f>IF($D18="","",IF(AND(COUNTIF(L18:P18,"On File")+COUNTIF(L18:P18,"N/A")=5,OR($Q18="On File",$Q18="N/A"),OR($S18="",$T18="Yes",$T18="N/A")),"Yes","No"))</f>
        <v/>
      </c>
    </row>
    <row r="19">
      <c r="B19" s="16" t="inlineStr">
        <is>
          <t>C</t>
        </is>
      </c>
      <c r="C19" s="29" t="inlineStr">
        <is>
          <t>13</t>
        </is>
      </c>
      <c r="D19" s="16" t="inlineStr">
        <is>
          <t>Consular Notification</t>
        </is>
      </c>
      <c r="E19" s="16" t="n">
        <v>1</v>
      </c>
      <c r="F19" s="16" t="n">
        <v>1</v>
      </c>
      <c r="G19" s="17">
        <f>IF($D19="","",ROUND(SUMIFS(nrSCH_Hrs,nrSCH_ChNum,$C19,nrSCH_TimeCheck,"OK"),2))</f>
        <v/>
      </c>
      <c r="H19" s="17">
        <f>IF($D19="","",IF($G19=0,"",$G19-$E19))</f>
        <v/>
      </c>
      <c r="I19" s="19">
        <f>IF($D19="","",IFERROR(IF(_xlfn.MINIFS(nrSCH_Date,nrSCH_ChNum,$C19)=0,"",_xlfn.MINIFS(nrSCH_Date,nrSCH_ChNum,$C19)),""))</f>
        <v/>
      </c>
      <c r="J19" s="19">
        <f>IF($D19="","",IFERROR(IF(_xlfn.MAXIFS(nrSCH_Date,nrSCH_ChNum,$C19)=0,"",_xlfn.MAXIFS(nrSCH_Date,nrSCH_ChNum,$C19)),""))</f>
        <v/>
      </c>
      <c r="K19" s="16" t="n"/>
      <c r="L19" s="16" t="n"/>
      <c r="M19" s="16" t="n"/>
      <c r="N19" s="16" t="n"/>
      <c r="O19" s="16" t="n"/>
      <c r="P19" s="16" t="n"/>
      <c r="Q19" s="16" t="n"/>
      <c r="R19" s="16" t="n"/>
      <c r="S19" s="24" t="n"/>
      <c r="T19" s="16" t="n"/>
      <c r="U19" s="17">
        <f>IF($D19="","",IF(AND(COUNTIF(L19:P19,"On File")+COUNTIF(L19:P19,"N/A")=5,OR($Q19="On File",$Q19="N/A"),OR($S19="",$T19="Yes",$T19="N/A")),"Yes","No"))</f>
        <v/>
      </c>
    </row>
    <row r="20">
      <c r="B20" s="16" t="inlineStr">
        <is>
          <t>C</t>
        </is>
      </c>
      <c r="C20" s="29" t="inlineStr">
        <is>
          <t>14</t>
        </is>
      </c>
      <c r="D20" s="16" t="inlineStr">
        <is>
          <t>Civil Process</t>
        </is>
      </c>
      <c r="E20" s="16" t="n">
        <v>4</v>
      </c>
      <c r="F20" s="16" t="n">
        <v>4</v>
      </c>
      <c r="G20" s="17">
        <f>IF($D20="","",ROUND(SUMIFS(nrSCH_Hrs,nrSCH_ChNum,$C20,nrSCH_TimeCheck,"OK"),2))</f>
        <v/>
      </c>
      <c r="H20" s="17">
        <f>IF($D20="","",IF($G20=0,"",$G20-$E20))</f>
        <v/>
      </c>
      <c r="I20" s="19">
        <f>IF($D20="","",IFERROR(IF(_xlfn.MINIFS(nrSCH_Date,nrSCH_ChNum,$C20)=0,"",_xlfn.MINIFS(nrSCH_Date,nrSCH_ChNum,$C20)),""))</f>
        <v/>
      </c>
      <c r="J20" s="19">
        <f>IF($D20="","",IFERROR(IF(_xlfn.MAXIFS(nrSCH_Date,nrSCH_ChNum,$C20)=0,"",_xlfn.MAXIFS(nrSCH_Date,nrSCH_ChNum,$C20)),""))</f>
        <v/>
      </c>
      <c r="K20" s="16" t="n"/>
      <c r="L20" s="16" t="n"/>
      <c r="M20" s="16" t="n"/>
      <c r="N20" s="16" t="n"/>
      <c r="O20" s="16" t="n"/>
      <c r="P20" s="16" t="n"/>
      <c r="Q20" s="16" t="n"/>
      <c r="R20" s="16" t="n"/>
      <c r="S20" s="24" t="n"/>
      <c r="T20" s="16" t="n"/>
      <c r="U20" s="17">
        <f>IF($D20="","",IF(AND(COUNTIF(L20:P20,"On File")+COUNTIF(L20:P20,"N/A")=5,OR($Q20="On File",$Q20="N/A"),OR($S20="",$T20="Yes",$T20="N/A")),"Yes","No"))</f>
        <v/>
      </c>
    </row>
    <row r="21">
      <c r="B21" s="16" t="inlineStr">
        <is>
          <t>D</t>
        </is>
      </c>
      <c r="C21" s="29" t="inlineStr">
        <is>
          <t>15</t>
        </is>
      </c>
      <c r="D21" s="16" t="inlineStr">
        <is>
          <t>Health and Safety Code and Controlled Substance Act</t>
        </is>
      </c>
      <c r="E21" s="16" t="n">
        <v>12</v>
      </c>
      <c r="F21" s="16" t="n">
        <v>12</v>
      </c>
      <c r="G21" s="17">
        <f>IF($D21="","",ROUND(SUMIFS(nrSCH_Hrs,nrSCH_ChNum,$C21,nrSCH_TimeCheck,"OK"),2))</f>
        <v/>
      </c>
      <c r="H21" s="17">
        <f>IF($D21="","",IF($G21=0,"",$G21-$E21))</f>
        <v/>
      </c>
      <c r="I21" s="19">
        <f>IF($D21="","",IFERROR(IF(_xlfn.MINIFS(nrSCH_Date,nrSCH_ChNum,$C21)=0,"",_xlfn.MINIFS(nrSCH_Date,nrSCH_ChNum,$C21)),""))</f>
        <v/>
      </c>
      <c r="J21" s="19">
        <f>IF($D21="","",IFERROR(IF(_xlfn.MAXIFS(nrSCH_Date,nrSCH_ChNum,$C21)=0,"",_xlfn.MAXIFS(nrSCH_Date,nrSCH_ChNum,$C21)),""))</f>
        <v/>
      </c>
      <c r="K21" s="16" t="n"/>
      <c r="L21" s="16" t="n"/>
      <c r="M21" s="16" t="n"/>
      <c r="N21" s="16" t="n"/>
      <c r="O21" s="16" t="n"/>
      <c r="P21" s="16" t="n"/>
      <c r="Q21" s="16" t="n"/>
      <c r="R21" s="16" t="n"/>
      <c r="S21" s="24" t="n"/>
      <c r="T21" s="16" t="n"/>
      <c r="U21" s="17">
        <f>IF($D21="","",IF(AND(COUNTIF(L21:P21,"On File")+COUNTIF(L21:P21,"N/A")=5,OR($Q21="On File",$Q21="N/A"),OR($S21="",$T21="Yes",$T21="N/A")),"Yes","No"))</f>
        <v/>
      </c>
    </row>
    <row r="22">
      <c r="B22" s="16" t="inlineStr">
        <is>
          <t>D</t>
        </is>
      </c>
      <c r="C22" s="29" t="inlineStr">
        <is>
          <t>16</t>
        </is>
      </c>
      <c r="D22" s="16" t="inlineStr">
        <is>
          <t>Alcoholic Beverage Code</t>
        </is>
      </c>
      <c r="E22" s="16" t="n">
        <v>4</v>
      </c>
      <c r="F22" s="16" t="n">
        <v>5</v>
      </c>
      <c r="G22" s="17">
        <f>IF($D22="","",ROUND(SUMIFS(nrSCH_Hrs,nrSCH_ChNum,$C22,nrSCH_TimeCheck,"OK"),2))</f>
        <v/>
      </c>
      <c r="H22" s="17">
        <f>IF($D22="","",IF($G22=0,"",$G22-$E22))</f>
        <v/>
      </c>
      <c r="I22" s="19">
        <f>IF($D22="","",IFERROR(IF(_xlfn.MINIFS(nrSCH_Date,nrSCH_ChNum,$C22)=0,"",_xlfn.MINIFS(nrSCH_Date,nrSCH_ChNum,$C22)),""))</f>
        <v/>
      </c>
      <c r="J22" s="19">
        <f>IF($D22="","",IFERROR(IF(_xlfn.MAXIFS(nrSCH_Date,nrSCH_ChNum,$C22)=0,"",_xlfn.MAXIFS(nrSCH_Date,nrSCH_ChNum,$C22)),""))</f>
        <v/>
      </c>
      <c r="K22" s="16" t="n"/>
      <c r="L22" s="16" t="n"/>
      <c r="M22" s="16" t="n"/>
      <c r="N22" s="16" t="n"/>
      <c r="O22" s="16" t="n"/>
      <c r="P22" s="16" t="n"/>
      <c r="Q22" s="16" t="n"/>
      <c r="R22" s="16" t="n"/>
      <c r="S22" s="24" t="n"/>
      <c r="T22" s="16" t="n"/>
      <c r="U22" s="17">
        <f>IF($D22="","",IF(AND(COUNTIF(L22:P22,"On File")+COUNTIF(L22:P22,"N/A")=5,OR($Q22="On File",$Q22="N/A"),OR($S22="",$T22="Yes",$T22="N/A")),"Yes","No"))</f>
        <v/>
      </c>
    </row>
    <row r="23">
      <c r="B23" s="16" t="inlineStr">
        <is>
          <t>E</t>
        </is>
      </c>
      <c r="C23" s="29" t="inlineStr">
        <is>
          <t>17</t>
        </is>
      </c>
      <c r="D23" s="16" t="inlineStr">
        <is>
          <t>Sexual Assault and Family Violence</t>
        </is>
      </c>
      <c r="E23" s="16" t="n">
        <v>12</v>
      </c>
      <c r="F23" s="16" t="n">
        <v>12</v>
      </c>
      <c r="G23" s="17">
        <f>IF($D23="","",ROUND(SUMIFS(nrSCH_Hrs,nrSCH_ChNum,$C23,nrSCH_TimeCheck,"OK"),2))</f>
        <v/>
      </c>
      <c r="H23" s="17">
        <f>IF($D23="","",IF($G23=0,"",$G23-$E23))</f>
        <v/>
      </c>
      <c r="I23" s="19">
        <f>IF($D23="","",IFERROR(IF(_xlfn.MINIFS(nrSCH_Date,nrSCH_ChNum,$C23)=0,"",_xlfn.MINIFS(nrSCH_Date,nrSCH_ChNum,$C23)),""))</f>
        <v/>
      </c>
      <c r="J23" s="19">
        <f>IF($D23="","",IFERROR(IF(_xlfn.MAXIFS(nrSCH_Date,nrSCH_ChNum,$C23)=0,"",_xlfn.MAXIFS(nrSCH_Date,nrSCH_ChNum,$C23)),""))</f>
        <v/>
      </c>
      <c r="K23" s="16" t="n"/>
      <c r="L23" s="16" t="n"/>
      <c r="M23" s="16" t="n"/>
      <c r="N23" s="16" t="n"/>
      <c r="O23" s="16" t="n"/>
      <c r="P23" s="16" t="n"/>
      <c r="Q23" s="16" t="n"/>
      <c r="R23" s="16" t="n"/>
      <c r="S23" s="24" t="n"/>
      <c r="T23" s="16" t="n"/>
      <c r="U23" s="17">
        <f>IF($D23="","",IF(AND(COUNTIF(L23:P23,"On File")+COUNTIF(L23:P23,"N/A")=5,OR($Q23="On File",$Q23="N/A"),OR($S23="",$T23="Yes",$T23="N/A")),"Yes","No"))</f>
        <v/>
      </c>
    </row>
    <row r="24">
      <c r="B24" s="16" t="inlineStr">
        <is>
          <t>E</t>
        </is>
      </c>
      <c r="C24" s="29" t="inlineStr">
        <is>
          <t>18</t>
        </is>
      </c>
      <c r="D24" s="16" t="inlineStr">
        <is>
          <t>Missing and Exploited Children</t>
        </is>
      </c>
      <c r="E24" s="16" t="n">
        <v>8</v>
      </c>
      <c r="F24" s="16" t="n">
        <v>8</v>
      </c>
      <c r="G24" s="17">
        <f>IF($D24="","",ROUND(SUMIFS(nrSCH_Hrs,nrSCH_ChNum,$C24,nrSCH_TimeCheck,"OK"),2))</f>
        <v/>
      </c>
      <c r="H24" s="17">
        <f>IF($D24="","",IF($G24=0,"",$G24-$E24))</f>
        <v/>
      </c>
      <c r="I24" s="19">
        <f>IF($D24="","",IFERROR(IF(_xlfn.MINIFS(nrSCH_Date,nrSCH_ChNum,$C24)=0,"",_xlfn.MINIFS(nrSCH_Date,nrSCH_ChNum,$C24)),""))</f>
        <v/>
      </c>
      <c r="J24" s="19">
        <f>IF($D24="","",IFERROR(IF(_xlfn.MAXIFS(nrSCH_Date,nrSCH_ChNum,$C24)=0,"",_xlfn.MAXIFS(nrSCH_Date,nrSCH_ChNum,$C24)),""))</f>
        <v/>
      </c>
      <c r="K24" s="16" t="n"/>
      <c r="L24" s="16" t="n"/>
      <c r="M24" s="16" t="n"/>
      <c r="N24" s="16" t="n"/>
      <c r="O24" s="16" t="n"/>
      <c r="P24" s="16" t="n"/>
      <c r="Q24" s="16" t="n"/>
      <c r="R24" s="16" t="n"/>
      <c r="S24" s="24" t="n"/>
      <c r="T24" s="16" t="n"/>
      <c r="U24" s="17">
        <f>IF($D24="","",IF(AND(COUNTIF(L24:P24,"On File")+COUNTIF(L24:P24,"N/A")=5,OR($Q24="On File",$Q24="N/A"),OR($S24="",$T24="Yes",$T24="N/A")),"Yes","No"))</f>
        <v/>
      </c>
    </row>
    <row r="25">
      <c r="B25" s="16" t="inlineStr">
        <is>
          <t>E</t>
        </is>
      </c>
      <c r="C25" s="29" t="inlineStr">
        <is>
          <t>19</t>
        </is>
      </c>
      <c r="D25" s="16" t="inlineStr">
        <is>
          <t>Child Safety Check Alert List</t>
        </is>
      </c>
      <c r="E25" s="16" t="n">
        <v>1</v>
      </c>
      <c r="F25" s="16" t="n">
        <v>1</v>
      </c>
      <c r="G25" s="17">
        <f>IF($D25="","",ROUND(SUMIFS(nrSCH_Hrs,nrSCH_ChNum,$C25,nrSCH_TimeCheck,"OK"),2))</f>
        <v/>
      </c>
      <c r="H25" s="17">
        <f>IF($D25="","",IF($G25=0,"",$G25-$E25))</f>
        <v/>
      </c>
      <c r="I25" s="19">
        <f>IF($D25="","",IFERROR(IF(_xlfn.MINIFS(nrSCH_Date,nrSCH_ChNum,$C25)=0,"",_xlfn.MINIFS(nrSCH_Date,nrSCH_ChNum,$C25)),""))</f>
        <v/>
      </c>
      <c r="J25" s="19">
        <f>IF($D25="","",IFERROR(IF(_xlfn.MAXIFS(nrSCH_Date,nrSCH_ChNum,$C25)=0,"",_xlfn.MAXIFS(nrSCH_Date,nrSCH_ChNum,$C25)),""))</f>
        <v/>
      </c>
      <c r="K25" s="16" t="n"/>
      <c r="L25" s="16" t="n"/>
      <c r="M25" s="16" t="n"/>
      <c r="N25" s="16" t="n"/>
      <c r="O25" s="16" t="n"/>
      <c r="P25" s="16" t="n"/>
      <c r="Q25" s="16" t="n"/>
      <c r="R25" s="16" t="n"/>
      <c r="S25" s="24" t="n"/>
      <c r="T25" s="16" t="n"/>
      <c r="U25" s="17">
        <f>IF($D25="","",IF(AND(COUNTIF(L25:P25,"On File")+COUNTIF(L25:P25,"N/A")=5,OR($Q25="On File",$Q25="N/A"),OR($S25="",$T25="Yes",$T25="N/A")),"Yes","No"))</f>
        <v/>
      </c>
    </row>
    <row r="26">
      <c r="B26" s="16" t="inlineStr">
        <is>
          <t>E</t>
        </is>
      </c>
      <c r="C26" s="29" t="inlineStr">
        <is>
          <t>20</t>
        </is>
      </c>
      <c r="D26" s="16" t="inlineStr">
        <is>
          <t>Victims of Crime</t>
        </is>
      </c>
      <c r="E26" s="16" t="n">
        <v>10</v>
      </c>
      <c r="F26" s="16" t="n">
        <v>11</v>
      </c>
      <c r="G26" s="17">
        <f>IF($D26="","",ROUND(SUMIFS(nrSCH_Hrs,nrSCH_ChNum,$C26,nrSCH_TimeCheck,"OK"),2))</f>
        <v/>
      </c>
      <c r="H26" s="17">
        <f>IF($D26="","",IF($G26=0,"",$G26-$E26))</f>
        <v/>
      </c>
      <c r="I26" s="19">
        <f>IF($D26="","",IFERROR(IF(_xlfn.MINIFS(nrSCH_Date,nrSCH_ChNum,$C26)=0,"",_xlfn.MINIFS(nrSCH_Date,nrSCH_ChNum,$C26)),""))</f>
        <v/>
      </c>
      <c r="J26" s="19">
        <f>IF($D26="","",IFERROR(IF(_xlfn.MAXIFS(nrSCH_Date,nrSCH_ChNum,$C26)=0,"",_xlfn.MAXIFS(nrSCH_Date,nrSCH_ChNum,$C26)),""))</f>
        <v/>
      </c>
      <c r="K26" s="16" t="n"/>
      <c r="L26" s="16" t="n"/>
      <c r="M26" s="16" t="n"/>
      <c r="N26" s="16" t="n"/>
      <c r="O26" s="16" t="n"/>
      <c r="P26" s="16" t="n"/>
      <c r="Q26" s="16" t="n"/>
      <c r="R26" s="16" t="n"/>
      <c r="S26" s="24" t="n"/>
      <c r="T26" s="16" t="n"/>
      <c r="U26" s="17">
        <f>IF($D26="","",IF(AND(COUNTIF(L26:P26,"On File")+COUNTIF(L26:P26,"N/A")=5,OR($Q26="On File",$Q26="N/A"),OR($S26="",$T26="Yes",$T26="N/A")),"Yes","No"))</f>
        <v/>
      </c>
    </row>
    <row r="27">
      <c r="B27" s="16" t="inlineStr">
        <is>
          <t>E</t>
        </is>
      </c>
      <c r="C27" s="29" t="inlineStr">
        <is>
          <t>21</t>
        </is>
      </c>
      <c r="D27" s="16" t="inlineStr">
        <is>
          <t>Human Trafficking</t>
        </is>
      </c>
      <c r="E27" s="16" t="n">
        <v>4</v>
      </c>
      <c r="F27" s="16" t="n">
        <v>4</v>
      </c>
      <c r="G27" s="17">
        <f>IF($D27="","",ROUND(SUMIFS(nrSCH_Hrs,nrSCH_ChNum,$C27,nrSCH_TimeCheck,"OK"),2))</f>
        <v/>
      </c>
      <c r="H27" s="17">
        <f>IF($D27="","",IF($G27=0,"",$G27-$E27))</f>
        <v/>
      </c>
      <c r="I27" s="19">
        <f>IF($D27="","",IFERROR(IF(_xlfn.MINIFS(nrSCH_Date,nrSCH_ChNum,$C27)=0,"",_xlfn.MINIFS(nrSCH_Date,nrSCH_ChNum,$C27)),""))</f>
        <v/>
      </c>
      <c r="J27" s="19">
        <f>IF($D27="","",IFERROR(IF(_xlfn.MAXIFS(nrSCH_Date,nrSCH_ChNum,$C27)=0,"",_xlfn.MAXIFS(nrSCH_Date,nrSCH_ChNum,$C27)),""))</f>
        <v/>
      </c>
      <c r="K27" s="16" t="n"/>
      <c r="L27" s="16" t="n"/>
      <c r="M27" s="16" t="n"/>
      <c r="N27" s="16" t="n"/>
      <c r="O27" s="16" t="n"/>
      <c r="P27" s="16" t="n"/>
      <c r="Q27" s="16" t="n"/>
      <c r="R27" s="16" t="n"/>
      <c r="S27" s="24" t="n"/>
      <c r="T27" s="16" t="n"/>
      <c r="U27" s="17">
        <f>IF($D27="","",IF(AND(COUNTIF(L27:P27,"On File")+COUNTIF(L27:P27,"N/A")=5,OR($Q27="On File",$Q27="N/A"),OR($S27="",$T27="Yes",$T27="N/A")),"Yes","No"))</f>
        <v/>
      </c>
    </row>
    <row r="28">
      <c r="B28" s="16" t="inlineStr">
        <is>
          <t>F</t>
        </is>
      </c>
      <c r="C28" s="29" t="inlineStr">
        <is>
          <t>22</t>
        </is>
      </c>
      <c r="D28" s="16" t="inlineStr">
        <is>
          <t>Traffic Code / Crash Investigation / TIM</t>
        </is>
      </c>
      <c r="E28" s="16" t="n">
        <v>74</v>
      </c>
      <c r="F28" s="16" t="n">
        <v>74</v>
      </c>
      <c r="G28" s="17">
        <f>IF($D28="","",ROUND(SUMIFS(nrSCH_Hrs,nrSCH_ChNum,$C28,nrSCH_TimeCheck,"OK"),2))</f>
        <v/>
      </c>
      <c r="H28" s="17">
        <f>IF($D28="","",IF($G28=0,"",$G28-$E28))</f>
        <v/>
      </c>
      <c r="I28" s="19">
        <f>IF($D28="","",IFERROR(IF(_xlfn.MINIFS(nrSCH_Date,nrSCH_ChNum,$C28)=0,"",_xlfn.MINIFS(nrSCH_Date,nrSCH_ChNum,$C28)),""))</f>
        <v/>
      </c>
      <c r="J28" s="19">
        <f>IF($D28="","",IFERROR(IF(_xlfn.MAXIFS(nrSCH_Date,nrSCH_ChNum,$C28)=0,"",_xlfn.MAXIFS(nrSCH_Date,nrSCH_ChNum,$C28)),""))</f>
        <v/>
      </c>
      <c r="K28" s="16" t="n"/>
      <c r="L28" s="16" t="n"/>
      <c r="M28" s="16" t="n"/>
      <c r="N28" s="16" t="n"/>
      <c r="O28" s="16" t="n"/>
      <c r="P28" s="16" t="n"/>
      <c r="Q28" s="16" t="n"/>
      <c r="R28" s="16" t="n"/>
      <c r="S28" s="24" t="inlineStr">
        <is>
          <t>Students complete 4-hr National TIM Responder course; instructor holds TIM Instructor</t>
        </is>
      </c>
      <c r="T28" s="16" t="n"/>
      <c r="U28" s="17">
        <f>IF($D28="","",IF(AND(COUNTIF(L28:P28,"On File")+COUNTIF(L28:P28,"N/A")=5,OR($Q28="On File",$Q28="N/A"),OR($S28="",$T28="Yes",$T28="N/A")),"Yes","No"))</f>
        <v/>
      </c>
    </row>
    <row r="29">
      <c r="B29" s="16" t="inlineStr">
        <is>
          <t>F</t>
        </is>
      </c>
      <c r="C29" s="29" t="inlineStr">
        <is>
          <t>23</t>
        </is>
      </c>
      <c r="D29" s="16" t="inlineStr">
        <is>
          <t>Intoxicated Driver (SFST)</t>
        </is>
      </c>
      <c r="E29" s="16" t="n">
        <v>24</v>
      </c>
      <c r="F29" s="16" t="n">
        <v>34</v>
      </c>
      <c r="G29" s="17">
        <f>IF($D29="","",ROUND(SUMIFS(nrSCH_Hrs,nrSCH_ChNum,$C29,nrSCH_TimeCheck,"OK"),2))</f>
        <v/>
      </c>
      <c r="H29" s="17">
        <f>IF($D29="","",IF($G29=0,"",$G29-$E29))</f>
        <v/>
      </c>
      <c r="I29" s="19">
        <f>IF($D29="","",IFERROR(IF(_xlfn.MINIFS(nrSCH_Date,nrSCH_ChNum,$C29)=0,"",_xlfn.MINIFS(nrSCH_Date,nrSCH_ChNum,$C29)),""))</f>
        <v/>
      </c>
      <c r="J29" s="19">
        <f>IF($D29="","",IFERROR(IF(_xlfn.MAXIFS(nrSCH_Date,nrSCH_ChNum,$C29)=0,"",_xlfn.MAXIFS(nrSCH_Date,nrSCH_ChNum,$C29)),""))</f>
        <v/>
      </c>
      <c r="K29" s="16" t="n"/>
      <c r="L29" s="16" t="n"/>
      <c r="M29" s="16" t="n"/>
      <c r="N29" s="16" t="n"/>
      <c r="O29" s="16" t="n"/>
      <c r="P29" s="16" t="n"/>
      <c r="Q29" s="16" t="n"/>
      <c r="R29" s="16" t="n"/>
      <c r="S29" s="24" t="inlineStr">
        <is>
          <t>Instructor: NHTSA SFST Instructor (1016) + TCOLE SFST Instructor Cert; students complete NHTSA SFST course</t>
        </is>
      </c>
      <c r="T29" s="16" t="n"/>
      <c r="U29" s="17">
        <f>IF($D29="","",IF(AND(COUNTIF(L29:P29,"On File")+COUNTIF(L29:P29,"N/A")=5,OR($Q29="On File",$Q29="N/A"),OR($S29="",$T29="Yes",$T29="N/A")),"Yes","No"))</f>
        <v/>
      </c>
    </row>
    <row r="30">
      <c r="B30" s="16" t="inlineStr">
        <is>
          <t>G</t>
        </is>
      </c>
      <c r="C30" s="29" t="inlineStr">
        <is>
          <t>24</t>
        </is>
      </c>
      <c r="D30" s="16" t="inlineStr">
        <is>
          <t>Written Communication</t>
        </is>
      </c>
      <c r="E30" s="16" t="n">
        <v>16</v>
      </c>
      <c r="F30" s="16" t="n">
        <v>16</v>
      </c>
      <c r="G30" s="17">
        <f>IF($D30="","",ROUND(SUMIFS(nrSCH_Hrs,nrSCH_ChNum,$C30,nrSCH_TimeCheck,"OK"),2))</f>
        <v/>
      </c>
      <c r="H30" s="17">
        <f>IF($D30="","",IF($G30=0,"",$G30-$E30))</f>
        <v/>
      </c>
      <c r="I30" s="19">
        <f>IF($D30="","",IFERROR(IF(_xlfn.MINIFS(nrSCH_Date,nrSCH_ChNum,$C30)=0,"",_xlfn.MINIFS(nrSCH_Date,nrSCH_ChNum,$C30)),""))</f>
        <v/>
      </c>
      <c r="J30" s="19">
        <f>IF($D30="","",IFERROR(IF(_xlfn.MAXIFS(nrSCH_Date,nrSCH_ChNum,$C30)=0,"",_xlfn.MAXIFS(nrSCH_Date,nrSCH_ChNum,$C30)),""))</f>
        <v/>
      </c>
      <c r="K30" s="16" t="n"/>
      <c r="L30" s="16" t="n"/>
      <c r="M30" s="16" t="n"/>
      <c r="N30" s="16" t="n"/>
      <c r="O30" s="16" t="n"/>
      <c r="P30" s="16" t="n"/>
      <c r="Q30" s="16" t="n"/>
      <c r="R30" s="16" t="n"/>
      <c r="S30" s="24" t="n"/>
      <c r="T30" s="16" t="n"/>
      <c r="U30" s="17">
        <f>IF($D30="","",IF(AND(COUNTIF(L30:P30,"On File")+COUNTIF(L30:P30,"N/A")=5,OR($Q30="On File",$Q30="N/A"),OR($S30="",$T30="Yes",$T30="N/A")),"Yes","No"))</f>
        <v/>
      </c>
    </row>
    <row r="31">
      <c r="B31" s="16" t="inlineStr">
        <is>
          <t>G</t>
        </is>
      </c>
      <c r="C31" s="29" t="inlineStr">
        <is>
          <t>25</t>
        </is>
      </c>
      <c r="D31" s="16" t="inlineStr">
        <is>
          <t>Verbal Communication/Public Interaction</t>
        </is>
      </c>
      <c r="E31" s="16" t="n">
        <v>16</v>
      </c>
      <c r="F31" s="16" t="n">
        <v>16</v>
      </c>
      <c r="G31" s="17">
        <f>IF($D31="","",ROUND(SUMIFS(nrSCH_Hrs,nrSCH_ChNum,$C31,nrSCH_TimeCheck,"OK"),2))</f>
        <v/>
      </c>
      <c r="H31" s="17">
        <f>IF($D31="","",IF($G31=0,"",$G31-$E31))</f>
        <v/>
      </c>
      <c r="I31" s="19">
        <f>IF($D31="","",IFERROR(IF(_xlfn.MINIFS(nrSCH_Date,nrSCH_ChNum,$C31)=0,"",_xlfn.MINIFS(nrSCH_Date,nrSCH_ChNum,$C31)),""))</f>
        <v/>
      </c>
      <c r="J31" s="19">
        <f>IF($D31="","",IFERROR(IF(_xlfn.MAXIFS(nrSCH_Date,nrSCH_ChNum,$C31)=0,"",_xlfn.MAXIFS(nrSCH_Date,nrSCH_ChNum,$C31)),""))</f>
        <v/>
      </c>
      <c r="K31" s="16" t="n"/>
      <c r="L31" s="16" t="n"/>
      <c r="M31" s="16" t="n"/>
      <c r="N31" s="16" t="n"/>
      <c r="O31" s="16" t="n"/>
      <c r="P31" s="16" t="n"/>
      <c r="Q31" s="16" t="n"/>
      <c r="R31" s="16" t="n"/>
      <c r="S31" s="24" t="n"/>
      <c r="T31" s="16" t="n"/>
      <c r="U31" s="17">
        <f>IF($D31="","",IF(AND(COUNTIF(L31:P31,"On File")+COUNTIF(L31:P31,"N/A")=5,OR($Q31="On File",$Q31="N/A"),OR($S31="",$T31="Yes",$T31="N/A")),"Yes","No"))</f>
        <v/>
      </c>
    </row>
    <row r="32">
      <c r="B32" s="16" t="inlineStr">
        <is>
          <t>G</t>
        </is>
      </c>
      <c r="C32" s="29" t="inlineStr">
        <is>
          <t>26</t>
        </is>
      </c>
      <c r="D32" s="16" t="inlineStr">
        <is>
          <t>Spanish</t>
        </is>
      </c>
      <c r="E32" s="16" t="n">
        <v>16</v>
      </c>
      <c r="F32" s="16" t="n">
        <v>16</v>
      </c>
      <c r="G32" s="17">
        <f>IF($D32="","",ROUND(SUMIFS(nrSCH_Hrs,nrSCH_ChNum,$C32,nrSCH_TimeCheck,"OK"),2))</f>
        <v/>
      </c>
      <c r="H32" s="17">
        <f>IF($D32="","",IF($G32=0,"",$G32-$E32))</f>
        <v/>
      </c>
      <c r="I32" s="19">
        <f>IF($D32="","",IFERROR(IF(_xlfn.MINIFS(nrSCH_Date,nrSCH_ChNum,$C32)=0,"",_xlfn.MINIFS(nrSCH_Date,nrSCH_ChNum,$C32)),""))</f>
        <v/>
      </c>
      <c r="J32" s="19">
        <f>IF($D32="","",IFERROR(IF(_xlfn.MAXIFS(nrSCH_Date,nrSCH_ChNum,$C32)=0,"",_xlfn.MAXIFS(nrSCH_Date,nrSCH_ChNum,$C32)),""))</f>
        <v/>
      </c>
      <c r="K32" s="16" t="n"/>
      <c r="L32" s="16" t="n"/>
      <c r="M32" s="16" t="n"/>
      <c r="N32" s="16" t="n"/>
      <c r="O32" s="16" t="n"/>
      <c r="P32" s="16" t="n"/>
      <c r="Q32" s="16" t="n"/>
      <c r="R32" s="16" t="n"/>
      <c r="S32" s="24" t="n"/>
      <c r="T32" s="16" t="n"/>
      <c r="U32" s="17">
        <f>IF($D32="","",IF(AND(COUNTIF(L32:P32,"On File")+COUNTIF(L32:P32,"N/A")=5,OR($Q32="On File",$Q32="N/A"),OR($S32="",$T32="Yes",$T32="N/A")),"Yes","No"))</f>
        <v/>
      </c>
    </row>
    <row r="33">
      <c r="B33" s="16" t="inlineStr">
        <is>
          <t>H</t>
        </is>
      </c>
      <c r="C33" s="29" t="inlineStr">
        <is>
          <t>27</t>
        </is>
      </c>
      <c r="D33" s="16" t="inlineStr">
        <is>
          <t>De-escalation Strategies</t>
        </is>
      </c>
      <c r="E33" s="16" t="n">
        <v>8</v>
      </c>
      <c r="F33" s="16" t="n">
        <v>16</v>
      </c>
      <c r="G33" s="17">
        <f>IF($D33="","",ROUND(SUMIFS(nrSCH_Hrs,nrSCH_ChNum,$C33,nrSCH_TimeCheck,"OK"),2))</f>
        <v/>
      </c>
      <c r="H33" s="17">
        <f>IF($D33="","",IF($G33=0,"",$G33-$E33))</f>
        <v/>
      </c>
      <c r="I33" s="19">
        <f>IF($D33="","",IFERROR(IF(_xlfn.MINIFS(nrSCH_Date,nrSCH_ChNum,$C33)=0,"",_xlfn.MINIFS(nrSCH_Date,nrSCH_ChNum,$C33)),""))</f>
        <v/>
      </c>
      <c r="J33" s="19">
        <f>IF($D33="","",IFERROR(IF(_xlfn.MAXIFS(nrSCH_Date,nrSCH_ChNum,$C33)=0,"",_xlfn.MAXIFS(nrSCH_Date,nrSCH_ChNum,$C33)),""))</f>
        <v/>
      </c>
      <c r="K33" s="16" t="n"/>
      <c r="L33" s="16" t="n"/>
      <c r="M33" s="16" t="n"/>
      <c r="N33" s="16" t="n"/>
      <c r="O33" s="16" t="n"/>
      <c r="P33" s="16" t="n"/>
      <c r="Q33" s="16" t="n"/>
      <c r="R33" s="16" t="n"/>
      <c r="S33" s="24" t="n"/>
      <c r="T33" s="16" t="n"/>
      <c r="U33" s="17">
        <f>IF($D33="","",IF(AND(COUNTIF(L33:P33,"On File")+COUNTIF(L33:P33,"N/A")=5,OR($Q33="On File",$Q33="N/A"),OR($S33="",$T33="Yes",$T33="N/A")),"Yes","No"))</f>
        <v/>
      </c>
    </row>
    <row r="34">
      <c r="B34" s="16" t="inlineStr">
        <is>
          <t>J</t>
        </is>
      </c>
      <c r="C34" s="29" t="inlineStr">
        <is>
          <t>28</t>
        </is>
      </c>
      <c r="D34" s="16" t="inlineStr">
        <is>
          <t>Force Options Theory</t>
        </is>
      </c>
      <c r="E34" s="16" t="n">
        <v>28</v>
      </c>
      <c r="F34" s="16" t="n">
        <v>28</v>
      </c>
      <c r="G34" s="17">
        <f>IF($D34="","",ROUND(SUMIFS(nrSCH_Hrs,nrSCH_ChNum,$C34,nrSCH_TimeCheck,"OK"),2))</f>
        <v/>
      </c>
      <c r="H34" s="17">
        <f>IF($D34="","",IF($G34=0,"",$G34-$E34))</f>
        <v/>
      </c>
      <c r="I34" s="19">
        <f>IF($D34="","",IFERROR(IF(_xlfn.MINIFS(nrSCH_Date,nrSCH_ChNum,$C34)=0,"",_xlfn.MINIFS(nrSCH_Date,nrSCH_ChNum,$C34)),""))</f>
        <v/>
      </c>
      <c r="J34" s="19">
        <f>IF($D34="","",IFERROR(IF(_xlfn.MAXIFS(nrSCH_Date,nrSCH_ChNum,$C34)=0,"",_xlfn.MAXIFS(nrSCH_Date,nrSCH_ChNum,$C34)),""))</f>
        <v/>
      </c>
      <c r="K34" s="16" t="n"/>
      <c r="L34" s="16" t="n"/>
      <c r="M34" s="16" t="n"/>
      <c r="N34" s="16" t="n"/>
      <c r="O34" s="16" t="n"/>
      <c r="P34" s="16" t="n"/>
      <c r="Q34" s="16" t="n"/>
      <c r="R34" s="16" t="n"/>
      <c r="S34" s="24" t="n"/>
      <c r="T34" s="16" t="n"/>
      <c r="U34" s="17">
        <f>IF($D34="","",IF(AND(COUNTIF(L34:P34,"On File")+COUNTIF(L34:P34,"N/A")=5,OR($Q34="On File",$Q34="N/A"),OR($S34="",$T34="Yes",$T34="N/A")),"Yes","No"))</f>
        <v/>
      </c>
    </row>
    <row r="35">
      <c r="B35" s="16" t="inlineStr">
        <is>
          <t>I</t>
        </is>
      </c>
      <c r="C35" s="29" t="inlineStr">
        <is>
          <t>29</t>
        </is>
      </c>
      <c r="D35" s="16" t="inlineStr">
        <is>
          <t>Crisis Intervention Training</t>
        </is>
      </c>
      <c r="E35" s="16" t="n">
        <v>40</v>
      </c>
      <c r="F35" s="16" t="n">
        <v>40</v>
      </c>
      <c r="G35" s="17">
        <f>IF($D35="","",ROUND(SUMIFS(nrSCH_Hrs,nrSCH_ChNum,$C35,nrSCH_TimeCheck,"OK"),2))</f>
        <v/>
      </c>
      <c r="H35" s="17">
        <f>IF($D35="","",IF($G35=0,"",$G35-$E35))</f>
        <v/>
      </c>
      <c r="I35" s="19">
        <f>IF($D35="","",IFERROR(IF(_xlfn.MINIFS(nrSCH_Date,nrSCH_ChNum,$C35)=0,"",_xlfn.MINIFS(nrSCH_Date,nrSCH_ChNum,$C35)),""))</f>
        <v/>
      </c>
      <c r="J35" s="19">
        <f>IF($D35="","",IFERROR(IF(_xlfn.MAXIFS(nrSCH_Date,nrSCH_ChNum,$C35)=0,"",_xlfn.MAXIFS(nrSCH_Date,nrSCH_ChNum,$C35)),""))</f>
        <v/>
      </c>
      <c r="K35" s="16" t="n"/>
      <c r="L35" s="16" t="n"/>
      <c r="M35" s="16" t="n"/>
      <c r="N35" s="16" t="n"/>
      <c r="O35" s="16" t="n"/>
      <c r="P35" s="16" t="n"/>
      <c r="Q35" s="16" t="n"/>
      <c r="R35" s="16" t="n"/>
      <c r="S35" s="24" t="inlineStr">
        <is>
          <t>Lead instructor: 2+ yrs as Mental Health Officer or CIT member</t>
        </is>
      </c>
      <c r="T35" s="16" t="n"/>
      <c r="U35" s="17">
        <f>IF($D35="","",IF(AND(COUNTIF(L35:P35,"On File")+COUNTIF(L35:P35,"N/A")=5,OR($Q35="On File",$Q35="N/A"),OR($S35="",$T35="Yes",$T35="N/A")),"Yes","No"))</f>
        <v/>
      </c>
    </row>
    <row r="36">
      <c r="B36" s="16" t="inlineStr">
        <is>
          <t>I</t>
        </is>
      </c>
      <c r="C36" s="29" t="inlineStr">
        <is>
          <t>30</t>
        </is>
      </c>
      <c r="D36" s="16" t="inlineStr">
        <is>
          <t>Traumatic Brain Injury</t>
        </is>
      </c>
      <c r="E36" s="16" t="n">
        <v>2</v>
      </c>
      <c r="F36" s="16" t="n">
        <v>2</v>
      </c>
      <c r="G36" s="17">
        <f>IF($D36="","",ROUND(SUMIFS(nrSCH_Hrs,nrSCH_ChNum,$C36,nrSCH_TimeCheck,"OK"),2))</f>
        <v/>
      </c>
      <c r="H36" s="17">
        <f>IF($D36="","",IF($G36=0,"",$G36-$E36))</f>
        <v/>
      </c>
      <c r="I36" s="19">
        <f>IF($D36="","",IFERROR(IF(_xlfn.MINIFS(nrSCH_Date,nrSCH_ChNum,$C36)=0,"",_xlfn.MINIFS(nrSCH_Date,nrSCH_ChNum,$C36)),""))</f>
        <v/>
      </c>
      <c r="J36" s="19">
        <f>IF($D36="","",IFERROR(IF(_xlfn.MAXIFS(nrSCH_Date,nrSCH_ChNum,$C36)=0,"",_xlfn.MAXIFS(nrSCH_Date,nrSCH_ChNum,$C36)),""))</f>
        <v/>
      </c>
      <c r="K36" s="16" t="n"/>
      <c r="L36" s="16" t="n"/>
      <c r="M36" s="16" t="n"/>
      <c r="N36" s="16" t="n"/>
      <c r="O36" s="16" t="n"/>
      <c r="P36" s="16" t="n"/>
      <c r="Q36" s="16" t="n"/>
      <c r="R36" s="16" t="n"/>
      <c r="S36" s="24" t="n"/>
      <c r="T36" s="16" t="n"/>
      <c r="U36" s="17">
        <f>IF($D36="","",IF(AND(COUNTIF(L36:P36,"On File")+COUNTIF(L36:P36,"N/A")=5,OR($Q36="On File",$Q36="N/A"),OR($S36="",$T36="Yes",$T36="N/A")),"Yes","No"))</f>
        <v/>
      </c>
    </row>
    <row r="37">
      <c r="B37" s="16" t="inlineStr">
        <is>
          <t>J</t>
        </is>
      </c>
      <c r="C37" s="29" t="inlineStr">
        <is>
          <t>31</t>
        </is>
      </c>
      <c r="D37" s="16" t="inlineStr">
        <is>
          <t>Arrest and Control</t>
        </is>
      </c>
      <c r="E37" s="16" t="n">
        <v>40</v>
      </c>
      <c r="F37" s="16" t="n">
        <v>48</v>
      </c>
      <c r="G37" s="17">
        <f>IF($D37="","",ROUND(SUMIFS(nrSCH_Hrs,nrSCH_ChNum,$C37,nrSCH_TimeCheck,"OK"),2))</f>
        <v/>
      </c>
      <c r="H37" s="17">
        <f>IF($D37="","",IF($G37=0,"",$G37-$E37))</f>
        <v/>
      </c>
      <c r="I37" s="19">
        <f>IF($D37="","",IFERROR(IF(_xlfn.MINIFS(nrSCH_Date,nrSCH_ChNum,$C37)=0,"",_xlfn.MINIFS(nrSCH_Date,nrSCH_ChNum,$C37)),""))</f>
        <v/>
      </c>
      <c r="J37" s="19">
        <f>IF($D37="","",IFERROR(IF(_xlfn.MAXIFS(nrSCH_Date,nrSCH_ChNum,$C37)=0,"",_xlfn.MAXIFS(nrSCH_Date,nrSCH_ChNum,$C37)),""))</f>
        <v/>
      </c>
      <c r="K37" s="16" t="n"/>
      <c r="L37" s="16" t="n"/>
      <c r="M37" s="16" t="n"/>
      <c r="N37" s="16" t="n"/>
      <c r="O37" s="16" t="n"/>
      <c r="P37" s="16" t="n"/>
      <c r="Q37" s="16" t="n"/>
      <c r="R37" s="16" t="n"/>
      <c r="S37" s="24" t="n"/>
      <c r="T37" s="16" t="n"/>
      <c r="U37" s="17">
        <f>IF($D37="","",IF(AND(COUNTIF(L37:P37,"On File")+COUNTIF(L37:P37,"N/A")=5,OR($Q37="On File",$Q37="N/A"),OR($S37="",$T37="Yes",$T37="N/A")),"Yes","No"))</f>
        <v/>
      </c>
    </row>
    <row r="38">
      <c r="B38" s="16" t="inlineStr">
        <is>
          <t>K</t>
        </is>
      </c>
      <c r="C38" s="29" t="inlineStr">
        <is>
          <t>32</t>
        </is>
      </c>
      <c r="D38" s="16" t="inlineStr">
        <is>
          <t>Criminal Investigations</t>
        </is>
      </c>
      <c r="E38" s="16" t="n">
        <v>40</v>
      </c>
      <c r="F38" s="16" t="n">
        <v>48</v>
      </c>
      <c r="G38" s="17">
        <f>IF($D38="","",ROUND(SUMIFS(nrSCH_Hrs,nrSCH_ChNum,$C38,nrSCH_TimeCheck,"OK"),2))</f>
        <v/>
      </c>
      <c r="H38" s="17">
        <f>IF($D38="","",IF($G38=0,"",$G38-$E38))</f>
        <v/>
      </c>
      <c r="I38" s="19">
        <f>IF($D38="","",IFERROR(IF(_xlfn.MINIFS(nrSCH_Date,nrSCH_ChNum,$C38)=0,"",_xlfn.MINIFS(nrSCH_Date,nrSCH_ChNum,$C38)),""))</f>
        <v/>
      </c>
      <c r="J38" s="19">
        <f>IF($D38="","",IFERROR(IF(_xlfn.MAXIFS(nrSCH_Date,nrSCH_ChNum,$C38)=0,"",_xlfn.MAXIFS(nrSCH_Date,nrSCH_ChNum,$C38)),""))</f>
        <v/>
      </c>
      <c r="K38" s="16" t="n"/>
      <c r="L38" s="16" t="n"/>
      <c r="M38" s="16" t="n"/>
      <c r="N38" s="16" t="n"/>
      <c r="O38" s="16" t="n"/>
      <c r="P38" s="16" t="n"/>
      <c r="Q38" s="16" t="n"/>
      <c r="R38" s="16" t="n"/>
      <c r="S38" s="24" t="inlineStr">
        <is>
          <t>Course 3232 Special Investigative Topics content (Occ. Code 1701.352)</t>
        </is>
      </c>
      <c r="T38" s="16" t="n"/>
      <c r="U38" s="17">
        <f>IF($D38="","",IF(AND(COUNTIF(L38:P38,"On File")+COUNTIF(L38:P38,"N/A")=5,OR($Q38="On File",$Q38="N/A"),OR($S38="",$T38="Yes",$T38="N/A")),"Yes","No"))</f>
        <v/>
      </c>
    </row>
    <row r="39">
      <c r="B39" s="16" t="inlineStr">
        <is>
          <t>K</t>
        </is>
      </c>
      <c r="C39" s="29" t="inlineStr">
        <is>
          <t>33</t>
        </is>
      </c>
      <c r="D39" s="16" t="inlineStr">
        <is>
          <t>Juvenile Offenders</t>
        </is>
      </c>
      <c r="E39" s="16" t="n">
        <v>10</v>
      </c>
      <c r="F39" s="16" t="n">
        <v>11</v>
      </c>
      <c r="G39" s="17">
        <f>IF($D39="","",ROUND(SUMIFS(nrSCH_Hrs,nrSCH_ChNum,$C39,nrSCH_TimeCheck,"OK"),2))</f>
        <v/>
      </c>
      <c r="H39" s="17">
        <f>IF($D39="","",IF($G39=0,"",$G39-$E39))</f>
        <v/>
      </c>
      <c r="I39" s="19">
        <f>IF($D39="","",IFERROR(IF(_xlfn.MINIFS(nrSCH_Date,nrSCH_ChNum,$C39)=0,"",_xlfn.MINIFS(nrSCH_Date,nrSCH_ChNum,$C39)),""))</f>
        <v/>
      </c>
      <c r="J39" s="19">
        <f>IF($D39="","",IFERROR(IF(_xlfn.MAXIFS(nrSCH_Date,nrSCH_ChNum,$C39)=0,"",_xlfn.MAXIFS(nrSCH_Date,nrSCH_ChNum,$C39)),""))</f>
        <v/>
      </c>
      <c r="K39" s="16" t="n"/>
      <c r="L39" s="16" t="n"/>
      <c r="M39" s="16" t="n"/>
      <c r="N39" s="16" t="n"/>
      <c r="O39" s="16" t="n"/>
      <c r="P39" s="16" t="n"/>
      <c r="Q39" s="16" t="n"/>
      <c r="R39" s="16" t="n"/>
      <c r="S39" s="24" t="n"/>
      <c r="T39" s="16" t="n"/>
      <c r="U39" s="17">
        <f>IF($D39="","",IF(AND(COUNTIF(L39:P39,"On File")+COUNTIF(L39:P39,"N/A")=5,OR($Q39="On File",$Q39="N/A"),OR($S39="",$T39="Yes",$T39="N/A")),"Yes","No"))</f>
        <v/>
      </c>
    </row>
    <row r="40">
      <c r="B40" s="16" t="inlineStr">
        <is>
          <t>L</t>
        </is>
      </c>
      <c r="C40" s="29" t="inlineStr">
        <is>
          <t>34</t>
        </is>
      </c>
      <c r="D40" s="16" t="inlineStr">
        <is>
          <t>Professional Police Driving</t>
        </is>
      </c>
      <c r="E40" s="16" t="n">
        <v>32</v>
      </c>
      <c r="F40" s="16" t="n">
        <v>51</v>
      </c>
      <c r="G40" s="17">
        <f>IF($D40="","",ROUND(SUMIFS(nrSCH_Hrs,nrSCH_ChNum,$C40,nrSCH_TimeCheck,"OK"),2))</f>
        <v/>
      </c>
      <c r="H40" s="17">
        <f>IF($D40="","",IF($G40=0,"",$G40-$E40))</f>
        <v/>
      </c>
      <c r="I40" s="19">
        <f>IF($D40="","",IFERROR(IF(_xlfn.MINIFS(nrSCH_Date,nrSCH_ChNum,$C40)=0,"",_xlfn.MINIFS(nrSCH_Date,nrSCH_ChNum,$C40)),""))</f>
        <v/>
      </c>
      <c r="J40" s="19">
        <f>IF($D40="","",IFERROR(IF(_xlfn.MAXIFS(nrSCH_Date,nrSCH_ChNum,$C40)=0,"",_xlfn.MAXIFS(nrSCH_Date,nrSCH_ChNum,$C40)),""))</f>
        <v/>
      </c>
      <c r="K40" s="16" t="n"/>
      <c r="L40" s="16" t="n"/>
      <c r="M40" s="16" t="n"/>
      <c r="N40" s="16" t="n"/>
      <c r="O40" s="16" t="n"/>
      <c r="P40" s="16" t="n"/>
      <c r="Q40" s="16" t="n"/>
      <c r="R40" s="16" t="n"/>
      <c r="S40" s="24" t="n"/>
      <c r="T40" s="16" t="n"/>
      <c r="U40" s="17">
        <f>IF($D40="","",IF(AND(COUNTIF(L40:P40,"On File")+COUNTIF(L40:P40,"N/A")=5,OR($Q40="On File",$Q40="N/A"),OR($S40="",$T40="Yes",$T40="N/A")),"Yes","No"))</f>
        <v/>
      </c>
    </row>
    <row r="41">
      <c r="B41" s="16" t="inlineStr">
        <is>
          <t>M</t>
        </is>
      </c>
      <c r="C41" s="29" t="inlineStr">
        <is>
          <t>35</t>
        </is>
      </c>
      <c r="D41" s="16" t="inlineStr">
        <is>
          <t>Patrol Skills/Traffic Stops</t>
        </is>
      </c>
      <c r="E41" s="16" t="n">
        <v>46</v>
      </c>
      <c r="F41" s="16" t="n">
        <v>62</v>
      </c>
      <c r="G41" s="17">
        <f>IF($D41="","",ROUND(SUMIFS(nrSCH_Hrs,nrSCH_ChNum,$C41,nrSCH_TimeCheck,"OK"),2))</f>
        <v/>
      </c>
      <c r="H41" s="17">
        <f>IF($D41="","",IF($G41=0,"",$G41-$E41))</f>
        <v/>
      </c>
      <c r="I41" s="19">
        <f>IF($D41="","",IFERROR(IF(_xlfn.MINIFS(nrSCH_Date,nrSCH_ChNum,$C41)=0,"",_xlfn.MINIFS(nrSCH_Date,nrSCH_ChNum,$C41)),""))</f>
        <v/>
      </c>
      <c r="J41" s="19">
        <f>IF($D41="","",IFERROR(IF(_xlfn.MAXIFS(nrSCH_Date,nrSCH_ChNum,$C41)=0,"",_xlfn.MAXIFS(nrSCH_Date,nrSCH_ChNum,$C41)),""))</f>
        <v/>
      </c>
      <c r="K41" s="16" t="n"/>
      <c r="L41" s="16" t="n"/>
      <c r="M41" s="16" t="n"/>
      <c r="N41" s="16" t="n"/>
      <c r="O41" s="16" t="n"/>
      <c r="P41" s="16" t="n"/>
      <c r="Q41" s="16" t="n"/>
      <c r="R41" s="16" t="n"/>
      <c r="S41" s="24" t="n"/>
      <c r="T41" s="16" t="n"/>
      <c r="U41" s="17">
        <f>IF($D41="","",IF(AND(COUNTIF(L41:P41,"On File")+COUNTIF(L41:P41,"N/A")=5,OR($Q41="On File",$Q41="N/A"),OR($S41="",$T41="Yes",$T41="N/A")),"Yes","No"))</f>
        <v/>
      </c>
    </row>
    <row r="42">
      <c r="B42" s="16" t="inlineStr">
        <is>
          <t>M</t>
        </is>
      </c>
      <c r="C42" s="29" t="inlineStr">
        <is>
          <t>36</t>
        </is>
      </c>
      <c r="D42" s="16" t="inlineStr">
        <is>
          <t>Radio Communications /Amber-Silver Alert / TCIC-TLETS</t>
        </is>
      </c>
      <c r="E42" s="16" t="n">
        <v>16</v>
      </c>
      <c r="F42" s="16" t="n">
        <v>16</v>
      </c>
      <c r="G42" s="17">
        <f>IF($D42="","",ROUND(SUMIFS(nrSCH_Hrs,nrSCH_ChNum,$C42,nrSCH_TimeCheck,"OK"),2))</f>
        <v/>
      </c>
      <c r="H42" s="17">
        <f>IF($D42="","",IF($G42=0,"",$G42-$E42))</f>
        <v/>
      </c>
      <c r="I42" s="19">
        <f>IF($D42="","",IFERROR(IF(_xlfn.MINIFS(nrSCH_Date,nrSCH_ChNum,$C42)=0,"",_xlfn.MINIFS(nrSCH_Date,nrSCH_ChNum,$C42)),""))</f>
        <v/>
      </c>
      <c r="J42" s="19">
        <f>IF($D42="","",IFERROR(IF(_xlfn.MAXIFS(nrSCH_Date,nrSCH_ChNum,$C42)=0,"",_xlfn.MAXIFS(nrSCH_Date,nrSCH_ChNum,$C42)),""))</f>
        <v/>
      </c>
      <c r="K42" s="16" t="n"/>
      <c r="L42" s="16" t="n"/>
      <c r="M42" s="16" t="n"/>
      <c r="N42" s="16" t="n"/>
      <c r="O42" s="16" t="n"/>
      <c r="P42" s="16" t="n"/>
      <c r="Q42" s="16" t="n"/>
      <c r="R42" s="16" t="n"/>
      <c r="S42" s="24" t="inlineStr">
        <is>
          <t>DPS NCIC/TCIC Course #4800 completed, DPS-approved trainers (not reported separately)</t>
        </is>
      </c>
      <c r="T42" s="16" t="n"/>
      <c r="U42" s="17">
        <f>IF($D42="","",IF(AND(COUNTIF(L42:P42,"On File")+COUNTIF(L42:P42,"N/A")=5,OR($Q42="On File",$Q42="N/A"),OR($S42="",$T42="Yes",$T42="N/A")),"Yes","No"))</f>
        <v/>
      </c>
    </row>
    <row r="43">
      <c r="B43" s="16" t="inlineStr">
        <is>
          <t>M</t>
        </is>
      </c>
      <c r="C43" s="29" t="inlineStr">
        <is>
          <t>37</t>
        </is>
      </c>
      <c r="D43" s="16" t="inlineStr">
        <is>
          <t>Civilian Interaction Training</t>
        </is>
      </c>
      <c r="E43" s="16" t="n">
        <v>2</v>
      </c>
      <c r="F43" s="16" t="n">
        <v>2</v>
      </c>
      <c r="G43" s="17">
        <f>IF($D43="","",ROUND(SUMIFS(nrSCH_Hrs,nrSCH_ChNum,$C43,nrSCH_TimeCheck,"OK"),2))</f>
        <v/>
      </c>
      <c r="H43" s="17">
        <f>IF($D43="","",IF($G43=0,"",$G43-$E43))</f>
        <v/>
      </c>
      <c r="I43" s="19">
        <f>IF($D43="","",IFERROR(IF(_xlfn.MINIFS(nrSCH_Date,nrSCH_ChNum,$C43)=0,"",_xlfn.MINIFS(nrSCH_Date,nrSCH_ChNum,$C43)),""))</f>
        <v/>
      </c>
      <c r="J43" s="19">
        <f>IF($D43="","",IFERROR(IF(_xlfn.MAXIFS(nrSCH_Date,nrSCH_ChNum,$C43)=0,"",_xlfn.MAXIFS(nrSCH_Date,nrSCH_ChNum,$C43)),""))</f>
        <v/>
      </c>
      <c r="K43" s="16" t="n"/>
      <c r="L43" s="16" t="n"/>
      <c r="M43" s="16" t="n"/>
      <c r="N43" s="16" t="n"/>
      <c r="O43" s="16" t="n"/>
      <c r="P43" s="16" t="n"/>
      <c r="Q43" s="16" t="n"/>
      <c r="R43" s="16" t="n"/>
      <c r="S43" s="24" t="inlineStr">
        <is>
          <t>Seven Step Violator Contact method must be taught</t>
        </is>
      </c>
      <c r="T43" s="16" t="n"/>
      <c r="U43" s="17">
        <f>IF($D43="","",IF(AND(COUNTIF(L43:P43,"On File")+COUNTIF(L43:P43,"N/A")=5,OR($Q43="On File",$Q43="N/A"),OR($S43="",$T43="Yes",$T43="N/A")),"Yes","No"))</f>
        <v/>
      </c>
    </row>
    <row r="44">
      <c r="B44" s="16" t="inlineStr">
        <is>
          <t>M</t>
        </is>
      </c>
      <c r="C44" s="29" t="inlineStr">
        <is>
          <t>38</t>
        </is>
      </c>
      <c r="D44" s="16" t="inlineStr">
        <is>
          <t>Interacting with Deaf and Hard of Hearing</t>
        </is>
      </c>
      <c r="E44" s="16" t="n">
        <v>4</v>
      </c>
      <c r="F44" s="16" t="n">
        <v>4</v>
      </c>
      <c r="G44" s="17">
        <f>IF($D44="","",ROUND(SUMIFS(nrSCH_Hrs,nrSCH_ChNum,$C44,nrSCH_TimeCheck,"OK"),2))</f>
        <v/>
      </c>
      <c r="H44" s="17">
        <f>IF($D44="","",IF($G44=0,"",$G44-$E44))</f>
        <v/>
      </c>
      <c r="I44" s="19">
        <f>IF($D44="","",IFERROR(IF(_xlfn.MINIFS(nrSCH_Date,nrSCH_ChNum,$C44)=0,"",_xlfn.MINIFS(nrSCH_Date,nrSCH_ChNum,$C44)),""))</f>
        <v/>
      </c>
      <c r="J44" s="19">
        <f>IF($D44="","",IFERROR(IF(_xlfn.MAXIFS(nrSCH_Date,nrSCH_ChNum,$C44)=0,"",_xlfn.MAXIFS(nrSCH_Date,nrSCH_ChNum,$C44)),""))</f>
        <v/>
      </c>
      <c r="K44" s="16" t="n"/>
      <c r="L44" s="16" t="n"/>
      <c r="M44" s="16" t="n"/>
      <c r="N44" s="16" t="n"/>
      <c r="O44" s="16" t="n"/>
      <c r="P44" s="16" t="n"/>
      <c r="Q44" s="16" t="n"/>
      <c r="R44" s="16" t="n"/>
      <c r="S44" s="24" t="n"/>
      <c r="T44" s="16" t="n"/>
      <c r="U44" s="17">
        <f>IF($D44="","",IF(AND(COUNTIF(L44:P44,"On File")+COUNTIF(L44:P44,"N/A")=5,OR($Q44="On File",$Q44="N/A"),OR($S44="",$T44="Yes",$T44="N/A")),"Yes","No"))</f>
        <v/>
      </c>
    </row>
    <row r="45">
      <c r="B45" s="16" t="inlineStr">
        <is>
          <t>M</t>
        </is>
      </c>
      <c r="C45" s="29" t="inlineStr">
        <is>
          <t>39</t>
        </is>
      </c>
      <c r="D45" s="16" t="inlineStr">
        <is>
          <t>Canine Encounters</t>
        </is>
      </c>
      <c r="E45" s="16" t="n">
        <v>4</v>
      </c>
      <c r="F45" s="16" t="n">
        <v>4</v>
      </c>
      <c r="G45" s="17">
        <f>IF($D45="","",ROUND(SUMIFS(nrSCH_Hrs,nrSCH_ChNum,$C45,nrSCH_TimeCheck,"OK"),2))</f>
        <v/>
      </c>
      <c r="H45" s="17">
        <f>IF($D45="","",IF($G45=0,"",$G45-$E45))</f>
        <v/>
      </c>
      <c r="I45" s="19">
        <f>IF($D45="","",IFERROR(IF(_xlfn.MINIFS(nrSCH_Date,nrSCH_ChNum,$C45)=0,"",_xlfn.MINIFS(nrSCH_Date,nrSCH_ChNum,$C45)),""))</f>
        <v/>
      </c>
      <c r="J45" s="19">
        <f>IF($D45="","",IFERROR(IF(_xlfn.MAXIFS(nrSCH_Date,nrSCH_ChNum,$C45)=0,"",_xlfn.MAXIFS(nrSCH_Date,nrSCH_ChNum,$C45)),""))</f>
        <v/>
      </c>
      <c r="K45" s="16" t="n"/>
      <c r="L45" s="16" t="n"/>
      <c r="M45" s="16" t="n"/>
      <c r="N45" s="16" t="n"/>
      <c r="O45" s="16" t="n"/>
      <c r="P45" s="16" t="n"/>
      <c r="Q45" s="16" t="n"/>
      <c r="R45" s="16" t="n"/>
      <c r="S45" s="24" t="inlineStr">
        <is>
          <t>Practical role-play scenarios required for LOs 39.14/39.16/39.18/39.22</t>
        </is>
      </c>
      <c r="T45" s="16" t="n"/>
      <c r="U45" s="17">
        <f>IF($D45="","",IF(AND(COUNTIF(L45:P45,"On File")+COUNTIF(L45:P45,"N/A")=5,OR($Q45="On File",$Q45="N/A"),OR($S45="",$T45="Yes",$T45="N/A")),"Yes","No"))</f>
        <v/>
      </c>
    </row>
    <row r="46">
      <c r="B46" s="16" t="inlineStr">
        <is>
          <t>N</t>
        </is>
      </c>
      <c r="C46" s="29" t="inlineStr">
        <is>
          <t>40</t>
        </is>
      </c>
      <c r="D46" s="16" t="inlineStr">
        <is>
          <t>Emergency Medical Assistance</t>
        </is>
      </c>
      <c r="E46" s="16" t="n">
        <v>16</v>
      </c>
      <c r="F46" s="16" t="n">
        <v>16</v>
      </c>
      <c r="G46" s="17">
        <f>IF($D46="","",ROUND(SUMIFS(nrSCH_Hrs,nrSCH_ChNum,$C46,nrSCH_TimeCheck,"OK"),2))</f>
        <v/>
      </c>
      <c r="H46" s="17">
        <f>IF($D46="","",IF($G46=0,"",$G46-$E46))</f>
        <v/>
      </c>
      <c r="I46" s="19">
        <f>IF($D46="","",IFERROR(IF(_xlfn.MINIFS(nrSCH_Date,nrSCH_ChNum,$C46)=0,"",_xlfn.MINIFS(nrSCH_Date,nrSCH_ChNum,$C46)),""))</f>
        <v/>
      </c>
      <c r="J46" s="19">
        <f>IF($D46="","",IFERROR(IF(_xlfn.MAXIFS(nrSCH_Date,nrSCH_ChNum,$C46)=0,"",_xlfn.MAXIFS(nrSCH_Date,nrSCH_ChNum,$C46)),""))</f>
        <v/>
      </c>
      <c r="K46" s="16" t="n"/>
      <c r="L46" s="16" t="n"/>
      <c r="M46" s="16" t="n"/>
      <c r="N46" s="16" t="n"/>
      <c r="O46" s="16" t="n"/>
      <c r="P46" s="16" t="n"/>
      <c r="Q46" s="16" t="n"/>
      <c r="R46" s="16" t="n"/>
      <c r="S46" s="24" t="inlineStr">
        <is>
          <t>Full nationally accredited CPR/AED course (AHA Heartsaver or ARC) incl. Adult/Child/Infant</t>
        </is>
      </c>
      <c r="T46" s="16" t="n"/>
      <c r="U46" s="17">
        <f>IF($D46="","",IF(AND(COUNTIF(L46:P46,"On File")+COUNTIF(L46:P46,"N/A")=5,OR($Q46="On File",$Q46="N/A"),OR($S46="",$T46="Yes",$T46="N/A")),"Yes","No"))</f>
        <v/>
      </c>
    </row>
    <row r="47">
      <c r="B47" s="16" t="inlineStr">
        <is>
          <t>O</t>
        </is>
      </c>
      <c r="C47" s="29" t="inlineStr">
        <is>
          <t>41</t>
        </is>
      </c>
      <c r="D47" s="16" t="inlineStr">
        <is>
          <t>Firearms</t>
        </is>
      </c>
      <c r="E47" s="16" t="n">
        <v>48</v>
      </c>
      <c r="F47" s="16" t="n">
        <v>48</v>
      </c>
      <c r="G47" s="17">
        <f>IF($D47="","",ROUND(SUMIFS(nrSCH_Hrs,nrSCH_ChNum,$C47,nrSCH_TimeCheck,"OK"),2))</f>
        <v/>
      </c>
      <c r="H47" s="17">
        <f>IF($D47="","",IF($G47=0,"",$G47-$E47))</f>
        <v/>
      </c>
      <c r="I47" s="19">
        <f>IF($D47="","",IFERROR(IF(_xlfn.MINIFS(nrSCH_Date,nrSCH_ChNum,$C47)=0,"",_xlfn.MINIFS(nrSCH_Date,nrSCH_ChNum,$C47)),""))</f>
        <v/>
      </c>
      <c r="J47" s="19">
        <f>IF($D47="","",IFERROR(IF(_xlfn.MAXIFS(nrSCH_Date,nrSCH_ChNum,$C47)=0,"",_xlfn.MAXIFS(nrSCH_Date,nrSCH_ChNum,$C47)),""))</f>
        <v/>
      </c>
      <c r="K47" s="16" t="n"/>
      <c r="L47" s="16" t="n"/>
      <c r="M47" s="16" t="n"/>
      <c r="N47" s="16" t="n"/>
      <c r="O47" s="16" t="n"/>
      <c r="P47" s="16" t="n"/>
      <c r="Q47" s="16" t="n"/>
      <c r="R47" s="16" t="n"/>
      <c r="S47" s="24" t="inlineStr">
        <is>
          <t>48-hr minimum; 70% minimum on BOTH courses of fire</t>
        </is>
      </c>
      <c r="T47" s="16" t="n"/>
      <c r="U47" s="17">
        <f>IF($D47="","",IF(AND(COUNTIF(L47:P47,"On File")+COUNTIF(L47:P47,"N/A")=5,OR($Q47="On File",$Q47="N/A"),OR($S47="",$T47="Yes",$T47="N/A")),"Yes","No"))</f>
        <v/>
      </c>
    </row>
    <row r="48">
      <c r="B48" s="16" t="inlineStr">
        <is>
          <t>P</t>
        </is>
      </c>
      <c r="C48" s="29" t="inlineStr">
        <is>
          <t>42</t>
        </is>
      </c>
      <c r="D48" s="16" t="inlineStr">
        <is>
          <t>HazMat Awareness / ICS</t>
        </is>
      </c>
      <c r="E48" s="16" t="n">
        <v>4</v>
      </c>
      <c r="F48" s="16" t="n">
        <v>4</v>
      </c>
      <c r="G48" s="17">
        <f>IF($D48="","",ROUND(SUMIFS(nrSCH_Hrs,nrSCH_ChNum,$C48,nrSCH_TimeCheck,"OK"),2))</f>
        <v/>
      </c>
      <c r="H48" s="17">
        <f>IF($D48="","",IF($G48=0,"",$G48-$E48))</f>
        <v/>
      </c>
      <c r="I48" s="19">
        <f>IF($D48="","",IFERROR(IF(_xlfn.MINIFS(nrSCH_Date,nrSCH_ChNum,$C48)=0,"",_xlfn.MINIFS(nrSCH_Date,nrSCH_ChNum,$C48)),""))</f>
        <v/>
      </c>
      <c r="J48" s="19">
        <f>IF($D48="","",IFERROR(IF(_xlfn.MAXIFS(nrSCH_Date,nrSCH_ChNum,$C48)=0,"",_xlfn.MAXIFS(nrSCH_Date,nrSCH_ChNum,$C48)),""))</f>
        <v/>
      </c>
      <c r="K48" s="16" t="n"/>
      <c r="L48" s="16" t="n"/>
      <c r="M48" s="16" t="n"/>
      <c r="N48" s="16" t="n"/>
      <c r="O48" s="16" t="n"/>
      <c r="P48" s="16" t="n"/>
      <c r="Q48" s="16" t="n"/>
      <c r="R48" s="16" t="n"/>
      <c r="S48" s="24" t="n"/>
      <c r="T48" s="16" t="n"/>
      <c r="U48" s="17">
        <f>IF($D48="","",IF(AND(COUNTIF(L48:P48,"On File")+COUNTIF(L48:P48,"N/A")=5,OR($Q48="On File",$Q48="N/A"),OR($S48="",$T48="Yes",$T48="N/A")),"Yes","No"))</f>
        <v/>
      </c>
    </row>
    <row r="49">
      <c r="B49" s="16" t="inlineStr">
        <is>
          <t>Q</t>
        </is>
      </c>
      <c r="C49" s="29" t="inlineStr">
        <is>
          <t>43</t>
        </is>
      </c>
      <c r="D49" s="16" t="inlineStr">
        <is>
          <t>ALERRT Level 1</t>
        </is>
      </c>
      <c r="E49" s="16" t="n">
        <v>16</v>
      </c>
      <c r="F49" s="16" t="n">
        <v>16</v>
      </c>
      <c r="G49" s="17">
        <f>IF($D49="","",ROUND(SUMIFS(nrSCH_Hrs,nrSCH_ChNum,$C49,nrSCH_TimeCheck,"OK"),2))</f>
        <v/>
      </c>
      <c r="H49" s="17">
        <f>IF($D49="","",IF($G49=0,"",$G49-$E49))</f>
        <v/>
      </c>
      <c r="I49" s="19">
        <f>IF($D49="","",IFERROR(IF(_xlfn.MINIFS(nrSCH_Date,nrSCH_ChNum,$C49)=0,"",_xlfn.MINIFS(nrSCH_Date,nrSCH_ChNum,$C49)),""))</f>
        <v/>
      </c>
      <c r="J49" s="19">
        <f>IF($D49="","",IFERROR(IF(_xlfn.MAXIFS(nrSCH_Date,nrSCH_ChNum,$C49)=0,"",_xlfn.MAXIFS(nrSCH_Date,nrSCH_ChNum,$C49)),""))</f>
        <v/>
      </c>
      <c r="K49" s="16" t="n"/>
      <c r="L49" s="16" t="n"/>
      <c r="M49" s="16" t="n"/>
      <c r="N49" s="16" t="n"/>
      <c r="O49" s="16" t="n"/>
      <c r="P49" s="16" t="n"/>
      <c r="Q49" s="16" t="n"/>
      <c r="R49" s="16" t="n"/>
      <c r="S49" s="24" t="inlineStr">
        <is>
          <t>ALERRT Level 1 (16 hrs, SB 1852) by certified ALERRT instructors (TtT 3315 + current cert)</t>
        </is>
      </c>
      <c r="T49" s="16" t="n"/>
      <c r="U49" s="17">
        <f>IF($D49="","",IF(AND(COUNTIF(L49:P49,"On File")+COUNTIF(L49:P49,"N/A")=5,OR($Q49="On File",$Q49="N/A"),OR($S49="",$T49="Yes",$T49="N/A")),"Yes","No"))</f>
        <v/>
      </c>
    </row>
    <row r="50">
      <c r="B50" s="16" t="inlineStr">
        <is>
          <t>R</t>
        </is>
      </c>
      <c r="C50" s="29" t="inlineStr">
        <is>
          <t>EOC</t>
        </is>
      </c>
      <c r="D50" s="16" t="inlineStr">
        <is>
          <t>End of Course Review</t>
        </is>
      </c>
      <c r="E50" s="16" t="n">
        <v>2</v>
      </c>
      <c r="F50" s="16" t="n">
        <v>2</v>
      </c>
      <c r="G50" s="17">
        <f>IF($D50="","",ROUND(SUMIFS(nrSCH_Hrs,nrSCH_ChNum,$C50,nrSCH_TimeCheck,"OK"),2))</f>
        <v/>
      </c>
      <c r="H50" s="17">
        <f>IF($D50="","",IF($G50=0,"",$G50-$E50))</f>
        <v/>
      </c>
      <c r="I50" s="19">
        <f>IF($D50="","",IFERROR(IF(_xlfn.MINIFS(nrSCH_Date,nrSCH_ChNum,$C50)=0,"",_xlfn.MINIFS(nrSCH_Date,nrSCH_ChNum,$C50)),""))</f>
        <v/>
      </c>
      <c r="J50" s="19">
        <f>IF($D50="","",IFERROR(IF(_xlfn.MAXIFS(nrSCH_Date,nrSCH_ChNum,$C50)=0,"",_xlfn.MAXIFS(nrSCH_Date,nrSCH_ChNum,$C50)),""))</f>
        <v/>
      </c>
      <c r="K50" s="16" t="n"/>
      <c r="L50" s="16" t="n"/>
      <c r="M50" s="16" t="n"/>
      <c r="N50" s="16" t="n"/>
      <c r="O50" s="16" t="n"/>
      <c r="P50" s="16" t="n"/>
      <c r="Q50" s="16" t="n"/>
      <c r="R50" s="16" t="n"/>
      <c r="S50" s="24" t="n"/>
      <c r="T50" s="16" t="n"/>
      <c r="U50" s="17">
        <f>IF($D50="","",IF(AND(COUNTIF(L50:P50,"On File")+COUNTIF(L50:P50,"N/A")=5,OR($Q50="On File",$Q50="N/A"),OR($S50="",$T50="Yes",$T50="N/A")),"Yes","No"))</f>
        <v/>
      </c>
    </row>
    <row r="52">
      <c r="D52" s="3" t="inlineStr">
        <is>
          <t>Totals:</t>
        </is>
      </c>
      <c r="E52" s="21">
        <f>SUM(E6:E50)</f>
        <v/>
      </c>
      <c r="F52" s="21">
        <f>SUM(F6:F50)</f>
        <v/>
      </c>
      <c r="G52" s="21">
        <f>SUM(G6:G50)</f>
        <v/>
      </c>
    </row>
    <row r="53">
      <c r="D53" s="3" t="inlineStr">
        <is>
          <t>Required TCOLE hours (exact):</t>
        </is>
      </c>
      <c r="E53" s="21" t="n">
        <v>736</v>
      </c>
      <c r="F53" s="2" t="inlineStr">
        <is>
          <t>Report the BPOC at exactly 736; excess goes to Addendum course #101</t>
        </is>
      </c>
    </row>
    <row r="54" ht="44" customHeight="1">
      <c r="D54" s="15">
        <f>IF((N(cfgRequiredHours)-SUM(E6:E50))=0,"Per-chapter TCOLE minimums total exactly "&amp;TEXT(SUM(E6:E50),"0.##")&amp;" hrs - the full reported course length.","NOTE: the per-chapter TCOLE minimums above total "&amp;TEXT(SUM(E6:E50),"0.##")&amp;" hrs, not the "&amp;N(cfgRequiredHours)&amp;" hrs the BPOC is reported at. The "&amp;TEXT((N(cfgRequiredHours)-SUM(E6:E50)),"0.##")&amp;"-hr difference means a line on the TCOLE hours table is missing from or miskeyed in this column. Check it against the IRG hours table (Instructor Resource Guide, ""0. Abstract"", final pages) - note that Module R, End of Course Review (2 hrs), is listed there WITHOUT a chapter number and is easy to drop. This is a gap in the MINIMUMS column only - it does not change delivered hours or the exactly-"&amp;N(cfgRequiredHours)&amp;"-hour report, but resolve it before submission.")</f>
        <v/>
      </c>
    </row>
    <row r="55" ht="16" customHeight="1">
      <c r="B55" s="7" t="inlineStr">
        <is>
          <t>TPD sub-classes — schedule by THESE names; hours roll up to the parent TCOLE chapter</t>
        </is>
      </c>
    </row>
    <row r="56" ht="26" customHeight="1">
      <c r="B56" s="12" t="inlineStr">
        <is>
          <t>Sub-class</t>
        </is>
      </c>
      <c r="C56" s="25" t="n"/>
      <c r="D56" s="23" t="n"/>
      <c r="E56" s="12" t="inlineStr">
        <is>
          <t>Parent Ch #</t>
        </is>
      </c>
      <c r="F56" s="12" t="inlineStr">
        <is>
          <t>TPD Target Hrs</t>
        </is>
      </c>
      <c r="G56" s="12" t="inlineStr">
        <is>
          <t>Delivered Hrs</t>
        </is>
      </c>
      <c r="H56" s="12" t="inlineStr">
        <is>
          <t>vs Target</t>
        </is>
      </c>
    </row>
    <row r="57">
      <c r="B57" s="16" t="inlineStr">
        <is>
          <t>Traffic Code</t>
        </is>
      </c>
      <c r="C57" s="45" t="n"/>
      <c r="D57" s="44" t="n"/>
      <c r="E57" s="29" t="inlineStr">
        <is>
          <t>22</t>
        </is>
      </c>
      <c r="F57" s="16" t="n">
        <v>50</v>
      </c>
      <c r="G57" s="17">
        <f>IF($B57="","",ROUND(SUMIFS(nrSCH_Hrs,nrSCH_Act,$B57,nrSCH_TimeCheck,"OK"),2))</f>
        <v/>
      </c>
      <c r="H57" s="17">
        <f>IF(OR($B57="",$G57=0),"",ROUND($G57-$F57,2))</f>
        <v/>
      </c>
    </row>
    <row r="58">
      <c r="B58" s="16" t="inlineStr">
        <is>
          <t>Crash Investigation</t>
        </is>
      </c>
      <c r="C58" s="45" t="n"/>
      <c r="D58" s="44" t="n"/>
      <c r="E58" s="29" t="inlineStr">
        <is>
          <t>22</t>
        </is>
      </c>
      <c r="F58" s="16" t="n">
        <v>12</v>
      </c>
      <c r="G58" s="17">
        <f>IF($B58="","",ROUND(SUMIFS(nrSCH_Hrs,nrSCH_Act,$B58,nrSCH_TimeCheck,"OK"),2))</f>
        <v/>
      </c>
      <c r="H58" s="17">
        <f>IF(OR($B58="",$G58=0),"",ROUND($G58-$F58,2))</f>
        <v/>
      </c>
    </row>
    <row r="59">
      <c r="B59" s="16" t="inlineStr">
        <is>
          <t>TIM</t>
        </is>
      </c>
      <c r="C59" s="45" t="n"/>
      <c r="D59" s="44" t="n"/>
      <c r="E59" s="29" t="inlineStr">
        <is>
          <t>22</t>
        </is>
      </c>
      <c r="F59" s="16" t="n">
        <v>12</v>
      </c>
      <c r="G59" s="17">
        <f>IF($B59="","",ROUND(SUMIFS(nrSCH_Hrs,nrSCH_Act,$B59,nrSCH_TimeCheck,"OK"),2))</f>
        <v/>
      </c>
      <c r="H59" s="17">
        <f>IF(OR($B59="",$G59=0),"",ROUND($G59-$F59,2))</f>
        <v/>
      </c>
    </row>
    <row r="60">
      <c r="B60" s="16" t="inlineStr">
        <is>
          <t>Criminal Investigations - General Investigations</t>
        </is>
      </c>
      <c r="C60" s="45" t="n"/>
      <c r="D60" s="44" t="n"/>
      <c r="E60" s="29" t="inlineStr">
        <is>
          <t>32</t>
        </is>
      </c>
      <c r="F60" s="16" t="n">
        <v>16</v>
      </c>
      <c r="G60" s="17">
        <f>IF($B60="","",ROUND(SUMIFS(nrSCH_Hrs,nrSCH_Act,$B60,nrSCH_TimeCheck,"OK"),2))</f>
        <v/>
      </c>
      <c r="H60" s="17">
        <f>IF(OR($B60="",$G60=0),"",ROUND($G60-$F60,2))</f>
        <v/>
      </c>
    </row>
    <row r="61">
      <c r="B61" s="16" t="inlineStr">
        <is>
          <t>Criminal Investigations - Auto Theft</t>
        </is>
      </c>
      <c r="C61" s="45" t="n"/>
      <c r="D61" s="44" t="n"/>
      <c r="E61" s="29" t="inlineStr">
        <is>
          <t>32</t>
        </is>
      </c>
      <c r="F61" s="16" t="n">
        <v>4</v>
      </c>
      <c r="G61" s="17">
        <f>IF($B61="","",ROUND(SUMIFS(nrSCH_Hrs,nrSCH_Act,$B61,nrSCH_TimeCheck,"OK"),2))</f>
        <v/>
      </c>
      <c r="H61" s="17">
        <f>IF(OR($B61="",$G61=0),"",ROUND($G61-$F61,2))</f>
        <v/>
      </c>
    </row>
    <row r="62">
      <c r="B62" s="16" t="inlineStr">
        <is>
          <t>Criminal Investigations - Crime Scene</t>
        </is>
      </c>
      <c r="C62" s="45" t="n"/>
      <c r="D62" s="44" t="n"/>
      <c r="E62" s="29" t="inlineStr">
        <is>
          <t>32</t>
        </is>
      </c>
      <c r="F62" s="16" t="n">
        <v>8</v>
      </c>
      <c r="G62" s="17">
        <f>IF($B62="","",ROUND(SUMIFS(nrSCH_Hrs,nrSCH_Act,$B62,nrSCH_TimeCheck,"OK"),2))</f>
        <v/>
      </c>
      <c r="H62" s="17">
        <f>IF(OR($B62="",$G62=0),"",ROUND($G62-$F62,2))</f>
        <v/>
      </c>
    </row>
    <row r="63">
      <c r="B63" s="16" t="inlineStr">
        <is>
          <t>Criminal Investigations - Booking Operations</t>
        </is>
      </c>
      <c r="C63" s="45" t="n"/>
      <c r="D63" s="44" t="n"/>
      <c r="E63" s="29" t="inlineStr">
        <is>
          <t>32</t>
        </is>
      </c>
      <c r="F63" s="16" t="n">
        <v>8</v>
      </c>
      <c r="G63" s="17">
        <f>IF($B63="","",ROUND(SUMIFS(nrSCH_Hrs,nrSCH_Act,$B63,nrSCH_TimeCheck,"OK"),2))</f>
        <v/>
      </c>
      <c r="H63" s="17">
        <f>IF(OR($B63="",$G63=0),"",ROUND($G63-$F63,2))</f>
        <v/>
      </c>
    </row>
    <row r="64">
      <c r="B64" s="16" t="inlineStr">
        <is>
          <t>Criminal Investigations - Interview Techniques</t>
        </is>
      </c>
      <c r="C64" s="45" t="n"/>
      <c r="D64" s="44" t="n"/>
      <c r="E64" s="29" t="inlineStr">
        <is>
          <t>32</t>
        </is>
      </c>
      <c r="F64" s="16" t="n">
        <v>4</v>
      </c>
      <c r="G64" s="17">
        <f>IF($B64="","",ROUND(SUMIFS(nrSCH_Hrs,nrSCH_Act,$B64,nrSCH_TimeCheck,"OK"),2))</f>
        <v/>
      </c>
      <c r="H64" s="17">
        <f>IF(OR($B64="",$G64=0),"",ROUND($G64-$F64,2))</f>
        <v/>
      </c>
    </row>
    <row r="65">
      <c r="B65" s="16" t="inlineStr">
        <is>
          <t>Criminal Investigations - Case Management</t>
        </is>
      </c>
      <c r="C65" s="45" t="n"/>
      <c r="D65" s="44" t="n"/>
      <c r="E65" s="29" t="inlineStr">
        <is>
          <t>32</t>
        </is>
      </c>
      <c r="F65" s="16" t="n">
        <v>4</v>
      </c>
      <c r="G65" s="17">
        <f>IF($B65="","",ROUND(SUMIFS(nrSCH_Hrs,nrSCH_Act,$B65,nrSCH_TimeCheck,"OK"),2))</f>
        <v/>
      </c>
      <c r="H65" s="17">
        <f>IF(OR($B65="",$G65=0),"",ROUND($G65-$F65,2))</f>
        <v/>
      </c>
    </row>
    <row r="66">
      <c r="B66" s="16" t="inlineStr">
        <is>
          <t>Criminal Investigations - Media Relations</t>
        </is>
      </c>
      <c r="C66" s="45" t="n"/>
      <c r="D66" s="44" t="n"/>
      <c r="E66" s="29" t="inlineStr">
        <is>
          <t>32</t>
        </is>
      </c>
      <c r="F66" s="16" t="n">
        <v>4</v>
      </c>
      <c r="G66" s="17">
        <f>IF($B66="","",ROUND(SUMIFS(nrSCH_Hrs,nrSCH_Act,$B66,nrSCH_TimeCheck,"OK"),2))</f>
        <v/>
      </c>
      <c r="H66" s="17">
        <f>IF(OR($B66="",$G66=0),"",ROUND($G66-$F66,2))</f>
        <v/>
      </c>
    </row>
    <row r="67">
      <c r="B67" s="16" t="n"/>
      <c r="C67" s="45" t="n"/>
      <c r="D67" s="44" t="n"/>
      <c r="E67" s="29" t="n"/>
      <c r="F67" s="16" t="n"/>
      <c r="G67" s="21">
        <f>IF($B67="","",ROUND(SUMIFS(nrSCH_Hrs,nrSCH_Act,$B67,nrSCH_TimeCheck,"OK"),2))</f>
        <v/>
      </c>
      <c r="H67" s="21">
        <f>IF(OR($B67="",$G67=0),"",ROUND($G67-$F67,2))</f>
        <v/>
      </c>
    </row>
    <row r="68">
      <c r="B68" s="16" t="n"/>
      <c r="C68" s="45" t="n"/>
      <c r="D68" s="44" t="n"/>
      <c r="E68" s="29" t="n"/>
      <c r="F68" s="16" t="n"/>
      <c r="G68" s="21">
        <f>IF($B68="","",ROUND(SUMIFS(nrSCH_Hrs,nrSCH_Act,$B68,nrSCH_TimeCheck,"OK"),2))</f>
        <v/>
      </c>
      <c r="H68" s="21">
        <f>IF(OR($B68="",$G68=0),"",ROUND($G68-$F68,2))</f>
        <v/>
      </c>
    </row>
    <row r="69">
      <c r="B69" s="16" t="n"/>
      <c r="C69" s="45" t="n"/>
      <c r="D69" s="44" t="n"/>
      <c r="E69" s="29" t="n"/>
      <c r="F69" s="16" t="n"/>
      <c r="G69" s="21">
        <f>IF($B69="","",ROUND(SUMIFS(nrSCH_Hrs,nrSCH_Act,$B69,nrSCH_TimeCheck,"OK"),2))</f>
        <v/>
      </c>
      <c r="H69" s="21">
        <f>IF(OR($B69="",$G69=0),"",ROUND($G69-$F69,2))</f>
        <v/>
      </c>
    </row>
    <row r="70">
      <c r="B70" s="16" t="n"/>
      <c r="C70" s="45" t="n"/>
      <c r="D70" s="44" t="n"/>
      <c r="E70" s="29" t="n"/>
      <c r="F70" s="16" t="n"/>
      <c r="G70" s="21">
        <f>IF($B70="","",ROUND(SUMIFS(nrSCH_Hrs,nrSCH_Act,$B70,nrSCH_TimeCheck,"OK"),2))</f>
        <v/>
      </c>
      <c r="H70" s="21">
        <f>IF(OR($B70="",$G70=0),"",ROUND($G70-$F70,2))</f>
        <v/>
      </c>
    </row>
    <row r="71">
      <c r="B71" s="16" t="n"/>
      <c r="C71" s="45" t="n"/>
      <c r="D71" s="44" t="n"/>
      <c r="E71" s="29" t="n"/>
      <c r="F71" s="16" t="n"/>
      <c r="G71" s="21">
        <f>IF($B71="","",ROUND(SUMIFS(nrSCH_Hrs,nrSCH_Act,$B71,nrSCH_TimeCheck,"OK"),2))</f>
        <v/>
      </c>
      <c r="H71" s="21">
        <f>IF(OR($B71="",$G71=0),"",ROUND($G71-$F71,2))</f>
        <v/>
      </c>
    </row>
  </sheetData>
  <sheetProtection selectLockedCells="0" selectUnlockedCells="0" sheet="1" objects="0" insertRows="1" insertHyperlinks="1" autoFilter="0" scenarios="0" formatColumns="1" deleteColumns="1" insertColumns="1" pivotTables="1" deleteRows="1" formatCells="1" formatRows="1" sort="1" password="B4BB"/>
  <mergeCells count="18">
    <mergeCell ref="B59:D59"/>
    <mergeCell ref="B60:D60"/>
    <mergeCell ref="B66:D66"/>
    <mergeCell ref="B67:D67"/>
    <mergeCell ref="B63:D63"/>
    <mergeCell ref="B55:I55"/>
    <mergeCell ref="B61:D61"/>
    <mergeCell ref="B57:D57"/>
    <mergeCell ref="B71:D71"/>
    <mergeCell ref="B58:D58"/>
    <mergeCell ref="B56:D56"/>
    <mergeCell ref="B70:D70"/>
    <mergeCell ref="B65:D65"/>
    <mergeCell ref="B62:D62"/>
    <mergeCell ref="D54:K54"/>
    <mergeCell ref="B68:D68"/>
    <mergeCell ref="B69:D69"/>
    <mergeCell ref="B64:D64"/>
  </mergeCells>
  <conditionalFormatting sqref="H6:H50">
    <cfRule type="expression" priority="1" dxfId="0">
      <formula>AND($H6&lt;&gt;"",$H6&lt;0)</formula>
    </cfRule>
  </conditionalFormatting>
  <conditionalFormatting sqref="U6:U50">
    <cfRule type="cellIs" priority="2" operator="equal" dxfId="3">
      <formula>"Yes"</formula>
    </cfRule>
    <cfRule type="cellIs" priority="3" operator="equal" dxfId="0">
      <formula>"No"</formula>
    </cfRule>
  </conditionalFormatting>
  <conditionalFormatting sqref="H57:H71">
    <cfRule type="expression" priority="4" dxfId="0">
      <formula>AND($H57&lt;&gt;"",$H57&lt;0)</formula>
    </cfRule>
  </conditionalFormatting>
  <dataValidations count="4">
    <dataValidation sqref="K6:K50" showDropDown="0" showInputMessage="0" showErrorMessage="1" allowBlank="1" type="list">
      <formula1>=nrInstrNames</formula1>
    </dataValidation>
    <dataValidation sqref="L6:L50 M6:M50 N6:N50 O6:O50 P6:P50 Q6:Q50 R6:R50" showDropDown="0" showInputMessage="0" showErrorMessage="1" allowBlank="1" type="list">
      <formula1>=lstMaterialsStatus</formula1>
    </dataValidation>
    <dataValidation sqref="T6:T50" showDropDown="0" showInputMessage="0" showErrorMessage="1" allowBlank="1" type="list">
      <formula1>"Yes,No,N/A"</formula1>
    </dataValidation>
    <dataValidation sqref="E57:E71" showDropDown="0" showInputMessage="0" showErrorMessage="1" allowBlank="1" type="list">
      <formula1>=nrCHnum</formula1>
    </dataValidation>
  </dataValidations>
  <pageMargins left="0.75" right="0.75" top="1" bottom="1" header="0.5" footer="0.5"/>
</worksheet>
</file>

<file path=xl/worksheets/sheet45.xml><?xml version="1.0" encoding="utf-8"?>
<worksheet xmlns="http://schemas.openxmlformats.org/spreadsheetml/2006/main">
  <sheetPr>
    <tabColor rgb="00C8A24B"/>
    <outlinePr summaryBelow="1" summaryRight="1"/>
    <pageSetUpPr/>
  </sheetPr>
  <dimension ref="B1:F30"/>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1" customWidth="1" min="2" max="2"/>
    <col width="52" customWidth="1" min="3" max="3"/>
    <col width="13" customWidth="1" min="4" max="4"/>
    <col width="14" customWidth="1" min="5" max="5"/>
    <col width="12" customWidth="1" min="6" max="6"/>
  </cols>
  <sheetData>
    <row r="1">
      <c r="B1" s="10">
        <f>HYPERLINK("#Dashboard!B5","◄ Dashboard")</f>
        <v/>
      </c>
    </row>
    <row r="4">
      <c r="B4" s="11" t="inlineStr">
        <is>
          <t>Library of all possible exams. ExamPlan picks which ones THIS academy uses.</t>
        </is>
      </c>
    </row>
    <row r="5" ht="26" customHeight="1">
      <c r="B5" s="12" t="inlineStr">
        <is>
          <t>ExamCode</t>
        </is>
      </c>
      <c r="C5" s="12" t="inlineStr">
        <is>
          <t>Exam Name</t>
        </is>
      </c>
      <c r="D5" s="12" t="inlineStr">
        <is>
          <t>Default Type</t>
        </is>
      </c>
      <c r="E5" s="12" t="inlineStr">
        <is>
          <t>Default Passing</t>
        </is>
      </c>
      <c r="F5" s="12" t="inlineStr">
        <is>
          <t>Default Seq</t>
        </is>
      </c>
    </row>
    <row r="6">
      <c r="B6" s="16" t="inlineStr">
        <is>
          <t>E01</t>
        </is>
      </c>
      <c r="C6" s="16" t="inlineStr">
        <is>
          <t>Professionalism &amp; Ethics</t>
        </is>
      </c>
      <c r="D6" s="16" t="inlineStr">
        <is>
          <t>Minor</t>
        </is>
      </c>
      <c r="E6" s="16" t="n">
        <v>70</v>
      </c>
      <c r="F6" s="16" t="n">
        <v>1</v>
      </c>
    </row>
    <row r="7">
      <c r="B7" s="16" t="inlineStr">
        <is>
          <t>E02</t>
        </is>
      </c>
      <c r="C7" s="16" t="inlineStr">
        <is>
          <t>Constitutional Law</t>
        </is>
      </c>
      <c r="D7" s="16" t="inlineStr">
        <is>
          <t>Major</t>
        </is>
      </c>
      <c r="E7" s="16" t="n">
        <v>70</v>
      </c>
      <c r="F7" s="16" t="n">
        <v>2</v>
      </c>
    </row>
    <row r="8">
      <c r="B8" s="16" t="inlineStr">
        <is>
          <t>E03</t>
        </is>
      </c>
      <c r="C8" s="16" t="inlineStr">
        <is>
          <t>Penal Code</t>
        </is>
      </c>
      <c r="D8" s="16" t="inlineStr">
        <is>
          <t>Major</t>
        </is>
      </c>
      <c r="E8" s="16" t="n">
        <v>70</v>
      </c>
      <c r="F8" s="16" t="n">
        <v>3</v>
      </c>
    </row>
    <row r="9">
      <c r="B9" s="16" t="inlineStr">
        <is>
          <t>E04</t>
        </is>
      </c>
      <c r="C9" s="16" t="inlineStr">
        <is>
          <t>Code of Criminal Procedure</t>
        </is>
      </c>
      <c r="D9" s="16" t="inlineStr">
        <is>
          <t>Major</t>
        </is>
      </c>
      <c r="E9" s="16" t="n">
        <v>70</v>
      </c>
      <c r="F9" s="16" t="n">
        <v>4</v>
      </c>
    </row>
    <row r="10">
      <c r="B10" s="16" t="inlineStr">
        <is>
          <t>E05</t>
        </is>
      </c>
      <c r="C10" s="16" t="inlineStr">
        <is>
          <t>Arrest, Search &amp; Seizure</t>
        </is>
      </c>
      <c r="D10" s="16" t="inlineStr">
        <is>
          <t>Major</t>
        </is>
      </c>
      <c r="E10" s="16" t="n">
        <v>70</v>
      </c>
      <c r="F10" s="16" t="n">
        <v>5</v>
      </c>
    </row>
    <row r="11">
      <c r="B11" s="16" t="inlineStr">
        <is>
          <t>E06</t>
        </is>
      </c>
      <c r="C11" s="16" t="inlineStr">
        <is>
          <t>Health &amp; Safety Code</t>
        </is>
      </c>
      <c r="D11" s="16" t="inlineStr">
        <is>
          <t>Minor</t>
        </is>
      </c>
      <c r="E11" s="16" t="n">
        <v>70</v>
      </c>
      <c r="F11" s="16" t="n">
        <v>6</v>
      </c>
    </row>
    <row r="12">
      <c r="B12" s="16" t="inlineStr">
        <is>
          <t>E07</t>
        </is>
      </c>
      <c r="C12" s="16" t="inlineStr">
        <is>
          <t>Family Violence</t>
        </is>
      </c>
      <c r="D12" s="16" t="inlineStr">
        <is>
          <t>Minor</t>
        </is>
      </c>
      <c r="E12" s="16" t="n">
        <v>70</v>
      </c>
      <c r="F12" s="16" t="n">
        <v>7</v>
      </c>
    </row>
    <row r="13">
      <c r="B13" s="16" t="inlineStr">
        <is>
          <t>E08</t>
        </is>
      </c>
      <c r="C13" s="16" t="inlineStr">
        <is>
          <t>Victims of Crime &amp; Human Trafficking</t>
        </is>
      </c>
      <c r="D13" s="16" t="inlineStr">
        <is>
          <t>Minor</t>
        </is>
      </c>
      <c r="E13" s="16" t="n">
        <v>70</v>
      </c>
      <c r="F13" s="16" t="n">
        <v>8</v>
      </c>
    </row>
    <row r="14">
      <c r="B14" s="16" t="inlineStr">
        <is>
          <t>E09</t>
        </is>
      </c>
      <c r="C14" s="16" t="inlineStr">
        <is>
          <t>Transportation Code</t>
        </is>
      </c>
      <c r="D14" s="16" t="inlineStr">
        <is>
          <t>Minor</t>
        </is>
      </c>
      <c r="E14" s="16" t="n">
        <v>70</v>
      </c>
      <c r="F14" s="16" t="n">
        <v>9</v>
      </c>
    </row>
    <row r="15">
      <c r="B15" s="16" t="inlineStr">
        <is>
          <t>E10</t>
        </is>
      </c>
      <c r="C15" s="16" t="inlineStr">
        <is>
          <t>Crash, TIM &amp; SFST</t>
        </is>
      </c>
      <c r="D15" s="16" t="inlineStr">
        <is>
          <t>Major</t>
        </is>
      </c>
      <c r="E15" s="16" t="n">
        <v>70</v>
      </c>
      <c r="F15" s="16" t="n">
        <v>10</v>
      </c>
    </row>
    <row r="16">
      <c r="B16" s="16" t="inlineStr">
        <is>
          <t>E11</t>
        </is>
      </c>
      <c r="C16" s="16" t="inlineStr">
        <is>
          <t>Communications</t>
        </is>
      </c>
      <c r="D16" s="16" t="inlineStr">
        <is>
          <t>Minor</t>
        </is>
      </c>
      <c r="E16" s="16" t="n">
        <v>70</v>
      </c>
      <c r="F16" s="16" t="n">
        <v>11</v>
      </c>
    </row>
    <row r="17">
      <c r="B17" s="16" t="inlineStr">
        <is>
          <t>E12</t>
        </is>
      </c>
      <c r="C17" s="16" t="inlineStr">
        <is>
          <t>Spanish &amp; De-Escalation</t>
        </is>
      </c>
      <c r="D17" s="16" t="inlineStr">
        <is>
          <t>Minor</t>
        </is>
      </c>
      <c r="E17" s="16" t="n">
        <v>70</v>
      </c>
      <c r="F17" s="16" t="n">
        <v>12</v>
      </c>
    </row>
    <row r="18">
      <c r="B18" s="16" t="inlineStr">
        <is>
          <t>E13</t>
        </is>
      </c>
      <c r="C18" s="16" t="inlineStr">
        <is>
          <t>Force Options</t>
        </is>
      </c>
      <c r="D18" s="16" t="inlineStr">
        <is>
          <t>Major</t>
        </is>
      </c>
      <c r="E18" s="16" t="n">
        <v>70</v>
      </c>
      <c r="F18" s="16" t="n">
        <v>13</v>
      </c>
    </row>
    <row r="19">
      <c r="B19" s="16" t="inlineStr">
        <is>
          <t>E14</t>
        </is>
      </c>
      <c r="C19" s="16" t="inlineStr">
        <is>
          <t>Crisis Intervention</t>
        </is>
      </c>
      <c r="D19" s="16" t="inlineStr">
        <is>
          <t>Major</t>
        </is>
      </c>
      <c r="E19" s="16" t="n">
        <v>70</v>
      </c>
      <c r="F19" s="16" t="n">
        <v>14</v>
      </c>
    </row>
    <row r="20">
      <c r="B20" s="16" t="inlineStr">
        <is>
          <t>E15</t>
        </is>
      </c>
      <c r="C20" s="16" t="inlineStr">
        <is>
          <t>Criminal Investigations</t>
        </is>
      </c>
      <c r="D20" s="16" t="inlineStr">
        <is>
          <t>Minor</t>
        </is>
      </c>
      <c r="E20" s="16" t="n">
        <v>70</v>
      </c>
      <c r="F20" s="16" t="n">
        <v>15</v>
      </c>
    </row>
    <row r="21">
      <c r="B21" s="16" t="inlineStr">
        <is>
          <t>E16</t>
        </is>
      </c>
      <c r="C21" s="16" t="inlineStr">
        <is>
          <t>Professional Police Driving</t>
        </is>
      </c>
      <c r="D21" s="16" t="inlineStr">
        <is>
          <t>Major</t>
        </is>
      </c>
      <c r="E21" s="16" t="n">
        <v>70</v>
      </c>
      <c r="F21" s="16" t="n">
        <v>16</v>
      </c>
    </row>
    <row r="22">
      <c r="B22" s="16" t="inlineStr">
        <is>
          <t>E17</t>
        </is>
      </c>
      <c r="C22" s="16" t="inlineStr">
        <is>
          <t>Emergency Medical, Radio Comms, K9, Deaf &amp; Hard of Hearing</t>
        </is>
      </c>
      <c r="D22" s="16" t="inlineStr">
        <is>
          <t>Minor</t>
        </is>
      </c>
      <c r="E22" s="16" t="n">
        <v>70</v>
      </c>
      <c r="F22" s="16" t="n">
        <v>17</v>
      </c>
    </row>
    <row r="23">
      <c r="B23" s="16" t="inlineStr">
        <is>
          <t>FIN</t>
        </is>
      </c>
      <c r="C23" s="16" t="inlineStr">
        <is>
          <t>Final Comprehensive Exam</t>
        </is>
      </c>
      <c r="D23" s="16" t="inlineStr">
        <is>
          <t>Final</t>
        </is>
      </c>
      <c r="E23" s="16" t="n">
        <v>70</v>
      </c>
      <c r="F23" s="16" t="n">
        <v>20</v>
      </c>
    </row>
    <row r="24">
      <c r="B24" s="16" t="n"/>
      <c r="C24" s="16" t="n"/>
      <c r="D24" s="16" t="n"/>
      <c r="E24" s="16" t="n"/>
      <c r="F24" s="16" t="n"/>
    </row>
    <row r="25">
      <c r="B25" s="16" t="n"/>
      <c r="C25" s="16" t="n"/>
      <c r="D25" s="16" t="n"/>
      <c r="E25" s="16" t="n"/>
      <c r="F25" s="16" t="n"/>
    </row>
    <row r="26">
      <c r="B26" s="16" t="n"/>
      <c r="C26" s="16" t="n"/>
      <c r="D26" s="16" t="n"/>
      <c r="E26" s="16" t="n"/>
      <c r="F26" s="16" t="n"/>
    </row>
    <row r="27">
      <c r="B27" s="16" t="n"/>
      <c r="C27" s="16" t="n"/>
      <c r="D27" s="16" t="n"/>
      <c r="E27" s="16" t="n"/>
      <c r="F27" s="16" t="n"/>
    </row>
    <row r="28">
      <c r="B28" s="16" t="n"/>
      <c r="C28" s="16" t="n"/>
      <c r="D28" s="16" t="n"/>
      <c r="E28" s="16" t="n"/>
      <c r="F28" s="16" t="n"/>
    </row>
    <row r="29">
      <c r="B29" s="16" t="n"/>
      <c r="C29" s="16" t="n"/>
      <c r="D29" s="16" t="n"/>
      <c r="E29" s="16" t="n"/>
      <c r="F29" s="16" t="n"/>
    </row>
    <row r="30">
      <c r="B30" s="16" t="n"/>
      <c r="C30" s="16" t="n"/>
      <c r="D30" s="16" t="n"/>
      <c r="E30" s="16" t="n"/>
      <c r="F30" s="16" t="n"/>
    </row>
  </sheetData>
  <sheetProtection selectLockedCells="0" selectUnlockedCells="0" sheet="1" objects="0" insertRows="1" insertHyperlinks="1" autoFilter="0" scenarios="0" formatColumns="1" deleteColumns="1" insertColumns="1" pivotTables="1" deleteRows="1" formatCells="1" formatRows="1" sort="1" password="B4BB"/>
  <dataValidations count="1">
    <dataValidation sqref="D6:D30" showDropDown="0" showInputMessage="0" showErrorMessage="1" allowBlank="1" type="list">
      <formula1>=lstExamType</formula1>
    </dataValidation>
  </dataValidations>
  <pageMargins left="0.75" right="0.75" top="1" bottom="1" header="0.5" footer="0.5"/>
</worksheet>
</file>

<file path=xl/worksheets/sheet46.xml><?xml version="1.0" encoding="utf-8"?>
<worksheet xmlns="http://schemas.openxmlformats.org/spreadsheetml/2006/main">
  <sheetPr>
    <tabColor rgb="00C8A24B"/>
    <outlinePr summaryBelow="1" summaryRight="1"/>
    <pageSetUpPr/>
  </sheetPr>
  <dimension ref="B1:I30"/>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7" customWidth="1" min="2" max="2"/>
    <col width="11" customWidth="1" min="3" max="3"/>
    <col width="52" customWidth="1" min="4" max="4"/>
    <col width="10" customWidth="1" min="5" max="5"/>
    <col width="10" customWidth="1" min="6" max="6"/>
    <col width="7" customWidth="1" min="7" max="7"/>
    <col width="11" customWidth="1" min="8" max="8"/>
    <col width="12" customWidth="1" min="9" max="9"/>
  </cols>
  <sheetData>
    <row r="1">
      <c r="B1" s="10">
        <f>HYPERLINK("#Dashboard!B5","◄ Dashboard")</f>
        <v/>
      </c>
    </row>
    <row r="4">
      <c r="B4" s="11" t="inlineStr">
        <is>
          <t>Linked Ch # ties each exam to its chapter. 'Exam Date' is the date the exam was actually given (earliest dated first attempt on ExamScores); before any score is entered it falls back to the scheduled 'Test n' block, and failing that to the last scheduled day of the linked chapter. Retest deadlines always run off the actual score dates, never off this column.</t>
        </is>
      </c>
    </row>
    <row r="5" ht="26" customHeight="1">
      <c r="B5" s="12" t="inlineStr">
        <is>
          <t>Use?</t>
        </is>
      </c>
      <c r="C5" s="12" t="inlineStr">
        <is>
          <t>ExamCode</t>
        </is>
      </c>
      <c r="D5" s="12" t="inlineStr">
        <is>
          <t>Exam Name</t>
        </is>
      </c>
      <c r="E5" s="12" t="inlineStr">
        <is>
          <t>Type</t>
        </is>
      </c>
      <c r="F5" s="12" t="inlineStr">
        <is>
          <t>Passing</t>
        </is>
      </c>
      <c r="G5" s="12" t="inlineStr">
        <is>
          <t>Seq</t>
        </is>
      </c>
      <c r="H5" s="12" t="inlineStr">
        <is>
          <t>Linked Ch #</t>
        </is>
      </c>
      <c r="I5" s="12" t="inlineStr">
        <is>
          <t>Exam Date</t>
        </is>
      </c>
    </row>
    <row r="6">
      <c r="B6" s="16" t="inlineStr">
        <is>
          <t>Yes</t>
        </is>
      </c>
      <c r="C6" s="16" t="inlineStr">
        <is>
          <t>E01</t>
        </is>
      </c>
      <c r="D6" s="17">
        <f>IF($C6="","",IFERROR(INDEX(rngEMname,MATCH($C6,rngEMcode,0)),"?"))</f>
        <v/>
      </c>
      <c r="E6" s="17">
        <f>IF($C6="","",IFERROR(INDEX(rngEMtype,MATCH($C6,rngEMcode,0)),"?"))</f>
        <v/>
      </c>
      <c r="F6" s="17">
        <f>IF($C6="","",IFERROR(INDEX(rngEMpass,MATCH($C6,rngEMcode,0)),cfgPassingScore))</f>
        <v/>
      </c>
      <c r="G6" s="17">
        <f>IF($C6="","",IFERROR(INDEX(rngEMseq,MATCH($C6,rngEMcode,0)),""))</f>
        <v/>
      </c>
      <c r="H6" s="29" t="inlineStr">
        <is>
          <t>1</t>
        </is>
      </c>
      <c r="I6" s="19">
        <f>IF($C6="","",IF(IFERROR(_xlfn.MINIFS(nrES_Date,nrES_Code,$C6,nrES_Att,1,nrES_Date,"&gt;0"),0)&gt;0,_xlfn.MINIFS(nrES_Date,nrES_Code,$C6,nrES_Att,1,nrES_Date,"&gt;0"),IF(AND($G6&lt;&gt;"",IFERROR(_xlfn.MAXIFS(nrSCH_Date,nrSCH_Act,"Test "&amp;$G6),0)&gt;0),_xlfn.MAXIFS(nrSCH_Date,nrSCH_Act,"Test "&amp;$G6),IF(AND($H6&lt;&gt;"",IFERROR(_xlfn.MAXIFS(nrSCH_Date,nrSCH_ChNum,$H6),0)&gt;0),_xlfn.MAXIFS(nrSCH_Date,nrSCH_ChNum,$H6),""))))</f>
        <v/>
      </c>
    </row>
    <row r="7">
      <c r="B7" s="16" t="inlineStr">
        <is>
          <t>Yes</t>
        </is>
      </c>
      <c r="C7" s="16" t="inlineStr">
        <is>
          <t>E02</t>
        </is>
      </c>
      <c r="D7" s="17">
        <f>IF($C7="","",IFERROR(INDEX(rngEMname,MATCH($C7,rngEMcode,0)),"?"))</f>
        <v/>
      </c>
      <c r="E7" s="17">
        <f>IF($C7="","",IFERROR(INDEX(rngEMtype,MATCH($C7,rngEMcode,0)),"?"))</f>
        <v/>
      </c>
      <c r="F7" s="17">
        <f>IF($C7="","",IFERROR(INDEX(rngEMpass,MATCH($C7,rngEMcode,0)),cfgPassingScore))</f>
        <v/>
      </c>
      <c r="G7" s="17">
        <f>IF($C7="","",IFERROR(INDEX(rngEMseq,MATCH($C7,rngEMcode,0)),""))</f>
        <v/>
      </c>
      <c r="H7" s="29" t="inlineStr">
        <is>
          <t>7</t>
        </is>
      </c>
      <c r="I7" s="19">
        <f>IF($C7="","",IF(IFERROR(_xlfn.MINIFS(nrES_Date,nrES_Code,$C7,nrES_Att,1,nrES_Date,"&gt;0"),0)&gt;0,_xlfn.MINIFS(nrES_Date,nrES_Code,$C7,nrES_Att,1,nrES_Date,"&gt;0"),IF(AND($G7&lt;&gt;"",IFERROR(_xlfn.MAXIFS(nrSCH_Date,nrSCH_Act,"Test "&amp;$G7),0)&gt;0),_xlfn.MAXIFS(nrSCH_Date,nrSCH_Act,"Test "&amp;$G7),IF(AND($H7&lt;&gt;"",IFERROR(_xlfn.MAXIFS(nrSCH_Date,nrSCH_ChNum,$H7),0)&gt;0),_xlfn.MAXIFS(nrSCH_Date,nrSCH_ChNum,$H7),""))))</f>
        <v/>
      </c>
    </row>
    <row r="8">
      <c r="B8" s="16" t="inlineStr">
        <is>
          <t>Yes</t>
        </is>
      </c>
      <c r="C8" s="16" t="inlineStr">
        <is>
          <t>E03</t>
        </is>
      </c>
      <c r="D8" s="17">
        <f>IF($C8="","",IFERROR(INDEX(rngEMname,MATCH($C8,rngEMcode,0)),"?"))</f>
        <v/>
      </c>
      <c r="E8" s="17">
        <f>IF($C8="","",IFERROR(INDEX(rngEMtype,MATCH($C8,rngEMcode,0)),"?"))</f>
        <v/>
      </c>
      <c r="F8" s="17">
        <f>IF($C8="","",IFERROR(INDEX(rngEMpass,MATCH($C8,rngEMcode,0)),cfgPassingScore))</f>
        <v/>
      </c>
      <c r="G8" s="17">
        <f>IF($C8="","",IFERROR(INDEX(rngEMseq,MATCH($C8,rngEMcode,0)),""))</f>
        <v/>
      </c>
      <c r="H8" s="29" t="inlineStr">
        <is>
          <t>8</t>
        </is>
      </c>
      <c r="I8" s="19">
        <f>IF($C8="","",IF(IFERROR(_xlfn.MINIFS(nrES_Date,nrES_Code,$C8,nrES_Att,1,nrES_Date,"&gt;0"),0)&gt;0,_xlfn.MINIFS(nrES_Date,nrES_Code,$C8,nrES_Att,1,nrES_Date,"&gt;0"),IF(AND($G8&lt;&gt;"",IFERROR(_xlfn.MAXIFS(nrSCH_Date,nrSCH_Act,"Test "&amp;$G8),0)&gt;0),_xlfn.MAXIFS(nrSCH_Date,nrSCH_Act,"Test "&amp;$G8),IF(AND($H8&lt;&gt;"",IFERROR(_xlfn.MAXIFS(nrSCH_Date,nrSCH_ChNum,$H8),0)&gt;0),_xlfn.MAXIFS(nrSCH_Date,nrSCH_ChNum,$H8),""))))</f>
        <v/>
      </c>
    </row>
    <row r="9">
      <c r="B9" s="16" t="inlineStr">
        <is>
          <t>Yes</t>
        </is>
      </c>
      <c r="C9" s="16" t="inlineStr">
        <is>
          <t>E04</t>
        </is>
      </c>
      <c r="D9" s="17">
        <f>IF($C9="","",IFERROR(INDEX(rngEMname,MATCH($C9,rngEMcode,0)),"?"))</f>
        <v/>
      </c>
      <c r="E9" s="17">
        <f>IF($C9="","",IFERROR(INDEX(rngEMtype,MATCH($C9,rngEMcode,0)),"?"))</f>
        <v/>
      </c>
      <c r="F9" s="17">
        <f>IF($C9="","",IFERROR(INDEX(rngEMpass,MATCH($C9,rngEMcode,0)),cfgPassingScore))</f>
        <v/>
      </c>
      <c r="G9" s="17">
        <f>IF($C9="","",IFERROR(INDEX(rngEMseq,MATCH($C9,rngEMcode,0)),""))</f>
        <v/>
      </c>
      <c r="H9" s="29" t="inlineStr">
        <is>
          <t>9</t>
        </is>
      </c>
      <c r="I9" s="19">
        <f>IF($C9="","",IF(IFERROR(_xlfn.MINIFS(nrES_Date,nrES_Code,$C9,nrES_Att,1,nrES_Date,"&gt;0"),0)&gt;0,_xlfn.MINIFS(nrES_Date,nrES_Code,$C9,nrES_Att,1,nrES_Date,"&gt;0"),IF(AND($G9&lt;&gt;"",IFERROR(_xlfn.MAXIFS(nrSCH_Date,nrSCH_Act,"Test "&amp;$G9),0)&gt;0),_xlfn.MAXIFS(nrSCH_Date,nrSCH_Act,"Test "&amp;$G9),IF(AND($H9&lt;&gt;"",IFERROR(_xlfn.MAXIFS(nrSCH_Date,nrSCH_ChNum,$H9),0)&gt;0),_xlfn.MAXIFS(nrSCH_Date,nrSCH_ChNum,$H9),""))))</f>
        <v/>
      </c>
    </row>
    <row r="10">
      <c r="B10" s="16" t="inlineStr">
        <is>
          <t>Yes</t>
        </is>
      </c>
      <c r="C10" s="16" t="inlineStr">
        <is>
          <t>E05</t>
        </is>
      </c>
      <c r="D10" s="17">
        <f>IF($C10="","",IFERROR(INDEX(rngEMname,MATCH($C10,rngEMcode,0)),"?"))</f>
        <v/>
      </c>
      <c r="E10" s="17">
        <f>IF($C10="","",IFERROR(INDEX(rngEMtype,MATCH($C10,rngEMcode,0)),"?"))</f>
        <v/>
      </c>
      <c r="F10" s="17">
        <f>IF($C10="","",IFERROR(INDEX(rngEMpass,MATCH($C10,rngEMcode,0)),cfgPassingScore))</f>
        <v/>
      </c>
      <c r="G10" s="17">
        <f>IF($C10="","",IFERROR(INDEX(rngEMseq,MATCH($C10,rngEMcode,0)),""))</f>
        <v/>
      </c>
      <c r="H10" s="29" t="inlineStr">
        <is>
          <t>10</t>
        </is>
      </c>
      <c r="I10" s="19">
        <f>IF($C10="","",IF(IFERROR(_xlfn.MINIFS(nrES_Date,nrES_Code,$C10,nrES_Att,1,nrES_Date,"&gt;0"),0)&gt;0,_xlfn.MINIFS(nrES_Date,nrES_Code,$C10,nrES_Att,1,nrES_Date,"&gt;0"),IF(AND($G10&lt;&gt;"",IFERROR(_xlfn.MAXIFS(nrSCH_Date,nrSCH_Act,"Test "&amp;$G10),0)&gt;0),_xlfn.MAXIFS(nrSCH_Date,nrSCH_Act,"Test "&amp;$G10),IF(AND($H10&lt;&gt;"",IFERROR(_xlfn.MAXIFS(nrSCH_Date,nrSCH_ChNum,$H10),0)&gt;0),_xlfn.MAXIFS(nrSCH_Date,nrSCH_ChNum,$H10),""))))</f>
        <v/>
      </c>
    </row>
    <row r="11">
      <c r="B11" s="16" t="inlineStr">
        <is>
          <t>Yes</t>
        </is>
      </c>
      <c r="C11" s="16" t="inlineStr">
        <is>
          <t>E06</t>
        </is>
      </c>
      <c r="D11" s="17">
        <f>IF($C11="","",IFERROR(INDEX(rngEMname,MATCH($C11,rngEMcode,0)),"?"))</f>
        <v/>
      </c>
      <c r="E11" s="17">
        <f>IF($C11="","",IFERROR(INDEX(rngEMtype,MATCH($C11,rngEMcode,0)),"?"))</f>
        <v/>
      </c>
      <c r="F11" s="17">
        <f>IF($C11="","",IFERROR(INDEX(rngEMpass,MATCH($C11,rngEMcode,0)),cfgPassingScore))</f>
        <v/>
      </c>
      <c r="G11" s="17">
        <f>IF($C11="","",IFERROR(INDEX(rngEMseq,MATCH($C11,rngEMcode,0)),""))</f>
        <v/>
      </c>
      <c r="H11" s="29" t="inlineStr">
        <is>
          <t>15</t>
        </is>
      </c>
      <c r="I11" s="19">
        <f>IF($C11="","",IF(IFERROR(_xlfn.MINIFS(nrES_Date,nrES_Code,$C11,nrES_Att,1,nrES_Date,"&gt;0"),0)&gt;0,_xlfn.MINIFS(nrES_Date,nrES_Code,$C11,nrES_Att,1,nrES_Date,"&gt;0"),IF(AND($G11&lt;&gt;"",IFERROR(_xlfn.MAXIFS(nrSCH_Date,nrSCH_Act,"Test "&amp;$G11),0)&gt;0),_xlfn.MAXIFS(nrSCH_Date,nrSCH_Act,"Test "&amp;$G11),IF(AND($H11&lt;&gt;"",IFERROR(_xlfn.MAXIFS(nrSCH_Date,nrSCH_ChNum,$H11),0)&gt;0),_xlfn.MAXIFS(nrSCH_Date,nrSCH_ChNum,$H11),""))))</f>
        <v/>
      </c>
    </row>
    <row r="12">
      <c r="B12" s="16" t="inlineStr">
        <is>
          <t>Yes</t>
        </is>
      </c>
      <c r="C12" s="16" t="inlineStr">
        <is>
          <t>E07</t>
        </is>
      </c>
      <c r="D12" s="17">
        <f>IF($C12="","",IFERROR(INDEX(rngEMname,MATCH($C12,rngEMcode,0)),"?"))</f>
        <v/>
      </c>
      <c r="E12" s="17">
        <f>IF($C12="","",IFERROR(INDEX(rngEMtype,MATCH($C12,rngEMcode,0)),"?"))</f>
        <v/>
      </c>
      <c r="F12" s="17">
        <f>IF($C12="","",IFERROR(INDEX(rngEMpass,MATCH($C12,rngEMcode,0)),cfgPassingScore))</f>
        <v/>
      </c>
      <c r="G12" s="17">
        <f>IF($C12="","",IFERROR(INDEX(rngEMseq,MATCH($C12,rngEMcode,0)),""))</f>
        <v/>
      </c>
      <c r="H12" s="29" t="inlineStr">
        <is>
          <t>17</t>
        </is>
      </c>
      <c r="I12" s="19">
        <f>IF($C12="","",IF(IFERROR(_xlfn.MINIFS(nrES_Date,nrES_Code,$C12,nrES_Att,1,nrES_Date,"&gt;0"),0)&gt;0,_xlfn.MINIFS(nrES_Date,nrES_Code,$C12,nrES_Att,1,nrES_Date,"&gt;0"),IF(AND($G12&lt;&gt;"",IFERROR(_xlfn.MAXIFS(nrSCH_Date,nrSCH_Act,"Test "&amp;$G12),0)&gt;0),_xlfn.MAXIFS(nrSCH_Date,nrSCH_Act,"Test "&amp;$G12),IF(AND($H12&lt;&gt;"",IFERROR(_xlfn.MAXIFS(nrSCH_Date,nrSCH_ChNum,$H12),0)&gt;0),_xlfn.MAXIFS(nrSCH_Date,nrSCH_ChNum,$H12),""))))</f>
        <v/>
      </c>
    </row>
    <row r="13">
      <c r="B13" s="16" t="inlineStr">
        <is>
          <t>Yes</t>
        </is>
      </c>
      <c r="C13" s="16" t="inlineStr">
        <is>
          <t>E08</t>
        </is>
      </c>
      <c r="D13" s="17">
        <f>IF($C13="","",IFERROR(INDEX(rngEMname,MATCH($C13,rngEMcode,0)),"?"))</f>
        <v/>
      </c>
      <c r="E13" s="17">
        <f>IF($C13="","",IFERROR(INDEX(rngEMtype,MATCH($C13,rngEMcode,0)),"?"))</f>
        <v/>
      </c>
      <c r="F13" s="17">
        <f>IF($C13="","",IFERROR(INDEX(rngEMpass,MATCH($C13,rngEMcode,0)),cfgPassingScore))</f>
        <v/>
      </c>
      <c r="G13" s="17">
        <f>IF($C13="","",IFERROR(INDEX(rngEMseq,MATCH($C13,rngEMcode,0)),""))</f>
        <v/>
      </c>
      <c r="H13" s="29" t="inlineStr">
        <is>
          <t>20</t>
        </is>
      </c>
      <c r="I13" s="19">
        <f>IF($C13="","",IF(IFERROR(_xlfn.MINIFS(nrES_Date,nrES_Code,$C13,nrES_Att,1,nrES_Date,"&gt;0"),0)&gt;0,_xlfn.MINIFS(nrES_Date,nrES_Code,$C13,nrES_Att,1,nrES_Date,"&gt;0"),IF(AND($G13&lt;&gt;"",IFERROR(_xlfn.MAXIFS(nrSCH_Date,nrSCH_Act,"Test "&amp;$G13),0)&gt;0),_xlfn.MAXIFS(nrSCH_Date,nrSCH_Act,"Test "&amp;$G13),IF(AND($H13&lt;&gt;"",IFERROR(_xlfn.MAXIFS(nrSCH_Date,nrSCH_ChNum,$H13),0)&gt;0),_xlfn.MAXIFS(nrSCH_Date,nrSCH_ChNum,$H13),""))))</f>
        <v/>
      </c>
    </row>
    <row r="14">
      <c r="B14" s="16" t="inlineStr">
        <is>
          <t>Yes</t>
        </is>
      </c>
      <c r="C14" s="16" t="inlineStr">
        <is>
          <t>E09</t>
        </is>
      </c>
      <c r="D14" s="17">
        <f>IF($C14="","",IFERROR(INDEX(rngEMname,MATCH($C14,rngEMcode,0)),"?"))</f>
        <v/>
      </c>
      <c r="E14" s="17">
        <f>IF($C14="","",IFERROR(INDEX(rngEMtype,MATCH($C14,rngEMcode,0)),"?"))</f>
        <v/>
      </c>
      <c r="F14" s="17">
        <f>IF($C14="","",IFERROR(INDEX(rngEMpass,MATCH($C14,rngEMcode,0)),cfgPassingScore))</f>
        <v/>
      </c>
      <c r="G14" s="17">
        <f>IF($C14="","",IFERROR(INDEX(rngEMseq,MATCH($C14,rngEMcode,0)),""))</f>
        <v/>
      </c>
      <c r="H14" s="29" t="inlineStr">
        <is>
          <t>22</t>
        </is>
      </c>
      <c r="I14" s="19">
        <f>IF($C14="","",IF(IFERROR(_xlfn.MINIFS(nrES_Date,nrES_Code,$C14,nrES_Att,1,nrES_Date,"&gt;0"),0)&gt;0,_xlfn.MINIFS(nrES_Date,nrES_Code,$C14,nrES_Att,1,nrES_Date,"&gt;0"),IF(AND($G14&lt;&gt;"",IFERROR(_xlfn.MAXIFS(nrSCH_Date,nrSCH_Act,"Test "&amp;$G14),0)&gt;0),_xlfn.MAXIFS(nrSCH_Date,nrSCH_Act,"Test "&amp;$G14),IF(AND($H14&lt;&gt;"",IFERROR(_xlfn.MAXIFS(nrSCH_Date,nrSCH_ChNum,$H14),0)&gt;0),_xlfn.MAXIFS(nrSCH_Date,nrSCH_ChNum,$H14),""))))</f>
        <v/>
      </c>
    </row>
    <row r="15">
      <c r="B15" s="16" t="inlineStr">
        <is>
          <t>Yes</t>
        </is>
      </c>
      <c r="C15" s="16" t="inlineStr">
        <is>
          <t>E10</t>
        </is>
      </c>
      <c r="D15" s="17">
        <f>IF($C15="","",IFERROR(INDEX(rngEMname,MATCH($C15,rngEMcode,0)),"?"))</f>
        <v/>
      </c>
      <c r="E15" s="17">
        <f>IF($C15="","",IFERROR(INDEX(rngEMtype,MATCH($C15,rngEMcode,0)),"?"))</f>
        <v/>
      </c>
      <c r="F15" s="17">
        <f>IF($C15="","",IFERROR(INDEX(rngEMpass,MATCH($C15,rngEMcode,0)),cfgPassingScore))</f>
        <v/>
      </c>
      <c r="G15" s="17">
        <f>IF($C15="","",IFERROR(INDEX(rngEMseq,MATCH($C15,rngEMcode,0)),""))</f>
        <v/>
      </c>
      <c r="H15" s="29" t="inlineStr">
        <is>
          <t>23</t>
        </is>
      </c>
      <c r="I15" s="19">
        <f>IF($C15="","",IF(IFERROR(_xlfn.MINIFS(nrES_Date,nrES_Code,$C15,nrES_Att,1,nrES_Date,"&gt;0"),0)&gt;0,_xlfn.MINIFS(nrES_Date,nrES_Code,$C15,nrES_Att,1,nrES_Date,"&gt;0"),IF(AND($G15&lt;&gt;"",IFERROR(_xlfn.MAXIFS(nrSCH_Date,nrSCH_Act,"Test "&amp;$G15),0)&gt;0),_xlfn.MAXIFS(nrSCH_Date,nrSCH_Act,"Test "&amp;$G15),IF(AND($H15&lt;&gt;"",IFERROR(_xlfn.MAXIFS(nrSCH_Date,nrSCH_ChNum,$H15),0)&gt;0),_xlfn.MAXIFS(nrSCH_Date,nrSCH_ChNum,$H15),""))))</f>
        <v/>
      </c>
    </row>
    <row r="16">
      <c r="B16" s="16" t="inlineStr">
        <is>
          <t>Yes</t>
        </is>
      </c>
      <c r="C16" s="16" t="inlineStr">
        <is>
          <t>E11</t>
        </is>
      </c>
      <c r="D16" s="17">
        <f>IF($C16="","",IFERROR(INDEX(rngEMname,MATCH($C16,rngEMcode,0)),"?"))</f>
        <v/>
      </c>
      <c r="E16" s="17">
        <f>IF($C16="","",IFERROR(INDEX(rngEMtype,MATCH($C16,rngEMcode,0)),"?"))</f>
        <v/>
      </c>
      <c r="F16" s="17">
        <f>IF($C16="","",IFERROR(INDEX(rngEMpass,MATCH($C16,rngEMcode,0)),cfgPassingScore))</f>
        <v/>
      </c>
      <c r="G16" s="17">
        <f>IF($C16="","",IFERROR(INDEX(rngEMseq,MATCH($C16,rngEMcode,0)),""))</f>
        <v/>
      </c>
      <c r="H16" s="29" t="inlineStr">
        <is>
          <t>25</t>
        </is>
      </c>
      <c r="I16" s="19">
        <f>IF($C16="","",IF(IFERROR(_xlfn.MINIFS(nrES_Date,nrES_Code,$C16,nrES_Att,1,nrES_Date,"&gt;0"),0)&gt;0,_xlfn.MINIFS(nrES_Date,nrES_Code,$C16,nrES_Att,1,nrES_Date,"&gt;0"),IF(AND($G16&lt;&gt;"",IFERROR(_xlfn.MAXIFS(nrSCH_Date,nrSCH_Act,"Test "&amp;$G16),0)&gt;0),_xlfn.MAXIFS(nrSCH_Date,nrSCH_Act,"Test "&amp;$G16),IF(AND($H16&lt;&gt;"",IFERROR(_xlfn.MAXIFS(nrSCH_Date,nrSCH_ChNum,$H16),0)&gt;0),_xlfn.MAXIFS(nrSCH_Date,nrSCH_ChNum,$H16),""))))</f>
        <v/>
      </c>
    </row>
    <row r="17">
      <c r="B17" s="16" t="inlineStr">
        <is>
          <t>Yes</t>
        </is>
      </c>
      <c r="C17" s="16" t="inlineStr">
        <is>
          <t>E12</t>
        </is>
      </c>
      <c r="D17" s="17">
        <f>IF($C17="","",IFERROR(INDEX(rngEMname,MATCH($C17,rngEMcode,0)),"?"))</f>
        <v/>
      </c>
      <c r="E17" s="17">
        <f>IF($C17="","",IFERROR(INDEX(rngEMtype,MATCH($C17,rngEMcode,0)),"?"))</f>
        <v/>
      </c>
      <c r="F17" s="17">
        <f>IF($C17="","",IFERROR(INDEX(rngEMpass,MATCH($C17,rngEMcode,0)),cfgPassingScore))</f>
        <v/>
      </c>
      <c r="G17" s="17">
        <f>IF($C17="","",IFERROR(INDEX(rngEMseq,MATCH($C17,rngEMcode,0)),""))</f>
        <v/>
      </c>
      <c r="H17" s="29" t="inlineStr">
        <is>
          <t>26</t>
        </is>
      </c>
      <c r="I17" s="19">
        <f>IF($C17="","",IF(IFERROR(_xlfn.MINIFS(nrES_Date,nrES_Code,$C17,nrES_Att,1,nrES_Date,"&gt;0"),0)&gt;0,_xlfn.MINIFS(nrES_Date,nrES_Code,$C17,nrES_Att,1,nrES_Date,"&gt;0"),IF(AND($G17&lt;&gt;"",IFERROR(_xlfn.MAXIFS(nrSCH_Date,nrSCH_Act,"Test "&amp;$G17),0)&gt;0),_xlfn.MAXIFS(nrSCH_Date,nrSCH_Act,"Test "&amp;$G17),IF(AND($H17&lt;&gt;"",IFERROR(_xlfn.MAXIFS(nrSCH_Date,nrSCH_ChNum,$H17),0)&gt;0),_xlfn.MAXIFS(nrSCH_Date,nrSCH_ChNum,$H17),""))))</f>
        <v/>
      </c>
    </row>
    <row r="18">
      <c r="B18" s="16" t="inlineStr">
        <is>
          <t>Yes</t>
        </is>
      </c>
      <c r="C18" s="16" t="inlineStr">
        <is>
          <t>E13</t>
        </is>
      </c>
      <c r="D18" s="17">
        <f>IF($C18="","",IFERROR(INDEX(rngEMname,MATCH($C18,rngEMcode,0)),"?"))</f>
        <v/>
      </c>
      <c r="E18" s="17">
        <f>IF($C18="","",IFERROR(INDEX(rngEMtype,MATCH($C18,rngEMcode,0)),"?"))</f>
        <v/>
      </c>
      <c r="F18" s="17">
        <f>IF($C18="","",IFERROR(INDEX(rngEMpass,MATCH($C18,rngEMcode,0)),cfgPassingScore))</f>
        <v/>
      </c>
      <c r="G18" s="17">
        <f>IF($C18="","",IFERROR(INDEX(rngEMseq,MATCH($C18,rngEMcode,0)),""))</f>
        <v/>
      </c>
      <c r="H18" s="29" t="inlineStr">
        <is>
          <t>28</t>
        </is>
      </c>
      <c r="I18" s="19">
        <f>IF($C18="","",IF(IFERROR(_xlfn.MINIFS(nrES_Date,nrES_Code,$C18,nrES_Att,1,nrES_Date,"&gt;0"),0)&gt;0,_xlfn.MINIFS(nrES_Date,nrES_Code,$C18,nrES_Att,1,nrES_Date,"&gt;0"),IF(AND($G18&lt;&gt;"",IFERROR(_xlfn.MAXIFS(nrSCH_Date,nrSCH_Act,"Test "&amp;$G18),0)&gt;0),_xlfn.MAXIFS(nrSCH_Date,nrSCH_Act,"Test "&amp;$G18),IF(AND($H18&lt;&gt;"",IFERROR(_xlfn.MAXIFS(nrSCH_Date,nrSCH_ChNum,$H18),0)&gt;0),_xlfn.MAXIFS(nrSCH_Date,nrSCH_ChNum,$H18),""))))</f>
        <v/>
      </c>
    </row>
    <row r="19">
      <c r="B19" s="16" t="inlineStr">
        <is>
          <t>Yes</t>
        </is>
      </c>
      <c r="C19" s="16" t="inlineStr">
        <is>
          <t>E14</t>
        </is>
      </c>
      <c r="D19" s="17">
        <f>IF($C19="","",IFERROR(INDEX(rngEMname,MATCH($C19,rngEMcode,0)),"?"))</f>
        <v/>
      </c>
      <c r="E19" s="17">
        <f>IF($C19="","",IFERROR(INDEX(rngEMtype,MATCH($C19,rngEMcode,0)),"?"))</f>
        <v/>
      </c>
      <c r="F19" s="17">
        <f>IF($C19="","",IFERROR(INDEX(rngEMpass,MATCH($C19,rngEMcode,0)),cfgPassingScore))</f>
        <v/>
      </c>
      <c r="G19" s="17">
        <f>IF($C19="","",IFERROR(INDEX(rngEMseq,MATCH($C19,rngEMcode,0)),""))</f>
        <v/>
      </c>
      <c r="H19" s="29" t="inlineStr">
        <is>
          <t>29</t>
        </is>
      </c>
      <c r="I19" s="19">
        <f>IF($C19="","",IF(IFERROR(_xlfn.MINIFS(nrES_Date,nrES_Code,$C19,nrES_Att,1,nrES_Date,"&gt;0"),0)&gt;0,_xlfn.MINIFS(nrES_Date,nrES_Code,$C19,nrES_Att,1,nrES_Date,"&gt;0"),IF(AND($G19&lt;&gt;"",IFERROR(_xlfn.MAXIFS(nrSCH_Date,nrSCH_Act,"Test "&amp;$G19),0)&gt;0),_xlfn.MAXIFS(nrSCH_Date,nrSCH_Act,"Test "&amp;$G19),IF(AND($H19&lt;&gt;"",IFERROR(_xlfn.MAXIFS(nrSCH_Date,nrSCH_ChNum,$H19),0)&gt;0),_xlfn.MAXIFS(nrSCH_Date,nrSCH_ChNum,$H19),""))))</f>
        <v/>
      </c>
    </row>
    <row r="20">
      <c r="B20" s="16" t="inlineStr">
        <is>
          <t>Yes</t>
        </is>
      </c>
      <c r="C20" s="16" t="inlineStr">
        <is>
          <t>E15</t>
        </is>
      </c>
      <c r="D20" s="17">
        <f>IF($C20="","",IFERROR(INDEX(rngEMname,MATCH($C20,rngEMcode,0)),"?"))</f>
        <v/>
      </c>
      <c r="E20" s="17">
        <f>IF($C20="","",IFERROR(INDEX(rngEMtype,MATCH($C20,rngEMcode,0)),"?"))</f>
        <v/>
      </c>
      <c r="F20" s="17">
        <f>IF($C20="","",IFERROR(INDEX(rngEMpass,MATCH($C20,rngEMcode,0)),cfgPassingScore))</f>
        <v/>
      </c>
      <c r="G20" s="17">
        <f>IF($C20="","",IFERROR(INDEX(rngEMseq,MATCH($C20,rngEMcode,0)),""))</f>
        <v/>
      </c>
      <c r="H20" s="29" t="inlineStr">
        <is>
          <t>32</t>
        </is>
      </c>
      <c r="I20" s="19">
        <f>IF($C20="","",IF(IFERROR(_xlfn.MINIFS(nrES_Date,nrES_Code,$C20,nrES_Att,1,nrES_Date,"&gt;0"),0)&gt;0,_xlfn.MINIFS(nrES_Date,nrES_Code,$C20,nrES_Att,1,nrES_Date,"&gt;0"),IF(AND($G20&lt;&gt;"",IFERROR(_xlfn.MAXIFS(nrSCH_Date,nrSCH_Act,"Test "&amp;$G20),0)&gt;0),_xlfn.MAXIFS(nrSCH_Date,nrSCH_Act,"Test "&amp;$G20),IF(AND($H20&lt;&gt;"",IFERROR(_xlfn.MAXIFS(nrSCH_Date,nrSCH_ChNum,$H20),0)&gt;0),_xlfn.MAXIFS(nrSCH_Date,nrSCH_ChNum,$H20),""))))</f>
        <v/>
      </c>
    </row>
    <row r="21">
      <c r="B21" s="16" t="inlineStr">
        <is>
          <t>Yes</t>
        </is>
      </c>
      <c r="C21" s="16" t="inlineStr">
        <is>
          <t>E16</t>
        </is>
      </c>
      <c r="D21" s="17">
        <f>IF($C21="","",IFERROR(INDEX(rngEMname,MATCH($C21,rngEMcode,0)),"?"))</f>
        <v/>
      </c>
      <c r="E21" s="17">
        <f>IF($C21="","",IFERROR(INDEX(rngEMtype,MATCH($C21,rngEMcode,0)),"?"))</f>
        <v/>
      </c>
      <c r="F21" s="17">
        <f>IF($C21="","",IFERROR(INDEX(rngEMpass,MATCH($C21,rngEMcode,0)),cfgPassingScore))</f>
        <v/>
      </c>
      <c r="G21" s="17">
        <f>IF($C21="","",IFERROR(INDEX(rngEMseq,MATCH($C21,rngEMcode,0)),""))</f>
        <v/>
      </c>
      <c r="H21" s="29" t="inlineStr">
        <is>
          <t>34</t>
        </is>
      </c>
      <c r="I21" s="19">
        <f>IF($C21="","",IF(IFERROR(_xlfn.MINIFS(nrES_Date,nrES_Code,$C21,nrES_Att,1,nrES_Date,"&gt;0"),0)&gt;0,_xlfn.MINIFS(nrES_Date,nrES_Code,$C21,nrES_Att,1,nrES_Date,"&gt;0"),IF(AND($G21&lt;&gt;"",IFERROR(_xlfn.MAXIFS(nrSCH_Date,nrSCH_Act,"Test "&amp;$G21),0)&gt;0),_xlfn.MAXIFS(nrSCH_Date,nrSCH_Act,"Test "&amp;$G21),IF(AND($H21&lt;&gt;"",IFERROR(_xlfn.MAXIFS(nrSCH_Date,nrSCH_ChNum,$H21),0)&gt;0),_xlfn.MAXIFS(nrSCH_Date,nrSCH_ChNum,$H21),""))))</f>
        <v/>
      </c>
    </row>
    <row r="22">
      <c r="B22" s="16" t="inlineStr">
        <is>
          <t>Yes</t>
        </is>
      </c>
      <c r="C22" s="16" t="inlineStr">
        <is>
          <t>E17</t>
        </is>
      </c>
      <c r="D22" s="17">
        <f>IF($C22="","",IFERROR(INDEX(rngEMname,MATCH($C22,rngEMcode,0)),"?"))</f>
        <v/>
      </c>
      <c r="E22" s="17">
        <f>IF($C22="","",IFERROR(INDEX(rngEMtype,MATCH($C22,rngEMcode,0)),"?"))</f>
        <v/>
      </c>
      <c r="F22" s="17">
        <f>IF($C22="","",IFERROR(INDEX(rngEMpass,MATCH($C22,rngEMcode,0)),cfgPassingScore))</f>
        <v/>
      </c>
      <c r="G22" s="17">
        <f>IF($C22="","",IFERROR(INDEX(rngEMseq,MATCH($C22,rngEMcode,0)),""))</f>
        <v/>
      </c>
      <c r="H22" s="29" t="inlineStr">
        <is>
          <t>40</t>
        </is>
      </c>
      <c r="I22" s="19">
        <f>IF($C22="","",IF(IFERROR(_xlfn.MINIFS(nrES_Date,nrES_Code,$C22,nrES_Att,1,nrES_Date,"&gt;0"),0)&gt;0,_xlfn.MINIFS(nrES_Date,nrES_Code,$C22,nrES_Att,1,nrES_Date,"&gt;0"),IF(AND($G22&lt;&gt;"",IFERROR(_xlfn.MAXIFS(nrSCH_Date,nrSCH_Act,"Test "&amp;$G22),0)&gt;0),_xlfn.MAXIFS(nrSCH_Date,nrSCH_Act,"Test "&amp;$G22),IF(AND($H22&lt;&gt;"",IFERROR(_xlfn.MAXIFS(nrSCH_Date,nrSCH_ChNum,$H22),0)&gt;0),_xlfn.MAXIFS(nrSCH_Date,nrSCH_ChNum,$H22),""))))</f>
        <v/>
      </c>
    </row>
    <row r="23">
      <c r="B23" s="16" t="inlineStr">
        <is>
          <t>Yes</t>
        </is>
      </c>
      <c r="C23" s="16" t="inlineStr">
        <is>
          <t>FIN</t>
        </is>
      </c>
      <c r="D23" s="17">
        <f>IF($C23="","",IFERROR(INDEX(rngEMname,MATCH($C23,rngEMcode,0)),"?"))</f>
        <v/>
      </c>
      <c r="E23" s="17">
        <f>IF($C23="","",IFERROR(INDEX(rngEMtype,MATCH($C23,rngEMcode,0)),"?"))</f>
        <v/>
      </c>
      <c r="F23" s="17">
        <f>IF($C23="","",IFERROR(INDEX(rngEMpass,MATCH($C23,rngEMcode,0)),cfgPassingScore))</f>
        <v/>
      </c>
      <c r="G23" s="17">
        <f>IF($C23="","",IFERROR(INDEX(rngEMseq,MATCH($C23,rngEMcode,0)),""))</f>
        <v/>
      </c>
      <c r="H23" s="29" t="inlineStr"/>
      <c r="I23" s="19">
        <f>IF($C23="","",IF(IFERROR(_xlfn.MINIFS(nrES_Date,nrES_Code,$C23,nrES_Att,1,nrES_Date,"&gt;0"),0)&gt;0,_xlfn.MINIFS(nrES_Date,nrES_Code,$C23,nrES_Att,1,nrES_Date,"&gt;0"),IF(AND($G23&lt;&gt;"",IFERROR(_xlfn.MAXIFS(nrSCH_Date,nrSCH_Act,"Test "&amp;$G23),0)&gt;0),_xlfn.MAXIFS(nrSCH_Date,nrSCH_Act,"Test "&amp;$G23),IF(AND($H23&lt;&gt;"",IFERROR(_xlfn.MAXIFS(nrSCH_Date,nrSCH_ChNum,$H23),0)&gt;0),_xlfn.MAXIFS(nrSCH_Date,nrSCH_ChNum,$H23),""))))</f>
        <v/>
      </c>
    </row>
    <row r="24">
      <c r="B24" s="16" t="n"/>
      <c r="C24" s="16" t="n"/>
      <c r="D24" s="17">
        <f>IF($C24="","",IFERROR(INDEX(rngEMname,MATCH($C24,rngEMcode,0)),"?"))</f>
        <v/>
      </c>
      <c r="E24" s="17">
        <f>IF($C24="","",IFERROR(INDEX(rngEMtype,MATCH($C24,rngEMcode,0)),"?"))</f>
        <v/>
      </c>
      <c r="F24" s="17">
        <f>IF($C24="","",IFERROR(INDEX(rngEMpass,MATCH($C24,rngEMcode,0)),cfgPassingScore))</f>
        <v/>
      </c>
      <c r="G24" s="17">
        <f>IF($C24="","",IFERROR(INDEX(rngEMseq,MATCH($C24,rngEMcode,0)),""))</f>
        <v/>
      </c>
      <c r="H24" s="29" t="n"/>
      <c r="I24" s="19">
        <f>IF($C24="","",IF(IFERROR(_xlfn.MINIFS(nrES_Date,nrES_Code,$C24,nrES_Att,1,nrES_Date,"&gt;0"),0)&gt;0,_xlfn.MINIFS(nrES_Date,nrES_Code,$C24,nrES_Att,1,nrES_Date,"&gt;0"),IF(AND($G24&lt;&gt;"",IFERROR(_xlfn.MAXIFS(nrSCH_Date,nrSCH_Act,"Test "&amp;$G24),0)&gt;0),_xlfn.MAXIFS(nrSCH_Date,nrSCH_Act,"Test "&amp;$G24),IF(AND($H24&lt;&gt;"",IFERROR(_xlfn.MAXIFS(nrSCH_Date,nrSCH_ChNum,$H24),0)&gt;0),_xlfn.MAXIFS(nrSCH_Date,nrSCH_ChNum,$H24),""))))</f>
        <v/>
      </c>
    </row>
    <row r="25">
      <c r="B25" s="16" t="n"/>
      <c r="C25" s="16" t="n"/>
      <c r="D25" s="17">
        <f>IF($C25="","",IFERROR(INDEX(rngEMname,MATCH($C25,rngEMcode,0)),"?"))</f>
        <v/>
      </c>
      <c r="E25" s="17">
        <f>IF($C25="","",IFERROR(INDEX(rngEMtype,MATCH($C25,rngEMcode,0)),"?"))</f>
        <v/>
      </c>
      <c r="F25" s="17">
        <f>IF($C25="","",IFERROR(INDEX(rngEMpass,MATCH($C25,rngEMcode,0)),cfgPassingScore))</f>
        <v/>
      </c>
      <c r="G25" s="17">
        <f>IF($C25="","",IFERROR(INDEX(rngEMseq,MATCH($C25,rngEMcode,0)),""))</f>
        <v/>
      </c>
      <c r="H25" s="29" t="n"/>
      <c r="I25" s="19">
        <f>IF($C25="","",IF(IFERROR(_xlfn.MINIFS(nrES_Date,nrES_Code,$C25,nrES_Att,1,nrES_Date,"&gt;0"),0)&gt;0,_xlfn.MINIFS(nrES_Date,nrES_Code,$C25,nrES_Att,1,nrES_Date,"&gt;0"),IF(AND($G25&lt;&gt;"",IFERROR(_xlfn.MAXIFS(nrSCH_Date,nrSCH_Act,"Test "&amp;$G25),0)&gt;0),_xlfn.MAXIFS(nrSCH_Date,nrSCH_Act,"Test "&amp;$G25),IF(AND($H25&lt;&gt;"",IFERROR(_xlfn.MAXIFS(nrSCH_Date,nrSCH_ChNum,$H25),0)&gt;0),_xlfn.MAXIFS(nrSCH_Date,nrSCH_ChNum,$H25),""))))</f>
        <v/>
      </c>
    </row>
    <row r="26">
      <c r="B26" s="16" t="n"/>
      <c r="C26" s="16" t="n"/>
      <c r="D26" s="17">
        <f>IF($C26="","",IFERROR(INDEX(rngEMname,MATCH($C26,rngEMcode,0)),"?"))</f>
        <v/>
      </c>
      <c r="E26" s="17">
        <f>IF($C26="","",IFERROR(INDEX(rngEMtype,MATCH($C26,rngEMcode,0)),"?"))</f>
        <v/>
      </c>
      <c r="F26" s="17">
        <f>IF($C26="","",IFERROR(INDEX(rngEMpass,MATCH($C26,rngEMcode,0)),cfgPassingScore))</f>
        <v/>
      </c>
      <c r="G26" s="17">
        <f>IF($C26="","",IFERROR(INDEX(rngEMseq,MATCH($C26,rngEMcode,0)),""))</f>
        <v/>
      </c>
      <c r="H26" s="29" t="n"/>
      <c r="I26" s="19">
        <f>IF($C26="","",IF(IFERROR(_xlfn.MINIFS(nrES_Date,nrES_Code,$C26,nrES_Att,1,nrES_Date,"&gt;0"),0)&gt;0,_xlfn.MINIFS(nrES_Date,nrES_Code,$C26,nrES_Att,1,nrES_Date,"&gt;0"),IF(AND($G26&lt;&gt;"",IFERROR(_xlfn.MAXIFS(nrSCH_Date,nrSCH_Act,"Test "&amp;$G26),0)&gt;0),_xlfn.MAXIFS(nrSCH_Date,nrSCH_Act,"Test "&amp;$G26),IF(AND($H26&lt;&gt;"",IFERROR(_xlfn.MAXIFS(nrSCH_Date,nrSCH_ChNum,$H26),0)&gt;0),_xlfn.MAXIFS(nrSCH_Date,nrSCH_ChNum,$H26),""))))</f>
        <v/>
      </c>
    </row>
    <row r="27">
      <c r="B27" s="16" t="n"/>
      <c r="C27" s="16" t="n"/>
      <c r="D27" s="17">
        <f>IF($C27="","",IFERROR(INDEX(rngEMname,MATCH($C27,rngEMcode,0)),"?"))</f>
        <v/>
      </c>
      <c r="E27" s="17">
        <f>IF($C27="","",IFERROR(INDEX(rngEMtype,MATCH($C27,rngEMcode,0)),"?"))</f>
        <v/>
      </c>
      <c r="F27" s="17">
        <f>IF($C27="","",IFERROR(INDEX(rngEMpass,MATCH($C27,rngEMcode,0)),cfgPassingScore))</f>
        <v/>
      </c>
      <c r="G27" s="17">
        <f>IF($C27="","",IFERROR(INDEX(rngEMseq,MATCH($C27,rngEMcode,0)),""))</f>
        <v/>
      </c>
      <c r="H27" s="29" t="n"/>
      <c r="I27" s="19">
        <f>IF($C27="","",IF(IFERROR(_xlfn.MINIFS(nrES_Date,nrES_Code,$C27,nrES_Att,1,nrES_Date,"&gt;0"),0)&gt;0,_xlfn.MINIFS(nrES_Date,nrES_Code,$C27,nrES_Att,1,nrES_Date,"&gt;0"),IF(AND($G27&lt;&gt;"",IFERROR(_xlfn.MAXIFS(nrSCH_Date,nrSCH_Act,"Test "&amp;$G27),0)&gt;0),_xlfn.MAXIFS(nrSCH_Date,nrSCH_Act,"Test "&amp;$G27),IF(AND($H27&lt;&gt;"",IFERROR(_xlfn.MAXIFS(nrSCH_Date,nrSCH_ChNum,$H27),0)&gt;0),_xlfn.MAXIFS(nrSCH_Date,nrSCH_ChNum,$H27),""))))</f>
        <v/>
      </c>
    </row>
    <row r="28">
      <c r="B28" s="16" t="n"/>
      <c r="C28" s="16" t="n"/>
      <c r="D28" s="17">
        <f>IF($C28="","",IFERROR(INDEX(rngEMname,MATCH($C28,rngEMcode,0)),"?"))</f>
        <v/>
      </c>
      <c r="E28" s="17">
        <f>IF($C28="","",IFERROR(INDEX(rngEMtype,MATCH($C28,rngEMcode,0)),"?"))</f>
        <v/>
      </c>
      <c r="F28" s="17">
        <f>IF($C28="","",IFERROR(INDEX(rngEMpass,MATCH($C28,rngEMcode,0)),cfgPassingScore))</f>
        <v/>
      </c>
      <c r="G28" s="17">
        <f>IF($C28="","",IFERROR(INDEX(rngEMseq,MATCH($C28,rngEMcode,0)),""))</f>
        <v/>
      </c>
      <c r="H28" s="29" t="n"/>
      <c r="I28" s="19">
        <f>IF($C28="","",IF(IFERROR(_xlfn.MINIFS(nrES_Date,nrES_Code,$C28,nrES_Att,1,nrES_Date,"&gt;0"),0)&gt;0,_xlfn.MINIFS(nrES_Date,nrES_Code,$C28,nrES_Att,1,nrES_Date,"&gt;0"),IF(AND($G28&lt;&gt;"",IFERROR(_xlfn.MAXIFS(nrSCH_Date,nrSCH_Act,"Test "&amp;$G28),0)&gt;0),_xlfn.MAXIFS(nrSCH_Date,nrSCH_Act,"Test "&amp;$G28),IF(AND($H28&lt;&gt;"",IFERROR(_xlfn.MAXIFS(nrSCH_Date,nrSCH_ChNum,$H28),0)&gt;0),_xlfn.MAXIFS(nrSCH_Date,nrSCH_ChNum,$H28),""))))</f>
        <v/>
      </c>
    </row>
    <row r="29">
      <c r="B29" s="16" t="n"/>
      <c r="C29" s="16" t="n"/>
      <c r="D29" s="17">
        <f>IF($C29="","",IFERROR(INDEX(rngEMname,MATCH($C29,rngEMcode,0)),"?"))</f>
        <v/>
      </c>
      <c r="E29" s="17">
        <f>IF($C29="","",IFERROR(INDEX(rngEMtype,MATCH($C29,rngEMcode,0)),"?"))</f>
        <v/>
      </c>
      <c r="F29" s="17">
        <f>IF($C29="","",IFERROR(INDEX(rngEMpass,MATCH($C29,rngEMcode,0)),cfgPassingScore))</f>
        <v/>
      </c>
      <c r="G29" s="17">
        <f>IF($C29="","",IFERROR(INDEX(rngEMseq,MATCH($C29,rngEMcode,0)),""))</f>
        <v/>
      </c>
      <c r="H29" s="29" t="n"/>
      <c r="I29" s="19">
        <f>IF($C29="","",IF(IFERROR(_xlfn.MINIFS(nrES_Date,nrES_Code,$C29,nrES_Att,1,nrES_Date,"&gt;0"),0)&gt;0,_xlfn.MINIFS(nrES_Date,nrES_Code,$C29,nrES_Att,1,nrES_Date,"&gt;0"),IF(AND($G29&lt;&gt;"",IFERROR(_xlfn.MAXIFS(nrSCH_Date,nrSCH_Act,"Test "&amp;$G29),0)&gt;0),_xlfn.MAXIFS(nrSCH_Date,nrSCH_Act,"Test "&amp;$G29),IF(AND($H29&lt;&gt;"",IFERROR(_xlfn.MAXIFS(nrSCH_Date,nrSCH_ChNum,$H29),0)&gt;0),_xlfn.MAXIFS(nrSCH_Date,nrSCH_ChNum,$H29),""))))</f>
        <v/>
      </c>
    </row>
    <row r="30">
      <c r="B30" s="16" t="n"/>
      <c r="C30" s="16" t="n"/>
      <c r="D30" s="17">
        <f>IF($C30="","",IFERROR(INDEX(rngEMname,MATCH($C30,rngEMcode,0)),"?"))</f>
        <v/>
      </c>
      <c r="E30" s="17">
        <f>IF($C30="","",IFERROR(INDEX(rngEMtype,MATCH($C30,rngEMcode,0)),"?"))</f>
        <v/>
      </c>
      <c r="F30" s="17">
        <f>IF($C30="","",IFERROR(INDEX(rngEMpass,MATCH($C30,rngEMcode,0)),cfgPassingScore))</f>
        <v/>
      </c>
      <c r="G30" s="17">
        <f>IF($C30="","",IFERROR(INDEX(rngEMseq,MATCH($C30,rngEMcode,0)),""))</f>
        <v/>
      </c>
      <c r="H30" s="29" t="n"/>
      <c r="I30" s="19">
        <f>IF($C30="","",IF(IFERROR(_xlfn.MINIFS(nrES_Date,nrES_Code,$C30,nrES_Att,1,nrES_Date,"&gt;0"),0)&gt;0,_xlfn.MINIFS(nrES_Date,nrES_Code,$C30,nrES_Att,1,nrES_Date,"&gt;0"),IF(AND($G30&lt;&gt;"",IFERROR(_xlfn.MAXIFS(nrSCH_Date,nrSCH_Act,"Test "&amp;$G30),0)&gt;0),_xlfn.MAXIFS(nrSCH_Date,nrSCH_Act,"Test "&amp;$G30),IF(AND($H30&lt;&gt;"",IFERROR(_xlfn.MAXIFS(nrSCH_Date,nrSCH_ChNum,$H30),0)&gt;0),_xlfn.MAXIFS(nrSCH_Date,nrSCH_ChNum,$H30),""))))</f>
        <v/>
      </c>
    </row>
  </sheetData>
  <sheetProtection selectLockedCells="0" selectUnlockedCells="0" sheet="1" objects="0" insertRows="1" insertHyperlinks="1" autoFilter="0" scenarios="0" formatColumns="1" deleteColumns="1" insertColumns="1" pivotTables="1" deleteRows="1" formatCells="1" formatRows="1" sort="1" password="B4BB"/>
  <dataValidations count="3">
    <dataValidation sqref="B6:B30" showDropDown="0" showInputMessage="0" showErrorMessage="1" allowBlank="1" type="list">
      <formula1>=lstYesNo</formula1>
    </dataValidation>
    <dataValidation sqref="C6:C30" showDropDown="0" showInputMessage="0" showErrorMessage="1" allowBlank="1" type="list">
      <formula1>=rngEMcode</formula1>
    </dataValidation>
    <dataValidation sqref="H6:H30" showDropDown="0" showInputMessage="0" showErrorMessage="1" allowBlank="1" type="list">
      <formula1>=nrCHnum</formula1>
    </dataValidation>
  </dataValidations>
  <pageMargins left="0.75" right="0.75" top="1" bottom="1" header="0.5" footer="0.5"/>
</worksheet>
</file>

<file path=xl/worksheets/sheet47.xml><?xml version="1.0" encoding="utf-8"?>
<worksheet xmlns="http://schemas.openxmlformats.org/spreadsheetml/2006/main">
  <sheetPr>
    <tabColor rgb="00C8A24B"/>
    <outlinePr summaryBelow="1" summaryRight="1"/>
    <pageSetUpPr/>
  </sheetPr>
  <dimension ref="B1:E15"/>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8" customWidth="1" min="2" max="2"/>
    <col width="14" customWidth="1" min="3" max="3"/>
    <col width="14" customWidth="1" min="4" max="4"/>
    <col width="14" customWidth="1" min="5" max="5"/>
  </cols>
  <sheetData>
    <row r="1">
      <c r="B1" s="10">
        <f>HYPERLINK("#Dashboard!B5","◄ Dashboard")</f>
        <v/>
      </c>
    </row>
    <row r="4">
      <c r="B4" s="11" t="inlineStr">
        <is>
          <t>Attempt limits per policy 300.7/600: exhausting attempts = separation. Firearms scored; others pass/fail.</t>
        </is>
      </c>
    </row>
    <row r="5" ht="26" customHeight="1">
      <c r="B5" s="12" t="inlineStr">
        <is>
          <t>Category</t>
        </is>
      </c>
      <c r="C5" s="12" t="inlineStr">
        <is>
          <t>Max Attempts</t>
        </is>
      </c>
      <c r="D5" s="12" t="inlineStr">
        <is>
          <t>Scoring Mode</t>
        </is>
      </c>
      <c r="E5" s="12" t="inlineStr">
        <is>
          <t>Passing Score</t>
        </is>
      </c>
    </row>
    <row r="6">
      <c r="B6" s="16" t="inlineStr">
        <is>
          <t>Firearms</t>
        </is>
      </c>
      <c r="C6" s="16" t="n">
        <v>3</v>
      </c>
      <c r="D6" s="16" t="inlineStr">
        <is>
          <t>Score</t>
        </is>
      </c>
      <c r="E6" s="16" t="n">
        <v>70</v>
      </c>
    </row>
    <row r="7">
      <c r="B7" s="16" t="inlineStr">
        <is>
          <t>Driving</t>
        </is>
      </c>
      <c r="C7" s="16" t="n">
        <v>5</v>
      </c>
      <c r="D7" s="16" t="inlineStr">
        <is>
          <t>Pass/Fail</t>
        </is>
      </c>
      <c r="E7" s="16" t="n"/>
    </row>
    <row r="8">
      <c r="B8" s="16" t="inlineStr">
        <is>
          <t>MOA</t>
        </is>
      </c>
      <c r="C8" s="16" t="n">
        <v>3</v>
      </c>
      <c r="D8" s="16" t="inlineStr">
        <is>
          <t>Pass/Fail</t>
        </is>
      </c>
      <c r="E8" s="16" t="n"/>
    </row>
    <row r="9">
      <c r="B9" s="16" t="inlineStr">
        <is>
          <t>OC</t>
        </is>
      </c>
      <c r="C9" s="16" t="n">
        <v>1</v>
      </c>
      <c r="D9" s="16" t="inlineStr">
        <is>
          <t>Pass/Fail</t>
        </is>
      </c>
      <c r="E9" s="16" t="n"/>
    </row>
    <row r="10">
      <c r="B10" s="16" t="inlineStr">
        <is>
          <t>SFST</t>
        </is>
      </c>
      <c r="C10" s="16" t="n">
        <v>3</v>
      </c>
      <c r="D10" s="16" t="inlineStr">
        <is>
          <t>Pass/Fail</t>
        </is>
      </c>
      <c r="E10" s="16" t="n"/>
    </row>
    <row r="11">
      <c r="B11" s="16" t="inlineStr">
        <is>
          <t>Medical</t>
        </is>
      </c>
      <c r="C11" s="16" t="n">
        <v>3</v>
      </c>
      <c r="D11" s="16" t="inlineStr">
        <is>
          <t>Pass/Fail</t>
        </is>
      </c>
      <c r="E11" s="16" t="n"/>
    </row>
    <row r="12">
      <c r="B12" s="16" t="n"/>
      <c r="C12" s="16" t="n"/>
      <c r="D12" s="16" t="n"/>
      <c r="E12" s="16" t="n"/>
    </row>
    <row r="13">
      <c r="B13" s="16" t="n"/>
      <c r="C13" s="16" t="n"/>
      <c r="D13" s="16" t="n"/>
      <c r="E13" s="16" t="n"/>
    </row>
    <row r="14">
      <c r="B14" s="16" t="n"/>
      <c r="C14" s="16" t="n"/>
      <c r="D14" s="16" t="n"/>
      <c r="E14" s="16" t="n"/>
    </row>
    <row r="15">
      <c r="B15" s="16" t="n"/>
      <c r="C15" s="16" t="n"/>
      <c r="D15" s="16" t="n"/>
      <c r="E15" s="16" t="n"/>
    </row>
  </sheetData>
  <sheetProtection selectLockedCells="0" selectUnlockedCells="0" sheet="1" objects="0" insertRows="1" insertHyperlinks="1" autoFilter="0" scenarios="0" formatColumns="1" deleteColumns="1" insertColumns="1" pivotTables="1" deleteRows="1" formatCells="1" formatRows="1" sort="1" password="B4BB"/>
  <dataValidations count="1">
    <dataValidation sqref="D6:D15" showDropDown="0" showInputMessage="0" showErrorMessage="1" allowBlank="1" type="list">
      <formula1>=lstScoringMode</formula1>
    </dataValidation>
  </dataValidations>
  <pageMargins left="0.75" right="0.75" top="1" bottom="1" header="0.5" footer="0.5"/>
</worksheet>
</file>

<file path=xl/worksheets/sheet48.xml><?xml version="1.0" encoding="utf-8"?>
<worksheet xmlns="http://schemas.openxmlformats.org/spreadsheetml/2006/main">
  <sheetPr>
    <tabColor rgb="00C8A24B"/>
    <outlinePr summaryBelow="1" summaryRight="1"/>
    <pageSetUpPr/>
  </sheetPr>
  <dimension ref="B1:N32"/>
  <sheetViews>
    <sheetView showGridLines="0" workbookViewId="0">
      <pane xSplit="2" ySplit="5" topLeftCell="C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8"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s>
  <sheetData>
    <row r="1">
      <c r="B1" s="10">
        <f>HYPERLINK("#Dashboard!B5","◄ Dashboard")</f>
        <v/>
      </c>
    </row>
    <row r="4">
      <c r="B4" s="11" t="inlineStr">
        <is>
          <t>Word lists print from Print Center (test sheet or key). Edit words here to change future academies.</t>
        </is>
      </c>
    </row>
    <row r="5" ht="26" customHeight="1">
      <c r="B5" s="12" t="inlineStr">
        <is>
          <t>Word #</t>
        </is>
      </c>
      <c r="C5" s="12" t="inlineStr">
        <is>
          <t>Test 1</t>
        </is>
      </c>
      <c r="D5" s="12" t="inlineStr">
        <is>
          <t>Test 2</t>
        </is>
      </c>
      <c r="E5" s="12" t="inlineStr">
        <is>
          <t>Test 3</t>
        </is>
      </c>
      <c r="F5" s="12" t="inlineStr">
        <is>
          <t>Test 4</t>
        </is>
      </c>
      <c r="G5" s="12" t="inlineStr">
        <is>
          <t>Test 5</t>
        </is>
      </c>
      <c r="H5" s="12" t="inlineStr">
        <is>
          <t>Test 6</t>
        </is>
      </c>
      <c r="I5" s="12" t="inlineStr">
        <is>
          <t>Test 7</t>
        </is>
      </c>
      <c r="J5" s="12" t="inlineStr">
        <is>
          <t>Test 8</t>
        </is>
      </c>
      <c r="K5" s="12" t="inlineStr">
        <is>
          <t>Test 9</t>
        </is>
      </c>
      <c r="L5" s="12" t="inlineStr">
        <is>
          <t>Test 10</t>
        </is>
      </c>
      <c r="M5" s="12" t="inlineStr">
        <is>
          <t>Test 11</t>
        </is>
      </c>
      <c r="N5" s="12" t="inlineStr">
        <is>
          <t>Test 12</t>
        </is>
      </c>
    </row>
    <row r="6">
      <c r="B6" s="3" t="n">
        <v>1</v>
      </c>
      <c r="C6" s="16" t="inlineStr">
        <is>
          <t>Abandon</t>
        </is>
      </c>
      <c r="D6" s="16" t="inlineStr">
        <is>
          <t>Children</t>
        </is>
      </c>
      <c r="E6" s="16" t="inlineStr">
        <is>
          <t>Bicycle</t>
        </is>
      </c>
      <c r="F6" s="16" t="inlineStr">
        <is>
          <t>Blood</t>
        </is>
      </c>
      <c r="G6" s="16" t="inlineStr">
        <is>
          <t>Expiration</t>
        </is>
      </c>
      <c r="H6" s="16" t="inlineStr">
        <is>
          <t>Flammable</t>
        </is>
      </c>
      <c r="I6" s="16" t="inlineStr">
        <is>
          <t>Foreign</t>
        </is>
      </c>
      <c r="J6" s="16" t="inlineStr">
        <is>
          <t>Minimum</t>
        </is>
      </c>
      <c r="K6" s="16" t="inlineStr">
        <is>
          <t>Habitual</t>
        </is>
      </c>
      <c r="L6" s="16" t="inlineStr">
        <is>
          <t>Reasonable</t>
        </is>
      </c>
      <c r="M6" s="16" t="inlineStr">
        <is>
          <t>Requirements</t>
        </is>
      </c>
      <c r="N6" s="16" t="inlineStr">
        <is>
          <t>Resisting</t>
        </is>
      </c>
    </row>
    <row r="7">
      <c r="B7" s="3" t="n">
        <v>2</v>
      </c>
      <c r="C7" s="16" t="inlineStr">
        <is>
          <t>Accountability</t>
        </is>
      </c>
      <c r="D7" s="16" t="inlineStr">
        <is>
          <t>Commercial</t>
        </is>
      </c>
      <c r="E7" s="16" t="inlineStr">
        <is>
          <t>Bridge</t>
        </is>
      </c>
      <c r="F7" s="16" t="inlineStr">
        <is>
          <t>Building</t>
        </is>
      </c>
      <c r="G7" s="16" t="inlineStr">
        <is>
          <t>Federal</t>
        </is>
      </c>
      <c r="H7" s="16" t="inlineStr">
        <is>
          <t>Frisk</t>
        </is>
      </c>
      <c r="I7" s="16" t="inlineStr">
        <is>
          <t>Force</t>
        </is>
      </c>
      <c r="J7" s="16" t="inlineStr">
        <is>
          <t>Habitation</t>
        </is>
      </c>
      <c r="K7" s="16" t="inlineStr">
        <is>
          <t>Highway</t>
        </is>
      </c>
      <c r="L7" s="16" t="inlineStr">
        <is>
          <t>Restaurants</t>
        </is>
      </c>
      <c r="M7" s="16" t="inlineStr">
        <is>
          <t>Revolver</t>
        </is>
      </c>
      <c r="N7" s="16" t="inlineStr">
        <is>
          <t>Seizure</t>
        </is>
      </c>
    </row>
    <row r="8">
      <c r="B8" s="3" t="n">
        <v>3</v>
      </c>
      <c r="C8" s="16" t="inlineStr">
        <is>
          <t>Accounting</t>
        </is>
      </c>
      <c r="D8" s="16" t="inlineStr">
        <is>
          <t>Coroner</t>
        </is>
      </c>
      <c r="E8" s="16" t="inlineStr">
        <is>
          <t>Business</t>
        </is>
      </c>
      <c r="F8" s="16" t="inlineStr">
        <is>
          <t>Cemeteries</t>
        </is>
      </c>
      <c r="G8" s="16" t="inlineStr">
        <is>
          <t>Forgery</t>
        </is>
      </c>
      <c r="H8" s="16" t="inlineStr">
        <is>
          <t>Government</t>
        </is>
      </c>
      <c r="I8" s="16" t="inlineStr">
        <is>
          <t>Habeas Corpus</t>
        </is>
      </c>
      <c r="J8" s="16" t="inlineStr">
        <is>
          <t>Handicapped</t>
        </is>
      </c>
      <c r="K8" s="16" t="inlineStr">
        <is>
          <t>Illicit</t>
        </is>
      </c>
      <c r="L8" s="16" t="inlineStr">
        <is>
          <t>Search</t>
        </is>
      </c>
      <c r="M8" s="16" t="inlineStr">
        <is>
          <t>Signature</t>
        </is>
      </c>
      <c r="N8" s="16" t="inlineStr">
        <is>
          <t>Spouse</t>
        </is>
      </c>
    </row>
    <row r="9">
      <c r="B9" s="3" t="n">
        <v>4</v>
      </c>
      <c r="C9" s="16" t="inlineStr">
        <is>
          <t>Aggravated</t>
        </is>
      </c>
      <c r="D9" s="16" t="inlineStr">
        <is>
          <t>Confrontation</t>
        </is>
      </c>
      <c r="E9" s="16" t="inlineStr">
        <is>
          <t>Bruise</t>
        </is>
      </c>
      <c r="F9" s="16" t="inlineStr">
        <is>
          <t>Citation</t>
        </is>
      </c>
      <c r="G9" s="16" t="inlineStr">
        <is>
          <t>Flexibility</t>
        </is>
      </c>
      <c r="H9" s="16" t="inlineStr">
        <is>
          <t>Guilty</t>
        </is>
      </c>
      <c r="I9" s="16" t="inlineStr">
        <is>
          <t>Harboring</t>
        </is>
      </c>
      <c r="J9" s="16" t="inlineStr">
        <is>
          <t>Hazardous</t>
        </is>
      </c>
      <c r="K9" s="16" t="inlineStr">
        <is>
          <t>Individual</t>
        </is>
      </c>
      <c r="L9" s="16" t="inlineStr">
        <is>
          <t>Statement</t>
        </is>
      </c>
      <c r="M9" s="16" t="inlineStr">
        <is>
          <t>Summons</t>
        </is>
      </c>
      <c r="N9" s="16" t="inlineStr">
        <is>
          <t>Subpoena</t>
        </is>
      </c>
    </row>
    <row r="10">
      <c r="B10" s="3" t="n">
        <v>5</v>
      </c>
      <c r="C10" s="16" t="inlineStr">
        <is>
          <t>Amendments</t>
        </is>
      </c>
      <c r="D10" s="16" t="inlineStr">
        <is>
          <t>Abduct</t>
        </is>
      </c>
      <c r="E10" s="16" t="inlineStr">
        <is>
          <t>Commission</t>
        </is>
      </c>
      <c r="F10" s="16" t="inlineStr">
        <is>
          <t>Contraband</t>
        </is>
      </c>
      <c r="G10" s="16" t="inlineStr">
        <is>
          <t>Guardian</t>
        </is>
      </c>
      <c r="H10" s="16" t="inlineStr">
        <is>
          <t>Construction</t>
        </is>
      </c>
      <c r="I10" s="16" t="inlineStr">
        <is>
          <t>Identification</t>
        </is>
      </c>
      <c r="J10" s="16" t="inlineStr">
        <is>
          <t>Illegal</t>
        </is>
      </c>
      <c r="K10" s="16" t="inlineStr">
        <is>
          <t>Insurance</t>
        </is>
      </c>
      <c r="L10" s="16" t="inlineStr">
        <is>
          <t>Suspended</t>
        </is>
      </c>
      <c r="M10" s="16" t="inlineStr">
        <is>
          <t>Testimony</t>
        </is>
      </c>
      <c r="N10" s="16" t="inlineStr">
        <is>
          <t>Suspect</t>
        </is>
      </c>
    </row>
    <row r="11">
      <c r="B11" s="3" t="n">
        <v>6</v>
      </c>
      <c r="C11" s="16" t="inlineStr">
        <is>
          <t>Arrest</t>
        </is>
      </c>
      <c r="D11" s="16" t="inlineStr">
        <is>
          <t>Accused</t>
        </is>
      </c>
      <c r="E11" s="16" t="inlineStr">
        <is>
          <t>Concealed</t>
        </is>
      </c>
      <c r="F11" s="16" t="inlineStr">
        <is>
          <t>Confession</t>
        </is>
      </c>
      <c r="G11" s="16" t="inlineStr">
        <is>
          <t>Constitution</t>
        </is>
      </c>
      <c r="H11" s="16" t="inlineStr">
        <is>
          <t>Criminal</t>
        </is>
      </c>
      <c r="I11" s="16" t="inlineStr">
        <is>
          <t>Indecency</t>
        </is>
      </c>
      <c r="J11" s="16" t="inlineStr">
        <is>
          <t>Indictment</t>
        </is>
      </c>
      <c r="K11" s="16" t="inlineStr">
        <is>
          <t>Intimidation</t>
        </is>
      </c>
      <c r="L11" s="16" t="inlineStr">
        <is>
          <t>Terroristic</t>
        </is>
      </c>
      <c r="M11" s="16" t="inlineStr">
        <is>
          <t>Uniform</t>
        </is>
      </c>
      <c r="N11" s="16" t="inlineStr">
        <is>
          <t>Temporary</t>
        </is>
      </c>
    </row>
    <row r="12">
      <c r="B12" s="3" t="n">
        <v>7</v>
      </c>
      <c r="C12" s="16" t="inlineStr">
        <is>
          <t>Automobile</t>
        </is>
      </c>
      <c r="D12" s="16" t="inlineStr">
        <is>
          <t>Alcohol</t>
        </is>
      </c>
      <c r="E12" s="16" t="inlineStr">
        <is>
          <t>Consent</t>
        </is>
      </c>
      <c r="F12" s="16" t="inlineStr">
        <is>
          <t>Conspiracy</t>
        </is>
      </c>
      <c r="G12" s="16" t="inlineStr">
        <is>
          <t>Counterfeit</t>
        </is>
      </c>
      <c r="H12" s="16" t="inlineStr">
        <is>
          <t>Compliance</t>
        </is>
      </c>
      <c r="I12" s="16" t="inlineStr">
        <is>
          <t>Instruments</t>
        </is>
      </c>
      <c r="J12" s="16" t="inlineStr">
        <is>
          <t>Insufficient</t>
        </is>
      </c>
      <c r="K12" s="16" t="inlineStr">
        <is>
          <t>Length</t>
        </is>
      </c>
      <c r="L12" s="16" t="inlineStr">
        <is>
          <t>Truancy</t>
        </is>
      </c>
      <c r="M12" s="16" t="inlineStr">
        <is>
          <t>Offense</t>
        </is>
      </c>
      <c r="N12" s="16" t="inlineStr">
        <is>
          <t>Tobacco</t>
        </is>
      </c>
    </row>
    <row r="13">
      <c r="B13" s="3" t="n">
        <v>8</v>
      </c>
      <c r="C13" s="16" t="inlineStr">
        <is>
          <t>Badge</t>
        </is>
      </c>
      <c r="D13" s="16" t="inlineStr">
        <is>
          <t>Ammunition</t>
        </is>
      </c>
      <c r="E13" s="16" t="inlineStr">
        <is>
          <t>Abuse</t>
        </is>
      </c>
      <c r="F13" s="16" t="inlineStr">
        <is>
          <t>Constables</t>
        </is>
      </c>
      <c r="G13" s="16" t="inlineStr">
        <is>
          <t>Controlled</t>
        </is>
      </c>
      <c r="H13" s="16" t="inlineStr">
        <is>
          <t>Delivery</t>
        </is>
      </c>
      <c r="I13" s="16" t="inlineStr">
        <is>
          <t>Interrogation</t>
        </is>
      </c>
      <c r="J13" s="16" t="inlineStr">
        <is>
          <t>Intoxication</t>
        </is>
      </c>
      <c r="K13" s="16" t="inlineStr">
        <is>
          <t>Location</t>
        </is>
      </c>
      <c r="L13" s="16" t="inlineStr">
        <is>
          <t>Odometer</t>
        </is>
      </c>
      <c r="M13" s="16" t="inlineStr">
        <is>
          <t>Parent</t>
        </is>
      </c>
      <c r="N13" s="16" t="inlineStr">
        <is>
          <t>Trespass</t>
        </is>
      </c>
    </row>
    <row r="14">
      <c r="B14" s="3" t="n">
        <v>9</v>
      </c>
      <c r="C14" s="16" t="inlineStr">
        <is>
          <t>Battery</t>
        </is>
      </c>
      <c r="D14" s="16" t="inlineStr">
        <is>
          <t>Assault</t>
        </is>
      </c>
      <c r="E14" s="16" t="inlineStr">
        <is>
          <t>Addiction</t>
        </is>
      </c>
      <c r="F14" s="16" t="inlineStr">
        <is>
          <t>Credibility</t>
        </is>
      </c>
      <c r="G14" s="16" t="inlineStr">
        <is>
          <t>Delinquent</t>
        </is>
      </c>
      <c r="H14" s="16" t="inlineStr">
        <is>
          <t>Disability</t>
        </is>
      </c>
      <c r="I14" s="16" t="inlineStr">
        <is>
          <t>Investigation</t>
        </is>
      </c>
      <c r="J14" s="16" t="inlineStr">
        <is>
          <t>Juvenile</t>
        </is>
      </c>
      <c r="K14" s="16" t="inlineStr">
        <is>
          <t>Manufacture</t>
        </is>
      </c>
      <c r="L14" s="16" t="inlineStr">
        <is>
          <t>Paraphernalia</t>
        </is>
      </c>
      <c r="M14" s="16" t="inlineStr">
        <is>
          <t>Photographs</t>
        </is>
      </c>
      <c r="N14" s="16" t="inlineStr">
        <is>
          <t>Unlawful</t>
        </is>
      </c>
    </row>
    <row r="15">
      <c r="B15" s="3" t="n">
        <v>10</v>
      </c>
      <c r="C15" s="16" t="inlineStr">
        <is>
          <t>Beverage</t>
        </is>
      </c>
      <c r="D15" s="16" t="inlineStr">
        <is>
          <t>Autopsy</t>
        </is>
      </c>
      <c r="E15" s="16" t="inlineStr">
        <is>
          <t>Alcoholic</t>
        </is>
      </c>
      <c r="F15" s="16" t="inlineStr">
        <is>
          <t>Coordination</t>
        </is>
      </c>
      <c r="G15" s="16" t="inlineStr">
        <is>
          <t>Diesel</t>
        </is>
      </c>
      <c r="H15" s="16" t="inlineStr">
        <is>
          <t>Disturbance</t>
        </is>
      </c>
      <c r="I15" s="16" t="inlineStr">
        <is>
          <t>Kidnapping</t>
        </is>
      </c>
      <c r="J15" s="16" t="inlineStr">
        <is>
          <t>Knife</t>
        </is>
      </c>
      <c r="K15" s="16" t="inlineStr">
        <is>
          <t>Misdemeanor</t>
        </is>
      </c>
      <c r="L15" s="16" t="inlineStr">
        <is>
          <t>Perjury</t>
        </is>
      </c>
      <c r="M15" s="16" t="inlineStr">
        <is>
          <t>Premises</t>
        </is>
      </c>
      <c r="N15" s="16" t="inlineStr">
        <is>
          <t>Possession</t>
        </is>
      </c>
    </row>
    <row r="16">
      <c r="B16" s="3" t="n">
        <v>11</v>
      </c>
      <c r="C16" s="16" t="inlineStr">
        <is>
          <t>Burglary</t>
        </is>
      </c>
      <c r="D16" s="16" t="inlineStr">
        <is>
          <t>Articles</t>
        </is>
      </c>
      <c r="E16" s="16" t="inlineStr">
        <is>
          <t>Appeals</t>
        </is>
      </c>
      <c r="F16" s="16" t="inlineStr">
        <is>
          <t>Defense</t>
        </is>
      </c>
      <c r="G16" s="16" t="inlineStr">
        <is>
          <t>Disorderly</t>
        </is>
      </c>
      <c r="H16" s="16" t="inlineStr">
        <is>
          <t>Denial</t>
        </is>
      </c>
      <c r="I16" s="16" t="inlineStr">
        <is>
          <t>Lewdness</t>
        </is>
      </c>
      <c r="J16" s="16" t="inlineStr">
        <is>
          <t>Lawyer</t>
        </is>
      </c>
      <c r="K16" s="16" t="inlineStr">
        <is>
          <t>Harassment</t>
        </is>
      </c>
      <c r="L16" s="16" t="inlineStr">
        <is>
          <t>Prejudice</t>
        </is>
      </c>
      <c r="M16" s="16" t="inlineStr">
        <is>
          <t>Probation</t>
        </is>
      </c>
      <c r="N16" s="16" t="inlineStr">
        <is>
          <t>Prisoner</t>
        </is>
      </c>
    </row>
    <row r="17">
      <c r="B17" s="3" t="n">
        <v>12</v>
      </c>
      <c r="C17" s="16" t="inlineStr">
        <is>
          <t>Certificate</t>
        </is>
      </c>
      <c r="D17" s="16" t="inlineStr">
        <is>
          <t>Bail</t>
        </is>
      </c>
      <c r="E17" s="16" t="inlineStr">
        <is>
          <t>Attempt</t>
        </is>
      </c>
      <c r="F17" s="16" t="inlineStr">
        <is>
          <t>Devices</t>
        </is>
      </c>
      <c r="G17" s="16" t="inlineStr">
        <is>
          <t>Deprivation</t>
        </is>
      </c>
      <c r="H17" s="16" t="inlineStr">
        <is>
          <t>Enhancement</t>
        </is>
      </c>
      <c r="I17" s="16" t="inlineStr">
        <is>
          <t>Machinery</t>
        </is>
      </c>
      <c r="J17" s="16" t="inlineStr">
        <is>
          <t>Liability</t>
        </is>
      </c>
      <c r="K17" s="16" t="inlineStr">
        <is>
          <t>Household</t>
        </is>
      </c>
      <c r="L17" s="16" t="inlineStr">
        <is>
          <t>Probable</t>
        </is>
      </c>
      <c r="M17" s="16" t="inlineStr">
        <is>
          <t>Receipt</t>
        </is>
      </c>
      <c r="N17" s="16" t="inlineStr">
        <is>
          <t>Prohibited</t>
        </is>
      </c>
    </row>
    <row r="18">
      <c r="B18" s="3" t="n">
        <v>13</v>
      </c>
      <c r="C18" s="16" t="inlineStr">
        <is>
          <t>Citizen</t>
        </is>
      </c>
      <c r="D18" s="16" t="inlineStr">
        <is>
          <t>Brakes</t>
        </is>
      </c>
      <c r="E18" s="16" t="inlineStr">
        <is>
          <t>Alias</t>
        </is>
      </c>
      <c r="F18" s="16" t="inlineStr">
        <is>
          <t>Disease</t>
        </is>
      </c>
      <c r="G18" s="16" t="inlineStr">
        <is>
          <t>Enforcement</t>
        </is>
      </c>
      <c r="H18" s="16" t="inlineStr">
        <is>
          <t>Exposure</t>
        </is>
      </c>
      <c r="I18" s="16" t="inlineStr">
        <is>
          <t>Marriage</t>
        </is>
      </c>
      <c r="J18" s="16" t="inlineStr">
        <is>
          <t>Liquor</t>
        </is>
      </c>
      <c r="K18" s="16" t="inlineStr">
        <is>
          <t>Incident</t>
        </is>
      </c>
      <c r="L18" s="16" t="inlineStr">
        <is>
          <t>Prostitution</t>
        </is>
      </c>
      <c r="M18" s="16" t="inlineStr">
        <is>
          <t>Restrain</t>
        </is>
      </c>
      <c r="N18" s="16" t="inlineStr">
        <is>
          <t>Retaliation</t>
        </is>
      </c>
    </row>
    <row r="19">
      <c r="B19" s="3" t="n">
        <v>14</v>
      </c>
      <c r="C19" s="16" t="inlineStr">
        <is>
          <t>Community</t>
        </is>
      </c>
      <c r="D19" s="16" t="inlineStr">
        <is>
          <t>Backup</t>
        </is>
      </c>
      <c r="E19" s="16" t="inlineStr">
        <is>
          <t>Administer</t>
        </is>
      </c>
      <c r="F19" s="16" t="inlineStr">
        <is>
          <t>Dwelling</t>
        </is>
      </c>
      <c r="G19" s="16" t="inlineStr">
        <is>
          <t>Explosives</t>
        </is>
      </c>
      <c r="H19" s="16" t="inlineStr">
        <is>
          <t>Fictitious</t>
        </is>
      </c>
      <c r="I19" s="16" t="inlineStr">
        <is>
          <t>Motorcycles</t>
        </is>
      </c>
      <c r="J19" s="16" t="inlineStr">
        <is>
          <t>Manslaughter</t>
        </is>
      </c>
      <c r="K19" s="16" t="inlineStr">
        <is>
          <t>Inquest</t>
        </is>
      </c>
      <c r="L19" s="16" t="inlineStr">
        <is>
          <t>Registration</t>
        </is>
      </c>
      <c r="M19" s="16" t="inlineStr">
        <is>
          <t>Security</t>
        </is>
      </c>
      <c r="N19" s="16" t="inlineStr">
        <is>
          <t>Recidivism</t>
        </is>
      </c>
    </row>
    <row r="20">
      <c r="B20" s="3" t="n">
        <v>15</v>
      </c>
      <c r="C20" s="16" t="inlineStr">
        <is>
          <t>Confidential</t>
        </is>
      </c>
      <c r="D20" s="16" t="inlineStr">
        <is>
          <t>Booking</t>
        </is>
      </c>
      <c r="E20" s="16" t="inlineStr">
        <is>
          <t>Barricade</t>
        </is>
      </c>
      <c r="F20" s="16" t="inlineStr">
        <is>
          <t>Education</t>
        </is>
      </c>
      <c r="G20" s="16" t="inlineStr">
        <is>
          <t>Felony</t>
        </is>
      </c>
      <c r="H20" s="16" t="inlineStr">
        <is>
          <t>Fugitive</t>
        </is>
      </c>
      <c r="I20" s="16" t="inlineStr">
        <is>
          <t>Narcotic</t>
        </is>
      </c>
      <c r="J20" s="16" t="inlineStr">
        <is>
          <t>Medication</t>
        </is>
      </c>
      <c r="K20" s="16" t="inlineStr">
        <is>
          <t>Interpreter</t>
        </is>
      </c>
      <c r="L20" s="16" t="inlineStr">
        <is>
          <t>Revocation</t>
        </is>
      </c>
      <c r="M20" s="16" t="inlineStr">
        <is>
          <t>Statutes</t>
        </is>
      </c>
      <c r="N20" s="16" t="inlineStr">
        <is>
          <t>Respiratory</t>
        </is>
      </c>
    </row>
    <row r="21">
      <c r="B21" s="3" t="n">
        <v>16</v>
      </c>
      <c r="C21" s="16" t="inlineStr">
        <is>
          <t>Abrasion</t>
        </is>
      </c>
      <c r="D21" s="16" t="inlineStr">
        <is>
          <t>Capital</t>
        </is>
      </c>
      <c r="E21" s="16" t="inlineStr">
        <is>
          <t>Breach</t>
        </is>
      </c>
      <c r="F21" s="16" t="inlineStr">
        <is>
          <t>Equipment</t>
        </is>
      </c>
      <c r="G21" s="16" t="inlineStr">
        <is>
          <t>Fraud</t>
        </is>
      </c>
      <c r="H21" s="16" t="inlineStr">
        <is>
          <t>Fitness</t>
        </is>
      </c>
      <c r="I21" s="16" t="inlineStr">
        <is>
          <t>Conviction</t>
        </is>
      </c>
      <c r="J21" s="16" t="inlineStr">
        <is>
          <t>Minor</t>
        </is>
      </c>
      <c r="K21" s="16" t="inlineStr">
        <is>
          <t>Inventory</t>
        </is>
      </c>
      <c r="L21" s="16" t="inlineStr">
        <is>
          <t>Shotgun</t>
        </is>
      </c>
      <c r="M21" s="16" t="inlineStr">
        <is>
          <t>Telephone</t>
        </is>
      </c>
      <c r="N21" s="16" t="inlineStr">
        <is>
          <t>Recommendation</t>
        </is>
      </c>
    </row>
    <row r="22">
      <c r="B22" s="3" t="n">
        <v>17</v>
      </c>
      <c r="C22" s="16" t="inlineStr">
        <is>
          <t>Aerosol</t>
        </is>
      </c>
      <c r="D22" s="16" t="inlineStr">
        <is>
          <t>Complainant</t>
        </is>
      </c>
      <c r="E22" s="16" t="inlineStr">
        <is>
          <t>Chemical</t>
        </is>
      </c>
      <c r="F22" s="16" t="inlineStr">
        <is>
          <t>Ethical</t>
        </is>
      </c>
      <c r="G22" s="16" t="inlineStr">
        <is>
          <t>Falsification</t>
        </is>
      </c>
      <c r="H22" s="16" t="inlineStr">
        <is>
          <t>Graffiti</t>
        </is>
      </c>
      <c r="I22" s="16" t="inlineStr">
        <is>
          <t>Handgun</t>
        </is>
      </c>
      <c r="J22" s="16" t="inlineStr">
        <is>
          <t>Motorist</t>
        </is>
      </c>
      <c r="K22" s="16" t="inlineStr">
        <is>
          <t>License</t>
        </is>
      </c>
      <c r="L22" s="16" t="inlineStr">
        <is>
          <t>Suicide</t>
        </is>
      </c>
      <c r="M22" s="16" t="inlineStr">
        <is>
          <t>Transportation</t>
        </is>
      </c>
      <c r="N22" s="16" t="inlineStr">
        <is>
          <t>Appropriate</t>
        </is>
      </c>
    </row>
    <row r="23">
      <c r="B23" s="3" t="n">
        <v>18</v>
      </c>
      <c r="C23" s="16" t="inlineStr">
        <is>
          <t>Acknowledge</t>
        </is>
      </c>
      <c r="D23" s="16" t="inlineStr">
        <is>
          <t>Confiscate</t>
        </is>
      </c>
      <c r="E23" s="16" t="inlineStr">
        <is>
          <t>College</t>
        </is>
      </c>
      <c r="F23" s="16" t="inlineStr">
        <is>
          <t>Fingerprints</t>
        </is>
      </c>
      <c r="G23" s="16" t="inlineStr">
        <is>
          <t>Guards</t>
        </is>
      </c>
      <c r="H23" s="16" t="inlineStr">
        <is>
          <t>Contempt</t>
        </is>
      </c>
      <c r="I23" s="16" t="inlineStr">
        <is>
          <t>Homicide</t>
        </is>
      </c>
      <c r="J23" s="16" t="inlineStr">
        <is>
          <t>Negligence</t>
        </is>
      </c>
      <c r="K23" s="16" t="inlineStr">
        <is>
          <t>Magistrate</t>
        </is>
      </c>
      <c r="L23" s="16" t="inlineStr">
        <is>
          <t>Communication</t>
        </is>
      </c>
      <c r="M23" s="16" t="inlineStr">
        <is>
          <t>Vehicle</t>
        </is>
      </c>
      <c r="N23" s="16" t="inlineStr">
        <is>
          <t>Articulate</t>
        </is>
      </c>
    </row>
    <row r="24">
      <c r="B24" s="3" t="n">
        <v>19</v>
      </c>
      <c r="C24" s="16" t="inlineStr">
        <is>
          <t>Alley</t>
        </is>
      </c>
      <c r="D24" s="16" t="inlineStr">
        <is>
          <t>Accident</t>
        </is>
      </c>
      <c r="E24" s="16" t="inlineStr">
        <is>
          <t>Complaint</t>
        </is>
      </c>
      <c r="F24" s="16" t="inlineStr">
        <is>
          <t>Fatigue</t>
        </is>
      </c>
      <c r="G24" s="16" t="inlineStr">
        <is>
          <t>Contaminated</t>
        </is>
      </c>
      <c r="H24" s="16" t="inlineStr">
        <is>
          <t>Custody</t>
        </is>
      </c>
      <c r="I24" s="16" t="inlineStr">
        <is>
          <t>Immediate</t>
        </is>
      </c>
      <c r="J24" s="16" t="inlineStr">
        <is>
          <t>Nuisance</t>
        </is>
      </c>
      <c r="K24" s="16" t="inlineStr">
        <is>
          <t>Mileage</t>
        </is>
      </c>
      <c r="L24" s="16" t="inlineStr">
        <is>
          <t>Traffic</t>
        </is>
      </c>
      <c r="M24" s="16" t="inlineStr">
        <is>
          <t>Occupation</t>
        </is>
      </c>
      <c r="N24" s="16" t="inlineStr">
        <is>
          <t>Consciousness</t>
        </is>
      </c>
    </row>
    <row r="25">
      <c r="B25" s="3" t="n">
        <v>20</v>
      </c>
      <c r="C25" s="16" t="inlineStr">
        <is>
          <t>Appearance</t>
        </is>
      </c>
      <c r="D25" s="16" t="inlineStr">
        <is>
          <t>Affidavit</t>
        </is>
      </c>
      <c r="E25" s="16" t="inlineStr">
        <is>
          <t>Conflict</t>
        </is>
      </c>
      <c r="F25" s="16" t="inlineStr">
        <is>
          <t>Gambling</t>
        </is>
      </c>
      <c r="G25" s="16" t="inlineStr">
        <is>
          <t>Curfew</t>
        </is>
      </c>
      <c r="H25" s="16" t="inlineStr">
        <is>
          <t>Defendant</t>
        </is>
      </c>
      <c r="I25" s="16" t="inlineStr">
        <is>
          <t>Inhalant</t>
        </is>
      </c>
      <c r="J25" s="16" t="inlineStr">
        <is>
          <t>Jurisdiction</t>
        </is>
      </c>
      <c r="K25" s="16" t="inlineStr">
        <is>
          <t>Municipal</t>
        </is>
      </c>
      <c r="L25" s="16" t="inlineStr">
        <is>
          <t>Unauthorized</t>
        </is>
      </c>
      <c r="M25" s="16" t="inlineStr">
        <is>
          <t>Officers</t>
        </is>
      </c>
      <c r="N25" s="16" t="inlineStr">
        <is>
          <t>Dehydration</t>
        </is>
      </c>
    </row>
    <row r="26">
      <c r="B26" s="3" t="n">
        <v>21</v>
      </c>
      <c r="C26" s="16" t="inlineStr">
        <is>
          <t>Attorney</t>
        </is>
      </c>
      <c r="D26" s="16" t="inlineStr">
        <is>
          <t>Altered</t>
        </is>
      </c>
      <c r="E26" s="16" t="inlineStr">
        <is>
          <t>Agency</t>
        </is>
      </c>
      <c r="F26" s="16" t="inlineStr">
        <is>
          <t>Critical</t>
        </is>
      </c>
      <c r="G26" s="16" t="inlineStr">
        <is>
          <t>Deceptive</t>
        </is>
      </c>
      <c r="H26" s="16" t="inlineStr">
        <is>
          <t>Detention</t>
        </is>
      </c>
      <c r="I26" s="16" t="inlineStr">
        <is>
          <t>Intentional</t>
        </is>
      </c>
      <c r="J26" s="16" t="inlineStr">
        <is>
          <t>Surveillance</t>
        </is>
      </c>
      <c r="K26" s="16" t="inlineStr">
        <is>
          <t>Obscenity</t>
        </is>
      </c>
      <c r="L26" s="16" t="inlineStr">
        <is>
          <t>Obstructing</t>
        </is>
      </c>
      <c r="M26" s="16" t="inlineStr">
        <is>
          <t>Parole</t>
        </is>
      </c>
      <c r="N26" s="16" t="inlineStr">
        <is>
          <t>Discipline</t>
        </is>
      </c>
    </row>
    <row r="27">
      <c r="B27" s="3" t="n">
        <v>22</v>
      </c>
      <c r="C27" s="16" t="inlineStr">
        <is>
          <t>According</t>
        </is>
      </c>
      <c r="D27" s="16" t="inlineStr">
        <is>
          <t>Apprehension</t>
        </is>
      </c>
      <c r="E27" s="16" t="inlineStr">
        <is>
          <t>Ambulance</t>
        </is>
      </c>
      <c r="F27" s="16" t="inlineStr">
        <is>
          <t>Dangerous</t>
        </is>
      </c>
      <c r="G27" s="16" t="inlineStr">
        <is>
          <t>Detained</t>
        </is>
      </c>
      <c r="H27" s="16" t="inlineStr">
        <is>
          <t>Discrimination</t>
        </is>
      </c>
      <c r="I27" s="16" t="inlineStr">
        <is>
          <t>Intoxicated</t>
        </is>
      </c>
      <c r="J27" s="16" t="inlineStr">
        <is>
          <t>Victim</t>
        </is>
      </c>
      <c r="K27" s="16" t="inlineStr">
        <is>
          <t>Ordinances</t>
        </is>
      </c>
      <c r="L27" s="16" t="inlineStr">
        <is>
          <t>Organized</t>
        </is>
      </c>
      <c r="M27" s="16" t="inlineStr">
        <is>
          <t>Penalty</t>
        </is>
      </c>
      <c r="N27" s="16" t="inlineStr">
        <is>
          <t>Necessary</t>
        </is>
      </c>
    </row>
    <row r="28">
      <c r="B28" s="3" t="n">
        <v>23</v>
      </c>
      <c r="C28" s="16" t="inlineStr">
        <is>
          <t>Bodily</t>
        </is>
      </c>
      <c r="D28" s="16" t="inlineStr">
        <is>
          <t>Authority</t>
        </is>
      </c>
      <c r="E28" s="16" t="inlineStr">
        <is>
          <t>Argument</t>
        </is>
      </c>
      <c r="F28" s="16" t="inlineStr">
        <is>
          <t>Destruction</t>
        </is>
      </c>
      <c r="G28" s="16" t="inlineStr">
        <is>
          <t>Discharge</t>
        </is>
      </c>
      <c r="H28" s="16" t="inlineStr">
        <is>
          <t>Domestic</t>
        </is>
      </c>
      <c r="I28" s="16" t="inlineStr">
        <is>
          <t>Judge</t>
        </is>
      </c>
      <c r="J28" s="16" t="inlineStr">
        <is>
          <t>Hospital</t>
        </is>
      </c>
      <c r="K28" s="16" t="inlineStr">
        <is>
          <t>Passenger</t>
        </is>
      </c>
      <c r="L28" s="16" t="inlineStr">
        <is>
          <t>Pedestrian</t>
        </is>
      </c>
      <c r="M28" s="16" t="inlineStr">
        <is>
          <t>Physical</t>
        </is>
      </c>
      <c r="N28" s="16" t="inlineStr">
        <is>
          <t>Occurred</t>
        </is>
      </c>
    </row>
    <row r="29">
      <c r="B29" s="3" t="n">
        <v>24</v>
      </c>
      <c r="C29" s="16" t="inlineStr">
        <is>
          <t>Bribery</t>
        </is>
      </c>
      <c r="D29" s="16" t="inlineStr">
        <is>
          <t>Accuracy</t>
        </is>
      </c>
      <c r="E29" s="16" t="inlineStr">
        <is>
          <t>Authorized</t>
        </is>
      </c>
      <c r="F29" s="16" t="inlineStr">
        <is>
          <t>Disables</t>
        </is>
      </c>
      <c r="G29" s="16" t="inlineStr">
        <is>
          <t>Documents</t>
        </is>
      </c>
      <c r="H29" s="16" t="inlineStr">
        <is>
          <t>Emergency</t>
        </is>
      </c>
      <c r="I29" s="16" t="inlineStr">
        <is>
          <t>Language</t>
        </is>
      </c>
      <c r="J29" s="16" t="inlineStr">
        <is>
          <t>Improper</t>
        </is>
      </c>
      <c r="K29" s="16" t="inlineStr">
        <is>
          <t>Physician</t>
        </is>
      </c>
      <c r="L29" s="16" t="inlineStr">
        <is>
          <t>Pornography</t>
        </is>
      </c>
      <c r="M29" s="16" t="inlineStr">
        <is>
          <t>Prescription</t>
        </is>
      </c>
      <c r="N29" s="16" t="inlineStr">
        <is>
          <t>Privilege</t>
        </is>
      </c>
    </row>
    <row r="30">
      <c r="B30" s="3" t="n">
        <v>25</v>
      </c>
      <c r="C30" s="16" t="inlineStr">
        <is>
          <t>Biased</t>
        </is>
      </c>
      <c r="D30" s="16" t="inlineStr">
        <is>
          <t>Anxiety</t>
        </is>
      </c>
      <c r="E30" s="16" t="inlineStr">
        <is>
          <t>Aerobics</t>
        </is>
      </c>
      <c r="F30" s="16" t="inlineStr">
        <is>
          <t>Depression</t>
        </is>
      </c>
      <c r="G30" s="16" t="inlineStr">
        <is>
          <t>Effect</t>
        </is>
      </c>
      <c r="H30" s="16" t="inlineStr">
        <is>
          <t>Examination</t>
        </is>
      </c>
      <c r="I30" s="16" t="inlineStr">
        <is>
          <t>Lieutenant</t>
        </is>
      </c>
      <c r="J30" s="16" t="inlineStr">
        <is>
          <t>Injury</t>
        </is>
      </c>
      <c r="K30" s="16" t="inlineStr">
        <is>
          <t>Presence</t>
        </is>
      </c>
      <c r="L30" s="16" t="inlineStr">
        <is>
          <t>Prevention</t>
        </is>
      </c>
      <c r="M30" s="16" t="inlineStr">
        <is>
          <t>Procedures</t>
        </is>
      </c>
      <c r="N30" s="16" t="inlineStr">
        <is>
          <t>Sergeant</t>
        </is>
      </c>
    </row>
    <row r="32">
      <c r="B32" s="2" t="inlineStr">
        <is>
          <t>Each word is worth 4 points (25 words x 4 = 100).</t>
        </is>
      </c>
    </row>
  </sheetData>
  <sheetProtection selectLockedCells="0" selectUnlockedCells="0" sheet="1" objects="0" insertRows="1" insertHyperlinks="1" autoFilter="0" scenarios="0" formatColumns="1" deleteColumns="1" insertColumns="1" pivotTables="1" deleteRows="1" formatCells="1" formatRows="1" sort="1" password="B4BB"/>
  <pageMargins left="0.75" right="0.75" top="1" bottom="1" header="0.5" footer="0.5"/>
</worksheet>
</file>

<file path=xl/worksheets/sheet49.xml><?xml version="1.0" encoding="utf-8"?>
<worksheet xmlns="http://schemas.openxmlformats.org/spreadsheetml/2006/main">
  <sheetPr>
    <tabColor rgb="00C8A24B"/>
    <outlinePr summaryBelow="1" summaryRight="1"/>
    <pageSetUpPr/>
  </sheetPr>
  <dimension ref="B1:M47"/>
  <sheetViews>
    <sheetView showGridLines="0" workbookViewId="0">
      <pane xSplit="3" ySplit="5" topLeftCell="D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5" customWidth="1" min="2" max="2"/>
    <col width="38" customWidth="1" min="3" max="3"/>
    <col width="10" customWidth="1" min="4" max="4"/>
    <col width="12" customWidth="1" min="5" max="5"/>
    <col width="12" customWidth="1" min="6" max="6"/>
    <col width="14" customWidth="1" min="7" max="7"/>
    <col width="14" customWidth="1" min="8" max="8"/>
    <col width="14" customWidth="1" min="9" max="9"/>
    <col width="14" customWidth="1" min="10" max="10"/>
    <col width="12" customWidth="1" min="11" max="11"/>
    <col width="12" customWidth="1" min="12" max="12"/>
    <col width="80" customWidth="1" min="13" max="13"/>
  </cols>
  <sheetData>
    <row r="1">
      <c r="B1" s="10">
        <f>HYPERLINK("#Dashboard!B5","◄ Dashboard")</f>
        <v/>
      </c>
    </row>
    <row r="4">
      <c r="B4" s="11" t="inlineStr">
        <is>
          <t>Dates COMPUTE from the Schedule: assigned = first class day of the week the linked chapter is first taught (+ delay); due = last class day of the due week, 1700. Override columns always win.</t>
        </is>
      </c>
    </row>
    <row r="5" ht="26" customHeight="1">
      <c r="B5" s="12" t="inlineStr">
        <is>
          <t>#</t>
        </is>
      </c>
      <c r="C5" s="12" t="inlineStr">
        <is>
          <t>Assignment Title</t>
        </is>
      </c>
      <c r="D5" s="12" t="inlineStr">
        <is>
          <t>Linked Ch #</t>
        </is>
      </c>
      <c r="E5" s="12" t="inlineStr">
        <is>
          <t>Assign Delay (wks)</t>
        </is>
      </c>
      <c r="F5" s="12" t="inlineStr">
        <is>
          <t>Due Offset (wks)</t>
        </is>
      </c>
      <c r="G5" s="12" t="inlineStr">
        <is>
          <t>Computed Assigned</t>
        </is>
      </c>
      <c r="H5" s="12" t="inlineStr">
        <is>
          <t>Computed Due</t>
        </is>
      </c>
      <c r="I5" s="12" t="inlineStr">
        <is>
          <t>Override Assigned</t>
        </is>
      </c>
      <c r="J5" s="12" t="inlineStr">
        <is>
          <t>Override Due</t>
        </is>
      </c>
      <c r="K5" s="12" t="inlineStr">
        <is>
          <t>Assigned</t>
        </is>
      </c>
      <c r="L5" s="12" t="inlineStr">
        <is>
          <t>Due</t>
        </is>
      </c>
      <c r="M5" s="12" t="inlineStr">
        <is>
          <t>Prompt</t>
        </is>
      </c>
    </row>
    <row r="6" ht="42" customHeight="1">
      <c r="B6" s="16" t="n">
        <v>1</v>
      </c>
      <c r="C6" s="16" t="inlineStr">
        <is>
          <t>Code of Ethics</t>
        </is>
      </c>
      <c r="D6" s="29" t="inlineStr">
        <is>
          <t>1</t>
        </is>
      </c>
      <c r="E6" s="16" t="n">
        <v>0</v>
      </c>
      <c r="F6" s="16" t="n">
        <v>0</v>
      </c>
      <c r="G6" s="19">
        <f>IF($D6="","",_xlfn.LET(_xlpm.f,IFERROR(_xlfn.XLOOKUP($D6,nrCHnum,nrCHfirst),""),IF(OR(_xlpm.f="",_xlpm.f=0),"",_xlfn.LET(_xlpm.wkstart,_xlpm.f-WEEKDAY(_xlpm.f,2)+1+$E6*7,_xlpm.d,IFERROR(_xlfn.MINIFS(nrCDdate,nrCDdate,"&gt;="&amp;_xlpm.wkstart),0),IF(N(_xlpm.d)=0,"",_xlpm.d)))))</f>
        <v/>
      </c>
      <c r="H6" s="19">
        <f>IF($G6="","",_xlfn.LET(_xlpm.a,$G6,_xlpm.ws2,_xlpm.a-WEEKDAY(_xlpm.a,2)+1+$F6*7,_xlpm.d,_xlfn.MAXIFS(nrCDdate,nrCDdate,"&gt;="&amp;_xlpm.ws2,nrCDdate,"&lt;"&amp;(_xlpm.ws2+7)),IF(_xlpm.d=0,"",_xlpm.d)))</f>
        <v/>
      </c>
      <c r="I6" s="18" t="n"/>
      <c r="J6" s="18" t="n"/>
      <c r="K6" s="19">
        <f>IF($B6="","",IF($I6&lt;&gt;"",$I6,$G6))</f>
        <v/>
      </c>
      <c r="L6" s="19">
        <f>IF($B6="","",IF($J6&lt;&gt;"",$J6,$H6))</f>
        <v/>
      </c>
      <c r="M6" s="24" t="inlineStr">
        <is>
          <t>Discuss the ways the Code of Ethics affects the items posted on or to an Officer's social media sites.</t>
        </is>
      </c>
    </row>
    <row r="7" ht="42" customHeight="1">
      <c r="B7" s="16" t="n">
        <v>2</v>
      </c>
      <c r="C7" s="16" t="inlineStr">
        <is>
          <t>Professional Policing</t>
        </is>
      </c>
      <c r="D7" s="29" t="inlineStr">
        <is>
          <t>2</t>
        </is>
      </c>
      <c r="E7" s="16" t="n">
        <v>0</v>
      </c>
      <c r="F7" s="16" t="n">
        <v>0</v>
      </c>
      <c r="G7" s="19">
        <f>IF($D7="","",_xlfn.LET(_xlpm.f,IFERROR(_xlfn.XLOOKUP($D7,nrCHnum,nrCHfirst),""),IF(OR(_xlpm.f="",_xlpm.f=0),"",_xlfn.LET(_xlpm.wkstart,_xlpm.f-WEEKDAY(_xlpm.f,2)+1+$E7*7,_xlpm.d,IFERROR(_xlfn.MINIFS(nrCDdate,nrCDdate,"&gt;="&amp;_xlpm.wkstart),0),IF(N(_xlpm.d)=0,"",_xlpm.d)))))</f>
        <v/>
      </c>
      <c r="H7" s="19">
        <f>IF($G7="","",_xlfn.LET(_xlpm.a,$G7,_xlpm.ws2,_xlpm.a-WEEKDAY(_xlpm.a,2)+1+$F7*7,_xlpm.d,_xlfn.MAXIFS(nrCDdate,nrCDdate,"&gt;="&amp;_xlpm.ws2,nrCDdate,"&lt;"&amp;(_xlpm.ws2+7)),IF(_xlpm.d=0,"",_xlpm.d)))</f>
        <v/>
      </c>
      <c r="I7" s="18" t="n"/>
      <c r="J7" s="18" t="n"/>
      <c r="K7" s="19">
        <f>IF($B7="","",IF($I7&lt;&gt;"",$I7,$G7))</f>
        <v/>
      </c>
      <c r="L7" s="19">
        <f>IF($B7="","",IF($J7&lt;&gt;"",$J7,$H7))</f>
        <v/>
      </c>
      <c r="M7" s="24" t="inlineStr">
        <is>
          <t>Discuss previous experiences with law enforcement, how the interaction correlates to the police models discussed, and how that interaction affected the quest for a law enforcement career.</t>
        </is>
      </c>
    </row>
    <row r="8" ht="42" customHeight="1">
      <c r="B8" s="16" t="n">
        <v>3</v>
      </c>
      <c r="C8" s="16" t="inlineStr">
        <is>
          <t>Professional Policing</t>
        </is>
      </c>
      <c r="D8" s="29" t="inlineStr">
        <is>
          <t>4</t>
        </is>
      </c>
      <c r="E8" s="16" t="n">
        <v>0</v>
      </c>
      <c r="F8" s="16" t="n">
        <v>0</v>
      </c>
      <c r="G8" s="19">
        <f>IF($D8="","",_xlfn.LET(_xlpm.f,IFERROR(_xlfn.XLOOKUP($D8,nrCHnum,nrCHfirst),""),IF(OR(_xlpm.f="",_xlpm.f=0),"",_xlfn.LET(_xlpm.wkstart,_xlpm.f-WEEKDAY(_xlpm.f,2)+1+$E8*7,_xlpm.d,IFERROR(_xlfn.MINIFS(nrCDdate,nrCDdate,"&gt;="&amp;_xlpm.wkstart),0),IF(N(_xlpm.d)=0,"",_xlpm.d)))))</f>
        <v/>
      </c>
      <c r="H8" s="19">
        <f>IF($G8="","",_xlfn.LET(_xlpm.a,$G8,_xlpm.ws2,_xlpm.a-WEEKDAY(_xlpm.a,2)+1+$F8*7,_xlpm.d,_xlfn.MAXIFS(nrCDdate,nrCDdate,"&gt;="&amp;_xlpm.ws2,nrCDdate,"&lt;"&amp;(_xlpm.ws2+7)),IF(_xlpm.d=0,"",_xlpm.d)))</f>
        <v/>
      </c>
      <c r="I8" s="18" t="n"/>
      <c r="J8" s="18" t="n"/>
      <c r="K8" s="19">
        <f>IF($B8="","",IF($I8&lt;&gt;"",$I8,$G8))</f>
        <v/>
      </c>
      <c r="L8" s="19">
        <f>IF($B8="","",IF($J8&lt;&gt;"",$J8,$H8))</f>
        <v/>
      </c>
      <c r="M8" s="24" t="inlineStr">
        <is>
          <t>Discuss how TCOLE's role in policing supports the information discussed in Professional Policing.</t>
        </is>
      </c>
    </row>
    <row r="9" ht="42" customHeight="1">
      <c r="B9" s="16" t="n">
        <v>4</v>
      </c>
      <c r="C9" s="16" t="inlineStr">
        <is>
          <t>Multiculturalism / Racial Profiling</t>
        </is>
      </c>
      <c r="D9" s="29" t="inlineStr">
        <is>
          <t>6</t>
        </is>
      </c>
      <c r="E9" s="16" t="n">
        <v>0</v>
      </c>
      <c r="F9" s="16" t="n">
        <v>0</v>
      </c>
      <c r="G9" s="19">
        <f>IF($D9="","",_xlfn.LET(_xlpm.f,IFERROR(_xlfn.XLOOKUP($D9,nrCHnum,nrCHfirst),""),IF(OR(_xlpm.f="",_xlpm.f=0),"",_xlfn.LET(_xlpm.wkstart,_xlpm.f-WEEKDAY(_xlpm.f,2)+1+$E9*7,_xlpm.d,IFERROR(_xlfn.MINIFS(nrCDdate,nrCDdate,"&gt;="&amp;_xlpm.wkstart),0),IF(N(_xlpm.d)=0,"",_xlpm.d)))))</f>
        <v/>
      </c>
      <c r="H9" s="19">
        <f>IF($G9="","",_xlfn.LET(_xlpm.a,$G9,_xlpm.ws2,_xlpm.a-WEEKDAY(_xlpm.a,2)+1+$F9*7,_xlpm.d,_xlfn.MAXIFS(nrCDdate,nrCDdate,"&gt;="&amp;_xlpm.ws2,nrCDdate,"&lt;"&amp;(_xlpm.ws2+7)),IF(_xlpm.d=0,"",_xlpm.d)))</f>
        <v/>
      </c>
      <c r="I9" s="18" t="n"/>
      <c r="J9" s="18" t="n"/>
      <c r="K9" s="19">
        <f>IF($B9="","",IF($I9&lt;&gt;"",$I9,$G9))</f>
        <v/>
      </c>
      <c r="L9" s="19">
        <f>IF($B9="","",IF($J9&lt;&gt;"",$J9,$H9))</f>
        <v/>
      </c>
      <c r="M9" s="24" t="inlineStr">
        <is>
          <t>You are the Chief/Sheriff. One of your officers/deputies is publicly accused of racially profiling during a traffic stop that ended in the death of the driver. How do you respond? (Press release? Video release? Who do you involve?)</t>
        </is>
      </c>
    </row>
    <row r="10" ht="42" customHeight="1">
      <c r="B10" s="16" t="n">
        <v>5</v>
      </c>
      <c r="C10" s="16" t="inlineStr">
        <is>
          <t>U.S. &amp; Texas Constitution — Criminal Justice System</t>
        </is>
      </c>
      <c r="D10" s="29" t="inlineStr">
        <is>
          <t>7</t>
        </is>
      </c>
      <c r="E10" s="16" t="n">
        <v>0</v>
      </c>
      <c r="F10" s="16" t="n">
        <v>0</v>
      </c>
      <c r="G10" s="19">
        <f>IF($D10="","",_xlfn.LET(_xlpm.f,IFERROR(_xlfn.XLOOKUP($D10,nrCHnum,nrCHfirst),""),IF(OR(_xlpm.f="",_xlpm.f=0),"",_xlfn.LET(_xlpm.wkstart,_xlpm.f-WEEKDAY(_xlpm.f,2)+1+$E10*7,_xlpm.d,IFERROR(_xlfn.MINIFS(nrCDdate,nrCDdate,"&gt;="&amp;_xlpm.wkstart),0),IF(N(_xlpm.d)=0,"",_xlpm.d)))))</f>
        <v/>
      </c>
      <c r="H10" s="19">
        <f>IF($G10="","",_xlfn.LET(_xlpm.a,$G10,_xlpm.ws2,_xlpm.a-WEEKDAY(_xlpm.a,2)+1+$F10*7,_xlpm.d,_xlfn.MAXIFS(nrCDdate,nrCDdate,"&gt;="&amp;_xlpm.ws2,nrCDdate,"&lt;"&amp;(_xlpm.ws2+7)),IF(_xlpm.d=0,"",_xlpm.d)))</f>
        <v/>
      </c>
      <c r="I10" s="18" t="n"/>
      <c r="J10" s="18" t="n"/>
      <c r="K10" s="19">
        <f>IF($B10="","",IF($I10&lt;&gt;"",$I10,$G10))</f>
        <v/>
      </c>
      <c r="L10" s="19">
        <f>IF($B10="","",IF($J10&lt;&gt;"",$J10,$H10))</f>
        <v/>
      </c>
      <c r="M10" s="24" t="inlineStr">
        <is>
          <t>Identify all the courts within your jurisdiction, the Judges and the types of cases heard in the court. (local to highest court)</t>
        </is>
      </c>
    </row>
    <row r="11" ht="42" customHeight="1">
      <c r="B11" s="16" t="n">
        <v>6</v>
      </c>
      <c r="C11" s="16" t="inlineStr">
        <is>
          <t>Penal Code</t>
        </is>
      </c>
      <c r="D11" s="29" t="inlineStr">
        <is>
          <t>8</t>
        </is>
      </c>
      <c r="E11" s="16" t="n">
        <v>0</v>
      </c>
      <c r="F11" s="16" t="n">
        <v>0</v>
      </c>
      <c r="G11" s="19">
        <f>IF($D11="","",_xlfn.LET(_xlpm.f,IFERROR(_xlfn.XLOOKUP($D11,nrCHnum,nrCHfirst),""),IF(OR(_xlpm.f="",_xlpm.f=0),"",_xlfn.LET(_xlpm.wkstart,_xlpm.f-WEEKDAY(_xlpm.f,2)+1+$E11*7,_xlpm.d,IFERROR(_xlfn.MINIFS(nrCDdate,nrCDdate,"&gt;="&amp;_xlpm.wkstart),0),IF(N(_xlpm.d)=0,"",_xlpm.d)))))</f>
        <v/>
      </c>
      <c r="H11" s="19">
        <f>IF($G11="","",_xlfn.LET(_xlpm.a,$G11,_xlpm.ws2,_xlpm.a-WEEKDAY(_xlpm.a,2)+1+$F11*7,_xlpm.d,_xlfn.MAXIFS(nrCDdate,nrCDdate,"&gt;="&amp;_xlpm.ws2,nrCDdate,"&lt;"&amp;(_xlpm.ws2+7)),IF(_xlpm.d=0,"",_xlpm.d)))</f>
        <v/>
      </c>
      <c r="I11" s="18" t="n"/>
      <c r="J11" s="18" t="n"/>
      <c r="K11" s="19">
        <f>IF($B11="","",IF($I11&lt;&gt;"",$I11,$G11))</f>
        <v/>
      </c>
      <c r="L11" s="19">
        <f>IF($B11="","",IF($J11&lt;&gt;"",$J11,$H11))</f>
        <v/>
      </c>
      <c r="M11" s="24" t="inlineStr">
        <is>
          <t>Create a scenario that meets the lowest culpable mental state. Add a fact or two that supports the next culpable mental state. Continue this progression until all the culpable mental states are covered.</t>
        </is>
      </c>
    </row>
    <row r="12" ht="42" customHeight="1">
      <c r="B12" s="16" t="n">
        <v>7</v>
      </c>
      <c r="C12" s="16" t="inlineStr">
        <is>
          <t>Courts &amp; Offenses — A</t>
        </is>
      </c>
      <c r="D12" s="29" t="inlineStr">
        <is>
          <t>8</t>
        </is>
      </c>
      <c r="E12" s="16" t="n">
        <v>1</v>
      </c>
      <c r="F12" s="16" t="n">
        <v>0</v>
      </c>
      <c r="G12" s="19">
        <f>IF($D12="","",_xlfn.LET(_xlpm.f,IFERROR(_xlfn.XLOOKUP($D12,nrCHnum,nrCHfirst),""),IF(OR(_xlpm.f="",_xlpm.f=0),"",_xlfn.LET(_xlpm.wkstart,_xlpm.f-WEEKDAY(_xlpm.f,2)+1+$E12*7,_xlpm.d,IFERROR(_xlfn.MINIFS(nrCDdate,nrCDdate,"&gt;="&amp;_xlpm.wkstart),0),IF(N(_xlpm.d)=0,"",_xlpm.d)))))</f>
        <v/>
      </c>
      <c r="H12" s="19">
        <f>IF($G12="","",_xlfn.LET(_xlpm.a,$G12,_xlpm.ws2,_xlpm.a-WEEKDAY(_xlpm.a,2)+1+$F12*7,_xlpm.d,_xlfn.MAXIFS(nrCDdate,nrCDdate,"&gt;="&amp;_xlpm.ws2,nrCDdate,"&lt;"&amp;(_xlpm.ws2+7)),IF(_xlpm.d=0,"",_xlpm.d)))</f>
        <v/>
      </c>
      <c r="I12" s="18" t="n"/>
      <c r="J12" s="18" t="n"/>
      <c r="K12" s="19">
        <f>IF($B12="","",IF($I12&lt;&gt;"",$I12,$G12))</f>
        <v/>
      </c>
      <c r="L12" s="19">
        <f>IF($B12="","",IF($J12&lt;&gt;"",$J12,$H12))</f>
        <v/>
      </c>
      <c r="M12" s="24" t="inlineStr">
        <is>
          <t>Select a case from the Texas Court of Appeals of your jurisdiction. The decision must determine whether or not the evidence met the elements of the offense. Summarize the details of the offense, the issue on appeal, the position of the defendant and the state, the final decision and if there is a dissent, the argument of the dissent.</t>
        </is>
      </c>
    </row>
    <row r="13" ht="42" customHeight="1">
      <c r="B13" s="16" t="n">
        <v>8</v>
      </c>
      <c r="C13" s="16" t="inlineStr">
        <is>
          <t>Courts &amp; Offenses — B</t>
        </is>
      </c>
      <c r="D13" s="29" t="inlineStr">
        <is>
          <t>8</t>
        </is>
      </c>
      <c r="E13" s="16" t="n">
        <v>1</v>
      </c>
      <c r="F13" s="16" t="n">
        <v>0</v>
      </c>
      <c r="G13" s="19">
        <f>IF($D13="","",_xlfn.LET(_xlpm.f,IFERROR(_xlfn.XLOOKUP($D13,nrCHnum,nrCHfirst),""),IF(OR(_xlpm.f="",_xlpm.f=0),"",_xlfn.LET(_xlpm.wkstart,_xlpm.f-WEEKDAY(_xlpm.f,2)+1+$E13*7,_xlpm.d,IFERROR(_xlfn.MINIFS(nrCDdate,nrCDdate,"&gt;="&amp;_xlpm.wkstart),0),IF(N(_xlpm.d)=0,"",_xlpm.d)))))</f>
        <v/>
      </c>
      <c r="H13" s="19">
        <f>IF($G13="","",_xlfn.LET(_xlpm.a,$G13,_xlpm.ws2,_xlpm.a-WEEKDAY(_xlpm.a,2)+1+$F13*7,_xlpm.d,_xlfn.MAXIFS(nrCDdate,nrCDdate,"&gt;="&amp;_xlpm.ws2,nrCDdate,"&lt;"&amp;(_xlpm.ws2+7)),IF(_xlpm.d=0,"",_xlpm.d)))</f>
        <v/>
      </c>
      <c r="I13" s="18" t="n"/>
      <c r="J13" s="18" t="n"/>
      <c r="K13" s="19">
        <f>IF($B13="","",IF($I13&lt;&gt;"",$I13,$G13))</f>
        <v/>
      </c>
      <c r="L13" s="19">
        <f>IF($B13="","",IF($J13&lt;&gt;"",$J13,$H13))</f>
        <v/>
      </c>
      <c r="M13" s="24" t="inlineStr">
        <is>
          <t>Select a case from the Texas Court of Criminal Appeals that decides whether an offense is a "lesser included offense". Summarize the details of the offense, the issue on appeal, the position of the defendant and the state, the final decision and if there is a dissent, the argument of the dissent.</t>
        </is>
      </c>
    </row>
    <row r="14" ht="42" customHeight="1">
      <c r="B14" s="16" t="n">
        <v>9</v>
      </c>
      <c r="C14" s="16" t="inlineStr">
        <is>
          <t>Arrest, Search, and Seizure — A</t>
        </is>
      </c>
      <c r="D14" s="29" t="inlineStr">
        <is>
          <t>10</t>
        </is>
      </c>
      <c r="E14" s="16" t="n">
        <v>0</v>
      </c>
      <c r="F14" s="16" t="n">
        <v>0</v>
      </c>
      <c r="G14" s="19">
        <f>IF($D14="","",_xlfn.LET(_xlpm.f,IFERROR(_xlfn.XLOOKUP($D14,nrCHnum,nrCHfirst),""),IF(OR(_xlpm.f="",_xlpm.f=0),"",_xlfn.LET(_xlpm.wkstart,_xlpm.f-WEEKDAY(_xlpm.f,2)+1+$E14*7,_xlpm.d,IFERROR(_xlfn.MINIFS(nrCDdate,nrCDdate,"&gt;="&amp;_xlpm.wkstart),0),IF(N(_xlpm.d)=0,"",_xlpm.d)))))</f>
        <v/>
      </c>
      <c r="H14" s="19">
        <f>IF($G14="","",_xlfn.LET(_xlpm.a,$G14,_xlpm.ws2,_xlpm.a-WEEKDAY(_xlpm.a,2)+1+$F14*7,_xlpm.d,_xlfn.MAXIFS(nrCDdate,nrCDdate,"&gt;="&amp;_xlpm.ws2,nrCDdate,"&lt;"&amp;(_xlpm.ws2+7)),IF(_xlpm.d=0,"",_xlpm.d)))</f>
        <v/>
      </c>
      <c r="I14" s="18" t="n"/>
      <c r="J14" s="18" t="n"/>
      <c r="K14" s="19">
        <f>IF($B14="","",IF($I14&lt;&gt;"",$I14,$G14))</f>
        <v/>
      </c>
      <c r="L14" s="19">
        <f>IF($B14="","",IF($J14&lt;&gt;"",$J14,$H14))</f>
        <v/>
      </c>
      <c r="M14" s="24" t="inlineStr">
        <is>
          <t>Select a recent (less than 2 years old) case from the U.S. 5th Circuit Court of Appeals that decides the legality/illegality of a search. Summarize the details of the offense, the issue on appeal, the position of the defendant and the state, the final decision and if there is a dissent, the argument of the dissent.</t>
        </is>
      </c>
    </row>
    <row r="15" ht="42" customHeight="1">
      <c r="B15" s="16" t="n">
        <v>10</v>
      </c>
      <c r="C15" s="16" t="inlineStr">
        <is>
          <t>Arrest, Search, and Seizure — B</t>
        </is>
      </c>
      <c r="D15" s="29" t="inlineStr">
        <is>
          <t>10</t>
        </is>
      </c>
      <c r="E15" s="16" t="n">
        <v>0</v>
      </c>
      <c r="F15" s="16" t="n">
        <v>0</v>
      </c>
      <c r="G15" s="19">
        <f>IF($D15="","",_xlfn.LET(_xlpm.f,IFERROR(_xlfn.XLOOKUP($D15,nrCHnum,nrCHfirst),""),IF(OR(_xlpm.f="",_xlpm.f=0),"",_xlfn.LET(_xlpm.wkstart,_xlpm.f-WEEKDAY(_xlpm.f,2)+1+$E15*7,_xlpm.d,IFERROR(_xlfn.MINIFS(nrCDdate,nrCDdate,"&gt;="&amp;_xlpm.wkstart),0),IF(N(_xlpm.d)=0,"",_xlpm.d)))))</f>
        <v/>
      </c>
      <c r="H15" s="19">
        <f>IF($G15="","",_xlfn.LET(_xlpm.a,$G15,_xlpm.ws2,_xlpm.a-WEEKDAY(_xlpm.a,2)+1+$F15*7,_xlpm.d,_xlfn.MAXIFS(nrCDdate,nrCDdate,"&gt;="&amp;_xlpm.ws2,nrCDdate,"&lt;"&amp;(_xlpm.ws2+7)),IF(_xlpm.d=0,"",_xlpm.d)))</f>
        <v/>
      </c>
      <c r="I15" s="18" t="n"/>
      <c r="J15" s="18" t="n"/>
      <c r="K15" s="19">
        <f>IF($B15="","",IF($I15&lt;&gt;"",$I15,$G15))</f>
        <v/>
      </c>
      <c r="L15" s="19">
        <f>IF($B15="","",IF($J15&lt;&gt;"",$J15,$H15))</f>
        <v/>
      </c>
      <c r="M15" s="24" t="inlineStr">
        <is>
          <t>Select a recent case from the Texas Court of Appeals of your jurisdiction that decides the issue of possession. Summarize the details of the offense, the issue on appeal, the position of the defendant and the state, the final decision and if there is a dissent, the argument of the dissent.</t>
        </is>
      </c>
    </row>
    <row r="16" ht="42" customHeight="1">
      <c r="B16" s="16" t="n">
        <v>11</v>
      </c>
      <c r="C16" s="16" t="inlineStr">
        <is>
          <t>Arrest, Search, and Seizure — C</t>
        </is>
      </c>
      <c r="D16" s="29" t="inlineStr">
        <is>
          <t>10</t>
        </is>
      </c>
      <c r="E16" s="16" t="n">
        <v>1</v>
      </c>
      <c r="F16" s="16" t="n">
        <v>0</v>
      </c>
      <c r="G16" s="19">
        <f>IF($D16="","",_xlfn.LET(_xlpm.f,IFERROR(_xlfn.XLOOKUP($D16,nrCHnum,nrCHfirst),""),IF(OR(_xlpm.f="",_xlpm.f=0),"",_xlfn.LET(_xlpm.wkstart,_xlpm.f-WEEKDAY(_xlpm.f,2)+1+$E16*7,_xlpm.d,IFERROR(_xlfn.MINIFS(nrCDdate,nrCDdate,"&gt;="&amp;_xlpm.wkstart),0),IF(N(_xlpm.d)=0,"",_xlpm.d)))))</f>
        <v/>
      </c>
      <c r="H16" s="19">
        <f>IF($G16="","",_xlfn.LET(_xlpm.a,$G16,_xlpm.ws2,_xlpm.a-WEEKDAY(_xlpm.a,2)+1+$F16*7,_xlpm.d,_xlfn.MAXIFS(nrCDdate,nrCDdate,"&gt;="&amp;_xlpm.ws2,nrCDdate,"&lt;"&amp;(_xlpm.ws2+7)),IF(_xlpm.d=0,"",_xlpm.d)))</f>
        <v/>
      </c>
      <c r="I16" s="18" t="n"/>
      <c r="J16" s="18" t="n"/>
      <c r="K16" s="19">
        <f>IF($B16="","",IF($I16&lt;&gt;"",$I16,$G16))</f>
        <v/>
      </c>
      <c r="L16" s="19">
        <f>IF($B16="","",IF($J16&lt;&gt;"",$J16,$H16))</f>
        <v/>
      </c>
      <c r="M16" s="24" t="inlineStr">
        <is>
          <t>Select a case from any court within your jurisdiction (Texas or Federal) that decides the issue of probable cause in an arrest/search or search warrant. Summarize the details of the offense, the issue on appeal, the position of the defendant and the state, the final decision and if there is a dissent, the argument of the dissent.</t>
        </is>
      </c>
    </row>
    <row r="17" ht="42" customHeight="1">
      <c r="B17" s="16" t="n">
        <v>12</v>
      </c>
      <c r="C17" s="16" t="inlineStr">
        <is>
          <t>Arrest, Search, and Seizure — D</t>
        </is>
      </c>
      <c r="D17" s="29" t="inlineStr">
        <is>
          <t>10</t>
        </is>
      </c>
      <c r="E17" s="16" t="n">
        <v>1</v>
      </c>
      <c r="F17" s="16" t="n">
        <v>0</v>
      </c>
      <c r="G17" s="19">
        <f>IF($D17="","",_xlfn.LET(_xlpm.f,IFERROR(_xlfn.XLOOKUP($D17,nrCHnum,nrCHfirst),""),IF(OR(_xlpm.f="",_xlpm.f=0),"",_xlfn.LET(_xlpm.wkstart,_xlpm.f-WEEKDAY(_xlpm.f,2)+1+$E17*7,_xlpm.d,IFERROR(_xlfn.MINIFS(nrCDdate,nrCDdate,"&gt;="&amp;_xlpm.wkstart),0),IF(N(_xlpm.d)=0,"",_xlpm.d)))))</f>
        <v/>
      </c>
      <c r="H17" s="19">
        <f>IF($G17="","",_xlfn.LET(_xlpm.a,$G17,_xlpm.ws2,_xlpm.a-WEEKDAY(_xlpm.a,2)+1+$F17*7,_xlpm.d,_xlfn.MAXIFS(nrCDdate,nrCDdate,"&gt;="&amp;_xlpm.ws2,nrCDdate,"&lt;"&amp;(_xlpm.ws2+7)),IF(_xlpm.d=0,"",_xlpm.d)))</f>
        <v/>
      </c>
      <c r="I17" s="18" t="n"/>
      <c r="J17" s="18" t="n"/>
      <c r="K17" s="19">
        <f>IF($B17="","",IF($I17&lt;&gt;"",$I17,$G17))</f>
        <v/>
      </c>
      <c r="L17" s="19">
        <f>IF($B17="","",IF($J17&lt;&gt;"",$J17,$H17))</f>
        <v/>
      </c>
      <c r="M17" s="24" t="inlineStr">
        <is>
          <t>Select a case from the U.S. Supreme Court that decides the issue of detention/arrest. Summarize the details of the offense, the issue on appeal, the position of the defendant and the state, the final decision and if there is a dissent, the argument of the dissent.</t>
        </is>
      </c>
    </row>
    <row r="18" ht="42" customHeight="1">
      <c r="B18" s="16" t="n">
        <v>13</v>
      </c>
      <c r="C18" s="16" t="inlineStr">
        <is>
          <t>Arrest, Search, and Seizure — E</t>
        </is>
      </c>
      <c r="D18" s="29" t="inlineStr">
        <is>
          <t>10</t>
        </is>
      </c>
      <c r="E18" s="16" t="n">
        <v>2</v>
      </c>
      <c r="F18" s="16" t="n">
        <v>0</v>
      </c>
      <c r="G18" s="19">
        <f>IF($D18="","",_xlfn.LET(_xlpm.f,IFERROR(_xlfn.XLOOKUP($D18,nrCHnum,nrCHfirst),""),IF(OR(_xlpm.f="",_xlpm.f=0),"",_xlfn.LET(_xlpm.wkstart,_xlpm.f-WEEKDAY(_xlpm.f,2)+1+$E18*7,_xlpm.d,IFERROR(_xlfn.MINIFS(nrCDdate,nrCDdate,"&gt;="&amp;_xlpm.wkstart),0),IF(N(_xlpm.d)=0,"",_xlpm.d)))))</f>
        <v/>
      </c>
      <c r="H18" s="19">
        <f>IF($G18="","",_xlfn.LET(_xlpm.a,$G18,_xlpm.ws2,_xlpm.a-WEEKDAY(_xlpm.a,2)+1+$F18*7,_xlpm.d,_xlfn.MAXIFS(nrCDdate,nrCDdate,"&gt;="&amp;_xlpm.ws2,nrCDdate,"&lt;"&amp;(_xlpm.ws2+7)),IF(_xlpm.d=0,"",_xlpm.d)))</f>
        <v/>
      </c>
      <c r="I18" s="18" t="n"/>
      <c r="J18" s="18" t="n"/>
      <c r="K18" s="19">
        <f>IF($B18="","",IF($I18&lt;&gt;"",$I18,$G18))</f>
        <v/>
      </c>
      <c r="L18" s="19">
        <f>IF($B18="","",IF($J18&lt;&gt;"",$J18,$H18))</f>
        <v/>
      </c>
      <c r="M18" s="24" t="inlineStr">
        <is>
          <t>Select a case from any court within your jurisdiction (Texas or Federal) that decides the issue of vehicle detention and searches. Summarize the details of the offense, the issue on appeal, the position of the defendant and the state, the final decision and if there is a dissent, the argument of the dissent.</t>
        </is>
      </c>
    </row>
    <row r="19" ht="42" customHeight="1">
      <c r="B19" s="16" t="n">
        <v>14</v>
      </c>
      <c r="C19" s="16" t="inlineStr">
        <is>
          <t>Arrest, Search, and Seizure — F</t>
        </is>
      </c>
      <c r="D19" s="29" t="inlineStr">
        <is>
          <t>10</t>
        </is>
      </c>
      <c r="E19" s="16" t="n">
        <v>2</v>
      </c>
      <c r="F19" s="16" t="n">
        <v>0</v>
      </c>
      <c r="G19" s="19">
        <f>IF($D19="","",_xlfn.LET(_xlpm.f,IFERROR(_xlfn.XLOOKUP($D19,nrCHnum,nrCHfirst),""),IF(OR(_xlpm.f="",_xlpm.f=0),"",_xlfn.LET(_xlpm.wkstart,_xlpm.f-WEEKDAY(_xlpm.f,2)+1+$E19*7,_xlpm.d,IFERROR(_xlfn.MINIFS(nrCDdate,nrCDdate,"&gt;="&amp;_xlpm.wkstart),0),IF(N(_xlpm.d)=0,"",_xlpm.d)))))</f>
        <v/>
      </c>
      <c r="H19" s="19">
        <f>IF($G19="","",_xlfn.LET(_xlpm.a,$G19,_xlpm.ws2,_xlpm.a-WEEKDAY(_xlpm.a,2)+1+$F19*7,_xlpm.d,_xlfn.MAXIFS(nrCDdate,nrCDdate,"&gt;="&amp;_xlpm.ws2,nrCDdate,"&lt;"&amp;(_xlpm.ws2+7)),IF(_xlpm.d=0,"",_xlpm.d)))</f>
        <v/>
      </c>
      <c r="I19" s="18" t="n"/>
      <c r="J19" s="18" t="n"/>
      <c r="K19" s="19">
        <f>IF($B19="","",IF($I19&lt;&gt;"",$I19,$G19))</f>
        <v/>
      </c>
      <c r="L19" s="19">
        <f>IF($B19="","",IF($J19&lt;&gt;"",$J19,$H19))</f>
        <v/>
      </c>
      <c r="M19" s="24" t="inlineStr">
        <is>
          <t>Select a case from a Federal Court that decides the issue of culpability in an illegal transportation of aliens across the border. Summarize the details of the offense, the issue on appeal, the position of the defendant and the state, the final decision and if there is a dissent, the argument of the dissent.</t>
        </is>
      </c>
    </row>
    <row r="20" ht="42" customHeight="1">
      <c r="B20" s="16" t="n">
        <v>15</v>
      </c>
      <c r="C20" s="16" t="inlineStr">
        <is>
          <t>Traffic / Crash — A</t>
        </is>
      </c>
      <c r="D20" s="29" t="inlineStr">
        <is>
          <t>22</t>
        </is>
      </c>
      <c r="E20" s="16" t="n">
        <v>0</v>
      </c>
      <c r="F20" s="16" t="n">
        <v>0</v>
      </c>
      <c r="G20" s="19">
        <f>IF($D20="","",_xlfn.LET(_xlpm.f,IFERROR(_xlfn.XLOOKUP($D20,nrCHnum,nrCHfirst),""),IF(OR(_xlpm.f="",_xlpm.f=0),"",_xlfn.LET(_xlpm.wkstart,_xlpm.f-WEEKDAY(_xlpm.f,2)+1+$E20*7,_xlpm.d,IFERROR(_xlfn.MINIFS(nrCDdate,nrCDdate,"&gt;="&amp;_xlpm.wkstart),0),IF(N(_xlpm.d)=0,"",_xlpm.d)))))</f>
        <v/>
      </c>
      <c r="H20" s="19">
        <f>IF($G20="","",_xlfn.LET(_xlpm.a,$G20,_xlpm.ws2,_xlpm.a-WEEKDAY(_xlpm.a,2)+1+$F20*7,_xlpm.d,_xlfn.MAXIFS(nrCDdate,nrCDdate,"&gt;="&amp;_xlpm.ws2,nrCDdate,"&lt;"&amp;(_xlpm.ws2+7)),IF(_xlpm.d=0,"",_xlpm.d)))</f>
        <v/>
      </c>
      <c r="I20" s="18" t="n"/>
      <c r="J20" s="18" t="n"/>
      <c r="K20" s="19">
        <f>IF($B20="","",IF($I20&lt;&gt;"",$I20,$G20))</f>
        <v/>
      </c>
      <c r="L20" s="19">
        <f>IF($B20="","",IF($J20&lt;&gt;"",$J20,$H20))</f>
        <v/>
      </c>
      <c r="M20" s="24" t="inlineStr">
        <is>
          <t>Interview drivers/witnesses in a vehicle collision. Write a narrative about the collision.</t>
        </is>
      </c>
    </row>
    <row r="21" ht="42" customHeight="1">
      <c r="B21" s="16" t="n">
        <v>16</v>
      </c>
      <c r="C21" s="16" t="inlineStr">
        <is>
          <t>Traffic / Crash — B</t>
        </is>
      </c>
      <c r="D21" s="29" t="inlineStr">
        <is>
          <t>22</t>
        </is>
      </c>
      <c r="E21" s="16" t="n">
        <v>0</v>
      </c>
      <c r="F21" s="16" t="n">
        <v>0</v>
      </c>
      <c r="G21" s="19">
        <f>IF($D21="","",_xlfn.LET(_xlpm.f,IFERROR(_xlfn.XLOOKUP($D21,nrCHnum,nrCHfirst),""),IF(OR(_xlpm.f="",_xlpm.f=0),"",_xlfn.LET(_xlpm.wkstart,_xlpm.f-WEEKDAY(_xlpm.f,2)+1+$E21*7,_xlpm.d,IFERROR(_xlfn.MINIFS(nrCDdate,nrCDdate,"&gt;="&amp;_xlpm.wkstart),0),IF(N(_xlpm.d)=0,"",_xlpm.d)))))</f>
        <v/>
      </c>
      <c r="H21" s="19">
        <f>IF($G21="","",_xlfn.LET(_xlpm.a,$G21,_xlpm.ws2,_xlpm.a-WEEKDAY(_xlpm.a,2)+1+$F21*7,_xlpm.d,_xlfn.MAXIFS(nrCDdate,nrCDdate,"&gt;="&amp;_xlpm.ws2,nrCDdate,"&lt;"&amp;(_xlpm.ws2+7)),IF(_xlpm.d=0,"",_xlpm.d)))</f>
        <v/>
      </c>
      <c r="I21" s="18" t="n"/>
      <c r="J21" s="18" t="n"/>
      <c r="K21" s="19">
        <f>IF($B21="","",IF($I21&lt;&gt;"",$I21,$G21))</f>
        <v/>
      </c>
      <c r="L21" s="19">
        <f>IF($B21="","",IF($J21&lt;&gt;"",$J21,$H21))</f>
        <v/>
      </c>
      <c r="M21" s="24" t="inlineStr">
        <is>
          <t>Pick a traffic violation that you have observed. Write a detailed narrative about the violation.</t>
        </is>
      </c>
    </row>
    <row r="22" ht="42" customHeight="1">
      <c r="B22" s="16" t="n">
        <v>17</v>
      </c>
      <c r="C22" s="16" t="inlineStr">
        <is>
          <t>Traffic / Crash — C</t>
        </is>
      </c>
      <c r="D22" s="29" t="inlineStr">
        <is>
          <t>22</t>
        </is>
      </c>
      <c r="E22" s="16" t="n">
        <v>0</v>
      </c>
      <c r="F22" s="16" t="n">
        <v>0</v>
      </c>
      <c r="G22" s="19">
        <f>IF($D22="","",_xlfn.LET(_xlpm.f,IFERROR(_xlfn.XLOOKUP($D22,nrCHnum,nrCHfirst),""),IF(OR(_xlpm.f="",_xlpm.f=0),"",_xlfn.LET(_xlpm.wkstart,_xlpm.f-WEEKDAY(_xlpm.f,2)+1+$E22*7,_xlpm.d,IFERROR(_xlfn.MINIFS(nrCDdate,nrCDdate,"&gt;="&amp;_xlpm.wkstart),0),IF(N(_xlpm.d)=0,"",_xlpm.d)))))</f>
        <v/>
      </c>
      <c r="H22" s="19">
        <f>IF($G22="","",_xlfn.LET(_xlpm.a,$G22,_xlpm.ws2,_xlpm.a-WEEKDAY(_xlpm.a,2)+1+$F22*7,_xlpm.d,_xlfn.MAXIFS(nrCDdate,nrCDdate,"&gt;="&amp;_xlpm.ws2,nrCDdate,"&lt;"&amp;(_xlpm.ws2+7)),IF(_xlpm.d=0,"",_xlpm.d)))</f>
        <v/>
      </c>
      <c r="I22" s="18" t="n"/>
      <c r="J22" s="18" t="n"/>
      <c r="K22" s="19">
        <f>IF($B22="","",IF($I22&lt;&gt;"",$I22,$G22))</f>
        <v/>
      </c>
      <c r="L22" s="19">
        <f>IF($B22="","",IF($J22&lt;&gt;"",$J22,$H22))</f>
        <v/>
      </c>
      <c r="M22" s="24" t="inlineStr">
        <is>
          <t>Prepare an arrest warrant affidavit (probable cause narrative) for a subject that you were unable to capture in a pursuit.</t>
        </is>
      </c>
    </row>
    <row r="23" ht="42" customHeight="1">
      <c r="B23" s="16" t="n">
        <v>18</v>
      </c>
      <c r="C23" s="16" t="inlineStr">
        <is>
          <t>Traffic / Crash — D</t>
        </is>
      </c>
      <c r="D23" s="29" t="inlineStr">
        <is>
          <t>22</t>
        </is>
      </c>
      <c r="E23" s="16" t="n">
        <v>0</v>
      </c>
      <c r="F23" s="16" t="n">
        <v>0</v>
      </c>
      <c r="G23" s="19">
        <f>IF($D23="","",_xlfn.LET(_xlpm.f,IFERROR(_xlfn.XLOOKUP($D23,nrCHnum,nrCHfirst),""),IF(OR(_xlpm.f="",_xlpm.f=0),"",_xlfn.LET(_xlpm.wkstart,_xlpm.f-WEEKDAY(_xlpm.f,2)+1+$E23*7,_xlpm.d,IFERROR(_xlfn.MINIFS(nrCDdate,nrCDdate,"&gt;="&amp;_xlpm.wkstart),0),IF(N(_xlpm.d)=0,"",_xlpm.d)))))</f>
        <v/>
      </c>
      <c r="H23" s="19">
        <f>IF($G23="","",_xlfn.LET(_xlpm.a,$G23,_xlpm.ws2,_xlpm.a-WEEKDAY(_xlpm.a,2)+1+$F23*7,_xlpm.d,_xlfn.MAXIFS(nrCDdate,nrCDdate,"&gt;="&amp;_xlpm.ws2,nrCDdate,"&lt;"&amp;(_xlpm.ws2+7)),IF(_xlpm.d=0,"",_xlpm.d)))</f>
        <v/>
      </c>
      <c r="I23" s="18" t="n"/>
      <c r="J23" s="18" t="n"/>
      <c r="K23" s="19">
        <f>IF($B23="","",IF($I23&lt;&gt;"",$I23,$G23))</f>
        <v/>
      </c>
      <c r="L23" s="19">
        <f>IF($B23="","",IF($J23&lt;&gt;"",$J23,$H23))</f>
        <v/>
      </c>
      <c r="M23" s="24" t="inlineStr">
        <is>
          <t>Prepare a search warrant affidavit (probable cause narrative) for a vehicle involved in a failure to stop and render aid collision.</t>
        </is>
      </c>
    </row>
    <row r="24" ht="42" customHeight="1">
      <c r="B24" s="16" t="n">
        <v>19</v>
      </c>
      <c r="C24" s="16" t="inlineStr">
        <is>
          <t>SFST</t>
        </is>
      </c>
      <c r="D24" s="29" t="inlineStr">
        <is>
          <t>23</t>
        </is>
      </c>
      <c r="E24" s="16" t="n">
        <v>0</v>
      </c>
      <c r="F24" s="16" t="n">
        <v>1</v>
      </c>
      <c r="G24" s="19">
        <f>IF($D24="","",_xlfn.LET(_xlpm.f,IFERROR(_xlfn.XLOOKUP($D24,nrCHnum,nrCHfirst),""),IF(OR(_xlpm.f="",_xlpm.f=0),"",_xlfn.LET(_xlpm.wkstart,_xlpm.f-WEEKDAY(_xlpm.f,2)+1+$E24*7,_xlpm.d,IFERROR(_xlfn.MINIFS(nrCDdate,nrCDdate,"&gt;="&amp;_xlpm.wkstart),0),IF(N(_xlpm.d)=0,"",_xlpm.d)))))</f>
        <v/>
      </c>
      <c r="H24" s="19">
        <f>IF($G24="","",_xlfn.LET(_xlpm.a,$G24,_xlpm.ws2,_xlpm.a-WEEKDAY(_xlpm.a,2)+1+$F24*7,_xlpm.d,_xlfn.MAXIFS(nrCDdate,nrCDdate,"&gt;="&amp;_xlpm.ws2,nrCDdate,"&lt;"&amp;(_xlpm.ws2+7)),IF(_xlpm.d=0,"",_xlpm.d)))</f>
        <v/>
      </c>
      <c r="I24" s="18" t="n"/>
      <c r="J24" s="18" t="n"/>
      <c r="K24" s="19">
        <f>IF($B24="","",IF($I24&lt;&gt;"",$I24,$G24))</f>
        <v/>
      </c>
      <c r="L24" s="19">
        <f>IF($B24="","",IF($J24&lt;&gt;"",$J24,$H24))</f>
        <v/>
      </c>
      <c r="M24" s="24" t="inlineStr">
        <is>
          <t>Prepare a case narrative, based on a wet lab test subject, for a DWI arrest. Complete all DPS forms (DIC-23, DIC-24, DIC-25, DIC-54, and DIC-55). NOTE: Assigned after wet lab. Wet lab must be completed before writing this narrative.</t>
        </is>
      </c>
    </row>
    <row r="25" ht="42" customHeight="1">
      <c r="B25" s="16" t="n">
        <v>20</v>
      </c>
      <c r="C25" s="16" t="inlineStr">
        <is>
          <t>Written Communication — A</t>
        </is>
      </c>
      <c r="D25" s="29" t="inlineStr">
        <is>
          <t>24</t>
        </is>
      </c>
      <c r="E25" s="16" t="n">
        <v>0</v>
      </c>
      <c r="F25" s="16" t="n">
        <v>1</v>
      </c>
      <c r="G25" s="19">
        <f>IF($D25="","",_xlfn.LET(_xlpm.f,IFERROR(_xlfn.XLOOKUP($D25,nrCHnum,nrCHfirst),""),IF(OR(_xlpm.f="",_xlpm.f=0),"",_xlfn.LET(_xlpm.wkstart,_xlpm.f-WEEKDAY(_xlpm.f,2)+1+$E25*7,_xlpm.d,IFERROR(_xlfn.MINIFS(nrCDdate,nrCDdate,"&gt;="&amp;_xlpm.wkstart),0),IF(N(_xlpm.d)=0,"",_xlpm.d)))))</f>
        <v/>
      </c>
      <c r="H25" s="19">
        <f>IF($G25="","",_xlfn.LET(_xlpm.a,$G25,_xlpm.ws2,_xlpm.a-WEEKDAY(_xlpm.a,2)+1+$F25*7,_xlpm.d,_xlfn.MAXIFS(nrCDdate,nrCDdate,"&gt;="&amp;_xlpm.ws2,nrCDdate,"&lt;"&amp;(_xlpm.ws2+7)),IF(_xlpm.d=0,"",_xlpm.d)))</f>
        <v/>
      </c>
      <c r="I25" s="18" t="n"/>
      <c r="J25" s="18" t="n"/>
      <c r="K25" s="19">
        <f>IF($B25="","",IF($I25&lt;&gt;"",$I25,$G25))</f>
        <v/>
      </c>
      <c r="L25" s="19">
        <f>IF($B25="","",IF($J25&lt;&gt;"",$J25,$H25))</f>
        <v/>
      </c>
      <c r="M25" s="24" t="inlineStr">
        <is>
          <t>Submit an offense report narrative from the "Night Watch" painting.</t>
        </is>
      </c>
    </row>
    <row r="26" ht="42" customHeight="1">
      <c r="B26" s="16" t="n">
        <v>21</v>
      </c>
      <c r="C26" s="16" t="inlineStr">
        <is>
          <t>Written Communication — B</t>
        </is>
      </c>
      <c r="D26" s="29" t="inlineStr">
        <is>
          <t>24</t>
        </is>
      </c>
      <c r="E26" s="16" t="n">
        <v>0</v>
      </c>
      <c r="F26" s="16" t="n">
        <v>1</v>
      </c>
      <c r="G26" s="19">
        <f>IF($D26="","",_xlfn.LET(_xlpm.f,IFERROR(_xlfn.XLOOKUP($D26,nrCHnum,nrCHfirst),""),IF(OR(_xlpm.f="",_xlpm.f=0),"",_xlfn.LET(_xlpm.wkstart,_xlpm.f-WEEKDAY(_xlpm.f,2)+1+$E26*7,_xlpm.d,IFERROR(_xlfn.MINIFS(nrCDdate,nrCDdate,"&gt;="&amp;_xlpm.wkstart),0),IF(N(_xlpm.d)=0,"",_xlpm.d)))))</f>
        <v/>
      </c>
      <c r="H26" s="19">
        <f>IF($G26="","",_xlfn.LET(_xlpm.a,$G26,_xlpm.ws2,_xlpm.a-WEEKDAY(_xlpm.a,2)+1+$F26*7,_xlpm.d,_xlfn.MAXIFS(nrCDdate,nrCDdate,"&gt;="&amp;_xlpm.ws2,nrCDdate,"&lt;"&amp;(_xlpm.ws2+7)),IF(_xlpm.d=0,"",_xlpm.d)))</f>
        <v/>
      </c>
      <c r="I26" s="18" t="n"/>
      <c r="J26" s="18" t="n"/>
      <c r="K26" s="19">
        <f>IF($B26="","",IF($I26&lt;&gt;"",$I26,$G26))</f>
        <v/>
      </c>
      <c r="L26" s="19">
        <f>IF($B26="","",IF($J26&lt;&gt;"",$J26,$H26))</f>
        <v/>
      </c>
      <c r="M26" s="24" t="inlineStr">
        <is>
          <t>Prepare a full narrative on how to make a peanut butter and jelly sandwich.</t>
        </is>
      </c>
    </row>
    <row r="27" ht="42" customHeight="1">
      <c r="B27" s="16" t="n">
        <v>22</v>
      </c>
      <c r="C27" s="16" t="inlineStr">
        <is>
          <t>Written Communication — C</t>
        </is>
      </c>
      <c r="D27" s="29" t="inlineStr">
        <is>
          <t>24</t>
        </is>
      </c>
      <c r="E27" s="16" t="n">
        <v>0</v>
      </c>
      <c r="F27" s="16" t="n">
        <v>1</v>
      </c>
      <c r="G27" s="19">
        <f>IF($D27="","",_xlfn.LET(_xlpm.f,IFERROR(_xlfn.XLOOKUP($D27,nrCHnum,nrCHfirst),""),IF(OR(_xlpm.f="",_xlpm.f=0),"",_xlfn.LET(_xlpm.wkstart,_xlpm.f-WEEKDAY(_xlpm.f,2)+1+$E27*7,_xlpm.d,IFERROR(_xlfn.MINIFS(nrCDdate,nrCDdate,"&gt;="&amp;_xlpm.wkstart),0),IF(N(_xlpm.d)=0,"",_xlpm.d)))))</f>
        <v/>
      </c>
      <c r="H27" s="19">
        <f>IF($G27="","",_xlfn.LET(_xlpm.a,$G27,_xlpm.ws2,_xlpm.a-WEEKDAY(_xlpm.a,2)+1+$F27*7,_xlpm.d,_xlfn.MAXIFS(nrCDdate,nrCDdate,"&gt;="&amp;_xlpm.ws2,nrCDdate,"&lt;"&amp;(_xlpm.ws2+7)),IF(_xlpm.d=0,"",_xlpm.d)))</f>
        <v/>
      </c>
      <c r="I27" s="18" t="n"/>
      <c r="J27" s="18" t="n"/>
      <c r="K27" s="19">
        <f>IF($B27="","",IF($I27&lt;&gt;"",$I27,$G27))</f>
        <v/>
      </c>
      <c r="L27" s="19">
        <f>IF($B27="","",IF($J27&lt;&gt;"",$J27,$H27))</f>
        <v/>
      </c>
      <c r="M27" s="24" t="inlineStr">
        <is>
          <t>Interview witnesses of a shooting (Clint Eastwood). Write a detailed narrative for a case report on the shooting.</t>
        </is>
      </c>
    </row>
    <row r="28" ht="42" customHeight="1">
      <c r="B28" s="16" t="n">
        <v>23</v>
      </c>
      <c r="C28" s="16" t="inlineStr">
        <is>
          <t>Spanish</t>
        </is>
      </c>
      <c r="D28" s="29" t="inlineStr">
        <is>
          <t>26</t>
        </is>
      </c>
      <c r="E28" s="16" t="n">
        <v>0</v>
      </c>
      <c r="F28" s="16" t="n">
        <v>1</v>
      </c>
      <c r="G28" s="19">
        <f>IF($D28="","",_xlfn.LET(_xlpm.f,IFERROR(_xlfn.XLOOKUP($D28,nrCHnum,nrCHfirst),""),IF(OR(_xlpm.f="",_xlpm.f=0),"",_xlfn.LET(_xlpm.wkstart,_xlpm.f-WEEKDAY(_xlpm.f,2)+1+$E28*7,_xlpm.d,IFERROR(_xlfn.MINIFS(nrCDdate,nrCDdate,"&gt;="&amp;_xlpm.wkstart),0),IF(N(_xlpm.d)=0,"",_xlpm.d)))))</f>
        <v/>
      </c>
      <c r="H28" s="19">
        <f>IF($G28="","",_xlfn.LET(_xlpm.a,$G28,_xlpm.ws2,_xlpm.a-WEEKDAY(_xlpm.a,2)+1+$F28*7,_xlpm.d,_xlfn.MAXIFS(nrCDdate,nrCDdate,"&gt;="&amp;_xlpm.ws2,nrCDdate,"&lt;"&amp;(_xlpm.ws2+7)),IF(_xlpm.d=0,"",_xlpm.d)))</f>
        <v/>
      </c>
      <c r="I28" s="18" t="n"/>
      <c r="J28" s="18" t="n"/>
      <c r="K28" s="19">
        <f>IF($B28="","",IF($I28&lt;&gt;"",$I28,$G28))</f>
        <v/>
      </c>
      <c r="L28" s="19">
        <f>IF($B28="","",IF($J28&lt;&gt;"",$J28,$H28))</f>
        <v/>
      </c>
      <c r="M28" s="24" t="inlineStr">
        <is>
          <t>Complete a casual contact of a Spanish speaking individual. Document the contact on a Field Information form.</t>
        </is>
      </c>
    </row>
    <row r="29" ht="42" customHeight="1">
      <c r="B29" s="16" t="n">
        <v>24</v>
      </c>
      <c r="C29" s="16" t="inlineStr">
        <is>
          <t>De-escalation</t>
        </is>
      </c>
      <c r="D29" s="29" t="inlineStr">
        <is>
          <t>27</t>
        </is>
      </c>
      <c r="E29" s="16" t="n">
        <v>0</v>
      </c>
      <c r="F29" s="16" t="n">
        <v>1</v>
      </c>
      <c r="G29" s="19">
        <f>IF($D29="","",_xlfn.LET(_xlpm.f,IFERROR(_xlfn.XLOOKUP($D29,nrCHnum,nrCHfirst),""),IF(OR(_xlpm.f="",_xlpm.f=0),"",_xlfn.LET(_xlpm.wkstart,_xlpm.f-WEEKDAY(_xlpm.f,2)+1+$E29*7,_xlpm.d,IFERROR(_xlfn.MINIFS(nrCDdate,nrCDdate,"&gt;="&amp;_xlpm.wkstart),0),IF(N(_xlpm.d)=0,"",_xlpm.d)))))</f>
        <v/>
      </c>
      <c r="H29" s="19">
        <f>IF($G29="","",_xlfn.LET(_xlpm.a,$G29,_xlpm.ws2,_xlpm.a-WEEKDAY(_xlpm.a,2)+1+$F29*7,_xlpm.d,_xlfn.MAXIFS(nrCDdate,nrCDdate,"&gt;="&amp;_xlpm.ws2,nrCDdate,"&lt;"&amp;(_xlpm.ws2+7)),IF(_xlpm.d=0,"",_xlpm.d)))</f>
        <v/>
      </c>
      <c r="I29" s="18" t="n"/>
      <c r="J29" s="18" t="n"/>
      <c r="K29" s="19">
        <f>IF($B29="","",IF($I29&lt;&gt;"",$I29,$G29))</f>
        <v/>
      </c>
      <c r="L29" s="19">
        <f>IF($B29="","",IF($J29&lt;&gt;"",$J29,$H29))</f>
        <v/>
      </c>
      <c r="M29" s="24" t="inlineStr">
        <is>
          <t>Review the article at https://www.calibrepress.com/2020/04/new-study-expert-vs-novice-use-of-force-decision-making/ — Discuss techniques in the article that correlate with the information taught during this portion of the academy.</t>
        </is>
      </c>
    </row>
    <row r="30" ht="42" customHeight="1">
      <c r="B30" s="16" t="n">
        <v>25</v>
      </c>
      <c r="C30" s="16" t="inlineStr">
        <is>
          <t>Use of Force — A</t>
        </is>
      </c>
      <c r="D30" s="29" t="inlineStr">
        <is>
          <t>28</t>
        </is>
      </c>
      <c r="E30" s="16" t="n">
        <v>0</v>
      </c>
      <c r="F30" s="16" t="n">
        <v>1</v>
      </c>
      <c r="G30" s="19">
        <f>IF($D30="","",_xlfn.LET(_xlpm.f,IFERROR(_xlfn.XLOOKUP($D30,nrCHnum,nrCHfirst),""),IF(OR(_xlpm.f="",_xlpm.f=0),"",_xlfn.LET(_xlpm.wkstart,_xlpm.f-WEEKDAY(_xlpm.f,2)+1+$E30*7,_xlpm.d,IFERROR(_xlfn.MINIFS(nrCDdate,nrCDdate,"&gt;="&amp;_xlpm.wkstart),0),IF(N(_xlpm.d)=0,"",_xlpm.d)))))</f>
        <v/>
      </c>
      <c r="H30" s="19">
        <f>IF($G30="","",_xlfn.LET(_xlpm.a,$G30,_xlpm.ws2,_xlpm.a-WEEKDAY(_xlpm.a,2)+1+$F30*7,_xlpm.d,_xlfn.MAXIFS(nrCDdate,nrCDdate,"&gt;="&amp;_xlpm.ws2,nrCDdate,"&lt;"&amp;(_xlpm.ws2+7)),IF(_xlpm.d=0,"",_xlpm.d)))</f>
        <v/>
      </c>
      <c r="I30" s="18" t="n"/>
      <c r="J30" s="18" t="n"/>
      <c r="K30" s="19">
        <f>IF($B30="","",IF($I30&lt;&gt;"",$I30,$G30))</f>
        <v/>
      </c>
      <c r="L30" s="19">
        <f>IF($B30="","",IF($J30&lt;&gt;"",$J30,$H30))</f>
        <v/>
      </c>
      <c r="M30" s="24" t="inlineStr">
        <is>
          <t>Watch video. Submit a use of force / subject resistance report.</t>
        </is>
      </c>
    </row>
    <row r="31" ht="42" customHeight="1">
      <c r="B31" s="16" t="n">
        <v>26</v>
      </c>
      <c r="C31" s="16" t="inlineStr">
        <is>
          <t>Use of Force — B</t>
        </is>
      </c>
      <c r="D31" s="29" t="inlineStr">
        <is>
          <t>28</t>
        </is>
      </c>
      <c r="E31" s="16" t="n">
        <v>0</v>
      </c>
      <c r="F31" s="16" t="n">
        <v>1</v>
      </c>
      <c r="G31" s="19">
        <f>IF($D31="","",_xlfn.LET(_xlpm.f,IFERROR(_xlfn.XLOOKUP($D31,nrCHnum,nrCHfirst),""),IF(OR(_xlpm.f="",_xlpm.f=0),"",_xlfn.LET(_xlpm.wkstart,_xlpm.f-WEEKDAY(_xlpm.f,2)+1+$E31*7,_xlpm.d,IFERROR(_xlfn.MINIFS(nrCDdate,nrCDdate,"&gt;="&amp;_xlpm.wkstart),0),IF(N(_xlpm.d)=0,"",_xlpm.d)))))</f>
        <v/>
      </c>
      <c r="H31" s="19">
        <f>IF($G31="","",_xlfn.LET(_xlpm.a,$G31,_xlpm.ws2,_xlpm.a-WEEKDAY(_xlpm.a,2)+1+$F31*7,_xlpm.d,_xlfn.MAXIFS(nrCDdate,nrCDdate,"&gt;="&amp;_xlpm.ws2,nrCDdate,"&lt;"&amp;(_xlpm.ws2+7)),IF(_xlpm.d=0,"",_xlpm.d)))</f>
        <v/>
      </c>
      <c r="I31" s="18" t="n"/>
      <c r="J31" s="18" t="n"/>
      <c r="K31" s="19">
        <f>IF($B31="","",IF($I31&lt;&gt;"",$I31,$G31))</f>
        <v/>
      </c>
      <c r="L31" s="19">
        <f>IF($B31="","",IF($J31&lt;&gt;"",$J31,$H31))</f>
        <v/>
      </c>
      <c r="M31" s="24" t="inlineStr">
        <is>
          <t>Select a case from any court within your jurisdiction (Texas or Federal) that decides the issue of excessive force. Summarize the details of the offense, the issue on appeal, the position of the defendant and the state, the final decision and if there is a dissent, the argument of the dissent.</t>
        </is>
      </c>
    </row>
    <row r="32" ht="42" customHeight="1">
      <c r="B32" s="16" t="n">
        <v>27</v>
      </c>
      <c r="C32" s="16" t="inlineStr">
        <is>
          <t>Crisis Intervention</t>
        </is>
      </c>
      <c r="D32" s="29" t="inlineStr">
        <is>
          <t>29</t>
        </is>
      </c>
      <c r="E32" s="16" t="n">
        <v>0</v>
      </c>
      <c r="F32" s="16" t="n">
        <v>1</v>
      </c>
      <c r="G32" s="19">
        <f>IF($D32="","",_xlfn.LET(_xlpm.f,IFERROR(_xlfn.XLOOKUP($D32,nrCHnum,nrCHfirst),""),IF(OR(_xlpm.f="",_xlpm.f=0),"",_xlfn.LET(_xlpm.wkstart,_xlpm.f-WEEKDAY(_xlpm.f,2)+1+$E32*7,_xlpm.d,IFERROR(_xlfn.MINIFS(nrCDdate,nrCDdate,"&gt;="&amp;_xlpm.wkstart),0),IF(N(_xlpm.d)=0,"",_xlpm.d)))))</f>
        <v/>
      </c>
      <c r="H32" s="19">
        <f>IF($G32="","",_xlfn.LET(_xlpm.a,$G32,_xlpm.ws2,_xlpm.a-WEEKDAY(_xlpm.a,2)+1+$F32*7,_xlpm.d,_xlfn.MAXIFS(nrCDdate,nrCDdate,"&gt;="&amp;_xlpm.ws2,nrCDdate,"&lt;"&amp;(_xlpm.ws2+7)),IF(_xlpm.d=0,"",_xlpm.d)))</f>
        <v/>
      </c>
      <c r="I32" s="18" t="n"/>
      <c r="J32" s="18" t="n"/>
      <c r="K32" s="19">
        <f>IF($B32="","",IF($I32&lt;&gt;"",$I32,$G32))</f>
        <v/>
      </c>
      <c r="L32" s="19">
        <f>IF($B32="","",IF($J32&lt;&gt;"",$J32,$H32))</f>
        <v/>
      </c>
      <c r="M32" s="24" t="inlineStr">
        <is>
          <t>Complete a Peace Officer Emergency Detention form.</t>
        </is>
      </c>
    </row>
    <row r="33" ht="42" customHeight="1">
      <c r="B33" s="16" t="n">
        <v>28</v>
      </c>
      <c r="C33" s="16" t="inlineStr">
        <is>
          <t>Arrest and Control — A</t>
        </is>
      </c>
      <c r="D33" s="29" t="inlineStr">
        <is>
          <t>31</t>
        </is>
      </c>
      <c r="E33" s="16" t="n">
        <v>0</v>
      </c>
      <c r="F33" s="16" t="n">
        <v>1</v>
      </c>
      <c r="G33" s="19">
        <f>IF($D33="","",_xlfn.LET(_xlpm.f,IFERROR(_xlfn.XLOOKUP($D33,nrCHnum,nrCHfirst),""),IF(OR(_xlpm.f="",_xlpm.f=0),"",_xlfn.LET(_xlpm.wkstart,_xlpm.f-WEEKDAY(_xlpm.f,2)+1+$E33*7,_xlpm.d,IFERROR(_xlfn.MINIFS(nrCDdate,nrCDdate,"&gt;="&amp;_xlpm.wkstart),0),IF(N(_xlpm.d)=0,"",_xlpm.d)))))</f>
        <v/>
      </c>
      <c r="H33" s="19">
        <f>IF($G33="","",_xlfn.LET(_xlpm.a,$G33,_xlpm.ws2,_xlpm.a-WEEKDAY(_xlpm.a,2)+1+$F33*7,_xlpm.d,_xlfn.MAXIFS(nrCDdate,nrCDdate,"&gt;="&amp;_xlpm.ws2,nrCDdate,"&lt;"&amp;(_xlpm.ws2+7)),IF(_xlpm.d=0,"",_xlpm.d)))</f>
        <v/>
      </c>
      <c r="I33" s="18" t="n"/>
      <c r="J33" s="18" t="n"/>
      <c r="K33" s="19">
        <f>IF($B33="","",IF($I33&lt;&gt;"",$I33,$G33))</f>
        <v/>
      </c>
      <c r="L33" s="19">
        <f>IF($B33="","",IF($J33&lt;&gt;"",$J33,$H33))</f>
        <v/>
      </c>
      <c r="M33" s="24" t="inlineStr">
        <is>
          <t>Select a case from any court within your jurisdiction (Texas or Federal) that decides the issue of resistance during an arrest. Summarize the details of the offense, the issue on appeal, the position of the defendant and the state, the final decision and if there is a dissent, the argument of the dissent.</t>
        </is>
      </c>
    </row>
    <row r="34" ht="42" customHeight="1">
      <c r="B34" s="16" t="n">
        <v>29</v>
      </c>
      <c r="C34" s="16" t="inlineStr">
        <is>
          <t>Arrest and Control — B</t>
        </is>
      </c>
      <c r="D34" s="29" t="inlineStr">
        <is>
          <t>31</t>
        </is>
      </c>
      <c r="E34" s="16" t="n">
        <v>1</v>
      </c>
      <c r="F34" s="16" t="n">
        <v>1</v>
      </c>
      <c r="G34" s="19">
        <f>IF($D34="","",_xlfn.LET(_xlpm.f,IFERROR(_xlfn.XLOOKUP($D34,nrCHnum,nrCHfirst),""),IF(OR(_xlpm.f="",_xlpm.f=0),"",_xlfn.LET(_xlpm.wkstart,_xlpm.f-WEEKDAY(_xlpm.f,2)+1+$E34*7,_xlpm.d,IFERROR(_xlfn.MINIFS(nrCDdate,nrCDdate,"&gt;="&amp;_xlpm.wkstart),0),IF(N(_xlpm.d)=0,"",_xlpm.d)))))</f>
        <v/>
      </c>
      <c r="H34" s="19">
        <f>IF($G34="","",_xlfn.LET(_xlpm.a,$G34,_xlpm.ws2,_xlpm.a-WEEKDAY(_xlpm.a,2)+1+$F34*7,_xlpm.d,_xlfn.MAXIFS(nrCDdate,nrCDdate,"&gt;="&amp;_xlpm.ws2,nrCDdate,"&lt;"&amp;(_xlpm.ws2+7)),IF(_xlpm.d=0,"",_xlpm.d)))</f>
        <v/>
      </c>
      <c r="I34" s="18" t="n"/>
      <c r="J34" s="18" t="n"/>
      <c r="K34" s="19">
        <f>IF($B34="","",IF($I34&lt;&gt;"",$I34,$G34))</f>
        <v/>
      </c>
      <c r="L34" s="19">
        <f>IF($B34="","",IF($J34&lt;&gt;"",$J34,$H34))</f>
        <v/>
      </c>
      <c r="M34" s="24" t="inlineStr">
        <is>
          <t>Complete the following FEMA online courses and submit your completion certificates: ICS 100 (https://training.fema.gov/is/courseoverview.aspx?code=IS-100.c), ICS 200 (https://training.fema.gov/is/courseoverview.aspx?code=IS-200.c), ICS 700 (https://training.fema.gov/is/courseoverview.aspx?code=IS-700.b)</t>
        </is>
      </c>
    </row>
    <row r="35" ht="42" customHeight="1">
      <c r="B35" s="16" t="n">
        <v>30</v>
      </c>
      <c r="C35" s="16" t="inlineStr">
        <is>
          <t>Booking Procedures</t>
        </is>
      </c>
      <c r="D35" s="29" t="inlineStr">
        <is>
          <t>32</t>
        </is>
      </c>
      <c r="E35" s="16" t="n">
        <v>0</v>
      </c>
      <c r="F35" s="16" t="n">
        <v>1</v>
      </c>
      <c r="G35" s="19">
        <f>IF($D35="","",_xlfn.LET(_xlpm.f,IFERROR(_xlfn.XLOOKUP($D35,nrCHnum,nrCHfirst),""),IF(OR(_xlpm.f="",_xlpm.f=0),"",_xlfn.LET(_xlpm.wkstart,_xlpm.f-WEEKDAY(_xlpm.f,2)+1+$E35*7,_xlpm.d,IFERROR(_xlfn.MINIFS(nrCDdate,nrCDdate,"&gt;="&amp;_xlpm.wkstart),0),IF(N(_xlpm.d)=0,"",_xlpm.d)))))</f>
        <v/>
      </c>
      <c r="H35" s="19">
        <f>IF($G35="","",_xlfn.LET(_xlpm.a,$G35,_xlpm.ws2,_xlpm.a-WEEKDAY(_xlpm.a,2)+1+$F35*7,_xlpm.d,_xlfn.MAXIFS(nrCDdate,nrCDdate,"&gt;="&amp;_xlpm.ws2,nrCDdate,"&lt;"&amp;(_xlpm.ws2+7)),IF(_xlpm.d=0,"",_xlpm.d)))</f>
        <v/>
      </c>
      <c r="I35" s="18" t="n"/>
      <c r="J35" s="18" t="n"/>
      <c r="K35" s="19">
        <f>IF($B35="","",IF($I35&lt;&gt;"",$I35,$G35))</f>
        <v/>
      </c>
      <c r="L35" s="19">
        <f>IF($B35="","",IF($J35&lt;&gt;"",$J35,$H35))</f>
        <v/>
      </c>
      <c r="M35" s="24" t="inlineStr">
        <is>
          <t>Complete a booking form.</t>
        </is>
      </c>
    </row>
    <row r="36" ht="42" customHeight="1">
      <c r="B36" s="16" t="n">
        <v>31</v>
      </c>
      <c r="C36" s="16" t="inlineStr">
        <is>
          <t>Interview</t>
        </is>
      </c>
      <c r="D36" s="29" t="inlineStr">
        <is>
          <t>32</t>
        </is>
      </c>
      <c r="E36" s="16" t="n">
        <v>1</v>
      </c>
      <c r="F36" s="16" t="n">
        <v>2</v>
      </c>
      <c r="G36" s="19">
        <f>IF($D36="","",_xlfn.LET(_xlpm.f,IFERROR(_xlfn.XLOOKUP($D36,nrCHnum,nrCHfirst),""),IF(OR(_xlpm.f="",_xlpm.f=0),"",_xlfn.LET(_xlpm.wkstart,_xlpm.f-WEEKDAY(_xlpm.f,2)+1+$E36*7,_xlpm.d,IFERROR(_xlfn.MINIFS(nrCDdate,nrCDdate,"&gt;="&amp;_xlpm.wkstart),0),IF(N(_xlpm.d)=0,"",_xlpm.d)))))</f>
        <v/>
      </c>
      <c r="H36" s="19">
        <f>IF($G36="","",_xlfn.LET(_xlpm.a,$G36,_xlpm.ws2,_xlpm.a-WEEKDAY(_xlpm.a,2)+1+$F36*7,_xlpm.d,_xlfn.MAXIFS(nrCDdate,nrCDdate,"&gt;="&amp;_xlpm.ws2,nrCDdate,"&lt;"&amp;(_xlpm.ws2+7)),IF(_xlpm.d=0,"",_xlpm.d)))</f>
        <v/>
      </c>
      <c r="I36" s="18" t="n"/>
      <c r="J36" s="18" t="n"/>
      <c r="K36" s="19">
        <f>IF($B36="","",IF($I36&lt;&gt;"",$I36,$G36))</f>
        <v/>
      </c>
      <c r="L36" s="19">
        <f>IF($B36="","",IF($J36&lt;&gt;"",$J36,$H36))</f>
        <v/>
      </c>
      <c r="M36" s="24" t="inlineStr">
        <is>
          <t>Select a case from any court within your jurisdiction (Texas or Federal) that decides the issue of Miranda warning (required/not required). Summarize the details of the offense, the issue on appeal, the position of the defendant and the state, the final decision and if there is a dissent, the argument of the dissent.</t>
        </is>
      </c>
    </row>
    <row r="37" ht="42" customHeight="1">
      <c r="B37" s="16" t="n">
        <v>32</v>
      </c>
      <c r="C37" s="16" t="inlineStr">
        <is>
          <t>Crime Scene Investigation — A</t>
        </is>
      </c>
      <c r="D37" s="29" t="inlineStr">
        <is>
          <t>32</t>
        </is>
      </c>
      <c r="E37" s="16" t="n">
        <v>1</v>
      </c>
      <c r="F37" s="16" t="n">
        <v>2</v>
      </c>
      <c r="G37" s="19">
        <f>IF($D37="","",_xlfn.LET(_xlpm.f,IFERROR(_xlfn.XLOOKUP($D37,nrCHnum,nrCHfirst),""),IF(OR(_xlpm.f="",_xlpm.f=0),"",_xlfn.LET(_xlpm.wkstart,_xlpm.f-WEEKDAY(_xlpm.f,2)+1+$E37*7,_xlpm.d,IFERROR(_xlfn.MINIFS(nrCDdate,nrCDdate,"&gt;="&amp;_xlpm.wkstart),0),IF(N(_xlpm.d)=0,"",_xlpm.d)))))</f>
        <v/>
      </c>
      <c r="H37" s="19">
        <f>IF($G37="","",_xlfn.LET(_xlpm.a,$G37,_xlpm.ws2,_xlpm.a-WEEKDAY(_xlpm.a,2)+1+$F37*7,_xlpm.d,_xlfn.MAXIFS(nrCDdate,nrCDdate,"&gt;="&amp;_xlpm.ws2,nrCDdate,"&lt;"&amp;(_xlpm.ws2+7)),IF(_xlpm.d=0,"",_xlpm.d)))</f>
        <v/>
      </c>
      <c r="I37" s="18" t="n"/>
      <c r="J37" s="18" t="n"/>
      <c r="K37" s="19">
        <f>IF($B37="","",IF($I37&lt;&gt;"",$I37,$G37))</f>
        <v/>
      </c>
      <c r="L37" s="19">
        <f>IF($B37="","",IF($J37&lt;&gt;"",$J37,$H37))</f>
        <v/>
      </c>
      <c r="M37" s="24" t="inlineStr">
        <is>
          <t>Select a case from any court within your jurisdiction (Texas or Federal) that decides the issue of exigent circumstances for a search. Summarize the details of the offense, the issue on appeal, the position of the defendant and the state, the final decision and if there is a dissent, the argument of the dissent.</t>
        </is>
      </c>
    </row>
    <row r="38" ht="42" customHeight="1">
      <c r="B38" s="16" t="n">
        <v>33</v>
      </c>
      <c r="C38" s="16" t="inlineStr">
        <is>
          <t>Crime Scene Investigation — B</t>
        </is>
      </c>
      <c r="D38" s="29" t="inlineStr">
        <is>
          <t>32</t>
        </is>
      </c>
      <c r="E38" s="16" t="n">
        <v>2</v>
      </c>
      <c r="F38" s="16" t="n">
        <v>1</v>
      </c>
      <c r="G38" s="19">
        <f>IF($D38="","",_xlfn.LET(_xlpm.f,IFERROR(_xlfn.XLOOKUP($D38,nrCHnum,nrCHfirst),""),IF(OR(_xlpm.f="",_xlpm.f=0),"",_xlfn.LET(_xlpm.wkstart,_xlpm.f-WEEKDAY(_xlpm.f,2)+1+$E38*7,_xlpm.d,IFERROR(_xlfn.MINIFS(nrCDdate,nrCDdate,"&gt;="&amp;_xlpm.wkstart),0),IF(N(_xlpm.d)=0,"",_xlpm.d)))))</f>
        <v/>
      </c>
      <c r="H38" s="19">
        <f>IF($G38="","",_xlfn.LET(_xlpm.a,$G38,_xlpm.ws2,_xlpm.a-WEEKDAY(_xlpm.a,2)+1+$F38*7,_xlpm.d,_xlfn.MAXIFS(nrCDdate,nrCDdate,"&gt;="&amp;_xlpm.ws2,nrCDdate,"&lt;"&amp;(_xlpm.ws2+7)),IF(_xlpm.d=0,"",_xlpm.d)))</f>
        <v/>
      </c>
      <c r="I38" s="18" t="n"/>
      <c r="J38" s="18" t="n"/>
      <c r="K38" s="19">
        <f>IF($B38="","",IF($I38&lt;&gt;"",$I38,$G38))</f>
        <v/>
      </c>
      <c r="L38" s="19">
        <f>IF($B38="","",IF($J38&lt;&gt;"",$J38,$H38))</f>
        <v/>
      </c>
      <c r="M38" s="24" t="inlineStr">
        <is>
          <t>Complete a crime scene sketch/inventory.</t>
        </is>
      </c>
    </row>
    <row r="39" ht="42" customHeight="1">
      <c r="B39" s="16" t="n">
        <v>34</v>
      </c>
      <c r="C39" s="16" t="inlineStr">
        <is>
          <t>Professional Police Driving — A</t>
        </is>
      </c>
      <c r="D39" s="29" t="inlineStr">
        <is>
          <t>34</t>
        </is>
      </c>
      <c r="E39" s="16" t="n">
        <v>0</v>
      </c>
      <c r="F39" s="16" t="n">
        <v>3</v>
      </c>
      <c r="G39" s="19">
        <f>IF($D39="","",_xlfn.LET(_xlpm.f,IFERROR(_xlfn.XLOOKUP($D39,nrCHnum,nrCHfirst),""),IF(OR(_xlpm.f="",_xlpm.f=0),"",_xlfn.LET(_xlpm.wkstart,_xlpm.f-WEEKDAY(_xlpm.f,2)+1+$E39*7,_xlpm.d,IFERROR(_xlfn.MINIFS(nrCDdate,nrCDdate,"&gt;="&amp;_xlpm.wkstart),0),IF(N(_xlpm.d)=0,"",_xlpm.d)))))</f>
        <v/>
      </c>
      <c r="H39" s="19">
        <f>IF($G39="","",_xlfn.LET(_xlpm.a,$G39,_xlpm.ws2,_xlpm.a-WEEKDAY(_xlpm.a,2)+1+$F39*7,_xlpm.d,_xlfn.MAXIFS(nrCDdate,nrCDdate,"&gt;="&amp;_xlpm.ws2,nrCDdate,"&lt;"&amp;(_xlpm.ws2+7)),IF(_xlpm.d=0,"",_xlpm.d)))</f>
        <v/>
      </c>
      <c r="I39" s="18" t="n"/>
      <c r="J39" s="18" t="n"/>
      <c r="K39" s="19">
        <f>IF($B39="","",IF($I39&lt;&gt;"",$I39,$G39))</f>
        <v/>
      </c>
      <c r="L39" s="19">
        <f>IF($B39="","",IF($J39&lt;&gt;"",$J39,$H39))</f>
        <v/>
      </c>
      <c r="M39" s="24" t="inlineStr">
        <is>
          <t>Select a case from any court within your jurisdiction (Texas or Federal) that decides the issue of road blocks/pursuits and whether it was reasonable under the search and seizure statutes. Summarize the details of the offense, the issue on appeal, the position of the defendant and the state, the final decision and if there is a dissent, the argument of the dissent.</t>
        </is>
      </c>
    </row>
    <row r="40" ht="42" customHeight="1">
      <c r="B40" s="16" t="n">
        <v>35</v>
      </c>
      <c r="C40" s="16" t="inlineStr">
        <is>
          <t>Professional Police Driving — B</t>
        </is>
      </c>
      <c r="D40" s="29" t="inlineStr">
        <is>
          <t>34</t>
        </is>
      </c>
      <c r="E40" s="16" t="n">
        <v>1</v>
      </c>
      <c r="F40" s="16" t="n">
        <v>2</v>
      </c>
      <c r="G40" s="19">
        <f>IF($D40="","",_xlfn.LET(_xlpm.f,IFERROR(_xlfn.XLOOKUP($D40,nrCHnum,nrCHfirst),""),IF(OR(_xlpm.f="",_xlpm.f=0),"",_xlfn.LET(_xlpm.wkstart,_xlpm.f-WEEKDAY(_xlpm.f,2)+1+$E40*7,_xlpm.d,IFERROR(_xlfn.MINIFS(nrCDdate,nrCDdate,"&gt;="&amp;_xlpm.wkstart),0),IF(N(_xlpm.d)=0,"",_xlpm.d)))))</f>
        <v/>
      </c>
      <c r="H40" s="19">
        <f>IF($G40="","",_xlfn.LET(_xlpm.a,$G40,_xlpm.ws2,_xlpm.a-WEEKDAY(_xlpm.a,2)+1+$F40*7,_xlpm.d,_xlfn.MAXIFS(nrCDdate,nrCDdate,"&gt;="&amp;_xlpm.ws2,nrCDdate,"&lt;"&amp;(_xlpm.ws2+7)),IF(_xlpm.d=0,"",_xlpm.d)))</f>
        <v/>
      </c>
      <c r="I40" s="18" t="n"/>
      <c r="J40" s="18" t="n"/>
      <c r="K40" s="19">
        <f>IF($B40="","",IF($I40&lt;&gt;"",$I40,$G40))</f>
        <v/>
      </c>
      <c r="L40" s="19">
        <f>IF($B40="","",IF($J40&lt;&gt;"",$J40,$H40))</f>
        <v/>
      </c>
      <c r="M40" s="24" t="inlineStr">
        <is>
          <t>Select an appeal case dealing with an officer's liability from actions that injured a third party during a pursuit or emergency vehicle operations. Summarize the details of the incident, the issue on appeal, the position of the defendant and the plaintiff, the final decision and if there is a dissent, the argument of the dissent.</t>
        </is>
      </c>
    </row>
    <row r="41" ht="42" customHeight="1">
      <c r="B41" s="16" t="n">
        <v>36</v>
      </c>
      <c r="C41" s="16" t="inlineStr">
        <is>
          <t>Patrol Skills — A</t>
        </is>
      </c>
      <c r="D41" s="29" t="inlineStr">
        <is>
          <t>35</t>
        </is>
      </c>
      <c r="E41" s="16" t="n">
        <v>0</v>
      </c>
      <c r="F41" s="16" t="n">
        <v>2</v>
      </c>
      <c r="G41" s="19">
        <f>IF($D41="","",_xlfn.LET(_xlpm.f,IFERROR(_xlfn.XLOOKUP($D41,nrCHnum,nrCHfirst),""),IF(OR(_xlpm.f="",_xlpm.f=0),"",_xlfn.LET(_xlpm.wkstart,_xlpm.f-WEEKDAY(_xlpm.f,2)+1+$E41*7,_xlpm.d,IFERROR(_xlfn.MINIFS(nrCDdate,nrCDdate,"&gt;="&amp;_xlpm.wkstart),0),IF(N(_xlpm.d)=0,"",_xlpm.d)))))</f>
        <v/>
      </c>
      <c r="H41" s="19">
        <f>IF($G41="","",_xlfn.LET(_xlpm.a,$G41,_xlpm.ws2,_xlpm.a-WEEKDAY(_xlpm.a,2)+1+$F41*7,_xlpm.d,_xlfn.MAXIFS(nrCDdate,nrCDdate,"&gt;="&amp;_xlpm.ws2,nrCDdate,"&lt;"&amp;(_xlpm.ws2+7)),IF(_xlpm.d=0,"",_xlpm.d)))</f>
        <v/>
      </c>
      <c r="I41" s="18" t="n"/>
      <c r="J41" s="18" t="n"/>
      <c r="K41" s="19">
        <f>IF($B41="","",IF($I41&lt;&gt;"",$I41,$G41))</f>
        <v/>
      </c>
      <c r="L41" s="19">
        <f>IF($B41="","",IF($J41&lt;&gt;"",$J41,$H41))</f>
        <v/>
      </c>
      <c r="M41" s="24" t="inlineStr">
        <is>
          <t>Discuss the police style used by your agency, the patrol modes of your agency and patrol methods of your agency. Provide examples of how these items are used to provide effective police services.</t>
        </is>
      </c>
    </row>
    <row r="42" ht="42" customHeight="1">
      <c r="B42" s="16" t="n">
        <v>37</v>
      </c>
      <c r="C42" s="16" t="inlineStr">
        <is>
          <t>Patrol Skills — B</t>
        </is>
      </c>
      <c r="D42" s="29" t="inlineStr">
        <is>
          <t>35</t>
        </is>
      </c>
      <c r="E42" s="16" t="n">
        <v>1</v>
      </c>
      <c r="F42" s="16" t="n">
        <v>1</v>
      </c>
      <c r="G42" s="19">
        <f>IF($D42="","",_xlfn.LET(_xlpm.f,IFERROR(_xlfn.XLOOKUP($D42,nrCHnum,nrCHfirst),""),IF(OR(_xlpm.f="",_xlpm.f=0),"",_xlfn.LET(_xlpm.wkstart,_xlpm.f-WEEKDAY(_xlpm.f,2)+1+$E42*7,_xlpm.d,IFERROR(_xlfn.MINIFS(nrCDdate,nrCDdate,"&gt;="&amp;_xlpm.wkstart),0),IF(N(_xlpm.d)=0,"",_xlpm.d)))))</f>
        <v/>
      </c>
      <c r="H42" s="19">
        <f>IF($G42="","",_xlfn.LET(_xlpm.a,$G42,_xlpm.ws2,_xlpm.a-WEEKDAY(_xlpm.a,2)+1+$F42*7,_xlpm.d,_xlfn.MAXIFS(nrCDdate,nrCDdate,"&gt;="&amp;_xlpm.ws2,nrCDdate,"&lt;"&amp;(_xlpm.ws2+7)),IF(_xlpm.d=0,"",_xlpm.d)))</f>
        <v/>
      </c>
      <c r="I42" s="18" t="n"/>
      <c r="J42" s="18" t="n"/>
      <c r="K42" s="19">
        <f>IF($B42="","",IF($I42&lt;&gt;"",$I42,$G42))</f>
        <v/>
      </c>
      <c r="L42" s="19">
        <f>IF($B42="","",IF($J42&lt;&gt;"",$J42,$H42))</f>
        <v/>
      </c>
      <c r="M42" s="24" t="inlineStr">
        <is>
          <t>Complete a residential/business security survey.</t>
        </is>
      </c>
    </row>
    <row r="43" ht="42" customHeight="1">
      <c r="B43" s="16" t="n">
        <v>38</v>
      </c>
      <c r="C43" s="16" t="inlineStr">
        <is>
          <t>Radio Communications</t>
        </is>
      </c>
      <c r="D43" s="29" t="inlineStr">
        <is>
          <t>36</t>
        </is>
      </c>
      <c r="E43" s="16" t="n">
        <v>0</v>
      </c>
      <c r="F43" s="16" t="n">
        <v>1</v>
      </c>
      <c r="G43" s="19">
        <f>IF($D43="","",_xlfn.LET(_xlpm.f,IFERROR(_xlfn.XLOOKUP($D43,nrCHnum,nrCHfirst),""),IF(OR(_xlpm.f="",_xlpm.f=0),"",_xlfn.LET(_xlpm.wkstart,_xlpm.f-WEEKDAY(_xlpm.f,2)+1+$E43*7,_xlpm.d,IFERROR(_xlfn.MINIFS(nrCDdate,nrCDdate,"&gt;="&amp;_xlpm.wkstart),0),IF(N(_xlpm.d)=0,"",_xlpm.d)))))</f>
        <v/>
      </c>
      <c r="H43" s="19">
        <f>IF($G43="","",_xlfn.LET(_xlpm.a,$G43,_xlpm.ws2,_xlpm.a-WEEKDAY(_xlpm.a,2)+1+$F43*7,_xlpm.d,_xlfn.MAXIFS(nrCDdate,nrCDdate,"&gt;="&amp;_xlpm.ws2,nrCDdate,"&lt;"&amp;(_xlpm.ws2+7)),IF(_xlpm.d=0,"",_xlpm.d)))</f>
        <v/>
      </c>
      <c r="I43" s="18" t="n"/>
      <c r="J43" s="18" t="n"/>
      <c r="K43" s="19">
        <f>IF($B43="","",IF($I43&lt;&gt;"",$I43,$G43))</f>
        <v/>
      </c>
      <c r="L43" s="19">
        <f>IF($B43="","",IF($J43&lt;&gt;"",$J43,$H43))</f>
        <v/>
      </c>
      <c r="M43" s="24" t="inlineStr">
        <is>
          <t>Complete an Amber Alert request form or a Silver Alert request form.</t>
        </is>
      </c>
    </row>
    <row r="44" ht="42" customHeight="1">
      <c r="B44" s="16" t="n">
        <v>39</v>
      </c>
      <c r="C44" s="16" t="inlineStr">
        <is>
          <t>Emergency Medical Assistance</t>
        </is>
      </c>
      <c r="D44" s="29" t="inlineStr">
        <is>
          <t>40</t>
        </is>
      </c>
      <c r="E44" s="16" t="n">
        <v>0</v>
      </c>
      <c r="F44" s="16" t="n">
        <v>3</v>
      </c>
      <c r="G44" s="19">
        <f>IF($D44="","",_xlfn.LET(_xlpm.f,IFERROR(_xlfn.XLOOKUP($D44,nrCHnum,nrCHfirst),""),IF(OR(_xlpm.f="",_xlpm.f=0),"",_xlfn.LET(_xlpm.wkstart,_xlpm.f-WEEKDAY(_xlpm.f,2)+1+$E44*7,_xlpm.d,IFERROR(_xlfn.MINIFS(nrCDdate,nrCDdate,"&gt;="&amp;_xlpm.wkstart),0),IF(N(_xlpm.d)=0,"",_xlpm.d)))))</f>
        <v/>
      </c>
      <c r="H44" s="19">
        <f>IF($G44="","",_xlfn.LET(_xlpm.a,$G44,_xlpm.ws2,_xlpm.a-WEEKDAY(_xlpm.a,2)+1+$F44*7,_xlpm.d,_xlfn.MAXIFS(nrCDdate,nrCDdate,"&gt;="&amp;_xlpm.ws2,nrCDdate,"&lt;"&amp;(_xlpm.ws2+7)),IF(_xlpm.d=0,"",_xlpm.d)))</f>
        <v/>
      </c>
      <c r="I44" s="18" t="n"/>
      <c r="J44" s="18" t="n"/>
      <c r="K44" s="19">
        <f>IF($B44="","",IF($I44&lt;&gt;"",$I44,$G44))</f>
        <v/>
      </c>
      <c r="L44" s="19">
        <f>IF($B44="","",IF($J44&lt;&gt;"",$J44,$H44))</f>
        <v/>
      </c>
      <c r="M44" s="24" t="inlineStr">
        <is>
          <t>Complete an emergency action plan that could be employed during the firearms training.</t>
        </is>
      </c>
    </row>
    <row r="45" ht="42" customHeight="1">
      <c r="B45" s="16" t="n">
        <v>40</v>
      </c>
      <c r="C45" s="16" t="inlineStr">
        <is>
          <t>Firearms</t>
        </is>
      </c>
      <c r="D45" s="29" t="inlineStr">
        <is>
          <t>41</t>
        </is>
      </c>
      <c r="E45" s="16" t="n">
        <v>0</v>
      </c>
      <c r="F45" s="16" t="n">
        <v>3</v>
      </c>
      <c r="G45" s="19">
        <f>IF($D45="","",_xlfn.LET(_xlpm.f,IFERROR(_xlfn.XLOOKUP($D45,nrCHnum,nrCHfirst),""),IF(OR(_xlpm.f="",_xlpm.f=0),"",_xlfn.LET(_xlpm.wkstart,_xlpm.f-WEEKDAY(_xlpm.f,2)+1+$E45*7,_xlpm.d,IFERROR(_xlfn.MINIFS(nrCDdate,nrCDdate,"&gt;="&amp;_xlpm.wkstart),0),IF(N(_xlpm.d)=0,"",_xlpm.d)))))</f>
        <v/>
      </c>
      <c r="H45" s="19">
        <f>IF($G45="","",_xlfn.LET(_xlpm.a,$G45,_xlpm.ws2,_xlpm.a-WEEKDAY(_xlpm.a,2)+1+$F45*7,_xlpm.d,_xlfn.MAXIFS(nrCDdate,nrCDdate,"&gt;="&amp;_xlpm.ws2,nrCDdate,"&lt;"&amp;(_xlpm.ws2+7)),IF(_xlpm.d=0,"",_xlpm.d)))</f>
        <v/>
      </c>
      <c r="I45" s="18" t="n"/>
      <c r="J45" s="18" t="n"/>
      <c r="K45" s="19">
        <f>IF($B45="","",IF($I45&lt;&gt;"",$I45,$G45))</f>
        <v/>
      </c>
      <c r="L45" s="19">
        <f>IF($B45="","",IF($J45&lt;&gt;"",$J45,$H45))</f>
        <v/>
      </c>
      <c r="M45" s="24" t="inlineStr">
        <is>
          <t>Select a case from any court within your jurisdiction (Texas or Federal) that decides the issue of police officer liability when a firearm is used in an off-duty capacity. Summarize the details of the offense, the issue on appeal, the position of the defendant and the state, the final decision and if there is a dissent, the argument of the dissent.</t>
        </is>
      </c>
    </row>
    <row r="47">
      <c r="B47" s="3" t="inlineStr">
        <is>
          <t>Requirements:</t>
        </is>
      </c>
      <c r="C47" s="15" t="inlineStr">
        <is>
          <t>Each assignment must be at least one (1) page, typed, single-spaced, 12-point Arial or Times New Roman font. Due by 1700 on the due date. Late submissions require prior approval from the Training Coordinator. All case-law assignments require proper citation including court, year, and case name.</t>
        </is>
      </c>
    </row>
  </sheetData>
  <sheetProtection selectLockedCells="0" selectUnlockedCells="0" sheet="1" objects="0" insertRows="1" insertHyperlinks="1" autoFilter="0" scenarios="0" formatColumns="1" deleteColumns="1" insertColumns="1" pivotTables="1" deleteRows="1" formatCells="1" formatRows="1" sort="1" password="B4BB"/>
  <mergeCells count="1">
    <mergeCell ref="C47:L47"/>
  </mergeCells>
  <dataValidations count="1">
    <dataValidation sqref="D6:D45" showDropDown="0" showInputMessage="0" showErrorMessage="1" allowBlank="1" type="list">
      <formula1>=nrCHnum</formula1>
    </dataValidation>
  </dataValidations>
  <pageMargins left="0.75" right="0.75" top="1" bottom="1" header="0.5" footer="0.5"/>
</worksheet>
</file>

<file path=xl/worksheets/sheet50.xml><?xml version="1.0" encoding="utf-8"?>
<worksheet xmlns="http://schemas.openxmlformats.org/spreadsheetml/2006/main">
  <sheetPr>
    <tabColor rgb="00C8A24B"/>
    <outlinePr summaryBelow="1" summaryRight="1"/>
    <pageSetUpPr/>
  </sheetPr>
  <dimension ref="B1:AF175"/>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26" customWidth="1" min="2" max="2"/>
    <col width="15" customWidth="1" min="3" max="3"/>
    <col width="15" customWidth="1" min="4" max="4"/>
    <col width="2" customWidth="1" min="5" max="5"/>
    <col width="16" customWidth="1" min="6" max="6"/>
    <col width="34" customWidth="1" min="7" max="7"/>
    <col width="8" customWidth="1" min="8" max="8"/>
    <col width="13" customWidth="1" min="9" max="9"/>
    <col width="8" customWidth="1" min="10" max="10"/>
    <col width="11" customWidth="1" min="11" max="11"/>
    <col width="2" customWidth="1" min="12" max="12"/>
    <col width="12" customWidth="1" min="13" max="13"/>
  </cols>
  <sheetData>
    <row r="1">
      <c r="B1" s="10">
        <f>HYPERLINK("#Dashboard!B5","◄ Dashboard")</f>
        <v/>
      </c>
    </row>
    <row r="3">
      <c r="H3" s="3">
        <f>IF(NOT(ISNUMBER(cfgStartDate)),"START DATE on Settings is blank or is not a real date - no class days can be generated, so every retest deadline, memo due date and writing date is blank until it is fixed.",IF(NOT(ISNUMBER(cfgEndDate)),"END DATE on Settings is blank or is not a real date - the 'In Session?' column cannot be computed.",""))</f>
        <v/>
      </c>
    </row>
    <row r="4">
      <c r="B4" s="11" t="inlineStr">
        <is>
          <t>Class days = Mon-Fri from Start Date, skipping observed holidays and any Extra Closure Dates you add. Retest deadlines, writing dates and sign-in sheets all key off this calendar. An Extra Closure Date must be a REAL date - anything else is ignored by the calendar, and the Closure Check column beside it says so. If Start Date on Settings is blank or not a date, this whole table is blank on purpose (see the red line above).</t>
        </is>
      </c>
      <c r="P4" s="2" t="inlineStr">
        <is>
          <t>Easter computus (helper - do not edit)</t>
        </is>
      </c>
    </row>
    <row r="5" ht="26" customHeight="1">
      <c r="B5" s="12" t="inlineStr">
        <is>
          <t>Holiday</t>
        </is>
      </c>
      <c r="C5" s="12" t="inlineStr">
        <is>
          <t>Observed (Yr 1)</t>
        </is>
      </c>
      <c r="D5" s="12" t="inlineStr">
        <is>
          <t>Observed (Yr 2)</t>
        </is>
      </c>
      <c r="E5" s="12" t="n"/>
      <c r="F5" s="12" t="inlineStr">
        <is>
          <t>Extra Closure Dates</t>
        </is>
      </c>
      <c r="G5" s="12" t="inlineStr">
        <is>
          <t>Closure Check</t>
        </is>
      </c>
      <c r="H5" s="12" t="inlineStr">
        <is>
          <t>Day #</t>
        </is>
      </c>
      <c r="I5" s="12" t="inlineStr">
        <is>
          <t>Class Date</t>
        </is>
      </c>
      <c r="J5" s="12" t="inlineStr">
        <is>
          <t>Week #</t>
        </is>
      </c>
      <c r="K5" s="12" t="inlineStr">
        <is>
          <t>In Session?</t>
        </is>
      </c>
      <c r="M5" s="2" t="inlineStr">
        <is>
          <t>AllClosures</t>
        </is>
      </c>
      <c r="P5" s="2" t="inlineStr">
        <is>
          <t>Y</t>
        </is>
      </c>
      <c r="Q5" s="2" t="inlineStr">
        <is>
          <t>a</t>
        </is>
      </c>
      <c r="R5" s="2" t="inlineStr">
        <is>
          <t>b</t>
        </is>
      </c>
      <c r="S5" s="2" t="inlineStr">
        <is>
          <t>c</t>
        </is>
      </c>
      <c r="T5" s="2" t="inlineStr">
        <is>
          <t>d</t>
        </is>
      </c>
      <c r="U5" s="2" t="inlineStr">
        <is>
          <t>e</t>
        </is>
      </c>
      <c r="V5" s="2" t="inlineStr">
        <is>
          <t>f</t>
        </is>
      </c>
      <c r="W5" s="2" t="inlineStr">
        <is>
          <t>g</t>
        </is>
      </c>
      <c r="X5" s="2" t="inlineStr">
        <is>
          <t>h</t>
        </is>
      </c>
      <c r="Y5" s="2" t="inlineStr">
        <is>
          <t>i</t>
        </is>
      </c>
      <c r="Z5" s="2" t="inlineStr">
        <is>
          <t>k</t>
        </is>
      </c>
      <c r="AA5" s="2" t="inlineStr">
        <is>
          <t>l</t>
        </is>
      </c>
      <c r="AB5" s="2" t="inlineStr">
        <is>
          <t>m</t>
        </is>
      </c>
      <c r="AC5" s="2" t="inlineStr">
        <is>
          <t>mth</t>
        </is>
      </c>
      <c r="AD5" s="2" t="inlineStr">
        <is>
          <t>day</t>
        </is>
      </c>
      <c r="AE5" s="2" t="inlineStr">
        <is>
          <t>Easter</t>
        </is>
      </c>
      <c r="AF5" s="2" t="inlineStr">
        <is>
          <t>GoodFri</t>
        </is>
      </c>
    </row>
    <row r="6">
      <c r="B6" s="3" t="inlineStr">
        <is>
          <t>New Year's Day</t>
        </is>
      </c>
      <c r="C6" s="19">
        <f>IF(WEEKDAY(DATE(YEAR(cfgStartDate),1,1),2)=6,DATE(YEAR(cfgStartDate),1,1)-1,IF(WEEKDAY(DATE(YEAR(cfgStartDate),1,1),2)=7,DATE(YEAR(cfgStartDate),1,1)+1,DATE(YEAR(cfgStartDate),1,1)))</f>
        <v/>
      </c>
      <c r="D6" s="19">
        <f>IF(WEEKDAY(DATE(YEAR(cfgStartDate)+1,1,1),2)=6,DATE(YEAR(cfgStartDate)+1,1,1)-1,IF(WEEKDAY(DATE(YEAR(cfgStartDate)+1,1,1),2)=7,DATE(YEAR(cfgStartDate)+1,1,1)+1,DATE(YEAR(cfgStartDate)+1,1,1)))</f>
        <v/>
      </c>
      <c r="F6" s="18" t="n"/>
      <c r="G6" s="17">
        <f>IF($F6="","",IF(NOT(ISNUMBER($F6)),"NOT A DATE - this closure is IGNORED",IF(COUNTIF($F$6:$F$20,$F6)&gt;1,"DUPLICATE closure date",IF(NOT(ISNUMBER(cfgStartDate)),"OK",IF(OR($F6&lt;cfgStartDate,$F6&gt;N(cfgEndDate)+90),"OK (outside this academy - no effect)",IF(WEEKDAY($F6,2)&gt;5,"OK (weekend - already closed)","OK"))))))</f>
        <v/>
      </c>
      <c r="H6" s="17" t="n">
        <v>1</v>
      </c>
      <c r="I6" s="19">
        <f>IF(OR($H6="",NOT(ISNUMBER(cfgStartDate))),"",IFERROR(WORKDAY.INTL(cfgStartDate-1,$H6,"0000011",nrAllClosures),""))</f>
        <v/>
      </c>
      <c r="J6" s="17">
        <f>IF(OR($H6="",$I6=""),"",INT(($I6-(cfgStartDate-WEEKDAY(cfgStartDate,2)+1))/7)+1)</f>
        <v/>
      </c>
      <c r="K6" s="17">
        <f>IF(OR($H6="",$I6=""),"",IF($I6&lt;=cfgEndDate,"Yes","No"))</f>
        <v/>
      </c>
      <c r="M6" s="35">
        <f>IFERROR(N(C6)+0,DATE(1900,1,1))</f>
        <v/>
      </c>
      <c r="P6" s="39">
        <f>YEAR(cfgStartDate)</f>
        <v/>
      </c>
      <c r="Q6" s="39">
        <f>MOD($P6,19)</f>
        <v/>
      </c>
      <c r="R6" s="39">
        <f>INT($P6/100)</f>
        <v/>
      </c>
      <c r="S6" s="39">
        <f>MOD($P6,100)</f>
        <v/>
      </c>
      <c r="T6" s="39">
        <f>INT($R6/4)</f>
        <v/>
      </c>
      <c r="U6" s="39">
        <f>MOD($R6,4)</f>
        <v/>
      </c>
      <c r="V6" s="39">
        <f>INT(($R6+8)/25)</f>
        <v/>
      </c>
      <c r="W6" s="39">
        <f>INT(($R6-$V6+1)/3)</f>
        <v/>
      </c>
      <c r="X6" s="39">
        <f>MOD(19*$Q6+$R6-$T6-$W6+15,30)</f>
        <v/>
      </c>
      <c r="Y6" s="39">
        <f>INT($S6/4)</f>
        <v/>
      </c>
      <c r="Z6" s="39">
        <f>MOD($S6,4)</f>
        <v/>
      </c>
      <c r="AA6" s="39">
        <f>MOD(32+2*$U6+2*$Y6-$X6-$Z6,7)</f>
        <v/>
      </c>
      <c r="AB6" s="39">
        <f>INT(($Q6+11*$X6+22*$AA6)/451)</f>
        <v/>
      </c>
      <c r="AC6" s="39">
        <f>INT(($X6+$AA6-7*$AB6+114)/31)</f>
        <v/>
      </c>
      <c r="AD6" s="39">
        <f>MOD($X6+$AA6-7*$AB6+114,31)+1</f>
        <v/>
      </c>
      <c r="AE6" s="40">
        <f>DATE($P6,$AC6,$AD6)</f>
        <v/>
      </c>
      <c r="AF6" s="40">
        <f>$AE6-2</f>
        <v/>
      </c>
    </row>
    <row r="7">
      <c r="B7" s="3" t="inlineStr">
        <is>
          <t>Martin Luther King Jr. Day</t>
        </is>
      </c>
      <c r="C7" s="19">
        <f>DATE(YEAR(cfgStartDate),1,1)+MOD(8-WEEKDAY(DATE(YEAR(cfgStartDate),1,1),2),7)+14</f>
        <v/>
      </c>
      <c r="D7" s="19">
        <f>DATE(YEAR(cfgStartDate)+1,1,1)+MOD(8-WEEKDAY(DATE(YEAR(cfgStartDate)+1,1,1),2),7)+14</f>
        <v/>
      </c>
      <c r="F7" s="18" t="n"/>
      <c r="G7" s="17">
        <f>IF($F7="","",IF(NOT(ISNUMBER($F7)),"NOT A DATE - this closure is IGNORED",IF(COUNTIF($F$6:$F$20,$F7)&gt;1,"DUPLICATE closure date",IF(NOT(ISNUMBER(cfgStartDate)),"OK",IF(OR($F7&lt;cfgStartDate,$F7&gt;N(cfgEndDate)+90),"OK (outside this academy - no effect)",IF(WEEKDAY($F7,2)&gt;5,"OK (weekend - already closed)","OK"))))))</f>
        <v/>
      </c>
      <c r="H7" s="17" t="n">
        <v>2</v>
      </c>
      <c r="I7" s="19">
        <f>IF(OR($H7="",NOT(ISNUMBER(cfgStartDate))),"",IFERROR(WORKDAY.INTL(cfgStartDate-1,$H7,"0000011",nrAllClosures),""))</f>
        <v/>
      </c>
      <c r="J7" s="17">
        <f>IF(OR($H7="",$I7=""),"",INT(($I7-(cfgStartDate-WEEKDAY(cfgStartDate,2)+1))/7)+1)</f>
        <v/>
      </c>
      <c r="K7" s="17">
        <f>IF(OR($H7="",$I7=""),"",IF($I7&lt;=cfgEndDate,"Yes","No"))</f>
        <v/>
      </c>
      <c r="M7" s="35">
        <f>IFERROR(N(C7)+0,DATE(1900,1,1))</f>
        <v/>
      </c>
      <c r="P7" s="39">
        <f>YEAR(cfgStartDate)+1</f>
        <v/>
      </c>
      <c r="Q7" s="39">
        <f>MOD($P7,19)</f>
        <v/>
      </c>
      <c r="R7" s="39">
        <f>INT($P7/100)</f>
        <v/>
      </c>
      <c r="S7" s="39">
        <f>MOD($P7,100)</f>
        <v/>
      </c>
      <c r="T7" s="39">
        <f>INT($R7/4)</f>
        <v/>
      </c>
      <c r="U7" s="39">
        <f>MOD($R7,4)</f>
        <v/>
      </c>
      <c r="V7" s="39">
        <f>INT(($R7+8)/25)</f>
        <v/>
      </c>
      <c r="W7" s="39">
        <f>INT(($R7-$V7+1)/3)</f>
        <v/>
      </c>
      <c r="X7" s="39">
        <f>MOD(19*$Q7+$R7-$T7-$W7+15,30)</f>
        <v/>
      </c>
      <c r="Y7" s="39">
        <f>INT($S7/4)</f>
        <v/>
      </c>
      <c r="Z7" s="39">
        <f>MOD($S7,4)</f>
        <v/>
      </c>
      <c r="AA7" s="39">
        <f>MOD(32+2*$U7+2*$Y7-$X7-$Z7,7)</f>
        <v/>
      </c>
      <c r="AB7" s="39">
        <f>INT(($Q7+11*$X7+22*$AA7)/451)</f>
        <v/>
      </c>
      <c r="AC7" s="39">
        <f>INT(($X7+$AA7-7*$AB7+114)/31)</f>
        <v/>
      </c>
      <c r="AD7" s="39">
        <f>MOD($X7+$AA7-7*$AB7+114,31)+1</f>
        <v/>
      </c>
      <c r="AE7" s="40">
        <f>DATE($P7,$AC7,$AD7)</f>
        <v/>
      </c>
      <c r="AF7" s="40">
        <f>$AE7-2</f>
        <v/>
      </c>
    </row>
    <row r="8">
      <c r="B8" s="3" t="inlineStr">
        <is>
          <t>Good Friday</t>
        </is>
      </c>
      <c r="C8" s="19">
        <f>$AF$6</f>
        <v/>
      </c>
      <c r="D8" s="19">
        <f>$AF$7</f>
        <v/>
      </c>
      <c r="F8" s="18" t="n"/>
      <c r="G8" s="17">
        <f>IF($F8="","",IF(NOT(ISNUMBER($F8)),"NOT A DATE - this closure is IGNORED",IF(COUNTIF($F$6:$F$20,$F8)&gt;1,"DUPLICATE closure date",IF(NOT(ISNUMBER(cfgStartDate)),"OK",IF(OR($F8&lt;cfgStartDate,$F8&gt;N(cfgEndDate)+90),"OK (outside this academy - no effect)",IF(WEEKDAY($F8,2)&gt;5,"OK (weekend - already closed)","OK"))))))</f>
        <v/>
      </c>
      <c r="H8" s="17" t="n">
        <v>3</v>
      </c>
      <c r="I8" s="19">
        <f>IF(OR($H8="",NOT(ISNUMBER(cfgStartDate))),"",IFERROR(WORKDAY.INTL(cfgStartDate-1,$H8,"0000011",nrAllClosures),""))</f>
        <v/>
      </c>
      <c r="J8" s="17">
        <f>IF(OR($H8="",$I8=""),"",INT(($I8-(cfgStartDate-WEEKDAY(cfgStartDate,2)+1))/7)+1)</f>
        <v/>
      </c>
      <c r="K8" s="17">
        <f>IF(OR($H8="",$I8=""),"",IF($I8&lt;=cfgEndDate,"Yes","No"))</f>
        <v/>
      </c>
      <c r="M8" s="35">
        <f>IFERROR(N(C8)+0,DATE(1900,1,1))</f>
        <v/>
      </c>
    </row>
    <row r="9">
      <c r="B9" s="3" t="inlineStr">
        <is>
          <t>Memorial Day</t>
        </is>
      </c>
      <c r="C9" s="19">
        <f>DATE(YEAR(cfgStartDate),6,0)-MOD(WEEKDAY(DATE(YEAR(cfgStartDate),6,0),2)-1,7)</f>
        <v/>
      </c>
      <c r="D9" s="19">
        <f>DATE(YEAR(cfgStartDate)+1,6,0)-MOD(WEEKDAY(DATE(YEAR(cfgStartDate)+1,6,0),2)-1,7)</f>
        <v/>
      </c>
      <c r="F9" s="18" t="n"/>
      <c r="G9" s="17">
        <f>IF($F9="","",IF(NOT(ISNUMBER($F9)),"NOT A DATE - this closure is IGNORED",IF(COUNTIF($F$6:$F$20,$F9)&gt;1,"DUPLICATE closure date",IF(NOT(ISNUMBER(cfgStartDate)),"OK",IF(OR($F9&lt;cfgStartDate,$F9&gt;N(cfgEndDate)+90),"OK (outside this academy - no effect)",IF(WEEKDAY($F9,2)&gt;5,"OK (weekend - already closed)","OK"))))))</f>
        <v/>
      </c>
      <c r="H9" s="17" t="n">
        <v>4</v>
      </c>
      <c r="I9" s="19">
        <f>IF(OR($H9="",NOT(ISNUMBER(cfgStartDate))),"",IFERROR(WORKDAY.INTL(cfgStartDate-1,$H9,"0000011",nrAllClosures),""))</f>
        <v/>
      </c>
      <c r="J9" s="17">
        <f>IF(OR($H9="",$I9=""),"",INT(($I9-(cfgStartDate-WEEKDAY(cfgStartDate,2)+1))/7)+1)</f>
        <v/>
      </c>
      <c r="K9" s="17">
        <f>IF(OR($H9="",$I9=""),"",IF($I9&lt;=cfgEndDate,"Yes","No"))</f>
        <v/>
      </c>
      <c r="M9" s="35">
        <f>IFERROR(N(C9)+0,DATE(1900,1,1))</f>
        <v/>
      </c>
    </row>
    <row r="10">
      <c r="B10" s="3" t="inlineStr">
        <is>
          <t>Juneteenth</t>
        </is>
      </c>
      <c r="C10" s="19">
        <f>IF(WEEKDAY(DATE(YEAR(cfgStartDate),6,19),2)=6,DATE(YEAR(cfgStartDate),6,19)-1,IF(WEEKDAY(DATE(YEAR(cfgStartDate),6,19),2)=7,DATE(YEAR(cfgStartDate),6,19)+1,DATE(YEAR(cfgStartDate),6,19)))</f>
        <v/>
      </c>
      <c r="D10" s="19">
        <f>IF(WEEKDAY(DATE(YEAR(cfgStartDate)+1,6,19),2)=6,DATE(YEAR(cfgStartDate)+1,6,19)-1,IF(WEEKDAY(DATE(YEAR(cfgStartDate)+1,6,19),2)=7,DATE(YEAR(cfgStartDate)+1,6,19)+1,DATE(YEAR(cfgStartDate)+1,6,19)))</f>
        <v/>
      </c>
      <c r="F10" s="18" t="n"/>
      <c r="G10" s="17">
        <f>IF($F10="","",IF(NOT(ISNUMBER($F10)),"NOT A DATE - this closure is IGNORED",IF(COUNTIF($F$6:$F$20,$F10)&gt;1,"DUPLICATE closure date",IF(NOT(ISNUMBER(cfgStartDate)),"OK",IF(OR($F10&lt;cfgStartDate,$F10&gt;N(cfgEndDate)+90),"OK (outside this academy - no effect)",IF(WEEKDAY($F10,2)&gt;5,"OK (weekend - already closed)","OK"))))))</f>
        <v/>
      </c>
      <c r="H10" s="17" t="n">
        <v>5</v>
      </c>
      <c r="I10" s="19">
        <f>IF(OR($H10="",NOT(ISNUMBER(cfgStartDate))),"",IFERROR(WORKDAY.INTL(cfgStartDate-1,$H10,"0000011",nrAllClosures),""))</f>
        <v/>
      </c>
      <c r="J10" s="17">
        <f>IF(OR($H10="",$I10=""),"",INT(($I10-(cfgStartDate-WEEKDAY(cfgStartDate,2)+1))/7)+1)</f>
        <v/>
      </c>
      <c r="K10" s="17">
        <f>IF(OR($H10="",$I10=""),"",IF($I10&lt;=cfgEndDate,"Yes","No"))</f>
        <v/>
      </c>
      <c r="M10" s="35">
        <f>IFERROR(N(C10)+0,DATE(1900,1,1))</f>
        <v/>
      </c>
    </row>
    <row r="11">
      <c r="B11" s="3" t="inlineStr">
        <is>
          <t>Independence Day</t>
        </is>
      </c>
      <c r="C11" s="19">
        <f>IF(WEEKDAY(DATE(YEAR(cfgStartDate),7,4),2)=6,DATE(YEAR(cfgStartDate),7,4)-1,IF(WEEKDAY(DATE(YEAR(cfgStartDate),7,4),2)=7,DATE(YEAR(cfgStartDate),7,4)+1,DATE(YEAR(cfgStartDate),7,4)))</f>
        <v/>
      </c>
      <c r="D11" s="19">
        <f>IF(WEEKDAY(DATE(YEAR(cfgStartDate)+1,7,4),2)=6,DATE(YEAR(cfgStartDate)+1,7,4)-1,IF(WEEKDAY(DATE(YEAR(cfgStartDate)+1,7,4),2)=7,DATE(YEAR(cfgStartDate)+1,7,4)+1,DATE(YEAR(cfgStartDate)+1,7,4)))</f>
        <v/>
      </c>
      <c r="F11" s="18" t="n"/>
      <c r="G11" s="17">
        <f>IF($F11="","",IF(NOT(ISNUMBER($F11)),"NOT A DATE - this closure is IGNORED",IF(COUNTIF($F$6:$F$20,$F11)&gt;1,"DUPLICATE closure date",IF(NOT(ISNUMBER(cfgStartDate)),"OK",IF(OR($F11&lt;cfgStartDate,$F11&gt;N(cfgEndDate)+90),"OK (outside this academy - no effect)",IF(WEEKDAY($F11,2)&gt;5,"OK (weekend - already closed)","OK"))))))</f>
        <v/>
      </c>
      <c r="H11" s="17" t="n">
        <v>6</v>
      </c>
      <c r="I11" s="19">
        <f>IF(OR($H11="",NOT(ISNUMBER(cfgStartDate))),"",IFERROR(WORKDAY.INTL(cfgStartDate-1,$H11,"0000011",nrAllClosures),""))</f>
        <v/>
      </c>
      <c r="J11" s="17">
        <f>IF(OR($H11="",$I11=""),"",INT(($I11-(cfgStartDate-WEEKDAY(cfgStartDate,2)+1))/7)+1)</f>
        <v/>
      </c>
      <c r="K11" s="17">
        <f>IF(OR($H11="",$I11=""),"",IF($I11&lt;=cfgEndDate,"Yes","No"))</f>
        <v/>
      </c>
      <c r="M11" s="35">
        <f>IFERROR(N(C11)+0,DATE(1900,1,1))</f>
        <v/>
      </c>
    </row>
    <row r="12">
      <c r="B12" s="3" t="inlineStr">
        <is>
          <t>Labor Day</t>
        </is>
      </c>
      <c r="C12" s="19">
        <f>DATE(YEAR(cfgStartDate),9,1)+MOD(8-WEEKDAY(DATE(YEAR(cfgStartDate),9,1),2),7)</f>
        <v/>
      </c>
      <c r="D12" s="19">
        <f>DATE(YEAR(cfgStartDate)+1,9,1)+MOD(8-WEEKDAY(DATE(YEAR(cfgStartDate)+1,9,1),2),7)</f>
        <v/>
      </c>
      <c r="F12" s="18" t="n"/>
      <c r="G12" s="17">
        <f>IF($F12="","",IF(NOT(ISNUMBER($F12)),"NOT A DATE - this closure is IGNORED",IF(COUNTIF($F$6:$F$20,$F12)&gt;1,"DUPLICATE closure date",IF(NOT(ISNUMBER(cfgStartDate)),"OK",IF(OR($F12&lt;cfgStartDate,$F12&gt;N(cfgEndDate)+90),"OK (outside this academy - no effect)",IF(WEEKDAY($F12,2)&gt;5,"OK (weekend - already closed)","OK"))))))</f>
        <v/>
      </c>
      <c r="H12" s="17" t="n">
        <v>7</v>
      </c>
      <c r="I12" s="19">
        <f>IF(OR($H12="",NOT(ISNUMBER(cfgStartDate))),"",IFERROR(WORKDAY.INTL(cfgStartDate-1,$H12,"0000011",nrAllClosures),""))</f>
        <v/>
      </c>
      <c r="J12" s="17">
        <f>IF(OR($H12="",$I12=""),"",INT(($I12-(cfgStartDate-WEEKDAY(cfgStartDate,2)+1))/7)+1)</f>
        <v/>
      </c>
      <c r="K12" s="17">
        <f>IF(OR($H12="",$I12=""),"",IF($I12&lt;=cfgEndDate,"Yes","No"))</f>
        <v/>
      </c>
      <c r="M12" s="35">
        <f>IFERROR(N(C12)+0,DATE(1900,1,1))</f>
        <v/>
      </c>
    </row>
    <row r="13">
      <c r="B13" s="3" t="inlineStr">
        <is>
          <t>Thanksgiving</t>
        </is>
      </c>
      <c r="C13" s="19">
        <f>DATE(YEAR(cfgStartDate),11,1)+MOD(11-WEEKDAY(DATE(YEAR(cfgStartDate),11,1),2),7)+21</f>
        <v/>
      </c>
      <c r="D13" s="19">
        <f>DATE(YEAR(cfgStartDate)+1,11,1)+MOD(11-WEEKDAY(DATE(YEAR(cfgStartDate)+1,11,1),2),7)+21</f>
        <v/>
      </c>
      <c r="F13" s="18" t="n"/>
      <c r="G13" s="17">
        <f>IF($F13="","",IF(NOT(ISNUMBER($F13)),"NOT A DATE - this closure is IGNORED",IF(COUNTIF($F$6:$F$20,$F13)&gt;1,"DUPLICATE closure date",IF(NOT(ISNUMBER(cfgStartDate)),"OK",IF(OR($F13&lt;cfgStartDate,$F13&gt;N(cfgEndDate)+90),"OK (outside this academy - no effect)",IF(WEEKDAY($F13,2)&gt;5,"OK (weekend - already closed)","OK"))))))</f>
        <v/>
      </c>
      <c r="H13" s="17" t="n">
        <v>8</v>
      </c>
      <c r="I13" s="19">
        <f>IF(OR($H13="",NOT(ISNUMBER(cfgStartDate))),"",IFERROR(WORKDAY.INTL(cfgStartDate-1,$H13,"0000011",nrAllClosures),""))</f>
        <v/>
      </c>
      <c r="J13" s="17">
        <f>IF(OR($H13="",$I13=""),"",INT(($I13-(cfgStartDate-WEEKDAY(cfgStartDate,2)+1))/7)+1)</f>
        <v/>
      </c>
      <c r="K13" s="17">
        <f>IF(OR($H13="",$I13=""),"",IF($I13&lt;=cfgEndDate,"Yes","No"))</f>
        <v/>
      </c>
      <c r="M13" s="35">
        <f>IFERROR(N(C13)+0,DATE(1900,1,1))</f>
        <v/>
      </c>
    </row>
    <row r="14">
      <c r="B14" s="3" t="inlineStr">
        <is>
          <t>Black Friday</t>
        </is>
      </c>
      <c r="C14" s="19">
        <f>DATE(YEAR(cfgStartDate),11,1)+MOD(11-WEEKDAY(DATE(YEAR(cfgStartDate),11,1),2),7)+22</f>
        <v/>
      </c>
      <c r="D14" s="19">
        <f>DATE(YEAR(cfgStartDate)+1,11,1)+MOD(11-WEEKDAY(DATE(YEAR(cfgStartDate)+1,11,1),2),7)+22</f>
        <v/>
      </c>
      <c r="F14" s="18" t="n"/>
      <c r="G14" s="17">
        <f>IF($F14="","",IF(NOT(ISNUMBER($F14)),"NOT A DATE - this closure is IGNORED",IF(COUNTIF($F$6:$F$20,$F14)&gt;1,"DUPLICATE closure date",IF(NOT(ISNUMBER(cfgStartDate)),"OK",IF(OR($F14&lt;cfgStartDate,$F14&gt;N(cfgEndDate)+90),"OK (outside this academy - no effect)",IF(WEEKDAY($F14,2)&gt;5,"OK (weekend - already closed)","OK"))))))</f>
        <v/>
      </c>
      <c r="H14" s="17" t="n">
        <v>9</v>
      </c>
      <c r="I14" s="19">
        <f>IF(OR($H14="",NOT(ISNUMBER(cfgStartDate))),"",IFERROR(WORKDAY.INTL(cfgStartDate-1,$H14,"0000011",nrAllClosures),""))</f>
        <v/>
      </c>
      <c r="J14" s="17">
        <f>IF(OR($H14="",$I14=""),"",INT(($I14-(cfgStartDate-WEEKDAY(cfgStartDate,2)+1))/7)+1)</f>
        <v/>
      </c>
      <c r="K14" s="17">
        <f>IF(OR($H14="",$I14=""),"",IF($I14&lt;=cfgEndDate,"Yes","No"))</f>
        <v/>
      </c>
      <c r="M14" s="35">
        <f>IFERROR(N(C14)+0,DATE(1900,1,1))</f>
        <v/>
      </c>
    </row>
    <row r="15">
      <c r="B15" s="3" t="inlineStr">
        <is>
          <t>Christmas Eve</t>
        </is>
      </c>
      <c r="C15" s="19">
        <f>(IF(WEEKDAY(DATE(YEAR(cfgStartDate),12,25),2)=6,DATE(YEAR(cfgStartDate),12,25)-1,IF(WEEKDAY(DATE(YEAR(cfgStartDate),12,25),2)=7,DATE(YEAR(cfgStartDate),12,25)+1,DATE(YEAR(cfgStartDate),12,25))))-IF(WEEKDAY(IF(WEEKDAY(DATE(YEAR(cfgStartDate),12,25),2)=6,DATE(YEAR(cfgStartDate),12,25)-1,IF(WEEKDAY(DATE(YEAR(cfgStartDate),12,25),2)=7,DATE(YEAR(cfgStartDate),12,25)+1,DATE(YEAR(cfgStartDate),12,25))),2)=1,3,1)</f>
        <v/>
      </c>
      <c r="D15" s="19">
        <f>(IF(WEEKDAY(DATE(YEAR(cfgStartDate)+1,12,25),2)=6,DATE(YEAR(cfgStartDate)+1,12,25)-1,IF(WEEKDAY(DATE(YEAR(cfgStartDate)+1,12,25),2)=7,DATE(YEAR(cfgStartDate)+1,12,25)+1,DATE(YEAR(cfgStartDate)+1,12,25))))-IF(WEEKDAY(IF(WEEKDAY(DATE(YEAR(cfgStartDate)+1,12,25),2)=6,DATE(YEAR(cfgStartDate)+1,12,25)-1,IF(WEEKDAY(DATE(YEAR(cfgStartDate)+1,12,25),2)=7,DATE(YEAR(cfgStartDate)+1,12,25)+1,DATE(YEAR(cfgStartDate)+1,12,25))),2)=1,3,1)</f>
        <v/>
      </c>
      <c r="F15" s="18" t="n"/>
      <c r="G15" s="17">
        <f>IF($F15="","",IF(NOT(ISNUMBER($F15)),"NOT A DATE - this closure is IGNORED",IF(COUNTIF($F$6:$F$20,$F15)&gt;1,"DUPLICATE closure date",IF(NOT(ISNUMBER(cfgStartDate)),"OK",IF(OR($F15&lt;cfgStartDate,$F15&gt;N(cfgEndDate)+90),"OK (outside this academy - no effect)",IF(WEEKDAY($F15,2)&gt;5,"OK (weekend - already closed)","OK"))))))</f>
        <v/>
      </c>
      <c r="H15" s="17" t="n">
        <v>10</v>
      </c>
      <c r="I15" s="19">
        <f>IF(OR($H15="",NOT(ISNUMBER(cfgStartDate))),"",IFERROR(WORKDAY.INTL(cfgStartDate-1,$H15,"0000011",nrAllClosures),""))</f>
        <v/>
      </c>
      <c r="J15" s="17">
        <f>IF(OR($H15="",$I15=""),"",INT(($I15-(cfgStartDate-WEEKDAY(cfgStartDate,2)+1))/7)+1)</f>
        <v/>
      </c>
      <c r="K15" s="17">
        <f>IF(OR($H15="",$I15=""),"",IF($I15&lt;=cfgEndDate,"Yes","No"))</f>
        <v/>
      </c>
      <c r="M15" s="35">
        <f>IFERROR(N(C15)+0,DATE(1900,1,1))</f>
        <v/>
      </c>
    </row>
    <row r="16">
      <c r="B16" s="3" t="inlineStr">
        <is>
          <t>Christmas Day</t>
        </is>
      </c>
      <c r="C16" s="19">
        <f>IF(WEEKDAY(DATE(YEAR(cfgStartDate),12,25),2)=6,DATE(YEAR(cfgStartDate),12,25)-1,IF(WEEKDAY(DATE(YEAR(cfgStartDate),12,25),2)=7,DATE(YEAR(cfgStartDate),12,25)+1,DATE(YEAR(cfgStartDate),12,25)))</f>
        <v/>
      </c>
      <c r="D16" s="19">
        <f>IF(WEEKDAY(DATE(YEAR(cfgStartDate)+1,12,25),2)=6,DATE(YEAR(cfgStartDate)+1,12,25)-1,IF(WEEKDAY(DATE(YEAR(cfgStartDate)+1,12,25),2)=7,DATE(YEAR(cfgStartDate)+1,12,25)+1,DATE(YEAR(cfgStartDate)+1,12,25)))</f>
        <v/>
      </c>
      <c r="F16" s="18" t="n"/>
      <c r="G16" s="17">
        <f>IF($F16="","",IF(NOT(ISNUMBER($F16)),"NOT A DATE - this closure is IGNORED",IF(COUNTIF($F$6:$F$20,$F16)&gt;1,"DUPLICATE closure date",IF(NOT(ISNUMBER(cfgStartDate)),"OK",IF(OR($F16&lt;cfgStartDate,$F16&gt;N(cfgEndDate)+90),"OK (outside this academy - no effect)",IF(WEEKDAY($F16,2)&gt;5,"OK (weekend - already closed)","OK"))))))</f>
        <v/>
      </c>
      <c r="H16" s="17" t="n">
        <v>11</v>
      </c>
      <c r="I16" s="19">
        <f>IF(OR($H16="",NOT(ISNUMBER(cfgStartDate))),"",IFERROR(WORKDAY.INTL(cfgStartDate-1,$H16,"0000011",nrAllClosures),""))</f>
        <v/>
      </c>
      <c r="J16" s="17">
        <f>IF(OR($H16="",$I16=""),"",INT(($I16-(cfgStartDate-WEEKDAY(cfgStartDate,2)+1))/7)+1)</f>
        <v/>
      </c>
      <c r="K16" s="17">
        <f>IF(OR($H16="",$I16=""),"",IF($I16&lt;=cfgEndDate,"Yes","No"))</f>
        <v/>
      </c>
      <c r="M16" s="35">
        <f>IFERROR(N(C16)+0,DATE(1900,1,1))</f>
        <v/>
      </c>
    </row>
    <row r="17">
      <c r="F17" s="18" t="n"/>
      <c r="G17" s="17">
        <f>IF($F17="","",IF(NOT(ISNUMBER($F17)),"NOT A DATE - this closure is IGNORED",IF(COUNTIF($F$6:$F$20,$F17)&gt;1,"DUPLICATE closure date",IF(NOT(ISNUMBER(cfgStartDate)),"OK",IF(OR($F17&lt;cfgStartDate,$F17&gt;N(cfgEndDate)+90),"OK (outside this academy - no effect)",IF(WEEKDAY($F17,2)&gt;5,"OK (weekend - already closed)","OK"))))))</f>
        <v/>
      </c>
      <c r="H17" s="17" t="n">
        <v>12</v>
      </c>
      <c r="I17" s="19">
        <f>IF(OR($H17="",NOT(ISNUMBER(cfgStartDate))),"",IFERROR(WORKDAY.INTL(cfgStartDate-1,$H17,"0000011",nrAllClosures),""))</f>
        <v/>
      </c>
      <c r="J17" s="17">
        <f>IF(OR($H17="",$I17=""),"",INT(($I17-(cfgStartDate-WEEKDAY(cfgStartDate,2)+1))/7)+1)</f>
        <v/>
      </c>
      <c r="K17" s="17">
        <f>IF(OR($H17="",$I17=""),"",IF($I17&lt;=cfgEndDate,"Yes","No"))</f>
        <v/>
      </c>
      <c r="M17" s="35">
        <f>IFERROR(N(D6)+0,DATE(1900,1,1))</f>
        <v/>
      </c>
    </row>
    <row r="18">
      <c r="F18" s="18" t="n"/>
      <c r="G18" s="17">
        <f>IF($F18="","",IF(NOT(ISNUMBER($F18)),"NOT A DATE - this closure is IGNORED",IF(COUNTIF($F$6:$F$20,$F18)&gt;1,"DUPLICATE closure date",IF(NOT(ISNUMBER(cfgStartDate)),"OK",IF(OR($F18&lt;cfgStartDate,$F18&gt;N(cfgEndDate)+90),"OK (outside this academy - no effect)",IF(WEEKDAY($F18,2)&gt;5,"OK (weekend - already closed)","OK"))))))</f>
        <v/>
      </c>
      <c r="H18" s="17" t="n">
        <v>13</v>
      </c>
      <c r="I18" s="19">
        <f>IF(OR($H18="",NOT(ISNUMBER(cfgStartDate))),"",IFERROR(WORKDAY.INTL(cfgStartDate-1,$H18,"0000011",nrAllClosures),""))</f>
        <v/>
      </c>
      <c r="J18" s="17">
        <f>IF(OR($H18="",$I18=""),"",INT(($I18-(cfgStartDate-WEEKDAY(cfgStartDate,2)+1))/7)+1)</f>
        <v/>
      </c>
      <c r="K18" s="17">
        <f>IF(OR($H18="",$I18=""),"",IF($I18&lt;=cfgEndDate,"Yes","No"))</f>
        <v/>
      </c>
      <c r="M18" s="35">
        <f>IFERROR(N(D7)+0,DATE(1900,1,1))</f>
        <v/>
      </c>
    </row>
    <row r="19">
      <c r="F19" s="18" t="n"/>
      <c r="G19" s="17">
        <f>IF($F19="","",IF(NOT(ISNUMBER($F19)),"NOT A DATE - this closure is IGNORED",IF(COUNTIF($F$6:$F$20,$F19)&gt;1,"DUPLICATE closure date",IF(NOT(ISNUMBER(cfgStartDate)),"OK",IF(OR($F19&lt;cfgStartDate,$F19&gt;N(cfgEndDate)+90),"OK (outside this academy - no effect)",IF(WEEKDAY($F19,2)&gt;5,"OK (weekend - already closed)","OK"))))))</f>
        <v/>
      </c>
      <c r="H19" s="17" t="n">
        <v>14</v>
      </c>
      <c r="I19" s="19">
        <f>IF(OR($H19="",NOT(ISNUMBER(cfgStartDate))),"",IFERROR(WORKDAY.INTL(cfgStartDate-1,$H19,"0000011",nrAllClosures),""))</f>
        <v/>
      </c>
      <c r="J19" s="17">
        <f>IF(OR($H19="",$I19=""),"",INT(($I19-(cfgStartDate-WEEKDAY(cfgStartDate,2)+1))/7)+1)</f>
        <v/>
      </c>
      <c r="K19" s="17">
        <f>IF(OR($H19="",$I19=""),"",IF($I19&lt;=cfgEndDate,"Yes","No"))</f>
        <v/>
      </c>
      <c r="M19" s="35">
        <f>IFERROR(N(D8)+0,DATE(1900,1,1))</f>
        <v/>
      </c>
    </row>
    <row r="20">
      <c r="F20" s="18" t="n"/>
      <c r="G20" s="17">
        <f>IF($F20="","",IF(NOT(ISNUMBER($F20)),"NOT A DATE - this closure is IGNORED",IF(COUNTIF($F$6:$F$20,$F20)&gt;1,"DUPLICATE closure date",IF(NOT(ISNUMBER(cfgStartDate)),"OK",IF(OR($F20&lt;cfgStartDate,$F20&gt;N(cfgEndDate)+90),"OK (outside this academy - no effect)",IF(WEEKDAY($F20,2)&gt;5,"OK (weekend - already closed)","OK"))))))</f>
        <v/>
      </c>
      <c r="H20" s="17" t="n">
        <v>15</v>
      </c>
      <c r="I20" s="19">
        <f>IF(OR($H20="",NOT(ISNUMBER(cfgStartDate))),"",IFERROR(WORKDAY.INTL(cfgStartDate-1,$H20,"0000011",nrAllClosures),""))</f>
        <v/>
      </c>
      <c r="J20" s="17">
        <f>IF(OR($H20="",$I20=""),"",INT(($I20-(cfgStartDate-WEEKDAY(cfgStartDate,2)+1))/7)+1)</f>
        <v/>
      </c>
      <c r="K20" s="17">
        <f>IF(OR($H20="",$I20=""),"",IF($I20&lt;=cfgEndDate,"Yes","No"))</f>
        <v/>
      </c>
      <c r="M20" s="35">
        <f>IFERROR(N(D9)+0,DATE(1900,1,1))</f>
        <v/>
      </c>
    </row>
    <row r="21">
      <c r="H21" s="17" t="n">
        <v>16</v>
      </c>
      <c r="I21" s="19">
        <f>IF(OR($H21="",NOT(ISNUMBER(cfgStartDate))),"",IFERROR(WORKDAY.INTL(cfgStartDate-1,$H21,"0000011",nrAllClosures),""))</f>
        <v/>
      </c>
      <c r="J21" s="17">
        <f>IF(OR($H21="",$I21=""),"",INT(($I21-(cfgStartDate-WEEKDAY(cfgStartDate,2)+1))/7)+1)</f>
        <v/>
      </c>
      <c r="K21" s="17">
        <f>IF(OR($H21="",$I21=""),"",IF($I21&lt;=cfgEndDate,"Yes","No"))</f>
        <v/>
      </c>
      <c r="M21" s="35">
        <f>IFERROR(N(D10)+0,DATE(1900,1,1))</f>
        <v/>
      </c>
    </row>
    <row r="22">
      <c r="H22" s="17" t="n">
        <v>17</v>
      </c>
      <c r="I22" s="19">
        <f>IF(OR($H22="",NOT(ISNUMBER(cfgStartDate))),"",IFERROR(WORKDAY.INTL(cfgStartDate-1,$H22,"0000011",nrAllClosures),""))</f>
        <v/>
      </c>
      <c r="J22" s="17">
        <f>IF(OR($H22="",$I22=""),"",INT(($I22-(cfgStartDate-WEEKDAY(cfgStartDate,2)+1))/7)+1)</f>
        <v/>
      </c>
      <c r="K22" s="17">
        <f>IF(OR($H22="",$I22=""),"",IF($I22&lt;=cfgEndDate,"Yes","No"))</f>
        <v/>
      </c>
      <c r="M22" s="35">
        <f>IFERROR(N(D11)+0,DATE(1900,1,1))</f>
        <v/>
      </c>
    </row>
    <row r="23">
      <c r="H23" s="17" t="n">
        <v>18</v>
      </c>
      <c r="I23" s="19">
        <f>IF(OR($H23="",NOT(ISNUMBER(cfgStartDate))),"",IFERROR(WORKDAY.INTL(cfgStartDate-1,$H23,"0000011",nrAllClosures),""))</f>
        <v/>
      </c>
      <c r="J23" s="17">
        <f>IF(OR($H23="",$I23=""),"",INT(($I23-(cfgStartDate-WEEKDAY(cfgStartDate,2)+1))/7)+1)</f>
        <v/>
      </c>
      <c r="K23" s="17">
        <f>IF(OR($H23="",$I23=""),"",IF($I23&lt;=cfgEndDate,"Yes","No"))</f>
        <v/>
      </c>
      <c r="M23" s="35">
        <f>IFERROR(N(D12)+0,DATE(1900,1,1))</f>
        <v/>
      </c>
    </row>
    <row r="24">
      <c r="H24" s="17" t="n">
        <v>19</v>
      </c>
      <c r="I24" s="19">
        <f>IF(OR($H24="",NOT(ISNUMBER(cfgStartDate))),"",IFERROR(WORKDAY.INTL(cfgStartDate-1,$H24,"0000011",nrAllClosures),""))</f>
        <v/>
      </c>
      <c r="J24" s="17">
        <f>IF(OR($H24="",$I24=""),"",INT(($I24-(cfgStartDate-WEEKDAY(cfgStartDate,2)+1))/7)+1)</f>
        <v/>
      </c>
      <c r="K24" s="17">
        <f>IF(OR($H24="",$I24=""),"",IF($I24&lt;=cfgEndDate,"Yes","No"))</f>
        <v/>
      </c>
      <c r="M24" s="35">
        <f>IFERROR(N(D13)+0,DATE(1900,1,1))</f>
        <v/>
      </c>
    </row>
    <row r="25">
      <c r="H25" s="17" t="n">
        <v>20</v>
      </c>
      <c r="I25" s="19">
        <f>IF(OR($H25="",NOT(ISNUMBER(cfgStartDate))),"",IFERROR(WORKDAY.INTL(cfgStartDate-1,$H25,"0000011",nrAllClosures),""))</f>
        <v/>
      </c>
      <c r="J25" s="17">
        <f>IF(OR($H25="",$I25=""),"",INT(($I25-(cfgStartDate-WEEKDAY(cfgStartDate,2)+1))/7)+1)</f>
        <v/>
      </c>
      <c r="K25" s="17">
        <f>IF(OR($H25="",$I25=""),"",IF($I25&lt;=cfgEndDate,"Yes","No"))</f>
        <v/>
      </c>
      <c r="M25" s="35">
        <f>IFERROR(N(D14)+0,DATE(1900,1,1))</f>
        <v/>
      </c>
    </row>
    <row r="26">
      <c r="H26" s="17" t="n">
        <v>21</v>
      </c>
      <c r="I26" s="19">
        <f>IF(OR($H26="",NOT(ISNUMBER(cfgStartDate))),"",IFERROR(WORKDAY.INTL(cfgStartDate-1,$H26,"0000011",nrAllClosures),""))</f>
        <v/>
      </c>
      <c r="J26" s="17">
        <f>IF(OR($H26="",$I26=""),"",INT(($I26-(cfgStartDate-WEEKDAY(cfgStartDate,2)+1))/7)+1)</f>
        <v/>
      </c>
      <c r="K26" s="17">
        <f>IF(OR($H26="",$I26=""),"",IF($I26&lt;=cfgEndDate,"Yes","No"))</f>
        <v/>
      </c>
      <c r="M26" s="35">
        <f>IFERROR(N(D15)+0,DATE(1900,1,1))</f>
        <v/>
      </c>
    </row>
    <row r="27">
      <c r="H27" s="17" t="n">
        <v>22</v>
      </c>
      <c r="I27" s="19">
        <f>IF(OR($H27="",NOT(ISNUMBER(cfgStartDate))),"",IFERROR(WORKDAY.INTL(cfgStartDate-1,$H27,"0000011",nrAllClosures),""))</f>
        <v/>
      </c>
      <c r="J27" s="17">
        <f>IF(OR($H27="",$I27=""),"",INT(($I27-(cfgStartDate-WEEKDAY(cfgStartDate,2)+1))/7)+1)</f>
        <v/>
      </c>
      <c r="K27" s="17">
        <f>IF(OR($H27="",$I27=""),"",IF($I27&lt;=cfgEndDate,"Yes","No"))</f>
        <v/>
      </c>
      <c r="M27" s="35">
        <f>IFERROR(N(D16)+0,DATE(1900,1,1))</f>
        <v/>
      </c>
    </row>
    <row r="28">
      <c r="H28" s="17" t="n">
        <v>23</v>
      </c>
      <c r="I28" s="19">
        <f>IF(OR($H28="",NOT(ISNUMBER(cfgStartDate))),"",IFERROR(WORKDAY.INTL(cfgStartDate-1,$H28,"0000011",nrAllClosures),""))</f>
        <v/>
      </c>
      <c r="J28" s="17">
        <f>IF(OR($H28="",$I28=""),"",INT(($I28-(cfgStartDate-WEEKDAY(cfgStartDate,2)+1))/7)+1)</f>
        <v/>
      </c>
      <c r="K28" s="17">
        <f>IF(OR($H28="",$I28=""),"",IF($I28&lt;=cfgEndDate,"Yes","No"))</f>
        <v/>
      </c>
      <c r="M28" s="35">
        <f>IF(ISNUMBER(F6),F6,DATE(1900,1,1))</f>
        <v/>
      </c>
    </row>
    <row r="29">
      <c r="H29" s="17" t="n">
        <v>24</v>
      </c>
      <c r="I29" s="19">
        <f>IF(OR($H29="",NOT(ISNUMBER(cfgStartDate))),"",IFERROR(WORKDAY.INTL(cfgStartDate-1,$H29,"0000011",nrAllClosures),""))</f>
        <v/>
      </c>
      <c r="J29" s="17">
        <f>IF(OR($H29="",$I29=""),"",INT(($I29-(cfgStartDate-WEEKDAY(cfgStartDate,2)+1))/7)+1)</f>
        <v/>
      </c>
      <c r="K29" s="17">
        <f>IF(OR($H29="",$I29=""),"",IF($I29&lt;=cfgEndDate,"Yes","No"))</f>
        <v/>
      </c>
      <c r="M29" s="35">
        <f>IF(ISNUMBER(F7),F7,DATE(1900,1,1))</f>
        <v/>
      </c>
    </row>
    <row r="30">
      <c r="H30" s="17" t="n">
        <v>25</v>
      </c>
      <c r="I30" s="19">
        <f>IF(OR($H30="",NOT(ISNUMBER(cfgStartDate))),"",IFERROR(WORKDAY.INTL(cfgStartDate-1,$H30,"0000011",nrAllClosures),""))</f>
        <v/>
      </c>
      <c r="J30" s="17">
        <f>IF(OR($H30="",$I30=""),"",INT(($I30-(cfgStartDate-WEEKDAY(cfgStartDate,2)+1))/7)+1)</f>
        <v/>
      </c>
      <c r="K30" s="17">
        <f>IF(OR($H30="",$I30=""),"",IF($I30&lt;=cfgEndDate,"Yes","No"))</f>
        <v/>
      </c>
      <c r="M30" s="35">
        <f>IF(ISNUMBER(F8),F8,DATE(1900,1,1))</f>
        <v/>
      </c>
    </row>
    <row r="31">
      <c r="H31" s="17" t="n">
        <v>26</v>
      </c>
      <c r="I31" s="19">
        <f>IF(OR($H31="",NOT(ISNUMBER(cfgStartDate))),"",IFERROR(WORKDAY.INTL(cfgStartDate-1,$H31,"0000011",nrAllClosures),""))</f>
        <v/>
      </c>
      <c r="J31" s="17">
        <f>IF(OR($H31="",$I31=""),"",INT(($I31-(cfgStartDate-WEEKDAY(cfgStartDate,2)+1))/7)+1)</f>
        <v/>
      </c>
      <c r="K31" s="17">
        <f>IF(OR($H31="",$I31=""),"",IF($I31&lt;=cfgEndDate,"Yes","No"))</f>
        <v/>
      </c>
      <c r="M31" s="35">
        <f>IF(ISNUMBER(F9),F9,DATE(1900,1,1))</f>
        <v/>
      </c>
    </row>
    <row r="32">
      <c r="H32" s="17" t="n">
        <v>27</v>
      </c>
      <c r="I32" s="19">
        <f>IF(OR($H32="",NOT(ISNUMBER(cfgStartDate))),"",IFERROR(WORKDAY.INTL(cfgStartDate-1,$H32,"0000011",nrAllClosures),""))</f>
        <v/>
      </c>
      <c r="J32" s="17">
        <f>IF(OR($H32="",$I32=""),"",INT(($I32-(cfgStartDate-WEEKDAY(cfgStartDate,2)+1))/7)+1)</f>
        <v/>
      </c>
      <c r="K32" s="17">
        <f>IF(OR($H32="",$I32=""),"",IF($I32&lt;=cfgEndDate,"Yes","No"))</f>
        <v/>
      </c>
      <c r="M32" s="35">
        <f>IF(ISNUMBER(F10),F10,DATE(1900,1,1))</f>
        <v/>
      </c>
    </row>
    <row r="33">
      <c r="H33" s="17" t="n">
        <v>28</v>
      </c>
      <c r="I33" s="19">
        <f>IF(OR($H33="",NOT(ISNUMBER(cfgStartDate))),"",IFERROR(WORKDAY.INTL(cfgStartDate-1,$H33,"0000011",nrAllClosures),""))</f>
        <v/>
      </c>
      <c r="J33" s="17">
        <f>IF(OR($H33="",$I33=""),"",INT(($I33-(cfgStartDate-WEEKDAY(cfgStartDate,2)+1))/7)+1)</f>
        <v/>
      </c>
      <c r="K33" s="17">
        <f>IF(OR($H33="",$I33=""),"",IF($I33&lt;=cfgEndDate,"Yes","No"))</f>
        <v/>
      </c>
      <c r="M33" s="35">
        <f>IF(ISNUMBER(F11),F11,DATE(1900,1,1))</f>
        <v/>
      </c>
    </row>
    <row r="34">
      <c r="H34" s="17" t="n">
        <v>29</v>
      </c>
      <c r="I34" s="19">
        <f>IF(OR($H34="",NOT(ISNUMBER(cfgStartDate))),"",IFERROR(WORKDAY.INTL(cfgStartDate-1,$H34,"0000011",nrAllClosures),""))</f>
        <v/>
      </c>
      <c r="J34" s="17">
        <f>IF(OR($H34="",$I34=""),"",INT(($I34-(cfgStartDate-WEEKDAY(cfgStartDate,2)+1))/7)+1)</f>
        <v/>
      </c>
      <c r="K34" s="17">
        <f>IF(OR($H34="",$I34=""),"",IF($I34&lt;=cfgEndDate,"Yes","No"))</f>
        <v/>
      </c>
      <c r="M34" s="35">
        <f>IF(ISNUMBER(F12),F12,DATE(1900,1,1))</f>
        <v/>
      </c>
    </row>
    <row r="35">
      <c r="H35" s="17" t="n">
        <v>30</v>
      </c>
      <c r="I35" s="19">
        <f>IF(OR($H35="",NOT(ISNUMBER(cfgStartDate))),"",IFERROR(WORKDAY.INTL(cfgStartDate-1,$H35,"0000011",nrAllClosures),""))</f>
        <v/>
      </c>
      <c r="J35" s="17">
        <f>IF(OR($H35="",$I35=""),"",INT(($I35-(cfgStartDate-WEEKDAY(cfgStartDate,2)+1))/7)+1)</f>
        <v/>
      </c>
      <c r="K35" s="17">
        <f>IF(OR($H35="",$I35=""),"",IF($I35&lt;=cfgEndDate,"Yes","No"))</f>
        <v/>
      </c>
      <c r="M35" s="35">
        <f>IF(ISNUMBER(F13),F13,DATE(1900,1,1))</f>
        <v/>
      </c>
    </row>
    <row r="36">
      <c r="H36" s="17" t="n">
        <v>31</v>
      </c>
      <c r="I36" s="19">
        <f>IF(OR($H36="",NOT(ISNUMBER(cfgStartDate))),"",IFERROR(WORKDAY.INTL(cfgStartDate-1,$H36,"0000011",nrAllClosures),""))</f>
        <v/>
      </c>
      <c r="J36" s="17">
        <f>IF(OR($H36="",$I36=""),"",INT(($I36-(cfgStartDate-WEEKDAY(cfgStartDate,2)+1))/7)+1)</f>
        <v/>
      </c>
      <c r="K36" s="17">
        <f>IF(OR($H36="",$I36=""),"",IF($I36&lt;=cfgEndDate,"Yes","No"))</f>
        <v/>
      </c>
      <c r="M36" s="35">
        <f>IF(ISNUMBER(F14),F14,DATE(1900,1,1))</f>
        <v/>
      </c>
    </row>
    <row r="37">
      <c r="H37" s="17" t="n">
        <v>32</v>
      </c>
      <c r="I37" s="19">
        <f>IF(OR($H37="",NOT(ISNUMBER(cfgStartDate))),"",IFERROR(WORKDAY.INTL(cfgStartDate-1,$H37,"0000011",nrAllClosures),""))</f>
        <v/>
      </c>
      <c r="J37" s="17">
        <f>IF(OR($H37="",$I37=""),"",INT(($I37-(cfgStartDate-WEEKDAY(cfgStartDate,2)+1))/7)+1)</f>
        <v/>
      </c>
      <c r="K37" s="17">
        <f>IF(OR($H37="",$I37=""),"",IF($I37&lt;=cfgEndDate,"Yes","No"))</f>
        <v/>
      </c>
      <c r="M37" s="35">
        <f>IF(ISNUMBER(F15),F15,DATE(1900,1,1))</f>
        <v/>
      </c>
    </row>
    <row r="38">
      <c r="H38" s="17" t="n">
        <v>33</v>
      </c>
      <c r="I38" s="19">
        <f>IF(OR($H38="",NOT(ISNUMBER(cfgStartDate))),"",IFERROR(WORKDAY.INTL(cfgStartDate-1,$H38,"0000011",nrAllClosures),""))</f>
        <v/>
      </c>
      <c r="J38" s="17">
        <f>IF(OR($H38="",$I38=""),"",INT(($I38-(cfgStartDate-WEEKDAY(cfgStartDate,2)+1))/7)+1)</f>
        <v/>
      </c>
      <c r="K38" s="17">
        <f>IF(OR($H38="",$I38=""),"",IF($I38&lt;=cfgEndDate,"Yes","No"))</f>
        <v/>
      </c>
      <c r="M38" s="35">
        <f>IF(ISNUMBER(F16),F16,DATE(1900,1,1))</f>
        <v/>
      </c>
    </row>
    <row r="39">
      <c r="H39" s="17" t="n">
        <v>34</v>
      </c>
      <c r="I39" s="19">
        <f>IF(OR($H39="",NOT(ISNUMBER(cfgStartDate))),"",IFERROR(WORKDAY.INTL(cfgStartDate-1,$H39,"0000011",nrAllClosures),""))</f>
        <v/>
      </c>
      <c r="J39" s="17">
        <f>IF(OR($H39="",$I39=""),"",INT(($I39-(cfgStartDate-WEEKDAY(cfgStartDate,2)+1))/7)+1)</f>
        <v/>
      </c>
      <c r="K39" s="17">
        <f>IF(OR($H39="",$I39=""),"",IF($I39&lt;=cfgEndDate,"Yes","No"))</f>
        <v/>
      </c>
      <c r="M39" s="35">
        <f>IF(ISNUMBER(F17),F17,DATE(1900,1,1))</f>
        <v/>
      </c>
    </row>
    <row r="40">
      <c r="H40" s="17" t="n">
        <v>35</v>
      </c>
      <c r="I40" s="19">
        <f>IF(OR($H40="",NOT(ISNUMBER(cfgStartDate))),"",IFERROR(WORKDAY.INTL(cfgStartDate-1,$H40,"0000011",nrAllClosures),""))</f>
        <v/>
      </c>
      <c r="J40" s="17">
        <f>IF(OR($H40="",$I40=""),"",INT(($I40-(cfgStartDate-WEEKDAY(cfgStartDate,2)+1))/7)+1)</f>
        <v/>
      </c>
      <c r="K40" s="17">
        <f>IF(OR($H40="",$I40=""),"",IF($I40&lt;=cfgEndDate,"Yes","No"))</f>
        <v/>
      </c>
      <c r="M40" s="35">
        <f>IF(ISNUMBER(F18),F18,DATE(1900,1,1))</f>
        <v/>
      </c>
    </row>
    <row r="41">
      <c r="H41" s="17" t="n">
        <v>36</v>
      </c>
      <c r="I41" s="19">
        <f>IF(OR($H41="",NOT(ISNUMBER(cfgStartDate))),"",IFERROR(WORKDAY.INTL(cfgStartDate-1,$H41,"0000011",nrAllClosures),""))</f>
        <v/>
      </c>
      <c r="J41" s="17">
        <f>IF(OR($H41="",$I41=""),"",INT(($I41-(cfgStartDate-WEEKDAY(cfgStartDate,2)+1))/7)+1)</f>
        <v/>
      </c>
      <c r="K41" s="17">
        <f>IF(OR($H41="",$I41=""),"",IF($I41&lt;=cfgEndDate,"Yes","No"))</f>
        <v/>
      </c>
      <c r="M41" s="35">
        <f>IF(ISNUMBER(F19),F19,DATE(1900,1,1))</f>
        <v/>
      </c>
    </row>
    <row r="42">
      <c r="H42" s="17" t="n">
        <v>37</v>
      </c>
      <c r="I42" s="19">
        <f>IF(OR($H42="",NOT(ISNUMBER(cfgStartDate))),"",IFERROR(WORKDAY.INTL(cfgStartDate-1,$H42,"0000011",nrAllClosures),""))</f>
        <v/>
      </c>
      <c r="J42" s="17">
        <f>IF(OR($H42="",$I42=""),"",INT(($I42-(cfgStartDate-WEEKDAY(cfgStartDate,2)+1))/7)+1)</f>
        <v/>
      </c>
      <c r="K42" s="17">
        <f>IF(OR($H42="",$I42=""),"",IF($I42&lt;=cfgEndDate,"Yes","No"))</f>
        <v/>
      </c>
      <c r="M42" s="35">
        <f>IF(ISNUMBER(F20),F20,DATE(1900,1,1))</f>
        <v/>
      </c>
    </row>
    <row r="43">
      <c r="H43" s="17" t="n">
        <v>38</v>
      </c>
      <c r="I43" s="19">
        <f>IF(OR($H43="",NOT(ISNUMBER(cfgStartDate))),"",IFERROR(WORKDAY.INTL(cfgStartDate-1,$H43,"0000011",nrAllClosures),""))</f>
        <v/>
      </c>
      <c r="J43" s="17">
        <f>IF(OR($H43="",$I43=""),"",INT(($I43-(cfgStartDate-WEEKDAY(cfgStartDate,2)+1))/7)+1)</f>
        <v/>
      </c>
      <c r="K43" s="17">
        <f>IF(OR($H43="",$I43=""),"",IF($I43&lt;=cfgEndDate,"Yes","No"))</f>
        <v/>
      </c>
    </row>
    <row r="44">
      <c r="H44" s="17" t="n">
        <v>39</v>
      </c>
      <c r="I44" s="19">
        <f>IF(OR($H44="",NOT(ISNUMBER(cfgStartDate))),"",IFERROR(WORKDAY.INTL(cfgStartDate-1,$H44,"0000011",nrAllClosures),""))</f>
        <v/>
      </c>
      <c r="J44" s="17">
        <f>IF(OR($H44="",$I44=""),"",INT(($I44-(cfgStartDate-WEEKDAY(cfgStartDate,2)+1))/7)+1)</f>
        <v/>
      </c>
      <c r="K44" s="17">
        <f>IF(OR($H44="",$I44=""),"",IF($I44&lt;=cfgEndDate,"Yes","No"))</f>
        <v/>
      </c>
    </row>
    <row r="45">
      <c r="H45" s="17" t="n">
        <v>40</v>
      </c>
      <c r="I45" s="19">
        <f>IF(OR($H45="",NOT(ISNUMBER(cfgStartDate))),"",IFERROR(WORKDAY.INTL(cfgStartDate-1,$H45,"0000011",nrAllClosures),""))</f>
        <v/>
      </c>
      <c r="J45" s="17">
        <f>IF(OR($H45="",$I45=""),"",INT(($I45-(cfgStartDate-WEEKDAY(cfgStartDate,2)+1))/7)+1)</f>
        <v/>
      </c>
      <c r="K45" s="17">
        <f>IF(OR($H45="",$I45=""),"",IF($I45&lt;=cfgEndDate,"Yes","No"))</f>
        <v/>
      </c>
    </row>
    <row r="46">
      <c r="H46" s="17" t="n">
        <v>41</v>
      </c>
      <c r="I46" s="19">
        <f>IF(OR($H46="",NOT(ISNUMBER(cfgStartDate))),"",IFERROR(WORKDAY.INTL(cfgStartDate-1,$H46,"0000011",nrAllClosures),""))</f>
        <v/>
      </c>
      <c r="J46" s="17">
        <f>IF(OR($H46="",$I46=""),"",INT(($I46-(cfgStartDate-WEEKDAY(cfgStartDate,2)+1))/7)+1)</f>
        <v/>
      </c>
      <c r="K46" s="17">
        <f>IF(OR($H46="",$I46=""),"",IF($I46&lt;=cfgEndDate,"Yes","No"))</f>
        <v/>
      </c>
    </row>
    <row r="47">
      <c r="H47" s="17" t="n">
        <v>42</v>
      </c>
      <c r="I47" s="19">
        <f>IF(OR($H47="",NOT(ISNUMBER(cfgStartDate))),"",IFERROR(WORKDAY.INTL(cfgStartDate-1,$H47,"0000011",nrAllClosures),""))</f>
        <v/>
      </c>
      <c r="J47" s="17">
        <f>IF(OR($H47="",$I47=""),"",INT(($I47-(cfgStartDate-WEEKDAY(cfgStartDate,2)+1))/7)+1)</f>
        <v/>
      </c>
      <c r="K47" s="17">
        <f>IF(OR($H47="",$I47=""),"",IF($I47&lt;=cfgEndDate,"Yes","No"))</f>
        <v/>
      </c>
    </row>
    <row r="48">
      <c r="H48" s="17" t="n">
        <v>43</v>
      </c>
      <c r="I48" s="19">
        <f>IF(OR($H48="",NOT(ISNUMBER(cfgStartDate))),"",IFERROR(WORKDAY.INTL(cfgStartDate-1,$H48,"0000011",nrAllClosures),""))</f>
        <v/>
      </c>
      <c r="J48" s="17">
        <f>IF(OR($H48="",$I48=""),"",INT(($I48-(cfgStartDate-WEEKDAY(cfgStartDate,2)+1))/7)+1)</f>
        <v/>
      </c>
      <c r="K48" s="17">
        <f>IF(OR($H48="",$I48=""),"",IF($I48&lt;=cfgEndDate,"Yes","No"))</f>
        <v/>
      </c>
    </row>
    <row r="49">
      <c r="H49" s="17" t="n">
        <v>44</v>
      </c>
      <c r="I49" s="19">
        <f>IF(OR($H49="",NOT(ISNUMBER(cfgStartDate))),"",IFERROR(WORKDAY.INTL(cfgStartDate-1,$H49,"0000011",nrAllClosures),""))</f>
        <v/>
      </c>
      <c r="J49" s="17">
        <f>IF(OR($H49="",$I49=""),"",INT(($I49-(cfgStartDate-WEEKDAY(cfgStartDate,2)+1))/7)+1)</f>
        <v/>
      </c>
      <c r="K49" s="17">
        <f>IF(OR($H49="",$I49=""),"",IF($I49&lt;=cfgEndDate,"Yes","No"))</f>
        <v/>
      </c>
    </row>
    <row r="50">
      <c r="H50" s="17" t="n">
        <v>45</v>
      </c>
      <c r="I50" s="19">
        <f>IF(OR($H50="",NOT(ISNUMBER(cfgStartDate))),"",IFERROR(WORKDAY.INTL(cfgStartDate-1,$H50,"0000011",nrAllClosures),""))</f>
        <v/>
      </c>
      <c r="J50" s="17">
        <f>IF(OR($H50="",$I50=""),"",INT(($I50-(cfgStartDate-WEEKDAY(cfgStartDate,2)+1))/7)+1)</f>
        <v/>
      </c>
      <c r="K50" s="17">
        <f>IF(OR($H50="",$I50=""),"",IF($I50&lt;=cfgEndDate,"Yes","No"))</f>
        <v/>
      </c>
    </row>
    <row r="51">
      <c r="H51" s="17" t="n">
        <v>46</v>
      </c>
      <c r="I51" s="19">
        <f>IF(OR($H51="",NOT(ISNUMBER(cfgStartDate))),"",IFERROR(WORKDAY.INTL(cfgStartDate-1,$H51,"0000011",nrAllClosures),""))</f>
        <v/>
      </c>
      <c r="J51" s="17">
        <f>IF(OR($H51="",$I51=""),"",INT(($I51-(cfgStartDate-WEEKDAY(cfgStartDate,2)+1))/7)+1)</f>
        <v/>
      </c>
      <c r="K51" s="17">
        <f>IF(OR($H51="",$I51=""),"",IF($I51&lt;=cfgEndDate,"Yes","No"))</f>
        <v/>
      </c>
    </row>
    <row r="52">
      <c r="H52" s="17" t="n">
        <v>47</v>
      </c>
      <c r="I52" s="19">
        <f>IF(OR($H52="",NOT(ISNUMBER(cfgStartDate))),"",IFERROR(WORKDAY.INTL(cfgStartDate-1,$H52,"0000011",nrAllClosures),""))</f>
        <v/>
      </c>
      <c r="J52" s="17">
        <f>IF(OR($H52="",$I52=""),"",INT(($I52-(cfgStartDate-WEEKDAY(cfgStartDate,2)+1))/7)+1)</f>
        <v/>
      </c>
      <c r="K52" s="17">
        <f>IF(OR($H52="",$I52=""),"",IF($I52&lt;=cfgEndDate,"Yes","No"))</f>
        <v/>
      </c>
    </row>
    <row r="53">
      <c r="H53" s="17" t="n">
        <v>48</v>
      </c>
      <c r="I53" s="19">
        <f>IF(OR($H53="",NOT(ISNUMBER(cfgStartDate))),"",IFERROR(WORKDAY.INTL(cfgStartDate-1,$H53,"0000011",nrAllClosures),""))</f>
        <v/>
      </c>
      <c r="J53" s="17">
        <f>IF(OR($H53="",$I53=""),"",INT(($I53-(cfgStartDate-WEEKDAY(cfgStartDate,2)+1))/7)+1)</f>
        <v/>
      </c>
      <c r="K53" s="17">
        <f>IF(OR($H53="",$I53=""),"",IF($I53&lt;=cfgEndDate,"Yes","No"))</f>
        <v/>
      </c>
    </row>
    <row r="54">
      <c r="H54" s="17" t="n">
        <v>49</v>
      </c>
      <c r="I54" s="19">
        <f>IF(OR($H54="",NOT(ISNUMBER(cfgStartDate))),"",IFERROR(WORKDAY.INTL(cfgStartDate-1,$H54,"0000011",nrAllClosures),""))</f>
        <v/>
      </c>
      <c r="J54" s="17">
        <f>IF(OR($H54="",$I54=""),"",INT(($I54-(cfgStartDate-WEEKDAY(cfgStartDate,2)+1))/7)+1)</f>
        <v/>
      </c>
      <c r="K54" s="17">
        <f>IF(OR($H54="",$I54=""),"",IF($I54&lt;=cfgEndDate,"Yes","No"))</f>
        <v/>
      </c>
    </row>
    <row r="55">
      <c r="H55" s="17" t="n">
        <v>50</v>
      </c>
      <c r="I55" s="19">
        <f>IF(OR($H55="",NOT(ISNUMBER(cfgStartDate))),"",IFERROR(WORKDAY.INTL(cfgStartDate-1,$H55,"0000011",nrAllClosures),""))</f>
        <v/>
      </c>
      <c r="J55" s="17">
        <f>IF(OR($H55="",$I55=""),"",INT(($I55-(cfgStartDate-WEEKDAY(cfgStartDate,2)+1))/7)+1)</f>
        <v/>
      </c>
      <c r="K55" s="17">
        <f>IF(OR($H55="",$I55=""),"",IF($I55&lt;=cfgEndDate,"Yes","No"))</f>
        <v/>
      </c>
    </row>
    <row r="56">
      <c r="H56" s="17" t="n">
        <v>51</v>
      </c>
      <c r="I56" s="19">
        <f>IF(OR($H56="",NOT(ISNUMBER(cfgStartDate))),"",IFERROR(WORKDAY.INTL(cfgStartDate-1,$H56,"0000011",nrAllClosures),""))</f>
        <v/>
      </c>
      <c r="J56" s="17">
        <f>IF(OR($H56="",$I56=""),"",INT(($I56-(cfgStartDate-WEEKDAY(cfgStartDate,2)+1))/7)+1)</f>
        <v/>
      </c>
      <c r="K56" s="17">
        <f>IF(OR($H56="",$I56=""),"",IF($I56&lt;=cfgEndDate,"Yes","No"))</f>
        <v/>
      </c>
    </row>
    <row r="57">
      <c r="H57" s="17" t="n">
        <v>52</v>
      </c>
      <c r="I57" s="19">
        <f>IF(OR($H57="",NOT(ISNUMBER(cfgStartDate))),"",IFERROR(WORKDAY.INTL(cfgStartDate-1,$H57,"0000011",nrAllClosures),""))</f>
        <v/>
      </c>
      <c r="J57" s="17">
        <f>IF(OR($H57="",$I57=""),"",INT(($I57-(cfgStartDate-WEEKDAY(cfgStartDate,2)+1))/7)+1)</f>
        <v/>
      </c>
      <c r="K57" s="17">
        <f>IF(OR($H57="",$I57=""),"",IF($I57&lt;=cfgEndDate,"Yes","No"))</f>
        <v/>
      </c>
    </row>
    <row r="58">
      <c r="H58" s="17" t="n">
        <v>53</v>
      </c>
      <c r="I58" s="19">
        <f>IF(OR($H58="",NOT(ISNUMBER(cfgStartDate))),"",IFERROR(WORKDAY.INTL(cfgStartDate-1,$H58,"0000011",nrAllClosures),""))</f>
        <v/>
      </c>
      <c r="J58" s="17">
        <f>IF(OR($H58="",$I58=""),"",INT(($I58-(cfgStartDate-WEEKDAY(cfgStartDate,2)+1))/7)+1)</f>
        <v/>
      </c>
      <c r="K58" s="17">
        <f>IF(OR($H58="",$I58=""),"",IF($I58&lt;=cfgEndDate,"Yes","No"))</f>
        <v/>
      </c>
    </row>
    <row r="59">
      <c r="H59" s="17" t="n">
        <v>54</v>
      </c>
      <c r="I59" s="19">
        <f>IF(OR($H59="",NOT(ISNUMBER(cfgStartDate))),"",IFERROR(WORKDAY.INTL(cfgStartDate-1,$H59,"0000011",nrAllClosures),""))</f>
        <v/>
      </c>
      <c r="J59" s="17">
        <f>IF(OR($H59="",$I59=""),"",INT(($I59-(cfgStartDate-WEEKDAY(cfgStartDate,2)+1))/7)+1)</f>
        <v/>
      </c>
      <c r="K59" s="17">
        <f>IF(OR($H59="",$I59=""),"",IF($I59&lt;=cfgEndDate,"Yes","No"))</f>
        <v/>
      </c>
    </row>
    <row r="60">
      <c r="H60" s="17" t="n">
        <v>55</v>
      </c>
      <c r="I60" s="19">
        <f>IF(OR($H60="",NOT(ISNUMBER(cfgStartDate))),"",IFERROR(WORKDAY.INTL(cfgStartDate-1,$H60,"0000011",nrAllClosures),""))</f>
        <v/>
      </c>
      <c r="J60" s="17">
        <f>IF(OR($H60="",$I60=""),"",INT(($I60-(cfgStartDate-WEEKDAY(cfgStartDate,2)+1))/7)+1)</f>
        <v/>
      </c>
      <c r="K60" s="17">
        <f>IF(OR($H60="",$I60=""),"",IF($I60&lt;=cfgEndDate,"Yes","No"))</f>
        <v/>
      </c>
    </row>
    <row r="61">
      <c r="H61" s="17" t="n">
        <v>56</v>
      </c>
      <c r="I61" s="19">
        <f>IF(OR($H61="",NOT(ISNUMBER(cfgStartDate))),"",IFERROR(WORKDAY.INTL(cfgStartDate-1,$H61,"0000011",nrAllClosures),""))</f>
        <v/>
      </c>
      <c r="J61" s="17">
        <f>IF(OR($H61="",$I61=""),"",INT(($I61-(cfgStartDate-WEEKDAY(cfgStartDate,2)+1))/7)+1)</f>
        <v/>
      </c>
      <c r="K61" s="17">
        <f>IF(OR($H61="",$I61=""),"",IF($I61&lt;=cfgEndDate,"Yes","No"))</f>
        <v/>
      </c>
    </row>
    <row r="62">
      <c r="H62" s="17" t="n">
        <v>57</v>
      </c>
      <c r="I62" s="19">
        <f>IF(OR($H62="",NOT(ISNUMBER(cfgStartDate))),"",IFERROR(WORKDAY.INTL(cfgStartDate-1,$H62,"0000011",nrAllClosures),""))</f>
        <v/>
      </c>
      <c r="J62" s="17">
        <f>IF(OR($H62="",$I62=""),"",INT(($I62-(cfgStartDate-WEEKDAY(cfgStartDate,2)+1))/7)+1)</f>
        <v/>
      </c>
      <c r="K62" s="17">
        <f>IF(OR($H62="",$I62=""),"",IF($I62&lt;=cfgEndDate,"Yes","No"))</f>
        <v/>
      </c>
    </row>
    <row r="63">
      <c r="H63" s="17" t="n">
        <v>58</v>
      </c>
      <c r="I63" s="19">
        <f>IF(OR($H63="",NOT(ISNUMBER(cfgStartDate))),"",IFERROR(WORKDAY.INTL(cfgStartDate-1,$H63,"0000011",nrAllClosures),""))</f>
        <v/>
      </c>
      <c r="J63" s="17">
        <f>IF(OR($H63="",$I63=""),"",INT(($I63-(cfgStartDate-WEEKDAY(cfgStartDate,2)+1))/7)+1)</f>
        <v/>
      </c>
      <c r="K63" s="17">
        <f>IF(OR($H63="",$I63=""),"",IF($I63&lt;=cfgEndDate,"Yes","No"))</f>
        <v/>
      </c>
    </row>
    <row r="64">
      <c r="H64" s="17" t="n">
        <v>59</v>
      </c>
      <c r="I64" s="19">
        <f>IF(OR($H64="",NOT(ISNUMBER(cfgStartDate))),"",IFERROR(WORKDAY.INTL(cfgStartDate-1,$H64,"0000011",nrAllClosures),""))</f>
        <v/>
      </c>
      <c r="J64" s="17">
        <f>IF(OR($H64="",$I64=""),"",INT(($I64-(cfgStartDate-WEEKDAY(cfgStartDate,2)+1))/7)+1)</f>
        <v/>
      </c>
      <c r="K64" s="17">
        <f>IF(OR($H64="",$I64=""),"",IF($I64&lt;=cfgEndDate,"Yes","No"))</f>
        <v/>
      </c>
    </row>
    <row r="65">
      <c r="H65" s="17" t="n">
        <v>60</v>
      </c>
      <c r="I65" s="19">
        <f>IF(OR($H65="",NOT(ISNUMBER(cfgStartDate))),"",IFERROR(WORKDAY.INTL(cfgStartDate-1,$H65,"0000011",nrAllClosures),""))</f>
        <v/>
      </c>
      <c r="J65" s="17">
        <f>IF(OR($H65="",$I65=""),"",INT(($I65-(cfgStartDate-WEEKDAY(cfgStartDate,2)+1))/7)+1)</f>
        <v/>
      </c>
      <c r="K65" s="17">
        <f>IF(OR($H65="",$I65=""),"",IF($I65&lt;=cfgEndDate,"Yes","No"))</f>
        <v/>
      </c>
    </row>
    <row r="66">
      <c r="H66" s="17" t="n">
        <v>61</v>
      </c>
      <c r="I66" s="19">
        <f>IF(OR($H66="",NOT(ISNUMBER(cfgStartDate))),"",IFERROR(WORKDAY.INTL(cfgStartDate-1,$H66,"0000011",nrAllClosures),""))</f>
        <v/>
      </c>
      <c r="J66" s="17">
        <f>IF(OR($H66="",$I66=""),"",INT(($I66-(cfgStartDate-WEEKDAY(cfgStartDate,2)+1))/7)+1)</f>
        <v/>
      </c>
      <c r="K66" s="17">
        <f>IF(OR($H66="",$I66=""),"",IF($I66&lt;=cfgEndDate,"Yes","No"))</f>
        <v/>
      </c>
    </row>
    <row r="67">
      <c r="H67" s="17" t="n">
        <v>62</v>
      </c>
      <c r="I67" s="19">
        <f>IF(OR($H67="",NOT(ISNUMBER(cfgStartDate))),"",IFERROR(WORKDAY.INTL(cfgStartDate-1,$H67,"0000011",nrAllClosures),""))</f>
        <v/>
      </c>
      <c r="J67" s="17">
        <f>IF(OR($H67="",$I67=""),"",INT(($I67-(cfgStartDate-WEEKDAY(cfgStartDate,2)+1))/7)+1)</f>
        <v/>
      </c>
      <c r="K67" s="17">
        <f>IF(OR($H67="",$I67=""),"",IF($I67&lt;=cfgEndDate,"Yes","No"))</f>
        <v/>
      </c>
    </row>
    <row r="68">
      <c r="H68" s="17" t="n">
        <v>63</v>
      </c>
      <c r="I68" s="19">
        <f>IF(OR($H68="",NOT(ISNUMBER(cfgStartDate))),"",IFERROR(WORKDAY.INTL(cfgStartDate-1,$H68,"0000011",nrAllClosures),""))</f>
        <v/>
      </c>
      <c r="J68" s="17">
        <f>IF(OR($H68="",$I68=""),"",INT(($I68-(cfgStartDate-WEEKDAY(cfgStartDate,2)+1))/7)+1)</f>
        <v/>
      </c>
      <c r="K68" s="17">
        <f>IF(OR($H68="",$I68=""),"",IF($I68&lt;=cfgEndDate,"Yes","No"))</f>
        <v/>
      </c>
    </row>
    <row r="69">
      <c r="H69" s="17" t="n">
        <v>64</v>
      </c>
      <c r="I69" s="19">
        <f>IF(OR($H69="",NOT(ISNUMBER(cfgStartDate))),"",IFERROR(WORKDAY.INTL(cfgStartDate-1,$H69,"0000011",nrAllClosures),""))</f>
        <v/>
      </c>
      <c r="J69" s="17">
        <f>IF(OR($H69="",$I69=""),"",INT(($I69-(cfgStartDate-WEEKDAY(cfgStartDate,2)+1))/7)+1)</f>
        <v/>
      </c>
      <c r="K69" s="17">
        <f>IF(OR($H69="",$I69=""),"",IF($I69&lt;=cfgEndDate,"Yes","No"))</f>
        <v/>
      </c>
    </row>
    <row r="70">
      <c r="H70" s="17" t="n">
        <v>65</v>
      </c>
      <c r="I70" s="19">
        <f>IF(OR($H70="",NOT(ISNUMBER(cfgStartDate))),"",IFERROR(WORKDAY.INTL(cfgStartDate-1,$H70,"0000011",nrAllClosures),""))</f>
        <v/>
      </c>
      <c r="J70" s="17">
        <f>IF(OR($H70="",$I70=""),"",INT(($I70-(cfgStartDate-WEEKDAY(cfgStartDate,2)+1))/7)+1)</f>
        <v/>
      </c>
      <c r="K70" s="17">
        <f>IF(OR($H70="",$I70=""),"",IF($I70&lt;=cfgEndDate,"Yes","No"))</f>
        <v/>
      </c>
    </row>
    <row r="71">
      <c r="H71" s="17" t="n">
        <v>66</v>
      </c>
      <c r="I71" s="19">
        <f>IF(OR($H71="",NOT(ISNUMBER(cfgStartDate))),"",IFERROR(WORKDAY.INTL(cfgStartDate-1,$H71,"0000011",nrAllClosures),""))</f>
        <v/>
      </c>
      <c r="J71" s="17">
        <f>IF(OR($H71="",$I71=""),"",INT(($I71-(cfgStartDate-WEEKDAY(cfgStartDate,2)+1))/7)+1)</f>
        <v/>
      </c>
      <c r="K71" s="17">
        <f>IF(OR($H71="",$I71=""),"",IF($I71&lt;=cfgEndDate,"Yes","No"))</f>
        <v/>
      </c>
    </row>
    <row r="72">
      <c r="H72" s="17" t="n">
        <v>67</v>
      </c>
      <c r="I72" s="19">
        <f>IF(OR($H72="",NOT(ISNUMBER(cfgStartDate))),"",IFERROR(WORKDAY.INTL(cfgStartDate-1,$H72,"0000011",nrAllClosures),""))</f>
        <v/>
      </c>
      <c r="J72" s="17">
        <f>IF(OR($H72="",$I72=""),"",INT(($I72-(cfgStartDate-WEEKDAY(cfgStartDate,2)+1))/7)+1)</f>
        <v/>
      </c>
      <c r="K72" s="17">
        <f>IF(OR($H72="",$I72=""),"",IF($I72&lt;=cfgEndDate,"Yes","No"))</f>
        <v/>
      </c>
    </row>
    <row r="73">
      <c r="H73" s="17" t="n">
        <v>68</v>
      </c>
      <c r="I73" s="19">
        <f>IF(OR($H73="",NOT(ISNUMBER(cfgStartDate))),"",IFERROR(WORKDAY.INTL(cfgStartDate-1,$H73,"0000011",nrAllClosures),""))</f>
        <v/>
      </c>
      <c r="J73" s="17">
        <f>IF(OR($H73="",$I73=""),"",INT(($I73-(cfgStartDate-WEEKDAY(cfgStartDate,2)+1))/7)+1)</f>
        <v/>
      </c>
      <c r="K73" s="17">
        <f>IF(OR($H73="",$I73=""),"",IF($I73&lt;=cfgEndDate,"Yes","No"))</f>
        <v/>
      </c>
    </row>
    <row r="74">
      <c r="H74" s="17" t="n">
        <v>69</v>
      </c>
      <c r="I74" s="19">
        <f>IF(OR($H74="",NOT(ISNUMBER(cfgStartDate))),"",IFERROR(WORKDAY.INTL(cfgStartDate-1,$H74,"0000011",nrAllClosures),""))</f>
        <v/>
      </c>
      <c r="J74" s="17">
        <f>IF(OR($H74="",$I74=""),"",INT(($I74-(cfgStartDate-WEEKDAY(cfgStartDate,2)+1))/7)+1)</f>
        <v/>
      </c>
      <c r="K74" s="17">
        <f>IF(OR($H74="",$I74=""),"",IF($I74&lt;=cfgEndDate,"Yes","No"))</f>
        <v/>
      </c>
    </row>
    <row r="75">
      <c r="H75" s="17" t="n">
        <v>70</v>
      </c>
      <c r="I75" s="19">
        <f>IF(OR($H75="",NOT(ISNUMBER(cfgStartDate))),"",IFERROR(WORKDAY.INTL(cfgStartDate-1,$H75,"0000011",nrAllClosures),""))</f>
        <v/>
      </c>
      <c r="J75" s="17">
        <f>IF(OR($H75="",$I75=""),"",INT(($I75-(cfgStartDate-WEEKDAY(cfgStartDate,2)+1))/7)+1)</f>
        <v/>
      </c>
      <c r="K75" s="17">
        <f>IF(OR($H75="",$I75=""),"",IF($I75&lt;=cfgEndDate,"Yes","No"))</f>
        <v/>
      </c>
    </row>
    <row r="76">
      <c r="H76" s="17" t="n">
        <v>71</v>
      </c>
      <c r="I76" s="19">
        <f>IF(OR($H76="",NOT(ISNUMBER(cfgStartDate))),"",IFERROR(WORKDAY.INTL(cfgStartDate-1,$H76,"0000011",nrAllClosures),""))</f>
        <v/>
      </c>
      <c r="J76" s="17">
        <f>IF(OR($H76="",$I76=""),"",INT(($I76-(cfgStartDate-WEEKDAY(cfgStartDate,2)+1))/7)+1)</f>
        <v/>
      </c>
      <c r="K76" s="17">
        <f>IF(OR($H76="",$I76=""),"",IF($I76&lt;=cfgEndDate,"Yes","No"))</f>
        <v/>
      </c>
    </row>
    <row r="77">
      <c r="H77" s="17" t="n">
        <v>72</v>
      </c>
      <c r="I77" s="19">
        <f>IF(OR($H77="",NOT(ISNUMBER(cfgStartDate))),"",IFERROR(WORKDAY.INTL(cfgStartDate-1,$H77,"0000011",nrAllClosures),""))</f>
        <v/>
      </c>
      <c r="J77" s="17">
        <f>IF(OR($H77="",$I77=""),"",INT(($I77-(cfgStartDate-WEEKDAY(cfgStartDate,2)+1))/7)+1)</f>
        <v/>
      </c>
      <c r="K77" s="17">
        <f>IF(OR($H77="",$I77=""),"",IF($I77&lt;=cfgEndDate,"Yes","No"))</f>
        <v/>
      </c>
    </row>
    <row r="78">
      <c r="H78" s="17" t="n">
        <v>73</v>
      </c>
      <c r="I78" s="19">
        <f>IF(OR($H78="",NOT(ISNUMBER(cfgStartDate))),"",IFERROR(WORKDAY.INTL(cfgStartDate-1,$H78,"0000011",nrAllClosures),""))</f>
        <v/>
      </c>
      <c r="J78" s="17">
        <f>IF(OR($H78="",$I78=""),"",INT(($I78-(cfgStartDate-WEEKDAY(cfgStartDate,2)+1))/7)+1)</f>
        <v/>
      </c>
      <c r="K78" s="17">
        <f>IF(OR($H78="",$I78=""),"",IF($I78&lt;=cfgEndDate,"Yes","No"))</f>
        <v/>
      </c>
    </row>
    <row r="79">
      <c r="H79" s="17" t="n">
        <v>74</v>
      </c>
      <c r="I79" s="19">
        <f>IF(OR($H79="",NOT(ISNUMBER(cfgStartDate))),"",IFERROR(WORKDAY.INTL(cfgStartDate-1,$H79,"0000011",nrAllClosures),""))</f>
        <v/>
      </c>
      <c r="J79" s="17">
        <f>IF(OR($H79="",$I79=""),"",INT(($I79-(cfgStartDate-WEEKDAY(cfgStartDate,2)+1))/7)+1)</f>
        <v/>
      </c>
      <c r="K79" s="17">
        <f>IF(OR($H79="",$I79=""),"",IF($I79&lt;=cfgEndDate,"Yes","No"))</f>
        <v/>
      </c>
    </row>
    <row r="80">
      <c r="H80" s="17" t="n">
        <v>75</v>
      </c>
      <c r="I80" s="19">
        <f>IF(OR($H80="",NOT(ISNUMBER(cfgStartDate))),"",IFERROR(WORKDAY.INTL(cfgStartDate-1,$H80,"0000011",nrAllClosures),""))</f>
        <v/>
      </c>
      <c r="J80" s="17">
        <f>IF(OR($H80="",$I80=""),"",INT(($I80-(cfgStartDate-WEEKDAY(cfgStartDate,2)+1))/7)+1)</f>
        <v/>
      </c>
      <c r="K80" s="17">
        <f>IF(OR($H80="",$I80=""),"",IF($I80&lt;=cfgEndDate,"Yes","No"))</f>
        <v/>
      </c>
    </row>
    <row r="81">
      <c r="H81" s="17" t="n">
        <v>76</v>
      </c>
      <c r="I81" s="19">
        <f>IF(OR($H81="",NOT(ISNUMBER(cfgStartDate))),"",IFERROR(WORKDAY.INTL(cfgStartDate-1,$H81,"0000011",nrAllClosures),""))</f>
        <v/>
      </c>
      <c r="J81" s="17">
        <f>IF(OR($H81="",$I81=""),"",INT(($I81-(cfgStartDate-WEEKDAY(cfgStartDate,2)+1))/7)+1)</f>
        <v/>
      </c>
      <c r="K81" s="17">
        <f>IF(OR($H81="",$I81=""),"",IF($I81&lt;=cfgEndDate,"Yes","No"))</f>
        <v/>
      </c>
    </row>
    <row r="82">
      <c r="H82" s="17" t="n">
        <v>77</v>
      </c>
      <c r="I82" s="19">
        <f>IF(OR($H82="",NOT(ISNUMBER(cfgStartDate))),"",IFERROR(WORKDAY.INTL(cfgStartDate-1,$H82,"0000011",nrAllClosures),""))</f>
        <v/>
      </c>
      <c r="J82" s="17">
        <f>IF(OR($H82="",$I82=""),"",INT(($I82-(cfgStartDate-WEEKDAY(cfgStartDate,2)+1))/7)+1)</f>
        <v/>
      </c>
      <c r="K82" s="17">
        <f>IF(OR($H82="",$I82=""),"",IF($I82&lt;=cfgEndDate,"Yes","No"))</f>
        <v/>
      </c>
    </row>
    <row r="83">
      <c r="H83" s="17" t="n">
        <v>78</v>
      </c>
      <c r="I83" s="19">
        <f>IF(OR($H83="",NOT(ISNUMBER(cfgStartDate))),"",IFERROR(WORKDAY.INTL(cfgStartDate-1,$H83,"0000011",nrAllClosures),""))</f>
        <v/>
      </c>
      <c r="J83" s="17">
        <f>IF(OR($H83="",$I83=""),"",INT(($I83-(cfgStartDate-WEEKDAY(cfgStartDate,2)+1))/7)+1)</f>
        <v/>
      </c>
      <c r="K83" s="17">
        <f>IF(OR($H83="",$I83=""),"",IF($I83&lt;=cfgEndDate,"Yes","No"))</f>
        <v/>
      </c>
    </row>
    <row r="84">
      <c r="H84" s="17" t="n">
        <v>79</v>
      </c>
      <c r="I84" s="19">
        <f>IF(OR($H84="",NOT(ISNUMBER(cfgStartDate))),"",IFERROR(WORKDAY.INTL(cfgStartDate-1,$H84,"0000011",nrAllClosures),""))</f>
        <v/>
      </c>
      <c r="J84" s="17">
        <f>IF(OR($H84="",$I84=""),"",INT(($I84-(cfgStartDate-WEEKDAY(cfgStartDate,2)+1))/7)+1)</f>
        <v/>
      </c>
      <c r="K84" s="17">
        <f>IF(OR($H84="",$I84=""),"",IF($I84&lt;=cfgEndDate,"Yes","No"))</f>
        <v/>
      </c>
    </row>
    <row r="85">
      <c r="H85" s="17" t="n">
        <v>80</v>
      </c>
      <c r="I85" s="19">
        <f>IF(OR($H85="",NOT(ISNUMBER(cfgStartDate))),"",IFERROR(WORKDAY.INTL(cfgStartDate-1,$H85,"0000011",nrAllClosures),""))</f>
        <v/>
      </c>
      <c r="J85" s="17">
        <f>IF(OR($H85="",$I85=""),"",INT(($I85-(cfgStartDate-WEEKDAY(cfgStartDate,2)+1))/7)+1)</f>
        <v/>
      </c>
      <c r="K85" s="17">
        <f>IF(OR($H85="",$I85=""),"",IF($I85&lt;=cfgEndDate,"Yes","No"))</f>
        <v/>
      </c>
    </row>
    <row r="86">
      <c r="H86" s="17" t="n">
        <v>81</v>
      </c>
      <c r="I86" s="19">
        <f>IF(OR($H86="",NOT(ISNUMBER(cfgStartDate))),"",IFERROR(WORKDAY.INTL(cfgStartDate-1,$H86,"0000011",nrAllClosures),""))</f>
        <v/>
      </c>
      <c r="J86" s="17">
        <f>IF(OR($H86="",$I86=""),"",INT(($I86-(cfgStartDate-WEEKDAY(cfgStartDate,2)+1))/7)+1)</f>
        <v/>
      </c>
      <c r="K86" s="17">
        <f>IF(OR($H86="",$I86=""),"",IF($I86&lt;=cfgEndDate,"Yes","No"))</f>
        <v/>
      </c>
    </row>
    <row r="87">
      <c r="H87" s="17" t="n">
        <v>82</v>
      </c>
      <c r="I87" s="19">
        <f>IF(OR($H87="",NOT(ISNUMBER(cfgStartDate))),"",IFERROR(WORKDAY.INTL(cfgStartDate-1,$H87,"0000011",nrAllClosures),""))</f>
        <v/>
      </c>
      <c r="J87" s="17">
        <f>IF(OR($H87="",$I87=""),"",INT(($I87-(cfgStartDate-WEEKDAY(cfgStartDate,2)+1))/7)+1)</f>
        <v/>
      </c>
      <c r="K87" s="17">
        <f>IF(OR($H87="",$I87=""),"",IF($I87&lt;=cfgEndDate,"Yes","No"))</f>
        <v/>
      </c>
    </row>
    <row r="88">
      <c r="H88" s="17" t="n">
        <v>83</v>
      </c>
      <c r="I88" s="19">
        <f>IF(OR($H88="",NOT(ISNUMBER(cfgStartDate))),"",IFERROR(WORKDAY.INTL(cfgStartDate-1,$H88,"0000011",nrAllClosures),""))</f>
        <v/>
      </c>
      <c r="J88" s="17">
        <f>IF(OR($H88="",$I88=""),"",INT(($I88-(cfgStartDate-WEEKDAY(cfgStartDate,2)+1))/7)+1)</f>
        <v/>
      </c>
      <c r="K88" s="17">
        <f>IF(OR($H88="",$I88=""),"",IF($I88&lt;=cfgEndDate,"Yes","No"))</f>
        <v/>
      </c>
    </row>
    <row r="89">
      <c r="H89" s="17" t="n">
        <v>84</v>
      </c>
      <c r="I89" s="19">
        <f>IF(OR($H89="",NOT(ISNUMBER(cfgStartDate))),"",IFERROR(WORKDAY.INTL(cfgStartDate-1,$H89,"0000011",nrAllClosures),""))</f>
        <v/>
      </c>
      <c r="J89" s="17">
        <f>IF(OR($H89="",$I89=""),"",INT(($I89-(cfgStartDate-WEEKDAY(cfgStartDate,2)+1))/7)+1)</f>
        <v/>
      </c>
      <c r="K89" s="17">
        <f>IF(OR($H89="",$I89=""),"",IF($I89&lt;=cfgEndDate,"Yes","No"))</f>
        <v/>
      </c>
    </row>
    <row r="90">
      <c r="H90" s="17" t="n">
        <v>85</v>
      </c>
      <c r="I90" s="19">
        <f>IF(OR($H90="",NOT(ISNUMBER(cfgStartDate))),"",IFERROR(WORKDAY.INTL(cfgStartDate-1,$H90,"0000011",nrAllClosures),""))</f>
        <v/>
      </c>
      <c r="J90" s="17">
        <f>IF(OR($H90="",$I90=""),"",INT(($I90-(cfgStartDate-WEEKDAY(cfgStartDate,2)+1))/7)+1)</f>
        <v/>
      </c>
      <c r="K90" s="17">
        <f>IF(OR($H90="",$I90=""),"",IF($I90&lt;=cfgEndDate,"Yes","No"))</f>
        <v/>
      </c>
    </row>
    <row r="91">
      <c r="H91" s="17" t="n">
        <v>86</v>
      </c>
      <c r="I91" s="19">
        <f>IF(OR($H91="",NOT(ISNUMBER(cfgStartDate))),"",IFERROR(WORKDAY.INTL(cfgStartDate-1,$H91,"0000011",nrAllClosures),""))</f>
        <v/>
      </c>
      <c r="J91" s="17">
        <f>IF(OR($H91="",$I91=""),"",INT(($I91-(cfgStartDate-WEEKDAY(cfgStartDate,2)+1))/7)+1)</f>
        <v/>
      </c>
      <c r="K91" s="17">
        <f>IF(OR($H91="",$I91=""),"",IF($I91&lt;=cfgEndDate,"Yes","No"))</f>
        <v/>
      </c>
    </row>
    <row r="92">
      <c r="H92" s="17" t="n">
        <v>87</v>
      </c>
      <c r="I92" s="19">
        <f>IF(OR($H92="",NOT(ISNUMBER(cfgStartDate))),"",IFERROR(WORKDAY.INTL(cfgStartDate-1,$H92,"0000011",nrAllClosures),""))</f>
        <v/>
      </c>
      <c r="J92" s="17">
        <f>IF(OR($H92="",$I92=""),"",INT(($I92-(cfgStartDate-WEEKDAY(cfgStartDate,2)+1))/7)+1)</f>
        <v/>
      </c>
      <c r="K92" s="17">
        <f>IF(OR($H92="",$I92=""),"",IF($I92&lt;=cfgEndDate,"Yes","No"))</f>
        <v/>
      </c>
    </row>
    <row r="93">
      <c r="H93" s="17" t="n">
        <v>88</v>
      </c>
      <c r="I93" s="19">
        <f>IF(OR($H93="",NOT(ISNUMBER(cfgStartDate))),"",IFERROR(WORKDAY.INTL(cfgStartDate-1,$H93,"0000011",nrAllClosures),""))</f>
        <v/>
      </c>
      <c r="J93" s="17">
        <f>IF(OR($H93="",$I93=""),"",INT(($I93-(cfgStartDate-WEEKDAY(cfgStartDate,2)+1))/7)+1)</f>
        <v/>
      </c>
      <c r="K93" s="17">
        <f>IF(OR($H93="",$I93=""),"",IF($I93&lt;=cfgEndDate,"Yes","No"))</f>
        <v/>
      </c>
    </row>
    <row r="94">
      <c r="H94" s="17" t="n">
        <v>89</v>
      </c>
      <c r="I94" s="19">
        <f>IF(OR($H94="",NOT(ISNUMBER(cfgStartDate))),"",IFERROR(WORKDAY.INTL(cfgStartDate-1,$H94,"0000011",nrAllClosures),""))</f>
        <v/>
      </c>
      <c r="J94" s="17">
        <f>IF(OR($H94="",$I94=""),"",INT(($I94-(cfgStartDate-WEEKDAY(cfgStartDate,2)+1))/7)+1)</f>
        <v/>
      </c>
      <c r="K94" s="17">
        <f>IF(OR($H94="",$I94=""),"",IF($I94&lt;=cfgEndDate,"Yes","No"))</f>
        <v/>
      </c>
    </row>
    <row r="95">
      <c r="H95" s="17" t="n">
        <v>90</v>
      </c>
      <c r="I95" s="19">
        <f>IF(OR($H95="",NOT(ISNUMBER(cfgStartDate))),"",IFERROR(WORKDAY.INTL(cfgStartDate-1,$H95,"0000011",nrAllClosures),""))</f>
        <v/>
      </c>
      <c r="J95" s="17">
        <f>IF(OR($H95="",$I95=""),"",INT(($I95-(cfgStartDate-WEEKDAY(cfgStartDate,2)+1))/7)+1)</f>
        <v/>
      </c>
      <c r="K95" s="17">
        <f>IF(OR($H95="",$I95=""),"",IF($I95&lt;=cfgEndDate,"Yes","No"))</f>
        <v/>
      </c>
    </row>
    <row r="96">
      <c r="H96" s="17" t="n">
        <v>91</v>
      </c>
      <c r="I96" s="19">
        <f>IF(OR($H96="",NOT(ISNUMBER(cfgStartDate))),"",IFERROR(WORKDAY.INTL(cfgStartDate-1,$H96,"0000011",nrAllClosures),""))</f>
        <v/>
      </c>
      <c r="J96" s="17">
        <f>IF(OR($H96="",$I96=""),"",INT(($I96-(cfgStartDate-WEEKDAY(cfgStartDate,2)+1))/7)+1)</f>
        <v/>
      </c>
      <c r="K96" s="17">
        <f>IF(OR($H96="",$I96=""),"",IF($I96&lt;=cfgEndDate,"Yes","No"))</f>
        <v/>
      </c>
    </row>
    <row r="97">
      <c r="H97" s="17" t="n">
        <v>92</v>
      </c>
      <c r="I97" s="19">
        <f>IF(OR($H97="",NOT(ISNUMBER(cfgStartDate))),"",IFERROR(WORKDAY.INTL(cfgStartDate-1,$H97,"0000011",nrAllClosures),""))</f>
        <v/>
      </c>
      <c r="J97" s="17">
        <f>IF(OR($H97="",$I97=""),"",INT(($I97-(cfgStartDate-WEEKDAY(cfgStartDate,2)+1))/7)+1)</f>
        <v/>
      </c>
      <c r="K97" s="17">
        <f>IF(OR($H97="",$I97=""),"",IF($I97&lt;=cfgEndDate,"Yes","No"))</f>
        <v/>
      </c>
    </row>
    <row r="98">
      <c r="H98" s="17" t="n">
        <v>93</v>
      </c>
      <c r="I98" s="19">
        <f>IF(OR($H98="",NOT(ISNUMBER(cfgStartDate))),"",IFERROR(WORKDAY.INTL(cfgStartDate-1,$H98,"0000011",nrAllClosures),""))</f>
        <v/>
      </c>
      <c r="J98" s="17">
        <f>IF(OR($H98="",$I98=""),"",INT(($I98-(cfgStartDate-WEEKDAY(cfgStartDate,2)+1))/7)+1)</f>
        <v/>
      </c>
      <c r="K98" s="17">
        <f>IF(OR($H98="",$I98=""),"",IF($I98&lt;=cfgEndDate,"Yes","No"))</f>
        <v/>
      </c>
    </row>
    <row r="99">
      <c r="H99" s="17" t="n">
        <v>94</v>
      </c>
      <c r="I99" s="19">
        <f>IF(OR($H99="",NOT(ISNUMBER(cfgStartDate))),"",IFERROR(WORKDAY.INTL(cfgStartDate-1,$H99,"0000011",nrAllClosures),""))</f>
        <v/>
      </c>
      <c r="J99" s="17">
        <f>IF(OR($H99="",$I99=""),"",INT(($I99-(cfgStartDate-WEEKDAY(cfgStartDate,2)+1))/7)+1)</f>
        <v/>
      </c>
      <c r="K99" s="17">
        <f>IF(OR($H99="",$I99=""),"",IF($I99&lt;=cfgEndDate,"Yes","No"))</f>
        <v/>
      </c>
    </row>
    <row r="100">
      <c r="H100" s="17" t="n">
        <v>95</v>
      </c>
      <c r="I100" s="19">
        <f>IF(OR($H100="",NOT(ISNUMBER(cfgStartDate))),"",IFERROR(WORKDAY.INTL(cfgStartDate-1,$H100,"0000011",nrAllClosures),""))</f>
        <v/>
      </c>
      <c r="J100" s="17">
        <f>IF(OR($H100="",$I100=""),"",INT(($I100-(cfgStartDate-WEEKDAY(cfgStartDate,2)+1))/7)+1)</f>
        <v/>
      </c>
      <c r="K100" s="17">
        <f>IF(OR($H100="",$I100=""),"",IF($I100&lt;=cfgEndDate,"Yes","No"))</f>
        <v/>
      </c>
    </row>
    <row r="101">
      <c r="H101" s="17" t="n">
        <v>96</v>
      </c>
      <c r="I101" s="19">
        <f>IF(OR($H101="",NOT(ISNUMBER(cfgStartDate))),"",IFERROR(WORKDAY.INTL(cfgStartDate-1,$H101,"0000011",nrAllClosures),""))</f>
        <v/>
      </c>
      <c r="J101" s="17">
        <f>IF(OR($H101="",$I101=""),"",INT(($I101-(cfgStartDate-WEEKDAY(cfgStartDate,2)+1))/7)+1)</f>
        <v/>
      </c>
      <c r="K101" s="17">
        <f>IF(OR($H101="",$I101=""),"",IF($I101&lt;=cfgEndDate,"Yes","No"))</f>
        <v/>
      </c>
    </row>
    <row r="102">
      <c r="H102" s="17" t="n">
        <v>97</v>
      </c>
      <c r="I102" s="19">
        <f>IF(OR($H102="",NOT(ISNUMBER(cfgStartDate))),"",IFERROR(WORKDAY.INTL(cfgStartDate-1,$H102,"0000011",nrAllClosures),""))</f>
        <v/>
      </c>
      <c r="J102" s="17">
        <f>IF(OR($H102="",$I102=""),"",INT(($I102-(cfgStartDate-WEEKDAY(cfgStartDate,2)+1))/7)+1)</f>
        <v/>
      </c>
      <c r="K102" s="17">
        <f>IF(OR($H102="",$I102=""),"",IF($I102&lt;=cfgEndDate,"Yes","No"))</f>
        <v/>
      </c>
    </row>
    <row r="103">
      <c r="H103" s="17" t="n">
        <v>98</v>
      </c>
      <c r="I103" s="19">
        <f>IF(OR($H103="",NOT(ISNUMBER(cfgStartDate))),"",IFERROR(WORKDAY.INTL(cfgStartDate-1,$H103,"0000011",nrAllClosures),""))</f>
        <v/>
      </c>
      <c r="J103" s="17">
        <f>IF(OR($H103="",$I103=""),"",INT(($I103-(cfgStartDate-WEEKDAY(cfgStartDate,2)+1))/7)+1)</f>
        <v/>
      </c>
      <c r="K103" s="17">
        <f>IF(OR($H103="",$I103=""),"",IF($I103&lt;=cfgEndDate,"Yes","No"))</f>
        <v/>
      </c>
    </row>
    <row r="104">
      <c r="H104" s="17" t="n">
        <v>99</v>
      </c>
      <c r="I104" s="19">
        <f>IF(OR($H104="",NOT(ISNUMBER(cfgStartDate))),"",IFERROR(WORKDAY.INTL(cfgStartDate-1,$H104,"0000011",nrAllClosures),""))</f>
        <v/>
      </c>
      <c r="J104" s="17">
        <f>IF(OR($H104="",$I104=""),"",INT(($I104-(cfgStartDate-WEEKDAY(cfgStartDate,2)+1))/7)+1)</f>
        <v/>
      </c>
      <c r="K104" s="17">
        <f>IF(OR($H104="",$I104=""),"",IF($I104&lt;=cfgEndDate,"Yes","No"))</f>
        <v/>
      </c>
    </row>
    <row r="105">
      <c r="H105" s="17" t="n">
        <v>100</v>
      </c>
      <c r="I105" s="19">
        <f>IF(OR($H105="",NOT(ISNUMBER(cfgStartDate))),"",IFERROR(WORKDAY.INTL(cfgStartDate-1,$H105,"0000011",nrAllClosures),""))</f>
        <v/>
      </c>
      <c r="J105" s="17">
        <f>IF(OR($H105="",$I105=""),"",INT(($I105-(cfgStartDate-WEEKDAY(cfgStartDate,2)+1))/7)+1)</f>
        <v/>
      </c>
      <c r="K105" s="17">
        <f>IF(OR($H105="",$I105=""),"",IF($I105&lt;=cfgEndDate,"Yes","No"))</f>
        <v/>
      </c>
    </row>
    <row r="106">
      <c r="H106" s="17" t="n">
        <v>101</v>
      </c>
      <c r="I106" s="19">
        <f>IF(OR($H106="",NOT(ISNUMBER(cfgStartDate))),"",IFERROR(WORKDAY.INTL(cfgStartDate-1,$H106,"0000011",nrAllClosures),""))</f>
        <v/>
      </c>
      <c r="J106" s="17">
        <f>IF(OR($H106="",$I106=""),"",INT(($I106-(cfgStartDate-WEEKDAY(cfgStartDate,2)+1))/7)+1)</f>
        <v/>
      </c>
      <c r="K106" s="17">
        <f>IF(OR($H106="",$I106=""),"",IF($I106&lt;=cfgEndDate,"Yes","No"))</f>
        <v/>
      </c>
    </row>
    <row r="107">
      <c r="H107" s="17" t="n">
        <v>102</v>
      </c>
      <c r="I107" s="19">
        <f>IF(OR($H107="",NOT(ISNUMBER(cfgStartDate))),"",IFERROR(WORKDAY.INTL(cfgStartDate-1,$H107,"0000011",nrAllClosures),""))</f>
        <v/>
      </c>
      <c r="J107" s="17">
        <f>IF(OR($H107="",$I107=""),"",INT(($I107-(cfgStartDate-WEEKDAY(cfgStartDate,2)+1))/7)+1)</f>
        <v/>
      </c>
      <c r="K107" s="17">
        <f>IF(OR($H107="",$I107=""),"",IF($I107&lt;=cfgEndDate,"Yes","No"))</f>
        <v/>
      </c>
    </row>
    <row r="108">
      <c r="H108" s="17" t="n">
        <v>103</v>
      </c>
      <c r="I108" s="19">
        <f>IF(OR($H108="",NOT(ISNUMBER(cfgStartDate))),"",IFERROR(WORKDAY.INTL(cfgStartDate-1,$H108,"0000011",nrAllClosures),""))</f>
        <v/>
      </c>
      <c r="J108" s="17">
        <f>IF(OR($H108="",$I108=""),"",INT(($I108-(cfgStartDate-WEEKDAY(cfgStartDate,2)+1))/7)+1)</f>
        <v/>
      </c>
      <c r="K108" s="17">
        <f>IF(OR($H108="",$I108=""),"",IF($I108&lt;=cfgEndDate,"Yes","No"))</f>
        <v/>
      </c>
    </row>
    <row r="109">
      <c r="H109" s="17" t="n">
        <v>104</v>
      </c>
      <c r="I109" s="19">
        <f>IF(OR($H109="",NOT(ISNUMBER(cfgStartDate))),"",IFERROR(WORKDAY.INTL(cfgStartDate-1,$H109,"0000011",nrAllClosures),""))</f>
        <v/>
      </c>
      <c r="J109" s="17">
        <f>IF(OR($H109="",$I109=""),"",INT(($I109-(cfgStartDate-WEEKDAY(cfgStartDate,2)+1))/7)+1)</f>
        <v/>
      </c>
      <c r="K109" s="17">
        <f>IF(OR($H109="",$I109=""),"",IF($I109&lt;=cfgEndDate,"Yes","No"))</f>
        <v/>
      </c>
    </row>
    <row r="110">
      <c r="H110" s="17" t="n">
        <v>105</v>
      </c>
      <c r="I110" s="19">
        <f>IF(OR($H110="",NOT(ISNUMBER(cfgStartDate))),"",IFERROR(WORKDAY.INTL(cfgStartDate-1,$H110,"0000011",nrAllClosures),""))</f>
        <v/>
      </c>
      <c r="J110" s="17">
        <f>IF(OR($H110="",$I110=""),"",INT(($I110-(cfgStartDate-WEEKDAY(cfgStartDate,2)+1))/7)+1)</f>
        <v/>
      </c>
      <c r="K110" s="17">
        <f>IF(OR($H110="",$I110=""),"",IF($I110&lt;=cfgEndDate,"Yes","No"))</f>
        <v/>
      </c>
    </row>
    <row r="111">
      <c r="H111" s="17" t="n">
        <v>106</v>
      </c>
      <c r="I111" s="19">
        <f>IF(OR($H111="",NOT(ISNUMBER(cfgStartDate))),"",IFERROR(WORKDAY.INTL(cfgStartDate-1,$H111,"0000011",nrAllClosures),""))</f>
        <v/>
      </c>
      <c r="J111" s="17">
        <f>IF(OR($H111="",$I111=""),"",INT(($I111-(cfgStartDate-WEEKDAY(cfgStartDate,2)+1))/7)+1)</f>
        <v/>
      </c>
      <c r="K111" s="17">
        <f>IF(OR($H111="",$I111=""),"",IF($I111&lt;=cfgEndDate,"Yes","No"))</f>
        <v/>
      </c>
    </row>
    <row r="112">
      <c r="H112" s="17" t="n">
        <v>107</v>
      </c>
      <c r="I112" s="19">
        <f>IF(OR($H112="",NOT(ISNUMBER(cfgStartDate))),"",IFERROR(WORKDAY.INTL(cfgStartDate-1,$H112,"0000011",nrAllClosures),""))</f>
        <v/>
      </c>
      <c r="J112" s="17">
        <f>IF(OR($H112="",$I112=""),"",INT(($I112-(cfgStartDate-WEEKDAY(cfgStartDate,2)+1))/7)+1)</f>
        <v/>
      </c>
      <c r="K112" s="17">
        <f>IF(OR($H112="",$I112=""),"",IF($I112&lt;=cfgEndDate,"Yes","No"))</f>
        <v/>
      </c>
    </row>
    <row r="113">
      <c r="H113" s="17" t="n">
        <v>108</v>
      </c>
      <c r="I113" s="19">
        <f>IF(OR($H113="",NOT(ISNUMBER(cfgStartDate))),"",IFERROR(WORKDAY.INTL(cfgStartDate-1,$H113,"0000011",nrAllClosures),""))</f>
        <v/>
      </c>
      <c r="J113" s="17">
        <f>IF(OR($H113="",$I113=""),"",INT(($I113-(cfgStartDate-WEEKDAY(cfgStartDate,2)+1))/7)+1)</f>
        <v/>
      </c>
      <c r="K113" s="17">
        <f>IF(OR($H113="",$I113=""),"",IF($I113&lt;=cfgEndDate,"Yes","No"))</f>
        <v/>
      </c>
    </row>
    <row r="114">
      <c r="H114" s="17" t="n">
        <v>109</v>
      </c>
      <c r="I114" s="19">
        <f>IF(OR($H114="",NOT(ISNUMBER(cfgStartDate))),"",IFERROR(WORKDAY.INTL(cfgStartDate-1,$H114,"0000011",nrAllClosures),""))</f>
        <v/>
      </c>
      <c r="J114" s="17">
        <f>IF(OR($H114="",$I114=""),"",INT(($I114-(cfgStartDate-WEEKDAY(cfgStartDate,2)+1))/7)+1)</f>
        <v/>
      </c>
      <c r="K114" s="17">
        <f>IF(OR($H114="",$I114=""),"",IF($I114&lt;=cfgEndDate,"Yes","No"))</f>
        <v/>
      </c>
    </row>
    <row r="115">
      <c r="H115" s="17" t="n">
        <v>110</v>
      </c>
      <c r="I115" s="19">
        <f>IF(OR($H115="",NOT(ISNUMBER(cfgStartDate))),"",IFERROR(WORKDAY.INTL(cfgStartDate-1,$H115,"0000011",nrAllClosures),""))</f>
        <v/>
      </c>
      <c r="J115" s="17">
        <f>IF(OR($H115="",$I115=""),"",INT(($I115-(cfgStartDate-WEEKDAY(cfgStartDate,2)+1))/7)+1)</f>
        <v/>
      </c>
      <c r="K115" s="17">
        <f>IF(OR($H115="",$I115=""),"",IF($I115&lt;=cfgEndDate,"Yes","No"))</f>
        <v/>
      </c>
    </row>
    <row r="116">
      <c r="H116" s="17" t="n">
        <v>111</v>
      </c>
      <c r="I116" s="19">
        <f>IF(OR($H116="",NOT(ISNUMBER(cfgStartDate))),"",IFERROR(WORKDAY.INTL(cfgStartDate-1,$H116,"0000011",nrAllClosures),""))</f>
        <v/>
      </c>
      <c r="J116" s="17">
        <f>IF(OR($H116="",$I116=""),"",INT(($I116-(cfgStartDate-WEEKDAY(cfgStartDate,2)+1))/7)+1)</f>
        <v/>
      </c>
      <c r="K116" s="17">
        <f>IF(OR($H116="",$I116=""),"",IF($I116&lt;=cfgEndDate,"Yes","No"))</f>
        <v/>
      </c>
    </row>
    <row r="117">
      <c r="H117" s="17" t="n">
        <v>112</v>
      </c>
      <c r="I117" s="19">
        <f>IF(OR($H117="",NOT(ISNUMBER(cfgStartDate))),"",IFERROR(WORKDAY.INTL(cfgStartDate-1,$H117,"0000011",nrAllClosures),""))</f>
        <v/>
      </c>
      <c r="J117" s="17">
        <f>IF(OR($H117="",$I117=""),"",INT(($I117-(cfgStartDate-WEEKDAY(cfgStartDate,2)+1))/7)+1)</f>
        <v/>
      </c>
      <c r="K117" s="17">
        <f>IF(OR($H117="",$I117=""),"",IF($I117&lt;=cfgEndDate,"Yes","No"))</f>
        <v/>
      </c>
    </row>
    <row r="118">
      <c r="H118" s="17" t="n">
        <v>113</v>
      </c>
      <c r="I118" s="19">
        <f>IF(OR($H118="",NOT(ISNUMBER(cfgStartDate))),"",IFERROR(WORKDAY.INTL(cfgStartDate-1,$H118,"0000011",nrAllClosures),""))</f>
        <v/>
      </c>
      <c r="J118" s="17">
        <f>IF(OR($H118="",$I118=""),"",INT(($I118-(cfgStartDate-WEEKDAY(cfgStartDate,2)+1))/7)+1)</f>
        <v/>
      </c>
      <c r="K118" s="17">
        <f>IF(OR($H118="",$I118=""),"",IF($I118&lt;=cfgEndDate,"Yes","No"))</f>
        <v/>
      </c>
    </row>
    <row r="119">
      <c r="H119" s="17" t="n">
        <v>114</v>
      </c>
      <c r="I119" s="19">
        <f>IF(OR($H119="",NOT(ISNUMBER(cfgStartDate))),"",IFERROR(WORKDAY.INTL(cfgStartDate-1,$H119,"0000011",nrAllClosures),""))</f>
        <v/>
      </c>
      <c r="J119" s="17">
        <f>IF(OR($H119="",$I119=""),"",INT(($I119-(cfgStartDate-WEEKDAY(cfgStartDate,2)+1))/7)+1)</f>
        <v/>
      </c>
      <c r="K119" s="17">
        <f>IF(OR($H119="",$I119=""),"",IF($I119&lt;=cfgEndDate,"Yes","No"))</f>
        <v/>
      </c>
    </row>
    <row r="120">
      <c r="H120" s="17" t="n">
        <v>115</v>
      </c>
      <c r="I120" s="19">
        <f>IF(OR($H120="",NOT(ISNUMBER(cfgStartDate))),"",IFERROR(WORKDAY.INTL(cfgStartDate-1,$H120,"0000011",nrAllClosures),""))</f>
        <v/>
      </c>
      <c r="J120" s="17">
        <f>IF(OR($H120="",$I120=""),"",INT(($I120-(cfgStartDate-WEEKDAY(cfgStartDate,2)+1))/7)+1)</f>
        <v/>
      </c>
      <c r="K120" s="17">
        <f>IF(OR($H120="",$I120=""),"",IF($I120&lt;=cfgEndDate,"Yes","No"))</f>
        <v/>
      </c>
    </row>
    <row r="121">
      <c r="H121" s="17" t="n">
        <v>116</v>
      </c>
      <c r="I121" s="19">
        <f>IF(OR($H121="",NOT(ISNUMBER(cfgStartDate))),"",IFERROR(WORKDAY.INTL(cfgStartDate-1,$H121,"0000011",nrAllClosures),""))</f>
        <v/>
      </c>
      <c r="J121" s="17">
        <f>IF(OR($H121="",$I121=""),"",INT(($I121-(cfgStartDate-WEEKDAY(cfgStartDate,2)+1))/7)+1)</f>
        <v/>
      </c>
      <c r="K121" s="17">
        <f>IF(OR($H121="",$I121=""),"",IF($I121&lt;=cfgEndDate,"Yes","No"))</f>
        <v/>
      </c>
    </row>
    <row r="122">
      <c r="H122" s="17" t="n">
        <v>117</v>
      </c>
      <c r="I122" s="19">
        <f>IF(OR($H122="",NOT(ISNUMBER(cfgStartDate))),"",IFERROR(WORKDAY.INTL(cfgStartDate-1,$H122,"0000011",nrAllClosures),""))</f>
        <v/>
      </c>
      <c r="J122" s="17">
        <f>IF(OR($H122="",$I122=""),"",INT(($I122-(cfgStartDate-WEEKDAY(cfgStartDate,2)+1))/7)+1)</f>
        <v/>
      </c>
      <c r="K122" s="17">
        <f>IF(OR($H122="",$I122=""),"",IF($I122&lt;=cfgEndDate,"Yes","No"))</f>
        <v/>
      </c>
    </row>
    <row r="123">
      <c r="H123" s="17" t="n">
        <v>118</v>
      </c>
      <c r="I123" s="19">
        <f>IF(OR($H123="",NOT(ISNUMBER(cfgStartDate))),"",IFERROR(WORKDAY.INTL(cfgStartDate-1,$H123,"0000011",nrAllClosures),""))</f>
        <v/>
      </c>
      <c r="J123" s="17">
        <f>IF(OR($H123="",$I123=""),"",INT(($I123-(cfgStartDate-WEEKDAY(cfgStartDate,2)+1))/7)+1)</f>
        <v/>
      </c>
      <c r="K123" s="17">
        <f>IF(OR($H123="",$I123=""),"",IF($I123&lt;=cfgEndDate,"Yes","No"))</f>
        <v/>
      </c>
    </row>
    <row r="124">
      <c r="H124" s="17" t="n">
        <v>119</v>
      </c>
      <c r="I124" s="19">
        <f>IF(OR($H124="",NOT(ISNUMBER(cfgStartDate))),"",IFERROR(WORKDAY.INTL(cfgStartDate-1,$H124,"0000011",nrAllClosures),""))</f>
        <v/>
      </c>
      <c r="J124" s="17">
        <f>IF(OR($H124="",$I124=""),"",INT(($I124-(cfgStartDate-WEEKDAY(cfgStartDate,2)+1))/7)+1)</f>
        <v/>
      </c>
      <c r="K124" s="17">
        <f>IF(OR($H124="",$I124=""),"",IF($I124&lt;=cfgEndDate,"Yes","No"))</f>
        <v/>
      </c>
    </row>
    <row r="125">
      <c r="H125" s="17" t="n">
        <v>120</v>
      </c>
      <c r="I125" s="19">
        <f>IF(OR($H125="",NOT(ISNUMBER(cfgStartDate))),"",IFERROR(WORKDAY.INTL(cfgStartDate-1,$H125,"0000011",nrAllClosures),""))</f>
        <v/>
      </c>
      <c r="J125" s="17">
        <f>IF(OR($H125="",$I125=""),"",INT(($I125-(cfgStartDate-WEEKDAY(cfgStartDate,2)+1))/7)+1)</f>
        <v/>
      </c>
      <c r="K125" s="17">
        <f>IF(OR($H125="",$I125=""),"",IF($I125&lt;=cfgEndDate,"Yes","No"))</f>
        <v/>
      </c>
    </row>
    <row r="126">
      <c r="H126" s="17" t="n">
        <v>121</v>
      </c>
      <c r="I126" s="19">
        <f>IF(OR($H126="",NOT(ISNUMBER(cfgStartDate))),"",IFERROR(WORKDAY.INTL(cfgStartDate-1,$H126,"0000011",nrAllClosures),""))</f>
        <v/>
      </c>
      <c r="J126" s="17">
        <f>IF(OR($H126="",$I126=""),"",INT(($I126-(cfgStartDate-WEEKDAY(cfgStartDate,2)+1))/7)+1)</f>
        <v/>
      </c>
      <c r="K126" s="17">
        <f>IF(OR($H126="",$I126=""),"",IF($I126&lt;=cfgEndDate,"Yes","No"))</f>
        <v/>
      </c>
    </row>
    <row r="127">
      <c r="H127" s="17" t="n">
        <v>122</v>
      </c>
      <c r="I127" s="19">
        <f>IF(OR($H127="",NOT(ISNUMBER(cfgStartDate))),"",IFERROR(WORKDAY.INTL(cfgStartDate-1,$H127,"0000011",nrAllClosures),""))</f>
        <v/>
      </c>
      <c r="J127" s="17">
        <f>IF(OR($H127="",$I127=""),"",INT(($I127-(cfgStartDate-WEEKDAY(cfgStartDate,2)+1))/7)+1)</f>
        <v/>
      </c>
      <c r="K127" s="17">
        <f>IF(OR($H127="",$I127=""),"",IF($I127&lt;=cfgEndDate,"Yes","No"))</f>
        <v/>
      </c>
    </row>
    <row r="128">
      <c r="H128" s="17" t="n">
        <v>123</v>
      </c>
      <c r="I128" s="19">
        <f>IF(OR($H128="",NOT(ISNUMBER(cfgStartDate))),"",IFERROR(WORKDAY.INTL(cfgStartDate-1,$H128,"0000011",nrAllClosures),""))</f>
        <v/>
      </c>
      <c r="J128" s="17">
        <f>IF(OR($H128="",$I128=""),"",INT(($I128-(cfgStartDate-WEEKDAY(cfgStartDate,2)+1))/7)+1)</f>
        <v/>
      </c>
      <c r="K128" s="17">
        <f>IF(OR($H128="",$I128=""),"",IF($I128&lt;=cfgEndDate,"Yes","No"))</f>
        <v/>
      </c>
    </row>
    <row r="129">
      <c r="H129" s="17" t="n">
        <v>124</v>
      </c>
      <c r="I129" s="19">
        <f>IF(OR($H129="",NOT(ISNUMBER(cfgStartDate))),"",IFERROR(WORKDAY.INTL(cfgStartDate-1,$H129,"0000011",nrAllClosures),""))</f>
        <v/>
      </c>
      <c r="J129" s="17">
        <f>IF(OR($H129="",$I129=""),"",INT(($I129-(cfgStartDate-WEEKDAY(cfgStartDate,2)+1))/7)+1)</f>
        <v/>
      </c>
      <c r="K129" s="17">
        <f>IF(OR($H129="",$I129=""),"",IF($I129&lt;=cfgEndDate,"Yes","No"))</f>
        <v/>
      </c>
    </row>
    <row r="130">
      <c r="H130" s="17" t="n">
        <v>125</v>
      </c>
      <c r="I130" s="19">
        <f>IF(OR($H130="",NOT(ISNUMBER(cfgStartDate))),"",IFERROR(WORKDAY.INTL(cfgStartDate-1,$H130,"0000011",nrAllClosures),""))</f>
        <v/>
      </c>
      <c r="J130" s="17">
        <f>IF(OR($H130="",$I130=""),"",INT(($I130-(cfgStartDate-WEEKDAY(cfgStartDate,2)+1))/7)+1)</f>
        <v/>
      </c>
      <c r="K130" s="17">
        <f>IF(OR($H130="",$I130=""),"",IF($I130&lt;=cfgEndDate,"Yes","No"))</f>
        <v/>
      </c>
    </row>
    <row r="131">
      <c r="H131" s="17" t="n">
        <v>126</v>
      </c>
      <c r="I131" s="19">
        <f>IF(OR($H131="",NOT(ISNUMBER(cfgStartDate))),"",IFERROR(WORKDAY.INTL(cfgStartDate-1,$H131,"0000011",nrAllClosures),""))</f>
        <v/>
      </c>
      <c r="J131" s="17">
        <f>IF(OR($H131="",$I131=""),"",INT(($I131-(cfgStartDate-WEEKDAY(cfgStartDate,2)+1))/7)+1)</f>
        <v/>
      </c>
      <c r="K131" s="17">
        <f>IF(OR($H131="",$I131=""),"",IF($I131&lt;=cfgEndDate,"Yes","No"))</f>
        <v/>
      </c>
    </row>
    <row r="132">
      <c r="H132" s="17" t="n">
        <v>127</v>
      </c>
      <c r="I132" s="19">
        <f>IF(OR($H132="",NOT(ISNUMBER(cfgStartDate))),"",IFERROR(WORKDAY.INTL(cfgStartDate-1,$H132,"0000011",nrAllClosures),""))</f>
        <v/>
      </c>
      <c r="J132" s="17">
        <f>IF(OR($H132="",$I132=""),"",INT(($I132-(cfgStartDate-WEEKDAY(cfgStartDate,2)+1))/7)+1)</f>
        <v/>
      </c>
      <c r="K132" s="17">
        <f>IF(OR($H132="",$I132=""),"",IF($I132&lt;=cfgEndDate,"Yes","No"))</f>
        <v/>
      </c>
    </row>
    <row r="133">
      <c r="H133" s="17" t="n">
        <v>128</v>
      </c>
      <c r="I133" s="19">
        <f>IF(OR($H133="",NOT(ISNUMBER(cfgStartDate))),"",IFERROR(WORKDAY.INTL(cfgStartDate-1,$H133,"0000011",nrAllClosures),""))</f>
        <v/>
      </c>
      <c r="J133" s="17">
        <f>IF(OR($H133="",$I133=""),"",INT(($I133-(cfgStartDate-WEEKDAY(cfgStartDate,2)+1))/7)+1)</f>
        <v/>
      </c>
      <c r="K133" s="17">
        <f>IF(OR($H133="",$I133=""),"",IF($I133&lt;=cfgEndDate,"Yes","No"))</f>
        <v/>
      </c>
    </row>
    <row r="134">
      <c r="H134" s="17" t="n">
        <v>129</v>
      </c>
      <c r="I134" s="19">
        <f>IF(OR($H134="",NOT(ISNUMBER(cfgStartDate))),"",IFERROR(WORKDAY.INTL(cfgStartDate-1,$H134,"0000011",nrAllClosures),""))</f>
        <v/>
      </c>
      <c r="J134" s="17">
        <f>IF(OR($H134="",$I134=""),"",INT(($I134-(cfgStartDate-WEEKDAY(cfgStartDate,2)+1))/7)+1)</f>
        <v/>
      </c>
      <c r="K134" s="17">
        <f>IF(OR($H134="",$I134=""),"",IF($I134&lt;=cfgEndDate,"Yes","No"))</f>
        <v/>
      </c>
    </row>
    <row r="135">
      <c r="H135" s="17" t="n">
        <v>130</v>
      </c>
      <c r="I135" s="19">
        <f>IF(OR($H135="",NOT(ISNUMBER(cfgStartDate))),"",IFERROR(WORKDAY.INTL(cfgStartDate-1,$H135,"0000011",nrAllClosures),""))</f>
        <v/>
      </c>
      <c r="J135" s="17">
        <f>IF(OR($H135="",$I135=""),"",INT(($I135-(cfgStartDate-WEEKDAY(cfgStartDate,2)+1))/7)+1)</f>
        <v/>
      </c>
      <c r="K135" s="17">
        <f>IF(OR($H135="",$I135=""),"",IF($I135&lt;=cfgEndDate,"Yes","No"))</f>
        <v/>
      </c>
    </row>
    <row r="136">
      <c r="H136" s="17" t="n">
        <v>131</v>
      </c>
      <c r="I136" s="19">
        <f>IF(OR($H136="",NOT(ISNUMBER(cfgStartDate))),"",IFERROR(WORKDAY.INTL(cfgStartDate-1,$H136,"0000011",nrAllClosures),""))</f>
        <v/>
      </c>
      <c r="J136" s="17">
        <f>IF(OR($H136="",$I136=""),"",INT(($I136-(cfgStartDate-WEEKDAY(cfgStartDate,2)+1))/7)+1)</f>
        <v/>
      </c>
      <c r="K136" s="17">
        <f>IF(OR($H136="",$I136=""),"",IF($I136&lt;=cfgEndDate,"Yes","No"))</f>
        <v/>
      </c>
    </row>
    <row r="137">
      <c r="H137" s="17" t="n">
        <v>132</v>
      </c>
      <c r="I137" s="19">
        <f>IF(OR($H137="",NOT(ISNUMBER(cfgStartDate))),"",IFERROR(WORKDAY.INTL(cfgStartDate-1,$H137,"0000011",nrAllClosures),""))</f>
        <v/>
      </c>
      <c r="J137" s="17">
        <f>IF(OR($H137="",$I137=""),"",INT(($I137-(cfgStartDate-WEEKDAY(cfgStartDate,2)+1))/7)+1)</f>
        <v/>
      </c>
      <c r="K137" s="17">
        <f>IF(OR($H137="",$I137=""),"",IF($I137&lt;=cfgEndDate,"Yes","No"))</f>
        <v/>
      </c>
    </row>
    <row r="138">
      <c r="H138" s="17" t="n">
        <v>133</v>
      </c>
      <c r="I138" s="19">
        <f>IF(OR($H138="",NOT(ISNUMBER(cfgStartDate))),"",IFERROR(WORKDAY.INTL(cfgStartDate-1,$H138,"0000011",nrAllClosures),""))</f>
        <v/>
      </c>
      <c r="J138" s="17">
        <f>IF(OR($H138="",$I138=""),"",INT(($I138-(cfgStartDate-WEEKDAY(cfgStartDate,2)+1))/7)+1)</f>
        <v/>
      </c>
      <c r="K138" s="17">
        <f>IF(OR($H138="",$I138=""),"",IF($I138&lt;=cfgEndDate,"Yes","No"))</f>
        <v/>
      </c>
    </row>
    <row r="139">
      <c r="H139" s="17" t="n">
        <v>134</v>
      </c>
      <c r="I139" s="19">
        <f>IF(OR($H139="",NOT(ISNUMBER(cfgStartDate))),"",IFERROR(WORKDAY.INTL(cfgStartDate-1,$H139,"0000011",nrAllClosures),""))</f>
        <v/>
      </c>
      <c r="J139" s="17">
        <f>IF(OR($H139="",$I139=""),"",INT(($I139-(cfgStartDate-WEEKDAY(cfgStartDate,2)+1))/7)+1)</f>
        <v/>
      </c>
      <c r="K139" s="17">
        <f>IF(OR($H139="",$I139=""),"",IF($I139&lt;=cfgEndDate,"Yes","No"))</f>
        <v/>
      </c>
    </row>
    <row r="140">
      <c r="H140" s="17" t="n">
        <v>135</v>
      </c>
      <c r="I140" s="19">
        <f>IF(OR($H140="",NOT(ISNUMBER(cfgStartDate))),"",IFERROR(WORKDAY.INTL(cfgStartDate-1,$H140,"0000011",nrAllClosures),""))</f>
        <v/>
      </c>
      <c r="J140" s="17">
        <f>IF(OR($H140="",$I140=""),"",INT(($I140-(cfgStartDate-WEEKDAY(cfgStartDate,2)+1))/7)+1)</f>
        <v/>
      </c>
      <c r="K140" s="17">
        <f>IF(OR($H140="",$I140=""),"",IF($I140&lt;=cfgEndDate,"Yes","No"))</f>
        <v/>
      </c>
    </row>
    <row r="141">
      <c r="H141" s="17" t="n">
        <v>136</v>
      </c>
      <c r="I141" s="19">
        <f>IF(OR($H141="",NOT(ISNUMBER(cfgStartDate))),"",IFERROR(WORKDAY.INTL(cfgStartDate-1,$H141,"0000011",nrAllClosures),""))</f>
        <v/>
      </c>
      <c r="J141" s="17">
        <f>IF(OR($H141="",$I141=""),"",INT(($I141-(cfgStartDate-WEEKDAY(cfgStartDate,2)+1))/7)+1)</f>
        <v/>
      </c>
      <c r="K141" s="17">
        <f>IF(OR($H141="",$I141=""),"",IF($I141&lt;=cfgEndDate,"Yes","No"))</f>
        <v/>
      </c>
    </row>
    <row r="142">
      <c r="H142" s="17" t="n">
        <v>137</v>
      </c>
      <c r="I142" s="19">
        <f>IF(OR($H142="",NOT(ISNUMBER(cfgStartDate))),"",IFERROR(WORKDAY.INTL(cfgStartDate-1,$H142,"0000011",nrAllClosures),""))</f>
        <v/>
      </c>
      <c r="J142" s="17">
        <f>IF(OR($H142="",$I142=""),"",INT(($I142-(cfgStartDate-WEEKDAY(cfgStartDate,2)+1))/7)+1)</f>
        <v/>
      </c>
      <c r="K142" s="17">
        <f>IF(OR($H142="",$I142=""),"",IF($I142&lt;=cfgEndDate,"Yes","No"))</f>
        <v/>
      </c>
    </row>
    <row r="143">
      <c r="H143" s="17" t="n">
        <v>138</v>
      </c>
      <c r="I143" s="19">
        <f>IF(OR($H143="",NOT(ISNUMBER(cfgStartDate))),"",IFERROR(WORKDAY.INTL(cfgStartDate-1,$H143,"0000011",nrAllClosures),""))</f>
        <v/>
      </c>
      <c r="J143" s="17">
        <f>IF(OR($H143="",$I143=""),"",INT(($I143-(cfgStartDate-WEEKDAY(cfgStartDate,2)+1))/7)+1)</f>
        <v/>
      </c>
      <c r="K143" s="17">
        <f>IF(OR($H143="",$I143=""),"",IF($I143&lt;=cfgEndDate,"Yes","No"))</f>
        <v/>
      </c>
    </row>
    <row r="144">
      <c r="H144" s="17" t="n">
        <v>139</v>
      </c>
      <c r="I144" s="19">
        <f>IF(OR($H144="",NOT(ISNUMBER(cfgStartDate))),"",IFERROR(WORKDAY.INTL(cfgStartDate-1,$H144,"0000011",nrAllClosures),""))</f>
        <v/>
      </c>
      <c r="J144" s="17">
        <f>IF(OR($H144="",$I144=""),"",INT(($I144-(cfgStartDate-WEEKDAY(cfgStartDate,2)+1))/7)+1)</f>
        <v/>
      </c>
      <c r="K144" s="17">
        <f>IF(OR($H144="",$I144=""),"",IF($I144&lt;=cfgEndDate,"Yes","No"))</f>
        <v/>
      </c>
    </row>
    <row r="145">
      <c r="H145" s="17" t="n">
        <v>140</v>
      </c>
      <c r="I145" s="19">
        <f>IF(OR($H145="",NOT(ISNUMBER(cfgStartDate))),"",IFERROR(WORKDAY.INTL(cfgStartDate-1,$H145,"0000011",nrAllClosures),""))</f>
        <v/>
      </c>
      <c r="J145" s="17">
        <f>IF(OR($H145="",$I145=""),"",INT(($I145-(cfgStartDate-WEEKDAY(cfgStartDate,2)+1))/7)+1)</f>
        <v/>
      </c>
      <c r="K145" s="17">
        <f>IF(OR($H145="",$I145=""),"",IF($I145&lt;=cfgEndDate,"Yes","No"))</f>
        <v/>
      </c>
    </row>
    <row r="146">
      <c r="H146" s="17" t="n">
        <v>141</v>
      </c>
      <c r="I146" s="19">
        <f>IF(OR($H146="",NOT(ISNUMBER(cfgStartDate))),"",IFERROR(WORKDAY.INTL(cfgStartDate-1,$H146,"0000011",nrAllClosures),""))</f>
        <v/>
      </c>
      <c r="J146" s="17">
        <f>IF(OR($H146="",$I146=""),"",INT(($I146-(cfgStartDate-WEEKDAY(cfgStartDate,2)+1))/7)+1)</f>
        <v/>
      </c>
      <c r="K146" s="17">
        <f>IF(OR($H146="",$I146=""),"",IF($I146&lt;=cfgEndDate,"Yes","No"))</f>
        <v/>
      </c>
    </row>
    <row r="147">
      <c r="H147" s="17" t="n">
        <v>142</v>
      </c>
      <c r="I147" s="19">
        <f>IF(OR($H147="",NOT(ISNUMBER(cfgStartDate))),"",IFERROR(WORKDAY.INTL(cfgStartDate-1,$H147,"0000011",nrAllClosures),""))</f>
        <v/>
      </c>
      <c r="J147" s="17">
        <f>IF(OR($H147="",$I147=""),"",INT(($I147-(cfgStartDate-WEEKDAY(cfgStartDate,2)+1))/7)+1)</f>
        <v/>
      </c>
      <c r="K147" s="17">
        <f>IF(OR($H147="",$I147=""),"",IF($I147&lt;=cfgEndDate,"Yes","No"))</f>
        <v/>
      </c>
    </row>
    <row r="148">
      <c r="H148" s="17" t="n">
        <v>143</v>
      </c>
      <c r="I148" s="19">
        <f>IF(OR($H148="",NOT(ISNUMBER(cfgStartDate))),"",IFERROR(WORKDAY.INTL(cfgStartDate-1,$H148,"0000011",nrAllClosures),""))</f>
        <v/>
      </c>
      <c r="J148" s="17">
        <f>IF(OR($H148="",$I148=""),"",INT(($I148-(cfgStartDate-WEEKDAY(cfgStartDate,2)+1))/7)+1)</f>
        <v/>
      </c>
      <c r="K148" s="17">
        <f>IF(OR($H148="",$I148=""),"",IF($I148&lt;=cfgEndDate,"Yes","No"))</f>
        <v/>
      </c>
    </row>
    <row r="149">
      <c r="H149" s="17" t="n">
        <v>144</v>
      </c>
      <c r="I149" s="19">
        <f>IF(OR($H149="",NOT(ISNUMBER(cfgStartDate))),"",IFERROR(WORKDAY.INTL(cfgStartDate-1,$H149,"0000011",nrAllClosures),""))</f>
        <v/>
      </c>
      <c r="J149" s="17">
        <f>IF(OR($H149="",$I149=""),"",INT(($I149-(cfgStartDate-WEEKDAY(cfgStartDate,2)+1))/7)+1)</f>
        <v/>
      </c>
      <c r="K149" s="17">
        <f>IF(OR($H149="",$I149=""),"",IF($I149&lt;=cfgEndDate,"Yes","No"))</f>
        <v/>
      </c>
    </row>
    <row r="150">
      <c r="H150" s="17" t="n">
        <v>145</v>
      </c>
      <c r="I150" s="19">
        <f>IF(OR($H150="",NOT(ISNUMBER(cfgStartDate))),"",IFERROR(WORKDAY.INTL(cfgStartDate-1,$H150,"0000011",nrAllClosures),""))</f>
        <v/>
      </c>
      <c r="J150" s="17">
        <f>IF(OR($H150="",$I150=""),"",INT(($I150-(cfgStartDate-WEEKDAY(cfgStartDate,2)+1))/7)+1)</f>
        <v/>
      </c>
      <c r="K150" s="17">
        <f>IF(OR($H150="",$I150=""),"",IF($I150&lt;=cfgEndDate,"Yes","No"))</f>
        <v/>
      </c>
    </row>
    <row r="151">
      <c r="H151" s="17" t="n">
        <v>146</v>
      </c>
      <c r="I151" s="19">
        <f>IF(OR($H151="",NOT(ISNUMBER(cfgStartDate))),"",IFERROR(WORKDAY.INTL(cfgStartDate-1,$H151,"0000011",nrAllClosures),""))</f>
        <v/>
      </c>
      <c r="J151" s="17">
        <f>IF(OR($H151="",$I151=""),"",INT(($I151-(cfgStartDate-WEEKDAY(cfgStartDate,2)+1))/7)+1)</f>
        <v/>
      </c>
      <c r="K151" s="17">
        <f>IF(OR($H151="",$I151=""),"",IF($I151&lt;=cfgEndDate,"Yes","No"))</f>
        <v/>
      </c>
    </row>
    <row r="152">
      <c r="H152" s="17" t="n">
        <v>147</v>
      </c>
      <c r="I152" s="19">
        <f>IF(OR($H152="",NOT(ISNUMBER(cfgStartDate))),"",IFERROR(WORKDAY.INTL(cfgStartDate-1,$H152,"0000011",nrAllClosures),""))</f>
        <v/>
      </c>
      <c r="J152" s="17">
        <f>IF(OR($H152="",$I152=""),"",INT(($I152-(cfgStartDate-WEEKDAY(cfgStartDate,2)+1))/7)+1)</f>
        <v/>
      </c>
      <c r="K152" s="17">
        <f>IF(OR($H152="",$I152=""),"",IF($I152&lt;=cfgEndDate,"Yes","No"))</f>
        <v/>
      </c>
    </row>
    <row r="153">
      <c r="H153" s="17" t="n">
        <v>148</v>
      </c>
      <c r="I153" s="19">
        <f>IF(OR($H153="",NOT(ISNUMBER(cfgStartDate))),"",IFERROR(WORKDAY.INTL(cfgStartDate-1,$H153,"0000011",nrAllClosures),""))</f>
        <v/>
      </c>
      <c r="J153" s="17">
        <f>IF(OR($H153="",$I153=""),"",INT(($I153-(cfgStartDate-WEEKDAY(cfgStartDate,2)+1))/7)+1)</f>
        <v/>
      </c>
      <c r="K153" s="17">
        <f>IF(OR($H153="",$I153=""),"",IF($I153&lt;=cfgEndDate,"Yes","No"))</f>
        <v/>
      </c>
    </row>
    <row r="154">
      <c r="H154" s="17" t="n">
        <v>149</v>
      </c>
      <c r="I154" s="19">
        <f>IF(OR($H154="",NOT(ISNUMBER(cfgStartDate))),"",IFERROR(WORKDAY.INTL(cfgStartDate-1,$H154,"0000011",nrAllClosures),""))</f>
        <v/>
      </c>
      <c r="J154" s="17">
        <f>IF(OR($H154="",$I154=""),"",INT(($I154-(cfgStartDate-WEEKDAY(cfgStartDate,2)+1))/7)+1)</f>
        <v/>
      </c>
      <c r="K154" s="17">
        <f>IF(OR($H154="",$I154=""),"",IF($I154&lt;=cfgEndDate,"Yes","No"))</f>
        <v/>
      </c>
    </row>
    <row r="155">
      <c r="H155" s="17" t="n">
        <v>150</v>
      </c>
      <c r="I155" s="19">
        <f>IF(OR($H155="",NOT(ISNUMBER(cfgStartDate))),"",IFERROR(WORKDAY.INTL(cfgStartDate-1,$H155,"0000011",nrAllClosures),""))</f>
        <v/>
      </c>
      <c r="J155" s="17">
        <f>IF(OR($H155="",$I155=""),"",INT(($I155-(cfgStartDate-WEEKDAY(cfgStartDate,2)+1))/7)+1)</f>
        <v/>
      </c>
      <c r="K155" s="17">
        <f>IF(OR($H155="",$I155=""),"",IF($I155&lt;=cfgEndDate,"Yes","No"))</f>
        <v/>
      </c>
    </row>
    <row r="156">
      <c r="H156" s="17" t="n">
        <v>151</v>
      </c>
      <c r="I156" s="19">
        <f>IF(OR($H156="",NOT(ISNUMBER(cfgStartDate))),"",IFERROR(WORKDAY.INTL(cfgStartDate-1,$H156,"0000011",nrAllClosures),""))</f>
        <v/>
      </c>
      <c r="J156" s="17">
        <f>IF(OR($H156="",$I156=""),"",INT(($I156-(cfgStartDate-WEEKDAY(cfgStartDate,2)+1))/7)+1)</f>
        <v/>
      </c>
      <c r="K156" s="17">
        <f>IF(OR($H156="",$I156=""),"",IF($I156&lt;=cfgEndDate,"Yes","No"))</f>
        <v/>
      </c>
    </row>
    <row r="157">
      <c r="H157" s="17" t="n">
        <v>152</v>
      </c>
      <c r="I157" s="19">
        <f>IF(OR($H157="",NOT(ISNUMBER(cfgStartDate))),"",IFERROR(WORKDAY.INTL(cfgStartDate-1,$H157,"0000011",nrAllClosures),""))</f>
        <v/>
      </c>
      <c r="J157" s="17">
        <f>IF(OR($H157="",$I157=""),"",INT(($I157-(cfgStartDate-WEEKDAY(cfgStartDate,2)+1))/7)+1)</f>
        <v/>
      </c>
      <c r="K157" s="17">
        <f>IF(OR($H157="",$I157=""),"",IF($I157&lt;=cfgEndDate,"Yes","No"))</f>
        <v/>
      </c>
    </row>
    <row r="158">
      <c r="H158" s="17" t="n">
        <v>153</v>
      </c>
      <c r="I158" s="19">
        <f>IF(OR($H158="",NOT(ISNUMBER(cfgStartDate))),"",IFERROR(WORKDAY.INTL(cfgStartDate-1,$H158,"0000011",nrAllClosures),""))</f>
        <v/>
      </c>
      <c r="J158" s="17">
        <f>IF(OR($H158="",$I158=""),"",INT(($I158-(cfgStartDate-WEEKDAY(cfgStartDate,2)+1))/7)+1)</f>
        <v/>
      </c>
      <c r="K158" s="17">
        <f>IF(OR($H158="",$I158=""),"",IF($I158&lt;=cfgEndDate,"Yes","No"))</f>
        <v/>
      </c>
    </row>
    <row r="159">
      <c r="H159" s="17" t="n">
        <v>154</v>
      </c>
      <c r="I159" s="19">
        <f>IF(OR($H159="",NOT(ISNUMBER(cfgStartDate))),"",IFERROR(WORKDAY.INTL(cfgStartDate-1,$H159,"0000011",nrAllClosures),""))</f>
        <v/>
      </c>
      <c r="J159" s="17">
        <f>IF(OR($H159="",$I159=""),"",INT(($I159-(cfgStartDate-WEEKDAY(cfgStartDate,2)+1))/7)+1)</f>
        <v/>
      </c>
      <c r="K159" s="17">
        <f>IF(OR($H159="",$I159=""),"",IF($I159&lt;=cfgEndDate,"Yes","No"))</f>
        <v/>
      </c>
    </row>
    <row r="160">
      <c r="H160" s="17" t="n">
        <v>155</v>
      </c>
      <c r="I160" s="19">
        <f>IF(OR($H160="",NOT(ISNUMBER(cfgStartDate))),"",IFERROR(WORKDAY.INTL(cfgStartDate-1,$H160,"0000011",nrAllClosures),""))</f>
        <v/>
      </c>
      <c r="J160" s="17">
        <f>IF(OR($H160="",$I160=""),"",INT(($I160-(cfgStartDate-WEEKDAY(cfgStartDate,2)+1))/7)+1)</f>
        <v/>
      </c>
      <c r="K160" s="17">
        <f>IF(OR($H160="",$I160=""),"",IF($I160&lt;=cfgEndDate,"Yes","No"))</f>
        <v/>
      </c>
    </row>
    <row r="161">
      <c r="H161" s="17" t="n">
        <v>156</v>
      </c>
      <c r="I161" s="19">
        <f>IF(OR($H161="",NOT(ISNUMBER(cfgStartDate))),"",IFERROR(WORKDAY.INTL(cfgStartDate-1,$H161,"0000011",nrAllClosures),""))</f>
        <v/>
      </c>
      <c r="J161" s="17">
        <f>IF(OR($H161="",$I161=""),"",INT(($I161-(cfgStartDate-WEEKDAY(cfgStartDate,2)+1))/7)+1)</f>
        <v/>
      </c>
      <c r="K161" s="17">
        <f>IF(OR($H161="",$I161=""),"",IF($I161&lt;=cfgEndDate,"Yes","No"))</f>
        <v/>
      </c>
    </row>
    <row r="162">
      <c r="H162" s="17" t="n">
        <v>157</v>
      </c>
      <c r="I162" s="19">
        <f>IF(OR($H162="",NOT(ISNUMBER(cfgStartDate))),"",IFERROR(WORKDAY.INTL(cfgStartDate-1,$H162,"0000011",nrAllClosures),""))</f>
        <v/>
      </c>
      <c r="J162" s="17">
        <f>IF(OR($H162="",$I162=""),"",INT(($I162-(cfgStartDate-WEEKDAY(cfgStartDate,2)+1))/7)+1)</f>
        <v/>
      </c>
      <c r="K162" s="17">
        <f>IF(OR($H162="",$I162=""),"",IF($I162&lt;=cfgEndDate,"Yes","No"))</f>
        <v/>
      </c>
    </row>
    <row r="163">
      <c r="H163" s="17" t="n">
        <v>158</v>
      </c>
      <c r="I163" s="19">
        <f>IF(OR($H163="",NOT(ISNUMBER(cfgStartDate))),"",IFERROR(WORKDAY.INTL(cfgStartDate-1,$H163,"0000011",nrAllClosures),""))</f>
        <v/>
      </c>
      <c r="J163" s="17">
        <f>IF(OR($H163="",$I163=""),"",INT(($I163-(cfgStartDate-WEEKDAY(cfgStartDate,2)+1))/7)+1)</f>
        <v/>
      </c>
      <c r="K163" s="17">
        <f>IF(OR($H163="",$I163=""),"",IF($I163&lt;=cfgEndDate,"Yes","No"))</f>
        <v/>
      </c>
    </row>
    <row r="164">
      <c r="H164" s="17" t="n">
        <v>159</v>
      </c>
      <c r="I164" s="19">
        <f>IF(OR($H164="",NOT(ISNUMBER(cfgStartDate))),"",IFERROR(WORKDAY.INTL(cfgStartDate-1,$H164,"0000011",nrAllClosures),""))</f>
        <v/>
      </c>
      <c r="J164" s="17">
        <f>IF(OR($H164="",$I164=""),"",INT(($I164-(cfgStartDate-WEEKDAY(cfgStartDate,2)+1))/7)+1)</f>
        <v/>
      </c>
      <c r="K164" s="17">
        <f>IF(OR($H164="",$I164=""),"",IF($I164&lt;=cfgEndDate,"Yes","No"))</f>
        <v/>
      </c>
    </row>
    <row r="165">
      <c r="H165" s="17" t="n">
        <v>160</v>
      </c>
      <c r="I165" s="19">
        <f>IF(OR($H165="",NOT(ISNUMBER(cfgStartDate))),"",IFERROR(WORKDAY.INTL(cfgStartDate-1,$H165,"0000011",nrAllClosures),""))</f>
        <v/>
      </c>
      <c r="J165" s="17">
        <f>IF(OR($H165="",$I165=""),"",INT(($I165-(cfgStartDate-WEEKDAY(cfgStartDate,2)+1))/7)+1)</f>
        <v/>
      </c>
      <c r="K165" s="17">
        <f>IF(OR($H165="",$I165=""),"",IF($I165&lt;=cfgEndDate,"Yes","No"))</f>
        <v/>
      </c>
    </row>
    <row r="166">
      <c r="H166" s="17" t="n">
        <v>161</v>
      </c>
      <c r="I166" s="19">
        <f>IF(OR($H166="",NOT(ISNUMBER(cfgStartDate))),"",IFERROR(WORKDAY.INTL(cfgStartDate-1,$H166,"0000011",nrAllClosures),""))</f>
        <v/>
      </c>
      <c r="J166" s="17">
        <f>IF(OR($H166="",$I166=""),"",INT(($I166-(cfgStartDate-WEEKDAY(cfgStartDate,2)+1))/7)+1)</f>
        <v/>
      </c>
      <c r="K166" s="17">
        <f>IF(OR($H166="",$I166=""),"",IF($I166&lt;=cfgEndDate,"Yes","No"))</f>
        <v/>
      </c>
    </row>
    <row r="167">
      <c r="H167" s="17" t="n">
        <v>162</v>
      </c>
      <c r="I167" s="19">
        <f>IF(OR($H167="",NOT(ISNUMBER(cfgStartDate))),"",IFERROR(WORKDAY.INTL(cfgStartDate-1,$H167,"0000011",nrAllClosures),""))</f>
        <v/>
      </c>
      <c r="J167" s="17">
        <f>IF(OR($H167="",$I167=""),"",INT(($I167-(cfgStartDate-WEEKDAY(cfgStartDate,2)+1))/7)+1)</f>
        <v/>
      </c>
      <c r="K167" s="17">
        <f>IF(OR($H167="",$I167=""),"",IF($I167&lt;=cfgEndDate,"Yes","No"))</f>
        <v/>
      </c>
    </row>
    <row r="168">
      <c r="H168" s="17" t="n">
        <v>163</v>
      </c>
      <c r="I168" s="19">
        <f>IF(OR($H168="",NOT(ISNUMBER(cfgStartDate))),"",IFERROR(WORKDAY.INTL(cfgStartDate-1,$H168,"0000011",nrAllClosures),""))</f>
        <v/>
      </c>
      <c r="J168" s="17">
        <f>IF(OR($H168="",$I168=""),"",INT(($I168-(cfgStartDate-WEEKDAY(cfgStartDate,2)+1))/7)+1)</f>
        <v/>
      </c>
      <c r="K168" s="17">
        <f>IF(OR($H168="",$I168=""),"",IF($I168&lt;=cfgEndDate,"Yes","No"))</f>
        <v/>
      </c>
    </row>
    <row r="169">
      <c r="H169" s="17" t="n">
        <v>164</v>
      </c>
      <c r="I169" s="19">
        <f>IF(OR($H169="",NOT(ISNUMBER(cfgStartDate))),"",IFERROR(WORKDAY.INTL(cfgStartDate-1,$H169,"0000011",nrAllClosures),""))</f>
        <v/>
      </c>
      <c r="J169" s="17">
        <f>IF(OR($H169="",$I169=""),"",INT(($I169-(cfgStartDate-WEEKDAY(cfgStartDate,2)+1))/7)+1)</f>
        <v/>
      </c>
      <c r="K169" s="17">
        <f>IF(OR($H169="",$I169=""),"",IF($I169&lt;=cfgEndDate,"Yes","No"))</f>
        <v/>
      </c>
    </row>
    <row r="170">
      <c r="H170" s="17" t="n">
        <v>165</v>
      </c>
      <c r="I170" s="19">
        <f>IF(OR($H170="",NOT(ISNUMBER(cfgStartDate))),"",IFERROR(WORKDAY.INTL(cfgStartDate-1,$H170,"0000011",nrAllClosures),""))</f>
        <v/>
      </c>
      <c r="J170" s="17">
        <f>IF(OR($H170="",$I170=""),"",INT(($I170-(cfgStartDate-WEEKDAY(cfgStartDate,2)+1))/7)+1)</f>
        <v/>
      </c>
      <c r="K170" s="17">
        <f>IF(OR($H170="",$I170=""),"",IF($I170&lt;=cfgEndDate,"Yes","No"))</f>
        <v/>
      </c>
    </row>
    <row r="171">
      <c r="H171" s="17" t="n">
        <v>166</v>
      </c>
      <c r="I171" s="19">
        <f>IF(OR($H171="",NOT(ISNUMBER(cfgStartDate))),"",IFERROR(WORKDAY.INTL(cfgStartDate-1,$H171,"0000011",nrAllClosures),""))</f>
        <v/>
      </c>
      <c r="J171" s="17">
        <f>IF(OR($H171="",$I171=""),"",INT(($I171-(cfgStartDate-WEEKDAY(cfgStartDate,2)+1))/7)+1)</f>
        <v/>
      </c>
      <c r="K171" s="17">
        <f>IF(OR($H171="",$I171=""),"",IF($I171&lt;=cfgEndDate,"Yes","No"))</f>
        <v/>
      </c>
    </row>
    <row r="172">
      <c r="H172" s="17" t="n">
        <v>167</v>
      </c>
      <c r="I172" s="19">
        <f>IF(OR($H172="",NOT(ISNUMBER(cfgStartDate))),"",IFERROR(WORKDAY.INTL(cfgStartDate-1,$H172,"0000011",nrAllClosures),""))</f>
        <v/>
      </c>
      <c r="J172" s="17">
        <f>IF(OR($H172="",$I172=""),"",INT(($I172-(cfgStartDate-WEEKDAY(cfgStartDate,2)+1))/7)+1)</f>
        <v/>
      </c>
      <c r="K172" s="17">
        <f>IF(OR($H172="",$I172=""),"",IF($I172&lt;=cfgEndDate,"Yes","No"))</f>
        <v/>
      </c>
    </row>
    <row r="173">
      <c r="H173" s="17" t="n">
        <v>168</v>
      </c>
      <c r="I173" s="19">
        <f>IF(OR($H173="",NOT(ISNUMBER(cfgStartDate))),"",IFERROR(WORKDAY.INTL(cfgStartDate-1,$H173,"0000011",nrAllClosures),""))</f>
        <v/>
      </c>
      <c r="J173" s="17">
        <f>IF(OR($H173="",$I173=""),"",INT(($I173-(cfgStartDate-WEEKDAY(cfgStartDate,2)+1))/7)+1)</f>
        <v/>
      </c>
      <c r="K173" s="17">
        <f>IF(OR($H173="",$I173=""),"",IF($I173&lt;=cfgEndDate,"Yes","No"))</f>
        <v/>
      </c>
    </row>
    <row r="174">
      <c r="H174" s="17" t="n">
        <v>169</v>
      </c>
      <c r="I174" s="19">
        <f>IF(OR($H174="",NOT(ISNUMBER(cfgStartDate))),"",IFERROR(WORKDAY.INTL(cfgStartDate-1,$H174,"0000011",nrAllClosures),""))</f>
        <v/>
      </c>
      <c r="J174" s="17">
        <f>IF(OR($H174="",$I174=""),"",INT(($I174-(cfgStartDate-WEEKDAY(cfgStartDate,2)+1))/7)+1)</f>
        <v/>
      </c>
      <c r="K174" s="17">
        <f>IF(OR($H174="",$I174=""),"",IF($I174&lt;=cfgEndDate,"Yes","No"))</f>
        <v/>
      </c>
    </row>
    <row r="175">
      <c r="H175" s="17" t="n">
        <v>170</v>
      </c>
      <c r="I175" s="19">
        <f>IF(OR($H175="",NOT(ISNUMBER(cfgStartDate))),"",IFERROR(WORKDAY.INTL(cfgStartDate-1,$H175,"0000011",nrAllClosures),""))</f>
        <v/>
      </c>
      <c r="J175" s="17">
        <f>IF(OR($H175="",$I175=""),"",INT(($I175-(cfgStartDate-WEEKDAY(cfgStartDate,2)+1))/7)+1)</f>
        <v/>
      </c>
      <c r="K175" s="17">
        <f>IF(OR($H175="",$I175=""),"",IF($I175&lt;=cfgEndDate,"Yes","No"))</f>
        <v/>
      </c>
    </row>
  </sheetData>
  <sheetProtection selectLockedCells="0" selectUnlockedCells="0" sheet="1" objects="0" insertRows="1" insertHyperlinks="1" autoFilter="0" scenarios="0" formatColumns="1" deleteColumns="1" insertColumns="1" pivotTables="1" deleteRows="1" formatCells="1" formatRows="1" sort="1" password="B4BB"/>
  <conditionalFormatting sqref="G6:G20">
    <cfRule type="expression" priority="1" dxfId="0">
      <formula>AND($G6&lt;&gt;"",LEFT($G6,2)&lt;&gt;"OK")</formula>
    </cfRule>
  </conditionalFormatting>
  <dataValidations count="1">
    <dataValidation sqref="F6:F20" showDropDown="0" showInputMessage="0" showErrorMessage="1" allowBlank="1" errorTitle="Extra Closure Date" error="Enter a real date (e.g. 12/23/2026). Text is ignored by the class-day calendar and the Closure Check column will say so." type="date" operator="between">
      <formula1>DATE(1900,1,1)</formula1>
      <formula2>DATE(2199,12,31)</formula2>
    </dataValidation>
  </dataValidations>
  <pageMargins left="0.75" right="0.75" top="1" bottom="1" header="0.5" footer="0.5"/>
</worksheet>
</file>

<file path=xl/worksheets/sheet51.xml><?xml version="1.0" encoding="utf-8"?>
<worksheet xmlns="http://schemas.openxmlformats.org/spreadsheetml/2006/main">
  <sheetPr>
    <tabColor rgb="00C8A24B"/>
    <outlinePr summaryBelow="1" summaryRight="1"/>
    <pageSetUpPr fitToPage="1"/>
  </sheetPr>
  <dimension ref="B1:P905"/>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2" customWidth="1" min="2" max="2"/>
    <col width="6" customWidth="1" min="3" max="3"/>
    <col width="9" customWidth="1" min="4" max="4"/>
    <col width="9" customWidth="1" min="5" max="5"/>
    <col width="8" customWidth="1" min="6" max="6"/>
    <col width="46" customWidth="1" min="7" max="7"/>
    <col width="6" customWidth="1" min="8" max="8"/>
    <col width="24" customWidth="1" min="9" max="9"/>
    <col width="16" customWidth="1" min="10" max="10"/>
    <col width="8" customWidth="1" min="11" max="11"/>
    <col width="7" customWidth="1" min="12" max="12"/>
    <col width="30" customWidth="1" min="13" max="13"/>
    <col width="15" customWidth="1" min="14" max="14"/>
    <col width="30" customWidth="1" min="15" max="15"/>
    <col width="15" customWidth="1" min="16" max="16"/>
  </cols>
  <sheetData>
    <row r="1">
      <c r="B1" s="10">
        <f>HYPERLINK("#Dashboard!B5","◄ Dashboard")</f>
        <v/>
      </c>
    </row>
    <row r="4">
      <c r="B4" s="11" t="inlineStr">
        <is>
          <t>One row per time block (a day usually has several). Hours, chapter reconciliation, sign-in sheets, writing dates and eval headers all read from here. A block may run past midnight (22:00-02:00 counts as 4.00 hrs); Time Check flags a block whose End is at or before its Start, because those hours move chapter totals and the academy length. Printable as-is (File &gt; Print).</t>
        </is>
      </c>
    </row>
    <row r="5" ht="26" customHeight="1">
      <c r="B5" s="12" t="inlineStr">
        <is>
          <t>Date</t>
        </is>
      </c>
      <c r="C5" s="12" t="inlineStr">
        <is>
          <t>Day</t>
        </is>
      </c>
      <c r="D5" s="12" t="inlineStr">
        <is>
          <t>Start</t>
        </is>
      </c>
      <c r="E5" s="12" t="inlineStr">
        <is>
          <t>End</t>
        </is>
      </c>
      <c r="F5" s="12" t="inlineStr">
        <is>
          <t>Hours</t>
        </is>
      </c>
      <c r="G5" s="12" t="inlineStr">
        <is>
          <t>Chapter / Activity</t>
        </is>
      </c>
      <c r="H5" s="12" t="inlineStr">
        <is>
          <t>Ch #</t>
        </is>
      </c>
      <c r="I5" s="12" t="inlineStr">
        <is>
          <t>Instructor</t>
        </is>
      </c>
      <c r="J5" s="12" t="inlineStr">
        <is>
          <t>Location</t>
        </is>
      </c>
      <c r="K5" s="12" t="inlineStr">
        <is>
          <t>Week #</t>
        </is>
      </c>
      <c r="L5" s="12" t="inlineStr">
        <is>
          <t>Day #</t>
        </is>
      </c>
      <c r="M5" s="12" t="inlineStr">
        <is>
          <t>Notes</t>
        </is>
      </c>
      <c r="N5" s="12" t="inlineStr">
        <is>
          <t>Instructor OK?</t>
        </is>
      </c>
      <c r="O5" s="12" t="inlineStr">
        <is>
          <t>Time Check</t>
        </is>
      </c>
      <c r="P5" s="12" t="inlineStr">
        <is>
          <t>Bank Check</t>
        </is>
      </c>
    </row>
    <row r="6">
      <c r="B6" s="18" t="n"/>
      <c r="C6" s="17">
        <f>IF($B6="","",TEXT($B6,"ddd"))</f>
        <v/>
      </c>
      <c r="D6" s="41" t="n"/>
      <c r="E6" s="41" t="n"/>
      <c r="F6" s="17">
        <f>IF(OR($B6="",$D6="",$E6=""),"",ROUND(MOD($E6-$D6,1)*24,2))</f>
        <v/>
      </c>
      <c r="G6" s="16" t="n"/>
      <c r="H6" s="17">
        <f>IF($G6="","",IFERROR(_xlfn.XLOOKUP($G6,nrCHname,nrCHnum),IFERROR(_xlfn.XLOOKUP($G6,nrSUBname,nrSUBparent),"")))</f>
        <v/>
      </c>
      <c r="I6" s="16" t="n"/>
      <c r="J6" s="16" t="n"/>
      <c r="K6" s="17">
        <f>IF($B6="","",IFERROR(_xlfn.XLOOKUP($B6,nrCDdate,nrCDweek),""))</f>
        <v/>
      </c>
      <c r="L6" s="17">
        <f>IF($B6="","",IFERROR(_xlfn.XLOOKUP($B6,nrCDdate,nrCDnum),""))</f>
        <v/>
      </c>
      <c r="M6" s="16" t="n"/>
      <c r="N6" s="17">
        <f>IF(OR($B6="",$I6=""),"",_xlfn.LET(_xlpm.a,$I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 s="17">
        <f>IF(OR($B6="",$D6="",$E6=""),"",IF($E6=$D6,"CHECK TIMES (start = end)",IF($F6&gt;12,"CHECK TIMES (End is before Start?)","OK")))</f>
        <v/>
      </c>
      <c r="P6" s="17">
        <f>IF(OR($B6="",$I6=""),"",IF(IFERROR(MATCH($G6,nrBankTopics,0),0)=0,"OK",IF(COUNTA(INDEX(nrBankGrid,IFERROR(MATCH($G6,nrBankTopics,0),1),0))=0,"OK",IF(SUMPRODUCT((nrInstrNames&lt;&gt;"")*ISNUMBER(SEARCH(nrInstrNames,$I6))*(COUNTIF(INDEX(nrBankGrid,IFERROR(MATCH($G6,nrBankTopics,0),1),0),nrInstrNames)&gt;0))&lt;SUMPRODUCT((nrInstrNames&lt;&gt;"")*ISNUMBER(SEARCH(nrInstrNames,$I6))),"NOT IN BANK","OK"))))</f>
        <v/>
      </c>
    </row>
    <row r="7">
      <c r="B7" s="18" t="n"/>
      <c r="C7" s="17">
        <f>IF($B7="","",TEXT($B7,"ddd"))</f>
        <v/>
      </c>
      <c r="D7" s="41" t="n"/>
      <c r="E7" s="41" t="n"/>
      <c r="F7" s="17">
        <f>IF(OR($B7="",$D7="",$E7=""),"",ROUND(MOD($E7-$D7,1)*24,2))</f>
        <v/>
      </c>
      <c r="G7" s="16" t="n"/>
      <c r="H7" s="17">
        <f>IF($G7="","",IFERROR(_xlfn.XLOOKUP($G7,nrCHname,nrCHnum),IFERROR(_xlfn.XLOOKUP($G7,nrSUBname,nrSUBparent),"")))</f>
        <v/>
      </c>
      <c r="I7" s="16" t="n"/>
      <c r="J7" s="16" t="n"/>
      <c r="K7" s="17">
        <f>IF($B7="","",IFERROR(_xlfn.XLOOKUP($B7,nrCDdate,nrCDweek),""))</f>
        <v/>
      </c>
      <c r="L7" s="17">
        <f>IF($B7="","",IFERROR(_xlfn.XLOOKUP($B7,nrCDdate,nrCDnum),""))</f>
        <v/>
      </c>
      <c r="M7" s="16" t="n"/>
      <c r="N7" s="17">
        <f>IF(OR($B7="",$I7=""),"",_xlfn.LET(_xlpm.a,$I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 s="17">
        <f>IF(OR($B7="",$D7="",$E7=""),"",IF($E7=$D7,"CHECK TIMES (start = end)",IF($F7&gt;12,"CHECK TIMES (End is before Start?)","OK")))</f>
        <v/>
      </c>
      <c r="P7" s="17">
        <f>IF(OR($B7="",$I7=""),"",IF(IFERROR(MATCH($G7,nrBankTopics,0),0)=0,"OK",IF(COUNTA(INDEX(nrBankGrid,IFERROR(MATCH($G7,nrBankTopics,0),1),0))=0,"OK",IF(SUMPRODUCT((nrInstrNames&lt;&gt;"")*ISNUMBER(SEARCH(nrInstrNames,$I7))*(COUNTIF(INDEX(nrBankGrid,IFERROR(MATCH($G7,nrBankTopics,0),1),0),nrInstrNames)&gt;0))&lt;SUMPRODUCT((nrInstrNames&lt;&gt;"")*ISNUMBER(SEARCH(nrInstrNames,$I7))),"NOT IN BANK","OK"))))</f>
        <v/>
      </c>
    </row>
    <row r="8">
      <c r="B8" s="18" t="n"/>
      <c r="C8" s="17">
        <f>IF($B8="","",TEXT($B8,"ddd"))</f>
        <v/>
      </c>
      <c r="D8" s="41" t="n"/>
      <c r="E8" s="41" t="n"/>
      <c r="F8" s="17">
        <f>IF(OR($B8="",$D8="",$E8=""),"",ROUND(MOD($E8-$D8,1)*24,2))</f>
        <v/>
      </c>
      <c r="G8" s="16" t="n"/>
      <c r="H8" s="17">
        <f>IF($G8="","",IFERROR(_xlfn.XLOOKUP($G8,nrCHname,nrCHnum),IFERROR(_xlfn.XLOOKUP($G8,nrSUBname,nrSUBparent),"")))</f>
        <v/>
      </c>
      <c r="I8" s="16" t="n"/>
      <c r="J8" s="16" t="n"/>
      <c r="K8" s="17">
        <f>IF($B8="","",IFERROR(_xlfn.XLOOKUP($B8,nrCDdate,nrCDweek),""))</f>
        <v/>
      </c>
      <c r="L8" s="17">
        <f>IF($B8="","",IFERROR(_xlfn.XLOOKUP($B8,nrCDdate,nrCDnum),""))</f>
        <v/>
      </c>
      <c r="M8" s="16" t="n"/>
      <c r="N8" s="17">
        <f>IF(OR($B8="",$I8=""),"",_xlfn.LET(_xlpm.a,$I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 s="17">
        <f>IF(OR($B8="",$D8="",$E8=""),"",IF($E8=$D8,"CHECK TIMES (start = end)",IF($F8&gt;12,"CHECK TIMES (End is before Start?)","OK")))</f>
        <v/>
      </c>
      <c r="P8" s="17">
        <f>IF(OR($B8="",$I8=""),"",IF(IFERROR(MATCH($G8,nrBankTopics,0),0)=0,"OK",IF(COUNTA(INDEX(nrBankGrid,IFERROR(MATCH($G8,nrBankTopics,0),1),0))=0,"OK",IF(SUMPRODUCT((nrInstrNames&lt;&gt;"")*ISNUMBER(SEARCH(nrInstrNames,$I8))*(COUNTIF(INDEX(nrBankGrid,IFERROR(MATCH($G8,nrBankTopics,0),1),0),nrInstrNames)&gt;0))&lt;SUMPRODUCT((nrInstrNames&lt;&gt;"")*ISNUMBER(SEARCH(nrInstrNames,$I8))),"NOT IN BANK","OK"))))</f>
        <v/>
      </c>
    </row>
    <row r="9">
      <c r="B9" s="18" t="n"/>
      <c r="C9" s="17">
        <f>IF($B9="","",TEXT($B9,"ddd"))</f>
        <v/>
      </c>
      <c r="D9" s="41" t="n"/>
      <c r="E9" s="41" t="n"/>
      <c r="F9" s="17">
        <f>IF(OR($B9="",$D9="",$E9=""),"",ROUND(MOD($E9-$D9,1)*24,2))</f>
        <v/>
      </c>
      <c r="G9" s="16" t="n"/>
      <c r="H9" s="17">
        <f>IF($G9="","",IFERROR(_xlfn.XLOOKUP($G9,nrCHname,nrCHnum),IFERROR(_xlfn.XLOOKUP($G9,nrSUBname,nrSUBparent),"")))</f>
        <v/>
      </c>
      <c r="I9" s="16" t="n"/>
      <c r="J9" s="16" t="n"/>
      <c r="K9" s="17">
        <f>IF($B9="","",IFERROR(_xlfn.XLOOKUP($B9,nrCDdate,nrCDweek),""))</f>
        <v/>
      </c>
      <c r="L9" s="17">
        <f>IF($B9="","",IFERROR(_xlfn.XLOOKUP($B9,nrCDdate,nrCDnum),""))</f>
        <v/>
      </c>
      <c r="M9" s="16" t="n"/>
      <c r="N9" s="17">
        <f>IF(OR($B9="",$I9=""),"",_xlfn.LET(_xlpm.a,$I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9" s="17">
        <f>IF(OR($B9="",$D9="",$E9=""),"",IF($E9=$D9,"CHECK TIMES (start = end)",IF($F9&gt;12,"CHECK TIMES (End is before Start?)","OK")))</f>
        <v/>
      </c>
      <c r="P9" s="17">
        <f>IF(OR($B9="",$I9=""),"",IF(IFERROR(MATCH($G9,nrBankTopics,0),0)=0,"OK",IF(COUNTA(INDEX(nrBankGrid,IFERROR(MATCH($G9,nrBankTopics,0),1),0))=0,"OK",IF(SUMPRODUCT((nrInstrNames&lt;&gt;"")*ISNUMBER(SEARCH(nrInstrNames,$I9))*(COUNTIF(INDEX(nrBankGrid,IFERROR(MATCH($G9,nrBankTopics,0),1),0),nrInstrNames)&gt;0))&lt;SUMPRODUCT((nrInstrNames&lt;&gt;"")*ISNUMBER(SEARCH(nrInstrNames,$I9))),"NOT IN BANK","OK"))))</f>
        <v/>
      </c>
    </row>
    <row r="10">
      <c r="B10" s="18" t="n"/>
      <c r="C10" s="17">
        <f>IF($B10="","",TEXT($B10,"ddd"))</f>
        <v/>
      </c>
      <c r="D10" s="41" t="n"/>
      <c r="E10" s="41" t="n"/>
      <c r="F10" s="17">
        <f>IF(OR($B10="",$D10="",$E10=""),"",ROUND(MOD($E10-$D10,1)*24,2))</f>
        <v/>
      </c>
      <c r="G10" s="16" t="n"/>
      <c r="H10" s="17">
        <f>IF($G10="","",IFERROR(_xlfn.XLOOKUP($G10,nrCHname,nrCHnum),IFERROR(_xlfn.XLOOKUP($G10,nrSUBname,nrSUBparent),"")))</f>
        <v/>
      </c>
      <c r="I10" s="16" t="n"/>
      <c r="J10" s="16" t="n"/>
      <c r="K10" s="17">
        <f>IF($B10="","",IFERROR(_xlfn.XLOOKUP($B10,nrCDdate,nrCDweek),""))</f>
        <v/>
      </c>
      <c r="L10" s="17">
        <f>IF($B10="","",IFERROR(_xlfn.XLOOKUP($B10,nrCDdate,nrCDnum),""))</f>
        <v/>
      </c>
      <c r="M10" s="16" t="n"/>
      <c r="N10" s="17">
        <f>IF(OR($B10="",$I10=""),"",_xlfn.LET(_xlpm.a,$I10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0" s="17">
        <f>IF(OR($B10="",$D10="",$E10=""),"",IF($E10=$D10,"CHECK TIMES (start = end)",IF($F10&gt;12,"CHECK TIMES (End is before Start?)","OK")))</f>
        <v/>
      </c>
      <c r="P10" s="17">
        <f>IF(OR($B10="",$I10=""),"",IF(IFERROR(MATCH($G10,nrBankTopics,0),0)=0,"OK",IF(COUNTA(INDEX(nrBankGrid,IFERROR(MATCH($G10,nrBankTopics,0),1),0))=0,"OK",IF(SUMPRODUCT((nrInstrNames&lt;&gt;"")*ISNUMBER(SEARCH(nrInstrNames,$I10))*(COUNTIF(INDEX(nrBankGrid,IFERROR(MATCH($G10,nrBankTopics,0),1),0),nrInstrNames)&gt;0))&lt;SUMPRODUCT((nrInstrNames&lt;&gt;"")*ISNUMBER(SEARCH(nrInstrNames,$I10))),"NOT IN BANK","OK"))))</f>
        <v/>
      </c>
    </row>
    <row r="11">
      <c r="B11" s="18" t="n"/>
      <c r="C11" s="17">
        <f>IF($B11="","",TEXT($B11,"ddd"))</f>
        <v/>
      </c>
      <c r="D11" s="41" t="n"/>
      <c r="E11" s="41" t="n"/>
      <c r="F11" s="17">
        <f>IF(OR($B11="",$D11="",$E11=""),"",ROUND(MOD($E11-$D11,1)*24,2))</f>
        <v/>
      </c>
      <c r="G11" s="16" t="n"/>
      <c r="H11" s="17">
        <f>IF($G11="","",IFERROR(_xlfn.XLOOKUP($G11,nrCHname,nrCHnum),IFERROR(_xlfn.XLOOKUP($G11,nrSUBname,nrSUBparent),"")))</f>
        <v/>
      </c>
      <c r="I11" s="16" t="n"/>
      <c r="J11" s="16" t="n"/>
      <c r="K11" s="17">
        <f>IF($B11="","",IFERROR(_xlfn.XLOOKUP($B11,nrCDdate,nrCDweek),""))</f>
        <v/>
      </c>
      <c r="L11" s="17">
        <f>IF($B11="","",IFERROR(_xlfn.XLOOKUP($B11,nrCDdate,nrCDnum),""))</f>
        <v/>
      </c>
      <c r="M11" s="16" t="n"/>
      <c r="N11" s="17">
        <f>IF(OR($B11="",$I11=""),"",_xlfn.LET(_xlpm.a,$I11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1" s="17">
        <f>IF(OR($B11="",$D11="",$E11=""),"",IF($E11=$D11,"CHECK TIMES (start = end)",IF($F11&gt;12,"CHECK TIMES (End is before Start?)","OK")))</f>
        <v/>
      </c>
      <c r="P11" s="17">
        <f>IF(OR($B11="",$I11=""),"",IF(IFERROR(MATCH($G11,nrBankTopics,0),0)=0,"OK",IF(COUNTA(INDEX(nrBankGrid,IFERROR(MATCH($G11,nrBankTopics,0),1),0))=0,"OK",IF(SUMPRODUCT((nrInstrNames&lt;&gt;"")*ISNUMBER(SEARCH(nrInstrNames,$I11))*(COUNTIF(INDEX(nrBankGrid,IFERROR(MATCH($G11,nrBankTopics,0),1),0),nrInstrNames)&gt;0))&lt;SUMPRODUCT((nrInstrNames&lt;&gt;"")*ISNUMBER(SEARCH(nrInstrNames,$I11))),"NOT IN BANK","OK"))))</f>
        <v/>
      </c>
    </row>
    <row r="12">
      <c r="B12" s="18" t="n"/>
      <c r="C12" s="17">
        <f>IF($B12="","",TEXT($B12,"ddd"))</f>
        <v/>
      </c>
      <c r="D12" s="41" t="n"/>
      <c r="E12" s="41" t="n"/>
      <c r="F12" s="17">
        <f>IF(OR($B12="",$D12="",$E12=""),"",ROUND(MOD($E12-$D12,1)*24,2))</f>
        <v/>
      </c>
      <c r="G12" s="16" t="n"/>
      <c r="H12" s="17">
        <f>IF($G12="","",IFERROR(_xlfn.XLOOKUP($G12,nrCHname,nrCHnum),IFERROR(_xlfn.XLOOKUP($G12,nrSUBname,nrSUBparent),"")))</f>
        <v/>
      </c>
      <c r="I12" s="16" t="n"/>
      <c r="J12" s="16" t="n"/>
      <c r="K12" s="17">
        <f>IF($B12="","",IFERROR(_xlfn.XLOOKUP($B12,nrCDdate,nrCDweek),""))</f>
        <v/>
      </c>
      <c r="L12" s="17">
        <f>IF($B12="","",IFERROR(_xlfn.XLOOKUP($B12,nrCDdate,nrCDnum),""))</f>
        <v/>
      </c>
      <c r="M12" s="16" t="n"/>
      <c r="N12" s="17">
        <f>IF(OR($B12="",$I12=""),"",_xlfn.LET(_xlpm.a,$I12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2" s="17">
        <f>IF(OR($B12="",$D12="",$E12=""),"",IF($E12=$D12,"CHECK TIMES (start = end)",IF($F12&gt;12,"CHECK TIMES (End is before Start?)","OK")))</f>
        <v/>
      </c>
      <c r="P12" s="17">
        <f>IF(OR($B12="",$I12=""),"",IF(IFERROR(MATCH($G12,nrBankTopics,0),0)=0,"OK",IF(COUNTA(INDEX(nrBankGrid,IFERROR(MATCH($G12,nrBankTopics,0),1),0))=0,"OK",IF(SUMPRODUCT((nrInstrNames&lt;&gt;"")*ISNUMBER(SEARCH(nrInstrNames,$I12))*(COUNTIF(INDEX(nrBankGrid,IFERROR(MATCH($G12,nrBankTopics,0),1),0),nrInstrNames)&gt;0))&lt;SUMPRODUCT((nrInstrNames&lt;&gt;"")*ISNUMBER(SEARCH(nrInstrNames,$I12))),"NOT IN BANK","OK"))))</f>
        <v/>
      </c>
    </row>
    <row r="13">
      <c r="B13" s="18" t="n"/>
      <c r="C13" s="17">
        <f>IF($B13="","",TEXT($B13,"ddd"))</f>
        <v/>
      </c>
      <c r="D13" s="41" t="n"/>
      <c r="E13" s="41" t="n"/>
      <c r="F13" s="17">
        <f>IF(OR($B13="",$D13="",$E13=""),"",ROUND(MOD($E13-$D13,1)*24,2))</f>
        <v/>
      </c>
      <c r="G13" s="16" t="n"/>
      <c r="H13" s="17">
        <f>IF($G13="","",IFERROR(_xlfn.XLOOKUP($G13,nrCHname,nrCHnum),IFERROR(_xlfn.XLOOKUP($G13,nrSUBname,nrSUBparent),"")))</f>
        <v/>
      </c>
      <c r="I13" s="16" t="n"/>
      <c r="J13" s="16" t="n"/>
      <c r="K13" s="17">
        <f>IF($B13="","",IFERROR(_xlfn.XLOOKUP($B13,nrCDdate,nrCDweek),""))</f>
        <v/>
      </c>
      <c r="L13" s="17">
        <f>IF($B13="","",IFERROR(_xlfn.XLOOKUP($B13,nrCDdate,nrCDnum),""))</f>
        <v/>
      </c>
      <c r="M13" s="16" t="n"/>
      <c r="N13" s="17">
        <f>IF(OR($B13="",$I13=""),"",_xlfn.LET(_xlpm.a,$I13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3" s="17">
        <f>IF(OR($B13="",$D13="",$E13=""),"",IF($E13=$D13,"CHECK TIMES (start = end)",IF($F13&gt;12,"CHECK TIMES (End is before Start?)","OK")))</f>
        <v/>
      </c>
      <c r="P13" s="17">
        <f>IF(OR($B13="",$I13=""),"",IF(IFERROR(MATCH($G13,nrBankTopics,0),0)=0,"OK",IF(COUNTA(INDEX(nrBankGrid,IFERROR(MATCH($G13,nrBankTopics,0),1),0))=0,"OK",IF(SUMPRODUCT((nrInstrNames&lt;&gt;"")*ISNUMBER(SEARCH(nrInstrNames,$I13))*(COUNTIF(INDEX(nrBankGrid,IFERROR(MATCH($G13,nrBankTopics,0),1),0),nrInstrNames)&gt;0))&lt;SUMPRODUCT((nrInstrNames&lt;&gt;"")*ISNUMBER(SEARCH(nrInstrNames,$I13))),"NOT IN BANK","OK"))))</f>
        <v/>
      </c>
    </row>
    <row r="14">
      <c r="B14" s="18" t="n"/>
      <c r="C14" s="17">
        <f>IF($B14="","",TEXT($B14,"ddd"))</f>
        <v/>
      </c>
      <c r="D14" s="41" t="n"/>
      <c r="E14" s="41" t="n"/>
      <c r="F14" s="17">
        <f>IF(OR($B14="",$D14="",$E14=""),"",ROUND(MOD($E14-$D14,1)*24,2))</f>
        <v/>
      </c>
      <c r="G14" s="16" t="n"/>
      <c r="H14" s="17">
        <f>IF($G14="","",IFERROR(_xlfn.XLOOKUP($G14,nrCHname,nrCHnum),IFERROR(_xlfn.XLOOKUP($G14,nrSUBname,nrSUBparent),"")))</f>
        <v/>
      </c>
      <c r="I14" s="16" t="n"/>
      <c r="J14" s="16" t="n"/>
      <c r="K14" s="17">
        <f>IF($B14="","",IFERROR(_xlfn.XLOOKUP($B14,nrCDdate,nrCDweek),""))</f>
        <v/>
      </c>
      <c r="L14" s="17">
        <f>IF($B14="","",IFERROR(_xlfn.XLOOKUP($B14,nrCDdate,nrCDnum),""))</f>
        <v/>
      </c>
      <c r="M14" s="16" t="n"/>
      <c r="N14" s="17">
        <f>IF(OR($B14="",$I14=""),"",_xlfn.LET(_xlpm.a,$I14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4" s="17">
        <f>IF(OR($B14="",$D14="",$E14=""),"",IF($E14=$D14,"CHECK TIMES (start = end)",IF($F14&gt;12,"CHECK TIMES (End is before Start?)","OK")))</f>
        <v/>
      </c>
      <c r="P14" s="17">
        <f>IF(OR($B14="",$I14=""),"",IF(IFERROR(MATCH($G14,nrBankTopics,0),0)=0,"OK",IF(COUNTA(INDEX(nrBankGrid,IFERROR(MATCH($G14,nrBankTopics,0),1),0))=0,"OK",IF(SUMPRODUCT((nrInstrNames&lt;&gt;"")*ISNUMBER(SEARCH(nrInstrNames,$I14))*(COUNTIF(INDEX(nrBankGrid,IFERROR(MATCH($G14,nrBankTopics,0),1),0),nrInstrNames)&gt;0))&lt;SUMPRODUCT((nrInstrNames&lt;&gt;"")*ISNUMBER(SEARCH(nrInstrNames,$I14))),"NOT IN BANK","OK"))))</f>
        <v/>
      </c>
    </row>
    <row r="15">
      <c r="B15" s="18" t="n"/>
      <c r="C15" s="17">
        <f>IF($B15="","",TEXT($B15,"ddd"))</f>
        <v/>
      </c>
      <c r="D15" s="41" t="n"/>
      <c r="E15" s="41" t="n"/>
      <c r="F15" s="17">
        <f>IF(OR($B15="",$D15="",$E15=""),"",ROUND(MOD($E15-$D15,1)*24,2))</f>
        <v/>
      </c>
      <c r="G15" s="16" t="n"/>
      <c r="H15" s="17">
        <f>IF($G15="","",IFERROR(_xlfn.XLOOKUP($G15,nrCHname,nrCHnum),IFERROR(_xlfn.XLOOKUP($G15,nrSUBname,nrSUBparent),"")))</f>
        <v/>
      </c>
      <c r="I15" s="16" t="n"/>
      <c r="J15" s="16" t="n"/>
      <c r="K15" s="17">
        <f>IF($B15="","",IFERROR(_xlfn.XLOOKUP($B15,nrCDdate,nrCDweek),""))</f>
        <v/>
      </c>
      <c r="L15" s="17">
        <f>IF($B15="","",IFERROR(_xlfn.XLOOKUP($B15,nrCDdate,nrCDnum),""))</f>
        <v/>
      </c>
      <c r="M15" s="16" t="n"/>
      <c r="N15" s="17">
        <f>IF(OR($B15="",$I15=""),"",_xlfn.LET(_xlpm.a,$I15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5" s="17">
        <f>IF(OR($B15="",$D15="",$E15=""),"",IF($E15=$D15,"CHECK TIMES (start = end)",IF($F15&gt;12,"CHECK TIMES (End is before Start?)","OK")))</f>
        <v/>
      </c>
      <c r="P15" s="17">
        <f>IF(OR($B15="",$I15=""),"",IF(IFERROR(MATCH($G15,nrBankTopics,0),0)=0,"OK",IF(COUNTA(INDEX(nrBankGrid,IFERROR(MATCH($G15,nrBankTopics,0),1),0))=0,"OK",IF(SUMPRODUCT((nrInstrNames&lt;&gt;"")*ISNUMBER(SEARCH(nrInstrNames,$I15))*(COUNTIF(INDEX(nrBankGrid,IFERROR(MATCH($G15,nrBankTopics,0),1),0),nrInstrNames)&gt;0))&lt;SUMPRODUCT((nrInstrNames&lt;&gt;"")*ISNUMBER(SEARCH(nrInstrNames,$I15))),"NOT IN BANK","OK"))))</f>
        <v/>
      </c>
    </row>
    <row r="16">
      <c r="B16" s="18" t="n"/>
      <c r="C16" s="17">
        <f>IF($B16="","",TEXT($B16,"ddd"))</f>
        <v/>
      </c>
      <c r="D16" s="41" t="n"/>
      <c r="E16" s="41" t="n"/>
      <c r="F16" s="17">
        <f>IF(OR($B16="",$D16="",$E16=""),"",ROUND(MOD($E16-$D16,1)*24,2))</f>
        <v/>
      </c>
      <c r="G16" s="16" t="n"/>
      <c r="H16" s="17">
        <f>IF($G16="","",IFERROR(_xlfn.XLOOKUP($G16,nrCHname,nrCHnum),IFERROR(_xlfn.XLOOKUP($G16,nrSUBname,nrSUBparent),"")))</f>
        <v/>
      </c>
      <c r="I16" s="16" t="n"/>
      <c r="J16" s="16" t="n"/>
      <c r="K16" s="17">
        <f>IF($B16="","",IFERROR(_xlfn.XLOOKUP($B16,nrCDdate,nrCDweek),""))</f>
        <v/>
      </c>
      <c r="L16" s="17">
        <f>IF($B16="","",IFERROR(_xlfn.XLOOKUP($B16,nrCDdate,nrCDnum),""))</f>
        <v/>
      </c>
      <c r="M16" s="16" t="n"/>
      <c r="N16" s="17">
        <f>IF(OR($B16="",$I16=""),"",_xlfn.LET(_xlpm.a,$I16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6" s="17">
        <f>IF(OR($B16="",$D16="",$E16=""),"",IF($E16=$D16,"CHECK TIMES (start = end)",IF($F16&gt;12,"CHECK TIMES (End is before Start?)","OK")))</f>
        <v/>
      </c>
      <c r="P16" s="17">
        <f>IF(OR($B16="",$I16=""),"",IF(IFERROR(MATCH($G16,nrBankTopics,0),0)=0,"OK",IF(COUNTA(INDEX(nrBankGrid,IFERROR(MATCH($G16,nrBankTopics,0),1),0))=0,"OK",IF(SUMPRODUCT((nrInstrNames&lt;&gt;"")*ISNUMBER(SEARCH(nrInstrNames,$I16))*(COUNTIF(INDEX(nrBankGrid,IFERROR(MATCH($G16,nrBankTopics,0),1),0),nrInstrNames)&gt;0))&lt;SUMPRODUCT((nrInstrNames&lt;&gt;"")*ISNUMBER(SEARCH(nrInstrNames,$I16))),"NOT IN BANK","OK"))))</f>
        <v/>
      </c>
    </row>
    <row r="17">
      <c r="B17" s="18" t="n"/>
      <c r="C17" s="17">
        <f>IF($B17="","",TEXT($B17,"ddd"))</f>
        <v/>
      </c>
      <c r="D17" s="41" t="n"/>
      <c r="E17" s="41" t="n"/>
      <c r="F17" s="17">
        <f>IF(OR($B17="",$D17="",$E17=""),"",ROUND(MOD($E17-$D17,1)*24,2))</f>
        <v/>
      </c>
      <c r="G17" s="16" t="n"/>
      <c r="H17" s="17">
        <f>IF($G17="","",IFERROR(_xlfn.XLOOKUP($G17,nrCHname,nrCHnum),IFERROR(_xlfn.XLOOKUP($G17,nrSUBname,nrSUBparent),"")))</f>
        <v/>
      </c>
      <c r="I17" s="16" t="n"/>
      <c r="J17" s="16" t="n"/>
      <c r="K17" s="17">
        <f>IF($B17="","",IFERROR(_xlfn.XLOOKUP($B17,nrCDdate,nrCDweek),""))</f>
        <v/>
      </c>
      <c r="L17" s="17">
        <f>IF($B17="","",IFERROR(_xlfn.XLOOKUP($B17,nrCDdate,nrCDnum),""))</f>
        <v/>
      </c>
      <c r="M17" s="16" t="n"/>
      <c r="N17" s="17">
        <f>IF(OR($B17="",$I17=""),"",_xlfn.LET(_xlpm.a,$I17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7" s="17">
        <f>IF(OR($B17="",$D17="",$E17=""),"",IF($E17=$D17,"CHECK TIMES (start = end)",IF($F17&gt;12,"CHECK TIMES (End is before Start?)","OK")))</f>
        <v/>
      </c>
      <c r="P17" s="17">
        <f>IF(OR($B17="",$I17=""),"",IF(IFERROR(MATCH($G17,nrBankTopics,0),0)=0,"OK",IF(COUNTA(INDEX(nrBankGrid,IFERROR(MATCH($G17,nrBankTopics,0),1),0))=0,"OK",IF(SUMPRODUCT((nrInstrNames&lt;&gt;"")*ISNUMBER(SEARCH(nrInstrNames,$I17))*(COUNTIF(INDEX(nrBankGrid,IFERROR(MATCH($G17,nrBankTopics,0),1),0),nrInstrNames)&gt;0))&lt;SUMPRODUCT((nrInstrNames&lt;&gt;"")*ISNUMBER(SEARCH(nrInstrNames,$I17))),"NOT IN BANK","OK"))))</f>
        <v/>
      </c>
    </row>
    <row r="18">
      <c r="B18" s="18" t="n"/>
      <c r="C18" s="17">
        <f>IF($B18="","",TEXT($B18,"ddd"))</f>
        <v/>
      </c>
      <c r="D18" s="41" t="n"/>
      <c r="E18" s="41" t="n"/>
      <c r="F18" s="17">
        <f>IF(OR($B18="",$D18="",$E18=""),"",ROUND(MOD($E18-$D18,1)*24,2))</f>
        <v/>
      </c>
      <c r="G18" s="16" t="n"/>
      <c r="H18" s="17">
        <f>IF($G18="","",IFERROR(_xlfn.XLOOKUP($G18,nrCHname,nrCHnum),IFERROR(_xlfn.XLOOKUP($G18,nrSUBname,nrSUBparent),"")))</f>
        <v/>
      </c>
      <c r="I18" s="16" t="n"/>
      <c r="J18" s="16" t="n"/>
      <c r="K18" s="17">
        <f>IF($B18="","",IFERROR(_xlfn.XLOOKUP($B18,nrCDdate,nrCDweek),""))</f>
        <v/>
      </c>
      <c r="L18" s="17">
        <f>IF($B18="","",IFERROR(_xlfn.XLOOKUP($B18,nrCDdate,nrCDnum),""))</f>
        <v/>
      </c>
      <c r="M18" s="16" t="n"/>
      <c r="N18" s="17">
        <f>IF(OR($B18="",$I18=""),"",_xlfn.LET(_xlpm.a,$I18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8" s="17">
        <f>IF(OR($B18="",$D18="",$E18=""),"",IF($E18=$D18,"CHECK TIMES (start = end)",IF($F18&gt;12,"CHECK TIMES (End is before Start?)","OK")))</f>
        <v/>
      </c>
      <c r="P18" s="17">
        <f>IF(OR($B18="",$I18=""),"",IF(IFERROR(MATCH($G18,nrBankTopics,0),0)=0,"OK",IF(COUNTA(INDEX(nrBankGrid,IFERROR(MATCH($G18,nrBankTopics,0),1),0))=0,"OK",IF(SUMPRODUCT((nrInstrNames&lt;&gt;"")*ISNUMBER(SEARCH(nrInstrNames,$I18))*(COUNTIF(INDEX(nrBankGrid,IFERROR(MATCH($G18,nrBankTopics,0),1),0),nrInstrNames)&gt;0))&lt;SUMPRODUCT((nrInstrNames&lt;&gt;"")*ISNUMBER(SEARCH(nrInstrNames,$I18))),"NOT IN BANK","OK"))))</f>
        <v/>
      </c>
    </row>
    <row r="19">
      <c r="B19" s="18" t="n"/>
      <c r="C19" s="17">
        <f>IF($B19="","",TEXT($B19,"ddd"))</f>
        <v/>
      </c>
      <c r="D19" s="41" t="n"/>
      <c r="E19" s="41" t="n"/>
      <c r="F19" s="17">
        <f>IF(OR($B19="",$D19="",$E19=""),"",ROUND(MOD($E19-$D19,1)*24,2))</f>
        <v/>
      </c>
      <c r="G19" s="16" t="n"/>
      <c r="H19" s="17">
        <f>IF($G19="","",IFERROR(_xlfn.XLOOKUP($G19,nrCHname,nrCHnum),IFERROR(_xlfn.XLOOKUP($G19,nrSUBname,nrSUBparent),"")))</f>
        <v/>
      </c>
      <c r="I19" s="16" t="n"/>
      <c r="J19" s="16" t="n"/>
      <c r="K19" s="17">
        <f>IF($B19="","",IFERROR(_xlfn.XLOOKUP($B19,nrCDdate,nrCDweek),""))</f>
        <v/>
      </c>
      <c r="L19" s="17">
        <f>IF($B19="","",IFERROR(_xlfn.XLOOKUP($B19,nrCDdate,nrCDnum),""))</f>
        <v/>
      </c>
      <c r="M19" s="16" t="n"/>
      <c r="N19" s="17">
        <f>IF(OR($B19="",$I19=""),"",_xlfn.LET(_xlpm.a,$I19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9" s="17">
        <f>IF(OR($B19="",$D19="",$E19=""),"",IF($E19=$D19,"CHECK TIMES (start = end)",IF($F19&gt;12,"CHECK TIMES (End is before Start?)","OK")))</f>
        <v/>
      </c>
      <c r="P19" s="17">
        <f>IF(OR($B19="",$I19=""),"",IF(IFERROR(MATCH($G19,nrBankTopics,0),0)=0,"OK",IF(COUNTA(INDEX(nrBankGrid,IFERROR(MATCH($G19,nrBankTopics,0),1),0))=0,"OK",IF(SUMPRODUCT((nrInstrNames&lt;&gt;"")*ISNUMBER(SEARCH(nrInstrNames,$I19))*(COUNTIF(INDEX(nrBankGrid,IFERROR(MATCH($G19,nrBankTopics,0),1),0),nrInstrNames)&gt;0))&lt;SUMPRODUCT((nrInstrNames&lt;&gt;"")*ISNUMBER(SEARCH(nrInstrNames,$I19))),"NOT IN BANK","OK"))))</f>
        <v/>
      </c>
    </row>
    <row r="20">
      <c r="B20" s="18" t="n"/>
      <c r="C20" s="17">
        <f>IF($B20="","",TEXT($B20,"ddd"))</f>
        <v/>
      </c>
      <c r="D20" s="41" t="n"/>
      <c r="E20" s="41" t="n"/>
      <c r="F20" s="17">
        <f>IF(OR($B20="",$D20="",$E20=""),"",ROUND(MOD($E20-$D20,1)*24,2))</f>
        <v/>
      </c>
      <c r="G20" s="16" t="n"/>
      <c r="H20" s="17">
        <f>IF($G20="","",IFERROR(_xlfn.XLOOKUP($G20,nrCHname,nrCHnum),IFERROR(_xlfn.XLOOKUP($G20,nrSUBname,nrSUBparent),"")))</f>
        <v/>
      </c>
      <c r="I20" s="16" t="n"/>
      <c r="J20" s="16" t="n"/>
      <c r="K20" s="17">
        <f>IF($B20="","",IFERROR(_xlfn.XLOOKUP($B20,nrCDdate,nrCDweek),""))</f>
        <v/>
      </c>
      <c r="L20" s="17">
        <f>IF($B20="","",IFERROR(_xlfn.XLOOKUP($B20,nrCDdate,nrCDnum),""))</f>
        <v/>
      </c>
      <c r="M20" s="16" t="n"/>
      <c r="N20" s="17">
        <f>IF(OR($B20="",$I20=""),"",_xlfn.LET(_xlpm.a,$I20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0" s="17">
        <f>IF(OR($B20="",$D20="",$E20=""),"",IF($E20=$D20,"CHECK TIMES (start = end)",IF($F20&gt;12,"CHECK TIMES (End is before Start?)","OK")))</f>
        <v/>
      </c>
      <c r="P20" s="17">
        <f>IF(OR($B20="",$I20=""),"",IF(IFERROR(MATCH($G20,nrBankTopics,0),0)=0,"OK",IF(COUNTA(INDEX(nrBankGrid,IFERROR(MATCH($G20,nrBankTopics,0),1),0))=0,"OK",IF(SUMPRODUCT((nrInstrNames&lt;&gt;"")*ISNUMBER(SEARCH(nrInstrNames,$I20))*(COUNTIF(INDEX(nrBankGrid,IFERROR(MATCH($G20,nrBankTopics,0),1),0),nrInstrNames)&gt;0))&lt;SUMPRODUCT((nrInstrNames&lt;&gt;"")*ISNUMBER(SEARCH(nrInstrNames,$I20))),"NOT IN BANK","OK"))))</f>
        <v/>
      </c>
    </row>
    <row r="21">
      <c r="B21" s="18" t="n"/>
      <c r="C21" s="17">
        <f>IF($B21="","",TEXT($B21,"ddd"))</f>
        <v/>
      </c>
      <c r="D21" s="41" t="n"/>
      <c r="E21" s="41" t="n"/>
      <c r="F21" s="17">
        <f>IF(OR($B21="",$D21="",$E21=""),"",ROUND(MOD($E21-$D21,1)*24,2))</f>
        <v/>
      </c>
      <c r="G21" s="16" t="n"/>
      <c r="H21" s="17">
        <f>IF($G21="","",IFERROR(_xlfn.XLOOKUP($G21,nrCHname,nrCHnum),IFERROR(_xlfn.XLOOKUP($G21,nrSUBname,nrSUBparent),"")))</f>
        <v/>
      </c>
      <c r="I21" s="16" t="n"/>
      <c r="J21" s="16" t="n"/>
      <c r="K21" s="17">
        <f>IF($B21="","",IFERROR(_xlfn.XLOOKUP($B21,nrCDdate,nrCDweek),""))</f>
        <v/>
      </c>
      <c r="L21" s="17">
        <f>IF($B21="","",IFERROR(_xlfn.XLOOKUP($B21,nrCDdate,nrCDnum),""))</f>
        <v/>
      </c>
      <c r="M21" s="16" t="n"/>
      <c r="N21" s="17">
        <f>IF(OR($B21="",$I21=""),"",_xlfn.LET(_xlpm.a,$I21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1" s="17">
        <f>IF(OR($B21="",$D21="",$E21=""),"",IF($E21=$D21,"CHECK TIMES (start = end)",IF($F21&gt;12,"CHECK TIMES (End is before Start?)","OK")))</f>
        <v/>
      </c>
      <c r="P21" s="17">
        <f>IF(OR($B21="",$I21=""),"",IF(IFERROR(MATCH($G21,nrBankTopics,0),0)=0,"OK",IF(COUNTA(INDEX(nrBankGrid,IFERROR(MATCH($G21,nrBankTopics,0),1),0))=0,"OK",IF(SUMPRODUCT((nrInstrNames&lt;&gt;"")*ISNUMBER(SEARCH(nrInstrNames,$I21))*(COUNTIF(INDEX(nrBankGrid,IFERROR(MATCH($G21,nrBankTopics,0),1),0),nrInstrNames)&gt;0))&lt;SUMPRODUCT((nrInstrNames&lt;&gt;"")*ISNUMBER(SEARCH(nrInstrNames,$I21))),"NOT IN BANK","OK"))))</f>
        <v/>
      </c>
    </row>
    <row r="22">
      <c r="B22" s="18" t="n"/>
      <c r="C22" s="17">
        <f>IF($B22="","",TEXT($B22,"ddd"))</f>
        <v/>
      </c>
      <c r="D22" s="41" t="n"/>
      <c r="E22" s="41" t="n"/>
      <c r="F22" s="17">
        <f>IF(OR($B22="",$D22="",$E22=""),"",ROUND(MOD($E22-$D22,1)*24,2))</f>
        <v/>
      </c>
      <c r="G22" s="16" t="n"/>
      <c r="H22" s="17">
        <f>IF($G22="","",IFERROR(_xlfn.XLOOKUP($G22,nrCHname,nrCHnum),IFERROR(_xlfn.XLOOKUP($G22,nrSUBname,nrSUBparent),"")))</f>
        <v/>
      </c>
      <c r="I22" s="16" t="n"/>
      <c r="J22" s="16" t="n"/>
      <c r="K22" s="17">
        <f>IF($B22="","",IFERROR(_xlfn.XLOOKUP($B22,nrCDdate,nrCDweek),""))</f>
        <v/>
      </c>
      <c r="L22" s="17">
        <f>IF($B22="","",IFERROR(_xlfn.XLOOKUP($B22,nrCDdate,nrCDnum),""))</f>
        <v/>
      </c>
      <c r="M22" s="16" t="n"/>
      <c r="N22" s="17">
        <f>IF(OR($B22="",$I22=""),"",_xlfn.LET(_xlpm.a,$I22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2" s="17">
        <f>IF(OR($B22="",$D22="",$E22=""),"",IF($E22=$D22,"CHECK TIMES (start = end)",IF($F22&gt;12,"CHECK TIMES (End is before Start?)","OK")))</f>
        <v/>
      </c>
      <c r="P22" s="17">
        <f>IF(OR($B22="",$I22=""),"",IF(IFERROR(MATCH($G22,nrBankTopics,0),0)=0,"OK",IF(COUNTA(INDEX(nrBankGrid,IFERROR(MATCH($G22,nrBankTopics,0),1),0))=0,"OK",IF(SUMPRODUCT((nrInstrNames&lt;&gt;"")*ISNUMBER(SEARCH(nrInstrNames,$I22))*(COUNTIF(INDEX(nrBankGrid,IFERROR(MATCH($G22,nrBankTopics,0),1),0),nrInstrNames)&gt;0))&lt;SUMPRODUCT((nrInstrNames&lt;&gt;"")*ISNUMBER(SEARCH(nrInstrNames,$I22))),"NOT IN BANK","OK"))))</f>
        <v/>
      </c>
    </row>
    <row r="23">
      <c r="B23" s="18" t="n"/>
      <c r="C23" s="17">
        <f>IF($B23="","",TEXT($B23,"ddd"))</f>
        <v/>
      </c>
      <c r="D23" s="41" t="n"/>
      <c r="E23" s="41" t="n"/>
      <c r="F23" s="17">
        <f>IF(OR($B23="",$D23="",$E23=""),"",ROUND(MOD($E23-$D23,1)*24,2))</f>
        <v/>
      </c>
      <c r="G23" s="16" t="n"/>
      <c r="H23" s="17">
        <f>IF($G23="","",IFERROR(_xlfn.XLOOKUP($G23,nrCHname,nrCHnum),IFERROR(_xlfn.XLOOKUP($G23,nrSUBname,nrSUBparent),"")))</f>
        <v/>
      </c>
      <c r="I23" s="16" t="n"/>
      <c r="J23" s="16" t="n"/>
      <c r="K23" s="17">
        <f>IF($B23="","",IFERROR(_xlfn.XLOOKUP($B23,nrCDdate,nrCDweek),""))</f>
        <v/>
      </c>
      <c r="L23" s="17">
        <f>IF($B23="","",IFERROR(_xlfn.XLOOKUP($B23,nrCDdate,nrCDnum),""))</f>
        <v/>
      </c>
      <c r="M23" s="16" t="n"/>
      <c r="N23" s="17">
        <f>IF(OR($B23="",$I23=""),"",_xlfn.LET(_xlpm.a,$I23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3" s="17">
        <f>IF(OR($B23="",$D23="",$E23=""),"",IF($E23=$D23,"CHECK TIMES (start = end)",IF($F23&gt;12,"CHECK TIMES (End is before Start?)","OK")))</f>
        <v/>
      </c>
      <c r="P23" s="17">
        <f>IF(OR($B23="",$I23=""),"",IF(IFERROR(MATCH($G23,nrBankTopics,0),0)=0,"OK",IF(COUNTA(INDEX(nrBankGrid,IFERROR(MATCH($G23,nrBankTopics,0),1),0))=0,"OK",IF(SUMPRODUCT((nrInstrNames&lt;&gt;"")*ISNUMBER(SEARCH(nrInstrNames,$I23))*(COUNTIF(INDEX(nrBankGrid,IFERROR(MATCH($G23,nrBankTopics,0),1),0),nrInstrNames)&gt;0))&lt;SUMPRODUCT((nrInstrNames&lt;&gt;"")*ISNUMBER(SEARCH(nrInstrNames,$I23))),"NOT IN BANK","OK"))))</f>
        <v/>
      </c>
    </row>
    <row r="24">
      <c r="B24" s="18" t="n"/>
      <c r="C24" s="17">
        <f>IF($B24="","",TEXT($B24,"ddd"))</f>
        <v/>
      </c>
      <c r="D24" s="41" t="n"/>
      <c r="E24" s="41" t="n"/>
      <c r="F24" s="17">
        <f>IF(OR($B24="",$D24="",$E24=""),"",ROUND(MOD($E24-$D24,1)*24,2))</f>
        <v/>
      </c>
      <c r="G24" s="16" t="n"/>
      <c r="H24" s="17">
        <f>IF($G24="","",IFERROR(_xlfn.XLOOKUP($G24,nrCHname,nrCHnum),IFERROR(_xlfn.XLOOKUP($G24,nrSUBname,nrSUBparent),"")))</f>
        <v/>
      </c>
      <c r="I24" s="16" t="n"/>
      <c r="J24" s="16" t="n"/>
      <c r="K24" s="17">
        <f>IF($B24="","",IFERROR(_xlfn.XLOOKUP($B24,nrCDdate,nrCDweek),""))</f>
        <v/>
      </c>
      <c r="L24" s="17">
        <f>IF($B24="","",IFERROR(_xlfn.XLOOKUP($B24,nrCDdate,nrCDnum),""))</f>
        <v/>
      </c>
      <c r="M24" s="16" t="n"/>
      <c r="N24" s="17">
        <f>IF(OR($B24="",$I24=""),"",_xlfn.LET(_xlpm.a,$I24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4" s="17">
        <f>IF(OR($B24="",$D24="",$E24=""),"",IF($E24=$D24,"CHECK TIMES (start = end)",IF($F24&gt;12,"CHECK TIMES (End is before Start?)","OK")))</f>
        <v/>
      </c>
      <c r="P24" s="17">
        <f>IF(OR($B24="",$I24=""),"",IF(IFERROR(MATCH($G24,nrBankTopics,0),0)=0,"OK",IF(COUNTA(INDEX(nrBankGrid,IFERROR(MATCH($G24,nrBankTopics,0),1),0))=0,"OK",IF(SUMPRODUCT((nrInstrNames&lt;&gt;"")*ISNUMBER(SEARCH(nrInstrNames,$I24))*(COUNTIF(INDEX(nrBankGrid,IFERROR(MATCH($G24,nrBankTopics,0),1),0),nrInstrNames)&gt;0))&lt;SUMPRODUCT((nrInstrNames&lt;&gt;"")*ISNUMBER(SEARCH(nrInstrNames,$I24))),"NOT IN BANK","OK"))))</f>
        <v/>
      </c>
    </row>
    <row r="25">
      <c r="B25" s="18" t="n"/>
      <c r="C25" s="17">
        <f>IF($B25="","",TEXT($B25,"ddd"))</f>
        <v/>
      </c>
      <c r="D25" s="41" t="n"/>
      <c r="E25" s="41" t="n"/>
      <c r="F25" s="17">
        <f>IF(OR($B25="",$D25="",$E25=""),"",ROUND(MOD($E25-$D25,1)*24,2))</f>
        <v/>
      </c>
      <c r="G25" s="16" t="n"/>
      <c r="H25" s="17">
        <f>IF($G25="","",IFERROR(_xlfn.XLOOKUP($G25,nrCHname,nrCHnum),IFERROR(_xlfn.XLOOKUP($G25,nrSUBname,nrSUBparent),"")))</f>
        <v/>
      </c>
      <c r="I25" s="16" t="n"/>
      <c r="J25" s="16" t="n"/>
      <c r="K25" s="17">
        <f>IF($B25="","",IFERROR(_xlfn.XLOOKUP($B25,nrCDdate,nrCDweek),""))</f>
        <v/>
      </c>
      <c r="L25" s="17">
        <f>IF($B25="","",IFERROR(_xlfn.XLOOKUP($B25,nrCDdate,nrCDnum),""))</f>
        <v/>
      </c>
      <c r="M25" s="16" t="n"/>
      <c r="N25" s="17">
        <f>IF(OR($B25="",$I25=""),"",_xlfn.LET(_xlpm.a,$I25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5" s="17">
        <f>IF(OR($B25="",$D25="",$E25=""),"",IF($E25=$D25,"CHECK TIMES (start = end)",IF($F25&gt;12,"CHECK TIMES (End is before Start?)","OK")))</f>
        <v/>
      </c>
      <c r="P25" s="17">
        <f>IF(OR($B25="",$I25=""),"",IF(IFERROR(MATCH($G25,nrBankTopics,0),0)=0,"OK",IF(COUNTA(INDEX(nrBankGrid,IFERROR(MATCH($G25,nrBankTopics,0),1),0))=0,"OK",IF(SUMPRODUCT((nrInstrNames&lt;&gt;"")*ISNUMBER(SEARCH(nrInstrNames,$I25))*(COUNTIF(INDEX(nrBankGrid,IFERROR(MATCH($G25,nrBankTopics,0),1),0),nrInstrNames)&gt;0))&lt;SUMPRODUCT((nrInstrNames&lt;&gt;"")*ISNUMBER(SEARCH(nrInstrNames,$I25))),"NOT IN BANK","OK"))))</f>
        <v/>
      </c>
    </row>
    <row r="26">
      <c r="B26" s="18" t="n"/>
      <c r="C26" s="17">
        <f>IF($B26="","",TEXT($B26,"ddd"))</f>
        <v/>
      </c>
      <c r="D26" s="41" t="n"/>
      <c r="E26" s="41" t="n"/>
      <c r="F26" s="17">
        <f>IF(OR($B26="",$D26="",$E26=""),"",ROUND(MOD($E26-$D26,1)*24,2))</f>
        <v/>
      </c>
      <c r="G26" s="16" t="n"/>
      <c r="H26" s="17">
        <f>IF($G26="","",IFERROR(_xlfn.XLOOKUP($G26,nrCHname,nrCHnum),IFERROR(_xlfn.XLOOKUP($G26,nrSUBname,nrSUBparent),"")))</f>
        <v/>
      </c>
      <c r="I26" s="16" t="n"/>
      <c r="J26" s="16" t="n"/>
      <c r="K26" s="17">
        <f>IF($B26="","",IFERROR(_xlfn.XLOOKUP($B26,nrCDdate,nrCDweek),""))</f>
        <v/>
      </c>
      <c r="L26" s="17">
        <f>IF($B26="","",IFERROR(_xlfn.XLOOKUP($B26,nrCDdate,nrCDnum),""))</f>
        <v/>
      </c>
      <c r="M26" s="16" t="n"/>
      <c r="N26" s="17">
        <f>IF(OR($B26="",$I26=""),"",_xlfn.LET(_xlpm.a,$I26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6" s="17">
        <f>IF(OR($B26="",$D26="",$E26=""),"",IF($E26=$D26,"CHECK TIMES (start = end)",IF($F26&gt;12,"CHECK TIMES (End is before Start?)","OK")))</f>
        <v/>
      </c>
      <c r="P26" s="17">
        <f>IF(OR($B26="",$I26=""),"",IF(IFERROR(MATCH($G26,nrBankTopics,0),0)=0,"OK",IF(COUNTA(INDEX(nrBankGrid,IFERROR(MATCH($G26,nrBankTopics,0),1),0))=0,"OK",IF(SUMPRODUCT((nrInstrNames&lt;&gt;"")*ISNUMBER(SEARCH(nrInstrNames,$I26))*(COUNTIF(INDEX(nrBankGrid,IFERROR(MATCH($G26,nrBankTopics,0),1),0),nrInstrNames)&gt;0))&lt;SUMPRODUCT((nrInstrNames&lt;&gt;"")*ISNUMBER(SEARCH(nrInstrNames,$I26))),"NOT IN BANK","OK"))))</f>
        <v/>
      </c>
    </row>
    <row r="27">
      <c r="B27" s="18" t="n"/>
      <c r="C27" s="17">
        <f>IF($B27="","",TEXT($B27,"ddd"))</f>
        <v/>
      </c>
      <c r="D27" s="41" t="n"/>
      <c r="E27" s="41" t="n"/>
      <c r="F27" s="17">
        <f>IF(OR($B27="",$D27="",$E27=""),"",ROUND(MOD($E27-$D27,1)*24,2))</f>
        <v/>
      </c>
      <c r="G27" s="16" t="n"/>
      <c r="H27" s="17">
        <f>IF($G27="","",IFERROR(_xlfn.XLOOKUP($G27,nrCHname,nrCHnum),IFERROR(_xlfn.XLOOKUP($G27,nrSUBname,nrSUBparent),"")))</f>
        <v/>
      </c>
      <c r="I27" s="16" t="n"/>
      <c r="J27" s="16" t="n"/>
      <c r="K27" s="17">
        <f>IF($B27="","",IFERROR(_xlfn.XLOOKUP($B27,nrCDdate,nrCDweek),""))</f>
        <v/>
      </c>
      <c r="L27" s="17">
        <f>IF($B27="","",IFERROR(_xlfn.XLOOKUP($B27,nrCDdate,nrCDnum),""))</f>
        <v/>
      </c>
      <c r="M27" s="16" t="n"/>
      <c r="N27" s="17">
        <f>IF(OR($B27="",$I27=""),"",_xlfn.LET(_xlpm.a,$I27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7" s="17">
        <f>IF(OR($B27="",$D27="",$E27=""),"",IF($E27=$D27,"CHECK TIMES (start = end)",IF($F27&gt;12,"CHECK TIMES (End is before Start?)","OK")))</f>
        <v/>
      </c>
      <c r="P27" s="17">
        <f>IF(OR($B27="",$I27=""),"",IF(IFERROR(MATCH($G27,nrBankTopics,0),0)=0,"OK",IF(COUNTA(INDEX(nrBankGrid,IFERROR(MATCH($G27,nrBankTopics,0),1),0))=0,"OK",IF(SUMPRODUCT((nrInstrNames&lt;&gt;"")*ISNUMBER(SEARCH(nrInstrNames,$I27))*(COUNTIF(INDEX(nrBankGrid,IFERROR(MATCH($G27,nrBankTopics,0),1),0),nrInstrNames)&gt;0))&lt;SUMPRODUCT((nrInstrNames&lt;&gt;"")*ISNUMBER(SEARCH(nrInstrNames,$I27))),"NOT IN BANK","OK"))))</f>
        <v/>
      </c>
    </row>
    <row r="28">
      <c r="B28" s="18" t="n"/>
      <c r="C28" s="17">
        <f>IF($B28="","",TEXT($B28,"ddd"))</f>
        <v/>
      </c>
      <c r="D28" s="41" t="n"/>
      <c r="E28" s="41" t="n"/>
      <c r="F28" s="17">
        <f>IF(OR($B28="",$D28="",$E28=""),"",ROUND(MOD($E28-$D28,1)*24,2))</f>
        <v/>
      </c>
      <c r="G28" s="16" t="n"/>
      <c r="H28" s="17">
        <f>IF($G28="","",IFERROR(_xlfn.XLOOKUP($G28,nrCHname,nrCHnum),IFERROR(_xlfn.XLOOKUP($G28,nrSUBname,nrSUBparent),"")))</f>
        <v/>
      </c>
      <c r="I28" s="16" t="n"/>
      <c r="J28" s="16" t="n"/>
      <c r="K28" s="17">
        <f>IF($B28="","",IFERROR(_xlfn.XLOOKUP($B28,nrCDdate,nrCDweek),""))</f>
        <v/>
      </c>
      <c r="L28" s="17">
        <f>IF($B28="","",IFERROR(_xlfn.XLOOKUP($B28,nrCDdate,nrCDnum),""))</f>
        <v/>
      </c>
      <c r="M28" s="16" t="n"/>
      <c r="N28" s="17">
        <f>IF(OR($B28="",$I28=""),"",_xlfn.LET(_xlpm.a,$I28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8" s="17">
        <f>IF(OR($B28="",$D28="",$E28=""),"",IF($E28=$D28,"CHECK TIMES (start = end)",IF($F28&gt;12,"CHECK TIMES (End is before Start?)","OK")))</f>
        <v/>
      </c>
      <c r="P28" s="17">
        <f>IF(OR($B28="",$I28=""),"",IF(IFERROR(MATCH($G28,nrBankTopics,0),0)=0,"OK",IF(COUNTA(INDEX(nrBankGrid,IFERROR(MATCH($G28,nrBankTopics,0),1),0))=0,"OK",IF(SUMPRODUCT((nrInstrNames&lt;&gt;"")*ISNUMBER(SEARCH(nrInstrNames,$I28))*(COUNTIF(INDEX(nrBankGrid,IFERROR(MATCH($G28,nrBankTopics,0),1),0),nrInstrNames)&gt;0))&lt;SUMPRODUCT((nrInstrNames&lt;&gt;"")*ISNUMBER(SEARCH(nrInstrNames,$I28))),"NOT IN BANK","OK"))))</f>
        <v/>
      </c>
    </row>
    <row r="29">
      <c r="B29" s="18" t="n"/>
      <c r="C29" s="17">
        <f>IF($B29="","",TEXT($B29,"ddd"))</f>
        <v/>
      </c>
      <c r="D29" s="41" t="n"/>
      <c r="E29" s="41" t="n"/>
      <c r="F29" s="17">
        <f>IF(OR($B29="",$D29="",$E29=""),"",ROUND(MOD($E29-$D29,1)*24,2))</f>
        <v/>
      </c>
      <c r="G29" s="16" t="n"/>
      <c r="H29" s="17">
        <f>IF($G29="","",IFERROR(_xlfn.XLOOKUP($G29,nrCHname,nrCHnum),IFERROR(_xlfn.XLOOKUP($G29,nrSUBname,nrSUBparent),"")))</f>
        <v/>
      </c>
      <c r="I29" s="16" t="n"/>
      <c r="J29" s="16" t="n"/>
      <c r="K29" s="17">
        <f>IF($B29="","",IFERROR(_xlfn.XLOOKUP($B29,nrCDdate,nrCDweek),""))</f>
        <v/>
      </c>
      <c r="L29" s="17">
        <f>IF($B29="","",IFERROR(_xlfn.XLOOKUP($B29,nrCDdate,nrCDnum),""))</f>
        <v/>
      </c>
      <c r="M29" s="16" t="n"/>
      <c r="N29" s="17">
        <f>IF(OR($B29="",$I29=""),"",_xlfn.LET(_xlpm.a,$I29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9" s="17">
        <f>IF(OR($B29="",$D29="",$E29=""),"",IF($E29=$D29,"CHECK TIMES (start = end)",IF($F29&gt;12,"CHECK TIMES (End is before Start?)","OK")))</f>
        <v/>
      </c>
      <c r="P29" s="17">
        <f>IF(OR($B29="",$I29=""),"",IF(IFERROR(MATCH($G29,nrBankTopics,0),0)=0,"OK",IF(COUNTA(INDEX(nrBankGrid,IFERROR(MATCH($G29,nrBankTopics,0),1),0))=0,"OK",IF(SUMPRODUCT((nrInstrNames&lt;&gt;"")*ISNUMBER(SEARCH(nrInstrNames,$I29))*(COUNTIF(INDEX(nrBankGrid,IFERROR(MATCH($G29,nrBankTopics,0),1),0),nrInstrNames)&gt;0))&lt;SUMPRODUCT((nrInstrNames&lt;&gt;"")*ISNUMBER(SEARCH(nrInstrNames,$I29))),"NOT IN BANK","OK"))))</f>
        <v/>
      </c>
    </row>
    <row r="30">
      <c r="B30" s="18" t="n"/>
      <c r="C30" s="17">
        <f>IF($B30="","",TEXT($B30,"ddd"))</f>
        <v/>
      </c>
      <c r="D30" s="41" t="n"/>
      <c r="E30" s="41" t="n"/>
      <c r="F30" s="17">
        <f>IF(OR($B30="",$D30="",$E30=""),"",ROUND(MOD($E30-$D30,1)*24,2))</f>
        <v/>
      </c>
      <c r="G30" s="16" t="n"/>
      <c r="H30" s="17">
        <f>IF($G30="","",IFERROR(_xlfn.XLOOKUP($G30,nrCHname,nrCHnum),IFERROR(_xlfn.XLOOKUP($G30,nrSUBname,nrSUBparent),"")))</f>
        <v/>
      </c>
      <c r="I30" s="16" t="n"/>
      <c r="J30" s="16" t="n"/>
      <c r="K30" s="17">
        <f>IF($B30="","",IFERROR(_xlfn.XLOOKUP($B30,nrCDdate,nrCDweek),""))</f>
        <v/>
      </c>
      <c r="L30" s="17">
        <f>IF($B30="","",IFERROR(_xlfn.XLOOKUP($B30,nrCDdate,nrCDnum),""))</f>
        <v/>
      </c>
      <c r="M30" s="16" t="n"/>
      <c r="N30" s="17">
        <f>IF(OR($B30="",$I30=""),"",_xlfn.LET(_xlpm.a,$I30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0" s="17">
        <f>IF(OR($B30="",$D30="",$E30=""),"",IF($E30=$D30,"CHECK TIMES (start = end)",IF($F30&gt;12,"CHECK TIMES (End is before Start?)","OK")))</f>
        <v/>
      </c>
      <c r="P30" s="17">
        <f>IF(OR($B30="",$I30=""),"",IF(IFERROR(MATCH($G30,nrBankTopics,0),0)=0,"OK",IF(COUNTA(INDEX(nrBankGrid,IFERROR(MATCH($G30,nrBankTopics,0),1),0))=0,"OK",IF(SUMPRODUCT((nrInstrNames&lt;&gt;"")*ISNUMBER(SEARCH(nrInstrNames,$I30))*(COUNTIF(INDEX(nrBankGrid,IFERROR(MATCH($G30,nrBankTopics,0),1),0),nrInstrNames)&gt;0))&lt;SUMPRODUCT((nrInstrNames&lt;&gt;"")*ISNUMBER(SEARCH(nrInstrNames,$I30))),"NOT IN BANK","OK"))))</f>
        <v/>
      </c>
    </row>
    <row r="31">
      <c r="B31" s="18" t="n"/>
      <c r="C31" s="17">
        <f>IF($B31="","",TEXT($B31,"ddd"))</f>
        <v/>
      </c>
      <c r="D31" s="41" t="n"/>
      <c r="E31" s="41" t="n"/>
      <c r="F31" s="17">
        <f>IF(OR($B31="",$D31="",$E31=""),"",ROUND(MOD($E31-$D31,1)*24,2))</f>
        <v/>
      </c>
      <c r="G31" s="16" t="n"/>
      <c r="H31" s="17">
        <f>IF($G31="","",IFERROR(_xlfn.XLOOKUP($G31,nrCHname,nrCHnum),IFERROR(_xlfn.XLOOKUP($G31,nrSUBname,nrSUBparent),"")))</f>
        <v/>
      </c>
      <c r="I31" s="16" t="n"/>
      <c r="J31" s="16" t="n"/>
      <c r="K31" s="17">
        <f>IF($B31="","",IFERROR(_xlfn.XLOOKUP($B31,nrCDdate,nrCDweek),""))</f>
        <v/>
      </c>
      <c r="L31" s="17">
        <f>IF($B31="","",IFERROR(_xlfn.XLOOKUP($B31,nrCDdate,nrCDnum),""))</f>
        <v/>
      </c>
      <c r="M31" s="16" t="n"/>
      <c r="N31" s="17">
        <f>IF(OR($B31="",$I31=""),"",_xlfn.LET(_xlpm.a,$I31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1" s="17">
        <f>IF(OR($B31="",$D31="",$E31=""),"",IF($E31=$D31,"CHECK TIMES (start = end)",IF($F31&gt;12,"CHECK TIMES (End is before Start?)","OK")))</f>
        <v/>
      </c>
      <c r="P31" s="17">
        <f>IF(OR($B31="",$I31=""),"",IF(IFERROR(MATCH($G31,nrBankTopics,0),0)=0,"OK",IF(COUNTA(INDEX(nrBankGrid,IFERROR(MATCH($G31,nrBankTopics,0),1),0))=0,"OK",IF(SUMPRODUCT((nrInstrNames&lt;&gt;"")*ISNUMBER(SEARCH(nrInstrNames,$I31))*(COUNTIF(INDEX(nrBankGrid,IFERROR(MATCH($G31,nrBankTopics,0),1),0),nrInstrNames)&gt;0))&lt;SUMPRODUCT((nrInstrNames&lt;&gt;"")*ISNUMBER(SEARCH(nrInstrNames,$I31))),"NOT IN BANK","OK"))))</f>
        <v/>
      </c>
    </row>
    <row r="32">
      <c r="B32" s="18" t="n"/>
      <c r="C32" s="17">
        <f>IF($B32="","",TEXT($B32,"ddd"))</f>
        <v/>
      </c>
      <c r="D32" s="41" t="n"/>
      <c r="E32" s="41" t="n"/>
      <c r="F32" s="17">
        <f>IF(OR($B32="",$D32="",$E32=""),"",ROUND(MOD($E32-$D32,1)*24,2))</f>
        <v/>
      </c>
      <c r="G32" s="16" t="n"/>
      <c r="H32" s="17">
        <f>IF($G32="","",IFERROR(_xlfn.XLOOKUP($G32,nrCHname,nrCHnum),IFERROR(_xlfn.XLOOKUP($G32,nrSUBname,nrSUBparent),"")))</f>
        <v/>
      </c>
      <c r="I32" s="16" t="n"/>
      <c r="J32" s="16" t="n"/>
      <c r="K32" s="17">
        <f>IF($B32="","",IFERROR(_xlfn.XLOOKUP($B32,nrCDdate,nrCDweek),""))</f>
        <v/>
      </c>
      <c r="L32" s="17">
        <f>IF($B32="","",IFERROR(_xlfn.XLOOKUP($B32,nrCDdate,nrCDnum),""))</f>
        <v/>
      </c>
      <c r="M32" s="16" t="n"/>
      <c r="N32" s="17">
        <f>IF(OR($B32="",$I32=""),"",_xlfn.LET(_xlpm.a,$I32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2" s="17">
        <f>IF(OR($B32="",$D32="",$E32=""),"",IF($E32=$D32,"CHECK TIMES (start = end)",IF($F32&gt;12,"CHECK TIMES (End is before Start?)","OK")))</f>
        <v/>
      </c>
      <c r="P32" s="17">
        <f>IF(OR($B32="",$I32=""),"",IF(IFERROR(MATCH($G32,nrBankTopics,0),0)=0,"OK",IF(COUNTA(INDEX(nrBankGrid,IFERROR(MATCH($G32,nrBankTopics,0),1),0))=0,"OK",IF(SUMPRODUCT((nrInstrNames&lt;&gt;"")*ISNUMBER(SEARCH(nrInstrNames,$I32))*(COUNTIF(INDEX(nrBankGrid,IFERROR(MATCH($G32,nrBankTopics,0),1),0),nrInstrNames)&gt;0))&lt;SUMPRODUCT((nrInstrNames&lt;&gt;"")*ISNUMBER(SEARCH(nrInstrNames,$I32))),"NOT IN BANK","OK"))))</f>
        <v/>
      </c>
    </row>
    <row r="33">
      <c r="B33" s="18" t="n"/>
      <c r="C33" s="17">
        <f>IF($B33="","",TEXT($B33,"ddd"))</f>
        <v/>
      </c>
      <c r="D33" s="41" t="n"/>
      <c r="E33" s="41" t="n"/>
      <c r="F33" s="17">
        <f>IF(OR($B33="",$D33="",$E33=""),"",ROUND(MOD($E33-$D33,1)*24,2))</f>
        <v/>
      </c>
      <c r="G33" s="16" t="n"/>
      <c r="H33" s="17">
        <f>IF($G33="","",IFERROR(_xlfn.XLOOKUP($G33,nrCHname,nrCHnum),IFERROR(_xlfn.XLOOKUP($G33,nrSUBname,nrSUBparent),"")))</f>
        <v/>
      </c>
      <c r="I33" s="16" t="n"/>
      <c r="J33" s="16" t="n"/>
      <c r="K33" s="17">
        <f>IF($B33="","",IFERROR(_xlfn.XLOOKUP($B33,nrCDdate,nrCDweek),""))</f>
        <v/>
      </c>
      <c r="L33" s="17">
        <f>IF($B33="","",IFERROR(_xlfn.XLOOKUP($B33,nrCDdate,nrCDnum),""))</f>
        <v/>
      </c>
      <c r="M33" s="16" t="n"/>
      <c r="N33" s="17">
        <f>IF(OR($B33="",$I33=""),"",_xlfn.LET(_xlpm.a,$I33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3" s="17">
        <f>IF(OR($B33="",$D33="",$E33=""),"",IF($E33=$D33,"CHECK TIMES (start = end)",IF($F33&gt;12,"CHECK TIMES (End is before Start?)","OK")))</f>
        <v/>
      </c>
      <c r="P33" s="17">
        <f>IF(OR($B33="",$I33=""),"",IF(IFERROR(MATCH($G33,nrBankTopics,0),0)=0,"OK",IF(COUNTA(INDEX(nrBankGrid,IFERROR(MATCH($G33,nrBankTopics,0),1),0))=0,"OK",IF(SUMPRODUCT((nrInstrNames&lt;&gt;"")*ISNUMBER(SEARCH(nrInstrNames,$I33))*(COUNTIF(INDEX(nrBankGrid,IFERROR(MATCH($G33,nrBankTopics,0),1),0),nrInstrNames)&gt;0))&lt;SUMPRODUCT((nrInstrNames&lt;&gt;"")*ISNUMBER(SEARCH(nrInstrNames,$I33))),"NOT IN BANK","OK"))))</f>
        <v/>
      </c>
    </row>
    <row r="34">
      <c r="B34" s="18" t="n"/>
      <c r="C34" s="17">
        <f>IF($B34="","",TEXT($B34,"ddd"))</f>
        <v/>
      </c>
      <c r="D34" s="41" t="n"/>
      <c r="E34" s="41" t="n"/>
      <c r="F34" s="17">
        <f>IF(OR($B34="",$D34="",$E34=""),"",ROUND(MOD($E34-$D34,1)*24,2))</f>
        <v/>
      </c>
      <c r="G34" s="16" t="n"/>
      <c r="H34" s="17">
        <f>IF($G34="","",IFERROR(_xlfn.XLOOKUP($G34,nrCHname,nrCHnum),IFERROR(_xlfn.XLOOKUP($G34,nrSUBname,nrSUBparent),"")))</f>
        <v/>
      </c>
      <c r="I34" s="16" t="n"/>
      <c r="J34" s="16" t="n"/>
      <c r="K34" s="17">
        <f>IF($B34="","",IFERROR(_xlfn.XLOOKUP($B34,nrCDdate,nrCDweek),""))</f>
        <v/>
      </c>
      <c r="L34" s="17">
        <f>IF($B34="","",IFERROR(_xlfn.XLOOKUP($B34,nrCDdate,nrCDnum),""))</f>
        <v/>
      </c>
      <c r="M34" s="16" t="n"/>
      <c r="N34" s="17">
        <f>IF(OR($B34="",$I34=""),"",_xlfn.LET(_xlpm.a,$I34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4" s="17">
        <f>IF(OR($B34="",$D34="",$E34=""),"",IF($E34=$D34,"CHECK TIMES (start = end)",IF($F34&gt;12,"CHECK TIMES (End is before Start?)","OK")))</f>
        <v/>
      </c>
      <c r="P34" s="17">
        <f>IF(OR($B34="",$I34=""),"",IF(IFERROR(MATCH($G34,nrBankTopics,0),0)=0,"OK",IF(COUNTA(INDEX(nrBankGrid,IFERROR(MATCH($G34,nrBankTopics,0),1),0))=0,"OK",IF(SUMPRODUCT((nrInstrNames&lt;&gt;"")*ISNUMBER(SEARCH(nrInstrNames,$I34))*(COUNTIF(INDEX(nrBankGrid,IFERROR(MATCH($G34,nrBankTopics,0),1),0),nrInstrNames)&gt;0))&lt;SUMPRODUCT((nrInstrNames&lt;&gt;"")*ISNUMBER(SEARCH(nrInstrNames,$I34))),"NOT IN BANK","OK"))))</f>
        <v/>
      </c>
    </row>
    <row r="35">
      <c r="B35" s="18" t="n"/>
      <c r="C35" s="17">
        <f>IF($B35="","",TEXT($B35,"ddd"))</f>
        <v/>
      </c>
      <c r="D35" s="41" t="n"/>
      <c r="E35" s="41" t="n"/>
      <c r="F35" s="17">
        <f>IF(OR($B35="",$D35="",$E35=""),"",ROUND(MOD($E35-$D35,1)*24,2))</f>
        <v/>
      </c>
      <c r="G35" s="16" t="n"/>
      <c r="H35" s="17">
        <f>IF($G35="","",IFERROR(_xlfn.XLOOKUP($G35,nrCHname,nrCHnum),IFERROR(_xlfn.XLOOKUP($G35,nrSUBname,nrSUBparent),"")))</f>
        <v/>
      </c>
      <c r="I35" s="16" t="n"/>
      <c r="J35" s="16" t="n"/>
      <c r="K35" s="17">
        <f>IF($B35="","",IFERROR(_xlfn.XLOOKUP($B35,nrCDdate,nrCDweek),""))</f>
        <v/>
      </c>
      <c r="L35" s="17">
        <f>IF($B35="","",IFERROR(_xlfn.XLOOKUP($B35,nrCDdate,nrCDnum),""))</f>
        <v/>
      </c>
      <c r="M35" s="16" t="n"/>
      <c r="N35" s="17">
        <f>IF(OR($B35="",$I35=""),"",_xlfn.LET(_xlpm.a,$I35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5" s="17">
        <f>IF(OR($B35="",$D35="",$E35=""),"",IF($E35=$D35,"CHECK TIMES (start = end)",IF($F35&gt;12,"CHECK TIMES (End is before Start?)","OK")))</f>
        <v/>
      </c>
      <c r="P35" s="17">
        <f>IF(OR($B35="",$I35=""),"",IF(IFERROR(MATCH($G35,nrBankTopics,0),0)=0,"OK",IF(COUNTA(INDEX(nrBankGrid,IFERROR(MATCH($G35,nrBankTopics,0),1),0))=0,"OK",IF(SUMPRODUCT((nrInstrNames&lt;&gt;"")*ISNUMBER(SEARCH(nrInstrNames,$I35))*(COUNTIF(INDEX(nrBankGrid,IFERROR(MATCH($G35,nrBankTopics,0),1),0),nrInstrNames)&gt;0))&lt;SUMPRODUCT((nrInstrNames&lt;&gt;"")*ISNUMBER(SEARCH(nrInstrNames,$I35))),"NOT IN BANK","OK"))))</f>
        <v/>
      </c>
    </row>
    <row r="36">
      <c r="B36" s="18" t="n"/>
      <c r="C36" s="17">
        <f>IF($B36="","",TEXT($B36,"ddd"))</f>
        <v/>
      </c>
      <c r="D36" s="41" t="n"/>
      <c r="E36" s="41" t="n"/>
      <c r="F36" s="17">
        <f>IF(OR($B36="",$D36="",$E36=""),"",ROUND(MOD($E36-$D36,1)*24,2))</f>
        <v/>
      </c>
      <c r="G36" s="16" t="n"/>
      <c r="H36" s="17">
        <f>IF($G36="","",IFERROR(_xlfn.XLOOKUP($G36,nrCHname,nrCHnum),IFERROR(_xlfn.XLOOKUP($G36,nrSUBname,nrSUBparent),"")))</f>
        <v/>
      </c>
      <c r="I36" s="16" t="n"/>
      <c r="J36" s="16" t="n"/>
      <c r="K36" s="17">
        <f>IF($B36="","",IFERROR(_xlfn.XLOOKUP($B36,nrCDdate,nrCDweek),""))</f>
        <v/>
      </c>
      <c r="L36" s="17">
        <f>IF($B36="","",IFERROR(_xlfn.XLOOKUP($B36,nrCDdate,nrCDnum),""))</f>
        <v/>
      </c>
      <c r="M36" s="16" t="n"/>
      <c r="N36" s="17">
        <f>IF(OR($B36="",$I36=""),"",_xlfn.LET(_xlpm.a,$I36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6" s="17">
        <f>IF(OR($B36="",$D36="",$E36=""),"",IF($E36=$D36,"CHECK TIMES (start = end)",IF($F36&gt;12,"CHECK TIMES (End is before Start?)","OK")))</f>
        <v/>
      </c>
      <c r="P36" s="17">
        <f>IF(OR($B36="",$I36=""),"",IF(IFERROR(MATCH($G36,nrBankTopics,0),0)=0,"OK",IF(COUNTA(INDEX(nrBankGrid,IFERROR(MATCH($G36,nrBankTopics,0),1),0))=0,"OK",IF(SUMPRODUCT((nrInstrNames&lt;&gt;"")*ISNUMBER(SEARCH(nrInstrNames,$I36))*(COUNTIF(INDEX(nrBankGrid,IFERROR(MATCH($G36,nrBankTopics,0),1),0),nrInstrNames)&gt;0))&lt;SUMPRODUCT((nrInstrNames&lt;&gt;"")*ISNUMBER(SEARCH(nrInstrNames,$I36))),"NOT IN BANK","OK"))))</f>
        <v/>
      </c>
    </row>
    <row r="37">
      <c r="B37" s="18" t="n"/>
      <c r="C37" s="17">
        <f>IF($B37="","",TEXT($B37,"ddd"))</f>
        <v/>
      </c>
      <c r="D37" s="41" t="n"/>
      <c r="E37" s="41" t="n"/>
      <c r="F37" s="17">
        <f>IF(OR($B37="",$D37="",$E37=""),"",ROUND(MOD($E37-$D37,1)*24,2))</f>
        <v/>
      </c>
      <c r="G37" s="16" t="n"/>
      <c r="H37" s="17">
        <f>IF($G37="","",IFERROR(_xlfn.XLOOKUP($G37,nrCHname,nrCHnum),IFERROR(_xlfn.XLOOKUP($G37,nrSUBname,nrSUBparent),"")))</f>
        <v/>
      </c>
      <c r="I37" s="16" t="n"/>
      <c r="J37" s="16" t="n"/>
      <c r="K37" s="17">
        <f>IF($B37="","",IFERROR(_xlfn.XLOOKUP($B37,nrCDdate,nrCDweek),""))</f>
        <v/>
      </c>
      <c r="L37" s="17">
        <f>IF($B37="","",IFERROR(_xlfn.XLOOKUP($B37,nrCDdate,nrCDnum),""))</f>
        <v/>
      </c>
      <c r="M37" s="16" t="n"/>
      <c r="N37" s="17">
        <f>IF(OR($B37="",$I37=""),"",_xlfn.LET(_xlpm.a,$I37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7" s="17">
        <f>IF(OR($B37="",$D37="",$E37=""),"",IF($E37=$D37,"CHECK TIMES (start = end)",IF($F37&gt;12,"CHECK TIMES (End is before Start?)","OK")))</f>
        <v/>
      </c>
      <c r="P37" s="17">
        <f>IF(OR($B37="",$I37=""),"",IF(IFERROR(MATCH($G37,nrBankTopics,0),0)=0,"OK",IF(COUNTA(INDEX(nrBankGrid,IFERROR(MATCH($G37,nrBankTopics,0),1),0))=0,"OK",IF(SUMPRODUCT((nrInstrNames&lt;&gt;"")*ISNUMBER(SEARCH(nrInstrNames,$I37))*(COUNTIF(INDEX(nrBankGrid,IFERROR(MATCH($G37,nrBankTopics,0),1),0),nrInstrNames)&gt;0))&lt;SUMPRODUCT((nrInstrNames&lt;&gt;"")*ISNUMBER(SEARCH(nrInstrNames,$I37))),"NOT IN BANK","OK"))))</f>
        <v/>
      </c>
    </row>
    <row r="38">
      <c r="B38" s="18" t="n"/>
      <c r="C38" s="17">
        <f>IF($B38="","",TEXT($B38,"ddd"))</f>
        <v/>
      </c>
      <c r="D38" s="41" t="n"/>
      <c r="E38" s="41" t="n"/>
      <c r="F38" s="17">
        <f>IF(OR($B38="",$D38="",$E38=""),"",ROUND(MOD($E38-$D38,1)*24,2))</f>
        <v/>
      </c>
      <c r="G38" s="16" t="n"/>
      <c r="H38" s="17">
        <f>IF($G38="","",IFERROR(_xlfn.XLOOKUP($G38,nrCHname,nrCHnum),IFERROR(_xlfn.XLOOKUP($G38,nrSUBname,nrSUBparent),"")))</f>
        <v/>
      </c>
      <c r="I38" s="16" t="n"/>
      <c r="J38" s="16" t="n"/>
      <c r="K38" s="17">
        <f>IF($B38="","",IFERROR(_xlfn.XLOOKUP($B38,nrCDdate,nrCDweek),""))</f>
        <v/>
      </c>
      <c r="L38" s="17">
        <f>IF($B38="","",IFERROR(_xlfn.XLOOKUP($B38,nrCDdate,nrCDnum),""))</f>
        <v/>
      </c>
      <c r="M38" s="16" t="n"/>
      <c r="N38" s="17">
        <f>IF(OR($B38="",$I38=""),"",_xlfn.LET(_xlpm.a,$I38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8" s="17">
        <f>IF(OR($B38="",$D38="",$E38=""),"",IF($E38=$D38,"CHECK TIMES (start = end)",IF($F38&gt;12,"CHECK TIMES (End is before Start?)","OK")))</f>
        <v/>
      </c>
      <c r="P38" s="17">
        <f>IF(OR($B38="",$I38=""),"",IF(IFERROR(MATCH($G38,nrBankTopics,0),0)=0,"OK",IF(COUNTA(INDEX(nrBankGrid,IFERROR(MATCH($G38,nrBankTopics,0),1),0))=0,"OK",IF(SUMPRODUCT((nrInstrNames&lt;&gt;"")*ISNUMBER(SEARCH(nrInstrNames,$I38))*(COUNTIF(INDEX(nrBankGrid,IFERROR(MATCH($G38,nrBankTopics,0),1),0),nrInstrNames)&gt;0))&lt;SUMPRODUCT((nrInstrNames&lt;&gt;"")*ISNUMBER(SEARCH(nrInstrNames,$I38))),"NOT IN BANK","OK"))))</f>
        <v/>
      </c>
    </row>
    <row r="39">
      <c r="B39" s="18" t="n"/>
      <c r="C39" s="17">
        <f>IF($B39="","",TEXT($B39,"ddd"))</f>
        <v/>
      </c>
      <c r="D39" s="41" t="n"/>
      <c r="E39" s="41" t="n"/>
      <c r="F39" s="17">
        <f>IF(OR($B39="",$D39="",$E39=""),"",ROUND(MOD($E39-$D39,1)*24,2))</f>
        <v/>
      </c>
      <c r="G39" s="16" t="n"/>
      <c r="H39" s="17">
        <f>IF($G39="","",IFERROR(_xlfn.XLOOKUP($G39,nrCHname,nrCHnum),IFERROR(_xlfn.XLOOKUP($G39,nrSUBname,nrSUBparent),"")))</f>
        <v/>
      </c>
      <c r="I39" s="16" t="n"/>
      <c r="J39" s="16" t="n"/>
      <c r="K39" s="17">
        <f>IF($B39="","",IFERROR(_xlfn.XLOOKUP($B39,nrCDdate,nrCDweek),""))</f>
        <v/>
      </c>
      <c r="L39" s="17">
        <f>IF($B39="","",IFERROR(_xlfn.XLOOKUP($B39,nrCDdate,nrCDnum),""))</f>
        <v/>
      </c>
      <c r="M39" s="16" t="n"/>
      <c r="N39" s="17">
        <f>IF(OR($B39="",$I39=""),"",_xlfn.LET(_xlpm.a,$I39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9" s="17">
        <f>IF(OR($B39="",$D39="",$E39=""),"",IF($E39=$D39,"CHECK TIMES (start = end)",IF($F39&gt;12,"CHECK TIMES (End is before Start?)","OK")))</f>
        <v/>
      </c>
      <c r="P39" s="17">
        <f>IF(OR($B39="",$I39=""),"",IF(IFERROR(MATCH($G39,nrBankTopics,0),0)=0,"OK",IF(COUNTA(INDEX(nrBankGrid,IFERROR(MATCH($G39,nrBankTopics,0),1),0))=0,"OK",IF(SUMPRODUCT((nrInstrNames&lt;&gt;"")*ISNUMBER(SEARCH(nrInstrNames,$I39))*(COUNTIF(INDEX(nrBankGrid,IFERROR(MATCH($G39,nrBankTopics,0),1),0),nrInstrNames)&gt;0))&lt;SUMPRODUCT((nrInstrNames&lt;&gt;"")*ISNUMBER(SEARCH(nrInstrNames,$I39))),"NOT IN BANK","OK"))))</f>
        <v/>
      </c>
    </row>
    <row r="40">
      <c r="B40" s="18" t="n"/>
      <c r="C40" s="17">
        <f>IF($B40="","",TEXT($B40,"ddd"))</f>
        <v/>
      </c>
      <c r="D40" s="41" t="n"/>
      <c r="E40" s="41" t="n"/>
      <c r="F40" s="17">
        <f>IF(OR($B40="",$D40="",$E40=""),"",ROUND(MOD($E40-$D40,1)*24,2))</f>
        <v/>
      </c>
      <c r="G40" s="16" t="n"/>
      <c r="H40" s="17">
        <f>IF($G40="","",IFERROR(_xlfn.XLOOKUP($G40,nrCHname,nrCHnum),IFERROR(_xlfn.XLOOKUP($G40,nrSUBname,nrSUBparent),"")))</f>
        <v/>
      </c>
      <c r="I40" s="16" t="n"/>
      <c r="J40" s="16" t="n"/>
      <c r="K40" s="17">
        <f>IF($B40="","",IFERROR(_xlfn.XLOOKUP($B40,nrCDdate,nrCDweek),""))</f>
        <v/>
      </c>
      <c r="L40" s="17">
        <f>IF($B40="","",IFERROR(_xlfn.XLOOKUP($B40,nrCDdate,nrCDnum),""))</f>
        <v/>
      </c>
      <c r="M40" s="16" t="n"/>
      <c r="N40" s="17">
        <f>IF(OR($B40="",$I40=""),"",_xlfn.LET(_xlpm.a,$I40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0" s="17">
        <f>IF(OR($B40="",$D40="",$E40=""),"",IF($E40=$D40,"CHECK TIMES (start = end)",IF($F40&gt;12,"CHECK TIMES (End is before Start?)","OK")))</f>
        <v/>
      </c>
      <c r="P40" s="17">
        <f>IF(OR($B40="",$I40=""),"",IF(IFERROR(MATCH($G40,nrBankTopics,0),0)=0,"OK",IF(COUNTA(INDEX(nrBankGrid,IFERROR(MATCH($G40,nrBankTopics,0),1),0))=0,"OK",IF(SUMPRODUCT((nrInstrNames&lt;&gt;"")*ISNUMBER(SEARCH(nrInstrNames,$I40))*(COUNTIF(INDEX(nrBankGrid,IFERROR(MATCH($G40,nrBankTopics,0),1),0),nrInstrNames)&gt;0))&lt;SUMPRODUCT((nrInstrNames&lt;&gt;"")*ISNUMBER(SEARCH(nrInstrNames,$I40))),"NOT IN BANK","OK"))))</f>
        <v/>
      </c>
    </row>
    <row r="41">
      <c r="B41" s="18" t="n"/>
      <c r="C41" s="17">
        <f>IF($B41="","",TEXT($B41,"ddd"))</f>
        <v/>
      </c>
      <c r="D41" s="41" t="n"/>
      <c r="E41" s="41" t="n"/>
      <c r="F41" s="17">
        <f>IF(OR($B41="",$D41="",$E41=""),"",ROUND(MOD($E41-$D41,1)*24,2))</f>
        <v/>
      </c>
      <c r="G41" s="16" t="n"/>
      <c r="H41" s="17">
        <f>IF($G41="","",IFERROR(_xlfn.XLOOKUP($G41,nrCHname,nrCHnum),IFERROR(_xlfn.XLOOKUP($G41,nrSUBname,nrSUBparent),"")))</f>
        <v/>
      </c>
      <c r="I41" s="16" t="n"/>
      <c r="J41" s="16" t="n"/>
      <c r="K41" s="17">
        <f>IF($B41="","",IFERROR(_xlfn.XLOOKUP($B41,nrCDdate,nrCDweek),""))</f>
        <v/>
      </c>
      <c r="L41" s="17">
        <f>IF($B41="","",IFERROR(_xlfn.XLOOKUP($B41,nrCDdate,nrCDnum),""))</f>
        <v/>
      </c>
      <c r="M41" s="16" t="n"/>
      <c r="N41" s="17">
        <f>IF(OR($B41="",$I41=""),"",_xlfn.LET(_xlpm.a,$I41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1" s="17">
        <f>IF(OR($B41="",$D41="",$E41=""),"",IF($E41=$D41,"CHECK TIMES (start = end)",IF($F41&gt;12,"CHECK TIMES (End is before Start?)","OK")))</f>
        <v/>
      </c>
      <c r="P41" s="17">
        <f>IF(OR($B41="",$I41=""),"",IF(IFERROR(MATCH($G41,nrBankTopics,0),0)=0,"OK",IF(COUNTA(INDEX(nrBankGrid,IFERROR(MATCH($G41,nrBankTopics,0),1),0))=0,"OK",IF(SUMPRODUCT((nrInstrNames&lt;&gt;"")*ISNUMBER(SEARCH(nrInstrNames,$I41))*(COUNTIF(INDEX(nrBankGrid,IFERROR(MATCH($G41,nrBankTopics,0),1),0),nrInstrNames)&gt;0))&lt;SUMPRODUCT((nrInstrNames&lt;&gt;"")*ISNUMBER(SEARCH(nrInstrNames,$I41))),"NOT IN BANK","OK"))))</f>
        <v/>
      </c>
    </row>
    <row r="42">
      <c r="B42" s="18" t="n"/>
      <c r="C42" s="17">
        <f>IF($B42="","",TEXT($B42,"ddd"))</f>
        <v/>
      </c>
      <c r="D42" s="41" t="n"/>
      <c r="E42" s="41" t="n"/>
      <c r="F42" s="17">
        <f>IF(OR($B42="",$D42="",$E42=""),"",ROUND(MOD($E42-$D42,1)*24,2))</f>
        <v/>
      </c>
      <c r="G42" s="16" t="n"/>
      <c r="H42" s="17">
        <f>IF($G42="","",IFERROR(_xlfn.XLOOKUP($G42,nrCHname,nrCHnum),IFERROR(_xlfn.XLOOKUP($G42,nrSUBname,nrSUBparent),"")))</f>
        <v/>
      </c>
      <c r="I42" s="16" t="n"/>
      <c r="J42" s="16" t="n"/>
      <c r="K42" s="17">
        <f>IF($B42="","",IFERROR(_xlfn.XLOOKUP($B42,nrCDdate,nrCDweek),""))</f>
        <v/>
      </c>
      <c r="L42" s="17">
        <f>IF($B42="","",IFERROR(_xlfn.XLOOKUP($B42,nrCDdate,nrCDnum),""))</f>
        <v/>
      </c>
      <c r="M42" s="16" t="n"/>
      <c r="N42" s="17">
        <f>IF(OR($B42="",$I42=""),"",_xlfn.LET(_xlpm.a,$I42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2" s="17">
        <f>IF(OR($B42="",$D42="",$E42=""),"",IF($E42=$D42,"CHECK TIMES (start = end)",IF($F42&gt;12,"CHECK TIMES (End is before Start?)","OK")))</f>
        <v/>
      </c>
      <c r="P42" s="17">
        <f>IF(OR($B42="",$I42=""),"",IF(IFERROR(MATCH($G42,nrBankTopics,0),0)=0,"OK",IF(COUNTA(INDEX(nrBankGrid,IFERROR(MATCH($G42,nrBankTopics,0),1),0))=0,"OK",IF(SUMPRODUCT((nrInstrNames&lt;&gt;"")*ISNUMBER(SEARCH(nrInstrNames,$I42))*(COUNTIF(INDEX(nrBankGrid,IFERROR(MATCH($G42,nrBankTopics,0),1),0),nrInstrNames)&gt;0))&lt;SUMPRODUCT((nrInstrNames&lt;&gt;"")*ISNUMBER(SEARCH(nrInstrNames,$I42))),"NOT IN BANK","OK"))))</f>
        <v/>
      </c>
    </row>
    <row r="43">
      <c r="B43" s="18" t="n"/>
      <c r="C43" s="17">
        <f>IF($B43="","",TEXT($B43,"ddd"))</f>
        <v/>
      </c>
      <c r="D43" s="41" t="n"/>
      <c r="E43" s="41" t="n"/>
      <c r="F43" s="17">
        <f>IF(OR($B43="",$D43="",$E43=""),"",ROUND(MOD($E43-$D43,1)*24,2))</f>
        <v/>
      </c>
      <c r="G43" s="16" t="n"/>
      <c r="H43" s="17">
        <f>IF($G43="","",IFERROR(_xlfn.XLOOKUP($G43,nrCHname,nrCHnum),IFERROR(_xlfn.XLOOKUP($G43,nrSUBname,nrSUBparent),"")))</f>
        <v/>
      </c>
      <c r="I43" s="16" t="n"/>
      <c r="J43" s="16" t="n"/>
      <c r="K43" s="17">
        <f>IF($B43="","",IFERROR(_xlfn.XLOOKUP($B43,nrCDdate,nrCDweek),""))</f>
        <v/>
      </c>
      <c r="L43" s="17">
        <f>IF($B43="","",IFERROR(_xlfn.XLOOKUP($B43,nrCDdate,nrCDnum),""))</f>
        <v/>
      </c>
      <c r="M43" s="16" t="n"/>
      <c r="N43" s="17">
        <f>IF(OR($B43="",$I43=""),"",_xlfn.LET(_xlpm.a,$I43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3" s="17">
        <f>IF(OR($B43="",$D43="",$E43=""),"",IF($E43=$D43,"CHECK TIMES (start = end)",IF($F43&gt;12,"CHECK TIMES (End is before Start?)","OK")))</f>
        <v/>
      </c>
      <c r="P43" s="17">
        <f>IF(OR($B43="",$I43=""),"",IF(IFERROR(MATCH($G43,nrBankTopics,0),0)=0,"OK",IF(COUNTA(INDEX(nrBankGrid,IFERROR(MATCH($G43,nrBankTopics,0),1),0))=0,"OK",IF(SUMPRODUCT((nrInstrNames&lt;&gt;"")*ISNUMBER(SEARCH(nrInstrNames,$I43))*(COUNTIF(INDEX(nrBankGrid,IFERROR(MATCH($G43,nrBankTopics,0),1),0),nrInstrNames)&gt;0))&lt;SUMPRODUCT((nrInstrNames&lt;&gt;"")*ISNUMBER(SEARCH(nrInstrNames,$I43))),"NOT IN BANK","OK"))))</f>
        <v/>
      </c>
    </row>
    <row r="44">
      <c r="B44" s="18" t="n"/>
      <c r="C44" s="17">
        <f>IF($B44="","",TEXT($B44,"ddd"))</f>
        <v/>
      </c>
      <c r="D44" s="41" t="n"/>
      <c r="E44" s="41" t="n"/>
      <c r="F44" s="17">
        <f>IF(OR($B44="",$D44="",$E44=""),"",ROUND(MOD($E44-$D44,1)*24,2))</f>
        <v/>
      </c>
      <c r="G44" s="16" t="n"/>
      <c r="H44" s="17">
        <f>IF($G44="","",IFERROR(_xlfn.XLOOKUP($G44,nrCHname,nrCHnum),IFERROR(_xlfn.XLOOKUP($G44,nrSUBname,nrSUBparent),"")))</f>
        <v/>
      </c>
      <c r="I44" s="16" t="n"/>
      <c r="J44" s="16" t="n"/>
      <c r="K44" s="17">
        <f>IF($B44="","",IFERROR(_xlfn.XLOOKUP($B44,nrCDdate,nrCDweek),""))</f>
        <v/>
      </c>
      <c r="L44" s="17">
        <f>IF($B44="","",IFERROR(_xlfn.XLOOKUP($B44,nrCDdate,nrCDnum),""))</f>
        <v/>
      </c>
      <c r="M44" s="16" t="n"/>
      <c r="N44" s="17">
        <f>IF(OR($B44="",$I44=""),"",_xlfn.LET(_xlpm.a,$I44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4" s="17">
        <f>IF(OR($B44="",$D44="",$E44=""),"",IF($E44=$D44,"CHECK TIMES (start = end)",IF($F44&gt;12,"CHECK TIMES (End is before Start?)","OK")))</f>
        <v/>
      </c>
      <c r="P44" s="17">
        <f>IF(OR($B44="",$I44=""),"",IF(IFERROR(MATCH($G44,nrBankTopics,0),0)=0,"OK",IF(COUNTA(INDEX(nrBankGrid,IFERROR(MATCH($G44,nrBankTopics,0),1),0))=0,"OK",IF(SUMPRODUCT((nrInstrNames&lt;&gt;"")*ISNUMBER(SEARCH(nrInstrNames,$I44))*(COUNTIF(INDEX(nrBankGrid,IFERROR(MATCH($G44,nrBankTopics,0),1),0),nrInstrNames)&gt;0))&lt;SUMPRODUCT((nrInstrNames&lt;&gt;"")*ISNUMBER(SEARCH(nrInstrNames,$I44))),"NOT IN BANK","OK"))))</f>
        <v/>
      </c>
    </row>
    <row r="45">
      <c r="B45" s="18" t="n"/>
      <c r="C45" s="17">
        <f>IF($B45="","",TEXT($B45,"ddd"))</f>
        <v/>
      </c>
      <c r="D45" s="41" t="n"/>
      <c r="E45" s="41" t="n"/>
      <c r="F45" s="17">
        <f>IF(OR($B45="",$D45="",$E45=""),"",ROUND(MOD($E45-$D45,1)*24,2))</f>
        <v/>
      </c>
      <c r="G45" s="16" t="n"/>
      <c r="H45" s="17">
        <f>IF($G45="","",IFERROR(_xlfn.XLOOKUP($G45,nrCHname,nrCHnum),IFERROR(_xlfn.XLOOKUP($G45,nrSUBname,nrSUBparent),"")))</f>
        <v/>
      </c>
      <c r="I45" s="16" t="n"/>
      <c r="J45" s="16" t="n"/>
      <c r="K45" s="17">
        <f>IF($B45="","",IFERROR(_xlfn.XLOOKUP($B45,nrCDdate,nrCDweek),""))</f>
        <v/>
      </c>
      <c r="L45" s="17">
        <f>IF($B45="","",IFERROR(_xlfn.XLOOKUP($B45,nrCDdate,nrCDnum),""))</f>
        <v/>
      </c>
      <c r="M45" s="16" t="n"/>
      <c r="N45" s="17">
        <f>IF(OR($B45="",$I45=""),"",_xlfn.LET(_xlpm.a,$I45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5" s="17">
        <f>IF(OR($B45="",$D45="",$E45=""),"",IF($E45=$D45,"CHECK TIMES (start = end)",IF($F45&gt;12,"CHECK TIMES (End is before Start?)","OK")))</f>
        <v/>
      </c>
      <c r="P45" s="17">
        <f>IF(OR($B45="",$I45=""),"",IF(IFERROR(MATCH($G45,nrBankTopics,0),0)=0,"OK",IF(COUNTA(INDEX(nrBankGrid,IFERROR(MATCH($G45,nrBankTopics,0),1),0))=0,"OK",IF(SUMPRODUCT((nrInstrNames&lt;&gt;"")*ISNUMBER(SEARCH(nrInstrNames,$I45))*(COUNTIF(INDEX(nrBankGrid,IFERROR(MATCH($G45,nrBankTopics,0),1),0),nrInstrNames)&gt;0))&lt;SUMPRODUCT((nrInstrNames&lt;&gt;"")*ISNUMBER(SEARCH(nrInstrNames,$I45))),"NOT IN BANK","OK"))))</f>
        <v/>
      </c>
    </row>
    <row r="46">
      <c r="B46" s="18" t="n"/>
      <c r="C46" s="17">
        <f>IF($B46="","",TEXT($B46,"ddd"))</f>
        <v/>
      </c>
      <c r="D46" s="41" t="n"/>
      <c r="E46" s="41" t="n"/>
      <c r="F46" s="17">
        <f>IF(OR($B46="",$D46="",$E46=""),"",ROUND(MOD($E46-$D46,1)*24,2))</f>
        <v/>
      </c>
      <c r="G46" s="16" t="n"/>
      <c r="H46" s="17">
        <f>IF($G46="","",IFERROR(_xlfn.XLOOKUP($G46,nrCHname,nrCHnum),IFERROR(_xlfn.XLOOKUP($G46,nrSUBname,nrSUBparent),"")))</f>
        <v/>
      </c>
      <c r="I46" s="16" t="n"/>
      <c r="J46" s="16" t="n"/>
      <c r="K46" s="17">
        <f>IF($B46="","",IFERROR(_xlfn.XLOOKUP($B46,nrCDdate,nrCDweek),""))</f>
        <v/>
      </c>
      <c r="L46" s="17">
        <f>IF($B46="","",IFERROR(_xlfn.XLOOKUP($B46,nrCDdate,nrCDnum),""))</f>
        <v/>
      </c>
      <c r="M46" s="16" t="n"/>
      <c r="N46" s="17">
        <f>IF(OR($B46="",$I46=""),"",_xlfn.LET(_xlpm.a,$I46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6" s="17">
        <f>IF(OR($B46="",$D46="",$E46=""),"",IF($E46=$D46,"CHECK TIMES (start = end)",IF($F46&gt;12,"CHECK TIMES (End is before Start?)","OK")))</f>
        <v/>
      </c>
      <c r="P46" s="17">
        <f>IF(OR($B46="",$I46=""),"",IF(IFERROR(MATCH($G46,nrBankTopics,0),0)=0,"OK",IF(COUNTA(INDEX(nrBankGrid,IFERROR(MATCH($G46,nrBankTopics,0),1),0))=0,"OK",IF(SUMPRODUCT((nrInstrNames&lt;&gt;"")*ISNUMBER(SEARCH(nrInstrNames,$I46))*(COUNTIF(INDEX(nrBankGrid,IFERROR(MATCH($G46,nrBankTopics,0),1),0),nrInstrNames)&gt;0))&lt;SUMPRODUCT((nrInstrNames&lt;&gt;"")*ISNUMBER(SEARCH(nrInstrNames,$I46))),"NOT IN BANK","OK"))))</f>
        <v/>
      </c>
    </row>
    <row r="47">
      <c r="B47" s="18" t="n"/>
      <c r="C47" s="17">
        <f>IF($B47="","",TEXT($B47,"ddd"))</f>
        <v/>
      </c>
      <c r="D47" s="41" t="n"/>
      <c r="E47" s="41" t="n"/>
      <c r="F47" s="17">
        <f>IF(OR($B47="",$D47="",$E47=""),"",ROUND(MOD($E47-$D47,1)*24,2))</f>
        <v/>
      </c>
      <c r="G47" s="16" t="n"/>
      <c r="H47" s="17">
        <f>IF($G47="","",IFERROR(_xlfn.XLOOKUP($G47,nrCHname,nrCHnum),IFERROR(_xlfn.XLOOKUP($G47,nrSUBname,nrSUBparent),"")))</f>
        <v/>
      </c>
      <c r="I47" s="16" t="n"/>
      <c r="J47" s="16" t="n"/>
      <c r="K47" s="17">
        <f>IF($B47="","",IFERROR(_xlfn.XLOOKUP($B47,nrCDdate,nrCDweek),""))</f>
        <v/>
      </c>
      <c r="L47" s="17">
        <f>IF($B47="","",IFERROR(_xlfn.XLOOKUP($B47,nrCDdate,nrCDnum),""))</f>
        <v/>
      </c>
      <c r="M47" s="16" t="n"/>
      <c r="N47" s="17">
        <f>IF(OR($B47="",$I47=""),"",_xlfn.LET(_xlpm.a,$I47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7" s="17">
        <f>IF(OR($B47="",$D47="",$E47=""),"",IF($E47=$D47,"CHECK TIMES (start = end)",IF($F47&gt;12,"CHECK TIMES (End is before Start?)","OK")))</f>
        <v/>
      </c>
      <c r="P47" s="17">
        <f>IF(OR($B47="",$I47=""),"",IF(IFERROR(MATCH($G47,nrBankTopics,0),0)=0,"OK",IF(COUNTA(INDEX(nrBankGrid,IFERROR(MATCH($G47,nrBankTopics,0),1),0))=0,"OK",IF(SUMPRODUCT((nrInstrNames&lt;&gt;"")*ISNUMBER(SEARCH(nrInstrNames,$I47))*(COUNTIF(INDEX(nrBankGrid,IFERROR(MATCH($G47,nrBankTopics,0),1),0),nrInstrNames)&gt;0))&lt;SUMPRODUCT((nrInstrNames&lt;&gt;"")*ISNUMBER(SEARCH(nrInstrNames,$I47))),"NOT IN BANK","OK"))))</f>
        <v/>
      </c>
    </row>
    <row r="48">
      <c r="B48" s="18" t="n"/>
      <c r="C48" s="17">
        <f>IF($B48="","",TEXT($B48,"ddd"))</f>
        <v/>
      </c>
      <c r="D48" s="41" t="n"/>
      <c r="E48" s="41" t="n"/>
      <c r="F48" s="17">
        <f>IF(OR($B48="",$D48="",$E48=""),"",ROUND(MOD($E48-$D48,1)*24,2))</f>
        <v/>
      </c>
      <c r="G48" s="16" t="n"/>
      <c r="H48" s="17">
        <f>IF($G48="","",IFERROR(_xlfn.XLOOKUP($G48,nrCHname,nrCHnum),IFERROR(_xlfn.XLOOKUP($G48,nrSUBname,nrSUBparent),"")))</f>
        <v/>
      </c>
      <c r="I48" s="16" t="n"/>
      <c r="J48" s="16" t="n"/>
      <c r="K48" s="17">
        <f>IF($B48="","",IFERROR(_xlfn.XLOOKUP($B48,nrCDdate,nrCDweek),""))</f>
        <v/>
      </c>
      <c r="L48" s="17">
        <f>IF($B48="","",IFERROR(_xlfn.XLOOKUP($B48,nrCDdate,nrCDnum),""))</f>
        <v/>
      </c>
      <c r="M48" s="16" t="n"/>
      <c r="N48" s="17">
        <f>IF(OR($B48="",$I48=""),"",_xlfn.LET(_xlpm.a,$I48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8" s="17">
        <f>IF(OR($B48="",$D48="",$E48=""),"",IF($E48=$D48,"CHECK TIMES (start = end)",IF($F48&gt;12,"CHECK TIMES (End is before Start?)","OK")))</f>
        <v/>
      </c>
      <c r="P48" s="17">
        <f>IF(OR($B48="",$I48=""),"",IF(IFERROR(MATCH($G48,nrBankTopics,0),0)=0,"OK",IF(COUNTA(INDEX(nrBankGrid,IFERROR(MATCH($G48,nrBankTopics,0),1),0))=0,"OK",IF(SUMPRODUCT((nrInstrNames&lt;&gt;"")*ISNUMBER(SEARCH(nrInstrNames,$I48))*(COUNTIF(INDEX(nrBankGrid,IFERROR(MATCH($G48,nrBankTopics,0),1),0),nrInstrNames)&gt;0))&lt;SUMPRODUCT((nrInstrNames&lt;&gt;"")*ISNUMBER(SEARCH(nrInstrNames,$I48))),"NOT IN BANK","OK"))))</f>
        <v/>
      </c>
    </row>
    <row r="49">
      <c r="B49" s="18" t="n"/>
      <c r="C49" s="17">
        <f>IF($B49="","",TEXT($B49,"ddd"))</f>
        <v/>
      </c>
      <c r="D49" s="41" t="n"/>
      <c r="E49" s="41" t="n"/>
      <c r="F49" s="17">
        <f>IF(OR($B49="",$D49="",$E49=""),"",ROUND(MOD($E49-$D49,1)*24,2))</f>
        <v/>
      </c>
      <c r="G49" s="16" t="n"/>
      <c r="H49" s="17">
        <f>IF($G49="","",IFERROR(_xlfn.XLOOKUP($G49,nrCHname,nrCHnum),IFERROR(_xlfn.XLOOKUP($G49,nrSUBname,nrSUBparent),"")))</f>
        <v/>
      </c>
      <c r="I49" s="16" t="n"/>
      <c r="J49" s="16" t="n"/>
      <c r="K49" s="17">
        <f>IF($B49="","",IFERROR(_xlfn.XLOOKUP($B49,nrCDdate,nrCDweek),""))</f>
        <v/>
      </c>
      <c r="L49" s="17">
        <f>IF($B49="","",IFERROR(_xlfn.XLOOKUP($B49,nrCDdate,nrCDnum),""))</f>
        <v/>
      </c>
      <c r="M49" s="16" t="n"/>
      <c r="N49" s="17">
        <f>IF(OR($B49="",$I49=""),"",_xlfn.LET(_xlpm.a,$I49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9" s="17">
        <f>IF(OR($B49="",$D49="",$E49=""),"",IF($E49=$D49,"CHECK TIMES (start = end)",IF($F49&gt;12,"CHECK TIMES (End is before Start?)","OK")))</f>
        <v/>
      </c>
      <c r="P49" s="17">
        <f>IF(OR($B49="",$I49=""),"",IF(IFERROR(MATCH($G49,nrBankTopics,0),0)=0,"OK",IF(COUNTA(INDEX(nrBankGrid,IFERROR(MATCH($G49,nrBankTopics,0),1),0))=0,"OK",IF(SUMPRODUCT((nrInstrNames&lt;&gt;"")*ISNUMBER(SEARCH(nrInstrNames,$I49))*(COUNTIF(INDEX(nrBankGrid,IFERROR(MATCH($G49,nrBankTopics,0),1),0),nrInstrNames)&gt;0))&lt;SUMPRODUCT((nrInstrNames&lt;&gt;"")*ISNUMBER(SEARCH(nrInstrNames,$I49))),"NOT IN BANK","OK"))))</f>
        <v/>
      </c>
    </row>
    <row r="50">
      <c r="B50" s="18" t="n"/>
      <c r="C50" s="17">
        <f>IF($B50="","",TEXT($B50,"ddd"))</f>
        <v/>
      </c>
      <c r="D50" s="41" t="n"/>
      <c r="E50" s="41" t="n"/>
      <c r="F50" s="17">
        <f>IF(OR($B50="",$D50="",$E50=""),"",ROUND(MOD($E50-$D50,1)*24,2))</f>
        <v/>
      </c>
      <c r="G50" s="16" t="n"/>
      <c r="H50" s="17">
        <f>IF($G50="","",IFERROR(_xlfn.XLOOKUP($G50,nrCHname,nrCHnum),IFERROR(_xlfn.XLOOKUP($G50,nrSUBname,nrSUBparent),"")))</f>
        <v/>
      </c>
      <c r="I50" s="16" t="n"/>
      <c r="J50" s="16" t="n"/>
      <c r="K50" s="17">
        <f>IF($B50="","",IFERROR(_xlfn.XLOOKUP($B50,nrCDdate,nrCDweek),""))</f>
        <v/>
      </c>
      <c r="L50" s="17">
        <f>IF($B50="","",IFERROR(_xlfn.XLOOKUP($B50,nrCDdate,nrCDnum),""))</f>
        <v/>
      </c>
      <c r="M50" s="16" t="n"/>
      <c r="N50" s="17">
        <f>IF(OR($B50="",$I50=""),"",_xlfn.LET(_xlpm.a,$I50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0" s="17">
        <f>IF(OR($B50="",$D50="",$E50=""),"",IF($E50=$D50,"CHECK TIMES (start = end)",IF($F50&gt;12,"CHECK TIMES (End is before Start?)","OK")))</f>
        <v/>
      </c>
      <c r="P50" s="17">
        <f>IF(OR($B50="",$I50=""),"",IF(IFERROR(MATCH($G50,nrBankTopics,0),0)=0,"OK",IF(COUNTA(INDEX(nrBankGrid,IFERROR(MATCH($G50,nrBankTopics,0),1),0))=0,"OK",IF(SUMPRODUCT((nrInstrNames&lt;&gt;"")*ISNUMBER(SEARCH(nrInstrNames,$I50))*(COUNTIF(INDEX(nrBankGrid,IFERROR(MATCH($G50,nrBankTopics,0),1),0),nrInstrNames)&gt;0))&lt;SUMPRODUCT((nrInstrNames&lt;&gt;"")*ISNUMBER(SEARCH(nrInstrNames,$I50))),"NOT IN BANK","OK"))))</f>
        <v/>
      </c>
    </row>
    <row r="51">
      <c r="B51" s="18" t="n"/>
      <c r="C51" s="17">
        <f>IF($B51="","",TEXT($B51,"ddd"))</f>
        <v/>
      </c>
      <c r="D51" s="41" t="n"/>
      <c r="E51" s="41" t="n"/>
      <c r="F51" s="17">
        <f>IF(OR($B51="",$D51="",$E51=""),"",ROUND(MOD($E51-$D51,1)*24,2))</f>
        <v/>
      </c>
      <c r="G51" s="16" t="n"/>
      <c r="H51" s="17">
        <f>IF($G51="","",IFERROR(_xlfn.XLOOKUP($G51,nrCHname,nrCHnum),IFERROR(_xlfn.XLOOKUP($G51,nrSUBname,nrSUBparent),"")))</f>
        <v/>
      </c>
      <c r="I51" s="16" t="n"/>
      <c r="J51" s="16" t="n"/>
      <c r="K51" s="17">
        <f>IF($B51="","",IFERROR(_xlfn.XLOOKUP($B51,nrCDdate,nrCDweek),""))</f>
        <v/>
      </c>
      <c r="L51" s="17">
        <f>IF($B51="","",IFERROR(_xlfn.XLOOKUP($B51,nrCDdate,nrCDnum),""))</f>
        <v/>
      </c>
      <c r="M51" s="16" t="n"/>
      <c r="N51" s="17">
        <f>IF(OR($B51="",$I51=""),"",_xlfn.LET(_xlpm.a,$I51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1" s="17">
        <f>IF(OR($B51="",$D51="",$E51=""),"",IF($E51=$D51,"CHECK TIMES (start = end)",IF($F51&gt;12,"CHECK TIMES (End is before Start?)","OK")))</f>
        <v/>
      </c>
      <c r="P51" s="17">
        <f>IF(OR($B51="",$I51=""),"",IF(IFERROR(MATCH($G51,nrBankTopics,0),0)=0,"OK",IF(COUNTA(INDEX(nrBankGrid,IFERROR(MATCH($G51,nrBankTopics,0),1),0))=0,"OK",IF(SUMPRODUCT((nrInstrNames&lt;&gt;"")*ISNUMBER(SEARCH(nrInstrNames,$I51))*(COUNTIF(INDEX(nrBankGrid,IFERROR(MATCH($G51,nrBankTopics,0),1),0),nrInstrNames)&gt;0))&lt;SUMPRODUCT((nrInstrNames&lt;&gt;"")*ISNUMBER(SEARCH(nrInstrNames,$I51))),"NOT IN BANK","OK"))))</f>
        <v/>
      </c>
    </row>
    <row r="52">
      <c r="B52" s="18" t="n"/>
      <c r="C52" s="17">
        <f>IF($B52="","",TEXT($B52,"ddd"))</f>
        <v/>
      </c>
      <c r="D52" s="41" t="n"/>
      <c r="E52" s="41" t="n"/>
      <c r="F52" s="17">
        <f>IF(OR($B52="",$D52="",$E52=""),"",ROUND(MOD($E52-$D52,1)*24,2))</f>
        <v/>
      </c>
      <c r="G52" s="16" t="n"/>
      <c r="H52" s="17">
        <f>IF($G52="","",IFERROR(_xlfn.XLOOKUP($G52,nrCHname,nrCHnum),IFERROR(_xlfn.XLOOKUP($G52,nrSUBname,nrSUBparent),"")))</f>
        <v/>
      </c>
      <c r="I52" s="16" t="n"/>
      <c r="J52" s="16" t="n"/>
      <c r="K52" s="17">
        <f>IF($B52="","",IFERROR(_xlfn.XLOOKUP($B52,nrCDdate,nrCDweek),""))</f>
        <v/>
      </c>
      <c r="L52" s="17">
        <f>IF($B52="","",IFERROR(_xlfn.XLOOKUP($B52,nrCDdate,nrCDnum),""))</f>
        <v/>
      </c>
      <c r="M52" s="16" t="n"/>
      <c r="N52" s="17">
        <f>IF(OR($B52="",$I52=""),"",_xlfn.LET(_xlpm.a,$I52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2" s="17">
        <f>IF(OR($B52="",$D52="",$E52=""),"",IF($E52=$D52,"CHECK TIMES (start = end)",IF($F52&gt;12,"CHECK TIMES (End is before Start?)","OK")))</f>
        <v/>
      </c>
      <c r="P52" s="17">
        <f>IF(OR($B52="",$I52=""),"",IF(IFERROR(MATCH($G52,nrBankTopics,0),0)=0,"OK",IF(COUNTA(INDEX(nrBankGrid,IFERROR(MATCH($G52,nrBankTopics,0),1),0))=0,"OK",IF(SUMPRODUCT((nrInstrNames&lt;&gt;"")*ISNUMBER(SEARCH(nrInstrNames,$I52))*(COUNTIF(INDEX(nrBankGrid,IFERROR(MATCH($G52,nrBankTopics,0),1),0),nrInstrNames)&gt;0))&lt;SUMPRODUCT((nrInstrNames&lt;&gt;"")*ISNUMBER(SEARCH(nrInstrNames,$I52))),"NOT IN BANK","OK"))))</f>
        <v/>
      </c>
    </row>
    <row r="53">
      <c r="B53" s="18" t="n"/>
      <c r="C53" s="17">
        <f>IF($B53="","",TEXT($B53,"ddd"))</f>
        <v/>
      </c>
      <c r="D53" s="41" t="n"/>
      <c r="E53" s="41" t="n"/>
      <c r="F53" s="17">
        <f>IF(OR($B53="",$D53="",$E53=""),"",ROUND(MOD($E53-$D53,1)*24,2))</f>
        <v/>
      </c>
      <c r="G53" s="16" t="n"/>
      <c r="H53" s="17">
        <f>IF($G53="","",IFERROR(_xlfn.XLOOKUP($G53,nrCHname,nrCHnum),IFERROR(_xlfn.XLOOKUP($G53,nrSUBname,nrSUBparent),"")))</f>
        <v/>
      </c>
      <c r="I53" s="16" t="n"/>
      <c r="J53" s="16" t="n"/>
      <c r="K53" s="17">
        <f>IF($B53="","",IFERROR(_xlfn.XLOOKUP($B53,nrCDdate,nrCDweek),""))</f>
        <v/>
      </c>
      <c r="L53" s="17">
        <f>IF($B53="","",IFERROR(_xlfn.XLOOKUP($B53,nrCDdate,nrCDnum),""))</f>
        <v/>
      </c>
      <c r="M53" s="16" t="n"/>
      <c r="N53" s="17">
        <f>IF(OR($B53="",$I53=""),"",_xlfn.LET(_xlpm.a,$I53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3" s="17">
        <f>IF(OR($B53="",$D53="",$E53=""),"",IF($E53=$D53,"CHECK TIMES (start = end)",IF($F53&gt;12,"CHECK TIMES (End is before Start?)","OK")))</f>
        <v/>
      </c>
      <c r="P53" s="17">
        <f>IF(OR($B53="",$I53=""),"",IF(IFERROR(MATCH($G53,nrBankTopics,0),0)=0,"OK",IF(COUNTA(INDEX(nrBankGrid,IFERROR(MATCH($G53,nrBankTopics,0),1),0))=0,"OK",IF(SUMPRODUCT((nrInstrNames&lt;&gt;"")*ISNUMBER(SEARCH(nrInstrNames,$I53))*(COUNTIF(INDEX(nrBankGrid,IFERROR(MATCH($G53,nrBankTopics,0),1),0),nrInstrNames)&gt;0))&lt;SUMPRODUCT((nrInstrNames&lt;&gt;"")*ISNUMBER(SEARCH(nrInstrNames,$I53))),"NOT IN BANK","OK"))))</f>
        <v/>
      </c>
    </row>
    <row r="54">
      <c r="B54" s="18" t="n"/>
      <c r="C54" s="17">
        <f>IF($B54="","",TEXT($B54,"ddd"))</f>
        <v/>
      </c>
      <c r="D54" s="41" t="n"/>
      <c r="E54" s="41" t="n"/>
      <c r="F54" s="17">
        <f>IF(OR($B54="",$D54="",$E54=""),"",ROUND(MOD($E54-$D54,1)*24,2))</f>
        <v/>
      </c>
      <c r="G54" s="16" t="n"/>
      <c r="H54" s="17">
        <f>IF($G54="","",IFERROR(_xlfn.XLOOKUP($G54,nrCHname,nrCHnum),IFERROR(_xlfn.XLOOKUP($G54,nrSUBname,nrSUBparent),"")))</f>
        <v/>
      </c>
      <c r="I54" s="16" t="n"/>
      <c r="J54" s="16" t="n"/>
      <c r="K54" s="17">
        <f>IF($B54="","",IFERROR(_xlfn.XLOOKUP($B54,nrCDdate,nrCDweek),""))</f>
        <v/>
      </c>
      <c r="L54" s="17">
        <f>IF($B54="","",IFERROR(_xlfn.XLOOKUP($B54,nrCDdate,nrCDnum),""))</f>
        <v/>
      </c>
      <c r="M54" s="16" t="n"/>
      <c r="N54" s="17">
        <f>IF(OR($B54="",$I54=""),"",_xlfn.LET(_xlpm.a,$I54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4" s="17">
        <f>IF(OR($B54="",$D54="",$E54=""),"",IF($E54=$D54,"CHECK TIMES (start = end)",IF($F54&gt;12,"CHECK TIMES (End is before Start?)","OK")))</f>
        <v/>
      </c>
      <c r="P54" s="17">
        <f>IF(OR($B54="",$I54=""),"",IF(IFERROR(MATCH($G54,nrBankTopics,0),0)=0,"OK",IF(COUNTA(INDEX(nrBankGrid,IFERROR(MATCH($G54,nrBankTopics,0),1),0))=0,"OK",IF(SUMPRODUCT((nrInstrNames&lt;&gt;"")*ISNUMBER(SEARCH(nrInstrNames,$I54))*(COUNTIF(INDEX(nrBankGrid,IFERROR(MATCH($G54,nrBankTopics,0),1),0),nrInstrNames)&gt;0))&lt;SUMPRODUCT((nrInstrNames&lt;&gt;"")*ISNUMBER(SEARCH(nrInstrNames,$I54))),"NOT IN BANK","OK"))))</f>
        <v/>
      </c>
    </row>
    <row r="55">
      <c r="B55" s="18" t="n"/>
      <c r="C55" s="17">
        <f>IF($B55="","",TEXT($B55,"ddd"))</f>
        <v/>
      </c>
      <c r="D55" s="41" t="n"/>
      <c r="E55" s="41" t="n"/>
      <c r="F55" s="17">
        <f>IF(OR($B55="",$D55="",$E55=""),"",ROUND(MOD($E55-$D55,1)*24,2))</f>
        <v/>
      </c>
      <c r="G55" s="16" t="n"/>
      <c r="H55" s="17">
        <f>IF($G55="","",IFERROR(_xlfn.XLOOKUP($G55,nrCHname,nrCHnum),IFERROR(_xlfn.XLOOKUP($G55,nrSUBname,nrSUBparent),"")))</f>
        <v/>
      </c>
      <c r="I55" s="16" t="n"/>
      <c r="J55" s="16" t="n"/>
      <c r="K55" s="17">
        <f>IF($B55="","",IFERROR(_xlfn.XLOOKUP($B55,nrCDdate,nrCDweek),""))</f>
        <v/>
      </c>
      <c r="L55" s="17">
        <f>IF($B55="","",IFERROR(_xlfn.XLOOKUP($B55,nrCDdate,nrCDnum),""))</f>
        <v/>
      </c>
      <c r="M55" s="16" t="n"/>
      <c r="N55" s="17">
        <f>IF(OR($B55="",$I55=""),"",_xlfn.LET(_xlpm.a,$I55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5" s="17">
        <f>IF(OR($B55="",$D55="",$E55=""),"",IF($E55=$D55,"CHECK TIMES (start = end)",IF($F55&gt;12,"CHECK TIMES (End is before Start?)","OK")))</f>
        <v/>
      </c>
      <c r="P55" s="17">
        <f>IF(OR($B55="",$I55=""),"",IF(IFERROR(MATCH($G55,nrBankTopics,0),0)=0,"OK",IF(COUNTA(INDEX(nrBankGrid,IFERROR(MATCH($G55,nrBankTopics,0),1),0))=0,"OK",IF(SUMPRODUCT((nrInstrNames&lt;&gt;"")*ISNUMBER(SEARCH(nrInstrNames,$I55))*(COUNTIF(INDEX(nrBankGrid,IFERROR(MATCH($G55,nrBankTopics,0),1),0),nrInstrNames)&gt;0))&lt;SUMPRODUCT((nrInstrNames&lt;&gt;"")*ISNUMBER(SEARCH(nrInstrNames,$I55))),"NOT IN BANK","OK"))))</f>
        <v/>
      </c>
    </row>
    <row r="56">
      <c r="B56" s="18" t="n"/>
      <c r="C56" s="17">
        <f>IF($B56="","",TEXT($B56,"ddd"))</f>
        <v/>
      </c>
      <c r="D56" s="41" t="n"/>
      <c r="E56" s="41" t="n"/>
      <c r="F56" s="17">
        <f>IF(OR($B56="",$D56="",$E56=""),"",ROUND(MOD($E56-$D56,1)*24,2))</f>
        <v/>
      </c>
      <c r="G56" s="16" t="n"/>
      <c r="H56" s="17">
        <f>IF($G56="","",IFERROR(_xlfn.XLOOKUP($G56,nrCHname,nrCHnum),IFERROR(_xlfn.XLOOKUP($G56,nrSUBname,nrSUBparent),"")))</f>
        <v/>
      </c>
      <c r="I56" s="16" t="n"/>
      <c r="J56" s="16" t="n"/>
      <c r="K56" s="17">
        <f>IF($B56="","",IFERROR(_xlfn.XLOOKUP($B56,nrCDdate,nrCDweek),""))</f>
        <v/>
      </c>
      <c r="L56" s="17">
        <f>IF($B56="","",IFERROR(_xlfn.XLOOKUP($B56,nrCDdate,nrCDnum),""))</f>
        <v/>
      </c>
      <c r="M56" s="16" t="n"/>
      <c r="N56" s="17">
        <f>IF(OR($B56="",$I56=""),"",_xlfn.LET(_xlpm.a,$I56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6" s="17">
        <f>IF(OR($B56="",$D56="",$E56=""),"",IF($E56=$D56,"CHECK TIMES (start = end)",IF($F56&gt;12,"CHECK TIMES (End is before Start?)","OK")))</f>
        <v/>
      </c>
      <c r="P56" s="17">
        <f>IF(OR($B56="",$I56=""),"",IF(IFERROR(MATCH($G56,nrBankTopics,0),0)=0,"OK",IF(COUNTA(INDEX(nrBankGrid,IFERROR(MATCH($G56,nrBankTopics,0),1),0))=0,"OK",IF(SUMPRODUCT((nrInstrNames&lt;&gt;"")*ISNUMBER(SEARCH(nrInstrNames,$I56))*(COUNTIF(INDEX(nrBankGrid,IFERROR(MATCH($G56,nrBankTopics,0),1),0),nrInstrNames)&gt;0))&lt;SUMPRODUCT((nrInstrNames&lt;&gt;"")*ISNUMBER(SEARCH(nrInstrNames,$I56))),"NOT IN BANK","OK"))))</f>
        <v/>
      </c>
    </row>
    <row r="57">
      <c r="B57" s="18" t="n"/>
      <c r="C57" s="17">
        <f>IF($B57="","",TEXT($B57,"ddd"))</f>
        <v/>
      </c>
      <c r="D57" s="41" t="n"/>
      <c r="E57" s="41" t="n"/>
      <c r="F57" s="17">
        <f>IF(OR($B57="",$D57="",$E57=""),"",ROUND(MOD($E57-$D57,1)*24,2))</f>
        <v/>
      </c>
      <c r="G57" s="16" t="n"/>
      <c r="H57" s="17">
        <f>IF($G57="","",IFERROR(_xlfn.XLOOKUP($G57,nrCHname,nrCHnum),IFERROR(_xlfn.XLOOKUP($G57,nrSUBname,nrSUBparent),"")))</f>
        <v/>
      </c>
      <c r="I57" s="16" t="n"/>
      <c r="J57" s="16" t="n"/>
      <c r="K57" s="17">
        <f>IF($B57="","",IFERROR(_xlfn.XLOOKUP($B57,nrCDdate,nrCDweek),""))</f>
        <v/>
      </c>
      <c r="L57" s="17">
        <f>IF($B57="","",IFERROR(_xlfn.XLOOKUP($B57,nrCDdate,nrCDnum),""))</f>
        <v/>
      </c>
      <c r="M57" s="16" t="n"/>
      <c r="N57" s="17">
        <f>IF(OR($B57="",$I57=""),"",_xlfn.LET(_xlpm.a,$I57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7" s="17">
        <f>IF(OR($B57="",$D57="",$E57=""),"",IF($E57=$D57,"CHECK TIMES (start = end)",IF($F57&gt;12,"CHECK TIMES (End is before Start?)","OK")))</f>
        <v/>
      </c>
      <c r="P57" s="17">
        <f>IF(OR($B57="",$I57=""),"",IF(IFERROR(MATCH($G57,nrBankTopics,0),0)=0,"OK",IF(COUNTA(INDEX(nrBankGrid,IFERROR(MATCH($G57,nrBankTopics,0),1),0))=0,"OK",IF(SUMPRODUCT((nrInstrNames&lt;&gt;"")*ISNUMBER(SEARCH(nrInstrNames,$I57))*(COUNTIF(INDEX(nrBankGrid,IFERROR(MATCH($G57,nrBankTopics,0),1),0),nrInstrNames)&gt;0))&lt;SUMPRODUCT((nrInstrNames&lt;&gt;"")*ISNUMBER(SEARCH(nrInstrNames,$I57))),"NOT IN BANK","OK"))))</f>
        <v/>
      </c>
    </row>
    <row r="58">
      <c r="B58" s="18" t="n"/>
      <c r="C58" s="17">
        <f>IF($B58="","",TEXT($B58,"ddd"))</f>
        <v/>
      </c>
      <c r="D58" s="41" t="n"/>
      <c r="E58" s="41" t="n"/>
      <c r="F58" s="17">
        <f>IF(OR($B58="",$D58="",$E58=""),"",ROUND(MOD($E58-$D58,1)*24,2))</f>
        <v/>
      </c>
      <c r="G58" s="16" t="n"/>
      <c r="H58" s="17">
        <f>IF($G58="","",IFERROR(_xlfn.XLOOKUP($G58,nrCHname,nrCHnum),IFERROR(_xlfn.XLOOKUP($G58,nrSUBname,nrSUBparent),"")))</f>
        <v/>
      </c>
      <c r="I58" s="16" t="n"/>
      <c r="J58" s="16" t="n"/>
      <c r="K58" s="17">
        <f>IF($B58="","",IFERROR(_xlfn.XLOOKUP($B58,nrCDdate,nrCDweek),""))</f>
        <v/>
      </c>
      <c r="L58" s="17">
        <f>IF($B58="","",IFERROR(_xlfn.XLOOKUP($B58,nrCDdate,nrCDnum),""))</f>
        <v/>
      </c>
      <c r="M58" s="16" t="n"/>
      <c r="N58" s="17">
        <f>IF(OR($B58="",$I58=""),"",_xlfn.LET(_xlpm.a,$I58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8" s="17">
        <f>IF(OR($B58="",$D58="",$E58=""),"",IF($E58=$D58,"CHECK TIMES (start = end)",IF($F58&gt;12,"CHECK TIMES (End is before Start?)","OK")))</f>
        <v/>
      </c>
      <c r="P58" s="17">
        <f>IF(OR($B58="",$I58=""),"",IF(IFERROR(MATCH($G58,nrBankTopics,0),0)=0,"OK",IF(COUNTA(INDEX(nrBankGrid,IFERROR(MATCH($G58,nrBankTopics,0),1),0))=0,"OK",IF(SUMPRODUCT((nrInstrNames&lt;&gt;"")*ISNUMBER(SEARCH(nrInstrNames,$I58))*(COUNTIF(INDEX(nrBankGrid,IFERROR(MATCH($G58,nrBankTopics,0),1),0),nrInstrNames)&gt;0))&lt;SUMPRODUCT((nrInstrNames&lt;&gt;"")*ISNUMBER(SEARCH(nrInstrNames,$I58))),"NOT IN BANK","OK"))))</f>
        <v/>
      </c>
    </row>
    <row r="59">
      <c r="B59" s="18" t="n"/>
      <c r="C59" s="17">
        <f>IF($B59="","",TEXT($B59,"ddd"))</f>
        <v/>
      </c>
      <c r="D59" s="41" t="n"/>
      <c r="E59" s="41" t="n"/>
      <c r="F59" s="17">
        <f>IF(OR($B59="",$D59="",$E59=""),"",ROUND(MOD($E59-$D59,1)*24,2))</f>
        <v/>
      </c>
      <c r="G59" s="16" t="n"/>
      <c r="H59" s="17">
        <f>IF($G59="","",IFERROR(_xlfn.XLOOKUP($G59,nrCHname,nrCHnum),IFERROR(_xlfn.XLOOKUP($G59,nrSUBname,nrSUBparent),"")))</f>
        <v/>
      </c>
      <c r="I59" s="16" t="n"/>
      <c r="J59" s="16" t="n"/>
      <c r="K59" s="17">
        <f>IF($B59="","",IFERROR(_xlfn.XLOOKUP($B59,nrCDdate,nrCDweek),""))</f>
        <v/>
      </c>
      <c r="L59" s="17">
        <f>IF($B59="","",IFERROR(_xlfn.XLOOKUP($B59,nrCDdate,nrCDnum),""))</f>
        <v/>
      </c>
      <c r="M59" s="16" t="n"/>
      <c r="N59" s="17">
        <f>IF(OR($B59="",$I59=""),"",_xlfn.LET(_xlpm.a,$I59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9" s="17">
        <f>IF(OR($B59="",$D59="",$E59=""),"",IF($E59=$D59,"CHECK TIMES (start = end)",IF($F59&gt;12,"CHECK TIMES (End is before Start?)","OK")))</f>
        <v/>
      </c>
      <c r="P59" s="17">
        <f>IF(OR($B59="",$I59=""),"",IF(IFERROR(MATCH($G59,nrBankTopics,0),0)=0,"OK",IF(COUNTA(INDEX(nrBankGrid,IFERROR(MATCH($G59,nrBankTopics,0),1),0))=0,"OK",IF(SUMPRODUCT((nrInstrNames&lt;&gt;"")*ISNUMBER(SEARCH(nrInstrNames,$I59))*(COUNTIF(INDEX(nrBankGrid,IFERROR(MATCH($G59,nrBankTopics,0),1),0),nrInstrNames)&gt;0))&lt;SUMPRODUCT((nrInstrNames&lt;&gt;"")*ISNUMBER(SEARCH(nrInstrNames,$I59))),"NOT IN BANK","OK"))))</f>
        <v/>
      </c>
    </row>
    <row r="60">
      <c r="B60" s="18" t="n"/>
      <c r="C60" s="17">
        <f>IF($B60="","",TEXT($B60,"ddd"))</f>
        <v/>
      </c>
      <c r="D60" s="41" t="n"/>
      <c r="E60" s="41" t="n"/>
      <c r="F60" s="17">
        <f>IF(OR($B60="",$D60="",$E60=""),"",ROUND(MOD($E60-$D60,1)*24,2))</f>
        <v/>
      </c>
      <c r="G60" s="16" t="n"/>
      <c r="H60" s="17">
        <f>IF($G60="","",IFERROR(_xlfn.XLOOKUP($G60,nrCHname,nrCHnum),IFERROR(_xlfn.XLOOKUP($G60,nrSUBname,nrSUBparent),"")))</f>
        <v/>
      </c>
      <c r="I60" s="16" t="n"/>
      <c r="J60" s="16" t="n"/>
      <c r="K60" s="17">
        <f>IF($B60="","",IFERROR(_xlfn.XLOOKUP($B60,nrCDdate,nrCDweek),""))</f>
        <v/>
      </c>
      <c r="L60" s="17">
        <f>IF($B60="","",IFERROR(_xlfn.XLOOKUP($B60,nrCDdate,nrCDnum),""))</f>
        <v/>
      </c>
      <c r="M60" s="16" t="n"/>
      <c r="N60" s="17">
        <f>IF(OR($B60="",$I60=""),"",_xlfn.LET(_xlpm.a,$I60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0" s="17">
        <f>IF(OR($B60="",$D60="",$E60=""),"",IF($E60=$D60,"CHECK TIMES (start = end)",IF($F60&gt;12,"CHECK TIMES (End is before Start?)","OK")))</f>
        <v/>
      </c>
      <c r="P60" s="17">
        <f>IF(OR($B60="",$I60=""),"",IF(IFERROR(MATCH($G60,nrBankTopics,0),0)=0,"OK",IF(COUNTA(INDEX(nrBankGrid,IFERROR(MATCH($G60,nrBankTopics,0),1),0))=0,"OK",IF(SUMPRODUCT((nrInstrNames&lt;&gt;"")*ISNUMBER(SEARCH(nrInstrNames,$I60))*(COUNTIF(INDEX(nrBankGrid,IFERROR(MATCH($G60,nrBankTopics,0),1),0),nrInstrNames)&gt;0))&lt;SUMPRODUCT((nrInstrNames&lt;&gt;"")*ISNUMBER(SEARCH(nrInstrNames,$I60))),"NOT IN BANK","OK"))))</f>
        <v/>
      </c>
    </row>
    <row r="61">
      <c r="B61" s="18" t="n"/>
      <c r="C61" s="17">
        <f>IF($B61="","",TEXT($B61,"ddd"))</f>
        <v/>
      </c>
      <c r="D61" s="41" t="n"/>
      <c r="E61" s="41" t="n"/>
      <c r="F61" s="17">
        <f>IF(OR($B61="",$D61="",$E61=""),"",ROUND(MOD($E61-$D61,1)*24,2))</f>
        <v/>
      </c>
      <c r="G61" s="16" t="n"/>
      <c r="H61" s="17">
        <f>IF($G61="","",IFERROR(_xlfn.XLOOKUP($G61,nrCHname,nrCHnum),IFERROR(_xlfn.XLOOKUP($G61,nrSUBname,nrSUBparent),"")))</f>
        <v/>
      </c>
      <c r="I61" s="16" t="n"/>
      <c r="J61" s="16" t="n"/>
      <c r="K61" s="17">
        <f>IF($B61="","",IFERROR(_xlfn.XLOOKUP($B61,nrCDdate,nrCDweek),""))</f>
        <v/>
      </c>
      <c r="L61" s="17">
        <f>IF($B61="","",IFERROR(_xlfn.XLOOKUP($B61,nrCDdate,nrCDnum),""))</f>
        <v/>
      </c>
      <c r="M61" s="16" t="n"/>
      <c r="N61" s="17">
        <f>IF(OR($B61="",$I61=""),"",_xlfn.LET(_xlpm.a,$I61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1" s="17">
        <f>IF(OR($B61="",$D61="",$E61=""),"",IF($E61=$D61,"CHECK TIMES (start = end)",IF($F61&gt;12,"CHECK TIMES (End is before Start?)","OK")))</f>
        <v/>
      </c>
      <c r="P61" s="17">
        <f>IF(OR($B61="",$I61=""),"",IF(IFERROR(MATCH($G61,nrBankTopics,0),0)=0,"OK",IF(COUNTA(INDEX(nrBankGrid,IFERROR(MATCH($G61,nrBankTopics,0),1),0))=0,"OK",IF(SUMPRODUCT((nrInstrNames&lt;&gt;"")*ISNUMBER(SEARCH(nrInstrNames,$I61))*(COUNTIF(INDEX(nrBankGrid,IFERROR(MATCH($G61,nrBankTopics,0),1),0),nrInstrNames)&gt;0))&lt;SUMPRODUCT((nrInstrNames&lt;&gt;"")*ISNUMBER(SEARCH(nrInstrNames,$I61))),"NOT IN BANK","OK"))))</f>
        <v/>
      </c>
    </row>
    <row r="62">
      <c r="B62" s="18" t="n"/>
      <c r="C62" s="17">
        <f>IF($B62="","",TEXT($B62,"ddd"))</f>
        <v/>
      </c>
      <c r="D62" s="41" t="n"/>
      <c r="E62" s="41" t="n"/>
      <c r="F62" s="17">
        <f>IF(OR($B62="",$D62="",$E62=""),"",ROUND(MOD($E62-$D62,1)*24,2))</f>
        <v/>
      </c>
      <c r="G62" s="16" t="n"/>
      <c r="H62" s="17">
        <f>IF($G62="","",IFERROR(_xlfn.XLOOKUP($G62,nrCHname,nrCHnum),IFERROR(_xlfn.XLOOKUP($G62,nrSUBname,nrSUBparent),"")))</f>
        <v/>
      </c>
      <c r="I62" s="16" t="n"/>
      <c r="J62" s="16" t="n"/>
      <c r="K62" s="17">
        <f>IF($B62="","",IFERROR(_xlfn.XLOOKUP($B62,nrCDdate,nrCDweek),""))</f>
        <v/>
      </c>
      <c r="L62" s="17">
        <f>IF($B62="","",IFERROR(_xlfn.XLOOKUP($B62,nrCDdate,nrCDnum),""))</f>
        <v/>
      </c>
      <c r="M62" s="16" t="n"/>
      <c r="N62" s="17">
        <f>IF(OR($B62="",$I62=""),"",_xlfn.LET(_xlpm.a,$I62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2" s="17">
        <f>IF(OR($B62="",$D62="",$E62=""),"",IF($E62=$D62,"CHECK TIMES (start = end)",IF($F62&gt;12,"CHECK TIMES (End is before Start?)","OK")))</f>
        <v/>
      </c>
      <c r="P62" s="17">
        <f>IF(OR($B62="",$I62=""),"",IF(IFERROR(MATCH($G62,nrBankTopics,0),0)=0,"OK",IF(COUNTA(INDEX(nrBankGrid,IFERROR(MATCH($G62,nrBankTopics,0),1),0))=0,"OK",IF(SUMPRODUCT((nrInstrNames&lt;&gt;"")*ISNUMBER(SEARCH(nrInstrNames,$I62))*(COUNTIF(INDEX(nrBankGrid,IFERROR(MATCH($G62,nrBankTopics,0),1),0),nrInstrNames)&gt;0))&lt;SUMPRODUCT((nrInstrNames&lt;&gt;"")*ISNUMBER(SEARCH(nrInstrNames,$I62))),"NOT IN BANK","OK"))))</f>
        <v/>
      </c>
    </row>
    <row r="63">
      <c r="B63" s="18" t="n"/>
      <c r="C63" s="17">
        <f>IF($B63="","",TEXT($B63,"ddd"))</f>
        <v/>
      </c>
      <c r="D63" s="41" t="n"/>
      <c r="E63" s="41" t="n"/>
      <c r="F63" s="17">
        <f>IF(OR($B63="",$D63="",$E63=""),"",ROUND(MOD($E63-$D63,1)*24,2))</f>
        <v/>
      </c>
      <c r="G63" s="16" t="n"/>
      <c r="H63" s="17">
        <f>IF($G63="","",IFERROR(_xlfn.XLOOKUP($G63,nrCHname,nrCHnum),IFERROR(_xlfn.XLOOKUP($G63,nrSUBname,nrSUBparent),"")))</f>
        <v/>
      </c>
      <c r="I63" s="16" t="n"/>
      <c r="J63" s="16" t="n"/>
      <c r="K63" s="17">
        <f>IF($B63="","",IFERROR(_xlfn.XLOOKUP($B63,nrCDdate,nrCDweek),""))</f>
        <v/>
      </c>
      <c r="L63" s="17">
        <f>IF($B63="","",IFERROR(_xlfn.XLOOKUP($B63,nrCDdate,nrCDnum),""))</f>
        <v/>
      </c>
      <c r="M63" s="16" t="n"/>
      <c r="N63" s="17">
        <f>IF(OR($B63="",$I63=""),"",_xlfn.LET(_xlpm.a,$I63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3" s="17">
        <f>IF(OR($B63="",$D63="",$E63=""),"",IF($E63=$D63,"CHECK TIMES (start = end)",IF($F63&gt;12,"CHECK TIMES (End is before Start?)","OK")))</f>
        <v/>
      </c>
      <c r="P63" s="17">
        <f>IF(OR($B63="",$I63=""),"",IF(IFERROR(MATCH($G63,nrBankTopics,0),0)=0,"OK",IF(COUNTA(INDEX(nrBankGrid,IFERROR(MATCH($G63,nrBankTopics,0),1),0))=0,"OK",IF(SUMPRODUCT((nrInstrNames&lt;&gt;"")*ISNUMBER(SEARCH(nrInstrNames,$I63))*(COUNTIF(INDEX(nrBankGrid,IFERROR(MATCH($G63,nrBankTopics,0),1),0),nrInstrNames)&gt;0))&lt;SUMPRODUCT((nrInstrNames&lt;&gt;"")*ISNUMBER(SEARCH(nrInstrNames,$I63))),"NOT IN BANK","OK"))))</f>
        <v/>
      </c>
    </row>
    <row r="64">
      <c r="B64" s="18" t="n"/>
      <c r="C64" s="17">
        <f>IF($B64="","",TEXT($B64,"ddd"))</f>
        <v/>
      </c>
      <c r="D64" s="41" t="n"/>
      <c r="E64" s="41" t="n"/>
      <c r="F64" s="17">
        <f>IF(OR($B64="",$D64="",$E64=""),"",ROUND(MOD($E64-$D64,1)*24,2))</f>
        <v/>
      </c>
      <c r="G64" s="16" t="n"/>
      <c r="H64" s="17">
        <f>IF($G64="","",IFERROR(_xlfn.XLOOKUP($G64,nrCHname,nrCHnum),IFERROR(_xlfn.XLOOKUP($G64,nrSUBname,nrSUBparent),"")))</f>
        <v/>
      </c>
      <c r="I64" s="16" t="n"/>
      <c r="J64" s="16" t="n"/>
      <c r="K64" s="17">
        <f>IF($B64="","",IFERROR(_xlfn.XLOOKUP($B64,nrCDdate,nrCDweek),""))</f>
        <v/>
      </c>
      <c r="L64" s="17">
        <f>IF($B64="","",IFERROR(_xlfn.XLOOKUP($B64,nrCDdate,nrCDnum),""))</f>
        <v/>
      </c>
      <c r="M64" s="16" t="n"/>
      <c r="N64" s="17">
        <f>IF(OR($B64="",$I64=""),"",_xlfn.LET(_xlpm.a,$I64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4" s="17">
        <f>IF(OR($B64="",$D64="",$E64=""),"",IF($E64=$D64,"CHECK TIMES (start = end)",IF($F64&gt;12,"CHECK TIMES (End is before Start?)","OK")))</f>
        <v/>
      </c>
      <c r="P64" s="17">
        <f>IF(OR($B64="",$I64=""),"",IF(IFERROR(MATCH($G64,nrBankTopics,0),0)=0,"OK",IF(COUNTA(INDEX(nrBankGrid,IFERROR(MATCH($G64,nrBankTopics,0),1),0))=0,"OK",IF(SUMPRODUCT((nrInstrNames&lt;&gt;"")*ISNUMBER(SEARCH(nrInstrNames,$I64))*(COUNTIF(INDEX(nrBankGrid,IFERROR(MATCH($G64,nrBankTopics,0),1),0),nrInstrNames)&gt;0))&lt;SUMPRODUCT((nrInstrNames&lt;&gt;"")*ISNUMBER(SEARCH(nrInstrNames,$I64))),"NOT IN BANK","OK"))))</f>
        <v/>
      </c>
    </row>
    <row r="65">
      <c r="B65" s="18" t="n"/>
      <c r="C65" s="17">
        <f>IF($B65="","",TEXT($B65,"ddd"))</f>
        <v/>
      </c>
      <c r="D65" s="41" t="n"/>
      <c r="E65" s="41" t="n"/>
      <c r="F65" s="17">
        <f>IF(OR($B65="",$D65="",$E65=""),"",ROUND(MOD($E65-$D65,1)*24,2))</f>
        <v/>
      </c>
      <c r="G65" s="16" t="n"/>
      <c r="H65" s="17">
        <f>IF($G65="","",IFERROR(_xlfn.XLOOKUP($G65,nrCHname,nrCHnum),IFERROR(_xlfn.XLOOKUP($G65,nrSUBname,nrSUBparent),"")))</f>
        <v/>
      </c>
      <c r="I65" s="16" t="n"/>
      <c r="J65" s="16" t="n"/>
      <c r="K65" s="17">
        <f>IF($B65="","",IFERROR(_xlfn.XLOOKUP($B65,nrCDdate,nrCDweek),""))</f>
        <v/>
      </c>
      <c r="L65" s="17">
        <f>IF($B65="","",IFERROR(_xlfn.XLOOKUP($B65,nrCDdate,nrCDnum),""))</f>
        <v/>
      </c>
      <c r="M65" s="16" t="n"/>
      <c r="N65" s="17">
        <f>IF(OR($B65="",$I65=""),"",_xlfn.LET(_xlpm.a,$I65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5" s="17">
        <f>IF(OR($B65="",$D65="",$E65=""),"",IF($E65=$D65,"CHECK TIMES (start = end)",IF($F65&gt;12,"CHECK TIMES (End is before Start?)","OK")))</f>
        <v/>
      </c>
      <c r="P65" s="17">
        <f>IF(OR($B65="",$I65=""),"",IF(IFERROR(MATCH($G65,nrBankTopics,0),0)=0,"OK",IF(COUNTA(INDEX(nrBankGrid,IFERROR(MATCH($G65,nrBankTopics,0),1),0))=0,"OK",IF(SUMPRODUCT((nrInstrNames&lt;&gt;"")*ISNUMBER(SEARCH(nrInstrNames,$I65))*(COUNTIF(INDEX(nrBankGrid,IFERROR(MATCH($G65,nrBankTopics,0),1),0),nrInstrNames)&gt;0))&lt;SUMPRODUCT((nrInstrNames&lt;&gt;"")*ISNUMBER(SEARCH(nrInstrNames,$I65))),"NOT IN BANK","OK"))))</f>
        <v/>
      </c>
    </row>
    <row r="66">
      <c r="B66" s="18" t="n"/>
      <c r="C66" s="17">
        <f>IF($B66="","",TEXT($B66,"ddd"))</f>
        <v/>
      </c>
      <c r="D66" s="41" t="n"/>
      <c r="E66" s="41" t="n"/>
      <c r="F66" s="17">
        <f>IF(OR($B66="",$D66="",$E66=""),"",ROUND(MOD($E66-$D66,1)*24,2))</f>
        <v/>
      </c>
      <c r="G66" s="16" t="n"/>
      <c r="H66" s="17">
        <f>IF($G66="","",IFERROR(_xlfn.XLOOKUP($G66,nrCHname,nrCHnum),IFERROR(_xlfn.XLOOKUP($G66,nrSUBname,nrSUBparent),"")))</f>
        <v/>
      </c>
      <c r="I66" s="16" t="n"/>
      <c r="J66" s="16" t="n"/>
      <c r="K66" s="17">
        <f>IF($B66="","",IFERROR(_xlfn.XLOOKUP($B66,nrCDdate,nrCDweek),""))</f>
        <v/>
      </c>
      <c r="L66" s="17">
        <f>IF($B66="","",IFERROR(_xlfn.XLOOKUP($B66,nrCDdate,nrCDnum),""))</f>
        <v/>
      </c>
      <c r="M66" s="16" t="n"/>
      <c r="N66" s="17">
        <f>IF(OR($B66="",$I66=""),"",_xlfn.LET(_xlpm.a,$I66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6" s="17">
        <f>IF(OR($B66="",$D66="",$E66=""),"",IF($E66=$D66,"CHECK TIMES (start = end)",IF($F66&gt;12,"CHECK TIMES (End is before Start?)","OK")))</f>
        <v/>
      </c>
      <c r="P66" s="17">
        <f>IF(OR($B66="",$I66=""),"",IF(IFERROR(MATCH($G66,nrBankTopics,0),0)=0,"OK",IF(COUNTA(INDEX(nrBankGrid,IFERROR(MATCH($G66,nrBankTopics,0),1),0))=0,"OK",IF(SUMPRODUCT((nrInstrNames&lt;&gt;"")*ISNUMBER(SEARCH(nrInstrNames,$I66))*(COUNTIF(INDEX(nrBankGrid,IFERROR(MATCH($G66,nrBankTopics,0),1),0),nrInstrNames)&gt;0))&lt;SUMPRODUCT((nrInstrNames&lt;&gt;"")*ISNUMBER(SEARCH(nrInstrNames,$I66))),"NOT IN BANK","OK"))))</f>
        <v/>
      </c>
    </row>
    <row r="67">
      <c r="B67" s="18" t="n"/>
      <c r="C67" s="17">
        <f>IF($B67="","",TEXT($B67,"ddd"))</f>
        <v/>
      </c>
      <c r="D67" s="41" t="n"/>
      <c r="E67" s="41" t="n"/>
      <c r="F67" s="17">
        <f>IF(OR($B67="",$D67="",$E67=""),"",ROUND(MOD($E67-$D67,1)*24,2))</f>
        <v/>
      </c>
      <c r="G67" s="16" t="n"/>
      <c r="H67" s="17">
        <f>IF($G67="","",IFERROR(_xlfn.XLOOKUP($G67,nrCHname,nrCHnum),IFERROR(_xlfn.XLOOKUP($G67,nrSUBname,nrSUBparent),"")))</f>
        <v/>
      </c>
      <c r="I67" s="16" t="n"/>
      <c r="J67" s="16" t="n"/>
      <c r="K67" s="17">
        <f>IF($B67="","",IFERROR(_xlfn.XLOOKUP($B67,nrCDdate,nrCDweek),""))</f>
        <v/>
      </c>
      <c r="L67" s="17">
        <f>IF($B67="","",IFERROR(_xlfn.XLOOKUP($B67,nrCDdate,nrCDnum),""))</f>
        <v/>
      </c>
      <c r="M67" s="16" t="n"/>
      <c r="N67" s="17">
        <f>IF(OR($B67="",$I67=""),"",_xlfn.LET(_xlpm.a,$I67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7" s="17">
        <f>IF(OR($B67="",$D67="",$E67=""),"",IF($E67=$D67,"CHECK TIMES (start = end)",IF($F67&gt;12,"CHECK TIMES (End is before Start?)","OK")))</f>
        <v/>
      </c>
      <c r="P67" s="17">
        <f>IF(OR($B67="",$I67=""),"",IF(IFERROR(MATCH($G67,nrBankTopics,0),0)=0,"OK",IF(COUNTA(INDEX(nrBankGrid,IFERROR(MATCH($G67,nrBankTopics,0),1),0))=0,"OK",IF(SUMPRODUCT((nrInstrNames&lt;&gt;"")*ISNUMBER(SEARCH(nrInstrNames,$I67))*(COUNTIF(INDEX(nrBankGrid,IFERROR(MATCH($G67,nrBankTopics,0),1),0),nrInstrNames)&gt;0))&lt;SUMPRODUCT((nrInstrNames&lt;&gt;"")*ISNUMBER(SEARCH(nrInstrNames,$I67))),"NOT IN BANK","OK"))))</f>
        <v/>
      </c>
    </row>
    <row r="68">
      <c r="B68" s="18" t="n"/>
      <c r="C68" s="17">
        <f>IF($B68="","",TEXT($B68,"ddd"))</f>
        <v/>
      </c>
      <c r="D68" s="41" t="n"/>
      <c r="E68" s="41" t="n"/>
      <c r="F68" s="17">
        <f>IF(OR($B68="",$D68="",$E68=""),"",ROUND(MOD($E68-$D68,1)*24,2))</f>
        <v/>
      </c>
      <c r="G68" s="16" t="n"/>
      <c r="H68" s="17">
        <f>IF($G68="","",IFERROR(_xlfn.XLOOKUP($G68,nrCHname,nrCHnum),IFERROR(_xlfn.XLOOKUP($G68,nrSUBname,nrSUBparent),"")))</f>
        <v/>
      </c>
      <c r="I68" s="16" t="n"/>
      <c r="J68" s="16" t="n"/>
      <c r="K68" s="17">
        <f>IF($B68="","",IFERROR(_xlfn.XLOOKUP($B68,nrCDdate,nrCDweek),""))</f>
        <v/>
      </c>
      <c r="L68" s="17">
        <f>IF($B68="","",IFERROR(_xlfn.XLOOKUP($B68,nrCDdate,nrCDnum),""))</f>
        <v/>
      </c>
      <c r="M68" s="16" t="n"/>
      <c r="N68" s="17">
        <f>IF(OR($B68="",$I68=""),"",_xlfn.LET(_xlpm.a,$I68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8" s="17">
        <f>IF(OR($B68="",$D68="",$E68=""),"",IF($E68=$D68,"CHECK TIMES (start = end)",IF($F68&gt;12,"CHECK TIMES (End is before Start?)","OK")))</f>
        <v/>
      </c>
      <c r="P68" s="17">
        <f>IF(OR($B68="",$I68=""),"",IF(IFERROR(MATCH($G68,nrBankTopics,0),0)=0,"OK",IF(COUNTA(INDEX(nrBankGrid,IFERROR(MATCH($G68,nrBankTopics,0),1),0))=0,"OK",IF(SUMPRODUCT((nrInstrNames&lt;&gt;"")*ISNUMBER(SEARCH(nrInstrNames,$I68))*(COUNTIF(INDEX(nrBankGrid,IFERROR(MATCH($G68,nrBankTopics,0),1),0),nrInstrNames)&gt;0))&lt;SUMPRODUCT((nrInstrNames&lt;&gt;"")*ISNUMBER(SEARCH(nrInstrNames,$I68))),"NOT IN BANK","OK"))))</f>
        <v/>
      </c>
    </row>
    <row r="69">
      <c r="B69" s="18" t="n"/>
      <c r="C69" s="17">
        <f>IF($B69="","",TEXT($B69,"ddd"))</f>
        <v/>
      </c>
      <c r="D69" s="41" t="n"/>
      <c r="E69" s="41" t="n"/>
      <c r="F69" s="17">
        <f>IF(OR($B69="",$D69="",$E69=""),"",ROUND(MOD($E69-$D69,1)*24,2))</f>
        <v/>
      </c>
      <c r="G69" s="16" t="n"/>
      <c r="H69" s="17">
        <f>IF($G69="","",IFERROR(_xlfn.XLOOKUP($G69,nrCHname,nrCHnum),IFERROR(_xlfn.XLOOKUP($G69,nrSUBname,nrSUBparent),"")))</f>
        <v/>
      </c>
      <c r="I69" s="16" t="n"/>
      <c r="J69" s="16" t="n"/>
      <c r="K69" s="17">
        <f>IF($B69="","",IFERROR(_xlfn.XLOOKUP($B69,nrCDdate,nrCDweek),""))</f>
        <v/>
      </c>
      <c r="L69" s="17">
        <f>IF($B69="","",IFERROR(_xlfn.XLOOKUP($B69,nrCDdate,nrCDnum),""))</f>
        <v/>
      </c>
      <c r="M69" s="16" t="n"/>
      <c r="N69" s="17">
        <f>IF(OR($B69="",$I69=""),"",_xlfn.LET(_xlpm.a,$I69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9" s="17">
        <f>IF(OR($B69="",$D69="",$E69=""),"",IF($E69=$D69,"CHECK TIMES (start = end)",IF($F69&gt;12,"CHECK TIMES (End is before Start?)","OK")))</f>
        <v/>
      </c>
      <c r="P69" s="17">
        <f>IF(OR($B69="",$I69=""),"",IF(IFERROR(MATCH($G69,nrBankTopics,0),0)=0,"OK",IF(COUNTA(INDEX(nrBankGrid,IFERROR(MATCH($G69,nrBankTopics,0),1),0))=0,"OK",IF(SUMPRODUCT((nrInstrNames&lt;&gt;"")*ISNUMBER(SEARCH(nrInstrNames,$I69))*(COUNTIF(INDEX(nrBankGrid,IFERROR(MATCH($G69,nrBankTopics,0),1),0),nrInstrNames)&gt;0))&lt;SUMPRODUCT((nrInstrNames&lt;&gt;"")*ISNUMBER(SEARCH(nrInstrNames,$I69))),"NOT IN BANK","OK"))))</f>
        <v/>
      </c>
    </row>
    <row r="70">
      <c r="B70" s="18" t="n"/>
      <c r="C70" s="17">
        <f>IF($B70="","",TEXT($B70,"ddd"))</f>
        <v/>
      </c>
      <c r="D70" s="41" t="n"/>
      <c r="E70" s="41" t="n"/>
      <c r="F70" s="17">
        <f>IF(OR($B70="",$D70="",$E70=""),"",ROUND(MOD($E70-$D70,1)*24,2))</f>
        <v/>
      </c>
      <c r="G70" s="16" t="n"/>
      <c r="H70" s="17">
        <f>IF($G70="","",IFERROR(_xlfn.XLOOKUP($G70,nrCHname,nrCHnum),IFERROR(_xlfn.XLOOKUP($G70,nrSUBname,nrSUBparent),"")))</f>
        <v/>
      </c>
      <c r="I70" s="16" t="n"/>
      <c r="J70" s="16" t="n"/>
      <c r="K70" s="17">
        <f>IF($B70="","",IFERROR(_xlfn.XLOOKUP($B70,nrCDdate,nrCDweek),""))</f>
        <v/>
      </c>
      <c r="L70" s="17">
        <f>IF($B70="","",IFERROR(_xlfn.XLOOKUP($B70,nrCDdate,nrCDnum),""))</f>
        <v/>
      </c>
      <c r="M70" s="16" t="n"/>
      <c r="N70" s="17">
        <f>IF(OR($B70="",$I70=""),"",_xlfn.LET(_xlpm.a,$I70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0" s="17">
        <f>IF(OR($B70="",$D70="",$E70=""),"",IF($E70=$D70,"CHECK TIMES (start = end)",IF($F70&gt;12,"CHECK TIMES (End is before Start?)","OK")))</f>
        <v/>
      </c>
      <c r="P70" s="17">
        <f>IF(OR($B70="",$I70=""),"",IF(IFERROR(MATCH($G70,nrBankTopics,0),0)=0,"OK",IF(COUNTA(INDEX(nrBankGrid,IFERROR(MATCH($G70,nrBankTopics,0),1),0))=0,"OK",IF(SUMPRODUCT((nrInstrNames&lt;&gt;"")*ISNUMBER(SEARCH(nrInstrNames,$I70))*(COUNTIF(INDEX(nrBankGrid,IFERROR(MATCH($G70,nrBankTopics,0),1),0),nrInstrNames)&gt;0))&lt;SUMPRODUCT((nrInstrNames&lt;&gt;"")*ISNUMBER(SEARCH(nrInstrNames,$I70))),"NOT IN BANK","OK"))))</f>
        <v/>
      </c>
    </row>
    <row r="71">
      <c r="B71" s="18" t="n"/>
      <c r="C71" s="17">
        <f>IF($B71="","",TEXT($B71,"ddd"))</f>
        <v/>
      </c>
      <c r="D71" s="41" t="n"/>
      <c r="E71" s="41" t="n"/>
      <c r="F71" s="17">
        <f>IF(OR($B71="",$D71="",$E71=""),"",ROUND(MOD($E71-$D71,1)*24,2))</f>
        <v/>
      </c>
      <c r="G71" s="16" t="n"/>
      <c r="H71" s="17">
        <f>IF($G71="","",IFERROR(_xlfn.XLOOKUP($G71,nrCHname,nrCHnum),IFERROR(_xlfn.XLOOKUP($G71,nrSUBname,nrSUBparent),"")))</f>
        <v/>
      </c>
      <c r="I71" s="16" t="n"/>
      <c r="J71" s="16" t="n"/>
      <c r="K71" s="17">
        <f>IF($B71="","",IFERROR(_xlfn.XLOOKUP($B71,nrCDdate,nrCDweek),""))</f>
        <v/>
      </c>
      <c r="L71" s="17">
        <f>IF($B71="","",IFERROR(_xlfn.XLOOKUP($B71,nrCDdate,nrCDnum),""))</f>
        <v/>
      </c>
      <c r="M71" s="16" t="n"/>
      <c r="N71" s="17">
        <f>IF(OR($B71="",$I71=""),"",_xlfn.LET(_xlpm.a,$I71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1" s="17">
        <f>IF(OR($B71="",$D71="",$E71=""),"",IF($E71=$D71,"CHECK TIMES (start = end)",IF($F71&gt;12,"CHECK TIMES (End is before Start?)","OK")))</f>
        <v/>
      </c>
      <c r="P71" s="17">
        <f>IF(OR($B71="",$I71=""),"",IF(IFERROR(MATCH($G71,nrBankTopics,0),0)=0,"OK",IF(COUNTA(INDEX(nrBankGrid,IFERROR(MATCH($G71,nrBankTopics,0),1),0))=0,"OK",IF(SUMPRODUCT((nrInstrNames&lt;&gt;"")*ISNUMBER(SEARCH(nrInstrNames,$I71))*(COUNTIF(INDEX(nrBankGrid,IFERROR(MATCH($G71,nrBankTopics,0),1),0),nrInstrNames)&gt;0))&lt;SUMPRODUCT((nrInstrNames&lt;&gt;"")*ISNUMBER(SEARCH(nrInstrNames,$I71))),"NOT IN BANK","OK"))))</f>
        <v/>
      </c>
    </row>
    <row r="72">
      <c r="B72" s="18" t="n"/>
      <c r="C72" s="17">
        <f>IF($B72="","",TEXT($B72,"ddd"))</f>
        <v/>
      </c>
      <c r="D72" s="41" t="n"/>
      <c r="E72" s="41" t="n"/>
      <c r="F72" s="17">
        <f>IF(OR($B72="",$D72="",$E72=""),"",ROUND(MOD($E72-$D72,1)*24,2))</f>
        <v/>
      </c>
      <c r="G72" s="16" t="n"/>
      <c r="H72" s="17">
        <f>IF($G72="","",IFERROR(_xlfn.XLOOKUP($G72,nrCHname,nrCHnum),IFERROR(_xlfn.XLOOKUP($G72,nrSUBname,nrSUBparent),"")))</f>
        <v/>
      </c>
      <c r="I72" s="16" t="n"/>
      <c r="J72" s="16" t="n"/>
      <c r="K72" s="17">
        <f>IF($B72="","",IFERROR(_xlfn.XLOOKUP($B72,nrCDdate,nrCDweek),""))</f>
        <v/>
      </c>
      <c r="L72" s="17">
        <f>IF($B72="","",IFERROR(_xlfn.XLOOKUP($B72,nrCDdate,nrCDnum),""))</f>
        <v/>
      </c>
      <c r="M72" s="16" t="n"/>
      <c r="N72" s="17">
        <f>IF(OR($B72="",$I72=""),"",_xlfn.LET(_xlpm.a,$I72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2" s="17">
        <f>IF(OR($B72="",$D72="",$E72=""),"",IF($E72=$D72,"CHECK TIMES (start = end)",IF($F72&gt;12,"CHECK TIMES (End is before Start?)","OK")))</f>
        <v/>
      </c>
      <c r="P72" s="17">
        <f>IF(OR($B72="",$I72=""),"",IF(IFERROR(MATCH($G72,nrBankTopics,0),0)=0,"OK",IF(COUNTA(INDEX(nrBankGrid,IFERROR(MATCH($G72,nrBankTopics,0),1),0))=0,"OK",IF(SUMPRODUCT((nrInstrNames&lt;&gt;"")*ISNUMBER(SEARCH(nrInstrNames,$I72))*(COUNTIF(INDEX(nrBankGrid,IFERROR(MATCH($G72,nrBankTopics,0),1),0),nrInstrNames)&gt;0))&lt;SUMPRODUCT((nrInstrNames&lt;&gt;"")*ISNUMBER(SEARCH(nrInstrNames,$I72))),"NOT IN BANK","OK"))))</f>
        <v/>
      </c>
    </row>
    <row r="73">
      <c r="B73" s="18" t="n"/>
      <c r="C73" s="17">
        <f>IF($B73="","",TEXT($B73,"ddd"))</f>
        <v/>
      </c>
      <c r="D73" s="41" t="n"/>
      <c r="E73" s="41" t="n"/>
      <c r="F73" s="17">
        <f>IF(OR($B73="",$D73="",$E73=""),"",ROUND(MOD($E73-$D73,1)*24,2))</f>
        <v/>
      </c>
      <c r="G73" s="16" t="n"/>
      <c r="H73" s="17">
        <f>IF($G73="","",IFERROR(_xlfn.XLOOKUP($G73,nrCHname,nrCHnum),IFERROR(_xlfn.XLOOKUP($G73,nrSUBname,nrSUBparent),"")))</f>
        <v/>
      </c>
      <c r="I73" s="16" t="n"/>
      <c r="J73" s="16" t="n"/>
      <c r="K73" s="17">
        <f>IF($B73="","",IFERROR(_xlfn.XLOOKUP($B73,nrCDdate,nrCDweek),""))</f>
        <v/>
      </c>
      <c r="L73" s="17">
        <f>IF($B73="","",IFERROR(_xlfn.XLOOKUP($B73,nrCDdate,nrCDnum),""))</f>
        <v/>
      </c>
      <c r="M73" s="16" t="n"/>
      <c r="N73" s="17">
        <f>IF(OR($B73="",$I73=""),"",_xlfn.LET(_xlpm.a,$I73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3" s="17">
        <f>IF(OR($B73="",$D73="",$E73=""),"",IF($E73=$D73,"CHECK TIMES (start = end)",IF($F73&gt;12,"CHECK TIMES (End is before Start?)","OK")))</f>
        <v/>
      </c>
      <c r="P73" s="17">
        <f>IF(OR($B73="",$I73=""),"",IF(IFERROR(MATCH($G73,nrBankTopics,0),0)=0,"OK",IF(COUNTA(INDEX(nrBankGrid,IFERROR(MATCH($G73,nrBankTopics,0),1),0))=0,"OK",IF(SUMPRODUCT((nrInstrNames&lt;&gt;"")*ISNUMBER(SEARCH(nrInstrNames,$I73))*(COUNTIF(INDEX(nrBankGrid,IFERROR(MATCH($G73,nrBankTopics,0),1),0),nrInstrNames)&gt;0))&lt;SUMPRODUCT((nrInstrNames&lt;&gt;"")*ISNUMBER(SEARCH(nrInstrNames,$I73))),"NOT IN BANK","OK"))))</f>
        <v/>
      </c>
    </row>
    <row r="74">
      <c r="B74" s="18" t="n"/>
      <c r="C74" s="17">
        <f>IF($B74="","",TEXT($B74,"ddd"))</f>
        <v/>
      </c>
      <c r="D74" s="41" t="n"/>
      <c r="E74" s="41" t="n"/>
      <c r="F74" s="17">
        <f>IF(OR($B74="",$D74="",$E74=""),"",ROUND(MOD($E74-$D74,1)*24,2))</f>
        <v/>
      </c>
      <c r="G74" s="16" t="n"/>
      <c r="H74" s="17">
        <f>IF($G74="","",IFERROR(_xlfn.XLOOKUP($G74,nrCHname,nrCHnum),IFERROR(_xlfn.XLOOKUP($G74,nrSUBname,nrSUBparent),"")))</f>
        <v/>
      </c>
      <c r="I74" s="16" t="n"/>
      <c r="J74" s="16" t="n"/>
      <c r="K74" s="17">
        <f>IF($B74="","",IFERROR(_xlfn.XLOOKUP($B74,nrCDdate,nrCDweek),""))</f>
        <v/>
      </c>
      <c r="L74" s="17">
        <f>IF($B74="","",IFERROR(_xlfn.XLOOKUP($B74,nrCDdate,nrCDnum),""))</f>
        <v/>
      </c>
      <c r="M74" s="16" t="n"/>
      <c r="N74" s="17">
        <f>IF(OR($B74="",$I74=""),"",_xlfn.LET(_xlpm.a,$I74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4" s="17">
        <f>IF(OR($B74="",$D74="",$E74=""),"",IF($E74=$D74,"CHECK TIMES (start = end)",IF($F74&gt;12,"CHECK TIMES (End is before Start?)","OK")))</f>
        <v/>
      </c>
      <c r="P74" s="17">
        <f>IF(OR($B74="",$I74=""),"",IF(IFERROR(MATCH($G74,nrBankTopics,0),0)=0,"OK",IF(COUNTA(INDEX(nrBankGrid,IFERROR(MATCH($G74,nrBankTopics,0),1),0))=0,"OK",IF(SUMPRODUCT((nrInstrNames&lt;&gt;"")*ISNUMBER(SEARCH(nrInstrNames,$I74))*(COUNTIF(INDEX(nrBankGrid,IFERROR(MATCH($G74,nrBankTopics,0),1),0),nrInstrNames)&gt;0))&lt;SUMPRODUCT((nrInstrNames&lt;&gt;"")*ISNUMBER(SEARCH(nrInstrNames,$I74))),"NOT IN BANK","OK"))))</f>
        <v/>
      </c>
    </row>
    <row r="75">
      <c r="B75" s="18" t="n"/>
      <c r="C75" s="17">
        <f>IF($B75="","",TEXT($B75,"ddd"))</f>
        <v/>
      </c>
      <c r="D75" s="41" t="n"/>
      <c r="E75" s="41" t="n"/>
      <c r="F75" s="17">
        <f>IF(OR($B75="",$D75="",$E75=""),"",ROUND(MOD($E75-$D75,1)*24,2))</f>
        <v/>
      </c>
      <c r="G75" s="16" t="n"/>
      <c r="H75" s="17">
        <f>IF($G75="","",IFERROR(_xlfn.XLOOKUP($G75,nrCHname,nrCHnum),IFERROR(_xlfn.XLOOKUP($G75,nrSUBname,nrSUBparent),"")))</f>
        <v/>
      </c>
      <c r="I75" s="16" t="n"/>
      <c r="J75" s="16" t="n"/>
      <c r="K75" s="17">
        <f>IF($B75="","",IFERROR(_xlfn.XLOOKUP($B75,nrCDdate,nrCDweek),""))</f>
        <v/>
      </c>
      <c r="L75" s="17">
        <f>IF($B75="","",IFERROR(_xlfn.XLOOKUP($B75,nrCDdate,nrCDnum),""))</f>
        <v/>
      </c>
      <c r="M75" s="16" t="n"/>
      <c r="N75" s="17">
        <f>IF(OR($B75="",$I75=""),"",_xlfn.LET(_xlpm.a,$I75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5" s="17">
        <f>IF(OR($B75="",$D75="",$E75=""),"",IF($E75=$D75,"CHECK TIMES (start = end)",IF($F75&gt;12,"CHECK TIMES (End is before Start?)","OK")))</f>
        <v/>
      </c>
      <c r="P75" s="17">
        <f>IF(OR($B75="",$I75=""),"",IF(IFERROR(MATCH($G75,nrBankTopics,0),0)=0,"OK",IF(COUNTA(INDEX(nrBankGrid,IFERROR(MATCH($G75,nrBankTopics,0),1),0))=0,"OK",IF(SUMPRODUCT((nrInstrNames&lt;&gt;"")*ISNUMBER(SEARCH(nrInstrNames,$I75))*(COUNTIF(INDEX(nrBankGrid,IFERROR(MATCH($G75,nrBankTopics,0),1),0),nrInstrNames)&gt;0))&lt;SUMPRODUCT((nrInstrNames&lt;&gt;"")*ISNUMBER(SEARCH(nrInstrNames,$I75))),"NOT IN BANK","OK"))))</f>
        <v/>
      </c>
    </row>
    <row r="76">
      <c r="B76" s="18" t="n"/>
      <c r="C76" s="17">
        <f>IF($B76="","",TEXT($B76,"ddd"))</f>
        <v/>
      </c>
      <c r="D76" s="41" t="n"/>
      <c r="E76" s="41" t="n"/>
      <c r="F76" s="17">
        <f>IF(OR($B76="",$D76="",$E76=""),"",ROUND(MOD($E76-$D76,1)*24,2))</f>
        <v/>
      </c>
      <c r="G76" s="16" t="n"/>
      <c r="H76" s="17">
        <f>IF($G76="","",IFERROR(_xlfn.XLOOKUP($G76,nrCHname,nrCHnum),IFERROR(_xlfn.XLOOKUP($G76,nrSUBname,nrSUBparent),"")))</f>
        <v/>
      </c>
      <c r="I76" s="16" t="n"/>
      <c r="J76" s="16" t="n"/>
      <c r="K76" s="17">
        <f>IF($B76="","",IFERROR(_xlfn.XLOOKUP($B76,nrCDdate,nrCDweek),""))</f>
        <v/>
      </c>
      <c r="L76" s="17">
        <f>IF($B76="","",IFERROR(_xlfn.XLOOKUP($B76,nrCDdate,nrCDnum),""))</f>
        <v/>
      </c>
      <c r="M76" s="16" t="n"/>
      <c r="N76" s="17">
        <f>IF(OR($B76="",$I76=""),"",_xlfn.LET(_xlpm.a,$I76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6" s="17">
        <f>IF(OR($B76="",$D76="",$E76=""),"",IF($E76=$D76,"CHECK TIMES (start = end)",IF($F76&gt;12,"CHECK TIMES (End is before Start?)","OK")))</f>
        <v/>
      </c>
      <c r="P76" s="17">
        <f>IF(OR($B76="",$I76=""),"",IF(IFERROR(MATCH($G76,nrBankTopics,0),0)=0,"OK",IF(COUNTA(INDEX(nrBankGrid,IFERROR(MATCH($G76,nrBankTopics,0),1),0))=0,"OK",IF(SUMPRODUCT((nrInstrNames&lt;&gt;"")*ISNUMBER(SEARCH(nrInstrNames,$I76))*(COUNTIF(INDEX(nrBankGrid,IFERROR(MATCH($G76,nrBankTopics,0),1),0),nrInstrNames)&gt;0))&lt;SUMPRODUCT((nrInstrNames&lt;&gt;"")*ISNUMBER(SEARCH(nrInstrNames,$I76))),"NOT IN BANK","OK"))))</f>
        <v/>
      </c>
    </row>
    <row r="77">
      <c r="B77" s="18" t="n"/>
      <c r="C77" s="17">
        <f>IF($B77="","",TEXT($B77,"ddd"))</f>
        <v/>
      </c>
      <c r="D77" s="41" t="n"/>
      <c r="E77" s="41" t="n"/>
      <c r="F77" s="17">
        <f>IF(OR($B77="",$D77="",$E77=""),"",ROUND(MOD($E77-$D77,1)*24,2))</f>
        <v/>
      </c>
      <c r="G77" s="16" t="n"/>
      <c r="H77" s="17">
        <f>IF($G77="","",IFERROR(_xlfn.XLOOKUP($G77,nrCHname,nrCHnum),IFERROR(_xlfn.XLOOKUP($G77,nrSUBname,nrSUBparent),"")))</f>
        <v/>
      </c>
      <c r="I77" s="16" t="n"/>
      <c r="J77" s="16" t="n"/>
      <c r="K77" s="17">
        <f>IF($B77="","",IFERROR(_xlfn.XLOOKUP($B77,nrCDdate,nrCDweek),""))</f>
        <v/>
      </c>
      <c r="L77" s="17">
        <f>IF($B77="","",IFERROR(_xlfn.XLOOKUP($B77,nrCDdate,nrCDnum),""))</f>
        <v/>
      </c>
      <c r="M77" s="16" t="n"/>
      <c r="N77" s="17">
        <f>IF(OR($B77="",$I77=""),"",_xlfn.LET(_xlpm.a,$I77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7" s="17">
        <f>IF(OR($B77="",$D77="",$E77=""),"",IF($E77=$D77,"CHECK TIMES (start = end)",IF($F77&gt;12,"CHECK TIMES (End is before Start?)","OK")))</f>
        <v/>
      </c>
      <c r="P77" s="17">
        <f>IF(OR($B77="",$I77=""),"",IF(IFERROR(MATCH($G77,nrBankTopics,0),0)=0,"OK",IF(COUNTA(INDEX(nrBankGrid,IFERROR(MATCH($G77,nrBankTopics,0),1),0))=0,"OK",IF(SUMPRODUCT((nrInstrNames&lt;&gt;"")*ISNUMBER(SEARCH(nrInstrNames,$I77))*(COUNTIF(INDEX(nrBankGrid,IFERROR(MATCH($G77,nrBankTopics,0),1),0),nrInstrNames)&gt;0))&lt;SUMPRODUCT((nrInstrNames&lt;&gt;"")*ISNUMBER(SEARCH(nrInstrNames,$I77))),"NOT IN BANK","OK"))))</f>
        <v/>
      </c>
    </row>
    <row r="78">
      <c r="B78" s="18" t="n"/>
      <c r="C78" s="17">
        <f>IF($B78="","",TEXT($B78,"ddd"))</f>
        <v/>
      </c>
      <c r="D78" s="41" t="n"/>
      <c r="E78" s="41" t="n"/>
      <c r="F78" s="17">
        <f>IF(OR($B78="",$D78="",$E78=""),"",ROUND(MOD($E78-$D78,1)*24,2))</f>
        <v/>
      </c>
      <c r="G78" s="16" t="n"/>
      <c r="H78" s="17">
        <f>IF($G78="","",IFERROR(_xlfn.XLOOKUP($G78,nrCHname,nrCHnum),IFERROR(_xlfn.XLOOKUP($G78,nrSUBname,nrSUBparent),"")))</f>
        <v/>
      </c>
      <c r="I78" s="16" t="n"/>
      <c r="J78" s="16" t="n"/>
      <c r="K78" s="17">
        <f>IF($B78="","",IFERROR(_xlfn.XLOOKUP($B78,nrCDdate,nrCDweek),""))</f>
        <v/>
      </c>
      <c r="L78" s="17">
        <f>IF($B78="","",IFERROR(_xlfn.XLOOKUP($B78,nrCDdate,nrCDnum),""))</f>
        <v/>
      </c>
      <c r="M78" s="16" t="n"/>
      <c r="N78" s="17">
        <f>IF(OR($B78="",$I78=""),"",_xlfn.LET(_xlpm.a,$I78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8" s="17">
        <f>IF(OR($B78="",$D78="",$E78=""),"",IF($E78=$D78,"CHECK TIMES (start = end)",IF($F78&gt;12,"CHECK TIMES (End is before Start?)","OK")))</f>
        <v/>
      </c>
      <c r="P78" s="17">
        <f>IF(OR($B78="",$I78=""),"",IF(IFERROR(MATCH($G78,nrBankTopics,0),0)=0,"OK",IF(COUNTA(INDEX(nrBankGrid,IFERROR(MATCH($G78,nrBankTopics,0),1),0))=0,"OK",IF(SUMPRODUCT((nrInstrNames&lt;&gt;"")*ISNUMBER(SEARCH(nrInstrNames,$I78))*(COUNTIF(INDEX(nrBankGrid,IFERROR(MATCH($G78,nrBankTopics,0),1),0),nrInstrNames)&gt;0))&lt;SUMPRODUCT((nrInstrNames&lt;&gt;"")*ISNUMBER(SEARCH(nrInstrNames,$I78))),"NOT IN BANK","OK"))))</f>
        <v/>
      </c>
    </row>
    <row r="79">
      <c r="B79" s="18" t="n"/>
      <c r="C79" s="17">
        <f>IF($B79="","",TEXT($B79,"ddd"))</f>
        <v/>
      </c>
      <c r="D79" s="41" t="n"/>
      <c r="E79" s="41" t="n"/>
      <c r="F79" s="17">
        <f>IF(OR($B79="",$D79="",$E79=""),"",ROUND(MOD($E79-$D79,1)*24,2))</f>
        <v/>
      </c>
      <c r="G79" s="16" t="n"/>
      <c r="H79" s="17">
        <f>IF($G79="","",IFERROR(_xlfn.XLOOKUP($G79,nrCHname,nrCHnum),IFERROR(_xlfn.XLOOKUP($G79,nrSUBname,nrSUBparent),"")))</f>
        <v/>
      </c>
      <c r="I79" s="16" t="n"/>
      <c r="J79" s="16" t="n"/>
      <c r="K79" s="17">
        <f>IF($B79="","",IFERROR(_xlfn.XLOOKUP($B79,nrCDdate,nrCDweek),""))</f>
        <v/>
      </c>
      <c r="L79" s="17">
        <f>IF($B79="","",IFERROR(_xlfn.XLOOKUP($B79,nrCDdate,nrCDnum),""))</f>
        <v/>
      </c>
      <c r="M79" s="16" t="n"/>
      <c r="N79" s="17">
        <f>IF(OR($B79="",$I79=""),"",_xlfn.LET(_xlpm.a,$I79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9" s="17">
        <f>IF(OR($B79="",$D79="",$E79=""),"",IF($E79=$D79,"CHECK TIMES (start = end)",IF($F79&gt;12,"CHECK TIMES (End is before Start?)","OK")))</f>
        <v/>
      </c>
      <c r="P79" s="17">
        <f>IF(OR($B79="",$I79=""),"",IF(IFERROR(MATCH($G79,nrBankTopics,0),0)=0,"OK",IF(COUNTA(INDEX(nrBankGrid,IFERROR(MATCH($G79,nrBankTopics,0),1),0))=0,"OK",IF(SUMPRODUCT((nrInstrNames&lt;&gt;"")*ISNUMBER(SEARCH(nrInstrNames,$I79))*(COUNTIF(INDEX(nrBankGrid,IFERROR(MATCH($G79,nrBankTopics,0),1),0),nrInstrNames)&gt;0))&lt;SUMPRODUCT((nrInstrNames&lt;&gt;"")*ISNUMBER(SEARCH(nrInstrNames,$I79))),"NOT IN BANK","OK"))))</f>
        <v/>
      </c>
    </row>
    <row r="80">
      <c r="B80" s="18" t="n"/>
      <c r="C80" s="17">
        <f>IF($B80="","",TEXT($B80,"ddd"))</f>
        <v/>
      </c>
      <c r="D80" s="41" t="n"/>
      <c r="E80" s="41" t="n"/>
      <c r="F80" s="17">
        <f>IF(OR($B80="",$D80="",$E80=""),"",ROUND(MOD($E80-$D80,1)*24,2))</f>
        <v/>
      </c>
      <c r="G80" s="16" t="n"/>
      <c r="H80" s="17">
        <f>IF($G80="","",IFERROR(_xlfn.XLOOKUP($G80,nrCHname,nrCHnum),IFERROR(_xlfn.XLOOKUP($G80,nrSUBname,nrSUBparent),"")))</f>
        <v/>
      </c>
      <c r="I80" s="16" t="n"/>
      <c r="J80" s="16" t="n"/>
      <c r="K80" s="17">
        <f>IF($B80="","",IFERROR(_xlfn.XLOOKUP($B80,nrCDdate,nrCDweek),""))</f>
        <v/>
      </c>
      <c r="L80" s="17">
        <f>IF($B80="","",IFERROR(_xlfn.XLOOKUP($B80,nrCDdate,nrCDnum),""))</f>
        <v/>
      </c>
      <c r="M80" s="16" t="n"/>
      <c r="N80" s="17">
        <f>IF(OR($B80="",$I80=""),"",_xlfn.LET(_xlpm.a,$I80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0" s="17">
        <f>IF(OR($B80="",$D80="",$E80=""),"",IF($E80=$D80,"CHECK TIMES (start = end)",IF($F80&gt;12,"CHECK TIMES (End is before Start?)","OK")))</f>
        <v/>
      </c>
      <c r="P80" s="17">
        <f>IF(OR($B80="",$I80=""),"",IF(IFERROR(MATCH($G80,nrBankTopics,0),0)=0,"OK",IF(COUNTA(INDEX(nrBankGrid,IFERROR(MATCH($G80,nrBankTopics,0),1),0))=0,"OK",IF(SUMPRODUCT((nrInstrNames&lt;&gt;"")*ISNUMBER(SEARCH(nrInstrNames,$I80))*(COUNTIF(INDEX(nrBankGrid,IFERROR(MATCH($G80,nrBankTopics,0),1),0),nrInstrNames)&gt;0))&lt;SUMPRODUCT((nrInstrNames&lt;&gt;"")*ISNUMBER(SEARCH(nrInstrNames,$I80))),"NOT IN BANK","OK"))))</f>
        <v/>
      </c>
    </row>
    <row r="81">
      <c r="B81" s="18" t="n"/>
      <c r="C81" s="17">
        <f>IF($B81="","",TEXT($B81,"ddd"))</f>
        <v/>
      </c>
      <c r="D81" s="41" t="n"/>
      <c r="E81" s="41" t="n"/>
      <c r="F81" s="17">
        <f>IF(OR($B81="",$D81="",$E81=""),"",ROUND(MOD($E81-$D81,1)*24,2))</f>
        <v/>
      </c>
      <c r="G81" s="16" t="n"/>
      <c r="H81" s="17">
        <f>IF($G81="","",IFERROR(_xlfn.XLOOKUP($G81,nrCHname,nrCHnum),IFERROR(_xlfn.XLOOKUP($G81,nrSUBname,nrSUBparent),"")))</f>
        <v/>
      </c>
      <c r="I81" s="16" t="n"/>
      <c r="J81" s="16" t="n"/>
      <c r="K81" s="17">
        <f>IF($B81="","",IFERROR(_xlfn.XLOOKUP($B81,nrCDdate,nrCDweek),""))</f>
        <v/>
      </c>
      <c r="L81" s="17">
        <f>IF($B81="","",IFERROR(_xlfn.XLOOKUP($B81,nrCDdate,nrCDnum),""))</f>
        <v/>
      </c>
      <c r="M81" s="16" t="n"/>
      <c r="N81" s="17">
        <f>IF(OR($B81="",$I81=""),"",_xlfn.LET(_xlpm.a,$I81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1" s="17">
        <f>IF(OR($B81="",$D81="",$E81=""),"",IF($E81=$D81,"CHECK TIMES (start = end)",IF($F81&gt;12,"CHECK TIMES (End is before Start?)","OK")))</f>
        <v/>
      </c>
      <c r="P81" s="17">
        <f>IF(OR($B81="",$I81=""),"",IF(IFERROR(MATCH($G81,nrBankTopics,0),0)=0,"OK",IF(COUNTA(INDEX(nrBankGrid,IFERROR(MATCH($G81,nrBankTopics,0),1),0))=0,"OK",IF(SUMPRODUCT((nrInstrNames&lt;&gt;"")*ISNUMBER(SEARCH(nrInstrNames,$I81))*(COUNTIF(INDEX(nrBankGrid,IFERROR(MATCH($G81,nrBankTopics,0),1),0),nrInstrNames)&gt;0))&lt;SUMPRODUCT((nrInstrNames&lt;&gt;"")*ISNUMBER(SEARCH(nrInstrNames,$I81))),"NOT IN BANK","OK"))))</f>
        <v/>
      </c>
    </row>
    <row r="82">
      <c r="B82" s="18" t="n"/>
      <c r="C82" s="17">
        <f>IF($B82="","",TEXT($B82,"ddd"))</f>
        <v/>
      </c>
      <c r="D82" s="41" t="n"/>
      <c r="E82" s="41" t="n"/>
      <c r="F82" s="17">
        <f>IF(OR($B82="",$D82="",$E82=""),"",ROUND(MOD($E82-$D82,1)*24,2))</f>
        <v/>
      </c>
      <c r="G82" s="16" t="n"/>
      <c r="H82" s="17">
        <f>IF($G82="","",IFERROR(_xlfn.XLOOKUP($G82,nrCHname,nrCHnum),IFERROR(_xlfn.XLOOKUP($G82,nrSUBname,nrSUBparent),"")))</f>
        <v/>
      </c>
      <c r="I82" s="16" t="n"/>
      <c r="J82" s="16" t="n"/>
      <c r="K82" s="17">
        <f>IF($B82="","",IFERROR(_xlfn.XLOOKUP($B82,nrCDdate,nrCDweek),""))</f>
        <v/>
      </c>
      <c r="L82" s="17">
        <f>IF($B82="","",IFERROR(_xlfn.XLOOKUP($B82,nrCDdate,nrCDnum),""))</f>
        <v/>
      </c>
      <c r="M82" s="16" t="n"/>
      <c r="N82" s="17">
        <f>IF(OR($B82="",$I82=""),"",_xlfn.LET(_xlpm.a,$I82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2" s="17">
        <f>IF(OR($B82="",$D82="",$E82=""),"",IF($E82=$D82,"CHECK TIMES (start = end)",IF($F82&gt;12,"CHECK TIMES (End is before Start?)","OK")))</f>
        <v/>
      </c>
      <c r="P82" s="17">
        <f>IF(OR($B82="",$I82=""),"",IF(IFERROR(MATCH($G82,nrBankTopics,0),0)=0,"OK",IF(COUNTA(INDEX(nrBankGrid,IFERROR(MATCH($G82,nrBankTopics,0),1),0))=0,"OK",IF(SUMPRODUCT((nrInstrNames&lt;&gt;"")*ISNUMBER(SEARCH(nrInstrNames,$I82))*(COUNTIF(INDEX(nrBankGrid,IFERROR(MATCH($G82,nrBankTopics,0),1),0),nrInstrNames)&gt;0))&lt;SUMPRODUCT((nrInstrNames&lt;&gt;"")*ISNUMBER(SEARCH(nrInstrNames,$I82))),"NOT IN BANK","OK"))))</f>
        <v/>
      </c>
    </row>
    <row r="83">
      <c r="B83" s="18" t="n"/>
      <c r="C83" s="17">
        <f>IF($B83="","",TEXT($B83,"ddd"))</f>
        <v/>
      </c>
      <c r="D83" s="41" t="n"/>
      <c r="E83" s="41" t="n"/>
      <c r="F83" s="17">
        <f>IF(OR($B83="",$D83="",$E83=""),"",ROUND(MOD($E83-$D83,1)*24,2))</f>
        <v/>
      </c>
      <c r="G83" s="16" t="n"/>
      <c r="H83" s="17">
        <f>IF($G83="","",IFERROR(_xlfn.XLOOKUP($G83,nrCHname,nrCHnum),IFERROR(_xlfn.XLOOKUP($G83,nrSUBname,nrSUBparent),"")))</f>
        <v/>
      </c>
      <c r="I83" s="16" t="n"/>
      <c r="J83" s="16" t="n"/>
      <c r="K83" s="17">
        <f>IF($B83="","",IFERROR(_xlfn.XLOOKUP($B83,nrCDdate,nrCDweek),""))</f>
        <v/>
      </c>
      <c r="L83" s="17">
        <f>IF($B83="","",IFERROR(_xlfn.XLOOKUP($B83,nrCDdate,nrCDnum),""))</f>
        <v/>
      </c>
      <c r="M83" s="16" t="n"/>
      <c r="N83" s="17">
        <f>IF(OR($B83="",$I83=""),"",_xlfn.LET(_xlpm.a,$I83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3" s="17">
        <f>IF(OR($B83="",$D83="",$E83=""),"",IF($E83=$D83,"CHECK TIMES (start = end)",IF($F83&gt;12,"CHECK TIMES (End is before Start?)","OK")))</f>
        <v/>
      </c>
      <c r="P83" s="17">
        <f>IF(OR($B83="",$I83=""),"",IF(IFERROR(MATCH($G83,nrBankTopics,0),0)=0,"OK",IF(COUNTA(INDEX(nrBankGrid,IFERROR(MATCH($G83,nrBankTopics,0),1),0))=0,"OK",IF(SUMPRODUCT((nrInstrNames&lt;&gt;"")*ISNUMBER(SEARCH(nrInstrNames,$I83))*(COUNTIF(INDEX(nrBankGrid,IFERROR(MATCH($G83,nrBankTopics,0),1),0),nrInstrNames)&gt;0))&lt;SUMPRODUCT((nrInstrNames&lt;&gt;"")*ISNUMBER(SEARCH(nrInstrNames,$I83))),"NOT IN BANK","OK"))))</f>
        <v/>
      </c>
    </row>
    <row r="84">
      <c r="B84" s="18" t="n"/>
      <c r="C84" s="17">
        <f>IF($B84="","",TEXT($B84,"ddd"))</f>
        <v/>
      </c>
      <c r="D84" s="41" t="n"/>
      <c r="E84" s="41" t="n"/>
      <c r="F84" s="17">
        <f>IF(OR($B84="",$D84="",$E84=""),"",ROUND(MOD($E84-$D84,1)*24,2))</f>
        <v/>
      </c>
      <c r="G84" s="16" t="n"/>
      <c r="H84" s="17">
        <f>IF($G84="","",IFERROR(_xlfn.XLOOKUP($G84,nrCHname,nrCHnum),IFERROR(_xlfn.XLOOKUP($G84,nrSUBname,nrSUBparent),"")))</f>
        <v/>
      </c>
      <c r="I84" s="16" t="n"/>
      <c r="J84" s="16" t="n"/>
      <c r="K84" s="17">
        <f>IF($B84="","",IFERROR(_xlfn.XLOOKUP($B84,nrCDdate,nrCDweek),""))</f>
        <v/>
      </c>
      <c r="L84" s="17">
        <f>IF($B84="","",IFERROR(_xlfn.XLOOKUP($B84,nrCDdate,nrCDnum),""))</f>
        <v/>
      </c>
      <c r="M84" s="16" t="n"/>
      <c r="N84" s="17">
        <f>IF(OR($B84="",$I84=""),"",_xlfn.LET(_xlpm.a,$I84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4" s="17">
        <f>IF(OR($B84="",$D84="",$E84=""),"",IF($E84=$D84,"CHECK TIMES (start = end)",IF($F84&gt;12,"CHECK TIMES (End is before Start?)","OK")))</f>
        <v/>
      </c>
      <c r="P84" s="17">
        <f>IF(OR($B84="",$I84=""),"",IF(IFERROR(MATCH($G84,nrBankTopics,0),0)=0,"OK",IF(COUNTA(INDEX(nrBankGrid,IFERROR(MATCH($G84,nrBankTopics,0),1),0))=0,"OK",IF(SUMPRODUCT((nrInstrNames&lt;&gt;"")*ISNUMBER(SEARCH(nrInstrNames,$I84))*(COUNTIF(INDEX(nrBankGrid,IFERROR(MATCH($G84,nrBankTopics,0),1),0),nrInstrNames)&gt;0))&lt;SUMPRODUCT((nrInstrNames&lt;&gt;"")*ISNUMBER(SEARCH(nrInstrNames,$I84))),"NOT IN BANK","OK"))))</f>
        <v/>
      </c>
    </row>
    <row r="85">
      <c r="B85" s="18" t="n"/>
      <c r="C85" s="17">
        <f>IF($B85="","",TEXT($B85,"ddd"))</f>
        <v/>
      </c>
      <c r="D85" s="41" t="n"/>
      <c r="E85" s="41" t="n"/>
      <c r="F85" s="17">
        <f>IF(OR($B85="",$D85="",$E85=""),"",ROUND(MOD($E85-$D85,1)*24,2))</f>
        <v/>
      </c>
      <c r="G85" s="16" t="n"/>
      <c r="H85" s="17">
        <f>IF($G85="","",IFERROR(_xlfn.XLOOKUP($G85,nrCHname,nrCHnum),IFERROR(_xlfn.XLOOKUP($G85,nrSUBname,nrSUBparent),"")))</f>
        <v/>
      </c>
      <c r="I85" s="16" t="n"/>
      <c r="J85" s="16" t="n"/>
      <c r="K85" s="17">
        <f>IF($B85="","",IFERROR(_xlfn.XLOOKUP($B85,nrCDdate,nrCDweek),""))</f>
        <v/>
      </c>
      <c r="L85" s="17">
        <f>IF($B85="","",IFERROR(_xlfn.XLOOKUP($B85,nrCDdate,nrCDnum),""))</f>
        <v/>
      </c>
      <c r="M85" s="16" t="n"/>
      <c r="N85" s="17">
        <f>IF(OR($B85="",$I85=""),"",_xlfn.LET(_xlpm.a,$I85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5" s="17">
        <f>IF(OR($B85="",$D85="",$E85=""),"",IF($E85=$D85,"CHECK TIMES (start = end)",IF($F85&gt;12,"CHECK TIMES (End is before Start?)","OK")))</f>
        <v/>
      </c>
      <c r="P85" s="17">
        <f>IF(OR($B85="",$I85=""),"",IF(IFERROR(MATCH($G85,nrBankTopics,0),0)=0,"OK",IF(COUNTA(INDEX(nrBankGrid,IFERROR(MATCH($G85,nrBankTopics,0),1),0))=0,"OK",IF(SUMPRODUCT((nrInstrNames&lt;&gt;"")*ISNUMBER(SEARCH(nrInstrNames,$I85))*(COUNTIF(INDEX(nrBankGrid,IFERROR(MATCH($G85,nrBankTopics,0),1),0),nrInstrNames)&gt;0))&lt;SUMPRODUCT((nrInstrNames&lt;&gt;"")*ISNUMBER(SEARCH(nrInstrNames,$I85))),"NOT IN BANK","OK"))))</f>
        <v/>
      </c>
    </row>
    <row r="86">
      <c r="B86" s="18" t="n"/>
      <c r="C86" s="17">
        <f>IF($B86="","",TEXT($B86,"ddd"))</f>
        <v/>
      </c>
      <c r="D86" s="41" t="n"/>
      <c r="E86" s="41" t="n"/>
      <c r="F86" s="17">
        <f>IF(OR($B86="",$D86="",$E86=""),"",ROUND(MOD($E86-$D86,1)*24,2))</f>
        <v/>
      </c>
      <c r="G86" s="16" t="n"/>
      <c r="H86" s="17">
        <f>IF($G86="","",IFERROR(_xlfn.XLOOKUP($G86,nrCHname,nrCHnum),IFERROR(_xlfn.XLOOKUP($G86,nrSUBname,nrSUBparent),"")))</f>
        <v/>
      </c>
      <c r="I86" s="16" t="n"/>
      <c r="J86" s="16" t="n"/>
      <c r="K86" s="17">
        <f>IF($B86="","",IFERROR(_xlfn.XLOOKUP($B86,nrCDdate,nrCDweek),""))</f>
        <v/>
      </c>
      <c r="L86" s="17">
        <f>IF($B86="","",IFERROR(_xlfn.XLOOKUP($B86,nrCDdate,nrCDnum),""))</f>
        <v/>
      </c>
      <c r="M86" s="16" t="n"/>
      <c r="N86" s="17">
        <f>IF(OR($B86="",$I86=""),"",_xlfn.LET(_xlpm.a,$I86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6" s="17">
        <f>IF(OR($B86="",$D86="",$E86=""),"",IF($E86=$D86,"CHECK TIMES (start = end)",IF($F86&gt;12,"CHECK TIMES (End is before Start?)","OK")))</f>
        <v/>
      </c>
      <c r="P86" s="17">
        <f>IF(OR($B86="",$I86=""),"",IF(IFERROR(MATCH($G86,nrBankTopics,0),0)=0,"OK",IF(COUNTA(INDEX(nrBankGrid,IFERROR(MATCH($G86,nrBankTopics,0),1),0))=0,"OK",IF(SUMPRODUCT((nrInstrNames&lt;&gt;"")*ISNUMBER(SEARCH(nrInstrNames,$I86))*(COUNTIF(INDEX(nrBankGrid,IFERROR(MATCH($G86,nrBankTopics,0),1),0),nrInstrNames)&gt;0))&lt;SUMPRODUCT((nrInstrNames&lt;&gt;"")*ISNUMBER(SEARCH(nrInstrNames,$I86))),"NOT IN BANK","OK"))))</f>
        <v/>
      </c>
    </row>
    <row r="87">
      <c r="B87" s="18" t="n"/>
      <c r="C87" s="17">
        <f>IF($B87="","",TEXT($B87,"ddd"))</f>
        <v/>
      </c>
      <c r="D87" s="41" t="n"/>
      <c r="E87" s="41" t="n"/>
      <c r="F87" s="17">
        <f>IF(OR($B87="",$D87="",$E87=""),"",ROUND(MOD($E87-$D87,1)*24,2))</f>
        <v/>
      </c>
      <c r="G87" s="16" t="n"/>
      <c r="H87" s="17">
        <f>IF($G87="","",IFERROR(_xlfn.XLOOKUP($G87,nrCHname,nrCHnum),IFERROR(_xlfn.XLOOKUP($G87,nrSUBname,nrSUBparent),"")))</f>
        <v/>
      </c>
      <c r="I87" s="16" t="n"/>
      <c r="J87" s="16" t="n"/>
      <c r="K87" s="17">
        <f>IF($B87="","",IFERROR(_xlfn.XLOOKUP($B87,nrCDdate,nrCDweek),""))</f>
        <v/>
      </c>
      <c r="L87" s="17">
        <f>IF($B87="","",IFERROR(_xlfn.XLOOKUP($B87,nrCDdate,nrCDnum),""))</f>
        <v/>
      </c>
      <c r="M87" s="16" t="n"/>
      <c r="N87" s="17">
        <f>IF(OR($B87="",$I87=""),"",_xlfn.LET(_xlpm.a,$I87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7" s="17">
        <f>IF(OR($B87="",$D87="",$E87=""),"",IF($E87=$D87,"CHECK TIMES (start = end)",IF($F87&gt;12,"CHECK TIMES (End is before Start?)","OK")))</f>
        <v/>
      </c>
      <c r="P87" s="17">
        <f>IF(OR($B87="",$I87=""),"",IF(IFERROR(MATCH($G87,nrBankTopics,0),0)=0,"OK",IF(COUNTA(INDEX(nrBankGrid,IFERROR(MATCH($G87,nrBankTopics,0),1),0))=0,"OK",IF(SUMPRODUCT((nrInstrNames&lt;&gt;"")*ISNUMBER(SEARCH(nrInstrNames,$I87))*(COUNTIF(INDEX(nrBankGrid,IFERROR(MATCH($G87,nrBankTopics,0),1),0),nrInstrNames)&gt;0))&lt;SUMPRODUCT((nrInstrNames&lt;&gt;"")*ISNUMBER(SEARCH(nrInstrNames,$I87))),"NOT IN BANK","OK"))))</f>
        <v/>
      </c>
    </row>
    <row r="88">
      <c r="B88" s="18" t="n"/>
      <c r="C88" s="17">
        <f>IF($B88="","",TEXT($B88,"ddd"))</f>
        <v/>
      </c>
      <c r="D88" s="41" t="n"/>
      <c r="E88" s="41" t="n"/>
      <c r="F88" s="17">
        <f>IF(OR($B88="",$D88="",$E88=""),"",ROUND(MOD($E88-$D88,1)*24,2))</f>
        <v/>
      </c>
      <c r="G88" s="16" t="n"/>
      <c r="H88" s="17">
        <f>IF($G88="","",IFERROR(_xlfn.XLOOKUP($G88,nrCHname,nrCHnum),IFERROR(_xlfn.XLOOKUP($G88,nrSUBname,nrSUBparent),"")))</f>
        <v/>
      </c>
      <c r="I88" s="16" t="n"/>
      <c r="J88" s="16" t="n"/>
      <c r="K88" s="17">
        <f>IF($B88="","",IFERROR(_xlfn.XLOOKUP($B88,nrCDdate,nrCDweek),""))</f>
        <v/>
      </c>
      <c r="L88" s="17">
        <f>IF($B88="","",IFERROR(_xlfn.XLOOKUP($B88,nrCDdate,nrCDnum),""))</f>
        <v/>
      </c>
      <c r="M88" s="16" t="n"/>
      <c r="N88" s="17">
        <f>IF(OR($B88="",$I88=""),"",_xlfn.LET(_xlpm.a,$I88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8" s="17">
        <f>IF(OR($B88="",$D88="",$E88=""),"",IF($E88=$D88,"CHECK TIMES (start = end)",IF($F88&gt;12,"CHECK TIMES (End is before Start?)","OK")))</f>
        <v/>
      </c>
      <c r="P88" s="17">
        <f>IF(OR($B88="",$I88=""),"",IF(IFERROR(MATCH($G88,nrBankTopics,0),0)=0,"OK",IF(COUNTA(INDEX(nrBankGrid,IFERROR(MATCH($G88,nrBankTopics,0),1),0))=0,"OK",IF(SUMPRODUCT((nrInstrNames&lt;&gt;"")*ISNUMBER(SEARCH(nrInstrNames,$I88))*(COUNTIF(INDEX(nrBankGrid,IFERROR(MATCH($G88,nrBankTopics,0),1),0),nrInstrNames)&gt;0))&lt;SUMPRODUCT((nrInstrNames&lt;&gt;"")*ISNUMBER(SEARCH(nrInstrNames,$I88))),"NOT IN BANK","OK"))))</f>
        <v/>
      </c>
    </row>
    <row r="89">
      <c r="B89" s="18" t="n"/>
      <c r="C89" s="17">
        <f>IF($B89="","",TEXT($B89,"ddd"))</f>
        <v/>
      </c>
      <c r="D89" s="41" t="n"/>
      <c r="E89" s="41" t="n"/>
      <c r="F89" s="17">
        <f>IF(OR($B89="",$D89="",$E89=""),"",ROUND(MOD($E89-$D89,1)*24,2))</f>
        <v/>
      </c>
      <c r="G89" s="16" t="n"/>
      <c r="H89" s="17">
        <f>IF($G89="","",IFERROR(_xlfn.XLOOKUP($G89,nrCHname,nrCHnum),IFERROR(_xlfn.XLOOKUP($G89,nrSUBname,nrSUBparent),"")))</f>
        <v/>
      </c>
      <c r="I89" s="16" t="n"/>
      <c r="J89" s="16" t="n"/>
      <c r="K89" s="17">
        <f>IF($B89="","",IFERROR(_xlfn.XLOOKUP($B89,nrCDdate,nrCDweek),""))</f>
        <v/>
      </c>
      <c r="L89" s="17">
        <f>IF($B89="","",IFERROR(_xlfn.XLOOKUP($B89,nrCDdate,nrCDnum),""))</f>
        <v/>
      </c>
      <c r="M89" s="16" t="n"/>
      <c r="N89" s="17">
        <f>IF(OR($B89="",$I89=""),"",_xlfn.LET(_xlpm.a,$I89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9" s="17">
        <f>IF(OR($B89="",$D89="",$E89=""),"",IF($E89=$D89,"CHECK TIMES (start = end)",IF($F89&gt;12,"CHECK TIMES (End is before Start?)","OK")))</f>
        <v/>
      </c>
      <c r="P89" s="17">
        <f>IF(OR($B89="",$I89=""),"",IF(IFERROR(MATCH($G89,nrBankTopics,0),0)=0,"OK",IF(COUNTA(INDEX(nrBankGrid,IFERROR(MATCH($G89,nrBankTopics,0),1),0))=0,"OK",IF(SUMPRODUCT((nrInstrNames&lt;&gt;"")*ISNUMBER(SEARCH(nrInstrNames,$I89))*(COUNTIF(INDEX(nrBankGrid,IFERROR(MATCH($G89,nrBankTopics,0),1),0),nrInstrNames)&gt;0))&lt;SUMPRODUCT((nrInstrNames&lt;&gt;"")*ISNUMBER(SEARCH(nrInstrNames,$I89))),"NOT IN BANK","OK"))))</f>
        <v/>
      </c>
    </row>
    <row r="90">
      <c r="B90" s="18" t="n"/>
      <c r="C90" s="17">
        <f>IF($B90="","",TEXT($B90,"ddd"))</f>
        <v/>
      </c>
      <c r="D90" s="41" t="n"/>
      <c r="E90" s="41" t="n"/>
      <c r="F90" s="17">
        <f>IF(OR($B90="",$D90="",$E90=""),"",ROUND(MOD($E90-$D90,1)*24,2))</f>
        <v/>
      </c>
      <c r="G90" s="16" t="n"/>
      <c r="H90" s="17">
        <f>IF($G90="","",IFERROR(_xlfn.XLOOKUP($G90,nrCHname,nrCHnum),IFERROR(_xlfn.XLOOKUP($G90,nrSUBname,nrSUBparent),"")))</f>
        <v/>
      </c>
      <c r="I90" s="16" t="n"/>
      <c r="J90" s="16" t="n"/>
      <c r="K90" s="17">
        <f>IF($B90="","",IFERROR(_xlfn.XLOOKUP($B90,nrCDdate,nrCDweek),""))</f>
        <v/>
      </c>
      <c r="L90" s="17">
        <f>IF($B90="","",IFERROR(_xlfn.XLOOKUP($B90,nrCDdate,nrCDnum),""))</f>
        <v/>
      </c>
      <c r="M90" s="16" t="n"/>
      <c r="N90" s="17">
        <f>IF(OR($B90="",$I90=""),"",_xlfn.LET(_xlpm.a,$I90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90" s="17">
        <f>IF(OR($B90="",$D90="",$E90=""),"",IF($E90=$D90,"CHECK TIMES (start = end)",IF($F90&gt;12,"CHECK TIMES (End is before Start?)","OK")))</f>
        <v/>
      </c>
      <c r="P90" s="17">
        <f>IF(OR($B90="",$I90=""),"",IF(IFERROR(MATCH($G90,nrBankTopics,0),0)=0,"OK",IF(COUNTA(INDEX(nrBankGrid,IFERROR(MATCH($G90,nrBankTopics,0),1),0))=0,"OK",IF(SUMPRODUCT((nrInstrNames&lt;&gt;"")*ISNUMBER(SEARCH(nrInstrNames,$I90))*(COUNTIF(INDEX(nrBankGrid,IFERROR(MATCH($G90,nrBankTopics,0),1),0),nrInstrNames)&gt;0))&lt;SUMPRODUCT((nrInstrNames&lt;&gt;"")*ISNUMBER(SEARCH(nrInstrNames,$I90))),"NOT IN BANK","OK"))))</f>
        <v/>
      </c>
    </row>
    <row r="91">
      <c r="B91" s="18" t="n"/>
      <c r="C91" s="17">
        <f>IF($B91="","",TEXT($B91,"ddd"))</f>
        <v/>
      </c>
      <c r="D91" s="41" t="n"/>
      <c r="E91" s="41" t="n"/>
      <c r="F91" s="17">
        <f>IF(OR($B91="",$D91="",$E91=""),"",ROUND(MOD($E91-$D91,1)*24,2))</f>
        <v/>
      </c>
      <c r="G91" s="16" t="n"/>
      <c r="H91" s="17">
        <f>IF($G91="","",IFERROR(_xlfn.XLOOKUP($G91,nrCHname,nrCHnum),IFERROR(_xlfn.XLOOKUP($G91,nrSUBname,nrSUBparent),"")))</f>
        <v/>
      </c>
      <c r="I91" s="16" t="n"/>
      <c r="J91" s="16" t="n"/>
      <c r="K91" s="17">
        <f>IF($B91="","",IFERROR(_xlfn.XLOOKUP($B91,nrCDdate,nrCDweek),""))</f>
        <v/>
      </c>
      <c r="L91" s="17">
        <f>IF($B91="","",IFERROR(_xlfn.XLOOKUP($B91,nrCDdate,nrCDnum),""))</f>
        <v/>
      </c>
      <c r="M91" s="16" t="n"/>
      <c r="N91" s="17">
        <f>IF(OR($B91="",$I91=""),"",_xlfn.LET(_xlpm.a,$I91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91" s="17">
        <f>IF(OR($B91="",$D91="",$E91=""),"",IF($E91=$D91,"CHECK TIMES (start = end)",IF($F91&gt;12,"CHECK TIMES (End is before Start?)","OK")))</f>
        <v/>
      </c>
      <c r="P91" s="17">
        <f>IF(OR($B91="",$I91=""),"",IF(IFERROR(MATCH($G91,nrBankTopics,0),0)=0,"OK",IF(COUNTA(INDEX(nrBankGrid,IFERROR(MATCH($G91,nrBankTopics,0),1),0))=0,"OK",IF(SUMPRODUCT((nrInstrNames&lt;&gt;"")*ISNUMBER(SEARCH(nrInstrNames,$I91))*(COUNTIF(INDEX(nrBankGrid,IFERROR(MATCH($G91,nrBankTopics,0),1),0),nrInstrNames)&gt;0))&lt;SUMPRODUCT((nrInstrNames&lt;&gt;"")*ISNUMBER(SEARCH(nrInstrNames,$I91))),"NOT IN BANK","OK"))))</f>
        <v/>
      </c>
    </row>
    <row r="92">
      <c r="B92" s="18" t="n"/>
      <c r="C92" s="17">
        <f>IF($B92="","",TEXT($B92,"ddd"))</f>
        <v/>
      </c>
      <c r="D92" s="41" t="n"/>
      <c r="E92" s="41" t="n"/>
      <c r="F92" s="17">
        <f>IF(OR($B92="",$D92="",$E92=""),"",ROUND(MOD($E92-$D92,1)*24,2))</f>
        <v/>
      </c>
      <c r="G92" s="16" t="n"/>
      <c r="H92" s="17">
        <f>IF($G92="","",IFERROR(_xlfn.XLOOKUP($G92,nrCHname,nrCHnum),IFERROR(_xlfn.XLOOKUP($G92,nrSUBname,nrSUBparent),"")))</f>
        <v/>
      </c>
      <c r="I92" s="16" t="n"/>
      <c r="J92" s="16" t="n"/>
      <c r="K92" s="17">
        <f>IF($B92="","",IFERROR(_xlfn.XLOOKUP($B92,nrCDdate,nrCDweek),""))</f>
        <v/>
      </c>
      <c r="L92" s="17">
        <f>IF($B92="","",IFERROR(_xlfn.XLOOKUP($B92,nrCDdate,nrCDnum),""))</f>
        <v/>
      </c>
      <c r="M92" s="16" t="n"/>
      <c r="N92" s="17">
        <f>IF(OR($B92="",$I92=""),"",_xlfn.LET(_xlpm.a,$I92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92" s="17">
        <f>IF(OR($B92="",$D92="",$E92=""),"",IF($E92=$D92,"CHECK TIMES (start = end)",IF($F92&gt;12,"CHECK TIMES (End is before Start?)","OK")))</f>
        <v/>
      </c>
      <c r="P92" s="17">
        <f>IF(OR($B92="",$I92=""),"",IF(IFERROR(MATCH($G92,nrBankTopics,0),0)=0,"OK",IF(COUNTA(INDEX(nrBankGrid,IFERROR(MATCH($G92,nrBankTopics,0),1),0))=0,"OK",IF(SUMPRODUCT((nrInstrNames&lt;&gt;"")*ISNUMBER(SEARCH(nrInstrNames,$I92))*(COUNTIF(INDEX(nrBankGrid,IFERROR(MATCH($G92,nrBankTopics,0),1),0),nrInstrNames)&gt;0))&lt;SUMPRODUCT((nrInstrNames&lt;&gt;"")*ISNUMBER(SEARCH(nrInstrNames,$I92))),"NOT IN BANK","OK"))))</f>
        <v/>
      </c>
    </row>
    <row r="93">
      <c r="B93" s="18" t="n"/>
      <c r="C93" s="17">
        <f>IF($B93="","",TEXT($B93,"ddd"))</f>
        <v/>
      </c>
      <c r="D93" s="41" t="n"/>
      <c r="E93" s="41" t="n"/>
      <c r="F93" s="17">
        <f>IF(OR($B93="",$D93="",$E93=""),"",ROUND(MOD($E93-$D93,1)*24,2))</f>
        <v/>
      </c>
      <c r="G93" s="16" t="n"/>
      <c r="H93" s="17">
        <f>IF($G93="","",IFERROR(_xlfn.XLOOKUP($G93,nrCHname,nrCHnum),IFERROR(_xlfn.XLOOKUP($G93,nrSUBname,nrSUBparent),"")))</f>
        <v/>
      </c>
      <c r="I93" s="16" t="n"/>
      <c r="J93" s="16" t="n"/>
      <c r="K93" s="17">
        <f>IF($B93="","",IFERROR(_xlfn.XLOOKUP($B93,nrCDdate,nrCDweek),""))</f>
        <v/>
      </c>
      <c r="L93" s="17">
        <f>IF($B93="","",IFERROR(_xlfn.XLOOKUP($B93,nrCDdate,nrCDnum),""))</f>
        <v/>
      </c>
      <c r="M93" s="16" t="n"/>
      <c r="N93" s="17">
        <f>IF(OR($B93="",$I93=""),"",_xlfn.LET(_xlpm.a,$I93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93" s="17">
        <f>IF(OR($B93="",$D93="",$E93=""),"",IF($E93=$D93,"CHECK TIMES (start = end)",IF($F93&gt;12,"CHECK TIMES (End is before Start?)","OK")))</f>
        <v/>
      </c>
      <c r="P93" s="17">
        <f>IF(OR($B93="",$I93=""),"",IF(IFERROR(MATCH($G93,nrBankTopics,0),0)=0,"OK",IF(COUNTA(INDEX(nrBankGrid,IFERROR(MATCH($G93,nrBankTopics,0),1),0))=0,"OK",IF(SUMPRODUCT((nrInstrNames&lt;&gt;"")*ISNUMBER(SEARCH(nrInstrNames,$I93))*(COUNTIF(INDEX(nrBankGrid,IFERROR(MATCH($G93,nrBankTopics,0),1),0),nrInstrNames)&gt;0))&lt;SUMPRODUCT((nrInstrNames&lt;&gt;"")*ISNUMBER(SEARCH(nrInstrNames,$I93))),"NOT IN BANK","OK"))))</f>
        <v/>
      </c>
    </row>
    <row r="94">
      <c r="B94" s="18" t="n"/>
      <c r="C94" s="17">
        <f>IF($B94="","",TEXT($B94,"ddd"))</f>
        <v/>
      </c>
      <c r="D94" s="41" t="n"/>
      <c r="E94" s="41" t="n"/>
      <c r="F94" s="17">
        <f>IF(OR($B94="",$D94="",$E94=""),"",ROUND(MOD($E94-$D94,1)*24,2))</f>
        <v/>
      </c>
      <c r="G94" s="16" t="n"/>
      <c r="H94" s="17">
        <f>IF($G94="","",IFERROR(_xlfn.XLOOKUP($G94,nrCHname,nrCHnum),IFERROR(_xlfn.XLOOKUP($G94,nrSUBname,nrSUBparent),"")))</f>
        <v/>
      </c>
      <c r="I94" s="16" t="n"/>
      <c r="J94" s="16" t="n"/>
      <c r="K94" s="17">
        <f>IF($B94="","",IFERROR(_xlfn.XLOOKUP($B94,nrCDdate,nrCDweek),""))</f>
        <v/>
      </c>
      <c r="L94" s="17">
        <f>IF($B94="","",IFERROR(_xlfn.XLOOKUP($B94,nrCDdate,nrCDnum),""))</f>
        <v/>
      </c>
      <c r="M94" s="16" t="n"/>
      <c r="N94" s="17">
        <f>IF(OR($B94="",$I94=""),"",_xlfn.LET(_xlpm.a,$I94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94" s="17">
        <f>IF(OR($B94="",$D94="",$E94=""),"",IF($E94=$D94,"CHECK TIMES (start = end)",IF($F94&gt;12,"CHECK TIMES (End is before Start?)","OK")))</f>
        <v/>
      </c>
      <c r="P94" s="17">
        <f>IF(OR($B94="",$I94=""),"",IF(IFERROR(MATCH($G94,nrBankTopics,0),0)=0,"OK",IF(COUNTA(INDEX(nrBankGrid,IFERROR(MATCH($G94,nrBankTopics,0),1),0))=0,"OK",IF(SUMPRODUCT((nrInstrNames&lt;&gt;"")*ISNUMBER(SEARCH(nrInstrNames,$I94))*(COUNTIF(INDEX(nrBankGrid,IFERROR(MATCH($G94,nrBankTopics,0),1),0),nrInstrNames)&gt;0))&lt;SUMPRODUCT((nrInstrNames&lt;&gt;"")*ISNUMBER(SEARCH(nrInstrNames,$I94))),"NOT IN BANK","OK"))))</f>
        <v/>
      </c>
    </row>
    <row r="95">
      <c r="B95" s="18" t="n"/>
      <c r="C95" s="17">
        <f>IF($B95="","",TEXT($B95,"ddd"))</f>
        <v/>
      </c>
      <c r="D95" s="41" t="n"/>
      <c r="E95" s="41" t="n"/>
      <c r="F95" s="17">
        <f>IF(OR($B95="",$D95="",$E95=""),"",ROUND(MOD($E95-$D95,1)*24,2))</f>
        <v/>
      </c>
      <c r="G95" s="16" t="n"/>
      <c r="H95" s="17">
        <f>IF($G95="","",IFERROR(_xlfn.XLOOKUP($G95,nrCHname,nrCHnum),IFERROR(_xlfn.XLOOKUP($G95,nrSUBname,nrSUBparent),"")))</f>
        <v/>
      </c>
      <c r="I95" s="16" t="n"/>
      <c r="J95" s="16" t="n"/>
      <c r="K95" s="17">
        <f>IF($B95="","",IFERROR(_xlfn.XLOOKUP($B95,nrCDdate,nrCDweek),""))</f>
        <v/>
      </c>
      <c r="L95" s="17">
        <f>IF($B95="","",IFERROR(_xlfn.XLOOKUP($B95,nrCDdate,nrCDnum),""))</f>
        <v/>
      </c>
      <c r="M95" s="16" t="n"/>
      <c r="N95" s="17">
        <f>IF(OR($B95="",$I95=""),"",_xlfn.LET(_xlpm.a,$I95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95" s="17">
        <f>IF(OR($B95="",$D95="",$E95=""),"",IF($E95=$D95,"CHECK TIMES (start = end)",IF($F95&gt;12,"CHECK TIMES (End is before Start?)","OK")))</f>
        <v/>
      </c>
      <c r="P95" s="17">
        <f>IF(OR($B95="",$I95=""),"",IF(IFERROR(MATCH($G95,nrBankTopics,0),0)=0,"OK",IF(COUNTA(INDEX(nrBankGrid,IFERROR(MATCH($G95,nrBankTopics,0),1),0))=0,"OK",IF(SUMPRODUCT((nrInstrNames&lt;&gt;"")*ISNUMBER(SEARCH(nrInstrNames,$I95))*(COUNTIF(INDEX(nrBankGrid,IFERROR(MATCH($G95,nrBankTopics,0),1),0),nrInstrNames)&gt;0))&lt;SUMPRODUCT((nrInstrNames&lt;&gt;"")*ISNUMBER(SEARCH(nrInstrNames,$I95))),"NOT IN BANK","OK"))))</f>
        <v/>
      </c>
    </row>
    <row r="96">
      <c r="B96" s="18" t="n"/>
      <c r="C96" s="17">
        <f>IF($B96="","",TEXT($B96,"ddd"))</f>
        <v/>
      </c>
      <c r="D96" s="41" t="n"/>
      <c r="E96" s="41" t="n"/>
      <c r="F96" s="17">
        <f>IF(OR($B96="",$D96="",$E96=""),"",ROUND(MOD($E96-$D96,1)*24,2))</f>
        <v/>
      </c>
      <c r="G96" s="16" t="n"/>
      <c r="H96" s="17">
        <f>IF($G96="","",IFERROR(_xlfn.XLOOKUP($G96,nrCHname,nrCHnum),IFERROR(_xlfn.XLOOKUP($G96,nrSUBname,nrSUBparent),"")))</f>
        <v/>
      </c>
      <c r="I96" s="16" t="n"/>
      <c r="J96" s="16" t="n"/>
      <c r="K96" s="17">
        <f>IF($B96="","",IFERROR(_xlfn.XLOOKUP($B96,nrCDdate,nrCDweek),""))</f>
        <v/>
      </c>
      <c r="L96" s="17">
        <f>IF($B96="","",IFERROR(_xlfn.XLOOKUP($B96,nrCDdate,nrCDnum),""))</f>
        <v/>
      </c>
      <c r="M96" s="16" t="n"/>
      <c r="N96" s="17">
        <f>IF(OR($B96="",$I96=""),"",_xlfn.LET(_xlpm.a,$I96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96" s="17">
        <f>IF(OR($B96="",$D96="",$E96=""),"",IF($E96=$D96,"CHECK TIMES (start = end)",IF($F96&gt;12,"CHECK TIMES (End is before Start?)","OK")))</f>
        <v/>
      </c>
      <c r="P96" s="17">
        <f>IF(OR($B96="",$I96=""),"",IF(IFERROR(MATCH($G96,nrBankTopics,0),0)=0,"OK",IF(COUNTA(INDEX(nrBankGrid,IFERROR(MATCH($G96,nrBankTopics,0),1),0))=0,"OK",IF(SUMPRODUCT((nrInstrNames&lt;&gt;"")*ISNUMBER(SEARCH(nrInstrNames,$I96))*(COUNTIF(INDEX(nrBankGrid,IFERROR(MATCH($G96,nrBankTopics,0),1),0),nrInstrNames)&gt;0))&lt;SUMPRODUCT((nrInstrNames&lt;&gt;"")*ISNUMBER(SEARCH(nrInstrNames,$I96))),"NOT IN BANK","OK"))))</f>
        <v/>
      </c>
    </row>
    <row r="97">
      <c r="B97" s="18" t="n"/>
      <c r="C97" s="17">
        <f>IF($B97="","",TEXT($B97,"ddd"))</f>
        <v/>
      </c>
      <c r="D97" s="41" t="n"/>
      <c r="E97" s="41" t="n"/>
      <c r="F97" s="17">
        <f>IF(OR($B97="",$D97="",$E97=""),"",ROUND(MOD($E97-$D97,1)*24,2))</f>
        <v/>
      </c>
      <c r="G97" s="16" t="n"/>
      <c r="H97" s="17">
        <f>IF($G97="","",IFERROR(_xlfn.XLOOKUP($G97,nrCHname,nrCHnum),IFERROR(_xlfn.XLOOKUP($G97,nrSUBname,nrSUBparent),"")))</f>
        <v/>
      </c>
      <c r="I97" s="16" t="n"/>
      <c r="J97" s="16" t="n"/>
      <c r="K97" s="17">
        <f>IF($B97="","",IFERROR(_xlfn.XLOOKUP($B97,nrCDdate,nrCDweek),""))</f>
        <v/>
      </c>
      <c r="L97" s="17">
        <f>IF($B97="","",IFERROR(_xlfn.XLOOKUP($B97,nrCDdate,nrCDnum),""))</f>
        <v/>
      </c>
      <c r="M97" s="16" t="n"/>
      <c r="N97" s="17">
        <f>IF(OR($B97="",$I97=""),"",_xlfn.LET(_xlpm.a,$I97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97" s="17">
        <f>IF(OR($B97="",$D97="",$E97=""),"",IF($E97=$D97,"CHECK TIMES (start = end)",IF($F97&gt;12,"CHECK TIMES (End is before Start?)","OK")))</f>
        <v/>
      </c>
      <c r="P97" s="17">
        <f>IF(OR($B97="",$I97=""),"",IF(IFERROR(MATCH($G97,nrBankTopics,0),0)=0,"OK",IF(COUNTA(INDEX(nrBankGrid,IFERROR(MATCH($G97,nrBankTopics,0),1),0))=0,"OK",IF(SUMPRODUCT((nrInstrNames&lt;&gt;"")*ISNUMBER(SEARCH(nrInstrNames,$I97))*(COUNTIF(INDEX(nrBankGrid,IFERROR(MATCH($G97,nrBankTopics,0),1),0),nrInstrNames)&gt;0))&lt;SUMPRODUCT((nrInstrNames&lt;&gt;"")*ISNUMBER(SEARCH(nrInstrNames,$I97))),"NOT IN BANK","OK"))))</f>
        <v/>
      </c>
    </row>
    <row r="98">
      <c r="B98" s="18" t="n"/>
      <c r="C98" s="17">
        <f>IF($B98="","",TEXT($B98,"ddd"))</f>
        <v/>
      </c>
      <c r="D98" s="41" t="n"/>
      <c r="E98" s="41" t="n"/>
      <c r="F98" s="17">
        <f>IF(OR($B98="",$D98="",$E98=""),"",ROUND(MOD($E98-$D98,1)*24,2))</f>
        <v/>
      </c>
      <c r="G98" s="16" t="n"/>
      <c r="H98" s="17">
        <f>IF($G98="","",IFERROR(_xlfn.XLOOKUP($G98,nrCHname,nrCHnum),IFERROR(_xlfn.XLOOKUP($G98,nrSUBname,nrSUBparent),"")))</f>
        <v/>
      </c>
      <c r="I98" s="16" t="n"/>
      <c r="J98" s="16" t="n"/>
      <c r="K98" s="17">
        <f>IF($B98="","",IFERROR(_xlfn.XLOOKUP($B98,nrCDdate,nrCDweek),""))</f>
        <v/>
      </c>
      <c r="L98" s="17">
        <f>IF($B98="","",IFERROR(_xlfn.XLOOKUP($B98,nrCDdate,nrCDnum),""))</f>
        <v/>
      </c>
      <c r="M98" s="16" t="n"/>
      <c r="N98" s="17">
        <f>IF(OR($B98="",$I98=""),"",_xlfn.LET(_xlpm.a,$I98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98" s="17">
        <f>IF(OR($B98="",$D98="",$E98=""),"",IF($E98=$D98,"CHECK TIMES (start = end)",IF($F98&gt;12,"CHECK TIMES (End is before Start?)","OK")))</f>
        <v/>
      </c>
      <c r="P98" s="17">
        <f>IF(OR($B98="",$I98=""),"",IF(IFERROR(MATCH($G98,nrBankTopics,0),0)=0,"OK",IF(COUNTA(INDEX(nrBankGrid,IFERROR(MATCH($G98,nrBankTopics,0),1),0))=0,"OK",IF(SUMPRODUCT((nrInstrNames&lt;&gt;"")*ISNUMBER(SEARCH(nrInstrNames,$I98))*(COUNTIF(INDEX(nrBankGrid,IFERROR(MATCH($G98,nrBankTopics,0),1),0),nrInstrNames)&gt;0))&lt;SUMPRODUCT((nrInstrNames&lt;&gt;"")*ISNUMBER(SEARCH(nrInstrNames,$I98))),"NOT IN BANK","OK"))))</f>
        <v/>
      </c>
    </row>
    <row r="99">
      <c r="B99" s="18" t="n"/>
      <c r="C99" s="17">
        <f>IF($B99="","",TEXT($B99,"ddd"))</f>
        <v/>
      </c>
      <c r="D99" s="41" t="n"/>
      <c r="E99" s="41" t="n"/>
      <c r="F99" s="17">
        <f>IF(OR($B99="",$D99="",$E99=""),"",ROUND(MOD($E99-$D99,1)*24,2))</f>
        <v/>
      </c>
      <c r="G99" s="16" t="n"/>
      <c r="H99" s="17">
        <f>IF($G99="","",IFERROR(_xlfn.XLOOKUP($G99,nrCHname,nrCHnum),IFERROR(_xlfn.XLOOKUP($G99,nrSUBname,nrSUBparent),"")))</f>
        <v/>
      </c>
      <c r="I99" s="16" t="n"/>
      <c r="J99" s="16" t="n"/>
      <c r="K99" s="17">
        <f>IF($B99="","",IFERROR(_xlfn.XLOOKUP($B99,nrCDdate,nrCDweek),""))</f>
        <v/>
      </c>
      <c r="L99" s="17">
        <f>IF($B99="","",IFERROR(_xlfn.XLOOKUP($B99,nrCDdate,nrCDnum),""))</f>
        <v/>
      </c>
      <c r="M99" s="16" t="n"/>
      <c r="N99" s="17">
        <f>IF(OR($B99="",$I99=""),"",_xlfn.LET(_xlpm.a,$I99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99" s="17">
        <f>IF(OR($B99="",$D99="",$E99=""),"",IF($E99=$D99,"CHECK TIMES (start = end)",IF($F99&gt;12,"CHECK TIMES (End is before Start?)","OK")))</f>
        <v/>
      </c>
      <c r="P99" s="17">
        <f>IF(OR($B99="",$I99=""),"",IF(IFERROR(MATCH($G99,nrBankTopics,0),0)=0,"OK",IF(COUNTA(INDEX(nrBankGrid,IFERROR(MATCH($G99,nrBankTopics,0),1),0))=0,"OK",IF(SUMPRODUCT((nrInstrNames&lt;&gt;"")*ISNUMBER(SEARCH(nrInstrNames,$I99))*(COUNTIF(INDEX(nrBankGrid,IFERROR(MATCH($G99,nrBankTopics,0),1),0),nrInstrNames)&gt;0))&lt;SUMPRODUCT((nrInstrNames&lt;&gt;"")*ISNUMBER(SEARCH(nrInstrNames,$I99))),"NOT IN BANK","OK"))))</f>
        <v/>
      </c>
    </row>
    <row r="100">
      <c r="B100" s="18" t="n"/>
      <c r="C100" s="17">
        <f>IF($B100="","",TEXT($B100,"ddd"))</f>
        <v/>
      </c>
      <c r="D100" s="41" t="n"/>
      <c r="E100" s="41" t="n"/>
      <c r="F100" s="17">
        <f>IF(OR($B100="",$D100="",$E100=""),"",ROUND(MOD($E100-$D100,1)*24,2))</f>
        <v/>
      </c>
      <c r="G100" s="16" t="n"/>
      <c r="H100" s="17">
        <f>IF($G100="","",IFERROR(_xlfn.XLOOKUP($G100,nrCHname,nrCHnum),IFERROR(_xlfn.XLOOKUP($G100,nrSUBname,nrSUBparent),"")))</f>
        <v/>
      </c>
      <c r="I100" s="16" t="n"/>
      <c r="J100" s="16" t="n"/>
      <c r="K100" s="17">
        <f>IF($B100="","",IFERROR(_xlfn.XLOOKUP($B100,nrCDdate,nrCDweek),""))</f>
        <v/>
      </c>
      <c r="L100" s="17">
        <f>IF($B100="","",IFERROR(_xlfn.XLOOKUP($B100,nrCDdate,nrCDnum),""))</f>
        <v/>
      </c>
      <c r="M100" s="16" t="n"/>
      <c r="N100" s="17">
        <f>IF(OR($B100="",$I100=""),"",_xlfn.LET(_xlpm.a,$I100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00" s="17">
        <f>IF(OR($B100="",$D100="",$E100=""),"",IF($E100=$D100,"CHECK TIMES (start = end)",IF($F100&gt;12,"CHECK TIMES (End is before Start?)","OK")))</f>
        <v/>
      </c>
      <c r="P100" s="17">
        <f>IF(OR($B100="",$I100=""),"",IF(IFERROR(MATCH($G100,nrBankTopics,0),0)=0,"OK",IF(COUNTA(INDEX(nrBankGrid,IFERROR(MATCH($G100,nrBankTopics,0),1),0))=0,"OK",IF(SUMPRODUCT((nrInstrNames&lt;&gt;"")*ISNUMBER(SEARCH(nrInstrNames,$I100))*(COUNTIF(INDEX(nrBankGrid,IFERROR(MATCH($G100,nrBankTopics,0),1),0),nrInstrNames)&gt;0))&lt;SUMPRODUCT((nrInstrNames&lt;&gt;"")*ISNUMBER(SEARCH(nrInstrNames,$I100))),"NOT IN BANK","OK"))))</f>
        <v/>
      </c>
    </row>
    <row r="101">
      <c r="B101" s="18" t="n"/>
      <c r="C101" s="17">
        <f>IF($B101="","",TEXT($B101,"ddd"))</f>
        <v/>
      </c>
      <c r="D101" s="41" t="n"/>
      <c r="E101" s="41" t="n"/>
      <c r="F101" s="17">
        <f>IF(OR($B101="",$D101="",$E101=""),"",ROUND(MOD($E101-$D101,1)*24,2))</f>
        <v/>
      </c>
      <c r="G101" s="16" t="n"/>
      <c r="H101" s="17">
        <f>IF($G101="","",IFERROR(_xlfn.XLOOKUP($G101,nrCHname,nrCHnum),IFERROR(_xlfn.XLOOKUP($G101,nrSUBname,nrSUBparent),"")))</f>
        <v/>
      </c>
      <c r="I101" s="16" t="n"/>
      <c r="J101" s="16" t="n"/>
      <c r="K101" s="17">
        <f>IF($B101="","",IFERROR(_xlfn.XLOOKUP($B101,nrCDdate,nrCDweek),""))</f>
        <v/>
      </c>
      <c r="L101" s="17">
        <f>IF($B101="","",IFERROR(_xlfn.XLOOKUP($B101,nrCDdate,nrCDnum),""))</f>
        <v/>
      </c>
      <c r="M101" s="16" t="n"/>
      <c r="N101" s="17">
        <f>IF(OR($B101="",$I101=""),"",_xlfn.LET(_xlpm.a,$I101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01" s="17">
        <f>IF(OR($B101="",$D101="",$E101=""),"",IF($E101=$D101,"CHECK TIMES (start = end)",IF($F101&gt;12,"CHECK TIMES (End is before Start?)","OK")))</f>
        <v/>
      </c>
      <c r="P101" s="17">
        <f>IF(OR($B101="",$I101=""),"",IF(IFERROR(MATCH($G101,nrBankTopics,0),0)=0,"OK",IF(COUNTA(INDEX(nrBankGrid,IFERROR(MATCH($G101,nrBankTopics,0),1),0))=0,"OK",IF(SUMPRODUCT((nrInstrNames&lt;&gt;"")*ISNUMBER(SEARCH(nrInstrNames,$I101))*(COUNTIF(INDEX(nrBankGrid,IFERROR(MATCH($G101,nrBankTopics,0),1),0),nrInstrNames)&gt;0))&lt;SUMPRODUCT((nrInstrNames&lt;&gt;"")*ISNUMBER(SEARCH(nrInstrNames,$I101))),"NOT IN BANK","OK"))))</f>
        <v/>
      </c>
    </row>
    <row r="102">
      <c r="B102" s="18" t="n"/>
      <c r="C102" s="17">
        <f>IF($B102="","",TEXT($B102,"ddd"))</f>
        <v/>
      </c>
      <c r="D102" s="41" t="n"/>
      <c r="E102" s="41" t="n"/>
      <c r="F102" s="17">
        <f>IF(OR($B102="",$D102="",$E102=""),"",ROUND(MOD($E102-$D102,1)*24,2))</f>
        <v/>
      </c>
      <c r="G102" s="16" t="n"/>
      <c r="H102" s="17">
        <f>IF($G102="","",IFERROR(_xlfn.XLOOKUP($G102,nrCHname,nrCHnum),IFERROR(_xlfn.XLOOKUP($G102,nrSUBname,nrSUBparent),"")))</f>
        <v/>
      </c>
      <c r="I102" s="16" t="n"/>
      <c r="J102" s="16" t="n"/>
      <c r="K102" s="17">
        <f>IF($B102="","",IFERROR(_xlfn.XLOOKUP($B102,nrCDdate,nrCDweek),""))</f>
        <v/>
      </c>
      <c r="L102" s="17">
        <f>IF($B102="","",IFERROR(_xlfn.XLOOKUP($B102,nrCDdate,nrCDnum),""))</f>
        <v/>
      </c>
      <c r="M102" s="16" t="n"/>
      <c r="N102" s="17">
        <f>IF(OR($B102="",$I102=""),"",_xlfn.LET(_xlpm.a,$I102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02" s="17">
        <f>IF(OR($B102="",$D102="",$E102=""),"",IF($E102=$D102,"CHECK TIMES (start = end)",IF($F102&gt;12,"CHECK TIMES (End is before Start?)","OK")))</f>
        <v/>
      </c>
      <c r="P102" s="17">
        <f>IF(OR($B102="",$I102=""),"",IF(IFERROR(MATCH($G102,nrBankTopics,0),0)=0,"OK",IF(COUNTA(INDEX(nrBankGrid,IFERROR(MATCH($G102,nrBankTopics,0),1),0))=0,"OK",IF(SUMPRODUCT((nrInstrNames&lt;&gt;"")*ISNUMBER(SEARCH(nrInstrNames,$I102))*(COUNTIF(INDEX(nrBankGrid,IFERROR(MATCH($G102,nrBankTopics,0),1),0),nrInstrNames)&gt;0))&lt;SUMPRODUCT((nrInstrNames&lt;&gt;"")*ISNUMBER(SEARCH(nrInstrNames,$I102))),"NOT IN BANK","OK"))))</f>
        <v/>
      </c>
    </row>
    <row r="103">
      <c r="B103" s="18" t="n"/>
      <c r="C103" s="17">
        <f>IF($B103="","",TEXT($B103,"ddd"))</f>
        <v/>
      </c>
      <c r="D103" s="41" t="n"/>
      <c r="E103" s="41" t="n"/>
      <c r="F103" s="17">
        <f>IF(OR($B103="",$D103="",$E103=""),"",ROUND(MOD($E103-$D103,1)*24,2))</f>
        <v/>
      </c>
      <c r="G103" s="16" t="n"/>
      <c r="H103" s="17">
        <f>IF($G103="","",IFERROR(_xlfn.XLOOKUP($G103,nrCHname,nrCHnum),IFERROR(_xlfn.XLOOKUP($G103,nrSUBname,nrSUBparent),"")))</f>
        <v/>
      </c>
      <c r="I103" s="16" t="n"/>
      <c r="J103" s="16" t="n"/>
      <c r="K103" s="17">
        <f>IF($B103="","",IFERROR(_xlfn.XLOOKUP($B103,nrCDdate,nrCDweek),""))</f>
        <v/>
      </c>
      <c r="L103" s="17">
        <f>IF($B103="","",IFERROR(_xlfn.XLOOKUP($B103,nrCDdate,nrCDnum),""))</f>
        <v/>
      </c>
      <c r="M103" s="16" t="n"/>
      <c r="N103" s="17">
        <f>IF(OR($B103="",$I103=""),"",_xlfn.LET(_xlpm.a,$I103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03" s="17">
        <f>IF(OR($B103="",$D103="",$E103=""),"",IF($E103=$D103,"CHECK TIMES (start = end)",IF($F103&gt;12,"CHECK TIMES (End is before Start?)","OK")))</f>
        <v/>
      </c>
      <c r="P103" s="17">
        <f>IF(OR($B103="",$I103=""),"",IF(IFERROR(MATCH($G103,nrBankTopics,0),0)=0,"OK",IF(COUNTA(INDEX(nrBankGrid,IFERROR(MATCH($G103,nrBankTopics,0),1),0))=0,"OK",IF(SUMPRODUCT((nrInstrNames&lt;&gt;"")*ISNUMBER(SEARCH(nrInstrNames,$I103))*(COUNTIF(INDEX(nrBankGrid,IFERROR(MATCH($G103,nrBankTopics,0),1),0),nrInstrNames)&gt;0))&lt;SUMPRODUCT((nrInstrNames&lt;&gt;"")*ISNUMBER(SEARCH(nrInstrNames,$I103))),"NOT IN BANK","OK"))))</f>
        <v/>
      </c>
    </row>
    <row r="104">
      <c r="B104" s="18" t="n"/>
      <c r="C104" s="17">
        <f>IF($B104="","",TEXT($B104,"ddd"))</f>
        <v/>
      </c>
      <c r="D104" s="41" t="n"/>
      <c r="E104" s="41" t="n"/>
      <c r="F104" s="17">
        <f>IF(OR($B104="",$D104="",$E104=""),"",ROUND(MOD($E104-$D104,1)*24,2))</f>
        <v/>
      </c>
      <c r="G104" s="16" t="n"/>
      <c r="H104" s="17">
        <f>IF($G104="","",IFERROR(_xlfn.XLOOKUP($G104,nrCHname,nrCHnum),IFERROR(_xlfn.XLOOKUP($G104,nrSUBname,nrSUBparent),"")))</f>
        <v/>
      </c>
      <c r="I104" s="16" t="n"/>
      <c r="J104" s="16" t="n"/>
      <c r="K104" s="17">
        <f>IF($B104="","",IFERROR(_xlfn.XLOOKUP($B104,nrCDdate,nrCDweek),""))</f>
        <v/>
      </c>
      <c r="L104" s="17">
        <f>IF($B104="","",IFERROR(_xlfn.XLOOKUP($B104,nrCDdate,nrCDnum),""))</f>
        <v/>
      </c>
      <c r="M104" s="16" t="n"/>
      <c r="N104" s="17">
        <f>IF(OR($B104="",$I104=""),"",_xlfn.LET(_xlpm.a,$I104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04" s="17">
        <f>IF(OR($B104="",$D104="",$E104=""),"",IF($E104=$D104,"CHECK TIMES (start = end)",IF($F104&gt;12,"CHECK TIMES (End is before Start?)","OK")))</f>
        <v/>
      </c>
      <c r="P104" s="17">
        <f>IF(OR($B104="",$I104=""),"",IF(IFERROR(MATCH($G104,nrBankTopics,0),0)=0,"OK",IF(COUNTA(INDEX(nrBankGrid,IFERROR(MATCH($G104,nrBankTopics,0),1),0))=0,"OK",IF(SUMPRODUCT((nrInstrNames&lt;&gt;"")*ISNUMBER(SEARCH(nrInstrNames,$I104))*(COUNTIF(INDEX(nrBankGrid,IFERROR(MATCH($G104,nrBankTopics,0),1),0),nrInstrNames)&gt;0))&lt;SUMPRODUCT((nrInstrNames&lt;&gt;"")*ISNUMBER(SEARCH(nrInstrNames,$I104))),"NOT IN BANK","OK"))))</f>
        <v/>
      </c>
    </row>
    <row r="105">
      <c r="B105" s="18" t="n"/>
      <c r="C105" s="17">
        <f>IF($B105="","",TEXT($B105,"ddd"))</f>
        <v/>
      </c>
      <c r="D105" s="41" t="n"/>
      <c r="E105" s="41" t="n"/>
      <c r="F105" s="17">
        <f>IF(OR($B105="",$D105="",$E105=""),"",ROUND(MOD($E105-$D105,1)*24,2))</f>
        <v/>
      </c>
      <c r="G105" s="16" t="n"/>
      <c r="H105" s="17">
        <f>IF($G105="","",IFERROR(_xlfn.XLOOKUP($G105,nrCHname,nrCHnum),IFERROR(_xlfn.XLOOKUP($G105,nrSUBname,nrSUBparent),"")))</f>
        <v/>
      </c>
      <c r="I105" s="16" t="n"/>
      <c r="J105" s="16" t="n"/>
      <c r="K105" s="17">
        <f>IF($B105="","",IFERROR(_xlfn.XLOOKUP($B105,nrCDdate,nrCDweek),""))</f>
        <v/>
      </c>
      <c r="L105" s="17">
        <f>IF($B105="","",IFERROR(_xlfn.XLOOKUP($B105,nrCDdate,nrCDnum),""))</f>
        <v/>
      </c>
      <c r="M105" s="16" t="n"/>
      <c r="N105" s="17">
        <f>IF(OR($B105="",$I105=""),"",_xlfn.LET(_xlpm.a,$I105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05" s="17">
        <f>IF(OR($B105="",$D105="",$E105=""),"",IF($E105=$D105,"CHECK TIMES (start = end)",IF($F105&gt;12,"CHECK TIMES (End is before Start?)","OK")))</f>
        <v/>
      </c>
      <c r="P105" s="17">
        <f>IF(OR($B105="",$I105=""),"",IF(IFERROR(MATCH($G105,nrBankTopics,0),0)=0,"OK",IF(COUNTA(INDEX(nrBankGrid,IFERROR(MATCH($G105,nrBankTopics,0),1),0))=0,"OK",IF(SUMPRODUCT((nrInstrNames&lt;&gt;"")*ISNUMBER(SEARCH(nrInstrNames,$I105))*(COUNTIF(INDEX(nrBankGrid,IFERROR(MATCH($G105,nrBankTopics,0),1),0),nrInstrNames)&gt;0))&lt;SUMPRODUCT((nrInstrNames&lt;&gt;"")*ISNUMBER(SEARCH(nrInstrNames,$I105))),"NOT IN BANK","OK"))))</f>
        <v/>
      </c>
    </row>
    <row r="106">
      <c r="B106" s="18" t="n"/>
      <c r="C106" s="17">
        <f>IF($B106="","",TEXT($B106,"ddd"))</f>
        <v/>
      </c>
      <c r="D106" s="41" t="n"/>
      <c r="E106" s="41" t="n"/>
      <c r="F106" s="17">
        <f>IF(OR($B106="",$D106="",$E106=""),"",ROUND(MOD($E106-$D106,1)*24,2))</f>
        <v/>
      </c>
      <c r="G106" s="16" t="n"/>
      <c r="H106" s="17">
        <f>IF($G106="","",IFERROR(_xlfn.XLOOKUP($G106,nrCHname,nrCHnum),IFERROR(_xlfn.XLOOKUP($G106,nrSUBname,nrSUBparent),"")))</f>
        <v/>
      </c>
      <c r="I106" s="16" t="n"/>
      <c r="J106" s="16" t="n"/>
      <c r="K106" s="17">
        <f>IF($B106="","",IFERROR(_xlfn.XLOOKUP($B106,nrCDdate,nrCDweek),""))</f>
        <v/>
      </c>
      <c r="L106" s="17">
        <f>IF($B106="","",IFERROR(_xlfn.XLOOKUP($B106,nrCDdate,nrCDnum),""))</f>
        <v/>
      </c>
      <c r="M106" s="16" t="n"/>
      <c r="N106" s="17">
        <f>IF(OR($B106="",$I106=""),"",_xlfn.LET(_xlpm.a,$I106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06" s="17">
        <f>IF(OR($B106="",$D106="",$E106=""),"",IF($E106=$D106,"CHECK TIMES (start = end)",IF($F106&gt;12,"CHECK TIMES (End is before Start?)","OK")))</f>
        <v/>
      </c>
      <c r="P106" s="17">
        <f>IF(OR($B106="",$I106=""),"",IF(IFERROR(MATCH($G106,nrBankTopics,0),0)=0,"OK",IF(COUNTA(INDEX(nrBankGrid,IFERROR(MATCH($G106,nrBankTopics,0),1),0))=0,"OK",IF(SUMPRODUCT((nrInstrNames&lt;&gt;"")*ISNUMBER(SEARCH(nrInstrNames,$I106))*(COUNTIF(INDEX(nrBankGrid,IFERROR(MATCH($G106,nrBankTopics,0),1),0),nrInstrNames)&gt;0))&lt;SUMPRODUCT((nrInstrNames&lt;&gt;"")*ISNUMBER(SEARCH(nrInstrNames,$I106))),"NOT IN BANK","OK"))))</f>
        <v/>
      </c>
    </row>
    <row r="107">
      <c r="B107" s="18" t="n"/>
      <c r="C107" s="17">
        <f>IF($B107="","",TEXT($B107,"ddd"))</f>
        <v/>
      </c>
      <c r="D107" s="41" t="n"/>
      <c r="E107" s="41" t="n"/>
      <c r="F107" s="17">
        <f>IF(OR($B107="",$D107="",$E107=""),"",ROUND(MOD($E107-$D107,1)*24,2))</f>
        <v/>
      </c>
      <c r="G107" s="16" t="n"/>
      <c r="H107" s="17">
        <f>IF($G107="","",IFERROR(_xlfn.XLOOKUP($G107,nrCHname,nrCHnum),IFERROR(_xlfn.XLOOKUP($G107,nrSUBname,nrSUBparent),"")))</f>
        <v/>
      </c>
      <c r="I107" s="16" t="n"/>
      <c r="J107" s="16" t="n"/>
      <c r="K107" s="17">
        <f>IF($B107="","",IFERROR(_xlfn.XLOOKUP($B107,nrCDdate,nrCDweek),""))</f>
        <v/>
      </c>
      <c r="L107" s="17">
        <f>IF($B107="","",IFERROR(_xlfn.XLOOKUP($B107,nrCDdate,nrCDnum),""))</f>
        <v/>
      </c>
      <c r="M107" s="16" t="n"/>
      <c r="N107" s="17">
        <f>IF(OR($B107="",$I107=""),"",_xlfn.LET(_xlpm.a,$I107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07" s="17">
        <f>IF(OR($B107="",$D107="",$E107=""),"",IF($E107=$D107,"CHECK TIMES (start = end)",IF($F107&gt;12,"CHECK TIMES (End is before Start?)","OK")))</f>
        <v/>
      </c>
      <c r="P107" s="17">
        <f>IF(OR($B107="",$I107=""),"",IF(IFERROR(MATCH($G107,nrBankTopics,0),0)=0,"OK",IF(COUNTA(INDEX(nrBankGrid,IFERROR(MATCH($G107,nrBankTopics,0),1),0))=0,"OK",IF(SUMPRODUCT((nrInstrNames&lt;&gt;"")*ISNUMBER(SEARCH(nrInstrNames,$I107))*(COUNTIF(INDEX(nrBankGrid,IFERROR(MATCH($G107,nrBankTopics,0),1),0),nrInstrNames)&gt;0))&lt;SUMPRODUCT((nrInstrNames&lt;&gt;"")*ISNUMBER(SEARCH(nrInstrNames,$I107))),"NOT IN BANK","OK"))))</f>
        <v/>
      </c>
    </row>
    <row r="108">
      <c r="B108" s="18" t="n"/>
      <c r="C108" s="17">
        <f>IF($B108="","",TEXT($B108,"ddd"))</f>
        <v/>
      </c>
      <c r="D108" s="41" t="n"/>
      <c r="E108" s="41" t="n"/>
      <c r="F108" s="17">
        <f>IF(OR($B108="",$D108="",$E108=""),"",ROUND(MOD($E108-$D108,1)*24,2))</f>
        <v/>
      </c>
      <c r="G108" s="16" t="n"/>
      <c r="H108" s="17">
        <f>IF($G108="","",IFERROR(_xlfn.XLOOKUP($G108,nrCHname,nrCHnum),IFERROR(_xlfn.XLOOKUP($G108,nrSUBname,nrSUBparent),"")))</f>
        <v/>
      </c>
      <c r="I108" s="16" t="n"/>
      <c r="J108" s="16" t="n"/>
      <c r="K108" s="17">
        <f>IF($B108="","",IFERROR(_xlfn.XLOOKUP($B108,nrCDdate,nrCDweek),""))</f>
        <v/>
      </c>
      <c r="L108" s="17">
        <f>IF($B108="","",IFERROR(_xlfn.XLOOKUP($B108,nrCDdate,nrCDnum),""))</f>
        <v/>
      </c>
      <c r="M108" s="16" t="n"/>
      <c r="N108" s="17">
        <f>IF(OR($B108="",$I108=""),"",_xlfn.LET(_xlpm.a,$I108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08" s="17">
        <f>IF(OR($B108="",$D108="",$E108=""),"",IF($E108=$D108,"CHECK TIMES (start = end)",IF($F108&gt;12,"CHECK TIMES (End is before Start?)","OK")))</f>
        <v/>
      </c>
      <c r="P108" s="17">
        <f>IF(OR($B108="",$I108=""),"",IF(IFERROR(MATCH($G108,nrBankTopics,0),0)=0,"OK",IF(COUNTA(INDEX(nrBankGrid,IFERROR(MATCH($G108,nrBankTopics,0),1),0))=0,"OK",IF(SUMPRODUCT((nrInstrNames&lt;&gt;"")*ISNUMBER(SEARCH(nrInstrNames,$I108))*(COUNTIF(INDEX(nrBankGrid,IFERROR(MATCH($G108,nrBankTopics,0),1),0),nrInstrNames)&gt;0))&lt;SUMPRODUCT((nrInstrNames&lt;&gt;"")*ISNUMBER(SEARCH(nrInstrNames,$I108))),"NOT IN BANK","OK"))))</f>
        <v/>
      </c>
    </row>
    <row r="109">
      <c r="B109" s="18" t="n"/>
      <c r="C109" s="17">
        <f>IF($B109="","",TEXT($B109,"ddd"))</f>
        <v/>
      </c>
      <c r="D109" s="41" t="n"/>
      <c r="E109" s="41" t="n"/>
      <c r="F109" s="17">
        <f>IF(OR($B109="",$D109="",$E109=""),"",ROUND(MOD($E109-$D109,1)*24,2))</f>
        <v/>
      </c>
      <c r="G109" s="16" t="n"/>
      <c r="H109" s="17">
        <f>IF($G109="","",IFERROR(_xlfn.XLOOKUP($G109,nrCHname,nrCHnum),IFERROR(_xlfn.XLOOKUP($G109,nrSUBname,nrSUBparent),"")))</f>
        <v/>
      </c>
      <c r="I109" s="16" t="n"/>
      <c r="J109" s="16" t="n"/>
      <c r="K109" s="17">
        <f>IF($B109="","",IFERROR(_xlfn.XLOOKUP($B109,nrCDdate,nrCDweek),""))</f>
        <v/>
      </c>
      <c r="L109" s="17">
        <f>IF($B109="","",IFERROR(_xlfn.XLOOKUP($B109,nrCDdate,nrCDnum),""))</f>
        <v/>
      </c>
      <c r="M109" s="16" t="n"/>
      <c r="N109" s="17">
        <f>IF(OR($B109="",$I109=""),"",_xlfn.LET(_xlpm.a,$I109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09" s="17">
        <f>IF(OR($B109="",$D109="",$E109=""),"",IF($E109=$D109,"CHECK TIMES (start = end)",IF($F109&gt;12,"CHECK TIMES (End is before Start?)","OK")))</f>
        <v/>
      </c>
      <c r="P109" s="17">
        <f>IF(OR($B109="",$I109=""),"",IF(IFERROR(MATCH($G109,nrBankTopics,0),0)=0,"OK",IF(COUNTA(INDEX(nrBankGrid,IFERROR(MATCH($G109,nrBankTopics,0),1),0))=0,"OK",IF(SUMPRODUCT((nrInstrNames&lt;&gt;"")*ISNUMBER(SEARCH(nrInstrNames,$I109))*(COUNTIF(INDEX(nrBankGrid,IFERROR(MATCH($G109,nrBankTopics,0),1),0),nrInstrNames)&gt;0))&lt;SUMPRODUCT((nrInstrNames&lt;&gt;"")*ISNUMBER(SEARCH(nrInstrNames,$I109))),"NOT IN BANK","OK"))))</f>
        <v/>
      </c>
    </row>
    <row r="110">
      <c r="B110" s="18" t="n"/>
      <c r="C110" s="17">
        <f>IF($B110="","",TEXT($B110,"ddd"))</f>
        <v/>
      </c>
      <c r="D110" s="41" t="n"/>
      <c r="E110" s="41" t="n"/>
      <c r="F110" s="17">
        <f>IF(OR($B110="",$D110="",$E110=""),"",ROUND(MOD($E110-$D110,1)*24,2))</f>
        <v/>
      </c>
      <c r="G110" s="16" t="n"/>
      <c r="H110" s="17">
        <f>IF($G110="","",IFERROR(_xlfn.XLOOKUP($G110,nrCHname,nrCHnum),IFERROR(_xlfn.XLOOKUP($G110,nrSUBname,nrSUBparent),"")))</f>
        <v/>
      </c>
      <c r="I110" s="16" t="n"/>
      <c r="J110" s="16" t="n"/>
      <c r="K110" s="17">
        <f>IF($B110="","",IFERROR(_xlfn.XLOOKUP($B110,nrCDdate,nrCDweek),""))</f>
        <v/>
      </c>
      <c r="L110" s="17">
        <f>IF($B110="","",IFERROR(_xlfn.XLOOKUP($B110,nrCDdate,nrCDnum),""))</f>
        <v/>
      </c>
      <c r="M110" s="16" t="n"/>
      <c r="N110" s="17">
        <f>IF(OR($B110="",$I110=""),"",_xlfn.LET(_xlpm.a,$I110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10" s="17">
        <f>IF(OR($B110="",$D110="",$E110=""),"",IF($E110=$D110,"CHECK TIMES (start = end)",IF($F110&gt;12,"CHECK TIMES (End is before Start?)","OK")))</f>
        <v/>
      </c>
      <c r="P110" s="17">
        <f>IF(OR($B110="",$I110=""),"",IF(IFERROR(MATCH($G110,nrBankTopics,0),0)=0,"OK",IF(COUNTA(INDEX(nrBankGrid,IFERROR(MATCH($G110,nrBankTopics,0),1),0))=0,"OK",IF(SUMPRODUCT((nrInstrNames&lt;&gt;"")*ISNUMBER(SEARCH(nrInstrNames,$I110))*(COUNTIF(INDEX(nrBankGrid,IFERROR(MATCH($G110,nrBankTopics,0),1),0),nrInstrNames)&gt;0))&lt;SUMPRODUCT((nrInstrNames&lt;&gt;"")*ISNUMBER(SEARCH(nrInstrNames,$I110))),"NOT IN BANK","OK"))))</f>
        <v/>
      </c>
    </row>
    <row r="111">
      <c r="B111" s="18" t="n"/>
      <c r="C111" s="17">
        <f>IF($B111="","",TEXT($B111,"ddd"))</f>
        <v/>
      </c>
      <c r="D111" s="41" t="n"/>
      <c r="E111" s="41" t="n"/>
      <c r="F111" s="17">
        <f>IF(OR($B111="",$D111="",$E111=""),"",ROUND(MOD($E111-$D111,1)*24,2))</f>
        <v/>
      </c>
      <c r="G111" s="16" t="n"/>
      <c r="H111" s="17">
        <f>IF($G111="","",IFERROR(_xlfn.XLOOKUP($G111,nrCHname,nrCHnum),IFERROR(_xlfn.XLOOKUP($G111,nrSUBname,nrSUBparent),"")))</f>
        <v/>
      </c>
      <c r="I111" s="16" t="n"/>
      <c r="J111" s="16" t="n"/>
      <c r="K111" s="17">
        <f>IF($B111="","",IFERROR(_xlfn.XLOOKUP($B111,nrCDdate,nrCDweek),""))</f>
        <v/>
      </c>
      <c r="L111" s="17">
        <f>IF($B111="","",IFERROR(_xlfn.XLOOKUP($B111,nrCDdate,nrCDnum),""))</f>
        <v/>
      </c>
      <c r="M111" s="16" t="n"/>
      <c r="N111" s="17">
        <f>IF(OR($B111="",$I111=""),"",_xlfn.LET(_xlpm.a,$I111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11" s="17">
        <f>IF(OR($B111="",$D111="",$E111=""),"",IF($E111=$D111,"CHECK TIMES (start = end)",IF($F111&gt;12,"CHECK TIMES (End is before Start?)","OK")))</f>
        <v/>
      </c>
      <c r="P111" s="17">
        <f>IF(OR($B111="",$I111=""),"",IF(IFERROR(MATCH($G111,nrBankTopics,0),0)=0,"OK",IF(COUNTA(INDEX(nrBankGrid,IFERROR(MATCH($G111,nrBankTopics,0),1),0))=0,"OK",IF(SUMPRODUCT((nrInstrNames&lt;&gt;"")*ISNUMBER(SEARCH(nrInstrNames,$I111))*(COUNTIF(INDEX(nrBankGrid,IFERROR(MATCH($G111,nrBankTopics,0),1),0),nrInstrNames)&gt;0))&lt;SUMPRODUCT((nrInstrNames&lt;&gt;"")*ISNUMBER(SEARCH(nrInstrNames,$I111))),"NOT IN BANK","OK"))))</f>
        <v/>
      </c>
    </row>
    <row r="112">
      <c r="B112" s="18" t="n"/>
      <c r="C112" s="17">
        <f>IF($B112="","",TEXT($B112,"ddd"))</f>
        <v/>
      </c>
      <c r="D112" s="41" t="n"/>
      <c r="E112" s="41" t="n"/>
      <c r="F112" s="17">
        <f>IF(OR($B112="",$D112="",$E112=""),"",ROUND(MOD($E112-$D112,1)*24,2))</f>
        <v/>
      </c>
      <c r="G112" s="16" t="n"/>
      <c r="H112" s="17">
        <f>IF($G112="","",IFERROR(_xlfn.XLOOKUP($G112,nrCHname,nrCHnum),IFERROR(_xlfn.XLOOKUP($G112,nrSUBname,nrSUBparent),"")))</f>
        <v/>
      </c>
      <c r="I112" s="16" t="n"/>
      <c r="J112" s="16" t="n"/>
      <c r="K112" s="17">
        <f>IF($B112="","",IFERROR(_xlfn.XLOOKUP($B112,nrCDdate,nrCDweek),""))</f>
        <v/>
      </c>
      <c r="L112" s="17">
        <f>IF($B112="","",IFERROR(_xlfn.XLOOKUP($B112,nrCDdate,nrCDnum),""))</f>
        <v/>
      </c>
      <c r="M112" s="16" t="n"/>
      <c r="N112" s="17">
        <f>IF(OR($B112="",$I112=""),"",_xlfn.LET(_xlpm.a,$I112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12" s="17">
        <f>IF(OR($B112="",$D112="",$E112=""),"",IF($E112=$D112,"CHECK TIMES (start = end)",IF($F112&gt;12,"CHECK TIMES (End is before Start?)","OK")))</f>
        <v/>
      </c>
      <c r="P112" s="17">
        <f>IF(OR($B112="",$I112=""),"",IF(IFERROR(MATCH($G112,nrBankTopics,0),0)=0,"OK",IF(COUNTA(INDEX(nrBankGrid,IFERROR(MATCH($G112,nrBankTopics,0),1),0))=0,"OK",IF(SUMPRODUCT((nrInstrNames&lt;&gt;"")*ISNUMBER(SEARCH(nrInstrNames,$I112))*(COUNTIF(INDEX(nrBankGrid,IFERROR(MATCH($G112,nrBankTopics,0),1),0),nrInstrNames)&gt;0))&lt;SUMPRODUCT((nrInstrNames&lt;&gt;"")*ISNUMBER(SEARCH(nrInstrNames,$I112))),"NOT IN BANK","OK"))))</f>
        <v/>
      </c>
    </row>
    <row r="113">
      <c r="B113" s="18" t="n"/>
      <c r="C113" s="17">
        <f>IF($B113="","",TEXT($B113,"ddd"))</f>
        <v/>
      </c>
      <c r="D113" s="41" t="n"/>
      <c r="E113" s="41" t="n"/>
      <c r="F113" s="17">
        <f>IF(OR($B113="",$D113="",$E113=""),"",ROUND(MOD($E113-$D113,1)*24,2))</f>
        <v/>
      </c>
      <c r="G113" s="16" t="n"/>
      <c r="H113" s="17">
        <f>IF($G113="","",IFERROR(_xlfn.XLOOKUP($G113,nrCHname,nrCHnum),IFERROR(_xlfn.XLOOKUP($G113,nrSUBname,nrSUBparent),"")))</f>
        <v/>
      </c>
      <c r="I113" s="16" t="n"/>
      <c r="J113" s="16" t="n"/>
      <c r="K113" s="17">
        <f>IF($B113="","",IFERROR(_xlfn.XLOOKUP($B113,nrCDdate,nrCDweek),""))</f>
        <v/>
      </c>
      <c r="L113" s="17">
        <f>IF($B113="","",IFERROR(_xlfn.XLOOKUP($B113,nrCDdate,nrCDnum),""))</f>
        <v/>
      </c>
      <c r="M113" s="16" t="n"/>
      <c r="N113" s="17">
        <f>IF(OR($B113="",$I113=""),"",_xlfn.LET(_xlpm.a,$I113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13" s="17">
        <f>IF(OR($B113="",$D113="",$E113=""),"",IF($E113=$D113,"CHECK TIMES (start = end)",IF($F113&gt;12,"CHECK TIMES (End is before Start?)","OK")))</f>
        <v/>
      </c>
      <c r="P113" s="17">
        <f>IF(OR($B113="",$I113=""),"",IF(IFERROR(MATCH($G113,nrBankTopics,0),0)=0,"OK",IF(COUNTA(INDEX(nrBankGrid,IFERROR(MATCH($G113,nrBankTopics,0),1),0))=0,"OK",IF(SUMPRODUCT((nrInstrNames&lt;&gt;"")*ISNUMBER(SEARCH(nrInstrNames,$I113))*(COUNTIF(INDEX(nrBankGrid,IFERROR(MATCH($G113,nrBankTopics,0),1),0),nrInstrNames)&gt;0))&lt;SUMPRODUCT((nrInstrNames&lt;&gt;"")*ISNUMBER(SEARCH(nrInstrNames,$I113))),"NOT IN BANK","OK"))))</f>
        <v/>
      </c>
    </row>
    <row r="114">
      <c r="B114" s="18" t="n"/>
      <c r="C114" s="17">
        <f>IF($B114="","",TEXT($B114,"ddd"))</f>
        <v/>
      </c>
      <c r="D114" s="41" t="n"/>
      <c r="E114" s="41" t="n"/>
      <c r="F114" s="17">
        <f>IF(OR($B114="",$D114="",$E114=""),"",ROUND(MOD($E114-$D114,1)*24,2))</f>
        <v/>
      </c>
      <c r="G114" s="16" t="n"/>
      <c r="H114" s="17">
        <f>IF($G114="","",IFERROR(_xlfn.XLOOKUP($G114,nrCHname,nrCHnum),IFERROR(_xlfn.XLOOKUP($G114,nrSUBname,nrSUBparent),"")))</f>
        <v/>
      </c>
      <c r="I114" s="16" t="n"/>
      <c r="J114" s="16" t="n"/>
      <c r="K114" s="17">
        <f>IF($B114="","",IFERROR(_xlfn.XLOOKUP($B114,nrCDdate,nrCDweek),""))</f>
        <v/>
      </c>
      <c r="L114" s="17">
        <f>IF($B114="","",IFERROR(_xlfn.XLOOKUP($B114,nrCDdate,nrCDnum),""))</f>
        <v/>
      </c>
      <c r="M114" s="16" t="n"/>
      <c r="N114" s="17">
        <f>IF(OR($B114="",$I114=""),"",_xlfn.LET(_xlpm.a,$I114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14" s="17">
        <f>IF(OR($B114="",$D114="",$E114=""),"",IF($E114=$D114,"CHECK TIMES (start = end)",IF($F114&gt;12,"CHECK TIMES (End is before Start?)","OK")))</f>
        <v/>
      </c>
      <c r="P114" s="17">
        <f>IF(OR($B114="",$I114=""),"",IF(IFERROR(MATCH($G114,nrBankTopics,0),0)=0,"OK",IF(COUNTA(INDEX(nrBankGrid,IFERROR(MATCH($G114,nrBankTopics,0),1),0))=0,"OK",IF(SUMPRODUCT((nrInstrNames&lt;&gt;"")*ISNUMBER(SEARCH(nrInstrNames,$I114))*(COUNTIF(INDEX(nrBankGrid,IFERROR(MATCH($G114,nrBankTopics,0),1),0),nrInstrNames)&gt;0))&lt;SUMPRODUCT((nrInstrNames&lt;&gt;"")*ISNUMBER(SEARCH(nrInstrNames,$I114))),"NOT IN BANK","OK"))))</f>
        <v/>
      </c>
    </row>
    <row r="115">
      <c r="B115" s="18" t="n"/>
      <c r="C115" s="17">
        <f>IF($B115="","",TEXT($B115,"ddd"))</f>
        <v/>
      </c>
      <c r="D115" s="41" t="n"/>
      <c r="E115" s="41" t="n"/>
      <c r="F115" s="17">
        <f>IF(OR($B115="",$D115="",$E115=""),"",ROUND(MOD($E115-$D115,1)*24,2))</f>
        <v/>
      </c>
      <c r="G115" s="16" t="n"/>
      <c r="H115" s="17">
        <f>IF($G115="","",IFERROR(_xlfn.XLOOKUP($G115,nrCHname,nrCHnum),IFERROR(_xlfn.XLOOKUP($G115,nrSUBname,nrSUBparent),"")))</f>
        <v/>
      </c>
      <c r="I115" s="16" t="n"/>
      <c r="J115" s="16" t="n"/>
      <c r="K115" s="17">
        <f>IF($B115="","",IFERROR(_xlfn.XLOOKUP($B115,nrCDdate,nrCDweek),""))</f>
        <v/>
      </c>
      <c r="L115" s="17">
        <f>IF($B115="","",IFERROR(_xlfn.XLOOKUP($B115,nrCDdate,nrCDnum),""))</f>
        <v/>
      </c>
      <c r="M115" s="16" t="n"/>
      <c r="N115" s="17">
        <f>IF(OR($B115="",$I115=""),"",_xlfn.LET(_xlpm.a,$I115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15" s="17">
        <f>IF(OR($B115="",$D115="",$E115=""),"",IF($E115=$D115,"CHECK TIMES (start = end)",IF($F115&gt;12,"CHECK TIMES (End is before Start?)","OK")))</f>
        <v/>
      </c>
      <c r="P115" s="17">
        <f>IF(OR($B115="",$I115=""),"",IF(IFERROR(MATCH($G115,nrBankTopics,0),0)=0,"OK",IF(COUNTA(INDEX(nrBankGrid,IFERROR(MATCH($G115,nrBankTopics,0),1),0))=0,"OK",IF(SUMPRODUCT((nrInstrNames&lt;&gt;"")*ISNUMBER(SEARCH(nrInstrNames,$I115))*(COUNTIF(INDEX(nrBankGrid,IFERROR(MATCH($G115,nrBankTopics,0),1),0),nrInstrNames)&gt;0))&lt;SUMPRODUCT((nrInstrNames&lt;&gt;"")*ISNUMBER(SEARCH(nrInstrNames,$I115))),"NOT IN BANK","OK"))))</f>
        <v/>
      </c>
    </row>
    <row r="116">
      <c r="B116" s="18" t="n"/>
      <c r="C116" s="17">
        <f>IF($B116="","",TEXT($B116,"ddd"))</f>
        <v/>
      </c>
      <c r="D116" s="41" t="n"/>
      <c r="E116" s="41" t="n"/>
      <c r="F116" s="17">
        <f>IF(OR($B116="",$D116="",$E116=""),"",ROUND(MOD($E116-$D116,1)*24,2))</f>
        <v/>
      </c>
      <c r="G116" s="16" t="n"/>
      <c r="H116" s="17">
        <f>IF($G116="","",IFERROR(_xlfn.XLOOKUP($G116,nrCHname,nrCHnum),IFERROR(_xlfn.XLOOKUP($G116,nrSUBname,nrSUBparent),"")))</f>
        <v/>
      </c>
      <c r="I116" s="16" t="n"/>
      <c r="J116" s="16" t="n"/>
      <c r="K116" s="17">
        <f>IF($B116="","",IFERROR(_xlfn.XLOOKUP($B116,nrCDdate,nrCDweek),""))</f>
        <v/>
      </c>
      <c r="L116" s="17">
        <f>IF($B116="","",IFERROR(_xlfn.XLOOKUP($B116,nrCDdate,nrCDnum),""))</f>
        <v/>
      </c>
      <c r="M116" s="16" t="n"/>
      <c r="N116" s="17">
        <f>IF(OR($B116="",$I116=""),"",_xlfn.LET(_xlpm.a,$I116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16" s="17">
        <f>IF(OR($B116="",$D116="",$E116=""),"",IF($E116=$D116,"CHECK TIMES (start = end)",IF($F116&gt;12,"CHECK TIMES (End is before Start?)","OK")))</f>
        <v/>
      </c>
      <c r="P116" s="17">
        <f>IF(OR($B116="",$I116=""),"",IF(IFERROR(MATCH($G116,nrBankTopics,0),0)=0,"OK",IF(COUNTA(INDEX(nrBankGrid,IFERROR(MATCH($G116,nrBankTopics,0),1),0))=0,"OK",IF(SUMPRODUCT((nrInstrNames&lt;&gt;"")*ISNUMBER(SEARCH(nrInstrNames,$I116))*(COUNTIF(INDEX(nrBankGrid,IFERROR(MATCH($G116,nrBankTopics,0),1),0),nrInstrNames)&gt;0))&lt;SUMPRODUCT((nrInstrNames&lt;&gt;"")*ISNUMBER(SEARCH(nrInstrNames,$I116))),"NOT IN BANK","OK"))))</f>
        <v/>
      </c>
    </row>
    <row r="117">
      <c r="B117" s="18" t="n"/>
      <c r="C117" s="17">
        <f>IF($B117="","",TEXT($B117,"ddd"))</f>
        <v/>
      </c>
      <c r="D117" s="41" t="n"/>
      <c r="E117" s="41" t="n"/>
      <c r="F117" s="17">
        <f>IF(OR($B117="",$D117="",$E117=""),"",ROUND(MOD($E117-$D117,1)*24,2))</f>
        <v/>
      </c>
      <c r="G117" s="16" t="n"/>
      <c r="H117" s="17">
        <f>IF($G117="","",IFERROR(_xlfn.XLOOKUP($G117,nrCHname,nrCHnum),IFERROR(_xlfn.XLOOKUP($G117,nrSUBname,nrSUBparent),"")))</f>
        <v/>
      </c>
      <c r="I117" s="16" t="n"/>
      <c r="J117" s="16" t="n"/>
      <c r="K117" s="17">
        <f>IF($B117="","",IFERROR(_xlfn.XLOOKUP($B117,nrCDdate,nrCDweek),""))</f>
        <v/>
      </c>
      <c r="L117" s="17">
        <f>IF($B117="","",IFERROR(_xlfn.XLOOKUP($B117,nrCDdate,nrCDnum),""))</f>
        <v/>
      </c>
      <c r="M117" s="16" t="n"/>
      <c r="N117" s="17">
        <f>IF(OR($B117="",$I117=""),"",_xlfn.LET(_xlpm.a,$I117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17" s="17">
        <f>IF(OR($B117="",$D117="",$E117=""),"",IF($E117=$D117,"CHECK TIMES (start = end)",IF($F117&gt;12,"CHECK TIMES (End is before Start?)","OK")))</f>
        <v/>
      </c>
      <c r="P117" s="17">
        <f>IF(OR($B117="",$I117=""),"",IF(IFERROR(MATCH($G117,nrBankTopics,0),0)=0,"OK",IF(COUNTA(INDEX(nrBankGrid,IFERROR(MATCH($G117,nrBankTopics,0),1),0))=0,"OK",IF(SUMPRODUCT((nrInstrNames&lt;&gt;"")*ISNUMBER(SEARCH(nrInstrNames,$I117))*(COUNTIF(INDEX(nrBankGrid,IFERROR(MATCH($G117,nrBankTopics,0),1),0),nrInstrNames)&gt;0))&lt;SUMPRODUCT((nrInstrNames&lt;&gt;"")*ISNUMBER(SEARCH(nrInstrNames,$I117))),"NOT IN BANK","OK"))))</f>
        <v/>
      </c>
    </row>
    <row r="118">
      <c r="B118" s="18" t="n"/>
      <c r="C118" s="17">
        <f>IF($B118="","",TEXT($B118,"ddd"))</f>
        <v/>
      </c>
      <c r="D118" s="41" t="n"/>
      <c r="E118" s="41" t="n"/>
      <c r="F118" s="17">
        <f>IF(OR($B118="",$D118="",$E118=""),"",ROUND(MOD($E118-$D118,1)*24,2))</f>
        <v/>
      </c>
      <c r="G118" s="16" t="n"/>
      <c r="H118" s="17">
        <f>IF($G118="","",IFERROR(_xlfn.XLOOKUP($G118,nrCHname,nrCHnum),IFERROR(_xlfn.XLOOKUP($G118,nrSUBname,nrSUBparent),"")))</f>
        <v/>
      </c>
      <c r="I118" s="16" t="n"/>
      <c r="J118" s="16" t="n"/>
      <c r="K118" s="17">
        <f>IF($B118="","",IFERROR(_xlfn.XLOOKUP($B118,nrCDdate,nrCDweek),""))</f>
        <v/>
      </c>
      <c r="L118" s="17">
        <f>IF($B118="","",IFERROR(_xlfn.XLOOKUP($B118,nrCDdate,nrCDnum),""))</f>
        <v/>
      </c>
      <c r="M118" s="16" t="n"/>
      <c r="N118" s="17">
        <f>IF(OR($B118="",$I118=""),"",_xlfn.LET(_xlpm.a,$I118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18" s="17">
        <f>IF(OR($B118="",$D118="",$E118=""),"",IF($E118=$D118,"CHECK TIMES (start = end)",IF($F118&gt;12,"CHECK TIMES (End is before Start?)","OK")))</f>
        <v/>
      </c>
      <c r="P118" s="17">
        <f>IF(OR($B118="",$I118=""),"",IF(IFERROR(MATCH($G118,nrBankTopics,0),0)=0,"OK",IF(COUNTA(INDEX(nrBankGrid,IFERROR(MATCH($G118,nrBankTopics,0),1),0))=0,"OK",IF(SUMPRODUCT((nrInstrNames&lt;&gt;"")*ISNUMBER(SEARCH(nrInstrNames,$I118))*(COUNTIF(INDEX(nrBankGrid,IFERROR(MATCH($G118,nrBankTopics,0),1),0),nrInstrNames)&gt;0))&lt;SUMPRODUCT((nrInstrNames&lt;&gt;"")*ISNUMBER(SEARCH(nrInstrNames,$I118))),"NOT IN BANK","OK"))))</f>
        <v/>
      </c>
    </row>
    <row r="119">
      <c r="B119" s="18" t="n"/>
      <c r="C119" s="17">
        <f>IF($B119="","",TEXT($B119,"ddd"))</f>
        <v/>
      </c>
      <c r="D119" s="41" t="n"/>
      <c r="E119" s="41" t="n"/>
      <c r="F119" s="17">
        <f>IF(OR($B119="",$D119="",$E119=""),"",ROUND(MOD($E119-$D119,1)*24,2))</f>
        <v/>
      </c>
      <c r="G119" s="16" t="n"/>
      <c r="H119" s="17">
        <f>IF($G119="","",IFERROR(_xlfn.XLOOKUP($G119,nrCHname,nrCHnum),IFERROR(_xlfn.XLOOKUP($G119,nrSUBname,nrSUBparent),"")))</f>
        <v/>
      </c>
      <c r="I119" s="16" t="n"/>
      <c r="J119" s="16" t="n"/>
      <c r="K119" s="17">
        <f>IF($B119="","",IFERROR(_xlfn.XLOOKUP($B119,nrCDdate,nrCDweek),""))</f>
        <v/>
      </c>
      <c r="L119" s="17">
        <f>IF($B119="","",IFERROR(_xlfn.XLOOKUP($B119,nrCDdate,nrCDnum),""))</f>
        <v/>
      </c>
      <c r="M119" s="16" t="n"/>
      <c r="N119" s="17">
        <f>IF(OR($B119="",$I119=""),"",_xlfn.LET(_xlpm.a,$I119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19" s="17">
        <f>IF(OR($B119="",$D119="",$E119=""),"",IF($E119=$D119,"CHECK TIMES (start = end)",IF($F119&gt;12,"CHECK TIMES (End is before Start?)","OK")))</f>
        <v/>
      </c>
      <c r="P119" s="17">
        <f>IF(OR($B119="",$I119=""),"",IF(IFERROR(MATCH($G119,nrBankTopics,0),0)=0,"OK",IF(COUNTA(INDEX(nrBankGrid,IFERROR(MATCH($G119,nrBankTopics,0),1),0))=0,"OK",IF(SUMPRODUCT((nrInstrNames&lt;&gt;"")*ISNUMBER(SEARCH(nrInstrNames,$I119))*(COUNTIF(INDEX(nrBankGrid,IFERROR(MATCH($G119,nrBankTopics,0),1),0),nrInstrNames)&gt;0))&lt;SUMPRODUCT((nrInstrNames&lt;&gt;"")*ISNUMBER(SEARCH(nrInstrNames,$I119))),"NOT IN BANK","OK"))))</f>
        <v/>
      </c>
    </row>
    <row r="120">
      <c r="B120" s="18" t="n"/>
      <c r="C120" s="17">
        <f>IF($B120="","",TEXT($B120,"ddd"))</f>
        <v/>
      </c>
      <c r="D120" s="41" t="n"/>
      <c r="E120" s="41" t="n"/>
      <c r="F120" s="17">
        <f>IF(OR($B120="",$D120="",$E120=""),"",ROUND(MOD($E120-$D120,1)*24,2))</f>
        <v/>
      </c>
      <c r="G120" s="16" t="n"/>
      <c r="H120" s="17">
        <f>IF($G120="","",IFERROR(_xlfn.XLOOKUP($G120,nrCHname,nrCHnum),IFERROR(_xlfn.XLOOKUP($G120,nrSUBname,nrSUBparent),"")))</f>
        <v/>
      </c>
      <c r="I120" s="16" t="n"/>
      <c r="J120" s="16" t="n"/>
      <c r="K120" s="17">
        <f>IF($B120="","",IFERROR(_xlfn.XLOOKUP($B120,nrCDdate,nrCDweek),""))</f>
        <v/>
      </c>
      <c r="L120" s="17">
        <f>IF($B120="","",IFERROR(_xlfn.XLOOKUP($B120,nrCDdate,nrCDnum),""))</f>
        <v/>
      </c>
      <c r="M120" s="16" t="n"/>
      <c r="N120" s="17">
        <f>IF(OR($B120="",$I120=""),"",_xlfn.LET(_xlpm.a,$I120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20" s="17">
        <f>IF(OR($B120="",$D120="",$E120=""),"",IF($E120=$D120,"CHECK TIMES (start = end)",IF($F120&gt;12,"CHECK TIMES (End is before Start?)","OK")))</f>
        <v/>
      </c>
      <c r="P120" s="17">
        <f>IF(OR($B120="",$I120=""),"",IF(IFERROR(MATCH($G120,nrBankTopics,0),0)=0,"OK",IF(COUNTA(INDEX(nrBankGrid,IFERROR(MATCH($G120,nrBankTopics,0),1),0))=0,"OK",IF(SUMPRODUCT((nrInstrNames&lt;&gt;"")*ISNUMBER(SEARCH(nrInstrNames,$I120))*(COUNTIF(INDEX(nrBankGrid,IFERROR(MATCH($G120,nrBankTopics,0),1),0),nrInstrNames)&gt;0))&lt;SUMPRODUCT((nrInstrNames&lt;&gt;"")*ISNUMBER(SEARCH(nrInstrNames,$I120))),"NOT IN BANK","OK"))))</f>
        <v/>
      </c>
    </row>
    <row r="121">
      <c r="B121" s="18" t="n"/>
      <c r="C121" s="17">
        <f>IF($B121="","",TEXT($B121,"ddd"))</f>
        <v/>
      </c>
      <c r="D121" s="41" t="n"/>
      <c r="E121" s="41" t="n"/>
      <c r="F121" s="17">
        <f>IF(OR($B121="",$D121="",$E121=""),"",ROUND(MOD($E121-$D121,1)*24,2))</f>
        <v/>
      </c>
      <c r="G121" s="16" t="n"/>
      <c r="H121" s="17">
        <f>IF($G121="","",IFERROR(_xlfn.XLOOKUP($G121,nrCHname,nrCHnum),IFERROR(_xlfn.XLOOKUP($G121,nrSUBname,nrSUBparent),"")))</f>
        <v/>
      </c>
      <c r="I121" s="16" t="n"/>
      <c r="J121" s="16" t="n"/>
      <c r="K121" s="17">
        <f>IF($B121="","",IFERROR(_xlfn.XLOOKUP($B121,nrCDdate,nrCDweek),""))</f>
        <v/>
      </c>
      <c r="L121" s="17">
        <f>IF($B121="","",IFERROR(_xlfn.XLOOKUP($B121,nrCDdate,nrCDnum),""))</f>
        <v/>
      </c>
      <c r="M121" s="16" t="n"/>
      <c r="N121" s="17">
        <f>IF(OR($B121="",$I121=""),"",_xlfn.LET(_xlpm.a,$I121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21" s="17">
        <f>IF(OR($B121="",$D121="",$E121=""),"",IF($E121=$D121,"CHECK TIMES (start = end)",IF($F121&gt;12,"CHECK TIMES (End is before Start?)","OK")))</f>
        <v/>
      </c>
      <c r="P121" s="17">
        <f>IF(OR($B121="",$I121=""),"",IF(IFERROR(MATCH($G121,nrBankTopics,0),0)=0,"OK",IF(COUNTA(INDEX(nrBankGrid,IFERROR(MATCH($G121,nrBankTopics,0),1),0))=0,"OK",IF(SUMPRODUCT((nrInstrNames&lt;&gt;"")*ISNUMBER(SEARCH(nrInstrNames,$I121))*(COUNTIF(INDEX(nrBankGrid,IFERROR(MATCH($G121,nrBankTopics,0),1),0),nrInstrNames)&gt;0))&lt;SUMPRODUCT((nrInstrNames&lt;&gt;"")*ISNUMBER(SEARCH(nrInstrNames,$I121))),"NOT IN BANK","OK"))))</f>
        <v/>
      </c>
    </row>
    <row r="122">
      <c r="B122" s="18" t="n"/>
      <c r="C122" s="17">
        <f>IF($B122="","",TEXT($B122,"ddd"))</f>
        <v/>
      </c>
      <c r="D122" s="41" t="n"/>
      <c r="E122" s="41" t="n"/>
      <c r="F122" s="17">
        <f>IF(OR($B122="",$D122="",$E122=""),"",ROUND(MOD($E122-$D122,1)*24,2))</f>
        <v/>
      </c>
      <c r="G122" s="16" t="n"/>
      <c r="H122" s="17">
        <f>IF($G122="","",IFERROR(_xlfn.XLOOKUP($G122,nrCHname,nrCHnum),IFERROR(_xlfn.XLOOKUP($G122,nrSUBname,nrSUBparent),"")))</f>
        <v/>
      </c>
      <c r="I122" s="16" t="n"/>
      <c r="J122" s="16" t="n"/>
      <c r="K122" s="17">
        <f>IF($B122="","",IFERROR(_xlfn.XLOOKUP($B122,nrCDdate,nrCDweek),""))</f>
        <v/>
      </c>
      <c r="L122" s="17">
        <f>IF($B122="","",IFERROR(_xlfn.XLOOKUP($B122,nrCDdate,nrCDnum),""))</f>
        <v/>
      </c>
      <c r="M122" s="16" t="n"/>
      <c r="N122" s="17">
        <f>IF(OR($B122="",$I122=""),"",_xlfn.LET(_xlpm.a,$I122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22" s="17">
        <f>IF(OR($B122="",$D122="",$E122=""),"",IF($E122=$D122,"CHECK TIMES (start = end)",IF($F122&gt;12,"CHECK TIMES (End is before Start?)","OK")))</f>
        <v/>
      </c>
      <c r="P122" s="17">
        <f>IF(OR($B122="",$I122=""),"",IF(IFERROR(MATCH($G122,nrBankTopics,0),0)=0,"OK",IF(COUNTA(INDEX(nrBankGrid,IFERROR(MATCH($G122,nrBankTopics,0),1),0))=0,"OK",IF(SUMPRODUCT((nrInstrNames&lt;&gt;"")*ISNUMBER(SEARCH(nrInstrNames,$I122))*(COUNTIF(INDEX(nrBankGrid,IFERROR(MATCH($G122,nrBankTopics,0),1),0),nrInstrNames)&gt;0))&lt;SUMPRODUCT((nrInstrNames&lt;&gt;"")*ISNUMBER(SEARCH(nrInstrNames,$I122))),"NOT IN BANK","OK"))))</f>
        <v/>
      </c>
    </row>
    <row r="123">
      <c r="B123" s="18" t="n"/>
      <c r="C123" s="17">
        <f>IF($B123="","",TEXT($B123,"ddd"))</f>
        <v/>
      </c>
      <c r="D123" s="41" t="n"/>
      <c r="E123" s="41" t="n"/>
      <c r="F123" s="17">
        <f>IF(OR($B123="",$D123="",$E123=""),"",ROUND(MOD($E123-$D123,1)*24,2))</f>
        <v/>
      </c>
      <c r="G123" s="16" t="n"/>
      <c r="H123" s="17">
        <f>IF($G123="","",IFERROR(_xlfn.XLOOKUP($G123,nrCHname,nrCHnum),IFERROR(_xlfn.XLOOKUP($G123,nrSUBname,nrSUBparent),"")))</f>
        <v/>
      </c>
      <c r="I123" s="16" t="n"/>
      <c r="J123" s="16" t="n"/>
      <c r="K123" s="17">
        <f>IF($B123="","",IFERROR(_xlfn.XLOOKUP($B123,nrCDdate,nrCDweek),""))</f>
        <v/>
      </c>
      <c r="L123" s="17">
        <f>IF($B123="","",IFERROR(_xlfn.XLOOKUP($B123,nrCDdate,nrCDnum),""))</f>
        <v/>
      </c>
      <c r="M123" s="16" t="n"/>
      <c r="N123" s="17">
        <f>IF(OR($B123="",$I123=""),"",_xlfn.LET(_xlpm.a,$I123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23" s="17">
        <f>IF(OR($B123="",$D123="",$E123=""),"",IF($E123=$D123,"CHECK TIMES (start = end)",IF($F123&gt;12,"CHECK TIMES (End is before Start?)","OK")))</f>
        <v/>
      </c>
      <c r="P123" s="17">
        <f>IF(OR($B123="",$I123=""),"",IF(IFERROR(MATCH($G123,nrBankTopics,0),0)=0,"OK",IF(COUNTA(INDEX(nrBankGrid,IFERROR(MATCH($G123,nrBankTopics,0),1),0))=0,"OK",IF(SUMPRODUCT((nrInstrNames&lt;&gt;"")*ISNUMBER(SEARCH(nrInstrNames,$I123))*(COUNTIF(INDEX(nrBankGrid,IFERROR(MATCH($G123,nrBankTopics,0),1),0),nrInstrNames)&gt;0))&lt;SUMPRODUCT((nrInstrNames&lt;&gt;"")*ISNUMBER(SEARCH(nrInstrNames,$I123))),"NOT IN BANK","OK"))))</f>
        <v/>
      </c>
    </row>
    <row r="124">
      <c r="B124" s="18" t="n"/>
      <c r="C124" s="17">
        <f>IF($B124="","",TEXT($B124,"ddd"))</f>
        <v/>
      </c>
      <c r="D124" s="41" t="n"/>
      <c r="E124" s="41" t="n"/>
      <c r="F124" s="17">
        <f>IF(OR($B124="",$D124="",$E124=""),"",ROUND(MOD($E124-$D124,1)*24,2))</f>
        <v/>
      </c>
      <c r="G124" s="16" t="n"/>
      <c r="H124" s="17">
        <f>IF($G124="","",IFERROR(_xlfn.XLOOKUP($G124,nrCHname,nrCHnum),IFERROR(_xlfn.XLOOKUP($G124,nrSUBname,nrSUBparent),"")))</f>
        <v/>
      </c>
      <c r="I124" s="16" t="n"/>
      <c r="J124" s="16" t="n"/>
      <c r="K124" s="17">
        <f>IF($B124="","",IFERROR(_xlfn.XLOOKUP($B124,nrCDdate,nrCDweek),""))</f>
        <v/>
      </c>
      <c r="L124" s="17">
        <f>IF($B124="","",IFERROR(_xlfn.XLOOKUP($B124,nrCDdate,nrCDnum),""))</f>
        <v/>
      </c>
      <c r="M124" s="16" t="n"/>
      <c r="N124" s="17">
        <f>IF(OR($B124="",$I124=""),"",_xlfn.LET(_xlpm.a,$I124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24" s="17">
        <f>IF(OR($B124="",$D124="",$E124=""),"",IF($E124=$D124,"CHECK TIMES (start = end)",IF($F124&gt;12,"CHECK TIMES (End is before Start?)","OK")))</f>
        <v/>
      </c>
      <c r="P124" s="17">
        <f>IF(OR($B124="",$I124=""),"",IF(IFERROR(MATCH($G124,nrBankTopics,0),0)=0,"OK",IF(COUNTA(INDEX(nrBankGrid,IFERROR(MATCH($G124,nrBankTopics,0),1),0))=0,"OK",IF(SUMPRODUCT((nrInstrNames&lt;&gt;"")*ISNUMBER(SEARCH(nrInstrNames,$I124))*(COUNTIF(INDEX(nrBankGrid,IFERROR(MATCH($G124,nrBankTopics,0),1),0),nrInstrNames)&gt;0))&lt;SUMPRODUCT((nrInstrNames&lt;&gt;"")*ISNUMBER(SEARCH(nrInstrNames,$I124))),"NOT IN BANK","OK"))))</f>
        <v/>
      </c>
    </row>
    <row r="125">
      <c r="B125" s="18" t="n"/>
      <c r="C125" s="17">
        <f>IF($B125="","",TEXT($B125,"ddd"))</f>
        <v/>
      </c>
      <c r="D125" s="41" t="n"/>
      <c r="E125" s="41" t="n"/>
      <c r="F125" s="17">
        <f>IF(OR($B125="",$D125="",$E125=""),"",ROUND(MOD($E125-$D125,1)*24,2))</f>
        <v/>
      </c>
      <c r="G125" s="16" t="n"/>
      <c r="H125" s="17">
        <f>IF($G125="","",IFERROR(_xlfn.XLOOKUP($G125,nrCHname,nrCHnum),IFERROR(_xlfn.XLOOKUP($G125,nrSUBname,nrSUBparent),"")))</f>
        <v/>
      </c>
      <c r="I125" s="16" t="n"/>
      <c r="J125" s="16" t="n"/>
      <c r="K125" s="17">
        <f>IF($B125="","",IFERROR(_xlfn.XLOOKUP($B125,nrCDdate,nrCDweek),""))</f>
        <v/>
      </c>
      <c r="L125" s="17">
        <f>IF($B125="","",IFERROR(_xlfn.XLOOKUP($B125,nrCDdate,nrCDnum),""))</f>
        <v/>
      </c>
      <c r="M125" s="16" t="n"/>
      <c r="N125" s="17">
        <f>IF(OR($B125="",$I125=""),"",_xlfn.LET(_xlpm.a,$I125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25" s="17">
        <f>IF(OR($B125="",$D125="",$E125=""),"",IF($E125=$D125,"CHECK TIMES (start = end)",IF($F125&gt;12,"CHECK TIMES (End is before Start?)","OK")))</f>
        <v/>
      </c>
      <c r="P125" s="17">
        <f>IF(OR($B125="",$I125=""),"",IF(IFERROR(MATCH($G125,nrBankTopics,0),0)=0,"OK",IF(COUNTA(INDEX(nrBankGrid,IFERROR(MATCH($G125,nrBankTopics,0),1),0))=0,"OK",IF(SUMPRODUCT((nrInstrNames&lt;&gt;"")*ISNUMBER(SEARCH(nrInstrNames,$I125))*(COUNTIF(INDEX(nrBankGrid,IFERROR(MATCH($G125,nrBankTopics,0),1),0),nrInstrNames)&gt;0))&lt;SUMPRODUCT((nrInstrNames&lt;&gt;"")*ISNUMBER(SEARCH(nrInstrNames,$I125))),"NOT IN BANK","OK"))))</f>
        <v/>
      </c>
    </row>
    <row r="126">
      <c r="B126" s="18" t="n"/>
      <c r="C126" s="17">
        <f>IF($B126="","",TEXT($B126,"ddd"))</f>
        <v/>
      </c>
      <c r="D126" s="41" t="n"/>
      <c r="E126" s="41" t="n"/>
      <c r="F126" s="17">
        <f>IF(OR($B126="",$D126="",$E126=""),"",ROUND(MOD($E126-$D126,1)*24,2))</f>
        <v/>
      </c>
      <c r="G126" s="16" t="n"/>
      <c r="H126" s="17">
        <f>IF($G126="","",IFERROR(_xlfn.XLOOKUP($G126,nrCHname,nrCHnum),IFERROR(_xlfn.XLOOKUP($G126,nrSUBname,nrSUBparent),"")))</f>
        <v/>
      </c>
      <c r="I126" s="16" t="n"/>
      <c r="J126" s="16" t="n"/>
      <c r="K126" s="17">
        <f>IF($B126="","",IFERROR(_xlfn.XLOOKUP($B126,nrCDdate,nrCDweek),""))</f>
        <v/>
      </c>
      <c r="L126" s="17">
        <f>IF($B126="","",IFERROR(_xlfn.XLOOKUP($B126,nrCDdate,nrCDnum),""))</f>
        <v/>
      </c>
      <c r="M126" s="16" t="n"/>
      <c r="N126" s="17">
        <f>IF(OR($B126="",$I126=""),"",_xlfn.LET(_xlpm.a,$I126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26" s="17">
        <f>IF(OR($B126="",$D126="",$E126=""),"",IF($E126=$D126,"CHECK TIMES (start = end)",IF($F126&gt;12,"CHECK TIMES (End is before Start?)","OK")))</f>
        <v/>
      </c>
      <c r="P126" s="17">
        <f>IF(OR($B126="",$I126=""),"",IF(IFERROR(MATCH($G126,nrBankTopics,0),0)=0,"OK",IF(COUNTA(INDEX(nrBankGrid,IFERROR(MATCH($G126,nrBankTopics,0),1),0))=0,"OK",IF(SUMPRODUCT((nrInstrNames&lt;&gt;"")*ISNUMBER(SEARCH(nrInstrNames,$I126))*(COUNTIF(INDEX(nrBankGrid,IFERROR(MATCH($G126,nrBankTopics,0),1),0),nrInstrNames)&gt;0))&lt;SUMPRODUCT((nrInstrNames&lt;&gt;"")*ISNUMBER(SEARCH(nrInstrNames,$I126))),"NOT IN BANK","OK"))))</f>
        <v/>
      </c>
    </row>
    <row r="127">
      <c r="B127" s="18" t="n"/>
      <c r="C127" s="17">
        <f>IF($B127="","",TEXT($B127,"ddd"))</f>
        <v/>
      </c>
      <c r="D127" s="41" t="n"/>
      <c r="E127" s="41" t="n"/>
      <c r="F127" s="17">
        <f>IF(OR($B127="",$D127="",$E127=""),"",ROUND(MOD($E127-$D127,1)*24,2))</f>
        <v/>
      </c>
      <c r="G127" s="16" t="n"/>
      <c r="H127" s="17">
        <f>IF($G127="","",IFERROR(_xlfn.XLOOKUP($G127,nrCHname,nrCHnum),IFERROR(_xlfn.XLOOKUP($G127,nrSUBname,nrSUBparent),"")))</f>
        <v/>
      </c>
      <c r="I127" s="16" t="n"/>
      <c r="J127" s="16" t="n"/>
      <c r="K127" s="17">
        <f>IF($B127="","",IFERROR(_xlfn.XLOOKUP($B127,nrCDdate,nrCDweek),""))</f>
        <v/>
      </c>
      <c r="L127" s="17">
        <f>IF($B127="","",IFERROR(_xlfn.XLOOKUP($B127,nrCDdate,nrCDnum),""))</f>
        <v/>
      </c>
      <c r="M127" s="16" t="n"/>
      <c r="N127" s="17">
        <f>IF(OR($B127="",$I127=""),"",_xlfn.LET(_xlpm.a,$I127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27" s="17">
        <f>IF(OR($B127="",$D127="",$E127=""),"",IF($E127=$D127,"CHECK TIMES (start = end)",IF($F127&gt;12,"CHECK TIMES (End is before Start?)","OK")))</f>
        <v/>
      </c>
      <c r="P127" s="17">
        <f>IF(OR($B127="",$I127=""),"",IF(IFERROR(MATCH($G127,nrBankTopics,0),0)=0,"OK",IF(COUNTA(INDEX(nrBankGrid,IFERROR(MATCH($G127,nrBankTopics,0),1),0))=0,"OK",IF(SUMPRODUCT((nrInstrNames&lt;&gt;"")*ISNUMBER(SEARCH(nrInstrNames,$I127))*(COUNTIF(INDEX(nrBankGrid,IFERROR(MATCH($G127,nrBankTopics,0),1),0),nrInstrNames)&gt;0))&lt;SUMPRODUCT((nrInstrNames&lt;&gt;"")*ISNUMBER(SEARCH(nrInstrNames,$I127))),"NOT IN BANK","OK"))))</f>
        <v/>
      </c>
    </row>
    <row r="128">
      <c r="B128" s="18" t="n"/>
      <c r="C128" s="17">
        <f>IF($B128="","",TEXT($B128,"ddd"))</f>
        <v/>
      </c>
      <c r="D128" s="41" t="n"/>
      <c r="E128" s="41" t="n"/>
      <c r="F128" s="17">
        <f>IF(OR($B128="",$D128="",$E128=""),"",ROUND(MOD($E128-$D128,1)*24,2))</f>
        <v/>
      </c>
      <c r="G128" s="16" t="n"/>
      <c r="H128" s="17">
        <f>IF($G128="","",IFERROR(_xlfn.XLOOKUP($G128,nrCHname,nrCHnum),IFERROR(_xlfn.XLOOKUP($G128,nrSUBname,nrSUBparent),"")))</f>
        <v/>
      </c>
      <c r="I128" s="16" t="n"/>
      <c r="J128" s="16" t="n"/>
      <c r="K128" s="17">
        <f>IF($B128="","",IFERROR(_xlfn.XLOOKUP($B128,nrCDdate,nrCDweek),""))</f>
        <v/>
      </c>
      <c r="L128" s="17">
        <f>IF($B128="","",IFERROR(_xlfn.XLOOKUP($B128,nrCDdate,nrCDnum),""))</f>
        <v/>
      </c>
      <c r="M128" s="16" t="n"/>
      <c r="N128" s="17">
        <f>IF(OR($B128="",$I128=""),"",_xlfn.LET(_xlpm.a,$I128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28" s="17">
        <f>IF(OR($B128="",$D128="",$E128=""),"",IF($E128=$D128,"CHECK TIMES (start = end)",IF($F128&gt;12,"CHECK TIMES (End is before Start?)","OK")))</f>
        <v/>
      </c>
      <c r="P128" s="17">
        <f>IF(OR($B128="",$I128=""),"",IF(IFERROR(MATCH($G128,nrBankTopics,0),0)=0,"OK",IF(COUNTA(INDEX(nrBankGrid,IFERROR(MATCH($G128,nrBankTopics,0),1),0))=0,"OK",IF(SUMPRODUCT((nrInstrNames&lt;&gt;"")*ISNUMBER(SEARCH(nrInstrNames,$I128))*(COUNTIF(INDEX(nrBankGrid,IFERROR(MATCH($G128,nrBankTopics,0),1),0),nrInstrNames)&gt;0))&lt;SUMPRODUCT((nrInstrNames&lt;&gt;"")*ISNUMBER(SEARCH(nrInstrNames,$I128))),"NOT IN BANK","OK"))))</f>
        <v/>
      </c>
    </row>
    <row r="129">
      <c r="B129" s="18" t="n"/>
      <c r="C129" s="17">
        <f>IF($B129="","",TEXT($B129,"ddd"))</f>
        <v/>
      </c>
      <c r="D129" s="41" t="n"/>
      <c r="E129" s="41" t="n"/>
      <c r="F129" s="17">
        <f>IF(OR($B129="",$D129="",$E129=""),"",ROUND(MOD($E129-$D129,1)*24,2))</f>
        <v/>
      </c>
      <c r="G129" s="16" t="n"/>
      <c r="H129" s="17">
        <f>IF($G129="","",IFERROR(_xlfn.XLOOKUP($G129,nrCHname,nrCHnum),IFERROR(_xlfn.XLOOKUP($G129,nrSUBname,nrSUBparent),"")))</f>
        <v/>
      </c>
      <c r="I129" s="16" t="n"/>
      <c r="J129" s="16" t="n"/>
      <c r="K129" s="17">
        <f>IF($B129="","",IFERROR(_xlfn.XLOOKUP($B129,nrCDdate,nrCDweek),""))</f>
        <v/>
      </c>
      <c r="L129" s="17">
        <f>IF($B129="","",IFERROR(_xlfn.XLOOKUP($B129,nrCDdate,nrCDnum),""))</f>
        <v/>
      </c>
      <c r="M129" s="16" t="n"/>
      <c r="N129" s="17">
        <f>IF(OR($B129="",$I129=""),"",_xlfn.LET(_xlpm.a,$I129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29" s="17">
        <f>IF(OR($B129="",$D129="",$E129=""),"",IF($E129=$D129,"CHECK TIMES (start = end)",IF($F129&gt;12,"CHECK TIMES (End is before Start?)","OK")))</f>
        <v/>
      </c>
      <c r="P129" s="17">
        <f>IF(OR($B129="",$I129=""),"",IF(IFERROR(MATCH($G129,nrBankTopics,0),0)=0,"OK",IF(COUNTA(INDEX(nrBankGrid,IFERROR(MATCH($G129,nrBankTopics,0),1),0))=0,"OK",IF(SUMPRODUCT((nrInstrNames&lt;&gt;"")*ISNUMBER(SEARCH(nrInstrNames,$I129))*(COUNTIF(INDEX(nrBankGrid,IFERROR(MATCH($G129,nrBankTopics,0),1),0),nrInstrNames)&gt;0))&lt;SUMPRODUCT((nrInstrNames&lt;&gt;"")*ISNUMBER(SEARCH(nrInstrNames,$I129))),"NOT IN BANK","OK"))))</f>
        <v/>
      </c>
    </row>
    <row r="130">
      <c r="B130" s="18" t="n"/>
      <c r="C130" s="17">
        <f>IF($B130="","",TEXT($B130,"ddd"))</f>
        <v/>
      </c>
      <c r="D130" s="41" t="n"/>
      <c r="E130" s="41" t="n"/>
      <c r="F130" s="17">
        <f>IF(OR($B130="",$D130="",$E130=""),"",ROUND(MOD($E130-$D130,1)*24,2))</f>
        <v/>
      </c>
      <c r="G130" s="16" t="n"/>
      <c r="H130" s="17">
        <f>IF($G130="","",IFERROR(_xlfn.XLOOKUP($G130,nrCHname,nrCHnum),IFERROR(_xlfn.XLOOKUP($G130,nrSUBname,nrSUBparent),"")))</f>
        <v/>
      </c>
      <c r="I130" s="16" t="n"/>
      <c r="J130" s="16" t="n"/>
      <c r="K130" s="17">
        <f>IF($B130="","",IFERROR(_xlfn.XLOOKUP($B130,nrCDdate,nrCDweek),""))</f>
        <v/>
      </c>
      <c r="L130" s="17">
        <f>IF($B130="","",IFERROR(_xlfn.XLOOKUP($B130,nrCDdate,nrCDnum),""))</f>
        <v/>
      </c>
      <c r="M130" s="16" t="n"/>
      <c r="N130" s="17">
        <f>IF(OR($B130="",$I130=""),"",_xlfn.LET(_xlpm.a,$I130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30" s="17">
        <f>IF(OR($B130="",$D130="",$E130=""),"",IF($E130=$D130,"CHECK TIMES (start = end)",IF($F130&gt;12,"CHECK TIMES (End is before Start?)","OK")))</f>
        <v/>
      </c>
      <c r="P130" s="17">
        <f>IF(OR($B130="",$I130=""),"",IF(IFERROR(MATCH($G130,nrBankTopics,0),0)=0,"OK",IF(COUNTA(INDEX(nrBankGrid,IFERROR(MATCH($G130,nrBankTopics,0),1),0))=0,"OK",IF(SUMPRODUCT((nrInstrNames&lt;&gt;"")*ISNUMBER(SEARCH(nrInstrNames,$I130))*(COUNTIF(INDEX(nrBankGrid,IFERROR(MATCH($G130,nrBankTopics,0),1),0),nrInstrNames)&gt;0))&lt;SUMPRODUCT((nrInstrNames&lt;&gt;"")*ISNUMBER(SEARCH(nrInstrNames,$I130))),"NOT IN BANK","OK"))))</f>
        <v/>
      </c>
    </row>
    <row r="131">
      <c r="B131" s="18" t="n"/>
      <c r="C131" s="17">
        <f>IF($B131="","",TEXT($B131,"ddd"))</f>
        <v/>
      </c>
      <c r="D131" s="41" t="n"/>
      <c r="E131" s="41" t="n"/>
      <c r="F131" s="17">
        <f>IF(OR($B131="",$D131="",$E131=""),"",ROUND(MOD($E131-$D131,1)*24,2))</f>
        <v/>
      </c>
      <c r="G131" s="16" t="n"/>
      <c r="H131" s="17">
        <f>IF($G131="","",IFERROR(_xlfn.XLOOKUP($G131,nrCHname,nrCHnum),IFERROR(_xlfn.XLOOKUP($G131,nrSUBname,nrSUBparent),"")))</f>
        <v/>
      </c>
      <c r="I131" s="16" t="n"/>
      <c r="J131" s="16" t="n"/>
      <c r="K131" s="17">
        <f>IF($B131="","",IFERROR(_xlfn.XLOOKUP($B131,nrCDdate,nrCDweek),""))</f>
        <v/>
      </c>
      <c r="L131" s="17">
        <f>IF($B131="","",IFERROR(_xlfn.XLOOKUP($B131,nrCDdate,nrCDnum),""))</f>
        <v/>
      </c>
      <c r="M131" s="16" t="n"/>
      <c r="N131" s="17">
        <f>IF(OR($B131="",$I131=""),"",_xlfn.LET(_xlpm.a,$I131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31" s="17">
        <f>IF(OR($B131="",$D131="",$E131=""),"",IF($E131=$D131,"CHECK TIMES (start = end)",IF($F131&gt;12,"CHECK TIMES (End is before Start?)","OK")))</f>
        <v/>
      </c>
      <c r="P131" s="17">
        <f>IF(OR($B131="",$I131=""),"",IF(IFERROR(MATCH($G131,nrBankTopics,0),0)=0,"OK",IF(COUNTA(INDEX(nrBankGrid,IFERROR(MATCH($G131,nrBankTopics,0),1),0))=0,"OK",IF(SUMPRODUCT((nrInstrNames&lt;&gt;"")*ISNUMBER(SEARCH(nrInstrNames,$I131))*(COUNTIF(INDEX(nrBankGrid,IFERROR(MATCH($G131,nrBankTopics,0),1),0),nrInstrNames)&gt;0))&lt;SUMPRODUCT((nrInstrNames&lt;&gt;"")*ISNUMBER(SEARCH(nrInstrNames,$I131))),"NOT IN BANK","OK"))))</f>
        <v/>
      </c>
    </row>
    <row r="132">
      <c r="B132" s="18" t="n"/>
      <c r="C132" s="17">
        <f>IF($B132="","",TEXT($B132,"ddd"))</f>
        <v/>
      </c>
      <c r="D132" s="41" t="n"/>
      <c r="E132" s="41" t="n"/>
      <c r="F132" s="17">
        <f>IF(OR($B132="",$D132="",$E132=""),"",ROUND(MOD($E132-$D132,1)*24,2))</f>
        <v/>
      </c>
      <c r="G132" s="16" t="n"/>
      <c r="H132" s="17">
        <f>IF($G132="","",IFERROR(_xlfn.XLOOKUP($G132,nrCHname,nrCHnum),IFERROR(_xlfn.XLOOKUP($G132,nrSUBname,nrSUBparent),"")))</f>
        <v/>
      </c>
      <c r="I132" s="16" t="n"/>
      <c r="J132" s="16" t="n"/>
      <c r="K132" s="17">
        <f>IF($B132="","",IFERROR(_xlfn.XLOOKUP($B132,nrCDdate,nrCDweek),""))</f>
        <v/>
      </c>
      <c r="L132" s="17">
        <f>IF($B132="","",IFERROR(_xlfn.XLOOKUP($B132,nrCDdate,nrCDnum),""))</f>
        <v/>
      </c>
      <c r="M132" s="16" t="n"/>
      <c r="N132" s="17">
        <f>IF(OR($B132="",$I132=""),"",_xlfn.LET(_xlpm.a,$I132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32" s="17">
        <f>IF(OR($B132="",$D132="",$E132=""),"",IF($E132=$D132,"CHECK TIMES (start = end)",IF($F132&gt;12,"CHECK TIMES (End is before Start?)","OK")))</f>
        <v/>
      </c>
      <c r="P132" s="17">
        <f>IF(OR($B132="",$I132=""),"",IF(IFERROR(MATCH($G132,nrBankTopics,0),0)=0,"OK",IF(COUNTA(INDEX(nrBankGrid,IFERROR(MATCH($G132,nrBankTopics,0),1),0))=0,"OK",IF(SUMPRODUCT((nrInstrNames&lt;&gt;"")*ISNUMBER(SEARCH(nrInstrNames,$I132))*(COUNTIF(INDEX(nrBankGrid,IFERROR(MATCH($G132,nrBankTopics,0),1),0),nrInstrNames)&gt;0))&lt;SUMPRODUCT((nrInstrNames&lt;&gt;"")*ISNUMBER(SEARCH(nrInstrNames,$I132))),"NOT IN BANK","OK"))))</f>
        <v/>
      </c>
    </row>
    <row r="133">
      <c r="B133" s="18" t="n"/>
      <c r="C133" s="17">
        <f>IF($B133="","",TEXT($B133,"ddd"))</f>
        <v/>
      </c>
      <c r="D133" s="41" t="n"/>
      <c r="E133" s="41" t="n"/>
      <c r="F133" s="17">
        <f>IF(OR($B133="",$D133="",$E133=""),"",ROUND(MOD($E133-$D133,1)*24,2))</f>
        <v/>
      </c>
      <c r="G133" s="16" t="n"/>
      <c r="H133" s="17">
        <f>IF($G133="","",IFERROR(_xlfn.XLOOKUP($G133,nrCHname,nrCHnum),IFERROR(_xlfn.XLOOKUP($G133,nrSUBname,nrSUBparent),"")))</f>
        <v/>
      </c>
      <c r="I133" s="16" t="n"/>
      <c r="J133" s="16" t="n"/>
      <c r="K133" s="17">
        <f>IF($B133="","",IFERROR(_xlfn.XLOOKUP($B133,nrCDdate,nrCDweek),""))</f>
        <v/>
      </c>
      <c r="L133" s="17">
        <f>IF($B133="","",IFERROR(_xlfn.XLOOKUP($B133,nrCDdate,nrCDnum),""))</f>
        <v/>
      </c>
      <c r="M133" s="16" t="n"/>
      <c r="N133" s="17">
        <f>IF(OR($B133="",$I133=""),"",_xlfn.LET(_xlpm.a,$I133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33" s="17">
        <f>IF(OR($B133="",$D133="",$E133=""),"",IF($E133=$D133,"CHECK TIMES (start = end)",IF($F133&gt;12,"CHECK TIMES (End is before Start?)","OK")))</f>
        <v/>
      </c>
      <c r="P133" s="17">
        <f>IF(OR($B133="",$I133=""),"",IF(IFERROR(MATCH($G133,nrBankTopics,0),0)=0,"OK",IF(COUNTA(INDEX(nrBankGrid,IFERROR(MATCH($G133,nrBankTopics,0),1),0))=0,"OK",IF(SUMPRODUCT((nrInstrNames&lt;&gt;"")*ISNUMBER(SEARCH(nrInstrNames,$I133))*(COUNTIF(INDEX(nrBankGrid,IFERROR(MATCH($G133,nrBankTopics,0),1),0),nrInstrNames)&gt;0))&lt;SUMPRODUCT((nrInstrNames&lt;&gt;"")*ISNUMBER(SEARCH(nrInstrNames,$I133))),"NOT IN BANK","OK"))))</f>
        <v/>
      </c>
    </row>
    <row r="134">
      <c r="B134" s="18" t="n"/>
      <c r="C134" s="17">
        <f>IF($B134="","",TEXT($B134,"ddd"))</f>
        <v/>
      </c>
      <c r="D134" s="41" t="n"/>
      <c r="E134" s="41" t="n"/>
      <c r="F134" s="17">
        <f>IF(OR($B134="",$D134="",$E134=""),"",ROUND(MOD($E134-$D134,1)*24,2))</f>
        <v/>
      </c>
      <c r="G134" s="16" t="n"/>
      <c r="H134" s="17">
        <f>IF($G134="","",IFERROR(_xlfn.XLOOKUP($G134,nrCHname,nrCHnum),IFERROR(_xlfn.XLOOKUP($G134,nrSUBname,nrSUBparent),"")))</f>
        <v/>
      </c>
      <c r="I134" s="16" t="n"/>
      <c r="J134" s="16" t="n"/>
      <c r="K134" s="17">
        <f>IF($B134="","",IFERROR(_xlfn.XLOOKUP($B134,nrCDdate,nrCDweek),""))</f>
        <v/>
      </c>
      <c r="L134" s="17">
        <f>IF($B134="","",IFERROR(_xlfn.XLOOKUP($B134,nrCDdate,nrCDnum),""))</f>
        <v/>
      </c>
      <c r="M134" s="16" t="n"/>
      <c r="N134" s="17">
        <f>IF(OR($B134="",$I134=""),"",_xlfn.LET(_xlpm.a,$I134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34" s="17">
        <f>IF(OR($B134="",$D134="",$E134=""),"",IF($E134=$D134,"CHECK TIMES (start = end)",IF($F134&gt;12,"CHECK TIMES (End is before Start?)","OK")))</f>
        <v/>
      </c>
      <c r="P134" s="17">
        <f>IF(OR($B134="",$I134=""),"",IF(IFERROR(MATCH($G134,nrBankTopics,0),0)=0,"OK",IF(COUNTA(INDEX(nrBankGrid,IFERROR(MATCH($G134,nrBankTopics,0),1),0))=0,"OK",IF(SUMPRODUCT((nrInstrNames&lt;&gt;"")*ISNUMBER(SEARCH(nrInstrNames,$I134))*(COUNTIF(INDEX(nrBankGrid,IFERROR(MATCH($G134,nrBankTopics,0),1),0),nrInstrNames)&gt;0))&lt;SUMPRODUCT((nrInstrNames&lt;&gt;"")*ISNUMBER(SEARCH(nrInstrNames,$I134))),"NOT IN BANK","OK"))))</f>
        <v/>
      </c>
    </row>
    <row r="135">
      <c r="B135" s="18" t="n"/>
      <c r="C135" s="17">
        <f>IF($B135="","",TEXT($B135,"ddd"))</f>
        <v/>
      </c>
      <c r="D135" s="41" t="n"/>
      <c r="E135" s="41" t="n"/>
      <c r="F135" s="17">
        <f>IF(OR($B135="",$D135="",$E135=""),"",ROUND(MOD($E135-$D135,1)*24,2))</f>
        <v/>
      </c>
      <c r="G135" s="16" t="n"/>
      <c r="H135" s="17">
        <f>IF($G135="","",IFERROR(_xlfn.XLOOKUP($G135,nrCHname,nrCHnum),IFERROR(_xlfn.XLOOKUP($G135,nrSUBname,nrSUBparent),"")))</f>
        <v/>
      </c>
      <c r="I135" s="16" t="n"/>
      <c r="J135" s="16" t="n"/>
      <c r="K135" s="17">
        <f>IF($B135="","",IFERROR(_xlfn.XLOOKUP($B135,nrCDdate,nrCDweek),""))</f>
        <v/>
      </c>
      <c r="L135" s="17">
        <f>IF($B135="","",IFERROR(_xlfn.XLOOKUP($B135,nrCDdate,nrCDnum),""))</f>
        <v/>
      </c>
      <c r="M135" s="16" t="n"/>
      <c r="N135" s="17">
        <f>IF(OR($B135="",$I135=""),"",_xlfn.LET(_xlpm.a,$I135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35" s="17">
        <f>IF(OR($B135="",$D135="",$E135=""),"",IF($E135=$D135,"CHECK TIMES (start = end)",IF($F135&gt;12,"CHECK TIMES (End is before Start?)","OK")))</f>
        <v/>
      </c>
      <c r="P135" s="17">
        <f>IF(OR($B135="",$I135=""),"",IF(IFERROR(MATCH($G135,nrBankTopics,0),0)=0,"OK",IF(COUNTA(INDEX(nrBankGrid,IFERROR(MATCH($G135,nrBankTopics,0),1),0))=0,"OK",IF(SUMPRODUCT((nrInstrNames&lt;&gt;"")*ISNUMBER(SEARCH(nrInstrNames,$I135))*(COUNTIF(INDEX(nrBankGrid,IFERROR(MATCH($G135,nrBankTopics,0),1),0),nrInstrNames)&gt;0))&lt;SUMPRODUCT((nrInstrNames&lt;&gt;"")*ISNUMBER(SEARCH(nrInstrNames,$I135))),"NOT IN BANK","OK"))))</f>
        <v/>
      </c>
    </row>
    <row r="136">
      <c r="B136" s="18" t="n"/>
      <c r="C136" s="17">
        <f>IF($B136="","",TEXT($B136,"ddd"))</f>
        <v/>
      </c>
      <c r="D136" s="41" t="n"/>
      <c r="E136" s="41" t="n"/>
      <c r="F136" s="17">
        <f>IF(OR($B136="",$D136="",$E136=""),"",ROUND(MOD($E136-$D136,1)*24,2))</f>
        <v/>
      </c>
      <c r="G136" s="16" t="n"/>
      <c r="H136" s="17">
        <f>IF($G136="","",IFERROR(_xlfn.XLOOKUP($G136,nrCHname,nrCHnum),IFERROR(_xlfn.XLOOKUP($G136,nrSUBname,nrSUBparent),"")))</f>
        <v/>
      </c>
      <c r="I136" s="16" t="n"/>
      <c r="J136" s="16" t="n"/>
      <c r="K136" s="17">
        <f>IF($B136="","",IFERROR(_xlfn.XLOOKUP($B136,nrCDdate,nrCDweek),""))</f>
        <v/>
      </c>
      <c r="L136" s="17">
        <f>IF($B136="","",IFERROR(_xlfn.XLOOKUP($B136,nrCDdate,nrCDnum),""))</f>
        <v/>
      </c>
      <c r="M136" s="16" t="n"/>
      <c r="N136" s="17">
        <f>IF(OR($B136="",$I136=""),"",_xlfn.LET(_xlpm.a,$I136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36" s="17">
        <f>IF(OR($B136="",$D136="",$E136=""),"",IF($E136=$D136,"CHECK TIMES (start = end)",IF($F136&gt;12,"CHECK TIMES (End is before Start?)","OK")))</f>
        <v/>
      </c>
      <c r="P136" s="17">
        <f>IF(OR($B136="",$I136=""),"",IF(IFERROR(MATCH($G136,nrBankTopics,0),0)=0,"OK",IF(COUNTA(INDEX(nrBankGrid,IFERROR(MATCH($G136,nrBankTopics,0),1),0))=0,"OK",IF(SUMPRODUCT((nrInstrNames&lt;&gt;"")*ISNUMBER(SEARCH(nrInstrNames,$I136))*(COUNTIF(INDEX(nrBankGrid,IFERROR(MATCH($G136,nrBankTopics,0),1),0),nrInstrNames)&gt;0))&lt;SUMPRODUCT((nrInstrNames&lt;&gt;"")*ISNUMBER(SEARCH(nrInstrNames,$I136))),"NOT IN BANK","OK"))))</f>
        <v/>
      </c>
    </row>
    <row r="137">
      <c r="B137" s="18" t="n"/>
      <c r="C137" s="17">
        <f>IF($B137="","",TEXT($B137,"ddd"))</f>
        <v/>
      </c>
      <c r="D137" s="41" t="n"/>
      <c r="E137" s="41" t="n"/>
      <c r="F137" s="17">
        <f>IF(OR($B137="",$D137="",$E137=""),"",ROUND(MOD($E137-$D137,1)*24,2))</f>
        <v/>
      </c>
      <c r="G137" s="16" t="n"/>
      <c r="H137" s="17">
        <f>IF($G137="","",IFERROR(_xlfn.XLOOKUP($G137,nrCHname,nrCHnum),IFERROR(_xlfn.XLOOKUP($G137,nrSUBname,nrSUBparent),"")))</f>
        <v/>
      </c>
      <c r="I137" s="16" t="n"/>
      <c r="J137" s="16" t="n"/>
      <c r="K137" s="17">
        <f>IF($B137="","",IFERROR(_xlfn.XLOOKUP($B137,nrCDdate,nrCDweek),""))</f>
        <v/>
      </c>
      <c r="L137" s="17">
        <f>IF($B137="","",IFERROR(_xlfn.XLOOKUP($B137,nrCDdate,nrCDnum),""))</f>
        <v/>
      </c>
      <c r="M137" s="16" t="n"/>
      <c r="N137" s="17">
        <f>IF(OR($B137="",$I137=""),"",_xlfn.LET(_xlpm.a,$I137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37" s="17">
        <f>IF(OR($B137="",$D137="",$E137=""),"",IF($E137=$D137,"CHECK TIMES (start = end)",IF($F137&gt;12,"CHECK TIMES (End is before Start?)","OK")))</f>
        <v/>
      </c>
      <c r="P137" s="17">
        <f>IF(OR($B137="",$I137=""),"",IF(IFERROR(MATCH($G137,nrBankTopics,0),0)=0,"OK",IF(COUNTA(INDEX(nrBankGrid,IFERROR(MATCH($G137,nrBankTopics,0),1),0))=0,"OK",IF(SUMPRODUCT((nrInstrNames&lt;&gt;"")*ISNUMBER(SEARCH(nrInstrNames,$I137))*(COUNTIF(INDEX(nrBankGrid,IFERROR(MATCH($G137,nrBankTopics,0),1),0),nrInstrNames)&gt;0))&lt;SUMPRODUCT((nrInstrNames&lt;&gt;"")*ISNUMBER(SEARCH(nrInstrNames,$I137))),"NOT IN BANK","OK"))))</f>
        <v/>
      </c>
    </row>
    <row r="138">
      <c r="B138" s="18" t="n"/>
      <c r="C138" s="17">
        <f>IF($B138="","",TEXT($B138,"ddd"))</f>
        <v/>
      </c>
      <c r="D138" s="41" t="n"/>
      <c r="E138" s="41" t="n"/>
      <c r="F138" s="17">
        <f>IF(OR($B138="",$D138="",$E138=""),"",ROUND(MOD($E138-$D138,1)*24,2))</f>
        <v/>
      </c>
      <c r="G138" s="16" t="n"/>
      <c r="H138" s="17">
        <f>IF($G138="","",IFERROR(_xlfn.XLOOKUP($G138,nrCHname,nrCHnum),IFERROR(_xlfn.XLOOKUP($G138,nrSUBname,nrSUBparent),"")))</f>
        <v/>
      </c>
      <c r="I138" s="16" t="n"/>
      <c r="J138" s="16" t="n"/>
      <c r="K138" s="17">
        <f>IF($B138="","",IFERROR(_xlfn.XLOOKUP($B138,nrCDdate,nrCDweek),""))</f>
        <v/>
      </c>
      <c r="L138" s="17">
        <f>IF($B138="","",IFERROR(_xlfn.XLOOKUP($B138,nrCDdate,nrCDnum),""))</f>
        <v/>
      </c>
      <c r="M138" s="16" t="n"/>
      <c r="N138" s="17">
        <f>IF(OR($B138="",$I138=""),"",_xlfn.LET(_xlpm.a,$I138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38" s="17">
        <f>IF(OR($B138="",$D138="",$E138=""),"",IF($E138=$D138,"CHECK TIMES (start = end)",IF($F138&gt;12,"CHECK TIMES (End is before Start?)","OK")))</f>
        <v/>
      </c>
      <c r="P138" s="17">
        <f>IF(OR($B138="",$I138=""),"",IF(IFERROR(MATCH($G138,nrBankTopics,0),0)=0,"OK",IF(COUNTA(INDEX(nrBankGrid,IFERROR(MATCH($G138,nrBankTopics,0),1),0))=0,"OK",IF(SUMPRODUCT((nrInstrNames&lt;&gt;"")*ISNUMBER(SEARCH(nrInstrNames,$I138))*(COUNTIF(INDEX(nrBankGrid,IFERROR(MATCH($G138,nrBankTopics,0),1),0),nrInstrNames)&gt;0))&lt;SUMPRODUCT((nrInstrNames&lt;&gt;"")*ISNUMBER(SEARCH(nrInstrNames,$I138))),"NOT IN BANK","OK"))))</f>
        <v/>
      </c>
    </row>
    <row r="139">
      <c r="B139" s="18" t="n"/>
      <c r="C139" s="17">
        <f>IF($B139="","",TEXT($B139,"ddd"))</f>
        <v/>
      </c>
      <c r="D139" s="41" t="n"/>
      <c r="E139" s="41" t="n"/>
      <c r="F139" s="17">
        <f>IF(OR($B139="",$D139="",$E139=""),"",ROUND(MOD($E139-$D139,1)*24,2))</f>
        <v/>
      </c>
      <c r="G139" s="16" t="n"/>
      <c r="H139" s="17">
        <f>IF($G139="","",IFERROR(_xlfn.XLOOKUP($G139,nrCHname,nrCHnum),IFERROR(_xlfn.XLOOKUP($G139,nrSUBname,nrSUBparent),"")))</f>
        <v/>
      </c>
      <c r="I139" s="16" t="n"/>
      <c r="J139" s="16" t="n"/>
      <c r="K139" s="17">
        <f>IF($B139="","",IFERROR(_xlfn.XLOOKUP($B139,nrCDdate,nrCDweek),""))</f>
        <v/>
      </c>
      <c r="L139" s="17">
        <f>IF($B139="","",IFERROR(_xlfn.XLOOKUP($B139,nrCDdate,nrCDnum),""))</f>
        <v/>
      </c>
      <c r="M139" s="16" t="n"/>
      <c r="N139" s="17">
        <f>IF(OR($B139="",$I139=""),"",_xlfn.LET(_xlpm.a,$I139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39" s="17">
        <f>IF(OR($B139="",$D139="",$E139=""),"",IF($E139=$D139,"CHECK TIMES (start = end)",IF($F139&gt;12,"CHECK TIMES (End is before Start?)","OK")))</f>
        <v/>
      </c>
      <c r="P139" s="17">
        <f>IF(OR($B139="",$I139=""),"",IF(IFERROR(MATCH($G139,nrBankTopics,0),0)=0,"OK",IF(COUNTA(INDEX(nrBankGrid,IFERROR(MATCH($G139,nrBankTopics,0),1),0))=0,"OK",IF(SUMPRODUCT((nrInstrNames&lt;&gt;"")*ISNUMBER(SEARCH(nrInstrNames,$I139))*(COUNTIF(INDEX(nrBankGrid,IFERROR(MATCH($G139,nrBankTopics,0),1),0),nrInstrNames)&gt;0))&lt;SUMPRODUCT((nrInstrNames&lt;&gt;"")*ISNUMBER(SEARCH(nrInstrNames,$I139))),"NOT IN BANK","OK"))))</f>
        <v/>
      </c>
    </row>
    <row r="140">
      <c r="B140" s="18" t="n"/>
      <c r="C140" s="17">
        <f>IF($B140="","",TEXT($B140,"ddd"))</f>
        <v/>
      </c>
      <c r="D140" s="41" t="n"/>
      <c r="E140" s="41" t="n"/>
      <c r="F140" s="17">
        <f>IF(OR($B140="",$D140="",$E140=""),"",ROUND(MOD($E140-$D140,1)*24,2))</f>
        <v/>
      </c>
      <c r="G140" s="16" t="n"/>
      <c r="H140" s="17">
        <f>IF($G140="","",IFERROR(_xlfn.XLOOKUP($G140,nrCHname,nrCHnum),IFERROR(_xlfn.XLOOKUP($G140,nrSUBname,nrSUBparent),"")))</f>
        <v/>
      </c>
      <c r="I140" s="16" t="n"/>
      <c r="J140" s="16" t="n"/>
      <c r="K140" s="17">
        <f>IF($B140="","",IFERROR(_xlfn.XLOOKUP($B140,nrCDdate,nrCDweek),""))</f>
        <v/>
      </c>
      <c r="L140" s="17">
        <f>IF($B140="","",IFERROR(_xlfn.XLOOKUP($B140,nrCDdate,nrCDnum),""))</f>
        <v/>
      </c>
      <c r="M140" s="16" t="n"/>
      <c r="N140" s="17">
        <f>IF(OR($B140="",$I140=""),"",_xlfn.LET(_xlpm.a,$I140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40" s="17">
        <f>IF(OR($B140="",$D140="",$E140=""),"",IF($E140=$D140,"CHECK TIMES (start = end)",IF($F140&gt;12,"CHECK TIMES (End is before Start?)","OK")))</f>
        <v/>
      </c>
      <c r="P140" s="17">
        <f>IF(OR($B140="",$I140=""),"",IF(IFERROR(MATCH($G140,nrBankTopics,0),0)=0,"OK",IF(COUNTA(INDEX(nrBankGrid,IFERROR(MATCH($G140,nrBankTopics,0),1),0))=0,"OK",IF(SUMPRODUCT((nrInstrNames&lt;&gt;"")*ISNUMBER(SEARCH(nrInstrNames,$I140))*(COUNTIF(INDEX(nrBankGrid,IFERROR(MATCH($G140,nrBankTopics,0),1),0),nrInstrNames)&gt;0))&lt;SUMPRODUCT((nrInstrNames&lt;&gt;"")*ISNUMBER(SEARCH(nrInstrNames,$I140))),"NOT IN BANK","OK"))))</f>
        <v/>
      </c>
    </row>
    <row r="141">
      <c r="B141" s="18" t="n"/>
      <c r="C141" s="17">
        <f>IF($B141="","",TEXT($B141,"ddd"))</f>
        <v/>
      </c>
      <c r="D141" s="41" t="n"/>
      <c r="E141" s="41" t="n"/>
      <c r="F141" s="17">
        <f>IF(OR($B141="",$D141="",$E141=""),"",ROUND(MOD($E141-$D141,1)*24,2))</f>
        <v/>
      </c>
      <c r="G141" s="16" t="n"/>
      <c r="H141" s="17">
        <f>IF($G141="","",IFERROR(_xlfn.XLOOKUP($G141,nrCHname,nrCHnum),IFERROR(_xlfn.XLOOKUP($G141,nrSUBname,nrSUBparent),"")))</f>
        <v/>
      </c>
      <c r="I141" s="16" t="n"/>
      <c r="J141" s="16" t="n"/>
      <c r="K141" s="17">
        <f>IF($B141="","",IFERROR(_xlfn.XLOOKUP($B141,nrCDdate,nrCDweek),""))</f>
        <v/>
      </c>
      <c r="L141" s="17">
        <f>IF($B141="","",IFERROR(_xlfn.XLOOKUP($B141,nrCDdate,nrCDnum),""))</f>
        <v/>
      </c>
      <c r="M141" s="16" t="n"/>
      <c r="N141" s="17">
        <f>IF(OR($B141="",$I141=""),"",_xlfn.LET(_xlpm.a,$I141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41" s="17">
        <f>IF(OR($B141="",$D141="",$E141=""),"",IF($E141=$D141,"CHECK TIMES (start = end)",IF($F141&gt;12,"CHECK TIMES (End is before Start?)","OK")))</f>
        <v/>
      </c>
      <c r="P141" s="17">
        <f>IF(OR($B141="",$I141=""),"",IF(IFERROR(MATCH($G141,nrBankTopics,0),0)=0,"OK",IF(COUNTA(INDEX(nrBankGrid,IFERROR(MATCH($G141,nrBankTopics,0),1),0))=0,"OK",IF(SUMPRODUCT((nrInstrNames&lt;&gt;"")*ISNUMBER(SEARCH(nrInstrNames,$I141))*(COUNTIF(INDEX(nrBankGrid,IFERROR(MATCH($G141,nrBankTopics,0),1),0),nrInstrNames)&gt;0))&lt;SUMPRODUCT((nrInstrNames&lt;&gt;"")*ISNUMBER(SEARCH(nrInstrNames,$I141))),"NOT IN BANK","OK"))))</f>
        <v/>
      </c>
    </row>
    <row r="142">
      <c r="B142" s="18" t="n"/>
      <c r="C142" s="17">
        <f>IF($B142="","",TEXT($B142,"ddd"))</f>
        <v/>
      </c>
      <c r="D142" s="41" t="n"/>
      <c r="E142" s="41" t="n"/>
      <c r="F142" s="17">
        <f>IF(OR($B142="",$D142="",$E142=""),"",ROUND(MOD($E142-$D142,1)*24,2))</f>
        <v/>
      </c>
      <c r="G142" s="16" t="n"/>
      <c r="H142" s="17">
        <f>IF($G142="","",IFERROR(_xlfn.XLOOKUP($G142,nrCHname,nrCHnum),IFERROR(_xlfn.XLOOKUP($G142,nrSUBname,nrSUBparent),"")))</f>
        <v/>
      </c>
      <c r="I142" s="16" t="n"/>
      <c r="J142" s="16" t="n"/>
      <c r="K142" s="17">
        <f>IF($B142="","",IFERROR(_xlfn.XLOOKUP($B142,nrCDdate,nrCDweek),""))</f>
        <v/>
      </c>
      <c r="L142" s="17">
        <f>IF($B142="","",IFERROR(_xlfn.XLOOKUP($B142,nrCDdate,nrCDnum),""))</f>
        <v/>
      </c>
      <c r="M142" s="16" t="n"/>
      <c r="N142" s="17">
        <f>IF(OR($B142="",$I142=""),"",_xlfn.LET(_xlpm.a,$I142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42" s="17">
        <f>IF(OR($B142="",$D142="",$E142=""),"",IF($E142=$D142,"CHECK TIMES (start = end)",IF($F142&gt;12,"CHECK TIMES (End is before Start?)","OK")))</f>
        <v/>
      </c>
      <c r="P142" s="17">
        <f>IF(OR($B142="",$I142=""),"",IF(IFERROR(MATCH($G142,nrBankTopics,0),0)=0,"OK",IF(COUNTA(INDEX(nrBankGrid,IFERROR(MATCH($G142,nrBankTopics,0),1),0))=0,"OK",IF(SUMPRODUCT((nrInstrNames&lt;&gt;"")*ISNUMBER(SEARCH(nrInstrNames,$I142))*(COUNTIF(INDEX(nrBankGrid,IFERROR(MATCH($G142,nrBankTopics,0),1),0),nrInstrNames)&gt;0))&lt;SUMPRODUCT((nrInstrNames&lt;&gt;"")*ISNUMBER(SEARCH(nrInstrNames,$I142))),"NOT IN BANK","OK"))))</f>
        <v/>
      </c>
    </row>
    <row r="143">
      <c r="B143" s="18" t="n"/>
      <c r="C143" s="17">
        <f>IF($B143="","",TEXT($B143,"ddd"))</f>
        <v/>
      </c>
      <c r="D143" s="41" t="n"/>
      <c r="E143" s="41" t="n"/>
      <c r="F143" s="17">
        <f>IF(OR($B143="",$D143="",$E143=""),"",ROUND(MOD($E143-$D143,1)*24,2))</f>
        <v/>
      </c>
      <c r="G143" s="16" t="n"/>
      <c r="H143" s="17">
        <f>IF($G143="","",IFERROR(_xlfn.XLOOKUP($G143,nrCHname,nrCHnum),IFERROR(_xlfn.XLOOKUP($G143,nrSUBname,nrSUBparent),"")))</f>
        <v/>
      </c>
      <c r="I143" s="16" t="n"/>
      <c r="J143" s="16" t="n"/>
      <c r="K143" s="17">
        <f>IF($B143="","",IFERROR(_xlfn.XLOOKUP($B143,nrCDdate,nrCDweek),""))</f>
        <v/>
      </c>
      <c r="L143" s="17">
        <f>IF($B143="","",IFERROR(_xlfn.XLOOKUP($B143,nrCDdate,nrCDnum),""))</f>
        <v/>
      </c>
      <c r="M143" s="16" t="n"/>
      <c r="N143" s="17">
        <f>IF(OR($B143="",$I143=""),"",_xlfn.LET(_xlpm.a,$I143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43" s="17">
        <f>IF(OR($B143="",$D143="",$E143=""),"",IF($E143=$D143,"CHECK TIMES (start = end)",IF($F143&gt;12,"CHECK TIMES (End is before Start?)","OK")))</f>
        <v/>
      </c>
      <c r="P143" s="17">
        <f>IF(OR($B143="",$I143=""),"",IF(IFERROR(MATCH($G143,nrBankTopics,0),0)=0,"OK",IF(COUNTA(INDEX(nrBankGrid,IFERROR(MATCH($G143,nrBankTopics,0),1),0))=0,"OK",IF(SUMPRODUCT((nrInstrNames&lt;&gt;"")*ISNUMBER(SEARCH(nrInstrNames,$I143))*(COUNTIF(INDEX(nrBankGrid,IFERROR(MATCH($G143,nrBankTopics,0),1),0),nrInstrNames)&gt;0))&lt;SUMPRODUCT((nrInstrNames&lt;&gt;"")*ISNUMBER(SEARCH(nrInstrNames,$I143))),"NOT IN BANK","OK"))))</f>
        <v/>
      </c>
    </row>
    <row r="144">
      <c r="B144" s="18" t="n"/>
      <c r="C144" s="17">
        <f>IF($B144="","",TEXT($B144,"ddd"))</f>
        <v/>
      </c>
      <c r="D144" s="41" t="n"/>
      <c r="E144" s="41" t="n"/>
      <c r="F144" s="17">
        <f>IF(OR($B144="",$D144="",$E144=""),"",ROUND(MOD($E144-$D144,1)*24,2))</f>
        <v/>
      </c>
      <c r="G144" s="16" t="n"/>
      <c r="H144" s="17">
        <f>IF($G144="","",IFERROR(_xlfn.XLOOKUP($G144,nrCHname,nrCHnum),IFERROR(_xlfn.XLOOKUP($G144,nrSUBname,nrSUBparent),"")))</f>
        <v/>
      </c>
      <c r="I144" s="16" t="n"/>
      <c r="J144" s="16" t="n"/>
      <c r="K144" s="17">
        <f>IF($B144="","",IFERROR(_xlfn.XLOOKUP($B144,nrCDdate,nrCDweek),""))</f>
        <v/>
      </c>
      <c r="L144" s="17">
        <f>IF($B144="","",IFERROR(_xlfn.XLOOKUP($B144,nrCDdate,nrCDnum),""))</f>
        <v/>
      </c>
      <c r="M144" s="16" t="n"/>
      <c r="N144" s="17">
        <f>IF(OR($B144="",$I144=""),"",_xlfn.LET(_xlpm.a,$I144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44" s="17">
        <f>IF(OR($B144="",$D144="",$E144=""),"",IF($E144=$D144,"CHECK TIMES (start = end)",IF($F144&gt;12,"CHECK TIMES (End is before Start?)","OK")))</f>
        <v/>
      </c>
      <c r="P144" s="17">
        <f>IF(OR($B144="",$I144=""),"",IF(IFERROR(MATCH($G144,nrBankTopics,0),0)=0,"OK",IF(COUNTA(INDEX(nrBankGrid,IFERROR(MATCH($G144,nrBankTopics,0),1),0))=0,"OK",IF(SUMPRODUCT((nrInstrNames&lt;&gt;"")*ISNUMBER(SEARCH(nrInstrNames,$I144))*(COUNTIF(INDEX(nrBankGrid,IFERROR(MATCH($G144,nrBankTopics,0),1),0),nrInstrNames)&gt;0))&lt;SUMPRODUCT((nrInstrNames&lt;&gt;"")*ISNUMBER(SEARCH(nrInstrNames,$I144))),"NOT IN BANK","OK"))))</f>
        <v/>
      </c>
    </row>
    <row r="145">
      <c r="B145" s="18" t="n"/>
      <c r="C145" s="17">
        <f>IF($B145="","",TEXT($B145,"ddd"))</f>
        <v/>
      </c>
      <c r="D145" s="41" t="n"/>
      <c r="E145" s="41" t="n"/>
      <c r="F145" s="17">
        <f>IF(OR($B145="",$D145="",$E145=""),"",ROUND(MOD($E145-$D145,1)*24,2))</f>
        <v/>
      </c>
      <c r="G145" s="16" t="n"/>
      <c r="H145" s="17">
        <f>IF($G145="","",IFERROR(_xlfn.XLOOKUP($G145,nrCHname,nrCHnum),IFERROR(_xlfn.XLOOKUP($G145,nrSUBname,nrSUBparent),"")))</f>
        <v/>
      </c>
      <c r="I145" s="16" t="n"/>
      <c r="J145" s="16" t="n"/>
      <c r="K145" s="17">
        <f>IF($B145="","",IFERROR(_xlfn.XLOOKUP($B145,nrCDdate,nrCDweek),""))</f>
        <v/>
      </c>
      <c r="L145" s="17">
        <f>IF($B145="","",IFERROR(_xlfn.XLOOKUP($B145,nrCDdate,nrCDnum),""))</f>
        <v/>
      </c>
      <c r="M145" s="16" t="n"/>
      <c r="N145" s="17">
        <f>IF(OR($B145="",$I145=""),"",_xlfn.LET(_xlpm.a,$I145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45" s="17">
        <f>IF(OR($B145="",$D145="",$E145=""),"",IF($E145=$D145,"CHECK TIMES (start = end)",IF($F145&gt;12,"CHECK TIMES (End is before Start?)","OK")))</f>
        <v/>
      </c>
      <c r="P145" s="17">
        <f>IF(OR($B145="",$I145=""),"",IF(IFERROR(MATCH($G145,nrBankTopics,0),0)=0,"OK",IF(COUNTA(INDEX(nrBankGrid,IFERROR(MATCH($G145,nrBankTopics,0),1),0))=0,"OK",IF(SUMPRODUCT((nrInstrNames&lt;&gt;"")*ISNUMBER(SEARCH(nrInstrNames,$I145))*(COUNTIF(INDEX(nrBankGrid,IFERROR(MATCH($G145,nrBankTopics,0),1),0),nrInstrNames)&gt;0))&lt;SUMPRODUCT((nrInstrNames&lt;&gt;"")*ISNUMBER(SEARCH(nrInstrNames,$I145))),"NOT IN BANK","OK"))))</f>
        <v/>
      </c>
    </row>
    <row r="146">
      <c r="B146" s="18" t="n"/>
      <c r="C146" s="17">
        <f>IF($B146="","",TEXT($B146,"ddd"))</f>
        <v/>
      </c>
      <c r="D146" s="41" t="n"/>
      <c r="E146" s="41" t="n"/>
      <c r="F146" s="17">
        <f>IF(OR($B146="",$D146="",$E146=""),"",ROUND(MOD($E146-$D146,1)*24,2))</f>
        <v/>
      </c>
      <c r="G146" s="16" t="n"/>
      <c r="H146" s="17">
        <f>IF($G146="","",IFERROR(_xlfn.XLOOKUP($G146,nrCHname,nrCHnum),IFERROR(_xlfn.XLOOKUP($G146,nrSUBname,nrSUBparent),"")))</f>
        <v/>
      </c>
      <c r="I146" s="16" t="n"/>
      <c r="J146" s="16" t="n"/>
      <c r="K146" s="17">
        <f>IF($B146="","",IFERROR(_xlfn.XLOOKUP($B146,nrCDdate,nrCDweek),""))</f>
        <v/>
      </c>
      <c r="L146" s="17">
        <f>IF($B146="","",IFERROR(_xlfn.XLOOKUP($B146,nrCDdate,nrCDnum),""))</f>
        <v/>
      </c>
      <c r="M146" s="16" t="n"/>
      <c r="N146" s="17">
        <f>IF(OR($B146="",$I146=""),"",_xlfn.LET(_xlpm.a,$I146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46" s="17">
        <f>IF(OR($B146="",$D146="",$E146=""),"",IF($E146=$D146,"CHECK TIMES (start = end)",IF($F146&gt;12,"CHECK TIMES (End is before Start?)","OK")))</f>
        <v/>
      </c>
      <c r="P146" s="17">
        <f>IF(OR($B146="",$I146=""),"",IF(IFERROR(MATCH($G146,nrBankTopics,0),0)=0,"OK",IF(COUNTA(INDEX(nrBankGrid,IFERROR(MATCH($G146,nrBankTopics,0),1),0))=0,"OK",IF(SUMPRODUCT((nrInstrNames&lt;&gt;"")*ISNUMBER(SEARCH(nrInstrNames,$I146))*(COUNTIF(INDEX(nrBankGrid,IFERROR(MATCH($G146,nrBankTopics,0),1),0),nrInstrNames)&gt;0))&lt;SUMPRODUCT((nrInstrNames&lt;&gt;"")*ISNUMBER(SEARCH(nrInstrNames,$I146))),"NOT IN BANK","OK"))))</f>
        <v/>
      </c>
    </row>
    <row r="147">
      <c r="B147" s="18" t="n"/>
      <c r="C147" s="17">
        <f>IF($B147="","",TEXT($B147,"ddd"))</f>
        <v/>
      </c>
      <c r="D147" s="41" t="n"/>
      <c r="E147" s="41" t="n"/>
      <c r="F147" s="17">
        <f>IF(OR($B147="",$D147="",$E147=""),"",ROUND(MOD($E147-$D147,1)*24,2))</f>
        <v/>
      </c>
      <c r="G147" s="16" t="n"/>
      <c r="H147" s="17">
        <f>IF($G147="","",IFERROR(_xlfn.XLOOKUP($G147,nrCHname,nrCHnum),IFERROR(_xlfn.XLOOKUP($G147,nrSUBname,nrSUBparent),"")))</f>
        <v/>
      </c>
      <c r="I147" s="16" t="n"/>
      <c r="J147" s="16" t="n"/>
      <c r="K147" s="17">
        <f>IF($B147="","",IFERROR(_xlfn.XLOOKUP($B147,nrCDdate,nrCDweek),""))</f>
        <v/>
      </c>
      <c r="L147" s="17">
        <f>IF($B147="","",IFERROR(_xlfn.XLOOKUP($B147,nrCDdate,nrCDnum),""))</f>
        <v/>
      </c>
      <c r="M147" s="16" t="n"/>
      <c r="N147" s="17">
        <f>IF(OR($B147="",$I147=""),"",_xlfn.LET(_xlpm.a,$I147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47" s="17">
        <f>IF(OR($B147="",$D147="",$E147=""),"",IF($E147=$D147,"CHECK TIMES (start = end)",IF($F147&gt;12,"CHECK TIMES (End is before Start?)","OK")))</f>
        <v/>
      </c>
      <c r="P147" s="17">
        <f>IF(OR($B147="",$I147=""),"",IF(IFERROR(MATCH($G147,nrBankTopics,0),0)=0,"OK",IF(COUNTA(INDEX(nrBankGrid,IFERROR(MATCH($G147,nrBankTopics,0),1),0))=0,"OK",IF(SUMPRODUCT((nrInstrNames&lt;&gt;"")*ISNUMBER(SEARCH(nrInstrNames,$I147))*(COUNTIF(INDEX(nrBankGrid,IFERROR(MATCH($G147,nrBankTopics,0),1),0),nrInstrNames)&gt;0))&lt;SUMPRODUCT((nrInstrNames&lt;&gt;"")*ISNUMBER(SEARCH(nrInstrNames,$I147))),"NOT IN BANK","OK"))))</f>
        <v/>
      </c>
    </row>
    <row r="148">
      <c r="B148" s="18" t="n"/>
      <c r="C148" s="17">
        <f>IF($B148="","",TEXT($B148,"ddd"))</f>
        <v/>
      </c>
      <c r="D148" s="41" t="n"/>
      <c r="E148" s="41" t="n"/>
      <c r="F148" s="17">
        <f>IF(OR($B148="",$D148="",$E148=""),"",ROUND(MOD($E148-$D148,1)*24,2))</f>
        <v/>
      </c>
      <c r="G148" s="16" t="n"/>
      <c r="H148" s="17">
        <f>IF($G148="","",IFERROR(_xlfn.XLOOKUP($G148,nrCHname,nrCHnum),IFERROR(_xlfn.XLOOKUP($G148,nrSUBname,nrSUBparent),"")))</f>
        <v/>
      </c>
      <c r="I148" s="16" t="n"/>
      <c r="J148" s="16" t="n"/>
      <c r="K148" s="17">
        <f>IF($B148="","",IFERROR(_xlfn.XLOOKUP($B148,nrCDdate,nrCDweek),""))</f>
        <v/>
      </c>
      <c r="L148" s="17">
        <f>IF($B148="","",IFERROR(_xlfn.XLOOKUP($B148,nrCDdate,nrCDnum),""))</f>
        <v/>
      </c>
      <c r="M148" s="16" t="n"/>
      <c r="N148" s="17">
        <f>IF(OR($B148="",$I148=""),"",_xlfn.LET(_xlpm.a,$I148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48" s="17">
        <f>IF(OR($B148="",$D148="",$E148=""),"",IF($E148=$D148,"CHECK TIMES (start = end)",IF($F148&gt;12,"CHECK TIMES (End is before Start?)","OK")))</f>
        <v/>
      </c>
      <c r="P148" s="17">
        <f>IF(OR($B148="",$I148=""),"",IF(IFERROR(MATCH($G148,nrBankTopics,0),0)=0,"OK",IF(COUNTA(INDEX(nrBankGrid,IFERROR(MATCH($G148,nrBankTopics,0),1),0))=0,"OK",IF(SUMPRODUCT((nrInstrNames&lt;&gt;"")*ISNUMBER(SEARCH(nrInstrNames,$I148))*(COUNTIF(INDEX(nrBankGrid,IFERROR(MATCH($G148,nrBankTopics,0),1),0),nrInstrNames)&gt;0))&lt;SUMPRODUCT((nrInstrNames&lt;&gt;"")*ISNUMBER(SEARCH(nrInstrNames,$I148))),"NOT IN BANK","OK"))))</f>
        <v/>
      </c>
    </row>
    <row r="149">
      <c r="B149" s="18" t="n"/>
      <c r="C149" s="17">
        <f>IF($B149="","",TEXT($B149,"ddd"))</f>
        <v/>
      </c>
      <c r="D149" s="41" t="n"/>
      <c r="E149" s="41" t="n"/>
      <c r="F149" s="17">
        <f>IF(OR($B149="",$D149="",$E149=""),"",ROUND(MOD($E149-$D149,1)*24,2))</f>
        <v/>
      </c>
      <c r="G149" s="16" t="n"/>
      <c r="H149" s="17">
        <f>IF($G149="","",IFERROR(_xlfn.XLOOKUP($G149,nrCHname,nrCHnum),IFERROR(_xlfn.XLOOKUP($G149,nrSUBname,nrSUBparent),"")))</f>
        <v/>
      </c>
      <c r="I149" s="16" t="n"/>
      <c r="J149" s="16" t="n"/>
      <c r="K149" s="17">
        <f>IF($B149="","",IFERROR(_xlfn.XLOOKUP($B149,nrCDdate,nrCDweek),""))</f>
        <v/>
      </c>
      <c r="L149" s="17">
        <f>IF($B149="","",IFERROR(_xlfn.XLOOKUP($B149,nrCDdate,nrCDnum),""))</f>
        <v/>
      </c>
      <c r="M149" s="16" t="n"/>
      <c r="N149" s="17">
        <f>IF(OR($B149="",$I149=""),"",_xlfn.LET(_xlpm.a,$I149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49" s="17">
        <f>IF(OR($B149="",$D149="",$E149=""),"",IF($E149=$D149,"CHECK TIMES (start = end)",IF($F149&gt;12,"CHECK TIMES (End is before Start?)","OK")))</f>
        <v/>
      </c>
      <c r="P149" s="17">
        <f>IF(OR($B149="",$I149=""),"",IF(IFERROR(MATCH($G149,nrBankTopics,0),0)=0,"OK",IF(COUNTA(INDEX(nrBankGrid,IFERROR(MATCH($G149,nrBankTopics,0),1),0))=0,"OK",IF(SUMPRODUCT((nrInstrNames&lt;&gt;"")*ISNUMBER(SEARCH(nrInstrNames,$I149))*(COUNTIF(INDEX(nrBankGrid,IFERROR(MATCH($G149,nrBankTopics,0),1),0),nrInstrNames)&gt;0))&lt;SUMPRODUCT((nrInstrNames&lt;&gt;"")*ISNUMBER(SEARCH(nrInstrNames,$I149))),"NOT IN BANK","OK"))))</f>
        <v/>
      </c>
    </row>
    <row r="150">
      <c r="B150" s="18" t="n"/>
      <c r="C150" s="17">
        <f>IF($B150="","",TEXT($B150,"ddd"))</f>
        <v/>
      </c>
      <c r="D150" s="41" t="n"/>
      <c r="E150" s="41" t="n"/>
      <c r="F150" s="17">
        <f>IF(OR($B150="",$D150="",$E150=""),"",ROUND(MOD($E150-$D150,1)*24,2))</f>
        <v/>
      </c>
      <c r="G150" s="16" t="n"/>
      <c r="H150" s="17">
        <f>IF($G150="","",IFERROR(_xlfn.XLOOKUP($G150,nrCHname,nrCHnum),IFERROR(_xlfn.XLOOKUP($G150,nrSUBname,nrSUBparent),"")))</f>
        <v/>
      </c>
      <c r="I150" s="16" t="n"/>
      <c r="J150" s="16" t="n"/>
      <c r="K150" s="17">
        <f>IF($B150="","",IFERROR(_xlfn.XLOOKUP($B150,nrCDdate,nrCDweek),""))</f>
        <v/>
      </c>
      <c r="L150" s="17">
        <f>IF($B150="","",IFERROR(_xlfn.XLOOKUP($B150,nrCDdate,nrCDnum),""))</f>
        <v/>
      </c>
      <c r="M150" s="16" t="n"/>
      <c r="N150" s="17">
        <f>IF(OR($B150="",$I150=""),"",_xlfn.LET(_xlpm.a,$I150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50" s="17">
        <f>IF(OR($B150="",$D150="",$E150=""),"",IF($E150=$D150,"CHECK TIMES (start = end)",IF($F150&gt;12,"CHECK TIMES (End is before Start?)","OK")))</f>
        <v/>
      </c>
      <c r="P150" s="17">
        <f>IF(OR($B150="",$I150=""),"",IF(IFERROR(MATCH($G150,nrBankTopics,0),0)=0,"OK",IF(COUNTA(INDEX(nrBankGrid,IFERROR(MATCH($G150,nrBankTopics,0),1),0))=0,"OK",IF(SUMPRODUCT((nrInstrNames&lt;&gt;"")*ISNUMBER(SEARCH(nrInstrNames,$I150))*(COUNTIF(INDEX(nrBankGrid,IFERROR(MATCH($G150,nrBankTopics,0),1),0),nrInstrNames)&gt;0))&lt;SUMPRODUCT((nrInstrNames&lt;&gt;"")*ISNUMBER(SEARCH(nrInstrNames,$I150))),"NOT IN BANK","OK"))))</f>
        <v/>
      </c>
    </row>
    <row r="151">
      <c r="B151" s="18" t="n"/>
      <c r="C151" s="17">
        <f>IF($B151="","",TEXT($B151,"ddd"))</f>
        <v/>
      </c>
      <c r="D151" s="41" t="n"/>
      <c r="E151" s="41" t="n"/>
      <c r="F151" s="17">
        <f>IF(OR($B151="",$D151="",$E151=""),"",ROUND(MOD($E151-$D151,1)*24,2))</f>
        <v/>
      </c>
      <c r="G151" s="16" t="n"/>
      <c r="H151" s="17">
        <f>IF($G151="","",IFERROR(_xlfn.XLOOKUP($G151,nrCHname,nrCHnum),IFERROR(_xlfn.XLOOKUP($G151,nrSUBname,nrSUBparent),"")))</f>
        <v/>
      </c>
      <c r="I151" s="16" t="n"/>
      <c r="J151" s="16" t="n"/>
      <c r="K151" s="17">
        <f>IF($B151="","",IFERROR(_xlfn.XLOOKUP($B151,nrCDdate,nrCDweek),""))</f>
        <v/>
      </c>
      <c r="L151" s="17">
        <f>IF($B151="","",IFERROR(_xlfn.XLOOKUP($B151,nrCDdate,nrCDnum),""))</f>
        <v/>
      </c>
      <c r="M151" s="16" t="n"/>
      <c r="N151" s="17">
        <f>IF(OR($B151="",$I151=""),"",_xlfn.LET(_xlpm.a,$I151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51" s="17">
        <f>IF(OR($B151="",$D151="",$E151=""),"",IF($E151=$D151,"CHECK TIMES (start = end)",IF($F151&gt;12,"CHECK TIMES (End is before Start?)","OK")))</f>
        <v/>
      </c>
      <c r="P151" s="17">
        <f>IF(OR($B151="",$I151=""),"",IF(IFERROR(MATCH($G151,nrBankTopics,0),0)=0,"OK",IF(COUNTA(INDEX(nrBankGrid,IFERROR(MATCH($G151,nrBankTopics,0),1),0))=0,"OK",IF(SUMPRODUCT((nrInstrNames&lt;&gt;"")*ISNUMBER(SEARCH(nrInstrNames,$I151))*(COUNTIF(INDEX(nrBankGrid,IFERROR(MATCH($G151,nrBankTopics,0),1),0),nrInstrNames)&gt;0))&lt;SUMPRODUCT((nrInstrNames&lt;&gt;"")*ISNUMBER(SEARCH(nrInstrNames,$I151))),"NOT IN BANK","OK"))))</f>
        <v/>
      </c>
    </row>
    <row r="152">
      <c r="B152" s="18" t="n"/>
      <c r="C152" s="17">
        <f>IF($B152="","",TEXT($B152,"ddd"))</f>
        <v/>
      </c>
      <c r="D152" s="41" t="n"/>
      <c r="E152" s="41" t="n"/>
      <c r="F152" s="17">
        <f>IF(OR($B152="",$D152="",$E152=""),"",ROUND(MOD($E152-$D152,1)*24,2))</f>
        <v/>
      </c>
      <c r="G152" s="16" t="n"/>
      <c r="H152" s="17">
        <f>IF($G152="","",IFERROR(_xlfn.XLOOKUP($G152,nrCHname,nrCHnum),IFERROR(_xlfn.XLOOKUP($G152,nrSUBname,nrSUBparent),"")))</f>
        <v/>
      </c>
      <c r="I152" s="16" t="n"/>
      <c r="J152" s="16" t="n"/>
      <c r="K152" s="17">
        <f>IF($B152="","",IFERROR(_xlfn.XLOOKUP($B152,nrCDdate,nrCDweek),""))</f>
        <v/>
      </c>
      <c r="L152" s="17">
        <f>IF($B152="","",IFERROR(_xlfn.XLOOKUP($B152,nrCDdate,nrCDnum),""))</f>
        <v/>
      </c>
      <c r="M152" s="16" t="n"/>
      <c r="N152" s="17">
        <f>IF(OR($B152="",$I152=""),"",_xlfn.LET(_xlpm.a,$I152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52" s="17">
        <f>IF(OR($B152="",$D152="",$E152=""),"",IF($E152=$D152,"CHECK TIMES (start = end)",IF($F152&gt;12,"CHECK TIMES (End is before Start?)","OK")))</f>
        <v/>
      </c>
      <c r="P152" s="17">
        <f>IF(OR($B152="",$I152=""),"",IF(IFERROR(MATCH($G152,nrBankTopics,0),0)=0,"OK",IF(COUNTA(INDEX(nrBankGrid,IFERROR(MATCH($G152,nrBankTopics,0),1),0))=0,"OK",IF(SUMPRODUCT((nrInstrNames&lt;&gt;"")*ISNUMBER(SEARCH(nrInstrNames,$I152))*(COUNTIF(INDEX(nrBankGrid,IFERROR(MATCH($G152,nrBankTopics,0),1),0),nrInstrNames)&gt;0))&lt;SUMPRODUCT((nrInstrNames&lt;&gt;"")*ISNUMBER(SEARCH(nrInstrNames,$I152))),"NOT IN BANK","OK"))))</f>
        <v/>
      </c>
    </row>
    <row r="153">
      <c r="B153" s="18" t="n"/>
      <c r="C153" s="17">
        <f>IF($B153="","",TEXT($B153,"ddd"))</f>
        <v/>
      </c>
      <c r="D153" s="41" t="n"/>
      <c r="E153" s="41" t="n"/>
      <c r="F153" s="17">
        <f>IF(OR($B153="",$D153="",$E153=""),"",ROUND(MOD($E153-$D153,1)*24,2))</f>
        <v/>
      </c>
      <c r="G153" s="16" t="n"/>
      <c r="H153" s="17">
        <f>IF($G153="","",IFERROR(_xlfn.XLOOKUP($G153,nrCHname,nrCHnum),IFERROR(_xlfn.XLOOKUP($G153,nrSUBname,nrSUBparent),"")))</f>
        <v/>
      </c>
      <c r="I153" s="16" t="n"/>
      <c r="J153" s="16" t="n"/>
      <c r="K153" s="17">
        <f>IF($B153="","",IFERROR(_xlfn.XLOOKUP($B153,nrCDdate,nrCDweek),""))</f>
        <v/>
      </c>
      <c r="L153" s="17">
        <f>IF($B153="","",IFERROR(_xlfn.XLOOKUP($B153,nrCDdate,nrCDnum),""))</f>
        <v/>
      </c>
      <c r="M153" s="16" t="n"/>
      <c r="N153" s="17">
        <f>IF(OR($B153="",$I153=""),"",_xlfn.LET(_xlpm.a,$I153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53" s="17">
        <f>IF(OR($B153="",$D153="",$E153=""),"",IF($E153=$D153,"CHECK TIMES (start = end)",IF($F153&gt;12,"CHECK TIMES (End is before Start?)","OK")))</f>
        <v/>
      </c>
      <c r="P153" s="17">
        <f>IF(OR($B153="",$I153=""),"",IF(IFERROR(MATCH($G153,nrBankTopics,0),0)=0,"OK",IF(COUNTA(INDEX(nrBankGrid,IFERROR(MATCH($G153,nrBankTopics,0),1),0))=0,"OK",IF(SUMPRODUCT((nrInstrNames&lt;&gt;"")*ISNUMBER(SEARCH(nrInstrNames,$I153))*(COUNTIF(INDEX(nrBankGrid,IFERROR(MATCH($G153,nrBankTopics,0),1),0),nrInstrNames)&gt;0))&lt;SUMPRODUCT((nrInstrNames&lt;&gt;"")*ISNUMBER(SEARCH(nrInstrNames,$I153))),"NOT IN BANK","OK"))))</f>
        <v/>
      </c>
    </row>
    <row r="154">
      <c r="B154" s="18" t="n"/>
      <c r="C154" s="17">
        <f>IF($B154="","",TEXT($B154,"ddd"))</f>
        <v/>
      </c>
      <c r="D154" s="41" t="n"/>
      <c r="E154" s="41" t="n"/>
      <c r="F154" s="17">
        <f>IF(OR($B154="",$D154="",$E154=""),"",ROUND(MOD($E154-$D154,1)*24,2))</f>
        <v/>
      </c>
      <c r="G154" s="16" t="n"/>
      <c r="H154" s="17">
        <f>IF($G154="","",IFERROR(_xlfn.XLOOKUP($G154,nrCHname,nrCHnum),IFERROR(_xlfn.XLOOKUP($G154,nrSUBname,nrSUBparent),"")))</f>
        <v/>
      </c>
      <c r="I154" s="16" t="n"/>
      <c r="J154" s="16" t="n"/>
      <c r="K154" s="17">
        <f>IF($B154="","",IFERROR(_xlfn.XLOOKUP($B154,nrCDdate,nrCDweek),""))</f>
        <v/>
      </c>
      <c r="L154" s="17">
        <f>IF($B154="","",IFERROR(_xlfn.XLOOKUP($B154,nrCDdate,nrCDnum),""))</f>
        <v/>
      </c>
      <c r="M154" s="16" t="n"/>
      <c r="N154" s="17">
        <f>IF(OR($B154="",$I154=""),"",_xlfn.LET(_xlpm.a,$I154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54" s="17">
        <f>IF(OR($B154="",$D154="",$E154=""),"",IF($E154=$D154,"CHECK TIMES (start = end)",IF($F154&gt;12,"CHECK TIMES (End is before Start?)","OK")))</f>
        <v/>
      </c>
      <c r="P154" s="17">
        <f>IF(OR($B154="",$I154=""),"",IF(IFERROR(MATCH($G154,nrBankTopics,0),0)=0,"OK",IF(COUNTA(INDEX(nrBankGrid,IFERROR(MATCH($G154,nrBankTopics,0),1),0))=0,"OK",IF(SUMPRODUCT((nrInstrNames&lt;&gt;"")*ISNUMBER(SEARCH(nrInstrNames,$I154))*(COUNTIF(INDEX(nrBankGrid,IFERROR(MATCH($G154,nrBankTopics,0),1),0),nrInstrNames)&gt;0))&lt;SUMPRODUCT((nrInstrNames&lt;&gt;"")*ISNUMBER(SEARCH(nrInstrNames,$I154))),"NOT IN BANK","OK"))))</f>
        <v/>
      </c>
    </row>
    <row r="155">
      <c r="B155" s="18" t="n"/>
      <c r="C155" s="17">
        <f>IF($B155="","",TEXT($B155,"ddd"))</f>
        <v/>
      </c>
      <c r="D155" s="41" t="n"/>
      <c r="E155" s="41" t="n"/>
      <c r="F155" s="17">
        <f>IF(OR($B155="",$D155="",$E155=""),"",ROUND(MOD($E155-$D155,1)*24,2))</f>
        <v/>
      </c>
      <c r="G155" s="16" t="n"/>
      <c r="H155" s="17">
        <f>IF($G155="","",IFERROR(_xlfn.XLOOKUP($G155,nrCHname,nrCHnum),IFERROR(_xlfn.XLOOKUP($G155,nrSUBname,nrSUBparent),"")))</f>
        <v/>
      </c>
      <c r="I155" s="16" t="n"/>
      <c r="J155" s="16" t="n"/>
      <c r="K155" s="17">
        <f>IF($B155="","",IFERROR(_xlfn.XLOOKUP($B155,nrCDdate,nrCDweek),""))</f>
        <v/>
      </c>
      <c r="L155" s="17">
        <f>IF($B155="","",IFERROR(_xlfn.XLOOKUP($B155,nrCDdate,nrCDnum),""))</f>
        <v/>
      </c>
      <c r="M155" s="16" t="n"/>
      <c r="N155" s="17">
        <f>IF(OR($B155="",$I155=""),"",_xlfn.LET(_xlpm.a,$I155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55" s="17">
        <f>IF(OR($B155="",$D155="",$E155=""),"",IF($E155=$D155,"CHECK TIMES (start = end)",IF($F155&gt;12,"CHECK TIMES (End is before Start?)","OK")))</f>
        <v/>
      </c>
      <c r="P155" s="17">
        <f>IF(OR($B155="",$I155=""),"",IF(IFERROR(MATCH($G155,nrBankTopics,0),0)=0,"OK",IF(COUNTA(INDEX(nrBankGrid,IFERROR(MATCH($G155,nrBankTopics,0),1),0))=0,"OK",IF(SUMPRODUCT((nrInstrNames&lt;&gt;"")*ISNUMBER(SEARCH(nrInstrNames,$I155))*(COUNTIF(INDEX(nrBankGrid,IFERROR(MATCH($G155,nrBankTopics,0),1),0),nrInstrNames)&gt;0))&lt;SUMPRODUCT((nrInstrNames&lt;&gt;"")*ISNUMBER(SEARCH(nrInstrNames,$I155))),"NOT IN BANK","OK"))))</f>
        <v/>
      </c>
    </row>
    <row r="156">
      <c r="B156" s="18" t="n"/>
      <c r="C156" s="17">
        <f>IF($B156="","",TEXT($B156,"ddd"))</f>
        <v/>
      </c>
      <c r="D156" s="41" t="n"/>
      <c r="E156" s="41" t="n"/>
      <c r="F156" s="17">
        <f>IF(OR($B156="",$D156="",$E156=""),"",ROUND(MOD($E156-$D156,1)*24,2))</f>
        <v/>
      </c>
      <c r="G156" s="16" t="n"/>
      <c r="H156" s="17">
        <f>IF($G156="","",IFERROR(_xlfn.XLOOKUP($G156,nrCHname,nrCHnum),IFERROR(_xlfn.XLOOKUP($G156,nrSUBname,nrSUBparent),"")))</f>
        <v/>
      </c>
      <c r="I156" s="16" t="n"/>
      <c r="J156" s="16" t="n"/>
      <c r="K156" s="17">
        <f>IF($B156="","",IFERROR(_xlfn.XLOOKUP($B156,nrCDdate,nrCDweek),""))</f>
        <v/>
      </c>
      <c r="L156" s="17">
        <f>IF($B156="","",IFERROR(_xlfn.XLOOKUP($B156,nrCDdate,nrCDnum),""))</f>
        <v/>
      </c>
      <c r="M156" s="16" t="n"/>
      <c r="N156" s="17">
        <f>IF(OR($B156="",$I156=""),"",_xlfn.LET(_xlpm.a,$I156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56" s="17">
        <f>IF(OR($B156="",$D156="",$E156=""),"",IF($E156=$D156,"CHECK TIMES (start = end)",IF($F156&gt;12,"CHECK TIMES (End is before Start?)","OK")))</f>
        <v/>
      </c>
      <c r="P156" s="17">
        <f>IF(OR($B156="",$I156=""),"",IF(IFERROR(MATCH($G156,nrBankTopics,0),0)=0,"OK",IF(COUNTA(INDEX(nrBankGrid,IFERROR(MATCH($G156,nrBankTopics,0),1),0))=0,"OK",IF(SUMPRODUCT((nrInstrNames&lt;&gt;"")*ISNUMBER(SEARCH(nrInstrNames,$I156))*(COUNTIF(INDEX(nrBankGrid,IFERROR(MATCH($G156,nrBankTopics,0),1),0),nrInstrNames)&gt;0))&lt;SUMPRODUCT((nrInstrNames&lt;&gt;"")*ISNUMBER(SEARCH(nrInstrNames,$I156))),"NOT IN BANK","OK"))))</f>
        <v/>
      </c>
    </row>
    <row r="157">
      <c r="B157" s="18" t="n"/>
      <c r="C157" s="17">
        <f>IF($B157="","",TEXT($B157,"ddd"))</f>
        <v/>
      </c>
      <c r="D157" s="41" t="n"/>
      <c r="E157" s="41" t="n"/>
      <c r="F157" s="17">
        <f>IF(OR($B157="",$D157="",$E157=""),"",ROUND(MOD($E157-$D157,1)*24,2))</f>
        <v/>
      </c>
      <c r="G157" s="16" t="n"/>
      <c r="H157" s="17">
        <f>IF($G157="","",IFERROR(_xlfn.XLOOKUP($G157,nrCHname,nrCHnum),IFERROR(_xlfn.XLOOKUP($G157,nrSUBname,nrSUBparent),"")))</f>
        <v/>
      </c>
      <c r="I157" s="16" t="n"/>
      <c r="J157" s="16" t="n"/>
      <c r="K157" s="17">
        <f>IF($B157="","",IFERROR(_xlfn.XLOOKUP($B157,nrCDdate,nrCDweek),""))</f>
        <v/>
      </c>
      <c r="L157" s="17">
        <f>IF($B157="","",IFERROR(_xlfn.XLOOKUP($B157,nrCDdate,nrCDnum),""))</f>
        <v/>
      </c>
      <c r="M157" s="16" t="n"/>
      <c r="N157" s="17">
        <f>IF(OR($B157="",$I157=""),"",_xlfn.LET(_xlpm.a,$I157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57" s="17">
        <f>IF(OR($B157="",$D157="",$E157=""),"",IF($E157=$D157,"CHECK TIMES (start = end)",IF($F157&gt;12,"CHECK TIMES (End is before Start?)","OK")))</f>
        <v/>
      </c>
      <c r="P157" s="17">
        <f>IF(OR($B157="",$I157=""),"",IF(IFERROR(MATCH($G157,nrBankTopics,0),0)=0,"OK",IF(COUNTA(INDEX(nrBankGrid,IFERROR(MATCH($G157,nrBankTopics,0),1),0))=0,"OK",IF(SUMPRODUCT((nrInstrNames&lt;&gt;"")*ISNUMBER(SEARCH(nrInstrNames,$I157))*(COUNTIF(INDEX(nrBankGrid,IFERROR(MATCH($G157,nrBankTopics,0),1),0),nrInstrNames)&gt;0))&lt;SUMPRODUCT((nrInstrNames&lt;&gt;"")*ISNUMBER(SEARCH(nrInstrNames,$I157))),"NOT IN BANK","OK"))))</f>
        <v/>
      </c>
    </row>
    <row r="158">
      <c r="B158" s="18" t="n"/>
      <c r="C158" s="17">
        <f>IF($B158="","",TEXT($B158,"ddd"))</f>
        <v/>
      </c>
      <c r="D158" s="41" t="n"/>
      <c r="E158" s="41" t="n"/>
      <c r="F158" s="17">
        <f>IF(OR($B158="",$D158="",$E158=""),"",ROUND(MOD($E158-$D158,1)*24,2))</f>
        <v/>
      </c>
      <c r="G158" s="16" t="n"/>
      <c r="H158" s="17">
        <f>IF($G158="","",IFERROR(_xlfn.XLOOKUP($G158,nrCHname,nrCHnum),IFERROR(_xlfn.XLOOKUP($G158,nrSUBname,nrSUBparent),"")))</f>
        <v/>
      </c>
      <c r="I158" s="16" t="n"/>
      <c r="J158" s="16" t="n"/>
      <c r="K158" s="17">
        <f>IF($B158="","",IFERROR(_xlfn.XLOOKUP($B158,nrCDdate,nrCDweek),""))</f>
        <v/>
      </c>
      <c r="L158" s="17">
        <f>IF($B158="","",IFERROR(_xlfn.XLOOKUP($B158,nrCDdate,nrCDnum),""))</f>
        <v/>
      </c>
      <c r="M158" s="16" t="n"/>
      <c r="N158" s="17">
        <f>IF(OR($B158="",$I158=""),"",_xlfn.LET(_xlpm.a,$I158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58" s="17">
        <f>IF(OR($B158="",$D158="",$E158=""),"",IF($E158=$D158,"CHECK TIMES (start = end)",IF($F158&gt;12,"CHECK TIMES (End is before Start?)","OK")))</f>
        <v/>
      </c>
      <c r="P158" s="17">
        <f>IF(OR($B158="",$I158=""),"",IF(IFERROR(MATCH($G158,nrBankTopics,0),0)=0,"OK",IF(COUNTA(INDEX(nrBankGrid,IFERROR(MATCH($G158,nrBankTopics,0),1),0))=0,"OK",IF(SUMPRODUCT((nrInstrNames&lt;&gt;"")*ISNUMBER(SEARCH(nrInstrNames,$I158))*(COUNTIF(INDEX(nrBankGrid,IFERROR(MATCH($G158,nrBankTopics,0),1),0),nrInstrNames)&gt;0))&lt;SUMPRODUCT((nrInstrNames&lt;&gt;"")*ISNUMBER(SEARCH(nrInstrNames,$I158))),"NOT IN BANK","OK"))))</f>
        <v/>
      </c>
    </row>
    <row r="159">
      <c r="B159" s="18" t="n"/>
      <c r="C159" s="17">
        <f>IF($B159="","",TEXT($B159,"ddd"))</f>
        <v/>
      </c>
      <c r="D159" s="41" t="n"/>
      <c r="E159" s="41" t="n"/>
      <c r="F159" s="17">
        <f>IF(OR($B159="",$D159="",$E159=""),"",ROUND(MOD($E159-$D159,1)*24,2))</f>
        <v/>
      </c>
      <c r="G159" s="16" t="n"/>
      <c r="H159" s="17">
        <f>IF($G159="","",IFERROR(_xlfn.XLOOKUP($G159,nrCHname,nrCHnum),IFERROR(_xlfn.XLOOKUP($G159,nrSUBname,nrSUBparent),"")))</f>
        <v/>
      </c>
      <c r="I159" s="16" t="n"/>
      <c r="J159" s="16" t="n"/>
      <c r="K159" s="17">
        <f>IF($B159="","",IFERROR(_xlfn.XLOOKUP($B159,nrCDdate,nrCDweek),""))</f>
        <v/>
      </c>
      <c r="L159" s="17">
        <f>IF($B159="","",IFERROR(_xlfn.XLOOKUP($B159,nrCDdate,nrCDnum),""))</f>
        <v/>
      </c>
      <c r="M159" s="16" t="n"/>
      <c r="N159" s="17">
        <f>IF(OR($B159="",$I159=""),"",_xlfn.LET(_xlpm.a,$I159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59" s="17">
        <f>IF(OR($B159="",$D159="",$E159=""),"",IF($E159=$D159,"CHECK TIMES (start = end)",IF($F159&gt;12,"CHECK TIMES (End is before Start?)","OK")))</f>
        <v/>
      </c>
      <c r="P159" s="17">
        <f>IF(OR($B159="",$I159=""),"",IF(IFERROR(MATCH($G159,nrBankTopics,0),0)=0,"OK",IF(COUNTA(INDEX(nrBankGrid,IFERROR(MATCH($G159,nrBankTopics,0),1),0))=0,"OK",IF(SUMPRODUCT((nrInstrNames&lt;&gt;"")*ISNUMBER(SEARCH(nrInstrNames,$I159))*(COUNTIF(INDEX(nrBankGrid,IFERROR(MATCH($G159,nrBankTopics,0),1),0),nrInstrNames)&gt;0))&lt;SUMPRODUCT((nrInstrNames&lt;&gt;"")*ISNUMBER(SEARCH(nrInstrNames,$I159))),"NOT IN BANK","OK"))))</f>
        <v/>
      </c>
    </row>
    <row r="160">
      <c r="B160" s="18" t="n"/>
      <c r="C160" s="17">
        <f>IF($B160="","",TEXT($B160,"ddd"))</f>
        <v/>
      </c>
      <c r="D160" s="41" t="n"/>
      <c r="E160" s="41" t="n"/>
      <c r="F160" s="17">
        <f>IF(OR($B160="",$D160="",$E160=""),"",ROUND(MOD($E160-$D160,1)*24,2))</f>
        <v/>
      </c>
      <c r="G160" s="16" t="n"/>
      <c r="H160" s="17">
        <f>IF($G160="","",IFERROR(_xlfn.XLOOKUP($G160,nrCHname,nrCHnum),IFERROR(_xlfn.XLOOKUP($G160,nrSUBname,nrSUBparent),"")))</f>
        <v/>
      </c>
      <c r="I160" s="16" t="n"/>
      <c r="J160" s="16" t="n"/>
      <c r="K160" s="17">
        <f>IF($B160="","",IFERROR(_xlfn.XLOOKUP($B160,nrCDdate,nrCDweek),""))</f>
        <v/>
      </c>
      <c r="L160" s="17">
        <f>IF($B160="","",IFERROR(_xlfn.XLOOKUP($B160,nrCDdate,nrCDnum),""))</f>
        <v/>
      </c>
      <c r="M160" s="16" t="n"/>
      <c r="N160" s="17">
        <f>IF(OR($B160="",$I160=""),"",_xlfn.LET(_xlpm.a,$I160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60" s="17">
        <f>IF(OR($B160="",$D160="",$E160=""),"",IF($E160=$D160,"CHECK TIMES (start = end)",IF($F160&gt;12,"CHECK TIMES (End is before Start?)","OK")))</f>
        <v/>
      </c>
      <c r="P160" s="17">
        <f>IF(OR($B160="",$I160=""),"",IF(IFERROR(MATCH($G160,nrBankTopics,0),0)=0,"OK",IF(COUNTA(INDEX(nrBankGrid,IFERROR(MATCH($G160,nrBankTopics,0),1),0))=0,"OK",IF(SUMPRODUCT((nrInstrNames&lt;&gt;"")*ISNUMBER(SEARCH(nrInstrNames,$I160))*(COUNTIF(INDEX(nrBankGrid,IFERROR(MATCH($G160,nrBankTopics,0),1),0),nrInstrNames)&gt;0))&lt;SUMPRODUCT((nrInstrNames&lt;&gt;"")*ISNUMBER(SEARCH(nrInstrNames,$I160))),"NOT IN BANK","OK"))))</f>
        <v/>
      </c>
    </row>
    <row r="161">
      <c r="B161" s="18" t="n"/>
      <c r="C161" s="17">
        <f>IF($B161="","",TEXT($B161,"ddd"))</f>
        <v/>
      </c>
      <c r="D161" s="41" t="n"/>
      <c r="E161" s="41" t="n"/>
      <c r="F161" s="17">
        <f>IF(OR($B161="",$D161="",$E161=""),"",ROUND(MOD($E161-$D161,1)*24,2))</f>
        <v/>
      </c>
      <c r="G161" s="16" t="n"/>
      <c r="H161" s="17">
        <f>IF($G161="","",IFERROR(_xlfn.XLOOKUP($G161,nrCHname,nrCHnum),IFERROR(_xlfn.XLOOKUP($G161,nrSUBname,nrSUBparent),"")))</f>
        <v/>
      </c>
      <c r="I161" s="16" t="n"/>
      <c r="J161" s="16" t="n"/>
      <c r="K161" s="17">
        <f>IF($B161="","",IFERROR(_xlfn.XLOOKUP($B161,nrCDdate,nrCDweek),""))</f>
        <v/>
      </c>
      <c r="L161" s="17">
        <f>IF($B161="","",IFERROR(_xlfn.XLOOKUP($B161,nrCDdate,nrCDnum),""))</f>
        <v/>
      </c>
      <c r="M161" s="16" t="n"/>
      <c r="N161" s="17">
        <f>IF(OR($B161="",$I161=""),"",_xlfn.LET(_xlpm.a,$I161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61" s="17">
        <f>IF(OR($B161="",$D161="",$E161=""),"",IF($E161=$D161,"CHECK TIMES (start = end)",IF($F161&gt;12,"CHECK TIMES (End is before Start?)","OK")))</f>
        <v/>
      </c>
      <c r="P161" s="17">
        <f>IF(OR($B161="",$I161=""),"",IF(IFERROR(MATCH($G161,nrBankTopics,0),0)=0,"OK",IF(COUNTA(INDEX(nrBankGrid,IFERROR(MATCH($G161,nrBankTopics,0),1),0))=0,"OK",IF(SUMPRODUCT((nrInstrNames&lt;&gt;"")*ISNUMBER(SEARCH(nrInstrNames,$I161))*(COUNTIF(INDEX(nrBankGrid,IFERROR(MATCH($G161,nrBankTopics,0),1),0),nrInstrNames)&gt;0))&lt;SUMPRODUCT((nrInstrNames&lt;&gt;"")*ISNUMBER(SEARCH(nrInstrNames,$I161))),"NOT IN BANK","OK"))))</f>
        <v/>
      </c>
    </row>
    <row r="162">
      <c r="B162" s="18" t="n"/>
      <c r="C162" s="17">
        <f>IF($B162="","",TEXT($B162,"ddd"))</f>
        <v/>
      </c>
      <c r="D162" s="41" t="n"/>
      <c r="E162" s="41" t="n"/>
      <c r="F162" s="17">
        <f>IF(OR($B162="",$D162="",$E162=""),"",ROUND(MOD($E162-$D162,1)*24,2))</f>
        <v/>
      </c>
      <c r="G162" s="16" t="n"/>
      <c r="H162" s="17">
        <f>IF($G162="","",IFERROR(_xlfn.XLOOKUP($G162,nrCHname,nrCHnum),IFERROR(_xlfn.XLOOKUP($G162,nrSUBname,nrSUBparent),"")))</f>
        <v/>
      </c>
      <c r="I162" s="16" t="n"/>
      <c r="J162" s="16" t="n"/>
      <c r="K162" s="17">
        <f>IF($B162="","",IFERROR(_xlfn.XLOOKUP($B162,nrCDdate,nrCDweek),""))</f>
        <v/>
      </c>
      <c r="L162" s="17">
        <f>IF($B162="","",IFERROR(_xlfn.XLOOKUP($B162,nrCDdate,nrCDnum),""))</f>
        <v/>
      </c>
      <c r="M162" s="16" t="n"/>
      <c r="N162" s="17">
        <f>IF(OR($B162="",$I162=""),"",_xlfn.LET(_xlpm.a,$I162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62" s="17">
        <f>IF(OR($B162="",$D162="",$E162=""),"",IF($E162=$D162,"CHECK TIMES (start = end)",IF($F162&gt;12,"CHECK TIMES (End is before Start?)","OK")))</f>
        <v/>
      </c>
      <c r="P162" s="17">
        <f>IF(OR($B162="",$I162=""),"",IF(IFERROR(MATCH($G162,nrBankTopics,0),0)=0,"OK",IF(COUNTA(INDEX(nrBankGrid,IFERROR(MATCH($G162,nrBankTopics,0),1),0))=0,"OK",IF(SUMPRODUCT((nrInstrNames&lt;&gt;"")*ISNUMBER(SEARCH(nrInstrNames,$I162))*(COUNTIF(INDEX(nrBankGrid,IFERROR(MATCH($G162,nrBankTopics,0),1),0),nrInstrNames)&gt;0))&lt;SUMPRODUCT((nrInstrNames&lt;&gt;"")*ISNUMBER(SEARCH(nrInstrNames,$I162))),"NOT IN BANK","OK"))))</f>
        <v/>
      </c>
    </row>
    <row r="163">
      <c r="B163" s="18" t="n"/>
      <c r="C163" s="17">
        <f>IF($B163="","",TEXT($B163,"ddd"))</f>
        <v/>
      </c>
      <c r="D163" s="41" t="n"/>
      <c r="E163" s="41" t="n"/>
      <c r="F163" s="17">
        <f>IF(OR($B163="",$D163="",$E163=""),"",ROUND(MOD($E163-$D163,1)*24,2))</f>
        <v/>
      </c>
      <c r="G163" s="16" t="n"/>
      <c r="H163" s="17">
        <f>IF($G163="","",IFERROR(_xlfn.XLOOKUP($G163,nrCHname,nrCHnum),IFERROR(_xlfn.XLOOKUP($G163,nrSUBname,nrSUBparent),"")))</f>
        <v/>
      </c>
      <c r="I163" s="16" t="n"/>
      <c r="J163" s="16" t="n"/>
      <c r="K163" s="17">
        <f>IF($B163="","",IFERROR(_xlfn.XLOOKUP($B163,nrCDdate,nrCDweek),""))</f>
        <v/>
      </c>
      <c r="L163" s="17">
        <f>IF($B163="","",IFERROR(_xlfn.XLOOKUP($B163,nrCDdate,nrCDnum),""))</f>
        <v/>
      </c>
      <c r="M163" s="16" t="n"/>
      <c r="N163" s="17">
        <f>IF(OR($B163="",$I163=""),"",_xlfn.LET(_xlpm.a,$I163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63" s="17">
        <f>IF(OR($B163="",$D163="",$E163=""),"",IF($E163=$D163,"CHECK TIMES (start = end)",IF($F163&gt;12,"CHECK TIMES (End is before Start?)","OK")))</f>
        <v/>
      </c>
      <c r="P163" s="17">
        <f>IF(OR($B163="",$I163=""),"",IF(IFERROR(MATCH($G163,nrBankTopics,0),0)=0,"OK",IF(COUNTA(INDEX(nrBankGrid,IFERROR(MATCH($G163,nrBankTopics,0),1),0))=0,"OK",IF(SUMPRODUCT((nrInstrNames&lt;&gt;"")*ISNUMBER(SEARCH(nrInstrNames,$I163))*(COUNTIF(INDEX(nrBankGrid,IFERROR(MATCH($G163,nrBankTopics,0),1),0),nrInstrNames)&gt;0))&lt;SUMPRODUCT((nrInstrNames&lt;&gt;"")*ISNUMBER(SEARCH(nrInstrNames,$I163))),"NOT IN BANK","OK"))))</f>
        <v/>
      </c>
    </row>
    <row r="164">
      <c r="B164" s="18" t="n"/>
      <c r="C164" s="17">
        <f>IF($B164="","",TEXT($B164,"ddd"))</f>
        <v/>
      </c>
      <c r="D164" s="41" t="n"/>
      <c r="E164" s="41" t="n"/>
      <c r="F164" s="17">
        <f>IF(OR($B164="",$D164="",$E164=""),"",ROUND(MOD($E164-$D164,1)*24,2))</f>
        <v/>
      </c>
      <c r="G164" s="16" t="n"/>
      <c r="H164" s="17">
        <f>IF($G164="","",IFERROR(_xlfn.XLOOKUP($G164,nrCHname,nrCHnum),IFERROR(_xlfn.XLOOKUP($G164,nrSUBname,nrSUBparent),"")))</f>
        <v/>
      </c>
      <c r="I164" s="16" t="n"/>
      <c r="J164" s="16" t="n"/>
      <c r="K164" s="17">
        <f>IF($B164="","",IFERROR(_xlfn.XLOOKUP($B164,nrCDdate,nrCDweek),""))</f>
        <v/>
      </c>
      <c r="L164" s="17">
        <f>IF($B164="","",IFERROR(_xlfn.XLOOKUP($B164,nrCDdate,nrCDnum),""))</f>
        <v/>
      </c>
      <c r="M164" s="16" t="n"/>
      <c r="N164" s="17">
        <f>IF(OR($B164="",$I164=""),"",_xlfn.LET(_xlpm.a,$I164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64" s="17">
        <f>IF(OR($B164="",$D164="",$E164=""),"",IF($E164=$D164,"CHECK TIMES (start = end)",IF($F164&gt;12,"CHECK TIMES (End is before Start?)","OK")))</f>
        <v/>
      </c>
      <c r="P164" s="17">
        <f>IF(OR($B164="",$I164=""),"",IF(IFERROR(MATCH($G164,nrBankTopics,0),0)=0,"OK",IF(COUNTA(INDEX(nrBankGrid,IFERROR(MATCH($G164,nrBankTopics,0),1),0))=0,"OK",IF(SUMPRODUCT((nrInstrNames&lt;&gt;"")*ISNUMBER(SEARCH(nrInstrNames,$I164))*(COUNTIF(INDEX(nrBankGrid,IFERROR(MATCH($G164,nrBankTopics,0),1),0),nrInstrNames)&gt;0))&lt;SUMPRODUCT((nrInstrNames&lt;&gt;"")*ISNUMBER(SEARCH(nrInstrNames,$I164))),"NOT IN BANK","OK"))))</f>
        <v/>
      </c>
    </row>
    <row r="165">
      <c r="B165" s="18" t="n"/>
      <c r="C165" s="17">
        <f>IF($B165="","",TEXT($B165,"ddd"))</f>
        <v/>
      </c>
      <c r="D165" s="41" t="n"/>
      <c r="E165" s="41" t="n"/>
      <c r="F165" s="17">
        <f>IF(OR($B165="",$D165="",$E165=""),"",ROUND(MOD($E165-$D165,1)*24,2))</f>
        <v/>
      </c>
      <c r="G165" s="16" t="n"/>
      <c r="H165" s="17">
        <f>IF($G165="","",IFERROR(_xlfn.XLOOKUP($G165,nrCHname,nrCHnum),IFERROR(_xlfn.XLOOKUP($G165,nrSUBname,nrSUBparent),"")))</f>
        <v/>
      </c>
      <c r="I165" s="16" t="n"/>
      <c r="J165" s="16" t="n"/>
      <c r="K165" s="17">
        <f>IF($B165="","",IFERROR(_xlfn.XLOOKUP($B165,nrCDdate,nrCDweek),""))</f>
        <v/>
      </c>
      <c r="L165" s="17">
        <f>IF($B165="","",IFERROR(_xlfn.XLOOKUP($B165,nrCDdate,nrCDnum),""))</f>
        <v/>
      </c>
      <c r="M165" s="16" t="n"/>
      <c r="N165" s="17">
        <f>IF(OR($B165="",$I165=""),"",_xlfn.LET(_xlpm.a,$I165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65" s="17">
        <f>IF(OR($B165="",$D165="",$E165=""),"",IF($E165=$D165,"CHECK TIMES (start = end)",IF($F165&gt;12,"CHECK TIMES (End is before Start?)","OK")))</f>
        <v/>
      </c>
      <c r="P165" s="17">
        <f>IF(OR($B165="",$I165=""),"",IF(IFERROR(MATCH($G165,nrBankTopics,0),0)=0,"OK",IF(COUNTA(INDEX(nrBankGrid,IFERROR(MATCH($G165,nrBankTopics,0),1),0))=0,"OK",IF(SUMPRODUCT((nrInstrNames&lt;&gt;"")*ISNUMBER(SEARCH(nrInstrNames,$I165))*(COUNTIF(INDEX(nrBankGrid,IFERROR(MATCH($G165,nrBankTopics,0),1),0),nrInstrNames)&gt;0))&lt;SUMPRODUCT((nrInstrNames&lt;&gt;"")*ISNUMBER(SEARCH(nrInstrNames,$I165))),"NOT IN BANK","OK"))))</f>
        <v/>
      </c>
    </row>
    <row r="166">
      <c r="B166" s="18" t="n"/>
      <c r="C166" s="17">
        <f>IF($B166="","",TEXT($B166,"ddd"))</f>
        <v/>
      </c>
      <c r="D166" s="41" t="n"/>
      <c r="E166" s="41" t="n"/>
      <c r="F166" s="17">
        <f>IF(OR($B166="",$D166="",$E166=""),"",ROUND(MOD($E166-$D166,1)*24,2))</f>
        <v/>
      </c>
      <c r="G166" s="16" t="n"/>
      <c r="H166" s="17">
        <f>IF($G166="","",IFERROR(_xlfn.XLOOKUP($G166,nrCHname,nrCHnum),IFERROR(_xlfn.XLOOKUP($G166,nrSUBname,nrSUBparent),"")))</f>
        <v/>
      </c>
      <c r="I166" s="16" t="n"/>
      <c r="J166" s="16" t="n"/>
      <c r="K166" s="17">
        <f>IF($B166="","",IFERROR(_xlfn.XLOOKUP($B166,nrCDdate,nrCDweek),""))</f>
        <v/>
      </c>
      <c r="L166" s="17">
        <f>IF($B166="","",IFERROR(_xlfn.XLOOKUP($B166,nrCDdate,nrCDnum),""))</f>
        <v/>
      </c>
      <c r="M166" s="16" t="n"/>
      <c r="N166" s="17">
        <f>IF(OR($B166="",$I166=""),"",_xlfn.LET(_xlpm.a,$I166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66" s="17">
        <f>IF(OR($B166="",$D166="",$E166=""),"",IF($E166=$D166,"CHECK TIMES (start = end)",IF($F166&gt;12,"CHECK TIMES (End is before Start?)","OK")))</f>
        <v/>
      </c>
      <c r="P166" s="17">
        <f>IF(OR($B166="",$I166=""),"",IF(IFERROR(MATCH($G166,nrBankTopics,0),0)=0,"OK",IF(COUNTA(INDEX(nrBankGrid,IFERROR(MATCH($G166,nrBankTopics,0),1),0))=0,"OK",IF(SUMPRODUCT((nrInstrNames&lt;&gt;"")*ISNUMBER(SEARCH(nrInstrNames,$I166))*(COUNTIF(INDEX(nrBankGrid,IFERROR(MATCH($G166,nrBankTopics,0),1),0),nrInstrNames)&gt;0))&lt;SUMPRODUCT((nrInstrNames&lt;&gt;"")*ISNUMBER(SEARCH(nrInstrNames,$I166))),"NOT IN BANK","OK"))))</f>
        <v/>
      </c>
    </row>
    <row r="167">
      <c r="B167" s="18" t="n"/>
      <c r="C167" s="17">
        <f>IF($B167="","",TEXT($B167,"ddd"))</f>
        <v/>
      </c>
      <c r="D167" s="41" t="n"/>
      <c r="E167" s="41" t="n"/>
      <c r="F167" s="17">
        <f>IF(OR($B167="",$D167="",$E167=""),"",ROUND(MOD($E167-$D167,1)*24,2))</f>
        <v/>
      </c>
      <c r="G167" s="16" t="n"/>
      <c r="H167" s="17">
        <f>IF($G167="","",IFERROR(_xlfn.XLOOKUP($G167,nrCHname,nrCHnum),IFERROR(_xlfn.XLOOKUP($G167,nrSUBname,nrSUBparent),"")))</f>
        <v/>
      </c>
      <c r="I167" s="16" t="n"/>
      <c r="J167" s="16" t="n"/>
      <c r="K167" s="17">
        <f>IF($B167="","",IFERROR(_xlfn.XLOOKUP($B167,nrCDdate,nrCDweek),""))</f>
        <v/>
      </c>
      <c r="L167" s="17">
        <f>IF($B167="","",IFERROR(_xlfn.XLOOKUP($B167,nrCDdate,nrCDnum),""))</f>
        <v/>
      </c>
      <c r="M167" s="16" t="n"/>
      <c r="N167" s="17">
        <f>IF(OR($B167="",$I167=""),"",_xlfn.LET(_xlpm.a,$I167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67" s="17">
        <f>IF(OR($B167="",$D167="",$E167=""),"",IF($E167=$D167,"CHECK TIMES (start = end)",IF($F167&gt;12,"CHECK TIMES (End is before Start?)","OK")))</f>
        <v/>
      </c>
      <c r="P167" s="17">
        <f>IF(OR($B167="",$I167=""),"",IF(IFERROR(MATCH($G167,nrBankTopics,0),0)=0,"OK",IF(COUNTA(INDEX(nrBankGrid,IFERROR(MATCH($G167,nrBankTopics,0),1),0))=0,"OK",IF(SUMPRODUCT((nrInstrNames&lt;&gt;"")*ISNUMBER(SEARCH(nrInstrNames,$I167))*(COUNTIF(INDEX(nrBankGrid,IFERROR(MATCH($G167,nrBankTopics,0),1),0),nrInstrNames)&gt;0))&lt;SUMPRODUCT((nrInstrNames&lt;&gt;"")*ISNUMBER(SEARCH(nrInstrNames,$I167))),"NOT IN BANK","OK"))))</f>
        <v/>
      </c>
    </row>
    <row r="168">
      <c r="B168" s="18" t="n"/>
      <c r="C168" s="17">
        <f>IF($B168="","",TEXT($B168,"ddd"))</f>
        <v/>
      </c>
      <c r="D168" s="41" t="n"/>
      <c r="E168" s="41" t="n"/>
      <c r="F168" s="17">
        <f>IF(OR($B168="",$D168="",$E168=""),"",ROUND(MOD($E168-$D168,1)*24,2))</f>
        <v/>
      </c>
      <c r="G168" s="16" t="n"/>
      <c r="H168" s="17">
        <f>IF($G168="","",IFERROR(_xlfn.XLOOKUP($G168,nrCHname,nrCHnum),IFERROR(_xlfn.XLOOKUP($G168,nrSUBname,nrSUBparent),"")))</f>
        <v/>
      </c>
      <c r="I168" s="16" t="n"/>
      <c r="J168" s="16" t="n"/>
      <c r="K168" s="17">
        <f>IF($B168="","",IFERROR(_xlfn.XLOOKUP($B168,nrCDdate,nrCDweek),""))</f>
        <v/>
      </c>
      <c r="L168" s="17">
        <f>IF($B168="","",IFERROR(_xlfn.XLOOKUP($B168,nrCDdate,nrCDnum),""))</f>
        <v/>
      </c>
      <c r="M168" s="16" t="n"/>
      <c r="N168" s="17">
        <f>IF(OR($B168="",$I168=""),"",_xlfn.LET(_xlpm.a,$I168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68" s="17">
        <f>IF(OR($B168="",$D168="",$E168=""),"",IF($E168=$D168,"CHECK TIMES (start = end)",IF($F168&gt;12,"CHECK TIMES (End is before Start?)","OK")))</f>
        <v/>
      </c>
      <c r="P168" s="17">
        <f>IF(OR($B168="",$I168=""),"",IF(IFERROR(MATCH($G168,nrBankTopics,0),0)=0,"OK",IF(COUNTA(INDEX(nrBankGrid,IFERROR(MATCH($G168,nrBankTopics,0),1),0))=0,"OK",IF(SUMPRODUCT((nrInstrNames&lt;&gt;"")*ISNUMBER(SEARCH(nrInstrNames,$I168))*(COUNTIF(INDEX(nrBankGrid,IFERROR(MATCH($G168,nrBankTopics,0),1),0),nrInstrNames)&gt;0))&lt;SUMPRODUCT((nrInstrNames&lt;&gt;"")*ISNUMBER(SEARCH(nrInstrNames,$I168))),"NOT IN BANK","OK"))))</f>
        <v/>
      </c>
    </row>
    <row r="169">
      <c r="B169" s="18" t="n"/>
      <c r="C169" s="17">
        <f>IF($B169="","",TEXT($B169,"ddd"))</f>
        <v/>
      </c>
      <c r="D169" s="41" t="n"/>
      <c r="E169" s="41" t="n"/>
      <c r="F169" s="17">
        <f>IF(OR($B169="",$D169="",$E169=""),"",ROUND(MOD($E169-$D169,1)*24,2))</f>
        <v/>
      </c>
      <c r="G169" s="16" t="n"/>
      <c r="H169" s="17">
        <f>IF($G169="","",IFERROR(_xlfn.XLOOKUP($G169,nrCHname,nrCHnum),IFERROR(_xlfn.XLOOKUP($G169,nrSUBname,nrSUBparent),"")))</f>
        <v/>
      </c>
      <c r="I169" s="16" t="n"/>
      <c r="J169" s="16" t="n"/>
      <c r="K169" s="17">
        <f>IF($B169="","",IFERROR(_xlfn.XLOOKUP($B169,nrCDdate,nrCDweek),""))</f>
        <v/>
      </c>
      <c r="L169" s="17">
        <f>IF($B169="","",IFERROR(_xlfn.XLOOKUP($B169,nrCDdate,nrCDnum),""))</f>
        <v/>
      </c>
      <c r="M169" s="16" t="n"/>
      <c r="N169" s="17">
        <f>IF(OR($B169="",$I169=""),"",_xlfn.LET(_xlpm.a,$I169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69" s="17">
        <f>IF(OR($B169="",$D169="",$E169=""),"",IF($E169=$D169,"CHECK TIMES (start = end)",IF($F169&gt;12,"CHECK TIMES (End is before Start?)","OK")))</f>
        <v/>
      </c>
      <c r="P169" s="17">
        <f>IF(OR($B169="",$I169=""),"",IF(IFERROR(MATCH($G169,nrBankTopics,0),0)=0,"OK",IF(COUNTA(INDEX(nrBankGrid,IFERROR(MATCH($G169,nrBankTopics,0),1),0))=0,"OK",IF(SUMPRODUCT((nrInstrNames&lt;&gt;"")*ISNUMBER(SEARCH(nrInstrNames,$I169))*(COUNTIF(INDEX(nrBankGrid,IFERROR(MATCH($G169,nrBankTopics,0),1),0),nrInstrNames)&gt;0))&lt;SUMPRODUCT((nrInstrNames&lt;&gt;"")*ISNUMBER(SEARCH(nrInstrNames,$I169))),"NOT IN BANK","OK"))))</f>
        <v/>
      </c>
    </row>
    <row r="170">
      <c r="B170" s="18" t="n"/>
      <c r="C170" s="17">
        <f>IF($B170="","",TEXT($B170,"ddd"))</f>
        <v/>
      </c>
      <c r="D170" s="41" t="n"/>
      <c r="E170" s="41" t="n"/>
      <c r="F170" s="17">
        <f>IF(OR($B170="",$D170="",$E170=""),"",ROUND(MOD($E170-$D170,1)*24,2))</f>
        <v/>
      </c>
      <c r="G170" s="16" t="n"/>
      <c r="H170" s="17">
        <f>IF($G170="","",IFERROR(_xlfn.XLOOKUP($G170,nrCHname,nrCHnum),IFERROR(_xlfn.XLOOKUP($G170,nrSUBname,nrSUBparent),"")))</f>
        <v/>
      </c>
      <c r="I170" s="16" t="n"/>
      <c r="J170" s="16" t="n"/>
      <c r="K170" s="17">
        <f>IF($B170="","",IFERROR(_xlfn.XLOOKUP($B170,nrCDdate,nrCDweek),""))</f>
        <v/>
      </c>
      <c r="L170" s="17">
        <f>IF($B170="","",IFERROR(_xlfn.XLOOKUP($B170,nrCDdate,nrCDnum),""))</f>
        <v/>
      </c>
      <c r="M170" s="16" t="n"/>
      <c r="N170" s="17">
        <f>IF(OR($B170="",$I170=""),"",_xlfn.LET(_xlpm.a,$I170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70" s="17">
        <f>IF(OR($B170="",$D170="",$E170=""),"",IF($E170=$D170,"CHECK TIMES (start = end)",IF($F170&gt;12,"CHECK TIMES (End is before Start?)","OK")))</f>
        <v/>
      </c>
      <c r="P170" s="17">
        <f>IF(OR($B170="",$I170=""),"",IF(IFERROR(MATCH($G170,nrBankTopics,0),0)=0,"OK",IF(COUNTA(INDEX(nrBankGrid,IFERROR(MATCH($G170,nrBankTopics,0),1),0))=0,"OK",IF(SUMPRODUCT((nrInstrNames&lt;&gt;"")*ISNUMBER(SEARCH(nrInstrNames,$I170))*(COUNTIF(INDEX(nrBankGrid,IFERROR(MATCH($G170,nrBankTopics,0),1),0),nrInstrNames)&gt;0))&lt;SUMPRODUCT((nrInstrNames&lt;&gt;"")*ISNUMBER(SEARCH(nrInstrNames,$I170))),"NOT IN BANK","OK"))))</f>
        <v/>
      </c>
    </row>
    <row r="171">
      <c r="B171" s="18" t="n"/>
      <c r="C171" s="17">
        <f>IF($B171="","",TEXT($B171,"ddd"))</f>
        <v/>
      </c>
      <c r="D171" s="41" t="n"/>
      <c r="E171" s="41" t="n"/>
      <c r="F171" s="17">
        <f>IF(OR($B171="",$D171="",$E171=""),"",ROUND(MOD($E171-$D171,1)*24,2))</f>
        <v/>
      </c>
      <c r="G171" s="16" t="n"/>
      <c r="H171" s="17">
        <f>IF($G171="","",IFERROR(_xlfn.XLOOKUP($G171,nrCHname,nrCHnum),IFERROR(_xlfn.XLOOKUP($G171,nrSUBname,nrSUBparent),"")))</f>
        <v/>
      </c>
      <c r="I171" s="16" t="n"/>
      <c r="J171" s="16" t="n"/>
      <c r="K171" s="17">
        <f>IF($B171="","",IFERROR(_xlfn.XLOOKUP($B171,nrCDdate,nrCDweek),""))</f>
        <v/>
      </c>
      <c r="L171" s="17">
        <f>IF($B171="","",IFERROR(_xlfn.XLOOKUP($B171,nrCDdate,nrCDnum),""))</f>
        <v/>
      </c>
      <c r="M171" s="16" t="n"/>
      <c r="N171" s="17">
        <f>IF(OR($B171="",$I171=""),"",_xlfn.LET(_xlpm.a,$I171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71" s="17">
        <f>IF(OR($B171="",$D171="",$E171=""),"",IF($E171=$D171,"CHECK TIMES (start = end)",IF($F171&gt;12,"CHECK TIMES (End is before Start?)","OK")))</f>
        <v/>
      </c>
      <c r="P171" s="17">
        <f>IF(OR($B171="",$I171=""),"",IF(IFERROR(MATCH($G171,nrBankTopics,0),0)=0,"OK",IF(COUNTA(INDEX(nrBankGrid,IFERROR(MATCH($G171,nrBankTopics,0),1),0))=0,"OK",IF(SUMPRODUCT((nrInstrNames&lt;&gt;"")*ISNUMBER(SEARCH(nrInstrNames,$I171))*(COUNTIF(INDEX(nrBankGrid,IFERROR(MATCH($G171,nrBankTopics,0),1),0),nrInstrNames)&gt;0))&lt;SUMPRODUCT((nrInstrNames&lt;&gt;"")*ISNUMBER(SEARCH(nrInstrNames,$I171))),"NOT IN BANK","OK"))))</f>
        <v/>
      </c>
    </row>
    <row r="172">
      <c r="B172" s="18" t="n"/>
      <c r="C172" s="17">
        <f>IF($B172="","",TEXT($B172,"ddd"))</f>
        <v/>
      </c>
      <c r="D172" s="41" t="n"/>
      <c r="E172" s="41" t="n"/>
      <c r="F172" s="17">
        <f>IF(OR($B172="",$D172="",$E172=""),"",ROUND(MOD($E172-$D172,1)*24,2))</f>
        <v/>
      </c>
      <c r="G172" s="16" t="n"/>
      <c r="H172" s="17">
        <f>IF($G172="","",IFERROR(_xlfn.XLOOKUP($G172,nrCHname,nrCHnum),IFERROR(_xlfn.XLOOKUP($G172,nrSUBname,nrSUBparent),"")))</f>
        <v/>
      </c>
      <c r="I172" s="16" t="n"/>
      <c r="J172" s="16" t="n"/>
      <c r="K172" s="17">
        <f>IF($B172="","",IFERROR(_xlfn.XLOOKUP($B172,nrCDdate,nrCDweek),""))</f>
        <v/>
      </c>
      <c r="L172" s="17">
        <f>IF($B172="","",IFERROR(_xlfn.XLOOKUP($B172,nrCDdate,nrCDnum),""))</f>
        <v/>
      </c>
      <c r="M172" s="16" t="n"/>
      <c r="N172" s="17">
        <f>IF(OR($B172="",$I172=""),"",_xlfn.LET(_xlpm.a,$I172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72" s="17">
        <f>IF(OR($B172="",$D172="",$E172=""),"",IF($E172=$D172,"CHECK TIMES (start = end)",IF($F172&gt;12,"CHECK TIMES (End is before Start?)","OK")))</f>
        <v/>
      </c>
      <c r="P172" s="17">
        <f>IF(OR($B172="",$I172=""),"",IF(IFERROR(MATCH($G172,nrBankTopics,0),0)=0,"OK",IF(COUNTA(INDEX(nrBankGrid,IFERROR(MATCH($G172,nrBankTopics,0),1),0))=0,"OK",IF(SUMPRODUCT((nrInstrNames&lt;&gt;"")*ISNUMBER(SEARCH(nrInstrNames,$I172))*(COUNTIF(INDEX(nrBankGrid,IFERROR(MATCH($G172,nrBankTopics,0),1),0),nrInstrNames)&gt;0))&lt;SUMPRODUCT((nrInstrNames&lt;&gt;"")*ISNUMBER(SEARCH(nrInstrNames,$I172))),"NOT IN BANK","OK"))))</f>
        <v/>
      </c>
    </row>
    <row r="173">
      <c r="B173" s="18" t="n"/>
      <c r="C173" s="17">
        <f>IF($B173="","",TEXT($B173,"ddd"))</f>
        <v/>
      </c>
      <c r="D173" s="41" t="n"/>
      <c r="E173" s="41" t="n"/>
      <c r="F173" s="17">
        <f>IF(OR($B173="",$D173="",$E173=""),"",ROUND(MOD($E173-$D173,1)*24,2))</f>
        <v/>
      </c>
      <c r="G173" s="16" t="n"/>
      <c r="H173" s="17">
        <f>IF($G173="","",IFERROR(_xlfn.XLOOKUP($G173,nrCHname,nrCHnum),IFERROR(_xlfn.XLOOKUP($G173,nrSUBname,nrSUBparent),"")))</f>
        <v/>
      </c>
      <c r="I173" s="16" t="n"/>
      <c r="J173" s="16" t="n"/>
      <c r="K173" s="17">
        <f>IF($B173="","",IFERROR(_xlfn.XLOOKUP($B173,nrCDdate,nrCDweek),""))</f>
        <v/>
      </c>
      <c r="L173" s="17">
        <f>IF($B173="","",IFERROR(_xlfn.XLOOKUP($B173,nrCDdate,nrCDnum),""))</f>
        <v/>
      </c>
      <c r="M173" s="16" t="n"/>
      <c r="N173" s="17">
        <f>IF(OR($B173="",$I173=""),"",_xlfn.LET(_xlpm.a,$I173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73" s="17">
        <f>IF(OR($B173="",$D173="",$E173=""),"",IF($E173=$D173,"CHECK TIMES (start = end)",IF($F173&gt;12,"CHECK TIMES (End is before Start?)","OK")))</f>
        <v/>
      </c>
      <c r="P173" s="17">
        <f>IF(OR($B173="",$I173=""),"",IF(IFERROR(MATCH($G173,nrBankTopics,0),0)=0,"OK",IF(COUNTA(INDEX(nrBankGrid,IFERROR(MATCH($G173,nrBankTopics,0),1),0))=0,"OK",IF(SUMPRODUCT((nrInstrNames&lt;&gt;"")*ISNUMBER(SEARCH(nrInstrNames,$I173))*(COUNTIF(INDEX(nrBankGrid,IFERROR(MATCH($G173,nrBankTopics,0),1),0),nrInstrNames)&gt;0))&lt;SUMPRODUCT((nrInstrNames&lt;&gt;"")*ISNUMBER(SEARCH(nrInstrNames,$I173))),"NOT IN BANK","OK"))))</f>
        <v/>
      </c>
    </row>
    <row r="174">
      <c r="B174" s="18" t="n"/>
      <c r="C174" s="17">
        <f>IF($B174="","",TEXT($B174,"ddd"))</f>
        <v/>
      </c>
      <c r="D174" s="41" t="n"/>
      <c r="E174" s="41" t="n"/>
      <c r="F174" s="17">
        <f>IF(OR($B174="",$D174="",$E174=""),"",ROUND(MOD($E174-$D174,1)*24,2))</f>
        <v/>
      </c>
      <c r="G174" s="16" t="n"/>
      <c r="H174" s="17">
        <f>IF($G174="","",IFERROR(_xlfn.XLOOKUP($G174,nrCHname,nrCHnum),IFERROR(_xlfn.XLOOKUP($G174,nrSUBname,nrSUBparent),"")))</f>
        <v/>
      </c>
      <c r="I174" s="16" t="n"/>
      <c r="J174" s="16" t="n"/>
      <c r="K174" s="17">
        <f>IF($B174="","",IFERROR(_xlfn.XLOOKUP($B174,nrCDdate,nrCDweek),""))</f>
        <v/>
      </c>
      <c r="L174" s="17">
        <f>IF($B174="","",IFERROR(_xlfn.XLOOKUP($B174,nrCDdate,nrCDnum),""))</f>
        <v/>
      </c>
      <c r="M174" s="16" t="n"/>
      <c r="N174" s="17">
        <f>IF(OR($B174="",$I174=""),"",_xlfn.LET(_xlpm.a,$I174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74" s="17">
        <f>IF(OR($B174="",$D174="",$E174=""),"",IF($E174=$D174,"CHECK TIMES (start = end)",IF($F174&gt;12,"CHECK TIMES (End is before Start?)","OK")))</f>
        <v/>
      </c>
      <c r="P174" s="17">
        <f>IF(OR($B174="",$I174=""),"",IF(IFERROR(MATCH($G174,nrBankTopics,0),0)=0,"OK",IF(COUNTA(INDEX(nrBankGrid,IFERROR(MATCH($G174,nrBankTopics,0),1),0))=0,"OK",IF(SUMPRODUCT((nrInstrNames&lt;&gt;"")*ISNUMBER(SEARCH(nrInstrNames,$I174))*(COUNTIF(INDEX(nrBankGrid,IFERROR(MATCH($G174,nrBankTopics,0),1),0),nrInstrNames)&gt;0))&lt;SUMPRODUCT((nrInstrNames&lt;&gt;"")*ISNUMBER(SEARCH(nrInstrNames,$I174))),"NOT IN BANK","OK"))))</f>
        <v/>
      </c>
    </row>
    <row r="175">
      <c r="B175" s="18" t="n"/>
      <c r="C175" s="17">
        <f>IF($B175="","",TEXT($B175,"ddd"))</f>
        <v/>
      </c>
      <c r="D175" s="41" t="n"/>
      <c r="E175" s="41" t="n"/>
      <c r="F175" s="17">
        <f>IF(OR($B175="",$D175="",$E175=""),"",ROUND(MOD($E175-$D175,1)*24,2))</f>
        <v/>
      </c>
      <c r="G175" s="16" t="n"/>
      <c r="H175" s="17">
        <f>IF($G175="","",IFERROR(_xlfn.XLOOKUP($G175,nrCHname,nrCHnum),IFERROR(_xlfn.XLOOKUP($G175,nrSUBname,nrSUBparent),"")))</f>
        <v/>
      </c>
      <c r="I175" s="16" t="n"/>
      <c r="J175" s="16" t="n"/>
      <c r="K175" s="17">
        <f>IF($B175="","",IFERROR(_xlfn.XLOOKUP($B175,nrCDdate,nrCDweek),""))</f>
        <v/>
      </c>
      <c r="L175" s="17">
        <f>IF($B175="","",IFERROR(_xlfn.XLOOKUP($B175,nrCDdate,nrCDnum),""))</f>
        <v/>
      </c>
      <c r="M175" s="16" t="n"/>
      <c r="N175" s="17">
        <f>IF(OR($B175="",$I175=""),"",_xlfn.LET(_xlpm.a,$I175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75" s="17">
        <f>IF(OR($B175="",$D175="",$E175=""),"",IF($E175=$D175,"CHECK TIMES (start = end)",IF($F175&gt;12,"CHECK TIMES (End is before Start?)","OK")))</f>
        <v/>
      </c>
      <c r="P175" s="17">
        <f>IF(OR($B175="",$I175=""),"",IF(IFERROR(MATCH($G175,nrBankTopics,0),0)=0,"OK",IF(COUNTA(INDEX(nrBankGrid,IFERROR(MATCH($G175,nrBankTopics,0),1),0))=0,"OK",IF(SUMPRODUCT((nrInstrNames&lt;&gt;"")*ISNUMBER(SEARCH(nrInstrNames,$I175))*(COUNTIF(INDEX(nrBankGrid,IFERROR(MATCH($G175,nrBankTopics,0),1),0),nrInstrNames)&gt;0))&lt;SUMPRODUCT((nrInstrNames&lt;&gt;"")*ISNUMBER(SEARCH(nrInstrNames,$I175))),"NOT IN BANK","OK"))))</f>
        <v/>
      </c>
    </row>
    <row r="176">
      <c r="B176" s="18" t="n"/>
      <c r="C176" s="17">
        <f>IF($B176="","",TEXT($B176,"ddd"))</f>
        <v/>
      </c>
      <c r="D176" s="41" t="n"/>
      <c r="E176" s="41" t="n"/>
      <c r="F176" s="17">
        <f>IF(OR($B176="",$D176="",$E176=""),"",ROUND(MOD($E176-$D176,1)*24,2))</f>
        <v/>
      </c>
      <c r="G176" s="16" t="n"/>
      <c r="H176" s="17">
        <f>IF($G176="","",IFERROR(_xlfn.XLOOKUP($G176,nrCHname,nrCHnum),IFERROR(_xlfn.XLOOKUP($G176,nrSUBname,nrSUBparent),"")))</f>
        <v/>
      </c>
      <c r="I176" s="16" t="n"/>
      <c r="J176" s="16" t="n"/>
      <c r="K176" s="17">
        <f>IF($B176="","",IFERROR(_xlfn.XLOOKUP($B176,nrCDdate,nrCDweek),""))</f>
        <v/>
      </c>
      <c r="L176" s="17">
        <f>IF($B176="","",IFERROR(_xlfn.XLOOKUP($B176,nrCDdate,nrCDnum),""))</f>
        <v/>
      </c>
      <c r="M176" s="16" t="n"/>
      <c r="N176" s="17">
        <f>IF(OR($B176="",$I176=""),"",_xlfn.LET(_xlpm.a,$I176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76" s="17">
        <f>IF(OR($B176="",$D176="",$E176=""),"",IF($E176=$D176,"CHECK TIMES (start = end)",IF($F176&gt;12,"CHECK TIMES (End is before Start?)","OK")))</f>
        <v/>
      </c>
      <c r="P176" s="17">
        <f>IF(OR($B176="",$I176=""),"",IF(IFERROR(MATCH($G176,nrBankTopics,0),0)=0,"OK",IF(COUNTA(INDEX(nrBankGrid,IFERROR(MATCH($G176,nrBankTopics,0),1),0))=0,"OK",IF(SUMPRODUCT((nrInstrNames&lt;&gt;"")*ISNUMBER(SEARCH(nrInstrNames,$I176))*(COUNTIF(INDEX(nrBankGrid,IFERROR(MATCH($G176,nrBankTopics,0),1),0),nrInstrNames)&gt;0))&lt;SUMPRODUCT((nrInstrNames&lt;&gt;"")*ISNUMBER(SEARCH(nrInstrNames,$I176))),"NOT IN BANK","OK"))))</f>
        <v/>
      </c>
    </row>
    <row r="177">
      <c r="B177" s="18" t="n"/>
      <c r="C177" s="17">
        <f>IF($B177="","",TEXT($B177,"ddd"))</f>
        <v/>
      </c>
      <c r="D177" s="41" t="n"/>
      <c r="E177" s="41" t="n"/>
      <c r="F177" s="17">
        <f>IF(OR($B177="",$D177="",$E177=""),"",ROUND(MOD($E177-$D177,1)*24,2))</f>
        <v/>
      </c>
      <c r="G177" s="16" t="n"/>
      <c r="H177" s="17">
        <f>IF($G177="","",IFERROR(_xlfn.XLOOKUP($G177,nrCHname,nrCHnum),IFERROR(_xlfn.XLOOKUP($G177,nrSUBname,nrSUBparent),"")))</f>
        <v/>
      </c>
      <c r="I177" s="16" t="n"/>
      <c r="J177" s="16" t="n"/>
      <c r="K177" s="17">
        <f>IF($B177="","",IFERROR(_xlfn.XLOOKUP($B177,nrCDdate,nrCDweek),""))</f>
        <v/>
      </c>
      <c r="L177" s="17">
        <f>IF($B177="","",IFERROR(_xlfn.XLOOKUP($B177,nrCDdate,nrCDnum),""))</f>
        <v/>
      </c>
      <c r="M177" s="16" t="n"/>
      <c r="N177" s="17">
        <f>IF(OR($B177="",$I177=""),"",_xlfn.LET(_xlpm.a,$I177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77" s="17">
        <f>IF(OR($B177="",$D177="",$E177=""),"",IF($E177=$D177,"CHECK TIMES (start = end)",IF($F177&gt;12,"CHECK TIMES (End is before Start?)","OK")))</f>
        <v/>
      </c>
      <c r="P177" s="17">
        <f>IF(OR($B177="",$I177=""),"",IF(IFERROR(MATCH($G177,nrBankTopics,0),0)=0,"OK",IF(COUNTA(INDEX(nrBankGrid,IFERROR(MATCH($G177,nrBankTopics,0),1),0))=0,"OK",IF(SUMPRODUCT((nrInstrNames&lt;&gt;"")*ISNUMBER(SEARCH(nrInstrNames,$I177))*(COUNTIF(INDEX(nrBankGrid,IFERROR(MATCH($G177,nrBankTopics,0),1),0),nrInstrNames)&gt;0))&lt;SUMPRODUCT((nrInstrNames&lt;&gt;"")*ISNUMBER(SEARCH(nrInstrNames,$I177))),"NOT IN BANK","OK"))))</f>
        <v/>
      </c>
    </row>
    <row r="178">
      <c r="B178" s="18" t="n"/>
      <c r="C178" s="17">
        <f>IF($B178="","",TEXT($B178,"ddd"))</f>
        <v/>
      </c>
      <c r="D178" s="41" t="n"/>
      <c r="E178" s="41" t="n"/>
      <c r="F178" s="17">
        <f>IF(OR($B178="",$D178="",$E178=""),"",ROUND(MOD($E178-$D178,1)*24,2))</f>
        <v/>
      </c>
      <c r="G178" s="16" t="n"/>
      <c r="H178" s="17">
        <f>IF($G178="","",IFERROR(_xlfn.XLOOKUP($G178,nrCHname,nrCHnum),IFERROR(_xlfn.XLOOKUP($G178,nrSUBname,nrSUBparent),"")))</f>
        <v/>
      </c>
      <c r="I178" s="16" t="n"/>
      <c r="J178" s="16" t="n"/>
      <c r="K178" s="17">
        <f>IF($B178="","",IFERROR(_xlfn.XLOOKUP($B178,nrCDdate,nrCDweek),""))</f>
        <v/>
      </c>
      <c r="L178" s="17">
        <f>IF($B178="","",IFERROR(_xlfn.XLOOKUP($B178,nrCDdate,nrCDnum),""))</f>
        <v/>
      </c>
      <c r="M178" s="16" t="n"/>
      <c r="N178" s="17">
        <f>IF(OR($B178="",$I178=""),"",_xlfn.LET(_xlpm.a,$I178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78" s="17">
        <f>IF(OR($B178="",$D178="",$E178=""),"",IF($E178=$D178,"CHECK TIMES (start = end)",IF($F178&gt;12,"CHECK TIMES (End is before Start?)","OK")))</f>
        <v/>
      </c>
      <c r="P178" s="17">
        <f>IF(OR($B178="",$I178=""),"",IF(IFERROR(MATCH($G178,nrBankTopics,0),0)=0,"OK",IF(COUNTA(INDEX(nrBankGrid,IFERROR(MATCH($G178,nrBankTopics,0),1),0))=0,"OK",IF(SUMPRODUCT((nrInstrNames&lt;&gt;"")*ISNUMBER(SEARCH(nrInstrNames,$I178))*(COUNTIF(INDEX(nrBankGrid,IFERROR(MATCH($G178,nrBankTopics,0),1),0),nrInstrNames)&gt;0))&lt;SUMPRODUCT((nrInstrNames&lt;&gt;"")*ISNUMBER(SEARCH(nrInstrNames,$I178))),"NOT IN BANK","OK"))))</f>
        <v/>
      </c>
    </row>
    <row r="179">
      <c r="B179" s="18" t="n"/>
      <c r="C179" s="17">
        <f>IF($B179="","",TEXT($B179,"ddd"))</f>
        <v/>
      </c>
      <c r="D179" s="41" t="n"/>
      <c r="E179" s="41" t="n"/>
      <c r="F179" s="17">
        <f>IF(OR($B179="",$D179="",$E179=""),"",ROUND(MOD($E179-$D179,1)*24,2))</f>
        <v/>
      </c>
      <c r="G179" s="16" t="n"/>
      <c r="H179" s="17">
        <f>IF($G179="","",IFERROR(_xlfn.XLOOKUP($G179,nrCHname,nrCHnum),IFERROR(_xlfn.XLOOKUP($G179,nrSUBname,nrSUBparent),"")))</f>
        <v/>
      </c>
      <c r="I179" s="16" t="n"/>
      <c r="J179" s="16" t="n"/>
      <c r="K179" s="17">
        <f>IF($B179="","",IFERROR(_xlfn.XLOOKUP($B179,nrCDdate,nrCDweek),""))</f>
        <v/>
      </c>
      <c r="L179" s="17">
        <f>IF($B179="","",IFERROR(_xlfn.XLOOKUP($B179,nrCDdate,nrCDnum),""))</f>
        <v/>
      </c>
      <c r="M179" s="16" t="n"/>
      <c r="N179" s="17">
        <f>IF(OR($B179="",$I179=""),"",_xlfn.LET(_xlpm.a,$I179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79" s="17">
        <f>IF(OR($B179="",$D179="",$E179=""),"",IF($E179=$D179,"CHECK TIMES (start = end)",IF($F179&gt;12,"CHECK TIMES (End is before Start?)","OK")))</f>
        <v/>
      </c>
      <c r="P179" s="17">
        <f>IF(OR($B179="",$I179=""),"",IF(IFERROR(MATCH($G179,nrBankTopics,0),0)=0,"OK",IF(COUNTA(INDEX(nrBankGrid,IFERROR(MATCH($G179,nrBankTopics,0),1),0))=0,"OK",IF(SUMPRODUCT((nrInstrNames&lt;&gt;"")*ISNUMBER(SEARCH(nrInstrNames,$I179))*(COUNTIF(INDEX(nrBankGrid,IFERROR(MATCH($G179,nrBankTopics,0),1),0),nrInstrNames)&gt;0))&lt;SUMPRODUCT((nrInstrNames&lt;&gt;"")*ISNUMBER(SEARCH(nrInstrNames,$I179))),"NOT IN BANK","OK"))))</f>
        <v/>
      </c>
    </row>
    <row r="180">
      <c r="B180" s="18" t="n"/>
      <c r="C180" s="17">
        <f>IF($B180="","",TEXT($B180,"ddd"))</f>
        <v/>
      </c>
      <c r="D180" s="41" t="n"/>
      <c r="E180" s="41" t="n"/>
      <c r="F180" s="17">
        <f>IF(OR($B180="",$D180="",$E180=""),"",ROUND(MOD($E180-$D180,1)*24,2))</f>
        <v/>
      </c>
      <c r="G180" s="16" t="n"/>
      <c r="H180" s="17">
        <f>IF($G180="","",IFERROR(_xlfn.XLOOKUP($G180,nrCHname,nrCHnum),IFERROR(_xlfn.XLOOKUP($G180,nrSUBname,nrSUBparent),"")))</f>
        <v/>
      </c>
      <c r="I180" s="16" t="n"/>
      <c r="J180" s="16" t="n"/>
      <c r="K180" s="17">
        <f>IF($B180="","",IFERROR(_xlfn.XLOOKUP($B180,nrCDdate,nrCDweek),""))</f>
        <v/>
      </c>
      <c r="L180" s="17">
        <f>IF($B180="","",IFERROR(_xlfn.XLOOKUP($B180,nrCDdate,nrCDnum),""))</f>
        <v/>
      </c>
      <c r="M180" s="16" t="n"/>
      <c r="N180" s="17">
        <f>IF(OR($B180="",$I180=""),"",_xlfn.LET(_xlpm.a,$I180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80" s="17">
        <f>IF(OR($B180="",$D180="",$E180=""),"",IF($E180=$D180,"CHECK TIMES (start = end)",IF($F180&gt;12,"CHECK TIMES (End is before Start?)","OK")))</f>
        <v/>
      </c>
      <c r="P180" s="17">
        <f>IF(OR($B180="",$I180=""),"",IF(IFERROR(MATCH($G180,nrBankTopics,0),0)=0,"OK",IF(COUNTA(INDEX(nrBankGrid,IFERROR(MATCH($G180,nrBankTopics,0),1),0))=0,"OK",IF(SUMPRODUCT((nrInstrNames&lt;&gt;"")*ISNUMBER(SEARCH(nrInstrNames,$I180))*(COUNTIF(INDEX(nrBankGrid,IFERROR(MATCH($G180,nrBankTopics,0),1),0),nrInstrNames)&gt;0))&lt;SUMPRODUCT((nrInstrNames&lt;&gt;"")*ISNUMBER(SEARCH(nrInstrNames,$I180))),"NOT IN BANK","OK"))))</f>
        <v/>
      </c>
    </row>
    <row r="181">
      <c r="B181" s="18" t="n"/>
      <c r="C181" s="17">
        <f>IF($B181="","",TEXT($B181,"ddd"))</f>
        <v/>
      </c>
      <c r="D181" s="41" t="n"/>
      <c r="E181" s="41" t="n"/>
      <c r="F181" s="17">
        <f>IF(OR($B181="",$D181="",$E181=""),"",ROUND(MOD($E181-$D181,1)*24,2))</f>
        <v/>
      </c>
      <c r="G181" s="16" t="n"/>
      <c r="H181" s="17">
        <f>IF($G181="","",IFERROR(_xlfn.XLOOKUP($G181,nrCHname,nrCHnum),IFERROR(_xlfn.XLOOKUP($G181,nrSUBname,nrSUBparent),"")))</f>
        <v/>
      </c>
      <c r="I181" s="16" t="n"/>
      <c r="J181" s="16" t="n"/>
      <c r="K181" s="17">
        <f>IF($B181="","",IFERROR(_xlfn.XLOOKUP($B181,nrCDdate,nrCDweek),""))</f>
        <v/>
      </c>
      <c r="L181" s="17">
        <f>IF($B181="","",IFERROR(_xlfn.XLOOKUP($B181,nrCDdate,nrCDnum),""))</f>
        <v/>
      </c>
      <c r="M181" s="16" t="n"/>
      <c r="N181" s="17">
        <f>IF(OR($B181="",$I181=""),"",_xlfn.LET(_xlpm.a,$I181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81" s="17">
        <f>IF(OR($B181="",$D181="",$E181=""),"",IF($E181=$D181,"CHECK TIMES (start = end)",IF($F181&gt;12,"CHECK TIMES (End is before Start?)","OK")))</f>
        <v/>
      </c>
      <c r="P181" s="17">
        <f>IF(OR($B181="",$I181=""),"",IF(IFERROR(MATCH($G181,nrBankTopics,0),0)=0,"OK",IF(COUNTA(INDEX(nrBankGrid,IFERROR(MATCH($G181,nrBankTopics,0),1),0))=0,"OK",IF(SUMPRODUCT((nrInstrNames&lt;&gt;"")*ISNUMBER(SEARCH(nrInstrNames,$I181))*(COUNTIF(INDEX(nrBankGrid,IFERROR(MATCH($G181,nrBankTopics,0),1),0),nrInstrNames)&gt;0))&lt;SUMPRODUCT((nrInstrNames&lt;&gt;"")*ISNUMBER(SEARCH(nrInstrNames,$I181))),"NOT IN BANK","OK"))))</f>
        <v/>
      </c>
    </row>
    <row r="182">
      <c r="B182" s="18" t="n"/>
      <c r="C182" s="17">
        <f>IF($B182="","",TEXT($B182,"ddd"))</f>
        <v/>
      </c>
      <c r="D182" s="41" t="n"/>
      <c r="E182" s="41" t="n"/>
      <c r="F182" s="17">
        <f>IF(OR($B182="",$D182="",$E182=""),"",ROUND(MOD($E182-$D182,1)*24,2))</f>
        <v/>
      </c>
      <c r="G182" s="16" t="n"/>
      <c r="H182" s="17">
        <f>IF($G182="","",IFERROR(_xlfn.XLOOKUP($G182,nrCHname,nrCHnum),IFERROR(_xlfn.XLOOKUP($G182,nrSUBname,nrSUBparent),"")))</f>
        <v/>
      </c>
      <c r="I182" s="16" t="n"/>
      <c r="J182" s="16" t="n"/>
      <c r="K182" s="17">
        <f>IF($B182="","",IFERROR(_xlfn.XLOOKUP($B182,nrCDdate,nrCDweek),""))</f>
        <v/>
      </c>
      <c r="L182" s="17">
        <f>IF($B182="","",IFERROR(_xlfn.XLOOKUP($B182,nrCDdate,nrCDnum),""))</f>
        <v/>
      </c>
      <c r="M182" s="16" t="n"/>
      <c r="N182" s="17">
        <f>IF(OR($B182="",$I182=""),"",_xlfn.LET(_xlpm.a,$I182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82" s="17">
        <f>IF(OR($B182="",$D182="",$E182=""),"",IF($E182=$D182,"CHECK TIMES (start = end)",IF($F182&gt;12,"CHECK TIMES (End is before Start?)","OK")))</f>
        <v/>
      </c>
      <c r="P182" s="17">
        <f>IF(OR($B182="",$I182=""),"",IF(IFERROR(MATCH($G182,nrBankTopics,0),0)=0,"OK",IF(COUNTA(INDEX(nrBankGrid,IFERROR(MATCH($G182,nrBankTopics,0),1),0))=0,"OK",IF(SUMPRODUCT((nrInstrNames&lt;&gt;"")*ISNUMBER(SEARCH(nrInstrNames,$I182))*(COUNTIF(INDEX(nrBankGrid,IFERROR(MATCH($G182,nrBankTopics,0),1),0),nrInstrNames)&gt;0))&lt;SUMPRODUCT((nrInstrNames&lt;&gt;"")*ISNUMBER(SEARCH(nrInstrNames,$I182))),"NOT IN BANK","OK"))))</f>
        <v/>
      </c>
    </row>
    <row r="183">
      <c r="B183" s="18" t="n"/>
      <c r="C183" s="17">
        <f>IF($B183="","",TEXT($B183,"ddd"))</f>
        <v/>
      </c>
      <c r="D183" s="41" t="n"/>
      <c r="E183" s="41" t="n"/>
      <c r="F183" s="17">
        <f>IF(OR($B183="",$D183="",$E183=""),"",ROUND(MOD($E183-$D183,1)*24,2))</f>
        <v/>
      </c>
      <c r="G183" s="16" t="n"/>
      <c r="H183" s="17">
        <f>IF($G183="","",IFERROR(_xlfn.XLOOKUP($G183,nrCHname,nrCHnum),IFERROR(_xlfn.XLOOKUP($G183,nrSUBname,nrSUBparent),"")))</f>
        <v/>
      </c>
      <c r="I183" s="16" t="n"/>
      <c r="J183" s="16" t="n"/>
      <c r="K183" s="17">
        <f>IF($B183="","",IFERROR(_xlfn.XLOOKUP($B183,nrCDdate,nrCDweek),""))</f>
        <v/>
      </c>
      <c r="L183" s="17">
        <f>IF($B183="","",IFERROR(_xlfn.XLOOKUP($B183,nrCDdate,nrCDnum),""))</f>
        <v/>
      </c>
      <c r="M183" s="16" t="n"/>
      <c r="N183" s="17">
        <f>IF(OR($B183="",$I183=""),"",_xlfn.LET(_xlpm.a,$I183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83" s="17">
        <f>IF(OR($B183="",$D183="",$E183=""),"",IF($E183=$D183,"CHECK TIMES (start = end)",IF($F183&gt;12,"CHECK TIMES (End is before Start?)","OK")))</f>
        <v/>
      </c>
      <c r="P183" s="17">
        <f>IF(OR($B183="",$I183=""),"",IF(IFERROR(MATCH($G183,nrBankTopics,0),0)=0,"OK",IF(COUNTA(INDEX(nrBankGrid,IFERROR(MATCH($G183,nrBankTopics,0),1),0))=0,"OK",IF(SUMPRODUCT((nrInstrNames&lt;&gt;"")*ISNUMBER(SEARCH(nrInstrNames,$I183))*(COUNTIF(INDEX(nrBankGrid,IFERROR(MATCH($G183,nrBankTopics,0),1),0),nrInstrNames)&gt;0))&lt;SUMPRODUCT((nrInstrNames&lt;&gt;"")*ISNUMBER(SEARCH(nrInstrNames,$I183))),"NOT IN BANK","OK"))))</f>
        <v/>
      </c>
    </row>
    <row r="184">
      <c r="B184" s="18" t="n"/>
      <c r="C184" s="17">
        <f>IF($B184="","",TEXT($B184,"ddd"))</f>
        <v/>
      </c>
      <c r="D184" s="41" t="n"/>
      <c r="E184" s="41" t="n"/>
      <c r="F184" s="17">
        <f>IF(OR($B184="",$D184="",$E184=""),"",ROUND(MOD($E184-$D184,1)*24,2))</f>
        <v/>
      </c>
      <c r="G184" s="16" t="n"/>
      <c r="H184" s="17">
        <f>IF($G184="","",IFERROR(_xlfn.XLOOKUP($G184,nrCHname,nrCHnum),IFERROR(_xlfn.XLOOKUP($G184,nrSUBname,nrSUBparent),"")))</f>
        <v/>
      </c>
      <c r="I184" s="16" t="n"/>
      <c r="J184" s="16" t="n"/>
      <c r="K184" s="17">
        <f>IF($B184="","",IFERROR(_xlfn.XLOOKUP($B184,nrCDdate,nrCDweek),""))</f>
        <v/>
      </c>
      <c r="L184" s="17">
        <f>IF($B184="","",IFERROR(_xlfn.XLOOKUP($B184,nrCDdate,nrCDnum),""))</f>
        <v/>
      </c>
      <c r="M184" s="16" t="n"/>
      <c r="N184" s="17">
        <f>IF(OR($B184="",$I184=""),"",_xlfn.LET(_xlpm.a,$I184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84" s="17">
        <f>IF(OR($B184="",$D184="",$E184=""),"",IF($E184=$D184,"CHECK TIMES (start = end)",IF($F184&gt;12,"CHECK TIMES (End is before Start?)","OK")))</f>
        <v/>
      </c>
      <c r="P184" s="17">
        <f>IF(OR($B184="",$I184=""),"",IF(IFERROR(MATCH($G184,nrBankTopics,0),0)=0,"OK",IF(COUNTA(INDEX(nrBankGrid,IFERROR(MATCH($G184,nrBankTopics,0),1),0))=0,"OK",IF(SUMPRODUCT((nrInstrNames&lt;&gt;"")*ISNUMBER(SEARCH(nrInstrNames,$I184))*(COUNTIF(INDEX(nrBankGrid,IFERROR(MATCH($G184,nrBankTopics,0),1),0),nrInstrNames)&gt;0))&lt;SUMPRODUCT((nrInstrNames&lt;&gt;"")*ISNUMBER(SEARCH(nrInstrNames,$I184))),"NOT IN BANK","OK"))))</f>
        <v/>
      </c>
    </row>
    <row r="185">
      <c r="B185" s="18" t="n"/>
      <c r="C185" s="17">
        <f>IF($B185="","",TEXT($B185,"ddd"))</f>
        <v/>
      </c>
      <c r="D185" s="41" t="n"/>
      <c r="E185" s="41" t="n"/>
      <c r="F185" s="17">
        <f>IF(OR($B185="",$D185="",$E185=""),"",ROUND(MOD($E185-$D185,1)*24,2))</f>
        <v/>
      </c>
      <c r="G185" s="16" t="n"/>
      <c r="H185" s="17">
        <f>IF($G185="","",IFERROR(_xlfn.XLOOKUP($G185,nrCHname,nrCHnum),IFERROR(_xlfn.XLOOKUP($G185,nrSUBname,nrSUBparent),"")))</f>
        <v/>
      </c>
      <c r="I185" s="16" t="n"/>
      <c r="J185" s="16" t="n"/>
      <c r="K185" s="17">
        <f>IF($B185="","",IFERROR(_xlfn.XLOOKUP($B185,nrCDdate,nrCDweek),""))</f>
        <v/>
      </c>
      <c r="L185" s="17">
        <f>IF($B185="","",IFERROR(_xlfn.XLOOKUP($B185,nrCDdate,nrCDnum),""))</f>
        <v/>
      </c>
      <c r="M185" s="16" t="n"/>
      <c r="N185" s="17">
        <f>IF(OR($B185="",$I185=""),"",_xlfn.LET(_xlpm.a,$I185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85" s="17">
        <f>IF(OR($B185="",$D185="",$E185=""),"",IF($E185=$D185,"CHECK TIMES (start = end)",IF($F185&gt;12,"CHECK TIMES (End is before Start?)","OK")))</f>
        <v/>
      </c>
      <c r="P185" s="17">
        <f>IF(OR($B185="",$I185=""),"",IF(IFERROR(MATCH($G185,nrBankTopics,0),0)=0,"OK",IF(COUNTA(INDEX(nrBankGrid,IFERROR(MATCH($G185,nrBankTopics,0),1),0))=0,"OK",IF(SUMPRODUCT((nrInstrNames&lt;&gt;"")*ISNUMBER(SEARCH(nrInstrNames,$I185))*(COUNTIF(INDEX(nrBankGrid,IFERROR(MATCH($G185,nrBankTopics,0),1),0),nrInstrNames)&gt;0))&lt;SUMPRODUCT((nrInstrNames&lt;&gt;"")*ISNUMBER(SEARCH(nrInstrNames,$I185))),"NOT IN BANK","OK"))))</f>
        <v/>
      </c>
    </row>
    <row r="186">
      <c r="B186" s="18" t="n"/>
      <c r="C186" s="17">
        <f>IF($B186="","",TEXT($B186,"ddd"))</f>
        <v/>
      </c>
      <c r="D186" s="41" t="n"/>
      <c r="E186" s="41" t="n"/>
      <c r="F186" s="17">
        <f>IF(OR($B186="",$D186="",$E186=""),"",ROUND(MOD($E186-$D186,1)*24,2))</f>
        <v/>
      </c>
      <c r="G186" s="16" t="n"/>
      <c r="H186" s="17">
        <f>IF($G186="","",IFERROR(_xlfn.XLOOKUP($G186,nrCHname,nrCHnum),IFERROR(_xlfn.XLOOKUP($G186,nrSUBname,nrSUBparent),"")))</f>
        <v/>
      </c>
      <c r="I186" s="16" t="n"/>
      <c r="J186" s="16" t="n"/>
      <c r="K186" s="17">
        <f>IF($B186="","",IFERROR(_xlfn.XLOOKUP($B186,nrCDdate,nrCDweek),""))</f>
        <v/>
      </c>
      <c r="L186" s="17">
        <f>IF($B186="","",IFERROR(_xlfn.XLOOKUP($B186,nrCDdate,nrCDnum),""))</f>
        <v/>
      </c>
      <c r="M186" s="16" t="n"/>
      <c r="N186" s="17">
        <f>IF(OR($B186="",$I186=""),"",_xlfn.LET(_xlpm.a,$I186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86" s="17">
        <f>IF(OR($B186="",$D186="",$E186=""),"",IF($E186=$D186,"CHECK TIMES (start = end)",IF($F186&gt;12,"CHECK TIMES (End is before Start?)","OK")))</f>
        <v/>
      </c>
      <c r="P186" s="17">
        <f>IF(OR($B186="",$I186=""),"",IF(IFERROR(MATCH($G186,nrBankTopics,0),0)=0,"OK",IF(COUNTA(INDEX(nrBankGrid,IFERROR(MATCH($G186,nrBankTopics,0),1),0))=0,"OK",IF(SUMPRODUCT((nrInstrNames&lt;&gt;"")*ISNUMBER(SEARCH(nrInstrNames,$I186))*(COUNTIF(INDEX(nrBankGrid,IFERROR(MATCH($G186,nrBankTopics,0),1),0),nrInstrNames)&gt;0))&lt;SUMPRODUCT((nrInstrNames&lt;&gt;"")*ISNUMBER(SEARCH(nrInstrNames,$I186))),"NOT IN BANK","OK"))))</f>
        <v/>
      </c>
    </row>
    <row r="187">
      <c r="B187" s="18" t="n"/>
      <c r="C187" s="17">
        <f>IF($B187="","",TEXT($B187,"ddd"))</f>
        <v/>
      </c>
      <c r="D187" s="41" t="n"/>
      <c r="E187" s="41" t="n"/>
      <c r="F187" s="17">
        <f>IF(OR($B187="",$D187="",$E187=""),"",ROUND(MOD($E187-$D187,1)*24,2))</f>
        <v/>
      </c>
      <c r="G187" s="16" t="n"/>
      <c r="H187" s="17">
        <f>IF($G187="","",IFERROR(_xlfn.XLOOKUP($G187,nrCHname,nrCHnum),IFERROR(_xlfn.XLOOKUP($G187,nrSUBname,nrSUBparent),"")))</f>
        <v/>
      </c>
      <c r="I187" s="16" t="n"/>
      <c r="J187" s="16" t="n"/>
      <c r="K187" s="17">
        <f>IF($B187="","",IFERROR(_xlfn.XLOOKUP($B187,nrCDdate,nrCDweek),""))</f>
        <v/>
      </c>
      <c r="L187" s="17">
        <f>IF($B187="","",IFERROR(_xlfn.XLOOKUP($B187,nrCDdate,nrCDnum),""))</f>
        <v/>
      </c>
      <c r="M187" s="16" t="n"/>
      <c r="N187" s="17">
        <f>IF(OR($B187="",$I187=""),"",_xlfn.LET(_xlpm.a,$I187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87" s="17">
        <f>IF(OR($B187="",$D187="",$E187=""),"",IF($E187=$D187,"CHECK TIMES (start = end)",IF($F187&gt;12,"CHECK TIMES (End is before Start?)","OK")))</f>
        <v/>
      </c>
      <c r="P187" s="17">
        <f>IF(OR($B187="",$I187=""),"",IF(IFERROR(MATCH($G187,nrBankTopics,0),0)=0,"OK",IF(COUNTA(INDEX(nrBankGrid,IFERROR(MATCH($G187,nrBankTopics,0),1),0))=0,"OK",IF(SUMPRODUCT((nrInstrNames&lt;&gt;"")*ISNUMBER(SEARCH(nrInstrNames,$I187))*(COUNTIF(INDEX(nrBankGrid,IFERROR(MATCH($G187,nrBankTopics,0),1),0),nrInstrNames)&gt;0))&lt;SUMPRODUCT((nrInstrNames&lt;&gt;"")*ISNUMBER(SEARCH(nrInstrNames,$I187))),"NOT IN BANK","OK"))))</f>
        <v/>
      </c>
    </row>
    <row r="188">
      <c r="B188" s="18" t="n"/>
      <c r="C188" s="17">
        <f>IF($B188="","",TEXT($B188,"ddd"))</f>
        <v/>
      </c>
      <c r="D188" s="41" t="n"/>
      <c r="E188" s="41" t="n"/>
      <c r="F188" s="17">
        <f>IF(OR($B188="",$D188="",$E188=""),"",ROUND(MOD($E188-$D188,1)*24,2))</f>
        <v/>
      </c>
      <c r="G188" s="16" t="n"/>
      <c r="H188" s="17">
        <f>IF($G188="","",IFERROR(_xlfn.XLOOKUP($G188,nrCHname,nrCHnum),IFERROR(_xlfn.XLOOKUP($G188,nrSUBname,nrSUBparent),"")))</f>
        <v/>
      </c>
      <c r="I188" s="16" t="n"/>
      <c r="J188" s="16" t="n"/>
      <c r="K188" s="17">
        <f>IF($B188="","",IFERROR(_xlfn.XLOOKUP($B188,nrCDdate,nrCDweek),""))</f>
        <v/>
      </c>
      <c r="L188" s="17">
        <f>IF($B188="","",IFERROR(_xlfn.XLOOKUP($B188,nrCDdate,nrCDnum),""))</f>
        <v/>
      </c>
      <c r="M188" s="16" t="n"/>
      <c r="N188" s="17">
        <f>IF(OR($B188="",$I188=""),"",_xlfn.LET(_xlpm.a,$I188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88" s="17">
        <f>IF(OR($B188="",$D188="",$E188=""),"",IF($E188=$D188,"CHECK TIMES (start = end)",IF($F188&gt;12,"CHECK TIMES (End is before Start?)","OK")))</f>
        <v/>
      </c>
      <c r="P188" s="17">
        <f>IF(OR($B188="",$I188=""),"",IF(IFERROR(MATCH($G188,nrBankTopics,0),0)=0,"OK",IF(COUNTA(INDEX(nrBankGrid,IFERROR(MATCH($G188,nrBankTopics,0),1),0))=0,"OK",IF(SUMPRODUCT((nrInstrNames&lt;&gt;"")*ISNUMBER(SEARCH(nrInstrNames,$I188))*(COUNTIF(INDEX(nrBankGrid,IFERROR(MATCH($G188,nrBankTopics,0),1),0),nrInstrNames)&gt;0))&lt;SUMPRODUCT((nrInstrNames&lt;&gt;"")*ISNUMBER(SEARCH(nrInstrNames,$I188))),"NOT IN BANK","OK"))))</f>
        <v/>
      </c>
    </row>
    <row r="189">
      <c r="B189" s="18" t="n"/>
      <c r="C189" s="17">
        <f>IF($B189="","",TEXT($B189,"ddd"))</f>
        <v/>
      </c>
      <c r="D189" s="41" t="n"/>
      <c r="E189" s="41" t="n"/>
      <c r="F189" s="17">
        <f>IF(OR($B189="",$D189="",$E189=""),"",ROUND(MOD($E189-$D189,1)*24,2))</f>
        <v/>
      </c>
      <c r="G189" s="16" t="n"/>
      <c r="H189" s="17">
        <f>IF($G189="","",IFERROR(_xlfn.XLOOKUP($G189,nrCHname,nrCHnum),IFERROR(_xlfn.XLOOKUP($G189,nrSUBname,nrSUBparent),"")))</f>
        <v/>
      </c>
      <c r="I189" s="16" t="n"/>
      <c r="J189" s="16" t="n"/>
      <c r="K189" s="17">
        <f>IF($B189="","",IFERROR(_xlfn.XLOOKUP($B189,nrCDdate,nrCDweek),""))</f>
        <v/>
      </c>
      <c r="L189" s="17">
        <f>IF($B189="","",IFERROR(_xlfn.XLOOKUP($B189,nrCDdate,nrCDnum),""))</f>
        <v/>
      </c>
      <c r="M189" s="16" t="n"/>
      <c r="N189" s="17">
        <f>IF(OR($B189="",$I189=""),"",_xlfn.LET(_xlpm.a,$I189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89" s="17">
        <f>IF(OR($B189="",$D189="",$E189=""),"",IF($E189=$D189,"CHECK TIMES (start = end)",IF($F189&gt;12,"CHECK TIMES (End is before Start?)","OK")))</f>
        <v/>
      </c>
      <c r="P189" s="17">
        <f>IF(OR($B189="",$I189=""),"",IF(IFERROR(MATCH($G189,nrBankTopics,0),0)=0,"OK",IF(COUNTA(INDEX(nrBankGrid,IFERROR(MATCH($G189,nrBankTopics,0),1),0))=0,"OK",IF(SUMPRODUCT((nrInstrNames&lt;&gt;"")*ISNUMBER(SEARCH(nrInstrNames,$I189))*(COUNTIF(INDEX(nrBankGrid,IFERROR(MATCH($G189,nrBankTopics,0),1),0),nrInstrNames)&gt;0))&lt;SUMPRODUCT((nrInstrNames&lt;&gt;"")*ISNUMBER(SEARCH(nrInstrNames,$I189))),"NOT IN BANK","OK"))))</f>
        <v/>
      </c>
    </row>
    <row r="190">
      <c r="B190" s="18" t="n"/>
      <c r="C190" s="17">
        <f>IF($B190="","",TEXT($B190,"ddd"))</f>
        <v/>
      </c>
      <c r="D190" s="41" t="n"/>
      <c r="E190" s="41" t="n"/>
      <c r="F190" s="17">
        <f>IF(OR($B190="",$D190="",$E190=""),"",ROUND(MOD($E190-$D190,1)*24,2))</f>
        <v/>
      </c>
      <c r="G190" s="16" t="n"/>
      <c r="H190" s="17">
        <f>IF($G190="","",IFERROR(_xlfn.XLOOKUP($G190,nrCHname,nrCHnum),IFERROR(_xlfn.XLOOKUP($G190,nrSUBname,nrSUBparent),"")))</f>
        <v/>
      </c>
      <c r="I190" s="16" t="n"/>
      <c r="J190" s="16" t="n"/>
      <c r="K190" s="17">
        <f>IF($B190="","",IFERROR(_xlfn.XLOOKUP($B190,nrCDdate,nrCDweek),""))</f>
        <v/>
      </c>
      <c r="L190" s="17">
        <f>IF($B190="","",IFERROR(_xlfn.XLOOKUP($B190,nrCDdate,nrCDnum),""))</f>
        <v/>
      </c>
      <c r="M190" s="16" t="n"/>
      <c r="N190" s="17">
        <f>IF(OR($B190="",$I190=""),"",_xlfn.LET(_xlpm.a,$I190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90" s="17">
        <f>IF(OR($B190="",$D190="",$E190=""),"",IF($E190=$D190,"CHECK TIMES (start = end)",IF($F190&gt;12,"CHECK TIMES (End is before Start?)","OK")))</f>
        <v/>
      </c>
      <c r="P190" s="17">
        <f>IF(OR($B190="",$I190=""),"",IF(IFERROR(MATCH($G190,nrBankTopics,0),0)=0,"OK",IF(COUNTA(INDEX(nrBankGrid,IFERROR(MATCH($G190,nrBankTopics,0),1),0))=0,"OK",IF(SUMPRODUCT((nrInstrNames&lt;&gt;"")*ISNUMBER(SEARCH(nrInstrNames,$I190))*(COUNTIF(INDEX(nrBankGrid,IFERROR(MATCH($G190,nrBankTopics,0),1),0),nrInstrNames)&gt;0))&lt;SUMPRODUCT((nrInstrNames&lt;&gt;"")*ISNUMBER(SEARCH(nrInstrNames,$I190))),"NOT IN BANK","OK"))))</f>
        <v/>
      </c>
    </row>
    <row r="191">
      <c r="B191" s="18" t="n"/>
      <c r="C191" s="17">
        <f>IF($B191="","",TEXT($B191,"ddd"))</f>
        <v/>
      </c>
      <c r="D191" s="41" t="n"/>
      <c r="E191" s="41" t="n"/>
      <c r="F191" s="17">
        <f>IF(OR($B191="",$D191="",$E191=""),"",ROUND(MOD($E191-$D191,1)*24,2))</f>
        <v/>
      </c>
      <c r="G191" s="16" t="n"/>
      <c r="H191" s="17">
        <f>IF($G191="","",IFERROR(_xlfn.XLOOKUP($G191,nrCHname,nrCHnum),IFERROR(_xlfn.XLOOKUP($G191,nrSUBname,nrSUBparent),"")))</f>
        <v/>
      </c>
      <c r="I191" s="16" t="n"/>
      <c r="J191" s="16" t="n"/>
      <c r="K191" s="17">
        <f>IF($B191="","",IFERROR(_xlfn.XLOOKUP($B191,nrCDdate,nrCDweek),""))</f>
        <v/>
      </c>
      <c r="L191" s="17">
        <f>IF($B191="","",IFERROR(_xlfn.XLOOKUP($B191,nrCDdate,nrCDnum),""))</f>
        <v/>
      </c>
      <c r="M191" s="16" t="n"/>
      <c r="N191" s="17">
        <f>IF(OR($B191="",$I191=""),"",_xlfn.LET(_xlpm.a,$I191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91" s="17">
        <f>IF(OR($B191="",$D191="",$E191=""),"",IF($E191=$D191,"CHECK TIMES (start = end)",IF($F191&gt;12,"CHECK TIMES (End is before Start?)","OK")))</f>
        <v/>
      </c>
      <c r="P191" s="17">
        <f>IF(OR($B191="",$I191=""),"",IF(IFERROR(MATCH($G191,nrBankTopics,0),0)=0,"OK",IF(COUNTA(INDEX(nrBankGrid,IFERROR(MATCH($G191,nrBankTopics,0),1),0))=0,"OK",IF(SUMPRODUCT((nrInstrNames&lt;&gt;"")*ISNUMBER(SEARCH(nrInstrNames,$I191))*(COUNTIF(INDEX(nrBankGrid,IFERROR(MATCH($G191,nrBankTopics,0),1),0),nrInstrNames)&gt;0))&lt;SUMPRODUCT((nrInstrNames&lt;&gt;"")*ISNUMBER(SEARCH(nrInstrNames,$I191))),"NOT IN BANK","OK"))))</f>
        <v/>
      </c>
    </row>
    <row r="192">
      <c r="B192" s="18" t="n"/>
      <c r="C192" s="17">
        <f>IF($B192="","",TEXT($B192,"ddd"))</f>
        <v/>
      </c>
      <c r="D192" s="41" t="n"/>
      <c r="E192" s="41" t="n"/>
      <c r="F192" s="17">
        <f>IF(OR($B192="",$D192="",$E192=""),"",ROUND(MOD($E192-$D192,1)*24,2))</f>
        <v/>
      </c>
      <c r="G192" s="16" t="n"/>
      <c r="H192" s="17">
        <f>IF($G192="","",IFERROR(_xlfn.XLOOKUP($G192,nrCHname,nrCHnum),IFERROR(_xlfn.XLOOKUP($G192,nrSUBname,nrSUBparent),"")))</f>
        <v/>
      </c>
      <c r="I192" s="16" t="n"/>
      <c r="J192" s="16" t="n"/>
      <c r="K192" s="17">
        <f>IF($B192="","",IFERROR(_xlfn.XLOOKUP($B192,nrCDdate,nrCDweek),""))</f>
        <v/>
      </c>
      <c r="L192" s="17">
        <f>IF($B192="","",IFERROR(_xlfn.XLOOKUP($B192,nrCDdate,nrCDnum),""))</f>
        <v/>
      </c>
      <c r="M192" s="16" t="n"/>
      <c r="N192" s="17">
        <f>IF(OR($B192="",$I192=""),"",_xlfn.LET(_xlpm.a,$I192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92" s="17">
        <f>IF(OR($B192="",$D192="",$E192=""),"",IF($E192=$D192,"CHECK TIMES (start = end)",IF($F192&gt;12,"CHECK TIMES (End is before Start?)","OK")))</f>
        <v/>
      </c>
      <c r="P192" s="17">
        <f>IF(OR($B192="",$I192=""),"",IF(IFERROR(MATCH($G192,nrBankTopics,0),0)=0,"OK",IF(COUNTA(INDEX(nrBankGrid,IFERROR(MATCH($G192,nrBankTopics,0),1),0))=0,"OK",IF(SUMPRODUCT((nrInstrNames&lt;&gt;"")*ISNUMBER(SEARCH(nrInstrNames,$I192))*(COUNTIF(INDEX(nrBankGrid,IFERROR(MATCH($G192,nrBankTopics,0),1),0),nrInstrNames)&gt;0))&lt;SUMPRODUCT((nrInstrNames&lt;&gt;"")*ISNUMBER(SEARCH(nrInstrNames,$I192))),"NOT IN BANK","OK"))))</f>
        <v/>
      </c>
    </row>
    <row r="193">
      <c r="B193" s="18" t="n"/>
      <c r="C193" s="17">
        <f>IF($B193="","",TEXT($B193,"ddd"))</f>
        <v/>
      </c>
      <c r="D193" s="41" t="n"/>
      <c r="E193" s="41" t="n"/>
      <c r="F193" s="17">
        <f>IF(OR($B193="",$D193="",$E193=""),"",ROUND(MOD($E193-$D193,1)*24,2))</f>
        <v/>
      </c>
      <c r="G193" s="16" t="n"/>
      <c r="H193" s="17">
        <f>IF($G193="","",IFERROR(_xlfn.XLOOKUP($G193,nrCHname,nrCHnum),IFERROR(_xlfn.XLOOKUP($G193,nrSUBname,nrSUBparent),"")))</f>
        <v/>
      </c>
      <c r="I193" s="16" t="n"/>
      <c r="J193" s="16" t="n"/>
      <c r="K193" s="17">
        <f>IF($B193="","",IFERROR(_xlfn.XLOOKUP($B193,nrCDdate,nrCDweek),""))</f>
        <v/>
      </c>
      <c r="L193" s="17">
        <f>IF($B193="","",IFERROR(_xlfn.XLOOKUP($B193,nrCDdate,nrCDnum),""))</f>
        <v/>
      </c>
      <c r="M193" s="16" t="n"/>
      <c r="N193" s="17">
        <f>IF(OR($B193="",$I193=""),"",_xlfn.LET(_xlpm.a,$I193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93" s="17">
        <f>IF(OR($B193="",$D193="",$E193=""),"",IF($E193=$D193,"CHECK TIMES (start = end)",IF($F193&gt;12,"CHECK TIMES (End is before Start?)","OK")))</f>
        <v/>
      </c>
      <c r="P193" s="17">
        <f>IF(OR($B193="",$I193=""),"",IF(IFERROR(MATCH($G193,nrBankTopics,0),0)=0,"OK",IF(COUNTA(INDEX(nrBankGrid,IFERROR(MATCH($G193,nrBankTopics,0),1),0))=0,"OK",IF(SUMPRODUCT((nrInstrNames&lt;&gt;"")*ISNUMBER(SEARCH(nrInstrNames,$I193))*(COUNTIF(INDEX(nrBankGrid,IFERROR(MATCH($G193,nrBankTopics,0),1),0),nrInstrNames)&gt;0))&lt;SUMPRODUCT((nrInstrNames&lt;&gt;"")*ISNUMBER(SEARCH(nrInstrNames,$I193))),"NOT IN BANK","OK"))))</f>
        <v/>
      </c>
    </row>
    <row r="194">
      <c r="B194" s="18" t="n"/>
      <c r="C194" s="17">
        <f>IF($B194="","",TEXT($B194,"ddd"))</f>
        <v/>
      </c>
      <c r="D194" s="41" t="n"/>
      <c r="E194" s="41" t="n"/>
      <c r="F194" s="17">
        <f>IF(OR($B194="",$D194="",$E194=""),"",ROUND(MOD($E194-$D194,1)*24,2))</f>
        <v/>
      </c>
      <c r="G194" s="16" t="n"/>
      <c r="H194" s="17">
        <f>IF($G194="","",IFERROR(_xlfn.XLOOKUP($G194,nrCHname,nrCHnum),IFERROR(_xlfn.XLOOKUP($G194,nrSUBname,nrSUBparent),"")))</f>
        <v/>
      </c>
      <c r="I194" s="16" t="n"/>
      <c r="J194" s="16" t="n"/>
      <c r="K194" s="17">
        <f>IF($B194="","",IFERROR(_xlfn.XLOOKUP($B194,nrCDdate,nrCDweek),""))</f>
        <v/>
      </c>
      <c r="L194" s="17">
        <f>IF($B194="","",IFERROR(_xlfn.XLOOKUP($B194,nrCDdate,nrCDnum),""))</f>
        <v/>
      </c>
      <c r="M194" s="16" t="n"/>
      <c r="N194" s="17">
        <f>IF(OR($B194="",$I194=""),"",_xlfn.LET(_xlpm.a,$I194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94" s="17">
        <f>IF(OR($B194="",$D194="",$E194=""),"",IF($E194=$D194,"CHECK TIMES (start = end)",IF($F194&gt;12,"CHECK TIMES (End is before Start?)","OK")))</f>
        <v/>
      </c>
      <c r="P194" s="17">
        <f>IF(OR($B194="",$I194=""),"",IF(IFERROR(MATCH($G194,nrBankTopics,0),0)=0,"OK",IF(COUNTA(INDEX(nrBankGrid,IFERROR(MATCH($G194,nrBankTopics,0),1),0))=0,"OK",IF(SUMPRODUCT((nrInstrNames&lt;&gt;"")*ISNUMBER(SEARCH(nrInstrNames,$I194))*(COUNTIF(INDEX(nrBankGrid,IFERROR(MATCH($G194,nrBankTopics,0),1),0),nrInstrNames)&gt;0))&lt;SUMPRODUCT((nrInstrNames&lt;&gt;"")*ISNUMBER(SEARCH(nrInstrNames,$I194))),"NOT IN BANK","OK"))))</f>
        <v/>
      </c>
    </row>
    <row r="195">
      <c r="B195" s="18" t="n"/>
      <c r="C195" s="17">
        <f>IF($B195="","",TEXT($B195,"ddd"))</f>
        <v/>
      </c>
      <c r="D195" s="41" t="n"/>
      <c r="E195" s="41" t="n"/>
      <c r="F195" s="17">
        <f>IF(OR($B195="",$D195="",$E195=""),"",ROUND(MOD($E195-$D195,1)*24,2))</f>
        <v/>
      </c>
      <c r="G195" s="16" t="n"/>
      <c r="H195" s="17">
        <f>IF($G195="","",IFERROR(_xlfn.XLOOKUP($G195,nrCHname,nrCHnum),IFERROR(_xlfn.XLOOKUP($G195,nrSUBname,nrSUBparent),"")))</f>
        <v/>
      </c>
      <c r="I195" s="16" t="n"/>
      <c r="J195" s="16" t="n"/>
      <c r="K195" s="17">
        <f>IF($B195="","",IFERROR(_xlfn.XLOOKUP($B195,nrCDdate,nrCDweek),""))</f>
        <v/>
      </c>
      <c r="L195" s="17">
        <f>IF($B195="","",IFERROR(_xlfn.XLOOKUP($B195,nrCDdate,nrCDnum),""))</f>
        <v/>
      </c>
      <c r="M195" s="16" t="n"/>
      <c r="N195" s="17">
        <f>IF(OR($B195="",$I195=""),"",_xlfn.LET(_xlpm.a,$I195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95" s="17">
        <f>IF(OR($B195="",$D195="",$E195=""),"",IF($E195=$D195,"CHECK TIMES (start = end)",IF($F195&gt;12,"CHECK TIMES (End is before Start?)","OK")))</f>
        <v/>
      </c>
      <c r="P195" s="17">
        <f>IF(OR($B195="",$I195=""),"",IF(IFERROR(MATCH($G195,nrBankTopics,0),0)=0,"OK",IF(COUNTA(INDEX(nrBankGrid,IFERROR(MATCH($G195,nrBankTopics,0),1),0))=0,"OK",IF(SUMPRODUCT((nrInstrNames&lt;&gt;"")*ISNUMBER(SEARCH(nrInstrNames,$I195))*(COUNTIF(INDEX(nrBankGrid,IFERROR(MATCH($G195,nrBankTopics,0),1),0),nrInstrNames)&gt;0))&lt;SUMPRODUCT((nrInstrNames&lt;&gt;"")*ISNUMBER(SEARCH(nrInstrNames,$I195))),"NOT IN BANK","OK"))))</f>
        <v/>
      </c>
    </row>
    <row r="196">
      <c r="B196" s="18" t="n"/>
      <c r="C196" s="17">
        <f>IF($B196="","",TEXT($B196,"ddd"))</f>
        <v/>
      </c>
      <c r="D196" s="41" t="n"/>
      <c r="E196" s="41" t="n"/>
      <c r="F196" s="17">
        <f>IF(OR($B196="",$D196="",$E196=""),"",ROUND(MOD($E196-$D196,1)*24,2))</f>
        <v/>
      </c>
      <c r="G196" s="16" t="n"/>
      <c r="H196" s="17">
        <f>IF($G196="","",IFERROR(_xlfn.XLOOKUP($G196,nrCHname,nrCHnum),IFERROR(_xlfn.XLOOKUP($G196,nrSUBname,nrSUBparent),"")))</f>
        <v/>
      </c>
      <c r="I196" s="16" t="n"/>
      <c r="J196" s="16" t="n"/>
      <c r="K196" s="17">
        <f>IF($B196="","",IFERROR(_xlfn.XLOOKUP($B196,nrCDdate,nrCDweek),""))</f>
        <v/>
      </c>
      <c r="L196" s="17">
        <f>IF($B196="","",IFERROR(_xlfn.XLOOKUP($B196,nrCDdate,nrCDnum),""))</f>
        <v/>
      </c>
      <c r="M196" s="16" t="n"/>
      <c r="N196" s="17">
        <f>IF(OR($B196="",$I196=""),"",_xlfn.LET(_xlpm.a,$I196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96" s="17">
        <f>IF(OR($B196="",$D196="",$E196=""),"",IF($E196=$D196,"CHECK TIMES (start = end)",IF($F196&gt;12,"CHECK TIMES (End is before Start?)","OK")))</f>
        <v/>
      </c>
      <c r="P196" s="17">
        <f>IF(OR($B196="",$I196=""),"",IF(IFERROR(MATCH($G196,nrBankTopics,0),0)=0,"OK",IF(COUNTA(INDEX(nrBankGrid,IFERROR(MATCH($G196,nrBankTopics,0),1),0))=0,"OK",IF(SUMPRODUCT((nrInstrNames&lt;&gt;"")*ISNUMBER(SEARCH(nrInstrNames,$I196))*(COUNTIF(INDEX(nrBankGrid,IFERROR(MATCH($G196,nrBankTopics,0),1),0),nrInstrNames)&gt;0))&lt;SUMPRODUCT((nrInstrNames&lt;&gt;"")*ISNUMBER(SEARCH(nrInstrNames,$I196))),"NOT IN BANK","OK"))))</f>
        <v/>
      </c>
    </row>
    <row r="197">
      <c r="B197" s="18" t="n"/>
      <c r="C197" s="17">
        <f>IF($B197="","",TEXT($B197,"ddd"))</f>
        <v/>
      </c>
      <c r="D197" s="41" t="n"/>
      <c r="E197" s="41" t="n"/>
      <c r="F197" s="17">
        <f>IF(OR($B197="",$D197="",$E197=""),"",ROUND(MOD($E197-$D197,1)*24,2))</f>
        <v/>
      </c>
      <c r="G197" s="16" t="n"/>
      <c r="H197" s="17">
        <f>IF($G197="","",IFERROR(_xlfn.XLOOKUP($G197,nrCHname,nrCHnum),IFERROR(_xlfn.XLOOKUP($G197,nrSUBname,nrSUBparent),"")))</f>
        <v/>
      </c>
      <c r="I197" s="16" t="n"/>
      <c r="J197" s="16" t="n"/>
      <c r="K197" s="17">
        <f>IF($B197="","",IFERROR(_xlfn.XLOOKUP($B197,nrCDdate,nrCDweek),""))</f>
        <v/>
      </c>
      <c r="L197" s="17">
        <f>IF($B197="","",IFERROR(_xlfn.XLOOKUP($B197,nrCDdate,nrCDnum),""))</f>
        <v/>
      </c>
      <c r="M197" s="16" t="n"/>
      <c r="N197" s="17">
        <f>IF(OR($B197="",$I197=""),"",_xlfn.LET(_xlpm.a,$I197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97" s="17">
        <f>IF(OR($B197="",$D197="",$E197=""),"",IF($E197=$D197,"CHECK TIMES (start = end)",IF($F197&gt;12,"CHECK TIMES (End is before Start?)","OK")))</f>
        <v/>
      </c>
      <c r="P197" s="17">
        <f>IF(OR($B197="",$I197=""),"",IF(IFERROR(MATCH($G197,nrBankTopics,0),0)=0,"OK",IF(COUNTA(INDEX(nrBankGrid,IFERROR(MATCH($G197,nrBankTopics,0),1),0))=0,"OK",IF(SUMPRODUCT((nrInstrNames&lt;&gt;"")*ISNUMBER(SEARCH(nrInstrNames,$I197))*(COUNTIF(INDEX(nrBankGrid,IFERROR(MATCH($G197,nrBankTopics,0),1),0),nrInstrNames)&gt;0))&lt;SUMPRODUCT((nrInstrNames&lt;&gt;"")*ISNUMBER(SEARCH(nrInstrNames,$I197))),"NOT IN BANK","OK"))))</f>
        <v/>
      </c>
    </row>
    <row r="198">
      <c r="B198" s="18" t="n"/>
      <c r="C198" s="17">
        <f>IF($B198="","",TEXT($B198,"ddd"))</f>
        <v/>
      </c>
      <c r="D198" s="41" t="n"/>
      <c r="E198" s="41" t="n"/>
      <c r="F198" s="17">
        <f>IF(OR($B198="",$D198="",$E198=""),"",ROUND(MOD($E198-$D198,1)*24,2))</f>
        <v/>
      </c>
      <c r="G198" s="16" t="n"/>
      <c r="H198" s="17">
        <f>IF($G198="","",IFERROR(_xlfn.XLOOKUP($G198,nrCHname,nrCHnum),IFERROR(_xlfn.XLOOKUP($G198,nrSUBname,nrSUBparent),"")))</f>
        <v/>
      </c>
      <c r="I198" s="16" t="n"/>
      <c r="J198" s="16" t="n"/>
      <c r="K198" s="17">
        <f>IF($B198="","",IFERROR(_xlfn.XLOOKUP($B198,nrCDdate,nrCDweek),""))</f>
        <v/>
      </c>
      <c r="L198" s="17">
        <f>IF($B198="","",IFERROR(_xlfn.XLOOKUP($B198,nrCDdate,nrCDnum),""))</f>
        <v/>
      </c>
      <c r="M198" s="16" t="n"/>
      <c r="N198" s="17">
        <f>IF(OR($B198="",$I198=""),"",_xlfn.LET(_xlpm.a,$I198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98" s="17">
        <f>IF(OR($B198="",$D198="",$E198=""),"",IF($E198=$D198,"CHECK TIMES (start = end)",IF($F198&gt;12,"CHECK TIMES (End is before Start?)","OK")))</f>
        <v/>
      </c>
      <c r="P198" s="17">
        <f>IF(OR($B198="",$I198=""),"",IF(IFERROR(MATCH($G198,nrBankTopics,0),0)=0,"OK",IF(COUNTA(INDEX(nrBankGrid,IFERROR(MATCH($G198,nrBankTopics,0),1),0))=0,"OK",IF(SUMPRODUCT((nrInstrNames&lt;&gt;"")*ISNUMBER(SEARCH(nrInstrNames,$I198))*(COUNTIF(INDEX(nrBankGrid,IFERROR(MATCH($G198,nrBankTopics,0),1),0),nrInstrNames)&gt;0))&lt;SUMPRODUCT((nrInstrNames&lt;&gt;"")*ISNUMBER(SEARCH(nrInstrNames,$I198))),"NOT IN BANK","OK"))))</f>
        <v/>
      </c>
    </row>
    <row r="199">
      <c r="B199" s="18" t="n"/>
      <c r="C199" s="17">
        <f>IF($B199="","",TEXT($B199,"ddd"))</f>
        <v/>
      </c>
      <c r="D199" s="41" t="n"/>
      <c r="E199" s="41" t="n"/>
      <c r="F199" s="17">
        <f>IF(OR($B199="",$D199="",$E199=""),"",ROUND(MOD($E199-$D199,1)*24,2))</f>
        <v/>
      </c>
      <c r="G199" s="16" t="n"/>
      <c r="H199" s="17">
        <f>IF($G199="","",IFERROR(_xlfn.XLOOKUP($G199,nrCHname,nrCHnum),IFERROR(_xlfn.XLOOKUP($G199,nrSUBname,nrSUBparent),"")))</f>
        <v/>
      </c>
      <c r="I199" s="16" t="n"/>
      <c r="J199" s="16" t="n"/>
      <c r="K199" s="17">
        <f>IF($B199="","",IFERROR(_xlfn.XLOOKUP($B199,nrCDdate,nrCDweek),""))</f>
        <v/>
      </c>
      <c r="L199" s="17">
        <f>IF($B199="","",IFERROR(_xlfn.XLOOKUP($B199,nrCDdate,nrCDnum),""))</f>
        <v/>
      </c>
      <c r="M199" s="16" t="n"/>
      <c r="N199" s="17">
        <f>IF(OR($B199="",$I199=""),"",_xlfn.LET(_xlpm.a,$I199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99" s="17">
        <f>IF(OR($B199="",$D199="",$E199=""),"",IF($E199=$D199,"CHECK TIMES (start = end)",IF($F199&gt;12,"CHECK TIMES (End is before Start?)","OK")))</f>
        <v/>
      </c>
      <c r="P199" s="17">
        <f>IF(OR($B199="",$I199=""),"",IF(IFERROR(MATCH($G199,nrBankTopics,0),0)=0,"OK",IF(COUNTA(INDEX(nrBankGrid,IFERROR(MATCH($G199,nrBankTopics,0),1),0))=0,"OK",IF(SUMPRODUCT((nrInstrNames&lt;&gt;"")*ISNUMBER(SEARCH(nrInstrNames,$I199))*(COUNTIF(INDEX(nrBankGrid,IFERROR(MATCH($G199,nrBankTopics,0),1),0),nrInstrNames)&gt;0))&lt;SUMPRODUCT((nrInstrNames&lt;&gt;"")*ISNUMBER(SEARCH(nrInstrNames,$I199))),"NOT IN BANK","OK"))))</f>
        <v/>
      </c>
    </row>
    <row r="200">
      <c r="B200" s="18" t="n"/>
      <c r="C200" s="17">
        <f>IF($B200="","",TEXT($B200,"ddd"))</f>
        <v/>
      </c>
      <c r="D200" s="41" t="n"/>
      <c r="E200" s="41" t="n"/>
      <c r="F200" s="17">
        <f>IF(OR($B200="",$D200="",$E200=""),"",ROUND(MOD($E200-$D200,1)*24,2))</f>
        <v/>
      </c>
      <c r="G200" s="16" t="n"/>
      <c r="H200" s="17">
        <f>IF($G200="","",IFERROR(_xlfn.XLOOKUP($G200,nrCHname,nrCHnum),IFERROR(_xlfn.XLOOKUP($G200,nrSUBname,nrSUBparent),"")))</f>
        <v/>
      </c>
      <c r="I200" s="16" t="n"/>
      <c r="J200" s="16" t="n"/>
      <c r="K200" s="17">
        <f>IF($B200="","",IFERROR(_xlfn.XLOOKUP($B200,nrCDdate,nrCDweek),""))</f>
        <v/>
      </c>
      <c r="L200" s="17">
        <f>IF($B200="","",IFERROR(_xlfn.XLOOKUP($B200,nrCDdate,nrCDnum),""))</f>
        <v/>
      </c>
      <c r="M200" s="16" t="n"/>
      <c r="N200" s="17">
        <f>IF(OR($B200="",$I200=""),"",_xlfn.LET(_xlpm.a,$I200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00" s="17">
        <f>IF(OR($B200="",$D200="",$E200=""),"",IF($E200=$D200,"CHECK TIMES (start = end)",IF($F200&gt;12,"CHECK TIMES (End is before Start?)","OK")))</f>
        <v/>
      </c>
      <c r="P200" s="17">
        <f>IF(OR($B200="",$I200=""),"",IF(IFERROR(MATCH($G200,nrBankTopics,0),0)=0,"OK",IF(COUNTA(INDEX(nrBankGrid,IFERROR(MATCH($G200,nrBankTopics,0),1),0))=0,"OK",IF(SUMPRODUCT((nrInstrNames&lt;&gt;"")*ISNUMBER(SEARCH(nrInstrNames,$I200))*(COUNTIF(INDEX(nrBankGrid,IFERROR(MATCH($G200,nrBankTopics,0),1),0),nrInstrNames)&gt;0))&lt;SUMPRODUCT((nrInstrNames&lt;&gt;"")*ISNUMBER(SEARCH(nrInstrNames,$I200))),"NOT IN BANK","OK"))))</f>
        <v/>
      </c>
    </row>
    <row r="201">
      <c r="B201" s="18" t="n"/>
      <c r="C201" s="17">
        <f>IF($B201="","",TEXT($B201,"ddd"))</f>
        <v/>
      </c>
      <c r="D201" s="41" t="n"/>
      <c r="E201" s="41" t="n"/>
      <c r="F201" s="17">
        <f>IF(OR($B201="",$D201="",$E201=""),"",ROUND(MOD($E201-$D201,1)*24,2))</f>
        <v/>
      </c>
      <c r="G201" s="16" t="n"/>
      <c r="H201" s="17">
        <f>IF($G201="","",IFERROR(_xlfn.XLOOKUP($G201,nrCHname,nrCHnum),IFERROR(_xlfn.XLOOKUP($G201,nrSUBname,nrSUBparent),"")))</f>
        <v/>
      </c>
      <c r="I201" s="16" t="n"/>
      <c r="J201" s="16" t="n"/>
      <c r="K201" s="17">
        <f>IF($B201="","",IFERROR(_xlfn.XLOOKUP($B201,nrCDdate,nrCDweek),""))</f>
        <v/>
      </c>
      <c r="L201" s="17">
        <f>IF($B201="","",IFERROR(_xlfn.XLOOKUP($B201,nrCDdate,nrCDnum),""))</f>
        <v/>
      </c>
      <c r="M201" s="16" t="n"/>
      <c r="N201" s="17">
        <f>IF(OR($B201="",$I201=""),"",_xlfn.LET(_xlpm.a,$I201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01" s="17">
        <f>IF(OR($B201="",$D201="",$E201=""),"",IF($E201=$D201,"CHECK TIMES (start = end)",IF($F201&gt;12,"CHECK TIMES (End is before Start?)","OK")))</f>
        <v/>
      </c>
      <c r="P201" s="17">
        <f>IF(OR($B201="",$I201=""),"",IF(IFERROR(MATCH($G201,nrBankTopics,0),0)=0,"OK",IF(COUNTA(INDEX(nrBankGrid,IFERROR(MATCH($G201,nrBankTopics,0),1),0))=0,"OK",IF(SUMPRODUCT((nrInstrNames&lt;&gt;"")*ISNUMBER(SEARCH(nrInstrNames,$I201))*(COUNTIF(INDEX(nrBankGrid,IFERROR(MATCH($G201,nrBankTopics,0),1),0),nrInstrNames)&gt;0))&lt;SUMPRODUCT((nrInstrNames&lt;&gt;"")*ISNUMBER(SEARCH(nrInstrNames,$I201))),"NOT IN BANK","OK"))))</f>
        <v/>
      </c>
    </row>
    <row r="202">
      <c r="B202" s="18" t="n"/>
      <c r="C202" s="17">
        <f>IF($B202="","",TEXT($B202,"ddd"))</f>
        <v/>
      </c>
      <c r="D202" s="41" t="n"/>
      <c r="E202" s="41" t="n"/>
      <c r="F202" s="17">
        <f>IF(OR($B202="",$D202="",$E202=""),"",ROUND(MOD($E202-$D202,1)*24,2))</f>
        <v/>
      </c>
      <c r="G202" s="16" t="n"/>
      <c r="H202" s="17">
        <f>IF($G202="","",IFERROR(_xlfn.XLOOKUP($G202,nrCHname,nrCHnum),IFERROR(_xlfn.XLOOKUP($G202,nrSUBname,nrSUBparent),"")))</f>
        <v/>
      </c>
      <c r="I202" s="16" t="n"/>
      <c r="J202" s="16" t="n"/>
      <c r="K202" s="17">
        <f>IF($B202="","",IFERROR(_xlfn.XLOOKUP($B202,nrCDdate,nrCDweek),""))</f>
        <v/>
      </c>
      <c r="L202" s="17">
        <f>IF($B202="","",IFERROR(_xlfn.XLOOKUP($B202,nrCDdate,nrCDnum),""))</f>
        <v/>
      </c>
      <c r="M202" s="16" t="n"/>
      <c r="N202" s="17">
        <f>IF(OR($B202="",$I202=""),"",_xlfn.LET(_xlpm.a,$I202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02" s="17">
        <f>IF(OR($B202="",$D202="",$E202=""),"",IF($E202=$D202,"CHECK TIMES (start = end)",IF($F202&gt;12,"CHECK TIMES (End is before Start?)","OK")))</f>
        <v/>
      </c>
      <c r="P202" s="17">
        <f>IF(OR($B202="",$I202=""),"",IF(IFERROR(MATCH($G202,nrBankTopics,0),0)=0,"OK",IF(COUNTA(INDEX(nrBankGrid,IFERROR(MATCH($G202,nrBankTopics,0),1),0))=0,"OK",IF(SUMPRODUCT((nrInstrNames&lt;&gt;"")*ISNUMBER(SEARCH(nrInstrNames,$I202))*(COUNTIF(INDEX(nrBankGrid,IFERROR(MATCH($G202,nrBankTopics,0),1),0),nrInstrNames)&gt;0))&lt;SUMPRODUCT((nrInstrNames&lt;&gt;"")*ISNUMBER(SEARCH(nrInstrNames,$I202))),"NOT IN BANK","OK"))))</f>
        <v/>
      </c>
    </row>
    <row r="203">
      <c r="B203" s="18" t="n"/>
      <c r="C203" s="17">
        <f>IF($B203="","",TEXT($B203,"ddd"))</f>
        <v/>
      </c>
      <c r="D203" s="41" t="n"/>
      <c r="E203" s="41" t="n"/>
      <c r="F203" s="17">
        <f>IF(OR($B203="",$D203="",$E203=""),"",ROUND(MOD($E203-$D203,1)*24,2))</f>
        <v/>
      </c>
      <c r="G203" s="16" t="n"/>
      <c r="H203" s="17">
        <f>IF($G203="","",IFERROR(_xlfn.XLOOKUP($G203,nrCHname,nrCHnum),IFERROR(_xlfn.XLOOKUP($G203,nrSUBname,nrSUBparent),"")))</f>
        <v/>
      </c>
      <c r="I203" s="16" t="n"/>
      <c r="J203" s="16" t="n"/>
      <c r="K203" s="17">
        <f>IF($B203="","",IFERROR(_xlfn.XLOOKUP($B203,nrCDdate,nrCDweek),""))</f>
        <v/>
      </c>
      <c r="L203" s="17">
        <f>IF($B203="","",IFERROR(_xlfn.XLOOKUP($B203,nrCDdate,nrCDnum),""))</f>
        <v/>
      </c>
      <c r="M203" s="16" t="n"/>
      <c r="N203" s="17">
        <f>IF(OR($B203="",$I203=""),"",_xlfn.LET(_xlpm.a,$I203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03" s="17">
        <f>IF(OR($B203="",$D203="",$E203=""),"",IF($E203=$D203,"CHECK TIMES (start = end)",IF($F203&gt;12,"CHECK TIMES (End is before Start?)","OK")))</f>
        <v/>
      </c>
      <c r="P203" s="17">
        <f>IF(OR($B203="",$I203=""),"",IF(IFERROR(MATCH($G203,nrBankTopics,0),0)=0,"OK",IF(COUNTA(INDEX(nrBankGrid,IFERROR(MATCH($G203,nrBankTopics,0),1),0))=0,"OK",IF(SUMPRODUCT((nrInstrNames&lt;&gt;"")*ISNUMBER(SEARCH(nrInstrNames,$I203))*(COUNTIF(INDEX(nrBankGrid,IFERROR(MATCH($G203,nrBankTopics,0),1),0),nrInstrNames)&gt;0))&lt;SUMPRODUCT((nrInstrNames&lt;&gt;"")*ISNUMBER(SEARCH(nrInstrNames,$I203))),"NOT IN BANK","OK"))))</f>
        <v/>
      </c>
    </row>
    <row r="204">
      <c r="B204" s="18" t="n"/>
      <c r="C204" s="17">
        <f>IF($B204="","",TEXT($B204,"ddd"))</f>
        <v/>
      </c>
      <c r="D204" s="41" t="n"/>
      <c r="E204" s="41" t="n"/>
      <c r="F204" s="17">
        <f>IF(OR($B204="",$D204="",$E204=""),"",ROUND(MOD($E204-$D204,1)*24,2))</f>
        <v/>
      </c>
      <c r="G204" s="16" t="n"/>
      <c r="H204" s="17">
        <f>IF($G204="","",IFERROR(_xlfn.XLOOKUP($G204,nrCHname,nrCHnum),IFERROR(_xlfn.XLOOKUP($G204,nrSUBname,nrSUBparent),"")))</f>
        <v/>
      </c>
      <c r="I204" s="16" t="n"/>
      <c r="J204" s="16" t="n"/>
      <c r="K204" s="17">
        <f>IF($B204="","",IFERROR(_xlfn.XLOOKUP($B204,nrCDdate,nrCDweek),""))</f>
        <v/>
      </c>
      <c r="L204" s="17">
        <f>IF($B204="","",IFERROR(_xlfn.XLOOKUP($B204,nrCDdate,nrCDnum),""))</f>
        <v/>
      </c>
      <c r="M204" s="16" t="n"/>
      <c r="N204" s="17">
        <f>IF(OR($B204="",$I204=""),"",_xlfn.LET(_xlpm.a,$I204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04" s="17">
        <f>IF(OR($B204="",$D204="",$E204=""),"",IF($E204=$D204,"CHECK TIMES (start = end)",IF($F204&gt;12,"CHECK TIMES (End is before Start?)","OK")))</f>
        <v/>
      </c>
      <c r="P204" s="17">
        <f>IF(OR($B204="",$I204=""),"",IF(IFERROR(MATCH($G204,nrBankTopics,0),0)=0,"OK",IF(COUNTA(INDEX(nrBankGrid,IFERROR(MATCH($G204,nrBankTopics,0),1),0))=0,"OK",IF(SUMPRODUCT((nrInstrNames&lt;&gt;"")*ISNUMBER(SEARCH(nrInstrNames,$I204))*(COUNTIF(INDEX(nrBankGrid,IFERROR(MATCH($G204,nrBankTopics,0),1),0),nrInstrNames)&gt;0))&lt;SUMPRODUCT((nrInstrNames&lt;&gt;"")*ISNUMBER(SEARCH(nrInstrNames,$I204))),"NOT IN BANK","OK"))))</f>
        <v/>
      </c>
    </row>
    <row r="205">
      <c r="B205" s="18" t="n"/>
      <c r="C205" s="17">
        <f>IF($B205="","",TEXT($B205,"ddd"))</f>
        <v/>
      </c>
      <c r="D205" s="41" t="n"/>
      <c r="E205" s="41" t="n"/>
      <c r="F205" s="17">
        <f>IF(OR($B205="",$D205="",$E205=""),"",ROUND(MOD($E205-$D205,1)*24,2))</f>
        <v/>
      </c>
      <c r="G205" s="16" t="n"/>
      <c r="H205" s="17">
        <f>IF($G205="","",IFERROR(_xlfn.XLOOKUP($G205,nrCHname,nrCHnum),IFERROR(_xlfn.XLOOKUP($G205,nrSUBname,nrSUBparent),"")))</f>
        <v/>
      </c>
      <c r="I205" s="16" t="n"/>
      <c r="J205" s="16" t="n"/>
      <c r="K205" s="17">
        <f>IF($B205="","",IFERROR(_xlfn.XLOOKUP($B205,nrCDdate,nrCDweek),""))</f>
        <v/>
      </c>
      <c r="L205" s="17">
        <f>IF($B205="","",IFERROR(_xlfn.XLOOKUP($B205,nrCDdate,nrCDnum),""))</f>
        <v/>
      </c>
      <c r="M205" s="16" t="n"/>
      <c r="N205" s="17">
        <f>IF(OR($B205="",$I205=""),"",_xlfn.LET(_xlpm.a,$I205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05" s="17">
        <f>IF(OR($B205="",$D205="",$E205=""),"",IF($E205=$D205,"CHECK TIMES (start = end)",IF($F205&gt;12,"CHECK TIMES (End is before Start?)","OK")))</f>
        <v/>
      </c>
      <c r="P205" s="17">
        <f>IF(OR($B205="",$I205=""),"",IF(IFERROR(MATCH($G205,nrBankTopics,0),0)=0,"OK",IF(COUNTA(INDEX(nrBankGrid,IFERROR(MATCH($G205,nrBankTopics,0),1),0))=0,"OK",IF(SUMPRODUCT((nrInstrNames&lt;&gt;"")*ISNUMBER(SEARCH(nrInstrNames,$I205))*(COUNTIF(INDEX(nrBankGrid,IFERROR(MATCH($G205,nrBankTopics,0),1),0),nrInstrNames)&gt;0))&lt;SUMPRODUCT((nrInstrNames&lt;&gt;"")*ISNUMBER(SEARCH(nrInstrNames,$I205))),"NOT IN BANK","OK"))))</f>
        <v/>
      </c>
    </row>
    <row r="206">
      <c r="B206" s="18" t="n"/>
      <c r="C206" s="17">
        <f>IF($B206="","",TEXT($B206,"ddd"))</f>
        <v/>
      </c>
      <c r="D206" s="41" t="n"/>
      <c r="E206" s="41" t="n"/>
      <c r="F206" s="17">
        <f>IF(OR($B206="",$D206="",$E206=""),"",ROUND(MOD($E206-$D206,1)*24,2))</f>
        <v/>
      </c>
      <c r="G206" s="16" t="n"/>
      <c r="H206" s="17">
        <f>IF($G206="","",IFERROR(_xlfn.XLOOKUP($G206,nrCHname,nrCHnum),IFERROR(_xlfn.XLOOKUP($G206,nrSUBname,nrSUBparent),"")))</f>
        <v/>
      </c>
      <c r="I206" s="16" t="n"/>
      <c r="J206" s="16" t="n"/>
      <c r="K206" s="17">
        <f>IF($B206="","",IFERROR(_xlfn.XLOOKUP($B206,nrCDdate,nrCDweek),""))</f>
        <v/>
      </c>
      <c r="L206" s="17">
        <f>IF($B206="","",IFERROR(_xlfn.XLOOKUP($B206,nrCDdate,nrCDnum),""))</f>
        <v/>
      </c>
      <c r="M206" s="16" t="n"/>
      <c r="N206" s="17">
        <f>IF(OR($B206="",$I206=""),"",_xlfn.LET(_xlpm.a,$I206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06" s="17">
        <f>IF(OR($B206="",$D206="",$E206=""),"",IF($E206=$D206,"CHECK TIMES (start = end)",IF($F206&gt;12,"CHECK TIMES (End is before Start?)","OK")))</f>
        <v/>
      </c>
      <c r="P206" s="17">
        <f>IF(OR($B206="",$I206=""),"",IF(IFERROR(MATCH($G206,nrBankTopics,0),0)=0,"OK",IF(COUNTA(INDEX(nrBankGrid,IFERROR(MATCH($G206,nrBankTopics,0),1),0))=0,"OK",IF(SUMPRODUCT((nrInstrNames&lt;&gt;"")*ISNUMBER(SEARCH(nrInstrNames,$I206))*(COUNTIF(INDEX(nrBankGrid,IFERROR(MATCH($G206,nrBankTopics,0),1),0),nrInstrNames)&gt;0))&lt;SUMPRODUCT((nrInstrNames&lt;&gt;"")*ISNUMBER(SEARCH(nrInstrNames,$I206))),"NOT IN BANK","OK"))))</f>
        <v/>
      </c>
    </row>
    <row r="207">
      <c r="B207" s="18" t="n"/>
      <c r="C207" s="17">
        <f>IF($B207="","",TEXT($B207,"ddd"))</f>
        <v/>
      </c>
      <c r="D207" s="41" t="n"/>
      <c r="E207" s="41" t="n"/>
      <c r="F207" s="17">
        <f>IF(OR($B207="",$D207="",$E207=""),"",ROUND(MOD($E207-$D207,1)*24,2))</f>
        <v/>
      </c>
      <c r="G207" s="16" t="n"/>
      <c r="H207" s="17">
        <f>IF($G207="","",IFERROR(_xlfn.XLOOKUP($G207,nrCHname,nrCHnum),IFERROR(_xlfn.XLOOKUP($G207,nrSUBname,nrSUBparent),"")))</f>
        <v/>
      </c>
      <c r="I207" s="16" t="n"/>
      <c r="J207" s="16" t="n"/>
      <c r="K207" s="17">
        <f>IF($B207="","",IFERROR(_xlfn.XLOOKUP($B207,nrCDdate,nrCDweek),""))</f>
        <v/>
      </c>
      <c r="L207" s="17">
        <f>IF($B207="","",IFERROR(_xlfn.XLOOKUP($B207,nrCDdate,nrCDnum),""))</f>
        <v/>
      </c>
      <c r="M207" s="16" t="n"/>
      <c r="N207" s="17">
        <f>IF(OR($B207="",$I207=""),"",_xlfn.LET(_xlpm.a,$I207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07" s="17">
        <f>IF(OR($B207="",$D207="",$E207=""),"",IF($E207=$D207,"CHECK TIMES (start = end)",IF($F207&gt;12,"CHECK TIMES (End is before Start?)","OK")))</f>
        <v/>
      </c>
      <c r="P207" s="17">
        <f>IF(OR($B207="",$I207=""),"",IF(IFERROR(MATCH($G207,nrBankTopics,0),0)=0,"OK",IF(COUNTA(INDEX(nrBankGrid,IFERROR(MATCH($G207,nrBankTopics,0),1),0))=0,"OK",IF(SUMPRODUCT((nrInstrNames&lt;&gt;"")*ISNUMBER(SEARCH(nrInstrNames,$I207))*(COUNTIF(INDEX(nrBankGrid,IFERROR(MATCH($G207,nrBankTopics,0),1),0),nrInstrNames)&gt;0))&lt;SUMPRODUCT((nrInstrNames&lt;&gt;"")*ISNUMBER(SEARCH(nrInstrNames,$I207))),"NOT IN BANK","OK"))))</f>
        <v/>
      </c>
    </row>
    <row r="208">
      <c r="B208" s="18" t="n"/>
      <c r="C208" s="17">
        <f>IF($B208="","",TEXT($B208,"ddd"))</f>
        <v/>
      </c>
      <c r="D208" s="41" t="n"/>
      <c r="E208" s="41" t="n"/>
      <c r="F208" s="17">
        <f>IF(OR($B208="",$D208="",$E208=""),"",ROUND(MOD($E208-$D208,1)*24,2))</f>
        <v/>
      </c>
      <c r="G208" s="16" t="n"/>
      <c r="H208" s="17">
        <f>IF($G208="","",IFERROR(_xlfn.XLOOKUP($G208,nrCHname,nrCHnum),IFERROR(_xlfn.XLOOKUP($G208,nrSUBname,nrSUBparent),"")))</f>
        <v/>
      </c>
      <c r="I208" s="16" t="n"/>
      <c r="J208" s="16" t="n"/>
      <c r="K208" s="17">
        <f>IF($B208="","",IFERROR(_xlfn.XLOOKUP($B208,nrCDdate,nrCDweek),""))</f>
        <v/>
      </c>
      <c r="L208" s="17">
        <f>IF($B208="","",IFERROR(_xlfn.XLOOKUP($B208,nrCDdate,nrCDnum),""))</f>
        <v/>
      </c>
      <c r="M208" s="16" t="n"/>
      <c r="N208" s="17">
        <f>IF(OR($B208="",$I208=""),"",_xlfn.LET(_xlpm.a,$I208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08" s="17">
        <f>IF(OR($B208="",$D208="",$E208=""),"",IF($E208=$D208,"CHECK TIMES (start = end)",IF($F208&gt;12,"CHECK TIMES (End is before Start?)","OK")))</f>
        <v/>
      </c>
      <c r="P208" s="17">
        <f>IF(OR($B208="",$I208=""),"",IF(IFERROR(MATCH($G208,nrBankTopics,0),0)=0,"OK",IF(COUNTA(INDEX(nrBankGrid,IFERROR(MATCH($G208,nrBankTopics,0),1),0))=0,"OK",IF(SUMPRODUCT((nrInstrNames&lt;&gt;"")*ISNUMBER(SEARCH(nrInstrNames,$I208))*(COUNTIF(INDEX(nrBankGrid,IFERROR(MATCH($G208,nrBankTopics,0),1),0),nrInstrNames)&gt;0))&lt;SUMPRODUCT((nrInstrNames&lt;&gt;"")*ISNUMBER(SEARCH(nrInstrNames,$I208))),"NOT IN BANK","OK"))))</f>
        <v/>
      </c>
    </row>
    <row r="209">
      <c r="B209" s="18" t="n"/>
      <c r="C209" s="17">
        <f>IF($B209="","",TEXT($B209,"ddd"))</f>
        <v/>
      </c>
      <c r="D209" s="41" t="n"/>
      <c r="E209" s="41" t="n"/>
      <c r="F209" s="17">
        <f>IF(OR($B209="",$D209="",$E209=""),"",ROUND(MOD($E209-$D209,1)*24,2))</f>
        <v/>
      </c>
      <c r="G209" s="16" t="n"/>
      <c r="H209" s="17">
        <f>IF($G209="","",IFERROR(_xlfn.XLOOKUP($G209,nrCHname,nrCHnum),IFERROR(_xlfn.XLOOKUP($G209,nrSUBname,nrSUBparent),"")))</f>
        <v/>
      </c>
      <c r="I209" s="16" t="n"/>
      <c r="J209" s="16" t="n"/>
      <c r="K209" s="17">
        <f>IF($B209="","",IFERROR(_xlfn.XLOOKUP($B209,nrCDdate,nrCDweek),""))</f>
        <v/>
      </c>
      <c r="L209" s="17">
        <f>IF($B209="","",IFERROR(_xlfn.XLOOKUP($B209,nrCDdate,nrCDnum),""))</f>
        <v/>
      </c>
      <c r="M209" s="16" t="n"/>
      <c r="N209" s="17">
        <f>IF(OR($B209="",$I209=""),"",_xlfn.LET(_xlpm.a,$I209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09" s="17">
        <f>IF(OR($B209="",$D209="",$E209=""),"",IF($E209=$D209,"CHECK TIMES (start = end)",IF($F209&gt;12,"CHECK TIMES (End is before Start?)","OK")))</f>
        <v/>
      </c>
      <c r="P209" s="17">
        <f>IF(OR($B209="",$I209=""),"",IF(IFERROR(MATCH($G209,nrBankTopics,0),0)=0,"OK",IF(COUNTA(INDEX(nrBankGrid,IFERROR(MATCH($G209,nrBankTopics,0),1),0))=0,"OK",IF(SUMPRODUCT((nrInstrNames&lt;&gt;"")*ISNUMBER(SEARCH(nrInstrNames,$I209))*(COUNTIF(INDEX(nrBankGrid,IFERROR(MATCH($G209,nrBankTopics,0),1),0),nrInstrNames)&gt;0))&lt;SUMPRODUCT((nrInstrNames&lt;&gt;"")*ISNUMBER(SEARCH(nrInstrNames,$I209))),"NOT IN BANK","OK"))))</f>
        <v/>
      </c>
    </row>
    <row r="210">
      <c r="B210" s="18" t="n"/>
      <c r="C210" s="17">
        <f>IF($B210="","",TEXT($B210,"ddd"))</f>
        <v/>
      </c>
      <c r="D210" s="41" t="n"/>
      <c r="E210" s="41" t="n"/>
      <c r="F210" s="17">
        <f>IF(OR($B210="",$D210="",$E210=""),"",ROUND(MOD($E210-$D210,1)*24,2))</f>
        <v/>
      </c>
      <c r="G210" s="16" t="n"/>
      <c r="H210" s="17">
        <f>IF($G210="","",IFERROR(_xlfn.XLOOKUP($G210,nrCHname,nrCHnum),IFERROR(_xlfn.XLOOKUP($G210,nrSUBname,nrSUBparent),"")))</f>
        <v/>
      </c>
      <c r="I210" s="16" t="n"/>
      <c r="J210" s="16" t="n"/>
      <c r="K210" s="17">
        <f>IF($B210="","",IFERROR(_xlfn.XLOOKUP($B210,nrCDdate,nrCDweek),""))</f>
        <v/>
      </c>
      <c r="L210" s="17">
        <f>IF($B210="","",IFERROR(_xlfn.XLOOKUP($B210,nrCDdate,nrCDnum),""))</f>
        <v/>
      </c>
      <c r="M210" s="16" t="n"/>
      <c r="N210" s="17">
        <f>IF(OR($B210="",$I210=""),"",_xlfn.LET(_xlpm.a,$I210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10" s="17">
        <f>IF(OR($B210="",$D210="",$E210=""),"",IF($E210=$D210,"CHECK TIMES (start = end)",IF($F210&gt;12,"CHECK TIMES (End is before Start?)","OK")))</f>
        <v/>
      </c>
      <c r="P210" s="17">
        <f>IF(OR($B210="",$I210=""),"",IF(IFERROR(MATCH($G210,nrBankTopics,0),0)=0,"OK",IF(COUNTA(INDEX(nrBankGrid,IFERROR(MATCH($G210,nrBankTopics,0),1),0))=0,"OK",IF(SUMPRODUCT((nrInstrNames&lt;&gt;"")*ISNUMBER(SEARCH(nrInstrNames,$I210))*(COUNTIF(INDEX(nrBankGrid,IFERROR(MATCH($G210,nrBankTopics,0),1),0),nrInstrNames)&gt;0))&lt;SUMPRODUCT((nrInstrNames&lt;&gt;"")*ISNUMBER(SEARCH(nrInstrNames,$I210))),"NOT IN BANK","OK"))))</f>
        <v/>
      </c>
    </row>
    <row r="211">
      <c r="B211" s="18" t="n"/>
      <c r="C211" s="17">
        <f>IF($B211="","",TEXT($B211,"ddd"))</f>
        <v/>
      </c>
      <c r="D211" s="41" t="n"/>
      <c r="E211" s="41" t="n"/>
      <c r="F211" s="17">
        <f>IF(OR($B211="",$D211="",$E211=""),"",ROUND(MOD($E211-$D211,1)*24,2))</f>
        <v/>
      </c>
      <c r="G211" s="16" t="n"/>
      <c r="H211" s="17">
        <f>IF($G211="","",IFERROR(_xlfn.XLOOKUP($G211,nrCHname,nrCHnum),IFERROR(_xlfn.XLOOKUP($G211,nrSUBname,nrSUBparent),"")))</f>
        <v/>
      </c>
      <c r="I211" s="16" t="n"/>
      <c r="J211" s="16" t="n"/>
      <c r="K211" s="17">
        <f>IF($B211="","",IFERROR(_xlfn.XLOOKUP($B211,nrCDdate,nrCDweek),""))</f>
        <v/>
      </c>
      <c r="L211" s="17">
        <f>IF($B211="","",IFERROR(_xlfn.XLOOKUP($B211,nrCDdate,nrCDnum),""))</f>
        <v/>
      </c>
      <c r="M211" s="16" t="n"/>
      <c r="N211" s="17">
        <f>IF(OR($B211="",$I211=""),"",_xlfn.LET(_xlpm.a,$I211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11" s="17">
        <f>IF(OR($B211="",$D211="",$E211=""),"",IF($E211=$D211,"CHECK TIMES (start = end)",IF($F211&gt;12,"CHECK TIMES (End is before Start?)","OK")))</f>
        <v/>
      </c>
      <c r="P211" s="17">
        <f>IF(OR($B211="",$I211=""),"",IF(IFERROR(MATCH($G211,nrBankTopics,0),0)=0,"OK",IF(COUNTA(INDEX(nrBankGrid,IFERROR(MATCH($G211,nrBankTopics,0),1),0))=0,"OK",IF(SUMPRODUCT((nrInstrNames&lt;&gt;"")*ISNUMBER(SEARCH(nrInstrNames,$I211))*(COUNTIF(INDEX(nrBankGrid,IFERROR(MATCH($G211,nrBankTopics,0),1),0),nrInstrNames)&gt;0))&lt;SUMPRODUCT((nrInstrNames&lt;&gt;"")*ISNUMBER(SEARCH(nrInstrNames,$I211))),"NOT IN BANK","OK"))))</f>
        <v/>
      </c>
    </row>
    <row r="212">
      <c r="B212" s="18" t="n"/>
      <c r="C212" s="17">
        <f>IF($B212="","",TEXT($B212,"ddd"))</f>
        <v/>
      </c>
      <c r="D212" s="41" t="n"/>
      <c r="E212" s="41" t="n"/>
      <c r="F212" s="17">
        <f>IF(OR($B212="",$D212="",$E212=""),"",ROUND(MOD($E212-$D212,1)*24,2))</f>
        <v/>
      </c>
      <c r="G212" s="16" t="n"/>
      <c r="H212" s="17">
        <f>IF($G212="","",IFERROR(_xlfn.XLOOKUP($G212,nrCHname,nrCHnum),IFERROR(_xlfn.XLOOKUP($G212,nrSUBname,nrSUBparent),"")))</f>
        <v/>
      </c>
      <c r="I212" s="16" t="n"/>
      <c r="J212" s="16" t="n"/>
      <c r="K212" s="17">
        <f>IF($B212="","",IFERROR(_xlfn.XLOOKUP($B212,nrCDdate,nrCDweek),""))</f>
        <v/>
      </c>
      <c r="L212" s="17">
        <f>IF($B212="","",IFERROR(_xlfn.XLOOKUP($B212,nrCDdate,nrCDnum),""))</f>
        <v/>
      </c>
      <c r="M212" s="16" t="n"/>
      <c r="N212" s="17">
        <f>IF(OR($B212="",$I212=""),"",_xlfn.LET(_xlpm.a,$I212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12" s="17">
        <f>IF(OR($B212="",$D212="",$E212=""),"",IF($E212=$D212,"CHECK TIMES (start = end)",IF($F212&gt;12,"CHECK TIMES (End is before Start?)","OK")))</f>
        <v/>
      </c>
      <c r="P212" s="17">
        <f>IF(OR($B212="",$I212=""),"",IF(IFERROR(MATCH($G212,nrBankTopics,0),0)=0,"OK",IF(COUNTA(INDEX(nrBankGrid,IFERROR(MATCH($G212,nrBankTopics,0),1),0))=0,"OK",IF(SUMPRODUCT((nrInstrNames&lt;&gt;"")*ISNUMBER(SEARCH(nrInstrNames,$I212))*(COUNTIF(INDEX(nrBankGrid,IFERROR(MATCH($G212,nrBankTopics,0),1),0),nrInstrNames)&gt;0))&lt;SUMPRODUCT((nrInstrNames&lt;&gt;"")*ISNUMBER(SEARCH(nrInstrNames,$I212))),"NOT IN BANK","OK"))))</f>
        <v/>
      </c>
    </row>
    <row r="213">
      <c r="B213" s="18" t="n"/>
      <c r="C213" s="17">
        <f>IF($B213="","",TEXT($B213,"ddd"))</f>
        <v/>
      </c>
      <c r="D213" s="41" t="n"/>
      <c r="E213" s="41" t="n"/>
      <c r="F213" s="17">
        <f>IF(OR($B213="",$D213="",$E213=""),"",ROUND(MOD($E213-$D213,1)*24,2))</f>
        <v/>
      </c>
      <c r="G213" s="16" t="n"/>
      <c r="H213" s="17">
        <f>IF($G213="","",IFERROR(_xlfn.XLOOKUP($G213,nrCHname,nrCHnum),IFERROR(_xlfn.XLOOKUP($G213,nrSUBname,nrSUBparent),"")))</f>
        <v/>
      </c>
      <c r="I213" s="16" t="n"/>
      <c r="J213" s="16" t="n"/>
      <c r="K213" s="17">
        <f>IF($B213="","",IFERROR(_xlfn.XLOOKUP($B213,nrCDdate,nrCDweek),""))</f>
        <v/>
      </c>
      <c r="L213" s="17">
        <f>IF($B213="","",IFERROR(_xlfn.XLOOKUP($B213,nrCDdate,nrCDnum),""))</f>
        <v/>
      </c>
      <c r="M213" s="16" t="n"/>
      <c r="N213" s="17">
        <f>IF(OR($B213="",$I213=""),"",_xlfn.LET(_xlpm.a,$I213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13" s="17">
        <f>IF(OR($B213="",$D213="",$E213=""),"",IF($E213=$D213,"CHECK TIMES (start = end)",IF($F213&gt;12,"CHECK TIMES (End is before Start?)","OK")))</f>
        <v/>
      </c>
      <c r="P213" s="17">
        <f>IF(OR($B213="",$I213=""),"",IF(IFERROR(MATCH($G213,nrBankTopics,0),0)=0,"OK",IF(COUNTA(INDEX(nrBankGrid,IFERROR(MATCH($G213,nrBankTopics,0),1),0))=0,"OK",IF(SUMPRODUCT((nrInstrNames&lt;&gt;"")*ISNUMBER(SEARCH(nrInstrNames,$I213))*(COUNTIF(INDEX(nrBankGrid,IFERROR(MATCH($G213,nrBankTopics,0),1),0),nrInstrNames)&gt;0))&lt;SUMPRODUCT((nrInstrNames&lt;&gt;"")*ISNUMBER(SEARCH(nrInstrNames,$I213))),"NOT IN BANK","OK"))))</f>
        <v/>
      </c>
    </row>
    <row r="214">
      <c r="B214" s="18" t="n"/>
      <c r="C214" s="17">
        <f>IF($B214="","",TEXT($B214,"ddd"))</f>
        <v/>
      </c>
      <c r="D214" s="41" t="n"/>
      <c r="E214" s="41" t="n"/>
      <c r="F214" s="17">
        <f>IF(OR($B214="",$D214="",$E214=""),"",ROUND(MOD($E214-$D214,1)*24,2))</f>
        <v/>
      </c>
      <c r="G214" s="16" t="n"/>
      <c r="H214" s="17">
        <f>IF($G214="","",IFERROR(_xlfn.XLOOKUP($G214,nrCHname,nrCHnum),IFERROR(_xlfn.XLOOKUP($G214,nrSUBname,nrSUBparent),"")))</f>
        <v/>
      </c>
      <c r="I214" s="16" t="n"/>
      <c r="J214" s="16" t="n"/>
      <c r="K214" s="17">
        <f>IF($B214="","",IFERROR(_xlfn.XLOOKUP($B214,nrCDdate,nrCDweek),""))</f>
        <v/>
      </c>
      <c r="L214" s="17">
        <f>IF($B214="","",IFERROR(_xlfn.XLOOKUP($B214,nrCDdate,nrCDnum),""))</f>
        <v/>
      </c>
      <c r="M214" s="16" t="n"/>
      <c r="N214" s="17">
        <f>IF(OR($B214="",$I214=""),"",_xlfn.LET(_xlpm.a,$I214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14" s="17">
        <f>IF(OR($B214="",$D214="",$E214=""),"",IF($E214=$D214,"CHECK TIMES (start = end)",IF($F214&gt;12,"CHECK TIMES (End is before Start?)","OK")))</f>
        <v/>
      </c>
      <c r="P214" s="17">
        <f>IF(OR($B214="",$I214=""),"",IF(IFERROR(MATCH($G214,nrBankTopics,0),0)=0,"OK",IF(COUNTA(INDEX(nrBankGrid,IFERROR(MATCH($G214,nrBankTopics,0),1),0))=0,"OK",IF(SUMPRODUCT((nrInstrNames&lt;&gt;"")*ISNUMBER(SEARCH(nrInstrNames,$I214))*(COUNTIF(INDEX(nrBankGrid,IFERROR(MATCH($G214,nrBankTopics,0),1),0),nrInstrNames)&gt;0))&lt;SUMPRODUCT((nrInstrNames&lt;&gt;"")*ISNUMBER(SEARCH(nrInstrNames,$I214))),"NOT IN BANK","OK"))))</f>
        <v/>
      </c>
    </row>
    <row r="215">
      <c r="B215" s="18" t="n"/>
      <c r="C215" s="17">
        <f>IF($B215="","",TEXT($B215,"ddd"))</f>
        <v/>
      </c>
      <c r="D215" s="41" t="n"/>
      <c r="E215" s="41" t="n"/>
      <c r="F215" s="17">
        <f>IF(OR($B215="",$D215="",$E215=""),"",ROUND(MOD($E215-$D215,1)*24,2))</f>
        <v/>
      </c>
      <c r="G215" s="16" t="n"/>
      <c r="H215" s="17">
        <f>IF($G215="","",IFERROR(_xlfn.XLOOKUP($G215,nrCHname,nrCHnum),IFERROR(_xlfn.XLOOKUP($G215,nrSUBname,nrSUBparent),"")))</f>
        <v/>
      </c>
      <c r="I215" s="16" t="n"/>
      <c r="J215" s="16" t="n"/>
      <c r="K215" s="17">
        <f>IF($B215="","",IFERROR(_xlfn.XLOOKUP($B215,nrCDdate,nrCDweek),""))</f>
        <v/>
      </c>
      <c r="L215" s="17">
        <f>IF($B215="","",IFERROR(_xlfn.XLOOKUP($B215,nrCDdate,nrCDnum),""))</f>
        <v/>
      </c>
      <c r="M215" s="16" t="n"/>
      <c r="N215" s="17">
        <f>IF(OR($B215="",$I215=""),"",_xlfn.LET(_xlpm.a,$I215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15" s="17">
        <f>IF(OR($B215="",$D215="",$E215=""),"",IF($E215=$D215,"CHECK TIMES (start = end)",IF($F215&gt;12,"CHECK TIMES (End is before Start?)","OK")))</f>
        <v/>
      </c>
      <c r="P215" s="17">
        <f>IF(OR($B215="",$I215=""),"",IF(IFERROR(MATCH($G215,nrBankTopics,0),0)=0,"OK",IF(COUNTA(INDEX(nrBankGrid,IFERROR(MATCH($G215,nrBankTopics,0),1),0))=0,"OK",IF(SUMPRODUCT((nrInstrNames&lt;&gt;"")*ISNUMBER(SEARCH(nrInstrNames,$I215))*(COUNTIF(INDEX(nrBankGrid,IFERROR(MATCH($G215,nrBankTopics,0),1),0),nrInstrNames)&gt;0))&lt;SUMPRODUCT((nrInstrNames&lt;&gt;"")*ISNUMBER(SEARCH(nrInstrNames,$I215))),"NOT IN BANK","OK"))))</f>
        <v/>
      </c>
    </row>
    <row r="216">
      <c r="B216" s="18" t="n"/>
      <c r="C216" s="17">
        <f>IF($B216="","",TEXT($B216,"ddd"))</f>
        <v/>
      </c>
      <c r="D216" s="41" t="n"/>
      <c r="E216" s="41" t="n"/>
      <c r="F216" s="17">
        <f>IF(OR($B216="",$D216="",$E216=""),"",ROUND(MOD($E216-$D216,1)*24,2))</f>
        <v/>
      </c>
      <c r="G216" s="16" t="n"/>
      <c r="H216" s="17">
        <f>IF($G216="","",IFERROR(_xlfn.XLOOKUP($G216,nrCHname,nrCHnum),IFERROR(_xlfn.XLOOKUP($G216,nrSUBname,nrSUBparent),"")))</f>
        <v/>
      </c>
      <c r="I216" s="16" t="n"/>
      <c r="J216" s="16" t="n"/>
      <c r="K216" s="17">
        <f>IF($B216="","",IFERROR(_xlfn.XLOOKUP($B216,nrCDdate,nrCDweek),""))</f>
        <v/>
      </c>
      <c r="L216" s="17">
        <f>IF($B216="","",IFERROR(_xlfn.XLOOKUP($B216,nrCDdate,nrCDnum),""))</f>
        <v/>
      </c>
      <c r="M216" s="16" t="n"/>
      <c r="N216" s="17">
        <f>IF(OR($B216="",$I216=""),"",_xlfn.LET(_xlpm.a,$I216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16" s="17">
        <f>IF(OR($B216="",$D216="",$E216=""),"",IF($E216=$D216,"CHECK TIMES (start = end)",IF($F216&gt;12,"CHECK TIMES (End is before Start?)","OK")))</f>
        <v/>
      </c>
      <c r="P216" s="17">
        <f>IF(OR($B216="",$I216=""),"",IF(IFERROR(MATCH($G216,nrBankTopics,0),0)=0,"OK",IF(COUNTA(INDEX(nrBankGrid,IFERROR(MATCH($G216,nrBankTopics,0),1),0))=0,"OK",IF(SUMPRODUCT((nrInstrNames&lt;&gt;"")*ISNUMBER(SEARCH(nrInstrNames,$I216))*(COUNTIF(INDEX(nrBankGrid,IFERROR(MATCH($G216,nrBankTopics,0),1),0),nrInstrNames)&gt;0))&lt;SUMPRODUCT((nrInstrNames&lt;&gt;"")*ISNUMBER(SEARCH(nrInstrNames,$I216))),"NOT IN BANK","OK"))))</f>
        <v/>
      </c>
    </row>
    <row r="217">
      <c r="B217" s="18" t="n"/>
      <c r="C217" s="17">
        <f>IF($B217="","",TEXT($B217,"ddd"))</f>
        <v/>
      </c>
      <c r="D217" s="41" t="n"/>
      <c r="E217" s="41" t="n"/>
      <c r="F217" s="17">
        <f>IF(OR($B217="",$D217="",$E217=""),"",ROUND(MOD($E217-$D217,1)*24,2))</f>
        <v/>
      </c>
      <c r="G217" s="16" t="n"/>
      <c r="H217" s="17">
        <f>IF($G217="","",IFERROR(_xlfn.XLOOKUP($G217,nrCHname,nrCHnum),IFERROR(_xlfn.XLOOKUP($G217,nrSUBname,nrSUBparent),"")))</f>
        <v/>
      </c>
      <c r="I217" s="16" t="n"/>
      <c r="J217" s="16" t="n"/>
      <c r="K217" s="17">
        <f>IF($B217="","",IFERROR(_xlfn.XLOOKUP($B217,nrCDdate,nrCDweek),""))</f>
        <v/>
      </c>
      <c r="L217" s="17">
        <f>IF($B217="","",IFERROR(_xlfn.XLOOKUP($B217,nrCDdate,nrCDnum),""))</f>
        <v/>
      </c>
      <c r="M217" s="16" t="n"/>
      <c r="N217" s="17">
        <f>IF(OR($B217="",$I217=""),"",_xlfn.LET(_xlpm.a,$I217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17" s="17">
        <f>IF(OR($B217="",$D217="",$E217=""),"",IF($E217=$D217,"CHECK TIMES (start = end)",IF($F217&gt;12,"CHECK TIMES (End is before Start?)","OK")))</f>
        <v/>
      </c>
      <c r="P217" s="17">
        <f>IF(OR($B217="",$I217=""),"",IF(IFERROR(MATCH($G217,nrBankTopics,0),0)=0,"OK",IF(COUNTA(INDEX(nrBankGrid,IFERROR(MATCH($G217,nrBankTopics,0),1),0))=0,"OK",IF(SUMPRODUCT((nrInstrNames&lt;&gt;"")*ISNUMBER(SEARCH(nrInstrNames,$I217))*(COUNTIF(INDEX(nrBankGrid,IFERROR(MATCH($G217,nrBankTopics,0),1),0),nrInstrNames)&gt;0))&lt;SUMPRODUCT((nrInstrNames&lt;&gt;"")*ISNUMBER(SEARCH(nrInstrNames,$I217))),"NOT IN BANK","OK"))))</f>
        <v/>
      </c>
    </row>
    <row r="218">
      <c r="B218" s="18" t="n"/>
      <c r="C218" s="17">
        <f>IF($B218="","",TEXT($B218,"ddd"))</f>
        <v/>
      </c>
      <c r="D218" s="41" t="n"/>
      <c r="E218" s="41" t="n"/>
      <c r="F218" s="17">
        <f>IF(OR($B218="",$D218="",$E218=""),"",ROUND(MOD($E218-$D218,1)*24,2))</f>
        <v/>
      </c>
      <c r="G218" s="16" t="n"/>
      <c r="H218" s="17">
        <f>IF($G218="","",IFERROR(_xlfn.XLOOKUP($G218,nrCHname,nrCHnum),IFERROR(_xlfn.XLOOKUP($G218,nrSUBname,nrSUBparent),"")))</f>
        <v/>
      </c>
      <c r="I218" s="16" t="n"/>
      <c r="J218" s="16" t="n"/>
      <c r="K218" s="17">
        <f>IF($B218="","",IFERROR(_xlfn.XLOOKUP($B218,nrCDdate,nrCDweek),""))</f>
        <v/>
      </c>
      <c r="L218" s="17">
        <f>IF($B218="","",IFERROR(_xlfn.XLOOKUP($B218,nrCDdate,nrCDnum),""))</f>
        <v/>
      </c>
      <c r="M218" s="16" t="n"/>
      <c r="N218" s="17">
        <f>IF(OR($B218="",$I218=""),"",_xlfn.LET(_xlpm.a,$I218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18" s="17">
        <f>IF(OR($B218="",$D218="",$E218=""),"",IF($E218=$D218,"CHECK TIMES (start = end)",IF($F218&gt;12,"CHECK TIMES (End is before Start?)","OK")))</f>
        <v/>
      </c>
      <c r="P218" s="17">
        <f>IF(OR($B218="",$I218=""),"",IF(IFERROR(MATCH($G218,nrBankTopics,0),0)=0,"OK",IF(COUNTA(INDEX(nrBankGrid,IFERROR(MATCH($G218,nrBankTopics,0),1),0))=0,"OK",IF(SUMPRODUCT((nrInstrNames&lt;&gt;"")*ISNUMBER(SEARCH(nrInstrNames,$I218))*(COUNTIF(INDEX(nrBankGrid,IFERROR(MATCH($G218,nrBankTopics,0),1),0),nrInstrNames)&gt;0))&lt;SUMPRODUCT((nrInstrNames&lt;&gt;"")*ISNUMBER(SEARCH(nrInstrNames,$I218))),"NOT IN BANK","OK"))))</f>
        <v/>
      </c>
    </row>
    <row r="219">
      <c r="B219" s="18" t="n"/>
      <c r="C219" s="17">
        <f>IF($B219="","",TEXT($B219,"ddd"))</f>
        <v/>
      </c>
      <c r="D219" s="41" t="n"/>
      <c r="E219" s="41" t="n"/>
      <c r="F219" s="17">
        <f>IF(OR($B219="",$D219="",$E219=""),"",ROUND(MOD($E219-$D219,1)*24,2))</f>
        <v/>
      </c>
      <c r="G219" s="16" t="n"/>
      <c r="H219" s="17">
        <f>IF($G219="","",IFERROR(_xlfn.XLOOKUP($G219,nrCHname,nrCHnum),IFERROR(_xlfn.XLOOKUP($G219,nrSUBname,nrSUBparent),"")))</f>
        <v/>
      </c>
      <c r="I219" s="16" t="n"/>
      <c r="J219" s="16" t="n"/>
      <c r="K219" s="17">
        <f>IF($B219="","",IFERROR(_xlfn.XLOOKUP($B219,nrCDdate,nrCDweek),""))</f>
        <v/>
      </c>
      <c r="L219" s="17">
        <f>IF($B219="","",IFERROR(_xlfn.XLOOKUP($B219,nrCDdate,nrCDnum),""))</f>
        <v/>
      </c>
      <c r="M219" s="16" t="n"/>
      <c r="N219" s="17">
        <f>IF(OR($B219="",$I219=""),"",_xlfn.LET(_xlpm.a,$I219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19" s="17">
        <f>IF(OR($B219="",$D219="",$E219=""),"",IF($E219=$D219,"CHECK TIMES (start = end)",IF($F219&gt;12,"CHECK TIMES (End is before Start?)","OK")))</f>
        <v/>
      </c>
      <c r="P219" s="17">
        <f>IF(OR($B219="",$I219=""),"",IF(IFERROR(MATCH($G219,nrBankTopics,0),0)=0,"OK",IF(COUNTA(INDEX(nrBankGrid,IFERROR(MATCH($G219,nrBankTopics,0),1),0))=0,"OK",IF(SUMPRODUCT((nrInstrNames&lt;&gt;"")*ISNUMBER(SEARCH(nrInstrNames,$I219))*(COUNTIF(INDEX(nrBankGrid,IFERROR(MATCH($G219,nrBankTopics,0),1),0),nrInstrNames)&gt;0))&lt;SUMPRODUCT((nrInstrNames&lt;&gt;"")*ISNUMBER(SEARCH(nrInstrNames,$I219))),"NOT IN BANK","OK"))))</f>
        <v/>
      </c>
    </row>
    <row r="220">
      <c r="B220" s="18" t="n"/>
      <c r="C220" s="17">
        <f>IF($B220="","",TEXT($B220,"ddd"))</f>
        <v/>
      </c>
      <c r="D220" s="41" t="n"/>
      <c r="E220" s="41" t="n"/>
      <c r="F220" s="17">
        <f>IF(OR($B220="",$D220="",$E220=""),"",ROUND(MOD($E220-$D220,1)*24,2))</f>
        <v/>
      </c>
      <c r="G220" s="16" t="n"/>
      <c r="H220" s="17">
        <f>IF($G220="","",IFERROR(_xlfn.XLOOKUP($G220,nrCHname,nrCHnum),IFERROR(_xlfn.XLOOKUP($G220,nrSUBname,nrSUBparent),"")))</f>
        <v/>
      </c>
      <c r="I220" s="16" t="n"/>
      <c r="J220" s="16" t="n"/>
      <c r="K220" s="17">
        <f>IF($B220="","",IFERROR(_xlfn.XLOOKUP($B220,nrCDdate,nrCDweek),""))</f>
        <v/>
      </c>
      <c r="L220" s="17">
        <f>IF($B220="","",IFERROR(_xlfn.XLOOKUP($B220,nrCDdate,nrCDnum),""))</f>
        <v/>
      </c>
      <c r="M220" s="16" t="n"/>
      <c r="N220" s="17">
        <f>IF(OR($B220="",$I220=""),"",_xlfn.LET(_xlpm.a,$I220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20" s="17">
        <f>IF(OR($B220="",$D220="",$E220=""),"",IF($E220=$D220,"CHECK TIMES (start = end)",IF($F220&gt;12,"CHECK TIMES (End is before Start?)","OK")))</f>
        <v/>
      </c>
      <c r="P220" s="17">
        <f>IF(OR($B220="",$I220=""),"",IF(IFERROR(MATCH($G220,nrBankTopics,0),0)=0,"OK",IF(COUNTA(INDEX(nrBankGrid,IFERROR(MATCH($G220,nrBankTopics,0),1),0))=0,"OK",IF(SUMPRODUCT((nrInstrNames&lt;&gt;"")*ISNUMBER(SEARCH(nrInstrNames,$I220))*(COUNTIF(INDEX(nrBankGrid,IFERROR(MATCH($G220,nrBankTopics,0),1),0),nrInstrNames)&gt;0))&lt;SUMPRODUCT((nrInstrNames&lt;&gt;"")*ISNUMBER(SEARCH(nrInstrNames,$I220))),"NOT IN BANK","OK"))))</f>
        <v/>
      </c>
    </row>
    <row r="221">
      <c r="B221" s="18" t="n"/>
      <c r="C221" s="17">
        <f>IF($B221="","",TEXT($B221,"ddd"))</f>
        <v/>
      </c>
      <c r="D221" s="41" t="n"/>
      <c r="E221" s="41" t="n"/>
      <c r="F221" s="17">
        <f>IF(OR($B221="",$D221="",$E221=""),"",ROUND(MOD($E221-$D221,1)*24,2))</f>
        <v/>
      </c>
      <c r="G221" s="16" t="n"/>
      <c r="H221" s="17">
        <f>IF($G221="","",IFERROR(_xlfn.XLOOKUP($G221,nrCHname,nrCHnum),IFERROR(_xlfn.XLOOKUP($G221,nrSUBname,nrSUBparent),"")))</f>
        <v/>
      </c>
      <c r="I221" s="16" t="n"/>
      <c r="J221" s="16" t="n"/>
      <c r="K221" s="17">
        <f>IF($B221="","",IFERROR(_xlfn.XLOOKUP($B221,nrCDdate,nrCDweek),""))</f>
        <v/>
      </c>
      <c r="L221" s="17">
        <f>IF($B221="","",IFERROR(_xlfn.XLOOKUP($B221,nrCDdate,nrCDnum),""))</f>
        <v/>
      </c>
      <c r="M221" s="16" t="n"/>
      <c r="N221" s="17">
        <f>IF(OR($B221="",$I221=""),"",_xlfn.LET(_xlpm.a,$I221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21" s="17">
        <f>IF(OR($B221="",$D221="",$E221=""),"",IF($E221=$D221,"CHECK TIMES (start = end)",IF($F221&gt;12,"CHECK TIMES (End is before Start?)","OK")))</f>
        <v/>
      </c>
      <c r="P221" s="17">
        <f>IF(OR($B221="",$I221=""),"",IF(IFERROR(MATCH($G221,nrBankTopics,0),0)=0,"OK",IF(COUNTA(INDEX(nrBankGrid,IFERROR(MATCH($G221,nrBankTopics,0),1),0))=0,"OK",IF(SUMPRODUCT((nrInstrNames&lt;&gt;"")*ISNUMBER(SEARCH(nrInstrNames,$I221))*(COUNTIF(INDEX(nrBankGrid,IFERROR(MATCH($G221,nrBankTopics,0),1),0),nrInstrNames)&gt;0))&lt;SUMPRODUCT((nrInstrNames&lt;&gt;"")*ISNUMBER(SEARCH(nrInstrNames,$I221))),"NOT IN BANK","OK"))))</f>
        <v/>
      </c>
    </row>
    <row r="222">
      <c r="B222" s="18" t="n"/>
      <c r="C222" s="17">
        <f>IF($B222="","",TEXT($B222,"ddd"))</f>
        <v/>
      </c>
      <c r="D222" s="41" t="n"/>
      <c r="E222" s="41" t="n"/>
      <c r="F222" s="17">
        <f>IF(OR($B222="",$D222="",$E222=""),"",ROUND(MOD($E222-$D222,1)*24,2))</f>
        <v/>
      </c>
      <c r="G222" s="16" t="n"/>
      <c r="H222" s="17">
        <f>IF($G222="","",IFERROR(_xlfn.XLOOKUP($G222,nrCHname,nrCHnum),IFERROR(_xlfn.XLOOKUP($G222,nrSUBname,nrSUBparent),"")))</f>
        <v/>
      </c>
      <c r="I222" s="16" t="n"/>
      <c r="J222" s="16" t="n"/>
      <c r="K222" s="17">
        <f>IF($B222="","",IFERROR(_xlfn.XLOOKUP($B222,nrCDdate,nrCDweek),""))</f>
        <v/>
      </c>
      <c r="L222" s="17">
        <f>IF($B222="","",IFERROR(_xlfn.XLOOKUP($B222,nrCDdate,nrCDnum),""))</f>
        <v/>
      </c>
      <c r="M222" s="16" t="n"/>
      <c r="N222" s="17">
        <f>IF(OR($B222="",$I222=""),"",_xlfn.LET(_xlpm.a,$I222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22" s="17">
        <f>IF(OR($B222="",$D222="",$E222=""),"",IF($E222=$D222,"CHECK TIMES (start = end)",IF($F222&gt;12,"CHECK TIMES (End is before Start?)","OK")))</f>
        <v/>
      </c>
      <c r="P222" s="17">
        <f>IF(OR($B222="",$I222=""),"",IF(IFERROR(MATCH($G222,nrBankTopics,0),0)=0,"OK",IF(COUNTA(INDEX(nrBankGrid,IFERROR(MATCH($G222,nrBankTopics,0),1),0))=0,"OK",IF(SUMPRODUCT((nrInstrNames&lt;&gt;"")*ISNUMBER(SEARCH(nrInstrNames,$I222))*(COUNTIF(INDEX(nrBankGrid,IFERROR(MATCH($G222,nrBankTopics,0),1),0),nrInstrNames)&gt;0))&lt;SUMPRODUCT((nrInstrNames&lt;&gt;"")*ISNUMBER(SEARCH(nrInstrNames,$I222))),"NOT IN BANK","OK"))))</f>
        <v/>
      </c>
    </row>
    <row r="223">
      <c r="B223" s="18" t="n"/>
      <c r="C223" s="17">
        <f>IF($B223="","",TEXT($B223,"ddd"))</f>
        <v/>
      </c>
      <c r="D223" s="41" t="n"/>
      <c r="E223" s="41" t="n"/>
      <c r="F223" s="17">
        <f>IF(OR($B223="",$D223="",$E223=""),"",ROUND(MOD($E223-$D223,1)*24,2))</f>
        <v/>
      </c>
      <c r="G223" s="16" t="n"/>
      <c r="H223" s="17">
        <f>IF($G223="","",IFERROR(_xlfn.XLOOKUP($G223,nrCHname,nrCHnum),IFERROR(_xlfn.XLOOKUP($G223,nrSUBname,nrSUBparent),"")))</f>
        <v/>
      </c>
      <c r="I223" s="16" t="n"/>
      <c r="J223" s="16" t="n"/>
      <c r="K223" s="17">
        <f>IF($B223="","",IFERROR(_xlfn.XLOOKUP($B223,nrCDdate,nrCDweek),""))</f>
        <v/>
      </c>
      <c r="L223" s="17">
        <f>IF($B223="","",IFERROR(_xlfn.XLOOKUP($B223,nrCDdate,nrCDnum),""))</f>
        <v/>
      </c>
      <c r="M223" s="16" t="n"/>
      <c r="N223" s="17">
        <f>IF(OR($B223="",$I223=""),"",_xlfn.LET(_xlpm.a,$I223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23" s="17">
        <f>IF(OR($B223="",$D223="",$E223=""),"",IF($E223=$D223,"CHECK TIMES (start = end)",IF($F223&gt;12,"CHECK TIMES (End is before Start?)","OK")))</f>
        <v/>
      </c>
      <c r="P223" s="17">
        <f>IF(OR($B223="",$I223=""),"",IF(IFERROR(MATCH($G223,nrBankTopics,0),0)=0,"OK",IF(COUNTA(INDEX(nrBankGrid,IFERROR(MATCH($G223,nrBankTopics,0),1),0))=0,"OK",IF(SUMPRODUCT((nrInstrNames&lt;&gt;"")*ISNUMBER(SEARCH(nrInstrNames,$I223))*(COUNTIF(INDEX(nrBankGrid,IFERROR(MATCH($G223,nrBankTopics,0),1),0),nrInstrNames)&gt;0))&lt;SUMPRODUCT((nrInstrNames&lt;&gt;"")*ISNUMBER(SEARCH(nrInstrNames,$I223))),"NOT IN BANK","OK"))))</f>
        <v/>
      </c>
    </row>
    <row r="224">
      <c r="B224" s="18" t="n"/>
      <c r="C224" s="17">
        <f>IF($B224="","",TEXT($B224,"ddd"))</f>
        <v/>
      </c>
      <c r="D224" s="41" t="n"/>
      <c r="E224" s="41" t="n"/>
      <c r="F224" s="17">
        <f>IF(OR($B224="",$D224="",$E224=""),"",ROUND(MOD($E224-$D224,1)*24,2))</f>
        <v/>
      </c>
      <c r="G224" s="16" t="n"/>
      <c r="H224" s="17">
        <f>IF($G224="","",IFERROR(_xlfn.XLOOKUP($G224,nrCHname,nrCHnum),IFERROR(_xlfn.XLOOKUP($G224,nrSUBname,nrSUBparent),"")))</f>
        <v/>
      </c>
      <c r="I224" s="16" t="n"/>
      <c r="J224" s="16" t="n"/>
      <c r="K224" s="17">
        <f>IF($B224="","",IFERROR(_xlfn.XLOOKUP($B224,nrCDdate,nrCDweek),""))</f>
        <v/>
      </c>
      <c r="L224" s="17">
        <f>IF($B224="","",IFERROR(_xlfn.XLOOKUP($B224,nrCDdate,nrCDnum),""))</f>
        <v/>
      </c>
      <c r="M224" s="16" t="n"/>
      <c r="N224" s="17">
        <f>IF(OR($B224="",$I224=""),"",_xlfn.LET(_xlpm.a,$I224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24" s="17">
        <f>IF(OR($B224="",$D224="",$E224=""),"",IF($E224=$D224,"CHECK TIMES (start = end)",IF($F224&gt;12,"CHECK TIMES (End is before Start?)","OK")))</f>
        <v/>
      </c>
      <c r="P224" s="17">
        <f>IF(OR($B224="",$I224=""),"",IF(IFERROR(MATCH($G224,nrBankTopics,0),0)=0,"OK",IF(COUNTA(INDEX(nrBankGrid,IFERROR(MATCH($G224,nrBankTopics,0),1),0))=0,"OK",IF(SUMPRODUCT((nrInstrNames&lt;&gt;"")*ISNUMBER(SEARCH(nrInstrNames,$I224))*(COUNTIF(INDEX(nrBankGrid,IFERROR(MATCH($G224,nrBankTopics,0),1),0),nrInstrNames)&gt;0))&lt;SUMPRODUCT((nrInstrNames&lt;&gt;"")*ISNUMBER(SEARCH(nrInstrNames,$I224))),"NOT IN BANK","OK"))))</f>
        <v/>
      </c>
    </row>
    <row r="225">
      <c r="B225" s="18" t="n"/>
      <c r="C225" s="17">
        <f>IF($B225="","",TEXT($B225,"ddd"))</f>
        <v/>
      </c>
      <c r="D225" s="41" t="n"/>
      <c r="E225" s="41" t="n"/>
      <c r="F225" s="17">
        <f>IF(OR($B225="",$D225="",$E225=""),"",ROUND(MOD($E225-$D225,1)*24,2))</f>
        <v/>
      </c>
      <c r="G225" s="16" t="n"/>
      <c r="H225" s="17">
        <f>IF($G225="","",IFERROR(_xlfn.XLOOKUP($G225,nrCHname,nrCHnum),IFERROR(_xlfn.XLOOKUP($G225,nrSUBname,nrSUBparent),"")))</f>
        <v/>
      </c>
      <c r="I225" s="16" t="n"/>
      <c r="J225" s="16" t="n"/>
      <c r="K225" s="17">
        <f>IF($B225="","",IFERROR(_xlfn.XLOOKUP($B225,nrCDdate,nrCDweek),""))</f>
        <v/>
      </c>
      <c r="L225" s="17">
        <f>IF($B225="","",IFERROR(_xlfn.XLOOKUP($B225,nrCDdate,nrCDnum),""))</f>
        <v/>
      </c>
      <c r="M225" s="16" t="n"/>
      <c r="N225" s="17">
        <f>IF(OR($B225="",$I225=""),"",_xlfn.LET(_xlpm.a,$I225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25" s="17">
        <f>IF(OR($B225="",$D225="",$E225=""),"",IF($E225=$D225,"CHECK TIMES (start = end)",IF($F225&gt;12,"CHECK TIMES (End is before Start?)","OK")))</f>
        <v/>
      </c>
      <c r="P225" s="17">
        <f>IF(OR($B225="",$I225=""),"",IF(IFERROR(MATCH($G225,nrBankTopics,0),0)=0,"OK",IF(COUNTA(INDEX(nrBankGrid,IFERROR(MATCH($G225,nrBankTopics,0),1),0))=0,"OK",IF(SUMPRODUCT((nrInstrNames&lt;&gt;"")*ISNUMBER(SEARCH(nrInstrNames,$I225))*(COUNTIF(INDEX(nrBankGrid,IFERROR(MATCH($G225,nrBankTopics,0),1),0),nrInstrNames)&gt;0))&lt;SUMPRODUCT((nrInstrNames&lt;&gt;"")*ISNUMBER(SEARCH(nrInstrNames,$I225))),"NOT IN BANK","OK"))))</f>
        <v/>
      </c>
    </row>
    <row r="226">
      <c r="B226" s="18" t="n"/>
      <c r="C226" s="17">
        <f>IF($B226="","",TEXT($B226,"ddd"))</f>
        <v/>
      </c>
      <c r="D226" s="41" t="n"/>
      <c r="E226" s="41" t="n"/>
      <c r="F226" s="17">
        <f>IF(OR($B226="",$D226="",$E226=""),"",ROUND(MOD($E226-$D226,1)*24,2))</f>
        <v/>
      </c>
      <c r="G226" s="16" t="n"/>
      <c r="H226" s="17">
        <f>IF($G226="","",IFERROR(_xlfn.XLOOKUP($G226,nrCHname,nrCHnum),IFERROR(_xlfn.XLOOKUP($G226,nrSUBname,nrSUBparent),"")))</f>
        <v/>
      </c>
      <c r="I226" s="16" t="n"/>
      <c r="J226" s="16" t="n"/>
      <c r="K226" s="17">
        <f>IF($B226="","",IFERROR(_xlfn.XLOOKUP($B226,nrCDdate,nrCDweek),""))</f>
        <v/>
      </c>
      <c r="L226" s="17">
        <f>IF($B226="","",IFERROR(_xlfn.XLOOKUP($B226,nrCDdate,nrCDnum),""))</f>
        <v/>
      </c>
      <c r="M226" s="16" t="n"/>
      <c r="N226" s="17">
        <f>IF(OR($B226="",$I226=""),"",_xlfn.LET(_xlpm.a,$I226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26" s="17">
        <f>IF(OR($B226="",$D226="",$E226=""),"",IF($E226=$D226,"CHECK TIMES (start = end)",IF($F226&gt;12,"CHECK TIMES (End is before Start?)","OK")))</f>
        <v/>
      </c>
      <c r="P226" s="17">
        <f>IF(OR($B226="",$I226=""),"",IF(IFERROR(MATCH($G226,nrBankTopics,0),0)=0,"OK",IF(COUNTA(INDEX(nrBankGrid,IFERROR(MATCH($G226,nrBankTopics,0),1),0))=0,"OK",IF(SUMPRODUCT((nrInstrNames&lt;&gt;"")*ISNUMBER(SEARCH(nrInstrNames,$I226))*(COUNTIF(INDEX(nrBankGrid,IFERROR(MATCH($G226,nrBankTopics,0),1),0),nrInstrNames)&gt;0))&lt;SUMPRODUCT((nrInstrNames&lt;&gt;"")*ISNUMBER(SEARCH(nrInstrNames,$I226))),"NOT IN BANK","OK"))))</f>
        <v/>
      </c>
    </row>
    <row r="227">
      <c r="B227" s="18" t="n"/>
      <c r="C227" s="17">
        <f>IF($B227="","",TEXT($B227,"ddd"))</f>
        <v/>
      </c>
      <c r="D227" s="41" t="n"/>
      <c r="E227" s="41" t="n"/>
      <c r="F227" s="17">
        <f>IF(OR($B227="",$D227="",$E227=""),"",ROUND(MOD($E227-$D227,1)*24,2))</f>
        <v/>
      </c>
      <c r="G227" s="16" t="n"/>
      <c r="H227" s="17">
        <f>IF($G227="","",IFERROR(_xlfn.XLOOKUP($G227,nrCHname,nrCHnum),IFERROR(_xlfn.XLOOKUP($G227,nrSUBname,nrSUBparent),"")))</f>
        <v/>
      </c>
      <c r="I227" s="16" t="n"/>
      <c r="J227" s="16" t="n"/>
      <c r="K227" s="17">
        <f>IF($B227="","",IFERROR(_xlfn.XLOOKUP($B227,nrCDdate,nrCDweek),""))</f>
        <v/>
      </c>
      <c r="L227" s="17">
        <f>IF($B227="","",IFERROR(_xlfn.XLOOKUP($B227,nrCDdate,nrCDnum),""))</f>
        <v/>
      </c>
      <c r="M227" s="16" t="n"/>
      <c r="N227" s="17">
        <f>IF(OR($B227="",$I227=""),"",_xlfn.LET(_xlpm.a,$I227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27" s="17">
        <f>IF(OR($B227="",$D227="",$E227=""),"",IF($E227=$D227,"CHECK TIMES (start = end)",IF($F227&gt;12,"CHECK TIMES (End is before Start?)","OK")))</f>
        <v/>
      </c>
      <c r="P227" s="17">
        <f>IF(OR($B227="",$I227=""),"",IF(IFERROR(MATCH($G227,nrBankTopics,0),0)=0,"OK",IF(COUNTA(INDEX(nrBankGrid,IFERROR(MATCH($G227,nrBankTopics,0),1),0))=0,"OK",IF(SUMPRODUCT((nrInstrNames&lt;&gt;"")*ISNUMBER(SEARCH(nrInstrNames,$I227))*(COUNTIF(INDEX(nrBankGrid,IFERROR(MATCH($G227,nrBankTopics,0),1),0),nrInstrNames)&gt;0))&lt;SUMPRODUCT((nrInstrNames&lt;&gt;"")*ISNUMBER(SEARCH(nrInstrNames,$I227))),"NOT IN BANK","OK"))))</f>
        <v/>
      </c>
    </row>
    <row r="228">
      <c r="B228" s="18" t="n"/>
      <c r="C228" s="17">
        <f>IF($B228="","",TEXT($B228,"ddd"))</f>
        <v/>
      </c>
      <c r="D228" s="41" t="n"/>
      <c r="E228" s="41" t="n"/>
      <c r="F228" s="17">
        <f>IF(OR($B228="",$D228="",$E228=""),"",ROUND(MOD($E228-$D228,1)*24,2))</f>
        <v/>
      </c>
      <c r="G228" s="16" t="n"/>
      <c r="H228" s="17">
        <f>IF($G228="","",IFERROR(_xlfn.XLOOKUP($G228,nrCHname,nrCHnum),IFERROR(_xlfn.XLOOKUP($G228,nrSUBname,nrSUBparent),"")))</f>
        <v/>
      </c>
      <c r="I228" s="16" t="n"/>
      <c r="J228" s="16" t="n"/>
      <c r="K228" s="17">
        <f>IF($B228="","",IFERROR(_xlfn.XLOOKUP($B228,nrCDdate,nrCDweek),""))</f>
        <v/>
      </c>
      <c r="L228" s="17">
        <f>IF($B228="","",IFERROR(_xlfn.XLOOKUP($B228,nrCDdate,nrCDnum),""))</f>
        <v/>
      </c>
      <c r="M228" s="16" t="n"/>
      <c r="N228" s="17">
        <f>IF(OR($B228="",$I228=""),"",_xlfn.LET(_xlpm.a,$I228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28" s="17">
        <f>IF(OR($B228="",$D228="",$E228=""),"",IF($E228=$D228,"CHECK TIMES (start = end)",IF($F228&gt;12,"CHECK TIMES (End is before Start?)","OK")))</f>
        <v/>
      </c>
      <c r="P228" s="17">
        <f>IF(OR($B228="",$I228=""),"",IF(IFERROR(MATCH($G228,nrBankTopics,0),0)=0,"OK",IF(COUNTA(INDEX(nrBankGrid,IFERROR(MATCH($G228,nrBankTopics,0),1),0))=0,"OK",IF(SUMPRODUCT((nrInstrNames&lt;&gt;"")*ISNUMBER(SEARCH(nrInstrNames,$I228))*(COUNTIF(INDEX(nrBankGrid,IFERROR(MATCH($G228,nrBankTopics,0),1),0),nrInstrNames)&gt;0))&lt;SUMPRODUCT((nrInstrNames&lt;&gt;"")*ISNUMBER(SEARCH(nrInstrNames,$I228))),"NOT IN BANK","OK"))))</f>
        <v/>
      </c>
    </row>
    <row r="229">
      <c r="B229" s="18" t="n"/>
      <c r="C229" s="17">
        <f>IF($B229="","",TEXT($B229,"ddd"))</f>
        <v/>
      </c>
      <c r="D229" s="41" t="n"/>
      <c r="E229" s="41" t="n"/>
      <c r="F229" s="17">
        <f>IF(OR($B229="",$D229="",$E229=""),"",ROUND(MOD($E229-$D229,1)*24,2))</f>
        <v/>
      </c>
      <c r="G229" s="16" t="n"/>
      <c r="H229" s="17">
        <f>IF($G229="","",IFERROR(_xlfn.XLOOKUP($G229,nrCHname,nrCHnum),IFERROR(_xlfn.XLOOKUP($G229,nrSUBname,nrSUBparent),"")))</f>
        <v/>
      </c>
      <c r="I229" s="16" t="n"/>
      <c r="J229" s="16" t="n"/>
      <c r="K229" s="17">
        <f>IF($B229="","",IFERROR(_xlfn.XLOOKUP($B229,nrCDdate,nrCDweek),""))</f>
        <v/>
      </c>
      <c r="L229" s="17">
        <f>IF($B229="","",IFERROR(_xlfn.XLOOKUP($B229,nrCDdate,nrCDnum),""))</f>
        <v/>
      </c>
      <c r="M229" s="16" t="n"/>
      <c r="N229" s="17">
        <f>IF(OR($B229="",$I229=""),"",_xlfn.LET(_xlpm.a,$I229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29" s="17">
        <f>IF(OR($B229="",$D229="",$E229=""),"",IF($E229=$D229,"CHECK TIMES (start = end)",IF($F229&gt;12,"CHECK TIMES (End is before Start?)","OK")))</f>
        <v/>
      </c>
      <c r="P229" s="17">
        <f>IF(OR($B229="",$I229=""),"",IF(IFERROR(MATCH($G229,nrBankTopics,0),0)=0,"OK",IF(COUNTA(INDEX(nrBankGrid,IFERROR(MATCH($G229,nrBankTopics,0),1),0))=0,"OK",IF(SUMPRODUCT((nrInstrNames&lt;&gt;"")*ISNUMBER(SEARCH(nrInstrNames,$I229))*(COUNTIF(INDEX(nrBankGrid,IFERROR(MATCH($G229,nrBankTopics,0),1),0),nrInstrNames)&gt;0))&lt;SUMPRODUCT((nrInstrNames&lt;&gt;"")*ISNUMBER(SEARCH(nrInstrNames,$I229))),"NOT IN BANK","OK"))))</f>
        <v/>
      </c>
    </row>
    <row r="230">
      <c r="B230" s="18" t="n"/>
      <c r="C230" s="17">
        <f>IF($B230="","",TEXT($B230,"ddd"))</f>
        <v/>
      </c>
      <c r="D230" s="41" t="n"/>
      <c r="E230" s="41" t="n"/>
      <c r="F230" s="17">
        <f>IF(OR($B230="",$D230="",$E230=""),"",ROUND(MOD($E230-$D230,1)*24,2))</f>
        <v/>
      </c>
      <c r="G230" s="16" t="n"/>
      <c r="H230" s="17">
        <f>IF($G230="","",IFERROR(_xlfn.XLOOKUP($G230,nrCHname,nrCHnum),IFERROR(_xlfn.XLOOKUP($G230,nrSUBname,nrSUBparent),"")))</f>
        <v/>
      </c>
      <c r="I230" s="16" t="n"/>
      <c r="J230" s="16" t="n"/>
      <c r="K230" s="17">
        <f>IF($B230="","",IFERROR(_xlfn.XLOOKUP($B230,nrCDdate,nrCDweek),""))</f>
        <v/>
      </c>
      <c r="L230" s="17">
        <f>IF($B230="","",IFERROR(_xlfn.XLOOKUP($B230,nrCDdate,nrCDnum),""))</f>
        <v/>
      </c>
      <c r="M230" s="16" t="n"/>
      <c r="N230" s="17">
        <f>IF(OR($B230="",$I230=""),"",_xlfn.LET(_xlpm.a,$I230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30" s="17">
        <f>IF(OR($B230="",$D230="",$E230=""),"",IF($E230=$D230,"CHECK TIMES (start = end)",IF($F230&gt;12,"CHECK TIMES (End is before Start?)","OK")))</f>
        <v/>
      </c>
      <c r="P230" s="17">
        <f>IF(OR($B230="",$I230=""),"",IF(IFERROR(MATCH($G230,nrBankTopics,0),0)=0,"OK",IF(COUNTA(INDEX(nrBankGrid,IFERROR(MATCH($G230,nrBankTopics,0),1),0))=0,"OK",IF(SUMPRODUCT((nrInstrNames&lt;&gt;"")*ISNUMBER(SEARCH(nrInstrNames,$I230))*(COUNTIF(INDEX(nrBankGrid,IFERROR(MATCH($G230,nrBankTopics,0),1),0),nrInstrNames)&gt;0))&lt;SUMPRODUCT((nrInstrNames&lt;&gt;"")*ISNUMBER(SEARCH(nrInstrNames,$I230))),"NOT IN BANK","OK"))))</f>
        <v/>
      </c>
    </row>
    <row r="231">
      <c r="B231" s="18" t="n"/>
      <c r="C231" s="17">
        <f>IF($B231="","",TEXT($B231,"ddd"))</f>
        <v/>
      </c>
      <c r="D231" s="41" t="n"/>
      <c r="E231" s="41" t="n"/>
      <c r="F231" s="17">
        <f>IF(OR($B231="",$D231="",$E231=""),"",ROUND(MOD($E231-$D231,1)*24,2))</f>
        <v/>
      </c>
      <c r="G231" s="16" t="n"/>
      <c r="H231" s="17">
        <f>IF($G231="","",IFERROR(_xlfn.XLOOKUP($G231,nrCHname,nrCHnum),IFERROR(_xlfn.XLOOKUP($G231,nrSUBname,nrSUBparent),"")))</f>
        <v/>
      </c>
      <c r="I231" s="16" t="n"/>
      <c r="J231" s="16" t="n"/>
      <c r="K231" s="17">
        <f>IF($B231="","",IFERROR(_xlfn.XLOOKUP($B231,nrCDdate,nrCDweek),""))</f>
        <v/>
      </c>
      <c r="L231" s="17">
        <f>IF($B231="","",IFERROR(_xlfn.XLOOKUP($B231,nrCDdate,nrCDnum),""))</f>
        <v/>
      </c>
      <c r="M231" s="16" t="n"/>
      <c r="N231" s="17">
        <f>IF(OR($B231="",$I231=""),"",_xlfn.LET(_xlpm.a,$I231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31" s="17">
        <f>IF(OR($B231="",$D231="",$E231=""),"",IF($E231=$D231,"CHECK TIMES (start = end)",IF($F231&gt;12,"CHECK TIMES (End is before Start?)","OK")))</f>
        <v/>
      </c>
      <c r="P231" s="17">
        <f>IF(OR($B231="",$I231=""),"",IF(IFERROR(MATCH($G231,nrBankTopics,0),0)=0,"OK",IF(COUNTA(INDEX(nrBankGrid,IFERROR(MATCH($G231,nrBankTopics,0),1),0))=0,"OK",IF(SUMPRODUCT((nrInstrNames&lt;&gt;"")*ISNUMBER(SEARCH(nrInstrNames,$I231))*(COUNTIF(INDEX(nrBankGrid,IFERROR(MATCH($G231,nrBankTopics,0),1),0),nrInstrNames)&gt;0))&lt;SUMPRODUCT((nrInstrNames&lt;&gt;"")*ISNUMBER(SEARCH(nrInstrNames,$I231))),"NOT IN BANK","OK"))))</f>
        <v/>
      </c>
    </row>
    <row r="232">
      <c r="B232" s="18" t="n"/>
      <c r="C232" s="17">
        <f>IF($B232="","",TEXT($B232,"ddd"))</f>
        <v/>
      </c>
      <c r="D232" s="41" t="n"/>
      <c r="E232" s="41" t="n"/>
      <c r="F232" s="17">
        <f>IF(OR($B232="",$D232="",$E232=""),"",ROUND(MOD($E232-$D232,1)*24,2))</f>
        <v/>
      </c>
      <c r="G232" s="16" t="n"/>
      <c r="H232" s="17">
        <f>IF($G232="","",IFERROR(_xlfn.XLOOKUP($G232,nrCHname,nrCHnum),IFERROR(_xlfn.XLOOKUP($G232,nrSUBname,nrSUBparent),"")))</f>
        <v/>
      </c>
      <c r="I232" s="16" t="n"/>
      <c r="J232" s="16" t="n"/>
      <c r="K232" s="17">
        <f>IF($B232="","",IFERROR(_xlfn.XLOOKUP($B232,nrCDdate,nrCDweek),""))</f>
        <v/>
      </c>
      <c r="L232" s="17">
        <f>IF($B232="","",IFERROR(_xlfn.XLOOKUP($B232,nrCDdate,nrCDnum),""))</f>
        <v/>
      </c>
      <c r="M232" s="16" t="n"/>
      <c r="N232" s="17">
        <f>IF(OR($B232="",$I232=""),"",_xlfn.LET(_xlpm.a,$I232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32" s="17">
        <f>IF(OR($B232="",$D232="",$E232=""),"",IF($E232=$D232,"CHECK TIMES (start = end)",IF($F232&gt;12,"CHECK TIMES (End is before Start?)","OK")))</f>
        <v/>
      </c>
      <c r="P232" s="17">
        <f>IF(OR($B232="",$I232=""),"",IF(IFERROR(MATCH($G232,nrBankTopics,0),0)=0,"OK",IF(COUNTA(INDEX(nrBankGrid,IFERROR(MATCH($G232,nrBankTopics,0),1),0))=0,"OK",IF(SUMPRODUCT((nrInstrNames&lt;&gt;"")*ISNUMBER(SEARCH(nrInstrNames,$I232))*(COUNTIF(INDEX(nrBankGrid,IFERROR(MATCH($G232,nrBankTopics,0),1),0),nrInstrNames)&gt;0))&lt;SUMPRODUCT((nrInstrNames&lt;&gt;"")*ISNUMBER(SEARCH(nrInstrNames,$I232))),"NOT IN BANK","OK"))))</f>
        <v/>
      </c>
    </row>
    <row r="233">
      <c r="B233" s="18" t="n"/>
      <c r="C233" s="17">
        <f>IF($B233="","",TEXT($B233,"ddd"))</f>
        <v/>
      </c>
      <c r="D233" s="41" t="n"/>
      <c r="E233" s="41" t="n"/>
      <c r="F233" s="17">
        <f>IF(OR($B233="",$D233="",$E233=""),"",ROUND(MOD($E233-$D233,1)*24,2))</f>
        <v/>
      </c>
      <c r="G233" s="16" t="n"/>
      <c r="H233" s="17">
        <f>IF($G233="","",IFERROR(_xlfn.XLOOKUP($G233,nrCHname,nrCHnum),IFERROR(_xlfn.XLOOKUP($G233,nrSUBname,nrSUBparent),"")))</f>
        <v/>
      </c>
      <c r="I233" s="16" t="n"/>
      <c r="J233" s="16" t="n"/>
      <c r="K233" s="17">
        <f>IF($B233="","",IFERROR(_xlfn.XLOOKUP($B233,nrCDdate,nrCDweek),""))</f>
        <v/>
      </c>
      <c r="L233" s="17">
        <f>IF($B233="","",IFERROR(_xlfn.XLOOKUP($B233,nrCDdate,nrCDnum),""))</f>
        <v/>
      </c>
      <c r="M233" s="16" t="n"/>
      <c r="N233" s="17">
        <f>IF(OR($B233="",$I233=""),"",_xlfn.LET(_xlpm.a,$I233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33" s="17">
        <f>IF(OR($B233="",$D233="",$E233=""),"",IF($E233=$D233,"CHECK TIMES (start = end)",IF($F233&gt;12,"CHECK TIMES (End is before Start?)","OK")))</f>
        <v/>
      </c>
      <c r="P233" s="17">
        <f>IF(OR($B233="",$I233=""),"",IF(IFERROR(MATCH($G233,nrBankTopics,0),0)=0,"OK",IF(COUNTA(INDEX(nrBankGrid,IFERROR(MATCH($G233,nrBankTopics,0),1),0))=0,"OK",IF(SUMPRODUCT((nrInstrNames&lt;&gt;"")*ISNUMBER(SEARCH(nrInstrNames,$I233))*(COUNTIF(INDEX(nrBankGrid,IFERROR(MATCH($G233,nrBankTopics,0),1),0),nrInstrNames)&gt;0))&lt;SUMPRODUCT((nrInstrNames&lt;&gt;"")*ISNUMBER(SEARCH(nrInstrNames,$I233))),"NOT IN BANK","OK"))))</f>
        <v/>
      </c>
    </row>
    <row r="234">
      <c r="B234" s="18" t="n"/>
      <c r="C234" s="17">
        <f>IF($B234="","",TEXT($B234,"ddd"))</f>
        <v/>
      </c>
      <c r="D234" s="41" t="n"/>
      <c r="E234" s="41" t="n"/>
      <c r="F234" s="17">
        <f>IF(OR($B234="",$D234="",$E234=""),"",ROUND(MOD($E234-$D234,1)*24,2))</f>
        <v/>
      </c>
      <c r="G234" s="16" t="n"/>
      <c r="H234" s="17">
        <f>IF($G234="","",IFERROR(_xlfn.XLOOKUP($G234,nrCHname,nrCHnum),IFERROR(_xlfn.XLOOKUP($G234,nrSUBname,nrSUBparent),"")))</f>
        <v/>
      </c>
      <c r="I234" s="16" t="n"/>
      <c r="J234" s="16" t="n"/>
      <c r="K234" s="17">
        <f>IF($B234="","",IFERROR(_xlfn.XLOOKUP($B234,nrCDdate,nrCDweek),""))</f>
        <v/>
      </c>
      <c r="L234" s="17">
        <f>IF($B234="","",IFERROR(_xlfn.XLOOKUP($B234,nrCDdate,nrCDnum),""))</f>
        <v/>
      </c>
      <c r="M234" s="16" t="n"/>
      <c r="N234" s="17">
        <f>IF(OR($B234="",$I234=""),"",_xlfn.LET(_xlpm.a,$I234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34" s="17">
        <f>IF(OR($B234="",$D234="",$E234=""),"",IF($E234=$D234,"CHECK TIMES (start = end)",IF($F234&gt;12,"CHECK TIMES (End is before Start?)","OK")))</f>
        <v/>
      </c>
      <c r="P234" s="17">
        <f>IF(OR($B234="",$I234=""),"",IF(IFERROR(MATCH($G234,nrBankTopics,0),0)=0,"OK",IF(COUNTA(INDEX(nrBankGrid,IFERROR(MATCH($G234,nrBankTopics,0),1),0))=0,"OK",IF(SUMPRODUCT((nrInstrNames&lt;&gt;"")*ISNUMBER(SEARCH(nrInstrNames,$I234))*(COUNTIF(INDEX(nrBankGrid,IFERROR(MATCH($G234,nrBankTopics,0),1),0),nrInstrNames)&gt;0))&lt;SUMPRODUCT((nrInstrNames&lt;&gt;"")*ISNUMBER(SEARCH(nrInstrNames,$I234))),"NOT IN BANK","OK"))))</f>
        <v/>
      </c>
    </row>
    <row r="235">
      <c r="B235" s="18" t="n"/>
      <c r="C235" s="17">
        <f>IF($B235="","",TEXT($B235,"ddd"))</f>
        <v/>
      </c>
      <c r="D235" s="41" t="n"/>
      <c r="E235" s="41" t="n"/>
      <c r="F235" s="17">
        <f>IF(OR($B235="",$D235="",$E235=""),"",ROUND(MOD($E235-$D235,1)*24,2))</f>
        <v/>
      </c>
      <c r="G235" s="16" t="n"/>
      <c r="H235" s="17">
        <f>IF($G235="","",IFERROR(_xlfn.XLOOKUP($G235,nrCHname,nrCHnum),IFERROR(_xlfn.XLOOKUP($G235,nrSUBname,nrSUBparent),"")))</f>
        <v/>
      </c>
      <c r="I235" s="16" t="n"/>
      <c r="J235" s="16" t="n"/>
      <c r="K235" s="17">
        <f>IF($B235="","",IFERROR(_xlfn.XLOOKUP($B235,nrCDdate,nrCDweek),""))</f>
        <v/>
      </c>
      <c r="L235" s="17">
        <f>IF($B235="","",IFERROR(_xlfn.XLOOKUP($B235,nrCDdate,nrCDnum),""))</f>
        <v/>
      </c>
      <c r="M235" s="16" t="n"/>
      <c r="N235" s="17">
        <f>IF(OR($B235="",$I235=""),"",_xlfn.LET(_xlpm.a,$I235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35" s="17">
        <f>IF(OR($B235="",$D235="",$E235=""),"",IF($E235=$D235,"CHECK TIMES (start = end)",IF($F235&gt;12,"CHECK TIMES (End is before Start?)","OK")))</f>
        <v/>
      </c>
      <c r="P235" s="17">
        <f>IF(OR($B235="",$I235=""),"",IF(IFERROR(MATCH($G235,nrBankTopics,0),0)=0,"OK",IF(COUNTA(INDEX(nrBankGrid,IFERROR(MATCH($G235,nrBankTopics,0),1),0))=0,"OK",IF(SUMPRODUCT((nrInstrNames&lt;&gt;"")*ISNUMBER(SEARCH(nrInstrNames,$I235))*(COUNTIF(INDEX(nrBankGrid,IFERROR(MATCH($G235,nrBankTopics,0),1),0),nrInstrNames)&gt;0))&lt;SUMPRODUCT((nrInstrNames&lt;&gt;"")*ISNUMBER(SEARCH(nrInstrNames,$I235))),"NOT IN BANK","OK"))))</f>
        <v/>
      </c>
    </row>
    <row r="236">
      <c r="B236" s="18" t="n"/>
      <c r="C236" s="17">
        <f>IF($B236="","",TEXT($B236,"ddd"))</f>
        <v/>
      </c>
      <c r="D236" s="41" t="n"/>
      <c r="E236" s="41" t="n"/>
      <c r="F236" s="17">
        <f>IF(OR($B236="",$D236="",$E236=""),"",ROUND(MOD($E236-$D236,1)*24,2))</f>
        <v/>
      </c>
      <c r="G236" s="16" t="n"/>
      <c r="H236" s="17">
        <f>IF($G236="","",IFERROR(_xlfn.XLOOKUP($G236,nrCHname,nrCHnum),IFERROR(_xlfn.XLOOKUP($G236,nrSUBname,nrSUBparent),"")))</f>
        <v/>
      </c>
      <c r="I236" s="16" t="n"/>
      <c r="J236" s="16" t="n"/>
      <c r="K236" s="17">
        <f>IF($B236="","",IFERROR(_xlfn.XLOOKUP($B236,nrCDdate,nrCDweek),""))</f>
        <v/>
      </c>
      <c r="L236" s="17">
        <f>IF($B236="","",IFERROR(_xlfn.XLOOKUP($B236,nrCDdate,nrCDnum),""))</f>
        <v/>
      </c>
      <c r="M236" s="16" t="n"/>
      <c r="N236" s="17">
        <f>IF(OR($B236="",$I236=""),"",_xlfn.LET(_xlpm.a,$I236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36" s="17">
        <f>IF(OR($B236="",$D236="",$E236=""),"",IF($E236=$D236,"CHECK TIMES (start = end)",IF($F236&gt;12,"CHECK TIMES (End is before Start?)","OK")))</f>
        <v/>
      </c>
      <c r="P236" s="17">
        <f>IF(OR($B236="",$I236=""),"",IF(IFERROR(MATCH($G236,nrBankTopics,0),0)=0,"OK",IF(COUNTA(INDEX(nrBankGrid,IFERROR(MATCH($G236,nrBankTopics,0),1),0))=0,"OK",IF(SUMPRODUCT((nrInstrNames&lt;&gt;"")*ISNUMBER(SEARCH(nrInstrNames,$I236))*(COUNTIF(INDEX(nrBankGrid,IFERROR(MATCH($G236,nrBankTopics,0),1),0),nrInstrNames)&gt;0))&lt;SUMPRODUCT((nrInstrNames&lt;&gt;"")*ISNUMBER(SEARCH(nrInstrNames,$I236))),"NOT IN BANK","OK"))))</f>
        <v/>
      </c>
    </row>
    <row r="237">
      <c r="B237" s="18" t="n"/>
      <c r="C237" s="17">
        <f>IF($B237="","",TEXT($B237,"ddd"))</f>
        <v/>
      </c>
      <c r="D237" s="41" t="n"/>
      <c r="E237" s="41" t="n"/>
      <c r="F237" s="17">
        <f>IF(OR($B237="",$D237="",$E237=""),"",ROUND(MOD($E237-$D237,1)*24,2))</f>
        <v/>
      </c>
      <c r="G237" s="16" t="n"/>
      <c r="H237" s="17">
        <f>IF($G237="","",IFERROR(_xlfn.XLOOKUP($G237,nrCHname,nrCHnum),IFERROR(_xlfn.XLOOKUP($G237,nrSUBname,nrSUBparent),"")))</f>
        <v/>
      </c>
      <c r="I237" s="16" t="n"/>
      <c r="J237" s="16" t="n"/>
      <c r="K237" s="17">
        <f>IF($B237="","",IFERROR(_xlfn.XLOOKUP($B237,nrCDdate,nrCDweek),""))</f>
        <v/>
      </c>
      <c r="L237" s="17">
        <f>IF($B237="","",IFERROR(_xlfn.XLOOKUP($B237,nrCDdate,nrCDnum),""))</f>
        <v/>
      </c>
      <c r="M237" s="16" t="n"/>
      <c r="N237" s="17">
        <f>IF(OR($B237="",$I237=""),"",_xlfn.LET(_xlpm.a,$I237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37" s="17">
        <f>IF(OR($B237="",$D237="",$E237=""),"",IF($E237=$D237,"CHECK TIMES (start = end)",IF($F237&gt;12,"CHECK TIMES (End is before Start?)","OK")))</f>
        <v/>
      </c>
      <c r="P237" s="17">
        <f>IF(OR($B237="",$I237=""),"",IF(IFERROR(MATCH($G237,nrBankTopics,0),0)=0,"OK",IF(COUNTA(INDEX(nrBankGrid,IFERROR(MATCH($G237,nrBankTopics,0),1),0))=0,"OK",IF(SUMPRODUCT((nrInstrNames&lt;&gt;"")*ISNUMBER(SEARCH(nrInstrNames,$I237))*(COUNTIF(INDEX(nrBankGrid,IFERROR(MATCH($G237,nrBankTopics,0),1),0),nrInstrNames)&gt;0))&lt;SUMPRODUCT((nrInstrNames&lt;&gt;"")*ISNUMBER(SEARCH(nrInstrNames,$I237))),"NOT IN BANK","OK"))))</f>
        <v/>
      </c>
    </row>
    <row r="238">
      <c r="B238" s="18" t="n"/>
      <c r="C238" s="17">
        <f>IF($B238="","",TEXT($B238,"ddd"))</f>
        <v/>
      </c>
      <c r="D238" s="41" t="n"/>
      <c r="E238" s="41" t="n"/>
      <c r="F238" s="17">
        <f>IF(OR($B238="",$D238="",$E238=""),"",ROUND(MOD($E238-$D238,1)*24,2))</f>
        <v/>
      </c>
      <c r="G238" s="16" t="n"/>
      <c r="H238" s="17">
        <f>IF($G238="","",IFERROR(_xlfn.XLOOKUP($G238,nrCHname,nrCHnum),IFERROR(_xlfn.XLOOKUP($G238,nrSUBname,nrSUBparent),"")))</f>
        <v/>
      </c>
      <c r="I238" s="16" t="n"/>
      <c r="J238" s="16" t="n"/>
      <c r="K238" s="17">
        <f>IF($B238="","",IFERROR(_xlfn.XLOOKUP($B238,nrCDdate,nrCDweek),""))</f>
        <v/>
      </c>
      <c r="L238" s="17">
        <f>IF($B238="","",IFERROR(_xlfn.XLOOKUP($B238,nrCDdate,nrCDnum),""))</f>
        <v/>
      </c>
      <c r="M238" s="16" t="n"/>
      <c r="N238" s="17">
        <f>IF(OR($B238="",$I238=""),"",_xlfn.LET(_xlpm.a,$I238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38" s="17">
        <f>IF(OR($B238="",$D238="",$E238=""),"",IF($E238=$D238,"CHECK TIMES (start = end)",IF($F238&gt;12,"CHECK TIMES (End is before Start?)","OK")))</f>
        <v/>
      </c>
      <c r="P238" s="17">
        <f>IF(OR($B238="",$I238=""),"",IF(IFERROR(MATCH($G238,nrBankTopics,0),0)=0,"OK",IF(COUNTA(INDEX(nrBankGrid,IFERROR(MATCH($G238,nrBankTopics,0),1),0))=0,"OK",IF(SUMPRODUCT((nrInstrNames&lt;&gt;"")*ISNUMBER(SEARCH(nrInstrNames,$I238))*(COUNTIF(INDEX(nrBankGrid,IFERROR(MATCH($G238,nrBankTopics,0),1),0),nrInstrNames)&gt;0))&lt;SUMPRODUCT((nrInstrNames&lt;&gt;"")*ISNUMBER(SEARCH(nrInstrNames,$I238))),"NOT IN BANK","OK"))))</f>
        <v/>
      </c>
    </row>
    <row r="239">
      <c r="B239" s="18" t="n"/>
      <c r="C239" s="17">
        <f>IF($B239="","",TEXT($B239,"ddd"))</f>
        <v/>
      </c>
      <c r="D239" s="41" t="n"/>
      <c r="E239" s="41" t="n"/>
      <c r="F239" s="17">
        <f>IF(OR($B239="",$D239="",$E239=""),"",ROUND(MOD($E239-$D239,1)*24,2))</f>
        <v/>
      </c>
      <c r="G239" s="16" t="n"/>
      <c r="H239" s="17">
        <f>IF($G239="","",IFERROR(_xlfn.XLOOKUP($G239,nrCHname,nrCHnum),IFERROR(_xlfn.XLOOKUP($G239,nrSUBname,nrSUBparent),"")))</f>
        <v/>
      </c>
      <c r="I239" s="16" t="n"/>
      <c r="J239" s="16" t="n"/>
      <c r="K239" s="17">
        <f>IF($B239="","",IFERROR(_xlfn.XLOOKUP($B239,nrCDdate,nrCDweek),""))</f>
        <v/>
      </c>
      <c r="L239" s="17">
        <f>IF($B239="","",IFERROR(_xlfn.XLOOKUP($B239,nrCDdate,nrCDnum),""))</f>
        <v/>
      </c>
      <c r="M239" s="16" t="n"/>
      <c r="N239" s="17">
        <f>IF(OR($B239="",$I239=""),"",_xlfn.LET(_xlpm.a,$I239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39" s="17">
        <f>IF(OR($B239="",$D239="",$E239=""),"",IF($E239=$D239,"CHECK TIMES (start = end)",IF($F239&gt;12,"CHECK TIMES (End is before Start?)","OK")))</f>
        <v/>
      </c>
      <c r="P239" s="17">
        <f>IF(OR($B239="",$I239=""),"",IF(IFERROR(MATCH($G239,nrBankTopics,0),0)=0,"OK",IF(COUNTA(INDEX(nrBankGrid,IFERROR(MATCH($G239,nrBankTopics,0),1),0))=0,"OK",IF(SUMPRODUCT((nrInstrNames&lt;&gt;"")*ISNUMBER(SEARCH(nrInstrNames,$I239))*(COUNTIF(INDEX(nrBankGrid,IFERROR(MATCH($G239,nrBankTopics,0),1),0),nrInstrNames)&gt;0))&lt;SUMPRODUCT((nrInstrNames&lt;&gt;"")*ISNUMBER(SEARCH(nrInstrNames,$I239))),"NOT IN BANK","OK"))))</f>
        <v/>
      </c>
    </row>
    <row r="240">
      <c r="B240" s="18" t="n"/>
      <c r="C240" s="17">
        <f>IF($B240="","",TEXT($B240,"ddd"))</f>
        <v/>
      </c>
      <c r="D240" s="41" t="n"/>
      <c r="E240" s="41" t="n"/>
      <c r="F240" s="17">
        <f>IF(OR($B240="",$D240="",$E240=""),"",ROUND(MOD($E240-$D240,1)*24,2))</f>
        <v/>
      </c>
      <c r="G240" s="16" t="n"/>
      <c r="H240" s="17">
        <f>IF($G240="","",IFERROR(_xlfn.XLOOKUP($G240,nrCHname,nrCHnum),IFERROR(_xlfn.XLOOKUP($G240,nrSUBname,nrSUBparent),"")))</f>
        <v/>
      </c>
      <c r="I240" s="16" t="n"/>
      <c r="J240" s="16" t="n"/>
      <c r="K240" s="17">
        <f>IF($B240="","",IFERROR(_xlfn.XLOOKUP($B240,nrCDdate,nrCDweek),""))</f>
        <v/>
      </c>
      <c r="L240" s="17">
        <f>IF($B240="","",IFERROR(_xlfn.XLOOKUP($B240,nrCDdate,nrCDnum),""))</f>
        <v/>
      </c>
      <c r="M240" s="16" t="n"/>
      <c r="N240" s="17">
        <f>IF(OR($B240="",$I240=""),"",_xlfn.LET(_xlpm.a,$I240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40" s="17">
        <f>IF(OR($B240="",$D240="",$E240=""),"",IF($E240=$D240,"CHECK TIMES (start = end)",IF($F240&gt;12,"CHECK TIMES (End is before Start?)","OK")))</f>
        <v/>
      </c>
      <c r="P240" s="17">
        <f>IF(OR($B240="",$I240=""),"",IF(IFERROR(MATCH($G240,nrBankTopics,0),0)=0,"OK",IF(COUNTA(INDEX(nrBankGrid,IFERROR(MATCH($G240,nrBankTopics,0),1),0))=0,"OK",IF(SUMPRODUCT((nrInstrNames&lt;&gt;"")*ISNUMBER(SEARCH(nrInstrNames,$I240))*(COUNTIF(INDEX(nrBankGrid,IFERROR(MATCH($G240,nrBankTopics,0),1),0),nrInstrNames)&gt;0))&lt;SUMPRODUCT((nrInstrNames&lt;&gt;"")*ISNUMBER(SEARCH(nrInstrNames,$I240))),"NOT IN BANK","OK"))))</f>
        <v/>
      </c>
    </row>
    <row r="241">
      <c r="B241" s="18" t="n"/>
      <c r="C241" s="17">
        <f>IF($B241="","",TEXT($B241,"ddd"))</f>
        <v/>
      </c>
      <c r="D241" s="41" t="n"/>
      <c r="E241" s="41" t="n"/>
      <c r="F241" s="17">
        <f>IF(OR($B241="",$D241="",$E241=""),"",ROUND(MOD($E241-$D241,1)*24,2))</f>
        <v/>
      </c>
      <c r="G241" s="16" t="n"/>
      <c r="H241" s="17">
        <f>IF($G241="","",IFERROR(_xlfn.XLOOKUP($G241,nrCHname,nrCHnum),IFERROR(_xlfn.XLOOKUP($G241,nrSUBname,nrSUBparent),"")))</f>
        <v/>
      </c>
      <c r="I241" s="16" t="n"/>
      <c r="J241" s="16" t="n"/>
      <c r="K241" s="17">
        <f>IF($B241="","",IFERROR(_xlfn.XLOOKUP($B241,nrCDdate,nrCDweek),""))</f>
        <v/>
      </c>
      <c r="L241" s="17">
        <f>IF($B241="","",IFERROR(_xlfn.XLOOKUP($B241,nrCDdate,nrCDnum),""))</f>
        <v/>
      </c>
      <c r="M241" s="16" t="n"/>
      <c r="N241" s="17">
        <f>IF(OR($B241="",$I241=""),"",_xlfn.LET(_xlpm.a,$I241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41" s="17">
        <f>IF(OR($B241="",$D241="",$E241=""),"",IF($E241=$D241,"CHECK TIMES (start = end)",IF($F241&gt;12,"CHECK TIMES (End is before Start?)","OK")))</f>
        <v/>
      </c>
      <c r="P241" s="17">
        <f>IF(OR($B241="",$I241=""),"",IF(IFERROR(MATCH($G241,nrBankTopics,0),0)=0,"OK",IF(COUNTA(INDEX(nrBankGrid,IFERROR(MATCH($G241,nrBankTopics,0),1),0))=0,"OK",IF(SUMPRODUCT((nrInstrNames&lt;&gt;"")*ISNUMBER(SEARCH(nrInstrNames,$I241))*(COUNTIF(INDEX(nrBankGrid,IFERROR(MATCH($G241,nrBankTopics,0),1),0),nrInstrNames)&gt;0))&lt;SUMPRODUCT((nrInstrNames&lt;&gt;"")*ISNUMBER(SEARCH(nrInstrNames,$I241))),"NOT IN BANK","OK"))))</f>
        <v/>
      </c>
    </row>
    <row r="242">
      <c r="B242" s="18" t="n"/>
      <c r="C242" s="17">
        <f>IF($B242="","",TEXT($B242,"ddd"))</f>
        <v/>
      </c>
      <c r="D242" s="41" t="n"/>
      <c r="E242" s="41" t="n"/>
      <c r="F242" s="17">
        <f>IF(OR($B242="",$D242="",$E242=""),"",ROUND(MOD($E242-$D242,1)*24,2))</f>
        <v/>
      </c>
      <c r="G242" s="16" t="n"/>
      <c r="H242" s="17">
        <f>IF($G242="","",IFERROR(_xlfn.XLOOKUP($G242,nrCHname,nrCHnum),IFERROR(_xlfn.XLOOKUP($G242,nrSUBname,nrSUBparent),"")))</f>
        <v/>
      </c>
      <c r="I242" s="16" t="n"/>
      <c r="J242" s="16" t="n"/>
      <c r="K242" s="17">
        <f>IF($B242="","",IFERROR(_xlfn.XLOOKUP($B242,nrCDdate,nrCDweek),""))</f>
        <v/>
      </c>
      <c r="L242" s="17">
        <f>IF($B242="","",IFERROR(_xlfn.XLOOKUP($B242,nrCDdate,nrCDnum),""))</f>
        <v/>
      </c>
      <c r="M242" s="16" t="n"/>
      <c r="N242" s="17">
        <f>IF(OR($B242="",$I242=""),"",_xlfn.LET(_xlpm.a,$I242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42" s="17">
        <f>IF(OR($B242="",$D242="",$E242=""),"",IF($E242=$D242,"CHECK TIMES (start = end)",IF($F242&gt;12,"CHECK TIMES (End is before Start?)","OK")))</f>
        <v/>
      </c>
      <c r="P242" s="17">
        <f>IF(OR($B242="",$I242=""),"",IF(IFERROR(MATCH($G242,nrBankTopics,0),0)=0,"OK",IF(COUNTA(INDEX(nrBankGrid,IFERROR(MATCH($G242,nrBankTopics,0),1),0))=0,"OK",IF(SUMPRODUCT((nrInstrNames&lt;&gt;"")*ISNUMBER(SEARCH(nrInstrNames,$I242))*(COUNTIF(INDEX(nrBankGrid,IFERROR(MATCH($G242,nrBankTopics,0),1),0),nrInstrNames)&gt;0))&lt;SUMPRODUCT((nrInstrNames&lt;&gt;"")*ISNUMBER(SEARCH(nrInstrNames,$I242))),"NOT IN BANK","OK"))))</f>
        <v/>
      </c>
    </row>
    <row r="243">
      <c r="B243" s="18" t="n"/>
      <c r="C243" s="17">
        <f>IF($B243="","",TEXT($B243,"ddd"))</f>
        <v/>
      </c>
      <c r="D243" s="41" t="n"/>
      <c r="E243" s="41" t="n"/>
      <c r="F243" s="17">
        <f>IF(OR($B243="",$D243="",$E243=""),"",ROUND(MOD($E243-$D243,1)*24,2))</f>
        <v/>
      </c>
      <c r="G243" s="16" t="n"/>
      <c r="H243" s="17">
        <f>IF($G243="","",IFERROR(_xlfn.XLOOKUP($G243,nrCHname,nrCHnum),IFERROR(_xlfn.XLOOKUP($G243,nrSUBname,nrSUBparent),"")))</f>
        <v/>
      </c>
      <c r="I243" s="16" t="n"/>
      <c r="J243" s="16" t="n"/>
      <c r="K243" s="17">
        <f>IF($B243="","",IFERROR(_xlfn.XLOOKUP($B243,nrCDdate,nrCDweek),""))</f>
        <v/>
      </c>
      <c r="L243" s="17">
        <f>IF($B243="","",IFERROR(_xlfn.XLOOKUP($B243,nrCDdate,nrCDnum),""))</f>
        <v/>
      </c>
      <c r="M243" s="16" t="n"/>
      <c r="N243" s="17">
        <f>IF(OR($B243="",$I243=""),"",_xlfn.LET(_xlpm.a,$I243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43" s="17">
        <f>IF(OR($B243="",$D243="",$E243=""),"",IF($E243=$D243,"CHECK TIMES (start = end)",IF($F243&gt;12,"CHECK TIMES (End is before Start?)","OK")))</f>
        <v/>
      </c>
      <c r="P243" s="17">
        <f>IF(OR($B243="",$I243=""),"",IF(IFERROR(MATCH($G243,nrBankTopics,0),0)=0,"OK",IF(COUNTA(INDEX(nrBankGrid,IFERROR(MATCH($G243,nrBankTopics,0),1),0))=0,"OK",IF(SUMPRODUCT((nrInstrNames&lt;&gt;"")*ISNUMBER(SEARCH(nrInstrNames,$I243))*(COUNTIF(INDEX(nrBankGrid,IFERROR(MATCH($G243,nrBankTopics,0),1),0),nrInstrNames)&gt;0))&lt;SUMPRODUCT((nrInstrNames&lt;&gt;"")*ISNUMBER(SEARCH(nrInstrNames,$I243))),"NOT IN BANK","OK"))))</f>
        <v/>
      </c>
    </row>
    <row r="244">
      <c r="B244" s="18" t="n"/>
      <c r="C244" s="17">
        <f>IF($B244="","",TEXT($B244,"ddd"))</f>
        <v/>
      </c>
      <c r="D244" s="41" t="n"/>
      <c r="E244" s="41" t="n"/>
      <c r="F244" s="17">
        <f>IF(OR($B244="",$D244="",$E244=""),"",ROUND(MOD($E244-$D244,1)*24,2))</f>
        <v/>
      </c>
      <c r="G244" s="16" t="n"/>
      <c r="H244" s="17">
        <f>IF($G244="","",IFERROR(_xlfn.XLOOKUP($G244,nrCHname,nrCHnum),IFERROR(_xlfn.XLOOKUP($G244,nrSUBname,nrSUBparent),"")))</f>
        <v/>
      </c>
      <c r="I244" s="16" t="n"/>
      <c r="J244" s="16" t="n"/>
      <c r="K244" s="17">
        <f>IF($B244="","",IFERROR(_xlfn.XLOOKUP($B244,nrCDdate,nrCDweek),""))</f>
        <v/>
      </c>
      <c r="L244" s="17">
        <f>IF($B244="","",IFERROR(_xlfn.XLOOKUP($B244,nrCDdate,nrCDnum),""))</f>
        <v/>
      </c>
      <c r="M244" s="16" t="n"/>
      <c r="N244" s="17">
        <f>IF(OR($B244="",$I244=""),"",_xlfn.LET(_xlpm.a,$I244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44" s="17">
        <f>IF(OR($B244="",$D244="",$E244=""),"",IF($E244=$D244,"CHECK TIMES (start = end)",IF($F244&gt;12,"CHECK TIMES (End is before Start?)","OK")))</f>
        <v/>
      </c>
      <c r="P244" s="17">
        <f>IF(OR($B244="",$I244=""),"",IF(IFERROR(MATCH($G244,nrBankTopics,0),0)=0,"OK",IF(COUNTA(INDEX(nrBankGrid,IFERROR(MATCH($G244,nrBankTopics,0),1),0))=0,"OK",IF(SUMPRODUCT((nrInstrNames&lt;&gt;"")*ISNUMBER(SEARCH(nrInstrNames,$I244))*(COUNTIF(INDEX(nrBankGrid,IFERROR(MATCH($G244,nrBankTopics,0),1),0),nrInstrNames)&gt;0))&lt;SUMPRODUCT((nrInstrNames&lt;&gt;"")*ISNUMBER(SEARCH(nrInstrNames,$I244))),"NOT IN BANK","OK"))))</f>
        <v/>
      </c>
    </row>
    <row r="245">
      <c r="B245" s="18" t="n"/>
      <c r="C245" s="17">
        <f>IF($B245="","",TEXT($B245,"ddd"))</f>
        <v/>
      </c>
      <c r="D245" s="41" t="n"/>
      <c r="E245" s="41" t="n"/>
      <c r="F245" s="17">
        <f>IF(OR($B245="",$D245="",$E245=""),"",ROUND(MOD($E245-$D245,1)*24,2))</f>
        <v/>
      </c>
      <c r="G245" s="16" t="n"/>
      <c r="H245" s="17">
        <f>IF($G245="","",IFERROR(_xlfn.XLOOKUP($G245,nrCHname,nrCHnum),IFERROR(_xlfn.XLOOKUP($G245,nrSUBname,nrSUBparent),"")))</f>
        <v/>
      </c>
      <c r="I245" s="16" t="n"/>
      <c r="J245" s="16" t="n"/>
      <c r="K245" s="17">
        <f>IF($B245="","",IFERROR(_xlfn.XLOOKUP($B245,nrCDdate,nrCDweek),""))</f>
        <v/>
      </c>
      <c r="L245" s="17">
        <f>IF($B245="","",IFERROR(_xlfn.XLOOKUP($B245,nrCDdate,nrCDnum),""))</f>
        <v/>
      </c>
      <c r="M245" s="16" t="n"/>
      <c r="N245" s="17">
        <f>IF(OR($B245="",$I245=""),"",_xlfn.LET(_xlpm.a,$I245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45" s="17">
        <f>IF(OR($B245="",$D245="",$E245=""),"",IF($E245=$D245,"CHECK TIMES (start = end)",IF($F245&gt;12,"CHECK TIMES (End is before Start?)","OK")))</f>
        <v/>
      </c>
      <c r="P245" s="17">
        <f>IF(OR($B245="",$I245=""),"",IF(IFERROR(MATCH($G245,nrBankTopics,0),0)=0,"OK",IF(COUNTA(INDEX(nrBankGrid,IFERROR(MATCH($G245,nrBankTopics,0),1),0))=0,"OK",IF(SUMPRODUCT((nrInstrNames&lt;&gt;"")*ISNUMBER(SEARCH(nrInstrNames,$I245))*(COUNTIF(INDEX(nrBankGrid,IFERROR(MATCH($G245,nrBankTopics,0),1),0),nrInstrNames)&gt;0))&lt;SUMPRODUCT((nrInstrNames&lt;&gt;"")*ISNUMBER(SEARCH(nrInstrNames,$I245))),"NOT IN BANK","OK"))))</f>
        <v/>
      </c>
    </row>
    <row r="246">
      <c r="B246" s="18" t="n"/>
      <c r="C246" s="17">
        <f>IF($B246="","",TEXT($B246,"ddd"))</f>
        <v/>
      </c>
      <c r="D246" s="41" t="n"/>
      <c r="E246" s="41" t="n"/>
      <c r="F246" s="17">
        <f>IF(OR($B246="",$D246="",$E246=""),"",ROUND(MOD($E246-$D246,1)*24,2))</f>
        <v/>
      </c>
      <c r="G246" s="16" t="n"/>
      <c r="H246" s="17">
        <f>IF($G246="","",IFERROR(_xlfn.XLOOKUP($G246,nrCHname,nrCHnum),IFERROR(_xlfn.XLOOKUP($G246,nrSUBname,nrSUBparent),"")))</f>
        <v/>
      </c>
      <c r="I246" s="16" t="n"/>
      <c r="J246" s="16" t="n"/>
      <c r="K246" s="17">
        <f>IF($B246="","",IFERROR(_xlfn.XLOOKUP($B246,nrCDdate,nrCDweek),""))</f>
        <v/>
      </c>
      <c r="L246" s="17">
        <f>IF($B246="","",IFERROR(_xlfn.XLOOKUP($B246,nrCDdate,nrCDnum),""))</f>
        <v/>
      </c>
      <c r="M246" s="16" t="n"/>
      <c r="N246" s="17">
        <f>IF(OR($B246="",$I246=""),"",_xlfn.LET(_xlpm.a,$I246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46" s="17">
        <f>IF(OR($B246="",$D246="",$E246=""),"",IF($E246=$D246,"CHECK TIMES (start = end)",IF($F246&gt;12,"CHECK TIMES (End is before Start?)","OK")))</f>
        <v/>
      </c>
      <c r="P246" s="17">
        <f>IF(OR($B246="",$I246=""),"",IF(IFERROR(MATCH($G246,nrBankTopics,0),0)=0,"OK",IF(COUNTA(INDEX(nrBankGrid,IFERROR(MATCH($G246,nrBankTopics,0),1),0))=0,"OK",IF(SUMPRODUCT((nrInstrNames&lt;&gt;"")*ISNUMBER(SEARCH(nrInstrNames,$I246))*(COUNTIF(INDEX(nrBankGrid,IFERROR(MATCH($G246,nrBankTopics,0),1),0),nrInstrNames)&gt;0))&lt;SUMPRODUCT((nrInstrNames&lt;&gt;"")*ISNUMBER(SEARCH(nrInstrNames,$I246))),"NOT IN BANK","OK"))))</f>
        <v/>
      </c>
    </row>
    <row r="247">
      <c r="B247" s="18" t="n"/>
      <c r="C247" s="17">
        <f>IF($B247="","",TEXT($B247,"ddd"))</f>
        <v/>
      </c>
      <c r="D247" s="41" t="n"/>
      <c r="E247" s="41" t="n"/>
      <c r="F247" s="17">
        <f>IF(OR($B247="",$D247="",$E247=""),"",ROUND(MOD($E247-$D247,1)*24,2))</f>
        <v/>
      </c>
      <c r="G247" s="16" t="n"/>
      <c r="H247" s="17">
        <f>IF($G247="","",IFERROR(_xlfn.XLOOKUP($G247,nrCHname,nrCHnum),IFERROR(_xlfn.XLOOKUP($G247,nrSUBname,nrSUBparent),"")))</f>
        <v/>
      </c>
      <c r="I247" s="16" t="n"/>
      <c r="J247" s="16" t="n"/>
      <c r="K247" s="17">
        <f>IF($B247="","",IFERROR(_xlfn.XLOOKUP($B247,nrCDdate,nrCDweek),""))</f>
        <v/>
      </c>
      <c r="L247" s="17">
        <f>IF($B247="","",IFERROR(_xlfn.XLOOKUP($B247,nrCDdate,nrCDnum),""))</f>
        <v/>
      </c>
      <c r="M247" s="16" t="n"/>
      <c r="N247" s="17">
        <f>IF(OR($B247="",$I247=""),"",_xlfn.LET(_xlpm.a,$I247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47" s="17">
        <f>IF(OR($B247="",$D247="",$E247=""),"",IF($E247=$D247,"CHECK TIMES (start = end)",IF($F247&gt;12,"CHECK TIMES (End is before Start?)","OK")))</f>
        <v/>
      </c>
      <c r="P247" s="17">
        <f>IF(OR($B247="",$I247=""),"",IF(IFERROR(MATCH($G247,nrBankTopics,0),0)=0,"OK",IF(COUNTA(INDEX(nrBankGrid,IFERROR(MATCH($G247,nrBankTopics,0),1),0))=0,"OK",IF(SUMPRODUCT((nrInstrNames&lt;&gt;"")*ISNUMBER(SEARCH(nrInstrNames,$I247))*(COUNTIF(INDEX(nrBankGrid,IFERROR(MATCH($G247,nrBankTopics,0),1),0),nrInstrNames)&gt;0))&lt;SUMPRODUCT((nrInstrNames&lt;&gt;"")*ISNUMBER(SEARCH(nrInstrNames,$I247))),"NOT IN BANK","OK"))))</f>
        <v/>
      </c>
    </row>
    <row r="248">
      <c r="B248" s="18" t="n"/>
      <c r="C248" s="17">
        <f>IF($B248="","",TEXT($B248,"ddd"))</f>
        <v/>
      </c>
      <c r="D248" s="41" t="n"/>
      <c r="E248" s="41" t="n"/>
      <c r="F248" s="17">
        <f>IF(OR($B248="",$D248="",$E248=""),"",ROUND(MOD($E248-$D248,1)*24,2))</f>
        <v/>
      </c>
      <c r="G248" s="16" t="n"/>
      <c r="H248" s="17">
        <f>IF($G248="","",IFERROR(_xlfn.XLOOKUP($G248,nrCHname,nrCHnum),IFERROR(_xlfn.XLOOKUP($G248,nrSUBname,nrSUBparent),"")))</f>
        <v/>
      </c>
      <c r="I248" s="16" t="n"/>
      <c r="J248" s="16" t="n"/>
      <c r="K248" s="17">
        <f>IF($B248="","",IFERROR(_xlfn.XLOOKUP($B248,nrCDdate,nrCDweek),""))</f>
        <v/>
      </c>
      <c r="L248" s="17">
        <f>IF($B248="","",IFERROR(_xlfn.XLOOKUP($B248,nrCDdate,nrCDnum),""))</f>
        <v/>
      </c>
      <c r="M248" s="16" t="n"/>
      <c r="N248" s="17">
        <f>IF(OR($B248="",$I248=""),"",_xlfn.LET(_xlpm.a,$I248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48" s="17">
        <f>IF(OR($B248="",$D248="",$E248=""),"",IF($E248=$D248,"CHECK TIMES (start = end)",IF($F248&gt;12,"CHECK TIMES (End is before Start?)","OK")))</f>
        <v/>
      </c>
      <c r="P248" s="17">
        <f>IF(OR($B248="",$I248=""),"",IF(IFERROR(MATCH($G248,nrBankTopics,0),0)=0,"OK",IF(COUNTA(INDEX(nrBankGrid,IFERROR(MATCH($G248,nrBankTopics,0),1),0))=0,"OK",IF(SUMPRODUCT((nrInstrNames&lt;&gt;"")*ISNUMBER(SEARCH(nrInstrNames,$I248))*(COUNTIF(INDEX(nrBankGrid,IFERROR(MATCH($G248,nrBankTopics,0),1),0),nrInstrNames)&gt;0))&lt;SUMPRODUCT((nrInstrNames&lt;&gt;"")*ISNUMBER(SEARCH(nrInstrNames,$I248))),"NOT IN BANK","OK"))))</f>
        <v/>
      </c>
    </row>
    <row r="249">
      <c r="B249" s="18" t="n"/>
      <c r="C249" s="17">
        <f>IF($B249="","",TEXT($B249,"ddd"))</f>
        <v/>
      </c>
      <c r="D249" s="41" t="n"/>
      <c r="E249" s="41" t="n"/>
      <c r="F249" s="17">
        <f>IF(OR($B249="",$D249="",$E249=""),"",ROUND(MOD($E249-$D249,1)*24,2))</f>
        <v/>
      </c>
      <c r="G249" s="16" t="n"/>
      <c r="H249" s="17">
        <f>IF($G249="","",IFERROR(_xlfn.XLOOKUP($G249,nrCHname,nrCHnum),IFERROR(_xlfn.XLOOKUP($G249,nrSUBname,nrSUBparent),"")))</f>
        <v/>
      </c>
      <c r="I249" s="16" t="n"/>
      <c r="J249" s="16" t="n"/>
      <c r="K249" s="17">
        <f>IF($B249="","",IFERROR(_xlfn.XLOOKUP($B249,nrCDdate,nrCDweek),""))</f>
        <v/>
      </c>
      <c r="L249" s="17">
        <f>IF($B249="","",IFERROR(_xlfn.XLOOKUP($B249,nrCDdate,nrCDnum),""))</f>
        <v/>
      </c>
      <c r="M249" s="16" t="n"/>
      <c r="N249" s="17">
        <f>IF(OR($B249="",$I249=""),"",_xlfn.LET(_xlpm.a,$I249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49" s="17">
        <f>IF(OR($B249="",$D249="",$E249=""),"",IF($E249=$D249,"CHECK TIMES (start = end)",IF($F249&gt;12,"CHECK TIMES (End is before Start?)","OK")))</f>
        <v/>
      </c>
      <c r="P249" s="17">
        <f>IF(OR($B249="",$I249=""),"",IF(IFERROR(MATCH($G249,nrBankTopics,0),0)=0,"OK",IF(COUNTA(INDEX(nrBankGrid,IFERROR(MATCH($G249,nrBankTopics,0),1),0))=0,"OK",IF(SUMPRODUCT((nrInstrNames&lt;&gt;"")*ISNUMBER(SEARCH(nrInstrNames,$I249))*(COUNTIF(INDEX(nrBankGrid,IFERROR(MATCH($G249,nrBankTopics,0),1),0),nrInstrNames)&gt;0))&lt;SUMPRODUCT((nrInstrNames&lt;&gt;"")*ISNUMBER(SEARCH(nrInstrNames,$I249))),"NOT IN BANK","OK"))))</f>
        <v/>
      </c>
    </row>
    <row r="250">
      <c r="B250" s="18" t="n"/>
      <c r="C250" s="17">
        <f>IF($B250="","",TEXT($B250,"ddd"))</f>
        <v/>
      </c>
      <c r="D250" s="41" t="n"/>
      <c r="E250" s="41" t="n"/>
      <c r="F250" s="17">
        <f>IF(OR($B250="",$D250="",$E250=""),"",ROUND(MOD($E250-$D250,1)*24,2))</f>
        <v/>
      </c>
      <c r="G250" s="16" t="n"/>
      <c r="H250" s="17">
        <f>IF($G250="","",IFERROR(_xlfn.XLOOKUP($G250,nrCHname,nrCHnum),IFERROR(_xlfn.XLOOKUP($G250,nrSUBname,nrSUBparent),"")))</f>
        <v/>
      </c>
      <c r="I250" s="16" t="n"/>
      <c r="J250" s="16" t="n"/>
      <c r="K250" s="17">
        <f>IF($B250="","",IFERROR(_xlfn.XLOOKUP($B250,nrCDdate,nrCDweek),""))</f>
        <v/>
      </c>
      <c r="L250" s="17">
        <f>IF($B250="","",IFERROR(_xlfn.XLOOKUP($B250,nrCDdate,nrCDnum),""))</f>
        <v/>
      </c>
      <c r="M250" s="16" t="n"/>
      <c r="N250" s="17">
        <f>IF(OR($B250="",$I250=""),"",_xlfn.LET(_xlpm.a,$I250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50" s="17">
        <f>IF(OR($B250="",$D250="",$E250=""),"",IF($E250=$D250,"CHECK TIMES (start = end)",IF($F250&gt;12,"CHECK TIMES (End is before Start?)","OK")))</f>
        <v/>
      </c>
      <c r="P250" s="17">
        <f>IF(OR($B250="",$I250=""),"",IF(IFERROR(MATCH($G250,nrBankTopics,0),0)=0,"OK",IF(COUNTA(INDEX(nrBankGrid,IFERROR(MATCH($G250,nrBankTopics,0),1),0))=0,"OK",IF(SUMPRODUCT((nrInstrNames&lt;&gt;"")*ISNUMBER(SEARCH(nrInstrNames,$I250))*(COUNTIF(INDEX(nrBankGrid,IFERROR(MATCH($G250,nrBankTopics,0),1),0),nrInstrNames)&gt;0))&lt;SUMPRODUCT((nrInstrNames&lt;&gt;"")*ISNUMBER(SEARCH(nrInstrNames,$I250))),"NOT IN BANK","OK"))))</f>
        <v/>
      </c>
    </row>
    <row r="251">
      <c r="B251" s="18" t="n"/>
      <c r="C251" s="17">
        <f>IF($B251="","",TEXT($B251,"ddd"))</f>
        <v/>
      </c>
      <c r="D251" s="41" t="n"/>
      <c r="E251" s="41" t="n"/>
      <c r="F251" s="17">
        <f>IF(OR($B251="",$D251="",$E251=""),"",ROUND(MOD($E251-$D251,1)*24,2))</f>
        <v/>
      </c>
      <c r="G251" s="16" t="n"/>
      <c r="H251" s="17">
        <f>IF($G251="","",IFERROR(_xlfn.XLOOKUP($G251,nrCHname,nrCHnum),IFERROR(_xlfn.XLOOKUP($G251,nrSUBname,nrSUBparent),"")))</f>
        <v/>
      </c>
      <c r="I251" s="16" t="n"/>
      <c r="J251" s="16" t="n"/>
      <c r="K251" s="17">
        <f>IF($B251="","",IFERROR(_xlfn.XLOOKUP($B251,nrCDdate,nrCDweek),""))</f>
        <v/>
      </c>
      <c r="L251" s="17">
        <f>IF($B251="","",IFERROR(_xlfn.XLOOKUP($B251,nrCDdate,nrCDnum),""))</f>
        <v/>
      </c>
      <c r="M251" s="16" t="n"/>
      <c r="N251" s="17">
        <f>IF(OR($B251="",$I251=""),"",_xlfn.LET(_xlpm.a,$I251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51" s="17">
        <f>IF(OR($B251="",$D251="",$E251=""),"",IF($E251=$D251,"CHECK TIMES (start = end)",IF($F251&gt;12,"CHECK TIMES (End is before Start?)","OK")))</f>
        <v/>
      </c>
      <c r="P251" s="17">
        <f>IF(OR($B251="",$I251=""),"",IF(IFERROR(MATCH($G251,nrBankTopics,0),0)=0,"OK",IF(COUNTA(INDEX(nrBankGrid,IFERROR(MATCH($G251,nrBankTopics,0),1),0))=0,"OK",IF(SUMPRODUCT((nrInstrNames&lt;&gt;"")*ISNUMBER(SEARCH(nrInstrNames,$I251))*(COUNTIF(INDEX(nrBankGrid,IFERROR(MATCH($G251,nrBankTopics,0),1),0),nrInstrNames)&gt;0))&lt;SUMPRODUCT((nrInstrNames&lt;&gt;"")*ISNUMBER(SEARCH(nrInstrNames,$I251))),"NOT IN BANK","OK"))))</f>
        <v/>
      </c>
    </row>
    <row r="252">
      <c r="B252" s="18" t="n"/>
      <c r="C252" s="17">
        <f>IF($B252="","",TEXT($B252,"ddd"))</f>
        <v/>
      </c>
      <c r="D252" s="41" t="n"/>
      <c r="E252" s="41" t="n"/>
      <c r="F252" s="17">
        <f>IF(OR($B252="",$D252="",$E252=""),"",ROUND(MOD($E252-$D252,1)*24,2))</f>
        <v/>
      </c>
      <c r="G252" s="16" t="n"/>
      <c r="H252" s="17">
        <f>IF($G252="","",IFERROR(_xlfn.XLOOKUP($G252,nrCHname,nrCHnum),IFERROR(_xlfn.XLOOKUP($G252,nrSUBname,nrSUBparent),"")))</f>
        <v/>
      </c>
      <c r="I252" s="16" t="n"/>
      <c r="J252" s="16" t="n"/>
      <c r="K252" s="17">
        <f>IF($B252="","",IFERROR(_xlfn.XLOOKUP($B252,nrCDdate,nrCDweek),""))</f>
        <v/>
      </c>
      <c r="L252" s="17">
        <f>IF($B252="","",IFERROR(_xlfn.XLOOKUP($B252,nrCDdate,nrCDnum),""))</f>
        <v/>
      </c>
      <c r="M252" s="16" t="n"/>
      <c r="N252" s="17">
        <f>IF(OR($B252="",$I252=""),"",_xlfn.LET(_xlpm.a,$I252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52" s="17">
        <f>IF(OR($B252="",$D252="",$E252=""),"",IF($E252=$D252,"CHECK TIMES (start = end)",IF($F252&gt;12,"CHECK TIMES (End is before Start?)","OK")))</f>
        <v/>
      </c>
      <c r="P252" s="17">
        <f>IF(OR($B252="",$I252=""),"",IF(IFERROR(MATCH($G252,nrBankTopics,0),0)=0,"OK",IF(COUNTA(INDEX(nrBankGrid,IFERROR(MATCH($G252,nrBankTopics,0),1),0))=0,"OK",IF(SUMPRODUCT((nrInstrNames&lt;&gt;"")*ISNUMBER(SEARCH(nrInstrNames,$I252))*(COUNTIF(INDEX(nrBankGrid,IFERROR(MATCH($G252,nrBankTopics,0),1),0),nrInstrNames)&gt;0))&lt;SUMPRODUCT((nrInstrNames&lt;&gt;"")*ISNUMBER(SEARCH(nrInstrNames,$I252))),"NOT IN BANK","OK"))))</f>
        <v/>
      </c>
    </row>
    <row r="253">
      <c r="B253" s="18" t="n"/>
      <c r="C253" s="17">
        <f>IF($B253="","",TEXT($B253,"ddd"))</f>
        <v/>
      </c>
      <c r="D253" s="41" t="n"/>
      <c r="E253" s="41" t="n"/>
      <c r="F253" s="17">
        <f>IF(OR($B253="",$D253="",$E253=""),"",ROUND(MOD($E253-$D253,1)*24,2))</f>
        <v/>
      </c>
      <c r="G253" s="16" t="n"/>
      <c r="H253" s="17">
        <f>IF($G253="","",IFERROR(_xlfn.XLOOKUP($G253,nrCHname,nrCHnum),IFERROR(_xlfn.XLOOKUP($G253,nrSUBname,nrSUBparent),"")))</f>
        <v/>
      </c>
      <c r="I253" s="16" t="n"/>
      <c r="J253" s="16" t="n"/>
      <c r="K253" s="17">
        <f>IF($B253="","",IFERROR(_xlfn.XLOOKUP($B253,nrCDdate,nrCDweek),""))</f>
        <v/>
      </c>
      <c r="L253" s="17">
        <f>IF($B253="","",IFERROR(_xlfn.XLOOKUP($B253,nrCDdate,nrCDnum),""))</f>
        <v/>
      </c>
      <c r="M253" s="16" t="n"/>
      <c r="N253" s="17">
        <f>IF(OR($B253="",$I253=""),"",_xlfn.LET(_xlpm.a,$I253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53" s="17">
        <f>IF(OR($B253="",$D253="",$E253=""),"",IF($E253=$D253,"CHECK TIMES (start = end)",IF($F253&gt;12,"CHECK TIMES (End is before Start?)","OK")))</f>
        <v/>
      </c>
      <c r="P253" s="17">
        <f>IF(OR($B253="",$I253=""),"",IF(IFERROR(MATCH($G253,nrBankTopics,0),0)=0,"OK",IF(COUNTA(INDEX(nrBankGrid,IFERROR(MATCH($G253,nrBankTopics,0),1),0))=0,"OK",IF(SUMPRODUCT((nrInstrNames&lt;&gt;"")*ISNUMBER(SEARCH(nrInstrNames,$I253))*(COUNTIF(INDEX(nrBankGrid,IFERROR(MATCH($G253,nrBankTopics,0),1),0),nrInstrNames)&gt;0))&lt;SUMPRODUCT((nrInstrNames&lt;&gt;"")*ISNUMBER(SEARCH(nrInstrNames,$I253))),"NOT IN BANK","OK"))))</f>
        <v/>
      </c>
    </row>
    <row r="254">
      <c r="B254" s="18" t="n"/>
      <c r="C254" s="17">
        <f>IF($B254="","",TEXT($B254,"ddd"))</f>
        <v/>
      </c>
      <c r="D254" s="41" t="n"/>
      <c r="E254" s="41" t="n"/>
      <c r="F254" s="17">
        <f>IF(OR($B254="",$D254="",$E254=""),"",ROUND(MOD($E254-$D254,1)*24,2))</f>
        <v/>
      </c>
      <c r="G254" s="16" t="n"/>
      <c r="H254" s="17">
        <f>IF($G254="","",IFERROR(_xlfn.XLOOKUP($G254,nrCHname,nrCHnum),IFERROR(_xlfn.XLOOKUP($G254,nrSUBname,nrSUBparent),"")))</f>
        <v/>
      </c>
      <c r="I254" s="16" t="n"/>
      <c r="J254" s="16" t="n"/>
      <c r="K254" s="17">
        <f>IF($B254="","",IFERROR(_xlfn.XLOOKUP($B254,nrCDdate,nrCDweek),""))</f>
        <v/>
      </c>
      <c r="L254" s="17">
        <f>IF($B254="","",IFERROR(_xlfn.XLOOKUP($B254,nrCDdate,nrCDnum),""))</f>
        <v/>
      </c>
      <c r="M254" s="16" t="n"/>
      <c r="N254" s="17">
        <f>IF(OR($B254="",$I254=""),"",_xlfn.LET(_xlpm.a,$I254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54" s="17">
        <f>IF(OR($B254="",$D254="",$E254=""),"",IF($E254=$D254,"CHECK TIMES (start = end)",IF($F254&gt;12,"CHECK TIMES (End is before Start?)","OK")))</f>
        <v/>
      </c>
      <c r="P254" s="17">
        <f>IF(OR($B254="",$I254=""),"",IF(IFERROR(MATCH($G254,nrBankTopics,0),0)=0,"OK",IF(COUNTA(INDEX(nrBankGrid,IFERROR(MATCH($G254,nrBankTopics,0),1),0))=0,"OK",IF(SUMPRODUCT((nrInstrNames&lt;&gt;"")*ISNUMBER(SEARCH(nrInstrNames,$I254))*(COUNTIF(INDEX(nrBankGrid,IFERROR(MATCH($G254,nrBankTopics,0),1),0),nrInstrNames)&gt;0))&lt;SUMPRODUCT((nrInstrNames&lt;&gt;"")*ISNUMBER(SEARCH(nrInstrNames,$I254))),"NOT IN BANK","OK"))))</f>
        <v/>
      </c>
    </row>
    <row r="255">
      <c r="B255" s="18" t="n"/>
      <c r="C255" s="17">
        <f>IF($B255="","",TEXT($B255,"ddd"))</f>
        <v/>
      </c>
      <c r="D255" s="41" t="n"/>
      <c r="E255" s="41" t="n"/>
      <c r="F255" s="17">
        <f>IF(OR($B255="",$D255="",$E255=""),"",ROUND(MOD($E255-$D255,1)*24,2))</f>
        <v/>
      </c>
      <c r="G255" s="16" t="n"/>
      <c r="H255" s="17">
        <f>IF($G255="","",IFERROR(_xlfn.XLOOKUP($G255,nrCHname,nrCHnum),IFERROR(_xlfn.XLOOKUP($G255,nrSUBname,nrSUBparent),"")))</f>
        <v/>
      </c>
      <c r="I255" s="16" t="n"/>
      <c r="J255" s="16" t="n"/>
      <c r="K255" s="17">
        <f>IF($B255="","",IFERROR(_xlfn.XLOOKUP($B255,nrCDdate,nrCDweek),""))</f>
        <v/>
      </c>
      <c r="L255" s="17">
        <f>IF($B255="","",IFERROR(_xlfn.XLOOKUP($B255,nrCDdate,nrCDnum),""))</f>
        <v/>
      </c>
      <c r="M255" s="16" t="n"/>
      <c r="N255" s="17">
        <f>IF(OR($B255="",$I255=""),"",_xlfn.LET(_xlpm.a,$I255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55" s="17">
        <f>IF(OR($B255="",$D255="",$E255=""),"",IF($E255=$D255,"CHECK TIMES (start = end)",IF($F255&gt;12,"CHECK TIMES (End is before Start?)","OK")))</f>
        <v/>
      </c>
      <c r="P255" s="17">
        <f>IF(OR($B255="",$I255=""),"",IF(IFERROR(MATCH($G255,nrBankTopics,0),0)=0,"OK",IF(COUNTA(INDEX(nrBankGrid,IFERROR(MATCH($G255,nrBankTopics,0),1),0))=0,"OK",IF(SUMPRODUCT((nrInstrNames&lt;&gt;"")*ISNUMBER(SEARCH(nrInstrNames,$I255))*(COUNTIF(INDEX(nrBankGrid,IFERROR(MATCH($G255,nrBankTopics,0),1),0),nrInstrNames)&gt;0))&lt;SUMPRODUCT((nrInstrNames&lt;&gt;"")*ISNUMBER(SEARCH(nrInstrNames,$I255))),"NOT IN BANK","OK"))))</f>
        <v/>
      </c>
    </row>
    <row r="256">
      <c r="B256" s="18" t="n"/>
      <c r="C256" s="17">
        <f>IF($B256="","",TEXT($B256,"ddd"))</f>
        <v/>
      </c>
      <c r="D256" s="41" t="n"/>
      <c r="E256" s="41" t="n"/>
      <c r="F256" s="17">
        <f>IF(OR($B256="",$D256="",$E256=""),"",ROUND(MOD($E256-$D256,1)*24,2))</f>
        <v/>
      </c>
      <c r="G256" s="16" t="n"/>
      <c r="H256" s="17">
        <f>IF($G256="","",IFERROR(_xlfn.XLOOKUP($G256,nrCHname,nrCHnum),IFERROR(_xlfn.XLOOKUP($G256,nrSUBname,nrSUBparent),"")))</f>
        <v/>
      </c>
      <c r="I256" s="16" t="n"/>
      <c r="J256" s="16" t="n"/>
      <c r="K256" s="17">
        <f>IF($B256="","",IFERROR(_xlfn.XLOOKUP($B256,nrCDdate,nrCDweek),""))</f>
        <v/>
      </c>
      <c r="L256" s="17">
        <f>IF($B256="","",IFERROR(_xlfn.XLOOKUP($B256,nrCDdate,nrCDnum),""))</f>
        <v/>
      </c>
      <c r="M256" s="16" t="n"/>
      <c r="N256" s="17">
        <f>IF(OR($B256="",$I256=""),"",_xlfn.LET(_xlpm.a,$I256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56" s="17">
        <f>IF(OR($B256="",$D256="",$E256=""),"",IF($E256=$D256,"CHECK TIMES (start = end)",IF($F256&gt;12,"CHECK TIMES (End is before Start?)","OK")))</f>
        <v/>
      </c>
      <c r="P256" s="17">
        <f>IF(OR($B256="",$I256=""),"",IF(IFERROR(MATCH($G256,nrBankTopics,0),0)=0,"OK",IF(COUNTA(INDEX(nrBankGrid,IFERROR(MATCH($G256,nrBankTopics,0),1),0))=0,"OK",IF(SUMPRODUCT((nrInstrNames&lt;&gt;"")*ISNUMBER(SEARCH(nrInstrNames,$I256))*(COUNTIF(INDEX(nrBankGrid,IFERROR(MATCH($G256,nrBankTopics,0),1),0),nrInstrNames)&gt;0))&lt;SUMPRODUCT((nrInstrNames&lt;&gt;"")*ISNUMBER(SEARCH(nrInstrNames,$I256))),"NOT IN BANK","OK"))))</f>
        <v/>
      </c>
    </row>
    <row r="257">
      <c r="B257" s="18" t="n"/>
      <c r="C257" s="17">
        <f>IF($B257="","",TEXT($B257,"ddd"))</f>
        <v/>
      </c>
      <c r="D257" s="41" t="n"/>
      <c r="E257" s="41" t="n"/>
      <c r="F257" s="17">
        <f>IF(OR($B257="",$D257="",$E257=""),"",ROUND(MOD($E257-$D257,1)*24,2))</f>
        <v/>
      </c>
      <c r="G257" s="16" t="n"/>
      <c r="H257" s="17">
        <f>IF($G257="","",IFERROR(_xlfn.XLOOKUP($G257,nrCHname,nrCHnum),IFERROR(_xlfn.XLOOKUP($G257,nrSUBname,nrSUBparent),"")))</f>
        <v/>
      </c>
      <c r="I257" s="16" t="n"/>
      <c r="J257" s="16" t="n"/>
      <c r="K257" s="17">
        <f>IF($B257="","",IFERROR(_xlfn.XLOOKUP($B257,nrCDdate,nrCDweek),""))</f>
        <v/>
      </c>
      <c r="L257" s="17">
        <f>IF($B257="","",IFERROR(_xlfn.XLOOKUP($B257,nrCDdate,nrCDnum),""))</f>
        <v/>
      </c>
      <c r="M257" s="16" t="n"/>
      <c r="N257" s="17">
        <f>IF(OR($B257="",$I257=""),"",_xlfn.LET(_xlpm.a,$I257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57" s="17">
        <f>IF(OR($B257="",$D257="",$E257=""),"",IF($E257=$D257,"CHECK TIMES (start = end)",IF($F257&gt;12,"CHECK TIMES (End is before Start?)","OK")))</f>
        <v/>
      </c>
      <c r="P257" s="17">
        <f>IF(OR($B257="",$I257=""),"",IF(IFERROR(MATCH($G257,nrBankTopics,0),0)=0,"OK",IF(COUNTA(INDEX(nrBankGrid,IFERROR(MATCH($G257,nrBankTopics,0),1),0))=0,"OK",IF(SUMPRODUCT((nrInstrNames&lt;&gt;"")*ISNUMBER(SEARCH(nrInstrNames,$I257))*(COUNTIF(INDEX(nrBankGrid,IFERROR(MATCH($G257,nrBankTopics,0),1),0),nrInstrNames)&gt;0))&lt;SUMPRODUCT((nrInstrNames&lt;&gt;"")*ISNUMBER(SEARCH(nrInstrNames,$I257))),"NOT IN BANK","OK"))))</f>
        <v/>
      </c>
    </row>
    <row r="258">
      <c r="B258" s="18" t="n"/>
      <c r="C258" s="17">
        <f>IF($B258="","",TEXT($B258,"ddd"))</f>
        <v/>
      </c>
      <c r="D258" s="41" t="n"/>
      <c r="E258" s="41" t="n"/>
      <c r="F258" s="17">
        <f>IF(OR($B258="",$D258="",$E258=""),"",ROUND(MOD($E258-$D258,1)*24,2))</f>
        <v/>
      </c>
      <c r="G258" s="16" t="n"/>
      <c r="H258" s="17">
        <f>IF($G258="","",IFERROR(_xlfn.XLOOKUP($G258,nrCHname,nrCHnum),IFERROR(_xlfn.XLOOKUP($G258,nrSUBname,nrSUBparent),"")))</f>
        <v/>
      </c>
      <c r="I258" s="16" t="n"/>
      <c r="J258" s="16" t="n"/>
      <c r="K258" s="17">
        <f>IF($B258="","",IFERROR(_xlfn.XLOOKUP($B258,nrCDdate,nrCDweek),""))</f>
        <v/>
      </c>
      <c r="L258" s="17">
        <f>IF($B258="","",IFERROR(_xlfn.XLOOKUP($B258,nrCDdate,nrCDnum),""))</f>
        <v/>
      </c>
      <c r="M258" s="16" t="n"/>
      <c r="N258" s="17">
        <f>IF(OR($B258="",$I258=""),"",_xlfn.LET(_xlpm.a,$I258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58" s="17">
        <f>IF(OR($B258="",$D258="",$E258=""),"",IF($E258=$D258,"CHECK TIMES (start = end)",IF($F258&gt;12,"CHECK TIMES (End is before Start?)","OK")))</f>
        <v/>
      </c>
      <c r="P258" s="17">
        <f>IF(OR($B258="",$I258=""),"",IF(IFERROR(MATCH($G258,nrBankTopics,0),0)=0,"OK",IF(COUNTA(INDEX(nrBankGrid,IFERROR(MATCH($G258,nrBankTopics,0),1),0))=0,"OK",IF(SUMPRODUCT((nrInstrNames&lt;&gt;"")*ISNUMBER(SEARCH(nrInstrNames,$I258))*(COUNTIF(INDEX(nrBankGrid,IFERROR(MATCH($G258,nrBankTopics,0),1),0),nrInstrNames)&gt;0))&lt;SUMPRODUCT((nrInstrNames&lt;&gt;"")*ISNUMBER(SEARCH(nrInstrNames,$I258))),"NOT IN BANK","OK"))))</f>
        <v/>
      </c>
    </row>
    <row r="259">
      <c r="B259" s="18" t="n"/>
      <c r="C259" s="17">
        <f>IF($B259="","",TEXT($B259,"ddd"))</f>
        <v/>
      </c>
      <c r="D259" s="41" t="n"/>
      <c r="E259" s="41" t="n"/>
      <c r="F259" s="17">
        <f>IF(OR($B259="",$D259="",$E259=""),"",ROUND(MOD($E259-$D259,1)*24,2))</f>
        <v/>
      </c>
      <c r="G259" s="16" t="n"/>
      <c r="H259" s="17">
        <f>IF($G259="","",IFERROR(_xlfn.XLOOKUP($G259,nrCHname,nrCHnum),IFERROR(_xlfn.XLOOKUP($G259,nrSUBname,nrSUBparent),"")))</f>
        <v/>
      </c>
      <c r="I259" s="16" t="n"/>
      <c r="J259" s="16" t="n"/>
      <c r="K259" s="17">
        <f>IF($B259="","",IFERROR(_xlfn.XLOOKUP($B259,nrCDdate,nrCDweek),""))</f>
        <v/>
      </c>
      <c r="L259" s="17">
        <f>IF($B259="","",IFERROR(_xlfn.XLOOKUP($B259,nrCDdate,nrCDnum),""))</f>
        <v/>
      </c>
      <c r="M259" s="16" t="n"/>
      <c r="N259" s="17">
        <f>IF(OR($B259="",$I259=""),"",_xlfn.LET(_xlpm.a,$I259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59" s="17">
        <f>IF(OR($B259="",$D259="",$E259=""),"",IF($E259=$D259,"CHECK TIMES (start = end)",IF($F259&gt;12,"CHECK TIMES (End is before Start?)","OK")))</f>
        <v/>
      </c>
      <c r="P259" s="17">
        <f>IF(OR($B259="",$I259=""),"",IF(IFERROR(MATCH($G259,nrBankTopics,0),0)=0,"OK",IF(COUNTA(INDEX(nrBankGrid,IFERROR(MATCH($G259,nrBankTopics,0),1),0))=0,"OK",IF(SUMPRODUCT((nrInstrNames&lt;&gt;"")*ISNUMBER(SEARCH(nrInstrNames,$I259))*(COUNTIF(INDEX(nrBankGrid,IFERROR(MATCH($G259,nrBankTopics,0),1),0),nrInstrNames)&gt;0))&lt;SUMPRODUCT((nrInstrNames&lt;&gt;"")*ISNUMBER(SEARCH(nrInstrNames,$I259))),"NOT IN BANK","OK"))))</f>
        <v/>
      </c>
    </row>
    <row r="260">
      <c r="B260" s="18" t="n"/>
      <c r="C260" s="17">
        <f>IF($B260="","",TEXT($B260,"ddd"))</f>
        <v/>
      </c>
      <c r="D260" s="41" t="n"/>
      <c r="E260" s="41" t="n"/>
      <c r="F260" s="17">
        <f>IF(OR($B260="",$D260="",$E260=""),"",ROUND(MOD($E260-$D260,1)*24,2))</f>
        <v/>
      </c>
      <c r="G260" s="16" t="n"/>
      <c r="H260" s="17">
        <f>IF($G260="","",IFERROR(_xlfn.XLOOKUP($G260,nrCHname,nrCHnum),IFERROR(_xlfn.XLOOKUP($G260,nrSUBname,nrSUBparent),"")))</f>
        <v/>
      </c>
      <c r="I260" s="16" t="n"/>
      <c r="J260" s="16" t="n"/>
      <c r="K260" s="17">
        <f>IF($B260="","",IFERROR(_xlfn.XLOOKUP($B260,nrCDdate,nrCDweek),""))</f>
        <v/>
      </c>
      <c r="L260" s="17">
        <f>IF($B260="","",IFERROR(_xlfn.XLOOKUP($B260,nrCDdate,nrCDnum),""))</f>
        <v/>
      </c>
      <c r="M260" s="16" t="n"/>
      <c r="N260" s="17">
        <f>IF(OR($B260="",$I260=""),"",_xlfn.LET(_xlpm.a,$I260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60" s="17">
        <f>IF(OR($B260="",$D260="",$E260=""),"",IF($E260=$D260,"CHECK TIMES (start = end)",IF($F260&gt;12,"CHECK TIMES (End is before Start?)","OK")))</f>
        <v/>
      </c>
      <c r="P260" s="17">
        <f>IF(OR($B260="",$I260=""),"",IF(IFERROR(MATCH($G260,nrBankTopics,0),0)=0,"OK",IF(COUNTA(INDEX(nrBankGrid,IFERROR(MATCH($G260,nrBankTopics,0),1),0))=0,"OK",IF(SUMPRODUCT((nrInstrNames&lt;&gt;"")*ISNUMBER(SEARCH(nrInstrNames,$I260))*(COUNTIF(INDEX(nrBankGrid,IFERROR(MATCH($G260,nrBankTopics,0),1),0),nrInstrNames)&gt;0))&lt;SUMPRODUCT((nrInstrNames&lt;&gt;"")*ISNUMBER(SEARCH(nrInstrNames,$I260))),"NOT IN BANK","OK"))))</f>
        <v/>
      </c>
    </row>
    <row r="261">
      <c r="B261" s="18" t="n"/>
      <c r="C261" s="17">
        <f>IF($B261="","",TEXT($B261,"ddd"))</f>
        <v/>
      </c>
      <c r="D261" s="41" t="n"/>
      <c r="E261" s="41" t="n"/>
      <c r="F261" s="17">
        <f>IF(OR($B261="",$D261="",$E261=""),"",ROUND(MOD($E261-$D261,1)*24,2))</f>
        <v/>
      </c>
      <c r="G261" s="16" t="n"/>
      <c r="H261" s="17">
        <f>IF($G261="","",IFERROR(_xlfn.XLOOKUP($G261,nrCHname,nrCHnum),IFERROR(_xlfn.XLOOKUP($G261,nrSUBname,nrSUBparent),"")))</f>
        <v/>
      </c>
      <c r="I261" s="16" t="n"/>
      <c r="J261" s="16" t="n"/>
      <c r="K261" s="17">
        <f>IF($B261="","",IFERROR(_xlfn.XLOOKUP($B261,nrCDdate,nrCDweek),""))</f>
        <v/>
      </c>
      <c r="L261" s="17">
        <f>IF($B261="","",IFERROR(_xlfn.XLOOKUP($B261,nrCDdate,nrCDnum),""))</f>
        <v/>
      </c>
      <c r="M261" s="16" t="n"/>
      <c r="N261" s="17">
        <f>IF(OR($B261="",$I261=""),"",_xlfn.LET(_xlpm.a,$I261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61" s="17">
        <f>IF(OR($B261="",$D261="",$E261=""),"",IF($E261=$D261,"CHECK TIMES (start = end)",IF($F261&gt;12,"CHECK TIMES (End is before Start?)","OK")))</f>
        <v/>
      </c>
      <c r="P261" s="17">
        <f>IF(OR($B261="",$I261=""),"",IF(IFERROR(MATCH($G261,nrBankTopics,0),0)=0,"OK",IF(COUNTA(INDEX(nrBankGrid,IFERROR(MATCH($G261,nrBankTopics,0),1),0))=0,"OK",IF(SUMPRODUCT((nrInstrNames&lt;&gt;"")*ISNUMBER(SEARCH(nrInstrNames,$I261))*(COUNTIF(INDEX(nrBankGrid,IFERROR(MATCH($G261,nrBankTopics,0),1),0),nrInstrNames)&gt;0))&lt;SUMPRODUCT((nrInstrNames&lt;&gt;"")*ISNUMBER(SEARCH(nrInstrNames,$I261))),"NOT IN BANK","OK"))))</f>
        <v/>
      </c>
    </row>
    <row r="262">
      <c r="B262" s="18" t="n"/>
      <c r="C262" s="17">
        <f>IF($B262="","",TEXT($B262,"ddd"))</f>
        <v/>
      </c>
      <c r="D262" s="41" t="n"/>
      <c r="E262" s="41" t="n"/>
      <c r="F262" s="17">
        <f>IF(OR($B262="",$D262="",$E262=""),"",ROUND(MOD($E262-$D262,1)*24,2))</f>
        <v/>
      </c>
      <c r="G262" s="16" t="n"/>
      <c r="H262" s="17">
        <f>IF($G262="","",IFERROR(_xlfn.XLOOKUP($G262,nrCHname,nrCHnum),IFERROR(_xlfn.XLOOKUP($G262,nrSUBname,nrSUBparent),"")))</f>
        <v/>
      </c>
      <c r="I262" s="16" t="n"/>
      <c r="J262" s="16" t="n"/>
      <c r="K262" s="17">
        <f>IF($B262="","",IFERROR(_xlfn.XLOOKUP($B262,nrCDdate,nrCDweek),""))</f>
        <v/>
      </c>
      <c r="L262" s="17">
        <f>IF($B262="","",IFERROR(_xlfn.XLOOKUP($B262,nrCDdate,nrCDnum),""))</f>
        <v/>
      </c>
      <c r="M262" s="16" t="n"/>
      <c r="N262" s="17">
        <f>IF(OR($B262="",$I262=""),"",_xlfn.LET(_xlpm.a,$I262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62" s="17">
        <f>IF(OR($B262="",$D262="",$E262=""),"",IF($E262=$D262,"CHECK TIMES (start = end)",IF($F262&gt;12,"CHECK TIMES (End is before Start?)","OK")))</f>
        <v/>
      </c>
      <c r="P262" s="17">
        <f>IF(OR($B262="",$I262=""),"",IF(IFERROR(MATCH($G262,nrBankTopics,0),0)=0,"OK",IF(COUNTA(INDEX(nrBankGrid,IFERROR(MATCH($G262,nrBankTopics,0),1),0))=0,"OK",IF(SUMPRODUCT((nrInstrNames&lt;&gt;"")*ISNUMBER(SEARCH(nrInstrNames,$I262))*(COUNTIF(INDEX(nrBankGrid,IFERROR(MATCH($G262,nrBankTopics,0),1),0),nrInstrNames)&gt;0))&lt;SUMPRODUCT((nrInstrNames&lt;&gt;"")*ISNUMBER(SEARCH(nrInstrNames,$I262))),"NOT IN BANK","OK"))))</f>
        <v/>
      </c>
    </row>
    <row r="263">
      <c r="B263" s="18" t="n"/>
      <c r="C263" s="17">
        <f>IF($B263="","",TEXT($B263,"ddd"))</f>
        <v/>
      </c>
      <c r="D263" s="41" t="n"/>
      <c r="E263" s="41" t="n"/>
      <c r="F263" s="17">
        <f>IF(OR($B263="",$D263="",$E263=""),"",ROUND(MOD($E263-$D263,1)*24,2))</f>
        <v/>
      </c>
      <c r="G263" s="16" t="n"/>
      <c r="H263" s="17">
        <f>IF($G263="","",IFERROR(_xlfn.XLOOKUP($G263,nrCHname,nrCHnum),IFERROR(_xlfn.XLOOKUP($G263,nrSUBname,nrSUBparent),"")))</f>
        <v/>
      </c>
      <c r="I263" s="16" t="n"/>
      <c r="J263" s="16" t="n"/>
      <c r="K263" s="17">
        <f>IF($B263="","",IFERROR(_xlfn.XLOOKUP($B263,nrCDdate,nrCDweek),""))</f>
        <v/>
      </c>
      <c r="L263" s="17">
        <f>IF($B263="","",IFERROR(_xlfn.XLOOKUP($B263,nrCDdate,nrCDnum),""))</f>
        <v/>
      </c>
      <c r="M263" s="16" t="n"/>
      <c r="N263" s="17">
        <f>IF(OR($B263="",$I263=""),"",_xlfn.LET(_xlpm.a,$I263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63" s="17">
        <f>IF(OR($B263="",$D263="",$E263=""),"",IF($E263=$D263,"CHECK TIMES (start = end)",IF($F263&gt;12,"CHECK TIMES (End is before Start?)","OK")))</f>
        <v/>
      </c>
      <c r="P263" s="17">
        <f>IF(OR($B263="",$I263=""),"",IF(IFERROR(MATCH($G263,nrBankTopics,0),0)=0,"OK",IF(COUNTA(INDEX(nrBankGrid,IFERROR(MATCH($G263,nrBankTopics,0),1),0))=0,"OK",IF(SUMPRODUCT((nrInstrNames&lt;&gt;"")*ISNUMBER(SEARCH(nrInstrNames,$I263))*(COUNTIF(INDEX(nrBankGrid,IFERROR(MATCH($G263,nrBankTopics,0),1),0),nrInstrNames)&gt;0))&lt;SUMPRODUCT((nrInstrNames&lt;&gt;"")*ISNUMBER(SEARCH(nrInstrNames,$I263))),"NOT IN BANK","OK"))))</f>
        <v/>
      </c>
    </row>
    <row r="264">
      <c r="B264" s="18" t="n"/>
      <c r="C264" s="17">
        <f>IF($B264="","",TEXT($B264,"ddd"))</f>
        <v/>
      </c>
      <c r="D264" s="41" t="n"/>
      <c r="E264" s="41" t="n"/>
      <c r="F264" s="17">
        <f>IF(OR($B264="",$D264="",$E264=""),"",ROUND(MOD($E264-$D264,1)*24,2))</f>
        <v/>
      </c>
      <c r="G264" s="16" t="n"/>
      <c r="H264" s="17">
        <f>IF($G264="","",IFERROR(_xlfn.XLOOKUP($G264,nrCHname,nrCHnum),IFERROR(_xlfn.XLOOKUP($G264,nrSUBname,nrSUBparent),"")))</f>
        <v/>
      </c>
      <c r="I264" s="16" t="n"/>
      <c r="J264" s="16" t="n"/>
      <c r="K264" s="17">
        <f>IF($B264="","",IFERROR(_xlfn.XLOOKUP($B264,nrCDdate,nrCDweek),""))</f>
        <v/>
      </c>
      <c r="L264" s="17">
        <f>IF($B264="","",IFERROR(_xlfn.XLOOKUP($B264,nrCDdate,nrCDnum),""))</f>
        <v/>
      </c>
      <c r="M264" s="16" t="n"/>
      <c r="N264" s="17">
        <f>IF(OR($B264="",$I264=""),"",_xlfn.LET(_xlpm.a,$I264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64" s="17">
        <f>IF(OR($B264="",$D264="",$E264=""),"",IF($E264=$D264,"CHECK TIMES (start = end)",IF($F264&gt;12,"CHECK TIMES (End is before Start?)","OK")))</f>
        <v/>
      </c>
      <c r="P264" s="17">
        <f>IF(OR($B264="",$I264=""),"",IF(IFERROR(MATCH($G264,nrBankTopics,0),0)=0,"OK",IF(COUNTA(INDEX(nrBankGrid,IFERROR(MATCH($G264,nrBankTopics,0),1),0))=0,"OK",IF(SUMPRODUCT((nrInstrNames&lt;&gt;"")*ISNUMBER(SEARCH(nrInstrNames,$I264))*(COUNTIF(INDEX(nrBankGrid,IFERROR(MATCH($G264,nrBankTopics,0),1),0),nrInstrNames)&gt;0))&lt;SUMPRODUCT((nrInstrNames&lt;&gt;"")*ISNUMBER(SEARCH(nrInstrNames,$I264))),"NOT IN BANK","OK"))))</f>
        <v/>
      </c>
    </row>
    <row r="265">
      <c r="B265" s="18" t="n"/>
      <c r="C265" s="17">
        <f>IF($B265="","",TEXT($B265,"ddd"))</f>
        <v/>
      </c>
      <c r="D265" s="41" t="n"/>
      <c r="E265" s="41" t="n"/>
      <c r="F265" s="17">
        <f>IF(OR($B265="",$D265="",$E265=""),"",ROUND(MOD($E265-$D265,1)*24,2))</f>
        <v/>
      </c>
      <c r="G265" s="16" t="n"/>
      <c r="H265" s="17">
        <f>IF($G265="","",IFERROR(_xlfn.XLOOKUP($G265,nrCHname,nrCHnum),IFERROR(_xlfn.XLOOKUP($G265,nrSUBname,nrSUBparent),"")))</f>
        <v/>
      </c>
      <c r="I265" s="16" t="n"/>
      <c r="J265" s="16" t="n"/>
      <c r="K265" s="17">
        <f>IF($B265="","",IFERROR(_xlfn.XLOOKUP($B265,nrCDdate,nrCDweek),""))</f>
        <v/>
      </c>
      <c r="L265" s="17">
        <f>IF($B265="","",IFERROR(_xlfn.XLOOKUP($B265,nrCDdate,nrCDnum),""))</f>
        <v/>
      </c>
      <c r="M265" s="16" t="n"/>
      <c r="N265" s="17">
        <f>IF(OR($B265="",$I265=""),"",_xlfn.LET(_xlpm.a,$I265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65" s="17">
        <f>IF(OR($B265="",$D265="",$E265=""),"",IF($E265=$D265,"CHECK TIMES (start = end)",IF($F265&gt;12,"CHECK TIMES (End is before Start?)","OK")))</f>
        <v/>
      </c>
      <c r="P265" s="17">
        <f>IF(OR($B265="",$I265=""),"",IF(IFERROR(MATCH($G265,nrBankTopics,0),0)=0,"OK",IF(COUNTA(INDEX(nrBankGrid,IFERROR(MATCH($G265,nrBankTopics,0),1),0))=0,"OK",IF(SUMPRODUCT((nrInstrNames&lt;&gt;"")*ISNUMBER(SEARCH(nrInstrNames,$I265))*(COUNTIF(INDEX(nrBankGrid,IFERROR(MATCH($G265,nrBankTopics,0),1),0),nrInstrNames)&gt;0))&lt;SUMPRODUCT((nrInstrNames&lt;&gt;"")*ISNUMBER(SEARCH(nrInstrNames,$I265))),"NOT IN BANK","OK"))))</f>
        <v/>
      </c>
    </row>
    <row r="266">
      <c r="B266" s="18" t="n"/>
      <c r="C266" s="17">
        <f>IF($B266="","",TEXT($B266,"ddd"))</f>
        <v/>
      </c>
      <c r="D266" s="41" t="n"/>
      <c r="E266" s="41" t="n"/>
      <c r="F266" s="17">
        <f>IF(OR($B266="",$D266="",$E266=""),"",ROUND(MOD($E266-$D266,1)*24,2))</f>
        <v/>
      </c>
      <c r="G266" s="16" t="n"/>
      <c r="H266" s="17">
        <f>IF($G266="","",IFERROR(_xlfn.XLOOKUP($G266,nrCHname,nrCHnum),IFERROR(_xlfn.XLOOKUP($G266,nrSUBname,nrSUBparent),"")))</f>
        <v/>
      </c>
      <c r="I266" s="16" t="n"/>
      <c r="J266" s="16" t="n"/>
      <c r="K266" s="17">
        <f>IF($B266="","",IFERROR(_xlfn.XLOOKUP($B266,nrCDdate,nrCDweek),""))</f>
        <v/>
      </c>
      <c r="L266" s="17">
        <f>IF($B266="","",IFERROR(_xlfn.XLOOKUP($B266,nrCDdate,nrCDnum),""))</f>
        <v/>
      </c>
      <c r="M266" s="16" t="n"/>
      <c r="N266" s="17">
        <f>IF(OR($B266="",$I266=""),"",_xlfn.LET(_xlpm.a,$I266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66" s="17">
        <f>IF(OR($B266="",$D266="",$E266=""),"",IF($E266=$D266,"CHECK TIMES (start = end)",IF($F266&gt;12,"CHECK TIMES (End is before Start?)","OK")))</f>
        <v/>
      </c>
      <c r="P266" s="17">
        <f>IF(OR($B266="",$I266=""),"",IF(IFERROR(MATCH($G266,nrBankTopics,0),0)=0,"OK",IF(COUNTA(INDEX(nrBankGrid,IFERROR(MATCH($G266,nrBankTopics,0),1),0))=0,"OK",IF(SUMPRODUCT((nrInstrNames&lt;&gt;"")*ISNUMBER(SEARCH(nrInstrNames,$I266))*(COUNTIF(INDEX(nrBankGrid,IFERROR(MATCH($G266,nrBankTopics,0),1),0),nrInstrNames)&gt;0))&lt;SUMPRODUCT((nrInstrNames&lt;&gt;"")*ISNUMBER(SEARCH(nrInstrNames,$I266))),"NOT IN BANK","OK"))))</f>
        <v/>
      </c>
    </row>
    <row r="267">
      <c r="B267" s="18" t="n"/>
      <c r="C267" s="17">
        <f>IF($B267="","",TEXT($B267,"ddd"))</f>
        <v/>
      </c>
      <c r="D267" s="41" t="n"/>
      <c r="E267" s="41" t="n"/>
      <c r="F267" s="17">
        <f>IF(OR($B267="",$D267="",$E267=""),"",ROUND(MOD($E267-$D267,1)*24,2))</f>
        <v/>
      </c>
      <c r="G267" s="16" t="n"/>
      <c r="H267" s="17">
        <f>IF($G267="","",IFERROR(_xlfn.XLOOKUP($G267,nrCHname,nrCHnum),IFERROR(_xlfn.XLOOKUP($G267,nrSUBname,nrSUBparent),"")))</f>
        <v/>
      </c>
      <c r="I267" s="16" t="n"/>
      <c r="J267" s="16" t="n"/>
      <c r="K267" s="17">
        <f>IF($B267="","",IFERROR(_xlfn.XLOOKUP($B267,nrCDdate,nrCDweek),""))</f>
        <v/>
      </c>
      <c r="L267" s="17">
        <f>IF($B267="","",IFERROR(_xlfn.XLOOKUP($B267,nrCDdate,nrCDnum),""))</f>
        <v/>
      </c>
      <c r="M267" s="16" t="n"/>
      <c r="N267" s="17">
        <f>IF(OR($B267="",$I267=""),"",_xlfn.LET(_xlpm.a,$I267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67" s="17">
        <f>IF(OR($B267="",$D267="",$E267=""),"",IF($E267=$D267,"CHECK TIMES (start = end)",IF($F267&gt;12,"CHECK TIMES (End is before Start?)","OK")))</f>
        <v/>
      </c>
      <c r="P267" s="17">
        <f>IF(OR($B267="",$I267=""),"",IF(IFERROR(MATCH($G267,nrBankTopics,0),0)=0,"OK",IF(COUNTA(INDEX(nrBankGrid,IFERROR(MATCH($G267,nrBankTopics,0),1),0))=0,"OK",IF(SUMPRODUCT((nrInstrNames&lt;&gt;"")*ISNUMBER(SEARCH(nrInstrNames,$I267))*(COUNTIF(INDEX(nrBankGrid,IFERROR(MATCH($G267,nrBankTopics,0),1),0),nrInstrNames)&gt;0))&lt;SUMPRODUCT((nrInstrNames&lt;&gt;"")*ISNUMBER(SEARCH(nrInstrNames,$I267))),"NOT IN BANK","OK"))))</f>
        <v/>
      </c>
    </row>
    <row r="268">
      <c r="B268" s="18" t="n"/>
      <c r="C268" s="17">
        <f>IF($B268="","",TEXT($B268,"ddd"))</f>
        <v/>
      </c>
      <c r="D268" s="41" t="n"/>
      <c r="E268" s="41" t="n"/>
      <c r="F268" s="17">
        <f>IF(OR($B268="",$D268="",$E268=""),"",ROUND(MOD($E268-$D268,1)*24,2))</f>
        <v/>
      </c>
      <c r="G268" s="16" t="n"/>
      <c r="H268" s="17">
        <f>IF($G268="","",IFERROR(_xlfn.XLOOKUP($G268,nrCHname,nrCHnum),IFERROR(_xlfn.XLOOKUP($G268,nrSUBname,nrSUBparent),"")))</f>
        <v/>
      </c>
      <c r="I268" s="16" t="n"/>
      <c r="J268" s="16" t="n"/>
      <c r="K268" s="17">
        <f>IF($B268="","",IFERROR(_xlfn.XLOOKUP($B268,nrCDdate,nrCDweek),""))</f>
        <v/>
      </c>
      <c r="L268" s="17">
        <f>IF($B268="","",IFERROR(_xlfn.XLOOKUP($B268,nrCDdate,nrCDnum),""))</f>
        <v/>
      </c>
      <c r="M268" s="16" t="n"/>
      <c r="N268" s="17">
        <f>IF(OR($B268="",$I268=""),"",_xlfn.LET(_xlpm.a,$I268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68" s="17">
        <f>IF(OR($B268="",$D268="",$E268=""),"",IF($E268=$D268,"CHECK TIMES (start = end)",IF($F268&gt;12,"CHECK TIMES (End is before Start?)","OK")))</f>
        <v/>
      </c>
      <c r="P268" s="17">
        <f>IF(OR($B268="",$I268=""),"",IF(IFERROR(MATCH($G268,nrBankTopics,0),0)=0,"OK",IF(COUNTA(INDEX(nrBankGrid,IFERROR(MATCH($G268,nrBankTopics,0),1),0))=0,"OK",IF(SUMPRODUCT((nrInstrNames&lt;&gt;"")*ISNUMBER(SEARCH(nrInstrNames,$I268))*(COUNTIF(INDEX(nrBankGrid,IFERROR(MATCH($G268,nrBankTopics,0),1),0),nrInstrNames)&gt;0))&lt;SUMPRODUCT((nrInstrNames&lt;&gt;"")*ISNUMBER(SEARCH(nrInstrNames,$I268))),"NOT IN BANK","OK"))))</f>
        <v/>
      </c>
    </row>
    <row r="269">
      <c r="B269" s="18" t="n"/>
      <c r="C269" s="17">
        <f>IF($B269="","",TEXT($B269,"ddd"))</f>
        <v/>
      </c>
      <c r="D269" s="41" t="n"/>
      <c r="E269" s="41" t="n"/>
      <c r="F269" s="17">
        <f>IF(OR($B269="",$D269="",$E269=""),"",ROUND(MOD($E269-$D269,1)*24,2))</f>
        <v/>
      </c>
      <c r="G269" s="16" t="n"/>
      <c r="H269" s="17">
        <f>IF($G269="","",IFERROR(_xlfn.XLOOKUP($G269,nrCHname,nrCHnum),IFERROR(_xlfn.XLOOKUP($G269,nrSUBname,nrSUBparent),"")))</f>
        <v/>
      </c>
      <c r="I269" s="16" t="n"/>
      <c r="J269" s="16" t="n"/>
      <c r="K269" s="17">
        <f>IF($B269="","",IFERROR(_xlfn.XLOOKUP($B269,nrCDdate,nrCDweek),""))</f>
        <v/>
      </c>
      <c r="L269" s="17">
        <f>IF($B269="","",IFERROR(_xlfn.XLOOKUP($B269,nrCDdate,nrCDnum),""))</f>
        <v/>
      </c>
      <c r="M269" s="16" t="n"/>
      <c r="N269" s="17">
        <f>IF(OR($B269="",$I269=""),"",_xlfn.LET(_xlpm.a,$I269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69" s="17">
        <f>IF(OR($B269="",$D269="",$E269=""),"",IF($E269=$D269,"CHECK TIMES (start = end)",IF($F269&gt;12,"CHECK TIMES (End is before Start?)","OK")))</f>
        <v/>
      </c>
      <c r="P269" s="17">
        <f>IF(OR($B269="",$I269=""),"",IF(IFERROR(MATCH($G269,nrBankTopics,0),0)=0,"OK",IF(COUNTA(INDEX(nrBankGrid,IFERROR(MATCH($G269,nrBankTopics,0),1),0))=0,"OK",IF(SUMPRODUCT((nrInstrNames&lt;&gt;"")*ISNUMBER(SEARCH(nrInstrNames,$I269))*(COUNTIF(INDEX(nrBankGrid,IFERROR(MATCH($G269,nrBankTopics,0),1),0),nrInstrNames)&gt;0))&lt;SUMPRODUCT((nrInstrNames&lt;&gt;"")*ISNUMBER(SEARCH(nrInstrNames,$I269))),"NOT IN BANK","OK"))))</f>
        <v/>
      </c>
    </row>
    <row r="270">
      <c r="B270" s="18" t="n"/>
      <c r="C270" s="17">
        <f>IF($B270="","",TEXT($B270,"ddd"))</f>
        <v/>
      </c>
      <c r="D270" s="41" t="n"/>
      <c r="E270" s="41" t="n"/>
      <c r="F270" s="17">
        <f>IF(OR($B270="",$D270="",$E270=""),"",ROUND(MOD($E270-$D270,1)*24,2))</f>
        <v/>
      </c>
      <c r="G270" s="16" t="n"/>
      <c r="H270" s="17">
        <f>IF($G270="","",IFERROR(_xlfn.XLOOKUP($G270,nrCHname,nrCHnum),IFERROR(_xlfn.XLOOKUP($G270,nrSUBname,nrSUBparent),"")))</f>
        <v/>
      </c>
      <c r="I270" s="16" t="n"/>
      <c r="J270" s="16" t="n"/>
      <c r="K270" s="17">
        <f>IF($B270="","",IFERROR(_xlfn.XLOOKUP($B270,nrCDdate,nrCDweek),""))</f>
        <v/>
      </c>
      <c r="L270" s="17">
        <f>IF($B270="","",IFERROR(_xlfn.XLOOKUP($B270,nrCDdate,nrCDnum),""))</f>
        <v/>
      </c>
      <c r="M270" s="16" t="n"/>
      <c r="N270" s="17">
        <f>IF(OR($B270="",$I270=""),"",_xlfn.LET(_xlpm.a,$I270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70" s="17">
        <f>IF(OR($B270="",$D270="",$E270=""),"",IF($E270=$D270,"CHECK TIMES (start = end)",IF($F270&gt;12,"CHECK TIMES (End is before Start?)","OK")))</f>
        <v/>
      </c>
      <c r="P270" s="17">
        <f>IF(OR($B270="",$I270=""),"",IF(IFERROR(MATCH($G270,nrBankTopics,0),0)=0,"OK",IF(COUNTA(INDEX(nrBankGrid,IFERROR(MATCH($G270,nrBankTopics,0),1),0))=0,"OK",IF(SUMPRODUCT((nrInstrNames&lt;&gt;"")*ISNUMBER(SEARCH(nrInstrNames,$I270))*(COUNTIF(INDEX(nrBankGrid,IFERROR(MATCH($G270,nrBankTopics,0),1),0),nrInstrNames)&gt;0))&lt;SUMPRODUCT((nrInstrNames&lt;&gt;"")*ISNUMBER(SEARCH(nrInstrNames,$I270))),"NOT IN BANK","OK"))))</f>
        <v/>
      </c>
    </row>
    <row r="271">
      <c r="B271" s="18" t="n"/>
      <c r="C271" s="17">
        <f>IF($B271="","",TEXT($B271,"ddd"))</f>
        <v/>
      </c>
      <c r="D271" s="41" t="n"/>
      <c r="E271" s="41" t="n"/>
      <c r="F271" s="17">
        <f>IF(OR($B271="",$D271="",$E271=""),"",ROUND(MOD($E271-$D271,1)*24,2))</f>
        <v/>
      </c>
      <c r="G271" s="16" t="n"/>
      <c r="H271" s="17">
        <f>IF($G271="","",IFERROR(_xlfn.XLOOKUP($G271,nrCHname,nrCHnum),IFERROR(_xlfn.XLOOKUP($G271,nrSUBname,nrSUBparent),"")))</f>
        <v/>
      </c>
      <c r="I271" s="16" t="n"/>
      <c r="J271" s="16" t="n"/>
      <c r="K271" s="17">
        <f>IF($B271="","",IFERROR(_xlfn.XLOOKUP($B271,nrCDdate,nrCDweek),""))</f>
        <v/>
      </c>
      <c r="L271" s="17">
        <f>IF($B271="","",IFERROR(_xlfn.XLOOKUP($B271,nrCDdate,nrCDnum),""))</f>
        <v/>
      </c>
      <c r="M271" s="16" t="n"/>
      <c r="N271" s="17">
        <f>IF(OR($B271="",$I271=""),"",_xlfn.LET(_xlpm.a,$I271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71" s="17">
        <f>IF(OR($B271="",$D271="",$E271=""),"",IF($E271=$D271,"CHECK TIMES (start = end)",IF($F271&gt;12,"CHECK TIMES (End is before Start?)","OK")))</f>
        <v/>
      </c>
      <c r="P271" s="17">
        <f>IF(OR($B271="",$I271=""),"",IF(IFERROR(MATCH($G271,nrBankTopics,0),0)=0,"OK",IF(COUNTA(INDEX(nrBankGrid,IFERROR(MATCH($G271,nrBankTopics,0),1),0))=0,"OK",IF(SUMPRODUCT((nrInstrNames&lt;&gt;"")*ISNUMBER(SEARCH(nrInstrNames,$I271))*(COUNTIF(INDEX(nrBankGrid,IFERROR(MATCH($G271,nrBankTopics,0),1),0),nrInstrNames)&gt;0))&lt;SUMPRODUCT((nrInstrNames&lt;&gt;"")*ISNUMBER(SEARCH(nrInstrNames,$I271))),"NOT IN BANK","OK"))))</f>
        <v/>
      </c>
    </row>
    <row r="272">
      <c r="B272" s="18" t="n"/>
      <c r="C272" s="17">
        <f>IF($B272="","",TEXT($B272,"ddd"))</f>
        <v/>
      </c>
      <c r="D272" s="41" t="n"/>
      <c r="E272" s="41" t="n"/>
      <c r="F272" s="17">
        <f>IF(OR($B272="",$D272="",$E272=""),"",ROUND(MOD($E272-$D272,1)*24,2))</f>
        <v/>
      </c>
      <c r="G272" s="16" t="n"/>
      <c r="H272" s="17">
        <f>IF($G272="","",IFERROR(_xlfn.XLOOKUP($G272,nrCHname,nrCHnum),IFERROR(_xlfn.XLOOKUP($G272,nrSUBname,nrSUBparent),"")))</f>
        <v/>
      </c>
      <c r="I272" s="16" t="n"/>
      <c r="J272" s="16" t="n"/>
      <c r="K272" s="17">
        <f>IF($B272="","",IFERROR(_xlfn.XLOOKUP($B272,nrCDdate,nrCDweek),""))</f>
        <v/>
      </c>
      <c r="L272" s="17">
        <f>IF($B272="","",IFERROR(_xlfn.XLOOKUP($B272,nrCDdate,nrCDnum),""))</f>
        <v/>
      </c>
      <c r="M272" s="16" t="n"/>
      <c r="N272" s="17">
        <f>IF(OR($B272="",$I272=""),"",_xlfn.LET(_xlpm.a,$I272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72" s="17">
        <f>IF(OR($B272="",$D272="",$E272=""),"",IF($E272=$D272,"CHECK TIMES (start = end)",IF($F272&gt;12,"CHECK TIMES (End is before Start?)","OK")))</f>
        <v/>
      </c>
      <c r="P272" s="17">
        <f>IF(OR($B272="",$I272=""),"",IF(IFERROR(MATCH($G272,nrBankTopics,0),0)=0,"OK",IF(COUNTA(INDEX(nrBankGrid,IFERROR(MATCH($G272,nrBankTopics,0),1),0))=0,"OK",IF(SUMPRODUCT((nrInstrNames&lt;&gt;"")*ISNUMBER(SEARCH(nrInstrNames,$I272))*(COUNTIF(INDEX(nrBankGrid,IFERROR(MATCH($G272,nrBankTopics,0),1),0),nrInstrNames)&gt;0))&lt;SUMPRODUCT((nrInstrNames&lt;&gt;"")*ISNUMBER(SEARCH(nrInstrNames,$I272))),"NOT IN BANK","OK"))))</f>
        <v/>
      </c>
    </row>
    <row r="273">
      <c r="B273" s="18" t="n"/>
      <c r="C273" s="17">
        <f>IF($B273="","",TEXT($B273,"ddd"))</f>
        <v/>
      </c>
      <c r="D273" s="41" t="n"/>
      <c r="E273" s="41" t="n"/>
      <c r="F273" s="17">
        <f>IF(OR($B273="",$D273="",$E273=""),"",ROUND(MOD($E273-$D273,1)*24,2))</f>
        <v/>
      </c>
      <c r="G273" s="16" t="n"/>
      <c r="H273" s="17">
        <f>IF($G273="","",IFERROR(_xlfn.XLOOKUP($G273,nrCHname,nrCHnum),IFERROR(_xlfn.XLOOKUP($G273,nrSUBname,nrSUBparent),"")))</f>
        <v/>
      </c>
      <c r="I273" s="16" t="n"/>
      <c r="J273" s="16" t="n"/>
      <c r="K273" s="17">
        <f>IF($B273="","",IFERROR(_xlfn.XLOOKUP($B273,nrCDdate,nrCDweek),""))</f>
        <v/>
      </c>
      <c r="L273" s="17">
        <f>IF($B273="","",IFERROR(_xlfn.XLOOKUP($B273,nrCDdate,nrCDnum),""))</f>
        <v/>
      </c>
      <c r="M273" s="16" t="n"/>
      <c r="N273" s="17">
        <f>IF(OR($B273="",$I273=""),"",_xlfn.LET(_xlpm.a,$I273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73" s="17">
        <f>IF(OR($B273="",$D273="",$E273=""),"",IF($E273=$D273,"CHECK TIMES (start = end)",IF($F273&gt;12,"CHECK TIMES (End is before Start?)","OK")))</f>
        <v/>
      </c>
      <c r="P273" s="17">
        <f>IF(OR($B273="",$I273=""),"",IF(IFERROR(MATCH($G273,nrBankTopics,0),0)=0,"OK",IF(COUNTA(INDEX(nrBankGrid,IFERROR(MATCH($G273,nrBankTopics,0),1),0))=0,"OK",IF(SUMPRODUCT((nrInstrNames&lt;&gt;"")*ISNUMBER(SEARCH(nrInstrNames,$I273))*(COUNTIF(INDEX(nrBankGrid,IFERROR(MATCH($G273,nrBankTopics,0),1),0),nrInstrNames)&gt;0))&lt;SUMPRODUCT((nrInstrNames&lt;&gt;"")*ISNUMBER(SEARCH(nrInstrNames,$I273))),"NOT IN BANK","OK"))))</f>
        <v/>
      </c>
    </row>
    <row r="274">
      <c r="B274" s="18" t="n"/>
      <c r="C274" s="17">
        <f>IF($B274="","",TEXT($B274,"ddd"))</f>
        <v/>
      </c>
      <c r="D274" s="41" t="n"/>
      <c r="E274" s="41" t="n"/>
      <c r="F274" s="17">
        <f>IF(OR($B274="",$D274="",$E274=""),"",ROUND(MOD($E274-$D274,1)*24,2))</f>
        <v/>
      </c>
      <c r="G274" s="16" t="n"/>
      <c r="H274" s="17">
        <f>IF($G274="","",IFERROR(_xlfn.XLOOKUP($G274,nrCHname,nrCHnum),IFERROR(_xlfn.XLOOKUP($G274,nrSUBname,nrSUBparent),"")))</f>
        <v/>
      </c>
      <c r="I274" s="16" t="n"/>
      <c r="J274" s="16" t="n"/>
      <c r="K274" s="17">
        <f>IF($B274="","",IFERROR(_xlfn.XLOOKUP($B274,nrCDdate,nrCDweek),""))</f>
        <v/>
      </c>
      <c r="L274" s="17">
        <f>IF($B274="","",IFERROR(_xlfn.XLOOKUP($B274,nrCDdate,nrCDnum),""))</f>
        <v/>
      </c>
      <c r="M274" s="16" t="n"/>
      <c r="N274" s="17">
        <f>IF(OR($B274="",$I274=""),"",_xlfn.LET(_xlpm.a,$I274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74" s="17">
        <f>IF(OR($B274="",$D274="",$E274=""),"",IF($E274=$D274,"CHECK TIMES (start = end)",IF($F274&gt;12,"CHECK TIMES (End is before Start?)","OK")))</f>
        <v/>
      </c>
      <c r="P274" s="17">
        <f>IF(OR($B274="",$I274=""),"",IF(IFERROR(MATCH($G274,nrBankTopics,0),0)=0,"OK",IF(COUNTA(INDEX(nrBankGrid,IFERROR(MATCH($G274,nrBankTopics,0),1),0))=0,"OK",IF(SUMPRODUCT((nrInstrNames&lt;&gt;"")*ISNUMBER(SEARCH(nrInstrNames,$I274))*(COUNTIF(INDEX(nrBankGrid,IFERROR(MATCH($G274,nrBankTopics,0),1),0),nrInstrNames)&gt;0))&lt;SUMPRODUCT((nrInstrNames&lt;&gt;"")*ISNUMBER(SEARCH(nrInstrNames,$I274))),"NOT IN BANK","OK"))))</f>
        <v/>
      </c>
    </row>
    <row r="275">
      <c r="B275" s="18" t="n"/>
      <c r="C275" s="17">
        <f>IF($B275="","",TEXT($B275,"ddd"))</f>
        <v/>
      </c>
      <c r="D275" s="41" t="n"/>
      <c r="E275" s="41" t="n"/>
      <c r="F275" s="17">
        <f>IF(OR($B275="",$D275="",$E275=""),"",ROUND(MOD($E275-$D275,1)*24,2))</f>
        <v/>
      </c>
      <c r="G275" s="16" t="n"/>
      <c r="H275" s="17">
        <f>IF($G275="","",IFERROR(_xlfn.XLOOKUP($G275,nrCHname,nrCHnum),IFERROR(_xlfn.XLOOKUP($G275,nrSUBname,nrSUBparent),"")))</f>
        <v/>
      </c>
      <c r="I275" s="16" t="n"/>
      <c r="J275" s="16" t="n"/>
      <c r="K275" s="17">
        <f>IF($B275="","",IFERROR(_xlfn.XLOOKUP($B275,nrCDdate,nrCDweek),""))</f>
        <v/>
      </c>
      <c r="L275" s="17">
        <f>IF($B275="","",IFERROR(_xlfn.XLOOKUP($B275,nrCDdate,nrCDnum),""))</f>
        <v/>
      </c>
      <c r="M275" s="16" t="n"/>
      <c r="N275" s="17">
        <f>IF(OR($B275="",$I275=""),"",_xlfn.LET(_xlpm.a,$I275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75" s="17">
        <f>IF(OR($B275="",$D275="",$E275=""),"",IF($E275=$D275,"CHECK TIMES (start = end)",IF($F275&gt;12,"CHECK TIMES (End is before Start?)","OK")))</f>
        <v/>
      </c>
      <c r="P275" s="17">
        <f>IF(OR($B275="",$I275=""),"",IF(IFERROR(MATCH($G275,nrBankTopics,0),0)=0,"OK",IF(COUNTA(INDEX(nrBankGrid,IFERROR(MATCH($G275,nrBankTopics,0),1),0))=0,"OK",IF(SUMPRODUCT((nrInstrNames&lt;&gt;"")*ISNUMBER(SEARCH(nrInstrNames,$I275))*(COUNTIF(INDEX(nrBankGrid,IFERROR(MATCH($G275,nrBankTopics,0),1),0),nrInstrNames)&gt;0))&lt;SUMPRODUCT((nrInstrNames&lt;&gt;"")*ISNUMBER(SEARCH(nrInstrNames,$I275))),"NOT IN BANK","OK"))))</f>
        <v/>
      </c>
    </row>
    <row r="276">
      <c r="B276" s="18" t="n"/>
      <c r="C276" s="17">
        <f>IF($B276="","",TEXT($B276,"ddd"))</f>
        <v/>
      </c>
      <c r="D276" s="41" t="n"/>
      <c r="E276" s="41" t="n"/>
      <c r="F276" s="17">
        <f>IF(OR($B276="",$D276="",$E276=""),"",ROUND(MOD($E276-$D276,1)*24,2))</f>
        <v/>
      </c>
      <c r="G276" s="16" t="n"/>
      <c r="H276" s="17">
        <f>IF($G276="","",IFERROR(_xlfn.XLOOKUP($G276,nrCHname,nrCHnum),IFERROR(_xlfn.XLOOKUP($G276,nrSUBname,nrSUBparent),"")))</f>
        <v/>
      </c>
      <c r="I276" s="16" t="n"/>
      <c r="J276" s="16" t="n"/>
      <c r="K276" s="17">
        <f>IF($B276="","",IFERROR(_xlfn.XLOOKUP($B276,nrCDdate,nrCDweek),""))</f>
        <v/>
      </c>
      <c r="L276" s="17">
        <f>IF($B276="","",IFERROR(_xlfn.XLOOKUP($B276,nrCDdate,nrCDnum),""))</f>
        <v/>
      </c>
      <c r="M276" s="16" t="n"/>
      <c r="N276" s="17">
        <f>IF(OR($B276="",$I276=""),"",_xlfn.LET(_xlpm.a,$I276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76" s="17">
        <f>IF(OR($B276="",$D276="",$E276=""),"",IF($E276=$D276,"CHECK TIMES (start = end)",IF($F276&gt;12,"CHECK TIMES (End is before Start?)","OK")))</f>
        <v/>
      </c>
      <c r="P276" s="17">
        <f>IF(OR($B276="",$I276=""),"",IF(IFERROR(MATCH($G276,nrBankTopics,0),0)=0,"OK",IF(COUNTA(INDEX(nrBankGrid,IFERROR(MATCH($G276,nrBankTopics,0),1),0))=0,"OK",IF(SUMPRODUCT((nrInstrNames&lt;&gt;"")*ISNUMBER(SEARCH(nrInstrNames,$I276))*(COUNTIF(INDEX(nrBankGrid,IFERROR(MATCH($G276,nrBankTopics,0),1),0),nrInstrNames)&gt;0))&lt;SUMPRODUCT((nrInstrNames&lt;&gt;"")*ISNUMBER(SEARCH(nrInstrNames,$I276))),"NOT IN BANK","OK"))))</f>
        <v/>
      </c>
    </row>
    <row r="277">
      <c r="B277" s="18" t="n"/>
      <c r="C277" s="17">
        <f>IF($B277="","",TEXT($B277,"ddd"))</f>
        <v/>
      </c>
      <c r="D277" s="41" t="n"/>
      <c r="E277" s="41" t="n"/>
      <c r="F277" s="17">
        <f>IF(OR($B277="",$D277="",$E277=""),"",ROUND(MOD($E277-$D277,1)*24,2))</f>
        <v/>
      </c>
      <c r="G277" s="16" t="n"/>
      <c r="H277" s="17">
        <f>IF($G277="","",IFERROR(_xlfn.XLOOKUP($G277,nrCHname,nrCHnum),IFERROR(_xlfn.XLOOKUP($G277,nrSUBname,nrSUBparent),"")))</f>
        <v/>
      </c>
      <c r="I277" s="16" t="n"/>
      <c r="J277" s="16" t="n"/>
      <c r="K277" s="17">
        <f>IF($B277="","",IFERROR(_xlfn.XLOOKUP($B277,nrCDdate,nrCDweek),""))</f>
        <v/>
      </c>
      <c r="L277" s="17">
        <f>IF($B277="","",IFERROR(_xlfn.XLOOKUP($B277,nrCDdate,nrCDnum),""))</f>
        <v/>
      </c>
      <c r="M277" s="16" t="n"/>
      <c r="N277" s="17">
        <f>IF(OR($B277="",$I277=""),"",_xlfn.LET(_xlpm.a,$I277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77" s="17">
        <f>IF(OR($B277="",$D277="",$E277=""),"",IF($E277=$D277,"CHECK TIMES (start = end)",IF($F277&gt;12,"CHECK TIMES (End is before Start?)","OK")))</f>
        <v/>
      </c>
      <c r="P277" s="17">
        <f>IF(OR($B277="",$I277=""),"",IF(IFERROR(MATCH($G277,nrBankTopics,0),0)=0,"OK",IF(COUNTA(INDEX(nrBankGrid,IFERROR(MATCH($G277,nrBankTopics,0),1),0))=0,"OK",IF(SUMPRODUCT((nrInstrNames&lt;&gt;"")*ISNUMBER(SEARCH(nrInstrNames,$I277))*(COUNTIF(INDEX(nrBankGrid,IFERROR(MATCH($G277,nrBankTopics,0),1),0),nrInstrNames)&gt;0))&lt;SUMPRODUCT((nrInstrNames&lt;&gt;"")*ISNUMBER(SEARCH(nrInstrNames,$I277))),"NOT IN BANK","OK"))))</f>
        <v/>
      </c>
    </row>
    <row r="278">
      <c r="B278" s="18" t="n"/>
      <c r="C278" s="17">
        <f>IF($B278="","",TEXT($B278,"ddd"))</f>
        <v/>
      </c>
      <c r="D278" s="41" t="n"/>
      <c r="E278" s="41" t="n"/>
      <c r="F278" s="17">
        <f>IF(OR($B278="",$D278="",$E278=""),"",ROUND(MOD($E278-$D278,1)*24,2))</f>
        <v/>
      </c>
      <c r="G278" s="16" t="n"/>
      <c r="H278" s="17">
        <f>IF($G278="","",IFERROR(_xlfn.XLOOKUP($G278,nrCHname,nrCHnum),IFERROR(_xlfn.XLOOKUP($G278,nrSUBname,nrSUBparent),"")))</f>
        <v/>
      </c>
      <c r="I278" s="16" t="n"/>
      <c r="J278" s="16" t="n"/>
      <c r="K278" s="17">
        <f>IF($B278="","",IFERROR(_xlfn.XLOOKUP($B278,nrCDdate,nrCDweek),""))</f>
        <v/>
      </c>
      <c r="L278" s="17">
        <f>IF($B278="","",IFERROR(_xlfn.XLOOKUP($B278,nrCDdate,nrCDnum),""))</f>
        <v/>
      </c>
      <c r="M278" s="16" t="n"/>
      <c r="N278" s="17">
        <f>IF(OR($B278="",$I278=""),"",_xlfn.LET(_xlpm.a,$I278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78" s="17">
        <f>IF(OR($B278="",$D278="",$E278=""),"",IF($E278=$D278,"CHECK TIMES (start = end)",IF($F278&gt;12,"CHECK TIMES (End is before Start?)","OK")))</f>
        <v/>
      </c>
      <c r="P278" s="17">
        <f>IF(OR($B278="",$I278=""),"",IF(IFERROR(MATCH($G278,nrBankTopics,0),0)=0,"OK",IF(COUNTA(INDEX(nrBankGrid,IFERROR(MATCH($G278,nrBankTopics,0),1),0))=0,"OK",IF(SUMPRODUCT((nrInstrNames&lt;&gt;"")*ISNUMBER(SEARCH(nrInstrNames,$I278))*(COUNTIF(INDEX(nrBankGrid,IFERROR(MATCH($G278,nrBankTopics,0),1),0),nrInstrNames)&gt;0))&lt;SUMPRODUCT((nrInstrNames&lt;&gt;"")*ISNUMBER(SEARCH(nrInstrNames,$I278))),"NOT IN BANK","OK"))))</f>
        <v/>
      </c>
    </row>
    <row r="279">
      <c r="B279" s="18" t="n"/>
      <c r="C279" s="17">
        <f>IF($B279="","",TEXT($B279,"ddd"))</f>
        <v/>
      </c>
      <c r="D279" s="41" t="n"/>
      <c r="E279" s="41" t="n"/>
      <c r="F279" s="17">
        <f>IF(OR($B279="",$D279="",$E279=""),"",ROUND(MOD($E279-$D279,1)*24,2))</f>
        <v/>
      </c>
      <c r="G279" s="16" t="n"/>
      <c r="H279" s="17">
        <f>IF($G279="","",IFERROR(_xlfn.XLOOKUP($G279,nrCHname,nrCHnum),IFERROR(_xlfn.XLOOKUP($G279,nrSUBname,nrSUBparent),"")))</f>
        <v/>
      </c>
      <c r="I279" s="16" t="n"/>
      <c r="J279" s="16" t="n"/>
      <c r="K279" s="17">
        <f>IF($B279="","",IFERROR(_xlfn.XLOOKUP($B279,nrCDdate,nrCDweek),""))</f>
        <v/>
      </c>
      <c r="L279" s="17">
        <f>IF($B279="","",IFERROR(_xlfn.XLOOKUP($B279,nrCDdate,nrCDnum),""))</f>
        <v/>
      </c>
      <c r="M279" s="16" t="n"/>
      <c r="N279" s="17">
        <f>IF(OR($B279="",$I279=""),"",_xlfn.LET(_xlpm.a,$I279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79" s="17">
        <f>IF(OR($B279="",$D279="",$E279=""),"",IF($E279=$D279,"CHECK TIMES (start = end)",IF($F279&gt;12,"CHECK TIMES (End is before Start?)","OK")))</f>
        <v/>
      </c>
      <c r="P279" s="17">
        <f>IF(OR($B279="",$I279=""),"",IF(IFERROR(MATCH($G279,nrBankTopics,0),0)=0,"OK",IF(COUNTA(INDEX(nrBankGrid,IFERROR(MATCH($G279,nrBankTopics,0),1),0))=0,"OK",IF(SUMPRODUCT((nrInstrNames&lt;&gt;"")*ISNUMBER(SEARCH(nrInstrNames,$I279))*(COUNTIF(INDEX(nrBankGrid,IFERROR(MATCH($G279,nrBankTopics,0),1),0),nrInstrNames)&gt;0))&lt;SUMPRODUCT((nrInstrNames&lt;&gt;"")*ISNUMBER(SEARCH(nrInstrNames,$I279))),"NOT IN BANK","OK"))))</f>
        <v/>
      </c>
    </row>
    <row r="280">
      <c r="B280" s="18" t="n"/>
      <c r="C280" s="17">
        <f>IF($B280="","",TEXT($B280,"ddd"))</f>
        <v/>
      </c>
      <c r="D280" s="41" t="n"/>
      <c r="E280" s="41" t="n"/>
      <c r="F280" s="17">
        <f>IF(OR($B280="",$D280="",$E280=""),"",ROUND(MOD($E280-$D280,1)*24,2))</f>
        <v/>
      </c>
      <c r="G280" s="16" t="n"/>
      <c r="H280" s="17">
        <f>IF($G280="","",IFERROR(_xlfn.XLOOKUP($G280,nrCHname,nrCHnum),IFERROR(_xlfn.XLOOKUP($G280,nrSUBname,nrSUBparent),"")))</f>
        <v/>
      </c>
      <c r="I280" s="16" t="n"/>
      <c r="J280" s="16" t="n"/>
      <c r="K280" s="17">
        <f>IF($B280="","",IFERROR(_xlfn.XLOOKUP($B280,nrCDdate,nrCDweek),""))</f>
        <v/>
      </c>
      <c r="L280" s="17">
        <f>IF($B280="","",IFERROR(_xlfn.XLOOKUP($B280,nrCDdate,nrCDnum),""))</f>
        <v/>
      </c>
      <c r="M280" s="16" t="n"/>
      <c r="N280" s="17">
        <f>IF(OR($B280="",$I280=""),"",_xlfn.LET(_xlpm.a,$I280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80" s="17">
        <f>IF(OR($B280="",$D280="",$E280=""),"",IF($E280=$D280,"CHECK TIMES (start = end)",IF($F280&gt;12,"CHECK TIMES (End is before Start?)","OK")))</f>
        <v/>
      </c>
      <c r="P280" s="17">
        <f>IF(OR($B280="",$I280=""),"",IF(IFERROR(MATCH($G280,nrBankTopics,0),0)=0,"OK",IF(COUNTA(INDEX(nrBankGrid,IFERROR(MATCH($G280,nrBankTopics,0),1),0))=0,"OK",IF(SUMPRODUCT((nrInstrNames&lt;&gt;"")*ISNUMBER(SEARCH(nrInstrNames,$I280))*(COUNTIF(INDEX(nrBankGrid,IFERROR(MATCH($G280,nrBankTopics,0),1),0),nrInstrNames)&gt;0))&lt;SUMPRODUCT((nrInstrNames&lt;&gt;"")*ISNUMBER(SEARCH(nrInstrNames,$I280))),"NOT IN BANK","OK"))))</f>
        <v/>
      </c>
    </row>
    <row r="281">
      <c r="B281" s="18" t="n"/>
      <c r="C281" s="17">
        <f>IF($B281="","",TEXT($B281,"ddd"))</f>
        <v/>
      </c>
      <c r="D281" s="41" t="n"/>
      <c r="E281" s="41" t="n"/>
      <c r="F281" s="17">
        <f>IF(OR($B281="",$D281="",$E281=""),"",ROUND(MOD($E281-$D281,1)*24,2))</f>
        <v/>
      </c>
      <c r="G281" s="16" t="n"/>
      <c r="H281" s="17">
        <f>IF($G281="","",IFERROR(_xlfn.XLOOKUP($G281,nrCHname,nrCHnum),IFERROR(_xlfn.XLOOKUP($G281,nrSUBname,nrSUBparent),"")))</f>
        <v/>
      </c>
      <c r="I281" s="16" t="n"/>
      <c r="J281" s="16" t="n"/>
      <c r="K281" s="17">
        <f>IF($B281="","",IFERROR(_xlfn.XLOOKUP($B281,nrCDdate,nrCDweek),""))</f>
        <v/>
      </c>
      <c r="L281" s="17">
        <f>IF($B281="","",IFERROR(_xlfn.XLOOKUP($B281,nrCDdate,nrCDnum),""))</f>
        <v/>
      </c>
      <c r="M281" s="16" t="n"/>
      <c r="N281" s="17">
        <f>IF(OR($B281="",$I281=""),"",_xlfn.LET(_xlpm.a,$I281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81" s="17">
        <f>IF(OR($B281="",$D281="",$E281=""),"",IF($E281=$D281,"CHECK TIMES (start = end)",IF($F281&gt;12,"CHECK TIMES (End is before Start?)","OK")))</f>
        <v/>
      </c>
      <c r="P281" s="17">
        <f>IF(OR($B281="",$I281=""),"",IF(IFERROR(MATCH($G281,nrBankTopics,0),0)=0,"OK",IF(COUNTA(INDEX(nrBankGrid,IFERROR(MATCH($G281,nrBankTopics,0),1),0))=0,"OK",IF(SUMPRODUCT((nrInstrNames&lt;&gt;"")*ISNUMBER(SEARCH(nrInstrNames,$I281))*(COUNTIF(INDEX(nrBankGrid,IFERROR(MATCH($G281,nrBankTopics,0),1),0),nrInstrNames)&gt;0))&lt;SUMPRODUCT((nrInstrNames&lt;&gt;"")*ISNUMBER(SEARCH(nrInstrNames,$I281))),"NOT IN BANK","OK"))))</f>
        <v/>
      </c>
    </row>
    <row r="282">
      <c r="B282" s="18" t="n"/>
      <c r="C282" s="17">
        <f>IF($B282="","",TEXT($B282,"ddd"))</f>
        <v/>
      </c>
      <c r="D282" s="41" t="n"/>
      <c r="E282" s="41" t="n"/>
      <c r="F282" s="17">
        <f>IF(OR($B282="",$D282="",$E282=""),"",ROUND(MOD($E282-$D282,1)*24,2))</f>
        <v/>
      </c>
      <c r="G282" s="16" t="n"/>
      <c r="H282" s="17">
        <f>IF($G282="","",IFERROR(_xlfn.XLOOKUP($G282,nrCHname,nrCHnum),IFERROR(_xlfn.XLOOKUP($G282,nrSUBname,nrSUBparent),"")))</f>
        <v/>
      </c>
      <c r="I282" s="16" t="n"/>
      <c r="J282" s="16" t="n"/>
      <c r="K282" s="17">
        <f>IF($B282="","",IFERROR(_xlfn.XLOOKUP($B282,nrCDdate,nrCDweek),""))</f>
        <v/>
      </c>
      <c r="L282" s="17">
        <f>IF($B282="","",IFERROR(_xlfn.XLOOKUP($B282,nrCDdate,nrCDnum),""))</f>
        <v/>
      </c>
      <c r="M282" s="16" t="n"/>
      <c r="N282" s="17">
        <f>IF(OR($B282="",$I282=""),"",_xlfn.LET(_xlpm.a,$I282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82" s="17">
        <f>IF(OR($B282="",$D282="",$E282=""),"",IF($E282=$D282,"CHECK TIMES (start = end)",IF($F282&gt;12,"CHECK TIMES (End is before Start?)","OK")))</f>
        <v/>
      </c>
      <c r="P282" s="17">
        <f>IF(OR($B282="",$I282=""),"",IF(IFERROR(MATCH($G282,nrBankTopics,0),0)=0,"OK",IF(COUNTA(INDEX(nrBankGrid,IFERROR(MATCH($G282,nrBankTopics,0),1),0))=0,"OK",IF(SUMPRODUCT((nrInstrNames&lt;&gt;"")*ISNUMBER(SEARCH(nrInstrNames,$I282))*(COUNTIF(INDEX(nrBankGrid,IFERROR(MATCH($G282,nrBankTopics,0),1),0),nrInstrNames)&gt;0))&lt;SUMPRODUCT((nrInstrNames&lt;&gt;"")*ISNUMBER(SEARCH(nrInstrNames,$I282))),"NOT IN BANK","OK"))))</f>
        <v/>
      </c>
    </row>
    <row r="283">
      <c r="B283" s="18" t="n"/>
      <c r="C283" s="17">
        <f>IF($B283="","",TEXT($B283,"ddd"))</f>
        <v/>
      </c>
      <c r="D283" s="41" t="n"/>
      <c r="E283" s="41" t="n"/>
      <c r="F283" s="17">
        <f>IF(OR($B283="",$D283="",$E283=""),"",ROUND(MOD($E283-$D283,1)*24,2))</f>
        <v/>
      </c>
      <c r="G283" s="16" t="n"/>
      <c r="H283" s="17">
        <f>IF($G283="","",IFERROR(_xlfn.XLOOKUP($G283,nrCHname,nrCHnum),IFERROR(_xlfn.XLOOKUP($G283,nrSUBname,nrSUBparent),"")))</f>
        <v/>
      </c>
      <c r="I283" s="16" t="n"/>
      <c r="J283" s="16" t="n"/>
      <c r="K283" s="17">
        <f>IF($B283="","",IFERROR(_xlfn.XLOOKUP($B283,nrCDdate,nrCDweek),""))</f>
        <v/>
      </c>
      <c r="L283" s="17">
        <f>IF($B283="","",IFERROR(_xlfn.XLOOKUP($B283,nrCDdate,nrCDnum),""))</f>
        <v/>
      </c>
      <c r="M283" s="16" t="n"/>
      <c r="N283" s="17">
        <f>IF(OR($B283="",$I283=""),"",_xlfn.LET(_xlpm.a,$I283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83" s="17">
        <f>IF(OR($B283="",$D283="",$E283=""),"",IF($E283=$D283,"CHECK TIMES (start = end)",IF($F283&gt;12,"CHECK TIMES (End is before Start?)","OK")))</f>
        <v/>
      </c>
      <c r="P283" s="17">
        <f>IF(OR($B283="",$I283=""),"",IF(IFERROR(MATCH($G283,nrBankTopics,0),0)=0,"OK",IF(COUNTA(INDEX(nrBankGrid,IFERROR(MATCH($G283,nrBankTopics,0),1),0))=0,"OK",IF(SUMPRODUCT((nrInstrNames&lt;&gt;"")*ISNUMBER(SEARCH(nrInstrNames,$I283))*(COUNTIF(INDEX(nrBankGrid,IFERROR(MATCH($G283,nrBankTopics,0),1),0),nrInstrNames)&gt;0))&lt;SUMPRODUCT((nrInstrNames&lt;&gt;"")*ISNUMBER(SEARCH(nrInstrNames,$I283))),"NOT IN BANK","OK"))))</f>
        <v/>
      </c>
    </row>
    <row r="284">
      <c r="B284" s="18" t="n"/>
      <c r="C284" s="17">
        <f>IF($B284="","",TEXT($B284,"ddd"))</f>
        <v/>
      </c>
      <c r="D284" s="41" t="n"/>
      <c r="E284" s="41" t="n"/>
      <c r="F284" s="17">
        <f>IF(OR($B284="",$D284="",$E284=""),"",ROUND(MOD($E284-$D284,1)*24,2))</f>
        <v/>
      </c>
      <c r="G284" s="16" t="n"/>
      <c r="H284" s="17">
        <f>IF($G284="","",IFERROR(_xlfn.XLOOKUP($G284,nrCHname,nrCHnum),IFERROR(_xlfn.XLOOKUP($G284,nrSUBname,nrSUBparent),"")))</f>
        <v/>
      </c>
      <c r="I284" s="16" t="n"/>
      <c r="J284" s="16" t="n"/>
      <c r="K284" s="17">
        <f>IF($B284="","",IFERROR(_xlfn.XLOOKUP($B284,nrCDdate,nrCDweek),""))</f>
        <v/>
      </c>
      <c r="L284" s="17">
        <f>IF($B284="","",IFERROR(_xlfn.XLOOKUP($B284,nrCDdate,nrCDnum),""))</f>
        <v/>
      </c>
      <c r="M284" s="16" t="n"/>
      <c r="N284" s="17">
        <f>IF(OR($B284="",$I284=""),"",_xlfn.LET(_xlpm.a,$I284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84" s="17">
        <f>IF(OR($B284="",$D284="",$E284=""),"",IF($E284=$D284,"CHECK TIMES (start = end)",IF($F284&gt;12,"CHECK TIMES (End is before Start?)","OK")))</f>
        <v/>
      </c>
      <c r="P284" s="17">
        <f>IF(OR($B284="",$I284=""),"",IF(IFERROR(MATCH($G284,nrBankTopics,0),0)=0,"OK",IF(COUNTA(INDEX(nrBankGrid,IFERROR(MATCH($G284,nrBankTopics,0),1),0))=0,"OK",IF(SUMPRODUCT((nrInstrNames&lt;&gt;"")*ISNUMBER(SEARCH(nrInstrNames,$I284))*(COUNTIF(INDEX(nrBankGrid,IFERROR(MATCH($G284,nrBankTopics,0),1),0),nrInstrNames)&gt;0))&lt;SUMPRODUCT((nrInstrNames&lt;&gt;"")*ISNUMBER(SEARCH(nrInstrNames,$I284))),"NOT IN BANK","OK"))))</f>
        <v/>
      </c>
    </row>
    <row r="285">
      <c r="B285" s="18" t="n"/>
      <c r="C285" s="17">
        <f>IF($B285="","",TEXT($B285,"ddd"))</f>
        <v/>
      </c>
      <c r="D285" s="41" t="n"/>
      <c r="E285" s="41" t="n"/>
      <c r="F285" s="17">
        <f>IF(OR($B285="",$D285="",$E285=""),"",ROUND(MOD($E285-$D285,1)*24,2))</f>
        <v/>
      </c>
      <c r="G285" s="16" t="n"/>
      <c r="H285" s="17">
        <f>IF($G285="","",IFERROR(_xlfn.XLOOKUP($G285,nrCHname,nrCHnum),IFERROR(_xlfn.XLOOKUP($G285,nrSUBname,nrSUBparent),"")))</f>
        <v/>
      </c>
      <c r="I285" s="16" t="n"/>
      <c r="J285" s="16" t="n"/>
      <c r="K285" s="17">
        <f>IF($B285="","",IFERROR(_xlfn.XLOOKUP($B285,nrCDdate,nrCDweek),""))</f>
        <v/>
      </c>
      <c r="L285" s="17">
        <f>IF($B285="","",IFERROR(_xlfn.XLOOKUP($B285,nrCDdate,nrCDnum),""))</f>
        <v/>
      </c>
      <c r="M285" s="16" t="n"/>
      <c r="N285" s="17">
        <f>IF(OR($B285="",$I285=""),"",_xlfn.LET(_xlpm.a,$I285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85" s="17">
        <f>IF(OR($B285="",$D285="",$E285=""),"",IF($E285=$D285,"CHECK TIMES (start = end)",IF($F285&gt;12,"CHECK TIMES (End is before Start?)","OK")))</f>
        <v/>
      </c>
      <c r="P285" s="17">
        <f>IF(OR($B285="",$I285=""),"",IF(IFERROR(MATCH($G285,nrBankTopics,0),0)=0,"OK",IF(COUNTA(INDEX(nrBankGrid,IFERROR(MATCH($G285,nrBankTopics,0),1),0))=0,"OK",IF(SUMPRODUCT((nrInstrNames&lt;&gt;"")*ISNUMBER(SEARCH(nrInstrNames,$I285))*(COUNTIF(INDEX(nrBankGrid,IFERROR(MATCH($G285,nrBankTopics,0),1),0),nrInstrNames)&gt;0))&lt;SUMPRODUCT((nrInstrNames&lt;&gt;"")*ISNUMBER(SEARCH(nrInstrNames,$I285))),"NOT IN BANK","OK"))))</f>
        <v/>
      </c>
    </row>
    <row r="286">
      <c r="B286" s="18" t="n"/>
      <c r="C286" s="17">
        <f>IF($B286="","",TEXT($B286,"ddd"))</f>
        <v/>
      </c>
      <c r="D286" s="41" t="n"/>
      <c r="E286" s="41" t="n"/>
      <c r="F286" s="17">
        <f>IF(OR($B286="",$D286="",$E286=""),"",ROUND(MOD($E286-$D286,1)*24,2))</f>
        <v/>
      </c>
      <c r="G286" s="16" t="n"/>
      <c r="H286" s="17">
        <f>IF($G286="","",IFERROR(_xlfn.XLOOKUP($G286,nrCHname,nrCHnum),IFERROR(_xlfn.XLOOKUP($G286,nrSUBname,nrSUBparent),"")))</f>
        <v/>
      </c>
      <c r="I286" s="16" t="n"/>
      <c r="J286" s="16" t="n"/>
      <c r="K286" s="17">
        <f>IF($B286="","",IFERROR(_xlfn.XLOOKUP($B286,nrCDdate,nrCDweek),""))</f>
        <v/>
      </c>
      <c r="L286" s="17">
        <f>IF($B286="","",IFERROR(_xlfn.XLOOKUP($B286,nrCDdate,nrCDnum),""))</f>
        <v/>
      </c>
      <c r="M286" s="16" t="n"/>
      <c r="N286" s="17">
        <f>IF(OR($B286="",$I286=""),"",_xlfn.LET(_xlpm.a,$I286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86" s="17">
        <f>IF(OR($B286="",$D286="",$E286=""),"",IF($E286=$D286,"CHECK TIMES (start = end)",IF($F286&gt;12,"CHECK TIMES (End is before Start?)","OK")))</f>
        <v/>
      </c>
      <c r="P286" s="17">
        <f>IF(OR($B286="",$I286=""),"",IF(IFERROR(MATCH($G286,nrBankTopics,0),0)=0,"OK",IF(COUNTA(INDEX(nrBankGrid,IFERROR(MATCH($G286,nrBankTopics,0),1),0))=0,"OK",IF(SUMPRODUCT((nrInstrNames&lt;&gt;"")*ISNUMBER(SEARCH(nrInstrNames,$I286))*(COUNTIF(INDEX(nrBankGrid,IFERROR(MATCH($G286,nrBankTopics,0),1),0),nrInstrNames)&gt;0))&lt;SUMPRODUCT((nrInstrNames&lt;&gt;"")*ISNUMBER(SEARCH(nrInstrNames,$I286))),"NOT IN BANK","OK"))))</f>
        <v/>
      </c>
    </row>
    <row r="287">
      <c r="B287" s="18" t="n"/>
      <c r="C287" s="17">
        <f>IF($B287="","",TEXT($B287,"ddd"))</f>
        <v/>
      </c>
      <c r="D287" s="41" t="n"/>
      <c r="E287" s="41" t="n"/>
      <c r="F287" s="17">
        <f>IF(OR($B287="",$D287="",$E287=""),"",ROUND(MOD($E287-$D287,1)*24,2))</f>
        <v/>
      </c>
      <c r="G287" s="16" t="n"/>
      <c r="H287" s="17">
        <f>IF($G287="","",IFERROR(_xlfn.XLOOKUP($G287,nrCHname,nrCHnum),IFERROR(_xlfn.XLOOKUP($G287,nrSUBname,nrSUBparent),"")))</f>
        <v/>
      </c>
      <c r="I287" s="16" t="n"/>
      <c r="J287" s="16" t="n"/>
      <c r="K287" s="17">
        <f>IF($B287="","",IFERROR(_xlfn.XLOOKUP($B287,nrCDdate,nrCDweek),""))</f>
        <v/>
      </c>
      <c r="L287" s="17">
        <f>IF($B287="","",IFERROR(_xlfn.XLOOKUP($B287,nrCDdate,nrCDnum),""))</f>
        <v/>
      </c>
      <c r="M287" s="16" t="n"/>
      <c r="N287" s="17">
        <f>IF(OR($B287="",$I287=""),"",_xlfn.LET(_xlpm.a,$I287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87" s="17">
        <f>IF(OR($B287="",$D287="",$E287=""),"",IF($E287=$D287,"CHECK TIMES (start = end)",IF($F287&gt;12,"CHECK TIMES (End is before Start?)","OK")))</f>
        <v/>
      </c>
      <c r="P287" s="17">
        <f>IF(OR($B287="",$I287=""),"",IF(IFERROR(MATCH($G287,nrBankTopics,0),0)=0,"OK",IF(COUNTA(INDEX(nrBankGrid,IFERROR(MATCH($G287,nrBankTopics,0),1),0))=0,"OK",IF(SUMPRODUCT((nrInstrNames&lt;&gt;"")*ISNUMBER(SEARCH(nrInstrNames,$I287))*(COUNTIF(INDEX(nrBankGrid,IFERROR(MATCH($G287,nrBankTopics,0),1),0),nrInstrNames)&gt;0))&lt;SUMPRODUCT((nrInstrNames&lt;&gt;"")*ISNUMBER(SEARCH(nrInstrNames,$I287))),"NOT IN BANK","OK"))))</f>
        <v/>
      </c>
    </row>
    <row r="288">
      <c r="B288" s="18" t="n"/>
      <c r="C288" s="17">
        <f>IF($B288="","",TEXT($B288,"ddd"))</f>
        <v/>
      </c>
      <c r="D288" s="41" t="n"/>
      <c r="E288" s="41" t="n"/>
      <c r="F288" s="17">
        <f>IF(OR($B288="",$D288="",$E288=""),"",ROUND(MOD($E288-$D288,1)*24,2))</f>
        <v/>
      </c>
      <c r="G288" s="16" t="n"/>
      <c r="H288" s="17">
        <f>IF($G288="","",IFERROR(_xlfn.XLOOKUP($G288,nrCHname,nrCHnum),IFERROR(_xlfn.XLOOKUP($G288,nrSUBname,nrSUBparent),"")))</f>
        <v/>
      </c>
      <c r="I288" s="16" t="n"/>
      <c r="J288" s="16" t="n"/>
      <c r="K288" s="17">
        <f>IF($B288="","",IFERROR(_xlfn.XLOOKUP($B288,nrCDdate,nrCDweek),""))</f>
        <v/>
      </c>
      <c r="L288" s="17">
        <f>IF($B288="","",IFERROR(_xlfn.XLOOKUP($B288,nrCDdate,nrCDnum),""))</f>
        <v/>
      </c>
      <c r="M288" s="16" t="n"/>
      <c r="N288" s="17">
        <f>IF(OR($B288="",$I288=""),"",_xlfn.LET(_xlpm.a,$I288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88" s="17">
        <f>IF(OR($B288="",$D288="",$E288=""),"",IF($E288=$D288,"CHECK TIMES (start = end)",IF($F288&gt;12,"CHECK TIMES (End is before Start?)","OK")))</f>
        <v/>
      </c>
      <c r="P288" s="17">
        <f>IF(OR($B288="",$I288=""),"",IF(IFERROR(MATCH($G288,nrBankTopics,0),0)=0,"OK",IF(COUNTA(INDEX(nrBankGrid,IFERROR(MATCH($G288,nrBankTopics,0),1),0))=0,"OK",IF(SUMPRODUCT((nrInstrNames&lt;&gt;"")*ISNUMBER(SEARCH(nrInstrNames,$I288))*(COUNTIF(INDEX(nrBankGrid,IFERROR(MATCH($G288,nrBankTopics,0),1),0),nrInstrNames)&gt;0))&lt;SUMPRODUCT((nrInstrNames&lt;&gt;"")*ISNUMBER(SEARCH(nrInstrNames,$I288))),"NOT IN BANK","OK"))))</f>
        <v/>
      </c>
    </row>
    <row r="289">
      <c r="B289" s="18" t="n"/>
      <c r="C289" s="17">
        <f>IF($B289="","",TEXT($B289,"ddd"))</f>
        <v/>
      </c>
      <c r="D289" s="41" t="n"/>
      <c r="E289" s="41" t="n"/>
      <c r="F289" s="17">
        <f>IF(OR($B289="",$D289="",$E289=""),"",ROUND(MOD($E289-$D289,1)*24,2))</f>
        <v/>
      </c>
      <c r="G289" s="16" t="n"/>
      <c r="H289" s="17">
        <f>IF($G289="","",IFERROR(_xlfn.XLOOKUP($G289,nrCHname,nrCHnum),IFERROR(_xlfn.XLOOKUP($G289,nrSUBname,nrSUBparent),"")))</f>
        <v/>
      </c>
      <c r="I289" s="16" t="n"/>
      <c r="J289" s="16" t="n"/>
      <c r="K289" s="17">
        <f>IF($B289="","",IFERROR(_xlfn.XLOOKUP($B289,nrCDdate,nrCDweek),""))</f>
        <v/>
      </c>
      <c r="L289" s="17">
        <f>IF($B289="","",IFERROR(_xlfn.XLOOKUP($B289,nrCDdate,nrCDnum),""))</f>
        <v/>
      </c>
      <c r="M289" s="16" t="n"/>
      <c r="N289" s="17">
        <f>IF(OR($B289="",$I289=""),"",_xlfn.LET(_xlpm.a,$I289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89" s="17">
        <f>IF(OR($B289="",$D289="",$E289=""),"",IF($E289=$D289,"CHECK TIMES (start = end)",IF($F289&gt;12,"CHECK TIMES (End is before Start?)","OK")))</f>
        <v/>
      </c>
      <c r="P289" s="17">
        <f>IF(OR($B289="",$I289=""),"",IF(IFERROR(MATCH($G289,nrBankTopics,0),0)=0,"OK",IF(COUNTA(INDEX(nrBankGrid,IFERROR(MATCH($G289,nrBankTopics,0),1),0))=0,"OK",IF(SUMPRODUCT((nrInstrNames&lt;&gt;"")*ISNUMBER(SEARCH(nrInstrNames,$I289))*(COUNTIF(INDEX(nrBankGrid,IFERROR(MATCH($G289,nrBankTopics,0),1),0),nrInstrNames)&gt;0))&lt;SUMPRODUCT((nrInstrNames&lt;&gt;"")*ISNUMBER(SEARCH(nrInstrNames,$I289))),"NOT IN BANK","OK"))))</f>
        <v/>
      </c>
    </row>
    <row r="290">
      <c r="B290" s="18" t="n"/>
      <c r="C290" s="17">
        <f>IF($B290="","",TEXT($B290,"ddd"))</f>
        <v/>
      </c>
      <c r="D290" s="41" t="n"/>
      <c r="E290" s="41" t="n"/>
      <c r="F290" s="17">
        <f>IF(OR($B290="",$D290="",$E290=""),"",ROUND(MOD($E290-$D290,1)*24,2))</f>
        <v/>
      </c>
      <c r="G290" s="16" t="n"/>
      <c r="H290" s="17">
        <f>IF($G290="","",IFERROR(_xlfn.XLOOKUP($G290,nrCHname,nrCHnum),IFERROR(_xlfn.XLOOKUP($G290,nrSUBname,nrSUBparent),"")))</f>
        <v/>
      </c>
      <c r="I290" s="16" t="n"/>
      <c r="J290" s="16" t="n"/>
      <c r="K290" s="17">
        <f>IF($B290="","",IFERROR(_xlfn.XLOOKUP($B290,nrCDdate,nrCDweek),""))</f>
        <v/>
      </c>
      <c r="L290" s="17">
        <f>IF($B290="","",IFERROR(_xlfn.XLOOKUP($B290,nrCDdate,nrCDnum),""))</f>
        <v/>
      </c>
      <c r="M290" s="16" t="n"/>
      <c r="N290" s="17">
        <f>IF(OR($B290="",$I290=""),"",_xlfn.LET(_xlpm.a,$I290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90" s="17">
        <f>IF(OR($B290="",$D290="",$E290=""),"",IF($E290=$D290,"CHECK TIMES (start = end)",IF($F290&gt;12,"CHECK TIMES (End is before Start?)","OK")))</f>
        <v/>
      </c>
      <c r="P290" s="17">
        <f>IF(OR($B290="",$I290=""),"",IF(IFERROR(MATCH($G290,nrBankTopics,0),0)=0,"OK",IF(COUNTA(INDEX(nrBankGrid,IFERROR(MATCH($G290,nrBankTopics,0),1),0))=0,"OK",IF(SUMPRODUCT((nrInstrNames&lt;&gt;"")*ISNUMBER(SEARCH(nrInstrNames,$I290))*(COUNTIF(INDEX(nrBankGrid,IFERROR(MATCH($G290,nrBankTopics,0),1),0),nrInstrNames)&gt;0))&lt;SUMPRODUCT((nrInstrNames&lt;&gt;"")*ISNUMBER(SEARCH(nrInstrNames,$I290))),"NOT IN BANK","OK"))))</f>
        <v/>
      </c>
    </row>
    <row r="291">
      <c r="B291" s="18" t="n"/>
      <c r="C291" s="17">
        <f>IF($B291="","",TEXT($B291,"ddd"))</f>
        <v/>
      </c>
      <c r="D291" s="41" t="n"/>
      <c r="E291" s="41" t="n"/>
      <c r="F291" s="17">
        <f>IF(OR($B291="",$D291="",$E291=""),"",ROUND(MOD($E291-$D291,1)*24,2))</f>
        <v/>
      </c>
      <c r="G291" s="16" t="n"/>
      <c r="H291" s="17">
        <f>IF($G291="","",IFERROR(_xlfn.XLOOKUP($G291,nrCHname,nrCHnum),IFERROR(_xlfn.XLOOKUP($G291,nrSUBname,nrSUBparent),"")))</f>
        <v/>
      </c>
      <c r="I291" s="16" t="n"/>
      <c r="J291" s="16" t="n"/>
      <c r="K291" s="17">
        <f>IF($B291="","",IFERROR(_xlfn.XLOOKUP($B291,nrCDdate,nrCDweek),""))</f>
        <v/>
      </c>
      <c r="L291" s="17">
        <f>IF($B291="","",IFERROR(_xlfn.XLOOKUP($B291,nrCDdate,nrCDnum),""))</f>
        <v/>
      </c>
      <c r="M291" s="16" t="n"/>
      <c r="N291" s="17">
        <f>IF(OR($B291="",$I291=""),"",_xlfn.LET(_xlpm.a,$I291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91" s="17">
        <f>IF(OR($B291="",$D291="",$E291=""),"",IF($E291=$D291,"CHECK TIMES (start = end)",IF($F291&gt;12,"CHECK TIMES (End is before Start?)","OK")))</f>
        <v/>
      </c>
      <c r="P291" s="17">
        <f>IF(OR($B291="",$I291=""),"",IF(IFERROR(MATCH($G291,nrBankTopics,0),0)=0,"OK",IF(COUNTA(INDEX(nrBankGrid,IFERROR(MATCH($G291,nrBankTopics,0),1),0))=0,"OK",IF(SUMPRODUCT((nrInstrNames&lt;&gt;"")*ISNUMBER(SEARCH(nrInstrNames,$I291))*(COUNTIF(INDEX(nrBankGrid,IFERROR(MATCH($G291,nrBankTopics,0),1),0),nrInstrNames)&gt;0))&lt;SUMPRODUCT((nrInstrNames&lt;&gt;"")*ISNUMBER(SEARCH(nrInstrNames,$I291))),"NOT IN BANK","OK"))))</f>
        <v/>
      </c>
    </row>
    <row r="292">
      <c r="B292" s="18" t="n"/>
      <c r="C292" s="17">
        <f>IF($B292="","",TEXT($B292,"ddd"))</f>
        <v/>
      </c>
      <c r="D292" s="41" t="n"/>
      <c r="E292" s="41" t="n"/>
      <c r="F292" s="17">
        <f>IF(OR($B292="",$D292="",$E292=""),"",ROUND(MOD($E292-$D292,1)*24,2))</f>
        <v/>
      </c>
      <c r="G292" s="16" t="n"/>
      <c r="H292" s="17">
        <f>IF($G292="","",IFERROR(_xlfn.XLOOKUP($G292,nrCHname,nrCHnum),IFERROR(_xlfn.XLOOKUP($G292,nrSUBname,nrSUBparent),"")))</f>
        <v/>
      </c>
      <c r="I292" s="16" t="n"/>
      <c r="J292" s="16" t="n"/>
      <c r="K292" s="17">
        <f>IF($B292="","",IFERROR(_xlfn.XLOOKUP($B292,nrCDdate,nrCDweek),""))</f>
        <v/>
      </c>
      <c r="L292" s="17">
        <f>IF($B292="","",IFERROR(_xlfn.XLOOKUP($B292,nrCDdate,nrCDnum),""))</f>
        <v/>
      </c>
      <c r="M292" s="16" t="n"/>
      <c r="N292" s="17">
        <f>IF(OR($B292="",$I292=""),"",_xlfn.LET(_xlpm.a,$I292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92" s="17">
        <f>IF(OR($B292="",$D292="",$E292=""),"",IF($E292=$D292,"CHECK TIMES (start = end)",IF($F292&gt;12,"CHECK TIMES (End is before Start?)","OK")))</f>
        <v/>
      </c>
      <c r="P292" s="17">
        <f>IF(OR($B292="",$I292=""),"",IF(IFERROR(MATCH($G292,nrBankTopics,0),0)=0,"OK",IF(COUNTA(INDEX(nrBankGrid,IFERROR(MATCH($G292,nrBankTopics,0),1),0))=0,"OK",IF(SUMPRODUCT((nrInstrNames&lt;&gt;"")*ISNUMBER(SEARCH(nrInstrNames,$I292))*(COUNTIF(INDEX(nrBankGrid,IFERROR(MATCH($G292,nrBankTopics,0),1),0),nrInstrNames)&gt;0))&lt;SUMPRODUCT((nrInstrNames&lt;&gt;"")*ISNUMBER(SEARCH(nrInstrNames,$I292))),"NOT IN BANK","OK"))))</f>
        <v/>
      </c>
    </row>
    <row r="293">
      <c r="B293" s="18" t="n"/>
      <c r="C293" s="17">
        <f>IF($B293="","",TEXT($B293,"ddd"))</f>
        <v/>
      </c>
      <c r="D293" s="41" t="n"/>
      <c r="E293" s="41" t="n"/>
      <c r="F293" s="17">
        <f>IF(OR($B293="",$D293="",$E293=""),"",ROUND(MOD($E293-$D293,1)*24,2))</f>
        <v/>
      </c>
      <c r="G293" s="16" t="n"/>
      <c r="H293" s="17">
        <f>IF($G293="","",IFERROR(_xlfn.XLOOKUP($G293,nrCHname,nrCHnum),IFERROR(_xlfn.XLOOKUP($G293,nrSUBname,nrSUBparent),"")))</f>
        <v/>
      </c>
      <c r="I293" s="16" t="n"/>
      <c r="J293" s="16" t="n"/>
      <c r="K293" s="17">
        <f>IF($B293="","",IFERROR(_xlfn.XLOOKUP($B293,nrCDdate,nrCDweek),""))</f>
        <v/>
      </c>
      <c r="L293" s="17">
        <f>IF($B293="","",IFERROR(_xlfn.XLOOKUP($B293,nrCDdate,nrCDnum),""))</f>
        <v/>
      </c>
      <c r="M293" s="16" t="n"/>
      <c r="N293" s="17">
        <f>IF(OR($B293="",$I293=""),"",_xlfn.LET(_xlpm.a,$I293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93" s="17">
        <f>IF(OR($B293="",$D293="",$E293=""),"",IF($E293=$D293,"CHECK TIMES (start = end)",IF($F293&gt;12,"CHECK TIMES (End is before Start?)","OK")))</f>
        <v/>
      </c>
      <c r="P293" s="17">
        <f>IF(OR($B293="",$I293=""),"",IF(IFERROR(MATCH($G293,nrBankTopics,0),0)=0,"OK",IF(COUNTA(INDEX(nrBankGrid,IFERROR(MATCH($G293,nrBankTopics,0),1),0))=0,"OK",IF(SUMPRODUCT((nrInstrNames&lt;&gt;"")*ISNUMBER(SEARCH(nrInstrNames,$I293))*(COUNTIF(INDEX(nrBankGrid,IFERROR(MATCH($G293,nrBankTopics,0),1),0),nrInstrNames)&gt;0))&lt;SUMPRODUCT((nrInstrNames&lt;&gt;"")*ISNUMBER(SEARCH(nrInstrNames,$I293))),"NOT IN BANK","OK"))))</f>
        <v/>
      </c>
    </row>
    <row r="294">
      <c r="B294" s="18" t="n"/>
      <c r="C294" s="17">
        <f>IF($B294="","",TEXT($B294,"ddd"))</f>
        <v/>
      </c>
      <c r="D294" s="41" t="n"/>
      <c r="E294" s="41" t="n"/>
      <c r="F294" s="17">
        <f>IF(OR($B294="",$D294="",$E294=""),"",ROUND(MOD($E294-$D294,1)*24,2))</f>
        <v/>
      </c>
      <c r="G294" s="16" t="n"/>
      <c r="H294" s="17">
        <f>IF($G294="","",IFERROR(_xlfn.XLOOKUP($G294,nrCHname,nrCHnum),IFERROR(_xlfn.XLOOKUP($G294,nrSUBname,nrSUBparent),"")))</f>
        <v/>
      </c>
      <c r="I294" s="16" t="n"/>
      <c r="J294" s="16" t="n"/>
      <c r="K294" s="17">
        <f>IF($B294="","",IFERROR(_xlfn.XLOOKUP($B294,nrCDdate,nrCDweek),""))</f>
        <v/>
      </c>
      <c r="L294" s="17">
        <f>IF($B294="","",IFERROR(_xlfn.XLOOKUP($B294,nrCDdate,nrCDnum),""))</f>
        <v/>
      </c>
      <c r="M294" s="16" t="n"/>
      <c r="N294" s="17">
        <f>IF(OR($B294="",$I294=""),"",_xlfn.LET(_xlpm.a,$I294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94" s="17">
        <f>IF(OR($B294="",$D294="",$E294=""),"",IF($E294=$D294,"CHECK TIMES (start = end)",IF($F294&gt;12,"CHECK TIMES (End is before Start?)","OK")))</f>
        <v/>
      </c>
      <c r="P294" s="17">
        <f>IF(OR($B294="",$I294=""),"",IF(IFERROR(MATCH($G294,nrBankTopics,0),0)=0,"OK",IF(COUNTA(INDEX(nrBankGrid,IFERROR(MATCH($G294,nrBankTopics,0),1),0))=0,"OK",IF(SUMPRODUCT((nrInstrNames&lt;&gt;"")*ISNUMBER(SEARCH(nrInstrNames,$I294))*(COUNTIF(INDEX(nrBankGrid,IFERROR(MATCH($G294,nrBankTopics,0),1),0),nrInstrNames)&gt;0))&lt;SUMPRODUCT((nrInstrNames&lt;&gt;"")*ISNUMBER(SEARCH(nrInstrNames,$I294))),"NOT IN BANK","OK"))))</f>
        <v/>
      </c>
    </row>
    <row r="295">
      <c r="B295" s="18" t="n"/>
      <c r="C295" s="17">
        <f>IF($B295="","",TEXT($B295,"ddd"))</f>
        <v/>
      </c>
      <c r="D295" s="41" t="n"/>
      <c r="E295" s="41" t="n"/>
      <c r="F295" s="17">
        <f>IF(OR($B295="",$D295="",$E295=""),"",ROUND(MOD($E295-$D295,1)*24,2))</f>
        <v/>
      </c>
      <c r="G295" s="16" t="n"/>
      <c r="H295" s="17">
        <f>IF($G295="","",IFERROR(_xlfn.XLOOKUP($G295,nrCHname,nrCHnum),IFERROR(_xlfn.XLOOKUP($G295,nrSUBname,nrSUBparent),"")))</f>
        <v/>
      </c>
      <c r="I295" s="16" t="n"/>
      <c r="J295" s="16" t="n"/>
      <c r="K295" s="17">
        <f>IF($B295="","",IFERROR(_xlfn.XLOOKUP($B295,nrCDdate,nrCDweek),""))</f>
        <v/>
      </c>
      <c r="L295" s="17">
        <f>IF($B295="","",IFERROR(_xlfn.XLOOKUP($B295,nrCDdate,nrCDnum),""))</f>
        <v/>
      </c>
      <c r="M295" s="16" t="n"/>
      <c r="N295" s="17">
        <f>IF(OR($B295="",$I295=""),"",_xlfn.LET(_xlpm.a,$I295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95" s="17">
        <f>IF(OR($B295="",$D295="",$E295=""),"",IF($E295=$D295,"CHECK TIMES (start = end)",IF($F295&gt;12,"CHECK TIMES (End is before Start?)","OK")))</f>
        <v/>
      </c>
      <c r="P295" s="17">
        <f>IF(OR($B295="",$I295=""),"",IF(IFERROR(MATCH($G295,nrBankTopics,0),0)=0,"OK",IF(COUNTA(INDEX(nrBankGrid,IFERROR(MATCH($G295,nrBankTopics,0),1),0))=0,"OK",IF(SUMPRODUCT((nrInstrNames&lt;&gt;"")*ISNUMBER(SEARCH(nrInstrNames,$I295))*(COUNTIF(INDEX(nrBankGrid,IFERROR(MATCH($G295,nrBankTopics,0),1),0),nrInstrNames)&gt;0))&lt;SUMPRODUCT((nrInstrNames&lt;&gt;"")*ISNUMBER(SEARCH(nrInstrNames,$I295))),"NOT IN BANK","OK"))))</f>
        <v/>
      </c>
    </row>
    <row r="296">
      <c r="B296" s="18" t="n"/>
      <c r="C296" s="17">
        <f>IF($B296="","",TEXT($B296,"ddd"))</f>
        <v/>
      </c>
      <c r="D296" s="41" t="n"/>
      <c r="E296" s="41" t="n"/>
      <c r="F296" s="17">
        <f>IF(OR($B296="",$D296="",$E296=""),"",ROUND(MOD($E296-$D296,1)*24,2))</f>
        <v/>
      </c>
      <c r="G296" s="16" t="n"/>
      <c r="H296" s="17">
        <f>IF($G296="","",IFERROR(_xlfn.XLOOKUP($G296,nrCHname,nrCHnum),IFERROR(_xlfn.XLOOKUP($G296,nrSUBname,nrSUBparent),"")))</f>
        <v/>
      </c>
      <c r="I296" s="16" t="n"/>
      <c r="J296" s="16" t="n"/>
      <c r="K296" s="17">
        <f>IF($B296="","",IFERROR(_xlfn.XLOOKUP($B296,nrCDdate,nrCDweek),""))</f>
        <v/>
      </c>
      <c r="L296" s="17">
        <f>IF($B296="","",IFERROR(_xlfn.XLOOKUP($B296,nrCDdate,nrCDnum),""))</f>
        <v/>
      </c>
      <c r="M296" s="16" t="n"/>
      <c r="N296" s="17">
        <f>IF(OR($B296="",$I296=""),"",_xlfn.LET(_xlpm.a,$I296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96" s="17">
        <f>IF(OR($B296="",$D296="",$E296=""),"",IF($E296=$D296,"CHECK TIMES (start = end)",IF($F296&gt;12,"CHECK TIMES (End is before Start?)","OK")))</f>
        <v/>
      </c>
      <c r="P296" s="17">
        <f>IF(OR($B296="",$I296=""),"",IF(IFERROR(MATCH($G296,nrBankTopics,0),0)=0,"OK",IF(COUNTA(INDEX(nrBankGrid,IFERROR(MATCH($G296,nrBankTopics,0),1),0))=0,"OK",IF(SUMPRODUCT((nrInstrNames&lt;&gt;"")*ISNUMBER(SEARCH(nrInstrNames,$I296))*(COUNTIF(INDEX(nrBankGrid,IFERROR(MATCH($G296,nrBankTopics,0),1),0),nrInstrNames)&gt;0))&lt;SUMPRODUCT((nrInstrNames&lt;&gt;"")*ISNUMBER(SEARCH(nrInstrNames,$I296))),"NOT IN BANK","OK"))))</f>
        <v/>
      </c>
    </row>
    <row r="297">
      <c r="B297" s="18" t="n"/>
      <c r="C297" s="17">
        <f>IF($B297="","",TEXT($B297,"ddd"))</f>
        <v/>
      </c>
      <c r="D297" s="41" t="n"/>
      <c r="E297" s="41" t="n"/>
      <c r="F297" s="17">
        <f>IF(OR($B297="",$D297="",$E297=""),"",ROUND(MOD($E297-$D297,1)*24,2))</f>
        <v/>
      </c>
      <c r="G297" s="16" t="n"/>
      <c r="H297" s="17">
        <f>IF($G297="","",IFERROR(_xlfn.XLOOKUP($G297,nrCHname,nrCHnum),IFERROR(_xlfn.XLOOKUP($G297,nrSUBname,nrSUBparent),"")))</f>
        <v/>
      </c>
      <c r="I297" s="16" t="n"/>
      <c r="J297" s="16" t="n"/>
      <c r="K297" s="17">
        <f>IF($B297="","",IFERROR(_xlfn.XLOOKUP($B297,nrCDdate,nrCDweek),""))</f>
        <v/>
      </c>
      <c r="L297" s="17">
        <f>IF($B297="","",IFERROR(_xlfn.XLOOKUP($B297,nrCDdate,nrCDnum),""))</f>
        <v/>
      </c>
      <c r="M297" s="16" t="n"/>
      <c r="N297" s="17">
        <f>IF(OR($B297="",$I297=""),"",_xlfn.LET(_xlpm.a,$I297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97" s="17">
        <f>IF(OR($B297="",$D297="",$E297=""),"",IF($E297=$D297,"CHECK TIMES (start = end)",IF($F297&gt;12,"CHECK TIMES (End is before Start?)","OK")))</f>
        <v/>
      </c>
      <c r="P297" s="17">
        <f>IF(OR($B297="",$I297=""),"",IF(IFERROR(MATCH($G297,nrBankTopics,0),0)=0,"OK",IF(COUNTA(INDEX(nrBankGrid,IFERROR(MATCH($G297,nrBankTopics,0),1),0))=0,"OK",IF(SUMPRODUCT((nrInstrNames&lt;&gt;"")*ISNUMBER(SEARCH(nrInstrNames,$I297))*(COUNTIF(INDEX(nrBankGrid,IFERROR(MATCH($G297,nrBankTopics,0),1),0),nrInstrNames)&gt;0))&lt;SUMPRODUCT((nrInstrNames&lt;&gt;"")*ISNUMBER(SEARCH(nrInstrNames,$I297))),"NOT IN BANK","OK"))))</f>
        <v/>
      </c>
    </row>
    <row r="298">
      <c r="B298" s="18" t="n"/>
      <c r="C298" s="17">
        <f>IF($B298="","",TEXT($B298,"ddd"))</f>
        <v/>
      </c>
      <c r="D298" s="41" t="n"/>
      <c r="E298" s="41" t="n"/>
      <c r="F298" s="17">
        <f>IF(OR($B298="",$D298="",$E298=""),"",ROUND(MOD($E298-$D298,1)*24,2))</f>
        <v/>
      </c>
      <c r="G298" s="16" t="n"/>
      <c r="H298" s="17">
        <f>IF($G298="","",IFERROR(_xlfn.XLOOKUP($G298,nrCHname,nrCHnum),IFERROR(_xlfn.XLOOKUP($G298,nrSUBname,nrSUBparent),"")))</f>
        <v/>
      </c>
      <c r="I298" s="16" t="n"/>
      <c r="J298" s="16" t="n"/>
      <c r="K298" s="17">
        <f>IF($B298="","",IFERROR(_xlfn.XLOOKUP($B298,nrCDdate,nrCDweek),""))</f>
        <v/>
      </c>
      <c r="L298" s="17">
        <f>IF($B298="","",IFERROR(_xlfn.XLOOKUP($B298,nrCDdate,nrCDnum),""))</f>
        <v/>
      </c>
      <c r="M298" s="16" t="n"/>
      <c r="N298" s="17">
        <f>IF(OR($B298="",$I298=""),"",_xlfn.LET(_xlpm.a,$I298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98" s="17">
        <f>IF(OR($B298="",$D298="",$E298=""),"",IF($E298=$D298,"CHECK TIMES (start = end)",IF($F298&gt;12,"CHECK TIMES (End is before Start?)","OK")))</f>
        <v/>
      </c>
      <c r="P298" s="17">
        <f>IF(OR($B298="",$I298=""),"",IF(IFERROR(MATCH($G298,nrBankTopics,0),0)=0,"OK",IF(COUNTA(INDEX(nrBankGrid,IFERROR(MATCH($G298,nrBankTopics,0),1),0))=0,"OK",IF(SUMPRODUCT((nrInstrNames&lt;&gt;"")*ISNUMBER(SEARCH(nrInstrNames,$I298))*(COUNTIF(INDEX(nrBankGrid,IFERROR(MATCH($G298,nrBankTopics,0),1),0),nrInstrNames)&gt;0))&lt;SUMPRODUCT((nrInstrNames&lt;&gt;"")*ISNUMBER(SEARCH(nrInstrNames,$I298))),"NOT IN BANK","OK"))))</f>
        <v/>
      </c>
    </row>
    <row r="299">
      <c r="B299" s="18" t="n"/>
      <c r="C299" s="17">
        <f>IF($B299="","",TEXT($B299,"ddd"))</f>
        <v/>
      </c>
      <c r="D299" s="41" t="n"/>
      <c r="E299" s="41" t="n"/>
      <c r="F299" s="17">
        <f>IF(OR($B299="",$D299="",$E299=""),"",ROUND(MOD($E299-$D299,1)*24,2))</f>
        <v/>
      </c>
      <c r="G299" s="16" t="n"/>
      <c r="H299" s="17">
        <f>IF($G299="","",IFERROR(_xlfn.XLOOKUP($G299,nrCHname,nrCHnum),IFERROR(_xlfn.XLOOKUP($G299,nrSUBname,nrSUBparent),"")))</f>
        <v/>
      </c>
      <c r="I299" s="16" t="n"/>
      <c r="J299" s="16" t="n"/>
      <c r="K299" s="17">
        <f>IF($B299="","",IFERROR(_xlfn.XLOOKUP($B299,nrCDdate,nrCDweek),""))</f>
        <v/>
      </c>
      <c r="L299" s="17">
        <f>IF($B299="","",IFERROR(_xlfn.XLOOKUP($B299,nrCDdate,nrCDnum),""))</f>
        <v/>
      </c>
      <c r="M299" s="16" t="n"/>
      <c r="N299" s="17">
        <f>IF(OR($B299="",$I299=""),"",_xlfn.LET(_xlpm.a,$I299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99" s="17">
        <f>IF(OR($B299="",$D299="",$E299=""),"",IF($E299=$D299,"CHECK TIMES (start = end)",IF($F299&gt;12,"CHECK TIMES (End is before Start?)","OK")))</f>
        <v/>
      </c>
      <c r="P299" s="17">
        <f>IF(OR($B299="",$I299=""),"",IF(IFERROR(MATCH($G299,nrBankTopics,0),0)=0,"OK",IF(COUNTA(INDEX(nrBankGrid,IFERROR(MATCH($G299,nrBankTopics,0),1),0))=0,"OK",IF(SUMPRODUCT((nrInstrNames&lt;&gt;"")*ISNUMBER(SEARCH(nrInstrNames,$I299))*(COUNTIF(INDEX(nrBankGrid,IFERROR(MATCH($G299,nrBankTopics,0),1),0),nrInstrNames)&gt;0))&lt;SUMPRODUCT((nrInstrNames&lt;&gt;"")*ISNUMBER(SEARCH(nrInstrNames,$I299))),"NOT IN BANK","OK"))))</f>
        <v/>
      </c>
    </row>
    <row r="300">
      <c r="B300" s="18" t="n"/>
      <c r="C300" s="17">
        <f>IF($B300="","",TEXT($B300,"ddd"))</f>
        <v/>
      </c>
      <c r="D300" s="41" t="n"/>
      <c r="E300" s="41" t="n"/>
      <c r="F300" s="17">
        <f>IF(OR($B300="",$D300="",$E300=""),"",ROUND(MOD($E300-$D300,1)*24,2))</f>
        <v/>
      </c>
      <c r="G300" s="16" t="n"/>
      <c r="H300" s="17">
        <f>IF($G300="","",IFERROR(_xlfn.XLOOKUP($G300,nrCHname,nrCHnum),IFERROR(_xlfn.XLOOKUP($G300,nrSUBname,nrSUBparent),"")))</f>
        <v/>
      </c>
      <c r="I300" s="16" t="n"/>
      <c r="J300" s="16" t="n"/>
      <c r="K300" s="17">
        <f>IF($B300="","",IFERROR(_xlfn.XLOOKUP($B300,nrCDdate,nrCDweek),""))</f>
        <v/>
      </c>
      <c r="L300" s="17">
        <f>IF($B300="","",IFERROR(_xlfn.XLOOKUP($B300,nrCDdate,nrCDnum),""))</f>
        <v/>
      </c>
      <c r="M300" s="16" t="n"/>
      <c r="N300" s="17">
        <f>IF(OR($B300="",$I300=""),"",_xlfn.LET(_xlpm.a,$I300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00" s="17">
        <f>IF(OR($B300="",$D300="",$E300=""),"",IF($E300=$D300,"CHECK TIMES (start = end)",IF($F300&gt;12,"CHECK TIMES (End is before Start?)","OK")))</f>
        <v/>
      </c>
      <c r="P300" s="17">
        <f>IF(OR($B300="",$I300=""),"",IF(IFERROR(MATCH($G300,nrBankTopics,0),0)=0,"OK",IF(COUNTA(INDEX(nrBankGrid,IFERROR(MATCH($G300,nrBankTopics,0),1),0))=0,"OK",IF(SUMPRODUCT((nrInstrNames&lt;&gt;"")*ISNUMBER(SEARCH(nrInstrNames,$I300))*(COUNTIF(INDEX(nrBankGrid,IFERROR(MATCH($G300,nrBankTopics,0),1),0),nrInstrNames)&gt;0))&lt;SUMPRODUCT((nrInstrNames&lt;&gt;"")*ISNUMBER(SEARCH(nrInstrNames,$I300))),"NOT IN BANK","OK"))))</f>
        <v/>
      </c>
    </row>
    <row r="301">
      <c r="B301" s="18" t="n"/>
      <c r="C301" s="17">
        <f>IF($B301="","",TEXT($B301,"ddd"))</f>
        <v/>
      </c>
      <c r="D301" s="41" t="n"/>
      <c r="E301" s="41" t="n"/>
      <c r="F301" s="17">
        <f>IF(OR($B301="",$D301="",$E301=""),"",ROUND(MOD($E301-$D301,1)*24,2))</f>
        <v/>
      </c>
      <c r="G301" s="16" t="n"/>
      <c r="H301" s="17">
        <f>IF($G301="","",IFERROR(_xlfn.XLOOKUP($G301,nrCHname,nrCHnum),IFERROR(_xlfn.XLOOKUP($G301,nrSUBname,nrSUBparent),"")))</f>
        <v/>
      </c>
      <c r="I301" s="16" t="n"/>
      <c r="J301" s="16" t="n"/>
      <c r="K301" s="17">
        <f>IF($B301="","",IFERROR(_xlfn.XLOOKUP($B301,nrCDdate,nrCDweek),""))</f>
        <v/>
      </c>
      <c r="L301" s="17">
        <f>IF($B301="","",IFERROR(_xlfn.XLOOKUP($B301,nrCDdate,nrCDnum),""))</f>
        <v/>
      </c>
      <c r="M301" s="16" t="n"/>
      <c r="N301" s="17">
        <f>IF(OR($B301="",$I301=""),"",_xlfn.LET(_xlpm.a,$I301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01" s="17">
        <f>IF(OR($B301="",$D301="",$E301=""),"",IF($E301=$D301,"CHECK TIMES (start = end)",IF($F301&gt;12,"CHECK TIMES (End is before Start?)","OK")))</f>
        <v/>
      </c>
      <c r="P301" s="17">
        <f>IF(OR($B301="",$I301=""),"",IF(IFERROR(MATCH($G301,nrBankTopics,0),0)=0,"OK",IF(COUNTA(INDEX(nrBankGrid,IFERROR(MATCH($G301,nrBankTopics,0),1),0))=0,"OK",IF(SUMPRODUCT((nrInstrNames&lt;&gt;"")*ISNUMBER(SEARCH(nrInstrNames,$I301))*(COUNTIF(INDEX(nrBankGrid,IFERROR(MATCH($G301,nrBankTopics,0),1),0),nrInstrNames)&gt;0))&lt;SUMPRODUCT((nrInstrNames&lt;&gt;"")*ISNUMBER(SEARCH(nrInstrNames,$I301))),"NOT IN BANK","OK"))))</f>
        <v/>
      </c>
    </row>
    <row r="302">
      <c r="B302" s="18" t="n"/>
      <c r="C302" s="17">
        <f>IF($B302="","",TEXT($B302,"ddd"))</f>
        <v/>
      </c>
      <c r="D302" s="41" t="n"/>
      <c r="E302" s="41" t="n"/>
      <c r="F302" s="17">
        <f>IF(OR($B302="",$D302="",$E302=""),"",ROUND(MOD($E302-$D302,1)*24,2))</f>
        <v/>
      </c>
      <c r="G302" s="16" t="n"/>
      <c r="H302" s="17">
        <f>IF($G302="","",IFERROR(_xlfn.XLOOKUP($G302,nrCHname,nrCHnum),IFERROR(_xlfn.XLOOKUP($G302,nrSUBname,nrSUBparent),"")))</f>
        <v/>
      </c>
      <c r="I302" s="16" t="n"/>
      <c r="J302" s="16" t="n"/>
      <c r="K302" s="17">
        <f>IF($B302="","",IFERROR(_xlfn.XLOOKUP($B302,nrCDdate,nrCDweek),""))</f>
        <v/>
      </c>
      <c r="L302" s="17">
        <f>IF($B302="","",IFERROR(_xlfn.XLOOKUP($B302,nrCDdate,nrCDnum),""))</f>
        <v/>
      </c>
      <c r="M302" s="16" t="n"/>
      <c r="N302" s="17">
        <f>IF(OR($B302="",$I302=""),"",_xlfn.LET(_xlpm.a,$I302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02" s="17">
        <f>IF(OR($B302="",$D302="",$E302=""),"",IF($E302=$D302,"CHECK TIMES (start = end)",IF($F302&gt;12,"CHECK TIMES (End is before Start?)","OK")))</f>
        <v/>
      </c>
      <c r="P302" s="17">
        <f>IF(OR($B302="",$I302=""),"",IF(IFERROR(MATCH($G302,nrBankTopics,0),0)=0,"OK",IF(COUNTA(INDEX(nrBankGrid,IFERROR(MATCH($G302,nrBankTopics,0),1),0))=0,"OK",IF(SUMPRODUCT((nrInstrNames&lt;&gt;"")*ISNUMBER(SEARCH(nrInstrNames,$I302))*(COUNTIF(INDEX(nrBankGrid,IFERROR(MATCH($G302,nrBankTopics,0),1),0),nrInstrNames)&gt;0))&lt;SUMPRODUCT((nrInstrNames&lt;&gt;"")*ISNUMBER(SEARCH(nrInstrNames,$I302))),"NOT IN BANK","OK"))))</f>
        <v/>
      </c>
    </row>
    <row r="303">
      <c r="B303" s="18" t="n"/>
      <c r="C303" s="17">
        <f>IF($B303="","",TEXT($B303,"ddd"))</f>
        <v/>
      </c>
      <c r="D303" s="41" t="n"/>
      <c r="E303" s="41" t="n"/>
      <c r="F303" s="17">
        <f>IF(OR($B303="",$D303="",$E303=""),"",ROUND(MOD($E303-$D303,1)*24,2))</f>
        <v/>
      </c>
      <c r="G303" s="16" t="n"/>
      <c r="H303" s="17">
        <f>IF($G303="","",IFERROR(_xlfn.XLOOKUP($G303,nrCHname,nrCHnum),IFERROR(_xlfn.XLOOKUP($G303,nrSUBname,nrSUBparent),"")))</f>
        <v/>
      </c>
      <c r="I303" s="16" t="n"/>
      <c r="J303" s="16" t="n"/>
      <c r="K303" s="17">
        <f>IF($B303="","",IFERROR(_xlfn.XLOOKUP($B303,nrCDdate,nrCDweek),""))</f>
        <v/>
      </c>
      <c r="L303" s="17">
        <f>IF($B303="","",IFERROR(_xlfn.XLOOKUP($B303,nrCDdate,nrCDnum),""))</f>
        <v/>
      </c>
      <c r="M303" s="16" t="n"/>
      <c r="N303" s="17">
        <f>IF(OR($B303="",$I303=""),"",_xlfn.LET(_xlpm.a,$I303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03" s="17">
        <f>IF(OR($B303="",$D303="",$E303=""),"",IF($E303=$D303,"CHECK TIMES (start = end)",IF($F303&gt;12,"CHECK TIMES (End is before Start?)","OK")))</f>
        <v/>
      </c>
      <c r="P303" s="17">
        <f>IF(OR($B303="",$I303=""),"",IF(IFERROR(MATCH($G303,nrBankTopics,0),0)=0,"OK",IF(COUNTA(INDEX(nrBankGrid,IFERROR(MATCH($G303,nrBankTopics,0),1),0))=0,"OK",IF(SUMPRODUCT((nrInstrNames&lt;&gt;"")*ISNUMBER(SEARCH(nrInstrNames,$I303))*(COUNTIF(INDEX(nrBankGrid,IFERROR(MATCH($G303,nrBankTopics,0),1),0),nrInstrNames)&gt;0))&lt;SUMPRODUCT((nrInstrNames&lt;&gt;"")*ISNUMBER(SEARCH(nrInstrNames,$I303))),"NOT IN BANK","OK"))))</f>
        <v/>
      </c>
    </row>
    <row r="304">
      <c r="B304" s="18" t="n"/>
      <c r="C304" s="17">
        <f>IF($B304="","",TEXT($B304,"ddd"))</f>
        <v/>
      </c>
      <c r="D304" s="41" t="n"/>
      <c r="E304" s="41" t="n"/>
      <c r="F304" s="17">
        <f>IF(OR($B304="",$D304="",$E304=""),"",ROUND(MOD($E304-$D304,1)*24,2))</f>
        <v/>
      </c>
      <c r="G304" s="16" t="n"/>
      <c r="H304" s="17">
        <f>IF($G304="","",IFERROR(_xlfn.XLOOKUP($G304,nrCHname,nrCHnum),IFERROR(_xlfn.XLOOKUP($G304,nrSUBname,nrSUBparent),"")))</f>
        <v/>
      </c>
      <c r="I304" s="16" t="n"/>
      <c r="J304" s="16" t="n"/>
      <c r="K304" s="17">
        <f>IF($B304="","",IFERROR(_xlfn.XLOOKUP($B304,nrCDdate,nrCDweek),""))</f>
        <v/>
      </c>
      <c r="L304" s="17">
        <f>IF($B304="","",IFERROR(_xlfn.XLOOKUP($B304,nrCDdate,nrCDnum),""))</f>
        <v/>
      </c>
      <c r="M304" s="16" t="n"/>
      <c r="N304" s="17">
        <f>IF(OR($B304="",$I304=""),"",_xlfn.LET(_xlpm.a,$I304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04" s="17">
        <f>IF(OR($B304="",$D304="",$E304=""),"",IF($E304=$D304,"CHECK TIMES (start = end)",IF($F304&gt;12,"CHECK TIMES (End is before Start?)","OK")))</f>
        <v/>
      </c>
      <c r="P304" s="17">
        <f>IF(OR($B304="",$I304=""),"",IF(IFERROR(MATCH($G304,nrBankTopics,0),0)=0,"OK",IF(COUNTA(INDEX(nrBankGrid,IFERROR(MATCH($G304,nrBankTopics,0),1),0))=0,"OK",IF(SUMPRODUCT((nrInstrNames&lt;&gt;"")*ISNUMBER(SEARCH(nrInstrNames,$I304))*(COUNTIF(INDEX(nrBankGrid,IFERROR(MATCH($G304,nrBankTopics,0),1),0),nrInstrNames)&gt;0))&lt;SUMPRODUCT((nrInstrNames&lt;&gt;"")*ISNUMBER(SEARCH(nrInstrNames,$I304))),"NOT IN BANK","OK"))))</f>
        <v/>
      </c>
    </row>
    <row r="305">
      <c r="B305" s="18" t="n"/>
      <c r="C305" s="17">
        <f>IF($B305="","",TEXT($B305,"ddd"))</f>
        <v/>
      </c>
      <c r="D305" s="41" t="n"/>
      <c r="E305" s="41" t="n"/>
      <c r="F305" s="17">
        <f>IF(OR($B305="",$D305="",$E305=""),"",ROUND(MOD($E305-$D305,1)*24,2))</f>
        <v/>
      </c>
      <c r="G305" s="16" t="n"/>
      <c r="H305" s="17">
        <f>IF($G305="","",IFERROR(_xlfn.XLOOKUP($G305,nrCHname,nrCHnum),IFERROR(_xlfn.XLOOKUP($G305,nrSUBname,nrSUBparent),"")))</f>
        <v/>
      </c>
      <c r="I305" s="16" t="n"/>
      <c r="J305" s="16" t="n"/>
      <c r="K305" s="17">
        <f>IF($B305="","",IFERROR(_xlfn.XLOOKUP($B305,nrCDdate,nrCDweek),""))</f>
        <v/>
      </c>
      <c r="L305" s="17">
        <f>IF($B305="","",IFERROR(_xlfn.XLOOKUP($B305,nrCDdate,nrCDnum),""))</f>
        <v/>
      </c>
      <c r="M305" s="16" t="n"/>
      <c r="N305" s="17">
        <f>IF(OR($B305="",$I305=""),"",_xlfn.LET(_xlpm.a,$I305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05" s="17">
        <f>IF(OR($B305="",$D305="",$E305=""),"",IF($E305=$D305,"CHECK TIMES (start = end)",IF($F305&gt;12,"CHECK TIMES (End is before Start?)","OK")))</f>
        <v/>
      </c>
      <c r="P305" s="17">
        <f>IF(OR($B305="",$I305=""),"",IF(IFERROR(MATCH($G305,nrBankTopics,0),0)=0,"OK",IF(COUNTA(INDEX(nrBankGrid,IFERROR(MATCH($G305,nrBankTopics,0),1),0))=0,"OK",IF(SUMPRODUCT((nrInstrNames&lt;&gt;"")*ISNUMBER(SEARCH(nrInstrNames,$I305))*(COUNTIF(INDEX(nrBankGrid,IFERROR(MATCH($G305,nrBankTopics,0),1),0),nrInstrNames)&gt;0))&lt;SUMPRODUCT((nrInstrNames&lt;&gt;"")*ISNUMBER(SEARCH(nrInstrNames,$I305))),"NOT IN BANK","OK"))))</f>
        <v/>
      </c>
    </row>
    <row r="306">
      <c r="B306" s="18" t="n"/>
      <c r="C306" s="17">
        <f>IF($B306="","",TEXT($B306,"ddd"))</f>
        <v/>
      </c>
      <c r="D306" s="41" t="n"/>
      <c r="E306" s="41" t="n"/>
      <c r="F306" s="17">
        <f>IF(OR($B306="",$D306="",$E306=""),"",ROUND(MOD($E306-$D306,1)*24,2))</f>
        <v/>
      </c>
      <c r="G306" s="16" t="n"/>
      <c r="H306" s="17">
        <f>IF($G306="","",IFERROR(_xlfn.XLOOKUP($G306,nrCHname,nrCHnum),IFERROR(_xlfn.XLOOKUP($G306,nrSUBname,nrSUBparent),"")))</f>
        <v/>
      </c>
      <c r="I306" s="16" t="n"/>
      <c r="J306" s="16" t="n"/>
      <c r="K306" s="17">
        <f>IF($B306="","",IFERROR(_xlfn.XLOOKUP($B306,nrCDdate,nrCDweek),""))</f>
        <v/>
      </c>
      <c r="L306" s="17">
        <f>IF($B306="","",IFERROR(_xlfn.XLOOKUP($B306,nrCDdate,nrCDnum),""))</f>
        <v/>
      </c>
      <c r="M306" s="16" t="n"/>
      <c r="N306" s="17">
        <f>IF(OR($B306="",$I306=""),"",_xlfn.LET(_xlpm.a,$I306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06" s="17">
        <f>IF(OR($B306="",$D306="",$E306=""),"",IF($E306=$D306,"CHECK TIMES (start = end)",IF($F306&gt;12,"CHECK TIMES (End is before Start?)","OK")))</f>
        <v/>
      </c>
      <c r="P306" s="17">
        <f>IF(OR($B306="",$I306=""),"",IF(IFERROR(MATCH($G306,nrBankTopics,0),0)=0,"OK",IF(COUNTA(INDEX(nrBankGrid,IFERROR(MATCH($G306,nrBankTopics,0),1),0))=0,"OK",IF(SUMPRODUCT((nrInstrNames&lt;&gt;"")*ISNUMBER(SEARCH(nrInstrNames,$I306))*(COUNTIF(INDEX(nrBankGrid,IFERROR(MATCH($G306,nrBankTopics,0),1),0),nrInstrNames)&gt;0))&lt;SUMPRODUCT((nrInstrNames&lt;&gt;"")*ISNUMBER(SEARCH(nrInstrNames,$I306))),"NOT IN BANK","OK"))))</f>
        <v/>
      </c>
    </row>
    <row r="307">
      <c r="B307" s="18" t="n"/>
      <c r="C307" s="17">
        <f>IF($B307="","",TEXT($B307,"ddd"))</f>
        <v/>
      </c>
      <c r="D307" s="41" t="n"/>
      <c r="E307" s="41" t="n"/>
      <c r="F307" s="17">
        <f>IF(OR($B307="",$D307="",$E307=""),"",ROUND(MOD($E307-$D307,1)*24,2))</f>
        <v/>
      </c>
      <c r="G307" s="16" t="n"/>
      <c r="H307" s="17">
        <f>IF($G307="","",IFERROR(_xlfn.XLOOKUP($G307,nrCHname,nrCHnum),IFERROR(_xlfn.XLOOKUP($G307,nrSUBname,nrSUBparent),"")))</f>
        <v/>
      </c>
      <c r="I307" s="16" t="n"/>
      <c r="J307" s="16" t="n"/>
      <c r="K307" s="17">
        <f>IF($B307="","",IFERROR(_xlfn.XLOOKUP($B307,nrCDdate,nrCDweek),""))</f>
        <v/>
      </c>
      <c r="L307" s="17">
        <f>IF($B307="","",IFERROR(_xlfn.XLOOKUP($B307,nrCDdate,nrCDnum),""))</f>
        <v/>
      </c>
      <c r="M307" s="16" t="n"/>
      <c r="N307" s="17">
        <f>IF(OR($B307="",$I307=""),"",_xlfn.LET(_xlpm.a,$I307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07" s="17">
        <f>IF(OR($B307="",$D307="",$E307=""),"",IF($E307=$D307,"CHECK TIMES (start = end)",IF($F307&gt;12,"CHECK TIMES (End is before Start?)","OK")))</f>
        <v/>
      </c>
      <c r="P307" s="17">
        <f>IF(OR($B307="",$I307=""),"",IF(IFERROR(MATCH($G307,nrBankTopics,0),0)=0,"OK",IF(COUNTA(INDEX(nrBankGrid,IFERROR(MATCH($G307,nrBankTopics,0),1),0))=0,"OK",IF(SUMPRODUCT((nrInstrNames&lt;&gt;"")*ISNUMBER(SEARCH(nrInstrNames,$I307))*(COUNTIF(INDEX(nrBankGrid,IFERROR(MATCH($G307,nrBankTopics,0),1),0),nrInstrNames)&gt;0))&lt;SUMPRODUCT((nrInstrNames&lt;&gt;"")*ISNUMBER(SEARCH(nrInstrNames,$I307))),"NOT IN BANK","OK"))))</f>
        <v/>
      </c>
    </row>
    <row r="308">
      <c r="B308" s="18" t="n"/>
      <c r="C308" s="17">
        <f>IF($B308="","",TEXT($B308,"ddd"))</f>
        <v/>
      </c>
      <c r="D308" s="41" t="n"/>
      <c r="E308" s="41" t="n"/>
      <c r="F308" s="17">
        <f>IF(OR($B308="",$D308="",$E308=""),"",ROUND(MOD($E308-$D308,1)*24,2))</f>
        <v/>
      </c>
      <c r="G308" s="16" t="n"/>
      <c r="H308" s="17">
        <f>IF($G308="","",IFERROR(_xlfn.XLOOKUP($G308,nrCHname,nrCHnum),IFERROR(_xlfn.XLOOKUP($G308,nrSUBname,nrSUBparent),"")))</f>
        <v/>
      </c>
      <c r="I308" s="16" t="n"/>
      <c r="J308" s="16" t="n"/>
      <c r="K308" s="17">
        <f>IF($B308="","",IFERROR(_xlfn.XLOOKUP($B308,nrCDdate,nrCDweek),""))</f>
        <v/>
      </c>
      <c r="L308" s="17">
        <f>IF($B308="","",IFERROR(_xlfn.XLOOKUP($B308,nrCDdate,nrCDnum),""))</f>
        <v/>
      </c>
      <c r="M308" s="16" t="n"/>
      <c r="N308" s="17">
        <f>IF(OR($B308="",$I308=""),"",_xlfn.LET(_xlpm.a,$I308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08" s="17">
        <f>IF(OR($B308="",$D308="",$E308=""),"",IF($E308=$D308,"CHECK TIMES (start = end)",IF($F308&gt;12,"CHECK TIMES (End is before Start?)","OK")))</f>
        <v/>
      </c>
      <c r="P308" s="17">
        <f>IF(OR($B308="",$I308=""),"",IF(IFERROR(MATCH($G308,nrBankTopics,0),0)=0,"OK",IF(COUNTA(INDEX(nrBankGrid,IFERROR(MATCH($G308,nrBankTopics,0),1),0))=0,"OK",IF(SUMPRODUCT((nrInstrNames&lt;&gt;"")*ISNUMBER(SEARCH(nrInstrNames,$I308))*(COUNTIF(INDEX(nrBankGrid,IFERROR(MATCH($G308,nrBankTopics,0),1),0),nrInstrNames)&gt;0))&lt;SUMPRODUCT((nrInstrNames&lt;&gt;"")*ISNUMBER(SEARCH(nrInstrNames,$I308))),"NOT IN BANK","OK"))))</f>
        <v/>
      </c>
    </row>
    <row r="309">
      <c r="B309" s="18" t="n"/>
      <c r="C309" s="17">
        <f>IF($B309="","",TEXT($B309,"ddd"))</f>
        <v/>
      </c>
      <c r="D309" s="41" t="n"/>
      <c r="E309" s="41" t="n"/>
      <c r="F309" s="17">
        <f>IF(OR($B309="",$D309="",$E309=""),"",ROUND(MOD($E309-$D309,1)*24,2))</f>
        <v/>
      </c>
      <c r="G309" s="16" t="n"/>
      <c r="H309" s="17">
        <f>IF($G309="","",IFERROR(_xlfn.XLOOKUP($G309,nrCHname,nrCHnum),IFERROR(_xlfn.XLOOKUP($G309,nrSUBname,nrSUBparent),"")))</f>
        <v/>
      </c>
      <c r="I309" s="16" t="n"/>
      <c r="J309" s="16" t="n"/>
      <c r="K309" s="17">
        <f>IF($B309="","",IFERROR(_xlfn.XLOOKUP($B309,nrCDdate,nrCDweek),""))</f>
        <v/>
      </c>
      <c r="L309" s="17">
        <f>IF($B309="","",IFERROR(_xlfn.XLOOKUP($B309,nrCDdate,nrCDnum),""))</f>
        <v/>
      </c>
      <c r="M309" s="16" t="n"/>
      <c r="N309" s="17">
        <f>IF(OR($B309="",$I309=""),"",_xlfn.LET(_xlpm.a,$I309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09" s="17">
        <f>IF(OR($B309="",$D309="",$E309=""),"",IF($E309=$D309,"CHECK TIMES (start = end)",IF($F309&gt;12,"CHECK TIMES (End is before Start?)","OK")))</f>
        <v/>
      </c>
      <c r="P309" s="17">
        <f>IF(OR($B309="",$I309=""),"",IF(IFERROR(MATCH($G309,nrBankTopics,0),0)=0,"OK",IF(COUNTA(INDEX(nrBankGrid,IFERROR(MATCH($G309,nrBankTopics,0),1),0))=0,"OK",IF(SUMPRODUCT((nrInstrNames&lt;&gt;"")*ISNUMBER(SEARCH(nrInstrNames,$I309))*(COUNTIF(INDEX(nrBankGrid,IFERROR(MATCH($G309,nrBankTopics,0),1),0),nrInstrNames)&gt;0))&lt;SUMPRODUCT((nrInstrNames&lt;&gt;"")*ISNUMBER(SEARCH(nrInstrNames,$I309))),"NOT IN BANK","OK"))))</f>
        <v/>
      </c>
    </row>
    <row r="310">
      <c r="B310" s="18" t="n"/>
      <c r="C310" s="17">
        <f>IF($B310="","",TEXT($B310,"ddd"))</f>
        <v/>
      </c>
      <c r="D310" s="41" t="n"/>
      <c r="E310" s="41" t="n"/>
      <c r="F310" s="17">
        <f>IF(OR($B310="",$D310="",$E310=""),"",ROUND(MOD($E310-$D310,1)*24,2))</f>
        <v/>
      </c>
      <c r="G310" s="16" t="n"/>
      <c r="H310" s="17">
        <f>IF($G310="","",IFERROR(_xlfn.XLOOKUP($G310,nrCHname,nrCHnum),IFERROR(_xlfn.XLOOKUP($G310,nrSUBname,nrSUBparent),"")))</f>
        <v/>
      </c>
      <c r="I310" s="16" t="n"/>
      <c r="J310" s="16" t="n"/>
      <c r="K310" s="17">
        <f>IF($B310="","",IFERROR(_xlfn.XLOOKUP($B310,nrCDdate,nrCDweek),""))</f>
        <v/>
      </c>
      <c r="L310" s="17">
        <f>IF($B310="","",IFERROR(_xlfn.XLOOKUP($B310,nrCDdate,nrCDnum),""))</f>
        <v/>
      </c>
      <c r="M310" s="16" t="n"/>
      <c r="N310" s="17">
        <f>IF(OR($B310="",$I310=""),"",_xlfn.LET(_xlpm.a,$I310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10" s="17">
        <f>IF(OR($B310="",$D310="",$E310=""),"",IF($E310=$D310,"CHECK TIMES (start = end)",IF($F310&gt;12,"CHECK TIMES (End is before Start?)","OK")))</f>
        <v/>
      </c>
      <c r="P310" s="17">
        <f>IF(OR($B310="",$I310=""),"",IF(IFERROR(MATCH($G310,nrBankTopics,0),0)=0,"OK",IF(COUNTA(INDEX(nrBankGrid,IFERROR(MATCH($G310,nrBankTopics,0),1),0))=0,"OK",IF(SUMPRODUCT((nrInstrNames&lt;&gt;"")*ISNUMBER(SEARCH(nrInstrNames,$I310))*(COUNTIF(INDEX(nrBankGrid,IFERROR(MATCH($G310,nrBankTopics,0),1),0),nrInstrNames)&gt;0))&lt;SUMPRODUCT((nrInstrNames&lt;&gt;"")*ISNUMBER(SEARCH(nrInstrNames,$I310))),"NOT IN BANK","OK"))))</f>
        <v/>
      </c>
    </row>
    <row r="311">
      <c r="B311" s="18" t="n"/>
      <c r="C311" s="17">
        <f>IF($B311="","",TEXT($B311,"ddd"))</f>
        <v/>
      </c>
      <c r="D311" s="41" t="n"/>
      <c r="E311" s="41" t="n"/>
      <c r="F311" s="17">
        <f>IF(OR($B311="",$D311="",$E311=""),"",ROUND(MOD($E311-$D311,1)*24,2))</f>
        <v/>
      </c>
      <c r="G311" s="16" t="n"/>
      <c r="H311" s="17">
        <f>IF($G311="","",IFERROR(_xlfn.XLOOKUP($G311,nrCHname,nrCHnum),IFERROR(_xlfn.XLOOKUP($G311,nrSUBname,nrSUBparent),"")))</f>
        <v/>
      </c>
      <c r="I311" s="16" t="n"/>
      <c r="J311" s="16" t="n"/>
      <c r="K311" s="17">
        <f>IF($B311="","",IFERROR(_xlfn.XLOOKUP($B311,nrCDdate,nrCDweek),""))</f>
        <v/>
      </c>
      <c r="L311" s="17">
        <f>IF($B311="","",IFERROR(_xlfn.XLOOKUP($B311,nrCDdate,nrCDnum),""))</f>
        <v/>
      </c>
      <c r="M311" s="16" t="n"/>
      <c r="N311" s="17">
        <f>IF(OR($B311="",$I311=""),"",_xlfn.LET(_xlpm.a,$I311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11" s="17">
        <f>IF(OR($B311="",$D311="",$E311=""),"",IF($E311=$D311,"CHECK TIMES (start = end)",IF($F311&gt;12,"CHECK TIMES (End is before Start?)","OK")))</f>
        <v/>
      </c>
      <c r="P311" s="17">
        <f>IF(OR($B311="",$I311=""),"",IF(IFERROR(MATCH($G311,nrBankTopics,0),0)=0,"OK",IF(COUNTA(INDEX(nrBankGrid,IFERROR(MATCH($G311,nrBankTopics,0),1),0))=0,"OK",IF(SUMPRODUCT((nrInstrNames&lt;&gt;"")*ISNUMBER(SEARCH(nrInstrNames,$I311))*(COUNTIF(INDEX(nrBankGrid,IFERROR(MATCH($G311,nrBankTopics,0),1),0),nrInstrNames)&gt;0))&lt;SUMPRODUCT((nrInstrNames&lt;&gt;"")*ISNUMBER(SEARCH(nrInstrNames,$I311))),"NOT IN BANK","OK"))))</f>
        <v/>
      </c>
    </row>
    <row r="312">
      <c r="B312" s="18" t="n"/>
      <c r="C312" s="17">
        <f>IF($B312="","",TEXT($B312,"ddd"))</f>
        <v/>
      </c>
      <c r="D312" s="41" t="n"/>
      <c r="E312" s="41" t="n"/>
      <c r="F312" s="17">
        <f>IF(OR($B312="",$D312="",$E312=""),"",ROUND(MOD($E312-$D312,1)*24,2))</f>
        <v/>
      </c>
      <c r="G312" s="16" t="n"/>
      <c r="H312" s="17">
        <f>IF($G312="","",IFERROR(_xlfn.XLOOKUP($G312,nrCHname,nrCHnum),IFERROR(_xlfn.XLOOKUP($G312,nrSUBname,nrSUBparent),"")))</f>
        <v/>
      </c>
      <c r="I312" s="16" t="n"/>
      <c r="J312" s="16" t="n"/>
      <c r="K312" s="17">
        <f>IF($B312="","",IFERROR(_xlfn.XLOOKUP($B312,nrCDdate,nrCDweek),""))</f>
        <v/>
      </c>
      <c r="L312" s="17">
        <f>IF($B312="","",IFERROR(_xlfn.XLOOKUP($B312,nrCDdate,nrCDnum),""))</f>
        <v/>
      </c>
      <c r="M312" s="16" t="n"/>
      <c r="N312" s="17">
        <f>IF(OR($B312="",$I312=""),"",_xlfn.LET(_xlpm.a,$I312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12" s="17">
        <f>IF(OR($B312="",$D312="",$E312=""),"",IF($E312=$D312,"CHECK TIMES (start = end)",IF($F312&gt;12,"CHECK TIMES (End is before Start?)","OK")))</f>
        <v/>
      </c>
      <c r="P312" s="17">
        <f>IF(OR($B312="",$I312=""),"",IF(IFERROR(MATCH($G312,nrBankTopics,0),0)=0,"OK",IF(COUNTA(INDEX(nrBankGrid,IFERROR(MATCH($G312,nrBankTopics,0),1),0))=0,"OK",IF(SUMPRODUCT((nrInstrNames&lt;&gt;"")*ISNUMBER(SEARCH(nrInstrNames,$I312))*(COUNTIF(INDEX(nrBankGrid,IFERROR(MATCH($G312,nrBankTopics,0),1),0),nrInstrNames)&gt;0))&lt;SUMPRODUCT((nrInstrNames&lt;&gt;"")*ISNUMBER(SEARCH(nrInstrNames,$I312))),"NOT IN BANK","OK"))))</f>
        <v/>
      </c>
    </row>
    <row r="313">
      <c r="B313" s="18" t="n"/>
      <c r="C313" s="17">
        <f>IF($B313="","",TEXT($B313,"ddd"))</f>
        <v/>
      </c>
      <c r="D313" s="41" t="n"/>
      <c r="E313" s="41" t="n"/>
      <c r="F313" s="17">
        <f>IF(OR($B313="",$D313="",$E313=""),"",ROUND(MOD($E313-$D313,1)*24,2))</f>
        <v/>
      </c>
      <c r="G313" s="16" t="n"/>
      <c r="H313" s="17">
        <f>IF($G313="","",IFERROR(_xlfn.XLOOKUP($G313,nrCHname,nrCHnum),IFERROR(_xlfn.XLOOKUP($G313,nrSUBname,nrSUBparent),"")))</f>
        <v/>
      </c>
      <c r="I313" s="16" t="n"/>
      <c r="J313" s="16" t="n"/>
      <c r="K313" s="17">
        <f>IF($B313="","",IFERROR(_xlfn.XLOOKUP($B313,nrCDdate,nrCDweek),""))</f>
        <v/>
      </c>
      <c r="L313" s="17">
        <f>IF($B313="","",IFERROR(_xlfn.XLOOKUP($B313,nrCDdate,nrCDnum),""))</f>
        <v/>
      </c>
      <c r="M313" s="16" t="n"/>
      <c r="N313" s="17">
        <f>IF(OR($B313="",$I313=""),"",_xlfn.LET(_xlpm.a,$I313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13" s="17">
        <f>IF(OR($B313="",$D313="",$E313=""),"",IF($E313=$D313,"CHECK TIMES (start = end)",IF($F313&gt;12,"CHECK TIMES (End is before Start?)","OK")))</f>
        <v/>
      </c>
      <c r="P313" s="17">
        <f>IF(OR($B313="",$I313=""),"",IF(IFERROR(MATCH($G313,nrBankTopics,0),0)=0,"OK",IF(COUNTA(INDEX(nrBankGrid,IFERROR(MATCH($G313,nrBankTopics,0),1),0))=0,"OK",IF(SUMPRODUCT((nrInstrNames&lt;&gt;"")*ISNUMBER(SEARCH(nrInstrNames,$I313))*(COUNTIF(INDEX(nrBankGrid,IFERROR(MATCH($G313,nrBankTopics,0),1),0),nrInstrNames)&gt;0))&lt;SUMPRODUCT((nrInstrNames&lt;&gt;"")*ISNUMBER(SEARCH(nrInstrNames,$I313))),"NOT IN BANK","OK"))))</f>
        <v/>
      </c>
    </row>
    <row r="314">
      <c r="B314" s="18" t="n"/>
      <c r="C314" s="17">
        <f>IF($B314="","",TEXT($B314,"ddd"))</f>
        <v/>
      </c>
      <c r="D314" s="41" t="n"/>
      <c r="E314" s="41" t="n"/>
      <c r="F314" s="17">
        <f>IF(OR($B314="",$D314="",$E314=""),"",ROUND(MOD($E314-$D314,1)*24,2))</f>
        <v/>
      </c>
      <c r="G314" s="16" t="n"/>
      <c r="H314" s="17">
        <f>IF($G314="","",IFERROR(_xlfn.XLOOKUP($G314,nrCHname,nrCHnum),IFERROR(_xlfn.XLOOKUP($G314,nrSUBname,nrSUBparent),"")))</f>
        <v/>
      </c>
      <c r="I314" s="16" t="n"/>
      <c r="J314" s="16" t="n"/>
      <c r="K314" s="17">
        <f>IF($B314="","",IFERROR(_xlfn.XLOOKUP($B314,nrCDdate,nrCDweek),""))</f>
        <v/>
      </c>
      <c r="L314" s="17">
        <f>IF($B314="","",IFERROR(_xlfn.XLOOKUP($B314,nrCDdate,nrCDnum),""))</f>
        <v/>
      </c>
      <c r="M314" s="16" t="n"/>
      <c r="N314" s="17">
        <f>IF(OR($B314="",$I314=""),"",_xlfn.LET(_xlpm.a,$I314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14" s="17">
        <f>IF(OR($B314="",$D314="",$E314=""),"",IF($E314=$D314,"CHECK TIMES (start = end)",IF($F314&gt;12,"CHECK TIMES (End is before Start?)","OK")))</f>
        <v/>
      </c>
      <c r="P314" s="17">
        <f>IF(OR($B314="",$I314=""),"",IF(IFERROR(MATCH($G314,nrBankTopics,0),0)=0,"OK",IF(COUNTA(INDEX(nrBankGrid,IFERROR(MATCH($G314,nrBankTopics,0),1),0))=0,"OK",IF(SUMPRODUCT((nrInstrNames&lt;&gt;"")*ISNUMBER(SEARCH(nrInstrNames,$I314))*(COUNTIF(INDEX(nrBankGrid,IFERROR(MATCH($G314,nrBankTopics,0),1),0),nrInstrNames)&gt;0))&lt;SUMPRODUCT((nrInstrNames&lt;&gt;"")*ISNUMBER(SEARCH(nrInstrNames,$I314))),"NOT IN BANK","OK"))))</f>
        <v/>
      </c>
    </row>
    <row r="315">
      <c r="B315" s="18" t="n"/>
      <c r="C315" s="17">
        <f>IF($B315="","",TEXT($B315,"ddd"))</f>
        <v/>
      </c>
      <c r="D315" s="41" t="n"/>
      <c r="E315" s="41" t="n"/>
      <c r="F315" s="17">
        <f>IF(OR($B315="",$D315="",$E315=""),"",ROUND(MOD($E315-$D315,1)*24,2))</f>
        <v/>
      </c>
      <c r="G315" s="16" t="n"/>
      <c r="H315" s="17">
        <f>IF($G315="","",IFERROR(_xlfn.XLOOKUP($G315,nrCHname,nrCHnum),IFERROR(_xlfn.XLOOKUP($G315,nrSUBname,nrSUBparent),"")))</f>
        <v/>
      </c>
      <c r="I315" s="16" t="n"/>
      <c r="J315" s="16" t="n"/>
      <c r="K315" s="17">
        <f>IF($B315="","",IFERROR(_xlfn.XLOOKUP($B315,nrCDdate,nrCDweek),""))</f>
        <v/>
      </c>
      <c r="L315" s="17">
        <f>IF($B315="","",IFERROR(_xlfn.XLOOKUP($B315,nrCDdate,nrCDnum),""))</f>
        <v/>
      </c>
      <c r="M315" s="16" t="n"/>
      <c r="N315" s="17">
        <f>IF(OR($B315="",$I315=""),"",_xlfn.LET(_xlpm.a,$I315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15" s="17">
        <f>IF(OR($B315="",$D315="",$E315=""),"",IF($E315=$D315,"CHECK TIMES (start = end)",IF($F315&gt;12,"CHECK TIMES (End is before Start?)","OK")))</f>
        <v/>
      </c>
      <c r="P315" s="17">
        <f>IF(OR($B315="",$I315=""),"",IF(IFERROR(MATCH($G315,nrBankTopics,0),0)=0,"OK",IF(COUNTA(INDEX(nrBankGrid,IFERROR(MATCH($G315,nrBankTopics,0),1),0))=0,"OK",IF(SUMPRODUCT((nrInstrNames&lt;&gt;"")*ISNUMBER(SEARCH(nrInstrNames,$I315))*(COUNTIF(INDEX(nrBankGrid,IFERROR(MATCH($G315,nrBankTopics,0),1),0),nrInstrNames)&gt;0))&lt;SUMPRODUCT((nrInstrNames&lt;&gt;"")*ISNUMBER(SEARCH(nrInstrNames,$I315))),"NOT IN BANK","OK"))))</f>
        <v/>
      </c>
    </row>
    <row r="316">
      <c r="B316" s="18" t="n"/>
      <c r="C316" s="17">
        <f>IF($B316="","",TEXT($B316,"ddd"))</f>
        <v/>
      </c>
      <c r="D316" s="41" t="n"/>
      <c r="E316" s="41" t="n"/>
      <c r="F316" s="17">
        <f>IF(OR($B316="",$D316="",$E316=""),"",ROUND(MOD($E316-$D316,1)*24,2))</f>
        <v/>
      </c>
      <c r="G316" s="16" t="n"/>
      <c r="H316" s="17">
        <f>IF($G316="","",IFERROR(_xlfn.XLOOKUP($G316,nrCHname,nrCHnum),IFERROR(_xlfn.XLOOKUP($G316,nrSUBname,nrSUBparent),"")))</f>
        <v/>
      </c>
      <c r="I316" s="16" t="n"/>
      <c r="J316" s="16" t="n"/>
      <c r="K316" s="17">
        <f>IF($B316="","",IFERROR(_xlfn.XLOOKUP($B316,nrCDdate,nrCDweek),""))</f>
        <v/>
      </c>
      <c r="L316" s="17">
        <f>IF($B316="","",IFERROR(_xlfn.XLOOKUP($B316,nrCDdate,nrCDnum),""))</f>
        <v/>
      </c>
      <c r="M316" s="16" t="n"/>
      <c r="N316" s="17">
        <f>IF(OR($B316="",$I316=""),"",_xlfn.LET(_xlpm.a,$I316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16" s="17">
        <f>IF(OR($B316="",$D316="",$E316=""),"",IF($E316=$D316,"CHECK TIMES (start = end)",IF($F316&gt;12,"CHECK TIMES (End is before Start?)","OK")))</f>
        <v/>
      </c>
      <c r="P316" s="17">
        <f>IF(OR($B316="",$I316=""),"",IF(IFERROR(MATCH($G316,nrBankTopics,0),0)=0,"OK",IF(COUNTA(INDEX(nrBankGrid,IFERROR(MATCH($G316,nrBankTopics,0),1),0))=0,"OK",IF(SUMPRODUCT((nrInstrNames&lt;&gt;"")*ISNUMBER(SEARCH(nrInstrNames,$I316))*(COUNTIF(INDEX(nrBankGrid,IFERROR(MATCH($G316,nrBankTopics,0),1),0),nrInstrNames)&gt;0))&lt;SUMPRODUCT((nrInstrNames&lt;&gt;"")*ISNUMBER(SEARCH(nrInstrNames,$I316))),"NOT IN BANK","OK"))))</f>
        <v/>
      </c>
    </row>
    <row r="317">
      <c r="B317" s="18" t="n"/>
      <c r="C317" s="17">
        <f>IF($B317="","",TEXT($B317,"ddd"))</f>
        <v/>
      </c>
      <c r="D317" s="41" t="n"/>
      <c r="E317" s="41" t="n"/>
      <c r="F317" s="17">
        <f>IF(OR($B317="",$D317="",$E317=""),"",ROUND(MOD($E317-$D317,1)*24,2))</f>
        <v/>
      </c>
      <c r="G317" s="16" t="n"/>
      <c r="H317" s="17">
        <f>IF($G317="","",IFERROR(_xlfn.XLOOKUP($G317,nrCHname,nrCHnum),IFERROR(_xlfn.XLOOKUP($G317,nrSUBname,nrSUBparent),"")))</f>
        <v/>
      </c>
      <c r="I317" s="16" t="n"/>
      <c r="J317" s="16" t="n"/>
      <c r="K317" s="17">
        <f>IF($B317="","",IFERROR(_xlfn.XLOOKUP($B317,nrCDdate,nrCDweek),""))</f>
        <v/>
      </c>
      <c r="L317" s="17">
        <f>IF($B317="","",IFERROR(_xlfn.XLOOKUP($B317,nrCDdate,nrCDnum),""))</f>
        <v/>
      </c>
      <c r="M317" s="16" t="n"/>
      <c r="N317" s="17">
        <f>IF(OR($B317="",$I317=""),"",_xlfn.LET(_xlpm.a,$I317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17" s="17">
        <f>IF(OR($B317="",$D317="",$E317=""),"",IF($E317=$D317,"CHECK TIMES (start = end)",IF($F317&gt;12,"CHECK TIMES (End is before Start?)","OK")))</f>
        <v/>
      </c>
      <c r="P317" s="17">
        <f>IF(OR($B317="",$I317=""),"",IF(IFERROR(MATCH($G317,nrBankTopics,0),0)=0,"OK",IF(COUNTA(INDEX(nrBankGrid,IFERROR(MATCH($G317,nrBankTopics,0),1),0))=0,"OK",IF(SUMPRODUCT((nrInstrNames&lt;&gt;"")*ISNUMBER(SEARCH(nrInstrNames,$I317))*(COUNTIF(INDEX(nrBankGrid,IFERROR(MATCH($G317,nrBankTopics,0),1),0),nrInstrNames)&gt;0))&lt;SUMPRODUCT((nrInstrNames&lt;&gt;"")*ISNUMBER(SEARCH(nrInstrNames,$I317))),"NOT IN BANK","OK"))))</f>
        <v/>
      </c>
    </row>
    <row r="318">
      <c r="B318" s="18" t="n"/>
      <c r="C318" s="17">
        <f>IF($B318="","",TEXT($B318,"ddd"))</f>
        <v/>
      </c>
      <c r="D318" s="41" t="n"/>
      <c r="E318" s="41" t="n"/>
      <c r="F318" s="17">
        <f>IF(OR($B318="",$D318="",$E318=""),"",ROUND(MOD($E318-$D318,1)*24,2))</f>
        <v/>
      </c>
      <c r="G318" s="16" t="n"/>
      <c r="H318" s="17">
        <f>IF($G318="","",IFERROR(_xlfn.XLOOKUP($G318,nrCHname,nrCHnum),IFERROR(_xlfn.XLOOKUP($G318,nrSUBname,nrSUBparent),"")))</f>
        <v/>
      </c>
      <c r="I318" s="16" t="n"/>
      <c r="J318" s="16" t="n"/>
      <c r="K318" s="17">
        <f>IF($B318="","",IFERROR(_xlfn.XLOOKUP($B318,nrCDdate,nrCDweek),""))</f>
        <v/>
      </c>
      <c r="L318" s="17">
        <f>IF($B318="","",IFERROR(_xlfn.XLOOKUP($B318,nrCDdate,nrCDnum),""))</f>
        <v/>
      </c>
      <c r="M318" s="16" t="n"/>
      <c r="N318" s="17">
        <f>IF(OR($B318="",$I318=""),"",_xlfn.LET(_xlpm.a,$I318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18" s="17">
        <f>IF(OR($B318="",$D318="",$E318=""),"",IF($E318=$D318,"CHECK TIMES (start = end)",IF($F318&gt;12,"CHECK TIMES (End is before Start?)","OK")))</f>
        <v/>
      </c>
      <c r="P318" s="17">
        <f>IF(OR($B318="",$I318=""),"",IF(IFERROR(MATCH($G318,nrBankTopics,0),0)=0,"OK",IF(COUNTA(INDEX(nrBankGrid,IFERROR(MATCH($G318,nrBankTopics,0),1),0))=0,"OK",IF(SUMPRODUCT((nrInstrNames&lt;&gt;"")*ISNUMBER(SEARCH(nrInstrNames,$I318))*(COUNTIF(INDEX(nrBankGrid,IFERROR(MATCH($G318,nrBankTopics,0),1),0),nrInstrNames)&gt;0))&lt;SUMPRODUCT((nrInstrNames&lt;&gt;"")*ISNUMBER(SEARCH(nrInstrNames,$I318))),"NOT IN BANK","OK"))))</f>
        <v/>
      </c>
    </row>
    <row r="319">
      <c r="B319" s="18" t="n"/>
      <c r="C319" s="17">
        <f>IF($B319="","",TEXT($B319,"ddd"))</f>
        <v/>
      </c>
      <c r="D319" s="41" t="n"/>
      <c r="E319" s="41" t="n"/>
      <c r="F319" s="17">
        <f>IF(OR($B319="",$D319="",$E319=""),"",ROUND(MOD($E319-$D319,1)*24,2))</f>
        <v/>
      </c>
      <c r="G319" s="16" t="n"/>
      <c r="H319" s="17">
        <f>IF($G319="","",IFERROR(_xlfn.XLOOKUP($G319,nrCHname,nrCHnum),IFERROR(_xlfn.XLOOKUP($G319,nrSUBname,nrSUBparent),"")))</f>
        <v/>
      </c>
      <c r="I319" s="16" t="n"/>
      <c r="J319" s="16" t="n"/>
      <c r="K319" s="17">
        <f>IF($B319="","",IFERROR(_xlfn.XLOOKUP($B319,nrCDdate,nrCDweek),""))</f>
        <v/>
      </c>
      <c r="L319" s="17">
        <f>IF($B319="","",IFERROR(_xlfn.XLOOKUP($B319,nrCDdate,nrCDnum),""))</f>
        <v/>
      </c>
      <c r="M319" s="16" t="n"/>
      <c r="N319" s="17">
        <f>IF(OR($B319="",$I319=""),"",_xlfn.LET(_xlpm.a,$I319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19" s="17">
        <f>IF(OR($B319="",$D319="",$E319=""),"",IF($E319=$D319,"CHECK TIMES (start = end)",IF($F319&gt;12,"CHECK TIMES (End is before Start?)","OK")))</f>
        <v/>
      </c>
      <c r="P319" s="17">
        <f>IF(OR($B319="",$I319=""),"",IF(IFERROR(MATCH($G319,nrBankTopics,0),0)=0,"OK",IF(COUNTA(INDEX(nrBankGrid,IFERROR(MATCH($G319,nrBankTopics,0),1),0))=0,"OK",IF(SUMPRODUCT((nrInstrNames&lt;&gt;"")*ISNUMBER(SEARCH(nrInstrNames,$I319))*(COUNTIF(INDEX(nrBankGrid,IFERROR(MATCH($G319,nrBankTopics,0),1),0),nrInstrNames)&gt;0))&lt;SUMPRODUCT((nrInstrNames&lt;&gt;"")*ISNUMBER(SEARCH(nrInstrNames,$I319))),"NOT IN BANK","OK"))))</f>
        <v/>
      </c>
    </row>
    <row r="320">
      <c r="B320" s="18" t="n"/>
      <c r="C320" s="17">
        <f>IF($B320="","",TEXT($B320,"ddd"))</f>
        <v/>
      </c>
      <c r="D320" s="41" t="n"/>
      <c r="E320" s="41" t="n"/>
      <c r="F320" s="17">
        <f>IF(OR($B320="",$D320="",$E320=""),"",ROUND(MOD($E320-$D320,1)*24,2))</f>
        <v/>
      </c>
      <c r="G320" s="16" t="n"/>
      <c r="H320" s="17">
        <f>IF($G320="","",IFERROR(_xlfn.XLOOKUP($G320,nrCHname,nrCHnum),IFERROR(_xlfn.XLOOKUP($G320,nrSUBname,nrSUBparent),"")))</f>
        <v/>
      </c>
      <c r="I320" s="16" t="n"/>
      <c r="J320" s="16" t="n"/>
      <c r="K320" s="17">
        <f>IF($B320="","",IFERROR(_xlfn.XLOOKUP($B320,nrCDdate,nrCDweek),""))</f>
        <v/>
      </c>
      <c r="L320" s="17">
        <f>IF($B320="","",IFERROR(_xlfn.XLOOKUP($B320,nrCDdate,nrCDnum),""))</f>
        <v/>
      </c>
      <c r="M320" s="16" t="n"/>
      <c r="N320" s="17">
        <f>IF(OR($B320="",$I320=""),"",_xlfn.LET(_xlpm.a,$I320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20" s="17">
        <f>IF(OR($B320="",$D320="",$E320=""),"",IF($E320=$D320,"CHECK TIMES (start = end)",IF($F320&gt;12,"CHECK TIMES (End is before Start?)","OK")))</f>
        <v/>
      </c>
      <c r="P320" s="17">
        <f>IF(OR($B320="",$I320=""),"",IF(IFERROR(MATCH($G320,nrBankTopics,0),0)=0,"OK",IF(COUNTA(INDEX(nrBankGrid,IFERROR(MATCH($G320,nrBankTopics,0),1),0))=0,"OK",IF(SUMPRODUCT((nrInstrNames&lt;&gt;"")*ISNUMBER(SEARCH(nrInstrNames,$I320))*(COUNTIF(INDEX(nrBankGrid,IFERROR(MATCH($G320,nrBankTopics,0),1),0),nrInstrNames)&gt;0))&lt;SUMPRODUCT((nrInstrNames&lt;&gt;"")*ISNUMBER(SEARCH(nrInstrNames,$I320))),"NOT IN BANK","OK"))))</f>
        <v/>
      </c>
    </row>
    <row r="321">
      <c r="B321" s="18" t="n"/>
      <c r="C321" s="17">
        <f>IF($B321="","",TEXT($B321,"ddd"))</f>
        <v/>
      </c>
      <c r="D321" s="41" t="n"/>
      <c r="E321" s="41" t="n"/>
      <c r="F321" s="17">
        <f>IF(OR($B321="",$D321="",$E321=""),"",ROUND(MOD($E321-$D321,1)*24,2))</f>
        <v/>
      </c>
      <c r="G321" s="16" t="n"/>
      <c r="H321" s="17">
        <f>IF($G321="","",IFERROR(_xlfn.XLOOKUP($G321,nrCHname,nrCHnum),IFERROR(_xlfn.XLOOKUP($G321,nrSUBname,nrSUBparent),"")))</f>
        <v/>
      </c>
      <c r="I321" s="16" t="n"/>
      <c r="J321" s="16" t="n"/>
      <c r="K321" s="17">
        <f>IF($B321="","",IFERROR(_xlfn.XLOOKUP($B321,nrCDdate,nrCDweek),""))</f>
        <v/>
      </c>
      <c r="L321" s="17">
        <f>IF($B321="","",IFERROR(_xlfn.XLOOKUP($B321,nrCDdate,nrCDnum),""))</f>
        <v/>
      </c>
      <c r="M321" s="16" t="n"/>
      <c r="N321" s="17">
        <f>IF(OR($B321="",$I321=""),"",_xlfn.LET(_xlpm.a,$I321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21" s="17">
        <f>IF(OR($B321="",$D321="",$E321=""),"",IF($E321=$D321,"CHECK TIMES (start = end)",IF($F321&gt;12,"CHECK TIMES (End is before Start?)","OK")))</f>
        <v/>
      </c>
      <c r="P321" s="17">
        <f>IF(OR($B321="",$I321=""),"",IF(IFERROR(MATCH($G321,nrBankTopics,0),0)=0,"OK",IF(COUNTA(INDEX(nrBankGrid,IFERROR(MATCH($G321,nrBankTopics,0),1),0))=0,"OK",IF(SUMPRODUCT((nrInstrNames&lt;&gt;"")*ISNUMBER(SEARCH(nrInstrNames,$I321))*(COUNTIF(INDEX(nrBankGrid,IFERROR(MATCH($G321,nrBankTopics,0),1),0),nrInstrNames)&gt;0))&lt;SUMPRODUCT((nrInstrNames&lt;&gt;"")*ISNUMBER(SEARCH(nrInstrNames,$I321))),"NOT IN BANK","OK"))))</f>
        <v/>
      </c>
    </row>
    <row r="322">
      <c r="B322" s="18" t="n"/>
      <c r="C322" s="17">
        <f>IF($B322="","",TEXT($B322,"ddd"))</f>
        <v/>
      </c>
      <c r="D322" s="41" t="n"/>
      <c r="E322" s="41" t="n"/>
      <c r="F322" s="17">
        <f>IF(OR($B322="",$D322="",$E322=""),"",ROUND(MOD($E322-$D322,1)*24,2))</f>
        <v/>
      </c>
      <c r="G322" s="16" t="n"/>
      <c r="H322" s="17">
        <f>IF($G322="","",IFERROR(_xlfn.XLOOKUP($G322,nrCHname,nrCHnum),IFERROR(_xlfn.XLOOKUP($G322,nrSUBname,nrSUBparent),"")))</f>
        <v/>
      </c>
      <c r="I322" s="16" t="n"/>
      <c r="J322" s="16" t="n"/>
      <c r="K322" s="17">
        <f>IF($B322="","",IFERROR(_xlfn.XLOOKUP($B322,nrCDdate,nrCDweek),""))</f>
        <v/>
      </c>
      <c r="L322" s="17">
        <f>IF($B322="","",IFERROR(_xlfn.XLOOKUP($B322,nrCDdate,nrCDnum),""))</f>
        <v/>
      </c>
      <c r="M322" s="16" t="n"/>
      <c r="N322" s="17">
        <f>IF(OR($B322="",$I322=""),"",_xlfn.LET(_xlpm.a,$I322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22" s="17">
        <f>IF(OR($B322="",$D322="",$E322=""),"",IF($E322=$D322,"CHECK TIMES (start = end)",IF($F322&gt;12,"CHECK TIMES (End is before Start?)","OK")))</f>
        <v/>
      </c>
      <c r="P322" s="17">
        <f>IF(OR($B322="",$I322=""),"",IF(IFERROR(MATCH($G322,nrBankTopics,0),0)=0,"OK",IF(COUNTA(INDEX(nrBankGrid,IFERROR(MATCH($G322,nrBankTopics,0),1),0))=0,"OK",IF(SUMPRODUCT((nrInstrNames&lt;&gt;"")*ISNUMBER(SEARCH(nrInstrNames,$I322))*(COUNTIF(INDEX(nrBankGrid,IFERROR(MATCH($G322,nrBankTopics,0),1),0),nrInstrNames)&gt;0))&lt;SUMPRODUCT((nrInstrNames&lt;&gt;"")*ISNUMBER(SEARCH(nrInstrNames,$I322))),"NOT IN BANK","OK"))))</f>
        <v/>
      </c>
    </row>
    <row r="323">
      <c r="B323" s="18" t="n"/>
      <c r="C323" s="17">
        <f>IF($B323="","",TEXT($B323,"ddd"))</f>
        <v/>
      </c>
      <c r="D323" s="41" t="n"/>
      <c r="E323" s="41" t="n"/>
      <c r="F323" s="17">
        <f>IF(OR($B323="",$D323="",$E323=""),"",ROUND(MOD($E323-$D323,1)*24,2))</f>
        <v/>
      </c>
      <c r="G323" s="16" t="n"/>
      <c r="H323" s="17">
        <f>IF($G323="","",IFERROR(_xlfn.XLOOKUP($G323,nrCHname,nrCHnum),IFERROR(_xlfn.XLOOKUP($G323,nrSUBname,nrSUBparent),"")))</f>
        <v/>
      </c>
      <c r="I323" s="16" t="n"/>
      <c r="J323" s="16" t="n"/>
      <c r="K323" s="17">
        <f>IF($B323="","",IFERROR(_xlfn.XLOOKUP($B323,nrCDdate,nrCDweek),""))</f>
        <v/>
      </c>
      <c r="L323" s="17">
        <f>IF($B323="","",IFERROR(_xlfn.XLOOKUP($B323,nrCDdate,nrCDnum),""))</f>
        <v/>
      </c>
      <c r="M323" s="16" t="n"/>
      <c r="N323" s="17">
        <f>IF(OR($B323="",$I323=""),"",_xlfn.LET(_xlpm.a,$I323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23" s="17">
        <f>IF(OR($B323="",$D323="",$E323=""),"",IF($E323=$D323,"CHECK TIMES (start = end)",IF($F323&gt;12,"CHECK TIMES (End is before Start?)","OK")))</f>
        <v/>
      </c>
      <c r="P323" s="17">
        <f>IF(OR($B323="",$I323=""),"",IF(IFERROR(MATCH($G323,nrBankTopics,0),0)=0,"OK",IF(COUNTA(INDEX(nrBankGrid,IFERROR(MATCH($G323,nrBankTopics,0),1),0))=0,"OK",IF(SUMPRODUCT((nrInstrNames&lt;&gt;"")*ISNUMBER(SEARCH(nrInstrNames,$I323))*(COUNTIF(INDEX(nrBankGrid,IFERROR(MATCH($G323,nrBankTopics,0),1),0),nrInstrNames)&gt;0))&lt;SUMPRODUCT((nrInstrNames&lt;&gt;"")*ISNUMBER(SEARCH(nrInstrNames,$I323))),"NOT IN BANK","OK"))))</f>
        <v/>
      </c>
    </row>
    <row r="324">
      <c r="B324" s="18" t="n"/>
      <c r="C324" s="17">
        <f>IF($B324="","",TEXT($B324,"ddd"))</f>
        <v/>
      </c>
      <c r="D324" s="41" t="n"/>
      <c r="E324" s="41" t="n"/>
      <c r="F324" s="17">
        <f>IF(OR($B324="",$D324="",$E324=""),"",ROUND(MOD($E324-$D324,1)*24,2))</f>
        <v/>
      </c>
      <c r="G324" s="16" t="n"/>
      <c r="H324" s="17">
        <f>IF($G324="","",IFERROR(_xlfn.XLOOKUP($G324,nrCHname,nrCHnum),IFERROR(_xlfn.XLOOKUP($G324,nrSUBname,nrSUBparent),"")))</f>
        <v/>
      </c>
      <c r="I324" s="16" t="n"/>
      <c r="J324" s="16" t="n"/>
      <c r="K324" s="17">
        <f>IF($B324="","",IFERROR(_xlfn.XLOOKUP($B324,nrCDdate,nrCDweek),""))</f>
        <v/>
      </c>
      <c r="L324" s="17">
        <f>IF($B324="","",IFERROR(_xlfn.XLOOKUP($B324,nrCDdate,nrCDnum),""))</f>
        <v/>
      </c>
      <c r="M324" s="16" t="n"/>
      <c r="N324" s="17">
        <f>IF(OR($B324="",$I324=""),"",_xlfn.LET(_xlpm.a,$I324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24" s="17">
        <f>IF(OR($B324="",$D324="",$E324=""),"",IF($E324=$D324,"CHECK TIMES (start = end)",IF($F324&gt;12,"CHECK TIMES (End is before Start?)","OK")))</f>
        <v/>
      </c>
      <c r="P324" s="17">
        <f>IF(OR($B324="",$I324=""),"",IF(IFERROR(MATCH($G324,nrBankTopics,0),0)=0,"OK",IF(COUNTA(INDEX(nrBankGrid,IFERROR(MATCH($G324,nrBankTopics,0),1),0))=0,"OK",IF(SUMPRODUCT((nrInstrNames&lt;&gt;"")*ISNUMBER(SEARCH(nrInstrNames,$I324))*(COUNTIF(INDEX(nrBankGrid,IFERROR(MATCH($G324,nrBankTopics,0),1),0),nrInstrNames)&gt;0))&lt;SUMPRODUCT((nrInstrNames&lt;&gt;"")*ISNUMBER(SEARCH(nrInstrNames,$I324))),"NOT IN BANK","OK"))))</f>
        <v/>
      </c>
    </row>
    <row r="325">
      <c r="B325" s="18" t="n"/>
      <c r="C325" s="17">
        <f>IF($B325="","",TEXT($B325,"ddd"))</f>
        <v/>
      </c>
      <c r="D325" s="41" t="n"/>
      <c r="E325" s="41" t="n"/>
      <c r="F325" s="17">
        <f>IF(OR($B325="",$D325="",$E325=""),"",ROUND(MOD($E325-$D325,1)*24,2))</f>
        <v/>
      </c>
      <c r="G325" s="16" t="n"/>
      <c r="H325" s="17">
        <f>IF($G325="","",IFERROR(_xlfn.XLOOKUP($G325,nrCHname,nrCHnum),IFERROR(_xlfn.XLOOKUP($G325,nrSUBname,nrSUBparent),"")))</f>
        <v/>
      </c>
      <c r="I325" s="16" t="n"/>
      <c r="J325" s="16" t="n"/>
      <c r="K325" s="17">
        <f>IF($B325="","",IFERROR(_xlfn.XLOOKUP($B325,nrCDdate,nrCDweek),""))</f>
        <v/>
      </c>
      <c r="L325" s="17">
        <f>IF($B325="","",IFERROR(_xlfn.XLOOKUP($B325,nrCDdate,nrCDnum),""))</f>
        <v/>
      </c>
      <c r="M325" s="16" t="n"/>
      <c r="N325" s="17">
        <f>IF(OR($B325="",$I325=""),"",_xlfn.LET(_xlpm.a,$I325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25" s="17">
        <f>IF(OR($B325="",$D325="",$E325=""),"",IF($E325=$D325,"CHECK TIMES (start = end)",IF($F325&gt;12,"CHECK TIMES (End is before Start?)","OK")))</f>
        <v/>
      </c>
      <c r="P325" s="17">
        <f>IF(OR($B325="",$I325=""),"",IF(IFERROR(MATCH($G325,nrBankTopics,0),0)=0,"OK",IF(COUNTA(INDEX(nrBankGrid,IFERROR(MATCH($G325,nrBankTopics,0),1),0))=0,"OK",IF(SUMPRODUCT((nrInstrNames&lt;&gt;"")*ISNUMBER(SEARCH(nrInstrNames,$I325))*(COUNTIF(INDEX(nrBankGrid,IFERROR(MATCH($G325,nrBankTopics,0),1),0),nrInstrNames)&gt;0))&lt;SUMPRODUCT((nrInstrNames&lt;&gt;"")*ISNUMBER(SEARCH(nrInstrNames,$I325))),"NOT IN BANK","OK"))))</f>
        <v/>
      </c>
    </row>
    <row r="326">
      <c r="B326" s="18" t="n"/>
      <c r="C326" s="17">
        <f>IF($B326="","",TEXT($B326,"ddd"))</f>
        <v/>
      </c>
      <c r="D326" s="41" t="n"/>
      <c r="E326" s="41" t="n"/>
      <c r="F326" s="17">
        <f>IF(OR($B326="",$D326="",$E326=""),"",ROUND(MOD($E326-$D326,1)*24,2))</f>
        <v/>
      </c>
      <c r="G326" s="16" t="n"/>
      <c r="H326" s="17">
        <f>IF($G326="","",IFERROR(_xlfn.XLOOKUP($G326,nrCHname,nrCHnum),IFERROR(_xlfn.XLOOKUP($G326,nrSUBname,nrSUBparent),"")))</f>
        <v/>
      </c>
      <c r="I326" s="16" t="n"/>
      <c r="J326" s="16" t="n"/>
      <c r="K326" s="17">
        <f>IF($B326="","",IFERROR(_xlfn.XLOOKUP($B326,nrCDdate,nrCDweek),""))</f>
        <v/>
      </c>
      <c r="L326" s="17">
        <f>IF($B326="","",IFERROR(_xlfn.XLOOKUP($B326,nrCDdate,nrCDnum),""))</f>
        <v/>
      </c>
      <c r="M326" s="16" t="n"/>
      <c r="N326" s="17">
        <f>IF(OR($B326="",$I326=""),"",_xlfn.LET(_xlpm.a,$I326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26" s="17">
        <f>IF(OR($B326="",$D326="",$E326=""),"",IF($E326=$D326,"CHECK TIMES (start = end)",IF($F326&gt;12,"CHECK TIMES (End is before Start?)","OK")))</f>
        <v/>
      </c>
      <c r="P326" s="17">
        <f>IF(OR($B326="",$I326=""),"",IF(IFERROR(MATCH($G326,nrBankTopics,0),0)=0,"OK",IF(COUNTA(INDEX(nrBankGrid,IFERROR(MATCH($G326,nrBankTopics,0),1),0))=0,"OK",IF(SUMPRODUCT((nrInstrNames&lt;&gt;"")*ISNUMBER(SEARCH(nrInstrNames,$I326))*(COUNTIF(INDEX(nrBankGrid,IFERROR(MATCH($G326,nrBankTopics,0),1),0),nrInstrNames)&gt;0))&lt;SUMPRODUCT((nrInstrNames&lt;&gt;"")*ISNUMBER(SEARCH(nrInstrNames,$I326))),"NOT IN BANK","OK"))))</f>
        <v/>
      </c>
    </row>
    <row r="327">
      <c r="B327" s="18" t="n"/>
      <c r="C327" s="17">
        <f>IF($B327="","",TEXT($B327,"ddd"))</f>
        <v/>
      </c>
      <c r="D327" s="41" t="n"/>
      <c r="E327" s="41" t="n"/>
      <c r="F327" s="17">
        <f>IF(OR($B327="",$D327="",$E327=""),"",ROUND(MOD($E327-$D327,1)*24,2))</f>
        <v/>
      </c>
      <c r="G327" s="16" t="n"/>
      <c r="H327" s="17">
        <f>IF($G327="","",IFERROR(_xlfn.XLOOKUP($G327,nrCHname,nrCHnum),IFERROR(_xlfn.XLOOKUP($G327,nrSUBname,nrSUBparent),"")))</f>
        <v/>
      </c>
      <c r="I327" s="16" t="n"/>
      <c r="J327" s="16" t="n"/>
      <c r="K327" s="17">
        <f>IF($B327="","",IFERROR(_xlfn.XLOOKUP($B327,nrCDdate,nrCDweek),""))</f>
        <v/>
      </c>
      <c r="L327" s="17">
        <f>IF($B327="","",IFERROR(_xlfn.XLOOKUP($B327,nrCDdate,nrCDnum),""))</f>
        <v/>
      </c>
      <c r="M327" s="16" t="n"/>
      <c r="N327" s="17">
        <f>IF(OR($B327="",$I327=""),"",_xlfn.LET(_xlpm.a,$I327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27" s="17">
        <f>IF(OR($B327="",$D327="",$E327=""),"",IF($E327=$D327,"CHECK TIMES (start = end)",IF($F327&gt;12,"CHECK TIMES (End is before Start?)","OK")))</f>
        <v/>
      </c>
      <c r="P327" s="17">
        <f>IF(OR($B327="",$I327=""),"",IF(IFERROR(MATCH($G327,nrBankTopics,0),0)=0,"OK",IF(COUNTA(INDEX(nrBankGrid,IFERROR(MATCH($G327,nrBankTopics,0),1),0))=0,"OK",IF(SUMPRODUCT((nrInstrNames&lt;&gt;"")*ISNUMBER(SEARCH(nrInstrNames,$I327))*(COUNTIF(INDEX(nrBankGrid,IFERROR(MATCH($G327,nrBankTopics,0),1),0),nrInstrNames)&gt;0))&lt;SUMPRODUCT((nrInstrNames&lt;&gt;"")*ISNUMBER(SEARCH(nrInstrNames,$I327))),"NOT IN BANK","OK"))))</f>
        <v/>
      </c>
    </row>
    <row r="328">
      <c r="B328" s="18" t="n"/>
      <c r="C328" s="17">
        <f>IF($B328="","",TEXT($B328,"ddd"))</f>
        <v/>
      </c>
      <c r="D328" s="41" t="n"/>
      <c r="E328" s="41" t="n"/>
      <c r="F328" s="17">
        <f>IF(OR($B328="",$D328="",$E328=""),"",ROUND(MOD($E328-$D328,1)*24,2))</f>
        <v/>
      </c>
      <c r="G328" s="16" t="n"/>
      <c r="H328" s="17">
        <f>IF($G328="","",IFERROR(_xlfn.XLOOKUP($G328,nrCHname,nrCHnum),IFERROR(_xlfn.XLOOKUP($G328,nrSUBname,nrSUBparent),"")))</f>
        <v/>
      </c>
      <c r="I328" s="16" t="n"/>
      <c r="J328" s="16" t="n"/>
      <c r="K328" s="17">
        <f>IF($B328="","",IFERROR(_xlfn.XLOOKUP($B328,nrCDdate,nrCDweek),""))</f>
        <v/>
      </c>
      <c r="L328" s="17">
        <f>IF($B328="","",IFERROR(_xlfn.XLOOKUP($B328,nrCDdate,nrCDnum),""))</f>
        <v/>
      </c>
      <c r="M328" s="16" t="n"/>
      <c r="N328" s="17">
        <f>IF(OR($B328="",$I328=""),"",_xlfn.LET(_xlpm.a,$I328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28" s="17">
        <f>IF(OR($B328="",$D328="",$E328=""),"",IF($E328=$D328,"CHECK TIMES (start = end)",IF($F328&gt;12,"CHECK TIMES (End is before Start?)","OK")))</f>
        <v/>
      </c>
      <c r="P328" s="17">
        <f>IF(OR($B328="",$I328=""),"",IF(IFERROR(MATCH($G328,nrBankTopics,0),0)=0,"OK",IF(COUNTA(INDEX(nrBankGrid,IFERROR(MATCH($G328,nrBankTopics,0),1),0))=0,"OK",IF(SUMPRODUCT((nrInstrNames&lt;&gt;"")*ISNUMBER(SEARCH(nrInstrNames,$I328))*(COUNTIF(INDEX(nrBankGrid,IFERROR(MATCH($G328,nrBankTopics,0),1),0),nrInstrNames)&gt;0))&lt;SUMPRODUCT((nrInstrNames&lt;&gt;"")*ISNUMBER(SEARCH(nrInstrNames,$I328))),"NOT IN BANK","OK"))))</f>
        <v/>
      </c>
    </row>
    <row r="329">
      <c r="B329" s="18" t="n"/>
      <c r="C329" s="17">
        <f>IF($B329="","",TEXT($B329,"ddd"))</f>
        <v/>
      </c>
      <c r="D329" s="41" t="n"/>
      <c r="E329" s="41" t="n"/>
      <c r="F329" s="17">
        <f>IF(OR($B329="",$D329="",$E329=""),"",ROUND(MOD($E329-$D329,1)*24,2))</f>
        <v/>
      </c>
      <c r="G329" s="16" t="n"/>
      <c r="H329" s="17">
        <f>IF($G329="","",IFERROR(_xlfn.XLOOKUP($G329,nrCHname,nrCHnum),IFERROR(_xlfn.XLOOKUP($G329,nrSUBname,nrSUBparent),"")))</f>
        <v/>
      </c>
      <c r="I329" s="16" t="n"/>
      <c r="J329" s="16" t="n"/>
      <c r="K329" s="17">
        <f>IF($B329="","",IFERROR(_xlfn.XLOOKUP($B329,nrCDdate,nrCDweek),""))</f>
        <v/>
      </c>
      <c r="L329" s="17">
        <f>IF($B329="","",IFERROR(_xlfn.XLOOKUP($B329,nrCDdate,nrCDnum),""))</f>
        <v/>
      </c>
      <c r="M329" s="16" t="n"/>
      <c r="N329" s="17">
        <f>IF(OR($B329="",$I329=""),"",_xlfn.LET(_xlpm.a,$I329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29" s="17">
        <f>IF(OR($B329="",$D329="",$E329=""),"",IF($E329=$D329,"CHECK TIMES (start = end)",IF($F329&gt;12,"CHECK TIMES (End is before Start?)","OK")))</f>
        <v/>
      </c>
      <c r="P329" s="17">
        <f>IF(OR($B329="",$I329=""),"",IF(IFERROR(MATCH($G329,nrBankTopics,0),0)=0,"OK",IF(COUNTA(INDEX(nrBankGrid,IFERROR(MATCH($G329,nrBankTopics,0),1),0))=0,"OK",IF(SUMPRODUCT((nrInstrNames&lt;&gt;"")*ISNUMBER(SEARCH(nrInstrNames,$I329))*(COUNTIF(INDEX(nrBankGrid,IFERROR(MATCH($G329,nrBankTopics,0),1),0),nrInstrNames)&gt;0))&lt;SUMPRODUCT((nrInstrNames&lt;&gt;"")*ISNUMBER(SEARCH(nrInstrNames,$I329))),"NOT IN BANK","OK"))))</f>
        <v/>
      </c>
    </row>
    <row r="330">
      <c r="B330" s="18" t="n"/>
      <c r="C330" s="17">
        <f>IF($B330="","",TEXT($B330,"ddd"))</f>
        <v/>
      </c>
      <c r="D330" s="41" t="n"/>
      <c r="E330" s="41" t="n"/>
      <c r="F330" s="17">
        <f>IF(OR($B330="",$D330="",$E330=""),"",ROUND(MOD($E330-$D330,1)*24,2))</f>
        <v/>
      </c>
      <c r="G330" s="16" t="n"/>
      <c r="H330" s="17">
        <f>IF($G330="","",IFERROR(_xlfn.XLOOKUP($G330,nrCHname,nrCHnum),IFERROR(_xlfn.XLOOKUP($G330,nrSUBname,nrSUBparent),"")))</f>
        <v/>
      </c>
      <c r="I330" s="16" t="n"/>
      <c r="J330" s="16" t="n"/>
      <c r="K330" s="17">
        <f>IF($B330="","",IFERROR(_xlfn.XLOOKUP($B330,nrCDdate,nrCDweek),""))</f>
        <v/>
      </c>
      <c r="L330" s="17">
        <f>IF($B330="","",IFERROR(_xlfn.XLOOKUP($B330,nrCDdate,nrCDnum),""))</f>
        <v/>
      </c>
      <c r="M330" s="16" t="n"/>
      <c r="N330" s="17">
        <f>IF(OR($B330="",$I330=""),"",_xlfn.LET(_xlpm.a,$I330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30" s="17">
        <f>IF(OR($B330="",$D330="",$E330=""),"",IF($E330=$D330,"CHECK TIMES (start = end)",IF($F330&gt;12,"CHECK TIMES (End is before Start?)","OK")))</f>
        <v/>
      </c>
      <c r="P330" s="17">
        <f>IF(OR($B330="",$I330=""),"",IF(IFERROR(MATCH($G330,nrBankTopics,0),0)=0,"OK",IF(COUNTA(INDEX(nrBankGrid,IFERROR(MATCH($G330,nrBankTopics,0),1),0))=0,"OK",IF(SUMPRODUCT((nrInstrNames&lt;&gt;"")*ISNUMBER(SEARCH(nrInstrNames,$I330))*(COUNTIF(INDEX(nrBankGrid,IFERROR(MATCH($G330,nrBankTopics,0),1),0),nrInstrNames)&gt;0))&lt;SUMPRODUCT((nrInstrNames&lt;&gt;"")*ISNUMBER(SEARCH(nrInstrNames,$I330))),"NOT IN BANK","OK"))))</f>
        <v/>
      </c>
    </row>
    <row r="331">
      <c r="B331" s="18" t="n"/>
      <c r="C331" s="17">
        <f>IF($B331="","",TEXT($B331,"ddd"))</f>
        <v/>
      </c>
      <c r="D331" s="41" t="n"/>
      <c r="E331" s="41" t="n"/>
      <c r="F331" s="17">
        <f>IF(OR($B331="",$D331="",$E331=""),"",ROUND(MOD($E331-$D331,1)*24,2))</f>
        <v/>
      </c>
      <c r="G331" s="16" t="n"/>
      <c r="H331" s="17">
        <f>IF($G331="","",IFERROR(_xlfn.XLOOKUP($G331,nrCHname,nrCHnum),IFERROR(_xlfn.XLOOKUP($G331,nrSUBname,nrSUBparent),"")))</f>
        <v/>
      </c>
      <c r="I331" s="16" t="n"/>
      <c r="J331" s="16" t="n"/>
      <c r="K331" s="17">
        <f>IF($B331="","",IFERROR(_xlfn.XLOOKUP($B331,nrCDdate,nrCDweek),""))</f>
        <v/>
      </c>
      <c r="L331" s="17">
        <f>IF($B331="","",IFERROR(_xlfn.XLOOKUP($B331,nrCDdate,nrCDnum),""))</f>
        <v/>
      </c>
      <c r="M331" s="16" t="n"/>
      <c r="N331" s="17">
        <f>IF(OR($B331="",$I331=""),"",_xlfn.LET(_xlpm.a,$I331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31" s="17">
        <f>IF(OR($B331="",$D331="",$E331=""),"",IF($E331=$D331,"CHECK TIMES (start = end)",IF($F331&gt;12,"CHECK TIMES (End is before Start?)","OK")))</f>
        <v/>
      </c>
      <c r="P331" s="17">
        <f>IF(OR($B331="",$I331=""),"",IF(IFERROR(MATCH($G331,nrBankTopics,0),0)=0,"OK",IF(COUNTA(INDEX(nrBankGrid,IFERROR(MATCH($G331,nrBankTopics,0),1),0))=0,"OK",IF(SUMPRODUCT((nrInstrNames&lt;&gt;"")*ISNUMBER(SEARCH(nrInstrNames,$I331))*(COUNTIF(INDEX(nrBankGrid,IFERROR(MATCH($G331,nrBankTopics,0),1),0),nrInstrNames)&gt;0))&lt;SUMPRODUCT((nrInstrNames&lt;&gt;"")*ISNUMBER(SEARCH(nrInstrNames,$I331))),"NOT IN BANK","OK"))))</f>
        <v/>
      </c>
    </row>
    <row r="332">
      <c r="B332" s="18" t="n"/>
      <c r="C332" s="17">
        <f>IF($B332="","",TEXT($B332,"ddd"))</f>
        <v/>
      </c>
      <c r="D332" s="41" t="n"/>
      <c r="E332" s="41" t="n"/>
      <c r="F332" s="17">
        <f>IF(OR($B332="",$D332="",$E332=""),"",ROUND(MOD($E332-$D332,1)*24,2))</f>
        <v/>
      </c>
      <c r="G332" s="16" t="n"/>
      <c r="H332" s="17">
        <f>IF($G332="","",IFERROR(_xlfn.XLOOKUP($G332,nrCHname,nrCHnum),IFERROR(_xlfn.XLOOKUP($G332,nrSUBname,nrSUBparent),"")))</f>
        <v/>
      </c>
      <c r="I332" s="16" t="n"/>
      <c r="J332" s="16" t="n"/>
      <c r="K332" s="17">
        <f>IF($B332="","",IFERROR(_xlfn.XLOOKUP($B332,nrCDdate,nrCDweek),""))</f>
        <v/>
      </c>
      <c r="L332" s="17">
        <f>IF($B332="","",IFERROR(_xlfn.XLOOKUP($B332,nrCDdate,nrCDnum),""))</f>
        <v/>
      </c>
      <c r="M332" s="16" t="n"/>
      <c r="N332" s="17">
        <f>IF(OR($B332="",$I332=""),"",_xlfn.LET(_xlpm.a,$I332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32" s="17">
        <f>IF(OR($B332="",$D332="",$E332=""),"",IF($E332=$D332,"CHECK TIMES (start = end)",IF($F332&gt;12,"CHECK TIMES (End is before Start?)","OK")))</f>
        <v/>
      </c>
      <c r="P332" s="17">
        <f>IF(OR($B332="",$I332=""),"",IF(IFERROR(MATCH($G332,nrBankTopics,0),0)=0,"OK",IF(COUNTA(INDEX(nrBankGrid,IFERROR(MATCH($G332,nrBankTopics,0),1),0))=0,"OK",IF(SUMPRODUCT((nrInstrNames&lt;&gt;"")*ISNUMBER(SEARCH(nrInstrNames,$I332))*(COUNTIF(INDEX(nrBankGrid,IFERROR(MATCH($G332,nrBankTopics,0),1),0),nrInstrNames)&gt;0))&lt;SUMPRODUCT((nrInstrNames&lt;&gt;"")*ISNUMBER(SEARCH(nrInstrNames,$I332))),"NOT IN BANK","OK"))))</f>
        <v/>
      </c>
    </row>
    <row r="333">
      <c r="B333" s="18" t="n"/>
      <c r="C333" s="17">
        <f>IF($B333="","",TEXT($B333,"ddd"))</f>
        <v/>
      </c>
      <c r="D333" s="41" t="n"/>
      <c r="E333" s="41" t="n"/>
      <c r="F333" s="17">
        <f>IF(OR($B333="",$D333="",$E333=""),"",ROUND(MOD($E333-$D333,1)*24,2))</f>
        <v/>
      </c>
      <c r="G333" s="16" t="n"/>
      <c r="H333" s="17">
        <f>IF($G333="","",IFERROR(_xlfn.XLOOKUP($G333,nrCHname,nrCHnum),IFERROR(_xlfn.XLOOKUP($G333,nrSUBname,nrSUBparent),"")))</f>
        <v/>
      </c>
      <c r="I333" s="16" t="n"/>
      <c r="J333" s="16" t="n"/>
      <c r="K333" s="17">
        <f>IF($B333="","",IFERROR(_xlfn.XLOOKUP($B333,nrCDdate,nrCDweek),""))</f>
        <v/>
      </c>
      <c r="L333" s="17">
        <f>IF($B333="","",IFERROR(_xlfn.XLOOKUP($B333,nrCDdate,nrCDnum),""))</f>
        <v/>
      </c>
      <c r="M333" s="16" t="n"/>
      <c r="N333" s="17">
        <f>IF(OR($B333="",$I333=""),"",_xlfn.LET(_xlpm.a,$I333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33" s="17">
        <f>IF(OR($B333="",$D333="",$E333=""),"",IF($E333=$D333,"CHECK TIMES (start = end)",IF($F333&gt;12,"CHECK TIMES (End is before Start?)","OK")))</f>
        <v/>
      </c>
      <c r="P333" s="17">
        <f>IF(OR($B333="",$I333=""),"",IF(IFERROR(MATCH($G333,nrBankTopics,0),0)=0,"OK",IF(COUNTA(INDEX(nrBankGrid,IFERROR(MATCH($G333,nrBankTopics,0),1),0))=0,"OK",IF(SUMPRODUCT((nrInstrNames&lt;&gt;"")*ISNUMBER(SEARCH(nrInstrNames,$I333))*(COUNTIF(INDEX(nrBankGrid,IFERROR(MATCH($G333,nrBankTopics,0),1),0),nrInstrNames)&gt;0))&lt;SUMPRODUCT((nrInstrNames&lt;&gt;"")*ISNUMBER(SEARCH(nrInstrNames,$I333))),"NOT IN BANK","OK"))))</f>
        <v/>
      </c>
    </row>
    <row r="334">
      <c r="B334" s="18" t="n"/>
      <c r="C334" s="17">
        <f>IF($B334="","",TEXT($B334,"ddd"))</f>
        <v/>
      </c>
      <c r="D334" s="41" t="n"/>
      <c r="E334" s="41" t="n"/>
      <c r="F334" s="17">
        <f>IF(OR($B334="",$D334="",$E334=""),"",ROUND(MOD($E334-$D334,1)*24,2))</f>
        <v/>
      </c>
      <c r="G334" s="16" t="n"/>
      <c r="H334" s="17">
        <f>IF($G334="","",IFERROR(_xlfn.XLOOKUP($G334,nrCHname,nrCHnum),IFERROR(_xlfn.XLOOKUP($G334,nrSUBname,nrSUBparent),"")))</f>
        <v/>
      </c>
      <c r="I334" s="16" t="n"/>
      <c r="J334" s="16" t="n"/>
      <c r="K334" s="17">
        <f>IF($B334="","",IFERROR(_xlfn.XLOOKUP($B334,nrCDdate,nrCDweek),""))</f>
        <v/>
      </c>
      <c r="L334" s="17">
        <f>IF($B334="","",IFERROR(_xlfn.XLOOKUP($B334,nrCDdate,nrCDnum),""))</f>
        <v/>
      </c>
      <c r="M334" s="16" t="n"/>
      <c r="N334" s="17">
        <f>IF(OR($B334="",$I334=""),"",_xlfn.LET(_xlpm.a,$I334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34" s="17">
        <f>IF(OR($B334="",$D334="",$E334=""),"",IF($E334=$D334,"CHECK TIMES (start = end)",IF($F334&gt;12,"CHECK TIMES (End is before Start?)","OK")))</f>
        <v/>
      </c>
      <c r="P334" s="17">
        <f>IF(OR($B334="",$I334=""),"",IF(IFERROR(MATCH($G334,nrBankTopics,0),0)=0,"OK",IF(COUNTA(INDEX(nrBankGrid,IFERROR(MATCH($G334,nrBankTopics,0),1),0))=0,"OK",IF(SUMPRODUCT((nrInstrNames&lt;&gt;"")*ISNUMBER(SEARCH(nrInstrNames,$I334))*(COUNTIF(INDEX(nrBankGrid,IFERROR(MATCH($G334,nrBankTopics,0),1),0),nrInstrNames)&gt;0))&lt;SUMPRODUCT((nrInstrNames&lt;&gt;"")*ISNUMBER(SEARCH(nrInstrNames,$I334))),"NOT IN BANK","OK"))))</f>
        <v/>
      </c>
    </row>
    <row r="335">
      <c r="B335" s="18" t="n"/>
      <c r="C335" s="17">
        <f>IF($B335="","",TEXT($B335,"ddd"))</f>
        <v/>
      </c>
      <c r="D335" s="41" t="n"/>
      <c r="E335" s="41" t="n"/>
      <c r="F335" s="17">
        <f>IF(OR($B335="",$D335="",$E335=""),"",ROUND(MOD($E335-$D335,1)*24,2))</f>
        <v/>
      </c>
      <c r="G335" s="16" t="n"/>
      <c r="H335" s="17">
        <f>IF($G335="","",IFERROR(_xlfn.XLOOKUP($G335,nrCHname,nrCHnum),IFERROR(_xlfn.XLOOKUP($G335,nrSUBname,nrSUBparent),"")))</f>
        <v/>
      </c>
      <c r="I335" s="16" t="n"/>
      <c r="J335" s="16" t="n"/>
      <c r="K335" s="17">
        <f>IF($B335="","",IFERROR(_xlfn.XLOOKUP($B335,nrCDdate,nrCDweek),""))</f>
        <v/>
      </c>
      <c r="L335" s="17">
        <f>IF($B335="","",IFERROR(_xlfn.XLOOKUP($B335,nrCDdate,nrCDnum),""))</f>
        <v/>
      </c>
      <c r="M335" s="16" t="n"/>
      <c r="N335" s="17">
        <f>IF(OR($B335="",$I335=""),"",_xlfn.LET(_xlpm.a,$I335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35" s="17">
        <f>IF(OR($B335="",$D335="",$E335=""),"",IF($E335=$D335,"CHECK TIMES (start = end)",IF($F335&gt;12,"CHECK TIMES (End is before Start?)","OK")))</f>
        <v/>
      </c>
      <c r="P335" s="17">
        <f>IF(OR($B335="",$I335=""),"",IF(IFERROR(MATCH($G335,nrBankTopics,0),0)=0,"OK",IF(COUNTA(INDEX(nrBankGrid,IFERROR(MATCH($G335,nrBankTopics,0),1),0))=0,"OK",IF(SUMPRODUCT((nrInstrNames&lt;&gt;"")*ISNUMBER(SEARCH(nrInstrNames,$I335))*(COUNTIF(INDEX(nrBankGrid,IFERROR(MATCH($G335,nrBankTopics,0),1),0),nrInstrNames)&gt;0))&lt;SUMPRODUCT((nrInstrNames&lt;&gt;"")*ISNUMBER(SEARCH(nrInstrNames,$I335))),"NOT IN BANK","OK"))))</f>
        <v/>
      </c>
    </row>
    <row r="336">
      <c r="B336" s="18" t="n"/>
      <c r="C336" s="17">
        <f>IF($B336="","",TEXT($B336,"ddd"))</f>
        <v/>
      </c>
      <c r="D336" s="41" t="n"/>
      <c r="E336" s="41" t="n"/>
      <c r="F336" s="17">
        <f>IF(OR($B336="",$D336="",$E336=""),"",ROUND(MOD($E336-$D336,1)*24,2))</f>
        <v/>
      </c>
      <c r="G336" s="16" t="n"/>
      <c r="H336" s="17">
        <f>IF($G336="","",IFERROR(_xlfn.XLOOKUP($G336,nrCHname,nrCHnum),IFERROR(_xlfn.XLOOKUP($G336,nrSUBname,nrSUBparent),"")))</f>
        <v/>
      </c>
      <c r="I336" s="16" t="n"/>
      <c r="J336" s="16" t="n"/>
      <c r="K336" s="17">
        <f>IF($B336="","",IFERROR(_xlfn.XLOOKUP($B336,nrCDdate,nrCDweek),""))</f>
        <v/>
      </c>
      <c r="L336" s="17">
        <f>IF($B336="","",IFERROR(_xlfn.XLOOKUP($B336,nrCDdate,nrCDnum),""))</f>
        <v/>
      </c>
      <c r="M336" s="16" t="n"/>
      <c r="N336" s="17">
        <f>IF(OR($B336="",$I336=""),"",_xlfn.LET(_xlpm.a,$I336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36" s="17">
        <f>IF(OR($B336="",$D336="",$E336=""),"",IF($E336=$D336,"CHECK TIMES (start = end)",IF($F336&gt;12,"CHECK TIMES (End is before Start?)","OK")))</f>
        <v/>
      </c>
      <c r="P336" s="17">
        <f>IF(OR($B336="",$I336=""),"",IF(IFERROR(MATCH($G336,nrBankTopics,0),0)=0,"OK",IF(COUNTA(INDEX(nrBankGrid,IFERROR(MATCH($G336,nrBankTopics,0),1),0))=0,"OK",IF(SUMPRODUCT((nrInstrNames&lt;&gt;"")*ISNUMBER(SEARCH(nrInstrNames,$I336))*(COUNTIF(INDEX(nrBankGrid,IFERROR(MATCH($G336,nrBankTopics,0),1),0),nrInstrNames)&gt;0))&lt;SUMPRODUCT((nrInstrNames&lt;&gt;"")*ISNUMBER(SEARCH(nrInstrNames,$I336))),"NOT IN BANK","OK"))))</f>
        <v/>
      </c>
    </row>
    <row r="337">
      <c r="B337" s="18" t="n"/>
      <c r="C337" s="17">
        <f>IF($B337="","",TEXT($B337,"ddd"))</f>
        <v/>
      </c>
      <c r="D337" s="41" t="n"/>
      <c r="E337" s="41" t="n"/>
      <c r="F337" s="17">
        <f>IF(OR($B337="",$D337="",$E337=""),"",ROUND(MOD($E337-$D337,1)*24,2))</f>
        <v/>
      </c>
      <c r="G337" s="16" t="n"/>
      <c r="H337" s="17">
        <f>IF($G337="","",IFERROR(_xlfn.XLOOKUP($G337,nrCHname,nrCHnum),IFERROR(_xlfn.XLOOKUP($G337,nrSUBname,nrSUBparent),"")))</f>
        <v/>
      </c>
      <c r="I337" s="16" t="n"/>
      <c r="J337" s="16" t="n"/>
      <c r="K337" s="17">
        <f>IF($B337="","",IFERROR(_xlfn.XLOOKUP($B337,nrCDdate,nrCDweek),""))</f>
        <v/>
      </c>
      <c r="L337" s="17">
        <f>IF($B337="","",IFERROR(_xlfn.XLOOKUP($B337,nrCDdate,nrCDnum),""))</f>
        <v/>
      </c>
      <c r="M337" s="16" t="n"/>
      <c r="N337" s="17">
        <f>IF(OR($B337="",$I337=""),"",_xlfn.LET(_xlpm.a,$I337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37" s="17">
        <f>IF(OR($B337="",$D337="",$E337=""),"",IF($E337=$D337,"CHECK TIMES (start = end)",IF($F337&gt;12,"CHECK TIMES (End is before Start?)","OK")))</f>
        <v/>
      </c>
      <c r="P337" s="17">
        <f>IF(OR($B337="",$I337=""),"",IF(IFERROR(MATCH($G337,nrBankTopics,0),0)=0,"OK",IF(COUNTA(INDEX(nrBankGrid,IFERROR(MATCH($G337,nrBankTopics,0),1),0))=0,"OK",IF(SUMPRODUCT((nrInstrNames&lt;&gt;"")*ISNUMBER(SEARCH(nrInstrNames,$I337))*(COUNTIF(INDEX(nrBankGrid,IFERROR(MATCH($G337,nrBankTopics,0),1),0),nrInstrNames)&gt;0))&lt;SUMPRODUCT((nrInstrNames&lt;&gt;"")*ISNUMBER(SEARCH(nrInstrNames,$I337))),"NOT IN BANK","OK"))))</f>
        <v/>
      </c>
    </row>
    <row r="338">
      <c r="B338" s="18" t="n"/>
      <c r="C338" s="17">
        <f>IF($B338="","",TEXT($B338,"ddd"))</f>
        <v/>
      </c>
      <c r="D338" s="41" t="n"/>
      <c r="E338" s="41" t="n"/>
      <c r="F338" s="17">
        <f>IF(OR($B338="",$D338="",$E338=""),"",ROUND(MOD($E338-$D338,1)*24,2))</f>
        <v/>
      </c>
      <c r="G338" s="16" t="n"/>
      <c r="H338" s="17">
        <f>IF($G338="","",IFERROR(_xlfn.XLOOKUP($G338,nrCHname,nrCHnum),IFERROR(_xlfn.XLOOKUP($G338,nrSUBname,nrSUBparent),"")))</f>
        <v/>
      </c>
      <c r="I338" s="16" t="n"/>
      <c r="J338" s="16" t="n"/>
      <c r="K338" s="17">
        <f>IF($B338="","",IFERROR(_xlfn.XLOOKUP($B338,nrCDdate,nrCDweek),""))</f>
        <v/>
      </c>
      <c r="L338" s="17">
        <f>IF($B338="","",IFERROR(_xlfn.XLOOKUP($B338,nrCDdate,nrCDnum),""))</f>
        <v/>
      </c>
      <c r="M338" s="16" t="n"/>
      <c r="N338" s="17">
        <f>IF(OR($B338="",$I338=""),"",_xlfn.LET(_xlpm.a,$I338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38" s="17">
        <f>IF(OR($B338="",$D338="",$E338=""),"",IF($E338=$D338,"CHECK TIMES (start = end)",IF($F338&gt;12,"CHECK TIMES (End is before Start?)","OK")))</f>
        <v/>
      </c>
      <c r="P338" s="17">
        <f>IF(OR($B338="",$I338=""),"",IF(IFERROR(MATCH($G338,nrBankTopics,0),0)=0,"OK",IF(COUNTA(INDEX(nrBankGrid,IFERROR(MATCH($G338,nrBankTopics,0),1),0))=0,"OK",IF(SUMPRODUCT((nrInstrNames&lt;&gt;"")*ISNUMBER(SEARCH(nrInstrNames,$I338))*(COUNTIF(INDEX(nrBankGrid,IFERROR(MATCH($G338,nrBankTopics,0),1),0),nrInstrNames)&gt;0))&lt;SUMPRODUCT((nrInstrNames&lt;&gt;"")*ISNUMBER(SEARCH(nrInstrNames,$I338))),"NOT IN BANK","OK"))))</f>
        <v/>
      </c>
    </row>
    <row r="339">
      <c r="B339" s="18" t="n"/>
      <c r="C339" s="17">
        <f>IF($B339="","",TEXT($B339,"ddd"))</f>
        <v/>
      </c>
      <c r="D339" s="41" t="n"/>
      <c r="E339" s="41" t="n"/>
      <c r="F339" s="17">
        <f>IF(OR($B339="",$D339="",$E339=""),"",ROUND(MOD($E339-$D339,1)*24,2))</f>
        <v/>
      </c>
      <c r="G339" s="16" t="n"/>
      <c r="H339" s="17">
        <f>IF($G339="","",IFERROR(_xlfn.XLOOKUP($G339,nrCHname,nrCHnum),IFERROR(_xlfn.XLOOKUP($G339,nrSUBname,nrSUBparent),"")))</f>
        <v/>
      </c>
      <c r="I339" s="16" t="n"/>
      <c r="J339" s="16" t="n"/>
      <c r="K339" s="17">
        <f>IF($B339="","",IFERROR(_xlfn.XLOOKUP($B339,nrCDdate,nrCDweek),""))</f>
        <v/>
      </c>
      <c r="L339" s="17">
        <f>IF($B339="","",IFERROR(_xlfn.XLOOKUP($B339,nrCDdate,nrCDnum),""))</f>
        <v/>
      </c>
      <c r="M339" s="16" t="n"/>
      <c r="N339" s="17">
        <f>IF(OR($B339="",$I339=""),"",_xlfn.LET(_xlpm.a,$I339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39" s="17">
        <f>IF(OR($B339="",$D339="",$E339=""),"",IF($E339=$D339,"CHECK TIMES (start = end)",IF($F339&gt;12,"CHECK TIMES (End is before Start?)","OK")))</f>
        <v/>
      </c>
      <c r="P339" s="17">
        <f>IF(OR($B339="",$I339=""),"",IF(IFERROR(MATCH($G339,nrBankTopics,0),0)=0,"OK",IF(COUNTA(INDEX(nrBankGrid,IFERROR(MATCH($G339,nrBankTopics,0),1),0))=0,"OK",IF(SUMPRODUCT((nrInstrNames&lt;&gt;"")*ISNUMBER(SEARCH(nrInstrNames,$I339))*(COUNTIF(INDEX(nrBankGrid,IFERROR(MATCH($G339,nrBankTopics,0),1),0),nrInstrNames)&gt;0))&lt;SUMPRODUCT((nrInstrNames&lt;&gt;"")*ISNUMBER(SEARCH(nrInstrNames,$I339))),"NOT IN BANK","OK"))))</f>
        <v/>
      </c>
    </row>
    <row r="340">
      <c r="B340" s="18" t="n"/>
      <c r="C340" s="17">
        <f>IF($B340="","",TEXT($B340,"ddd"))</f>
        <v/>
      </c>
      <c r="D340" s="41" t="n"/>
      <c r="E340" s="41" t="n"/>
      <c r="F340" s="17">
        <f>IF(OR($B340="",$D340="",$E340=""),"",ROUND(MOD($E340-$D340,1)*24,2))</f>
        <v/>
      </c>
      <c r="G340" s="16" t="n"/>
      <c r="H340" s="17">
        <f>IF($G340="","",IFERROR(_xlfn.XLOOKUP($G340,nrCHname,nrCHnum),IFERROR(_xlfn.XLOOKUP($G340,nrSUBname,nrSUBparent),"")))</f>
        <v/>
      </c>
      <c r="I340" s="16" t="n"/>
      <c r="J340" s="16" t="n"/>
      <c r="K340" s="17">
        <f>IF($B340="","",IFERROR(_xlfn.XLOOKUP($B340,nrCDdate,nrCDweek),""))</f>
        <v/>
      </c>
      <c r="L340" s="17">
        <f>IF($B340="","",IFERROR(_xlfn.XLOOKUP($B340,nrCDdate,nrCDnum),""))</f>
        <v/>
      </c>
      <c r="M340" s="16" t="n"/>
      <c r="N340" s="17">
        <f>IF(OR($B340="",$I340=""),"",_xlfn.LET(_xlpm.a,$I340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40" s="17">
        <f>IF(OR($B340="",$D340="",$E340=""),"",IF($E340=$D340,"CHECK TIMES (start = end)",IF($F340&gt;12,"CHECK TIMES (End is before Start?)","OK")))</f>
        <v/>
      </c>
      <c r="P340" s="17">
        <f>IF(OR($B340="",$I340=""),"",IF(IFERROR(MATCH($G340,nrBankTopics,0),0)=0,"OK",IF(COUNTA(INDEX(nrBankGrid,IFERROR(MATCH($G340,nrBankTopics,0),1),0))=0,"OK",IF(SUMPRODUCT((nrInstrNames&lt;&gt;"")*ISNUMBER(SEARCH(nrInstrNames,$I340))*(COUNTIF(INDEX(nrBankGrid,IFERROR(MATCH($G340,nrBankTopics,0),1),0),nrInstrNames)&gt;0))&lt;SUMPRODUCT((nrInstrNames&lt;&gt;"")*ISNUMBER(SEARCH(nrInstrNames,$I340))),"NOT IN BANK","OK"))))</f>
        <v/>
      </c>
    </row>
    <row r="341">
      <c r="B341" s="18" t="n"/>
      <c r="C341" s="17">
        <f>IF($B341="","",TEXT($B341,"ddd"))</f>
        <v/>
      </c>
      <c r="D341" s="41" t="n"/>
      <c r="E341" s="41" t="n"/>
      <c r="F341" s="17">
        <f>IF(OR($B341="",$D341="",$E341=""),"",ROUND(MOD($E341-$D341,1)*24,2))</f>
        <v/>
      </c>
      <c r="G341" s="16" t="n"/>
      <c r="H341" s="17">
        <f>IF($G341="","",IFERROR(_xlfn.XLOOKUP($G341,nrCHname,nrCHnum),IFERROR(_xlfn.XLOOKUP($G341,nrSUBname,nrSUBparent),"")))</f>
        <v/>
      </c>
      <c r="I341" s="16" t="n"/>
      <c r="J341" s="16" t="n"/>
      <c r="K341" s="17">
        <f>IF($B341="","",IFERROR(_xlfn.XLOOKUP($B341,nrCDdate,nrCDweek),""))</f>
        <v/>
      </c>
      <c r="L341" s="17">
        <f>IF($B341="","",IFERROR(_xlfn.XLOOKUP($B341,nrCDdate,nrCDnum),""))</f>
        <v/>
      </c>
      <c r="M341" s="16" t="n"/>
      <c r="N341" s="17">
        <f>IF(OR($B341="",$I341=""),"",_xlfn.LET(_xlpm.a,$I341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41" s="17">
        <f>IF(OR($B341="",$D341="",$E341=""),"",IF($E341=$D341,"CHECK TIMES (start = end)",IF($F341&gt;12,"CHECK TIMES (End is before Start?)","OK")))</f>
        <v/>
      </c>
      <c r="P341" s="17">
        <f>IF(OR($B341="",$I341=""),"",IF(IFERROR(MATCH($G341,nrBankTopics,0),0)=0,"OK",IF(COUNTA(INDEX(nrBankGrid,IFERROR(MATCH($G341,nrBankTopics,0),1),0))=0,"OK",IF(SUMPRODUCT((nrInstrNames&lt;&gt;"")*ISNUMBER(SEARCH(nrInstrNames,$I341))*(COUNTIF(INDEX(nrBankGrid,IFERROR(MATCH($G341,nrBankTopics,0),1),0),nrInstrNames)&gt;0))&lt;SUMPRODUCT((nrInstrNames&lt;&gt;"")*ISNUMBER(SEARCH(nrInstrNames,$I341))),"NOT IN BANK","OK"))))</f>
        <v/>
      </c>
    </row>
    <row r="342">
      <c r="B342" s="18" t="n"/>
      <c r="C342" s="17">
        <f>IF($B342="","",TEXT($B342,"ddd"))</f>
        <v/>
      </c>
      <c r="D342" s="41" t="n"/>
      <c r="E342" s="41" t="n"/>
      <c r="F342" s="17">
        <f>IF(OR($B342="",$D342="",$E342=""),"",ROUND(MOD($E342-$D342,1)*24,2))</f>
        <v/>
      </c>
      <c r="G342" s="16" t="n"/>
      <c r="H342" s="17">
        <f>IF($G342="","",IFERROR(_xlfn.XLOOKUP($G342,nrCHname,nrCHnum),IFERROR(_xlfn.XLOOKUP($G342,nrSUBname,nrSUBparent),"")))</f>
        <v/>
      </c>
      <c r="I342" s="16" t="n"/>
      <c r="J342" s="16" t="n"/>
      <c r="K342" s="17">
        <f>IF($B342="","",IFERROR(_xlfn.XLOOKUP($B342,nrCDdate,nrCDweek),""))</f>
        <v/>
      </c>
      <c r="L342" s="17">
        <f>IF($B342="","",IFERROR(_xlfn.XLOOKUP($B342,nrCDdate,nrCDnum),""))</f>
        <v/>
      </c>
      <c r="M342" s="16" t="n"/>
      <c r="N342" s="17">
        <f>IF(OR($B342="",$I342=""),"",_xlfn.LET(_xlpm.a,$I342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42" s="17">
        <f>IF(OR($B342="",$D342="",$E342=""),"",IF($E342=$D342,"CHECK TIMES (start = end)",IF($F342&gt;12,"CHECK TIMES (End is before Start?)","OK")))</f>
        <v/>
      </c>
      <c r="P342" s="17">
        <f>IF(OR($B342="",$I342=""),"",IF(IFERROR(MATCH($G342,nrBankTopics,0),0)=0,"OK",IF(COUNTA(INDEX(nrBankGrid,IFERROR(MATCH($G342,nrBankTopics,0),1),0))=0,"OK",IF(SUMPRODUCT((nrInstrNames&lt;&gt;"")*ISNUMBER(SEARCH(nrInstrNames,$I342))*(COUNTIF(INDEX(nrBankGrid,IFERROR(MATCH($G342,nrBankTopics,0),1),0),nrInstrNames)&gt;0))&lt;SUMPRODUCT((nrInstrNames&lt;&gt;"")*ISNUMBER(SEARCH(nrInstrNames,$I342))),"NOT IN BANK","OK"))))</f>
        <v/>
      </c>
    </row>
    <row r="343">
      <c r="B343" s="18" t="n"/>
      <c r="C343" s="17">
        <f>IF($B343="","",TEXT($B343,"ddd"))</f>
        <v/>
      </c>
      <c r="D343" s="41" t="n"/>
      <c r="E343" s="41" t="n"/>
      <c r="F343" s="17">
        <f>IF(OR($B343="",$D343="",$E343=""),"",ROUND(MOD($E343-$D343,1)*24,2))</f>
        <v/>
      </c>
      <c r="G343" s="16" t="n"/>
      <c r="H343" s="17">
        <f>IF($G343="","",IFERROR(_xlfn.XLOOKUP($G343,nrCHname,nrCHnum),IFERROR(_xlfn.XLOOKUP($G343,nrSUBname,nrSUBparent),"")))</f>
        <v/>
      </c>
      <c r="I343" s="16" t="n"/>
      <c r="J343" s="16" t="n"/>
      <c r="K343" s="17">
        <f>IF($B343="","",IFERROR(_xlfn.XLOOKUP($B343,nrCDdate,nrCDweek),""))</f>
        <v/>
      </c>
      <c r="L343" s="17">
        <f>IF($B343="","",IFERROR(_xlfn.XLOOKUP($B343,nrCDdate,nrCDnum),""))</f>
        <v/>
      </c>
      <c r="M343" s="16" t="n"/>
      <c r="N343" s="17">
        <f>IF(OR($B343="",$I343=""),"",_xlfn.LET(_xlpm.a,$I343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43" s="17">
        <f>IF(OR($B343="",$D343="",$E343=""),"",IF($E343=$D343,"CHECK TIMES (start = end)",IF($F343&gt;12,"CHECK TIMES (End is before Start?)","OK")))</f>
        <v/>
      </c>
      <c r="P343" s="17">
        <f>IF(OR($B343="",$I343=""),"",IF(IFERROR(MATCH($G343,nrBankTopics,0),0)=0,"OK",IF(COUNTA(INDEX(nrBankGrid,IFERROR(MATCH($G343,nrBankTopics,0),1),0))=0,"OK",IF(SUMPRODUCT((nrInstrNames&lt;&gt;"")*ISNUMBER(SEARCH(nrInstrNames,$I343))*(COUNTIF(INDEX(nrBankGrid,IFERROR(MATCH($G343,nrBankTopics,0),1),0),nrInstrNames)&gt;0))&lt;SUMPRODUCT((nrInstrNames&lt;&gt;"")*ISNUMBER(SEARCH(nrInstrNames,$I343))),"NOT IN BANK","OK"))))</f>
        <v/>
      </c>
    </row>
    <row r="344">
      <c r="B344" s="18" t="n"/>
      <c r="C344" s="17">
        <f>IF($B344="","",TEXT($B344,"ddd"))</f>
        <v/>
      </c>
      <c r="D344" s="41" t="n"/>
      <c r="E344" s="41" t="n"/>
      <c r="F344" s="17">
        <f>IF(OR($B344="",$D344="",$E344=""),"",ROUND(MOD($E344-$D344,1)*24,2))</f>
        <v/>
      </c>
      <c r="G344" s="16" t="n"/>
      <c r="H344" s="17">
        <f>IF($G344="","",IFERROR(_xlfn.XLOOKUP($G344,nrCHname,nrCHnum),IFERROR(_xlfn.XLOOKUP($G344,nrSUBname,nrSUBparent),"")))</f>
        <v/>
      </c>
      <c r="I344" s="16" t="n"/>
      <c r="J344" s="16" t="n"/>
      <c r="K344" s="17">
        <f>IF($B344="","",IFERROR(_xlfn.XLOOKUP($B344,nrCDdate,nrCDweek),""))</f>
        <v/>
      </c>
      <c r="L344" s="17">
        <f>IF($B344="","",IFERROR(_xlfn.XLOOKUP($B344,nrCDdate,nrCDnum),""))</f>
        <v/>
      </c>
      <c r="M344" s="16" t="n"/>
      <c r="N344" s="17">
        <f>IF(OR($B344="",$I344=""),"",_xlfn.LET(_xlpm.a,$I344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44" s="17">
        <f>IF(OR($B344="",$D344="",$E344=""),"",IF($E344=$D344,"CHECK TIMES (start = end)",IF($F344&gt;12,"CHECK TIMES (End is before Start?)","OK")))</f>
        <v/>
      </c>
      <c r="P344" s="17">
        <f>IF(OR($B344="",$I344=""),"",IF(IFERROR(MATCH($G344,nrBankTopics,0),0)=0,"OK",IF(COUNTA(INDEX(nrBankGrid,IFERROR(MATCH($G344,nrBankTopics,0),1),0))=0,"OK",IF(SUMPRODUCT((nrInstrNames&lt;&gt;"")*ISNUMBER(SEARCH(nrInstrNames,$I344))*(COUNTIF(INDEX(nrBankGrid,IFERROR(MATCH($G344,nrBankTopics,0),1),0),nrInstrNames)&gt;0))&lt;SUMPRODUCT((nrInstrNames&lt;&gt;"")*ISNUMBER(SEARCH(nrInstrNames,$I344))),"NOT IN BANK","OK"))))</f>
        <v/>
      </c>
    </row>
    <row r="345">
      <c r="B345" s="18" t="n"/>
      <c r="C345" s="17">
        <f>IF($B345="","",TEXT($B345,"ddd"))</f>
        <v/>
      </c>
      <c r="D345" s="41" t="n"/>
      <c r="E345" s="41" t="n"/>
      <c r="F345" s="17">
        <f>IF(OR($B345="",$D345="",$E345=""),"",ROUND(MOD($E345-$D345,1)*24,2))</f>
        <v/>
      </c>
      <c r="G345" s="16" t="n"/>
      <c r="H345" s="17">
        <f>IF($G345="","",IFERROR(_xlfn.XLOOKUP($G345,nrCHname,nrCHnum),IFERROR(_xlfn.XLOOKUP($G345,nrSUBname,nrSUBparent),"")))</f>
        <v/>
      </c>
      <c r="I345" s="16" t="n"/>
      <c r="J345" s="16" t="n"/>
      <c r="K345" s="17">
        <f>IF($B345="","",IFERROR(_xlfn.XLOOKUP($B345,nrCDdate,nrCDweek),""))</f>
        <v/>
      </c>
      <c r="L345" s="17">
        <f>IF($B345="","",IFERROR(_xlfn.XLOOKUP($B345,nrCDdate,nrCDnum),""))</f>
        <v/>
      </c>
      <c r="M345" s="16" t="n"/>
      <c r="N345" s="17">
        <f>IF(OR($B345="",$I345=""),"",_xlfn.LET(_xlpm.a,$I345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45" s="17">
        <f>IF(OR($B345="",$D345="",$E345=""),"",IF($E345=$D345,"CHECK TIMES (start = end)",IF($F345&gt;12,"CHECK TIMES (End is before Start?)","OK")))</f>
        <v/>
      </c>
      <c r="P345" s="17">
        <f>IF(OR($B345="",$I345=""),"",IF(IFERROR(MATCH($G345,nrBankTopics,0),0)=0,"OK",IF(COUNTA(INDEX(nrBankGrid,IFERROR(MATCH($G345,nrBankTopics,0),1),0))=0,"OK",IF(SUMPRODUCT((nrInstrNames&lt;&gt;"")*ISNUMBER(SEARCH(nrInstrNames,$I345))*(COUNTIF(INDEX(nrBankGrid,IFERROR(MATCH($G345,nrBankTopics,0),1),0),nrInstrNames)&gt;0))&lt;SUMPRODUCT((nrInstrNames&lt;&gt;"")*ISNUMBER(SEARCH(nrInstrNames,$I345))),"NOT IN BANK","OK"))))</f>
        <v/>
      </c>
    </row>
    <row r="346">
      <c r="B346" s="18" t="n"/>
      <c r="C346" s="17">
        <f>IF($B346="","",TEXT($B346,"ddd"))</f>
        <v/>
      </c>
      <c r="D346" s="41" t="n"/>
      <c r="E346" s="41" t="n"/>
      <c r="F346" s="17">
        <f>IF(OR($B346="",$D346="",$E346=""),"",ROUND(MOD($E346-$D346,1)*24,2))</f>
        <v/>
      </c>
      <c r="G346" s="16" t="n"/>
      <c r="H346" s="17">
        <f>IF($G346="","",IFERROR(_xlfn.XLOOKUP($G346,nrCHname,nrCHnum),IFERROR(_xlfn.XLOOKUP($G346,nrSUBname,nrSUBparent),"")))</f>
        <v/>
      </c>
      <c r="I346" s="16" t="n"/>
      <c r="J346" s="16" t="n"/>
      <c r="K346" s="17">
        <f>IF($B346="","",IFERROR(_xlfn.XLOOKUP($B346,nrCDdate,nrCDweek),""))</f>
        <v/>
      </c>
      <c r="L346" s="17">
        <f>IF($B346="","",IFERROR(_xlfn.XLOOKUP($B346,nrCDdate,nrCDnum),""))</f>
        <v/>
      </c>
      <c r="M346" s="16" t="n"/>
      <c r="N346" s="17">
        <f>IF(OR($B346="",$I346=""),"",_xlfn.LET(_xlpm.a,$I346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46" s="17">
        <f>IF(OR($B346="",$D346="",$E346=""),"",IF($E346=$D346,"CHECK TIMES (start = end)",IF($F346&gt;12,"CHECK TIMES (End is before Start?)","OK")))</f>
        <v/>
      </c>
      <c r="P346" s="17">
        <f>IF(OR($B346="",$I346=""),"",IF(IFERROR(MATCH($G346,nrBankTopics,0),0)=0,"OK",IF(COUNTA(INDEX(nrBankGrid,IFERROR(MATCH($G346,nrBankTopics,0),1),0))=0,"OK",IF(SUMPRODUCT((nrInstrNames&lt;&gt;"")*ISNUMBER(SEARCH(nrInstrNames,$I346))*(COUNTIF(INDEX(nrBankGrid,IFERROR(MATCH($G346,nrBankTopics,0),1),0),nrInstrNames)&gt;0))&lt;SUMPRODUCT((nrInstrNames&lt;&gt;"")*ISNUMBER(SEARCH(nrInstrNames,$I346))),"NOT IN BANK","OK"))))</f>
        <v/>
      </c>
    </row>
    <row r="347">
      <c r="B347" s="18" t="n"/>
      <c r="C347" s="17">
        <f>IF($B347="","",TEXT($B347,"ddd"))</f>
        <v/>
      </c>
      <c r="D347" s="41" t="n"/>
      <c r="E347" s="41" t="n"/>
      <c r="F347" s="17">
        <f>IF(OR($B347="",$D347="",$E347=""),"",ROUND(MOD($E347-$D347,1)*24,2))</f>
        <v/>
      </c>
      <c r="G347" s="16" t="n"/>
      <c r="H347" s="17">
        <f>IF($G347="","",IFERROR(_xlfn.XLOOKUP($G347,nrCHname,nrCHnum),IFERROR(_xlfn.XLOOKUP($G347,nrSUBname,nrSUBparent),"")))</f>
        <v/>
      </c>
      <c r="I347" s="16" t="n"/>
      <c r="J347" s="16" t="n"/>
      <c r="K347" s="17">
        <f>IF($B347="","",IFERROR(_xlfn.XLOOKUP($B347,nrCDdate,nrCDweek),""))</f>
        <v/>
      </c>
      <c r="L347" s="17">
        <f>IF($B347="","",IFERROR(_xlfn.XLOOKUP($B347,nrCDdate,nrCDnum),""))</f>
        <v/>
      </c>
      <c r="M347" s="16" t="n"/>
      <c r="N347" s="17">
        <f>IF(OR($B347="",$I347=""),"",_xlfn.LET(_xlpm.a,$I347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47" s="17">
        <f>IF(OR($B347="",$D347="",$E347=""),"",IF($E347=$D347,"CHECK TIMES (start = end)",IF($F347&gt;12,"CHECK TIMES (End is before Start?)","OK")))</f>
        <v/>
      </c>
      <c r="P347" s="17">
        <f>IF(OR($B347="",$I347=""),"",IF(IFERROR(MATCH($G347,nrBankTopics,0),0)=0,"OK",IF(COUNTA(INDEX(nrBankGrid,IFERROR(MATCH($G347,nrBankTopics,0),1),0))=0,"OK",IF(SUMPRODUCT((nrInstrNames&lt;&gt;"")*ISNUMBER(SEARCH(nrInstrNames,$I347))*(COUNTIF(INDEX(nrBankGrid,IFERROR(MATCH($G347,nrBankTopics,0),1),0),nrInstrNames)&gt;0))&lt;SUMPRODUCT((nrInstrNames&lt;&gt;"")*ISNUMBER(SEARCH(nrInstrNames,$I347))),"NOT IN BANK","OK"))))</f>
        <v/>
      </c>
    </row>
    <row r="348">
      <c r="B348" s="18" t="n"/>
      <c r="C348" s="17">
        <f>IF($B348="","",TEXT($B348,"ddd"))</f>
        <v/>
      </c>
      <c r="D348" s="41" t="n"/>
      <c r="E348" s="41" t="n"/>
      <c r="F348" s="17">
        <f>IF(OR($B348="",$D348="",$E348=""),"",ROUND(MOD($E348-$D348,1)*24,2))</f>
        <v/>
      </c>
      <c r="G348" s="16" t="n"/>
      <c r="H348" s="17">
        <f>IF($G348="","",IFERROR(_xlfn.XLOOKUP($G348,nrCHname,nrCHnum),IFERROR(_xlfn.XLOOKUP($G348,nrSUBname,nrSUBparent),"")))</f>
        <v/>
      </c>
      <c r="I348" s="16" t="n"/>
      <c r="J348" s="16" t="n"/>
      <c r="K348" s="17">
        <f>IF($B348="","",IFERROR(_xlfn.XLOOKUP($B348,nrCDdate,nrCDweek),""))</f>
        <v/>
      </c>
      <c r="L348" s="17">
        <f>IF($B348="","",IFERROR(_xlfn.XLOOKUP($B348,nrCDdate,nrCDnum),""))</f>
        <v/>
      </c>
      <c r="M348" s="16" t="n"/>
      <c r="N348" s="17">
        <f>IF(OR($B348="",$I348=""),"",_xlfn.LET(_xlpm.a,$I348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48" s="17">
        <f>IF(OR($B348="",$D348="",$E348=""),"",IF($E348=$D348,"CHECK TIMES (start = end)",IF($F348&gt;12,"CHECK TIMES (End is before Start?)","OK")))</f>
        <v/>
      </c>
      <c r="P348" s="17">
        <f>IF(OR($B348="",$I348=""),"",IF(IFERROR(MATCH($G348,nrBankTopics,0),0)=0,"OK",IF(COUNTA(INDEX(nrBankGrid,IFERROR(MATCH($G348,nrBankTopics,0),1),0))=0,"OK",IF(SUMPRODUCT((nrInstrNames&lt;&gt;"")*ISNUMBER(SEARCH(nrInstrNames,$I348))*(COUNTIF(INDEX(nrBankGrid,IFERROR(MATCH($G348,nrBankTopics,0),1),0),nrInstrNames)&gt;0))&lt;SUMPRODUCT((nrInstrNames&lt;&gt;"")*ISNUMBER(SEARCH(nrInstrNames,$I348))),"NOT IN BANK","OK"))))</f>
        <v/>
      </c>
    </row>
    <row r="349">
      <c r="B349" s="18" t="n"/>
      <c r="C349" s="17">
        <f>IF($B349="","",TEXT($B349,"ddd"))</f>
        <v/>
      </c>
      <c r="D349" s="41" t="n"/>
      <c r="E349" s="41" t="n"/>
      <c r="F349" s="17">
        <f>IF(OR($B349="",$D349="",$E349=""),"",ROUND(MOD($E349-$D349,1)*24,2))</f>
        <v/>
      </c>
      <c r="G349" s="16" t="n"/>
      <c r="H349" s="17">
        <f>IF($G349="","",IFERROR(_xlfn.XLOOKUP($G349,nrCHname,nrCHnum),IFERROR(_xlfn.XLOOKUP($G349,nrSUBname,nrSUBparent),"")))</f>
        <v/>
      </c>
      <c r="I349" s="16" t="n"/>
      <c r="J349" s="16" t="n"/>
      <c r="K349" s="17">
        <f>IF($B349="","",IFERROR(_xlfn.XLOOKUP($B349,nrCDdate,nrCDweek),""))</f>
        <v/>
      </c>
      <c r="L349" s="17">
        <f>IF($B349="","",IFERROR(_xlfn.XLOOKUP($B349,nrCDdate,nrCDnum),""))</f>
        <v/>
      </c>
      <c r="M349" s="16" t="n"/>
      <c r="N349" s="17">
        <f>IF(OR($B349="",$I349=""),"",_xlfn.LET(_xlpm.a,$I349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49" s="17">
        <f>IF(OR($B349="",$D349="",$E349=""),"",IF($E349=$D349,"CHECK TIMES (start = end)",IF($F349&gt;12,"CHECK TIMES (End is before Start?)","OK")))</f>
        <v/>
      </c>
      <c r="P349" s="17">
        <f>IF(OR($B349="",$I349=""),"",IF(IFERROR(MATCH($G349,nrBankTopics,0),0)=0,"OK",IF(COUNTA(INDEX(nrBankGrid,IFERROR(MATCH($G349,nrBankTopics,0),1),0))=0,"OK",IF(SUMPRODUCT((nrInstrNames&lt;&gt;"")*ISNUMBER(SEARCH(nrInstrNames,$I349))*(COUNTIF(INDEX(nrBankGrid,IFERROR(MATCH($G349,nrBankTopics,0),1),0),nrInstrNames)&gt;0))&lt;SUMPRODUCT((nrInstrNames&lt;&gt;"")*ISNUMBER(SEARCH(nrInstrNames,$I349))),"NOT IN BANK","OK"))))</f>
        <v/>
      </c>
    </row>
    <row r="350">
      <c r="B350" s="18" t="n"/>
      <c r="C350" s="17">
        <f>IF($B350="","",TEXT($B350,"ddd"))</f>
        <v/>
      </c>
      <c r="D350" s="41" t="n"/>
      <c r="E350" s="41" t="n"/>
      <c r="F350" s="17">
        <f>IF(OR($B350="",$D350="",$E350=""),"",ROUND(MOD($E350-$D350,1)*24,2))</f>
        <v/>
      </c>
      <c r="G350" s="16" t="n"/>
      <c r="H350" s="17">
        <f>IF($G350="","",IFERROR(_xlfn.XLOOKUP($G350,nrCHname,nrCHnum),IFERROR(_xlfn.XLOOKUP($G350,nrSUBname,nrSUBparent),"")))</f>
        <v/>
      </c>
      <c r="I350" s="16" t="n"/>
      <c r="J350" s="16" t="n"/>
      <c r="K350" s="17">
        <f>IF($B350="","",IFERROR(_xlfn.XLOOKUP($B350,nrCDdate,nrCDweek),""))</f>
        <v/>
      </c>
      <c r="L350" s="17">
        <f>IF($B350="","",IFERROR(_xlfn.XLOOKUP($B350,nrCDdate,nrCDnum),""))</f>
        <v/>
      </c>
      <c r="M350" s="16" t="n"/>
      <c r="N350" s="17">
        <f>IF(OR($B350="",$I350=""),"",_xlfn.LET(_xlpm.a,$I350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50" s="17">
        <f>IF(OR($B350="",$D350="",$E350=""),"",IF($E350=$D350,"CHECK TIMES (start = end)",IF($F350&gt;12,"CHECK TIMES (End is before Start?)","OK")))</f>
        <v/>
      </c>
      <c r="P350" s="17">
        <f>IF(OR($B350="",$I350=""),"",IF(IFERROR(MATCH($G350,nrBankTopics,0),0)=0,"OK",IF(COUNTA(INDEX(nrBankGrid,IFERROR(MATCH($G350,nrBankTopics,0),1),0))=0,"OK",IF(SUMPRODUCT((nrInstrNames&lt;&gt;"")*ISNUMBER(SEARCH(nrInstrNames,$I350))*(COUNTIF(INDEX(nrBankGrid,IFERROR(MATCH($G350,nrBankTopics,0),1),0),nrInstrNames)&gt;0))&lt;SUMPRODUCT((nrInstrNames&lt;&gt;"")*ISNUMBER(SEARCH(nrInstrNames,$I350))),"NOT IN BANK","OK"))))</f>
        <v/>
      </c>
    </row>
    <row r="351">
      <c r="B351" s="18" t="n"/>
      <c r="C351" s="17">
        <f>IF($B351="","",TEXT($B351,"ddd"))</f>
        <v/>
      </c>
      <c r="D351" s="41" t="n"/>
      <c r="E351" s="41" t="n"/>
      <c r="F351" s="17">
        <f>IF(OR($B351="",$D351="",$E351=""),"",ROUND(MOD($E351-$D351,1)*24,2))</f>
        <v/>
      </c>
      <c r="G351" s="16" t="n"/>
      <c r="H351" s="17">
        <f>IF($G351="","",IFERROR(_xlfn.XLOOKUP($G351,nrCHname,nrCHnum),IFERROR(_xlfn.XLOOKUP($G351,nrSUBname,nrSUBparent),"")))</f>
        <v/>
      </c>
      <c r="I351" s="16" t="n"/>
      <c r="J351" s="16" t="n"/>
      <c r="K351" s="17">
        <f>IF($B351="","",IFERROR(_xlfn.XLOOKUP($B351,nrCDdate,nrCDweek),""))</f>
        <v/>
      </c>
      <c r="L351" s="17">
        <f>IF($B351="","",IFERROR(_xlfn.XLOOKUP($B351,nrCDdate,nrCDnum),""))</f>
        <v/>
      </c>
      <c r="M351" s="16" t="n"/>
      <c r="N351" s="17">
        <f>IF(OR($B351="",$I351=""),"",_xlfn.LET(_xlpm.a,$I351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51" s="17">
        <f>IF(OR($B351="",$D351="",$E351=""),"",IF($E351=$D351,"CHECK TIMES (start = end)",IF($F351&gt;12,"CHECK TIMES (End is before Start?)","OK")))</f>
        <v/>
      </c>
      <c r="P351" s="17">
        <f>IF(OR($B351="",$I351=""),"",IF(IFERROR(MATCH($G351,nrBankTopics,0),0)=0,"OK",IF(COUNTA(INDEX(nrBankGrid,IFERROR(MATCH($G351,nrBankTopics,0),1),0))=0,"OK",IF(SUMPRODUCT((nrInstrNames&lt;&gt;"")*ISNUMBER(SEARCH(nrInstrNames,$I351))*(COUNTIF(INDEX(nrBankGrid,IFERROR(MATCH($G351,nrBankTopics,0),1),0),nrInstrNames)&gt;0))&lt;SUMPRODUCT((nrInstrNames&lt;&gt;"")*ISNUMBER(SEARCH(nrInstrNames,$I351))),"NOT IN BANK","OK"))))</f>
        <v/>
      </c>
    </row>
    <row r="352">
      <c r="B352" s="18" t="n"/>
      <c r="C352" s="17">
        <f>IF($B352="","",TEXT($B352,"ddd"))</f>
        <v/>
      </c>
      <c r="D352" s="41" t="n"/>
      <c r="E352" s="41" t="n"/>
      <c r="F352" s="17">
        <f>IF(OR($B352="",$D352="",$E352=""),"",ROUND(MOD($E352-$D352,1)*24,2))</f>
        <v/>
      </c>
      <c r="G352" s="16" t="n"/>
      <c r="H352" s="17">
        <f>IF($G352="","",IFERROR(_xlfn.XLOOKUP($G352,nrCHname,nrCHnum),IFERROR(_xlfn.XLOOKUP($G352,nrSUBname,nrSUBparent),"")))</f>
        <v/>
      </c>
      <c r="I352" s="16" t="n"/>
      <c r="J352" s="16" t="n"/>
      <c r="K352" s="17">
        <f>IF($B352="","",IFERROR(_xlfn.XLOOKUP($B352,nrCDdate,nrCDweek),""))</f>
        <v/>
      </c>
      <c r="L352" s="17">
        <f>IF($B352="","",IFERROR(_xlfn.XLOOKUP($B352,nrCDdate,nrCDnum),""))</f>
        <v/>
      </c>
      <c r="M352" s="16" t="n"/>
      <c r="N352" s="17">
        <f>IF(OR($B352="",$I352=""),"",_xlfn.LET(_xlpm.a,$I352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52" s="17">
        <f>IF(OR($B352="",$D352="",$E352=""),"",IF($E352=$D352,"CHECK TIMES (start = end)",IF($F352&gt;12,"CHECK TIMES (End is before Start?)","OK")))</f>
        <v/>
      </c>
      <c r="P352" s="17">
        <f>IF(OR($B352="",$I352=""),"",IF(IFERROR(MATCH($G352,nrBankTopics,0),0)=0,"OK",IF(COUNTA(INDEX(nrBankGrid,IFERROR(MATCH($G352,nrBankTopics,0),1),0))=0,"OK",IF(SUMPRODUCT((nrInstrNames&lt;&gt;"")*ISNUMBER(SEARCH(nrInstrNames,$I352))*(COUNTIF(INDEX(nrBankGrid,IFERROR(MATCH($G352,nrBankTopics,0),1),0),nrInstrNames)&gt;0))&lt;SUMPRODUCT((nrInstrNames&lt;&gt;"")*ISNUMBER(SEARCH(nrInstrNames,$I352))),"NOT IN BANK","OK"))))</f>
        <v/>
      </c>
    </row>
    <row r="353">
      <c r="B353" s="18" t="n"/>
      <c r="C353" s="17">
        <f>IF($B353="","",TEXT($B353,"ddd"))</f>
        <v/>
      </c>
      <c r="D353" s="41" t="n"/>
      <c r="E353" s="41" t="n"/>
      <c r="F353" s="17">
        <f>IF(OR($B353="",$D353="",$E353=""),"",ROUND(MOD($E353-$D353,1)*24,2))</f>
        <v/>
      </c>
      <c r="G353" s="16" t="n"/>
      <c r="H353" s="17">
        <f>IF($G353="","",IFERROR(_xlfn.XLOOKUP($G353,nrCHname,nrCHnum),IFERROR(_xlfn.XLOOKUP($G353,nrSUBname,nrSUBparent),"")))</f>
        <v/>
      </c>
      <c r="I353" s="16" t="n"/>
      <c r="J353" s="16" t="n"/>
      <c r="K353" s="17">
        <f>IF($B353="","",IFERROR(_xlfn.XLOOKUP($B353,nrCDdate,nrCDweek),""))</f>
        <v/>
      </c>
      <c r="L353" s="17">
        <f>IF($B353="","",IFERROR(_xlfn.XLOOKUP($B353,nrCDdate,nrCDnum),""))</f>
        <v/>
      </c>
      <c r="M353" s="16" t="n"/>
      <c r="N353" s="17">
        <f>IF(OR($B353="",$I353=""),"",_xlfn.LET(_xlpm.a,$I353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53" s="17">
        <f>IF(OR($B353="",$D353="",$E353=""),"",IF($E353=$D353,"CHECK TIMES (start = end)",IF($F353&gt;12,"CHECK TIMES (End is before Start?)","OK")))</f>
        <v/>
      </c>
      <c r="P353" s="17">
        <f>IF(OR($B353="",$I353=""),"",IF(IFERROR(MATCH($G353,nrBankTopics,0),0)=0,"OK",IF(COUNTA(INDEX(nrBankGrid,IFERROR(MATCH($G353,nrBankTopics,0),1),0))=0,"OK",IF(SUMPRODUCT((nrInstrNames&lt;&gt;"")*ISNUMBER(SEARCH(nrInstrNames,$I353))*(COUNTIF(INDEX(nrBankGrid,IFERROR(MATCH($G353,nrBankTopics,0),1),0),nrInstrNames)&gt;0))&lt;SUMPRODUCT((nrInstrNames&lt;&gt;"")*ISNUMBER(SEARCH(nrInstrNames,$I353))),"NOT IN BANK","OK"))))</f>
        <v/>
      </c>
    </row>
    <row r="354">
      <c r="B354" s="18" t="n"/>
      <c r="C354" s="17">
        <f>IF($B354="","",TEXT($B354,"ddd"))</f>
        <v/>
      </c>
      <c r="D354" s="41" t="n"/>
      <c r="E354" s="41" t="n"/>
      <c r="F354" s="17">
        <f>IF(OR($B354="",$D354="",$E354=""),"",ROUND(MOD($E354-$D354,1)*24,2))</f>
        <v/>
      </c>
      <c r="G354" s="16" t="n"/>
      <c r="H354" s="17">
        <f>IF($G354="","",IFERROR(_xlfn.XLOOKUP($G354,nrCHname,nrCHnum),IFERROR(_xlfn.XLOOKUP($G354,nrSUBname,nrSUBparent),"")))</f>
        <v/>
      </c>
      <c r="I354" s="16" t="n"/>
      <c r="J354" s="16" t="n"/>
      <c r="K354" s="17">
        <f>IF($B354="","",IFERROR(_xlfn.XLOOKUP($B354,nrCDdate,nrCDweek),""))</f>
        <v/>
      </c>
      <c r="L354" s="17">
        <f>IF($B354="","",IFERROR(_xlfn.XLOOKUP($B354,nrCDdate,nrCDnum),""))</f>
        <v/>
      </c>
      <c r="M354" s="16" t="n"/>
      <c r="N354" s="17">
        <f>IF(OR($B354="",$I354=""),"",_xlfn.LET(_xlpm.a,$I354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54" s="17">
        <f>IF(OR($B354="",$D354="",$E354=""),"",IF($E354=$D354,"CHECK TIMES (start = end)",IF($F354&gt;12,"CHECK TIMES (End is before Start?)","OK")))</f>
        <v/>
      </c>
      <c r="P354" s="17">
        <f>IF(OR($B354="",$I354=""),"",IF(IFERROR(MATCH($G354,nrBankTopics,0),0)=0,"OK",IF(COUNTA(INDEX(nrBankGrid,IFERROR(MATCH($G354,nrBankTopics,0),1),0))=0,"OK",IF(SUMPRODUCT((nrInstrNames&lt;&gt;"")*ISNUMBER(SEARCH(nrInstrNames,$I354))*(COUNTIF(INDEX(nrBankGrid,IFERROR(MATCH($G354,nrBankTopics,0),1),0),nrInstrNames)&gt;0))&lt;SUMPRODUCT((nrInstrNames&lt;&gt;"")*ISNUMBER(SEARCH(nrInstrNames,$I354))),"NOT IN BANK","OK"))))</f>
        <v/>
      </c>
    </row>
    <row r="355">
      <c r="B355" s="18" t="n"/>
      <c r="C355" s="17">
        <f>IF($B355="","",TEXT($B355,"ddd"))</f>
        <v/>
      </c>
      <c r="D355" s="41" t="n"/>
      <c r="E355" s="41" t="n"/>
      <c r="F355" s="17">
        <f>IF(OR($B355="",$D355="",$E355=""),"",ROUND(MOD($E355-$D355,1)*24,2))</f>
        <v/>
      </c>
      <c r="G355" s="16" t="n"/>
      <c r="H355" s="17">
        <f>IF($G355="","",IFERROR(_xlfn.XLOOKUP($G355,nrCHname,nrCHnum),IFERROR(_xlfn.XLOOKUP($G355,nrSUBname,nrSUBparent),"")))</f>
        <v/>
      </c>
      <c r="I355" s="16" t="n"/>
      <c r="J355" s="16" t="n"/>
      <c r="K355" s="17">
        <f>IF($B355="","",IFERROR(_xlfn.XLOOKUP($B355,nrCDdate,nrCDweek),""))</f>
        <v/>
      </c>
      <c r="L355" s="17">
        <f>IF($B355="","",IFERROR(_xlfn.XLOOKUP($B355,nrCDdate,nrCDnum),""))</f>
        <v/>
      </c>
      <c r="M355" s="16" t="n"/>
      <c r="N355" s="17">
        <f>IF(OR($B355="",$I355=""),"",_xlfn.LET(_xlpm.a,$I355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55" s="17">
        <f>IF(OR($B355="",$D355="",$E355=""),"",IF($E355=$D355,"CHECK TIMES (start = end)",IF($F355&gt;12,"CHECK TIMES (End is before Start?)","OK")))</f>
        <v/>
      </c>
      <c r="P355" s="17">
        <f>IF(OR($B355="",$I355=""),"",IF(IFERROR(MATCH($G355,nrBankTopics,0),0)=0,"OK",IF(COUNTA(INDEX(nrBankGrid,IFERROR(MATCH($G355,nrBankTopics,0),1),0))=0,"OK",IF(SUMPRODUCT((nrInstrNames&lt;&gt;"")*ISNUMBER(SEARCH(nrInstrNames,$I355))*(COUNTIF(INDEX(nrBankGrid,IFERROR(MATCH($G355,nrBankTopics,0),1),0),nrInstrNames)&gt;0))&lt;SUMPRODUCT((nrInstrNames&lt;&gt;"")*ISNUMBER(SEARCH(nrInstrNames,$I355))),"NOT IN BANK","OK"))))</f>
        <v/>
      </c>
    </row>
    <row r="356">
      <c r="B356" s="18" t="n"/>
      <c r="C356" s="17">
        <f>IF($B356="","",TEXT($B356,"ddd"))</f>
        <v/>
      </c>
      <c r="D356" s="41" t="n"/>
      <c r="E356" s="41" t="n"/>
      <c r="F356" s="17">
        <f>IF(OR($B356="",$D356="",$E356=""),"",ROUND(MOD($E356-$D356,1)*24,2))</f>
        <v/>
      </c>
      <c r="G356" s="16" t="n"/>
      <c r="H356" s="17">
        <f>IF($G356="","",IFERROR(_xlfn.XLOOKUP($G356,nrCHname,nrCHnum),IFERROR(_xlfn.XLOOKUP($G356,nrSUBname,nrSUBparent),"")))</f>
        <v/>
      </c>
      <c r="I356" s="16" t="n"/>
      <c r="J356" s="16" t="n"/>
      <c r="K356" s="17">
        <f>IF($B356="","",IFERROR(_xlfn.XLOOKUP($B356,nrCDdate,nrCDweek),""))</f>
        <v/>
      </c>
      <c r="L356" s="17">
        <f>IF($B356="","",IFERROR(_xlfn.XLOOKUP($B356,nrCDdate,nrCDnum),""))</f>
        <v/>
      </c>
      <c r="M356" s="16" t="n"/>
      <c r="N356" s="17">
        <f>IF(OR($B356="",$I356=""),"",_xlfn.LET(_xlpm.a,$I356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56" s="17">
        <f>IF(OR($B356="",$D356="",$E356=""),"",IF($E356=$D356,"CHECK TIMES (start = end)",IF($F356&gt;12,"CHECK TIMES (End is before Start?)","OK")))</f>
        <v/>
      </c>
      <c r="P356" s="17">
        <f>IF(OR($B356="",$I356=""),"",IF(IFERROR(MATCH($G356,nrBankTopics,0),0)=0,"OK",IF(COUNTA(INDEX(nrBankGrid,IFERROR(MATCH($G356,nrBankTopics,0),1),0))=0,"OK",IF(SUMPRODUCT((nrInstrNames&lt;&gt;"")*ISNUMBER(SEARCH(nrInstrNames,$I356))*(COUNTIF(INDEX(nrBankGrid,IFERROR(MATCH($G356,nrBankTopics,0),1),0),nrInstrNames)&gt;0))&lt;SUMPRODUCT((nrInstrNames&lt;&gt;"")*ISNUMBER(SEARCH(nrInstrNames,$I356))),"NOT IN BANK","OK"))))</f>
        <v/>
      </c>
    </row>
    <row r="357">
      <c r="B357" s="18" t="n"/>
      <c r="C357" s="17">
        <f>IF($B357="","",TEXT($B357,"ddd"))</f>
        <v/>
      </c>
      <c r="D357" s="41" t="n"/>
      <c r="E357" s="41" t="n"/>
      <c r="F357" s="17">
        <f>IF(OR($B357="",$D357="",$E357=""),"",ROUND(MOD($E357-$D357,1)*24,2))</f>
        <v/>
      </c>
      <c r="G357" s="16" t="n"/>
      <c r="H357" s="17">
        <f>IF($G357="","",IFERROR(_xlfn.XLOOKUP($G357,nrCHname,nrCHnum),IFERROR(_xlfn.XLOOKUP($G357,nrSUBname,nrSUBparent),"")))</f>
        <v/>
      </c>
      <c r="I357" s="16" t="n"/>
      <c r="J357" s="16" t="n"/>
      <c r="K357" s="17">
        <f>IF($B357="","",IFERROR(_xlfn.XLOOKUP($B357,nrCDdate,nrCDweek),""))</f>
        <v/>
      </c>
      <c r="L357" s="17">
        <f>IF($B357="","",IFERROR(_xlfn.XLOOKUP($B357,nrCDdate,nrCDnum),""))</f>
        <v/>
      </c>
      <c r="M357" s="16" t="n"/>
      <c r="N357" s="17">
        <f>IF(OR($B357="",$I357=""),"",_xlfn.LET(_xlpm.a,$I357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57" s="17">
        <f>IF(OR($B357="",$D357="",$E357=""),"",IF($E357=$D357,"CHECK TIMES (start = end)",IF($F357&gt;12,"CHECK TIMES (End is before Start?)","OK")))</f>
        <v/>
      </c>
      <c r="P357" s="17">
        <f>IF(OR($B357="",$I357=""),"",IF(IFERROR(MATCH($G357,nrBankTopics,0),0)=0,"OK",IF(COUNTA(INDEX(nrBankGrid,IFERROR(MATCH($G357,nrBankTopics,0),1),0))=0,"OK",IF(SUMPRODUCT((nrInstrNames&lt;&gt;"")*ISNUMBER(SEARCH(nrInstrNames,$I357))*(COUNTIF(INDEX(nrBankGrid,IFERROR(MATCH($G357,nrBankTopics,0),1),0),nrInstrNames)&gt;0))&lt;SUMPRODUCT((nrInstrNames&lt;&gt;"")*ISNUMBER(SEARCH(nrInstrNames,$I357))),"NOT IN BANK","OK"))))</f>
        <v/>
      </c>
    </row>
    <row r="358">
      <c r="B358" s="18" t="n"/>
      <c r="C358" s="17">
        <f>IF($B358="","",TEXT($B358,"ddd"))</f>
        <v/>
      </c>
      <c r="D358" s="41" t="n"/>
      <c r="E358" s="41" t="n"/>
      <c r="F358" s="17">
        <f>IF(OR($B358="",$D358="",$E358=""),"",ROUND(MOD($E358-$D358,1)*24,2))</f>
        <v/>
      </c>
      <c r="G358" s="16" t="n"/>
      <c r="H358" s="17">
        <f>IF($G358="","",IFERROR(_xlfn.XLOOKUP($G358,nrCHname,nrCHnum),IFERROR(_xlfn.XLOOKUP($G358,nrSUBname,nrSUBparent),"")))</f>
        <v/>
      </c>
      <c r="I358" s="16" t="n"/>
      <c r="J358" s="16" t="n"/>
      <c r="K358" s="17">
        <f>IF($B358="","",IFERROR(_xlfn.XLOOKUP($B358,nrCDdate,nrCDweek),""))</f>
        <v/>
      </c>
      <c r="L358" s="17">
        <f>IF($B358="","",IFERROR(_xlfn.XLOOKUP($B358,nrCDdate,nrCDnum),""))</f>
        <v/>
      </c>
      <c r="M358" s="16" t="n"/>
      <c r="N358" s="17">
        <f>IF(OR($B358="",$I358=""),"",_xlfn.LET(_xlpm.a,$I358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58" s="17">
        <f>IF(OR($B358="",$D358="",$E358=""),"",IF($E358=$D358,"CHECK TIMES (start = end)",IF($F358&gt;12,"CHECK TIMES (End is before Start?)","OK")))</f>
        <v/>
      </c>
      <c r="P358" s="17">
        <f>IF(OR($B358="",$I358=""),"",IF(IFERROR(MATCH($G358,nrBankTopics,0),0)=0,"OK",IF(COUNTA(INDEX(nrBankGrid,IFERROR(MATCH($G358,nrBankTopics,0),1),0))=0,"OK",IF(SUMPRODUCT((nrInstrNames&lt;&gt;"")*ISNUMBER(SEARCH(nrInstrNames,$I358))*(COUNTIF(INDEX(nrBankGrid,IFERROR(MATCH($G358,nrBankTopics,0),1),0),nrInstrNames)&gt;0))&lt;SUMPRODUCT((nrInstrNames&lt;&gt;"")*ISNUMBER(SEARCH(nrInstrNames,$I358))),"NOT IN BANK","OK"))))</f>
        <v/>
      </c>
    </row>
    <row r="359">
      <c r="B359" s="18" t="n"/>
      <c r="C359" s="17">
        <f>IF($B359="","",TEXT($B359,"ddd"))</f>
        <v/>
      </c>
      <c r="D359" s="41" t="n"/>
      <c r="E359" s="41" t="n"/>
      <c r="F359" s="17">
        <f>IF(OR($B359="",$D359="",$E359=""),"",ROUND(MOD($E359-$D359,1)*24,2))</f>
        <v/>
      </c>
      <c r="G359" s="16" t="n"/>
      <c r="H359" s="17">
        <f>IF($G359="","",IFERROR(_xlfn.XLOOKUP($G359,nrCHname,nrCHnum),IFERROR(_xlfn.XLOOKUP($G359,nrSUBname,nrSUBparent),"")))</f>
        <v/>
      </c>
      <c r="I359" s="16" t="n"/>
      <c r="J359" s="16" t="n"/>
      <c r="K359" s="17">
        <f>IF($B359="","",IFERROR(_xlfn.XLOOKUP($B359,nrCDdate,nrCDweek),""))</f>
        <v/>
      </c>
      <c r="L359" s="17">
        <f>IF($B359="","",IFERROR(_xlfn.XLOOKUP($B359,nrCDdate,nrCDnum),""))</f>
        <v/>
      </c>
      <c r="M359" s="16" t="n"/>
      <c r="N359" s="17">
        <f>IF(OR($B359="",$I359=""),"",_xlfn.LET(_xlpm.a,$I359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59" s="17">
        <f>IF(OR($B359="",$D359="",$E359=""),"",IF($E359=$D359,"CHECK TIMES (start = end)",IF($F359&gt;12,"CHECK TIMES (End is before Start?)","OK")))</f>
        <v/>
      </c>
      <c r="P359" s="17">
        <f>IF(OR($B359="",$I359=""),"",IF(IFERROR(MATCH($G359,nrBankTopics,0),0)=0,"OK",IF(COUNTA(INDEX(nrBankGrid,IFERROR(MATCH($G359,nrBankTopics,0),1),0))=0,"OK",IF(SUMPRODUCT((nrInstrNames&lt;&gt;"")*ISNUMBER(SEARCH(nrInstrNames,$I359))*(COUNTIF(INDEX(nrBankGrid,IFERROR(MATCH($G359,nrBankTopics,0),1),0),nrInstrNames)&gt;0))&lt;SUMPRODUCT((nrInstrNames&lt;&gt;"")*ISNUMBER(SEARCH(nrInstrNames,$I359))),"NOT IN BANK","OK"))))</f>
        <v/>
      </c>
    </row>
    <row r="360">
      <c r="B360" s="18" t="n"/>
      <c r="C360" s="17">
        <f>IF($B360="","",TEXT($B360,"ddd"))</f>
        <v/>
      </c>
      <c r="D360" s="41" t="n"/>
      <c r="E360" s="41" t="n"/>
      <c r="F360" s="17">
        <f>IF(OR($B360="",$D360="",$E360=""),"",ROUND(MOD($E360-$D360,1)*24,2))</f>
        <v/>
      </c>
      <c r="G360" s="16" t="n"/>
      <c r="H360" s="17">
        <f>IF($G360="","",IFERROR(_xlfn.XLOOKUP($G360,nrCHname,nrCHnum),IFERROR(_xlfn.XLOOKUP($G360,nrSUBname,nrSUBparent),"")))</f>
        <v/>
      </c>
      <c r="I360" s="16" t="n"/>
      <c r="J360" s="16" t="n"/>
      <c r="K360" s="17">
        <f>IF($B360="","",IFERROR(_xlfn.XLOOKUP($B360,nrCDdate,nrCDweek),""))</f>
        <v/>
      </c>
      <c r="L360" s="17">
        <f>IF($B360="","",IFERROR(_xlfn.XLOOKUP($B360,nrCDdate,nrCDnum),""))</f>
        <v/>
      </c>
      <c r="M360" s="16" t="n"/>
      <c r="N360" s="17">
        <f>IF(OR($B360="",$I360=""),"",_xlfn.LET(_xlpm.a,$I360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60" s="17">
        <f>IF(OR($B360="",$D360="",$E360=""),"",IF($E360=$D360,"CHECK TIMES (start = end)",IF($F360&gt;12,"CHECK TIMES (End is before Start?)","OK")))</f>
        <v/>
      </c>
      <c r="P360" s="17">
        <f>IF(OR($B360="",$I360=""),"",IF(IFERROR(MATCH($G360,nrBankTopics,0),0)=0,"OK",IF(COUNTA(INDEX(nrBankGrid,IFERROR(MATCH($G360,nrBankTopics,0),1),0))=0,"OK",IF(SUMPRODUCT((nrInstrNames&lt;&gt;"")*ISNUMBER(SEARCH(nrInstrNames,$I360))*(COUNTIF(INDEX(nrBankGrid,IFERROR(MATCH($G360,nrBankTopics,0),1),0),nrInstrNames)&gt;0))&lt;SUMPRODUCT((nrInstrNames&lt;&gt;"")*ISNUMBER(SEARCH(nrInstrNames,$I360))),"NOT IN BANK","OK"))))</f>
        <v/>
      </c>
    </row>
    <row r="361">
      <c r="B361" s="18" t="n"/>
      <c r="C361" s="17">
        <f>IF($B361="","",TEXT($B361,"ddd"))</f>
        <v/>
      </c>
      <c r="D361" s="41" t="n"/>
      <c r="E361" s="41" t="n"/>
      <c r="F361" s="17">
        <f>IF(OR($B361="",$D361="",$E361=""),"",ROUND(MOD($E361-$D361,1)*24,2))</f>
        <v/>
      </c>
      <c r="G361" s="16" t="n"/>
      <c r="H361" s="17">
        <f>IF($G361="","",IFERROR(_xlfn.XLOOKUP($G361,nrCHname,nrCHnum),IFERROR(_xlfn.XLOOKUP($G361,nrSUBname,nrSUBparent),"")))</f>
        <v/>
      </c>
      <c r="I361" s="16" t="n"/>
      <c r="J361" s="16" t="n"/>
      <c r="K361" s="17">
        <f>IF($B361="","",IFERROR(_xlfn.XLOOKUP($B361,nrCDdate,nrCDweek),""))</f>
        <v/>
      </c>
      <c r="L361" s="17">
        <f>IF($B361="","",IFERROR(_xlfn.XLOOKUP($B361,nrCDdate,nrCDnum),""))</f>
        <v/>
      </c>
      <c r="M361" s="16" t="n"/>
      <c r="N361" s="17">
        <f>IF(OR($B361="",$I361=""),"",_xlfn.LET(_xlpm.a,$I361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61" s="17">
        <f>IF(OR($B361="",$D361="",$E361=""),"",IF($E361=$D361,"CHECK TIMES (start = end)",IF($F361&gt;12,"CHECK TIMES (End is before Start?)","OK")))</f>
        <v/>
      </c>
      <c r="P361" s="17">
        <f>IF(OR($B361="",$I361=""),"",IF(IFERROR(MATCH($G361,nrBankTopics,0),0)=0,"OK",IF(COUNTA(INDEX(nrBankGrid,IFERROR(MATCH($G361,nrBankTopics,0),1),0))=0,"OK",IF(SUMPRODUCT((nrInstrNames&lt;&gt;"")*ISNUMBER(SEARCH(nrInstrNames,$I361))*(COUNTIF(INDEX(nrBankGrid,IFERROR(MATCH($G361,nrBankTopics,0),1),0),nrInstrNames)&gt;0))&lt;SUMPRODUCT((nrInstrNames&lt;&gt;"")*ISNUMBER(SEARCH(nrInstrNames,$I361))),"NOT IN BANK","OK"))))</f>
        <v/>
      </c>
    </row>
    <row r="362">
      <c r="B362" s="18" t="n"/>
      <c r="C362" s="17">
        <f>IF($B362="","",TEXT($B362,"ddd"))</f>
        <v/>
      </c>
      <c r="D362" s="41" t="n"/>
      <c r="E362" s="41" t="n"/>
      <c r="F362" s="17">
        <f>IF(OR($B362="",$D362="",$E362=""),"",ROUND(MOD($E362-$D362,1)*24,2))</f>
        <v/>
      </c>
      <c r="G362" s="16" t="n"/>
      <c r="H362" s="17">
        <f>IF($G362="","",IFERROR(_xlfn.XLOOKUP($G362,nrCHname,nrCHnum),IFERROR(_xlfn.XLOOKUP($G362,nrSUBname,nrSUBparent),"")))</f>
        <v/>
      </c>
      <c r="I362" s="16" t="n"/>
      <c r="J362" s="16" t="n"/>
      <c r="K362" s="17">
        <f>IF($B362="","",IFERROR(_xlfn.XLOOKUP($B362,nrCDdate,nrCDweek),""))</f>
        <v/>
      </c>
      <c r="L362" s="17">
        <f>IF($B362="","",IFERROR(_xlfn.XLOOKUP($B362,nrCDdate,nrCDnum),""))</f>
        <v/>
      </c>
      <c r="M362" s="16" t="n"/>
      <c r="N362" s="17">
        <f>IF(OR($B362="",$I362=""),"",_xlfn.LET(_xlpm.a,$I362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62" s="17">
        <f>IF(OR($B362="",$D362="",$E362=""),"",IF($E362=$D362,"CHECK TIMES (start = end)",IF($F362&gt;12,"CHECK TIMES (End is before Start?)","OK")))</f>
        <v/>
      </c>
      <c r="P362" s="17">
        <f>IF(OR($B362="",$I362=""),"",IF(IFERROR(MATCH($G362,nrBankTopics,0),0)=0,"OK",IF(COUNTA(INDEX(nrBankGrid,IFERROR(MATCH($G362,nrBankTopics,0),1),0))=0,"OK",IF(SUMPRODUCT((nrInstrNames&lt;&gt;"")*ISNUMBER(SEARCH(nrInstrNames,$I362))*(COUNTIF(INDEX(nrBankGrid,IFERROR(MATCH($G362,nrBankTopics,0),1),0),nrInstrNames)&gt;0))&lt;SUMPRODUCT((nrInstrNames&lt;&gt;"")*ISNUMBER(SEARCH(nrInstrNames,$I362))),"NOT IN BANK","OK"))))</f>
        <v/>
      </c>
    </row>
    <row r="363">
      <c r="B363" s="18" t="n"/>
      <c r="C363" s="17">
        <f>IF($B363="","",TEXT($B363,"ddd"))</f>
        <v/>
      </c>
      <c r="D363" s="41" t="n"/>
      <c r="E363" s="41" t="n"/>
      <c r="F363" s="17">
        <f>IF(OR($B363="",$D363="",$E363=""),"",ROUND(MOD($E363-$D363,1)*24,2))</f>
        <v/>
      </c>
      <c r="G363" s="16" t="n"/>
      <c r="H363" s="17">
        <f>IF($G363="","",IFERROR(_xlfn.XLOOKUP($G363,nrCHname,nrCHnum),IFERROR(_xlfn.XLOOKUP($G363,nrSUBname,nrSUBparent),"")))</f>
        <v/>
      </c>
      <c r="I363" s="16" t="n"/>
      <c r="J363" s="16" t="n"/>
      <c r="K363" s="17">
        <f>IF($B363="","",IFERROR(_xlfn.XLOOKUP($B363,nrCDdate,nrCDweek),""))</f>
        <v/>
      </c>
      <c r="L363" s="17">
        <f>IF($B363="","",IFERROR(_xlfn.XLOOKUP($B363,nrCDdate,nrCDnum),""))</f>
        <v/>
      </c>
      <c r="M363" s="16" t="n"/>
      <c r="N363" s="17">
        <f>IF(OR($B363="",$I363=""),"",_xlfn.LET(_xlpm.a,$I363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63" s="17">
        <f>IF(OR($B363="",$D363="",$E363=""),"",IF($E363=$D363,"CHECK TIMES (start = end)",IF($F363&gt;12,"CHECK TIMES (End is before Start?)","OK")))</f>
        <v/>
      </c>
      <c r="P363" s="17">
        <f>IF(OR($B363="",$I363=""),"",IF(IFERROR(MATCH($G363,nrBankTopics,0),0)=0,"OK",IF(COUNTA(INDEX(nrBankGrid,IFERROR(MATCH($G363,nrBankTopics,0),1),0))=0,"OK",IF(SUMPRODUCT((nrInstrNames&lt;&gt;"")*ISNUMBER(SEARCH(nrInstrNames,$I363))*(COUNTIF(INDEX(nrBankGrid,IFERROR(MATCH($G363,nrBankTopics,0),1),0),nrInstrNames)&gt;0))&lt;SUMPRODUCT((nrInstrNames&lt;&gt;"")*ISNUMBER(SEARCH(nrInstrNames,$I363))),"NOT IN BANK","OK"))))</f>
        <v/>
      </c>
    </row>
    <row r="364">
      <c r="B364" s="18" t="n"/>
      <c r="C364" s="17">
        <f>IF($B364="","",TEXT($B364,"ddd"))</f>
        <v/>
      </c>
      <c r="D364" s="41" t="n"/>
      <c r="E364" s="41" t="n"/>
      <c r="F364" s="17">
        <f>IF(OR($B364="",$D364="",$E364=""),"",ROUND(MOD($E364-$D364,1)*24,2))</f>
        <v/>
      </c>
      <c r="G364" s="16" t="n"/>
      <c r="H364" s="17">
        <f>IF($G364="","",IFERROR(_xlfn.XLOOKUP($G364,nrCHname,nrCHnum),IFERROR(_xlfn.XLOOKUP($G364,nrSUBname,nrSUBparent),"")))</f>
        <v/>
      </c>
      <c r="I364" s="16" t="n"/>
      <c r="J364" s="16" t="n"/>
      <c r="K364" s="17">
        <f>IF($B364="","",IFERROR(_xlfn.XLOOKUP($B364,nrCDdate,nrCDweek),""))</f>
        <v/>
      </c>
      <c r="L364" s="17">
        <f>IF($B364="","",IFERROR(_xlfn.XLOOKUP($B364,nrCDdate,nrCDnum),""))</f>
        <v/>
      </c>
      <c r="M364" s="16" t="n"/>
      <c r="N364" s="17">
        <f>IF(OR($B364="",$I364=""),"",_xlfn.LET(_xlpm.a,$I364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64" s="17">
        <f>IF(OR($B364="",$D364="",$E364=""),"",IF($E364=$D364,"CHECK TIMES (start = end)",IF($F364&gt;12,"CHECK TIMES (End is before Start?)","OK")))</f>
        <v/>
      </c>
      <c r="P364" s="17">
        <f>IF(OR($B364="",$I364=""),"",IF(IFERROR(MATCH($G364,nrBankTopics,0),0)=0,"OK",IF(COUNTA(INDEX(nrBankGrid,IFERROR(MATCH($G364,nrBankTopics,0),1),0))=0,"OK",IF(SUMPRODUCT((nrInstrNames&lt;&gt;"")*ISNUMBER(SEARCH(nrInstrNames,$I364))*(COUNTIF(INDEX(nrBankGrid,IFERROR(MATCH($G364,nrBankTopics,0),1),0),nrInstrNames)&gt;0))&lt;SUMPRODUCT((nrInstrNames&lt;&gt;"")*ISNUMBER(SEARCH(nrInstrNames,$I364))),"NOT IN BANK","OK"))))</f>
        <v/>
      </c>
    </row>
    <row r="365">
      <c r="B365" s="18" t="n"/>
      <c r="C365" s="17">
        <f>IF($B365="","",TEXT($B365,"ddd"))</f>
        <v/>
      </c>
      <c r="D365" s="41" t="n"/>
      <c r="E365" s="41" t="n"/>
      <c r="F365" s="17">
        <f>IF(OR($B365="",$D365="",$E365=""),"",ROUND(MOD($E365-$D365,1)*24,2))</f>
        <v/>
      </c>
      <c r="G365" s="16" t="n"/>
      <c r="H365" s="17">
        <f>IF($G365="","",IFERROR(_xlfn.XLOOKUP($G365,nrCHname,nrCHnum),IFERROR(_xlfn.XLOOKUP($G365,nrSUBname,nrSUBparent),"")))</f>
        <v/>
      </c>
      <c r="I365" s="16" t="n"/>
      <c r="J365" s="16" t="n"/>
      <c r="K365" s="17">
        <f>IF($B365="","",IFERROR(_xlfn.XLOOKUP($B365,nrCDdate,nrCDweek),""))</f>
        <v/>
      </c>
      <c r="L365" s="17">
        <f>IF($B365="","",IFERROR(_xlfn.XLOOKUP($B365,nrCDdate,nrCDnum),""))</f>
        <v/>
      </c>
      <c r="M365" s="16" t="n"/>
      <c r="N365" s="17">
        <f>IF(OR($B365="",$I365=""),"",_xlfn.LET(_xlpm.a,$I365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65" s="17">
        <f>IF(OR($B365="",$D365="",$E365=""),"",IF($E365=$D365,"CHECK TIMES (start = end)",IF($F365&gt;12,"CHECK TIMES (End is before Start?)","OK")))</f>
        <v/>
      </c>
      <c r="P365" s="17">
        <f>IF(OR($B365="",$I365=""),"",IF(IFERROR(MATCH($G365,nrBankTopics,0),0)=0,"OK",IF(COUNTA(INDEX(nrBankGrid,IFERROR(MATCH($G365,nrBankTopics,0),1),0))=0,"OK",IF(SUMPRODUCT((nrInstrNames&lt;&gt;"")*ISNUMBER(SEARCH(nrInstrNames,$I365))*(COUNTIF(INDEX(nrBankGrid,IFERROR(MATCH($G365,nrBankTopics,0),1),0),nrInstrNames)&gt;0))&lt;SUMPRODUCT((nrInstrNames&lt;&gt;"")*ISNUMBER(SEARCH(nrInstrNames,$I365))),"NOT IN BANK","OK"))))</f>
        <v/>
      </c>
    </row>
    <row r="366">
      <c r="B366" s="18" t="n"/>
      <c r="C366" s="17">
        <f>IF($B366="","",TEXT($B366,"ddd"))</f>
        <v/>
      </c>
      <c r="D366" s="41" t="n"/>
      <c r="E366" s="41" t="n"/>
      <c r="F366" s="17">
        <f>IF(OR($B366="",$D366="",$E366=""),"",ROUND(MOD($E366-$D366,1)*24,2))</f>
        <v/>
      </c>
      <c r="G366" s="16" t="n"/>
      <c r="H366" s="17">
        <f>IF($G366="","",IFERROR(_xlfn.XLOOKUP($G366,nrCHname,nrCHnum),IFERROR(_xlfn.XLOOKUP($G366,nrSUBname,nrSUBparent),"")))</f>
        <v/>
      </c>
      <c r="I366" s="16" t="n"/>
      <c r="J366" s="16" t="n"/>
      <c r="K366" s="17">
        <f>IF($B366="","",IFERROR(_xlfn.XLOOKUP($B366,nrCDdate,nrCDweek),""))</f>
        <v/>
      </c>
      <c r="L366" s="17">
        <f>IF($B366="","",IFERROR(_xlfn.XLOOKUP($B366,nrCDdate,nrCDnum),""))</f>
        <v/>
      </c>
      <c r="M366" s="16" t="n"/>
      <c r="N366" s="17">
        <f>IF(OR($B366="",$I366=""),"",_xlfn.LET(_xlpm.a,$I366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66" s="17">
        <f>IF(OR($B366="",$D366="",$E366=""),"",IF($E366=$D366,"CHECK TIMES (start = end)",IF($F366&gt;12,"CHECK TIMES (End is before Start?)","OK")))</f>
        <v/>
      </c>
      <c r="P366" s="17">
        <f>IF(OR($B366="",$I366=""),"",IF(IFERROR(MATCH($G366,nrBankTopics,0),0)=0,"OK",IF(COUNTA(INDEX(nrBankGrid,IFERROR(MATCH($G366,nrBankTopics,0),1),0))=0,"OK",IF(SUMPRODUCT((nrInstrNames&lt;&gt;"")*ISNUMBER(SEARCH(nrInstrNames,$I366))*(COUNTIF(INDEX(nrBankGrid,IFERROR(MATCH($G366,nrBankTopics,0),1),0),nrInstrNames)&gt;0))&lt;SUMPRODUCT((nrInstrNames&lt;&gt;"")*ISNUMBER(SEARCH(nrInstrNames,$I366))),"NOT IN BANK","OK"))))</f>
        <v/>
      </c>
    </row>
    <row r="367">
      <c r="B367" s="18" t="n"/>
      <c r="C367" s="17">
        <f>IF($B367="","",TEXT($B367,"ddd"))</f>
        <v/>
      </c>
      <c r="D367" s="41" t="n"/>
      <c r="E367" s="41" t="n"/>
      <c r="F367" s="17">
        <f>IF(OR($B367="",$D367="",$E367=""),"",ROUND(MOD($E367-$D367,1)*24,2))</f>
        <v/>
      </c>
      <c r="G367" s="16" t="n"/>
      <c r="H367" s="17">
        <f>IF($G367="","",IFERROR(_xlfn.XLOOKUP($G367,nrCHname,nrCHnum),IFERROR(_xlfn.XLOOKUP($G367,nrSUBname,nrSUBparent),"")))</f>
        <v/>
      </c>
      <c r="I367" s="16" t="n"/>
      <c r="J367" s="16" t="n"/>
      <c r="K367" s="17">
        <f>IF($B367="","",IFERROR(_xlfn.XLOOKUP($B367,nrCDdate,nrCDweek),""))</f>
        <v/>
      </c>
      <c r="L367" s="17">
        <f>IF($B367="","",IFERROR(_xlfn.XLOOKUP($B367,nrCDdate,nrCDnum),""))</f>
        <v/>
      </c>
      <c r="M367" s="16" t="n"/>
      <c r="N367" s="17">
        <f>IF(OR($B367="",$I367=""),"",_xlfn.LET(_xlpm.a,$I367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67" s="17">
        <f>IF(OR($B367="",$D367="",$E367=""),"",IF($E367=$D367,"CHECK TIMES (start = end)",IF($F367&gt;12,"CHECK TIMES (End is before Start?)","OK")))</f>
        <v/>
      </c>
      <c r="P367" s="17">
        <f>IF(OR($B367="",$I367=""),"",IF(IFERROR(MATCH($G367,nrBankTopics,0),0)=0,"OK",IF(COUNTA(INDEX(nrBankGrid,IFERROR(MATCH($G367,nrBankTopics,0),1),0))=0,"OK",IF(SUMPRODUCT((nrInstrNames&lt;&gt;"")*ISNUMBER(SEARCH(nrInstrNames,$I367))*(COUNTIF(INDEX(nrBankGrid,IFERROR(MATCH($G367,nrBankTopics,0),1),0),nrInstrNames)&gt;0))&lt;SUMPRODUCT((nrInstrNames&lt;&gt;"")*ISNUMBER(SEARCH(nrInstrNames,$I367))),"NOT IN BANK","OK"))))</f>
        <v/>
      </c>
    </row>
    <row r="368">
      <c r="B368" s="18" t="n"/>
      <c r="C368" s="17">
        <f>IF($B368="","",TEXT($B368,"ddd"))</f>
        <v/>
      </c>
      <c r="D368" s="41" t="n"/>
      <c r="E368" s="41" t="n"/>
      <c r="F368" s="17">
        <f>IF(OR($B368="",$D368="",$E368=""),"",ROUND(MOD($E368-$D368,1)*24,2))</f>
        <v/>
      </c>
      <c r="G368" s="16" t="n"/>
      <c r="H368" s="17">
        <f>IF($G368="","",IFERROR(_xlfn.XLOOKUP($G368,nrCHname,nrCHnum),IFERROR(_xlfn.XLOOKUP($G368,nrSUBname,nrSUBparent),"")))</f>
        <v/>
      </c>
      <c r="I368" s="16" t="n"/>
      <c r="J368" s="16" t="n"/>
      <c r="K368" s="17">
        <f>IF($B368="","",IFERROR(_xlfn.XLOOKUP($B368,nrCDdate,nrCDweek),""))</f>
        <v/>
      </c>
      <c r="L368" s="17">
        <f>IF($B368="","",IFERROR(_xlfn.XLOOKUP($B368,nrCDdate,nrCDnum),""))</f>
        <v/>
      </c>
      <c r="M368" s="16" t="n"/>
      <c r="N368" s="17">
        <f>IF(OR($B368="",$I368=""),"",_xlfn.LET(_xlpm.a,$I368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68" s="17">
        <f>IF(OR($B368="",$D368="",$E368=""),"",IF($E368=$D368,"CHECK TIMES (start = end)",IF($F368&gt;12,"CHECK TIMES (End is before Start?)","OK")))</f>
        <v/>
      </c>
      <c r="P368" s="17">
        <f>IF(OR($B368="",$I368=""),"",IF(IFERROR(MATCH($G368,nrBankTopics,0),0)=0,"OK",IF(COUNTA(INDEX(nrBankGrid,IFERROR(MATCH($G368,nrBankTopics,0),1),0))=0,"OK",IF(SUMPRODUCT((nrInstrNames&lt;&gt;"")*ISNUMBER(SEARCH(nrInstrNames,$I368))*(COUNTIF(INDEX(nrBankGrid,IFERROR(MATCH($G368,nrBankTopics,0),1),0),nrInstrNames)&gt;0))&lt;SUMPRODUCT((nrInstrNames&lt;&gt;"")*ISNUMBER(SEARCH(nrInstrNames,$I368))),"NOT IN BANK","OK"))))</f>
        <v/>
      </c>
    </row>
    <row r="369">
      <c r="B369" s="18" t="n"/>
      <c r="C369" s="17">
        <f>IF($B369="","",TEXT($B369,"ddd"))</f>
        <v/>
      </c>
      <c r="D369" s="41" t="n"/>
      <c r="E369" s="41" t="n"/>
      <c r="F369" s="17">
        <f>IF(OR($B369="",$D369="",$E369=""),"",ROUND(MOD($E369-$D369,1)*24,2))</f>
        <v/>
      </c>
      <c r="G369" s="16" t="n"/>
      <c r="H369" s="17">
        <f>IF($G369="","",IFERROR(_xlfn.XLOOKUP($G369,nrCHname,nrCHnum),IFERROR(_xlfn.XLOOKUP($G369,nrSUBname,nrSUBparent),"")))</f>
        <v/>
      </c>
      <c r="I369" s="16" t="n"/>
      <c r="J369" s="16" t="n"/>
      <c r="K369" s="17">
        <f>IF($B369="","",IFERROR(_xlfn.XLOOKUP($B369,nrCDdate,nrCDweek),""))</f>
        <v/>
      </c>
      <c r="L369" s="17">
        <f>IF($B369="","",IFERROR(_xlfn.XLOOKUP($B369,nrCDdate,nrCDnum),""))</f>
        <v/>
      </c>
      <c r="M369" s="16" t="n"/>
      <c r="N369" s="17">
        <f>IF(OR($B369="",$I369=""),"",_xlfn.LET(_xlpm.a,$I369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69" s="17">
        <f>IF(OR($B369="",$D369="",$E369=""),"",IF($E369=$D369,"CHECK TIMES (start = end)",IF($F369&gt;12,"CHECK TIMES (End is before Start?)","OK")))</f>
        <v/>
      </c>
      <c r="P369" s="17">
        <f>IF(OR($B369="",$I369=""),"",IF(IFERROR(MATCH($G369,nrBankTopics,0),0)=0,"OK",IF(COUNTA(INDEX(nrBankGrid,IFERROR(MATCH($G369,nrBankTopics,0),1),0))=0,"OK",IF(SUMPRODUCT((nrInstrNames&lt;&gt;"")*ISNUMBER(SEARCH(nrInstrNames,$I369))*(COUNTIF(INDEX(nrBankGrid,IFERROR(MATCH($G369,nrBankTopics,0),1),0),nrInstrNames)&gt;0))&lt;SUMPRODUCT((nrInstrNames&lt;&gt;"")*ISNUMBER(SEARCH(nrInstrNames,$I369))),"NOT IN BANK","OK"))))</f>
        <v/>
      </c>
    </row>
    <row r="370">
      <c r="B370" s="18" t="n"/>
      <c r="C370" s="17">
        <f>IF($B370="","",TEXT($B370,"ddd"))</f>
        <v/>
      </c>
      <c r="D370" s="41" t="n"/>
      <c r="E370" s="41" t="n"/>
      <c r="F370" s="17">
        <f>IF(OR($B370="",$D370="",$E370=""),"",ROUND(MOD($E370-$D370,1)*24,2))</f>
        <v/>
      </c>
      <c r="G370" s="16" t="n"/>
      <c r="H370" s="17">
        <f>IF($G370="","",IFERROR(_xlfn.XLOOKUP($G370,nrCHname,nrCHnum),IFERROR(_xlfn.XLOOKUP($G370,nrSUBname,nrSUBparent),"")))</f>
        <v/>
      </c>
      <c r="I370" s="16" t="n"/>
      <c r="J370" s="16" t="n"/>
      <c r="K370" s="17">
        <f>IF($B370="","",IFERROR(_xlfn.XLOOKUP($B370,nrCDdate,nrCDweek),""))</f>
        <v/>
      </c>
      <c r="L370" s="17">
        <f>IF($B370="","",IFERROR(_xlfn.XLOOKUP($B370,nrCDdate,nrCDnum),""))</f>
        <v/>
      </c>
      <c r="M370" s="16" t="n"/>
      <c r="N370" s="17">
        <f>IF(OR($B370="",$I370=""),"",_xlfn.LET(_xlpm.a,$I370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70" s="17">
        <f>IF(OR($B370="",$D370="",$E370=""),"",IF($E370=$D370,"CHECK TIMES (start = end)",IF($F370&gt;12,"CHECK TIMES (End is before Start?)","OK")))</f>
        <v/>
      </c>
      <c r="P370" s="17">
        <f>IF(OR($B370="",$I370=""),"",IF(IFERROR(MATCH($G370,nrBankTopics,0),0)=0,"OK",IF(COUNTA(INDEX(nrBankGrid,IFERROR(MATCH($G370,nrBankTopics,0),1),0))=0,"OK",IF(SUMPRODUCT((nrInstrNames&lt;&gt;"")*ISNUMBER(SEARCH(nrInstrNames,$I370))*(COUNTIF(INDEX(nrBankGrid,IFERROR(MATCH($G370,nrBankTopics,0),1),0),nrInstrNames)&gt;0))&lt;SUMPRODUCT((nrInstrNames&lt;&gt;"")*ISNUMBER(SEARCH(nrInstrNames,$I370))),"NOT IN BANK","OK"))))</f>
        <v/>
      </c>
    </row>
    <row r="371">
      <c r="B371" s="18" t="n"/>
      <c r="C371" s="17">
        <f>IF($B371="","",TEXT($B371,"ddd"))</f>
        <v/>
      </c>
      <c r="D371" s="41" t="n"/>
      <c r="E371" s="41" t="n"/>
      <c r="F371" s="17">
        <f>IF(OR($B371="",$D371="",$E371=""),"",ROUND(MOD($E371-$D371,1)*24,2))</f>
        <v/>
      </c>
      <c r="G371" s="16" t="n"/>
      <c r="H371" s="17">
        <f>IF($G371="","",IFERROR(_xlfn.XLOOKUP($G371,nrCHname,nrCHnum),IFERROR(_xlfn.XLOOKUP($G371,nrSUBname,nrSUBparent),"")))</f>
        <v/>
      </c>
      <c r="I371" s="16" t="n"/>
      <c r="J371" s="16" t="n"/>
      <c r="K371" s="17">
        <f>IF($B371="","",IFERROR(_xlfn.XLOOKUP($B371,nrCDdate,nrCDweek),""))</f>
        <v/>
      </c>
      <c r="L371" s="17">
        <f>IF($B371="","",IFERROR(_xlfn.XLOOKUP($B371,nrCDdate,nrCDnum),""))</f>
        <v/>
      </c>
      <c r="M371" s="16" t="n"/>
      <c r="N371" s="17">
        <f>IF(OR($B371="",$I371=""),"",_xlfn.LET(_xlpm.a,$I371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71" s="17">
        <f>IF(OR($B371="",$D371="",$E371=""),"",IF($E371=$D371,"CHECK TIMES (start = end)",IF($F371&gt;12,"CHECK TIMES (End is before Start?)","OK")))</f>
        <v/>
      </c>
      <c r="P371" s="17">
        <f>IF(OR($B371="",$I371=""),"",IF(IFERROR(MATCH($G371,nrBankTopics,0),0)=0,"OK",IF(COUNTA(INDEX(nrBankGrid,IFERROR(MATCH($G371,nrBankTopics,0),1),0))=0,"OK",IF(SUMPRODUCT((nrInstrNames&lt;&gt;"")*ISNUMBER(SEARCH(nrInstrNames,$I371))*(COUNTIF(INDEX(nrBankGrid,IFERROR(MATCH($G371,nrBankTopics,0),1),0),nrInstrNames)&gt;0))&lt;SUMPRODUCT((nrInstrNames&lt;&gt;"")*ISNUMBER(SEARCH(nrInstrNames,$I371))),"NOT IN BANK","OK"))))</f>
        <v/>
      </c>
    </row>
    <row r="372">
      <c r="B372" s="18" t="n"/>
      <c r="C372" s="17">
        <f>IF($B372="","",TEXT($B372,"ddd"))</f>
        <v/>
      </c>
      <c r="D372" s="41" t="n"/>
      <c r="E372" s="41" t="n"/>
      <c r="F372" s="17">
        <f>IF(OR($B372="",$D372="",$E372=""),"",ROUND(MOD($E372-$D372,1)*24,2))</f>
        <v/>
      </c>
      <c r="G372" s="16" t="n"/>
      <c r="H372" s="17">
        <f>IF($G372="","",IFERROR(_xlfn.XLOOKUP($G372,nrCHname,nrCHnum),IFERROR(_xlfn.XLOOKUP($G372,nrSUBname,nrSUBparent),"")))</f>
        <v/>
      </c>
      <c r="I372" s="16" t="n"/>
      <c r="J372" s="16" t="n"/>
      <c r="K372" s="17">
        <f>IF($B372="","",IFERROR(_xlfn.XLOOKUP($B372,nrCDdate,nrCDweek),""))</f>
        <v/>
      </c>
      <c r="L372" s="17">
        <f>IF($B372="","",IFERROR(_xlfn.XLOOKUP($B372,nrCDdate,nrCDnum),""))</f>
        <v/>
      </c>
      <c r="M372" s="16" t="n"/>
      <c r="N372" s="17">
        <f>IF(OR($B372="",$I372=""),"",_xlfn.LET(_xlpm.a,$I372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72" s="17">
        <f>IF(OR($B372="",$D372="",$E372=""),"",IF($E372=$D372,"CHECK TIMES (start = end)",IF($F372&gt;12,"CHECK TIMES (End is before Start?)","OK")))</f>
        <v/>
      </c>
      <c r="P372" s="17">
        <f>IF(OR($B372="",$I372=""),"",IF(IFERROR(MATCH($G372,nrBankTopics,0),0)=0,"OK",IF(COUNTA(INDEX(nrBankGrid,IFERROR(MATCH($G372,nrBankTopics,0),1),0))=0,"OK",IF(SUMPRODUCT((nrInstrNames&lt;&gt;"")*ISNUMBER(SEARCH(nrInstrNames,$I372))*(COUNTIF(INDEX(nrBankGrid,IFERROR(MATCH($G372,nrBankTopics,0),1),0),nrInstrNames)&gt;0))&lt;SUMPRODUCT((nrInstrNames&lt;&gt;"")*ISNUMBER(SEARCH(nrInstrNames,$I372))),"NOT IN BANK","OK"))))</f>
        <v/>
      </c>
    </row>
    <row r="373">
      <c r="B373" s="18" t="n"/>
      <c r="C373" s="17">
        <f>IF($B373="","",TEXT($B373,"ddd"))</f>
        <v/>
      </c>
      <c r="D373" s="41" t="n"/>
      <c r="E373" s="41" t="n"/>
      <c r="F373" s="17">
        <f>IF(OR($B373="",$D373="",$E373=""),"",ROUND(MOD($E373-$D373,1)*24,2))</f>
        <v/>
      </c>
      <c r="G373" s="16" t="n"/>
      <c r="H373" s="17">
        <f>IF($G373="","",IFERROR(_xlfn.XLOOKUP($G373,nrCHname,nrCHnum),IFERROR(_xlfn.XLOOKUP($G373,nrSUBname,nrSUBparent),"")))</f>
        <v/>
      </c>
      <c r="I373" s="16" t="n"/>
      <c r="J373" s="16" t="n"/>
      <c r="K373" s="17">
        <f>IF($B373="","",IFERROR(_xlfn.XLOOKUP($B373,nrCDdate,nrCDweek),""))</f>
        <v/>
      </c>
      <c r="L373" s="17">
        <f>IF($B373="","",IFERROR(_xlfn.XLOOKUP($B373,nrCDdate,nrCDnum),""))</f>
        <v/>
      </c>
      <c r="M373" s="16" t="n"/>
      <c r="N373" s="17">
        <f>IF(OR($B373="",$I373=""),"",_xlfn.LET(_xlpm.a,$I373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73" s="17">
        <f>IF(OR($B373="",$D373="",$E373=""),"",IF($E373=$D373,"CHECK TIMES (start = end)",IF($F373&gt;12,"CHECK TIMES (End is before Start?)","OK")))</f>
        <v/>
      </c>
      <c r="P373" s="17">
        <f>IF(OR($B373="",$I373=""),"",IF(IFERROR(MATCH($G373,nrBankTopics,0),0)=0,"OK",IF(COUNTA(INDEX(nrBankGrid,IFERROR(MATCH($G373,nrBankTopics,0),1),0))=0,"OK",IF(SUMPRODUCT((nrInstrNames&lt;&gt;"")*ISNUMBER(SEARCH(nrInstrNames,$I373))*(COUNTIF(INDEX(nrBankGrid,IFERROR(MATCH($G373,nrBankTopics,0),1),0),nrInstrNames)&gt;0))&lt;SUMPRODUCT((nrInstrNames&lt;&gt;"")*ISNUMBER(SEARCH(nrInstrNames,$I373))),"NOT IN BANK","OK"))))</f>
        <v/>
      </c>
    </row>
    <row r="374">
      <c r="B374" s="18" t="n"/>
      <c r="C374" s="17">
        <f>IF($B374="","",TEXT($B374,"ddd"))</f>
        <v/>
      </c>
      <c r="D374" s="41" t="n"/>
      <c r="E374" s="41" t="n"/>
      <c r="F374" s="17">
        <f>IF(OR($B374="",$D374="",$E374=""),"",ROUND(MOD($E374-$D374,1)*24,2))</f>
        <v/>
      </c>
      <c r="G374" s="16" t="n"/>
      <c r="H374" s="17">
        <f>IF($G374="","",IFERROR(_xlfn.XLOOKUP($G374,nrCHname,nrCHnum),IFERROR(_xlfn.XLOOKUP($G374,nrSUBname,nrSUBparent),"")))</f>
        <v/>
      </c>
      <c r="I374" s="16" t="n"/>
      <c r="J374" s="16" t="n"/>
      <c r="K374" s="17">
        <f>IF($B374="","",IFERROR(_xlfn.XLOOKUP($B374,nrCDdate,nrCDweek),""))</f>
        <v/>
      </c>
      <c r="L374" s="17">
        <f>IF($B374="","",IFERROR(_xlfn.XLOOKUP($B374,nrCDdate,nrCDnum),""))</f>
        <v/>
      </c>
      <c r="M374" s="16" t="n"/>
      <c r="N374" s="17">
        <f>IF(OR($B374="",$I374=""),"",_xlfn.LET(_xlpm.a,$I374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74" s="17">
        <f>IF(OR($B374="",$D374="",$E374=""),"",IF($E374=$D374,"CHECK TIMES (start = end)",IF($F374&gt;12,"CHECK TIMES (End is before Start?)","OK")))</f>
        <v/>
      </c>
      <c r="P374" s="17">
        <f>IF(OR($B374="",$I374=""),"",IF(IFERROR(MATCH($G374,nrBankTopics,0),0)=0,"OK",IF(COUNTA(INDEX(nrBankGrid,IFERROR(MATCH($G374,nrBankTopics,0),1),0))=0,"OK",IF(SUMPRODUCT((nrInstrNames&lt;&gt;"")*ISNUMBER(SEARCH(nrInstrNames,$I374))*(COUNTIF(INDEX(nrBankGrid,IFERROR(MATCH($G374,nrBankTopics,0),1),0),nrInstrNames)&gt;0))&lt;SUMPRODUCT((nrInstrNames&lt;&gt;"")*ISNUMBER(SEARCH(nrInstrNames,$I374))),"NOT IN BANK","OK"))))</f>
        <v/>
      </c>
    </row>
    <row r="375">
      <c r="B375" s="18" t="n"/>
      <c r="C375" s="17">
        <f>IF($B375="","",TEXT($B375,"ddd"))</f>
        <v/>
      </c>
      <c r="D375" s="41" t="n"/>
      <c r="E375" s="41" t="n"/>
      <c r="F375" s="17">
        <f>IF(OR($B375="",$D375="",$E375=""),"",ROUND(MOD($E375-$D375,1)*24,2))</f>
        <v/>
      </c>
      <c r="G375" s="16" t="n"/>
      <c r="H375" s="17">
        <f>IF($G375="","",IFERROR(_xlfn.XLOOKUP($G375,nrCHname,nrCHnum),IFERROR(_xlfn.XLOOKUP($G375,nrSUBname,nrSUBparent),"")))</f>
        <v/>
      </c>
      <c r="I375" s="16" t="n"/>
      <c r="J375" s="16" t="n"/>
      <c r="K375" s="17">
        <f>IF($B375="","",IFERROR(_xlfn.XLOOKUP($B375,nrCDdate,nrCDweek),""))</f>
        <v/>
      </c>
      <c r="L375" s="17">
        <f>IF($B375="","",IFERROR(_xlfn.XLOOKUP($B375,nrCDdate,nrCDnum),""))</f>
        <v/>
      </c>
      <c r="M375" s="16" t="n"/>
      <c r="N375" s="17">
        <f>IF(OR($B375="",$I375=""),"",_xlfn.LET(_xlpm.a,$I375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75" s="17">
        <f>IF(OR($B375="",$D375="",$E375=""),"",IF($E375=$D375,"CHECK TIMES (start = end)",IF($F375&gt;12,"CHECK TIMES (End is before Start?)","OK")))</f>
        <v/>
      </c>
      <c r="P375" s="17">
        <f>IF(OR($B375="",$I375=""),"",IF(IFERROR(MATCH($G375,nrBankTopics,0),0)=0,"OK",IF(COUNTA(INDEX(nrBankGrid,IFERROR(MATCH($G375,nrBankTopics,0),1),0))=0,"OK",IF(SUMPRODUCT((nrInstrNames&lt;&gt;"")*ISNUMBER(SEARCH(nrInstrNames,$I375))*(COUNTIF(INDEX(nrBankGrid,IFERROR(MATCH($G375,nrBankTopics,0),1),0),nrInstrNames)&gt;0))&lt;SUMPRODUCT((nrInstrNames&lt;&gt;"")*ISNUMBER(SEARCH(nrInstrNames,$I375))),"NOT IN BANK","OK"))))</f>
        <v/>
      </c>
    </row>
    <row r="376">
      <c r="B376" s="18" t="n"/>
      <c r="C376" s="17">
        <f>IF($B376="","",TEXT($B376,"ddd"))</f>
        <v/>
      </c>
      <c r="D376" s="41" t="n"/>
      <c r="E376" s="41" t="n"/>
      <c r="F376" s="17">
        <f>IF(OR($B376="",$D376="",$E376=""),"",ROUND(MOD($E376-$D376,1)*24,2))</f>
        <v/>
      </c>
      <c r="G376" s="16" t="n"/>
      <c r="H376" s="17">
        <f>IF($G376="","",IFERROR(_xlfn.XLOOKUP($G376,nrCHname,nrCHnum),IFERROR(_xlfn.XLOOKUP($G376,nrSUBname,nrSUBparent),"")))</f>
        <v/>
      </c>
      <c r="I376" s="16" t="n"/>
      <c r="J376" s="16" t="n"/>
      <c r="K376" s="17">
        <f>IF($B376="","",IFERROR(_xlfn.XLOOKUP($B376,nrCDdate,nrCDweek),""))</f>
        <v/>
      </c>
      <c r="L376" s="17">
        <f>IF($B376="","",IFERROR(_xlfn.XLOOKUP($B376,nrCDdate,nrCDnum),""))</f>
        <v/>
      </c>
      <c r="M376" s="16" t="n"/>
      <c r="N376" s="17">
        <f>IF(OR($B376="",$I376=""),"",_xlfn.LET(_xlpm.a,$I376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76" s="17">
        <f>IF(OR($B376="",$D376="",$E376=""),"",IF($E376=$D376,"CHECK TIMES (start = end)",IF($F376&gt;12,"CHECK TIMES (End is before Start?)","OK")))</f>
        <v/>
      </c>
      <c r="P376" s="17">
        <f>IF(OR($B376="",$I376=""),"",IF(IFERROR(MATCH($G376,nrBankTopics,0),0)=0,"OK",IF(COUNTA(INDEX(nrBankGrid,IFERROR(MATCH($G376,nrBankTopics,0),1),0))=0,"OK",IF(SUMPRODUCT((nrInstrNames&lt;&gt;"")*ISNUMBER(SEARCH(nrInstrNames,$I376))*(COUNTIF(INDEX(nrBankGrid,IFERROR(MATCH($G376,nrBankTopics,0),1),0),nrInstrNames)&gt;0))&lt;SUMPRODUCT((nrInstrNames&lt;&gt;"")*ISNUMBER(SEARCH(nrInstrNames,$I376))),"NOT IN BANK","OK"))))</f>
        <v/>
      </c>
    </row>
    <row r="377">
      <c r="B377" s="18" t="n"/>
      <c r="C377" s="17">
        <f>IF($B377="","",TEXT($B377,"ddd"))</f>
        <v/>
      </c>
      <c r="D377" s="41" t="n"/>
      <c r="E377" s="41" t="n"/>
      <c r="F377" s="17">
        <f>IF(OR($B377="",$D377="",$E377=""),"",ROUND(MOD($E377-$D377,1)*24,2))</f>
        <v/>
      </c>
      <c r="G377" s="16" t="n"/>
      <c r="H377" s="17">
        <f>IF($G377="","",IFERROR(_xlfn.XLOOKUP($G377,nrCHname,nrCHnum),IFERROR(_xlfn.XLOOKUP($G377,nrSUBname,nrSUBparent),"")))</f>
        <v/>
      </c>
      <c r="I377" s="16" t="n"/>
      <c r="J377" s="16" t="n"/>
      <c r="K377" s="17">
        <f>IF($B377="","",IFERROR(_xlfn.XLOOKUP($B377,nrCDdate,nrCDweek),""))</f>
        <v/>
      </c>
      <c r="L377" s="17">
        <f>IF($B377="","",IFERROR(_xlfn.XLOOKUP($B377,nrCDdate,nrCDnum),""))</f>
        <v/>
      </c>
      <c r="M377" s="16" t="n"/>
      <c r="N377" s="17">
        <f>IF(OR($B377="",$I377=""),"",_xlfn.LET(_xlpm.a,$I377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77" s="17">
        <f>IF(OR($B377="",$D377="",$E377=""),"",IF($E377=$D377,"CHECK TIMES (start = end)",IF($F377&gt;12,"CHECK TIMES (End is before Start?)","OK")))</f>
        <v/>
      </c>
      <c r="P377" s="17">
        <f>IF(OR($B377="",$I377=""),"",IF(IFERROR(MATCH($G377,nrBankTopics,0),0)=0,"OK",IF(COUNTA(INDEX(nrBankGrid,IFERROR(MATCH($G377,nrBankTopics,0),1),0))=0,"OK",IF(SUMPRODUCT((nrInstrNames&lt;&gt;"")*ISNUMBER(SEARCH(nrInstrNames,$I377))*(COUNTIF(INDEX(nrBankGrid,IFERROR(MATCH($G377,nrBankTopics,0),1),0),nrInstrNames)&gt;0))&lt;SUMPRODUCT((nrInstrNames&lt;&gt;"")*ISNUMBER(SEARCH(nrInstrNames,$I377))),"NOT IN BANK","OK"))))</f>
        <v/>
      </c>
    </row>
    <row r="378">
      <c r="B378" s="18" t="n"/>
      <c r="C378" s="17">
        <f>IF($B378="","",TEXT($B378,"ddd"))</f>
        <v/>
      </c>
      <c r="D378" s="41" t="n"/>
      <c r="E378" s="41" t="n"/>
      <c r="F378" s="17">
        <f>IF(OR($B378="",$D378="",$E378=""),"",ROUND(MOD($E378-$D378,1)*24,2))</f>
        <v/>
      </c>
      <c r="G378" s="16" t="n"/>
      <c r="H378" s="17">
        <f>IF($G378="","",IFERROR(_xlfn.XLOOKUP($G378,nrCHname,nrCHnum),IFERROR(_xlfn.XLOOKUP($G378,nrSUBname,nrSUBparent),"")))</f>
        <v/>
      </c>
      <c r="I378" s="16" t="n"/>
      <c r="J378" s="16" t="n"/>
      <c r="K378" s="17">
        <f>IF($B378="","",IFERROR(_xlfn.XLOOKUP($B378,nrCDdate,nrCDweek),""))</f>
        <v/>
      </c>
      <c r="L378" s="17">
        <f>IF($B378="","",IFERROR(_xlfn.XLOOKUP($B378,nrCDdate,nrCDnum),""))</f>
        <v/>
      </c>
      <c r="M378" s="16" t="n"/>
      <c r="N378" s="17">
        <f>IF(OR($B378="",$I378=""),"",_xlfn.LET(_xlpm.a,$I378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78" s="17">
        <f>IF(OR($B378="",$D378="",$E378=""),"",IF($E378=$D378,"CHECK TIMES (start = end)",IF($F378&gt;12,"CHECK TIMES (End is before Start?)","OK")))</f>
        <v/>
      </c>
      <c r="P378" s="17">
        <f>IF(OR($B378="",$I378=""),"",IF(IFERROR(MATCH($G378,nrBankTopics,0),0)=0,"OK",IF(COUNTA(INDEX(nrBankGrid,IFERROR(MATCH($G378,nrBankTopics,0),1),0))=0,"OK",IF(SUMPRODUCT((nrInstrNames&lt;&gt;"")*ISNUMBER(SEARCH(nrInstrNames,$I378))*(COUNTIF(INDEX(nrBankGrid,IFERROR(MATCH($G378,nrBankTopics,0),1),0),nrInstrNames)&gt;0))&lt;SUMPRODUCT((nrInstrNames&lt;&gt;"")*ISNUMBER(SEARCH(nrInstrNames,$I378))),"NOT IN BANK","OK"))))</f>
        <v/>
      </c>
    </row>
    <row r="379">
      <c r="B379" s="18" t="n"/>
      <c r="C379" s="17">
        <f>IF($B379="","",TEXT($B379,"ddd"))</f>
        <v/>
      </c>
      <c r="D379" s="41" t="n"/>
      <c r="E379" s="41" t="n"/>
      <c r="F379" s="17">
        <f>IF(OR($B379="",$D379="",$E379=""),"",ROUND(MOD($E379-$D379,1)*24,2))</f>
        <v/>
      </c>
      <c r="G379" s="16" t="n"/>
      <c r="H379" s="17">
        <f>IF($G379="","",IFERROR(_xlfn.XLOOKUP($G379,nrCHname,nrCHnum),IFERROR(_xlfn.XLOOKUP($G379,nrSUBname,nrSUBparent),"")))</f>
        <v/>
      </c>
      <c r="I379" s="16" t="n"/>
      <c r="J379" s="16" t="n"/>
      <c r="K379" s="17">
        <f>IF($B379="","",IFERROR(_xlfn.XLOOKUP($B379,nrCDdate,nrCDweek),""))</f>
        <v/>
      </c>
      <c r="L379" s="17">
        <f>IF($B379="","",IFERROR(_xlfn.XLOOKUP($B379,nrCDdate,nrCDnum),""))</f>
        <v/>
      </c>
      <c r="M379" s="16" t="n"/>
      <c r="N379" s="17">
        <f>IF(OR($B379="",$I379=""),"",_xlfn.LET(_xlpm.a,$I379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79" s="17">
        <f>IF(OR($B379="",$D379="",$E379=""),"",IF($E379=$D379,"CHECK TIMES (start = end)",IF($F379&gt;12,"CHECK TIMES (End is before Start?)","OK")))</f>
        <v/>
      </c>
      <c r="P379" s="17">
        <f>IF(OR($B379="",$I379=""),"",IF(IFERROR(MATCH($G379,nrBankTopics,0),0)=0,"OK",IF(COUNTA(INDEX(nrBankGrid,IFERROR(MATCH($G379,nrBankTopics,0),1),0))=0,"OK",IF(SUMPRODUCT((nrInstrNames&lt;&gt;"")*ISNUMBER(SEARCH(nrInstrNames,$I379))*(COUNTIF(INDEX(nrBankGrid,IFERROR(MATCH($G379,nrBankTopics,0),1),0),nrInstrNames)&gt;0))&lt;SUMPRODUCT((nrInstrNames&lt;&gt;"")*ISNUMBER(SEARCH(nrInstrNames,$I379))),"NOT IN BANK","OK"))))</f>
        <v/>
      </c>
    </row>
    <row r="380">
      <c r="B380" s="18" t="n"/>
      <c r="C380" s="17">
        <f>IF($B380="","",TEXT($B380,"ddd"))</f>
        <v/>
      </c>
      <c r="D380" s="41" t="n"/>
      <c r="E380" s="41" t="n"/>
      <c r="F380" s="17">
        <f>IF(OR($B380="",$D380="",$E380=""),"",ROUND(MOD($E380-$D380,1)*24,2))</f>
        <v/>
      </c>
      <c r="G380" s="16" t="n"/>
      <c r="H380" s="17">
        <f>IF($G380="","",IFERROR(_xlfn.XLOOKUP($G380,nrCHname,nrCHnum),IFERROR(_xlfn.XLOOKUP($G380,nrSUBname,nrSUBparent),"")))</f>
        <v/>
      </c>
      <c r="I380" s="16" t="n"/>
      <c r="J380" s="16" t="n"/>
      <c r="K380" s="17">
        <f>IF($B380="","",IFERROR(_xlfn.XLOOKUP($B380,nrCDdate,nrCDweek),""))</f>
        <v/>
      </c>
      <c r="L380" s="17">
        <f>IF($B380="","",IFERROR(_xlfn.XLOOKUP($B380,nrCDdate,nrCDnum),""))</f>
        <v/>
      </c>
      <c r="M380" s="16" t="n"/>
      <c r="N380" s="17">
        <f>IF(OR($B380="",$I380=""),"",_xlfn.LET(_xlpm.a,$I380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80" s="17">
        <f>IF(OR($B380="",$D380="",$E380=""),"",IF($E380=$D380,"CHECK TIMES (start = end)",IF($F380&gt;12,"CHECK TIMES (End is before Start?)","OK")))</f>
        <v/>
      </c>
      <c r="P380" s="17">
        <f>IF(OR($B380="",$I380=""),"",IF(IFERROR(MATCH($G380,nrBankTopics,0),0)=0,"OK",IF(COUNTA(INDEX(nrBankGrid,IFERROR(MATCH($G380,nrBankTopics,0),1),0))=0,"OK",IF(SUMPRODUCT((nrInstrNames&lt;&gt;"")*ISNUMBER(SEARCH(nrInstrNames,$I380))*(COUNTIF(INDEX(nrBankGrid,IFERROR(MATCH($G380,nrBankTopics,0),1),0),nrInstrNames)&gt;0))&lt;SUMPRODUCT((nrInstrNames&lt;&gt;"")*ISNUMBER(SEARCH(nrInstrNames,$I380))),"NOT IN BANK","OK"))))</f>
        <v/>
      </c>
    </row>
    <row r="381">
      <c r="B381" s="18" t="n"/>
      <c r="C381" s="17">
        <f>IF($B381="","",TEXT($B381,"ddd"))</f>
        <v/>
      </c>
      <c r="D381" s="41" t="n"/>
      <c r="E381" s="41" t="n"/>
      <c r="F381" s="17">
        <f>IF(OR($B381="",$D381="",$E381=""),"",ROUND(MOD($E381-$D381,1)*24,2))</f>
        <v/>
      </c>
      <c r="G381" s="16" t="n"/>
      <c r="H381" s="17">
        <f>IF($G381="","",IFERROR(_xlfn.XLOOKUP($G381,nrCHname,nrCHnum),IFERROR(_xlfn.XLOOKUP($G381,nrSUBname,nrSUBparent),"")))</f>
        <v/>
      </c>
      <c r="I381" s="16" t="n"/>
      <c r="J381" s="16" t="n"/>
      <c r="K381" s="17">
        <f>IF($B381="","",IFERROR(_xlfn.XLOOKUP($B381,nrCDdate,nrCDweek),""))</f>
        <v/>
      </c>
      <c r="L381" s="17">
        <f>IF($B381="","",IFERROR(_xlfn.XLOOKUP($B381,nrCDdate,nrCDnum),""))</f>
        <v/>
      </c>
      <c r="M381" s="16" t="n"/>
      <c r="N381" s="17">
        <f>IF(OR($B381="",$I381=""),"",_xlfn.LET(_xlpm.a,$I381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81" s="17">
        <f>IF(OR($B381="",$D381="",$E381=""),"",IF($E381=$D381,"CHECK TIMES (start = end)",IF($F381&gt;12,"CHECK TIMES (End is before Start?)","OK")))</f>
        <v/>
      </c>
      <c r="P381" s="17">
        <f>IF(OR($B381="",$I381=""),"",IF(IFERROR(MATCH($G381,nrBankTopics,0),0)=0,"OK",IF(COUNTA(INDEX(nrBankGrid,IFERROR(MATCH($G381,nrBankTopics,0),1),0))=0,"OK",IF(SUMPRODUCT((nrInstrNames&lt;&gt;"")*ISNUMBER(SEARCH(nrInstrNames,$I381))*(COUNTIF(INDEX(nrBankGrid,IFERROR(MATCH($G381,nrBankTopics,0),1),0),nrInstrNames)&gt;0))&lt;SUMPRODUCT((nrInstrNames&lt;&gt;"")*ISNUMBER(SEARCH(nrInstrNames,$I381))),"NOT IN BANK","OK"))))</f>
        <v/>
      </c>
    </row>
    <row r="382">
      <c r="B382" s="18" t="n"/>
      <c r="C382" s="17">
        <f>IF($B382="","",TEXT($B382,"ddd"))</f>
        <v/>
      </c>
      <c r="D382" s="41" t="n"/>
      <c r="E382" s="41" t="n"/>
      <c r="F382" s="17">
        <f>IF(OR($B382="",$D382="",$E382=""),"",ROUND(MOD($E382-$D382,1)*24,2))</f>
        <v/>
      </c>
      <c r="G382" s="16" t="n"/>
      <c r="H382" s="17">
        <f>IF($G382="","",IFERROR(_xlfn.XLOOKUP($G382,nrCHname,nrCHnum),IFERROR(_xlfn.XLOOKUP($G382,nrSUBname,nrSUBparent),"")))</f>
        <v/>
      </c>
      <c r="I382" s="16" t="n"/>
      <c r="J382" s="16" t="n"/>
      <c r="K382" s="17">
        <f>IF($B382="","",IFERROR(_xlfn.XLOOKUP($B382,nrCDdate,nrCDweek),""))</f>
        <v/>
      </c>
      <c r="L382" s="17">
        <f>IF($B382="","",IFERROR(_xlfn.XLOOKUP($B382,nrCDdate,nrCDnum),""))</f>
        <v/>
      </c>
      <c r="M382" s="16" t="n"/>
      <c r="N382" s="17">
        <f>IF(OR($B382="",$I382=""),"",_xlfn.LET(_xlpm.a,$I382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82" s="17">
        <f>IF(OR($B382="",$D382="",$E382=""),"",IF($E382=$D382,"CHECK TIMES (start = end)",IF($F382&gt;12,"CHECK TIMES (End is before Start?)","OK")))</f>
        <v/>
      </c>
      <c r="P382" s="17">
        <f>IF(OR($B382="",$I382=""),"",IF(IFERROR(MATCH($G382,nrBankTopics,0),0)=0,"OK",IF(COUNTA(INDEX(nrBankGrid,IFERROR(MATCH($G382,nrBankTopics,0),1),0))=0,"OK",IF(SUMPRODUCT((nrInstrNames&lt;&gt;"")*ISNUMBER(SEARCH(nrInstrNames,$I382))*(COUNTIF(INDEX(nrBankGrid,IFERROR(MATCH($G382,nrBankTopics,0),1),0),nrInstrNames)&gt;0))&lt;SUMPRODUCT((nrInstrNames&lt;&gt;"")*ISNUMBER(SEARCH(nrInstrNames,$I382))),"NOT IN BANK","OK"))))</f>
        <v/>
      </c>
    </row>
    <row r="383">
      <c r="B383" s="18" t="n"/>
      <c r="C383" s="17">
        <f>IF($B383="","",TEXT($B383,"ddd"))</f>
        <v/>
      </c>
      <c r="D383" s="41" t="n"/>
      <c r="E383" s="41" t="n"/>
      <c r="F383" s="17">
        <f>IF(OR($B383="",$D383="",$E383=""),"",ROUND(MOD($E383-$D383,1)*24,2))</f>
        <v/>
      </c>
      <c r="G383" s="16" t="n"/>
      <c r="H383" s="17">
        <f>IF($G383="","",IFERROR(_xlfn.XLOOKUP($G383,nrCHname,nrCHnum),IFERROR(_xlfn.XLOOKUP($G383,nrSUBname,nrSUBparent),"")))</f>
        <v/>
      </c>
      <c r="I383" s="16" t="n"/>
      <c r="J383" s="16" t="n"/>
      <c r="K383" s="17">
        <f>IF($B383="","",IFERROR(_xlfn.XLOOKUP($B383,nrCDdate,nrCDweek),""))</f>
        <v/>
      </c>
      <c r="L383" s="17">
        <f>IF($B383="","",IFERROR(_xlfn.XLOOKUP($B383,nrCDdate,nrCDnum),""))</f>
        <v/>
      </c>
      <c r="M383" s="16" t="n"/>
      <c r="N383" s="17">
        <f>IF(OR($B383="",$I383=""),"",_xlfn.LET(_xlpm.a,$I383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83" s="17">
        <f>IF(OR($B383="",$D383="",$E383=""),"",IF($E383=$D383,"CHECK TIMES (start = end)",IF($F383&gt;12,"CHECK TIMES (End is before Start?)","OK")))</f>
        <v/>
      </c>
      <c r="P383" s="17">
        <f>IF(OR($B383="",$I383=""),"",IF(IFERROR(MATCH($G383,nrBankTopics,0),0)=0,"OK",IF(COUNTA(INDEX(nrBankGrid,IFERROR(MATCH($G383,nrBankTopics,0),1),0))=0,"OK",IF(SUMPRODUCT((nrInstrNames&lt;&gt;"")*ISNUMBER(SEARCH(nrInstrNames,$I383))*(COUNTIF(INDEX(nrBankGrid,IFERROR(MATCH($G383,nrBankTopics,0),1),0),nrInstrNames)&gt;0))&lt;SUMPRODUCT((nrInstrNames&lt;&gt;"")*ISNUMBER(SEARCH(nrInstrNames,$I383))),"NOT IN BANK","OK"))))</f>
        <v/>
      </c>
    </row>
    <row r="384">
      <c r="B384" s="18" t="n"/>
      <c r="C384" s="17">
        <f>IF($B384="","",TEXT($B384,"ddd"))</f>
        <v/>
      </c>
      <c r="D384" s="41" t="n"/>
      <c r="E384" s="41" t="n"/>
      <c r="F384" s="17">
        <f>IF(OR($B384="",$D384="",$E384=""),"",ROUND(MOD($E384-$D384,1)*24,2))</f>
        <v/>
      </c>
      <c r="G384" s="16" t="n"/>
      <c r="H384" s="17">
        <f>IF($G384="","",IFERROR(_xlfn.XLOOKUP($G384,nrCHname,nrCHnum),IFERROR(_xlfn.XLOOKUP($G384,nrSUBname,nrSUBparent),"")))</f>
        <v/>
      </c>
      <c r="I384" s="16" t="n"/>
      <c r="J384" s="16" t="n"/>
      <c r="K384" s="17">
        <f>IF($B384="","",IFERROR(_xlfn.XLOOKUP($B384,nrCDdate,nrCDweek),""))</f>
        <v/>
      </c>
      <c r="L384" s="17">
        <f>IF($B384="","",IFERROR(_xlfn.XLOOKUP($B384,nrCDdate,nrCDnum),""))</f>
        <v/>
      </c>
      <c r="M384" s="16" t="n"/>
      <c r="N384" s="17">
        <f>IF(OR($B384="",$I384=""),"",_xlfn.LET(_xlpm.a,$I384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84" s="17">
        <f>IF(OR($B384="",$D384="",$E384=""),"",IF($E384=$D384,"CHECK TIMES (start = end)",IF($F384&gt;12,"CHECK TIMES (End is before Start?)","OK")))</f>
        <v/>
      </c>
      <c r="P384" s="17">
        <f>IF(OR($B384="",$I384=""),"",IF(IFERROR(MATCH($G384,nrBankTopics,0),0)=0,"OK",IF(COUNTA(INDEX(nrBankGrid,IFERROR(MATCH($G384,nrBankTopics,0),1),0))=0,"OK",IF(SUMPRODUCT((nrInstrNames&lt;&gt;"")*ISNUMBER(SEARCH(nrInstrNames,$I384))*(COUNTIF(INDEX(nrBankGrid,IFERROR(MATCH($G384,nrBankTopics,0),1),0),nrInstrNames)&gt;0))&lt;SUMPRODUCT((nrInstrNames&lt;&gt;"")*ISNUMBER(SEARCH(nrInstrNames,$I384))),"NOT IN BANK","OK"))))</f>
        <v/>
      </c>
    </row>
    <row r="385">
      <c r="B385" s="18" t="n"/>
      <c r="C385" s="17">
        <f>IF($B385="","",TEXT($B385,"ddd"))</f>
        <v/>
      </c>
      <c r="D385" s="41" t="n"/>
      <c r="E385" s="41" t="n"/>
      <c r="F385" s="17">
        <f>IF(OR($B385="",$D385="",$E385=""),"",ROUND(MOD($E385-$D385,1)*24,2))</f>
        <v/>
      </c>
      <c r="G385" s="16" t="n"/>
      <c r="H385" s="17">
        <f>IF($G385="","",IFERROR(_xlfn.XLOOKUP($G385,nrCHname,nrCHnum),IFERROR(_xlfn.XLOOKUP($G385,nrSUBname,nrSUBparent),"")))</f>
        <v/>
      </c>
      <c r="I385" s="16" t="n"/>
      <c r="J385" s="16" t="n"/>
      <c r="K385" s="17">
        <f>IF($B385="","",IFERROR(_xlfn.XLOOKUP($B385,nrCDdate,nrCDweek),""))</f>
        <v/>
      </c>
      <c r="L385" s="17">
        <f>IF($B385="","",IFERROR(_xlfn.XLOOKUP($B385,nrCDdate,nrCDnum),""))</f>
        <v/>
      </c>
      <c r="M385" s="16" t="n"/>
      <c r="N385" s="17">
        <f>IF(OR($B385="",$I385=""),"",_xlfn.LET(_xlpm.a,$I385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85" s="17">
        <f>IF(OR($B385="",$D385="",$E385=""),"",IF($E385=$D385,"CHECK TIMES (start = end)",IF($F385&gt;12,"CHECK TIMES (End is before Start?)","OK")))</f>
        <v/>
      </c>
      <c r="P385" s="17">
        <f>IF(OR($B385="",$I385=""),"",IF(IFERROR(MATCH($G385,nrBankTopics,0),0)=0,"OK",IF(COUNTA(INDEX(nrBankGrid,IFERROR(MATCH($G385,nrBankTopics,0),1),0))=0,"OK",IF(SUMPRODUCT((nrInstrNames&lt;&gt;"")*ISNUMBER(SEARCH(nrInstrNames,$I385))*(COUNTIF(INDEX(nrBankGrid,IFERROR(MATCH($G385,nrBankTopics,0),1),0),nrInstrNames)&gt;0))&lt;SUMPRODUCT((nrInstrNames&lt;&gt;"")*ISNUMBER(SEARCH(nrInstrNames,$I385))),"NOT IN BANK","OK"))))</f>
        <v/>
      </c>
    </row>
    <row r="386">
      <c r="B386" s="18" t="n"/>
      <c r="C386" s="17">
        <f>IF($B386="","",TEXT($B386,"ddd"))</f>
        <v/>
      </c>
      <c r="D386" s="41" t="n"/>
      <c r="E386" s="41" t="n"/>
      <c r="F386" s="17">
        <f>IF(OR($B386="",$D386="",$E386=""),"",ROUND(MOD($E386-$D386,1)*24,2))</f>
        <v/>
      </c>
      <c r="G386" s="16" t="n"/>
      <c r="H386" s="17">
        <f>IF($G386="","",IFERROR(_xlfn.XLOOKUP($G386,nrCHname,nrCHnum),IFERROR(_xlfn.XLOOKUP($G386,nrSUBname,nrSUBparent),"")))</f>
        <v/>
      </c>
      <c r="I386" s="16" t="n"/>
      <c r="J386" s="16" t="n"/>
      <c r="K386" s="17">
        <f>IF($B386="","",IFERROR(_xlfn.XLOOKUP($B386,nrCDdate,nrCDweek),""))</f>
        <v/>
      </c>
      <c r="L386" s="17">
        <f>IF($B386="","",IFERROR(_xlfn.XLOOKUP($B386,nrCDdate,nrCDnum),""))</f>
        <v/>
      </c>
      <c r="M386" s="16" t="n"/>
      <c r="N386" s="17">
        <f>IF(OR($B386="",$I386=""),"",_xlfn.LET(_xlpm.a,$I386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86" s="17">
        <f>IF(OR($B386="",$D386="",$E386=""),"",IF($E386=$D386,"CHECK TIMES (start = end)",IF($F386&gt;12,"CHECK TIMES (End is before Start?)","OK")))</f>
        <v/>
      </c>
      <c r="P386" s="17">
        <f>IF(OR($B386="",$I386=""),"",IF(IFERROR(MATCH($G386,nrBankTopics,0),0)=0,"OK",IF(COUNTA(INDEX(nrBankGrid,IFERROR(MATCH($G386,nrBankTopics,0),1),0))=0,"OK",IF(SUMPRODUCT((nrInstrNames&lt;&gt;"")*ISNUMBER(SEARCH(nrInstrNames,$I386))*(COUNTIF(INDEX(nrBankGrid,IFERROR(MATCH($G386,nrBankTopics,0),1),0),nrInstrNames)&gt;0))&lt;SUMPRODUCT((nrInstrNames&lt;&gt;"")*ISNUMBER(SEARCH(nrInstrNames,$I386))),"NOT IN BANK","OK"))))</f>
        <v/>
      </c>
    </row>
    <row r="387">
      <c r="B387" s="18" t="n"/>
      <c r="C387" s="17">
        <f>IF($B387="","",TEXT($B387,"ddd"))</f>
        <v/>
      </c>
      <c r="D387" s="41" t="n"/>
      <c r="E387" s="41" t="n"/>
      <c r="F387" s="17">
        <f>IF(OR($B387="",$D387="",$E387=""),"",ROUND(MOD($E387-$D387,1)*24,2))</f>
        <v/>
      </c>
      <c r="G387" s="16" t="n"/>
      <c r="H387" s="17">
        <f>IF($G387="","",IFERROR(_xlfn.XLOOKUP($G387,nrCHname,nrCHnum),IFERROR(_xlfn.XLOOKUP($G387,nrSUBname,nrSUBparent),"")))</f>
        <v/>
      </c>
      <c r="I387" s="16" t="n"/>
      <c r="J387" s="16" t="n"/>
      <c r="K387" s="17">
        <f>IF($B387="","",IFERROR(_xlfn.XLOOKUP($B387,nrCDdate,nrCDweek),""))</f>
        <v/>
      </c>
      <c r="L387" s="17">
        <f>IF($B387="","",IFERROR(_xlfn.XLOOKUP($B387,nrCDdate,nrCDnum),""))</f>
        <v/>
      </c>
      <c r="M387" s="16" t="n"/>
      <c r="N387" s="17">
        <f>IF(OR($B387="",$I387=""),"",_xlfn.LET(_xlpm.a,$I387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87" s="17">
        <f>IF(OR($B387="",$D387="",$E387=""),"",IF($E387=$D387,"CHECK TIMES (start = end)",IF($F387&gt;12,"CHECK TIMES (End is before Start?)","OK")))</f>
        <v/>
      </c>
      <c r="P387" s="17">
        <f>IF(OR($B387="",$I387=""),"",IF(IFERROR(MATCH($G387,nrBankTopics,0),0)=0,"OK",IF(COUNTA(INDEX(nrBankGrid,IFERROR(MATCH($G387,nrBankTopics,0),1),0))=0,"OK",IF(SUMPRODUCT((nrInstrNames&lt;&gt;"")*ISNUMBER(SEARCH(nrInstrNames,$I387))*(COUNTIF(INDEX(nrBankGrid,IFERROR(MATCH($G387,nrBankTopics,0),1),0),nrInstrNames)&gt;0))&lt;SUMPRODUCT((nrInstrNames&lt;&gt;"")*ISNUMBER(SEARCH(nrInstrNames,$I387))),"NOT IN BANK","OK"))))</f>
        <v/>
      </c>
    </row>
    <row r="388">
      <c r="B388" s="18" t="n"/>
      <c r="C388" s="17">
        <f>IF($B388="","",TEXT($B388,"ddd"))</f>
        <v/>
      </c>
      <c r="D388" s="41" t="n"/>
      <c r="E388" s="41" t="n"/>
      <c r="F388" s="17">
        <f>IF(OR($B388="",$D388="",$E388=""),"",ROUND(MOD($E388-$D388,1)*24,2))</f>
        <v/>
      </c>
      <c r="G388" s="16" t="n"/>
      <c r="H388" s="17">
        <f>IF($G388="","",IFERROR(_xlfn.XLOOKUP($G388,nrCHname,nrCHnum),IFERROR(_xlfn.XLOOKUP($G388,nrSUBname,nrSUBparent),"")))</f>
        <v/>
      </c>
      <c r="I388" s="16" t="n"/>
      <c r="J388" s="16" t="n"/>
      <c r="K388" s="17">
        <f>IF($B388="","",IFERROR(_xlfn.XLOOKUP($B388,nrCDdate,nrCDweek),""))</f>
        <v/>
      </c>
      <c r="L388" s="17">
        <f>IF($B388="","",IFERROR(_xlfn.XLOOKUP($B388,nrCDdate,nrCDnum),""))</f>
        <v/>
      </c>
      <c r="M388" s="16" t="n"/>
      <c r="N388" s="17">
        <f>IF(OR($B388="",$I388=""),"",_xlfn.LET(_xlpm.a,$I388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88" s="17">
        <f>IF(OR($B388="",$D388="",$E388=""),"",IF($E388=$D388,"CHECK TIMES (start = end)",IF($F388&gt;12,"CHECK TIMES (End is before Start?)","OK")))</f>
        <v/>
      </c>
      <c r="P388" s="17">
        <f>IF(OR($B388="",$I388=""),"",IF(IFERROR(MATCH($G388,nrBankTopics,0),0)=0,"OK",IF(COUNTA(INDEX(nrBankGrid,IFERROR(MATCH($G388,nrBankTopics,0),1),0))=0,"OK",IF(SUMPRODUCT((nrInstrNames&lt;&gt;"")*ISNUMBER(SEARCH(nrInstrNames,$I388))*(COUNTIF(INDEX(nrBankGrid,IFERROR(MATCH($G388,nrBankTopics,0),1),0),nrInstrNames)&gt;0))&lt;SUMPRODUCT((nrInstrNames&lt;&gt;"")*ISNUMBER(SEARCH(nrInstrNames,$I388))),"NOT IN BANK","OK"))))</f>
        <v/>
      </c>
    </row>
    <row r="389">
      <c r="B389" s="18" t="n"/>
      <c r="C389" s="17">
        <f>IF($B389="","",TEXT($B389,"ddd"))</f>
        <v/>
      </c>
      <c r="D389" s="41" t="n"/>
      <c r="E389" s="41" t="n"/>
      <c r="F389" s="17">
        <f>IF(OR($B389="",$D389="",$E389=""),"",ROUND(MOD($E389-$D389,1)*24,2))</f>
        <v/>
      </c>
      <c r="G389" s="16" t="n"/>
      <c r="H389" s="17">
        <f>IF($G389="","",IFERROR(_xlfn.XLOOKUP($G389,nrCHname,nrCHnum),IFERROR(_xlfn.XLOOKUP($G389,nrSUBname,nrSUBparent),"")))</f>
        <v/>
      </c>
      <c r="I389" s="16" t="n"/>
      <c r="J389" s="16" t="n"/>
      <c r="K389" s="17">
        <f>IF($B389="","",IFERROR(_xlfn.XLOOKUP($B389,nrCDdate,nrCDweek),""))</f>
        <v/>
      </c>
      <c r="L389" s="17">
        <f>IF($B389="","",IFERROR(_xlfn.XLOOKUP($B389,nrCDdate,nrCDnum),""))</f>
        <v/>
      </c>
      <c r="M389" s="16" t="n"/>
      <c r="N389" s="17">
        <f>IF(OR($B389="",$I389=""),"",_xlfn.LET(_xlpm.a,$I389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89" s="17">
        <f>IF(OR($B389="",$D389="",$E389=""),"",IF($E389=$D389,"CHECK TIMES (start = end)",IF($F389&gt;12,"CHECK TIMES (End is before Start?)","OK")))</f>
        <v/>
      </c>
      <c r="P389" s="17">
        <f>IF(OR($B389="",$I389=""),"",IF(IFERROR(MATCH($G389,nrBankTopics,0),0)=0,"OK",IF(COUNTA(INDEX(nrBankGrid,IFERROR(MATCH($G389,nrBankTopics,0),1),0))=0,"OK",IF(SUMPRODUCT((nrInstrNames&lt;&gt;"")*ISNUMBER(SEARCH(nrInstrNames,$I389))*(COUNTIF(INDEX(nrBankGrid,IFERROR(MATCH($G389,nrBankTopics,0),1),0),nrInstrNames)&gt;0))&lt;SUMPRODUCT((nrInstrNames&lt;&gt;"")*ISNUMBER(SEARCH(nrInstrNames,$I389))),"NOT IN BANK","OK"))))</f>
        <v/>
      </c>
    </row>
    <row r="390">
      <c r="B390" s="18" t="n"/>
      <c r="C390" s="17">
        <f>IF($B390="","",TEXT($B390,"ddd"))</f>
        <v/>
      </c>
      <c r="D390" s="41" t="n"/>
      <c r="E390" s="41" t="n"/>
      <c r="F390" s="17">
        <f>IF(OR($B390="",$D390="",$E390=""),"",ROUND(MOD($E390-$D390,1)*24,2))</f>
        <v/>
      </c>
      <c r="G390" s="16" t="n"/>
      <c r="H390" s="17">
        <f>IF($G390="","",IFERROR(_xlfn.XLOOKUP($G390,nrCHname,nrCHnum),IFERROR(_xlfn.XLOOKUP($G390,nrSUBname,nrSUBparent),"")))</f>
        <v/>
      </c>
      <c r="I390" s="16" t="n"/>
      <c r="J390" s="16" t="n"/>
      <c r="K390" s="17">
        <f>IF($B390="","",IFERROR(_xlfn.XLOOKUP($B390,nrCDdate,nrCDweek),""))</f>
        <v/>
      </c>
      <c r="L390" s="17">
        <f>IF($B390="","",IFERROR(_xlfn.XLOOKUP($B390,nrCDdate,nrCDnum),""))</f>
        <v/>
      </c>
      <c r="M390" s="16" t="n"/>
      <c r="N390" s="17">
        <f>IF(OR($B390="",$I390=""),"",_xlfn.LET(_xlpm.a,$I390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90" s="17">
        <f>IF(OR($B390="",$D390="",$E390=""),"",IF($E390=$D390,"CHECK TIMES (start = end)",IF($F390&gt;12,"CHECK TIMES (End is before Start?)","OK")))</f>
        <v/>
      </c>
      <c r="P390" s="17">
        <f>IF(OR($B390="",$I390=""),"",IF(IFERROR(MATCH($G390,nrBankTopics,0),0)=0,"OK",IF(COUNTA(INDEX(nrBankGrid,IFERROR(MATCH($G390,nrBankTopics,0),1),0))=0,"OK",IF(SUMPRODUCT((nrInstrNames&lt;&gt;"")*ISNUMBER(SEARCH(nrInstrNames,$I390))*(COUNTIF(INDEX(nrBankGrid,IFERROR(MATCH($G390,nrBankTopics,0),1),0),nrInstrNames)&gt;0))&lt;SUMPRODUCT((nrInstrNames&lt;&gt;"")*ISNUMBER(SEARCH(nrInstrNames,$I390))),"NOT IN BANK","OK"))))</f>
        <v/>
      </c>
    </row>
    <row r="391">
      <c r="B391" s="18" t="n"/>
      <c r="C391" s="17">
        <f>IF($B391="","",TEXT($B391,"ddd"))</f>
        <v/>
      </c>
      <c r="D391" s="41" t="n"/>
      <c r="E391" s="41" t="n"/>
      <c r="F391" s="17">
        <f>IF(OR($B391="",$D391="",$E391=""),"",ROUND(MOD($E391-$D391,1)*24,2))</f>
        <v/>
      </c>
      <c r="G391" s="16" t="n"/>
      <c r="H391" s="17">
        <f>IF($G391="","",IFERROR(_xlfn.XLOOKUP($G391,nrCHname,nrCHnum),IFERROR(_xlfn.XLOOKUP($G391,nrSUBname,nrSUBparent),"")))</f>
        <v/>
      </c>
      <c r="I391" s="16" t="n"/>
      <c r="J391" s="16" t="n"/>
      <c r="K391" s="17">
        <f>IF($B391="","",IFERROR(_xlfn.XLOOKUP($B391,nrCDdate,nrCDweek),""))</f>
        <v/>
      </c>
      <c r="L391" s="17">
        <f>IF($B391="","",IFERROR(_xlfn.XLOOKUP($B391,nrCDdate,nrCDnum),""))</f>
        <v/>
      </c>
      <c r="M391" s="16" t="n"/>
      <c r="N391" s="17">
        <f>IF(OR($B391="",$I391=""),"",_xlfn.LET(_xlpm.a,$I391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91" s="17">
        <f>IF(OR($B391="",$D391="",$E391=""),"",IF($E391=$D391,"CHECK TIMES (start = end)",IF($F391&gt;12,"CHECK TIMES (End is before Start?)","OK")))</f>
        <v/>
      </c>
      <c r="P391" s="17">
        <f>IF(OR($B391="",$I391=""),"",IF(IFERROR(MATCH($G391,nrBankTopics,0),0)=0,"OK",IF(COUNTA(INDEX(nrBankGrid,IFERROR(MATCH($G391,nrBankTopics,0),1),0))=0,"OK",IF(SUMPRODUCT((nrInstrNames&lt;&gt;"")*ISNUMBER(SEARCH(nrInstrNames,$I391))*(COUNTIF(INDEX(nrBankGrid,IFERROR(MATCH($G391,nrBankTopics,0),1),0),nrInstrNames)&gt;0))&lt;SUMPRODUCT((nrInstrNames&lt;&gt;"")*ISNUMBER(SEARCH(nrInstrNames,$I391))),"NOT IN BANK","OK"))))</f>
        <v/>
      </c>
    </row>
    <row r="392">
      <c r="B392" s="18" t="n"/>
      <c r="C392" s="17">
        <f>IF($B392="","",TEXT($B392,"ddd"))</f>
        <v/>
      </c>
      <c r="D392" s="41" t="n"/>
      <c r="E392" s="41" t="n"/>
      <c r="F392" s="17">
        <f>IF(OR($B392="",$D392="",$E392=""),"",ROUND(MOD($E392-$D392,1)*24,2))</f>
        <v/>
      </c>
      <c r="G392" s="16" t="n"/>
      <c r="H392" s="17">
        <f>IF($G392="","",IFERROR(_xlfn.XLOOKUP($G392,nrCHname,nrCHnum),IFERROR(_xlfn.XLOOKUP($G392,nrSUBname,nrSUBparent),"")))</f>
        <v/>
      </c>
      <c r="I392" s="16" t="n"/>
      <c r="J392" s="16" t="n"/>
      <c r="K392" s="17">
        <f>IF($B392="","",IFERROR(_xlfn.XLOOKUP($B392,nrCDdate,nrCDweek),""))</f>
        <v/>
      </c>
      <c r="L392" s="17">
        <f>IF($B392="","",IFERROR(_xlfn.XLOOKUP($B392,nrCDdate,nrCDnum),""))</f>
        <v/>
      </c>
      <c r="M392" s="16" t="n"/>
      <c r="N392" s="17">
        <f>IF(OR($B392="",$I392=""),"",_xlfn.LET(_xlpm.a,$I392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92" s="17">
        <f>IF(OR($B392="",$D392="",$E392=""),"",IF($E392=$D392,"CHECK TIMES (start = end)",IF($F392&gt;12,"CHECK TIMES (End is before Start?)","OK")))</f>
        <v/>
      </c>
      <c r="P392" s="17">
        <f>IF(OR($B392="",$I392=""),"",IF(IFERROR(MATCH($G392,nrBankTopics,0),0)=0,"OK",IF(COUNTA(INDEX(nrBankGrid,IFERROR(MATCH($G392,nrBankTopics,0),1),0))=0,"OK",IF(SUMPRODUCT((nrInstrNames&lt;&gt;"")*ISNUMBER(SEARCH(nrInstrNames,$I392))*(COUNTIF(INDEX(nrBankGrid,IFERROR(MATCH($G392,nrBankTopics,0),1),0),nrInstrNames)&gt;0))&lt;SUMPRODUCT((nrInstrNames&lt;&gt;"")*ISNUMBER(SEARCH(nrInstrNames,$I392))),"NOT IN BANK","OK"))))</f>
        <v/>
      </c>
    </row>
    <row r="393">
      <c r="B393" s="18" t="n"/>
      <c r="C393" s="17">
        <f>IF($B393="","",TEXT($B393,"ddd"))</f>
        <v/>
      </c>
      <c r="D393" s="41" t="n"/>
      <c r="E393" s="41" t="n"/>
      <c r="F393" s="17">
        <f>IF(OR($B393="",$D393="",$E393=""),"",ROUND(MOD($E393-$D393,1)*24,2))</f>
        <v/>
      </c>
      <c r="G393" s="16" t="n"/>
      <c r="H393" s="17">
        <f>IF($G393="","",IFERROR(_xlfn.XLOOKUP($G393,nrCHname,nrCHnum),IFERROR(_xlfn.XLOOKUP($G393,nrSUBname,nrSUBparent),"")))</f>
        <v/>
      </c>
      <c r="I393" s="16" t="n"/>
      <c r="J393" s="16" t="n"/>
      <c r="K393" s="17">
        <f>IF($B393="","",IFERROR(_xlfn.XLOOKUP($B393,nrCDdate,nrCDweek),""))</f>
        <v/>
      </c>
      <c r="L393" s="17">
        <f>IF($B393="","",IFERROR(_xlfn.XLOOKUP($B393,nrCDdate,nrCDnum),""))</f>
        <v/>
      </c>
      <c r="M393" s="16" t="n"/>
      <c r="N393" s="17">
        <f>IF(OR($B393="",$I393=""),"",_xlfn.LET(_xlpm.a,$I393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93" s="17">
        <f>IF(OR($B393="",$D393="",$E393=""),"",IF($E393=$D393,"CHECK TIMES (start = end)",IF($F393&gt;12,"CHECK TIMES (End is before Start?)","OK")))</f>
        <v/>
      </c>
      <c r="P393" s="17">
        <f>IF(OR($B393="",$I393=""),"",IF(IFERROR(MATCH($G393,nrBankTopics,0),0)=0,"OK",IF(COUNTA(INDEX(nrBankGrid,IFERROR(MATCH($G393,nrBankTopics,0),1),0))=0,"OK",IF(SUMPRODUCT((nrInstrNames&lt;&gt;"")*ISNUMBER(SEARCH(nrInstrNames,$I393))*(COUNTIF(INDEX(nrBankGrid,IFERROR(MATCH($G393,nrBankTopics,0),1),0),nrInstrNames)&gt;0))&lt;SUMPRODUCT((nrInstrNames&lt;&gt;"")*ISNUMBER(SEARCH(nrInstrNames,$I393))),"NOT IN BANK","OK"))))</f>
        <v/>
      </c>
    </row>
    <row r="394">
      <c r="B394" s="18" t="n"/>
      <c r="C394" s="17">
        <f>IF($B394="","",TEXT($B394,"ddd"))</f>
        <v/>
      </c>
      <c r="D394" s="41" t="n"/>
      <c r="E394" s="41" t="n"/>
      <c r="F394" s="17">
        <f>IF(OR($B394="",$D394="",$E394=""),"",ROUND(MOD($E394-$D394,1)*24,2))</f>
        <v/>
      </c>
      <c r="G394" s="16" t="n"/>
      <c r="H394" s="17">
        <f>IF($G394="","",IFERROR(_xlfn.XLOOKUP($G394,nrCHname,nrCHnum),IFERROR(_xlfn.XLOOKUP($G394,nrSUBname,nrSUBparent),"")))</f>
        <v/>
      </c>
      <c r="I394" s="16" t="n"/>
      <c r="J394" s="16" t="n"/>
      <c r="K394" s="17">
        <f>IF($B394="","",IFERROR(_xlfn.XLOOKUP($B394,nrCDdate,nrCDweek),""))</f>
        <v/>
      </c>
      <c r="L394" s="17">
        <f>IF($B394="","",IFERROR(_xlfn.XLOOKUP($B394,nrCDdate,nrCDnum),""))</f>
        <v/>
      </c>
      <c r="M394" s="16" t="n"/>
      <c r="N394" s="17">
        <f>IF(OR($B394="",$I394=""),"",_xlfn.LET(_xlpm.a,$I394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94" s="17">
        <f>IF(OR($B394="",$D394="",$E394=""),"",IF($E394=$D394,"CHECK TIMES (start = end)",IF($F394&gt;12,"CHECK TIMES (End is before Start?)","OK")))</f>
        <v/>
      </c>
      <c r="P394" s="17">
        <f>IF(OR($B394="",$I394=""),"",IF(IFERROR(MATCH($G394,nrBankTopics,0),0)=0,"OK",IF(COUNTA(INDEX(nrBankGrid,IFERROR(MATCH($G394,nrBankTopics,0),1),0))=0,"OK",IF(SUMPRODUCT((nrInstrNames&lt;&gt;"")*ISNUMBER(SEARCH(nrInstrNames,$I394))*(COUNTIF(INDEX(nrBankGrid,IFERROR(MATCH($G394,nrBankTopics,0),1),0),nrInstrNames)&gt;0))&lt;SUMPRODUCT((nrInstrNames&lt;&gt;"")*ISNUMBER(SEARCH(nrInstrNames,$I394))),"NOT IN BANK","OK"))))</f>
        <v/>
      </c>
    </row>
    <row r="395">
      <c r="B395" s="18" t="n"/>
      <c r="C395" s="17">
        <f>IF($B395="","",TEXT($B395,"ddd"))</f>
        <v/>
      </c>
      <c r="D395" s="41" t="n"/>
      <c r="E395" s="41" t="n"/>
      <c r="F395" s="17">
        <f>IF(OR($B395="",$D395="",$E395=""),"",ROUND(MOD($E395-$D395,1)*24,2))</f>
        <v/>
      </c>
      <c r="G395" s="16" t="n"/>
      <c r="H395" s="17">
        <f>IF($G395="","",IFERROR(_xlfn.XLOOKUP($G395,nrCHname,nrCHnum),IFERROR(_xlfn.XLOOKUP($G395,nrSUBname,nrSUBparent),"")))</f>
        <v/>
      </c>
      <c r="I395" s="16" t="n"/>
      <c r="J395" s="16" t="n"/>
      <c r="K395" s="17">
        <f>IF($B395="","",IFERROR(_xlfn.XLOOKUP($B395,nrCDdate,nrCDweek),""))</f>
        <v/>
      </c>
      <c r="L395" s="17">
        <f>IF($B395="","",IFERROR(_xlfn.XLOOKUP($B395,nrCDdate,nrCDnum),""))</f>
        <v/>
      </c>
      <c r="M395" s="16" t="n"/>
      <c r="N395" s="17">
        <f>IF(OR($B395="",$I395=""),"",_xlfn.LET(_xlpm.a,$I395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95" s="17">
        <f>IF(OR($B395="",$D395="",$E395=""),"",IF($E395=$D395,"CHECK TIMES (start = end)",IF($F395&gt;12,"CHECK TIMES (End is before Start?)","OK")))</f>
        <v/>
      </c>
      <c r="P395" s="17">
        <f>IF(OR($B395="",$I395=""),"",IF(IFERROR(MATCH($G395,nrBankTopics,0),0)=0,"OK",IF(COUNTA(INDEX(nrBankGrid,IFERROR(MATCH($G395,nrBankTopics,0),1),0))=0,"OK",IF(SUMPRODUCT((nrInstrNames&lt;&gt;"")*ISNUMBER(SEARCH(nrInstrNames,$I395))*(COUNTIF(INDEX(nrBankGrid,IFERROR(MATCH($G395,nrBankTopics,0),1),0),nrInstrNames)&gt;0))&lt;SUMPRODUCT((nrInstrNames&lt;&gt;"")*ISNUMBER(SEARCH(nrInstrNames,$I395))),"NOT IN BANK","OK"))))</f>
        <v/>
      </c>
    </row>
    <row r="396">
      <c r="B396" s="18" t="n"/>
      <c r="C396" s="17">
        <f>IF($B396="","",TEXT($B396,"ddd"))</f>
        <v/>
      </c>
      <c r="D396" s="41" t="n"/>
      <c r="E396" s="41" t="n"/>
      <c r="F396" s="17">
        <f>IF(OR($B396="",$D396="",$E396=""),"",ROUND(MOD($E396-$D396,1)*24,2))</f>
        <v/>
      </c>
      <c r="G396" s="16" t="n"/>
      <c r="H396" s="17">
        <f>IF($G396="","",IFERROR(_xlfn.XLOOKUP($G396,nrCHname,nrCHnum),IFERROR(_xlfn.XLOOKUP($G396,nrSUBname,nrSUBparent),"")))</f>
        <v/>
      </c>
      <c r="I396" s="16" t="n"/>
      <c r="J396" s="16" t="n"/>
      <c r="K396" s="17">
        <f>IF($B396="","",IFERROR(_xlfn.XLOOKUP($B396,nrCDdate,nrCDweek),""))</f>
        <v/>
      </c>
      <c r="L396" s="17">
        <f>IF($B396="","",IFERROR(_xlfn.XLOOKUP($B396,nrCDdate,nrCDnum),""))</f>
        <v/>
      </c>
      <c r="M396" s="16" t="n"/>
      <c r="N396" s="17">
        <f>IF(OR($B396="",$I396=""),"",_xlfn.LET(_xlpm.a,$I396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96" s="17">
        <f>IF(OR($B396="",$D396="",$E396=""),"",IF($E396=$D396,"CHECK TIMES (start = end)",IF($F396&gt;12,"CHECK TIMES (End is before Start?)","OK")))</f>
        <v/>
      </c>
      <c r="P396" s="17">
        <f>IF(OR($B396="",$I396=""),"",IF(IFERROR(MATCH($G396,nrBankTopics,0),0)=0,"OK",IF(COUNTA(INDEX(nrBankGrid,IFERROR(MATCH($G396,nrBankTopics,0),1),0))=0,"OK",IF(SUMPRODUCT((nrInstrNames&lt;&gt;"")*ISNUMBER(SEARCH(nrInstrNames,$I396))*(COUNTIF(INDEX(nrBankGrid,IFERROR(MATCH($G396,nrBankTopics,0),1),0),nrInstrNames)&gt;0))&lt;SUMPRODUCT((nrInstrNames&lt;&gt;"")*ISNUMBER(SEARCH(nrInstrNames,$I396))),"NOT IN BANK","OK"))))</f>
        <v/>
      </c>
    </row>
    <row r="397">
      <c r="B397" s="18" t="n"/>
      <c r="C397" s="17">
        <f>IF($B397="","",TEXT($B397,"ddd"))</f>
        <v/>
      </c>
      <c r="D397" s="41" t="n"/>
      <c r="E397" s="41" t="n"/>
      <c r="F397" s="17">
        <f>IF(OR($B397="",$D397="",$E397=""),"",ROUND(MOD($E397-$D397,1)*24,2))</f>
        <v/>
      </c>
      <c r="G397" s="16" t="n"/>
      <c r="H397" s="17">
        <f>IF($G397="","",IFERROR(_xlfn.XLOOKUP($G397,nrCHname,nrCHnum),IFERROR(_xlfn.XLOOKUP($G397,nrSUBname,nrSUBparent),"")))</f>
        <v/>
      </c>
      <c r="I397" s="16" t="n"/>
      <c r="J397" s="16" t="n"/>
      <c r="K397" s="17">
        <f>IF($B397="","",IFERROR(_xlfn.XLOOKUP($B397,nrCDdate,nrCDweek),""))</f>
        <v/>
      </c>
      <c r="L397" s="17">
        <f>IF($B397="","",IFERROR(_xlfn.XLOOKUP($B397,nrCDdate,nrCDnum),""))</f>
        <v/>
      </c>
      <c r="M397" s="16" t="n"/>
      <c r="N397" s="17">
        <f>IF(OR($B397="",$I397=""),"",_xlfn.LET(_xlpm.a,$I397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97" s="17">
        <f>IF(OR($B397="",$D397="",$E397=""),"",IF($E397=$D397,"CHECK TIMES (start = end)",IF($F397&gt;12,"CHECK TIMES (End is before Start?)","OK")))</f>
        <v/>
      </c>
      <c r="P397" s="17">
        <f>IF(OR($B397="",$I397=""),"",IF(IFERROR(MATCH($G397,nrBankTopics,0),0)=0,"OK",IF(COUNTA(INDEX(nrBankGrid,IFERROR(MATCH($G397,nrBankTopics,0),1),0))=0,"OK",IF(SUMPRODUCT((nrInstrNames&lt;&gt;"")*ISNUMBER(SEARCH(nrInstrNames,$I397))*(COUNTIF(INDEX(nrBankGrid,IFERROR(MATCH($G397,nrBankTopics,0),1),0),nrInstrNames)&gt;0))&lt;SUMPRODUCT((nrInstrNames&lt;&gt;"")*ISNUMBER(SEARCH(nrInstrNames,$I397))),"NOT IN BANK","OK"))))</f>
        <v/>
      </c>
    </row>
    <row r="398">
      <c r="B398" s="18" t="n"/>
      <c r="C398" s="17">
        <f>IF($B398="","",TEXT($B398,"ddd"))</f>
        <v/>
      </c>
      <c r="D398" s="41" t="n"/>
      <c r="E398" s="41" t="n"/>
      <c r="F398" s="17">
        <f>IF(OR($B398="",$D398="",$E398=""),"",ROUND(MOD($E398-$D398,1)*24,2))</f>
        <v/>
      </c>
      <c r="G398" s="16" t="n"/>
      <c r="H398" s="17">
        <f>IF($G398="","",IFERROR(_xlfn.XLOOKUP($G398,nrCHname,nrCHnum),IFERROR(_xlfn.XLOOKUP($G398,nrSUBname,nrSUBparent),"")))</f>
        <v/>
      </c>
      <c r="I398" s="16" t="n"/>
      <c r="J398" s="16" t="n"/>
      <c r="K398" s="17">
        <f>IF($B398="","",IFERROR(_xlfn.XLOOKUP($B398,nrCDdate,nrCDweek),""))</f>
        <v/>
      </c>
      <c r="L398" s="17">
        <f>IF($B398="","",IFERROR(_xlfn.XLOOKUP($B398,nrCDdate,nrCDnum),""))</f>
        <v/>
      </c>
      <c r="M398" s="16" t="n"/>
      <c r="N398" s="17">
        <f>IF(OR($B398="",$I398=""),"",_xlfn.LET(_xlpm.a,$I398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98" s="17">
        <f>IF(OR($B398="",$D398="",$E398=""),"",IF($E398=$D398,"CHECK TIMES (start = end)",IF($F398&gt;12,"CHECK TIMES (End is before Start?)","OK")))</f>
        <v/>
      </c>
      <c r="P398" s="17">
        <f>IF(OR($B398="",$I398=""),"",IF(IFERROR(MATCH($G398,nrBankTopics,0),0)=0,"OK",IF(COUNTA(INDEX(nrBankGrid,IFERROR(MATCH($G398,nrBankTopics,0),1),0))=0,"OK",IF(SUMPRODUCT((nrInstrNames&lt;&gt;"")*ISNUMBER(SEARCH(nrInstrNames,$I398))*(COUNTIF(INDEX(nrBankGrid,IFERROR(MATCH($G398,nrBankTopics,0),1),0),nrInstrNames)&gt;0))&lt;SUMPRODUCT((nrInstrNames&lt;&gt;"")*ISNUMBER(SEARCH(nrInstrNames,$I398))),"NOT IN BANK","OK"))))</f>
        <v/>
      </c>
    </row>
    <row r="399">
      <c r="B399" s="18" t="n"/>
      <c r="C399" s="17">
        <f>IF($B399="","",TEXT($B399,"ddd"))</f>
        <v/>
      </c>
      <c r="D399" s="41" t="n"/>
      <c r="E399" s="41" t="n"/>
      <c r="F399" s="17">
        <f>IF(OR($B399="",$D399="",$E399=""),"",ROUND(MOD($E399-$D399,1)*24,2))</f>
        <v/>
      </c>
      <c r="G399" s="16" t="n"/>
      <c r="H399" s="17">
        <f>IF($G399="","",IFERROR(_xlfn.XLOOKUP($G399,nrCHname,nrCHnum),IFERROR(_xlfn.XLOOKUP($G399,nrSUBname,nrSUBparent),"")))</f>
        <v/>
      </c>
      <c r="I399" s="16" t="n"/>
      <c r="J399" s="16" t="n"/>
      <c r="K399" s="17">
        <f>IF($B399="","",IFERROR(_xlfn.XLOOKUP($B399,nrCDdate,nrCDweek),""))</f>
        <v/>
      </c>
      <c r="L399" s="17">
        <f>IF($B399="","",IFERROR(_xlfn.XLOOKUP($B399,nrCDdate,nrCDnum),""))</f>
        <v/>
      </c>
      <c r="M399" s="16" t="n"/>
      <c r="N399" s="17">
        <f>IF(OR($B399="",$I399=""),"",_xlfn.LET(_xlpm.a,$I399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99" s="17">
        <f>IF(OR($B399="",$D399="",$E399=""),"",IF($E399=$D399,"CHECK TIMES (start = end)",IF($F399&gt;12,"CHECK TIMES (End is before Start?)","OK")))</f>
        <v/>
      </c>
      <c r="P399" s="17">
        <f>IF(OR($B399="",$I399=""),"",IF(IFERROR(MATCH($G399,nrBankTopics,0),0)=0,"OK",IF(COUNTA(INDEX(nrBankGrid,IFERROR(MATCH($G399,nrBankTopics,0),1),0))=0,"OK",IF(SUMPRODUCT((nrInstrNames&lt;&gt;"")*ISNUMBER(SEARCH(nrInstrNames,$I399))*(COUNTIF(INDEX(nrBankGrid,IFERROR(MATCH($G399,nrBankTopics,0),1),0),nrInstrNames)&gt;0))&lt;SUMPRODUCT((nrInstrNames&lt;&gt;"")*ISNUMBER(SEARCH(nrInstrNames,$I399))),"NOT IN BANK","OK"))))</f>
        <v/>
      </c>
    </row>
    <row r="400">
      <c r="B400" s="18" t="n"/>
      <c r="C400" s="17">
        <f>IF($B400="","",TEXT($B400,"ddd"))</f>
        <v/>
      </c>
      <c r="D400" s="41" t="n"/>
      <c r="E400" s="41" t="n"/>
      <c r="F400" s="17">
        <f>IF(OR($B400="",$D400="",$E400=""),"",ROUND(MOD($E400-$D400,1)*24,2))</f>
        <v/>
      </c>
      <c r="G400" s="16" t="n"/>
      <c r="H400" s="17">
        <f>IF($G400="","",IFERROR(_xlfn.XLOOKUP($G400,nrCHname,nrCHnum),IFERROR(_xlfn.XLOOKUP($G400,nrSUBname,nrSUBparent),"")))</f>
        <v/>
      </c>
      <c r="I400" s="16" t="n"/>
      <c r="J400" s="16" t="n"/>
      <c r="K400" s="17">
        <f>IF($B400="","",IFERROR(_xlfn.XLOOKUP($B400,nrCDdate,nrCDweek),""))</f>
        <v/>
      </c>
      <c r="L400" s="17">
        <f>IF($B400="","",IFERROR(_xlfn.XLOOKUP($B400,nrCDdate,nrCDnum),""))</f>
        <v/>
      </c>
      <c r="M400" s="16" t="n"/>
      <c r="N400" s="17">
        <f>IF(OR($B400="",$I400=""),"",_xlfn.LET(_xlpm.a,$I400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00" s="17">
        <f>IF(OR($B400="",$D400="",$E400=""),"",IF($E400=$D400,"CHECK TIMES (start = end)",IF($F400&gt;12,"CHECK TIMES (End is before Start?)","OK")))</f>
        <v/>
      </c>
      <c r="P400" s="17">
        <f>IF(OR($B400="",$I400=""),"",IF(IFERROR(MATCH($G400,nrBankTopics,0),0)=0,"OK",IF(COUNTA(INDEX(nrBankGrid,IFERROR(MATCH($G400,nrBankTopics,0),1),0))=0,"OK",IF(SUMPRODUCT((nrInstrNames&lt;&gt;"")*ISNUMBER(SEARCH(nrInstrNames,$I400))*(COUNTIF(INDEX(nrBankGrid,IFERROR(MATCH($G400,nrBankTopics,0),1),0),nrInstrNames)&gt;0))&lt;SUMPRODUCT((nrInstrNames&lt;&gt;"")*ISNUMBER(SEARCH(nrInstrNames,$I400))),"NOT IN BANK","OK"))))</f>
        <v/>
      </c>
    </row>
    <row r="401">
      <c r="B401" s="18" t="n"/>
      <c r="C401" s="17">
        <f>IF($B401="","",TEXT($B401,"ddd"))</f>
        <v/>
      </c>
      <c r="D401" s="41" t="n"/>
      <c r="E401" s="41" t="n"/>
      <c r="F401" s="17">
        <f>IF(OR($B401="",$D401="",$E401=""),"",ROUND(MOD($E401-$D401,1)*24,2))</f>
        <v/>
      </c>
      <c r="G401" s="16" t="n"/>
      <c r="H401" s="17">
        <f>IF($G401="","",IFERROR(_xlfn.XLOOKUP($G401,nrCHname,nrCHnum),IFERROR(_xlfn.XLOOKUP($G401,nrSUBname,nrSUBparent),"")))</f>
        <v/>
      </c>
      <c r="I401" s="16" t="n"/>
      <c r="J401" s="16" t="n"/>
      <c r="K401" s="17">
        <f>IF($B401="","",IFERROR(_xlfn.XLOOKUP($B401,nrCDdate,nrCDweek),""))</f>
        <v/>
      </c>
      <c r="L401" s="17">
        <f>IF($B401="","",IFERROR(_xlfn.XLOOKUP($B401,nrCDdate,nrCDnum),""))</f>
        <v/>
      </c>
      <c r="M401" s="16" t="n"/>
      <c r="N401" s="17">
        <f>IF(OR($B401="",$I401=""),"",_xlfn.LET(_xlpm.a,$I401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01" s="17">
        <f>IF(OR($B401="",$D401="",$E401=""),"",IF($E401=$D401,"CHECK TIMES (start = end)",IF($F401&gt;12,"CHECK TIMES (End is before Start?)","OK")))</f>
        <v/>
      </c>
      <c r="P401" s="17">
        <f>IF(OR($B401="",$I401=""),"",IF(IFERROR(MATCH($G401,nrBankTopics,0),0)=0,"OK",IF(COUNTA(INDEX(nrBankGrid,IFERROR(MATCH($G401,nrBankTopics,0),1),0))=0,"OK",IF(SUMPRODUCT((nrInstrNames&lt;&gt;"")*ISNUMBER(SEARCH(nrInstrNames,$I401))*(COUNTIF(INDEX(nrBankGrid,IFERROR(MATCH($G401,nrBankTopics,0),1),0),nrInstrNames)&gt;0))&lt;SUMPRODUCT((nrInstrNames&lt;&gt;"")*ISNUMBER(SEARCH(nrInstrNames,$I401))),"NOT IN BANK","OK"))))</f>
        <v/>
      </c>
    </row>
    <row r="402">
      <c r="B402" s="18" t="n"/>
      <c r="C402" s="17">
        <f>IF($B402="","",TEXT($B402,"ddd"))</f>
        <v/>
      </c>
      <c r="D402" s="41" t="n"/>
      <c r="E402" s="41" t="n"/>
      <c r="F402" s="17">
        <f>IF(OR($B402="",$D402="",$E402=""),"",ROUND(MOD($E402-$D402,1)*24,2))</f>
        <v/>
      </c>
      <c r="G402" s="16" t="n"/>
      <c r="H402" s="17">
        <f>IF($G402="","",IFERROR(_xlfn.XLOOKUP($G402,nrCHname,nrCHnum),IFERROR(_xlfn.XLOOKUP($G402,nrSUBname,nrSUBparent),"")))</f>
        <v/>
      </c>
      <c r="I402" s="16" t="n"/>
      <c r="J402" s="16" t="n"/>
      <c r="K402" s="17">
        <f>IF($B402="","",IFERROR(_xlfn.XLOOKUP($B402,nrCDdate,nrCDweek),""))</f>
        <v/>
      </c>
      <c r="L402" s="17">
        <f>IF($B402="","",IFERROR(_xlfn.XLOOKUP($B402,nrCDdate,nrCDnum),""))</f>
        <v/>
      </c>
      <c r="M402" s="16" t="n"/>
      <c r="N402" s="17">
        <f>IF(OR($B402="",$I402=""),"",_xlfn.LET(_xlpm.a,$I402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02" s="17">
        <f>IF(OR($B402="",$D402="",$E402=""),"",IF($E402=$D402,"CHECK TIMES (start = end)",IF($F402&gt;12,"CHECK TIMES (End is before Start?)","OK")))</f>
        <v/>
      </c>
      <c r="P402" s="17">
        <f>IF(OR($B402="",$I402=""),"",IF(IFERROR(MATCH($G402,nrBankTopics,0),0)=0,"OK",IF(COUNTA(INDEX(nrBankGrid,IFERROR(MATCH($G402,nrBankTopics,0),1),0))=0,"OK",IF(SUMPRODUCT((nrInstrNames&lt;&gt;"")*ISNUMBER(SEARCH(nrInstrNames,$I402))*(COUNTIF(INDEX(nrBankGrid,IFERROR(MATCH($G402,nrBankTopics,0),1),0),nrInstrNames)&gt;0))&lt;SUMPRODUCT((nrInstrNames&lt;&gt;"")*ISNUMBER(SEARCH(nrInstrNames,$I402))),"NOT IN BANK","OK"))))</f>
        <v/>
      </c>
    </row>
    <row r="403">
      <c r="B403" s="18" t="n"/>
      <c r="C403" s="17">
        <f>IF($B403="","",TEXT($B403,"ddd"))</f>
        <v/>
      </c>
      <c r="D403" s="41" t="n"/>
      <c r="E403" s="41" t="n"/>
      <c r="F403" s="17">
        <f>IF(OR($B403="",$D403="",$E403=""),"",ROUND(MOD($E403-$D403,1)*24,2))</f>
        <v/>
      </c>
      <c r="G403" s="16" t="n"/>
      <c r="H403" s="17">
        <f>IF($G403="","",IFERROR(_xlfn.XLOOKUP($G403,nrCHname,nrCHnum),IFERROR(_xlfn.XLOOKUP($G403,nrSUBname,nrSUBparent),"")))</f>
        <v/>
      </c>
      <c r="I403" s="16" t="n"/>
      <c r="J403" s="16" t="n"/>
      <c r="K403" s="17">
        <f>IF($B403="","",IFERROR(_xlfn.XLOOKUP($B403,nrCDdate,nrCDweek),""))</f>
        <v/>
      </c>
      <c r="L403" s="17">
        <f>IF($B403="","",IFERROR(_xlfn.XLOOKUP($B403,nrCDdate,nrCDnum),""))</f>
        <v/>
      </c>
      <c r="M403" s="16" t="n"/>
      <c r="N403" s="17">
        <f>IF(OR($B403="",$I403=""),"",_xlfn.LET(_xlpm.a,$I403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03" s="17">
        <f>IF(OR($B403="",$D403="",$E403=""),"",IF($E403=$D403,"CHECK TIMES (start = end)",IF($F403&gt;12,"CHECK TIMES (End is before Start?)","OK")))</f>
        <v/>
      </c>
      <c r="P403" s="17">
        <f>IF(OR($B403="",$I403=""),"",IF(IFERROR(MATCH($G403,nrBankTopics,0),0)=0,"OK",IF(COUNTA(INDEX(nrBankGrid,IFERROR(MATCH($G403,nrBankTopics,0),1),0))=0,"OK",IF(SUMPRODUCT((nrInstrNames&lt;&gt;"")*ISNUMBER(SEARCH(nrInstrNames,$I403))*(COUNTIF(INDEX(nrBankGrid,IFERROR(MATCH($G403,nrBankTopics,0),1),0),nrInstrNames)&gt;0))&lt;SUMPRODUCT((nrInstrNames&lt;&gt;"")*ISNUMBER(SEARCH(nrInstrNames,$I403))),"NOT IN BANK","OK"))))</f>
        <v/>
      </c>
    </row>
    <row r="404">
      <c r="B404" s="18" t="n"/>
      <c r="C404" s="17">
        <f>IF($B404="","",TEXT($B404,"ddd"))</f>
        <v/>
      </c>
      <c r="D404" s="41" t="n"/>
      <c r="E404" s="41" t="n"/>
      <c r="F404" s="17">
        <f>IF(OR($B404="",$D404="",$E404=""),"",ROUND(MOD($E404-$D404,1)*24,2))</f>
        <v/>
      </c>
      <c r="G404" s="16" t="n"/>
      <c r="H404" s="17">
        <f>IF($G404="","",IFERROR(_xlfn.XLOOKUP($G404,nrCHname,nrCHnum),IFERROR(_xlfn.XLOOKUP($G404,nrSUBname,nrSUBparent),"")))</f>
        <v/>
      </c>
      <c r="I404" s="16" t="n"/>
      <c r="J404" s="16" t="n"/>
      <c r="K404" s="17">
        <f>IF($B404="","",IFERROR(_xlfn.XLOOKUP($B404,nrCDdate,nrCDweek),""))</f>
        <v/>
      </c>
      <c r="L404" s="17">
        <f>IF($B404="","",IFERROR(_xlfn.XLOOKUP($B404,nrCDdate,nrCDnum),""))</f>
        <v/>
      </c>
      <c r="M404" s="16" t="n"/>
      <c r="N404" s="17">
        <f>IF(OR($B404="",$I404=""),"",_xlfn.LET(_xlpm.a,$I404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04" s="17">
        <f>IF(OR($B404="",$D404="",$E404=""),"",IF($E404=$D404,"CHECK TIMES (start = end)",IF($F404&gt;12,"CHECK TIMES (End is before Start?)","OK")))</f>
        <v/>
      </c>
      <c r="P404" s="17">
        <f>IF(OR($B404="",$I404=""),"",IF(IFERROR(MATCH($G404,nrBankTopics,0),0)=0,"OK",IF(COUNTA(INDEX(nrBankGrid,IFERROR(MATCH($G404,nrBankTopics,0),1),0))=0,"OK",IF(SUMPRODUCT((nrInstrNames&lt;&gt;"")*ISNUMBER(SEARCH(nrInstrNames,$I404))*(COUNTIF(INDEX(nrBankGrid,IFERROR(MATCH($G404,nrBankTopics,0),1),0),nrInstrNames)&gt;0))&lt;SUMPRODUCT((nrInstrNames&lt;&gt;"")*ISNUMBER(SEARCH(nrInstrNames,$I404))),"NOT IN BANK","OK"))))</f>
        <v/>
      </c>
    </row>
    <row r="405">
      <c r="B405" s="18" t="n"/>
      <c r="C405" s="17">
        <f>IF($B405="","",TEXT($B405,"ddd"))</f>
        <v/>
      </c>
      <c r="D405" s="41" t="n"/>
      <c r="E405" s="41" t="n"/>
      <c r="F405" s="17">
        <f>IF(OR($B405="",$D405="",$E405=""),"",ROUND(MOD($E405-$D405,1)*24,2))</f>
        <v/>
      </c>
      <c r="G405" s="16" t="n"/>
      <c r="H405" s="17">
        <f>IF($G405="","",IFERROR(_xlfn.XLOOKUP($G405,nrCHname,nrCHnum),IFERROR(_xlfn.XLOOKUP($G405,nrSUBname,nrSUBparent),"")))</f>
        <v/>
      </c>
      <c r="I405" s="16" t="n"/>
      <c r="J405" s="16" t="n"/>
      <c r="K405" s="17">
        <f>IF($B405="","",IFERROR(_xlfn.XLOOKUP($B405,nrCDdate,nrCDweek),""))</f>
        <v/>
      </c>
      <c r="L405" s="17">
        <f>IF($B405="","",IFERROR(_xlfn.XLOOKUP($B405,nrCDdate,nrCDnum),""))</f>
        <v/>
      </c>
      <c r="M405" s="16" t="n"/>
      <c r="N405" s="17">
        <f>IF(OR($B405="",$I405=""),"",_xlfn.LET(_xlpm.a,$I405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05" s="17">
        <f>IF(OR($B405="",$D405="",$E405=""),"",IF($E405=$D405,"CHECK TIMES (start = end)",IF($F405&gt;12,"CHECK TIMES (End is before Start?)","OK")))</f>
        <v/>
      </c>
      <c r="P405" s="17">
        <f>IF(OR($B405="",$I405=""),"",IF(IFERROR(MATCH($G405,nrBankTopics,0),0)=0,"OK",IF(COUNTA(INDEX(nrBankGrid,IFERROR(MATCH($G405,nrBankTopics,0),1),0))=0,"OK",IF(SUMPRODUCT((nrInstrNames&lt;&gt;"")*ISNUMBER(SEARCH(nrInstrNames,$I405))*(COUNTIF(INDEX(nrBankGrid,IFERROR(MATCH($G405,nrBankTopics,0),1),0),nrInstrNames)&gt;0))&lt;SUMPRODUCT((nrInstrNames&lt;&gt;"")*ISNUMBER(SEARCH(nrInstrNames,$I405))),"NOT IN BANK","OK"))))</f>
        <v/>
      </c>
    </row>
    <row r="406">
      <c r="B406" s="18" t="n"/>
      <c r="C406" s="17">
        <f>IF($B406="","",TEXT($B406,"ddd"))</f>
        <v/>
      </c>
      <c r="D406" s="41" t="n"/>
      <c r="E406" s="41" t="n"/>
      <c r="F406" s="17">
        <f>IF(OR($B406="",$D406="",$E406=""),"",ROUND(MOD($E406-$D406,1)*24,2))</f>
        <v/>
      </c>
      <c r="G406" s="16" t="n"/>
      <c r="H406" s="17">
        <f>IF($G406="","",IFERROR(_xlfn.XLOOKUP($G406,nrCHname,nrCHnum),IFERROR(_xlfn.XLOOKUP($G406,nrSUBname,nrSUBparent),"")))</f>
        <v/>
      </c>
      <c r="I406" s="16" t="n"/>
      <c r="J406" s="16" t="n"/>
      <c r="K406" s="17">
        <f>IF($B406="","",IFERROR(_xlfn.XLOOKUP($B406,nrCDdate,nrCDweek),""))</f>
        <v/>
      </c>
      <c r="L406" s="17">
        <f>IF($B406="","",IFERROR(_xlfn.XLOOKUP($B406,nrCDdate,nrCDnum),""))</f>
        <v/>
      </c>
      <c r="M406" s="16" t="n"/>
      <c r="N406" s="17">
        <f>IF(OR($B406="",$I406=""),"",_xlfn.LET(_xlpm.a,$I406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06" s="17">
        <f>IF(OR($B406="",$D406="",$E406=""),"",IF($E406=$D406,"CHECK TIMES (start = end)",IF($F406&gt;12,"CHECK TIMES (End is before Start?)","OK")))</f>
        <v/>
      </c>
      <c r="P406" s="17">
        <f>IF(OR($B406="",$I406=""),"",IF(IFERROR(MATCH($G406,nrBankTopics,0),0)=0,"OK",IF(COUNTA(INDEX(nrBankGrid,IFERROR(MATCH($G406,nrBankTopics,0),1),0))=0,"OK",IF(SUMPRODUCT((nrInstrNames&lt;&gt;"")*ISNUMBER(SEARCH(nrInstrNames,$I406))*(COUNTIF(INDEX(nrBankGrid,IFERROR(MATCH($G406,nrBankTopics,0),1),0),nrInstrNames)&gt;0))&lt;SUMPRODUCT((nrInstrNames&lt;&gt;"")*ISNUMBER(SEARCH(nrInstrNames,$I406))),"NOT IN BANK","OK"))))</f>
        <v/>
      </c>
    </row>
    <row r="407">
      <c r="B407" s="18" t="n"/>
      <c r="C407" s="17">
        <f>IF($B407="","",TEXT($B407,"ddd"))</f>
        <v/>
      </c>
      <c r="D407" s="41" t="n"/>
      <c r="E407" s="41" t="n"/>
      <c r="F407" s="17">
        <f>IF(OR($B407="",$D407="",$E407=""),"",ROUND(MOD($E407-$D407,1)*24,2))</f>
        <v/>
      </c>
      <c r="G407" s="16" t="n"/>
      <c r="H407" s="17">
        <f>IF($G407="","",IFERROR(_xlfn.XLOOKUP($G407,nrCHname,nrCHnum),IFERROR(_xlfn.XLOOKUP($G407,nrSUBname,nrSUBparent),"")))</f>
        <v/>
      </c>
      <c r="I407" s="16" t="n"/>
      <c r="J407" s="16" t="n"/>
      <c r="K407" s="17">
        <f>IF($B407="","",IFERROR(_xlfn.XLOOKUP($B407,nrCDdate,nrCDweek),""))</f>
        <v/>
      </c>
      <c r="L407" s="17">
        <f>IF($B407="","",IFERROR(_xlfn.XLOOKUP($B407,nrCDdate,nrCDnum),""))</f>
        <v/>
      </c>
      <c r="M407" s="16" t="n"/>
      <c r="N407" s="17">
        <f>IF(OR($B407="",$I407=""),"",_xlfn.LET(_xlpm.a,$I407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07" s="17">
        <f>IF(OR($B407="",$D407="",$E407=""),"",IF($E407=$D407,"CHECK TIMES (start = end)",IF($F407&gt;12,"CHECK TIMES (End is before Start?)","OK")))</f>
        <v/>
      </c>
      <c r="P407" s="17">
        <f>IF(OR($B407="",$I407=""),"",IF(IFERROR(MATCH($G407,nrBankTopics,0),0)=0,"OK",IF(COUNTA(INDEX(nrBankGrid,IFERROR(MATCH($G407,nrBankTopics,0),1),0))=0,"OK",IF(SUMPRODUCT((nrInstrNames&lt;&gt;"")*ISNUMBER(SEARCH(nrInstrNames,$I407))*(COUNTIF(INDEX(nrBankGrid,IFERROR(MATCH($G407,nrBankTopics,0),1),0),nrInstrNames)&gt;0))&lt;SUMPRODUCT((nrInstrNames&lt;&gt;"")*ISNUMBER(SEARCH(nrInstrNames,$I407))),"NOT IN BANK","OK"))))</f>
        <v/>
      </c>
    </row>
    <row r="408">
      <c r="B408" s="18" t="n"/>
      <c r="C408" s="17">
        <f>IF($B408="","",TEXT($B408,"ddd"))</f>
        <v/>
      </c>
      <c r="D408" s="41" t="n"/>
      <c r="E408" s="41" t="n"/>
      <c r="F408" s="17">
        <f>IF(OR($B408="",$D408="",$E408=""),"",ROUND(MOD($E408-$D408,1)*24,2))</f>
        <v/>
      </c>
      <c r="G408" s="16" t="n"/>
      <c r="H408" s="17">
        <f>IF($G408="","",IFERROR(_xlfn.XLOOKUP($G408,nrCHname,nrCHnum),IFERROR(_xlfn.XLOOKUP($G408,nrSUBname,nrSUBparent),"")))</f>
        <v/>
      </c>
      <c r="I408" s="16" t="n"/>
      <c r="J408" s="16" t="n"/>
      <c r="K408" s="17">
        <f>IF($B408="","",IFERROR(_xlfn.XLOOKUP($B408,nrCDdate,nrCDweek),""))</f>
        <v/>
      </c>
      <c r="L408" s="17">
        <f>IF($B408="","",IFERROR(_xlfn.XLOOKUP($B408,nrCDdate,nrCDnum),""))</f>
        <v/>
      </c>
      <c r="M408" s="16" t="n"/>
      <c r="N408" s="17">
        <f>IF(OR($B408="",$I408=""),"",_xlfn.LET(_xlpm.a,$I408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08" s="17">
        <f>IF(OR($B408="",$D408="",$E408=""),"",IF($E408=$D408,"CHECK TIMES (start = end)",IF($F408&gt;12,"CHECK TIMES (End is before Start?)","OK")))</f>
        <v/>
      </c>
      <c r="P408" s="17">
        <f>IF(OR($B408="",$I408=""),"",IF(IFERROR(MATCH($G408,nrBankTopics,0),0)=0,"OK",IF(COUNTA(INDEX(nrBankGrid,IFERROR(MATCH($G408,nrBankTopics,0),1),0))=0,"OK",IF(SUMPRODUCT((nrInstrNames&lt;&gt;"")*ISNUMBER(SEARCH(nrInstrNames,$I408))*(COUNTIF(INDEX(nrBankGrid,IFERROR(MATCH($G408,nrBankTopics,0),1),0),nrInstrNames)&gt;0))&lt;SUMPRODUCT((nrInstrNames&lt;&gt;"")*ISNUMBER(SEARCH(nrInstrNames,$I408))),"NOT IN BANK","OK"))))</f>
        <v/>
      </c>
    </row>
    <row r="409">
      <c r="B409" s="18" t="n"/>
      <c r="C409" s="17">
        <f>IF($B409="","",TEXT($B409,"ddd"))</f>
        <v/>
      </c>
      <c r="D409" s="41" t="n"/>
      <c r="E409" s="41" t="n"/>
      <c r="F409" s="17">
        <f>IF(OR($B409="",$D409="",$E409=""),"",ROUND(MOD($E409-$D409,1)*24,2))</f>
        <v/>
      </c>
      <c r="G409" s="16" t="n"/>
      <c r="H409" s="17">
        <f>IF($G409="","",IFERROR(_xlfn.XLOOKUP($G409,nrCHname,nrCHnum),IFERROR(_xlfn.XLOOKUP($G409,nrSUBname,nrSUBparent),"")))</f>
        <v/>
      </c>
      <c r="I409" s="16" t="n"/>
      <c r="J409" s="16" t="n"/>
      <c r="K409" s="17">
        <f>IF($B409="","",IFERROR(_xlfn.XLOOKUP($B409,nrCDdate,nrCDweek),""))</f>
        <v/>
      </c>
      <c r="L409" s="17">
        <f>IF($B409="","",IFERROR(_xlfn.XLOOKUP($B409,nrCDdate,nrCDnum),""))</f>
        <v/>
      </c>
      <c r="M409" s="16" t="n"/>
      <c r="N409" s="17">
        <f>IF(OR($B409="",$I409=""),"",_xlfn.LET(_xlpm.a,$I409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09" s="17">
        <f>IF(OR($B409="",$D409="",$E409=""),"",IF($E409=$D409,"CHECK TIMES (start = end)",IF($F409&gt;12,"CHECK TIMES (End is before Start?)","OK")))</f>
        <v/>
      </c>
      <c r="P409" s="17">
        <f>IF(OR($B409="",$I409=""),"",IF(IFERROR(MATCH($G409,nrBankTopics,0),0)=0,"OK",IF(COUNTA(INDEX(nrBankGrid,IFERROR(MATCH($G409,nrBankTopics,0),1),0))=0,"OK",IF(SUMPRODUCT((nrInstrNames&lt;&gt;"")*ISNUMBER(SEARCH(nrInstrNames,$I409))*(COUNTIF(INDEX(nrBankGrid,IFERROR(MATCH($G409,nrBankTopics,0),1),0),nrInstrNames)&gt;0))&lt;SUMPRODUCT((nrInstrNames&lt;&gt;"")*ISNUMBER(SEARCH(nrInstrNames,$I409))),"NOT IN BANK","OK"))))</f>
        <v/>
      </c>
    </row>
    <row r="410">
      <c r="B410" s="18" t="n"/>
      <c r="C410" s="17">
        <f>IF($B410="","",TEXT($B410,"ddd"))</f>
        <v/>
      </c>
      <c r="D410" s="41" t="n"/>
      <c r="E410" s="41" t="n"/>
      <c r="F410" s="17">
        <f>IF(OR($B410="",$D410="",$E410=""),"",ROUND(MOD($E410-$D410,1)*24,2))</f>
        <v/>
      </c>
      <c r="G410" s="16" t="n"/>
      <c r="H410" s="17">
        <f>IF($G410="","",IFERROR(_xlfn.XLOOKUP($G410,nrCHname,nrCHnum),IFERROR(_xlfn.XLOOKUP($G410,nrSUBname,nrSUBparent),"")))</f>
        <v/>
      </c>
      <c r="I410" s="16" t="n"/>
      <c r="J410" s="16" t="n"/>
      <c r="K410" s="17">
        <f>IF($B410="","",IFERROR(_xlfn.XLOOKUP($B410,nrCDdate,nrCDweek),""))</f>
        <v/>
      </c>
      <c r="L410" s="17">
        <f>IF($B410="","",IFERROR(_xlfn.XLOOKUP($B410,nrCDdate,nrCDnum),""))</f>
        <v/>
      </c>
      <c r="M410" s="16" t="n"/>
      <c r="N410" s="17">
        <f>IF(OR($B410="",$I410=""),"",_xlfn.LET(_xlpm.a,$I410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10" s="17">
        <f>IF(OR($B410="",$D410="",$E410=""),"",IF($E410=$D410,"CHECK TIMES (start = end)",IF($F410&gt;12,"CHECK TIMES (End is before Start?)","OK")))</f>
        <v/>
      </c>
      <c r="P410" s="17">
        <f>IF(OR($B410="",$I410=""),"",IF(IFERROR(MATCH($G410,nrBankTopics,0),0)=0,"OK",IF(COUNTA(INDEX(nrBankGrid,IFERROR(MATCH($G410,nrBankTopics,0),1),0))=0,"OK",IF(SUMPRODUCT((nrInstrNames&lt;&gt;"")*ISNUMBER(SEARCH(nrInstrNames,$I410))*(COUNTIF(INDEX(nrBankGrid,IFERROR(MATCH($G410,nrBankTopics,0),1),0),nrInstrNames)&gt;0))&lt;SUMPRODUCT((nrInstrNames&lt;&gt;"")*ISNUMBER(SEARCH(nrInstrNames,$I410))),"NOT IN BANK","OK"))))</f>
        <v/>
      </c>
    </row>
    <row r="411">
      <c r="B411" s="18" t="n"/>
      <c r="C411" s="17">
        <f>IF($B411="","",TEXT($B411,"ddd"))</f>
        <v/>
      </c>
      <c r="D411" s="41" t="n"/>
      <c r="E411" s="41" t="n"/>
      <c r="F411" s="17">
        <f>IF(OR($B411="",$D411="",$E411=""),"",ROUND(MOD($E411-$D411,1)*24,2))</f>
        <v/>
      </c>
      <c r="G411" s="16" t="n"/>
      <c r="H411" s="17">
        <f>IF($G411="","",IFERROR(_xlfn.XLOOKUP($G411,nrCHname,nrCHnum),IFERROR(_xlfn.XLOOKUP($G411,nrSUBname,nrSUBparent),"")))</f>
        <v/>
      </c>
      <c r="I411" s="16" t="n"/>
      <c r="J411" s="16" t="n"/>
      <c r="K411" s="17">
        <f>IF($B411="","",IFERROR(_xlfn.XLOOKUP($B411,nrCDdate,nrCDweek),""))</f>
        <v/>
      </c>
      <c r="L411" s="17">
        <f>IF($B411="","",IFERROR(_xlfn.XLOOKUP($B411,nrCDdate,nrCDnum),""))</f>
        <v/>
      </c>
      <c r="M411" s="16" t="n"/>
      <c r="N411" s="17">
        <f>IF(OR($B411="",$I411=""),"",_xlfn.LET(_xlpm.a,$I411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11" s="17">
        <f>IF(OR($B411="",$D411="",$E411=""),"",IF($E411=$D411,"CHECK TIMES (start = end)",IF($F411&gt;12,"CHECK TIMES (End is before Start?)","OK")))</f>
        <v/>
      </c>
      <c r="P411" s="17">
        <f>IF(OR($B411="",$I411=""),"",IF(IFERROR(MATCH($G411,nrBankTopics,0),0)=0,"OK",IF(COUNTA(INDEX(nrBankGrid,IFERROR(MATCH($G411,nrBankTopics,0),1),0))=0,"OK",IF(SUMPRODUCT((nrInstrNames&lt;&gt;"")*ISNUMBER(SEARCH(nrInstrNames,$I411))*(COUNTIF(INDEX(nrBankGrid,IFERROR(MATCH($G411,nrBankTopics,0),1),0),nrInstrNames)&gt;0))&lt;SUMPRODUCT((nrInstrNames&lt;&gt;"")*ISNUMBER(SEARCH(nrInstrNames,$I411))),"NOT IN BANK","OK"))))</f>
        <v/>
      </c>
    </row>
    <row r="412">
      <c r="B412" s="18" t="n"/>
      <c r="C412" s="17">
        <f>IF($B412="","",TEXT($B412,"ddd"))</f>
        <v/>
      </c>
      <c r="D412" s="41" t="n"/>
      <c r="E412" s="41" t="n"/>
      <c r="F412" s="17">
        <f>IF(OR($B412="",$D412="",$E412=""),"",ROUND(MOD($E412-$D412,1)*24,2))</f>
        <v/>
      </c>
      <c r="G412" s="16" t="n"/>
      <c r="H412" s="17">
        <f>IF($G412="","",IFERROR(_xlfn.XLOOKUP($G412,nrCHname,nrCHnum),IFERROR(_xlfn.XLOOKUP($G412,nrSUBname,nrSUBparent),"")))</f>
        <v/>
      </c>
      <c r="I412" s="16" t="n"/>
      <c r="J412" s="16" t="n"/>
      <c r="K412" s="17">
        <f>IF($B412="","",IFERROR(_xlfn.XLOOKUP($B412,nrCDdate,nrCDweek),""))</f>
        <v/>
      </c>
      <c r="L412" s="17">
        <f>IF($B412="","",IFERROR(_xlfn.XLOOKUP($B412,nrCDdate,nrCDnum),""))</f>
        <v/>
      </c>
      <c r="M412" s="16" t="n"/>
      <c r="N412" s="17">
        <f>IF(OR($B412="",$I412=""),"",_xlfn.LET(_xlpm.a,$I412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12" s="17">
        <f>IF(OR($B412="",$D412="",$E412=""),"",IF($E412=$D412,"CHECK TIMES (start = end)",IF($F412&gt;12,"CHECK TIMES (End is before Start?)","OK")))</f>
        <v/>
      </c>
      <c r="P412" s="17">
        <f>IF(OR($B412="",$I412=""),"",IF(IFERROR(MATCH($G412,nrBankTopics,0),0)=0,"OK",IF(COUNTA(INDEX(nrBankGrid,IFERROR(MATCH($G412,nrBankTopics,0),1),0))=0,"OK",IF(SUMPRODUCT((nrInstrNames&lt;&gt;"")*ISNUMBER(SEARCH(nrInstrNames,$I412))*(COUNTIF(INDEX(nrBankGrid,IFERROR(MATCH($G412,nrBankTopics,0),1),0),nrInstrNames)&gt;0))&lt;SUMPRODUCT((nrInstrNames&lt;&gt;"")*ISNUMBER(SEARCH(nrInstrNames,$I412))),"NOT IN BANK","OK"))))</f>
        <v/>
      </c>
    </row>
    <row r="413">
      <c r="B413" s="18" t="n"/>
      <c r="C413" s="17">
        <f>IF($B413="","",TEXT($B413,"ddd"))</f>
        <v/>
      </c>
      <c r="D413" s="41" t="n"/>
      <c r="E413" s="41" t="n"/>
      <c r="F413" s="17">
        <f>IF(OR($B413="",$D413="",$E413=""),"",ROUND(MOD($E413-$D413,1)*24,2))</f>
        <v/>
      </c>
      <c r="G413" s="16" t="n"/>
      <c r="H413" s="17">
        <f>IF($G413="","",IFERROR(_xlfn.XLOOKUP($G413,nrCHname,nrCHnum),IFERROR(_xlfn.XLOOKUP($G413,nrSUBname,nrSUBparent),"")))</f>
        <v/>
      </c>
      <c r="I413" s="16" t="n"/>
      <c r="J413" s="16" t="n"/>
      <c r="K413" s="17">
        <f>IF($B413="","",IFERROR(_xlfn.XLOOKUP($B413,nrCDdate,nrCDweek),""))</f>
        <v/>
      </c>
      <c r="L413" s="17">
        <f>IF($B413="","",IFERROR(_xlfn.XLOOKUP($B413,nrCDdate,nrCDnum),""))</f>
        <v/>
      </c>
      <c r="M413" s="16" t="n"/>
      <c r="N413" s="17">
        <f>IF(OR($B413="",$I413=""),"",_xlfn.LET(_xlpm.a,$I413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13" s="17">
        <f>IF(OR($B413="",$D413="",$E413=""),"",IF($E413=$D413,"CHECK TIMES (start = end)",IF($F413&gt;12,"CHECK TIMES (End is before Start?)","OK")))</f>
        <v/>
      </c>
      <c r="P413" s="17">
        <f>IF(OR($B413="",$I413=""),"",IF(IFERROR(MATCH($G413,nrBankTopics,0),0)=0,"OK",IF(COUNTA(INDEX(nrBankGrid,IFERROR(MATCH($G413,nrBankTopics,0),1),0))=0,"OK",IF(SUMPRODUCT((nrInstrNames&lt;&gt;"")*ISNUMBER(SEARCH(nrInstrNames,$I413))*(COUNTIF(INDEX(nrBankGrid,IFERROR(MATCH($G413,nrBankTopics,0),1),0),nrInstrNames)&gt;0))&lt;SUMPRODUCT((nrInstrNames&lt;&gt;"")*ISNUMBER(SEARCH(nrInstrNames,$I413))),"NOT IN BANK","OK"))))</f>
        <v/>
      </c>
    </row>
    <row r="414">
      <c r="B414" s="18" t="n"/>
      <c r="C414" s="17">
        <f>IF($B414="","",TEXT($B414,"ddd"))</f>
        <v/>
      </c>
      <c r="D414" s="41" t="n"/>
      <c r="E414" s="41" t="n"/>
      <c r="F414" s="17">
        <f>IF(OR($B414="",$D414="",$E414=""),"",ROUND(MOD($E414-$D414,1)*24,2))</f>
        <v/>
      </c>
      <c r="G414" s="16" t="n"/>
      <c r="H414" s="17">
        <f>IF($G414="","",IFERROR(_xlfn.XLOOKUP($G414,nrCHname,nrCHnum),IFERROR(_xlfn.XLOOKUP($G414,nrSUBname,nrSUBparent),"")))</f>
        <v/>
      </c>
      <c r="I414" s="16" t="n"/>
      <c r="J414" s="16" t="n"/>
      <c r="K414" s="17">
        <f>IF($B414="","",IFERROR(_xlfn.XLOOKUP($B414,nrCDdate,nrCDweek),""))</f>
        <v/>
      </c>
      <c r="L414" s="17">
        <f>IF($B414="","",IFERROR(_xlfn.XLOOKUP($B414,nrCDdate,nrCDnum),""))</f>
        <v/>
      </c>
      <c r="M414" s="16" t="n"/>
      <c r="N414" s="17">
        <f>IF(OR($B414="",$I414=""),"",_xlfn.LET(_xlpm.a,$I414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14" s="17">
        <f>IF(OR($B414="",$D414="",$E414=""),"",IF($E414=$D414,"CHECK TIMES (start = end)",IF($F414&gt;12,"CHECK TIMES (End is before Start?)","OK")))</f>
        <v/>
      </c>
      <c r="P414" s="17">
        <f>IF(OR($B414="",$I414=""),"",IF(IFERROR(MATCH($G414,nrBankTopics,0),0)=0,"OK",IF(COUNTA(INDEX(nrBankGrid,IFERROR(MATCH($G414,nrBankTopics,0),1),0))=0,"OK",IF(SUMPRODUCT((nrInstrNames&lt;&gt;"")*ISNUMBER(SEARCH(nrInstrNames,$I414))*(COUNTIF(INDEX(nrBankGrid,IFERROR(MATCH($G414,nrBankTopics,0),1),0),nrInstrNames)&gt;0))&lt;SUMPRODUCT((nrInstrNames&lt;&gt;"")*ISNUMBER(SEARCH(nrInstrNames,$I414))),"NOT IN BANK","OK"))))</f>
        <v/>
      </c>
    </row>
    <row r="415">
      <c r="B415" s="18" t="n"/>
      <c r="C415" s="17">
        <f>IF($B415="","",TEXT($B415,"ddd"))</f>
        <v/>
      </c>
      <c r="D415" s="41" t="n"/>
      <c r="E415" s="41" t="n"/>
      <c r="F415" s="17">
        <f>IF(OR($B415="",$D415="",$E415=""),"",ROUND(MOD($E415-$D415,1)*24,2))</f>
        <v/>
      </c>
      <c r="G415" s="16" t="n"/>
      <c r="H415" s="17">
        <f>IF($G415="","",IFERROR(_xlfn.XLOOKUP($G415,nrCHname,nrCHnum),IFERROR(_xlfn.XLOOKUP($G415,nrSUBname,nrSUBparent),"")))</f>
        <v/>
      </c>
      <c r="I415" s="16" t="n"/>
      <c r="J415" s="16" t="n"/>
      <c r="K415" s="17">
        <f>IF($B415="","",IFERROR(_xlfn.XLOOKUP($B415,nrCDdate,nrCDweek),""))</f>
        <v/>
      </c>
      <c r="L415" s="17">
        <f>IF($B415="","",IFERROR(_xlfn.XLOOKUP($B415,nrCDdate,nrCDnum),""))</f>
        <v/>
      </c>
      <c r="M415" s="16" t="n"/>
      <c r="N415" s="17">
        <f>IF(OR($B415="",$I415=""),"",_xlfn.LET(_xlpm.a,$I415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15" s="17">
        <f>IF(OR($B415="",$D415="",$E415=""),"",IF($E415=$D415,"CHECK TIMES (start = end)",IF($F415&gt;12,"CHECK TIMES (End is before Start?)","OK")))</f>
        <v/>
      </c>
      <c r="P415" s="17">
        <f>IF(OR($B415="",$I415=""),"",IF(IFERROR(MATCH($G415,nrBankTopics,0),0)=0,"OK",IF(COUNTA(INDEX(nrBankGrid,IFERROR(MATCH($G415,nrBankTopics,0),1),0))=0,"OK",IF(SUMPRODUCT((nrInstrNames&lt;&gt;"")*ISNUMBER(SEARCH(nrInstrNames,$I415))*(COUNTIF(INDEX(nrBankGrid,IFERROR(MATCH($G415,nrBankTopics,0),1),0),nrInstrNames)&gt;0))&lt;SUMPRODUCT((nrInstrNames&lt;&gt;"")*ISNUMBER(SEARCH(nrInstrNames,$I415))),"NOT IN BANK","OK"))))</f>
        <v/>
      </c>
    </row>
    <row r="416">
      <c r="B416" s="18" t="n"/>
      <c r="C416" s="17">
        <f>IF($B416="","",TEXT($B416,"ddd"))</f>
        <v/>
      </c>
      <c r="D416" s="41" t="n"/>
      <c r="E416" s="41" t="n"/>
      <c r="F416" s="17">
        <f>IF(OR($B416="",$D416="",$E416=""),"",ROUND(MOD($E416-$D416,1)*24,2))</f>
        <v/>
      </c>
      <c r="G416" s="16" t="n"/>
      <c r="H416" s="17">
        <f>IF($G416="","",IFERROR(_xlfn.XLOOKUP($G416,nrCHname,nrCHnum),IFERROR(_xlfn.XLOOKUP($G416,nrSUBname,nrSUBparent),"")))</f>
        <v/>
      </c>
      <c r="I416" s="16" t="n"/>
      <c r="J416" s="16" t="n"/>
      <c r="K416" s="17">
        <f>IF($B416="","",IFERROR(_xlfn.XLOOKUP($B416,nrCDdate,nrCDweek),""))</f>
        <v/>
      </c>
      <c r="L416" s="17">
        <f>IF($B416="","",IFERROR(_xlfn.XLOOKUP($B416,nrCDdate,nrCDnum),""))</f>
        <v/>
      </c>
      <c r="M416" s="16" t="n"/>
      <c r="N416" s="17">
        <f>IF(OR($B416="",$I416=""),"",_xlfn.LET(_xlpm.a,$I416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16" s="17">
        <f>IF(OR($B416="",$D416="",$E416=""),"",IF($E416=$D416,"CHECK TIMES (start = end)",IF($F416&gt;12,"CHECK TIMES (End is before Start?)","OK")))</f>
        <v/>
      </c>
      <c r="P416" s="17">
        <f>IF(OR($B416="",$I416=""),"",IF(IFERROR(MATCH($G416,nrBankTopics,0),0)=0,"OK",IF(COUNTA(INDEX(nrBankGrid,IFERROR(MATCH($G416,nrBankTopics,0),1),0))=0,"OK",IF(SUMPRODUCT((nrInstrNames&lt;&gt;"")*ISNUMBER(SEARCH(nrInstrNames,$I416))*(COUNTIF(INDEX(nrBankGrid,IFERROR(MATCH($G416,nrBankTopics,0),1),0),nrInstrNames)&gt;0))&lt;SUMPRODUCT((nrInstrNames&lt;&gt;"")*ISNUMBER(SEARCH(nrInstrNames,$I416))),"NOT IN BANK","OK"))))</f>
        <v/>
      </c>
    </row>
    <row r="417">
      <c r="B417" s="18" t="n"/>
      <c r="C417" s="17">
        <f>IF($B417="","",TEXT($B417,"ddd"))</f>
        <v/>
      </c>
      <c r="D417" s="41" t="n"/>
      <c r="E417" s="41" t="n"/>
      <c r="F417" s="17">
        <f>IF(OR($B417="",$D417="",$E417=""),"",ROUND(MOD($E417-$D417,1)*24,2))</f>
        <v/>
      </c>
      <c r="G417" s="16" t="n"/>
      <c r="H417" s="17">
        <f>IF($G417="","",IFERROR(_xlfn.XLOOKUP($G417,nrCHname,nrCHnum),IFERROR(_xlfn.XLOOKUP($G417,nrSUBname,nrSUBparent),"")))</f>
        <v/>
      </c>
      <c r="I417" s="16" t="n"/>
      <c r="J417" s="16" t="n"/>
      <c r="K417" s="17">
        <f>IF($B417="","",IFERROR(_xlfn.XLOOKUP($B417,nrCDdate,nrCDweek),""))</f>
        <v/>
      </c>
      <c r="L417" s="17">
        <f>IF($B417="","",IFERROR(_xlfn.XLOOKUP($B417,nrCDdate,nrCDnum),""))</f>
        <v/>
      </c>
      <c r="M417" s="16" t="n"/>
      <c r="N417" s="17">
        <f>IF(OR($B417="",$I417=""),"",_xlfn.LET(_xlpm.a,$I417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17" s="17">
        <f>IF(OR($B417="",$D417="",$E417=""),"",IF($E417=$D417,"CHECK TIMES (start = end)",IF($F417&gt;12,"CHECK TIMES (End is before Start?)","OK")))</f>
        <v/>
      </c>
      <c r="P417" s="17">
        <f>IF(OR($B417="",$I417=""),"",IF(IFERROR(MATCH($G417,nrBankTopics,0),0)=0,"OK",IF(COUNTA(INDEX(nrBankGrid,IFERROR(MATCH($G417,nrBankTopics,0),1),0))=0,"OK",IF(SUMPRODUCT((nrInstrNames&lt;&gt;"")*ISNUMBER(SEARCH(nrInstrNames,$I417))*(COUNTIF(INDEX(nrBankGrid,IFERROR(MATCH($G417,nrBankTopics,0),1),0),nrInstrNames)&gt;0))&lt;SUMPRODUCT((nrInstrNames&lt;&gt;"")*ISNUMBER(SEARCH(nrInstrNames,$I417))),"NOT IN BANK","OK"))))</f>
        <v/>
      </c>
    </row>
    <row r="418">
      <c r="B418" s="18" t="n"/>
      <c r="C418" s="17">
        <f>IF($B418="","",TEXT($B418,"ddd"))</f>
        <v/>
      </c>
      <c r="D418" s="41" t="n"/>
      <c r="E418" s="41" t="n"/>
      <c r="F418" s="17">
        <f>IF(OR($B418="",$D418="",$E418=""),"",ROUND(MOD($E418-$D418,1)*24,2))</f>
        <v/>
      </c>
      <c r="G418" s="16" t="n"/>
      <c r="H418" s="17">
        <f>IF($G418="","",IFERROR(_xlfn.XLOOKUP($G418,nrCHname,nrCHnum),IFERROR(_xlfn.XLOOKUP($G418,nrSUBname,nrSUBparent),"")))</f>
        <v/>
      </c>
      <c r="I418" s="16" t="n"/>
      <c r="J418" s="16" t="n"/>
      <c r="K418" s="17">
        <f>IF($B418="","",IFERROR(_xlfn.XLOOKUP($B418,nrCDdate,nrCDweek),""))</f>
        <v/>
      </c>
      <c r="L418" s="17">
        <f>IF($B418="","",IFERROR(_xlfn.XLOOKUP($B418,nrCDdate,nrCDnum),""))</f>
        <v/>
      </c>
      <c r="M418" s="16" t="n"/>
      <c r="N418" s="17">
        <f>IF(OR($B418="",$I418=""),"",_xlfn.LET(_xlpm.a,$I418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18" s="17">
        <f>IF(OR($B418="",$D418="",$E418=""),"",IF($E418=$D418,"CHECK TIMES (start = end)",IF($F418&gt;12,"CHECK TIMES (End is before Start?)","OK")))</f>
        <v/>
      </c>
      <c r="P418" s="17">
        <f>IF(OR($B418="",$I418=""),"",IF(IFERROR(MATCH($G418,nrBankTopics,0),0)=0,"OK",IF(COUNTA(INDEX(nrBankGrid,IFERROR(MATCH($G418,nrBankTopics,0),1),0))=0,"OK",IF(SUMPRODUCT((nrInstrNames&lt;&gt;"")*ISNUMBER(SEARCH(nrInstrNames,$I418))*(COUNTIF(INDEX(nrBankGrid,IFERROR(MATCH($G418,nrBankTopics,0),1),0),nrInstrNames)&gt;0))&lt;SUMPRODUCT((nrInstrNames&lt;&gt;"")*ISNUMBER(SEARCH(nrInstrNames,$I418))),"NOT IN BANK","OK"))))</f>
        <v/>
      </c>
    </row>
    <row r="419">
      <c r="B419" s="18" t="n"/>
      <c r="C419" s="17">
        <f>IF($B419="","",TEXT($B419,"ddd"))</f>
        <v/>
      </c>
      <c r="D419" s="41" t="n"/>
      <c r="E419" s="41" t="n"/>
      <c r="F419" s="17">
        <f>IF(OR($B419="",$D419="",$E419=""),"",ROUND(MOD($E419-$D419,1)*24,2))</f>
        <v/>
      </c>
      <c r="G419" s="16" t="n"/>
      <c r="H419" s="17">
        <f>IF($G419="","",IFERROR(_xlfn.XLOOKUP($G419,nrCHname,nrCHnum),IFERROR(_xlfn.XLOOKUP($G419,nrSUBname,nrSUBparent),"")))</f>
        <v/>
      </c>
      <c r="I419" s="16" t="n"/>
      <c r="J419" s="16" t="n"/>
      <c r="K419" s="17">
        <f>IF($B419="","",IFERROR(_xlfn.XLOOKUP($B419,nrCDdate,nrCDweek),""))</f>
        <v/>
      </c>
      <c r="L419" s="17">
        <f>IF($B419="","",IFERROR(_xlfn.XLOOKUP($B419,nrCDdate,nrCDnum),""))</f>
        <v/>
      </c>
      <c r="M419" s="16" t="n"/>
      <c r="N419" s="17">
        <f>IF(OR($B419="",$I419=""),"",_xlfn.LET(_xlpm.a,$I419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19" s="17">
        <f>IF(OR($B419="",$D419="",$E419=""),"",IF($E419=$D419,"CHECK TIMES (start = end)",IF($F419&gt;12,"CHECK TIMES (End is before Start?)","OK")))</f>
        <v/>
      </c>
      <c r="P419" s="17">
        <f>IF(OR($B419="",$I419=""),"",IF(IFERROR(MATCH($G419,nrBankTopics,0),0)=0,"OK",IF(COUNTA(INDEX(nrBankGrid,IFERROR(MATCH($G419,nrBankTopics,0),1),0))=0,"OK",IF(SUMPRODUCT((nrInstrNames&lt;&gt;"")*ISNUMBER(SEARCH(nrInstrNames,$I419))*(COUNTIF(INDEX(nrBankGrid,IFERROR(MATCH($G419,nrBankTopics,0),1),0),nrInstrNames)&gt;0))&lt;SUMPRODUCT((nrInstrNames&lt;&gt;"")*ISNUMBER(SEARCH(nrInstrNames,$I419))),"NOT IN BANK","OK"))))</f>
        <v/>
      </c>
    </row>
    <row r="420">
      <c r="B420" s="18" t="n"/>
      <c r="C420" s="17">
        <f>IF($B420="","",TEXT($B420,"ddd"))</f>
        <v/>
      </c>
      <c r="D420" s="41" t="n"/>
      <c r="E420" s="41" t="n"/>
      <c r="F420" s="17">
        <f>IF(OR($B420="",$D420="",$E420=""),"",ROUND(MOD($E420-$D420,1)*24,2))</f>
        <v/>
      </c>
      <c r="G420" s="16" t="n"/>
      <c r="H420" s="17">
        <f>IF($G420="","",IFERROR(_xlfn.XLOOKUP($G420,nrCHname,nrCHnum),IFERROR(_xlfn.XLOOKUP($G420,nrSUBname,nrSUBparent),"")))</f>
        <v/>
      </c>
      <c r="I420" s="16" t="n"/>
      <c r="J420" s="16" t="n"/>
      <c r="K420" s="17">
        <f>IF($B420="","",IFERROR(_xlfn.XLOOKUP($B420,nrCDdate,nrCDweek),""))</f>
        <v/>
      </c>
      <c r="L420" s="17">
        <f>IF($B420="","",IFERROR(_xlfn.XLOOKUP($B420,nrCDdate,nrCDnum),""))</f>
        <v/>
      </c>
      <c r="M420" s="16" t="n"/>
      <c r="N420" s="17">
        <f>IF(OR($B420="",$I420=""),"",_xlfn.LET(_xlpm.a,$I420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20" s="17">
        <f>IF(OR($B420="",$D420="",$E420=""),"",IF($E420=$D420,"CHECK TIMES (start = end)",IF($F420&gt;12,"CHECK TIMES (End is before Start?)","OK")))</f>
        <v/>
      </c>
      <c r="P420" s="17">
        <f>IF(OR($B420="",$I420=""),"",IF(IFERROR(MATCH($G420,nrBankTopics,0),0)=0,"OK",IF(COUNTA(INDEX(nrBankGrid,IFERROR(MATCH($G420,nrBankTopics,0),1),0))=0,"OK",IF(SUMPRODUCT((nrInstrNames&lt;&gt;"")*ISNUMBER(SEARCH(nrInstrNames,$I420))*(COUNTIF(INDEX(nrBankGrid,IFERROR(MATCH($G420,nrBankTopics,0),1),0),nrInstrNames)&gt;0))&lt;SUMPRODUCT((nrInstrNames&lt;&gt;"")*ISNUMBER(SEARCH(nrInstrNames,$I420))),"NOT IN BANK","OK"))))</f>
        <v/>
      </c>
    </row>
    <row r="421">
      <c r="B421" s="18" t="n"/>
      <c r="C421" s="17">
        <f>IF($B421="","",TEXT($B421,"ddd"))</f>
        <v/>
      </c>
      <c r="D421" s="41" t="n"/>
      <c r="E421" s="41" t="n"/>
      <c r="F421" s="17">
        <f>IF(OR($B421="",$D421="",$E421=""),"",ROUND(MOD($E421-$D421,1)*24,2))</f>
        <v/>
      </c>
      <c r="G421" s="16" t="n"/>
      <c r="H421" s="17">
        <f>IF($G421="","",IFERROR(_xlfn.XLOOKUP($G421,nrCHname,nrCHnum),IFERROR(_xlfn.XLOOKUP($G421,nrSUBname,nrSUBparent),"")))</f>
        <v/>
      </c>
      <c r="I421" s="16" t="n"/>
      <c r="J421" s="16" t="n"/>
      <c r="K421" s="17">
        <f>IF($B421="","",IFERROR(_xlfn.XLOOKUP($B421,nrCDdate,nrCDweek),""))</f>
        <v/>
      </c>
      <c r="L421" s="17">
        <f>IF($B421="","",IFERROR(_xlfn.XLOOKUP($B421,nrCDdate,nrCDnum),""))</f>
        <v/>
      </c>
      <c r="M421" s="16" t="n"/>
      <c r="N421" s="17">
        <f>IF(OR($B421="",$I421=""),"",_xlfn.LET(_xlpm.a,$I421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21" s="17">
        <f>IF(OR($B421="",$D421="",$E421=""),"",IF($E421=$D421,"CHECK TIMES (start = end)",IF($F421&gt;12,"CHECK TIMES (End is before Start?)","OK")))</f>
        <v/>
      </c>
      <c r="P421" s="17">
        <f>IF(OR($B421="",$I421=""),"",IF(IFERROR(MATCH($G421,nrBankTopics,0),0)=0,"OK",IF(COUNTA(INDEX(nrBankGrid,IFERROR(MATCH($G421,nrBankTopics,0),1),0))=0,"OK",IF(SUMPRODUCT((nrInstrNames&lt;&gt;"")*ISNUMBER(SEARCH(nrInstrNames,$I421))*(COUNTIF(INDEX(nrBankGrid,IFERROR(MATCH($G421,nrBankTopics,0),1),0),nrInstrNames)&gt;0))&lt;SUMPRODUCT((nrInstrNames&lt;&gt;"")*ISNUMBER(SEARCH(nrInstrNames,$I421))),"NOT IN BANK","OK"))))</f>
        <v/>
      </c>
    </row>
    <row r="422">
      <c r="B422" s="18" t="n"/>
      <c r="C422" s="17">
        <f>IF($B422="","",TEXT($B422,"ddd"))</f>
        <v/>
      </c>
      <c r="D422" s="41" t="n"/>
      <c r="E422" s="41" t="n"/>
      <c r="F422" s="17">
        <f>IF(OR($B422="",$D422="",$E422=""),"",ROUND(MOD($E422-$D422,1)*24,2))</f>
        <v/>
      </c>
      <c r="G422" s="16" t="n"/>
      <c r="H422" s="17">
        <f>IF($G422="","",IFERROR(_xlfn.XLOOKUP($G422,nrCHname,nrCHnum),IFERROR(_xlfn.XLOOKUP($G422,nrSUBname,nrSUBparent),"")))</f>
        <v/>
      </c>
      <c r="I422" s="16" t="n"/>
      <c r="J422" s="16" t="n"/>
      <c r="K422" s="17">
        <f>IF($B422="","",IFERROR(_xlfn.XLOOKUP($B422,nrCDdate,nrCDweek),""))</f>
        <v/>
      </c>
      <c r="L422" s="17">
        <f>IF($B422="","",IFERROR(_xlfn.XLOOKUP($B422,nrCDdate,nrCDnum),""))</f>
        <v/>
      </c>
      <c r="M422" s="16" t="n"/>
      <c r="N422" s="17">
        <f>IF(OR($B422="",$I422=""),"",_xlfn.LET(_xlpm.a,$I422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22" s="17">
        <f>IF(OR($B422="",$D422="",$E422=""),"",IF($E422=$D422,"CHECK TIMES (start = end)",IF($F422&gt;12,"CHECK TIMES (End is before Start?)","OK")))</f>
        <v/>
      </c>
      <c r="P422" s="17">
        <f>IF(OR($B422="",$I422=""),"",IF(IFERROR(MATCH($G422,nrBankTopics,0),0)=0,"OK",IF(COUNTA(INDEX(nrBankGrid,IFERROR(MATCH($G422,nrBankTopics,0),1),0))=0,"OK",IF(SUMPRODUCT((nrInstrNames&lt;&gt;"")*ISNUMBER(SEARCH(nrInstrNames,$I422))*(COUNTIF(INDEX(nrBankGrid,IFERROR(MATCH($G422,nrBankTopics,0),1),0),nrInstrNames)&gt;0))&lt;SUMPRODUCT((nrInstrNames&lt;&gt;"")*ISNUMBER(SEARCH(nrInstrNames,$I422))),"NOT IN BANK","OK"))))</f>
        <v/>
      </c>
    </row>
    <row r="423">
      <c r="B423" s="18" t="n"/>
      <c r="C423" s="17">
        <f>IF($B423="","",TEXT($B423,"ddd"))</f>
        <v/>
      </c>
      <c r="D423" s="41" t="n"/>
      <c r="E423" s="41" t="n"/>
      <c r="F423" s="17">
        <f>IF(OR($B423="",$D423="",$E423=""),"",ROUND(MOD($E423-$D423,1)*24,2))</f>
        <v/>
      </c>
      <c r="G423" s="16" t="n"/>
      <c r="H423" s="17">
        <f>IF($G423="","",IFERROR(_xlfn.XLOOKUP($G423,nrCHname,nrCHnum),IFERROR(_xlfn.XLOOKUP($G423,nrSUBname,nrSUBparent),"")))</f>
        <v/>
      </c>
      <c r="I423" s="16" t="n"/>
      <c r="J423" s="16" t="n"/>
      <c r="K423" s="17">
        <f>IF($B423="","",IFERROR(_xlfn.XLOOKUP($B423,nrCDdate,nrCDweek),""))</f>
        <v/>
      </c>
      <c r="L423" s="17">
        <f>IF($B423="","",IFERROR(_xlfn.XLOOKUP($B423,nrCDdate,nrCDnum),""))</f>
        <v/>
      </c>
      <c r="M423" s="16" t="n"/>
      <c r="N423" s="17">
        <f>IF(OR($B423="",$I423=""),"",_xlfn.LET(_xlpm.a,$I423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23" s="17">
        <f>IF(OR($B423="",$D423="",$E423=""),"",IF($E423=$D423,"CHECK TIMES (start = end)",IF($F423&gt;12,"CHECK TIMES (End is before Start?)","OK")))</f>
        <v/>
      </c>
      <c r="P423" s="17">
        <f>IF(OR($B423="",$I423=""),"",IF(IFERROR(MATCH($G423,nrBankTopics,0),0)=0,"OK",IF(COUNTA(INDEX(nrBankGrid,IFERROR(MATCH($G423,nrBankTopics,0),1),0))=0,"OK",IF(SUMPRODUCT((nrInstrNames&lt;&gt;"")*ISNUMBER(SEARCH(nrInstrNames,$I423))*(COUNTIF(INDEX(nrBankGrid,IFERROR(MATCH($G423,nrBankTopics,0),1),0),nrInstrNames)&gt;0))&lt;SUMPRODUCT((nrInstrNames&lt;&gt;"")*ISNUMBER(SEARCH(nrInstrNames,$I423))),"NOT IN BANK","OK"))))</f>
        <v/>
      </c>
    </row>
    <row r="424">
      <c r="B424" s="18" t="n"/>
      <c r="C424" s="17">
        <f>IF($B424="","",TEXT($B424,"ddd"))</f>
        <v/>
      </c>
      <c r="D424" s="41" t="n"/>
      <c r="E424" s="41" t="n"/>
      <c r="F424" s="17">
        <f>IF(OR($B424="",$D424="",$E424=""),"",ROUND(MOD($E424-$D424,1)*24,2))</f>
        <v/>
      </c>
      <c r="G424" s="16" t="n"/>
      <c r="H424" s="17">
        <f>IF($G424="","",IFERROR(_xlfn.XLOOKUP($G424,nrCHname,nrCHnum),IFERROR(_xlfn.XLOOKUP($G424,nrSUBname,nrSUBparent),"")))</f>
        <v/>
      </c>
      <c r="I424" s="16" t="n"/>
      <c r="J424" s="16" t="n"/>
      <c r="K424" s="17">
        <f>IF($B424="","",IFERROR(_xlfn.XLOOKUP($B424,nrCDdate,nrCDweek),""))</f>
        <v/>
      </c>
      <c r="L424" s="17">
        <f>IF($B424="","",IFERROR(_xlfn.XLOOKUP($B424,nrCDdate,nrCDnum),""))</f>
        <v/>
      </c>
      <c r="M424" s="16" t="n"/>
      <c r="N424" s="17">
        <f>IF(OR($B424="",$I424=""),"",_xlfn.LET(_xlpm.a,$I424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24" s="17">
        <f>IF(OR($B424="",$D424="",$E424=""),"",IF($E424=$D424,"CHECK TIMES (start = end)",IF($F424&gt;12,"CHECK TIMES (End is before Start?)","OK")))</f>
        <v/>
      </c>
      <c r="P424" s="17">
        <f>IF(OR($B424="",$I424=""),"",IF(IFERROR(MATCH($G424,nrBankTopics,0),0)=0,"OK",IF(COUNTA(INDEX(nrBankGrid,IFERROR(MATCH($G424,nrBankTopics,0),1),0))=0,"OK",IF(SUMPRODUCT((nrInstrNames&lt;&gt;"")*ISNUMBER(SEARCH(nrInstrNames,$I424))*(COUNTIF(INDEX(nrBankGrid,IFERROR(MATCH($G424,nrBankTopics,0),1),0),nrInstrNames)&gt;0))&lt;SUMPRODUCT((nrInstrNames&lt;&gt;"")*ISNUMBER(SEARCH(nrInstrNames,$I424))),"NOT IN BANK","OK"))))</f>
        <v/>
      </c>
    </row>
    <row r="425">
      <c r="B425" s="18" t="n"/>
      <c r="C425" s="17">
        <f>IF($B425="","",TEXT($B425,"ddd"))</f>
        <v/>
      </c>
      <c r="D425" s="41" t="n"/>
      <c r="E425" s="41" t="n"/>
      <c r="F425" s="17">
        <f>IF(OR($B425="",$D425="",$E425=""),"",ROUND(MOD($E425-$D425,1)*24,2))</f>
        <v/>
      </c>
      <c r="G425" s="16" t="n"/>
      <c r="H425" s="17">
        <f>IF($G425="","",IFERROR(_xlfn.XLOOKUP($G425,nrCHname,nrCHnum),IFERROR(_xlfn.XLOOKUP($G425,nrSUBname,nrSUBparent),"")))</f>
        <v/>
      </c>
      <c r="I425" s="16" t="n"/>
      <c r="J425" s="16" t="n"/>
      <c r="K425" s="17">
        <f>IF($B425="","",IFERROR(_xlfn.XLOOKUP($B425,nrCDdate,nrCDweek),""))</f>
        <v/>
      </c>
      <c r="L425" s="17">
        <f>IF($B425="","",IFERROR(_xlfn.XLOOKUP($B425,nrCDdate,nrCDnum),""))</f>
        <v/>
      </c>
      <c r="M425" s="16" t="n"/>
      <c r="N425" s="17">
        <f>IF(OR($B425="",$I425=""),"",_xlfn.LET(_xlpm.a,$I425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25" s="17">
        <f>IF(OR($B425="",$D425="",$E425=""),"",IF($E425=$D425,"CHECK TIMES (start = end)",IF($F425&gt;12,"CHECK TIMES (End is before Start?)","OK")))</f>
        <v/>
      </c>
      <c r="P425" s="17">
        <f>IF(OR($B425="",$I425=""),"",IF(IFERROR(MATCH($G425,nrBankTopics,0),0)=0,"OK",IF(COUNTA(INDEX(nrBankGrid,IFERROR(MATCH($G425,nrBankTopics,0),1),0))=0,"OK",IF(SUMPRODUCT((nrInstrNames&lt;&gt;"")*ISNUMBER(SEARCH(nrInstrNames,$I425))*(COUNTIF(INDEX(nrBankGrid,IFERROR(MATCH($G425,nrBankTopics,0),1),0),nrInstrNames)&gt;0))&lt;SUMPRODUCT((nrInstrNames&lt;&gt;"")*ISNUMBER(SEARCH(nrInstrNames,$I425))),"NOT IN BANK","OK"))))</f>
        <v/>
      </c>
    </row>
    <row r="426">
      <c r="B426" s="18" t="n"/>
      <c r="C426" s="17">
        <f>IF($B426="","",TEXT($B426,"ddd"))</f>
        <v/>
      </c>
      <c r="D426" s="41" t="n"/>
      <c r="E426" s="41" t="n"/>
      <c r="F426" s="17">
        <f>IF(OR($B426="",$D426="",$E426=""),"",ROUND(MOD($E426-$D426,1)*24,2))</f>
        <v/>
      </c>
      <c r="G426" s="16" t="n"/>
      <c r="H426" s="17">
        <f>IF($G426="","",IFERROR(_xlfn.XLOOKUP($G426,nrCHname,nrCHnum),IFERROR(_xlfn.XLOOKUP($G426,nrSUBname,nrSUBparent),"")))</f>
        <v/>
      </c>
      <c r="I426" s="16" t="n"/>
      <c r="J426" s="16" t="n"/>
      <c r="K426" s="17">
        <f>IF($B426="","",IFERROR(_xlfn.XLOOKUP($B426,nrCDdate,nrCDweek),""))</f>
        <v/>
      </c>
      <c r="L426" s="17">
        <f>IF($B426="","",IFERROR(_xlfn.XLOOKUP($B426,nrCDdate,nrCDnum),""))</f>
        <v/>
      </c>
      <c r="M426" s="16" t="n"/>
      <c r="N426" s="17">
        <f>IF(OR($B426="",$I426=""),"",_xlfn.LET(_xlpm.a,$I426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26" s="17">
        <f>IF(OR($B426="",$D426="",$E426=""),"",IF($E426=$D426,"CHECK TIMES (start = end)",IF($F426&gt;12,"CHECK TIMES (End is before Start?)","OK")))</f>
        <v/>
      </c>
      <c r="P426" s="17">
        <f>IF(OR($B426="",$I426=""),"",IF(IFERROR(MATCH($G426,nrBankTopics,0),0)=0,"OK",IF(COUNTA(INDEX(nrBankGrid,IFERROR(MATCH($G426,nrBankTopics,0),1),0))=0,"OK",IF(SUMPRODUCT((nrInstrNames&lt;&gt;"")*ISNUMBER(SEARCH(nrInstrNames,$I426))*(COUNTIF(INDEX(nrBankGrid,IFERROR(MATCH($G426,nrBankTopics,0),1),0),nrInstrNames)&gt;0))&lt;SUMPRODUCT((nrInstrNames&lt;&gt;"")*ISNUMBER(SEARCH(nrInstrNames,$I426))),"NOT IN BANK","OK"))))</f>
        <v/>
      </c>
    </row>
    <row r="427">
      <c r="B427" s="18" t="n"/>
      <c r="C427" s="17">
        <f>IF($B427="","",TEXT($B427,"ddd"))</f>
        <v/>
      </c>
      <c r="D427" s="41" t="n"/>
      <c r="E427" s="41" t="n"/>
      <c r="F427" s="17">
        <f>IF(OR($B427="",$D427="",$E427=""),"",ROUND(MOD($E427-$D427,1)*24,2))</f>
        <v/>
      </c>
      <c r="G427" s="16" t="n"/>
      <c r="H427" s="17">
        <f>IF($G427="","",IFERROR(_xlfn.XLOOKUP($G427,nrCHname,nrCHnum),IFERROR(_xlfn.XLOOKUP($G427,nrSUBname,nrSUBparent),"")))</f>
        <v/>
      </c>
      <c r="I427" s="16" t="n"/>
      <c r="J427" s="16" t="n"/>
      <c r="K427" s="17">
        <f>IF($B427="","",IFERROR(_xlfn.XLOOKUP($B427,nrCDdate,nrCDweek),""))</f>
        <v/>
      </c>
      <c r="L427" s="17">
        <f>IF($B427="","",IFERROR(_xlfn.XLOOKUP($B427,nrCDdate,nrCDnum),""))</f>
        <v/>
      </c>
      <c r="M427" s="16" t="n"/>
      <c r="N427" s="17">
        <f>IF(OR($B427="",$I427=""),"",_xlfn.LET(_xlpm.a,$I427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27" s="17">
        <f>IF(OR($B427="",$D427="",$E427=""),"",IF($E427=$D427,"CHECK TIMES (start = end)",IF($F427&gt;12,"CHECK TIMES (End is before Start?)","OK")))</f>
        <v/>
      </c>
      <c r="P427" s="17">
        <f>IF(OR($B427="",$I427=""),"",IF(IFERROR(MATCH($G427,nrBankTopics,0),0)=0,"OK",IF(COUNTA(INDEX(nrBankGrid,IFERROR(MATCH($G427,nrBankTopics,0),1),0))=0,"OK",IF(SUMPRODUCT((nrInstrNames&lt;&gt;"")*ISNUMBER(SEARCH(nrInstrNames,$I427))*(COUNTIF(INDEX(nrBankGrid,IFERROR(MATCH($G427,nrBankTopics,0),1),0),nrInstrNames)&gt;0))&lt;SUMPRODUCT((nrInstrNames&lt;&gt;"")*ISNUMBER(SEARCH(nrInstrNames,$I427))),"NOT IN BANK","OK"))))</f>
        <v/>
      </c>
    </row>
    <row r="428">
      <c r="B428" s="18" t="n"/>
      <c r="C428" s="17">
        <f>IF($B428="","",TEXT($B428,"ddd"))</f>
        <v/>
      </c>
      <c r="D428" s="41" t="n"/>
      <c r="E428" s="41" t="n"/>
      <c r="F428" s="17">
        <f>IF(OR($B428="",$D428="",$E428=""),"",ROUND(MOD($E428-$D428,1)*24,2))</f>
        <v/>
      </c>
      <c r="G428" s="16" t="n"/>
      <c r="H428" s="17">
        <f>IF($G428="","",IFERROR(_xlfn.XLOOKUP($G428,nrCHname,nrCHnum),IFERROR(_xlfn.XLOOKUP($G428,nrSUBname,nrSUBparent),"")))</f>
        <v/>
      </c>
      <c r="I428" s="16" t="n"/>
      <c r="J428" s="16" t="n"/>
      <c r="K428" s="17">
        <f>IF($B428="","",IFERROR(_xlfn.XLOOKUP($B428,nrCDdate,nrCDweek),""))</f>
        <v/>
      </c>
      <c r="L428" s="17">
        <f>IF($B428="","",IFERROR(_xlfn.XLOOKUP($B428,nrCDdate,nrCDnum),""))</f>
        <v/>
      </c>
      <c r="M428" s="16" t="n"/>
      <c r="N428" s="17">
        <f>IF(OR($B428="",$I428=""),"",_xlfn.LET(_xlpm.a,$I428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28" s="17">
        <f>IF(OR($B428="",$D428="",$E428=""),"",IF($E428=$D428,"CHECK TIMES (start = end)",IF($F428&gt;12,"CHECK TIMES (End is before Start?)","OK")))</f>
        <v/>
      </c>
      <c r="P428" s="17">
        <f>IF(OR($B428="",$I428=""),"",IF(IFERROR(MATCH($G428,nrBankTopics,0),0)=0,"OK",IF(COUNTA(INDEX(nrBankGrid,IFERROR(MATCH($G428,nrBankTopics,0),1),0))=0,"OK",IF(SUMPRODUCT((nrInstrNames&lt;&gt;"")*ISNUMBER(SEARCH(nrInstrNames,$I428))*(COUNTIF(INDEX(nrBankGrid,IFERROR(MATCH($G428,nrBankTopics,0),1),0),nrInstrNames)&gt;0))&lt;SUMPRODUCT((nrInstrNames&lt;&gt;"")*ISNUMBER(SEARCH(nrInstrNames,$I428))),"NOT IN BANK","OK"))))</f>
        <v/>
      </c>
    </row>
    <row r="429">
      <c r="B429" s="18" t="n"/>
      <c r="C429" s="17">
        <f>IF($B429="","",TEXT($B429,"ddd"))</f>
        <v/>
      </c>
      <c r="D429" s="41" t="n"/>
      <c r="E429" s="41" t="n"/>
      <c r="F429" s="17">
        <f>IF(OR($B429="",$D429="",$E429=""),"",ROUND(MOD($E429-$D429,1)*24,2))</f>
        <v/>
      </c>
      <c r="G429" s="16" t="n"/>
      <c r="H429" s="17">
        <f>IF($G429="","",IFERROR(_xlfn.XLOOKUP($G429,nrCHname,nrCHnum),IFERROR(_xlfn.XLOOKUP($G429,nrSUBname,nrSUBparent),"")))</f>
        <v/>
      </c>
      <c r="I429" s="16" t="n"/>
      <c r="J429" s="16" t="n"/>
      <c r="K429" s="17">
        <f>IF($B429="","",IFERROR(_xlfn.XLOOKUP($B429,nrCDdate,nrCDweek),""))</f>
        <v/>
      </c>
      <c r="L429" s="17">
        <f>IF($B429="","",IFERROR(_xlfn.XLOOKUP($B429,nrCDdate,nrCDnum),""))</f>
        <v/>
      </c>
      <c r="M429" s="16" t="n"/>
      <c r="N429" s="17">
        <f>IF(OR($B429="",$I429=""),"",_xlfn.LET(_xlpm.a,$I429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29" s="17">
        <f>IF(OR($B429="",$D429="",$E429=""),"",IF($E429=$D429,"CHECK TIMES (start = end)",IF($F429&gt;12,"CHECK TIMES (End is before Start?)","OK")))</f>
        <v/>
      </c>
      <c r="P429" s="17">
        <f>IF(OR($B429="",$I429=""),"",IF(IFERROR(MATCH($G429,nrBankTopics,0),0)=0,"OK",IF(COUNTA(INDEX(nrBankGrid,IFERROR(MATCH($G429,nrBankTopics,0),1),0))=0,"OK",IF(SUMPRODUCT((nrInstrNames&lt;&gt;"")*ISNUMBER(SEARCH(nrInstrNames,$I429))*(COUNTIF(INDEX(nrBankGrid,IFERROR(MATCH($G429,nrBankTopics,0),1),0),nrInstrNames)&gt;0))&lt;SUMPRODUCT((nrInstrNames&lt;&gt;"")*ISNUMBER(SEARCH(nrInstrNames,$I429))),"NOT IN BANK","OK"))))</f>
        <v/>
      </c>
    </row>
    <row r="430">
      <c r="B430" s="18" t="n"/>
      <c r="C430" s="17">
        <f>IF($B430="","",TEXT($B430,"ddd"))</f>
        <v/>
      </c>
      <c r="D430" s="41" t="n"/>
      <c r="E430" s="41" t="n"/>
      <c r="F430" s="17">
        <f>IF(OR($B430="",$D430="",$E430=""),"",ROUND(MOD($E430-$D430,1)*24,2))</f>
        <v/>
      </c>
      <c r="G430" s="16" t="n"/>
      <c r="H430" s="17">
        <f>IF($G430="","",IFERROR(_xlfn.XLOOKUP($G430,nrCHname,nrCHnum),IFERROR(_xlfn.XLOOKUP($G430,nrSUBname,nrSUBparent),"")))</f>
        <v/>
      </c>
      <c r="I430" s="16" t="n"/>
      <c r="J430" s="16" t="n"/>
      <c r="K430" s="17">
        <f>IF($B430="","",IFERROR(_xlfn.XLOOKUP($B430,nrCDdate,nrCDweek),""))</f>
        <v/>
      </c>
      <c r="L430" s="17">
        <f>IF($B430="","",IFERROR(_xlfn.XLOOKUP($B430,nrCDdate,nrCDnum),""))</f>
        <v/>
      </c>
      <c r="M430" s="16" t="n"/>
      <c r="N430" s="17">
        <f>IF(OR($B430="",$I430=""),"",_xlfn.LET(_xlpm.a,$I430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30" s="17">
        <f>IF(OR($B430="",$D430="",$E430=""),"",IF($E430=$D430,"CHECK TIMES (start = end)",IF($F430&gt;12,"CHECK TIMES (End is before Start?)","OK")))</f>
        <v/>
      </c>
      <c r="P430" s="17">
        <f>IF(OR($B430="",$I430=""),"",IF(IFERROR(MATCH($G430,nrBankTopics,0),0)=0,"OK",IF(COUNTA(INDEX(nrBankGrid,IFERROR(MATCH($G430,nrBankTopics,0),1),0))=0,"OK",IF(SUMPRODUCT((nrInstrNames&lt;&gt;"")*ISNUMBER(SEARCH(nrInstrNames,$I430))*(COUNTIF(INDEX(nrBankGrid,IFERROR(MATCH($G430,nrBankTopics,0),1),0),nrInstrNames)&gt;0))&lt;SUMPRODUCT((nrInstrNames&lt;&gt;"")*ISNUMBER(SEARCH(nrInstrNames,$I430))),"NOT IN BANK","OK"))))</f>
        <v/>
      </c>
    </row>
    <row r="431">
      <c r="B431" s="18" t="n"/>
      <c r="C431" s="17">
        <f>IF($B431="","",TEXT($B431,"ddd"))</f>
        <v/>
      </c>
      <c r="D431" s="41" t="n"/>
      <c r="E431" s="41" t="n"/>
      <c r="F431" s="17">
        <f>IF(OR($B431="",$D431="",$E431=""),"",ROUND(MOD($E431-$D431,1)*24,2))</f>
        <v/>
      </c>
      <c r="G431" s="16" t="n"/>
      <c r="H431" s="17">
        <f>IF($G431="","",IFERROR(_xlfn.XLOOKUP($G431,nrCHname,nrCHnum),IFERROR(_xlfn.XLOOKUP($G431,nrSUBname,nrSUBparent),"")))</f>
        <v/>
      </c>
      <c r="I431" s="16" t="n"/>
      <c r="J431" s="16" t="n"/>
      <c r="K431" s="17">
        <f>IF($B431="","",IFERROR(_xlfn.XLOOKUP($B431,nrCDdate,nrCDweek),""))</f>
        <v/>
      </c>
      <c r="L431" s="17">
        <f>IF($B431="","",IFERROR(_xlfn.XLOOKUP($B431,nrCDdate,nrCDnum),""))</f>
        <v/>
      </c>
      <c r="M431" s="16" t="n"/>
      <c r="N431" s="17">
        <f>IF(OR($B431="",$I431=""),"",_xlfn.LET(_xlpm.a,$I431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31" s="17">
        <f>IF(OR($B431="",$D431="",$E431=""),"",IF($E431=$D431,"CHECK TIMES (start = end)",IF($F431&gt;12,"CHECK TIMES (End is before Start?)","OK")))</f>
        <v/>
      </c>
      <c r="P431" s="17">
        <f>IF(OR($B431="",$I431=""),"",IF(IFERROR(MATCH($G431,nrBankTopics,0),0)=0,"OK",IF(COUNTA(INDEX(nrBankGrid,IFERROR(MATCH($G431,nrBankTopics,0),1),0))=0,"OK",IF(SUMPRODUCT((nrInstrNames&lt;&gt;"")*ISNUMBER(SEARCH(nrInstrNames,$I431))*(COUNTIF(INDEX(nrBankGrid,IFERROR(MATCH($G431,nrBankTopics,0),1),0),nrInstrNames)&gt;0))&lt;SUMPRODUCT((nrInstrNames&lt;&gt;"")*ISNUMBER(SEARCH(nrInstrNames,$I431))),"NOT IN BANK","OK"))))</f>
        <v/>
      </c>
    </row>
    <row r="432">
      <c r="B432" s="18" t="n"/>
      <c r="C432" s="17">
        <f>IF($B432="","",TEXT($B432,"ddd"))</f>
        <v/>
      </c>
      <c r="D432" s="41" t="n"/>
      <c r="E432" s="41" t="n"/>
      <c r="F432" s="17">
        <f>IF(OR($B432="",$D432="",$E432=""),"",ROUND(MOD($E432-$D432,1)*24,2))</f>
        <v/>
      </c>
      <c r="G432" s="16" t="n"/>
      <c r="H432" s="17">
        <f>IF($G432="","",IFERROR(_xlfn.XLOOKUP($G432,nrCHname,nrCHnum),IFERROR(_xlfn.XLOOKUP($G432,nrSUBname,nrSUBparent),"")))</f>
        <v/>
      </c>
      <c r="I432" s="16" t="n"/>
      <c r="J432" s="16" t="n"/>
      <c r="K432" s="17">
        <f>IF($B432="","",IFERROR(_xlfn.XLOOKUP($B432,nrCDdate,nrCDweek),""))</f>
        <v/>
      </c>
      <c r="L432" s="17">
        <f>IF($B432="","",IFERROR(_xlfn.XLOOKUP($B432,nrCDdate,nrCDnum),""))</f>
        <v/>
      </c>
      <c r="M432" s="16" t="n"/>
      <c r="N432" s="17">
        <f>IF(OR($B432="",$I432=""),"",_xlfn.LET(_xlpm.a,$I432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32" s="17">
        <f>IF(OR($B432="",$D432="",$E432=""),"",IF($E432=$D432,"CHECK TIMES (start = end)",IF($F432&gt;12,"CHECK TIMES (End is before Start?)","OK")))</f>
        <v/>
      </c>
      <c r="P432" s="17">
        <f>IF(OR($B432="",$I432=""),"",IF(IFERROR(MATCH($G432,nrBankTopics,0),0)=0,"OK",IF(COUNTA(INDEX(nrBankGrid,IFERROR(MATCH($G432,nrBankTopics,0),1),0))=0,"OK",IF(SUMPRODUCT((nrInstrNames&lt;&gt;"")*ISNUMBER(SEARCH(nrInstrNames,$I432))*(COUNTIF(INDEX(nrBankGrid,IFERROR(MATCH($G432,nrBankTopics,0),1),0),nrInstrNames)&gt;0))&lt;SUMPRODUCT((nrInstrNames&lt;&gt;"")*ISNUMBER(SEARCH(nrInstrNames,$I432))),"NOT IN BANK","OK"))))</f>
        <v/>
      </c>
    </row>
    <row r="433">
      <c r="B433" s="18" t="n"/>
      <c r="C433" s="17">
        <f>IF($B433="","",TEXT($B433,"ddd"))</f>
        <v/>
      </c>
      <c r="D433" s="41" t="n"/>
      <c r="E433" s="41" t="n"/>
      <c r="F433" s="17">
        <f>IF(OR($B433="",$D433="",$E433=""),"",ROUND(MOD($E433-$D433,1)*24,2))</f>
        <v/>
      </c>
      <c r="G433" s="16" t="n"/>
      <c r="H433" s="17">
        <f>IF($G433="","",IFERROR(_xlfn.XLOOKUP($G433,nrCHname,nrCHnum),IFERROR(_xlfn.XLOOKUP($G433,nrSUBname,nrSUBparent),"")))</f>
        <v/>
      </c>
      <c r="I433" s="16" t="n"/>
      <c r="J433" s="16" t="n"/>
      <c r="K433" s="17">
        <f>IF($B433="","",IFERROR(_xlfn.XLOOKUP($B433,nrCDdate,nrCDweek),""))</f>
        <v/>
      </c>
      <c r="L433" s="17">
        <f>IF($B433="","",IFERROR(_xlfn.XLOOKUP($B433,nrCDdate,nrCDnum),""))</f>
        <v/>
      </c>
      <c r="M433" s="16" t="n"/>
      <c r="N433" s="17">
        <f>IF(OR($B433="",$I433=""),"",_xlfn.LET(_xlpm.a,$I433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33" s="17">
        <f>IF(OR($B433="",$D433="",$E433=""),"",IF($E433=$D433,"CHECK TIMES (start = end)",IF($F433&gt;12,"CHECK TIMES (End is before Start?)","OK")))</f>
        <v/>
      </c>
      <c r="P433" s="17">
        <f>IF(OR($B433="",$I433=""),"",IF(IFERROR(MATCH($G433,nrBankTopics,0),0)=0,"OK",IF(COUNTA(INDEX(nrBankGrid,IFERROR(MATCH($G433,nrBankTopics,0),1),0))=0,"OK",IF(SUMPRODUCT((nrInstrNames&lt;&gt;"")*ISNUMBER(SEARCH(nrInstrNames,$I433))*(COUNTIF(INDEX(nrBankGrid,IFERROR(MATCH($G433,nrBankTopics,0),1),0),nrInstrNames)&gt;0))&lt;SUMPRODUCT((nrInstrNames&lt;&gt;"")*ISNUMBER(SEARCH(nrInstrNames,$I433))),"NOT IN BANK","OK"))))</f>
        <v/>
      </c>
    </row>
    <row r="434">
      <c r="B434" s="18" t="n"/>
      <c r="C434" s="17">
        <f>IF($B434="","",TEXT($B434,"ddd"))</f>
        <v/>
      </c>
      <c r="D434" s="41" t="n"/>
      <c r="E434" s="41" t="n"/>
      <c r="F434" s="17">
        <f>IF(OR($B434="",$D434="",$E434=""),"",ROUND(MOD($E434-$D434,1)*24,2))</f>
        <v/>
      </c>
      <c r="G434" s="16" t="n"/>
      <c r="H434" s="17">
        <f>IF($G434="","",IFERROR(_xlfn.XLOOKUP($G434,nrCHname,nrCHnum),IFERROR(_xlfn.XLOOKUP($G434,nrSUBname,nrSUBparent),"")))</f>
        <v/>
      </c>
      <c r="I434" s="16" t="n"/>
      <c r="J434" s="16" t="n"/>
      <c r="K434" s="17">
        <f>IF($B434="","",IFERROR(_xlfn.XLOOKUP($B434,nrCDdate,nrCDweek),""))</f>
        <v/>
      </c>
      <c r="L434" s="17">
        <f>IF($B434="","",IFERROR(_xlfn.XLOOKUP($B434,nrCDdate,nrCDnum),""))</f>
        <v/>
      </c>
      <c r="M434" s="16" t="n"/>
      <c r="N434" s="17">
        <f>IF(OR($B434="",$I434=""),"",_xlfn.LET(_xlpm.a,$I434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34" s="17">
        <f>IF(OR($B434="",$D434="",$E434=""),"",IF($E434=$D434,"CHECK TIMES (start = end)",IF($F434&gt;12,"CHECK TIMES (End is before Start?)","OK")))</f>
        <v/>
      </c>
      <c r="P434" s="17">
        <f>IF(OR($B434="",$I434=""),"",IF(IFERROR(MATCH($G434,nrBankTopics,0),0)=0,"OK",IF(COUNTA(INDEX(nrBankGrid,IFERROR(MATCH($G434,nrBankTopics,0),1),0))=0,"OK",IF(SUMPRODUCT((nrInstrNames&lt;&gt;"")*ISNUMBER(SEARCH(nrInstrNames,$I434))*(COUNTIF(INDEX(nrBankGrid,IFERROR(MATCH($G434,nrBankTopics,0),1),0),nrInstrNames)&gt;0))&lt;SUMPRODUCT((nrInstrNames&lt;&gt;"")*ISNUMBER(SEARCH(nrInstrNames,$I434))),"NOT IN BANK","OK"))))</f>
        <v/>
      </c>
    </row>
    <row r="435">
      <c r="B435" s="18" t="n"/>
      <c r="C435" s="17">
        <f>IF($B435="","",TEXT($B435,"ddd"))</f>
        <v/>
      </c>
      <c r="D435" s="41" t="n"/>
      <c r="E435" s="41" t="n"/>
      <c r="F435" s="17">
        <f>IF(OR($B435="",$D435="",$E435=""),"",ROUND(MOD($E435-$D435,1)*24,2))</f>
        <v/>
      </c>
      <c r="G435" s="16" t="n"/>
      <c r="H435" s="17">
        <f>IF($G435="","",IFERROR(_xlfn.XLOOKUP($G435,nrCHname,nrCHnum),IFERROR(_xlfn.XLOOKUP($G435,nrSUBname,nrSUBparent),"")))</f>
        <v/>
      </c>
      <c r="I435" s="16" t="n"/>
      <c r="J435" s="16" t="n"/>
      <c r="K435" s="17">
        <f>IF($B435="","",IFERROR(_xlfn.XLOOKUP($B435,nrCDdate,nrCDweek),""))</f>
        <v/>
      </c>
      <c r="L435" s="17">
        <f>IF($B435="","",IFERROR(_xlfn.XLOOKUP($B435,nrCDdate,nrCDnum),""))</f>
        <v/>
      </c>
      <c r="M435" s="16" t="n"/>
      <c r="N435" s="17">
        <f>IF(OR($B435="",$I435=""),"",_xlfn.LET(_xlpm.a,$I435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35" s="17">
        <f>IF(OR($B435="",$D435="",$E435=""),"",IF($E435=$D435,"CHECK TIMES (start = end)",IF($F435&gt;12,"CHECK TIMES (End is before Start?)","OK")))</f>
        <v/>
      </c>
      <c r="P435" s="17">
        <f>IF(OR($B435="",$I435=""),"",IF(IFERROR(MATCH($G435,nrBankTopics,0),0)=0,"OK",IF(COUNTA(INDEX(nrBankGrid,IFERROR(MATCH($G435,nrBankTopics,0),1),0))=0,"OK",IF(SUMPRODUCT((nrInstrNames&lt;&gt;"")*ISNUMBER(SEARCH(nrInstrNames,$I435))*(COUNTIF(INDEX(nrBankGrid,IFERROR(MATCH($G435,nrBankTopics,0),1),0),nrInstrNames)&gt;0))&lt;SUMPRODUCT((nrInstrNames&lt;&gt;"")*ISNUMBER(SEARCH(nrInstrNames,$I435))),"NOT IN BANK","OK"))))</f>
        <v/>
      </c>
    </row>
    <row r="436">
      <c r="B436" s="18" t="n"/>
      <c r="C436" s="17">
        <f>IF($B436="","",TEXT($B436,"ddd"))</f>
        <v/>
      </c>
      <c r="D436" s="41" t="n"/>
      <c r="E436" s="41" t="n"/>
      <c r="F436" s="17">
        <f>IF(OR($B436="",$D436="",$E436=""),"",ROUND(MOD($E436-$D436,1)*24,2))</f>
        <v/>
      </c>
      <c r="G436" s="16" t="n"/>
      <c r="H436" s="17">
        <f>IF($G436="","",IFERROR(_xlfn.XLOOKUP($G436,nrCHname,nrCHnum),IFERROR(_xlfn.XLOOKUP($G436,nrSUBname,nrSUBparent),"")))</f>
        <v/>
      </c>
      <c r="I436" s="16" t="n"/>
      <c r="J436" s="16" t="n"/>
      <c r="K436" s="17">
        <f>IF($B436="","",IFERROR(_xlfn.XLOOKUP($B436,nrCDdate,nrCDweek),""))</f>
        <v/>
      </c>
      <c r="L436" s="17">
        <f>IF($B436="","",IFERROR(_xlfn.XLOOKUP($B436,nrCDdate,nrCDnum),""))</f>
        <v/>
      </c>
      <c r="M436" s="16" t="n"/>
      <c r="N436" s="17">
        <f>IF(OR($B436="",$I436=""),"",_xlfn.LET(_xlpm.a,$I436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36" s="17">
        <f>IF(OR($B436="",$D436="",$E436=""),"",IF($E436=$D436,"CHECK TIMES (start = end)",IF($F436&gt;12,"CHECK TIMES (End is before Start?)","OK")))</f>
        <v/>
      </c>
      <c r="P436" s="17">
        <f>IF(OR($B436="",$I436=""),"",IF(IFERROR(MATCH($G436,nrBankTopics,0),0)=0,"OK",IF(COUNTA(INDEX(nrBankGrid,IFERROR(MATCH($G436,nrBankTopics,0),1),0))=0,"OK",IF(SUMPRODUCT((nrInstrNames&lt;&gt;"")*ISNUMBER(SEARCH(nrInstrNames,$I436))*(COUNTIF(INDEX(nrBankGrid,IFERROR(MATCH($G436,nrBankTopics,0),1),0),nrInstrNames)&gt;0))&lt;SUMPRODUCT((nrInstrNames&lt;&gt;"")*ISNUMBER(SEARCH(nrInstrNames,$I436))),"NOT IN BANK","OK"))))</f>
        <v/>
      </c>
    </row>
    <row r="437">
      <c r="B437" s="18" t="n"/>
      <c r="C437" s="17">
        <f>IF($B437="","",TEXT($B437,"ddd"))</f>
        <v/>
      </c>
      <c r="D437" s="41" t="n"/>
      <c r="E437" s="41" t="n"/>
      <c r="F437" s="17">
        <f>IF(OR($B437="",$D437="",$E437=""),"",ROUND(MOD($E437-$D437,1)*24,2))</f>
        <v/>
      </c>
      <c r="G437" s="16" t="n"/>
      <c r="H437" s="17">
        <f>IF($G437="","",IFERROR(_xlfn.XLOOKUP($G437,nrCHname,nrCHnum),IFERROR(_xlfn.XLOOKUP($G437,nrSUBname,nrSUBparent),"")))</f>
        <v/>
      </c>
      <c r="I437" s="16" t="n"/>
      <c r="J437" s="16" t="n"/>
      <c r="K437" s="17">
        <f>IF($B437="","",IFERROR(_xlfn.XLOOKUP($B437,nrCDdate,nrCDweek),""))</f>
        <v/>
      </c>
      <c r="L437" s="17">
        <f>IF($B437="","",IFERROR(_xlfn.XLOOKUP($B437,nrCDdate,nrCDnum),""))</f>
        <v/>
      </c>
      <c r="M437" s="16" t="n"/>
      <c r="N437" s="17">
        <f>IF(OR($B437="",$I437=""),"",_xlfn.LET(_xlpm.a,$I437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37" s="17">
        <f>IF(OR($B437="",$D437="",$E437=""),"",IF($E437=$D437,"CHECK TIMES (start = end)",IF($F437&gt;12,"CHECK TIMES (End is before Start?)","OK")))</f>
        <v/>
      </c>
      <c r="P437" s="17">
        <f>IF(OR($B437="",$I437=""),"",IF(IFERROR(MATCH($G437,nrBankTopics,0),0)=0,"OK",IF(COUNTA(INDEX(nrBankGrid,IFERROR(MATCH($G437,nrBankTopics,0),1),0))=0,"OK",IF(SUMPRODUCT((nrInstrNames&lt;&gt;"")*ISNUMBER(SEARCH(nrInstrNames,$I437))*(COUNTIF(INDEX(nrBankGrid,IFERROR(MATCH($G437,nrBankTopics,0),1),0),nrInstrNames)&gt;0))&lt;SUMPRODUCT((nrInstrNames&lt;&gt;"")*ISNUMBER(SEARCH(nrInstrNames,$I437))),"NOT IN BANK","OK"))))</f>
        <v/>
      </c>
    </row>
    <row r="438">
      <c r="B438" s="18" t="n"/>
      <c r="C438" s="17">
        <f>IF($B438="","",TEXT($B438,"ddd"))</f>
        <v/>
      </c>
      <c r="D438" s="41" t="n"/>
      <c r="E438" s="41" t="n"/>
      <c r="F438" s="17">
        <f>IF(OR($B438="",$D438="",$E438=""),"",ROUND(MOD($E438-$D438,1)*24,2))</f>
        <v/>
      </c>
      <c r="G438" s="16" t="n"/>
      <c r="H438" s="17">
        <f>IF($G438="","",IFERROR(_xlfn.XLOOKUP($G438,nrCHname,nrCHnum),IFERROR(_xlfn.XLOOKUP($G438,nrSUBname,nrSUBparent),"")))</f>
        <v/>
      </c>
      <c r="I438" s="16" t="n"/>
      <c r="J438" s="16" t="n"/>
      <c r="K438" s="17">
        <f>IF($B438="","",IFERROR(_xlfn.XLOOKUP($B438,nrCDdate,nrCDweek),""))</f>
        <v/>
      </c>
      <c r="L438" s="17">
        <f>IF($B438="","",IFERROR(_xlfn.XLOOKUP($B438,nrCDdate,nrCDnum),""))</f>
        <v/>
      </c>
      <c r="M438" s="16" t="n"/>
      <c r="N438" s="17">
        <f>IF(OR($B438="",$I438=""),"",_xlfn.LET(_xlpm.a,$I438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38" s="17">
        <f>IF(OR($B438="",$D438="",$E438=""),"",IF($E438=$D438,"CHECK TIMES (start = end)",IF($F438&gt;12,"CHECK TIMES (End is before Start?)","OK")))</f>
        <v/>
      </c>
      <c r="P438" s="17">
        <f>IF(OR($B438="",$I438=""),"",IF(IFERROR(MATCH($G438,nrBankTopics,0),0)=0,"OK",IF(COUNTA(INDEX(nrBankGrid,IFERROR(MATCH($G438,nrBankTopics,0),1),0))=0,"OK",IF(SUMPRODUCT((nrInstrNames&lt;&gt;"")*ISNUMBER(SEARCH(nrInstrNames,$I438))*(COUNTIF(INDEX(nrBankGrid,IFERROR(MATCH($G438,nrBankTopics,0),1),0),nrInstrNames)&gt;0))&lt;SUMPRODUCT((nrInstrNames&lt;&gt;"")*ISNUMBER(SEARCH(nrInstrNames,$I438))),"NOT IN BANK","OK"))))</f>
        <v/>
      </c>
    </row>
    <row r="439">
      <c r="B439" s="18" t="n"/>
      <c r="C439" s="17">
        <f>IF($B439="","",TEXT($B439,"ddd"))</f>
        <v/>
      </c>
      <c r="D439" s="41" t="n"/>
      <c r="E439" s="41" t="n"/>
      <c r="F439" s="17">
        <f>IF(OR($B439="",$D439="",$E439=""),"",ROUND(MOD($E439-$D439,1)*24,2))</f>
        <v/>
      </c>
      <c r="G439" s="16" t="n"/>
      <c r="H439" s="17">
        <f>IF($G439="","",IFERROR(_xlfn.XLOOKUP($G439,nrCHname,nrCHnum),IFERROR(_xlfn.XLOOKUP($G439,nrSUBname,nrSUBparent),"")))</f>
        <v/>
      </c>
      <c r="I439" s="16" t="n"/>
      <c r="J439" s="16" t="n"/>
      <c r="K439" s="17">
        <f>IF($B439="","",IFERROR(_xlfn.XLOOKUP($B439,nrCDdate,nrCDweek),""))</f>
        <v/>
      </c>
      <c r="L439" s="17">
        <f>IF($B439="","",IFERROR(_xlfn.XLOOKUP($B439,nrCDdate,nrCDnum),""))</f>
        <v/>
      </c>
      <c r="M439" s="16" t="n"/>
      <c r="N439" s="17">
        <f>IF(OR($B439="",$I439=""),"",_xlfn.LET(_xlpm.a,$I439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39" s="17">
        <f>IF(OR($B439="",$D439="",$E439=""),"",IF($E439=$D439,"CHECK TIMES (start = end)",IF($F439&gt;12,"CHECK TIMES (End is before Start?)","OK")))</f>
        <v/>
      </c>
      <c r="P439" s="17">
        <f>IF(OR($B439="",$I439=""),"",IF(IFERROR(MATCH($G439,nrBankTopics,0),0)=0,"OK",IF(COUNTA(INDEX(nrBankGrid,IFERROR(MATCH($G439,nrBankTopics,0),1),0))=0,"OK",IF(SUMPRODUCT((nrInstrNames&lt;&gt;"")*ISNUMBER(SEARCH(nrInstrNames,$I439))*(COUNTIF(INDEX(nrBankGrid,IFERROR(MATCH($G439,nrBankTopics,0),1),0),nrInstrNames)&gt;0))&lt;SUMPRODUCT((nrInstrNames&lt;&gt;"")*ISNUMBER(SEARCH(nrInstrNames,$I439))),"NOT IN BANK","OK"))))</f>
        <v/>
      </c>
    </row>
    <row r="440">
      <c r="B440" s="18" t="n"/>
      <c r="C440" s="17">
        <f>IF($B440="","",TEXT($B440,"ddd"))</f>
        <v/>
      </c>
      <c r="D440" s="41" t="n"/>
      <c r="E440" s="41" t="n"/>
      <c r="F440" s="17">
        <f>IF(OR($B440="",$D440="",$E440=""),"",ROUND(MOD($E440-$D440,1)*24,2))</f>
        <v/>
      </c>
      <c r="G440" s="16" t="n"/>
      <c r="H440" s="17">
        <f>IF($G440="","",IFERROR(_xlfn.XLOOKUP($G440,nrCHname,nrCHnum),IFERROR(_xlfn.XLOOKUP($G440,nrSUBname,nrSUBparent),"")))</f>
        <v/>
      </c>
      <c r="I440" s="16" t="n"/>
      <c r="J440" s="16" t="n"/>
      <c r="K440" s="17">
        <f>IF($B440="","",IFERROR(_xlfn.XLOOKUP($B440,nrCDdate,nrCDweek),""))</f>
        <v/>
      </c>
      <c r="L440" s="17">
        <f>IF($B440="","",IFERROR(_xlfn.XLOOKUP($B440,nrCDdate,nrCDnum),""))</f>
        <v/>
      </c>
      <c r="M440" s="16" t="n"/>
      <c r="N440" s="17">
        <f>IF(OR($B440="",$I440=""),"",_xlfn.LET(_xlpm.a,$I440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40" s="17">
        <f>IF(OR($B440="",$D440="",$E440=""),"",IF($E440=$D440,"CHECK TIMES (start = end)",IF($F440&gt;12,"CHECK TIMES (End is before Start?)","OK")))</f>
        <v/>
      </c>
      <c r="P440" s="17">
        <f>IF(OR($B440="",$I440=""),"",IF(IFERROR(MATCH($G440,nrBankTopics,0),0)=0,"OK",IF(COUNTA(INDEX(nrBankGrid,IFERROR(MATCH($G440,nrBankTopics,0),1),0))=0,"OK",IF(SUMPRODUCT((nrInstrNames&lt;&gt;"")*ISNUMBER(SEARCH(nrInstrNames,$I440))*(COUNTIF(INDEX(nrBankGrid,IFERROR(MATCH($G440,nrBankTopics,0),1),0),nrInstrNames)&gt;0))&lt;SUMPRODUCT((nrInstrNames&lt;&gt;"")*ISNUMBER(SEARCH(nrInstrNames,$I440))),"NOT IN BANK","OK"))))</f>
        <v/>
      </c>
    </row>
    <row r="441">
      <c r="B441" s="18" t="n"/>
      <c r="C441" s="17">
        <f>IF($B441="","",TEXT($B441,"ddd"))</f>
        <v/>
      </c>
      <c r="D441" s="41" t="n"/>
      <c r="E441" s="41" t="n"/>
      <c r="F441" s="17">
        <f>IF(OR($B441="",$D441="",$E441=""),"",ROUND(MOD($E441-$D441,1)*24,2))</f>
        <v/>
      </c>
      <c r="G441" s="16" t="n"/>
      <c r="H441" s="17">
        <f>IF($G441="","",IFERROR(_xlfn.XLOOKUP($G441,nrCHname,nrCHnum),IFERROR(_xlfn.XLOOKUP($G441,nrSUBname,nrSUBparent),"")))</f>
        <v/>
      </c>
      <c r="I441" s="16" t="n"/>
      <c r="J441" s="16" t="n"/>
      <c r="K441" s="17">
        <f>IF($B441="","",IFERROR(_xlfn.XLOOKUP($B441,nrCDdate,nrCDweek),""))</f>
        <v/>
      </c>
      <c r="L441" s="17">
        <f>IF($B441="","",IFERROR(_xlfn.XLOOKUP($B441,nrCDdate,nrCDnum),""))</f>
        <v/>
      </c>
      <c r="M441" s="16" t="n"/>
      <c r="N441" s="17">
        <f>IF(OR($B441="",$I441=""),"",_xlfn.LET(_xlpm.a,$I441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41" s="17">
        <f>IF(OR($B441="",$D441="",$E441=""),"",IF($E441=$D441,"CHECK TIMES (start = end)",IF($F441&gt;12,"CHECK TIMES (End is before Start?)","OK")))</f>
        <v/>
      </c>
      <c r="P441" s="17">
        <f>IF(OR($B441="",$I441=""),"",IF(IFERROR(MATCH($G441,nrBankTopics,0),0)=0,"OK",IF(COUNTA(INDEX(nrBankGrid,IFERROR(MATCH($G441,nrBankTopics,0),1),0))=0,"OK",IF(SUMPRODUCT((nrInstrNames&lt;&gt;"")*ISNUMBER(SEARCH(nrInstrNames,$I441))*(COUNTIF(INDEX(nrBankGrid,IFERROR(MATCH($G441,nrBankTopics,0),1),0),nrInstrNames)&gt;0))&lt;SUMPRODUCT((nrInstrNames&lt;&gt;"")*ISNUMBER(SEARCH(nrInstrNames,$I441))),"NOT IN BANK","OK"))))</f>
        <v/>
      </c>
    </row>
    <row r="442">
      <c r="B442" s="18" t="n"/>
      <c r="C442" s="17">
        <f>IF($B442="","",TEXT($B442,"ddd"))</f>
        <v/>
      </c>
      <c r="D442" s="41" t="n"/>
      <c r="E442" s="41" t="n"/>
      <c r="F442" s="17">
        <f>IF(OR($B442="",$D442="",$E442=""),"",ROUND(MOD($E442-$D442,1)*24,2))</f>
        <v/>
      </c>
      <c r="G442" s="16" t="n"/>
      <c r="H442" s="17">
        <f>IF($G442="","",IFERROR(_xlfn.XLOOKUP($G442,nrCHname,nrCHnum),IFERROR(_xlfn.XLOOKUP($G442,nrSUBname,nrSUBparent),"")))</f>
        <v/>
      </c>
      <c r="I442" s="16" t="n"/>
      <c r="J442" s="16" t="n"/>
      <c r="K442" s="17">
        <f>IF($B442="","",IFERROR(_xlfn.XLOOKUP($B442,nrCDdate,nrCDweek),""))</f>
        <v/>
      </c>
      <c r="L442" s="17">
        <f>IF($B442="","",IFERROR(_xlfn.XLOOKUP($B442,nrCDdate,nrCDnum),""))</f>
        <v/>
      </c>
      <c r="M442" s="16" t="n"/>
      <c r="N442" s="17">
        <f>IF(OR($B442="",$I442=""),"",_xlfn.LET(_xlpm.a,$I442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42" s="17">
        <f>IF(OR($B442="",$D442="",$E442=""),"",IF($E442=$D442,"CHECK TIMES (start = end)",IF($F442&gt;12,"CHECK TIMES (End is before Start?)","OK")))</f>
        <v/>
      </c>
      <c r="P442" s="17">
        <f>IF(OR($B442="",$I442=""),"",IF(IFERROR(MATCH($G442,nrBankTopics,0),0)=0,"OK",IF(COUNTA(INDEX(nrBankGrid,IFERROR(MATCH($G442,nrBankTopics,0),1),0))=0,"OK",IF(SUMPRODUCT((nrInstrNames&lt;&gt;"")*ISNUMBER(SEARCH(nrInstrNames,$I442))*(COUNTIF(INDEX(nrBankGrid,IFERROR(MATCH($G442,nrBankTopics,0),1),0),nrInstrNames)&gt;0))&lt;SUMPRODUCT((nrInstrNames&lt;&gt;"")*ISNUMBER(SEARCH(nrInstrNames,$I442))),"NOT IN BANK","OK"))))</f>
        <v/>
      </c>
    </row>
    <row r="443">
      <c r="B443" s="18" t="n"/>
      <c r="C443" s="17">
        <f>IF($B443="","",TEXT($B443,"ddd"))</f>
        <v/>
      </c>
      <c r="D443" s="41" t="n"/>
      <c r="E443" s="41" t="n"/>
      <c r="F443" s="17">
        <f>IF(OR($B443="",$D443="",$E443=""),"",ROUND(MOD($E443-$D443,1)*24,2))</f>
        <v/>
      </c>
      <c r="G443" s="16" t="n"/>
      <c r="H443" s="17">
        <f>IF($G443="","",IFERROR(_xlfn.XLOOKUP($G443,nrCHname,nrCHnum),IFERROR(_xlfn.XLOOKUP($G443,nrSUBname,nrSUBparent),"")))</f>
        <v/>
      </c>
      <c r="I443" s="16" t="n"/>
      <c r="J443" s="16" t="n"/>
      <c r="K443" s="17">
        <f>IF($B443="","",IFERROR(_xlfn.XLOOKUP($B443,nrCDdate,nrCDweek),""))</f>
        <v/>
      </c>
      <c r="L443" s="17">
        <f>IF($B443="","",IFERROR(_xlfn.XLOOKUP($B443,nrCDdate,nrCDnum),""))</f>
        <v/>
      </c>
      <c r="M443" s="16" t="n"/>
      <c r="N443" s="17">
        <f>IF(OR($B443="",$I443=""),"",_xlfn.LET(_xlpm.a,$I443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43" s="17">
        <f>IF(OR($B443="",$D443="",$E443=""),"",IF($E443=$D443,"CHECK TIMES (start = end)",IF($F443&gt;12,"CHECK TIMES (End is before Start?)","OK")))</f>
        <v/>
      </c>
      <c r="P443" s="17">
        <f>IF(OR($B443="",$I443=""),"",IF(IFERROR(MATCH($G443,nrBankTopics,0),0)=0,"OK",IF(COUNTA(INDEX(nrBankGrid,IFERROR(MATCH($G443,nrBankTopics,0),1),0))=0,"OK",IF(SUMPRODUCT((nrInstrNames&lt;&gt;"")*ISNUMBER(SEARCH(nrInstrNames,$I443))*(COUNTIF(INDEX(nrBankGrid,IFERROR(MATCH($G443,nrBankTopics,0),1),0),nrInstrNames)&gt;0))&lt;SUMPRODUCT((nrInstrNames&lt;&gt;"")*ISNUMBER(SEARCH(nrInstrNames,$I443))),"NOT IN BANK","OK"))))</f>
        <v/>
      </c>
    </row>
    <row r="444">
      <c r="B444" s="18" t="n"/>
      <c r="C444" s="17">
        <f>IF($B444="","",TEXT($B444,"ddd"))</f>
        <v/>
      </c>
      <c r="D444" s="41" t="n"/>
      <c r="E444" s="41" t="n"/>
      <c r="F444" s="17">
        <f>IF(OR($B444="",$D444="",$E444=""),"",ROUND(MOD($E444-$D444,1)*24,2))</f>
        <v/>
      </c>
      <c r="G444" s="16" t="n"/>
      <c r="H444" s="17">
        <f>IF($G444="","",IFERROR(_xlfn.XLOOKUP($G444,nrCHname,nrCHnum),IFERROR(_xlfn.XLOOKUP($G444,nrSUBname,nrSUBparent),"")))</f>
        <v/>
      </c>
      <c r="I444" s="16" t="n"/>
      <c r="J444" s="16" t="n"/>
      <c r="K444" s="17">
        <f>IF($B444="","",IFERROR(_xlfn.XLOOKUP($B444,nrCDdate,nrCDweek),""))</f>
        <v/>
      </c>
      <c r="L444" s="17">
        <f>IF($B444="","",IFERROR(_xlfn.XLOOKUP($B444,nrCDdate,nrCDnum),""))</f>
        <v/>
      </c>
      <c r="M444" s="16" t="n"/>
      <c r="N444" s="17">
        <f>IF(OR($B444="",$I444=""),"",_xlfn.LET(_xlpm.a,$I444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44" s="17">
        <f>IF(OR($B444="",$D444="",$E444=""),"",IF($E444=$D444,"CHECK TIMES (start = end)",IF($F444&gt;12,"CHECK TIMES (End is before Start?)","OK")))</f>
        <v/>
      </c>
      <c r="P444" s="17">
        <f>IF(OR($B444="",$I444=""),"",IF(IFERROR(MATCH($G444,nrBankTopics,0),0)=0,"OK",IF(COUNTA(INDEX(nrBankGrid,IFERROR(MATCH($G444,nrBankTopics,0),1),0))=0,"OK",IF(SUMPRODUCT((nrInstrNames&lt;&gt;"")*ISNUMBER(SEARCH(nrInstrNames,$I444))*(COUNTIF(INDEX(nrBankGrid,IFERROR(MATCH($G444,nrBankTopics,0),1),0),nrInstrNames)&gt;0))&lt;SUMPRODUCT((nrInstrNames&lt;&gt;"")*ISNUMBER(SEARCH(nrInstrNames,$I444))),"NOT IN BANK","OK"))))</f>
        <v/>
      </c>
    </row>
    <row r="445">
      <c r="B445" s="18" t="n"/>
      <c r="C445" s="17">
        <f>IF($B445="","",TEXT($B445,"ddd"))</f>
        <v/>
      </c>
      <c r="D445" s="41" t="n"/>
      <c r="E445" s="41" t="n"/>
      <c r="F445" s="17">
        <f>IF(OR($B445="",$D445="",$E445=""),"",ROUND(MOD($E445-$D445,1)*24,2))</f>
        <v/>
      </c>
      <c r="G445" s="16" t="n"/>
      <c r="H445" s="17">
        <f>IF($G445="","",IFERROR(_xlfn.XLOOKUP($G445,nrCHname,nrCHnum),IFERROR(_xlfn.XLOOKUP($G445,nrSUBname,nrSUBparent),"")))</f>
        <v/>
      </c>
      <c r="I445" s="16" t="n"/>
      <c r="J445" s="16" t="n"/>
      <c r="K445" s="17">
        <f>IF($B445="","",IFERROR(_xlfn.XLOOKUP($B445,nrCDdate,nrCDweek),""))</f>
        <v/>
      </c>
      <c r="L445" s="17">
        <f>IF($B445="","",IFERROR(_xlfn.XLOOKUP($B445,nrCDdate,nrCDnum),""))</f>
        <v/>
      </c>
      <c r="M445" s="16" t="n"/>
      <c r="N445" s="17">
        <f>IF(OR($B445="",$I445=""),"",_xlfn.LET(_xlpm.a,$I445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45" s="17">
        <f>IF(OR($B445="",$D445="",$E445=""),"",IF($E445=$D445,"CHECK TIMES (start = end)",IF($F445&gt;12,"CHECK TIMES (End is before Start?)","OK")))</f>
        <v/>
      </c>
      <c r="P445" s="17">
        <f>IF(OR($B445="",$I445=""),"",IF(IFERROR(MATCH($G445,nrBankTopics,0),0)=0,"OK",IF(COUNTA(INDEX(nrBankGrid,IFERROR(MATCH($G445,nrBankTopics,0),1),0))=0,"OK",IF(SUMPRODUCT((nrInstrNames&lt;&gt;"")*ISNUMBER(SEARCH(nrInstrNames,$I445))*(COUNTIF(INDEX(nrBankGrid,IFERROR(MATCH($G445,nrBankTopics,0),1),0),nrInstrNames)&gt;0))&lt;SUMPRODUCT((nrInstrNames&lt;&gt;"")*ISNUMBER(SEARCH(nrInstrNames,$I445))),"NOT IN BANK","OK"))))</f>
        <v/>
      </c>
    </row>
    <row r="446">
      <c r="B446" s="18" t="n"/>
      <c r="C446" s="17">
        <f>IF($B446="","",TEXT($B446,"ddd"))</f>
        <v/>
      </c>
      <c r="D446" s="41" t="n"/>
      <c r="E446" s="41" t="n"/>
      <c r="F446" s="17">
        <f>IF(OR($B446="",$D446="",$E446=""),"",ROUND(MOD($E446-$D446,1)*24,2))</f>
        <v/>
      </c>
      <c r="G446" s="16" t="n"/>
      <c r="H446" s="17">
        <f>IF($G446="","",IFERROR(_xlfn.XLOOKUP($G446,nrCHname,nrCHnum),IFERROR(_xlfn.XLOOKUP($G446,nrSUBname,nrSUBparent),"")))</f>
        <v/>
      </c>
      <c r="I446" s="16" t="n"/>
      <c r="J446" s="16" t="n"/>
      <c r="K446" s="17">
        <f>IF($B446="","",IFERROR(_xlfn.XLOOKUP($B446,nrCDdate,nrCDweek),""))</f>
        <v/>
      </c>
      <c r="L446" s="17">
        <f>IF($B446="","",IFERROR(_xlfn.XLOOKUP($B446,nrCDdate,nrCDnum),""))</f>
        <v/>
      </c>
      <c r="M446" s="16" t="n"/>
      <c r="N446" s="17">
        <f>IF(OR($B446="",$I446=""),"",_xlfn.LET(_xlpm.a,$I446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46" s="17">
        <f>IF(OR($B446="",$D446="",$E446=""),"",IF($E446=$D446,"CHECK TIMES (start = end)",IF($F446&gt;12,"CHECK TIMES (End is before Start?)","OK")))</f>
        <v/>
      </c>
      <c r="P446" s="17">
        <f>IF(OR($B446="",$I446=""),"",IF(IFERROR(MATCH($G446,nrBankTopics,0),0)=0,"OK",IF(COUNTA(INDEX(nrBankGrid,IFERROR(MATCH($G446,nrBankTopics,0),1),0))=0,"OK",IF(SUMPRODUCT((nrInstrNames&lt;&gt;"")*ISNUMBER(SEARCH(nrInstrNames,$I446))*(COUNTIF(INDEX(nrBankGrid,IFERROR(MATCH($G446,nrBankTopics,0),1),0),nrInstrNames)&gt;0))&lt;SUMPRODUCT((nrInstrNames&lt;&gt;"")*ISNUMBER(SEARCH(nrInstrNames,$I446))),"NOT IN BANK","OK"))))</f>
        <v/>
      </c>
    </row>
    <row r="447">
      <c r="B447" s="18" t="n"/>
      <c r="C447" s="17">
        <f>IF($B447="","",TEXT($B447,"ddd"))</f>
        <v/>
      </c>
      <c r="D447" s="41" t="n"/>
      <c r="E447" s="41" t="n"/>
      <c r="F447" s="17">
        <f>IF(OR($B447="",$D447="",$E447=""),"",ROUND(MOD($E447-$D447,1)*24,2))</f>
        <v/>
      </c>
      <c r="G447" s="16" t="n"/>
      <c r="H447" s="17">
        <f>IF($G447="","",IFERROR(_xlfn.XLOOKUP($G447,nrCHname,nrCHnum),IFERROR(_xlfn.XLOOKUP($G447,nrSUBname,nrSUBparent),"")))</f>
        <v/>
      </c>
      <c r="I447" s="16" t="n"/>
      <c r="J447" s="16" t="n"/>
      <c r="K447" s="17">
        <f>IF($B447="","",IFERROR(_xlfn.XLOOKUP($B447,nrCDdate,nrCDweek),""))</f>
        <v/>
      </c>
      <c r="L447" s="17">
        <f>IF($B447="","",IFERROR(_xlfn.XLOOKUP($B447,nrCDdate,nrCDnum),""))</f>
        <v/>
      </c>
      <c r="M447" s="16" t="n"/>
      <c r="N447" s="17">
        <f>IF(OR($B447="",$I447=""),"",_xlfn.LET(_xlpm.a,$I447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47" s="17">
        <f>IF(OR($B447="",$D447="",$E447=""),"",IF($E447=$D447,"CHECK TIMES (start = end)",IF($F447&gt;12,"CHECK TIMES (End is before Start?)","OK")))</f>
        <v/>
      </c>
      <c r="P447" s="17">
        <f>IF(OR($B447="",$I447=""),"",IF(IFERROR(MATCH($G447,nrBankTopics,0),0)=0,"OK",IF(COUNTA(INDEX(nrBankGrid,IFERROR(MATCH($G447,nrBankTopics,0),1),0))=0,"OK",IF(SUMPRODUCT((nrInstrNames&lt;&gt;"")*ISNUMBER(SEARCH(nrInstrNames,$I447))*(COUNTIF(INDEX(nrBankGrid,IFERROR(MATCH($G447,nrBankTopics,0),1),0),nrInstrNames)&gt;0))&lt;SUMPRODUCT((nrInstrNames&lt;&gt;"")*ISNUMBER(SEARCH(nrInstrNames,$I447))),"NOT IN BANK","OK"))))</f>
        <v/>
      </c>
    </row>
    <row r="448">
      <c r="B448" s="18" t="n"/>
      <c r="C448" s="17">
        <f>IF($B448="","",TEXT($B448,"ddd"))</f>
        <v/>
      </c>
      <c r="D448" s="41" t="n"/>
      <c r="E448" s="41" t="n"/>
      <c r="F448" s="17">
        <f>IF(OR($B448="",$D448="",$E448=""),"",ROUND(MOD($E448-$D448,1)*24,2))</f>
        <v/>
      </c>
      <c r="G448" s="16" t="n"/>
      <c r="H448" s="17">
        <f>IF($G448="","",IFERROR(_xlfn.XLOOKUP($G448,nrCHname,nrCHnum),IFERROR(_xlfn.XLOOKUP($G448,nrSUBname,nrSUBparent),"")))</f>
        <v/>
      </c>
      <c r="I448" s="16" t="n"/>
      <c r="J448" s="16" t="n"/>
      <c r="K448" s="17">
        <f>IF($B448="","",IFERROR(_xlfn.XLOOKUP($B448,nrCDdate,nrCDweek),""))</f>
        <v/>
      </c>
      <c r="L448" s="17">
        <f>IF($B448="","",IFERROR(_xlfn.XLOOKUP($B448,nrCDdate,nrCDnum),""))</f>
        <v/>
      </c>
      <c r="M448" s="16" t="n"/>
      <c r="N448" s="17">
        <f>IF(OR($B448="",$I448=""),"",_xlfn.LET(_xlpm.a,$I448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48" s="17">
        <f>IF(OR($B448="",$D448="",$E448=""),"",IF($E448=$D448,"CHECK TIMES (start = end)",IF($F448&gt;12,"CHECK TIMES (End is before Start?)","OK")))</f>
        <v/>
      </c>
      <c r="P448" s="17">
        <f>IF(OR($B448="",$I448=""),"",IF(IFERROR(MATCH($G448,nrBankTopics,0),0)=0,"OK",IF(COUNTA(INDEX(nrBankGrid,IFERROR(MATCH($G448,nrBankTopics,0),1),0))=0,"OK",IF(SUMPRODUCT((nrInstrNames&lt;&gt;"")*ISNUMBER(SEARCH(nrInstrNames,$I448))*(COUNTIF(INDEX(nrBankGrid,IFERROR(MATCH($G448,nrBankTopics,0),1),0),nrInstrNames)&gt;0))&lt;SUMPRODUCT((nrInstrNames&lt;&gt;"")*ISNUMBER(SEARCH(nrInstrNames,$I448))),"NOT IN BANK","OK"))))</f>
        <v/>
      </c>
    </row>
    <row r="449">
      <c r="B449" s="18" t="n"/>
      <c r="C449" s="17">
        <f>IF($B449="","",TEXT($B449,"ddd"))</f>
        <v/>
      </c>
      <c r="D449" s="41" t="n"/>
      <c r="E449" s="41" t="n"/>
      <c r="F449" s="17">
        <f>IF(OR($B449="",$D449="",$E449=""),"",ROUND(MOD($E449-$D449,1)*24,2))</f>
        <v/>
      </c>
      <c r="G449" s="16" t="n"/>
      <c r="H449" s="17">
        <f>IF($G449="","",IFERROR(_xlfn.XLOOKUP($G449,nrCHname,nrCHnum),IFERROR(_xlfn.XLOOKUP($G449,nrSUBname,nrSUBparent),"")))</f>
        <v/>
      </c>
      <c r="I449" s="16" t="n"/>
      <c r="J449" s="16" t="n"/>
      <c r="K449" s="17">
        <f>IF($B449="","",IFERROR(_xlfn.XLOOKUP($B449,nrCDdate,nrCDweek),""))</f>
        <v/>
      </c>
      <c r="L449" s="17">
        <f>IF($B449="","",IFERROR(_xlfn.XLOOKUP($B449,nrCDdate,nrCDnum),""))</f>
        <v/>
      </c>
      <c r="M449" s="16" t="n"/>
      <c r="N449" s="17">
        <f>IF(OR($B449="",$I449=""),"",_xlfn.LET(_xlpm.a,$I449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49" s="17">
        <f>IF(OR($B449="",$D449="",$E449=""),"",IF($E449=$D449,"CHECK TIMES (start = end)",IF($F449&gt;12,"CHECK TIMES (End is before Start?)","OK")))</f>
        <v/>
      </c>
      <c r="P449" s="17">
        <f>IF(OR($B449="",$I449=""),"",IF(IFERROR(MATCH($G449,nrBankTopics,0),0)=0,"OK",IF(COUNTA(INDEX(nrBankGrid,IFERROR(MATCH($G449,nrBankTopics,0),1),0))=0,"OK",IF(SUMPRODUCT((nrInstrNames&lt;&gt;"")*ISNUMBER(SEARCH(nrInstrNames,$I449))*(COUNTIF(INDEX(nrBankGrid,IFERROR(MATCH($G449,nrBankTopics,0),1),0),nrInstrNames)&gt;0))&lt;SUMPRODUCT((nrInstrNames&lt;&gt;"")*ISNUMBER(SEARCH(nrInstrNames,$I449))),"NOT IN BANK","OK"))))</f>
        <v/>
      </c>
    </row>
    <row r="450">
      <c r="B450" s="18" t="n"/>
      <c r="C450" s="17">
        <f>IF($B450="","",TEXT($B450,"ddd"))</f>
        <v/>
      </c>
      <c r="D450" s="41" t="n"/>
      <c r="E450" s="41" t="n"/>
      <c r="F450" s="17">
        <f>IF(OR($B450="",$D450="",$E450=""),"",ROUND(MOD($E450-$D450,1)*24,2))</f>
        <v/>
      </c>
      <c r="G450" s="16" t="n"/>
      <c r="H450" s="17">
        <f>IF($G450="","",IFERROR(_xlfn.XLOOKUP($G450,nrCHname,nrCHnum),IFERROR(_xlfn.XLOOKUP($G450,nrSUBname,nrSUBparent),"")))</f>
        <v/>
      </c>
      <c r="I450" s="16" t="n"/>
      <c r="J450" s="16" t="n"/>
      <c r="K450" s="17">
        <f>IF($B450="","",IFERROR(_xlfn.XLOOKUP($B450,nrCDdate,nrCDweek),""))</f>
        <v/>
      </c>
      <c r="L450" s="17">
        <f>IF($B450="","",IFERROR(_xlfn.XLOOKUP($B450,nrCDdate,nrCDnum),""))</f>
        <v/>
      </c>
      <c r="M450" s="16" t="n"/>
      <c r="N450" s="17">
        <f>IF(OR($B450="",$I450=""),"",_xlfn.LET(_xlpm.a,$I450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50" s="17">
        <f>IF(OR($B450="",$D450="",$E450=""),"",IF($E450=$D450,"CHECK TIMES (start = end)",IF($F450&gt;12,"CHECK TIMES (End is before Start?)","OK")))</f>
        <v/>
      </c>
      <c r="P450" s="17">
        <f>IF(OR($B450="",$I450=""),"",IF(IFERROR(MATCH($G450,nrBankTopics,0),0)=0,"OK",IF(COUNTA(INDEX(nrBankGrid,IFERROR(MATCH($G450,nrBankTopics,0),1),0))=0,"OK",IF(SUMPRODUCT((nrInstrNames&lt;&gt;"")*ISNUMBER(SEARCH(nrInstrNames,$I450))*(COUNTIF(INDEX(nrBankGrid,IFERROR(MATCH($G450,nrBankTopics,0),1),0),nrInstrNames)&gt;0))&lt;SUMPRODUCT((nrInstrNames&lt;&gt;"")*ISNUMBER(SEARCH(nrInstrNames,$I450))),"NOT IN BANK","OK"))))</f>
        <v/>
      </c>
    </row>
    <row r="451">
      <c r="B451" s="18" t="n"/>
      <c r="C451" s="17">
        <f>IF($B451="","",TEXT($B451,"ddd"))</f>
        <v/>
      </c>
      <c r="D451" s="41" t="n"/>
      <c r="E451" s="41" t="n"/>
      <c r="F451" s="17">
        <f>IF(OR($B451="",$D451="",$E451=""),"",ROUND(MOD($E451-$D451,1)*24,2))</f>
        <v/>
      </c>
      <c r="G451" s="16" t="n"/>
      <c r="H451" s="17">
        <f>IF($G451="","",IFERROR(_xlfn.XLOOKUP($G451,nrCHname,nrCHnum),IFERROR(_xlfn.XLOOKUP($G451,nrSUBname,nrSUBparent),"")))</f>
        <v/>
      </c>
      <c r="I451" s="16" t="n"/>
      <c r="J451" s="16" t="n"/>
      <c r="K451" s="17">
        <f>IF($B451="","",IFERROR(_xlfn.XLOOKUP($B451,nrCDdate,nrCDweek),""))</f>
        <v/>
      </c>
      <c r="L451" s="17">
        <f>IF($B451="","",IFERROR(_xlfn.XLOOKUP($B451,nrCDdate,nrCDnum),""))</f>
        <v/>
      </c>
      <c r="M451" s="16" t="n"/>
      <c r="N451" s="17">
        <f>IF(OR($B451="",$I451=""),"",_xlfn.LET(_xlpm.a,$I451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51" s="17">
        <f>IF(OR($B451="",$D451="",$E451=""),"",IF($E451=$D451,"CHECK TIMES (start = end)",IF($F451&gt;12,"CHECK TIMES (End is before Start?)","OK")))</f>
        <v/>
      </c>
      <c r="P451" s="17">
        <f>IF(OR($B451="",$I451=""),"",IF(IFERROR(MATCH($G451,nrBankTopics,0),0)=0,"OK",IF(COUNTA(INDEX(nrBankGrid,IFERROR(MATCH($G451,nrBankTopics,0),1),0))=0,"OK",IF(SUMPRODUCT((nrInstrNames&lt;&gt;"")*ISNUMBER(SEARCH(nrInstrNames,$I451))*(COUNTIF(INDEX(nrBankGrid,IFERROR(MATCH($G451,nrBankTopics,0),1),0),nrInstrNames)&gt;0))&lt;SUMPRODUCT((nrInstrNames&lt;&gt;"")*ISNUMBER(SEARCH(nrInstrNames,$I451))),"NOT IN BANK","OK"))))</f>
        <v/>
      </c>
    </row>
    <row r="452">
      <c r="B452" s="18" t="n"/>
      <c r="C452" s="17">
        <f>IF($B452="","",TEXT($B452,"ddd"))</f>
        <v/>
      </c>
      <c r="D452" s="41" t="n"/>
      <c r="E452" s="41" t="n"/>
      <c r="F452" s="17">
        <f>IF(OR($B452="",$D452="",$E452=""),"",ROUND(MOD($E452-$D452,1)*24,2))</f>
        <v/>
      </c>
      <c r="G452" s="16" t="n"/>
      <c r="H452" s="17">
        <f>IF($G452="","",IFERROR(_xlfn.XLOOKUP($G452,nrCHname,nrCHnum),IFERROR(_xlfn.XLOOKUP($G452,nrSUBname,nrSUBparent),"")))</f>
        <v/>
      </c>
      <c r="I452" s="16" t="n"/>
      <c r="J452" s="16" t="n"/>
      <c r="K452" s="17">
        <f>IF($B452="","",IFERROR(_xlfn.XLOOKUP($B452,nrCDdate,nrCDweek),""))</f>
        <v/>
      </c>
      <c r="L452" s="17">
        <f>IF($B452="","",IFERROR(_xlfn.XLOOKUP($B452,nrCDdate,nrCDnum),""))</f>
        <v/>
      </c>
      <c r="M452" s="16" t="n"/>
      <c r="N452" s="17">
        <f>IF(OR($B452="",$I452=""),"",_xlfn.LET(_xlpm.a,$I452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52" s="17">
        <f>IF(OR($B452="",$D452="",$E452=""),"",IF($E452=$D452,"CHECK TIMES (start = end)",IF($F452&gt;12,"CHECK TIMES (End is before Start?)","OK")))</f>
        <v/>
      </c>
      <c r="P452" s="17">
        <f>IF(OR($B452="",$I452=""),"",IF(IFERROR(MATCH($G452,nrBankTopics,0),0)=0,"OK",IF(COUNTA(INDEX(nrBankGrid,IFERROR(MATCH($G452,nrBankTopics,0),1),0))=0,"OK",IF(SUMPRODUCT((nrInstrNames&lt;&gt;"")*ISNUMBER(SEARCH(nrInstrNames,$I452))*(COUNTIF(INDEX(nrBankGrid,IFERROR(MATCH($G452,nrBankTopics,0),1),0),nrInstrNames)&gt;0))&lt;SUMPRODUCT((nrInstrNames&lt;&gt;"")*ISNUMBER(SEARCH(nrInstrNames,$I452))),"NOT IN BANK","OK"))))</f>
        <v/>
      </c>
    </row>
    <row r="453">
      <c r="B453" s="18" t="n"/>
      <c r="C453" s="17">
        <f>IF($B453="","",TEXT($B453,"ddd"))</f>
        <v/>
      </c>
      <c r="D453" s="41" t="n"/>
      <c r="E453" s="41" t="n"/>
      <c r="F453" s="17">
        <f>IF(OR($B453="",$D453="",$E453=""),"",ROUND(MOD($E453-$D453,1)*24,2))</f>
        <v/>
      </c>
      <c r="G453" s="16" t="n"/>
      <c r="H453" s="17">
        <f>IF($G453="","",IFERROR(_xlfn.XLOOKUP($G453,nrCHname,nrCHnum),IFERROR(_xlfn.XLOOKUP($G453,nrSUBname,nrSUBparent),"")))</f>
        <v/>
      </c>
      <c r="I453" s="16" t="n"/>
      <c r="J453" s="16" t="n"/>
      <c r="K453" s="17">
        <f>IF($B453="","",IFERROR(_xlfn.XLOOKUP($B453,nrCDdate,nrCDweek),""))</f>
        <v/>
      </c>
      <c r="L453" s="17">
        <f>IF($B453="","",IFERROR(_xlfn.XLOOKUP($B453,nrCDdate,nrCDnum),""))</f>
        <v/>
      </c>
      <c r="M453" s="16" t="n"/>
      <c r="N453" s="17">
        <f>IF(OR($B453="",$I453=""),"",_xlfn.LET(_xlpm.a,$I453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53" s="17">
        <f>IF(OR($B453="",$D453="",$E453=""),"",IF($E453=$D453,"CHECK TIMES (start = end)",IF($F453&gt;12,"CHECK TIMES (End is before Start?)","OK")))</f>
        <v/>
      </c>
      <c r="P453" s="17">
        <f>IF(OR($B453="",$I453=""),"",IF(IFERROR(MATCH($G453,nrBankTopics,0),0)=0,"OK",IF(COUNTA(INDEX(nrBankGrid,IFERROR(MATCH($G453,nrBankTopics,0),1),0))=0,"OK",IF(SUMPRODUCT((nrInstrNames&lt;&gt;"")*ISNUMBER(SEARCH(nrInstrNames,$I453))*(COUNTIF(INDEX(nrBankGrid,IFERROR(MATCH($G453,nrBankTopics,0),1),0),nrInstrNames)&gt;0))&lt;SUMPRODUCT((nrInstrNames&lt;&gt;"")*ISNUMBER(SEARCH(nrInstrNames,$I453))),"NOT IN BANK","OK"))))</f>
        <v/>
      </c>
    </row>
    <row r="454">
      <c r="B454" s="18" t="n"/>
      <c r="C454" s="17">
        <f>IF($B454="","",TEXT($B454,"ddd"))</f>
        <v/>
      </c>
      <c r="D454" s="41" t="n"/>
      <c r="E454" s="41" t="n"/>
      <c r="F454" s="17">
        <f>IF(OR($B454="",$D454="",$E454=""),"",ROUND(MOD($E454-$D454,1)*24,2))</f>
        <v/>
      </c>
      <c r="G454" s="16" t="n"/>
      <c r="H454" s="17">
        <f>IF($G454="","",IFERROR(_xlfn.XLOOKUP($G454,nrCHname,nrCHnum),IFERROR(_xlfn.XLOOKUP($G454,nrSUBname,nrSUBparent),"")))</f>
        <v/>
      </c>
      <c r="I454" s="16" t="n"/>
      <c r="J454" s="16" t="n"/>
      <c r="K454" s="17">
        <f>IF($B454="","",IFERROR(_xlfn.XLOOKUP($B454,nrCDdate,nrCDweek),""))</f>
        <v/>
      </c>
      <c r="L454" s="17">
        <f>IF($B454="","",IFERROR(_xlfn.XLOOKUP($B454,nrCDdate,nrCDnum),""))</f>
        <v/>
      </c>
      <c r="M454" s="16" t="n"/>
      <c r="N454" s="17">
        <f>IF(OR($B454="",$I454=""),"",_xlfn.LET(_xlpm.a,$I454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54" s="17">
        <f>IF(OR($B454="",$D454="",$E454=""),"",IF($E454=$D454,"CHECK TIMES (start = end)",IF($F454&gt;12,"CHECK TIMES (End is before Start?)","OK")))</f>
        <v/>
      </c>
      <c r="P454" s="17">
        <f>IF(OR($B454="",$I454=""),"",IF(IFERROR(MATCH($G454,nrBankTopics,0),0)=0,"OK",IF(COUNTA(INDEX(nrBankGrid,IFERROR(MATCH($G454,nrBankTopics,0),1),0))=0,"OK",IF(SUMPRODUCT((nrInstrNames&lt;&gt;"")*ISNUMBER(SEARCH(nrInstrNames,$I454))*(COUNTIF(INDEX(nrBankGrid,IFERROR(MATCH($G454,nrBankTopics,0),1),0),nrInstrNames)&gt;0))&lt;SUMPRODUCT((nrInstrNames&lt;&gt;"")*ISNUMBER(SEARCH(nrInstrNames,$I454))),"NOT IN BANK","OK"))))</f>
        <v/>
      </c>
    </row>
    <row r="455">
      <c r="B455" s="18" t="n"/>
      <c r="C455" s="17">
        <f>IF($B455="","",TEXT($B455,"ddd"))</f>
        <v/>
      </c>
      <c r="D455" s="41" t="n"/>
      <c r="E455" s="41" t="n"/>
      <c r="F455" s="17">
        <f>IF(OR($B455="",$D455="",$E455=""),"",ROUND(MOD($E455-$D455,1)*24,2))</f>
        <v/>
      </c>
      <c r="G455" s="16" t="n"/>
      <c r="H455" s="17">
        <f>IF($G455="","",IFERROR(_xlfn.XLOOKUP($G455,nrCHname,nrCHnum),IFERROR(_xlfn.XLOOKUP($G455,nrSUBname,nrSUBparent),"")))</f>
        <v/>
      </c>
      <c r="I455" s="16" t="n"/>
      <c r="J455" s="16" t="n"/>
      <c r="K455" s="17">
        <f>IF($B455="","",IFERROR(_xlfn.XLOOKUP($B455,nrCDdate,nrCDweek),""))</f>
        <v/>
      </c>
      <c r="L455" s="17">
        <f>IF($B455="","",IFERROR(_xlfn.XLOOKUP($B455,nrCDdate,nrCDnum),""))</f>
        <v/>
      </c>
      <c r="M455" s="16" t="n"/>
      <c r="N455" s="17">
        <f>IF(OR($B455="",$I455=""),"",_xlfn.LET(_xlpm.a,$I455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55" s="17">
        <f>IF(OR($B455="",$D455="",$E455=""),"",IF($E455=$D455,"CHECK TIMES (start = end)",IF($F455&gt;12,"CHECK TIMES (End is before Start?)","OK")))</f>
        <v/>
      </c>
      <c r="P455" s="17">
        <f>IF(OR($B455="",$I455=""),"",IF(IFERROR(MATCH($G455,nrBankTopics,0),0)=0,"OK",IF(COUNTA(INDEX(nrBankGrid,IFERROR(MATCH($G455,nrBankTopics,0),1),0))=0,"OK",IF(SUMPRODUCT((nrInstrNames&lt;&gt;"")*ISNUMBER(SEARCH(nrInstrNames,$I455))*(COUNTIF(INDEX(nrBankGrid,IFERROR(MATCH($G455,nrBankTopics,0),1),0),nrInstrNames)&gt;0))&lt;SUMPRODUCT((nrInstrNames&lt;&gt;"")*ISNUMBER(SEARCH(nrInstrNames,$I455))),"NOT IN BANK","OK"))))</f>
        <v/>
      </c>
    </row>
    <row r="456">
      <c r="B456" s="18" t="n"/>
      <c r="C456" s="17">
        <f>IF($B456="","",TEXT($B456,"ddd"))</f>
        <v/>
      </c>
      <c r="D456" s="41" t="n"/>
      <c r="E456" s="41" t="n"/>
      <c r="F456" s="17">
        <f>IF(OR($B456="",$D456="",$E456=""),"",ROUND(MOD($E456-$D456,1)*24,2))</f>
        <v/>
      </c>
      <c r="G456" s="16" t="n"/>
      <c r="H456" s="17">
        <f>IF($G456="","",IFERROR(_xlfn.XLOOKUP($G456,nrCHname,nrCHnum),IFERROR(_xlfn.XLOOKUP($G456,nrSUBname,nrSUBparent),"")))</f>
        <v/>
      </c>
      <c r="I456" s="16" t="n"/>
      <c r="J456" s="16" t="n"/>
      <c r="K456" s="17">
        <f>IF($B456="","",IFERROR(_xlfn.XLOOKUP($B456,nrCDdate,nrCDweek),""))</f>
        <v/>
      </c>
      <c r="L456" s="17">
        <f>IF($B456="","",IFERROR(_xlfn.XLOOKUP($B456,nrCDdate,nrCDnum),""))</f>
        <v/>
      </c>
      <c r="M456" s="16" t="n"/>
      <c r="N456" s="17">
        <f>IF(OR($B456="",$I456=""),"",_xlfn.LET(_xlpm.a,$I456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56" s="17">
        <f>IF(OR($B456="",$D456="",$E456=""),"",IF($E456=$D456,"CHECK TIMES (start = end)",IF($F456&gt;12,"CHECK TIMES (End is before Start?)","OK")))</f>
        <v/>
      </c>
      <c r="P456" s="17">
        <f>IF(OR($B456="",$I456=""),"",IF(IFERROR(MATCH($G456,nrBankTopics,0),0)=0,"OK",IF(COUNTA(INDEX(nrBankGrid,IFERROR(MATCH($G456,nrBankTopics,0),1),0))=0,"OK",IF(SUMPRODUCT((nrInstrNames&lt;&gt;"")*ISNUMBER(SEARCH(nrInstrNames,$I456))*(COUNTIF(INDEX(nrBankGrid,IFERROR(MATCH($G456,nrBankTopics,0),1),0),nrInstrNames)&gt;0))&lt;SUMPRODUCT((nrInstrNames&lt;&gt;"")*ISNUMBER(SEARCH(nrInstrNames,$I456))),"NOT IN BANK","OK"))))</f>
        <v/>
      </c>
    </row>
    <row r="457">
      <c r="B457" s="18" t="n"/>
      <c r="C457" s="17">
        <f>IF($B457="","",TEXT($B457,"ddd"))</f>
        <v/>
      </c>
      <c r="D457" s="41" t="n"/>
      <c r="E457" s="41" t="n"/>
      <c r="F457" s="17">
        <f>IF(OR($B457="",$D457="",$E457=""),"",ROUND(MOD($E457-$D457,1)*24,2))</f>
        <v/>
      </c>
      <c r="G457" s="16" t="n"/>
      <c r="H457" s="17">
        <f>IF($G457="","",IFERROR(_xlfn.XLOOKUP($G457,nrCHname,nrCHnum),IFERROR(_xlfn.XLOOKUP($G457,nrSUBname,nrSUBparent),"")))</f>
        <v/>
      </c>
      <c r="I457" s="16" t="n"/>
      <c r="J457" s="16" t="n"/>
      <c r="K457" s="17">
        <f>IF($B457="","",IFERROR(_xlfn.XLOOKUP($B457,nrCDdate,nrCDweek),""))</f>
        <v/>
      </c>
      <c r="L457" s="17">
        <f>IF($B457="","",IFERROR(_xlfn.XLOOKUP($B457,nrCDdate,nrCDnum),""))</f>
        <v/>
      </c>
      <c r="M457" s="16" t="n"/>
      <c r="N457" s="17">
        <f>IF(OR($B457="",$I457=""),"",_xlfn.LET(_xlpm.a,$I457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57" s="17">
        <f>IF(OR($B457="",$D457="",$E457=""),"",IF($E457=$D457,"CHECK TIMES (start = end)",IF($F457&gt;12,"CHECK TIMES (End is before Start?)","OK")))</f>
        <v/>
      </c>
      <c r="P457" s="17">
        <f>IF(OR($B457="",$I457=""),"",IF(IFERROR(MATCH($G457,nrBankTopics,0),0)=0,"OK",IF(COUNTA(INDEX(nrBankGrid,IFERROR(MATCH($G457,nrBankTopics,0),1),0))=0,"OK",IF(SUMPRODUCT((nrInstrNames&lt;&gt;"")*ISNUMBER(SEARCH(nrInstrNames,$I457))*(COUNTIF(INDEX(nrBankGrid,IFERROR(MATCH($G457,nrBankTopics,0),1),0),nrInstrNames)&gt;0))&lt;SUMPRODUCT((nrInstrNames&lt;&gt;"")*ISNUMBER(SEARCH(nrInstrNames,$I457))),"NOT IN BANK","OK"))))</f>
        <v/>
      </c>
    </row>
    <row r="458">
      <c r="B458" s="18" t="n"/>
      <c r="C458" s="17">
        <f>IF($B458="","",TEXT($B458,"ddd"))</f>
        <v/>
      </c>
      <c r="D458" s="41" t="n"/>
      <c r="E458" s="41" t="n"/>
      <c r="F458" s="17">
        <f>IF(OR($B458="",$D458="",$E458=""),"",ROUND(MOD($E458-$D458,1)*24,2))</f>
        <v/>
      </c>
      <c r="G458" s="16" t="n"/>
      <c r="H458" s="17">
        <f>IF($G458="","",IFERROR(_xlfn.XLOOKUP($G458,nrCHname,nrCHnum),IFERROR(_xlfn.XLOOKUP($G458,nrSUBname,nrSUBparent),"")))</f>
        <v/>
      </c>
      <c r="I458" s="16" t="n"/>
      <c r="J458" s="16" t="n"/>
      <c r="K458" s="17">
        <f>IF($B458="","",IFERROR(_xlfn.XLOOKUP($B458,nrCDdate,nrCDweek),""))</f>
        <v/>
      </c>
      <c r="L458" s="17">
        <f>IF($B458="","",IFERROR(_xlfn.XLOOKUP($B458,nrCDdate,nrCDnum),""))</f>
        <v/>
      </c>
      <c r="M458" s="16" t="n"/>
      <c r="N458" s="17">
        <f>IF(OR($B458="",$I458=""),"",_xlfn.LET(_xlpm.a,$I458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58" s="17">
        <f>IF(OR($B458="",$D458="",$E458=""),"",IF($E458=$D458,"CHECK TIMES (start = end)",IF($F458&gt;12,"CHECK TIMES (End is before Start?)","OK")))</f>
        <v/>
      </c>
      <c r="P458" s="17">
        <f>IF(OR($B458="",$I458=""),"",IF(IFERROR(MATCH($G458,nrBankTopics,0),0)=0,"OK",IF(COUNTA(INDEX(nrBankGrid,IFERROR(MATCH($G458,nrBankTopics,0),1),0))=0,"OK",IF(SUMPRODUCT((nrInstrNames&lt;&gt;"")*ISNUMBER(SEARCH(nrInstrNames,$I458))*(COUNTIF(INDEX(nrBankGrid,IFERROR(MATCH($G458,nrBankTopics,0),1),0),nrInstrNames)&gt;0))&lt;SUMPRODUCT((nrInstrNames&lt;&gt;"")*ISNUMBER(SEARCH(nrInstrNames,$I458))),"NOT IN BANK","OK"))))</f>
        <v/>
      </c>
    </row>
    <row r="459">
      <c r="B459" s="18" t="n"/>
      <c r="C459" s="17">
        <f>IF($B459="","",TEXT($B459,"ddd"))</f>
        <v/>
      </c>
      <c r="D459" s="41" t="n"/>
      <c r="E459" s="41" t="n"/>
      <c r="F459" s="17">
        <f>IF(OR($B459="",$D459="",$E459=""),"",ROUND(MOD($E459-$D459,1)*24,2))</f>
        <v/>
      </c>
      <c r="G459" s="16" t="n"/>
      <c r="H459" s="17">
        <f>IF($G459="","",IFERROR(_xlfn.XLOOKUP($G459,nrCHname,nrCHnum),IFERROR(_xlfn.XLOOKUP($G459,nrSUBname,nrSUBparent),"")))</f>
        <v/>
      </c>
      <c r="I459" s="16" t="n"/>
      <c r="J459" s="16" t="n"/>
      <c r="K459" s="17">
        <f>IF($B459="","",IFERROR(_xlfn.XLOOKUP($B459,nrCDdate,nrCDweek),""))</f>
        <v/>
      </c>
      <c r="L459" s="17">
        <f>IF($B459="","",IFERROR(_xlfn.XLOOKUP($B459,nrCDdate,nrCDnum),""))</f>
        <v/>
      </c>
      <c r="M459" s="16" t="n"/>
      <c r="N459" s="17">
        <f>IF(OR($B459="",$I459=""),"",_xlfn.LET(_xlpm.a,$I459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59" s="17">
        <f>IF(OR($B459="",$D459="",$E459=""),"",IF($E459=$D459,"CHECK TIMES (start = end)",IF($F459&gt;12,"CHECK TIMES (End is before Start?)","OK")))</f>
        <v/>
      </c>
      <c r="P459" s="17">
        <f>IF(OR($B459="",$I459=""),"",IF(IFERROR(MATCH($G459,nrBankTopics,0),0)=0,"OK",IF(COUNTA(INDEX(nrBankGrid,IFERROR(MATCH($G459,nrBankTopics,0),1),0))=0,"OK",IF(SUMPRODUCT((nrInstrNames&lt;&gt;"")*ISNUMBER(SEARCH(nrInstrNames,$I459))*(COUNTIF(INDEX(nrBankGrid,IFERROR(MATCH($G459,nrBankTopics,0),1),0),nrInstrNames)&gt;0))&lt;SUMPRODUCT((nrInstrNames&lt;&gt;"")*ISNUMBER(SEARCH(nrInstrNames,$I459))),"NOT IN BANK","OK"))))</f>
        <v/>
      </c>
    </row>
    <row r="460">
      <c r="B460" s="18" t="n"/>
      <c r="C460" s="17">
        <f>IF($B460="","",TEXT($B460,"ddd"))</f>
        <v/>
      </c>
      <c r="D460" s="41" t="n"/>
      <c r="E460" s="41" t="n"/>
      <c r="F460" s="17">
        <f>IF(OR($B460="",$D460="",$E460=""),"",ROUND(MOD($E460-$D460,1)*24,2))</f>
        <v/>
      </c>
      <c r="G460" s="16" t="n"/>
      <c r="H460" s="17">
        <f>IF($G460="","",IFERROR(_xlfn.XLOOKUP($G460,nrCHname,nrCHnum),IFERROR(_xlfn.XLOOKUP($G460,nrSUBname,nrSUBparent),"")))</f>
        <v/>
      </c>
      <c r="I460" s="16" t="n"/>
      <c r="J460" s="16" t="n"/>
      <c r="K460" s="17">
        <f>IF($B460="","",IFERROR(_xlfn.XLOOKUP($B460,nrCDdate,nrCDweek),""))</f>
        <v/>
      </c>
      <c r="L460" s="17">
        <f>IF($B460="","",IFERROR(_xlfn.XLOOKUP($B460,nrCDdate,nrCDnum),""))</f>
        <v/>
      </c>
      <c r="M460" s="16" t="n"/>
      <c r="N460" s="17">
        <f>IF(OR($B460="",$I460=""),"",_xlfn.LET(_xlpm.a,$I460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60" s="17">
        <f>IF(OR($B460="",$D460="",$E460=""),"",IF($E460=$D460,"CHECK TIMES (start = end)",IF($F460&gt;12,"CHECK TIMES (End is before Start?)","OK")))</f>
        <v/>
      </c>
      <c r="P460" s="17">
        <f>IF(OR($B460="",$I460=""),"",IF(IFERROR(MATCH($G460,nrBankTopics,0),0)=0,"OK",IF(COUNTA(INDEX(nrBankGrid,IFERROR(MATCH($G460,nrBankTopics,0),1),0))=0,"OK",IF(SUMPRODUCT((nrInstrNames&lt;&gt;"")*ISNUMBER(SEARCH(nrInstrNames,$I460))*(COUNTIF(INDEX(nrBankGrid,IFERROR(MATCH($G460,nrBankTopics,0),1),0),nrInstrNames)&gt;0))&lt;SUMPRODUCT((nrInstrNames&lt;&gt;"")*ISNUMBER(SEARCH(nrInstrNames,$I460))),"NOT IN BANK","OK"))))</f>
        <v/>
      </c>
    </row>
    <row r="461">
      <c r="B461" s="18" t="n"/>
      <c r="C461" s="17">
        <f>IF($B461="","",TEXT($B461,"ddd"))</f>
        <v/>
      </c>
      <c r="D461" s="41" t="n"/>
      <c r="E461" s="41" t="n"/>
      <c r="F461" s="17">
        <f>IF(OR($B461="",$D461="",$E461=""),"",ROUND(MOD($E461-$D461,1)*24,2))</f>
        <v/>
      </c>
      <c r="G461" s="16" t="n"/>
      <c r="H461" s="17">
        <f>IF($G461="","",IFERROR(_xlfn.XLOOKUP($G461,nrCHname,nrCHnum),IFERROR(_xlfn.XLOOKUP($G461,nrSUBname,nrSUBparent),"")))</f>
        <v/>
      </c>
      <c r="I461" s="16" t="n"/>
      <c r="J461" s="16" t="n"/>
      <c r="K461" s="17">
        <f>IF($B461="","",IFERROR(_xlfn.XLOOKUP($B461,nrCDdate,nrCDweek),""))</f>
        <v/>
      </c>
      <c r="L461" s="17">
        <f>IF($B461="","",IFERROR(_xlfn.XLOOKUP($B461,nrCDdate,nrCDnum),""))</f>
        <v/>
      </c>
      <c r="M461" s="16" t="n"/>
      <c r="N461" s="17">
        <f>IF(OR($B461="",$I461=""),"",_xlfn.LET(_xlpm.a,$I461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61" s="17">
        <f>IF(OR($B461="",$D461="",$E461=""),"",IF($E461=$D461,"CHECK TIMES (start = end)",IF($F461&gt;12,"CHECK TIMES (End is before Start?)","OK")))</f>
        <v/>
      </c>
      <c r="P461" s="17">
        <f>IF(OR($B461="",$I461=""),"",IF(IFERROR(MATCH($G461,nrBankTopics,0),0)=0,"OK",IF(COUNTA(INDEX(nrBankGrid,IFERROR(MATCH($G461,nrBankTopics,0),1),0))=0,"OK",IF(SUMPRODUCT((nrInstrNames&lt;&gt;"")*ISNUMBER(SEARCH(nrInstrNames,$I461))*(COUNTIF(INDEX(nrBankGrid,IFERROR(MATCH($G461,nrBankTopics,0),1),0),nrInstrNames)&gt;0))&lt;SUMPRODUCT((nrInstrNames&lt;&gt;"")*ISNUMBER(SEARCH(nrInstrNames,$I461))),"NOT IN BANK","OK"))))</f>
        <v/>
      </c>
    </row>
    <row r="462">
      <c r="B462" s="18" t="n"/>
      <c r="C462" s="17">
        <f>IF($B462="","",TEXT($B462,"ddd"))</f>
        <v/>
      </c>
      <c r="D462" s="41" t="n"/>
      <c r="E462" s="41" t="n"/>
      <c r="F462" s="17">
        <f>IF(OR($B462="",$D462="",$E462=""),"",ROUND(MOD($E462-$D462,1)*24,2))</f>
        <v/>
      </c>
      <c r="G462" s="16" t="n"/>
      <c r="H462" s="17">
        <f>IF($G462="","",IFERROR(_xlfn.XLOOKUP($G462,nrCHname,nrCHnum),IFERROR(_xlfn.XLOOKUP($G462,nrSUBname,nrSUBparent),"")))</f>
        <v/>
      </c>
      <c r="I462" s="16" t="n"/>
      <c r="J462" s="16" t="n"/>
      <c r="K462" s="17">
        <f>IF($B462="","",IFERROR(_xlfn.XLOOKUP($B462,nrCDdate,nrCDweek),""))</f>
        <v/>
      </c>
      <c r="L462" s="17">
        <f>IF($B462="","",IFERROR(_xlfn.XLOOKUP($B462,nrCDdate,nrCDnum),""))</f>
        <v/>
      </c>
      <c r="M462" s="16" t="n"/>
      <c r="N462" s="17">
        <f>IF(OR($B462="",$I462=""),"",_xlfn.LET(_xlpm.a,$I462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62" s="17">
        <f>IF(OR($B462="",$D462="",$E462=""),"",IF($E462=$D462,"CHECK TIMES (start = end)",IF($F462&gt;12,"CHECK TIMES (End is before Start?)","OK")))</f>
        <v/>
      </c>
      <c r="P462" s="17">
        <f>IF(OR($B462="",$I462=""),"",IF(IFERROR(MATCH($G462,nrBankTopics,0),0)=0,"OK",IF(COUNTA(INDEX(nrBankGrid,IFERROR(MATCH($G462,nrBankTopics,0),1),0))=0,"OK",IF(SUMPRODUCT((nrInstrNames&lt;&gt;"")*ISNUMBER(SEARCH(nrInstrNames,$I462))*(COUNTIF(INDEX(nrBankGrid,IFERROR(MATCH($G462,nrBankTopics,0),1),0),nrInstrNames)&gt;0))&lt;SUMPRODUCT((nrInstrNames&lt;&gt;"")*ISNUMBER(SEARCH(nrInstrNames,$I462))),"NOT IN BANK","OK"))))</f>
        <v/>
      </c>
    </row>
    <row r="463">
      <c r="B463" s="18" t="n"/>
      <c r="C463" s="17">
        <f>IF($B463="","",TEXT($B463,"ddd"))</f>
        <v/>
      </c>
      <c r="D463" s="41" t="n"/>
      <c r="E463" s="41" t="n"/>
      <c r="F463" s="17">
        <f>IF(OR($B463="",$D463="",$E463=""),"",ROUND(MOD($E463-$D463,1)*24,2))</f>
        <v/>
      </c>
      <c r="G463" s="16" t="n"/>
      <c r="H463" s="17">
        <f>IF($G463="","",IFERROR(_xlfn.XLOOKUP($G463,nrCHname,nrCHnum),IFERROR(_xlfn.XLOOKUP($G463,nrSUBname,nrSUBparent),"")))</f>
        <v/>
      </c>
      <c r="I463" s="16" t="n"/>
      <c r="J463" s="16" t="n"/>
      <c r="K463" s="17">
        <f>IF($B463="","",IFERROR(_xlfn.XLOOKUP($B463,nrCDdate,nrCDweek),""))</f>
        <v/>
      </c>
      <c r="L463" s="17">
        <f>IF($B463="","",IFERROR(_xlfn.XLOOKUP($B463,nrCDdate,nrCDnum),""))</f>
        <v/>
      </c>
      <c r="M463" s="16" t="n"/>
      <c r="N463" s="17">
        <f>IF(OR($B463="",$I463=""),"",_xlfn.LET(_xlpm.a,$I463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63" s="17">
        <f>IF(OR($B463="",$D463="",$E463=""),"",IF($E463=$D463,"CHECK TIMES (start = end)",IF($F463&gt;12,"CHECK TIMES (End is before Start?)","OK")))</f>
        <v/>
      </c>
      <c r="P463" s="17">
        <f>IF(OR($B463="",$I463=""),"",IF(IFERROR(MATCH($G463,nrBankTopics,0),0)=0,"OK",IF(COUNTA(INDEX(nrBankGrid,IFERROR(MATCH($G463,nrBankTopics,0),1),0))=0,"OK",IF(SUMPRODUCT((nrInstrNames&lt;&gt;"")*ISNUMBER(SEARCH(nrInstrNames,$I463))*(COUNTIF(INDEX(nrBankGrid,IFERROR(MATCH($G463,nrBankTopics,0),1),0),nrInstrNames)&gt;0))&lt;SUMPRODUCT((nrInstrNames&lt;&gt;"")*ISNUMBER(SEARCH(nrInstrNames,$I463))),"NOT IN BANK","OK"))))</f>
        <v/>
      </c>
    </row>
    <row r="464">
      <c r="B464" s="18" t="n"/>
      <c r="C464" s="17">
        <f>IF($B464="","",TEXT($B464,"ddd"))</f>
        <v/>
      </c>
      <c r="D464" s="41" t="n"/>
      <c r="E464" s="41" t="n"/>
      <c r="F464" s="17">
        <f>IF(OR($B464="",$D464="",$E464=""),"",ROUND(MOD($E464-$D464,1)*24,2))</f>
        <v/>
      </c>
      <c r="G464" s="16" t="n"/>
      <c r="H464" s="17">
        <f>IF($G464="","",IFERROR(_xlfn.XLOOKUP($G464,nrCHname,nrCHnum),IFERROR(_xlfn.XLOOKUP($G464,nrSUBname,nrSUBparent),"")))</f>
        <v/>
      </c>
      <c r="I464" s="16" t="n"/>
      <c r="J464" s="16" t="n"/>
      <c r="K464" s="17">
        <f>IF($B464="","",IFERROR(_xlfn.XLOOKUP($B464,nrCDdate,nrCDweek),""))</f>
        <v/>
      </c>
      <c r="L464" s="17">
        <f>IF($B464="","",IFERROR(_xlfn.XLOOKUP($B464,nrCDdate,nrCDnum),""))</f>
        <v/>
      </c>
      <c r="M464" s="16" t="n"/>
      <c r="N464" s="17">
        <f>IF(OR($B464="",$I464=""),"",_xlfn.LET(_xlpm.a,$I464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64" s="17">
        <f>IF(OR($B464="",$D464="",$E464=""),"",IF($E464=$D464,"CHECK TIMES (start = end)",IF($F464&gt;12,"CHECK TIMES (End is before Start?)","OK")))</f>
        <v/>
      </c>
      <c r="P464" s="17">
        <f>IF(OR($B464="",$I464=""),"",IF(IFERROR(MATCH($G464,nrBankTopics,0),0)=0,"OK",IF(COUNTA(INDEX(nrBankGrid,IFERROR(MATCH($G464,nrBankTopics,0),1),0))=0,"OK",IF(SUMPRODUCT((nrInstrNames&lt;&gt;"")*ISNUMBER(SEARCH(nrInstrNames,$I464))*(COUNTIF(INDEX(nrBankGrid,IFERROR(MATCH($G464,nrBankTopics,0),1),0),nrInstrNames)&gt;0))&lt;SUMPRODUCT((nrInstrNames&lt;&gt;"")*ISNUMBER(SEARCH(nrInstrNames,$I464))),"NOT IN BANK","OK"))))</f>
        <v/>
      </c>
    </row>
    <row r="465">
      <c r="B465" s="18" t="n"/>
      <c r="C465" s="17">
        <f>IF($B465="","",TEXT($B465,"ddd"))</f>
        <v/>
      </c>
      <c r="D465" s="41" t="n"/>
      <c r="E465" s="41" t="n"/>
      <c r="F465" s="17">
        <f>IF(OR($B465="",$D465="",$E465=""),"",ROUND(MOD($E465-$D465,1)*24,2))</f>
        <v/>
      </c>
      <c r="G465" s="16" t="n"/>
      <c r="H465" s="17">
        <f>IF($G465="","",IFERROR(_xlfn.XLOOKUP($G465,nrCHname,nrCHnum),IFERROR(_xlfn.XLOOKUP($G465,nrSUBname,nrSUBparent),"")))</f>
        <v/>
      </c>
      <c r="I465" s="16" t="n"/>
      <c r="J465" s="16" t="n"/>
      <c r="K465" s="17">
        <f>IF($B465="","",IFERROR(_xlfn.XLOOKUP($B465,nrCDdate,nrCDweek),""))</f>
        <v/>
      </c>
      <c r="L465" s="17">
        <f>IF($B465="","",IFERROR(_xlfn.XLOOKUP($B465,nrCDdate,nrCDnum),""))</f>
        <v/>
      </c>
      <c r="M465" s="16" t="n"/>
      <c r="N465" s="17">
        <f>IF(OR($B465="",$I465=""),"",_xlfn.LET(_xlpm.a,$I465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65" s="17">
        <f>IF(OR($B465="",$D465="",$E465=""),"",IF($E465=$D465,"CHECK TIMES (start = end)",IF($F465&gt;12,"CHECK TIMES (End is before Start?)","OK")))</f>
        <v/>
      </c>
      <c r="P465" s="17">
        <f>IF(OR($B465="",$I465=""),"",IF(IFERROR(MATCH($G465,nrBankTopics,0),0)=0,"OK",IF(COUNTA(INDEX(nrBankGrid,IFERROR(MATCH($G465,nrBankTopics,0),1),0))=0,"OK",IF(SUMPRODUCT((nrInstrNames&lt;&gt;"")*ISNUMBER(SEARCH(nrInstrNames,$I465))*(COUNTIF(INDEX(nrBankGrid,IFERROR(MATCH($G465,nrBankTopics,0),1),0),nrInstrNames)&gt;0))&lt;SUMPRODUCT((nrInstrNames&lt;&gt;"")*ISNUMBER(SEARCH(nrInstrNames,$I465))),"NOT IN BANK","OK"))))</f>
        <v/>
      </c>
    </row>
    <row r="466">
      <c r="B466" s="18" t="n"/>
      <c r="C466" s="17">
        <f>IF($B466="","",TEXT($B466,"ddd"))</f>
        <v/>
      </c>
      <c r="D466" s="41" t="n"/>
      <c r="E466" s="41" t="n"/>
      <c r="F466" s="17">
        <f>IF(OR($B466="",$D466="",$E466=""),"",ROUND(MOD($E466-$D466,1)*24,2))</f>
        <v/>
      </c>
      <c r="G466" s="16" t="n"/>
      <c r="H466" s="17">
        <f>IF($G466="","",IFERROR(_xlfn.XLOOKUP($G466,nrCHname,nrCHnum),IFERROR(_xlfn.XLOOKUP($G466,nrSUBname,nrSUBparent),"")))</f>
        <v/>
      </c>
      <c r="I466" s="16" t="n"/>
      <c r="J466" s="16" t="n"/>
      <c r="K466" s="17">
        <f>IF($B466="","",IFERROR(_xlfn.XLOOKUP($B466,nrCDdate,nrCDweek),""))</f>
        <v/>
      </c>
      <c r="L466" s="17">
        <f>IF($B466="","",IFERROR(_xlfn.XLOOKUP($B466,nrCDdate,nrCDnum),""))</f>
        <v/>
      </c>
      <c r="M466" s="16" t="n"/>
      <c r="N466" s="17">
        <f>IF(OR($B466="",$I466=""),"",_xlfn.LET(_xlpm.a,$I466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66" s="17">
        <f>IF(OR($B466="",$D466="",$E466=""),"",IF($E466=$D466,"CHECK TIMES (start = end)",IF($F466&gt;12,"CHECK TIMES (End is before Start?)","OK")))</f>
        <v/>
      </c>
      <c r="P466" s="17">
        <f>IF(OR($B466="",$I466=""),"",IF(IFERROR(MATCH($G466,nrBankTopics,0),0)=0,"OK",IF(COUNTA(INDEX(nrBankGrid,IFERROR(MATCH($G466,nrBankTopics,0),1),0))=0,"OK",IF(SUMPRODUCT((nrInstrNames&lt;&gt;"")*ISNUMBER(SEARCH(nrInstrNames,$I466))*(COUNTIF(INDEX(nrBankGrid,IFERROR(MATCH($G466,nrBankTopics,0),1),0),nrInstrNames)&gt;0))&lt;SUMPRODUCT((nrInstrNames&lt;&gt;"")*ISNUMBER(SEARCH(nrInstrNames,$I466))),"NOT IN BANK","OK"))))</f>
        <v/>
      </c>
    </row>
    <row r="467">
      <c r="B467" s="18" t="n"/>
      <c r="C467" s="17">
        <f>IF($B467="","",TEXT($B467,"ddd"))</f>
        <v/>
      </c>
      <c r="D467" s="41" t="n"/>
      <c r="E467" s="41" t="n"/>
      <c r="F467" s="17">
        <f>IF(OR($B467="",$D467="",$E467=""),"",ROUND(MOD($E467-$D467,1)*24,2))</f>
        <v/>
      </c>
      <c r="G467" s="16" t="n"/>
      <c r="H467" s="17">
        <f>IF($G467="","",IFERROR(_xlfn.XLOOKUP($G467,nrCHname,nrCHnum),IFERROR(_xlfn.XLOOKUP($G467,nrSUBname,nrSUBparent),"")))</f>
        <v/>
      </c>
      <c r="I467" s="16" t="n"/>
      <c r="J467" s="16" t="n"/>
      <c r="K467" s="17">
        <f>IF($B467="","",IFERROR(_xlfn.XLOOKUP($B467,nrCDdate,nrCDweek),""))</f>
        <v/>
      </c>
      <c r="L467" s="17">
        <f>IF($B467="","",IFERROR(_xlfn.XLOOKUP($B467,nrCDdate,nrCDnum),""))</f>
        <v/>
      </c>
      <c r="M467" s="16" t="n"/>
      <c r="N467" s="17">
        <f>IF(OR($B467="",$I467=""),"",_xlfn.LET(_xlpm.a,$I467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67" s="17">
        <f>IF(OR($B467="",$D467="",$E467=""),"",IF($E467=$D467,"CHECK TIMES (start = end)",IF($F467&gt;12,"CHECK TIMES (End is before Start?)","OK")))</f>
        <v/>
      </c>
      <c r="P467" s="17">
        <f>IF(OR($B467="",$I467=""),"",IF(IFERROR(MATCH($G467,nrBankTopics,0),0)=0,"OK",IF(COUNTA(INDEX(nrBankGrid,IFERROR(MATCH($G467,nrBankTopics,0),1),0))=0,"OK",IF(SUMPRODUCT((nrInstrNames&lt;&gt;"")*ISNUMBER(SEARCH(nrInstrNames,$I467))*(COUNTIF(INDEX(nrBankGrid,IFERROR(MATCH($G467,nrBankTopics,0),1),0),nrInstrNames)&gt;0))&lt;SUMPRODUCT((nrInstrNames&lt;&gt;"")*ISNUMBER(SEARCH(nrInstrNames,$I467))),"NOT IN BANK","OK"))))</f>
        <v/>
      </c>
    </row>
    <row r="468">
      <c r="B468" s="18" t="n"/>
      <c r="C468" s="17">
        <f>IF($B468="","",TEXT($B468,"ddd"))</f>
        <v/>
      </c>
      <c r="D468" s="41" t="n"/>
      <c r="E468" s="41" t="n"/>
      <c r="F468" s="17">
        <f>IF(OR($B468="",$D468="",$E468=""),"",ROUND(MOD($E468-$D468,1)*24,2))</f>
        <v/>
      </c>
      <c r="G468" s="16" t="n"/>
      <c r="H468" s="17">
        <f>IF($G468="","",IFERROR(_xlfn.XLOOKUP($G468,nrCHname,nrCHnum),IFERROR(_xlfn.XLOOKUP($G468,nrSUBname,nrSUBparent),"")))</f>
        <v/>
      </c>
      <c r="I468" s="16" t="n"/>
      <c r="J468" s="16" t="n"/>
      <c r="K468" s="17">
        <f>IF($B468="","",IFERROR(_xlfn.XLOOKUP($B468,nrCDdate,nrCDweek),""))</f>
        <v/>
      </c>
      <c r="L468" s="17">
        <f>IF($B468="","",IFERROR(_xlfn.XLOOKUP($B468,nrCDdate,nrCDnum),""))</f>
        <v/>
      </c>
      <c r="M468" s="16" t="n"/>
      <c r="N468" s="17">
        <f>IF(OR($B468="",$I468=""),"",_xlfn.LET(_xlpm.a,$I468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68" s="17">
        <f>IF(OR($B468="",$D468="",$E468=""),"",IF($E468=$D468,"CHECK TIMES (start = end)",IF($F468&gt;12,"CHECK TIMES (End is before Start?)","OK")))</f>
        <v/>
      </c>
      <c r="P468" s="17">
        <f>IF(OR($B468="",$I468=""),"",IF(IFERROR(MATCH($G468,nrBankTopics,0),0)=0,"OK",IF(COUNTA(INDEX(nrBankGrid,IFERROR(MATCH($G468,nrBankTopics,0),1),0))=0,"OK",IF(SUMPRODUCT((nrInstrNames&lt;&gt;"")*ISNUMBER(SEARCH(nrInstrNames,$I468))*(COUNTIF(INDEX(nrBankGrid,IFERROR(MATCH($G468,nrBankTopics,0),1),0),nrInstrNames)&gt;0))&lt;SUMPRODUCT((nrInstrNames&lt;&gt;"")*ISNUMBER(SEARCH(nrInstrNames,$I468))),"NOT IN BANK","OK"))))</f>
        <v/>
      </c>
    </row>
    <row r="469">
      <c r="B469" s="18" t="n"/>
      <c r="C469" s="17">
        <f>IF($B469="","",TEXT($B469,"ddd"))</f>
        <v/>
      </c>
      <c r="D469" s="41" t="n"/>
      <c r="E469" s="41" t="n"/>
      <c r="F469" s="17">
        <f>IF(OR($B469="",$D469="",$E469=""),"",ROUND(MOD($E469-$D469,1)*24,2))</f>
        <v/>
      </c>
      <c r="G469" s="16" t="n"/>
      <c r="H469" s="17">
        <f>IF($G469="","",IFERROR(_xlfn.XLOOKUP($G469,nrCHname,nrCHnum),IFERROR(_xlfn.XLOOKUP($G469,nrSUBname,nrSUBparent),"")))</f>
        <v/>
      </c>
      <c r="I469" s="16" t="n"/>
      <c r="J469" s="16" t="n"/>
      <c r="K469" s="17">
        <f>IF($B469="","",IFERROR(_xlfn.XLOOKUP($B469,nrCDdate,nrCDweek),""))</f>
        <v/>
      </c>
      <c r="L469" s="17">
        <f>IF($B469="","",IFERROR(_xlfn.XLOOKUP($B469,nrCDdate,nrCDnum),""))</f>
        <v/>
      </c>
      <c r="M469" s="16" t="n"/>
      <c r="N469" s="17">
        <f>IF(OR($B469="",$I469=""),"",_xlfn.LET(_xlpm.a,$I469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69" s="17">
        <f>IF(OR($B469="",$D469="",$E469=""),"",IF($E469=$D469,"CHECK TIMES (start = end)",IF($F469&gt;12,"CHECK TIMES (End is before Start?)","OK")))</f>
        <v/>
      </c>
      <c r="P469" s="17">
        <f>IF(OR($B469="",$I469=""),"",IF(IFERROR(MATCH($G469,nrBankTopics,0),0)=0,"OK",IF(COUNTA(INDEX(nrBankGrid,IFERROR(MATCH($G469,nrBankTopics,0),1),0))=0,"OK",IF(SUMPRODUCT((nrInstrNames&lt;&gt;"")*ISNUMBER(SEARCH(nrInstrNames,$I469))*(COUNTIF(INDEX(nrBankGrid,IFERROR(MATCH($G469,nrBankTopics,0),1),0),nrInstrNames)&gt;0))&lt;SUMPRODUCT((nrInstrNames&lt;&gt;"")*ISNUMBER(SEARCH(nrInstrNames,$I469))),"NOT IN BANK","OK"))))</f>
        <v/>
      </c>
    </row>
    <row r="470">
      <c r="B470" s="18" t="n"/>
      <c r="C470" s="17">
        <f>IF($B470="","",TEXT($B470,"ddd"))</f>
        <v/>
      </c>
      <c r="D470" s="41" t="n"/>
      <c r="E470" s="41" t="n"/>
      <c r="F470" s="17">
        <f>IF(OR($B470="",$D470="",$E470=""),"",ROUND(MOD($E470-$D470,1)*24,2))</f>
        <v/>
      </c>
      <c r="G470" s="16" t="n"/>
      <c r="H470" s="17">
        <f>IF($G470="","",IFERROR(_xlfn.XLOOKUP($G470,nrCHname,nrCHnum),IFERROR(_xlfn.XLOOKUP($G470,nrSUBname,nrSUBparent),"")))</f>
        <v/>
      </c>
      <c r="I470" s="16" t="n"/>
      <c r="J470" s="16" t="n"/>
      <c r="K470" s="17">
        <f>IF($B470="","",IFERROR(_xlfn.XLOOKUP($B470,nrCDdate,nrCDweek),""))</f>
        <v/>
      </c>
      <c r="L470" s="17">
        <f>IF($B470="","",IFERROR(_xlfn.XLOOKUP($B470,nrCDdate,nrCDnum),""))</f>
        <v/>
      </c>
      <c r="M470" s="16" t="n"/>
      <c r="N470" s="17">
        <f>IF(OR($B470="",$I470=""),"",_xlfn.LET(_xlpm.a,$I470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70" s="17">
        <f>IF(OR($B470="",$D470="",$E470=""),"",IF($E470=$D470,"CHECK TIMES (start = end)",IF($F470&gt;12,"CHECK TIMES (End is before Start?)","OK")))</f>
        <v/>
      </c>
      <c r="P470" s="17">
        <f>IF(OR($B470="",$I470=""),"",IF(IFERROR(MATCH($G470,nrBankTopics,0),0)=0,"OK",IF(COUNTA(INDEX(nrBankGrid,IFERROR(MATCH($G470,nrBankTopics,0),1),0))=0,"OK",IF(SUMPRODUCT((nrInstrNames&lt;&gt;"")*ISNUMBER(SEARCH(nrInstrNames,$I470))*(COUNTIF(INDEX(nrBankGrid,IFERROR(MATCH($G470,nrBankTopics,0),1),0),nrInstrNames)&gt;0))&lt;SUMPRODUCT((nrInstrNames&lt;&gt;"")*ISNUMBER(SEARCH(nrInstrNames,$I470))),"NOT IN BANK","OK"))))</f>
        <v/>
      </c>
    </row>
    <row r="471">
      <c r="B471" s="18" t="n"/>
      <c r="C471" s="17">
        <f>IF($B471="","",TEXT($B471,"ddd"))</f>
        <v/>
      </c>
      <c r="D471" s="41" t="n"/>
      <c r="E471" s="41" t="n"/>
      <c r="F471" s="17">
        <f>IF(OR($B471="",$D471="",$E471=""),"",ROUND(MOD($E471-$D471,1)*24,2))</f>
        <v/>
      </c>
      <c r="G471" s="16" t="n"/>
      <c r="H471" s="17">
        <f>IF($G471="","",IFERROR(_xlfn.XLOOKUP($G471,nrCHname,nrCHnum),IFERROR(_xlfn.XLOOKUP($G471,nrSUBname,nrSUBparent),"")))</f>
        <v/>
      </c>
      <c r="I471" s="16" t="n"/>
      <c r="J471" s="16" t="n"/>
      <c r="K471" s="17">
        <f>IF($B471="","",IFERROR(_xlfn.XLOOKUP($B471,nrCDdate,nrCDweek),""))</f>
        <v/>
      </c>
      <c r="L471" s="17">
        <f>IF($B471="","",IFERROR(_xlfn.XLOOKUP($B471,nrCDdate,nrCDnum),""))</f>
        <v/>
      </c>
      <c r="M471" s="16" t="n"/>
      <c r="N471" s="17">
        <f>IF(OR($B471="",$I471=""),"",_xlfn.LET(_xlpm.a,$I471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71" s="17">
        <f>IF(OR($B471="",$D471="",$E471=""),"",IF($E471=$D471,"CHECK TIMES (start = end)",IF($F471&gt;12,"CHECK TIMES (End is before Start?)","OK")))</f>
        <v/>
      </c>
      <c r="P471" s="17">
        <f>IF(OR($B471="",$I471=""),"",IF(IFERROR(MATCH($G471,nrBankTopics,0),0)=0,"OK",IF(COUNTA(INDEX(nrBankGrid,IFERROR(MATCH($G471,nrBankTopics,0),1),0))=0,"OK",IF(SUMPRODUCT((nrInstrNames&lt;&gt;"")*ISNUMBER(SEARCH(nrInstrNames,$I471))*(COUNTIF(INDEX(nrBankGrid,IFERROR(MATCH($G471,nrBankTopics,0),1),0),nrInstrNames)&gt;0))&lt;SUMPRODUCT((nrInstrNames&lt;&gt;"")*ISNUMBER(SEARCH(nrInstrNames,$I471))),"NOT IN BANK","OK"))))</f>
        <v/>
      </c>
    </row>
    <row r="472">
      <c r="B472" s="18" t="n"/>
      <c r="C472" s="17">
        <f>IF($B472="","",TEXT($B472,"ddd"))</f>
        <v/>
      </c>
      <c r="D472" s="41" t="n"/>
      <c r="E472" s="41" t="n"/>
      <c r="F472" s="17">
        <f>IF(OR($B472="",$D472="",$E472=""),"",ROUND(MOD($E472-$D472,1)*24,2))</f>
        <v/>
      </c>
      <c r="G472" s="16" t="n"/>
      <c r="H472" s="17">
        <f>IF($G472="","",IFERROR(_xlfn.XLOOKUP($G472,nrCHname,nrCHnum),IFERROR(_xlfn.XLOOKUP($G472,nrSUBname,nrSUBparent),"")))</f>
        <v/>
      </c>
      <c r="I472" s="16" t="n"/>
      <c r="J472" s="16" t="n"/>
      <c r="K472" s="17">
        <f>IF($B472="","",IFERROR(_xlfn.XLOOKUP($B472,nrCDdate,nrCDweek),""))</f>
        <v/>
      </c>
      <c r="L472" s="17">
        <f>IF($B472="","",IFERROR(_xlfn.XLOOKUP($B472,nrCDdate,nrCDnum),""))</f>
        <v/>
      </c>
      <c r="M472" s="16" t="n"/>
      <c r="N472" s="17">
        <f>IF(OR($B472="",$I472=""),"",_xlfn.LET(_xlpm.a,$I472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72" s="17">
        <f>IF(OR($B472="",$D472="",$E472=""),"",IF($E472=$D472,"CHECK TIMES (start = end)",IF($F472&gt;12,"CHECK TIMES (End is before Start?)","OK")))</f>
        <v/>
      </c>
      <c r="P472" s="17">
        <f>IF(OR($B472="",$I472=""),"",IF(IFERROR(MATCH($G472,nrBankTopics,0),0)=0,"OK",IF(COUNTA(INDEX(nrBankGrid,IFERROR(MATCH($G472,nrBankTopics,0),1),0))=0,"OK",IF(SUMPRODUCT((nrInstrNames&lt;&gt;"")*ISNUMBER(SEARCH(nrInstrNames,$I472))*(COUNTIF(INDEX(nrBankGrid,IFERROR(MATCH($G472,nrBankTopics,0),1),0),nrInstrNames)&gt;0))&lt;SUMPRODUCT((nrInstrNames&lt;&gt;"")*ISNUMBER(SEARCH(nrInstrNames,$I472))),"NOT IN BANK","OK"))))</f>
        <v/>
      </c>
    </row>
    <row r="473">
      <c r="B473" s="18" t="n"/>
      <c r="C473" s="17">
        <f>IF($B473="","",TEXT($B473,"ddd"))</f>
        <v/>
      </c>
      <c r="D473" s="41" t="n"/>
      <c r="E473" s="41" t="n"/>
      <c r="F473" s="17">
        <f>IF(OR($B473="",$D473="",$E473=""),"",ROUND(MOD($E473-$D473,1)*24,2))</f>
        <v/>
      </c>
      <c r="G473" s="16" t="n"/>
      <c r="H473" s="17">
        <f>IF($G473="","",IFERROR(_xlfn.XLOOKUP($G473,nrCHname,nrCHnum),IFERROR(_xlfn.XLOOKUP($G473,nrSUBname,nrSUBparent),"")))</f>
        <v/>
      </c>
      <c r="I473" s="16" t="n"/>
      <c r="J473" s="16" t="n"/>
      <c r="K473" s="17">
        <f>IF($B473="","",IFERROR(_xlfn.XLOOKUP($B473,nrCDdate,nrCDweek),""))</f>
        <v/>
      </c>
      <c r="L473" s="17">
        <f>IF($B473="","",IFERROR(_xlfn.XLOOKUP($B473,nrCDdate,nrCDnum),""))</f>
        <v/>
      </c>
      <c r="M473" s="16" t="n"/>
      <c r="N473" s="17">
        <f>IF(OR($B473="",$I473=""),"",_xlfn.LET(_xlpm.a,$I473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73" s="17">
        <f>IF(OR($B473="",$D473="",$E473=""),"",IF($E473=$D473,"CHECK TIMES (start = end)",IF($F473&gt;12,"CHECK TIMES (End is before Start?)","OK")))</f>
        <v/>
      </c>
      <c r="P473" s="17">
        <f>IF(OR($B473="",$I473=""),"",IF(IFERROR(MATCH($G473,nrBankTopics,0),0)=0,"OK",IF(COUNTA(INDEX(nrBankGrid,IFERROR(MATCH($G473,nrBankTopics,0),1),0))=0,"OK",IF(SUMPRODUCT((nrInstrNames&lt;&gt;"")*ISNUMBER(SEARCH(nrInstrNames,$I473))*(COUNTIF(INDEX(nrBankGrid,IFERROR(MATCH($G473,nrBankTopics,0),1),0),nrInstrNames)&gt;0))&lt;SUMPRODUCT((nrInstrNames&lt;&gt;"")*ISNUMBER(SEARCH(nrInstrNames,$I473))),"NOT IN BANK","OK"))))</f>
        <v/>
      </c>
    </row>
    <row r="474">
      <c r="B474" s="18" t="n"/>
      <c r="C474" s="17">
        <f>IF($B474="","",TEXT($B474,"ddd"))</f>
        <v/>
      </c>
      <c r="D474" s="41" t="n"/>
      <c r="E474" s="41" t="n"/>
      <c r="F474" s="17">
        <f>IF(OR($B474="",$D474="",$E474=""),"",ROUND(MOD($E474-$D474,1)*24,2))</f>
        <v/>
      </c>
      <c r="G474" s="16" t="n"/>
      <c r="H474" s="17">
        <f>IF($G474="","",IFERROR(_xlfn.XLOOKUP($G474,nrCHname,nrCHnum),IFERROR(_xlfn.XLOOKUP($G474,nrSUBname,nrSUBparent),"")))</f>
        <v/>
      </c>
      <c r="I474" s="16" t="n"/>
      <c r="J474" s="16" t="n"/>
      <c r="K474" s="17">
        <f>IF($B474="","",IFERROR(_xlfn.XLOOKUP($B474,nrCDdate,nrCDweek),""))</f>
        <v/>
      </c>
      <c r="L474" s="17">
        <f>IF($B474="","",IFERROR(_xlfn.XLOOKUP($B474,nrCDdate,nrCDnum),""))</f>
        <v/>
      </c>
      <c r="M474" s="16" t="n"/>
      <c r="N474" s="17">
        <f>IF(OR($B474="",$I474=""),"",_xlfn.LET(_xlpm.a,$I474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74" s="17">
        <f>IF(OR($B474="",$D474="",$E474=""),"",IF($E474=$D474,"CHECK TIMES (start = end)",IF($F474&gt;12,"CHECK TIMES (End is before Start?)","OK")))</f>
        <v/>
      </c>
      <c r="P474" s="17">
        <f>IF(OR($B474="",$I474=""),"",IF(IFERROR(MATCH($G474,nrBankTopics,0),0)=0,"OK",IF(COUNTA(INDEX(nrBankGrid,IFERROR(MATCH($G474,nrBankTopics,0),1),0))=0,"OK",IF(SUMPRODUCT((nrInstrNames&lt;&gt;"")*ISNUMBER(SEARCH(nrInstrNames,$I474))*(COUNTIF(INDEX(nrBankGrid,IFERROR(MATCH($G474,nrBankTopics,0),1),0),nrInstrNames)&gt;0))&lt;SUMPRODUCT((nrInstrNames&lt;&gt;"")*ISNUMBER(SEARCH(nrInstrNames,$I474))),"NOT IN BANK","OK"))))</f>
        <v/>
      </c>
    </row>
    <row r="475">
      <c r="B475" s="18" t="n"/>
      <c r="C475" s="17">
        <f>IF($B475="","",TEXT($B475,"ddd"))</f>
        <v/>
      </c>
      <c r="D475" s="41" t="n"/>
      <c r="E475" s="41" t="n"/>
      <c r="F475" s="17">
        <f>IF(OR($B475="",$D475="",$E475=""),"",ROUND(MOD($E475-$D475,1)*24,2))</f>
        <v/>
      </c>
      <c r="G475" s="16" t="n"/>
      <c r="H475" s="17">
        <f>IF($G475="","",IFERROR(_xlfn.XLOOKUP($G475,nrCHname,nrCHnum),IFERROR(_xlfn.XLOOKUP($G475,nrSUBname,nrSUBparent),"")))</f>
        <v/>
      </c>
      <c r="I475" s="16" t="n"/>
      <c r="J475" s="16" t="n"/>
      <c r="K475" s="17">
        <f>IF($B475="","",IFERROR(_xlfn.XLOOKUP($B475,nrCDdate,nrCDweek),""))</f>
        <v/>
      </c>
      <c r="L475" s="17">
        <f>IF($B475="","",IFERROR(_xlfn.XLOOKUP($B475,nrCDdate,nrCDnum),""))</f>
        <v/>
      </c>
      <c r="M475" s="16" t="n"/>
      <c r="N475" s="17">
        <f>IF(OR($B475="",$I475=""),"",_xlfn.LET(_xlpm.a,$I475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75" s="17">
        <f>IF(OR($B475="",$D475="",$E475=""),"",IF($E475=$D475,"CHECK TIMES (start = end)",IF($F475&gt;12,"CHECK TIMES (End is before Start?)","OK")))</f>
        <v/>
      </c>
      <c r="P475" s="17">
        <f>IF(OR($B475="",$I475=""),"",IF(IFERROR(MATCH($G475,nrBankTopics,0),0)=0,"OK",IF(COUNTA(INDEX(nrBankGrid,IFERROR(MATCH($G475,nrBankTopics,0),1),0))=0,"OK",IF(SUMPRODUCT((nrInstrNames&lt;&gt;"")*ISNUMBER(SEARCH(nrInstrNames,$I475))*(COUNTIF(INDEX(nrBankGrid,IFERROR(MATCH($G475,nrBankTopics,0),1),0),nrInstrNames)&gt;0))&lt;SUMPRODUCT((nrInstrNames&lt;&gt;"")*ISNUMBER(SEARCH(nrInstrNames,$I475))),"NOT IN BANK","OK"))))</f>
        <v/>
      </c>
    </row>
    <row r="476">
      <c r="B476" s="18" t="n"/>
      <c r="C476" s="17">
        <f>IF($B476="","",TEXT($B476,"ddd"))</f>
        <v/>
      </c>
      <c r="D476" s="41" t="n"/>
      <c r="E476" s="41" t="n"/>
      <c r="F476" s="17">
        <f>IF(OR($B476="",$D476="",$E476=""),"",ROUND(MOD($E476-$D476,1)*24,2))</f>
        <v/>
      </c>
      <c r="G476" s="16" t="n"/>
      <c r="H476" s="17">
        <f>IF($G476="","",IFERROR(_xlfn.XLOOKUP($G476,nrCHname,nrCHnum),IFERROR(_xlfn.XLOOKUP($G476,nrSUBname,nrSUBparent),"")))</f>
        <v/>
      </c>
      <c r="I476" s="16" t="n"/>
      <c r="J476" s="16" t="n"/>
      <c r="K476" s="17">
        <f>IF($B476="","",IFERROR(_xlfn.XLOOKUP($B476,nrCDdate,nrCDweek),""))</f>
        <v/>
      </c>
      <c r="L476" s="17">
        <f>IF($B476="","",IFERROR(_xlfn.XLOOKUP($B476,nrCDdate,nrCDnum),""))</f>
        <v/>
      </c>
      <c r="M476" s="16" t="n"/>
      <c r="N476" s="17">
        <f>IF(OR($B476="",$I476=""),"",_xlfn.LET(_xlpm.a,$I476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76" s="17">
        <f>IF(OR($B476="",$D476="",$E476=""),"",IF($E476=$D476,"CHECK TIMES (start = end)",IF($F476&gt;12,"CHECK TIMES (End is before Start?)","OK")))</f>
        <v/>
      </c>
      <c r="P476" s="17">
        <f>IF(OR($B476="",$I476=""),"",IF(IFERROR(MATCH($G476,nrBankTopics,0),0)=0,"OK",IF(COUNTA(INDEX(nrBankGrid,IFERROR(MATCH($G476,nrBankTopics,0),1),0))=0,"OK",IF(SUMPRODUCT((nrInstrNames&lt;&gt;"")*ISNUMBER(SEARCH(nrInstrNames,$I476))*(COUNTIF(INDEX(nrBankGrid,IFERROR(MATCH($G476,nrBankTopics,0),1),0),nrInstrNames)&gt;0))&lt;SUMPRODUCT((nrInstrNames&lt;&gt;"")*ISNUMBER(SEARCH(nrInstrNames,$I476))),"NOT IN BANK","OK"))))</f>
        <v/>
      </c>
    </row>
    <row r="477">
      <c r="B477" s="18" t="n"/>
      <c r="C477" s="17">
        <f>IF($B477="","",TEXT($B477,"ddd"))</f>
        <v/>
      </c>
      <c r="D477" s="41" t="n"/>
      <c r="E477" s="41" t="n"/>
      <c r="F477" s="17">
        <f>IF(OR($B477="",$D477="",$E477=""),"",ROUND(MOD($E477-$D477,1)*24,2))</f>
        <v/>
      </c>
      <c r="G477" s="16" t="n"/>
      <c r="H477" s="17">
        <f>IF($G477="","",IFERROR(_xlfn.XLOOKUP($G477,nrCHname,nrCHnum),IFERROR(_xlfn.XLOOKUP($G477,nrSUBname,nrSUBparent),"")))</f>
        <v/>
      </c>
      <c r="I477" s="16" t="n"/>
      <c r="J477" s="16" t="n"/>
      <c r="K477" s="17">
        <f>IF($B477="","",IFERROR(_xlfn.XLOOKUP($B477,nrCDdate,nrCDweek),""))</f>
        <v/>
      </c>
      <c r="L477" s="17">
        <f>IF($B477="","",IFERROR(_xlfn.XLOOKUP($B477,nrCDdate,nrCDnum),""))</f>
        <v/>
      </c>
      <c r="M477" s="16" t="n"/>
      <c r="N477" s="17">
        <f>IF(OR($B477="",$I477=""),"",_xlfn.LET(_xlpm.a,$I477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77" s="17">
        <f>IF(OR($B477="",$D477="",$E477=""),"",IF($E477=$D477,"CHECK TIMES (start = end)",IF($F477&gt;12,"CHECK TIMES (End is before Start?)","OK")))</f>
        <v/>
      </c>
      <c r="P477" s="17">
        <f>IF(OR($B477="",$I477=""),"",IF(IFERROR(MATCH($G477,nrBankTopics,0),0)=0,"OK",IF(COUNTA(INDEX(nrBankGrid,IFERROR(MATCH($G477,nrBankTopics,0),1),0))=0,"OK",IF(SUMPRODUCT((nrInstrNames&lt;&gt;"")*ISNUMBER(SEARCH(nrInstrNames,$I477))*(COUNTIF(INDEX(nrBankGrid,IFERROR(MATCH($G477,nrBankTopics,0),1),0),nrInstrNames)&gt;0))&lt;SUMPRODUCT((nrInstrNames&lt;&gt;"")*ISNUMBER(SEARCH(nrInstrNames,$I477))),"NOT IN BANK","OK"))))</f>
        <v/>
      </c>
    </row>
    <row r="478">
      <c r="B478" s="18" t="n"/>
      <c r="C478" s="17">
        <f>IF($B478="","",TEXT($B478,"ddd"))</f>
        <v/>
      </c>
      <c r="D478" s="41" t="n"/>
      <c r="E478" s="41" t="n"/>
      <c r="F478" s="17">
        <f>IF(OR($B478="",$D478="",$E478=""),"",ROUND(MOD($E478-$D478,1)*24,2))</f>
        <v/>
      </c>
      <c r="G478" s="16" t="n"/>
      <c r="H478" s="17">
        <f>IF($G478="","",IFERROR(_xlfn.XLOOKUP($G478,nrCHname,nrCHnum),IFERROR(_xlfn.XLOOKUP($G478,nrSUBname,nrSUBparent),"")))</f>
        <v/>
      </c>
      <c r="I478" s="16" t="n"/>
      <c r="J478" s="16" t="n"/>
      <c r="K478" s="17">
        <f>IF($B478="","",IFERROR(_xlfn.XLOOKUP($B478,nrCDdate,nrCDweek),""))</f>
        <v/>
      </c>
      <c r="L478" s="17">
        <f>IF($B478="","",IFERROR(_xlfn.XLOOKUP($B478,nrCDdate,nrCDnum),""))</f>
        <v/>
      </c>
      <c r="M478" s="16" t="n"/>
      <c r="N478" s="17">
        <f>IF(OR($B478="",$I478=""),"",_xlfn.LET(_xlpm.a,$I478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78" s="17">
        <f>IF(OR($B478="",$D478="",$E478=""),"",IF($E478=$D478,"CHECK TIMES (start = end)",IF($F478&gt;12,"CHECK TIMES (End is before Start?)","OK")))</f>
        <v/>
      </c>
      <c r="P478" s="17">
        <f>IF(OR($B478="",$I478=""),"",IF(IFERROR(MATCH($G478,nrBankTopics,0),0)=0,"OK",IF(COUNTA(INDEX(nrBankGrid,IFERROR(MATCH($G478,nrBankTopics,0),1),0))=0,"OK",IF(SUMPRODUCT((nrInstrNames&lt;&gt;"")*ISNUMBER(SEARCH(nrInstrNames,$I478))*(COUNTIF(INDEX(nrBankGrid,IFERROR(MATCH($G478,nrBankTopics,0),1),0),nrInstrNames)&gt;0))&lt;SUMPRODUCT((nrInstrNames&lt;&gt;"")*ISNUMBER(SEARCH(nrInstrNames,$I478))),"NOT IN BANK","OK"))))</f>
        <v/>
      </c>
    </row>
    <row r="479">
      <c r="B479" s="18" t="n"/>
      <c r="C479" s="17">
        <f>IF($B479="","",TEXT($B479,"ddd"))</f>
        <v/>
      </c>
      <c r="D479" s="41" t="n"/>
      <c r="E479" s="41" t="n"/>
      <c r="F479" s="17">
        <f>IF(OR($B479="",$D479="",$E479=""),"",ROUND(MOD($E479-$D479,1)*24,2))</f>
        <v/>
      </c>
      <c r="G479" s="16" t="n"/>
      <c r="H479" s="17">
        <f>IF($G479="","",IFERROR(_xlfn.XLOOKUP($G479,nrCHname,nrCHnum),IFERROR(_xlfn.XLOOKUP($G479,nrSUBname,nrSUBparent),"")))</f>
        <v/>
      </c>
      <c r="I479" s="16" t="n"/>
      <c r="J479" s="16" t="n"/>
      <c r="K479" s="17">
        <f>IF($B479="","",IFERROR(_xlfn.XLOOKUP($B479,nrCDdate,nrCDweek),""))</f>
        <v/>
      </c>
      <c r="L479" s="17">
        <f>IF($B479="","",IFERROR(_xlfn.XLOOKUP($B479,nrCDdate,nrCDnum),""))</f>
        <v/>
      </c>
      <c r="M479" s="16" t="n"/>
      <c r="N479" s="17">
        <f>IF(OR($B479="",$I479=""),"",_xlfn.LET(_xlpm.a,$I479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79" s="17">
        <f>IF(OR($B479="",$D479="",$E479=""),"",IF($E479=$D479,"CHECK TIMES (start = end)",IF($F479&gt;12,"CHECK TIMES (End is before Start?)","OK")))</f>
        <v/>
      </c>
      <c r="P479" s="17">
        <f>IF(OR($B479="",$I479=""),"",IF(IFERROR(MATCH($G479,nrBankTopics,0),0)=0,"OK",IF(COUNTA(INDEX(nrBankGrid,IFERROR(MATCH($G479,nrBankTopics,0),1),0))=0,"OK",IF(SUMPRODUCT((nrInstrNames&lt;&gt;"")*ISNUMBER(SEARCH(nrInstrNames,$I479))*(COUNTIF(INDEX(nrBankGrid,IFERROR(MATCH($G479,nrBankTopics,0),1),0),nrInstrNames)&gt;0))&lt;SUMPRODUCT((nrInstrNames&lt;&gt;"")*ISNUMBER(SEARCH(nrInstrNames,$I479))),"NOT IN BANK","OK"))))</f>
        <v/>
      </c>
    </row>
    <row r="480">
      <c r="B480" s="18" t="n"/>
      <c r="C480" s="17">
        <f>IF($B480="","",TEXT($B480,"ddd"))</f>
        <v/>
      </c>
      <c r="D480" s="41" t="n"/>
      <c r="E480" s="41" t="n"/>
      <c r="F480" s="17">
        <f>IF(OR($B480="",$D480="",$E480=""),"",ROUND(MOD($E480-$D480,1)*24,2))</f>
        <v/>
      </c>
      <c r="G480" s="16" t="n"/>
      <c r="H480" s="17">
        <f>IF($G480="","",IFERROR(_xlfn.XLOOKUP($G480,nrCHname,nrCHnum),IFERROR(_xlfn.XLOOKUP($G480,nrSUBname,nrSUBparent),"")))</f>
        <v/>
      </c>
      <c r="I480" s="16" t="n"/>
      <c r="J480" s="16" t="n"/>
      <c r="K480" s="17">
        <f>IF($B480="","",IFERROR(_xlfn.XLOOKUP($B480,nrCDdate,nrCDweek),""))</f>
        <v/>
      </c>
      <c r="L480" s="17">
        <f>IF($B480="","",IFERROR(_xlfn.XLOOKUP($B480,nrCDdate,nrCDnum),""))</f>
        <v/>
      </c>
      <c r="M480" s="16" t="n"/>
      <c r="N480" s="17">
        <f>IF(OR($B480="",$I480=""),"",_xlfn.LET(_xlpm.a,$I480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80" s="17">
        <f>IF(OR($B480="",$D480="",$E480=""),"",IF($E480=$D480,"CHECK TIMES (start = end)",IF($F480&gt;12,"CHECK TIMES (End is before Start?)","OK")))</f>
        <v/>
      </c>
      <c r="P480" s="17">
        <f>IF(OR($B480="",$I480=""),"",IF(IFERROR(MATCH($G480,nrBankTopics,0),0)=0,"OK",IF(COUNTA(INDEX(nrBankGrid,IFERROR(MATCH($G480,nrBankTopics,0),1),0))=0,"OK",IF(SUMPRODUCT((nrInstrNames&lt;&gt;"")*ISNUMBER(SEARCH(nrInstrNames,$I480))*(COUNTIF(INDEX(nrBankGrid,IFERROR(MATCH($G480,nrBankTopics,0),1),0),nrInstrNames)&gt;0))&lt;SUMPRODUCT((nrInstrNames&lt;&gt;"")*ISNUMBER(SEARCH(nrInstrNames,$I480))),"NOT IN BANK","OK"))))</f>
        <v/>
      </c>
    </row>
    <row r="481">
      <c r="B481" s="18" t="n"/>
      <c r="C481" s="17">
        <f>IF($B481="","",TEXT($B481,"ddd"))</f>
        <v/>
      </c>
      <c r="D481" s="41" t="n"/>
      <c r="E481" s="41" t="n"/>
      <c r="F481" s="17">
        <f>IF(OR($B481="",$D481="",$E481=""),"",ROUND(MOD($E481-$D481,1)*24,2))</f>
        <v/>
      </c>
      <c r="G481" s="16" t="n"/>
      <c r="H481" s="17">
        <f>IF($G481="","",IFERROR(_xlfn.XLOOKUP($G481,nrCHname,nrCHnum),IFERROR(_xlfn.XLOOKUP($G481,nrSUBname,nrSUBparent),"")))</f>
        <v/>
      </c>
      <c r="I481" s="16" t="n"/>
      <c r="J481" s="16" t="n"/>
      <c r="K481" s="17">
        <f>IF($B481="","",IFERROR(_xlfn.XLOOKUP($B481,nrCDdate,nrCDweek),""))</f>
        <v/>
      </c>
      <c r="L481" s="17">
        <f>IF($B481="","",IFERROR(_xlfn.XLOOKUP($B481,nrCDdate,nrCDnum),""))</f>
        <v/>
      </c>
      <c r="M481" s="16" t="n"/>
      <c r="N481" s="17">
        <f>IF(OR($B481="",$I481=""),"",_xlfn.LET(_xlpm.a,$I481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81" s="17">
        <f>IF(OR($B481="",$D481="",$E481=""),"",IF($E481=$D481,"CHECK TIMES (start = end)",IF($F481&gt;12,"CHECK TIMES (End is before Start?)","OK")))</f>
        <v/>
      </c>
      <c r="P481" s="17">
        <f>IF(OR($B481="",$I481=""),"",IF(IFERROR(MATCH($G481,nrBankTopics,0),0)=0,"OK",IF(COUNTA(INDEX(nrBankGrid,IFERROR(MATCH($G481,nrBankTopics,0),1),0))=0,"OK",IF(SUMPRODUCT((nrInstrNames&lt;&gt;"")*ISNUMBER(SEARCH(nrInstrNames,$I481))*(COUNTIF(INDEX(nrBankGrid,IFERROR(MATCH($G481,nrBankTopics,0),1),0),nrInstrNames)&gt;0))&lt;SUMPRODUCT((nrInstrNames&lt;&gt;"")*ISNUMBER(SEARCH(nrInstrNames,$I481))),"NOT IN BANK","OK"))))</f>
        <v/>
      </c>
    </row>
    <row r="482">
      <c r="B482" s="18" t="n"/>
      <c r="C482" s="17">
        <f>IF($B482="","",TEXT($B482,"ddd"))</f>
        <v/>
      </c>
      <c r="D482" s="41" t="n"/>
      <c r="E482" s="41" t="n"/>
      <c r="F482" s="17">
        <f>IF(OR($B482="",$D482="",$E482=""),"",ROUND(MOD($E482-$D482,1)*24,2))</f>
        <v/>
      </c>
      <c r="G482" s="16" t="n"/>
      <c r="H482" s="17">
        <f>IF($G482="","",IFERROR(_xlfn.XLOOKUP($G482,nrCHname,nrCHnum),IFERROR(_xlfn.XLOOKUP($G482,nrSUBname,nrSUBparent),"")))</f>
        <v/>
      </c>
      <c r="I482" s="16" t="n"/>
      <c r="J482" s="16" t="n"/>
      <c r="K482" s="17">
        <f>IF($B482="","",IFERROR(_xlfn.XLOOKUP($B482,nrCDdate,nrCDweek),""))</f>
        <v/>
      </c>
      <c r="L482" s="17">
        <f>IF($B482="","",IFERROR(_xlfn.XLOOKUP($B482,nrCDdate,nrCDnum),""))</f>
        <v/>
      </c>
      <c r="M482" s="16" t="n"/>
      <c r="N482" s="17">
        <f>IF(OR($B482="",$I482=""),"",_xlfn.LET(_xlpm.a,$I482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82" s="17">
        <f>IF(OR($B482="",$D482="",$E482=""),"",IF($E482=$D482,"CHECK TIMES (start = end)",IF($F482&gt;12,"CHECK TIMES (End is before Start?)","OK")))</f>
        <v/>
      </c>
      <c r="P482" s="17">
        <f>IF(OR($B482="",$I482=""),"",IF(IFERROR(MATCH($G482,nrBankTopics,0),0)=0,"OK",IF(COUNTA(INDEX(nrBankGrid,IFERROR(MATCH($G482,nrBankTopics,0),1),0))=0,"OK",IF(SUMPRODUCT((nrInstrNames&lt;&gt;"")*ISNUMBER(SEARCH(nrInstrNames,$I482))*(COUNTIF(INDEX(nrBankGrid,IFERROR(MATCH($G482,nrBankTopics,0),1),0),nrInstrNames)&gt;0))&lt;SUMPRODUCT((nrInstrNames&lt;&gt;"")*ISNUMBER(SEARCH(nrInstrNames,$I482))),"NOT IN BANK","OK"))))</f>
        <v/>
      </c>
    </row>
    <row r="483">
      <c r="B483" s="18" t="n"/>
      <c r="C483" s="17">
        <f>IF($B483="","",TEXT($B483,"ddd"))</f>
        <v/>
      </c>
      <c r="D483" s="41" t="n"/>
      <c r="E483" s="41" t="n"/>
      <c r="F483" s="17">
        <f>IF(OR($B483="",$D483="",$E483=""),"",ROUND(MOD($E483-$D483,1)*24,2))</f>
        <v/>
      </c>
      <c r="G483" s="16" t="n"/>
      <c r="H483" s="17">
        <f>IF($G483="","",IFERROR(_xlfn.XLOOKUP($G483,nrCHname,nrCHnum),IFERROR(_xlfn.XLOOKUP($G483,nrSUBname,nrSUBparent),"")))</f>
        <v/>
      </c>
      <c r="I483" s="16" t="n"/>
      <c r="J483" s="16" t="n"/>
      <c r="K483" s="17">
        <f>IF($B483="","",IFERROR(_xlfn.XLOOKUP($B483,nrCDdate,nrCDweek),""))</f>
        <v/>
      </c>
      <c r="L483" s="17">
        <f>IF($B483="","",IFERROR(_xlfn.XLOOKUP($B483,nrCDdate,nrCDnum),""))</f>
        <v/>
      </c>
      <c r="M483" s="16" t="n"/>
      <c r="N483" s="17">
        <f>IF(OR($B483="",$I483=""),"",_xlfn.LET(_xlpm.a,$I483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83" s="17">
        <f>IF(OR($B483="",$D483="",$E483=""),"",IF($E483=$D483,"CHECK TIMES (start = end)",IF($F483&gt;12,"CHECK TIMES (End is before Start?)","OK")))</f>
        <v/>
      </c>
      <c r="P483" s="17">
        <f>IF(OR($B483="",$I483=""),"",IF(IFERROR(MATCH($G483,nrBankTopics,0),0)=0,"OK",IF(COUNTA(INDEX(nrBankGrid,IFERROR(MATCH($G483,nrBankTopics,0),1),0))=0,"OK",IF(SUMPRODUCT((nrInstrNames&lt;&gt;"")*ISNUMBER(SEARCH(nrInstrNames,$I483))*(COUNTIF(INDEX(nrBankGrid,IFERROR(MATCH($G483,nrBankTopics,0),1),0),nrInstrNames)&gt;0))&lt;SUMPRODUCT((nrInstrNames&lt;&gt;"")*ISNUMBER(SEARCH(nrInstrNames,$I483))),"NOT IN BANK","OK"))))</f>
        <v/>
      </c>
    </row>
    <row r="484">
      <c r="B484" s="18" t="n"/>
      <c r="C484" s="17">
        <f>IF($B484="","",TEXT($B484,"ddd"))</f>
        <v/>
      </c>
      <c r="D484" s="41" t="n"/>
      <c r="E484" s="41" t="n"/>
      <c r="F484" s="17">
        <f>IF(OR($B484="",$D484="",$E484=""),"",ROUND(MOD($E484-$D484,1)*24,2))</f>
        <v/>
      </c>
      <c r="G484" s="16" t="n"/>
      <c r="H484" s="17">
        <f>IF($G484="","",IFERROR(_xlfn.XLOOKUP($G484,nrCHname,nrCHnum),IFERROR(_xlfn.XLOOKUP($G484,nrSUBname,nrSUBparent),"")))</f>
        <v/>
      </c>
      <c r="I484" s="16" t="n"/>
      <c r="J484" s="16" t="n"/>
      <c r="K484" s="17">
        <f>IF($B484="","",IFERROR(_xlfn.XLOOKUP($B484,nrCDdate,nrCDweek),""))</f>
        <v/>
      </c>
      <c r="L484" s="17">
        <f>IF($B484="","",IFERROR(_xlfn.XLOOKUP($B484,nrCDdate,nrCDnum),""))</f>
        <v/>
      </c>
      <c r="M484" s="16" t="n"/>
      <c r="N484" s="17">
        <f>IF(OR($B484="",$I484=""),"",_xlfn.LET(_xlpm.a,$I484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84" s="17">
        <f>IF(OR($B484="",$D484="",$E484=""),"",IF($E484=$D484,"CHECK TIMES (start = end)",IF($F484&gt;12,"CHECK TIMES (End is before Start?)","OK")))</f>
        <v/>
      </c>
      <c r="P484" s="17">
        <f>IF(OR($B484="",$I484=""),"",IF(IFERROR(MATCH($G484,nrBankTopics,0),0)=0,"OK",IF(COUNTA(INDEX(nrBankGrid,IFERROR(MATCH($G484,nrBankTopics,0),1),0))=0,"OK",IF(SUMPRODUCT((nrInstrNames&lt;&gt;"")*ISNUMBER(SEARCH(nrInstrNames,$I484))*(COUNTIF(INDEX(nrBankGrid,IFERROR(MATCH($G484,nrBankTopics,0),1),0),nrInstrNames)&gt;0))&lt;SUMPRODUCT((nrInstrNames&lt;&gt;"")*ISNUMBER(SEARCH(nrInstrNames,$I484))),"NOT IN BANK","OK"))))</f>
        <v/>
      </c>
    </row>
    <row r="485">
      <c r="B485" s="18" t="n"/>
      <c r="C485" s="17">
        <f>IF($B485="","",TEXT($B485,"ddd"))</f>
        <v/>
      </c>
      <c r="D485" s="41" t="n"/>
      <c r="E485" s="41" t="n"/>
      <c r="F485" s="17">
        <f>IF(OR($B485="",$D485="",$E485=""),"",ROUND(MOD($E485-$D485,1)*24,2))</f>
        <v/>
      </c>
      <c r="G485" s="16" t="n"/>
      <c r="H485" s="17">
        <f>IF($G485="","",IFERROR(_xlfn.XLOOKUP($G485,nrCHname,nrCHnum),IFERROR(_xlfn.XLOOKUP($G485,nrSUBname,nrSUBparent),"")))</f>
        <v/>
      </c>
      <c r="I485" s="16" t="n"/>
      <c r="J485" s="16" t="n"/>
      <c r="K485" s="17">
        <f>IF($B485="","",IFERROR(_xlfn.XLOOKUP($B485,nrCDdate,nrCDweek),""))</f>
        <v/>
      </c>
      <c r="L485" s="17">
        <f>IF($B485="","",IFERROR(_xlfn.XLOOKUP($B485,nrCDdate,nrCDnum),""))</f>
        <v/>
      </c>
      <c r="M485" s="16" t="n"/>
      <c r="N485" s="17">
        <f>IF(OR($B485="",$I485=""),"",_xlfn.LET(_xlpm.a,$I485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85" s="17">
        <f>IF(OR($B485="",$D485="",$E485=""),"",IF($E485=$D485,"CHECK TIMES (start = end)",IF($F485&gt;12,"CHECK TIMES (End is before Start?)","OK")))</f>
        <v/>
      </c>
      <c r="P485" s="17">
        <f>IF(OR($B485="",$I485=""),"",IF(IFERROR(MATCH($G485,nrBankTopics,0),0)=0,"OK",IF(COUNTA(INDEX(nrBankGrid,IFERROR(MATCH($G485,nrBankTopics,0),1),0))=0,"OK",IF(SUMPRODUCT((nrInstrNames&lt;&gt;"")*ISNUMBER(SEARCH(nrInstrNames,$I485))*(COUNTIF(INDEX(nrBankGrid,IFERROR(MATCH($G485,nrBankTopics,0),1),0),nrInstrNames)&gt;0))&lt;SUMPRODUCT((nrInstrNames&lt;&gt;"")*ISNUMBER(SEARCH(nrInstrNames,$I485))),"NOT IN BANK","OK"))))</f>
        <v/>
      </c>
    </row>
    <row r="486">
      <c r="B486" s="18" t="n"/>
      <c r="C486" s="17">
        <f>IF($B486="","",TEXT($B486,"ddd"))</f>
        <v/>
      </c>
      <c r="D486" s="41" t="n"/>
      <c r="E486" s="41" t="n"/>
      <c r="F486" s="17">
        <f>IF(OR($B486="",$D486="",$E486=""),"",ROUND(MOD($E486-$D486,1)*24,2))</f>
        <v/>
      </c>
      <c r="G486" s="16" t="n"/>
      <c r="H486" s="17">
        <f>IF($G486="","",IFERROR(_xlfn.XLOOKUP($G486,nrCHname,nrCHnum),IFERROR(_xlfn.XLOOKUP($G486,nrSUBname,nrSUBparent),"")))</f>
        <v/>
      </c>
      <c r="I486" s="16" t="n"/>
      <c r="J486" s="16" t="n"/>
      <c r="K486" s="17">
        <f>IF($B486="","",IFERROR(_xlfn.XLOOKUP($B486,nrCDdate,nrCDweek),""))</f>
        <v/>
      </c>
      <c r="L486" s="17">
        <f>IF($B486="","",IFERROR(_xlfn.XLOOKUP($B486,nrCDdate,nrCDnum),""))</f>
        <v/>
      </c>
      <c r="M486" s="16" t="n"/>
      <c r="N486" s="17">
        <f>IF(OR($B486="",$I486=""),"",_xlfn.LET(_xlpm.a,$I486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86" s="17">
        <f>IF(OR($B486="",$D486="",$E486=""),"",IF($E486=$D486,"CHECK TIMES (start = end)",IF($F486&gt;12,"CHECK TIMES (End is before Start?)","OK")))</f>
        <v/>
      </c>
      <c r="P486" s="17">
        <f>IF(OR($B486="",$I486=""),"",IF(IFERROR(MATCH($G486,nrBankTopics,0),0)=0,"OK",IF(COUNTA(INDEX(nrBankGrid,IFERROR(MATCH($G486,nrBankTopics,0),1),0))=0,"OK",IF(SUMPRODUCT((nrInstrNames&lt;&gt;"")*ISNUMBER(SEARCH(nrInstrNames,$I486))*(COUNTIF(INDEX(nrBankGrid,IFERROR(MATCH($G486,nrBankTopics,0),1),0),nrInstrNames)&gt;0))&lt;SUMPRODUCT((nrInstrNames&lt;&gt;"")*ISNUMBER(SEARCH(nrInstrNames,$I486))),"NOT IN BANK","OK"))))</f>
        <v/>
      </c>
    </row>
    <row r="487">
      <c r="B487" s="18" t="n"/>
      <c r="C487" s="17">
        <f>IF($B487="","",TEXT($B487,"ddd"))</f>
        <v/>
      </c>
      <c r="D487" s="41" t="n"/>
      <c r="E487" s="41" t="n"/>
      <c r="F487" s="17">
        <f>IF(OR($B487="",$D487="",$E487=""),"",ROUND(MOD($E487-$D487,1)*24,2))</f>
        <v/>
      </c>
      <c r="G487" s="16" t="n"/>
      <c r="H487" s="17">
        <f>IF($G487="","",IFERROR(_xlfn.XLOOKUP($G487,nrCHname,nrCHnum),IFERROR(_xlfn.XLOOKUP($G487,nrSUBname,nrSUBparent),"")))</f>
        <v/>
      </c>
      <c r="I487" s="16" t="n"/>
      <c r="J487" s="16" t="n"/>
      <c r="K487" s="17">
        <f>IF($B487="","",IFERROR(_xlfn.XLOOKUP($B487,nrCDdate,nrCDweek),""))</f>
        <v/>
      </c>
      <c r="L487" s="17">
        <f>IF($B487="","",IFERROR(_xlfn.XLOOKUP($B487,nrCDdate,nrCDnum),""))</f>
        <v/>
      </c>
      <c r="M487" s="16" t="n"/>
      <c r="N487" s="17">
        <f>IF(OR($B487="",$I487=""),"",_xlfn.LET(_xlpm.a,$I487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87" s="17">
        <f>IF(OR($B487="",$D487="",$E487=""),"",IF($E487=$D487,"CHECK TIMES (start = end)",IF($F487&gt;12,"CHECK TIMES (End is before Start?)","OK")))</f>
        <v/>
      </c>
      <c r="P487" s="17">
        <f>IF(OR($B487="",$I487=""),"",IF(IFERROR(MATCH($G487,nrBankTopics,0),0)=0,"OK",IF(COUNTA(INDEX(nrBankGrid,IFERROR(MATCH($G487,nrBankTopics,0),1),0))=0,"OK",IF(SUMPRODUCT((nrInstrNames&lt;&gt;"")*ISNUMBER(SEARCH(nrInstrNames,$I487))*(COUNTIF(INDEX(nrBankGrid,IFERROR(MATCH($G487,nrBankTopics,0),1),0),nrInstrNames)&gt;0))&lt;SUMPRODUCT((nrInstrNames&lt;&gt;"")*ISNUMBER(SEARCH(nrInstrNames,$I487))),"NOT IN BANK","OK"))))</f>
        <v/>
      </c>
    </row>
    <row r="488">
      <c r="B488" s="18" t="n"/>
      <c r="C488" s="17">
        <f>IF($B488="","",TEXT($B488,"ddd"))</f>
        <v/>
      </c>
      <c r="D488" s="41" t="n"/>
      <c r="E488" s="41" t="n"/>
      <c r="F488" s="17">
        <f>IF(OR($B488="",$D488="",$E488=""),"",ROUND(MOD($E488-$D488,1)*24,2))</f>
        <v/>
      </c>
      <c r="G488" s="16" t="n"/>
      <c r="H488" s="17">
        <f>IF($G488="","",IFERROR(_xlfn.XLOOKUP($G488,nrCHname,nrCHnum),IFERROR(_xlfn.XLOOKUP($G488,nrSUBname,nrSUBparent),"")))</f>
        <v/>
      </c>
      <c r="I488" s="16" t="n"/>
      <c r="J488" s="16" t="n"/>
      <c r="K488" s="17">
        <f>IF($B488="","",IFERROR(_xlfn.XLOOKUP($B488,nrCDdate,nrCDweek),""))</f>
        <v/>
      </c>
      <c r="L488" s="17">
        <f>IF($B488="","",IFERROR(_xlfn.XLOOKUP($B488,nrCDdate,nrCDnum),""))</f>
        <v/>
      </c>
      <c r="M488" s="16" t="n"/>
      <c r="N488" s="17">
        <f>IF(OR($B488="",$I488=""),"",_xlfn.LET(_xlpm.a,$I488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88" s="17">
        <f>IF(OR($B488="",$D488="",$E488=""),"",IF($E488=$D488,"CHECK TIMES (start = end)",IF($F488&gt;12,"CHECK TIMES (End is before Start?)","OK")))</f>
        <v/>
      </c>
      <c r="P488" s="17">
        <f>IF(OR($B488="",$I488=""),"",IF(IFERROR(MATCH($G488,nrBankTopics,0),0)=0,"OK",IF(COUNTA(INDEX(nrBankGrid,IFERROR(MATCH($G488,nrBankTopics,0),1),0))=0,"OK",IF(SUMPRODUCT((nrInstrNames&lt;&gt;"")*ISNUMBER(SEARCH(nrInstrNames,$I488))*(COUNTIF(INDEX(nrBankGrid,IFERROR(MATCH($G488,nrBankTopics,0),1),0),nrInstrNames)&gt;0))&lt;SUMPRODUCT((nrInstrNames&lt;&gt;"")*ISNUMBER(SEARCH(nrInstrNames,$I488))),"NOT IN BANK","OK"))))</f>
        <v/>
      </c>
    </row>
    <row r="489">
      <c r="B489" s="18" t="n"/>
      <c r="C489" s="17">
        <f>IF($B489="","",TEXT($B489,"ddd"))</f>
        <v/>
      </c>
      <c r="D489" s="41" t="n"/>
      <c r="E489" s="41" t="n"/>
      <c r="F489" s="17">
        <f>IF(OR($B489="",$D489="",$E489=""),"",ROUND(MOD($E489-$D489,1)*24,2))</f>
        <v/>
      </c>
      <c r="G489" s="16" t="n"/>
      <c r="H489" s="17">
        <f>IF($G489="","",IFERROR(_xlfn.XLOOKUP($G489,nrCHname,nrCHnum),IFERROR(_xlfn.XLOOKUP($G489,nrSUBname,nrSUBparent),"")))</f>
        <v/>
      </c>
      <c r="I489" s="16" t="n"/>
      <c r="J489" s="16" t="n"/>
      <c r="K489" s="17">
        <f>IF($B489="","",IFERROR(_xlfn.XLOOKUP($B489,nrCDdate,nrCDweek),""))</f>
        <v/>
      </c>
      <c r="L489" s="17">
        <f>IF($B489="","",IFERROR(_xlfn.XLOOKUP($B489,nrCDdate,nrCDnum),""))</f>
        <v/>
      </c>
      <c r="M489" s="16" t="n"/>
      <c r="N489" s="17">
        <f>IF(OR($B489="",$I489=""),"",_xlfn.LET(_xlpm.a,$I489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89" s="17">
        <f>IF(OR($B489="",$D489="",$E489=""),"",IF($E489=$D489,"CHECK TIMES (start = end)",IF($F489&gt;12,"CHECK TIMES (End is before Start?)","OK")))</f>
        <v/>
      </c>
      <c r="P489" s="17">
        <f>IF(OR($B489="",$I489=""),"",IF(IFERROR(MATCH($G489,nrBankTopics,0),0)=0,"OK",IF(COUNTA(INDEX(nrBankGrid,IFERROR(MATCH($G489,nrBankTopics,0),1),0))=0,"OK",IF(SUMPRODUCT((nrInstrNames&lt;&gt;"")*ISNUMBER(SEARCH(nrInstrNames,$I489))*(COUNTIF(INDEX(nrBankGrid,IFERROR(MATCH($G489,nrBankTopics,0),1),0),nrInstrNames)&gt;0))&lt;SUMPRODUCT((nrInstrNames&lt;&gt;"")*ISNUMBER(SEARCH(nrInstrNames,$I489))),"NOT IN BANK","OK"))))</f>
        <v/>
      </c>
    </row>
    <row r="490">
      <c r="B490" s="18" t="n"/>
      <c r="C490" s="17">
        <f>IF($B490="","",TEXT($B490,"ddd"))</f>
        <v/>
      </c>
      <c r="D490" s="41" t="n"/>
      <c r="E490" s="41" t="n"/>
      <c r="F490" s="17">
        <f>IF(OR($B490="",$D490="",$E490=""),"",ROUND(MOD($E490-$D490,1)*24,2))</f>
        <v/>
      </c>
      <c r="G490" s="16" t="n"/>
      <c r="H490" s="17">
        <f>IF($G490="","",IFERROR(_xlfn.XLOOKUP($G490,nrCHname,nrCHnum),IFERROR(_xlfn.XLOOKUP($G490,nrSUBname,nrSUBparent),"")))</f>
        <v/>
      </c>
      <c r="I490" s="16" t="n"/>
      <c r="J490" s="16" t="n"/>
      <c r="K490" s="17">
        <f>IF($B490="","",IFERROR(_xlfn.XLOOKUP($B490,nrCDdate,nrCDweek),""))</f>
        <v/>
      </c>
      <c r="L490" s="17">
        <f>IF($B490="","",IFERROR(_xlfn.XLOOKUP($B490,nrCDdate,nrCDnum),""))</f>
        <v/>
      </c>
      <c r="M490" s="16" t="n"/>
      <c r="N490" s="17">
        <f>IF(OR($B490="",$I490=""),"",_xlfn.LET(_xlpm.a,$I490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90" s="17">
        <f>IF(OR($B490="",$D490="",$E490=""),"",IF($E490=$D490,"CHECK TIMES (start = end)",IF($F490&gt;12,"CHECK TIMES (End is before Start?)","OK")))</f>
        <v/>
      </c>
      <c r="P490" s="17">
        <f>IF(OR($B490="",$I490=""),"",IF(IFERROR(MATCH($G490,nrBankTopics,0),0)=0,"OK",IF(COUNTA(INDEX(nrBankGrid,IFERROR(MATCH($G490,nrBankTopics,0),1),0))=0,"OK",IF(SUMPRODUCT((nrInstrNames&lt;&gt;"")*ISNUMBER(SEARCH(nrInstrNames,$I490))*(COUNTIF(INDEX(nrBankGrid,IFERROR(MATCH($G490,nrBankTopics,0),1),0),nrInstrNames)&gt;0))&lt;SUMPRODUCT((nrInstrNames&lt;&gt;"")*ISNUMBER(SEARCH(nrInstrNames,$I490))),"NOT IN BANK","OK"))))</f>
        <v/>
      </c>
    </row>
    <row r="491">
      <c r="B491" s="18" t="n"/>
      <c r="C491" s="17">
        <f>IF($B491="","",TEXT($B491,"ddd"))</f>
        <v/>
      </c>
      <c r="D491" s="41" t="n"/>
      <c r="E491" s="41" t="n"/>
      <c r="F491" s="17">
        <f>IF(OR($B491="",$D491="",$E491=""),"",ROUND(MOD($E491-$D491,1)*24,2))</f>
        <v/>
      </c>
      <c r="G491" s="16" t="n"/>
      <c r="H491" s="17">
        <f>IF($G491="","",IFERROR(_xlfn.XLOOKUP($G491,nrCHname,nrCHnum),IFERROR(_xlfn.XLOOKUP($G491,nrSUBname,nrSUBparent),"")))</f>
        <v/>
      </c>
      <c r="I491" s="16" t="n"/>
      <c r="J491" s="16" t="n"/>
      <c r="K491" s="17">
        <f>IF($B491="","",IFERROR(_xlfn.XLOOKUP($B491,nrCDdate,nrCDweek),""))</f>
        <v/>
      </c>
      <c r="L491" s="17">
        <f>IF($B491="","",IFERROR(_xlfn.XLOOKUP($B491,nrCDdate,nrCDnum),""))</f>
        <v/>
      </c>
      <c r="M491" s="16" t="n"/>
      <c r="N491" s="17">
        <f>IF(OR($B491="",$I491=""),"",_xlfn.LET(_xlpm.a,$I491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91" s="17">
        <f>IF(OR($B491="",$D491="",$E491=""),"",IF($E491=$D491,"CHECK TIMES (start = end)",IF($F491&gt;12,"CHECK TIMES (End is before Start?)","OK")))</f>
        <v/>
      </c>
      <c r="P491" s="17">
        <f>IF(OR($B491="",$I491=""),"",IF(IFERROR(MATCH($G491,nrBankTopics,0),0)=0,"OK",IF(COUNTA(INDEX(nrBankGrid,IFERROR(MATCH($G491,nrBankTopics,0),1),0))=0,"OK",IF(SUMPRODUCT((nrInstrNames&lt;&gt;"")*ISNUMBER(SEARCH(nrInstrNames,$I491))*(COUNTIF(INDEX(nrBankGrid,IFERROR(MATCH($G491,nrBankTopics,0),1),0),nrInstrNames)&gt;0))&lt;SUMPRODUCT((nrInstrNames&lt;&gt;"")*ISNUMBER(SEARCH(nrInstrNames,$I491))),"NOT IN BANK","OK"))))</f>
        <v/>
      </c>
    </row>
    <row r="492">
      <c r="B492" s="18" t="n"/>
      <c r="C492" s="17">
        <f>IF($B492="","",TEXT($B492,"ddd"))</f>
        <v/>
      </c>
      <c r="D492" s="41" t="n"/>
      <c r="E492" s="41" t="n"/>
      <c r="F492" s="17">
        <f>IF(OR($B492="",$D492="",$E492=""),"",ROUND(MOD($E492-$D492,1)*24,2))</f>
        <v/>
      </c>
      <c r="G492" s="16" t="n"/>
      <c r="H492" s="17">
        <f>IF($G492="","",IFERROR(_xlfn.XLOOKUP($G492,nrCHname,nrCHnum),IFERROR(_xlfn.XLOOKUP($G492,nrSUBname,nrSUBparent),"")))</f>
        <v/>
      </c>
      <c r="I492" s="16" t="n"/>
      <c r="J492" s="16" t="n"/>
      <c r="K492" s="17">
        <f>IF($B492="","",IFERROR(_xlfn.XLOOKUP($B492,nrCDdate,nrCDweek),""))</f>
        <v/>
      </c>
      <c r="L492" s="17">
        <f>IF($B492="","",IFERROR(_xlfn.XLOOKUP($B492,nrCDdate,nrCDnum),""))</f>
        <v/>
      </c>
      <c r="M492" s="16" t="n"/>
      <c r="N492" s="17">
        <f>IF(OR($B492="",$I492=""),"",_xlfn.LET(_xlpm.a,$I492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92" s="17">
        <f>IF(OR($B492="",$D492="",$E492=""),"",IF($E492=$D492,"CHECK TIMES (start = end)",IF($F492&gt;12,"CHECK TIMES (End is before Start?)","OK")))</f>
        <v/>
      </c>
      <c r="P492" s="17">
        <f>IF(OR($B492="",$I492=""),"",IF(IFERROR(MATCH($G492,nrBankTopics,0),0)=0,"OK",IF(COUNTA(INDEX(nrBankGrid,IFERROR(MATCH($G492,nrBankTopics,0),1),0))=0,"OK",IF(SUMPRODUCT((nrInstrNames&lt;&gt;"")*ISNUMBER(SEARCH(nrInstrNames,$I492))*(COUNTIF(INDEX(nrBankGrid,IFERROR(MATCH($G492,nrBankTopics,0),1),0),nrInstrNames)&gt;0))&lt;SUMPRODUCT((nrInstrNames&lt;&gt;"")*ISNUMBER(SEARCH(nrInstrNames,$I492))),"NOT IN BANK","OK"))))</f>
        <v/>
      </c>
    </row>
    <row r="493">
      <c r="B493" s="18" t="n"/>
      <c r="C493" s="17">
        <f>IF($B493="","",TEXT($B493,"ddd"))</f>
        <v/>
      </c>
      <c r="D493" s="41" t="n"/>
      <c r="E493" s="41" t="n"/>
      <c r="F493" s="17">
        <f>IF(OR($B493="",$D493="",$E493=""),"",ROUND(MOD($E493-$D493,1)*24,2))</f>
        <v/>
      </c>
      <c r="G493" s="16" t="n"/>
      <c r="H493" s="17">
        <f>IF($G493="","",IFERROR(_xlfn.XLOOKUP($G493,nrCHname,nrCHnum),IFERROR(_xlfn.XLOOKUP($G493,nrSUBname,nrSUBparent),"")))</f>
        <v/>
      </c>
      <c r="I493" s="16" t="n"/>
      <c r="J493" s="16" t="n"/>
      <c r="K493" s="17">
        <f>IF($B493="","",IFERROR(_xlfn.XLOOKUP($B493,nrCDdate,nrCDweek),""))</f>
        <v/>
      </c>
      <c r="L493" s="17">
        <f>IF($B493="","",IFERROR(_xlfn.XLOOKUP($B493,nrCDdate,nrCDnum),""))</f>
        <v/>
      </c>
      <c r="M493" s="16" t="n"/>
      <c r="N493" s="17">
        <f>IF(OR($B493="",$I493=""),"",_xlfn.LET(_xlpm.a,$I493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93" s="17">
        <f>IF(OR($B493="",$D493="",$E493=""),"",IF($E493=$D493,"CHECK TIMES (start = end)",IF($F493&gt;12,"CHECK TIMES (End is before Start?)","OK")))</f>
        <v/>
      </c>
      <c r="P493" s="17">
        <f>IF(OR($B493="",$I493=""),"",IF(IFERROR(MATCH($G493,nrBankTopics,0),0)=0,"OK",IF(COUNTA(INDEX(nrBankGrid,IFERROR(MATCH($G493,nrBankTopics,0),1),0))=0,"OK",IF(SUMPRODUCT((nrInstrNames&lt;&gt;"")*ISNUMBER(SEARCH(nrInstrNames,$I493))*(COUNTIF(INDEX(nrBankGrid,IFERROR(MATCH($G493,nrBankTopics,0),1),0),nrInstrNames)&gt;0))&lt;SUMPRODUCT((nrInstrNames&lt;&gt;"")*ISNUMBER(SEARCH(nrInstrNames,$I493))),"NOT IN BANK","OK"))))</f>
        <v/>
      </c>
    </row>
    <row r="494">
      <c r="B494" s="18" t="n"/>
      <c r="C494" s="17">
        <f>IF($B494="","",TEXT($B494,"ddd"))</f>
        <v/>
      </c>
      <c r="D494" s="41" t="n"/>
      <c r="E494" s="41" t="n"/>
      <c r="F494" s="17">
        <f>IF(OR($B494="",$D494="",$E494=""),"",ROUND(MOD($E494-$D494,1)*24,2))</f>
        <v/>
      </c>
      <c r="G494" s="16" t="n"/>
      <c r="H494" s="17">
        <f>IF($G494="","",IFERROR(_xlfn.XLOOKUP($G494,nrCHname,nrCHnum),IFERROR(_xlfn.XLOOKUP($G494,nrSUBname,nrSUBparent),"")))</f>
        <v/>
      </c>
      <c r="I494" s="16" t="n"/>
      <c r="J494" s="16" t="n"/>
      <c r="K494" s="17">
        <f>IF($B494="","",IFERROR(_xlfn.XLOOKUP($B494,nrCDdate,nrCDweek),""))</f>
        <v/>
      </c>
      <c r="L494" s="17">
        <f>IF($B494="","",IFERROR(_xlfn.XLOOKUP($B494,nrCDdate,nrCDnum),""))</f>
        <v/>
      </c>
      <c r="M494" s="16" t="n"/>
      <c r="N494" s="17">
        <f>IF(OR($B494="",$I494=""),"",_xlfn.LET(_xlpm.a,$I494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94" s="17">
        <f>IF(OR($B494="",$D494="",$E494=""),"",IF($E494=$D494,"CHECK TIMES (start = end)",IF($F494&gt;12,"CHECK TIMES (End is before Start?)","OK")))</f>
        <v/>
      </c>
      <c r="P494" s="17">
        <f>IF(OR($B494="",$I494=""),"",IF(IFERROR(MATCH($G494,nrBankTopics,0),0)=0,"OK",IF(COUNTA(INDEX(nrBankGrid,IFERROR(MATCH($G494,nrBankTopics,0),1),0))=0,"OK",IF(SUMPRODUCT((nrInstrNames&lt;&gt;"")*ISNUMBER(SEARCH(nrInstrNames,$I494))*(COUNTIF(INDEX(nrBankGrid,IFERROR(MATCH($G494,nrBankTopics,0),1),0),nrInstrNames)&gt;0))&lt;SUMPRODUCT((nrInstrNames&lt;&gt;"")*ISNUMBER(SEARCH(nrInstrNames,$I494))),"NOT IN BANK","OK"))))</f>
        <v/>
      </c>
    </row>
    <row r="495">
      <c r="B495" s="18" t="n"/>
      <c r="C495" s="17">
        <f>IF($B495="","",TEXT($B495,"ddd"))</f>
        <v/>
      </c>
      <c r="D495" s="41" t="n"/>
      <c r="E495" s="41" t="n"/>
      <c r="F495" s="17">
        <f>IF(OR($B495="",$D495="",$E495=""),"",ROUND(MOD($E495-$D495,1)*24,2))</f>
        <v/>
      </c>
      <c r="G495" s="16" t="n"/>
      <c r="H495" s="17">
        <f>IF($G495="","",IFERROR(_xlfn.XLOOKUP($G495,nrCHname,nrCHnum),IFERROR(_xlfn.XLOOKUP($G495,nrSUBname,nrSUBparent),"")))</f>
        <v/>
      </c>
      <c r="I495" s="16" t="n"/>
      <c r="J495" s="16" t="n"/>
      <c r="K495" s="17">
        <f>IF($B495="","",IFERROR(_xlfn.XLOOKUP($B495,nrCDdate,nrCDweek),""))</f>
        <v/>
      </c>
      <c r="L495" s="17">
        <f>IF($B495="","",IFERROR(_xlfn.XLOOKUP($B495,nrCDdate,nrCDnum),""))</f>
        <v/>
      </c>
      <c r="M495" s="16" t="n"/>
      <c r="N495" s="17">
        <f>IF(OR($B495="",$I495=""),"",_xlfn.LET(_xlpm.a,$I495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95" s="17">
        <f>IF(OR($B495="",$D495="",$E495=""),"",IF($E495=$D495,"CHECK TIMES (start = end)",IF($F495&gt;12,"CHECK TIMES (End is before Start?)","OK")))</f>
        <v/>
      </c>
      <c r="P495" s="17">
        <f>IF(OR($B495="",$I495=""),"",IF(IFERROR(MATCH($G495,nrBankTopics,0),0)=0,"OK",IF(COUNTA(INDEX(nrBankGrid,IFERROR(MATCH($G495,nrBankTopics,0),1),0))=0,"OK",IF(SUMPRODUCT((nrInstrNames&lt;&gt;"")*ISNUMBER(SEARCH(nrInstrNames,$I495))*(COUNTIF(INDEX(nrBankGrid,IFERROR(MATCH($G495,nrBankTopics,0),1),0),nrInstrNames)&gt;0))&lt;SUMPRODUCT((nrInstrNames&lt;&gt;"")*ISNUMBER(SEARCH(nrInstrNames,$I495))),"NOT IN BANK","OK"))))</f>
        <v/>
      </c>
    </row>
    <row r="496">
      <c r="B496" s="18" t="n"/>
      <c r="C496" s="17">
        <f>IF($B496="","",TEXT($B496,"ddd"))</f>
        <v/>
      </c>
      <c r="D496" s="41" t="n"/>
      <c r="E496" s="41" t="n"/>
      <c r="F496" s="17">
        <f>IF(OR($B496="",$D496="",$E496=""),"",ROUND(MOD($E496-$D496,1)*24,2))</f>
        <v/>
      </c>
      <c r="G496" s="16" t="n"/>
      <c r="H496" s="17">
        <f>IF($G496="","",IFERROR(_xlfn.XLOOKUP($G496,nrCHname,nrCHnum),IFERROR(_xlfn.XLOOKUP($G496,nrSUBname,nrSUBparent),"")))</f>
        <v/>
      </c>
      <c r="I496" s="16" t="n"/>
      <c r="J496" s="16" t="n"/>
      <c r="K496" s="17">
        <f>IF($B496="","",IFERROR(_xlfn.XLOOKUP($B496,nrCDdate,nrCDweek),""))</f>
        <v/>
      </c>
      <c r="L496" s="17">
        <f>IF($B496="","",IFERROR(_xlfn.XLOOKUP($B496,nrCDdate,nrCDnum),""))</f>
        <v/>
      </c>
      <c r="M496" s="16" t="n"/>
      <c r="N496" s="17">
        <f>IF(OR($B496="",$I496=""),"",_xlfn.LET(_xlpm.a,$I496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96" s="17">
        <f>IF(OR($B496="",$D496="",$E496=""),"",IF($E496=$D496,"CHECK TIMES (start = end)",IF($F496&gt;12,"CHECK TIMES (End is before Start?)","OK")))</f>
        <v/>
      </c>
      <c r="P496" s="17">
        <f>IF(OR($B496="",$I496=""),"",IF(IFERROR(MATCH($G496,nrBankTopics,0),0)=0,"OK",IF(COUNTA(INDEX(nrBankGrid,IFERROR(MATCH($G496,nrBankTopics,0),1),0))=0,"OK",IF(SUMPRODUCT((nrInstrNames&lt;&gt;"")*ISNUMBER(SEARCH(nrInstrNames,$I496))*(COUNTIF(INDEX(nrBankGrid,IFERROR(MATCH($G496,nrBankTopics,0),1),0),nrInstrNames)&gt;0))&lt;SUMPRODUCT((nrInstrNames&lt;&gt;"")*ISNUMBER(SEARCH(nrInstrNames,$I496))),"NOT IN BANK","OK"))))</f>
        <v/>
      </c>
    </row>
    <row r="497">
      <c r="B497" s="18" t="n"/>
      <c r="C497" s="17">
        <f>IF($B497="","",TEXT($B497,"ddd"))</f>
        <v/>
      </c>
      <c r="D497" s="41" t="n"/>
      <c r="E497" s="41" t="n"/>
      <c r="F497" s="17">
        <f>IF(OR($B497="",$D497="",$E497=""),"",ROUND(MOD($E497-$D497,1)*24,2))</f>
        <v/>
      </c>
      <c r="G497" s="16" t="n"/>
      <c r="H497" s="17">
        <f>IF($G497="","",IFERROR(_xlfn.XLOOKUP($G497,nrCHname,nrCHnum),IFERROR(_xlfn.XLOOKUP($G497,nrSUBname,nrSUBparent),"")))</f>
        <v/>
      </c>
      <c r="I497" s="16" t="n"/>
      <c r="J497" s="16" t="n"/>
      <c r="K497" s="17">
        <f>IF($B497="","",IFERROR(_xlfn.XLOOKUP($B497,nrCDdate,nrCDweek),""))</f>
        <v/>
      </c>
      <c r="L497" s="17">
        <f>IF($B497="","",IFERROR(_xlfn.XLOOKUP($B497,nrCDdate,nrCDnum),""))</f>
        <v/>
      </c>
      <c r="M497" s="16" t="n"/>
      <c r="N497" s="17">
        <f>IF(OR($B497="",$I497=""),"",_xlfn.LET(_xlpm.a,$I497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97" s="17">
        <f>IF(OR($B497="",$D497="",$E497=""),"",IF($E497=$D497,"CHECK TIMES (start = end)",IF($F497&gt;12,"CHECK TIMES (End is before Start?)","OK")))</f>
        <v/>
      </c>
      <c r="P497" s="17">
        <f>IF(OR($B497="",$I497=""),"",IF(IFERROR(MATCH($G497,nrBankTopics,0),0)=0,"OK",IF(COUNTA(INDEX(nrBankGrid,IFERROR(MATCH($G497,nrBankTopics,0),1),0))=0,"OK",IF(SUMPRODUCT((nrInstrNames&lt;&gt;"")*ISNUMBER(SEARCH(nrInstrNames,$I497))*(COUNTIF(INDEX(nrBankGrid,IFERROR(MATCH($G497,nrBankTopics,0),1),0),nrInstrNames)&gt;0))&lt;SUMPRODUCT((nrInstrNames&lt;&gt;"")*ISNUMBER(SEARCH(nrInstrNames,$I497))),"NOT IN BANK","OK"))))</f>
        <v/>
      </c>
    </row>
    <row r="498">
      <c r="B498" s="18" t="n"/>
      <c r="C498" s="17">
        <f>IF($B498="","",TEXT($B498,"ddd"))</f>
        <v/>
      </c>
      <c r="D498" s="41" t="n"/>
      <c r="E498" s="41" t="n"/>
      <c r="F498" s="17">
        <f>IF(OR($B498="",$D498="",$E498=""),"",ROUND(MOD($E498-$D498,1)*24,2))</f>
        <v/>
      </c>
      <c r="G498" s="16" t="n"/>
      <c r="H498" s="17">
        <f>IF($G498="","",IFERROR(_xlfn.XLOOKUP($G498,nrCHname,nrCHnum),IFERROR(_xlfn.XLOOKUP($G498,nrSUBname,nrSUBparent),"")))</f>
        <v/>
      </c>
      <c r="I498" s="16" t="n"/>
      <c r="J498" s="16" t="n"/>
      <c r="K498" s="17">
        <f>IF($B498="","",IFERROR(_xlfn.XLOOKUP($B498,nrCDdate,nrCDweek),""))</f>
        <v/>
      </c>
      <c r="L498" s="17">
        <f>IF($B498="","",IFERROR(_xlfn.XLOOKUP($B498,nrCDdate,nrCDnum),""))</f>
        <v/>
      </c>
      <c r="M498" s="16" t="n"/>
      <c r="N498" s="17">
        <f>IF(OR($B498="",$I498=""),"",_xlfn.LET(_xlpm.a,$I498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98" s="17">
        <f>IF(OR($B498="",$D498="",$E498=""),"",IF($E498=$D498,"CHECK TIMES (start = end)",IF($F498&gt;12,"CHECK TIMES (End is before Start?)","OK")))</f>
        <v/>
      </c>
      <c r="P498" s="17">
        <f>IF(OR($B498="",$I498=""),"",IF(IFERROR(MATCH($G498,nrBankTopics,0),0)=0,"OK",IF(COUNTA(INDEX(nrBankGrid,IFERROR(MATCH($G498,nrBankTopics,0),1),0))=0,"OK",IF(SUMPRODUCT((nrInstrNames&lt;&gt;"")*ISNUMBER(SEARCH(nrInstrNames,$I498))*(COUNTIF(INDEX(nrBankGrid,IFERROR(MATCH($G498,nrBankTopics,0),1),0),nrInstrNames)&gt;0))&lt;SUMPRODUCT((nrInstrNames&lt;&gt;"")*ISNUMBER(SEARCH(nrInstrNames,$I498))),"NOT IN BANK","OK"))))</f>
        <v/>
      </c>
    </row>
    <row r="499">
      <c r="B499" s="18" t="n"/>
      <c r="C499" s="17">
        <f>IF($B499="","",TEXT($B499,"ddd"))</f>
        <v/>
      </c>
      <c r="D499" s="41" t="n"/>
      <c r="E499" s="41" t="n"/>
      <c r="F499" s="17">
        <f>IF(OR($B499="",$D499="",$E499=""),"",ROUND(MOD($E499-$D499,1)*24,2))</f>
        <v/>
      </c>
      <c r="G499" s="16" t="n"/>
      <c r="H499" s="17">
        <f>IF($G499="","",IFERROR(_xlfn.XLOOKUP($G499,nrCHname,nrCHnum),IFERROR(_xlfn.XLOOKUP($G499,nrSUBname,nrSUBparent),"")))</f>
        <v/>
      </c>
      <c r="I499" s="16" t="n"/>
      <c r="J499" s="16" t="n"/>
      <c r="K499" s="17">
        <f>IF($B499="","",IFERROR(_xlfn.XLOOKUP($B499,nrCDdate,nrCDweek),""))</f>
        <v/>
      </c>
      <c r="L499" s="17">
        <f>IF($B499="","",IFERROR(_xlfn.XLOOKUP($B499,nrCDdate,nrCDnum),""))</f>
        <v/>
      </c>
      <c r="M499" s="16" t="n"/>
      <c r="N499" s="17">
        <f>IF(OR($B499="",$I499=""),"",_xlfn.LET(_xlpm.a,$I499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99" s="17">
        <f>IF(OR($B499="",$D499="",$E499=""),"",IF($E499=$D499,"CHECK TIMES (start = end)",IF($F499&gt;12,"CHECK TIMES (End is before Start?)","OK")))</f>
        <v/>
      </c>
      <c r="P499" s="17">
        <f>IF(OR($B499="",$I499=""),"",IF(IFERROR(MATCH($G499,nrBankTopics,0),0)=0,"OK",IF(COUNTA(INDEX(nrBankGrid,IFERROR(MATCH($G499,nrBankTopics,0),1),0))=0,"OK",IF(SUMPRODUCT((nrInstrNames&lt;&gt;"")*ISNUMBER(SEARCH(nrInstrNames,$I499))*(COUNTIF(INDEX(nrBankGrid,IFERROR(MATCH($G499,nrBankTopics,0),1),0),nrInstrNames)&gt;0))&lt;SUMPRODUCT((nrInstrNames&lt;&gt;"")*ISNUMBER(SEARCH(nrInstrNames,$I499))),"NOT IN BANK","OK"))))</f>
        <v/>
      </c>
    </row>
    <row r="500">
      <c r="B500" s="18" t="n"/>
      <c r="C500" s="17">
        <f>IF($B500="","",TEXT($B500,"ddd"))</f>
        <v/>
      </c>
      <c r="D500" s="41" t="n"/>
      <c r="E500" s="41" t="n"/>
      <c r="F500" s="17">
        <f>IF(OR($B500="",$D500="",$E500=""),"",ROUND(MOD($E500-$D500,1)*24,2))</f>
        <v/>
      </c>
      <c r="G500" s="16" t="n"/>
      <c r="H500" s="17">
        <f>IF($G500="","",IFERROR(_xlfn.XLOOKUP($G500,nrCHname,nrCHnum),IFERROR(_xlfn.XLOOKUP($G500,nrSUBname,nrSUBparent),"")))</f>
        <v/>
      </c>
      <c r="I500" s="16" t="n"/>
      <c r="J500" s="16" t="n"/>
      <c r="K500" s="17">
        <f>IF($B500="","",IFERROR(_xlfn.XLOOKUP($B500,nrCDdate,nrCDweek),""))</f>
        <v/>
      </c>
      <c r="L500" s="17">
        <f>IF($B500="","",IFERROR(_xlfn.XLOOKUP($B500,nrCDdate,nrCDnum),""))</f>
        <v/>
      </c>
      <c r="M500" s="16" t="n"/>
      <c r="N500" s="17">
        <f>IF(OR($B500="",$I500=""),"",_xlfn.LET(_xlpm.a,$I500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00" s="17">
        <f>IF(OR($B500="",$D500="",$E500=""),"",IF($E500=$D500,"CHECK TIMES (start = end)",IF($F500&gt;12,"CHECK TIMES (End is before Start?)","OK")))</f>
        <v/>
      </c>
      <c r="P500" s="17">
        <f>IF(OR($B500="",$I500=""),"",IF(IFERROR(MATCH($G500,nrBankTopics,0),0)=0,"OK",IF(COUNTA(INDEX(nrBankGrid,IFERROR(MATCH($G500,nrBankTopics,0),1),0))=0,"OK",IF(SUMPRODUCT((nrInstrNames&lt;&gt;"")*ISNUMBER(SEARCH(nrInstrNames,$I500))*(COUNTIF(INDEX(nrBankGrid,IFERROR(MATCH($G500,nrBankTopics,0),1),0),nrInstrNames)&gt;0))&lt;SUMPRODUCT((nrInstrNames&lt;&gt;"")*ISNUMBER(SEARCH(nrInstrNames,$I500))),"NOT IN BANK","OK"))))</f>
        <v/>
      </c>
    </row>
    <row r="501">
      <c r="B501" s="18" t="n"/>
      <c r="C501" s="17">
        <f>IF($B501="","",TEXT($B501,"ddd"))</f>
        <v/>
      </c>
      <c r="D501" s="41" t="n"/>
      <c r="E501" s="41" t="n"/>
      <c r="F501" s="17">
        <f>IF(OR($B501="",$D501="",$E501=""),"",ROUND(MOD($E501-$D501,1)*24,2))</f>
        <v/>
      </c>
      <c r="G501" s="16" t="n"/>
      <c r="H501" s="17">
        <f>IF($G501="","",IFERROR(_xlfn.XLOOKUP($G501,nrCHname,nrCHnum),IFERROR(_xlfn.XLOOKUP($G501,nrSUBname,nrSUBparent),"")))</f>
        <v/>
      </c>
      <c r="I501" s="16" t="n"/>
      <c r="J501" s="16" t="n"/>
      <c r="K501" s="17">
        <f>IF($B501="","",IFERROR(_xlfn.XLOOKUP($B501,nrCDdate,nrCDweek),""))</f>
        <v/>
      </c>
      <c r="L501" s="17">
        <f>IF($B501="","",IFERROR(_xlfn.XLOOKUP($B501,nrCDdate,nrCDnum),""))</f>
        <v/>
      </c>
      <c r="M501" s="16" t="n"/>
      <c r="N501" s="17">
        <f>IF(OR($B501="",$I501=""),"",_xlfn.LET(_xlpm.a,$I501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01" s="17">
        <f>IF(OR($B501="",$D501="",$E501=""),"",IF($E501=$D501,"CHECK TIMES (start = end)",IF($F501&gt;12,"CHECK TIMES (End is before Start?)","OK")))</f>
        <v/>
      </c>
      <c r="P501" s="17">
        <f>IF(OR($B501="",$I501=""),"",IF(IFERROR(MATCH($G501,nrBankTopics,0),0)=0,"OK",IF(COUNTA(INDEX(nrBankGrid,IFERROR(MATCH($G501,nrBankTopics,0),1),0))=0,"OK",IF(SUMPRODUCT((nrInstrNames&lt;&gt;"")*ISNUMBER(SEARCH(nrInstrNames,$I501))*(COUNTIF(INDEX(nrBankGrid,IFERROR(MATCH($G501,nrBankTopics,0),1),0),nrInstrNames)&gt;0))&lt;SUMPRODUCT((nrInstrNames&lt;&gt;"")*ISNUMBER(SEARCH(nrInstrNames,$I501))),"NOT IN BANK","OK"))))</f>
        <v/>
      </c>
    </row>
    <row r="502">
      <c r="B502" s="18" t="n"/>
      <c r="C502" s="17">
        <f>IF($B502="","",TEXT($B502,"ddd"))</f>
        <v/>
      </c>
      <c r="D502" s="41" t="n"/>
      <c r="E502" s="41" t="n"/>
      <c r="F502" s="17">
        <f>IF(OR($B502="",$D502="",$E502=""),"",ROUND(MOD($E502-$D502,1)*24,2))</f>
        <v/>
      </c>
      <c r="G502" s="16" t="n"/>
      <c r="H502" s="17">
        <f>IF($G502="","",IFERROR(_xlfn.XLOOKUP($G502,nrCHname,nrCHnum),IFERROR(_xlfn.XLOOKUP($G502,nrSUBname,nrSUBparent),"")))</f>
        <v/>
      </c>
      <c r="I502" s="16" t="n"/>
      <c r="J502" s="16" t="n"/>
      <c r="K502" s="17">
        <f>IF($B502="","",IFERROR(_xlfn.XLOOKUP($B502,nrCDdate,nrCDweek),""))</f>
        <v/>
      </c>
      <c r="L502" s="17">
        <f>IF($B502="","",IFERROR(_xlfn.XLOOKUP($B502,nrCDdate,nrCDnum),""))</f>
        <v/>
      </c>
      <c r="M502" s="16" t="n"/>
      <c r="N502" s="17">
        <f>IF(OR($B502="",$I502=""),"",_xlfn.LET(_xlpm.a,$I502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02" s="17">
        <f>IF(OR($B502="",$D502="",$E502=""),"",IF($E502=$D502,"CHECK TIMES (start = end)",IF($F502&gt;12,"CHECK TIMES (End is before Start?)","OK")))</f>
        <v/>
      </c>
      <c r="P502" s="17">
        <f>IF(OR($B502="",$I502=""),"",IF(IFERROR(MATCH($G502,nrBankTopics,0),0)=0,"OK",IF(COUNTA(INDEX(nrBankGrid,IFERROR(MATCH($G502,nrBankTopics,0),1),0))=0,"OK",IF(SUMPRODUCT((nrInstrNames&lt;&gt;"")*ISNUMBER(SEARCH(nrInstrNames,$I502))*(COUNTIF(INDEX(nrBankGrid,IFERROR(MATCH($G502,nrBankTopics,0),1),0),nrInstrNames)&gt;0))&lt;SUMPRODUCT((nrInstrNames&lt;&gt;"")*ISNUMBER(SEARCH(nrInstrNames,$I502))),"NOT IN BANK","OK"))))</f>
        <v/>
      </c>
    </row>
    <row r="503">
      <c r="B503" s="18" t="n"/>
      <c r="C503" s="17">
        <f>IF($B503="","",TEXT($B503,"ddd"))</f>
        <v/>
      </c>
      <c r="D503" s="41" t="n"/>
      <c r="E503" s="41" t="n"/>
      <c r="F503" s="17">
        <f>IF(OR($B503="",$D503="",$E503=""),"",ROUND(MOD($E503-$D503,1)*24,2))</f>
        <v/>
      </c>
      <c r="G503" s="16" t="n"/>
      <c r="H503" s="17">
        <f>IF($G503="","",IFERROR(_xlfn.XLOOKUP($G503,nrCHname,nrCHnum),IFERROR(_xlfn.XLOOKUP($G503,nrSUBname,nrSUBparent),"")))</f>
        <v/>
      </c>
      <c r="I503" s="16" t="n"/>
      <c r="J503" s="16" t="n"/>
      <c r="K503" s="17">
        <f>IF($B503="","",IFERROR(_xlfn.XLOOKUP($B503,nrCDdate,nrCDweek),""))</f>
        <v/>
      </c>
      <c r="L503" s="17">
        <f>IF($B503="","",IFERROR(_xlfn.XLOOKUP($B503,nrCDdate,nrCDnum),""))</f>
        <v/>
      </c>
      <c r="M503" s="16" t="n"/>
      <c r="N503" s="17">
        <f>IF(OR($B503="",$I503=""),"",_xlfn.LET(_xlpm.a,$I503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03" s="17">
        <f>IF(OR($B503="",$D503="",$E503=""),"",IF($E503=$D503,"CHECK TIMES (start = end)",IF($F503&gt;12,"CHECK TIMES (End is before Start?)","OK")))</f>
        <v/>
      </c>
      <c r="P503" s="17">
        <f>IF(OR($B503="",$I503=""),"",IF(IFERROR(MATCH($G503,nrBankTopics,0),0)=0,"OK",IF(COUNTA(INDEX(nrBankGrid,IFERROR(MATCH($G503,nrBankTopics,0),1),0))=0,"OK",IF(SUMPRODUCT((nrInstrNames&lt;&gt;"")*ISNUMBER(SEARCH(nrInstrNames,$I503))*(COUNTIF(INDEX(nrBankGrid,IFERROR(MATCH($G503,nrBankTopics,0),1),0),nrInstrNames)&gt;0))&lt;SUMPRODUCT((nrInstrNames&lt;&gt;"")*ISNUMBER(SEARCH(nrInstrNames,$I503))),"NOT IN BANK","OK"))))</f>
        <v/>
      </c>
    </row>
    <row r="504">
      <c r="B504" s="18" t="n"/>
      <c r="C504" s="17">
        <f>IF($B504="","",TEXT($B504,"ddd"))</f>
        <v/>
      </c>
      <c r="D504" s="41" t="n"/>
      <c r="E504" s="41" t="n"/>
      <c r="F504" s="17">
        <f>IF(OR($B504="",$D504="",$E504=""),"",ROUND(MOD($E504-$D504,1)*24,2))</f>
        <v/>
      </c>
      <c r="G504" s="16" t="n"/>
      <c r="H504" s="17">
        <f>IF($G504="","",IFERROR(_xlfn.XLOOKUP($G504,nrCHname,nrCHnum),IFERROR(_xlfn.XLOOKUP($G504,nrSUBname,nrSUBparent),"")))</f>
        <v/>
      </c>
      <c r="I504" s="16" t="n"/>
      <c r="J504" s="16" t="n"/>
      <c r="K504" s="17">
        <f>IF($B504="","",IFERROR(_xlfn.XLOOKUP($B504,nrCDdate,nrCDweek),""))</f>
        <v/>
      </c>
      <c r="L504" s="17">
        <f>IF($B504="","",IFERROR(_xlfn.XLOOKUP($B504,nrCDdate,nrCDnum),""))</f>
        <v/>
      </c>
      <c r="M504" s="16" t="n"/>
      <c r="N504" s="17">
        <f>IF(OR($B504="",$I504=""),"",_xlfn.LET(_xlpm.a,$I504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04" s="17">
        <f>IF(OR($B504="",$D504="",$E504=""),"",IF($E504=$D504,"CHECK TIMES (start = end)",IF($F504&gt;12,"CHECK TIMES (End is before Start?)","OK")))</f>
        <v/>
      </c>
      <c r="P504" s="17">
        <f>IF(OR($B504="",$I504=""),"",IF(IFERROR(MATCH($G504,nrBankTopics,0),0)=0,"OK",IF(COUNTA(INDEX(nrBankGrid,IFERROR(MATCH($G504,nrBankTopics,0),1),0))=0,"OK",IF(SUMPRODUCT((nrInstrNames&lt;&gt;"")*ISNUMBER(SEARCH(nrInstrNames,$I504))*(COUNTIF(INDEX(nrBankGrid,IFERROR(MATCH($G504,nrBankTopics,0),1),0),nrInstrNames)&gt;0))&lt;SUMPRODUCT((nrInstrNames&lt;&gt;"")*ISNUMBER(SEARCH(nrInstrNames,$I504))),"NOT IN BANK","OK"))))</f>
        <v/>
      </c>
    </row>
    <row r="505">
      <c r="B505" s="18" t="n"/>
      <c r="C505" s="17">
        <f>IF($B505="","",TEXT($B505,"ddd"))</f>
        <v/>
      </c>
      <c r="D505" s="41" t="n"/>
      <c r="E505" s="41" t="n"/>
      <c r="F505" s="17">
        <f>IF(OR($B505="",$D505="",$E505=""),"",ROUND(MOD($E505-$D505,1)*24,2))</f>
        <v/>
      </c>
      <c r="G505" s="16" t="n"/>
      <c r="H505" s="17">
        <f>IF($G505="","",IFERROR(_xlfn.XLOOKUP($G505,nrCHname,nrCHnum),IFERROR(_xlfn.XLOOKUP($G505,nrSUBname,nrSUBparent),"")))</f>
        <v/>
      </c>
      <c r="I505" s="16" t="n"/>
      <c r="J505" s="16" t="n"/>
      <c r="K505" s="17">
        <f>IF($B505="","",IFERROR(_xlfn.XLOOKUP($B505,nrCDdate,nrCDweek),""))</f>
        <v/>
      </c>
      <c r="L505" s="17">
        <f>IF($B505="","",IFERROR(_xlfn.XLOOKUP($B505,nrCDdate,nrCDnum),""))</f>
        <v/>
      </c>
      <c r="M505" s="16" t="n"/>
      <c r="N505" s="17">
        <f>IF(OR($B505="",$I505=""),"",_xlfn.LET(_xlpm.a,$I505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05" s="17">
        <f>IF(OR($B505="",$D505="",$E505=""),"",IF($E505=$D505,"CHECK TIMES (start = end)",IF($F505&gt;12,"CHECK TIMES (End is before Start?)","OK")))</f>
        <v/>
      </c>
      <c r="P505" s="17">
        <f>IF(OR($B505="",$I505=""),"",IF(IFERROR(MATCH($G505,nrBankTopics,0),0)=0,"OK",IF(COUNTA(INDEX(nrBankGrid,IFERROR(MATCH($G505,nrBankTopics,0),1),0))=0,"OK",IF(SUMPRODUCT((nrInstrNames&lt;&gt;"")*ISNUMBER(SEARCH(nrInstrNames,$I505))*(COUNTIF(INDEX(nrBankGrid,IFERROR(MATCH($G505,nrBankTopics,0),1),0),nrInstrNames)&gt;0))&lt;SUMPRODUCT((nrInstrNames&lt;&gt;"")*ISNUMBER(SEARCH(nrInstrNames,$I505))),"NOT IN BANK","OK"))))</f>
        <v/>
      </c>
    </row>
    <row r="506">
      <c r="B506" s="18" t="n"/>
      <c r="C506" s="17">
        <f>IF($B506="","",TEXT($B506,"ddd"))</f>
        <v/>
      </c>
      <c r="D506" s="41" t="n"/>
      <c r="E506" s="41" t="n"/>
      <c r="F506" s="17">
        <f>IF(OR($B506="",$D506="",$E506=""),"",ROUND(MOD($E506-$D506,1)*24,2))</f>
        <v/>
      </c>
      <c r="G506" s="16" t="n"/>
      <c r="H506" s="17">
        <f>IF($G506="","",IFERROR(_xlfn.XLOOKUP($G506,nrCHname,nrCHnum),IFERROR(_xlfn.XLOOKUP($G506,nrSUBname,nrSUBparent),"")))</f>
        <v/>
      </c>
      <c r="I506" s="16" t="n"/>
      <c r="J506" s="16" t="n"/>
      <c r="K506" s="17">
        <f>IF($B506="","",IFERROR(_xlfn.XLOOKUP($B506,nrCDdate,nrCDweek),""))</f>
        <v/>
      </c>
      <c r="L506" s="17">
        <f>IF($B506="","",IFERROR(_xlfn.XLOOKUP($B506,nrCDdate,nrCDnum),""))</f>
        <v/>
      </c>
      <c r="M506" s="16" t="n"/>
      <c r="N506" s="17">
        <f>IF(OR($B506="",$I506=""),"",_xlfn.LET(_xlpm.a,$I506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06" s="17">
        <f>IF(OR($B506="",$D506="",$E506=""),"",IF($E506=$D506,"CHECK TIMES (start = end)",IF($F506&gt;12,"CHECK TIMES (End is before Start?)","OK")))</f>
        <v/>
      </c>
      <c r="P506" s="17">
        <f>IF(OR($B506="",$I506=""),"",IF(IFERROR(MATCH($G506,nrBankTopics,0),0)=0,"OK",IF(COUNTA(INDEX(nrBankGrid,IFERROR(MATCH($G506,nrBankTopics,0),1),0))=0,"OK",IF(SUMPRODUCT((nrInstrNames&lt;&gt;"")*ISNUMBER(SEARCH(nrInstrNames,$I506))*(COUNTIF(INDEX(nrBankGrid,IFERROR(MATCH($G506,nrBankTopics,0),1),0),nrInstrNames)&gt;0))&lt;SUMPRODUCT((nrInstrNames&lt;&gt;"")*ISNUMBER(SEARCH(nrInstrNames,$I506))),"NOT IN BANK","OK"))))</f>
        <v/>
      </c>
    </row>
    <row r="507">
      <c r="B507" s="18" t="n"/>
      <c r="C507" s="17">
        <f>IF($B507="","",TEXT($B507,"ddd"))</f>
        <v/>
      </c>
      <c r="D507" s="41" t="n"/>
      <c r="E507" s="41" t="n"/>
      <c r="F507" s="17">
        <f>IF(OR($B507="",$D507="",$E507=""),"",ROUND(MOD($E507-$D507,1)*24,2))</f>
        <v/>
      </c>
      <c r="G507" s="16" t="n"/>
      <c r="H507" s="17">
        <f>IF($G507="","",IFERROR(_xlfn.XLOOKUP($G507,nrCHname,nrCHnum),IFERROR(_xlfn.XLOOKUP($G507,nrSUBname,nrSUBparent),"")))</f>
        <v/>
      </c>
      <c r="I507" s="16" t="n"/>
      <c r="J507" s="16" t="n"/>
      <c r="K507" s="17">
        <f>IF($B507="","",IFERROR(_xlfn.XLOOKUP($B507,nrCDdate,nrCDweek),""))</f>
        <v/>
      </c>
      <c r="L507" s="17">
        <f>IF($B507="","",IFERROR(_xlfn.XLOOKUP($B507,nrCDdate,nrCDnum),""))</f>
        <v/>
      </c>
      <c r="M507" s="16" t="n"/>
      <c r="N507" s="17">
        <f>IF(OR($B507="",$I507=""),"",_xlfn.LET(_xlpm.a,$I507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07" s="17">
        <f>IF(OR($B507="",$D507="",$E507=""),"",IF($E507=$D507,"CHECK TIMES (start = end)",IF($F507&gt;12,"CHECK TIMES (End is before Start?)","OK")))</f>
        <v/>
      </c>
      <c r="P507" s="17">
        <f>IF(OR($B507="",$I507=""),"",IF(IFERROR(MATCH($G507,nrBankTopics,0),0)=0,"OK",IF(COUNTA(INDEX(nrBankGrid,IFERROR(MATCH($G507,nrBankTopics,0),1),0))=0,"OK",IF(SUMPRODUCT((nrInstrNames&lt;&gt;"")*ISNUMBER(SEARCH(nrInstrNames,$I507))*(COUNTIF(INDEX(nrBankGrid,IFERROR(MATCH($G507,nrBankTopics,0),1),0),nrInstrNames)&gt;0))&lt;SUMPRODUCT((nrInstrNames&lt;&gt;"")*ISNUMBER(SEARCH(nrInstrNames,$I507))),"NOT IN BANK","OK"))))</f>
        <v/>
      </c>
    </row>
    <row r="508">
      <c r="B508" s="18" t="n"/>
      <c r="C508" s="17">
        <f>IF($B508="","",TEXT($B508,"ddd"))</f>
        <v/>
      </c>
      <c r="D508" s="41" t="n"/>
      <c r="E508" s="41" t="n"/>
      <c r="F508" s="17">
        <f>IF(OR($B508="",$D508="",$E508=""),"",ROUND(MOD($E508-$D508,1)*24,2))</f>
        <v/>
      </c>
      <c r="G508" s="16" t="n"/>
      <c r="H508" s="17">
        <f>IF($G508="","",IFERROR(_xlfn.XLOOKUP($G508,nrCHname,nrCHnum),IFERROR(_xlfn.XLOOKUP($G508,nrSUBname,nrSUBparent),"")))</f>
        <v/>
      </c>
      <c r="I508" s="16" t="n"/>
      <c r="J508" s="16" t="n"/>
      <c r="K508" s="17">
        <f>IF($B508="","",IFERROR(_xlfn.XLOOKUP($B508,nrCDdate,nrCDweek),""))</f>
        <v/>
      </c>
      <c r="L508" s="17">
        <f>IF($B508="","",IFERROR(_xlfn.XLOOKUP($B508,nrCDdate,nrCDnum),""))</f>
        <v/>
      </c>
      <c r="M508" s="16" t="n"/>
      <c r="N508" s="17">
        <f>IF(OR($B508="",$I508=""),"",_xlfn.LET(_xlpm.a,$I508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08" s="17">
        <f>IF(OR($B508="",$D508="",$E508=""),"",IF($E508=$D508,"CHECK TIMES (start = end)",IF($F508&gt;12,"CHECK TIMES (End is before Start?)","OK")))</f>
        <v/>
      </c>
      <c r="P508" s="17">
        <f>IF(OR($B508="",$I508=""),"",IF(IFERROR(MATCH($G508,nrBankTopics,0),0)=0,"OK",IF(COUNTA(INDEX(nrBankGrid,IFERROR(MATCH($G508,nrBankTopics,0),1),0))=0,"OK",IF(SUMPRODUCT((nrInstrNames&lt;&gt;"")*ISNUMBER(SEARCH(nrInstrNames,$I508))*(COUNTIF(INDEX(nrBankGrid,IFERROR(MATCH($G508,nrBankTopics,0),1),0),nrInstrNames)&gt;0))&lt;SUMPRODUCT((nrInstrNames&lt;&gt;"")*ISNUMBER(SEARCH(nrInstrNames,$I508))),"NOT IN BANK","OK"))))</f>
        <v/>
      </c>
    </row>
    <row r="509">
      <c r="B509" s="18" t="n"/>
      <c r="C509" s="17">
        <f>IF($B509="","",TEXT($B509,"ddd"))</f>
        <v/>
      </c>
      <c r="D509" s="41" t="n"/>
      <c r="E509" s="41" t="n"/>
      <c r="F509" s="17">
        <f>IF(OR($B509="",$D509="",$E509=""),"",ROUND(MOD($E509-$D509,1)*24,2))</f>
        <v/>
      </c>
      <c r="G509" s="16" t="n"/>
      <c r="H509" s="17">
        <f>IF($G509="","",IFERROR(_xlfn.XLOOKUP($G509,nrCHname,nrCHnum),IFERROR(_xlfn.XLOOKUP($G509,nrSUBname,nrSUBparent),"")))</f>
        <v/>
      </c>
      <c r="I509" s="16" t="n"/>
      <c r="J509" s="16" t="n"/>
      <c r="K509" s="17">
        <f>IF($B509="","",IFERROR(_xlfn.XLOOKUP($B509,nrCDdate,nrCDweek),""))</f>
        <v/>
      </c>
      <c r="L509" s="17">
        <f>IF($B509="","",IFERROR(_xlfn.XLOOKUP($B509,nrCDdate,nrCDnum),""))</f>
        <v/>
      </c>
      <c r="M509" s="16" t="n"/>
      <c r="N509" s="17">
        <f>IF(OR($B509="",$I509=""),"",_xlfn.LET(_xlpm.a,$I509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09" s="17">
        <f>IF(OR($B509="",$D509="",$E509=""),"",IF($E509=$D509,"CHECK TIMES (start = end)",IF($F509&gt;12,"CHECK TIMES (End is before Start?)","OK")))</f>
        <v/>
      </c>
      <c r="P509" s="17">
        <f>IF(OR($B509="",$I509=""),"",IF(IFERROR(MATCH($G509,nrBankTopics,0),0)=0,"OK",IF(COUNTA(INDEX(nrBankGrid,IFERROR(MATCH($G509,nrBankTopics,0),1),0))=0,"OK",IF(SUMPRODUCT((nrInstrNames&lt;&gt;"")*ISNUMBER(SEARCH(nrInstrNames,$I509))*(COUNTIF(INDEX(nrBankGrid,IFERROR(MATCH($G509,nrBankTopics,0),1),0),nrInstrNames)&gt;0))&lt;SUMPRODUCT((nrInstrNames&lt;&gt;"")*ISNUMBER(SEARCH(nrInstrNames,$I509))),"NOT IN BANK","OK"))))</f>
        <v/>
      </c>
    </row>
    <row r="510">
      <c r="B510" s="18" t="n"/>
      <c r="C510" s="17">
        <f>IF($B510="","",TEXT($B510,"ddd"))</f>
        <v/>
      </c>
      <c r="D510" s="41" t="n"/>
      <c r="E510" s="41" t="n"/>
      <c r="F510" s="17">
        <f>IF(OR($B510="",$D510="",$E510=""),"",ROUND(MOD($E510-$D510,1)*24,2))</f>
        <v/>
      </c>
      <c r="G510" s="16" t="n"/>
      <c r="H510" s="17">
        <f>IF($G510="","",IFERROR(_xlfn.XLOOKUP($G510,nrCHname,nrCHnum),IFERROR(_xlfn.XLOOKUP($G510,nrSUBname,nrSUBparent),"")))</f>
        <v/>
      </c>
      <c r="I510" s="16" t="n"/>
      <c r="J510" s="16" t="n"/>
      <c r="K510" s="17">
        <f>IF($B510="","",IFERROR(_xlfn.XLOOKUP($B510,nrCDdate,nrCDweek),""))</f>
        <v/>
      </c>
      <c r="L510" s="17">
        <f>IF($B510="","",IFERROR(_xlfn.XLOOKUP($B510,nrCDdate,nrCDnum),""))</f>
        <v/>
      </c>
      <c r="M510" s="16" t="n"/>
      <c r="N510" s="17">
        <f>IF(OR($B510="",$I510=""),"",_xlfn.LET(_xlpm.a,$I510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10" s="17">
        <f>IF(OR($B510="",$D510="",$E510=""),"",IF($E510=$D510,"CHECK TIMES (start = end)",IF($F510&gt;12,"CHECK TIMES (End is before Start?)","OK")))</f>
        <v/>
      </c>
      <c r="P510" s="17">
        <f>IF(OR($B510="",$I510=""),"",IF(IFERROR(MATCH($G510,nrBankTopics,0),0)=0,"OK",IF(COUNTA(INDEX(nrBankGrid,IFERROR(MATCH($G510,nrBankTopics,0),1),0))=0,"OK",IF(SUMPRODUCT((nrInstrNames&lt;&gt;"")*ISNUMBER(SEARCH(nrInstrNames,$I510))*(COUNTIF(INDEX(nrBankGrid,IFERROR(MATCH($G510,nrBankTopics,0),1),0),nrInstrNames)&gt;0))&lt;SUMPRODUCT((nrInstrNames&lt;&gt;"")*ISNUMBER(SEARCH(nrInstrNames,$I510))),"NOT IN BANK","OK"))))</f>
        <v/>
      </c>
    </row>
    <row r="511">
      <c r="B511" s="18" t="n"/>
      <c r="C511" s="17">
        <f>IF($B511="","",TEXT($B511,"ddd"))</f>
        <v/>
      </c>
      <c r="D511" s="41" t="n"/>
      <c r="E511" s="41" t="n"/>
      <c r="F511" s="17">
        <f>IF(OR($B511="",$D511="",$E511=""),"",ROUND(MOD($E511-$D511,1)*24,2))</f>
        <v/>
      </c>
      <c r="G511" s="16" t="n"/>
      <c r="H511" s="17">
        <f>IF($G511="","",IFERROR(_xlfn.XLOOKUP($G511,nrCHname,nrCHnum),IFERROR(_xlfn.XLOOKUP($G511,nrSUBname,nrSUBparent),"")))</f>
        <v/>
      </c>
      <c r="I511" s="16" t="n"/>
      <c r="J511" s="16" t="n"/>
      <c r="K511" s="17">
        <f>IF($B511="","",IFERROR(_xlfn.XLOOKUP($B511,nrCDdate,nrCDweek),""))</f>
        <v/>
      </c>
      <c r="L511" s="17">
        <f>IF($B511="","",IFERROR(_xlfn.XLOOKUP($B511,nrCDdate,nrCDnum),""))</f>
        <v/>
      </c>
      <c r="M511" s="16" t="n"/>
      <c r="N511" s="17">
        <f>IF(OR($B511="",$I511=""),"",_xlfn.LET(_xlpm.a,$I511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11" s="17">
        <f>IF(OR($B511="",$D511="",$E511=""),"",IF($E511=$D511,"CHECK TIMES (start = end)",IF($F511&gt;12,"CHECK TIMES (End is before Start?)","OK")))</f>
        <v/>
      </c>
      <c r="P511" s="17">
        <f>IF(OR($B511="",$I511=""),"",IF(IFERROR(MATCH($G511,nrBankTopics,0),0)=0,"OK",IF(COUNTA(INDEX(nrBankGrid,IFERROR(MATCH($G511,nrBankTopics,0),1),0))=0,"OK",IF(SUMPRODUCT((nrInstrNames&lt;&gt;"")*ISNUMBER(SEARCH(nrInstrNames,$I511))*(COUNTIF(INDEX(nrBankGrid,IFERROR(MATCH($G511,nrBankTopics,0),1),0),nrInstrNames)&gt;0))&lt;SUMPRODUCT((nrInstrNames&lt;&gt;"")*ISNUMBER(SEARCH(nrInstrNames,$I511))),"NOT IN BANK","OK"))))</f>
        <v/>
      </c>
    </row>
    <row r="512">
      <c r="B512" s="18" t="n"/>
      <c r="C512" s="17">
        <f>IF($B512="","",TEXT($B512,"ddd"))</f>
        <v/>
      </c>
      <c r="D512" s="41" t="n"/>
      <c r="E512" s="41" t="n"/>
      <c r="F512" s="17">
        <f>IF(OR($B512="",$D512="",$E512=""),"",ROUND(MOD($E512-$D512,1)*24,2))</f>
        <v/>
      </c>
      <c r="G512" s="16" t="n"/>
      <c r="H512" s="17">
        <f>IF($G512="","",IFERROR(_xlfn.XLOOKUP($G512,nrCHname,nrCHnum),IFERROR(_xlfn.XLOOKUP($G512,nrSUBname,nrSUBparent),"")))</f>
        <v/>
      </c>
      <c r="I512" s="16" t="n"/>
      <c r="J512" s="16" t="n"/>
      <c r="K512" s="17">
        <f>IF($B512="","",IFERROR(_xlfn.XLOOKUP($B512,nrCDdate,nrCDweek),""))</f>
        <v/>
      </c>
      <c r="L512" s="17">
        <f>IF($B512="","",IFERROR(_xlfn.XLOOKUP($B512,nrCDdate,nrCDnum),""))</f>
        <v/>
      </c>
      <c r="M512" s="16" t="n"/>
      <c r="N512" s="17">
        <f>IF(OR($B512="",$I512=""),"",_xlfn.LET(_xlpm.a,$I512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12" s="17">
        <f>IF(OR($B512="",$D512="",$E512=""),"",IF($E512=$D512,"CHECK TIMES (start = end)",IF($F512&gt;12,"CHECK TIMES (End is before Start?)","OK")))</f>
        <v/>
      </c>
      <c r="P512" s="17">
        <f>IF(OR($B512="",$I512=""),"",IF(IFERROR(MATCH($G512,nrBankTopics,0),0)=0,"OK",IF(COUNTA(INDEX(nrBankGrid,IFERROR(MATCH($G512,nrBankTopics,0),1),0))=0,"OK",IF(SUMPRODUCT((nrInstrNames&lt;&gt;"")*ISNUMBER(SEARCH(nrInstrNames,$I512))*(COUNTIF(INDEX(nrBankGrid,IFERROR(MATCH($G512,nrBankTopics,0),1),0),nrInstrNames)&gt;0))&lt;SUMPRODUCT((nrInstrNames&lt;&gt;"")*ISNUMBER(SEARCH(nrInstrNames,$I512))),"NOT IN BANK","OK"))))</f>
        <v/>
      </c>
    </row>
    <row r="513">
      <c r="B513" s="18" t="n"/>
      <c r="C513" s="17">
        <f>IF($B513="","",TEXT($B513,"ddd"))</f>
        <v/>
      </c>
      <c r="D513" s="41" t="n"/>
      <c r="E513" s="41" t="n"/>
      <c r="F513" s="17">
        <f>IF(OR($B513="",$D513="",$E513=""),"",ROUND(MOD($E513-$D513,1)*24,2))</f>
        <v/>
      </c>
      <c r="G513" s="16" t="n"/>
      <c r="H513" s="17">
        <f>IF($G513="","",IFERROR(_xlfn.XLOOKUP($G513,nrCHname,nrCHnum),IFERROR(_xlfn.XLOOKUP($G513,nrSUBname,nrSUBparent),"")))</f>
        <v/>
      </c>
      <c r="I513" s="16" t="n"/>
      <c r="J513" s="16" t="n"/>
      <c r="K513" s="17">
        <f>IF($B513="","",IFERROR(_xlfn.XLOOKUP($B513,nrCDdate,nrCDweek),""))</f>
        <v/>
      </c>
      <c r="L513" s="17">
        <f>IF($B513="","",IFERROR(_xlfn.XLOOKUP($B513,nrCDdate,nrCDnum),""))</f>
        <v/>
      </c>
      <c r="M513" s="16" t="n"/>
      <c r="N513" s="17">
        <f>IF(OR($B513="",$I513=""),"",_xlfn.LET(_xlpm.a,$I513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13" s="17">
        <f>IF(OR($B513="",$D513="",$E513=""),"",IF($E513=$D513,"CHECK TIMES (start = end)",IF($F513&gt;12,"CHECK TIMES (End is before Start?)","OK")))</f>
        <v/>
      </c>
      <c r="P513" s="17">
        <f>IF(OR($B513="",$I513=""),"",IF(IFERROR(MATCH($G513,nrBankTopics,0),0)=0,"OK",IF(COUNTA(INDEX(nrBankGrid,IFERROR(MATCH($G513,nrBankTopics,0),1),0))=0,"OK",IF(SUMPRODUCT((nrInstrNames&lt;&gt;"")*ISNUMBER(SEARCH(nrInstrNames,$I513))*(COUNTIF(INDEX(nrBankGrid,IFERROR(MATCH($G513,nrBankTopics,0),1),0),nrInstrNames)&gt;0))&lt;SUMPRODUCT((nrInstrNames&lt;&gt;"")*ISNUMBER(SEARCH(nrInstrNames,$I513))),"NOT IN BANK","OK"))))</f>
        <v/>
      </c>
    </row>
    <row r="514">
      <c r="B514" s="18" t="n"/>
      <c r="C514" s="17">
        <f>IF($B514="","",TEXT($B514,"ddd"))</f>
        <v/>
      </c>
      <c r="D514" s="41" t="n"/>
      <c r="E514" s="41" t="n"/>
      <c r="F514" s="17">
        <f>IF(OR($B514="",$D514="",$E514=""),"",ROUND(MOD($E514-$D514,1)*24,2))</f>
        <v/>
      </c>
      <c r="G514" s="16" t="n"/>
      <c r="H514" s="17">
        <f>IF($G514="","",IFERROR(_xlfn.XLOOKUP($G514,nrCHname,nrCHnum),IFERROR(_xlfn.XLOOKUP($G514,nrSUBname,nrSUBparent),"")))</f>
        <v/>
      </c>
      <c r="I514" s="16" t="n"/>
      <c r="J514" s="16" t="n"/>
      <c r="K514" s="17">
        <f>IF($B514="","",IFERROR(_xlfn.XLOOKUP($B514,nrCDdate,nrCDweek),""))</f>
        <v/>
      </c>
      <c r="L514" s="17">
        <f>IF($B514="","",IFERROR(_xlfn.XLOOKUP($B514,nrCDdate,nrCDnum),""))</f>
        <v/>
      </c>
      <c r="M514" s="16" t="n"/>
      <c r="N514" s="17">
        <f>IF(OR($B514="",$I514=""),"",_xlfn.LET(_xlpm.a,$I514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14" s="17">
        <f>IF(OR($B514="",$D514="",$E514=""),"",IF($E514=$D514,"CHECK TIMES (start = end)",IF($F514&gt;12,"CHECK TIMES (End is before Start?)","OK")))</f>
        <v/>
      </c>
      <c r="P514" s="17">
        <f>IF(OR($B514="",$I514=""),"",IF(IFERROR(MATCH($G514,nrBankTopics,0),0)=0,"OK",IF(COUNTA(INDEX(nrBankGrid,IFERROR(MATCH($G514,nrBankTopics,0),1),0))=0,"OK",IF(SUMPRODUCT((nrInstrNames&lt;&gt;"")*ISNUMBER(SEARCH(nrInstrNames,$I514))*(COUNTIF(INDEX(nrBankGrid,IFERROR(MATCH($G514,nrBankTopics,0),1),0),nrInstrNames)&gt;0))&lt;SUMPRODUCT((nrInstrNames&lt;&gt;"")*ISNUMBER(SEARCH(nrInstrNames,$I514))),"NOT IN BANK","OK"))))</f>
        <v/>
      </c>
    </row>
    <row r="515">
      <c r="B515" s="18" t="n"/>
      <c r="C515" s="17">
        <f>IF($B515="","",TEXT($B515,"ddd"))</f>
        <v/>
      </c>
      <c r="D515" s="41" t="n"/>
      <c r="E515" s="41" t="n"/>
      <c r="F515" s="17">
        <f>IF(OR($B515="",$D515="",$E515=""),"",ROUND(MOD($E515-$D515,1)*24,2))</f>
        <v/>
      </c>
      <c r="G515" s="16" t="n"/>
      <c r="H515" s="17">
        <f>IF($G515="","",IFERROR(_xlfn.XLOOKUP($G515,nrCHname,nrCHnum),IFERROR(_xlfn.XLOOKUP($G515,nrSUBname,nrSUBparent),"")))</f>
        <v/>
      </c>
      <c r="I515" s="16" t="n"/>
      <c r="J515" s="16" t="n"/>
      <c r="K515" s="17">
        <f>IF($B515="","",IFERROR(_xlfn.XLOOKUP($B515,nrCDdate,nrCDweek),""))</f>
        <v/>
      </c>
      <c r="L515" s="17">
        <f>IF($B515="","",IFERROR(_xlfn.XLOOKUP($B515,nrCDdate,nrCDnum),""))</f>
        <v/>
      </c>
      <c r="M515" s="16" t="n"/>
      <c r="N515" s="17">
        <f>IF(OR($B515="",$I515=""),"",_xlfn.LET(_xlpm.a,$I515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15" s="17">
        <f>IF(OR($B515="",$D515="",$E515=""),"",IF($E515=$D515,"CHECK TIMES (start = end)",IF($F515&gt;12,"CHECK TIMES (End is before Start?)","OK")))</f>
        <v/>
      </c>
      <c r="P515" s="17">
        <f>IF(OR($B515="",$I515=""),"",IF(IFERROR(MATCH($G515,nrBankTopics,0),0)=0,"OK",IF(COUNTA(INDEX(nrBankGrid,IFERROR(MATCH($G515,nrBankTopics,0),1),0))=0,"OK",IF(SUMPRODUCT((nrInstrNames&lt;&gt;"")*ISNUMBER(SEARCH(nrInstrNames,$I515))*(COUNTIF(INDEX(nrBankGrid,IFERROR(MATCH($G515,nrBankTopics,0),1),0),nrInstrNames)&gt;0))&lt;SUMPRODUCT((nrInstrNames&lt;&gt;"")*ISNUMBER(SEARCH(nrInstrNames,$I515))),"NOT IN BANK","OK"))))</f>
        <v/>
      </c>
    </row>
    <row r="516">
      <c r="B516" s="18" t="n"/>
      <c r="C516" s="17">
        <f>IF($B516="","",TEXT($B516,"ddd"))</f>
        <v/>
      </c>
      <c r="D516" s="41" t="n"/>
      <c r="E516" s="41" t="n"/>
      <c r="F516" s="17">
        <f>IF(OR($B516="",$D516="",$E516=""),"",ROUND(MOD($E516-$D516,1)*24,2))</f>
        <v/>
      </c>
      <c r="G516" s="16" t="n"/>
      <c r="H516" s="17">
        <f>IF($G516="","",IFERROR(_xlfn.XLOOKUP($G516,nrCHname,nrCHnum),IFERROR(_xlfn.XLOOKUP($G516,nrSUBname,nrSUBparent),"")))</f>
        <v/>
      </c>
      <c r="I516" s="16" t="n"/>
      <c r="J516" s="16" t="n"/>
      <c r="K516" s="17">
        <f>IF($B516="","",IFERROR(_xlfn.XLOOKUP($B516,nrCDdate,nrCDweek),""))</f>
        <v/>
      </c>
      <c r="L516" s="17">
        <f>IF($B516="","",IFERROR(_xlfn.XLOOKUP($B516,nrCDdate,nrCDnum),""))</f>
        <v/>
      </c>
      <c r="M516" s="16" t="n"/>
      <c r="N516" s="17">
        <f>IF(OR($B516="",$I516=""),"",_xlfn.LET(_xlpm.a,$I516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16" s="17">
        <f>IF(OR($B516="",$D516="",$E516=""),"",IF($E516=$D516,"CHECK TIMES (start = end)",IF($F516&gt;12,"CHECK TIMES (End is before Start?)","OK")))</f>
        <v/>
      </c>
      <c r="P516" s="17">
        <f>IF(OR($B516="",$I516=""),"",IF(IFERROR(MATCH($G516,nrBankTopics,0),0)=0,"OK",IF(COUNTA(INDEX(nrBankGrid,IFERROR(MATCH($G516,nrBankTopics,0),1),0))=0,"OK",IF(SUMPRODUCT((nrInstrNames&lt;&gt;"")*ISNUMBER(SEARCH(nrInstrNames,$I516))*(COUNTIF(INDEX(nrBankGrid,IFERROR(MATCH($G516,nrBankTopics,0),1),0),nrInstrNames)&gt;0))&lt;SUMPRODUCT((nrInstrNames&lt;&gt;"")*ISNUMBER(SEARCH(nrInstrNames,$I516))),"NOT IN BANK","OK"))))</f>
        <v/>
      </c>
    </row>
    <row r="517">
      <c r="B517" s="18" t="n"/>
      <c r="C517" s="17">
        <f>IF($B517="","",TEXT($B517,"ddd"))</f>
        <v/>
      </c>
      <c r="D517" s="41" t="n"/>
      <c r="E517" s="41" t="n"/>
      <c r="F517" s="17">
        <f>IF(OR($B517="",$D517="",$E517=""),"",ROUND(MOD($E517-$D517,1)*24,2))</f>
        <v/>
      </c>
      <c r="G517" s="16" t="n"/>
      <c r="H517" s="17">
        <f>IF($G517="","",IFERROR(_xlfn.XLOOKUP($G517,nrCHname,nrCHnum),IFERROR(_xlfn.XLOOKUP($G517,nrSUBname,nrSUBparent),"")))</f>
        <v/>
      </c>
      <c r="I517" s="16" t="n"/>
      <c r="J517" s="16" t="n"/>
      <c r="K517" s="17">
        <f>IF($B517="","",IFERROR(_xlfn.XLOOKUP($B517,nrCDdate,nrCDweek),""))</f>
        <v/>
      </c>
      <c r="L517" s="17">
        <f>IF($B517="","",IFERROR(_xlfn.XLOOKUP($B517,nrCDdate,nrCDnum),""))</f>
        <v/>
      </c>
      <c r="M517" s="16" t="n"/>
      <c r="N517" s="17">
        <f>IF(OR($B517="",$I517=""),"",_xlfn.LET(_xlpm.a,$I517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17" s="17">
        <f>IF(OR($B517="",$D517="",$E517=""),"",IF($E517=$D517,"CHECK TIMES (start = end)",IF($F517&gt;12,"CHECK TIMES (End is before Start?)","OK")))</f>
        <v/>
      </c>
      <c r="P517" s="17">
        <f>IF(OR($B517="",$I517=""),"",IF(IFERROR(MATCH($G517,nrBankTopics,0),0)=0,"OK",IF(COUNTA(INDEX(nrBankGrid,IFERROR(MATCH($G517,nrBankTopics,0),1),0))=0,"OK",IF(SUMPRODUCT((nrInstrNames&lt;&gt;"")*ISNUMBER(SEARCH(nrInstrNames,$I517))*(COUNTIF(INDEX(nrBankGrid,IFERROR(MATCH($G517,nrBankTopics,0),1),0),nrInstrNames)&gt;0))&lt;SUMPRODUCT((nrInstrNames&lt;&gt;"")*ISNUMBER(SEARCH(nrInstrNames,$I517))),"NOT IN BANK","OK"))))</f>
        <v/>
      </c>
    </row>
    <row r="518">
      <c r="B518" s="18" t="n"/>
      <c r="C518" s="17">
        <f>IF($B518="","",TEXT($B518,"ddd"))</f>
        <v/>
      </c>
      <c r="D518" s="41" t="n"/>
      <c r="E518" s="41" t="n"/>
      <c r="F518" s="17">
        <f>IF(OR($B518="",$D518="",$E518=""),"",ROUND(MOD($E518-$D518,1)*24,2))</f>
        <v/>
      </c>
      <c r="G518" s="16" t="n"/>
      <c r="H518" s="17">
        <f>IF($G518="","",IFERROR(_xlfn.XLOOKUP($G518,nrCHname,nrCHnum),IFERROR(_xlfn.XLOOKUP($G518,nrSUBname,nrSUBparent),"")))</f>
        <v/>
      </c>
      <c r="I518" s="16" t="n"/>
      <c r="J518" s="16" t="n"/>
      <c r="K518" s="17">
        <f>IF($B518="","",IFERROR(_xlfn.XLOOKUP($B518,nrCDdate,nrCDweek),""))</f>
        <v/>
      </c>
      <c r="L518" s="17">
        <f>IF($B518="","",IFERROR(_xlfn.XLOOKUP($B518,nrCDdate,nrCDnum),""))</f>
        <v/>
      </c>
      <c r="M518" s="16" t="n"/>
      <c r="N518" s="17">
        <f>IF(OR($B518="",$I518=""),"",_xlfn.LET(_xlpm.a,$I518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18" s="17">
        <f>IF(OR($B518="",$D518="",$E518=""),"",IF($E518=$D518,"CHECK TIMES (start = end)",IF($F518&gt;12,"CHECK TIMES (End is before Start?)","OK")))</f>
        <v/>
      </c>
      <c r="P518" s="17">
        <f>IF(OR($B518="",$I518=""),"",IF(IFERROR(MATCH($G518,nrBankTopics,0),0)=0,"OK",IF(COUNTA(INDEX(nrBankGrid,IFERROR(MATCH($G518,nrBankTopics,0),1),0))=0,"OK",IF(SUMPRODUCT((nrInstrNames&lt;&gt;"")*ISNUMBER(SEARCH(nrInstrNames,$I518))*(COUNTIF(INDEX(nrBankGrid,IFERROR(MATCH($G518,nrBankTopics,0),1),0),nrInstrNames)&gt;0))&lt;SUMPRODUCT((nrInstrNames&lt;&gt;"")*ISNUMBER(SEARCH(nrInstrNames,$I518))),"NOT IN BANK","OK"))))</f>
        <v/>
      </c>
    </row>
    <row r="519">
      <c r="B519" s="18" t="n"/>
      <c r="C519" s="17">
        <f>IF($B519="","",TEXT($B519,"ddd"))</f>
        <v/>
      </c>
      <c r="D519" s="41" t="n"/>
      <c r="E519" s="41" t="n"/>
      <c r="F519" s="17">
        <f>IF(OR($B519="",$D519="",$E519=""),"",ROUND(MOD($E519-$D519,1)*24,2))</f>
        <v/>
      </c>
      <c r="G519" s="16" t="n"/>
      <c r="H519" s="17">
        <f>IF($G519="","",IFERROR(_xlfn.XLOOKUP($G519,nrCHname,nrCHnum),IFERROR(_xlfn.XLOOKUP($G519,nrSUBname,nrSUBparent),"")))</f>
        <v/>
      </c>
      <c r="I519" s="16" t="n"/>
      <c r="J519" s="16" t="n"/>
      <c r="K519" s="17">
        <f>IF($B519="","",IFERROR(_xlfn.XLOOKUP($B519,nrCDdate,nrCDweek),""))</f>
        <v/>
      </c>
      <c r="L519" s="17">
        <f>IF($B519="","",IFERROR(_xlfn.XLOOKUP($B519,nrCDdate,nrCDnum),""))</f>
        <v/>
      </c>
      <c r="M519" s="16" t="n"/>
      <c r="N519" s="17">
        <f>IF(OR($B519="",$I519=""),"",_xlfn.LET(_xlpm.a,$I519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19" s="17">
        <f>IF(OR($B519="",$D519="",$E519=""),"",IF($E519=$D519,"CHECK TIMES (start = end)",IF($F519&gt;12,"CHECK TIMES (End is before Start?)","OK")))</f>
        <v/>
      </c>
      <c r="P519" s="17">
        <f>IF(OR($B519="",$I519=""),"",IF(IFERROR(MATCH($G519,nrBankTopics,0),0)=0,"OK",IF(COUNTA(INDEX(nrBankGrid,IFERROR(MATCH($G519,nrBankTopics,0),1),0))=0,"OK",IF(SUMPRODUCT((nrInstrNames&lt;&gt;"")*ISNUMBER(SEARCH(nrInstrNames,$I519))*(COUNTIF(INDEX(nrBankGrid,IFERROR(MATCH($G519,nrBankTopics,0),1),0),nrInstrNames)&gt;0))&lt;SUMPRODUCT((nrInstrNames&lt;&gt;"")*ISNUMBER(SEARCH(nrInstrNames,$I519))),"NOT IN BANK","OK"))))</f>
        <v/>
      </c>
    </row>
    <row r="520">
      <c r="B520" s="18" t="n"/>
      <c r="C520" s="17">
        <f>IF($B520="","",TEXT($B520,"ddd"))</f>
        <v/>
      </c>
      <c r="D520" s="41" t="n"/>
      <c r="E520" s="41" t="n"/>
      <c r="F520" s="17">
        <f>IF(OR($B520="",$D520="",$E520=""),"",ROUND(MOD($E520-$D520,1)*24,2))</f>
        <v/>
      </c>
      <c r="G520" s="16" t="n"/>
      <c r="H520" s="17">
        <f>IF($G520="","",IFERROR(_xlfn.XLOOKUP($G520,nrCHname,nrCHnum),IFERROR(_xlfn.XLOOKUP($G520,nrSUBname,nrSUBparent),"")))</f>
        <v/>
      </c>
      <c r="I520" s="16" t="n"/>
      <c r="J520" s="16" t="n"/>
      <c r="K520" s="17">
        <f>IF($B520="","",IFERROR(_xlfn.XLOOKUP($B520,nrCDdate,nrCDweek),""))</f>
        <v/>
      </c>
      <c r="L520" s="17">
        <f>IF($B520="","",IFERROR(_xlfn.XLOOKUP($B520,nrCDdate,nrCDnum),""))</f>
        <v/>
      </c>
      <c r="M520" s="16" t="n"/>
      <c r="N520" s="17">
        <f>IF(OR($B520="",$I520=""),"",_xlfn.LET(_xlpm.a,$I520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20" s="17">
        <f>IF(OR($B520="",$D520="",$E520=""),"",IF($E520=$D520,"CHECK TIMES (start = end)",IF($F520&gt;12,"CHECK TIMES (End is before Start?)","OK")))</f>
        <v/>
      </c>
      <c r="P520" s="17">
        <f>IF(OR($B520="",$I520=""),"",IF(IFERROR(MATCH($G520,nrBankTopics,0),0)=0,"OK",IF(COUNTA(INDEX(nrBankGrid,IFERROR(MATCH($G520,nrBankTopics,0),1),0))=0,"OK",IF(SUMPRODUCT((nrInstrNames&lt;&gt;"")*ISNUMBER(SEARCH(nrInstrNames,$I520))*(COUNTIF(INDEX(nrBankGrid,IFERROR(MATCH($G520,nrBankTopics,0),1),0),nrInstrNames)&gt;0))&lt;SUMPRODUCT((nrInstrNames&lt;&gt;"")*ISNUMBER(SEARCH(nrInstrNames,$I520))),"NOT IN BANK","OK"))))</f>
        <v/>
      </c>
    </row>
    <row r="521">
      <c r="B521" s="18" t="n"/>
      <c r="C521" s="17">
        <f>IF($B521="","",TEXT($B521,"ddd"))</f>
        <v/>
      </c>
      <c r="D521" s="41" t="n"/>
      <c r="E521" s="41" t="n"/>
      <c r="F521" s="17">
        <f>IF(OR($B521="",$D521="",$E521=""),"",ROUND(MOD($E521-$D521,1)*24,2))</f>
        <v/>
      </c>
      <c r="G521" s="16" t="n"/>
      <c r="H521" s="17">
        <f>IF($G521="","",IFERROR(_xlfn.XLOOKUP($G521,nrCHname,nrCHnum),IFERROR(_xlfn.XLOOKUP($G521,nrSUBname,nrSUBparent),"")))</f>
        <v/>
      </c>
      <c r="I521" s="16" t="n"/>
      <c r="J521" s="16" t="n"/>
      <c r="K521" s="17">
        <f>IF($B521="","",IFERROR(_xlfn.XLOOKUP($B521,nrCDdate,nrCDweek),""))</f>
        <v/>
      </c>
      <c r="L521" s="17">
        <f>IF($B521="","",IFERROR(_xlfn.XLOOKUP($B521,nrCDdate,nrCDnum),""))</f>
        <v/>
      </c>
      <c r="M521" s="16" t="n"/>
      <c r="N521" s="17">
        <f>IF(OR($B521="",$I521=""),"",_xlfn.LET(_xlpm.a,$I521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21" s="17">
        <f>IF(OR($B521="",$D521="",$E521=""),"",IF($E521=$D521,"CHECK TIMES (start = end)",IF($F521&gt;12,"CHECK TIMES (End is before Start?)","OK")))</f>
        <v/>
      </c>
      <c r="P521" s="17">
        <f>IF(OR($B521="",$I521=""),"",IF(IFERROR(MATCH($G521,nrBankTopics,0),0)=0,"OK",IF(COUNTA(INDEX(nrBankGrid,IFERROR(MATCH($G521,nrBankTopics,0),1),0))=0,"OK",IF(SUMPRODUCT((nrInstrNames&lt;&gt;"")*ISNUMBER(SEARCH(nrInstrNames,$I521))*(COUNTIF(INDEX(nrBankGrid,IFERROR(MATCH($G521,nrBankTopics,0),1),0),nrInstrNames)&gt;0))&lt;SUMPRODUCT((nrInstrNames&lt;&gt;"")*ISNUMBER(SEARCH(nrInstrNames,$I521))),"NOT IN BANK","OK"))))</f>
        <v/>
      </c>
    </row>
    <row r="522">
      <c r="B522" s="18" t="n"/>
      <c r="C522" s="17">
        <f>IF($B522="","",TEXT($B522,"ddd"))</f>
        <v/>
      </c>
      <c r="D522" s="41" t="n"/>
      <c r="E522" s="41" t="n"/>
      <c r="F522" s="17">
        <f>IF(OR($B522="",$D522="",$E522=""),"",ROUND(MOD($E522-$D522,1)*24,2))</f>
        <v/>
      </c>
      <c r="G522" s="16" t="n"/>
      <c r="H522" s="17">
        <f>IF($G522="","",IFERROR(_xlfn.XLOOKUP($G522,nrCHname,nrCHnum),IFERROR(_xlfn.XLOOKUP($G522,nrSUBname,nrSUBparent),"")))</f>
        <v/>
      </c>
      <c r="I522" s="16" t="n"/>
      <c r="J522" s="16" t="n"/>
      <c r="K522" s="17">
        <f>IF($B522="","",IFERROR(_xlfn.XLOOKUP($B522,nrCDdate,nrCDweek),""))</f>
        <v/>
      </c>
      <c r="L522" s="17">
        <f>IF($B522="","",IFERROR(_xlfn.XLOOKUP($B522,nrCDdate,nrCDnum),""))</f>
        <v/>
      </c>
      <c r="M522" s="16" t="n"/>
      <c r="N522" s="17">
        <f>IF(OR($B522="",$I522=""),"",_xlfn.LET(_xlpm.a,$I522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22" s="17">
        <f>IF(OR($B522="",$D522="",$E522=""),"",IF($E522=$D522,"CHECK TIMES (start = end)",IF($F522&gt;12,"CHECK TIMES (End is before Start?)","OK")))</f>
        <v/>
      </c>
      <c r="P522" s="17">
        <f>IF(OR($B522="",$I522=""),"",IF(IFERROR(MATCH($G522,nrBankTopics,0),0)=0,"OK",IF(COUNTA(INDEX(nrBankGrid,IFERROR(MATCH($G522,nrBankTopics,0),1),0))=0,"OK",IF(SUMPRODUCT((nrInstrNames&lt;&gt;"")*ISNUMBER(SEARCH(nrInstrNames,$I522))*(COUNTIF(INDEX(nrBankGrid,IFERROR(MATCH($G522,nrBankTopics,0),1),0),nrInstrNames)&gt;0))&lt;SUMPRODUCT((nrInstrNames&lt;&gt;"")*ISNUMBER(SEARCH(nrInstrNames,$I522))),"NOT IN BANK","OK"))))</f>
        <v/>
      </c>
    </row>
    <row r="523">
      <c r="B523" s="18" t="n"/>
      <c r="C523" s="17">
        <f>IF($B523="","",TEXT($B523,"ddd"))</f>
        <v/>
      </c>
      <c r="D523" s="41" t="n"/>
      <c r="E523" s="41" t="n"/>
      <c r="F523" s="17">
        <f>IF(OR($B523="",$D523="",$E523=""),"",ROUND(MOD($E523-$D523,1)*24,2))</f>
        <v/>
      </c>
      <c r="G523" s="16" t="n"/>
      <c r="H523" s="17">
        <f>IF($G523="","",IFERROR(_xlfn.XLOOKUP($G523,nrCHname,nrCHnum),IFERROR(_xlfn.XLOOKUP($G523,nrSUBname,nrSUBparent),"")))</f>
        <v/>
      </c>
      <c r="I523" s="16" t="n"/>
      <c r="J523" s="16" t="n"/>
      <c r="K523" s="17">
        <f>IF($B523="","",IFERROR(_xlfn.XLOOKUP($B523,nrCDdate,nrCDweek),""))</f>
        <v/>
      </c>
      <c r="L523" s="17">
        <f>IF($B523="","",IFERROR(_xlfn.XLOOKUP($B523,nrCDdate,nrCDnum),""))</f>
        <v/>
      </c>
      <c r="M523" s="16" t="n"/>
      <c r="N523" s="17">
        <f>IF(OR($B523="",$I523=""),"",_xlfn.LET(_xlpm.a,$I523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23" s="17">
        <f>IF(OR($B523="",$D523="",$E523=""),"",IF($E523=$D523,"CHECK TIMES (start = end)",IF($F523&gt;12,"CHECK TIMES (End is before Start?)","OK")))</f>
        <v/>
      </c>
      <c r="P523" s="17">
        <f>IF(OR($B523="",$I523=""),"",IF(IFERROR(MATCH($G523,nrBankTopics,0),0)=0,"OK",IF(COUNTA(INDEX(nrBankGrid,IFERROR(MATCH($G523,nrBankTopics,0),1),0))=0,"OK",IF(SUMPRODUCT((nrInstrNames&lt;&gt;"")*ISNUMBER(SEARCH(nrInstrNames,$I523))*(COUNTIF(INDEX(nrBankGrid,IFERROR(MATCH($G523,nrBankTopics,0),1),0),nrInstrNames)&gt;0))&lt;SUMPRODUCT((nrInstrNames&lt;&gt;"")*ISNUMBER(SEARCH(nrInstrNames,$I523))),"NOT IN BANK","OK"))))</f>
        <v/>
      </c>
    </row>
    <row r="524">
      <c r="B524" s="18" t="n"/>
      <c r="C524" s="17">
        <f>IF($B524="","",TEXT($B524,"ddd"))</f>
        <v/>
      </c>
      <c r="D524" s="41" t="n"/>
      <c r="E524" s="41" t="n"/>
      <c r="F524" s="17">
        <f>IF(OR($B524="",$D524="",$E524=""),"",ROUND(MOD($E524-$D524,1)*24,2))</f>
        <v/>
      </c>
      <c r="G524" s="16" t="n"/>
      <c r="H524" s="17">
        <f>IF($G524="","",IFERROR(_xlfn.XLOOKUP($G524,nrCHname,nrCHnum),IFERROR(_xlfn.XLOOKUP($G524,nrSUBname,nrSUBparent),"")))</f>
        <v/>
      </c>
      <c r="I524" s="16" t="n"/>
      <c r="J524" s="16" t="n"/>
      <c r="K524" s="17">
        <f>IF($B524="","",IFERROR(_xlfn.XLOOKUP($B524,nrCDdate,nrCDweek),""))</f>
        <v/>
      </c>
      <c r="L524" s="17">
        <f>IF($B524="","",IFERROR(_xlfn.XLOOKUP($B524,nrCDdate,nrCDnum),""))</f>
        <v/>
      </c>
      <c r="M524" s="16" t="n"/>
      <c r="N524" s="17">
        <f>IF(OR($B524="",$I524=""),"",_xlfn.LET(_xlpm.a,$I524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24" s="17">
        <f>IF(OR($B524="",$D524="",$E524=""),"",IF($E524=$D524,"CHECK TIMES (start = end)",IF($F524&gt;12,"CHECK TIMES (End is before Start?)","OK")))</f>
        <v/>
      </c>
      <c r="P524" s="17">
        <f>IF(OR($B524="",$I524=""),"",IF(IFERROR(MATCH($G524,nrBankTopics,0),0)=0,"OK",IF(COUNTA(INDEX(nrBankGrid,IFERROR(MATCH($G524,nrBankTopics,0),1),0))=0,"OK",IF(SUMPRODUCT((nrInstrNames&lt;&gt;"")*ISNUMBER(SEARCH(nrInstrNames,$I524))*(COUNTIF(INDEX(nrBankGrid,IFERROR(MATCH($G524,nrBankTopics,0),1),0),nrInstrNames)&gt;0))&lt;SUMPRODUCT((nrInstrNames&lt;&gt;"")*ISNUMBER(SEARCH(nrInstrNames,$I524))),"NOT IN BANK","OK"))))</f>
        <v/>
      </c>
    </row>
    <row r="525">
      <c r="B525" s="18" t="n"/>
      <c r="C525" s="17">
        <f>IF($B525="","",TEXT($B525,"ddd"))</f>
        <v/>
      </c>
      <c r="D525" s="41" t="n"/>
      <c r="E525" s="41" t="n"/>
      <c r="F525" s="17">
        <f>IF(OR($B525="",$D525="",$E525=""),"",ROUND(MOD($E525-$D525,1)*24,2))</f>
        <v/>
      </c>
      <c r="G525" s="16" t="n"/>
      <c r="H525" s="17">
        <f>IF($G525="","",IFERROR(_xlfn.XLOOKUP($G525,nrCHname,nrCHnum),IFERROR(_xlfn.XLOOKUP($G525,nrSUBname,nrSUBparent),"")))</f>
        <v/>
      </c>
      <c r="I525" s="16" t="n"/>
      <c r="J525" s="16" t="n"/>
      <c r="K525" s="17">
        <f>IF($B525="","",IFERROR(_xlfn.XLOOKUP($B525,nrCDdate,nrCDweek),""))</f>
        <v/>
      </c>
      <c r="L525" s="17">
        <f>IF($B525="","",IFERROR(_xlfn.XLOOKUP($B525,nrCDdate,nrCDnum),""))</f>
        <v/>
      </c>
      <c r="M525" s="16" t="n"/>
      <c r="N525" s="17">
        <f>IF(OR($B525="",$I525=""),"",_xlfn.LET(_xlpm.a,$I525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25" s="17">
        <f>IF(OR($B525="",$D525="",$E525=""),"",IF($E525=$D525,"CHECK TIMES (start = end)",IF($F525&gt;12,"CHECK TIMES (End is before Start?)","OK")))</f>
        <v/>
      </c>
      <c r="P525" s="17">
        <f>IF(OR($B525="",$I525=""),"",IF(IFERROR(MATCH($G525,nrBankTopics,0),0)=0,"OK",IF(COUNTA(INDEX(nrBankGrid,IFERROR(MATCH($G525,nrBankTopics,0),1),0))=0,"OK",IF(SUMPRODUCT((nrInstrNames&lt;&gt;"")*ISNUMBER(SEARCH(nrInstrNames,$I525))*(COUNTIF(INDEX(nrBankGrid,IFERROR(MATCH($G525,nrBankTopics,0),1),0),nrInstrNames)&gt;0))&lt;SUMPRODUCT((nrInstrNames&lt;&gt;"")*ISNUMBER(SEARCH(nrInstrNames,$I525))),"NOT IN BANK","OK"))))</f>
        <v/>
      </c>
    </row>
    <row r="526">
      <c r="B526" s="18" t="n"/>
      <c r="C526" s="17">
        <f>IF($B526="","",TEXT($B526,"ddd"))</f>
        <v/>
      </c>
      <c r="D526" s="41" t="n"/>
      <c r="E526" s="41" t="n"/>
      <c r="F526" s="17">
        <f>IF(OR($B526="",$D526="",$E526=""),"",ROUND(MOD($E526-$D526,1)*24,2))</f>
        <v/>
      </c>
      <c r="G526" s="16" t="n"/>
      <c r="H526" s="17">
        <f>IF($G526="","",IFERROR(_xlfn.XLOOKUP($G526,nrCHname,nrCHnum),IFERROR(_xlfn.XLOOKUP($G526,nrSUBname,nrSUBparent),"")))</f>
        <v/>
      </c>
      <c r="I526" s="16" t="n"/>
      <c r="J526" s="16" t="n"/>
      <c r="K526" s="17">
        <f>IF($B526="","",IFERROR(_xlfn.XLOOKUP($B526,nrCDdate,nrCDweek),""))</f>
        <v/>
      </c>
      <c r="L526" s="17">
        <f>IF($B526="","",IFERROR(_xlfn.XLOOKUP($B526,nrCDdate,nrCDnum),""))</f>
        <v/>
      </c>
      <c r="M526" s="16" t="n"/>
      <c r="N526" s="17">
        <f>IF(OR($B526="",$I526=""),"",_xlfn.LET(_xlpm.a,$I526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26" s="17">
        <f>IF(OR($B526="",$D526="",$E526=""),"",IF($E526=$D526,"CHECK TIMES (start = end)",IF($F526&gt;12,"CHECK TIMES (End is before Start?)","OK")))</f>
        <v/>
      </c>
      <c r="P526" s="17">
        <f>IF(OR($B526="",$I526=""),"",IF(IFERROR(MATCH($G526,nrBankTopics,0),0)=0,"OK",IF(COUNTA(INDEX(nrBankGrid,IFERROR(MATCH($G526,nrBankTopics,0),1),0))=0,"OK",IF(SUMPRODUCT((nrInstrNames&lt;&gt;"")*ISNUMBER(SEARCH(nrInstrNames,$I526))*(COUNTIF(INDEX(nrBankGrid,IFERROR(MATCH($G526,nrBankTopics,0),1),0),nrInstrNames)&gt;0))&lt;SUMPRODUCT((nrInstrNames&lt;&gt;"")*ISNUMBER(SEARCH(nrInstrNames,$I526))),"NOT IN BANK","OK"))))</f>
        <v/>
      </c>
    </row>
    <row r="527">
      <c r="B527" s="18" t="n"/>
      <c r="C527" s="17">
        <f>IF($B527="","",TEXT($B527,"ddd"))</f>
        <v/>
      </c>
      <c r="D527" s="41" t="n"/>
      <c r="E527" s="41" t="n"/>
      <c r="F527" s="17">
        <f>IF(OR($B527="",$D527="",$E527=""),"",ROUND(MOD($E527-$D527,1)*24,2))</f>
        <v/>
      </c>
      <c r="G527" s="16" t="n"/>
      <c r="H527" s="17">
        <f>IF($G527="","",IFERROR(_xlfn.XLOOKUP($G527,nrCHname,nrCHnum),IFERROR(_xlfn.XLOOKUP($G527,nrSUBname,nrSUBparent),"")))</f>
        <v/>
      </c>
      <c r="I527" s="16" t="n"/>
      <c r="J527" s="16" t="n"/>
      <c r="K527" s="17">
        <f>IF($B527="","",IFERROR(_xlfn.XLOOKUP($B527,nrCDdate,nrCDweek),""))</f>
        <v/>
      </c>
      <c r="L527" s="17">
        <f>IF($B527="","",IFERROR(_xlfn.XLOOKUP($B527,nrCDdate,nrCDnum),""))</f>
        <v/>
      </c>
      <c r="M527" s="16" t="n"/>
      <c r="N527" s="17">
        <f>IF(OR($B527="",$I527=""),"",_xlfn.LET(_xlpm.a,$I527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27" s="17">
        <f>IF(OR($B527="",$D527="",$E527=""),"",IF($E527=$D527,"CHECK TIMES (start = end)",IF($F527&gt;12,"CHECK TIMES (End is before Start?)","OK")))</f>
        <v/>
      </c>
      <c r="P527" s="17">
        <f>IF(OR($B527="",$I527=""),"",IF(IFERROR(MATCH($G527,nrBankTopics,0),0)=0,"OK",IF(COUNTA(INDEX(nrBankGrid,IFERROR(MATCH($G527,nrBankTopics,0),1),0))=0,"OK",IF(SUMPRODUCT((nrInstrNames&lt;&gt;"")*ISNUMBER(SEARCH(nrInstrNames,$I527))*(COUNTIF(INDEX(nrBankGrid,IFERROR(MATCH($G527,nrBankTopics,0),1),0),nrInstrNames)&gt;0))&lt;SUMPRODUCT((nrInstrNames&lt;&gt;"")*ISNUMBER(SEARCH(nrInstrNames,$I527))),"NOT IN BANK","OK"))))</f>
        <v/>
      </c>
    </row>
    <row r="528">
      <c r="B528" s="18" t="n"/>
      <c r="C528" s="17">
        <f>IF($B528="","",TEXT($B528,"ddd"))</f>
        <v/>
      </c>
      <c r="D528" s="41" t="n"/>
      <c r="E528" s="41" t="n"/>
      <c r="F528" s="17">
        <f>IF(OR($B528="",$D528="",$E528=""),"",ROUND(MOD($E528-$D528,1)*24,2))</f>
        <v/>
      </c>
      <c r="G528" s="16" t="n"/>
      <c r="H528" s="17">
        <f>IF($G528="","",IFERROR(_xlfn.XLOOKUP($G528,nrCHname,nrCHnum),IFERROR(_xlfn.XLOOKUP($G528,nrSUBname,nrSUBparent),"")))</f>
        <v/>
      </c>
      <c r="I528" s="16" t="n"/>
      <c r="J528" s="16" t="n"/>
      <c r="K528" s="17">
        <f>IF($B528="","",IFERROR(_xlfn.XLOOKUP($B528,nrCDdate,nrCDweek),""))</f>
        <v/>
      </c>
      <c r="L528" s="17">
        <f>IF($B528="","",IFERROR(_xlfn.XLOOKUP($B528,nrCDdate,nrCDnum),""))</f>
        <v/>
      </c>
      <c r="M528" s="16" t="n"/>
      <c r="N528" s="17">
        <f>IF(OR($B528="",$I528=""),"",_xlfn.LET(_xlpm.a,$I528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28" s="17">
        <f>IF(OR($B528="",$D528="",$E528=""),"",IF($E528=$D528,"CHECK TIMES (start = end)",IF($F528&gt;12,"CHECK TIMES (End is before Start?)","OK")))</f>
        <v/>
      </c>
      <c r="P528" s="17">
        <f>IF(OR($B528="",$I528=""),"",IF(IFERROR(MATCH($G528,nrBankTopics,0),0)=0,"OK",IF(COUNTA(INDEX(nrBankGrid,IFERROR(MATCH($G528,nrBankTopics,0),1),0))=0,"OK",IF(SUMPRODUCT((nrInstrNames&lt;&gt;"")*ISNUMBER(SEARCH(nrInstrNames,$I528))*(COUNTIF(INDEX(nrBankGrid,IFERROR(MATCH($G528,nrBankTopics,0),1),0),nrInstrNames)&gt;0))&lt;SUMPRODUCT((nrInstrNames&lt;&gt;"")*ISNUMBER(SEARCH(nrInstrNames,$I528))),"NOT IN BANK","OK"))))</f>
        <v/>
      </c>
    </row>
    <row r="529">
      <c r="B529" s="18" t="n"/>
      <c r="C529" s="17">
        <f>IF($B529="","",TEXT($B529,"ddd"))</f>
        <v/>
      </c>
      <c r="D529" s="41" t="n"/>
      <c r="E529" s="41" t="n"/>
      <c r="F529" s="17">
        <f>IF(OR($B529="",$D529="",$E529=""),"",ROUND(MOD($E529-$D529,1)*24,2))</f>
        <v/>
      </c>
      <c r="G529" s="16" t="n"/>
      <c r="H529" s="17">
        <f>IF($G529="","",IFERROR(_xlfn.XLOOKUP($G529,nrCHname,nrCHnum),IFERROR(_xlfn.XLOOKUP($G529,nrSUBname,nrSUBparent),"")))</f>
        <v/>
      </c>
      <c r="I529" s="16" t="n"/>
      <c r="J529" s="16" t="n"/>
      <c r="K529" s="17">
        <f>IF($B529="","",IFERROR(_xlfn.XLOOKUP($B529,nrCDdate,nrCDweek),""))</f>
        <v/>
      </c>
      <c r="L529" s="17">
        <f>IF($B529="","",IFERROR(_xlfn.XLOOKUP($B529,nrCDdate,nrCDnum),""))</f>
        <v/>
      </c>
      <c r="M529" s="16" t="n"/>
      <c r="N529" s="17">
        <f>IF(OR($B529="",$I529=""),"",_xlfn.LET(_xlpm.a,$I529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29" s="17">
        <f>IF(OR($B529="",$D529="",$E529=""),"",IF($E529=$D529,"CHECK TIMES (start = end)",IF($F529&gt;12,"CHECK TIMES (End is before Start?)","OK")))</f>
        <v/>
      </c>
      <c r="P529" s="17">
        <f>IF(OR($B529="",$I529=""),"",IF(IFERROR(MATCH($G529,nrBankTopics,0),0)=0,"OK",IF(COUNTA(INDEX(nrBankGrid,IFERROR(MATCH($G529,nrBankTopics,0),1),0))=0,"OK",IF(SUMPRODUCT((nrInstrNames&lt;&gt;"")*ISNUMBER(SEARCH(nrInstrNames,$I529))*(COUNTIF(INDEX(nrBankGrid,IFERROR(MATCH($G529,nrBankTopics,0),1),0),nrInstrNames)&gt;0))&lt;SUMPRODUCT((nrInstrNames&lt;&gt;"")*ISNUMBER(SEARCH(nrInstrNames,$I529))),"NOT IN BANK","OK"))))</f>
        <v/>
      </c>
    </row>
    <row r="530">
      <c r="B530" s="18" t="n"/>
      <c r="C530" s="17">
        <f>IF($B530="","",TEXT($B530,"ddd"))</f>
        <v/>
      </c>
      <c r="D530" s="41" t="n"/>
      <c r="E530" s="41" t="n"/>
      <c r="F530" s="17">
        <f>IF(OR($B530="",$D530="",$E530=""),"",ROUND(MOD($E530-$D530,1)*24,2))</f>
        <v/>
      </c>
      <c r="G530" s="16" t="n"/>
      <c r="H530" s="17">
        <f>IF($G530="","",IFERROR(_xlfn.XLOOKUP($G530,nrCHname,nrCHnum),IFERROR(_xlfn.XLOOKUP($G530,nrSUBname,nrSUBparent),"")))</f>
        <v/>
      </c>
      <c r="I530" s="16" t="n"/>
      <c r="J530" s="16" t="n"/>
      <c r="K530" s="17">
        <f>IF($B530="","",IFERROR(_xlfn.XLOOKUP($B530,nrCDdate,nrCDweek),""))</f>
        <v/>
      </c>
      <c r="L530" s="17">
        <f>IF($B530="","",IFERROR(_xlfn.XLOOKUP($B530,nrCDdate,nrCDnum),""))</f>
        <v/>
      </c>
      <c r="M530" s="16" t="n"/>
      <c r="N530" s="17">
        <f>IF(OR($B530="",$I530=""),"",_xlfn.LET(_xlpm.a,$I530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30" s="17">
        <f>IF(OR($B530="",$D530="",$E530=""),"",IF($E530=$D530,"CHECK TIMES (start = end)",IF($F530&gt;12,"CHECK TIMES (End is before Start?)","OK")))</f>
        <v/>
      </c>
      <c r="P530" s="17">
        <f>IF(OR($B530="",$I530=""),"",IF(IFERROR(MATCH($G530,nrBankTopics,0),0)=0,"OK",IF(COUNTA(INDEX(nrBankGrid,IFERROR(MATCH($G530,nrBankTopics,0),1),0))=0,"OK",IF(SUMPRODUCT((nrInstrNames&lt;&gt;"")*ISNUMBER(SEARCH(nrInstrNames,$I530))*(COUNTIF(INDEX(nrBankGrid,IFERROR(MATCH($G530,nrBankTopics,0),1),0),nrInstrNames)&gt;0))&lt;SUMPRODUCT((nrInstrNames&lt;&gt;"")*ISNUMBER(SEARCH(nrInstrNames,$I530))),"NOT IN BANK","OK"))))</f>
        <v/>
      </c>
    </row>
    <row r="531">
      <c r="B531" s="18" t="n"/>
      <c r="C531" s="17">
        <f>IF($B531="","",TEXT($B531,"ddd"))</f>
        <v/>
      </c>
      <c r="D531" s="41" t="n"/>
      <c r="E531" s="41" t="n"/>
      <c r="F531" s="17">
        <f>IF(OR($B531="",$D531="",$E531=""),"",ROUND(MOD($E531-$D531,1)*24,2))</f>
        <v/>
      </c>
      <c r="G531" s="16" t="n"/>
      <c r="H531" s="17">
        <f>IF($G531="","",IFERROR(_xlfn.XLOOKUP($G531,nrCHname,nrCHnum),IFERROR(_xlfn.XLOOKUP($G531,nrSUBname,nrSUBparent),"")))</f>
        <v/>
      </c>
      <c r="I531" s="16" t="n"/>
      <c r="J531" s="16" t="n"/>
      <c r="K531" s="17">
        <f>IF($B531="","",IFERROR(_xlfn.XLOOKUP($B531,nrCDdate,nrCDweek),""))</f>
        <v/>
      </c>
      <c r="L531" s="17">
        <f>IF($B531="","",IFERROR(_xlfn.XLOOKUP($B531,nrCDdate,nrCDnum),""))</f>
        <v/>
      </c>
      <c r="M531" s="16" t="n"/>
      <c r="N531" s="17">
        <f>IF(OR($B531="",$I531=""),"",_xlfn.LET(_xlpm.a,$I531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31" s="17">
        <f>IF(OR($B531="",$D531="",$E531=""),"",IF($E531=$D531,"CHECK TIMES (start = end)",IF($F531&gt;12,"CHECK TIMES (End is before Start?)","OK")))</f>
        <v/>
      </c>
      <c r="P531" s="17">
        <f>IF(OR($B531="",$I531=""),"",IF(IFERROR(MATCH($G531,nrBankTopics,0),0)=0,"OK",IF(COUNTA(INDEX(nrBankGrid,IFERROR(MATCH($G531,nrBankTopics,0),1),0))=0,"OK",IF(SUMPRODUCT((nrInstrNames&lt;&gt;"")*ISNUMBER(SEARCH(nrInstrNames,$I531))*(COUNTIF(INDEX(nrBankGrid,IFERROR(MATCH($G531,nrBankTopics,0),1),0),nrInstrNames)&gt;0))&lt;SUMPRODUCT((nrInstrNames&lt;&gt;"")*ISNUMBER(SEARCH(nrInstrNames,$I531))),"NOT IN BANK","OK"))))</f>
        <v/>
      </c>
    </row>
    <row r="532">
      <c r="B532" s="18" t="n"/>
      <c r="C532" s="17">
        <f>IF($B532="","",TEXT($B532,"ddd"))</f>
        <v/>
      </c>
      <c r="D532" s="41" t="n"/>
      <c r="E532" s="41" t="n"/>
      <c r="F532" s="17">
        <f>IF(OR($B532="",$D532="",$E532=""),"",ROUND(MOD($E532-$D532,1)*24,2))</f>
        <v/>
      </c>
      <c r="G532" s="16" t="n"/>
      <c r="H532" s="17">
        <f>IF($G532="","",IFERROR(_xlfn.XLOOKUP($G532,nrCHname,nrCHnum),IFERROR(_xlfn.XLOOKUP($G532,nrSUBname,nrSUBparent),"")))</f>
        <v/>
      </c>
      <c r="I532" s="16" t="n"/>
      <c r="J532" s="16" t="n"/>
      <c r="K532" s="17">
        <f>IF($B532="","",IFERROR(_xlfn.XLOOKUP($B532,nrCDdate,nrCDweek),""))</f>
        <v/>
      </c>
      <c r="L532" s="17">
        <f>IF($B532="","",IFERROR(_xlfn.XLOOKUP($B532,nrCDdate,nrCDnum),""))</f>
        <v/>
      </c>
      <c r="M532" s="16" t="n"/>
      <c r="N532" s="17">
        <f>IF(OR($B532="",$I532=""),"",_xlfn.LET(_xlpm.a,$I532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32" s="17">
        <f>IF(OR($B532="",$D532="",$E532=""),"",IF($E532=$D532,"CHECK TIMES (start = end)",IF($F532&gt;12,"CHECK TIMES (End is before Start?)","OK")))</f>
        <v/>
      </c>
      <c r="P532" s="17">
        <f>IF(OR($B532="",$I532=""),"",IF(IFERROR(MATCH($G532,nrBankTopics,0),0)=0,"OK",IF(COUNTA(INDEX(nrBankGrid,IFERROR(MATCH($G532,nrBankTopics,0),1),0))=0,"OK",IF(SUMPRODUCT((nrInstrNames&lt;&gt;"")*ISNUMBER(SEARCH(nrInstrNames,$I532))*(COUNTIF(INDEX(nrBankGrid,IFERROR(MATCH($G532,nrBankTopics,0),1),0),nrInstrNames)&gt;0))&lt;SUMPRODUCT((nrInstrNames&lt;&gt;"")*ISNUMBER(SEARCH(nrInstrNames,$I532))),"NOT IN BANK","OK"))))</f>
        <v/>
      </c>
    </row>
    <row r="533">
      <c r="B533" s="18" t="n"/>
      <c r="C533" s="17">
        <f>IF($B533="","",TEXT($B533,"ddd"))</f>
        <v/>
      </c>
      <c r="D533" s="41" t="n"/>
      <c r="E533" s="41" t="n"/>
      <c r="F533" s="17">
        <f>IF(OR($B533="",$D533="",$E533=""),"",ROUND(MOD($E533-$D533,1)*24,2))</f>
        <v/>
      </c>
      <c r="G533" s="16" t="n"/>
      <c r="H533" s="17">
        <f>IF($G533="","",IFERROR(_xlfn.XLOOKUP($G533,nrCHname,nrCHnum),IFERROR(_xlfn.XLOOKUP($G533,nrSUBname,nrSUBparent),"")))</f>
        <v/>
      </c>
      <c r="I533" s="16" t="n"/>
      <c r="J533" s="16" t="n"/>
      <c r="K533" s="17">
        <f>IF($B533="","",IFERROR(_xlfn.XLOOKUP($B533,nrCDdate,nrCDweek),""))</f>
        <v/>
      </c>
      <c r="L533" s="17">
        <f>IF($B533="","",IFERROR(_xlfn.XLOOKUP($B533,nrCDdate,nrCDnum),""))</f>
        <v/>
      </c>
      <c r="M533" s="16" t="n"/>
      <c r="N533" s="17">
        <f>IF(OR($B533="",$I533=""),"",_xlfn.LET(_xlpm.a,$I533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33" s="17">
        <f>IF(OR($B533="",$D533="",$E533=""),"",IF($E533=$D533,"CHECK TIMES (start = end)",IF($F533&gt;12,"CHECK TIMES (End is before Start?)","OK")))</f>
        <v/>
      </c>
      <c r="P533" s="17">
        <f>IF(OR($B533="",$I533=""),"",IF(IFERROR(MATCH($G533,nrBankTopics,0),0)=0,"OK",IF(COUNTA(INDEX(nrBankGrid,IFERROR(MATCH($G533,nrBankTopics,0),1),0))=0,"OK",IF(SUMPRODUCT((nrInstrNames&lt;&gt;"")*ISNUMBER(SEARCH(nrInstrNames,$I533))*(COUNTIF(INDEX(nrBankGrid,IFERROR(MATCH($G533,nrBankTopics,0),1),0),nrInstrNames)&gt;0))&lt;SUMPRODUCT((nrInstrNames&lt;&gt;"")*ISNUMBER(SEARCH(nrInstrNames,$I533))),"NOT IN BANK","OK"))))</f>
        <v/>
      </c>
    </row>
    <row r="534">
      <c r="B534" s="18" t="n"/>
      <c r="C534" s="17">
        <f>IF($B534="","",TEXT($B534,"ddd"))</f>
        <v/>
      </c>
      <c r="D534" s="41" t="n"/>
      <c r="E534" s="41" t="n"/>
      <c r="F534" s="17">
        <f>IF(OR($B534="",$D534="",$E534=""),"",ROUND(MOD($E534-$D534,1)*24,2))</f>
        <v/>
      </c>
      <c r="G534" s="16" t="n"/>
      <c r="H534" s="17">
        <f>IF($G534="","",IFERROR(_xlfn.XLOOKUP($G534,nrCHname,nrCHnum),IFERROR(_xlfn.XLOOKUP($G534,nrSUBname,nrSUBparent),"")))</f>
        <v/>
      </c>
      <c r="I534" s="16" t="n"/>
      <c r="J534" s="16" t="n"/>
      <c r="K534" s="17">
        <f>IF($B534="","",IFERROR(_xlfn.XLOOKUP($B534,nrCDdate,nrCDweek),""))</f>
        <v/>
      </c>
      <c r="L534" s="17">
        <f>IF($B534="","",IFERROR(_xlfn.XLOOKUP($B534,nrCDdate,nrCDnum),""))</f>
        <v/>
      </c>
      <c r="M534" s="16" t="n"/>
      <c r="N534" s="17">
        <f>IF(OR($B534="",$I534=""),"",_xlfn.LET(_xlpm.a,$I534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34" s="17">
        <f>IF(OR($B534="",$D534="",$E534=""),"",IF($E534=$D534,"CHECK TIMES (start = end)",IF($F534&gt;12,"CHECK TIMES (End is before Start?)","OK")))</f>
        <v/>
      </c>
      <c r="P534" s="17">
        <f>IF(OR($B534="",$I534=""),"",IF(IFERROR(MATCH($G534,nrBankTopics,0),0)=0,"OK",IF(COUNTA(INDEX(nrBankGrid,IFERROR(MATCH($G534,nrBankTopics,0),1),0))=0,"OK",IF(SUMPRODUCT((nrInstrNames&lt;&gt;"")*ISNUMBER(SEARCH(nrInstrNames,$I534))*(COUNTIF(INDEX(nrBankGrid,IFERROR(MATCH($G534,nrBankTopics,0),1),0),nrInstrNames)&gt;0))&lt;SUMPRODUCT((nrInstrNames&lt;&gt;"")*ISNUMBER(SEARCH(nrInstrNames,$I534))),"NOT IN BANK","OK"))))</f>
        <v/>
      </c>
    </row>
    <row r="535">
      <c r="B535" s="18" t="n"/>
      <c r="C535" s="17">
        <f>IF($B535="","",TEXT($B535,"ddd"))</f>
        <v/>
      </c>
      <c r="D535" s="41" t="n"/>
      <c r="E535" s="41" t="n"/>
      <c r="F535" s="17">
        <f>IF(OR($B535="",$D535="",$E535=""),"",ROUND(MOD($E535-$D535,1)*24,2))</f>
        <v/>
      </c>
      <c r="G535" s="16" t="n"/>
      <c r="H535" s="17">
        <f>IF($G535="","",IFERROR(_xlfn.XLOOKUP($G535,nrCHname,nrCHnum),IFERROR(_xlfn.XLOOKUP($G535,nrSUBname,nrSUBparent),"")))</f>
        <v/>
      </c>
      <c r="I535" s="16" t="n"/>
      <c r="J535" s="16" t="n"/>
      <c r="K535" s="17">
        <f>IF($B535="","",IFERROR(_xlfn.XLOOKUP($B535,nrCDdate,nrCDweek),""))</f>
        <v/>
      </c>
      <c r="L535" s="17">
        <f>IF($B535="","",IFERROR(_xlfn.XLOOKUP($B535,nrCDdate,nrCDnum),""))</f>
        <v/>
      </c>
      <c r="M535" s="16" t="n"/>
      <c r="N535" s="17">
        <f>IF(OR($B535="",$I535=""),"",_xlfn.LET(_xlpm.a,$I535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35" s="17">
        <f>IF(OR($B535="",$D535="",$E535=""),"",IF($E535=$D535,"CHECK TIMES (start = end)",IF($F535&gt;12,"CHECK TIMES (End is before Start?)","OK")))</f>
        <v/>
      </c>
      <c r="P535" s="17">
        <f>IF(OR($B535="",$I535=""),"",IF(IFERROR(MATCH($G535,nrBankTopics,0),0)=0,"OK",IF(COUNTA(INDEX(nrBankGrid,IFERROR(MATCH($G535,nrBankTopics,0),1),0))=0,"OK",IF(SUMPRODUCT((nrInstrNames&lt;&gt;"")*ISNUMBER(SEARCH(nrInstrNames,$I535))*(COUNTIF(INDEX(nrBankGrid,IFERROR(MATCH($G535,nrBankTopics,0),1),0),nrInstrNames)&gt;0))&lt;SUMPRODUCT((nrInstrNames&lt;&gt;"")*ISNUMBER(SEARCH(nrInstrNames,$I535))),"NOT IN BANK","OK"))))</f>
        <v/>
      </c>
    </row>
    <row r="536">
      <c r="B536" s="18" t="n"/>
      <c r="C536" s="17">
        <f>IF($B536="","",TEXT($B536,"ddd"))</f>
        <v/>
      </c>
      <c r="D536" s="41" t="n"/>
      <c r="E536" s="41" t="n"/>
      <c r="F536" s="17">
        <f>IF(OR($B536="",$D536="",$E536=""),"",ROUND(MOD($E536-$D536,1)*24,2))</f>
        <v/>
      </c>
      <c r="G536" s="16" t="n"/>
      <c r="H536" s="17">
        <f>IF($G536="","",IFERROR(_xlfn.XLOOKUP($G536,nrCHname,nrCHnum),IFERROR(_xlfn.XLOOKUP($G536,nrSUBname,nrSUBparent),"")))</f>
        <v/>
      </c>
      <c r="I536" s="16" t="n"/>
      <c r="J536" s="16" t="n"/>
      <c r="K536" s="17">
        <f>IF($B536="","",IFERROR(_xlfn.XLOOKUP($B536,nrCDdate,nrCDweek),""))</f>
        <v/>
      </c>
      <c r="L536" s="17">
        <f>IF($B536="","",IFERROR(_xlfn.XLOOKUP($B536,nrCDdate,nrCDnum),""))</f>
        <v/>
      </c>
      <c r="M536" s="16" t="n"/>
      <c r="N536" s="17">
        <f>IF(OR($B536="",$I536=""),"",_xlfn.LET(_xlpm.a,$I536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36" s="17">
        <f>IF(OR($B536="",$D536="",$E536=""),"",IF($E536=$D536,"CHECK TIMES (start = end)",IF($F536&gt;12,"CHECK TIMES (End is before Start?)","OK")))</f>
        <v/>
      </c>
      <c r="P536" s="17">
        <f>IF(OR($B536="",$I536=""),"",IF(IFERROR(MATCH($G536,nrBankTopics,0),0)=0,"OK",IF(COUNTA(INDEX(nrBankGrid,IFERROR(MATCH($G536,nrBankTopics,0),1),0))=0,"OK",IF(SUMPRODUCT((nrInstrNames&lt;&gt;"")*ISNUMBER(SEARCH(nrInstrNames,$I536))*(COUNTIF(INDEX(nrBankGrid,IFERROR(MATCH($G536,nrBankTopics,0),1),0),nrInstrNames)&gt;0))&lt;SUMPRODUCT((nrInstrNames&lt;&gt;"")*ISNUMBER(SEARCH(nrInstrNames,$I536))),"NOT IN BANK","OK"))))</f>
        <v/>
      </c>
    </row>
    <row r="537">
      <c r="B537" s="18" t="n"/>
      <c r="C537" s="17">
        <f>IF($B537="","",TEXT($B537,"ddd"))</f>
        <v/>
      </c>
      <c r="D537" s="41" t="n"/>
      <c r="E537" s="41" t="n"/>
      <c r="F537" s="17">
        <f>IF(OR($B537="",$D537="",$E537=""),"",ROUND(MOD($E537-$D537,1)*24,2))</f>
        <v/>
      </c>
      <c r="G537" s="16" t="n"/>
      <c r="H537" s="17">
        <f>IF($G537="","",IFERROR(_xlfn.XLOOKUP($G537,nrCHname,nrCHnum),IFERROR(_xlfn.XLOOKUP($G537,nrSUBname,nrSUBparent),"")))</f>
        <v/>
      </c>
      <c r="I537" s="16" t="n"/>
      <c r="J537" s="16" t="n"/>
      <c r="K537" s="17">
        <f>IF($B537="","",IFERROR(_xlfn.XLOOKUP($B537,nrCDdate,nrCDweek),""))</f>
        <v/>
      </c>
      <c r="L537" s="17">
        <f>IF($B537="","",IFERROR(_xlfn.XLOOKUP($B537,nrCDdate,nrCDnum),""))</f>
        <v/>
      </c>
      <c r="M537" s="16" t="n"/>
      <c r="N537" s="17">
        <f>IF(OR($B537="",$I537=""),"",_xlfn.LET(_xlpm.a,$I537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37" s="17">
        <f>IF(OR($B537="",$D537="",$E537=""),"",IF($E537=$D537,"CHECK TIMES (start = end)",IF($F537&gt;12,"CHECK TIMES (End is before Start?)","OK")))</f>
        <v/>
      </c>
      <c r="P537" s="17">
        <f>IF(OR($B537="",$I537=""),"",IF(IFERROR(MATCH($G537,nrBankTopics,0),0)=0,"OK",IF(COUNTA(INDEX(nrBankGrid,IFERROR(MATCH($G537,nrBankTopics,0),1),0))=0,"OK",IF(SUMPRODUCT((nrInstrNames&lt;&gt;"")*ISNUMBER(SEARCH(nrInstrNames,$I537))*(COUNTIF(INDEX(nrBankGrid,IFERROR(MATCH($G537,nrBankTopics,0),1),0),nrInstrNames)&gt;0))&lt;SUMPRODUCT((nrInstrNames&lt;&gt;"")*ISNUMBER(SEARCH(nrInstrNames,$I537))),"NOT IN BANK","OK"))))</f>
        <v/>
      </c>
    </row>
    <row r="538">
      <c r="B538" s="18" t="n"/>
      <c r="C538" s="17">
        <f>IF($B538="","",TEXT($B538,"ddd"))</f>
        <v/>
      </c>
      <c r="D538" s="41" t="n"/>
      <c r="E538" s="41" t="n"/>
      <c r="F538" s="17">
        <f>IF(OR($B538="",$D538="",$E538=""),"",ROUND(MOD($E538-$D538,1)*24,2))</f>
        <v/>
      </c>
      <c r="G538" s="16" t="n"/>
      <c r="H538" s="17">
        <f>IF($G538="","",IFERROR(_xlfn.XLOOKUP($G538,nrCHname,nrCHnum),IFERROR(_xlfn.XLOOKUP($G538,nrSUBname,nrSUBparent),"")))</f>
        <v/>
      </c>
      <c r="I538" s="16" t="n"/>
      <c r="J538" s="16" t="n"/>
      <c r="K538" s="17">
        <f>IF($B538="","",IFERROR(_xlfn.XLOOKUP($B538,nrCDdate,nrCDweek),""))</f>
        <v/>
      </c>
      <c r="L538" s="17">
        <f>IF($B538="","",IFERROR(_xlfn.XLOOKUP($B538,nrCDdate,nrCDnum),""))</f>
        <v/>
      </c>
      <c r="M538" s="16" t="n"/>
      <c r="N538" s="17">
        <f>IF(OR($B538="",$I538=""),"",_xlfn.LET(_xlpm.a,$I538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38" s="17">
        <f>IF(OR($B538="",$D538="",$E538=""),"",IF($E538=$D538,"CHECK TIMES (start = end)",IF($F538&gt;12,"CHECK TIMES (End is before Start?)","OK")))</f>
        <v/>
      </c>
      <c r="P538" s="17">
        <f>IF(OR($B538="",$I538=""),"",IF(IFERROR(MATCH($G538,nrBankTopics,0),0)=0,"OK",IF(COUNTA(INDEX(nrBankGrid,IFERROR(MATCH($G538,nrBankTopics,0),1),0))=0,"OK",IF(SUMPRODUCT((nrInstrNames&lt;&gt;"")*ISNUMBER(SEARCH(nrInstrNames,$I538))*(COUNTIF(INDEX(nrBankGrid,IFERROR(MATCH($G538,nrBankTopics,0),1),0),nrInstrNames)&gt;0))&lt;SUMPRODUCT((nrInstrNames&lt;&gt;"")*ISNUMBER(SEARCH(nrInstrNames,$I538))),"NOT IN BANK","OK"))))</f>
        <v/>
      </c>
    </row>
    <row r="539">
      <c r="B539" s="18" t="n"/>
      <c r="C539" s="17">
        <f>IF($B539="","",TEXT($B539,"ddd"))</f>
        <v/>
      </c>
      <c r="D539" s="41" t="n"/>
      <c r="E539" s="41" t="n"/>
      <c r="F539" s="17">
        <f>IF(OR($B539="",$D539="",$E539=""),"",ROUND(MOD($E539-$D539,1)*24,2))</f>
        <v/>
      </c>
      <c r="G539" s="16" t="n"/>
      <c r="H539" s="17">
        <f>IF($G539="","",IFERROR(_xlfn.XLOOKUP($G539,nrCHname,nrCHnum),IFERROR(_xlfn.XLOOKUP($G539,nrSUBname,nrSUBparent),"")))</f>
        <v/>
      </c>
      <c r="I539" s="16" t="n"/>
      <c r="J539" s="16" t="n"/>
      <c r="K539" s="17">
        <f>IF($B539="","",IFERROR(_xlfn.XLOOKUP($B539,nrCDdate,nrCDweek),""))</f>
        <v/>
      </c>
      <c r="L539" s="17">
        <f>IF($B539="","",IFERROR(_xlfn.XLOOKUP($B539,nrCDdate,nrCDnum),""))</f>
        <v/>
      </c>
      <c r="M539" s="16" t="n"/>
      <c r="N539" s="17">
        <f>IF(OR($B539="",$I539=""),"",_xlfn.LET(_xlpm.a,$I539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39" s="17">
        <f>IF(OR($B539="",$D539="",$E539=""),"",IF($E539=$D539,"CHECK TIMES (start = end)",IF($F539&gt;12,"CHECK TIMES (End is before Start?)","OK")))</f>
        <v/>
      </c>
      <c r="P539" s="17">
        <f>IF(OR($B539="",$I539=""),"",IF(IFERROR(MATCH($G539,nrBankTopics,0),0)=0,"OK",IF(COUNTA(INDEX(nrBankGrid,IFERROR(MATCH($G539,nrBankTopics,0),1),0))=0,"OK",IF(SUMPRODUCT((nrInstrNames&lt;&gt;"")*ISNUMBER(SEARCH(nrInstrNames,$I539))*(COUNTIF(INDEX(nrBankGrid,IFERROR(MATCH($G539,nrBankTopics,0),1),0),nrInstrNames)&gt;0))&lt;SUMPRODUCT((nrInstrNames&lt;&gt;"")*ISNUMBER(SEARCH(nrInstrNames,$I539))),"NOT IN BANK","OK"))))</f>
        <v/>
      </c>
    </row>
    <row r="540">
      <c r="B540" s="18" t="n"/>
      <c r="C540" s="17">
        <f>IF($B540="","",TEXT($B540,"ddd"))</f>
        <v/>
      </c>
      <c r="D540" s="41" t="n"/>
      <c r="E540" s="41" t="n"/>
      <c r="F540" s="17">
        <f>IF(OR($B540="",$D540="",$E540=""),"",ROUND(MOD($E540-$D540,1)*24,2))</f>
        <v/>
      </c>
      <c r="G540" s="16" t="n"/>
      <c r="H540" s="17">
        <f>IF($G540="","",IFERROR(_xlfn.XLOOKUP($G540,nrCHname,nrCHnum),IFERROR(_xlfn.XLOOKUP($G540,nrSUBname,nrSUBparent),"")))</f>
        <v/>
      </c>
      <c r="I540" s="16" t="n"/>
      <c r="J540" s="16" t="n"/>
      <c r="K540" s="17">
        <f>IF($B540="","",IFERROR(_xlfn.XLOOKUP($B540,nrCDdate,nrCDweek),""))</f>
        <v/>
      </c>
      <c r="L540" s="17">
        <f>IF($B540="","",IFERROR(_xlfn.XLOOKUP($B540,nrCDdate,nrCDnum),""))</f>
        <v/>
      </c>
      <c r="M540" s="16" t="n"/>
      <c r="N540" s="17">
        <f>IF(OR($B540="",$I540=""),"",_xlfn.LET(_xlpm.a,$I540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40" s="17">
        <f>IF(OR($B540="",$D540="",$E540=""),"",IF($E540=$D540,"CHECK TIMES (start = end)",IF($F540&gt;12,"CHECK TIMES (End is before Start?)","OK")))</f>
        <v/>
      </c>
      <c r="P540" s="17">
        <f>IF(OR($B540="",$I540=""),"",IF(IFERROR(MATCH($G540,nrBankTopics,0),0)=0,"OK",IF(COUNTA(INDEX(nrBankGrid,IFERROR(MATCH($G540,nrBankTopics,0),1),0))=0,"OK",IF(SUMPRODUCT((nrInstrNames&lt;&gt;"")*ISNUMBER(SEARCH(nrInstrNames,$I540))*(COUNTIF(INDEX(nrBankGrid,IFERROR(MATCH($G540,nrBankTopics,0),1),0),nrInstrNames)&gt;0))&lt;SUMPRODUCT((nrInstrNames&lt;&gt;"")*ISNUMBER(SEARCH(nrInstrNames,$I540))),"NOT IN BANK","OK"))))</f>
        <v/>
      </c>
    </row>
    <row r="541">
      <c r="B541" s="18" t="n"/>
      <c r="C541" s="17">
        <f>IF($B541="","",TEXT($B541,"ddd"))</f>
        <v/>
      </c>
      <c r="D541" s="41" t="n"/>
      <c r="E541" s="41" t="n"/>
      <c r="F541" s="17">
        <f>IF(OR($B541="",$D541="",$E541=""),"",ROUND(MOD($E541-$D541,1)*24,2))</f>
        <v/>
      </c>
      <c r="G541" s="16" t="n"/>
      <c r="H541" s="17">
        <f>IF($G541="","",IFERROR(_xlfn.XLOOKUP($G541,nrCHname,nrCHnum),IFERROR(_xlfn.XLOOKUP($G541,nrSUBname,nrSUBparent),"")))</f>
        <v/>
      </c>
      <c r="I541" s="16" t="n"/>
      <c r="J541" s="16" t="n"/>
      <c r="K541" s="17">
        <f>IF($B541="","",IFERROR(_xlfn.XLOOKUP($B541,nrCDdate,nrCDweek),""))</f>
        <v/>
      </c>
      <c r="L541" s="17">
        <f>IF($B541="","",IFERROR(_xlfn.XLOOKUP($B541,nrCDdate,nrCDnum),""))</f>
        <v/>
      </c>
      <c r="M541" s="16" t="n"/>
      <c r="N541" s="17">
        <f>IF(OR($B541="",$I541=""),"",_xlfn.LET(_xlpm.a,$I541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41" s="17">
        <f>IF(OR($B541="",$D541="",$E541=""),"",IF($E541=$D541,"CHECK TIMES (start = end)",IF($F541&gt;12,"CHECK TIMES (End is before Start?)","OK")))</f>
        <v/>
      </c>
      <c r="P541" s="17">
        <f>IF(OR($B541="",$I541=""),"",IF(IFERROR(MATCH($G541,nrBankTopics,0),0)=0,"OK",IF(COUNTA(INDEX(nrBankGrid,IFERROR(MATCH($G541,nrBankTopics,0),1),0))=0,"OK",IF(SUMPRODUCT((nrInstrNames&lt;&gt;"")*ISNUMBER(SEARCH(nrInstrNames,$I541))*(COUNTIF(INDEX(nrBankGrid,IFERROR(MATCH($G541,nrBankTopics,0),1),0),nrInstrNames)&gt;0))&lt;SUMPRODUCT((nrInstrNames&lt;&gt;"")*ISNUMBER(SEARCH(nrInstrNames,$I541))),"NOT IN BANK","OK"))))</f>
        <v/>
      </c>
    </row>
    <row r="542">
      <c r="B542" s="18" t="n"/>
      <c r="C542" s="17">
        <f>IF($B542="","",TEXT($B542,"ddd"))</f>
        <v/>
      </c>
      <c r="D542" s="41" t="n"/>
      <c r="E542" s="41" t="n"/>
      <c r="F542" s="17">
        <f>IF(OR($B542="",$D542="",$E542=""),"",ROUND(MOD($E542-$D542,1)*24,2))</f>
        <v/>
      </c>
      <c r="G542" s="16" t="n"/>
      <c r="H542" s="17">
        <f>IF($G542="","",IFERROR(_xlfn.XLOOKUP($G542,nrCHname,nrCHnum),IFERROR(_xlfn.XLOOKUP($G542,nrSUBname,nrSUBparent),"")))</f>
        <v/>
      </c>
      <c r="I542" s="16" t="n"/>
      <c r="J542" s="16" t="n"/>
      <c r="K542" s="17">
        <f>IF($B542="","",IFERROR(_xlfn.XLOOKUP($B542,nrCDdate,nrCDweek),""))</f>
        <v/>
      </c>
      <c r="L542" s="17">
        <f>IF($B542="","",IFERROR(_xlfn.XLOOKUP($B542,nrCDdate,nrCDnum),""))</f>
        <v/>
      </c>
      <c r="M542" s="16" t="n"/>
      <c r="N542" s="17">
        <f>IF(OR($B542="",$I542=""),"",_xlfn.LET(_xlpm.a,$I542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42" s="17">
        <f>IF(OR($B542="",$D542="",$E542=""),"",IF($E542=$D542,"CHECK TIMES (start = end)",IF($F542&gt;12,"CHECK TIMES (End is before Start?)","OK")))</f>
        <v/>
      </c>
      <c r="P542" s="17">
        <f>IF(OR($B542="",$I542=""),"",IF(IFERROR(MATCH($G542,nrBankTopics,0),0)=0,"OK",IF(COUNTA(INDEX(nrBankGrid,IFERROR(MATCH($G542,nrBankTopics,0),1),0))=0,"OK",IF(SUMPRODUCT((nrInstrNames&lt;&gt;"")*ISNUMBER(SEARCH(nrInstrNames,$I542))*(COUNTIF(INDEX(nrBankGrid,IFERROR(MATCH($G542,nrBankTopics,0),1),0),nrInstrNames)&gt;0))&lt;SUMPRODUCT((nrInstrNames&lt;&gt;"")*ISNUMBER(SEARCH(nrInstrNames,$I542))),"NOT IN BANK","OK"))))</f>
        <v/>
      </c>
    </row>
    <row r="543">
      <c r="B543" s="18" t="n"/>
      <c r="C543" s="17">
        <f>IF($B543="","",TEXT($B543,"ddd"))</f>
        <v/>
      </c>
      <c r="D543" s="41" t="n"/>
      <c r="E543" s="41" t="n"/>
      <c r="F543" s="17">
        <f>IF(OR($B543="",$D543="",$E543=""),"",ROUND(MOD($E543-$D543,1)*24,2))</f>
        <v/>
      </c>
      <c r="G543" s="16" t="n"/>
      <c r="H543" s="17">
        <f>IF($G543="","",IFERROR(_xlfn.XLOOKUP($G543,nrCHname,nrCHnum),IFERROR(_xlfn.XLOOKUP($G543,nrSUBname,nrSUBparent),"")))</f>
        <v/>
      </c>
      <c r="I543" s="16" t="n"/>
      <c r="J543" s="16" t="n"/>
      <c r="K543" s="17">
        <f>IF($B543="","",IFERROR(_xlfn.XLOOKUP($B543,nrCDdate,nrCDweek),""))</f>
        <v/>
      </c>
      <c r="L543" s="17">
        <f>IF($B543="","",IFERROR(_xlfn.XLOOKUP($B543,nrCDdate,nrCDnum),""))</f>
        <v/>
      </c>
      <c r="M543" s="16" t="n"/>
      <c r="N543" s="17">
        <f>IF(OR($B543="",$I543=""),"",_xlfn.LET(_xlpm.a,$I543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43" s="17">
        <f>IF(OR($B543="",$D543="",$E543=""),"",IF($E543=$D543,"CHECK TIMES (start = end)",IF($F543&gt;12,"CHECK TIMES (End is before Start?)","OK")))</f>
        <v/>
      </c>
      <c r="P543" s="17">
        <f>IF(OR($B543="",$I543=""),"",IF(IFERROR(MATCH($G543,nrBankTopics,0),0)=0,"OK",IF(COUNTA(INDEX(nrBankGrid,IFERROR(MATCH($G543,nrBankTopics,0),1),0))=0,"OK",IF(SUMPRODUCT((nrInstrNames&lt;&gt;"")*ISNUMBER(SEARCH(nrInstrNames,$I543))*(COUNTIF(INDEX(nrBankGrid,IFERROR(MATCH($G543,nrBankTopics,0),1),0),nrInstrNames)&gt;0))&lt;SUMPRODUCT((nrInstrNames&lt;&gt;"")*ISNUMBER(SEARCH(nrInstrNames,$I543))),"NOT IN BANK","OK"))))</f>
        <v/>
      </c>
    </row>
    <row r="544">
      <c r="B544" s="18" t="n"/>
      <c r="C544" s="17">
        <f>IF($B544="","",TEXT($B544,"ddd"))</f>
        <v/>
      </c>
      <c r="D544" s="41" t="n"/>
      <c r="E544" s="41" t="n"/>
      <c r="F544" s="17">
        <f>IF(OR($B544="",$D544="",$E544=""),"",ROUND(MOD($E544-$D544,1)*24,2))</f>
        <v/>
      </c>
      <c r="G544" s="16" t="n"/>
      <c r="H544" s="17">
        <f>IF($G544="","",IFERROR(_xlfn.XLOOKUP($G544,nrCHname,nrCHnum),IFERROR(_xlfn.XLOOKUP($G544,nrSUBname,nrSUBparent),"")))</f>
        <v/>
      </c>
      <c r="I544" s="16" t="n"/>
      <c r="J544" s="16" t="n"/>
      <c r="K544" s="17">
        <f>IF($B544="","",IFERROR(_xlfn.XLOOKUP($B544,nrCDdate,nrCDweek),""))</f>
        <v/>
      </c>
      <c r="L544" s="17">
        <f>IF($B544="","",IFERROR(_xlfn.XLOOKUP($B544,nrCDdate,nrCDnum),""))</f>
        <v/>
      </c>
      <c r="M544" s="16" t="n"/>
      <c r="N544" s="17">
        <f>IF(OR($B544="",$I544=""),"",_xlfn.LET(_xlpm.a,$I544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44" s="17">
        <f>IF(OR($B544="",$D544="",$E544=""),"",IF($E544=$D544,"CHECK TIMES (start = end)",IF($F544&gt;12,"CHECK TIMES (End is before Start?)","OK")))</f>
        <v/>
      </c>
      <c r="P544" s="17">
        <f>IF(OR($B544="",$I544=""),"",IF(IFERROR(MATCH($G544,nrBankTopics,0),0)=0,"OK",IF(COUNTA(INDEX(nrBankGrid,IFERROR(MATCH($G544,nrBankTopics,0),1),0))=0,"OK",IF(SUMPRODUCT((nrInstrNames&lt;&gt;"")*ISNUMBER(SEARCH(nrInstrNames,$I544))*(COUNTIF(INDEX(nrBankGrid,IFERROR(MATCH($G544,nrBankTopics,0),1),0),nrInstrNames)&gt;0))&lt;SUMPRODUCT((nrInstrNames&lt;&gt;"")*ISNUMBER(SEARCH(nrInstrNames,$I544))),"NOT IN BANK","OK"))))</f>
        <v/>
      </c>
    </row>
    <row r="545">
      <c r="B545" s="18" t="n"/>
      <c r="C545" s="17">
        <f>IF($B545="","",TEXT($B545,"ddd"))</f>
        <v/>
      </c>
      <c r="D545" s="41" t="n"/>
      <c r="E545" s="41" t="n"/>
      <c r="F545" s="17">
        <f>IF(OR($B545="",$D545="",$E545=""),"",ROUND(MOD($E545-$D545,1)*24,2))</f>
        <v/>
      </c>
      <c r="G545" s="16" t="n"/>
      <c r="H545" s="17">
        <f>IF($G545="","",IFERROR(_xlfn.XLOOKUP($G545,nrCHname,nrCHnum),IFERROR(_xlfn.XLOOKUP($G545,nrSUBname,nrSUBparent),"")))</f>
        <v/>
      </c>
      <c r="I545" s="16" t="n"/>
      <c r="J545" s="16" t="n"/>
      <c r="K545" s="17">
        <f>IF($B545="","",IFERROR(_xlfn.XLOOKUP($B545,nrCDdate,nrCDweek),""))</f>
        <v/>
      </c>
      <c r="L545" s="17">
        <f>IF($B545="","",IFERROR(_xlfn.XLOOKUP($B545,nrCDdate,nrCDnum),""))</f>
        <v/>
      </c>
      <c r="M545" s="16" t="n"/>
      <c r="N545" s="17">
        <f>IF(OR($B545="",$I545=""),"",_xlfn.LET(_xlpm.a,$I545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45" s="17">
        <f>IF(OR($B545="",$D545="",$E545=""),"",IF($E545=$D545,"CHECK TIMES (start = end)",IF($F545&gt;12,"CHECK TIMES (End is before Start?)","OK")))</f>
        <v/>
      </c>
      <c r="P545" s="17">
        <f>IF(OR($B545="",$I545=""),"",IF(IFERROR(MATCH($G545,nrBankTopics,0),0)=0,"OK",IF(COUNTA(INDEX(nrBankGrid,IFERROR(MATCH($G545,nrBankTopics,0),1),0))=0,"OK",IF(SUMPRODUCT((nrInstrNames&lt;&gt;"")*ISNUMBER(SEARCH(nrInstrNames,$I545))*(COUNTIF(INDEX(nrBankGrid,IFERROR(MATCH($G545,nrBankTopics,0),1),0),nrInstrNames)&gt;0))&lt;SUMPRODUCT((nrInstrNames&lt;&gt;"")*ISNUMBER(SEARCH(nrInstrNames,$I545))),"NOT IN BANK","OK"))))</f>
        <v/>
      </c>
    </row>
    <row r="546">
      <c r="B546" s="18" t="n"/>
      <c r="C546" s="17">
        <f>IF($B546="","",TEXT($B546,"ddd"))</f>
        <v/>
      </c>
      <c r="D546" s="41" t="n"/>
      <c r="E546" s="41" t="n"/>
      <c r="F546" s="17">
        <f>IF(OR($B546="",$D546="",$E546=""),"",ROUND(MOD($E546-$D546,1)*24,2))</f>
        <v/>
      </c>
      <c r="G546" s="16" t="n"/>
      <c r="H546" s="17">
        <f>IF($G546="","",IFERROR(_xlfn.XLOOKUP($G546,nrCHname,nrCHnum),IFERROR(_xlfn.XLOOKUP($G546,nrSUBname,nrSUBparent),"")))</f>
        <v/>
      </c>
      <c r="I546" s="16" t="n"/>
      <c r="J546" s="16" t="n"/>
      <c r="K546" s="17">
        <f>IF($B546="","",IFERROR(_xlfn.XLOOKUP($B546,nrCDdate,nrCDweek),""))</f>
        <v/>
      </c>
      <c r="L546" s="17">
        <f>IF($B546="","",IFERROR(_xlfn.XLOOKUP($B546,nrCDdate,nrCDnum),""))</f>
        <v/>
      </c>
      <c r="M546" s="16" t="n"/>
      <c r="N546" s="17">
        <f>IF(OR($B546="",$I546=""),"",_xlfn.LET(_xlpm.a,$I546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46" s="17">
        <f>IF(OR($B546="",$D546="",$E546=""),"",IF($E546=$D546,"CHECK TIMES (start = end)",IF($F546&gt;12,"CHECK TIMES (End is before Start?)","OK")))</f>
        <v/>
      </c>
      <c r="P546" s="17">
        <f>IF(OR($B546="",$I546=""),"",IF(IFERROR(MATCH($G546,nrBankTopics,0),0)=0,"OK",IF(COUNTA(INDEX(nrBankGrid,IFERROR(MATCH($G546,nrBankTopics,0),1),0))=0,"OK",IF(SUMPRODUCT((nrInstrNames&lt;&gt;"")*ISNUMBER(SEARCH(nrInstrNames,$I546))*(COUNTIF(INDEX(nrBankGrid,IFERROR(MATCH($G546,nrBankTopics,0),1),0),nrInstrNames)&gt;0))&lt;SUMPRODUCT((nrInstrNames&lt;&gt;"")*ISNUMBER(SEARCH(nrInstrNames,$I546))),"NOT IN BANK","OK"))))</f>
        <v/>
      </c>
    </row>
    <row r="547">
      <c r="B547" s="18" t="n"/>
      <c r="C547" s="17">
        <f>IF($B547="","",TEXT($B547,"ddd"))</f>
        <v/>
      </c>
      <c r="D547" s="41" t="n"/>
      <c r="E547" s="41" t="n"/>
      <c r="F547" s="17">
        <f>IF(OR($B547="",$D547="",$E547=""),"",ROUND(MOD($E547-$D547,1)*24,2))</f>
        <v/>
      </c>
      <c r="G547" s="16" t="n"/>
      <c r="H547" s="17">
        <f>IF($G547="","",IFERROR(_xlfn.XLOOKUP($G547,nrCHname,nrCHnum),IFERROR(_xlfn.XLOOKUP($G547,nrSUBname,nrSUBparent),"")))</f>
        <v/>
      </c>
      <c r="I547" s="16" t="n"/>
      <c r="J547" s="16" t="n"/>
      <c r="K547" s="17">
        <f>IF($B547="","",IFERROR(_xlfn.XLOOKUP($B547,nrCDdate,nrCDweek),""))</f>
        <v/>
      </c>
      <c r="L547" s="17">
        <f>IF($B547="","",IFERROR(_xlfn.XLOOKUP($B547,nrCDdate,nrCDnum),""))</f>
        <v/>
      </c>
      <c r="M547" s="16" t="n"/>
      <c r="N547" s="17">
        <f>IF(OR($B547="",$I547=""),"",_xlfn.LET(_xlpm.a,$I547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47" s="17">
        <f>IF(OR($B547="",$D547="",$E547=""),"",IF($E547=$D547,"CHECK TIMES (start = end)",IF($F547&gt;12,"CHECK TIMES (End is before Start?)","OK")))</f>
        <v/>
      </c>
      <c r="P547" s="17">
        <f>IF(OR($B547="",$I547=""),"",IF(IFERROR(MATCH($G547,nrBankTopics,0),0)=0,"OK",IF(COUNTA(INDEX(nrBankGrid,IFERROR(MATCH($G547,nrBankTopics,0),1),0))=0,"OK",IF(SUMPRODUCT((nrInstrNames&lt;&gt;"")*ISNUMBER(SEARCH(nrInstrNames,$I547))*(COUNTIF(INDEX(nrBankGrid,IFERROR(MATCH($G547,nrBankTopics,0),1),0),nrInstrNames)&gt;0))&lt;SUMPRODUCT((nrInstrNames&lt;&gt;"")*ISNUMBER(SEARCH(nrInstrNames,$I547))),"NOT IN BANK","OK"))))</f>
        <v/>
      </c>
    </row>
    <row r="548">
      <c r="B548" s="18" t="n"/>
      <c r="C548" s="17">
        <f>IF($B548="","",TEXT($B548,"ddd"))</f>
        <v/>
      </c>
      <c r="D548" s="41" t="n"/>
      <c r="E548" s="41" t="n"/>
      <c r="F548" s="17">
        <f>IF(OR($B548="",$D548="",$E548=""),"",ROUND(MOD($E548-$D548,1)*24,2))</f>
        <v/>
      </c>
      <c r="G548" s="16" t="n"/>
      <c r="H548" s="17">
        <f>IF($G548="","",IFERROR(_xlfn.XLOOKUP($G548,nrCHname,nrCHnum),IFERROR(_xlfn.XLOOKUP($G548,nrSUBname,nrSUBparent),"")))</f>
        <v/>
      </c>
      <c r="I548" s="16" t="n"/>
      <c r="J548" s="16" t="n"/>
      <c r="K548" s="17">
        <f>IF($B548="","",IFERROR(_xlfn.XLOOKUP($B548,nrCDdate,nrCDweek),""))</f>
        <v/>
      </c>
      <c r="L548" s="17">
        <f>IF($B548="","",IFERROR(_xlfn.XLOOKUP($B548,nrCDdate,nrCDnum),""))</f>
        <v/>
      </c>
      <c r="M548" s="16" t="n"/>
      <c r="N548" s="17">
        <f>IF(OR($B548="",$I548=""),"",_xlfn.LET(_xlpm.a,$I548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48" s="17">
        <f>IF(OR($B548="",$D548="",$E548=""),"",IF($E548=$D548,"CHECK TIMES (start = end)",IF($F548&gt;12,"CHECK TIMES (End is before Start?)","OK")))</f>
        <v/>
      </c>
      <c r="P548" s="17">
        <f>IF(OR($B548="",$I548=""),"",IF(IFERROR(MATCH($G548,nrBankTopics,0),0)=0,"OK",IF(COUNTA(INDEX(nrBankGrid,IFERROR(MATCH($G548,nrBankTopics,0),1),0))=0,"OK",IF(SUMPRODUCT((nrInstrNames&lt;&gt;"")*ISNUMBER(SEARCH(nrInstrNames,$I548))*(COUNTIF(INDEX(nrBankGrid,IFERROR(MATCH($G548,nrBankTopics,0),1),0),nrInstrNames)&gt;0))&lt;SUMPRODUCT((nrInstrNames&lt;&gt;"")*ISNUMBER(SEARCH(nrInstrNames,$I548))),"NOT IN BANK","OK"))))</f>
        <v/>
      </c>
    </row>
    <row r="549">
      <c r="B549" s="18" t="n"/>
      <c r="C549" s="17">
        <f>IF($B549="","",TEXT($B549,"ddd"))</f>
        <v/>
      </c>
      <c r="D549" s="41" t="n"/>
      <c r="E549" s="41" t="n"/>
      <c r="F549" s="17">
        <f>IF(OR($B549="",$D549="",$E549=""),"",ROUND(MOD($E549-$D549,1)*24,2))</f>
        <v/>
      </c>
      <c r="G549" s="16" t="n"/>
      <c r="H549" s="17">
        <f>IF($G549="","",IFERROR(_xlfn.XLOOKUP($G549,nrCHname,nrCHnum),IFERROR(_xlfn.XLOOKUP($G549,nrSUBname,nrSUBparent),"")))</f>
        <v/>
      </c>
      <c r="I549" s="16" t="n"/>
      <c r="J549" s="16" t="n"/>
      <c r="K549" s="17">
        <f>IF($B549="","",IFERROR(_xlfn.XLOOKUP($B549,nrCDdate,nrCDweek),""))</f>
        <v/>
      </c>
      <c r="L549" s="17">
        <f>IF($B549="","",IFERROR(_xlfn.XLOOKUP($B549,nrCDdate,nrCDnum),""))</f>
        <v/>
      </c>
      <c r="M549" s="16" t="n"/>
      <c r="N549" s="17">
        <f>IF(OR($B549="",$I549=""),"",_xlfn.LET(_xlpm.a,$I549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49" s="17">
        <f>IF(OR($B549="",$D549="",$E549=""),"",IF($E549=$D549,"CHECK TIMES (start = end)",IF($F549&gt;12,"CHECK TIMES (End is before Start?)","OK")))</f>
        <v/>
      </c>
      <c r="P549" s="17">
        <f>IF(OR($B549="",$I549=""),"",IF(IFERROR(MATCH($G549,nrBankTopics,0),0)=0,"OK",IF(COUNTA(INDEX(nrBankGrid,IFERROR(MATCH($G549,nrBankTopics,0),1),0))=0,"OK",IF(SUMPRODUCT((nrInstrNames&lt;&gt;"")*ISNUMBER(SEARCH(nrInstrNames,$I549))*(COUNTIF(INDEX(nrBankGrid,IFERROR(MATCH($G549,nrBankTopics,0),1),0),nrInstrNames)&gt;0))&lt;SUMPRODUCT((nrInstrNames&lt;&gt;"")*ISNUMBER(SEARCH(nrInstrNames,$I549))),"NOT IN BANK","OK"))))</f>
        <v/>
      </c>
    </row>
    <row r="550">
      <c r="B550" s="18" t="n"/>
      <c r="C550" s="17">
        <f>IF($B550="","",TEXT($B550,"ddd"))</f>
        <v/>
      </c>
      <c r="D550" s="41" t="n"/>
      <c r="E550" s="41" t="n"/>
      <c r="F550" s="17">
        <f>IF(OR($B550="",$D550="",$E550=""),"",ROUND(MOD($E550-$D550,1)*24,2))</f>
        <v/>
      </c>
      <c r="G550" s="16" t="n"/>
      <c r="H550" s="17">
        <f>IF($G550="","",IFERROR(_xlfn.XLOOKUP($G550,nrCHname,nrCHnum),IFERROR(_xlfn.XLOOKUP($G550,nrSUBname,nrSUBparent),"")))</f>
        <v/>
      </c>
      <c r="I550" s="16" t="n"/>
      <c r="J550" s="16" t="n"/>
      <c r="K550" s="17">
        <f>IF($B550="","",IFERROR(_xlfn.XLOOKUP($B550,nrCDdate,nrCDweek),""))</f>
        <v/>
      </c>
      <c r="L550" s="17">
        <f>IF($B550="","",IFERROR(_xlfn.XLOOKUP($B550,nrCDdate,nrCDnum),""))</f>
        <v/>
      </c>
      <c r="M550" s="16" t="n"/>
      <c r="N550" s="17">
        <f>IF(OR($B550="",$I550=""),"",_xlfn.LET(_xlpm.a,$I550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50" s="17">
        <f>IF(OR($B550="",$D550="",$E550=""),"",IF($E550=$D550,"CHECK TIMES (start = end)",IF($F550&gt;12,"CHECK TIMES (End is before Start?)","OK")))</f>
        <v/>
      </c>
      <c r="P550" s="17">
        <f>IF(OR($B550="",$I550=""),"",IF(IFERROR(MATCH($G550,nrBankTopics,0),0)=0,"OK",IF(COUNTA(INDEX(nrBankGrid,IFERROR(MATCH($G550,nrBankTopics,0),1),0))=0,"OK",IF(SUMPRODUCT((nrInstrNames&lt;&gt;"")*ISNUMBER(SEARCH(nrInstrNames,$I550))*(COUNTIF(INDEX(nrBankGrid,IFERROR(MATCH($G550,nrBankTopics,0),1),0),nrInstrNames)&gt;0))&lt;SUMPRODUCT((nrInstrNames&lt;&gt;"")*ISNUMBER(SEARCH(nrInstrNames,$I550))),"NOT IN BANK","OK"))))</f>
        <v/>
      </c>
    </row>
    <row r="551">
      <c r="B551" s="18" t="n"/>
      <c r="C551" s="17">
        <f>IF($B551="","",TEXT($B551,"ddd"))</f>
        <v/>
      </c>
      <c r="D551" s="41" t="n"/>
      <c r="E551" s="41" t="n"/>
      <c r="F551" s="17">
        <f>IF(OR($B551="",$D551="",$E551=""),"",ROUND(MOD($E551-$D551,1)*24,2))</f>
        <v/>
      </c>
      <c r="G551" s="16" t="n"/>
      <c r="H551" s="17">
        <f>IF($G551="","",IFERROR(_xlfn.XLOOKUP($G551,nrCHname,nrCHnum),IFERROR(_xlfn.XLOOKUP($G551,nrSUBname,nrSUBparent),"")))</f>
        <v/>
      </c>
      <c r="I551" s="16" t="n"/>
      <c r="J551" s="16" t="n"/>
      <c r="K551" s="17">
        <f>IF($B551="","",IFERROR(_xlfn.XLOOKUP($B551,nrCDdate,nrCDweek),""))</f>
        <v/>
      </c>
      <c r="L551" s="17">
        <f>IF($B551="","",IFERROR(_xlfn.XLOOKUP($B551,nrCDdate,nrCDnum),""))</f>
        <v/>
      </c>
      <c r="M551" s="16" t="n"/>
      <c r="N551" s="17">
        <f>IF(OR($B551="",$I551=""),"",_xlfn.LET(_xlpm.a,$I551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51" s="17">
        <f>IF(OR($B551="",$D551="",$E551=""),"",IF($E551=$D551,"CHECK TIMES (start = end)",IF($F551&gt;12,"CHECK TIMES (End is before Start?)","OK")))</f>
        <v/>
      </c>
      <c r="P551" s="17">
        <f>IF(OR($B551="",$I551=""),"",IF(IFERROR(MATCH($G551,nrBankTopics,0),0)=0,"OK",IF(COUNTA(INDEX(nrBankGrid,IFERROR(MATCH($G551,nrBankTopics,0),1),0))=0,"OK",IF(SUMPRODUCT((nrInstrNames&lt;&gt;"")*ISNUMBER(SEARCH(nrInstrNames,$I551))*(COUNTIF(INDEX(nrBankGrid,IFERROR(MATCH($G551,nrBankTopics,0),1),0),nrInstrNames)&gt;0))&lt;SUMPRODUCT((nrInstrNames&lt;&gt;"")*ISNUMBER(SEARCH(nrInstrNames,$I551))),"NOT IN BANK","OK"))))</f>
        <v/>
      </c>
    </row>
    <row r="552">
      <c r="B552" s="18" t="n"/>
      <c r="C552" s="17">
        <f>IF($B552="","",TEXT($B552,"ddd"))</f>
        <v/>
      </c>
      <c r="D552" s="41" t="n"/>
      <c r="E552" s="41" t="n"/>
      <c r="F552" s="17">
        <f>IF(OR($B552="",$D552="",$E552=""),"",ROUND(MOD($E552-$D552,1)*24,2))</f>
        <v/>
      </c>
      <c r="G552" s="16" t="n"/>
      <c r="H552" s="17">
        <f>IF($G552="","",IFERROR(_xlfn.XLOOKUP($G552,nrCHname,nrCHnum),IFERROR(_xlfn.XLOOKUP($G552,nrSUBname,nrSUBparent),"")))</f>
        <v/>
      </c>
      <c r="I552" s="16" t="n"/>
      <c r="J552" s="16" t="n"/>
      <c r="K552" s="17">
        <f>IF($B552="","",IFERROR(_xlfn.XLOOKUP($B552,nrCDdate,nrCDweek),""))</f>
        <v/>
      </c>
      <c r="L552" s="17">
        <f>IF($B552="","",IFERROR(_xlfn.XLOOKUP($B552,nrCDdate,nrCDnum),""))</f>
        <v/>
      </c>
      <c r="M552" s="16" t="n"/>
      <c r="N552" s="17">
        <f>IF(OR($B552="",$I552=""),"",_xlfn.LET(_xlpm.a,$I552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52" s="17">
        <f>IF(OR($B552="",$D552="",$E552=""),"",IF($E552=$D552,"CHECK TIMES (start = end)",IF($F552&gt;12,"CHECK TIMES (End is before Start?)","OK")))</f>
        <v/>
      </c>
      <c r="P552" s="17">
        <f>IF(OR($B552="",$I552=""),"",IF(IFERROR(MATCH($G552,nrBankTopics,0),0)=0,"OK",IF(COUNTA(INDEX(nrBankGrid,IFERROR(MATCH($G552,nrBankTopics,0),1),0))=0,"OK",IF(SUMPRODUCT((nrInstrNames&lt;&gt;"")*ISNUMBER(SEARCH(nrInstrNames,$I552))*(COUNTIF(INDEX(nrBankGrid,IFERROR(MATCH($G552,nrBankTopics,0),1),0),nrInstrNames)&gt;0))&lt;SUMPRODUCT((nrInstrNames&lt;&gt;"")*ISNUMBER(SEARCH(nrInstrNames,$I552))),"NOT IN BANK","OK"))))</f>
        <v/>
      </c>
    </row>
    <row r="553">
      <c r="B553" s="18" t="n"/>
      <c r="C553" s="17">
        <f>IF($B553="","",TEXT($B553,"ddd"))</f>
        <v/>
      </c>
      <c r="D553" s="41" t="n"/>
      <c r="E553" s="41" t="n"/>
      <c r="F553" s="17">
        <f>IF(OR($B553="",$D553="",$E553=""),"",ROUND(MOD($E553-$D553,1)*24,2))</f>
        <v/>
      </c>
      <c r="G553" s="16" t="n"/>
      <c r="H553" s="17">
        <f>IF($G553="","",IFERROR(_xlfn.XLOOKUP($G553,nrCHname,nrCHnum),IFERROR(_xlfn.XLOOKUP($G553,nrSUBname,nrSUBparent),"")))</f>
        <v/>
      </c>
      <c r="I553" s="16" t="n"/>
      <c r="J553" s="16" t="n"/>
      <c r="K553" s="17">
        <f>IF($B553="","",IFERROR(_xlfn.XLOOKUP($B553,nrCDdate,nrCDweek),""))</f>
        <v/>
      </c>
      <c r="L553" s="17">
        <f>IF($B553="","",IFERROR(_xlfn.XLOOKUP($B553,nrCDdate,nrCDnum),""))</f>
        <v/>
      </c>
      <c r="M553" s="16" t="n"/>
      <c r="N553" s="17">
        <f>IF(OR($B553="",$I553=""),"",_xlfn.LET(_xlpm.a,$I553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53" s="17">
        <f>IF(OR($B553="",$D553="",$E553=""),"",IF($E553=$D553,"CHECK TIMES (start = end)",IF($F553&gt;12,"CHECK TIMES (End is before Start?)","OK")))</f>
        <v/>
      </c>
      <c r="P553" s="17">
        <f>IF(OR($B553="",$I553=""),"",IF(IFERROR(MATCH($G553,nrBankTopics,0),0)=0,"OK",IF(COUNTA(INDEX(nrBankGrid,IFERROR(MATCH($G553,nrBankTopics,0),1),0))=0,"OK",IF(SUMPRODUCT((nrInstrNames&lt;&gt;"")*ISNUMBER(SEARCH(nrInstrNames,$I553))*(COUNTIF(INDEX(nrBankGrid,IFERROR(MATCH($G553,nrBankTopics,0),1),0),nrInstrNames)&gt;0))&lt;SUMPRODUCT((nrInstrNames&lt;&gt;"")*ISNUMBER(SEARCH(nrInstrNames,$I553))),"NOT IN BANK","OK"))))</f>
        <v/>
      </c>
    </row>
    <row r="554">
      <c r="B554" s="18" t="n"/>
      <c r="C554" s="17">
        <f>IF($B554="","",TEXT($B554,"ddd"))</f>
        <v/>
      </c>
      <c r="D554" s="41" t="n"/>
      <c r="E554" s="41" t="n"/>
      <c r="F554" s="17">
        <f>IF(OR($B554="",$D554="",$E554=""),"",ROUND(MOD($E554-$D554,1)*24,2))</f>
        <v/>
      </c>
      <c r="G554" s="16" t="n"/>
      <c r="H554" s="17">
        <f>IF($G554="","",IFERROR(_xlfn.XLOOKUP($G554,nrCHname,nrCHnum),IFERROR(_xlfn.XLOOKUP($G554,nrSUBname,nrSUBparent),"")))</f>
        <v/>
      </c>
      <c r="I554" s="16" t="n"/>
      <c r="J554" s="16" t="n"/>
      <c r="K554" s="17">
        <f>IF($B554="","",IFERROR(_xlfn.XLOOKUP($B554,nrCDdate,nrCDweek),""))</f>
        <v/>
      </c>
      <c r="L554" s="17">
        <f>IF($B554="","",IFERROR(_xlfn.XLOOKUP($B554,nrCDdate,nrCDnum),""))</f>
        <v/>
      </c>
      <c r="M554" s="16" t="n"/>
      <c r="N554" s="17">
        <f>IF(OR($B554="",$I554=""),"",_xlfn.LET(_xlpm.a,$I554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54" s="17">
        <f>IF(OR($B554="",$D554="",$E554=""),"",IF($E554=$D554,"CHECK TIMES (start = end)",IF($F554&gt;12,"CHECK TIMES (End is before Start?)","OK")))</f>
        <v/>
      </c>
      <c r="P554" s="17">
        <f>IF(OR($B554="",$I554=""),"",IF(IFERROR(MATCH($G554,nrBankTopics,0),0)=0,"OK",IF(COUNTA(INDEX(nrBankGrid,IFERROR(MATCH($G554,nrBankTopics,0),1),0))=0,"OK",IF(SUMPRODUCT((nrInstrNames&lt;&gt;"")*ISNUMBER(SEARCH(nrInstrNames,$I554))*(COUNTIF(INDEX(nrBankGrid,IFERROR(MATCH($G554,nrBankTopics,0),1),0),nrInstrNames)&gt;0))&lt;SUMPRODUCT((nrInstrNames&lt;&gt;"")*ISNUMBER(SEARCH(nrInstrNames,$I554))),"NOT IN BANK","OK"))))</f>
        <v/>
      </c>
    </row>
    <row r="555">
      <c r="B555" s="18" t="n"/>
      <c r="C555" s="17">
        <f>IF($B555="","",TEXT($B555,"ddd"))</f>
        <v/>
      </c>
      <c r="D555" s="41" t="n"/>
      <c r="E555" s="41" t="n"/>
      <c r="F555" s="17">
        <f>IF(OR($B555="",$D555="",$E555=""),"",ROUND(MOD($E555-$D555,1)*24,2))</f>
        <v/>
      </c>
      <c r="G555" s="16" t="n"/>
      <c r="H555" s="17">
        <f>IF($G555="","",IFERROR(_xlfn.XLOOKUP($G555,nrCHname,nrCHnum),IFERROR(_xlfn.XLOOKUP($G555,nrSUBname,nrSUBparent),"")))</f>
        <v/>
      </c>
      <c r="I555" s="16" t="n"/>
      <c r="J555" s="16" t="n"/>
      <c r="K555" s="17">
        <f>IF($B555="","",IFERROR(_xlfn.XLOOKUP($B555,nrCDdate,nrCDweek),""))</f>
        <v/>
      </c>
      <c r="L555" s="17">
        <f>IF($B555="","",IFERROR(_xlfn.XLOOKUP($B555,nrCDdate,nrCDnum),""))</f>
        <v/>
      </c>
      <c r="M555" s="16" t="n"/>
      <c r="N555" s="17">
        <f>IF(OR($B555="",$I555=""),"",_xlfn.LET(_xlpm.a,$I555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55" s="17">
        <f>IF(OR($B555="",$D555="",$E555=""),"",IF($E555=$D555,"CHECK TIMES (start = end)",IF($F555&gt;12,"CHECK TIMES (End is before Start?)","OK")))</f>
        <v/>
      </c>
      <c r="P555" s="17">
        <f>IF(OR($B555="",$I555=""),"",IF(IFERROR(MATCH($G555,nrBankTopics,0),0)=0,"OK",IF(COUNTA(INDEX(nrBankGrid,IFERROR(MATCH($G555,nrBankTopics,0),1),0))=0,"OK",IF(SUMPRODUCT((nrInstrNames&lt;&gt;"")*ISNUMBER(SEARCH(nrInstrNames,$I555))*(COUNTIF(INDEX(nrBankGrid,IFERROR(MATCH($G555,nrBankTopics,0),1),0),nrInstrNames)&gt;0))&lt;SUMPRODUCT((nrInstrNames&lt;&gt;"")*ISNUMBER(SEARCH(nrInstrNames,$I555))),"NOT IN BANK","OK"))))</f>
        <v/>
      </c>
    </row>
    <row r="556">
      <c r="B556" s="18" t="n"/>
      <c r="C556" s="17">
        <f>IF($B556="","",TEXT($B556,"ddd"))</f>
        <v/>
      </c>
      <c r="D556" s="41" t="n"/>
      <c r="E556" s="41" t="n"/>
      <c r="F556" s="17">
        <f>IF(OR($B556="",$D556="",$E556=""),"",ROUND(MOD($E556-$D556,1)*24,2))</f>
        <v/>
      </c>
      <c r="G556" s="16" t="n"/>
      <c r="H556" s="17">
        <f>IF($G556="","",IFERROR(_xlfn.XLOOKUP($G556,nrCHname,nrCHnum),IFERROR(_xlfn.XLOOKUP($G556,nrSUBname,nrSUBparent),"")))</f>
        <v/>
      </c>
      <c r="I556" s="16" t="n"/>
      <c r="J556" s="16" t="n"/>
      <c r="K556" s="17">
        <f>IF($B556="","",IFERROR(_xlfn.XLOOKUP($B556,nrCDdate,nrCDweek),""))</f>
        <v/>
      </c>
      <c r="L556" s="17">
        <f>IF($B556="","",IFERROR(_xlfn.XLOOKUP($B556,nrCDdate,nrCDnum),""))</f>
        <v/>
      </c>
      <c r="M556" s="16" t="n"/>
      <c r="N556" s="17">
        <f>IF(OR($B556="",$I556=""),"",_xlfn.LET(_xlpm.a,$I556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56" s="17">
        <f>IF(OR($B556="",$D556="",$E556=""),"",IF($E556=$D556,"CHECK TIMES (start = end)",IF($F556&gt;12,"CHECK TIMES (End is before Start?)","OK")))</f>
        <v/>
      </c>
      <c r="P556" s="17">
        <f>IF(OR($B556="",$I556=""),"",IF(IFERROR(MATCH($G556,nrBankTopics,0),0)=0,"OK",IF(COUNTA(INDEX(nrBankGrid,IFERROR(MATCH($G556,nrBankTopics,0),1),0))=0,"OK",IF(SUMPRODUCT((nrInstrNames&lt;&gt;"")*ISNUMBER(SEARCH(nrInstrNames,$I556))*(COUNTIF(INDEX(nrBankGrid,IFERROR(MATCH($G556,nrBankTopics,0),1),0),nrInstrNames)&gt;0))&lt;SUMPRODUCT((nrInstrNames&lt;&gt;"")*ISNUMBER(SEARCH(nrInstrNames,$I556))),"NOT IN BANK","OK"))))</f>
        <v/>
      </c>
    </row>
    <row r="557">
      <c r="B557" s="18" t="n"/>
      <c r="C557" s="17">
        <f>IF($B557="","",TEXT($B557,"ddd"))</f>
        <v/>
      </c>
      <c r="D557" s="41" t="n"/>
      <c r="E557" s="41" t="n"/>
      <c r="F557" s="17">
        <f>IF(OR($B557="",$D557="",$E557=""),"",ROUND(MOD($E557-$D557,1)*24,2))</f>
        <v/>
      </c>
      <c r="G557" s="16" t="n"/>
      <c r="H557" s="17">
        <f>IF($G557="","",IFERROR(_xlfn.XLOOKUP($G557,nrCHname,nrCHnum),IFERROR(_xlfn.XLOOKUP($G557,nrSUBname,nrSUBparent),"")))</f>
        <v/>
      </c>
      <c r="I557" s="16" t="n"/>
      <c r="J557" s="16" t="n"/>
      <c r="K557" s="17">
        <f>IF($B557="","",IFERROR(_xlfn.XLOOKUP($B557,nrCDdate,nrCDweek),""))</f>
        <v/>
      </c>
      <c r="L557" s="17">
        <f>IF($B557="","",IFERROR(_xlfn.XLOOKUP($B557,nrCDdate,nrCDnum),""))</f>
        <v/>
      </c>
      <c r="M557" s="16" t="n"/>
      <c r="N557" s="17">
        <f>IF(OR($B557="",$I557=""),"",_xlfn.LET(_xlpm.a,$I557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57" s="17">
        <f>IF(OR($B557="",$D557="",$E557=""),"",IF($E557=$D557,"CHECK TIMES (start = end)",IF($F557&gt;12,"CHECK TIMES (End is before Start?)","OK")))</f>
        <v/>
      </c>
      <c r="P557" s="17">
        <f>IF(OR($B557="",$I557=""),"",IF(IFERROR(MATCH($G557,nrBankTopics,0),0)=0,"OK",IF(COUNTA(INDEX(nrBankGrid,IFERROR(MATCH($G557,nrBankTopics,0),1),0))=0,"OK",IF(SUMPRODUCT((nrInstrNames&lt;&gt;"")*ISNUMBER(SEARCH(nrInstrNames,$I557))*(COUNTIF(INDEX(nrBankGrid,IFERROR(MATCH($G557,nrBankTopics,0),1),0),nrInstrNames)&gt;0))&lt;SUMPRODUCT((nrInstrNames&lt;&gt;"")*ISNUMBER(SEARCH(nrInstrNames,$I557))),"NOT IN BANK","OK"))))</f>
        <v/>
      </c>
    </row>
    <row r="558">
      <c r="B558" s="18" t="n"/>
      <c r="C558" s="17">
        <f>IF($B558="","",TEXT($B558,"ddd"))</f>
        <v/>
      </c>
      <c r="D558" s="41" t="n"/>
      <c r="E558" s="41" t="n"/>
      <c r="F558" s="17">
        <f>IF(OR($B558="",$D558="",$E558=""),"",ROUND(MOD($E558-$D558,1)*24,2))</f>
        <v/>
      </c>
      <c r="G558" s="16" t="n"/>
      <c r="H558" s="17">
        <f>IF($G558="","",IFERROR(_xlfn.XLOOKUP($G558,nrCHname,nrCHnum),IFERROR(_xlfn.XLOOKUP($G558,nrSUBname,nrSUBparent),"")))</f>
        <v/>
      </c>
      <c r="I558" s="16" t="n"/>
      <c r="J558" s="16" t="n"/>
      <c r="K558" s="17">
        <f>IF($B558="","",IFERROR(_xlfn.XLOOKUP($B558,nrCDdate,nrCDweek),""))</f>
        <v/>
      </c>
      <c r="L558" s="17">
        <f>IF($B558="","",IFERROR(_xlfn.XLOOKUP($B558,nrCDdate,nrCDnum),""))</f>
        <v/>
      </c>
      <c r="M558" s="16" t="n"/>
      <c r="N558" s="17">
        <f>IF(OR($B558="",$I558=""),"",_xlfn.LET(_xlpm.a,$I558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58" s="17">
        <f>IF(OR($B558="",$D558="",$E558=""),"",IF($E558=$D558,"CHECK TIMES (start = end)",IF($F558&gt;12,"CHECK TIMES (End is before Start?)","OK")))</f>
        <v/>
      </c>
      <c r="P558" s="17">
        <f>IF(OR($B558="",$I558=""),"",IF(IFERROR(MATCH($G558,nrBankTopics,0),0)=0,"OK",IF(COUNTA(INDEX(nrBankGrid,IFERROR(MATCH($G558,nrBankTopics,0),1),0))=0,"OK",IF(SUMPRODUCT((nrInstrNames&lt;&gt;"")*ISNUMBER(SEARCH(nrInstrNames,$I558))*(COUNTIF(INDEX(nrBankGrid,IFERROR(MATCH($G558,nrBankTopics,0),1),0),nrInstrNames)&gt;0))&lt;SUMPRODUCT((nrInstrNames&lt;&gt;"")*ISNUMBER(SEARCH(nrInstrNames,$I558))),"NOT IN BANK","OK"))))</f>
        <v/>
      </c>
    </row>
    <row r="559">
      <c r="B559" s="18" t="n"/>
      <c r="C559" s="17">
        <f>IF($B559="","",TEXT($B559,"ddd"))</f>
        <v/>
      </c>
      <c r="D559" s="41" t="n"/>
      <c r="E559" s="41" t="n"/>
      <c r="F559" s="17">
        <f>IF(OR($B559="",$D559="",$E559=""),"",ROUND(MOD($E559-$D559,1)*24,2))</f>
        <v/>
      </c>
      <c r="G559" s="16" t="n"/>
      <c r="H559" s="17">
        <f>IF($G559="","",IFERROR(_xlfn.XLOOKUP($G559,nrCHname,nrCHnum),IFERROR(_xlfn.XLOOKUP($G559,nrSUBname,nrSUBparent),"")))</f>
        <v/>
      </c>
      <c r="I559" s="16" t="n"/>
      <c r="J559" s="16" t="n"/>
      <c r="K559" s="17">
        <f>IF($B559="","",IFERROR(_xlfn.XLOOKUP($B559,nrCDdate,nrCDweek),""))</f>
        <v/>
      </c>
      <c r="L559" s="17">
        <f>IF($B559="","",IFERROR(_xlfn.XLOOKUP($B559,nrCDdate,nrCDnum),""))</f>
        <v/>
      </c>
      <c r="M559" s="16" t="n"/>
      <c r="N559" s="17">
        <f>IF(OR($B559="",$I559=""),"",_xlfn.LET(_xlpm.a,$I559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59" s="17">
        <f>IF(OR($B559="",$D559="",$E559=""),"",IF($E559=$D559,"CHECK TIMES (start = end)",IF($F559&gt;12,"CHECK TIMES (End is before Start?)","OK")))</f>
        <v/>
      </c>
      <c r="P559" s="17">
        <f>IF(OR($B559="",$I559=""),"",IF(IFERROR(MATCH($G559,nrBankTopics,0),0)=0,"OK",IF(COUNTA(INDEX(nrBankGrid,IFERROR(MATCH($G559,nrBankTopics,0),1),0))=0,"OK",IF(SUMPRODUCT((nrInstrNames&lt;&gt;"")*ISNUMBER(SEARCH(nrInstrNames,$I559))*(COUNTIF(INDEX(nrBankGrid,IFERROR(MATCH($G559,nrBankTopics,0),1),0),nrInstrNames)&gt;0))&lt;SUMPRODUCT((nrInstrNames&lt;&gt;"")*ISNUMBER(SEARCH(nrInstrNames,$I559))),"NOT IN BANK","OK"))))</f>
        <v/>
      </c>
    </row>
    <row r="560">
      <c r="B560" s="18" t="n"/>
      <c r="C560" s="17">
        <f>IF($B560="","",TEXT($B560,"ddd"))</f>
        <v/>
      </c>
      <c r="D560" s="41" t="n"/>
      <c r="E560" s="41" t="n"/>
      <c r="F560" s="17">
        <f>IF(OR($B560="",$D560="",$E560=""),"",ROUND(MOD($E560-$D560,1)*24,2))</f>
        <v/>
      </c>
      <c r="G560" s="16" t="n"/>
      <c r="H560" s="17">
        <f>IF($G560="","",IFERROR(_xlfn.XLOOKUP($G560,nrCHname,nrCHnum),IFERROR(_xlfn.XLOOKUP($G560,nrSUBname,nrSUBparent),"")))</f>
        <v/>
      </c>
      <c r="I560" s="16" t="n"/>
      <c r="J560" s="16" t="n"/>
      <c r="K560" s="17">
        <f>IF($B560="","",IFERROR(_xlfn.XLOOKUP($B560,nrCDdate,nrCDweek),""))</f>
        <v/>
      </c>
      <c r="L560" s="17">
        <f>IF($B560="","",IFERROR(_xlfn.XLOOKUP($B560,nrCDdate,nrCDnum),""))</f>
        <v/>
      </c>
      <c r="M560" s="16" t="n"/>
      <c r="N560" s="17">
        <f>IF(OR($B560="",$I560=""),"",_xlfn.LET(_xlpm.a,$I560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60" s="17">
        <f>IF(OR($B560="",$D560="",$E560=""),"",IF($E560=$D560,"CHECK TIMES (start = end)",IF($F560&gt;12,"CHECK TIMES (End is before Start?)","OK")))</f>
        <v/>
      </c>
      <c r="P560" s="17">
        <f>IF(OR($B560="",$I560=""),"",IF(IFERROR(MATCH($G560,nrBankTopics,0),0)=0,"OK",IF(COUNTA(INDEX(nrBankGrid,IFERROR(MATCH($G560,nrBankTopics,0),1),0))=0,"OK",IF(SUMPRODUCT((nrInstrNames&lt;&gt;"")*ISNUMBER(SEARCH(nrInstrNames,$I560))*(COUNTIF(INDEX(nrBankGrid,IFERROR(MATCH($G560,nrBankTopics,0),1),0),nrInstrNames)&gt;0))&lt;SUMPRODUCT((nrInstrNames&lt;&gt;"")*ISNUMBER(SEARCH(nrInstrNames,$I560))),"NOT IN BANK","OK"))))</f>
        <v/>
      </c>
    </row>
    <row r="561">
      <c r="B561" s="18" t="n"/>
      <c r="C561" s="17">
        <f>IF($B561="","",TEXT($B561,"ddd"))</f>
        <v/>
      </c>
      <c r="D561" s="41" t="n"/>
      <c r="E561" s="41" t="n"/>
      <c r="F561" s="17">
        <f>IF(OR($B561="",$D561="",$E561=""),"",ROUND(MOD($E561-$D561,1)*24,2))</f>
        <v/>
      </c>
      <c r="G561" s="16" t="n"/>
      <c r="H561" s="17">
        <f>IF($G561="","",IFERROR(_xlfn.XLOOKUP($G561,nrCHname,nrCHnum),IFERROR(_xlfn.XLOOKUP($G561,nrSUBname,nrSUBparent),"")))</f>
        <v/>
      </c>
      <c r="I561" s="16" t="n"/>
      <c r="J561" s="16" t="n"/>
      <c r="K561" s="17">
        <f>IF($B561="","",IFERROR(_xlfn.XLOOKUP($B561,nrCDdate,nrCDweek),""))</f>
        <v/>
      </c>
      <c r="L561" s="17">
        <f>IF($B561="","",IFERROR(_xlfn.XLOOKUP($B561,nrCDdate,nrCDnum),""))</f>
        <v/>
      </c>
      <c r="M561" s="16" t="n"/>
      <c r="N561" s="17">
        <f>IF(OR($B561="",$I561=""),"",_xlfn.LET(_xlpm.a,$I561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61" s="17">
        <f>IF(OR($B561="",$D561="",$E561=""),"",IF($E561=$D561,"CHECK TIMES (start = end)",IF($F561&gt;12,"CHECK TIMES (End is before Start?)","OK")))</f>
        <v/>
      </c>
      <c r="P561" s="17">
        <f>IF(OR($B561="",$I561=""),"",IF(IFERROR(MATCH($G561,nrBankTopics,0),0)=0,"OK",IF(COUNTA(INDEX(nrBankGrid,IFERROR(MATCH($G561,nrBankTopics,0),1),0))=0,"OK",IF(SUMPRODUCT((nrInstrNames&lt;&gt;"")*ISNUMBER(SEARCH(nrInstrNames,$I561))*(COUNTIF(INDEX(nrBankGrid,IFERROR(MATCH($G561,nrBankTopics,0),1),0),nrInstrNames)&gt;0))&lt;SUMPRODUCT((nrInstrNames&lt;&gt;"")*ISNUMBER(SEARCH(nrInstrNames,$I561))),"NOT IN BANK","OK"))))</f>
        <v/>
      </c>
    </row>
    <row r="562">
      <c r="B562" s="18" t="n"/>
      <c r="C562" s="17">
        <f>IF($B562="","",TEXT($B562,"ddd"))</f>
        <v/>
      </c>
      <c r="D562" s="41" t="n"/>
      <c r="E562" s="41" t="n"/>
      <c r="F562" s="17">
        <f>IF(OR($B562="",$D562="",$E562=""),"",ROUND(MOD($E562-$D562,1)*24,2))</f>
        <v/>
      </c>
      <c r="G562" s="16" t="n"/>
      <c r="H562" s="17">
        <f>IF($G562="","",IFERROR(_xlfn.XLOOKUP($G562,nrCHname,nrCHnum),IFERROR(_xlfn.XLOOKUP($G562,nrSUBname,nrSUBparent),"")))</f>
        <v/>
      </c>
      <c r="I562" s="16" t="n"/>
      <c r="J562" s="16" t="n"/>
      <c r="K562" s="17">
        <f>IF($B562="","",IFERROR(_xlfn.XLOOKUP($B562,nrCDdate,nrCDweek),""))</f>
        <v/>
      </c>
      <c r="L562" s="17">
        <f>IF($B562="","",IFERROR(_xlfn.XLOOKUP($B562,nrCDdate,nrCDnum),""))</f>
        <v/>
      </c>
      <c r="M562" s="16" t="n"/>
      <c r="N562" s="17">
        <f>IF(OR($B562="",$I562=""),"",_xlfn.LET(_xlpm.a,$I562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62" s="17">
        <f>IF(OR($B562="",$D562="",$E562=""),"",IF($E562=$D562,"CHECK TIMES (start = end)",IF($F562&gt;12,"CHECK TIMES (End is before Start?)","OK")))</f>
        <v/>
      </c>
      <c r="P562" s="17">
        <f>IF(OR($B562="",$I562=""),"",IF(IFERROR(MATCH($G562,nrBankTopics,0),0)=0,"OK",IF(COUNTA(INDEX(nrBankGrid,IFERROR(MATCH($G562,nrBankTopics,0),1),0))=0,"OK",IF(SUMPRODUCT((nrInstrNames&lt;&gt;"")*ISNUMBER(SEARCH(nrInstrNames,$I562))*(COUNTIF(INDEX(nrBankGrid,IFERROR(MATCH($G562,nrBankTopics,0),1),0),nrInstrNames)&gt;0))&lt;SUMPRODUCT((nrInstrNames&lt;&gt;"")*ISNUMBER(SEARCH(nrInstrNames,$I562))),"NOT IN BANK","OK"))))</f>
        <v/>
      </c>
    </row>
    <row r="563">
      <c r="B563" s="18" t="n"/>
      <c r="C563" s="17">
        <f>IF($B563="","",TEXT($B563,"ddd"))</f>
        <v/>
      </c>
      <c r="D563" s="41" t="n"/>
      <c r="E563" s="41" t="n"/>
      <c r="F563" s="17">
        <f>IF(OR($B563="",$D563="",$E563=""),"",ROUND(MOD($E563-$D563,1)*24,2))</f>
        <v/>
      </c>
      <c r="G563" s="16" t="n"/>
      <c r="H563" s="17">
        <f>IF($G563="","",IFERROR(_xlfn.XLOOKUP($G563,nrCHname,nrCHnum),IFERROR(_xlfn.XLOOKUP($G563,nrSUBname,nrSUBparent),"")))</f>
        <v/>
      </c>
      <c r="I563" s="16" t="n"/>
      <c r="J563" s="16" t="n"/>
      <c r="K563" s="17">
        <f>IF($B563="","",IFERROR(_xlfn.XLOOKUP($B563,nrCDdate,nrCDweek),""))</f>
        <v/>
      </c>
      <c r="L563" s="17">
        <f>IF($B563="","",IFERROR(_xlfn.XLOOKUP($B563,nrCDdate,nrCDnum),""))</f>
        <v/>
      </c>
      <c r="M563" s="16" t="n"/>
      <c r="N563" s="17">
        <f>IF(OR($B563="",$I563=""),"",_xlfn.LET(_xlpm.a,$I563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63" s="17">
        <f>IF(OR($B563="",$D563="",$E563=""),"",IF($E563=$D563,"CHECK TIMES (start = end)",IF($F563&gt;12,"CHECK TIMES (End is before Start?)","OK")))</f>
        <v/>
      </c>
      <c r="P563" s="17">
        <f>IF(OR($B563="",$I563=""),"",IF(IFERROR(MATCH($G563,nrBankTopics,0),0)=0,"OK",IF(COUNTA(INDEX(nrBankGrid,IFERROR(MATCH($G563,nrBankTopics,0),1),0))=0,"OK",IF(SUMPRODUCT((nrInstrNames&lt;&gt;"")*ISNUMBER(SEARCH(nrInstrNames,$I563))*(COUNTIF(INDEX(nrBankGrid,IFERROR(MATCH($G563,nrBankTopics,0),1),0),nrInstrNames)&gt;0))&lt;SUMPRODUCT((nrInstrNames&lt;&gt;"")*ISNUMBER(SEARCH(nrInstrNames,$I563))),"NOT IN BANK","OK"))))</f>
        <v/>
      </c>
    </row>
    <row r="564">
      <c r="B564" s="18" t="n"/>
      <c r="C564" s="17">
        <f>IF($B564="","",TEXT($B564,"ddd"))</f>
        <v/>
      </c>
      <c r="D564" s="41" t="n"/>
      <c r="E564" s="41" t="n"/>
      <c r="F564" s="17">
        <f>IF(OR($B564="",$D564="",$E564=""),"",ROUND(MOD($E564-$D564,1)*24,2))</f>
        <v/>
      </c>
      <c r="G564" s="16" t="n"/>
      <c r="H564" s="17">
        <f>IF($G564="","",IFERROR(_xlfn.XLOOKUP($G564,nrCHname,nrCHnum),IFERROR(_xlfn.XLOOKUP($G564,nrSUBname,nrSUBparent),"")))</f>
        <v/>
      </c>
      <c r="I564" s="16" t="n"/>
      <c r="J564" s="16" t="n"/>
      <c r="K564" s="17">
        <f>IF($B564="","",IFERROR(_xlfn.XLOOKUP($B564,nrCDdate,nrCDweek),""))</f>
        <v/>
      </c>
      <c r="L564" s="17">
        <f>IF($B564="","",IFERROR(_xlfn.XLOOKUP($B564,nrCDdate,nrCDnum),""))</f>
        <v/>
      </c>
      <c r="M564" s="16" t="n"/>
      <c r="N564" s="17">
        <f>IF(OR($B564="",$I564=""),"",_xlfn.LET(_xlpm.a,$I564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64" s="17">
        <f>IF(OR($B564="",$D564="",$E564=""),"",IF($E564=$D564,"CHECK TIMES (start = end)",IF($F564&gt;12,"CHECK TIMES (End is before Start?)","OK")))</f>
        <v/>
      </c>
      <c r="P564" s="17">
        <f>IF(OR($B564="",$I564=""),"",IF(IFERROR(MATCH($G564,nrBankTopics,0),0)=0,"OK",IF(COUNTA(INDEX(nrBankGrid,IFERROR(MATCH($G564,nrBankTopics,0),1),0))=0,"OK",IF(SUMPRODUCT((nrInstrNames&lt;&gt;"")*ISNUMBER(SEARCH(nrInstrNames,$I564))*(COUNTIF(INDEX(nrBankGrid,IFERROR(MATCH($G564,nrBankTopics,0),1),0),nrInstrNames)&gt;0))&lt;SUMPRODUCT((nrInstrNames&lt;&gt;"")*ISNUMBER(SEARCH(nrInstrNames,$I564))),"NOT IN BANK","OK"))))</f>
        <v/>
      </c>
    </row>
    <row r="565">
      <c r="B565" s="18" t="n"/>
      <c r="C565" s="17">
        <f>IF($B565="","",TEXT($B565,"ddd"))</f>
        <v/>
      </c>
      <c r="D565" s="41" t="n"/>
      <c r="E565" s="41" t="n"/>
      <c r="F565" s="17">
        <f>IF(OR($B565="",$D565="",$E565=""),"",ROUND(MOD($E565-$D565,1)*24,2))</f>
        <v/>
      </c>
      <c r="G565" s="16" t="n"/>
      <c r="H565" s="17">
        <f>IF($G565="","",IFERROR(_xlfn.XLOOKUP($G565,nrCHname,nrCHnum),IFERROR(_xlfn.XLOOKUP($G565,nrSUBname,nrSUBparent),"")))</f>
        <v/>
      </c>
      <c r="I565" s="16" t="n"/>
      <c r="J565" s="16" t="n"/>
      <c r="K565" s="17">
        <f>IF($B565="","",IFERROR(_xlfn.XLOOKUP($B565,nrCDdate,nrCDweek),""))</f>
        <v/>
      </c>
      <c r="L565" s="17">
        <f>IF($B565="","",IFERROR(_xlfn.XLOOKUP($B565,nrCDdate,nrCDnum),""))</f>
        <v/>
      </c>
      <c r="M565" s="16" t="n"/>
      <c r="N565" s="17">
        <f>IF(OR($B565="",$I565=""),"",_xlfn.LET(_xlpm.a,$I565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65" s="17">
        <f>IF(OR($B565="",$D565="",$E565=""),"",IF($E565=$D565,"CHECK TIMES (start = end)",IF($F565&gt;12,"CHECK TIMES (End is before Start?)","OK")))</f>
        <v/>
      </c>
      <c r="P565" s="17">
        <f>IF(OR($B565="",$I565=""),"",IF(IFERROR(MATCH($G565,nrBankTopics,0),0)=0,"OK",IF(COUNTA(INDEX(nrBankGrid,IFERROR(MATCH($G565,nrBankTopics,0),1),0))=0,"OK",IF(SUMPRODUCT((nrInstrNames&lt;&gt;"")*ISNUMBER(SEARCH(nrInstrNames,$I565))*(COUNTIF(INDEX(nrBankGrid,IFERROR(MATCH($G565,nrBankTopics,0),1),0),nrInstrNames)&gt;0))&lt;SUMPRODUCT((nrInstrNames&lt;&gt;"")*ISNUMBER(SEARCH(nrInstrNames,$I565))),"NOT IN BANK","OK"))))</f>
        <v/>
      </c>
    </row>
    <row r="566">
      <c r="B566" s="18" t="n"/>
      <c r="C566" s="17">
        <f>IF($B566="","",TEXT($B566,"ddd"))</f>
        <v/>
      </c>
      <c r="D566" s="41" t="n"/>
      <c r="E566" s="41" t="n"/>
      <c r="F566" s="17">
        <f>IF(OR($B566="",$D566="",$E566=""),"",ROUND(MOD($E566-$D566,1)*24,2))</f>
        <v/>
      </c>
      <c r="G566" s="16" t="n"/>
      <c r="H566" s="17">
        <f>IF($G566="","",IFERROR(_xlfn.XLOOKUP($G566,nrCHname,nrCHnum),IFERROR(_xlfn.XLOOKUP($G566,nrSUBname,nrSUBparent),"")))</f>
        <v/>
      </c>
      <c r="I566" s="16" t="n"/>
      <c r="J566" s="16" t="n"/>
      <c r="K566" s="17">
        <f>IF($B566="","",IFERROR(_xlfn.XLOOKUP($B566,nrCDdate,nrCDweek),""))</f>
        <v/>
      </c>
      <c r="L566" s="17">
        <f>IF($B566="","",IFERROR(_xlfn.XLOOKUP($B566,nrCDdate,nrCDnum),""))</f>
        <v/>
      </c>
      <c r="M566" s="16" t="n"/>
      <c r="N566" s="17">
        <f>IF(OR($B566="",$I566=""),"",_xlfn.LET(_xlpm.a,$I566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66" s="17">
        <f>IF(OR($B566="",$D566="",$E566=""),"",IF($E566=$D566,"CHECK TIMES (start = end)",IF($F566&gt;12,"CHECK TIMES (End is before Start?)","OK")))</f>
        <v/>
      </c>
      <c r="P566" s="17">
        <f>IF(OR($B566="",$I566=""),"",IF(IFERROR(MATCH($G566,nrBankTopics,0),0)=0,"OK",IF(COUNTA(INDEX(nrBankGrid,IFERROR(MATCH($G566,nrBankTopics,0),1),0))=0,"OK",IF(SUMPRODUCT((nrInstrNames&lt;&gt;"")*ISNUMBER(SEARCH(nrInstrNames,$I566))*(COUNTIF(INDEX(nrBankGrid,IFERROR(MATCH($G566,nrBankTopics,0),1),0),nrInstrNames)&gt;0))&lt;SUMPRODUCT((nrInstrNames&lt;&gt;"")*ISNUMBER(SEARCH(nrInstrNames,$I566))),"NOT IN BANK","OK"))))</f>
        <v/>
      </c>
    </row>
    <row r="567">
      <c r="B567" s="18" t="n"/>
      <c r="C567" s="17">
        <f>IF($B567="","",TEXT($B567,"ddd"))</f>
        <v/>
      </c>
      <c r="D567" s="41" t="n"/>
      <c r="E567" s="41" t="n"/>
      <c r="F567" s="17">
        <f>IF(OR($B567="",$D567="",$E567=""),"",ROUND(MOD($E567-$D567,1)*24,2))</f>
        <v/>
      </c>
      <c r="G567" s="16" t="n"/>
      <c r="H567" s="17">
        <f>IF($G567="","",IFERROR(_xlfn.XLOOKUP($G567,nrCHname,nrCHnum),IFERROR(_xlfn.XLOOKUP($G567,nrSUBname,nrSUBparent),"")))</f>
        <v/>
      </c>
      <c r="I567" s="16" t="n"/>
      <c r="J567" s="16" t="n"/>
      <c r="K567" s="17">
        <f>IF($B567="","",IFERROR(_xlfn.XLOOKUP($B567,nrCDdate,nrCDweek),""))</f>
        <v/>
      </c>
      <c r="L567" s="17">
        <f>IF($B567="","",IFERROR(_xlfn.XLOOKUP($B567,nrCDdate,nrCDnum),""))</f>
        <v/>
      </c>
      <c r="M567" s="16" t="n"/>
      <c r="N567" s="17">
        <f>IF(OR($B567="",$I567=""),"",_xlfn.LET(_xlpm.a,$I567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67" s="17">
        <f>IF(OR($B567="",$D567="",$E567=""),"",IF($E567=$D567,"CHECK TIMES (start = end)",IF($F567&gt;12,"CHECK TIMES (End is before Start?)","OK")))</f>
        <v/>
      </c>
      <c r="P567" s="17">
        <f>IF(OR($B567="",$I567=""),"",IF(IFERROR(MATCH($G567,nrBankTopics,0),0)=0,"OK",IF(COUNTA(INDEX(nrBankGrid,IFERROR(MATCH($G567,nrBankTopics,0),1),0))=0,"OK",IF(SUMPRODUCT((nrInstrNames&lt;&gt;"")*ISNUMBER(SEARCH(nrInstrNames,$I567))*(COUNTIF(INDEX(nrBankGrid,IFERROR(MATCH($G567,nrBankTopics,0),1),0),nrInstrNames)&gt;0))&lt;SUMPRODUCT((nrInstrNames&lt;&gt;"")*ISNUMBER(SEARCH(nrInstrNames,$I567))),"NOT IN BANK","OK"))))</f>
        <v/>
      </c>
    </row>
    <row r="568">
      <c r="B568" s="18" t="n"/>
      <c r="C568" s="17">
        <f>IF($B568="","",TEXT($B568,"ddd"))</f>
        <v/>
      </c>
      <c r="D568" s="41" t="n"/>
      <c r="E568" s="41" t="n"/>
      <c r="F568" s="17">
        <f>IF(OR($B568="",$D568="",$E568=""),"",ROUND(MOD($E568-$D568,1)*24,2))</f>
        <v/>
      </c>
      <c r="G568" s="16" t="n"/>
      <c r="H568" s="17">
        <f>IF($G568="","",IFERROR(_xlfn.XLOOKUP($G568,nrCHname,nrCHnum),IFERROR(_xlfn.XLOOKUP($G568,nrSUBname,nrSUBparent),"")))</f>
        <v/>
      </c>
      <c r="I568" s="16" t="n"/>
      <c r="J568" s="16" t="n"/>
      <c r="K568" s="17">
        <f>IF($B568="","",IFERROR(_xlfn.XLOOKUP($B568,nrCDdate,nrCDweek),""))</f>
        <v/>
      </c>
      <c r="L568" s="17">
        <f>IF($B568="","",IFERROR(_xlfn.XLOOKUP($B568,nrCDdate,nrCDnum),""))</f>
        <v/>
      </c>
      <c r="M568" s="16" t="n"/>
      <c r="N568" s="17">
        <f>IF(OR($B568="",$I568=""),"",_xlfn.LET(_xlpm.a,$I568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68" s="17">
        <f>IF(OR($B568="",$D568="",$E568=""),"",IF($E568=$D568,"CHECK TIMES (start = end)",IF($F568&gt;12,"CHECK TIMES (End is before Start?)","OK")))</f>
        <v/>
      </c>
      <c r="P568" s="17">
        <f>IF(OR($B568="",$I568=""),"",IF(IFERROR(MATCH($G568,nrBankTopics,0),0)=0,"OK",IF(COUNTA(INDEX(nrBankGrid,IFERROR(MATCH($G568,nrBankTopics,0),1),0))=0,"OK",IF(SUMPRODUCT((nrInstrNames&lt;&gt;"")*ISNUMBER(SEARCH(nrInstrNames,$I568))*(COUNTIF(INDEX(nrBankGrid,IFERROR(MATCH($G568,nrBankTopics,0),1),0),nrInstrNames)&gt;0))&lt;SUMPRODUCT((nrInstrNames&lt;&gt;"")*ISNUMBER(SEARCH(nrInstrNames,$I568))),"NOT IN BANK","OK"))))</f>
        <v/>
      </c>
    </row>
    <row r="569">
      <c r="B569" s="18" t="n"/>
      <c r="C569" s="17">
        <f>IF($B569="","",TEXT($B569,"ddd"))</f>
        <v/>
      </c>
      <c r="D569" s="41" t="n"/>
      <c r="E569" s="41" t="n"/>
      <c r="F569" s="17">
        <f>IF(OR($B569="",$D569="",$E569=""),"",ROUND(MOD($E569-$D569,1)*24,2))</f>
        <v/>
      </c>
      <c r="G569" s="16" t="n"/>
      <c r="H569" s="17">
        <f>IF($G569="","",IFERROR(_xlfn.XLOOKUP($G569,nrCHname,nrCHnum),IFERROR(_xlfn.XLOOKUP($G569,nrSUBname,nrSUBparent),"")))</f>
        <v/>
      </c>
      <c r="I569" s="16" t="n"/>
      <c r="J569" s="16" t="n"/>
      <c r="K569" s="17">
        <f>IF($B569="","",IFERROR(_xlfn.XLOOKUP($B569,nrCDdate,nrCDweek),""))</f>
        <v/>
      </c>
      <c r="L569" s="17">
        <f>IF($B569="","",IFERROR(_xlfn.XLOOKUP($B569,nrCDdate,nrCDnum),""))</f>
        <v/>
      </c>
      <c r="M569" s="16" t="n"/>
      <c r="N569" s="17">
        <f>IF(OR($B569="",$I569=""),"",_xlfn.LET(_xlpm.a,$I569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69" s="17">
        <f>IF(OR($B569="",$D569="",$E569=""),"",IF($E569=$D569,"CHECK TIMES (start = end)",IF($F569&gt;12,"CHECK TIMES (End is before Start?)","OK")))</f>
        <v/>
      </c>
      <c r="P569" s="17">
        <f>IF(OR($B569="",$I569=""),"",IF(IFERROR(MATCH($G569,nrBankTopics,0),0)=0,"OK",IF(COUNTA(INDEX(nrBankGrid,IFERROR(MATCH($G569,nrBankTopics,0),1),0))=0,"OK",IF(SUMPRODUCT((nrInstrNames&lt;&gt;"")*ISNUMBER(SEARCH(nrInstrNames,$I569))*(COUNTIF(INDEX(nrBankGrid,IFERROR(MATCH($G569,nrBankTopics,0),1),0),nrInstrNames)&gt;0))&lt;SUMPRODUCT((nrInstrNames&lt;&gt;"")*ISNUMBER(SEARCH(nrInstrNames,$I569))),"NOT IN BANK","OK"))))</f>
        <v/>
      </c>
    </row>
    <row r="570">
      <c r="B570" s="18" t="n"/>
      <c r="C570" s="17">
        <f>IF($B570="","",TEXT($B570,"ddd"))</f>
        <v/>
      </c>
      <c r="D570" s="41" t="n"/>
      <c r="E570" s="41" t="n"/>
      <c r="F570" s="17">
        <f>IF(OR($B570="",$D570="",$E570=""),"",ROUND(MOD($E570-$D570,1)*24,2))</f>
        <v/>
      </c>
      <c r="G570" s="16" t="n"/>
      <c r="H570" s="17">
        <f>IF($G570="","",IFERROR(_xlfn.XLOOKUP($G570,nrCHname,nrCHnum),IFERROR(_xlfn.XLOOKUP($G570,nrSUBname,nrSUBparent),"")))</f>
        <v/>
      </c>
      <c r="I570" s="16" t="n"/>
      <c r="J570" s="16" t="n"/>
      <c r="K570" s="17">
        <f>IF($B570="","",IFERROR(_xlfn.XLOOKUP($B570,nrCDdate,nrCDweek),""))</f>
        <v/>
      </c>
      <c r="L570" s="17">
        <f>IF($B570="","",IFERROR(_xlfn.XLOOKUP($B570,nrCDdate,nrCDnum),""))</f>
        <v/>
      </c>
      <c r="M570" s="16" t="n"/>
      <c r="N570" s="17">
        <f>IF(OR($B570="",$I570=""),"",_xlfn.LET(_xlpm.a,$I570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70" s="17">
        <f>IF(OR($B570="",$D570="",$E570=""),"",IF($E570=$D570,"CHECK TIMES (start = end)",IF($F570&gt;12,"CHECK TIMES (End is before Start?)","OK")))</f>
        <v/>
      </c>
      <c r="P570" s="17">
        <f>IF(OR($B570="",$I570=""),"",IF(IFERROR(MATCH($G570,nrBankTopics,0),0)=0,"OK",IF(COUNTA(INDEX(nrBankGrid,IFERROR(MATCH($G570,nrBankTopics,0),1),0))=0,"OK",IF(SUMPRODUCT((nrInstrNames&lt;&gt;"")*ISNUMBER(SEARCH(nrInstrNames,$I570))*(COUNTIF(INDEX(nrBankGrid,IFERROR(MATCH($G570,nrBankTopics,0),1),0),nrInstrNames)&gt;0))&lt;SUMPRODUCT((nrInstrNames&lt;&gt;"")*ISNUMBER(SEARCH(nrInstrNames,$I570))),"NOT IN BANK","OK"))))</f>
        <v/>
      </c>
    </row>
    <row r="571">
      <c r="B571" s="18" t="n"/>
      <c r="C571" s="17">
        <f>IF($B571="","",TEXT($B571,"ddd"))</f>
        <v/>
      </c>
      <c r="D571" s="41" t="n"/>
      <c r="E571" s="41" t="n"/>
      <c r="F571" s="17">
        <f>IF(OR($B571="",$D571="",$E571=""),"",ROUND(MOD($E571-$D571,1)*24,2))</f>
        <v/>
      </c>
      <c r="G571" s="16" t="n"/>
      <c r="H571" s="17">
        <f>IF($G571="","",IFERROR(_xlfn.XLOOKUP($G571,nrCHname,nrCHnum),IFERROR(_xlfn.XLOOKUP($G571,nrSUBname,nrSUBparent),"")))</f>
        <v/>
      </c>
      <c r="I571" s="16" t="n"/>
      <c r="J571" s="16" t="n"/>
      <c r="K571" s="17">
        <f>IF($B571="","",IFERROR(_xlfn.XLOOKUP($B571,nrCDdate,nrCDweek),""))</f>
        <v/>
      </c>
      <c r="L571" s="17">
        <f>IF($B571="","",IFERROR(_xlfn.XLOOKUP($B571,nrCDdate,nrCDnum),""))</f>
        <v/>
      </c>
      <c r="M571" s="16" t="n"/>
      <c r="N571" s="17">
        <f>IF(OR($B571="",$I571=""),"",_xlfn.LET(_xlpm.a,$I571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71" s="17">
        <f>IF(OR($B571="",$D571="",$E571=""),"",IF($E571=$D571,"CHECK TIMES (start = end)",IF($F571&gt;12,"CHECK TIMES (End is before Start?)","OK")))</f>
        <v/>
      </c>
      <c r="P571" s="17">
        <f>IF(OR($B571="",$I571=""),"",IF(IFERROR(MATCH($G571,nrBankTopics,0),0)=0,"OK",IF(COUNTA(INDEX(nrBankGrid,IFERROR(MATCH($G571,nrBankTopics,0),1),0))=0,"OK",IF(SUMPRODUCT((nrInstrNames&lt;&gt;"")*ISNUMBER(SEARCH(nrInstrNames,$I571))*(COUNTIF(INDEX(nrBankGrid,IFERROR(MATCH($G571,nrBankTopics,0),1),0),nrInstrNames)&gt;0))&lt;SUMPRODUCT((nrInstrNames&lt;&gt;"")*ISNUMBER(SEARCH(nrInstrNames,$I571))),"NOT IN BANK","OK"))))</f>
        <v/>
      </c>
    </row>
    <row r="572">
      <c r="B572" s="18" t="n"/>
      <c r="C572" s="17">
        <f>IF($B572="","",TEXT($B572,"ddd"))</f>
        <v/>
      </c>
      <c r="D572" s="41" t="n"/>
      <c r="E572" s="41" t="n"/>
      <c r="F572" s="17">
        <f>IF(OR($B572="",$D572="",$E572=""),"",ROUND(MOD($E572-$D572,1)*24,2))</f>
        <v/>
      </c>
      <c r="G572" s="16" t="n"/>
      <c r="H572" s="17">
        <f>IF($G572="","",IFERROR(_xlfn.XLOOKUP($G572,nrCHname,nrCHnum),IFERROR(_xlfn.XLOOKUP($G572,nrSUBname,nrSUBparent),"")))</f>
        <v/>
      </c>
      <c r="I572" s="16" t="n"/>
      <c r="J572" s="16" t="n"/>
      <c r="K572" s="17">
        <f>IF($B572="","",IFERROR(_xlfn.XLOOKUP($B572,nrCDdate,nrCDweek),""))</f>
        <v/>
      </c>
      <c r="L572" s="17">
        <f>IF($B572="","",IFERROR(_xlfn.XLOOKUP($B572,nrCDdate,nrCDnum),""))</f>
        <v/>
      </c>
      <c r="M572" s="16" t="n"/>
      <c r="N572" s="17">
        <f>IF(OR($B572="",$I572=""),"",_xlfn.LET(_xlpm.a,$I572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72" s="17">
        <f>IF(OR($B572="",$D572="",$E572=""),"",IF($E572=$D572,"CHECK TIMES (start = end)",IF($F572&gt;12,"CHECK TIMES (End is before Start?)","OK")))</f>
        <v/>
      </c>
      <c r="P572" s="17">
        <f>IF(OR($B572="",$I572=""),"",IF(IFERROR(MATCH($G572,nrBankTopics,0),0)=0,"OK",IF(COUNTA(INDEX(nrBankGrid,IFERROR(MATCH($G572,nrBankTopics,0),1),0))=0,"OK",IF(SUMPRODUCT((nrInstrNames&lt;&gt;"")*ISNUMBER(SEARCH(nrInstrNames,$I572))*(COUNTIF(INDEX(nrBankGrid,IFERROR(MATCH($G572,nrBankTopics,0),1),0),nrInstrNames)&gt;0))&lt;SUMPRODUCT((nrInstrNames&lt;&gt;"")*ISNUMBER(SEARCH(nrInstrNames,$I572))),"NOT IN BANK","OK"))))</f>
        <v/>
      </c>
    </row>
    <row r="573">
      <c r="B573" s="18" t="n"/>
      <c r="C573" s="17">
        <f>IF($B573="","",TEXT($B573,"ddd"))</f>
        <v/>
      </c>
      <c r="D573" s="41" t="n"/>
      <c r="E573" s="41" t="n"/>
      <c r="F573" s="17">
        <f>IF(OR($B573="",$D573="",$E573=""),"",ROUND(MOD($E573-$D573,1)*24,2))</f>
        <v/>
      </c>
      <c r="G573" s="16" t="n"/>
      <c r="H573" s="17">
        <f>IF($G573="","",IFERROR(_xlfn.XLOOKUP($G573,nrCHname,nrCHnum),IFERROR(_xlfn.XLOOKUP($G573,nrSUBname,nrSUBparent),"")))</f>
        <v/>
      </c>
      <c r="I573" s="16" t="n"/>
      <c r="J573" s="16" t="n"/>
      <c r="K573" s="17">
        <f>IF($B573="","",IFERROR(_xlfn.XLOOKUP($B573,nrCDdate,nrCDweek),""))</f>
        <v/>
      </c>
      <c r="L573" s="17">
        <f>IF($B573="","",IFERROR(_xlfn.XLOOKUP($B573,nrCDdate,nrCDnum),""))</f>
        <v/>
      </c>
      <c r="M573" s="16" t="n"/>
      <c r="N573" s="17">
        <f>IF(OR($B573="",$I573=""),"",_xlfn.LET(_xlpm.a,$I573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73" s="17">
        <f>IF(OR($B573="",$D573="",$E573=""),"",IF($E573=$D573,"CHECK TIMES (start = end)",IF($F573&gt;12,"CHECK TIMES (End is before Start?)","OK")))</f>
        <v/>
      </c>
      <c r="P573" s="17">
        <f>IF(OR($B573="",$I573=""),"",IF(IFERROR(MATCH($G573,nrBankTopics,0),0)=0,"OK",IF(COUNTA(INDEX(nrBankGrid,IFERROR(MATCH($G573,nrBankTopics,0),1),0))=0,"OK",IF(SUMPRODUCT((nrInstrNames&lt;&gt;"")*ISNUMBER(SEARCH(nrInstrNames,$I573))*(COUNTIF(INDEX(nrBankGrid,IFERROR(MATCH($G573,nrBankTopics,0),1),0),nrInstrNames)&gt;0))&lt;SUMPRODUCT((nrInstrNames&lt;&gt;"")*ISNUMBER(SEARCH(nrInstrNames,$I573))),"NOT IN BANK","OK"))))</f>
        <v/>
      </c>
    </row>
    <row r="574">
      <c r="B574" s="18" t="n"/>
      <c r="C574" s="17">
        <f>IF($B574="","",TEXT($B574,"ddd"))</f>
        <v/>
      </c>
      <c r="D574" s="41" t="n"/>
      <c r="E574" s="41" t="n"/>
      <c r="F574" s="17">
        <f>IF(OR($B574="",$D574="",$E574=""),"",ROUND(MOD($E574-$D574,1)*24,2))</f>
        <v/>
      </c>
      <c r="G574" s="16" t="n"/>
      <c r="H574" s="17">
        <f>IF($G574="","",IFERROR(_xlfn.XLOOKUP($G574,nrCHname,nrCHnum),IFERROR(_xlfn.XLOOKUP($G574,nrSUBname,nrSUBparent),"")))</f>
        <v/>
      </c>
      <c r="I574" s="16" t="n"/>
      <c r="J574" s="16" t="n"/>
      <c r="K574" s="17">
        <f>IF($B574="","",IFERROR(_xlfn.XLOOKUP($B574,nrCDdate,nrCDweek),""))</f>
        <v/>
      </c>
      <c r="L574" s="17">
        <f>IF($B574="","",IFERROR(_xlfn.XLOOKUP($B574,nrCDdate,nrCDnum),""))</f>
        <v/>
      </c>
      <c r="M574" s="16" t="n"/>
      <c r="N574" s="17">
        <f>IF(OR($B574="",$I574=""),"",_xlfn.LET(_xlpm.a,$I574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74" s="17">
        <f>IF(OR($B574="",$D574="",$E574=""),"",IF($E574=$D574,"CHECK TIMES (start = end)",IF($F574&gt;12,"CHECK TIMES (End is before Start?)","OK")))</f>
        <v/>
      </c>
      <c r="P574" s="17">
        <f>IF(OR($B574="",$I574=""),"",IF(IFERROR(MATCH($G574,nrBankTopics,0),0)=0,"OK",IF(COUNTA(INDEX(nrBankGrid,IFERROR(MATCH($G574,nrBankTopics,0),1),0))=0,"OK",IF(SUMPRODUCT((nrInstrNames&lt;&gt;"")*ISNUMBER(SEARCH(nrInstrNames,$I574))*(COUNTIF(INDEX(nrBankGrid,IFERROR(MATCH($G574,nrBankTopics,0),1),0),nrInstrNames)&gt;0))&lt;SUMPRODUCT((nrInstrNames&lt;&gt;"")*ISNUMBER(SEARCH(nrInstrNames,$I574))),"NOT IN BANK","OK"))))</f>
        <v/>
      </c>
    </row>
    <row r="575">
      <c r="B575" s="18" t="n"/>
      <c r="C575" s="17">
        <f>IF($B575="","",TEXT($B575,"ddd"))</f>
        <v/>
      </c>
      <c r="D575" s="41" t="n"/>
      <c r="E575" s="41" t="n"/>
      <c r="F575" s="17">
        <f>IF(OR($B575="",$D575="",$E575=""),"",ROUND(MOD($E575-$D575,1)*24,2))</f>
        <v/>
      </c>
      <c r="G575" s="16" t="n"/>
      <c r="H575" s="17">
        <f>IF($G575="","",IFERROR(_xlfn.XLOOKUP($G575,nrCHname,nrCHnum),IFERROR(_xlfn.XLOOKUP($G575,nrSUBname,nrSUBparent),"")))</f>
        <v/>
      </c>
      <c r="I575" s="16" t="n"/>
      <c r="J575" s="16" t="n"/>
      <c r="K575" s="17">
        <f>IF($B575="","",IFERROR(_xlfn.XLOOKUP($B575,nrCDdate,nrCDweek),""))</f>
        <v/>
      </c>
      <c r="L575" s="17">
        <f>IF($B575="","",IFERROR(_xlfn.XLOOKUP($B575,nrCDdate,nrCDnum),""))</f>
        <v/>
      </c>
      <c r="M575" s="16" t="n"/>
      <c r="N575" s="17">
        <f>IF(OR($B575="",$I575=""),"",_xlfn.LET(_xlpm.a,$I575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75" s="17">
        <f>IF(OR($B575="",$D575="",$E575=""),"",IF($E575=$D575,"CHECK TIMES (start = end)",IF($F575&gt;12,"CHECK TIMES (End is before Start?)","OK")))</f>
        <v/>
      </c>
      <c r="P575" s="17">
        <f>IF(OR($B575="",$I575=""),"",IF(IFERROR(MATCH($G575,nrBankTopics,0),0)=0,"OK",IF(COUNTA(INDEX(nrBankGrid,IFERROR(MATCH($G575,nrBankTopics,0),1),0))=0,"OK",IF(SUMPRODUCT((nrInstrNames&lt;&gt;"")*ISNUMBER(SEARCH(nrInstrNames,$I575))*(COUNTIF(INDEX(nrBankGrid,IFERROR(MATCH($G575,nrBankTopics,0),1),0),nrInstrNames)&gt;0))&lt;SUMPRODUCT((nrInstrNames&lt;&gt;"")*ISNUMBER(SEARCH(nrInstrNames,$I575))),"NOT IN BANK","OK"))))</f>
        <v/>
      </c>
    </row>
    <row r="576">
      <c r="B576" s="18" t="n"/>
      <c r="C576" s="17">
        <f>IF($B576="","",TEXT($B576,"ddd"))</f>
        <v/>
      </c>
      <c r="D576" s="41" t="n"/>
      <c r="E576" s="41" t="n"/>
      <c r="F576" s="17">
        <f>IF(OR($B576="",$D576="",$E576=""),"",ROUND(MOD($E576-$D576,1)*24,2))</f>
        <v/>
      </c>
      <c r="G576" s="16" t="n"/>
      <c r="H576" s="17">
        <f>IF($G576="","",IFERROR(_xlfn.XLOOKUP($G576,nrCHname,nrCHnum),IFERROR(_xlfn.XLOOKUP($G576,nrSUBname,nrSUBparent),"")))</f>
        <v/>
      </c>
      <c r="I576" s="16" t="n"/>
      <c r="J576" s="16" t="n"/>
      <c r="K576" s="17">
        <f>IF($B576="","",IFERROR(_xlfn.XLOOKUP($B576,nrCDdate,nrCDweek),""))</f>
        <v/>
      </c>
      <c r="L576" s="17">
        <f>IF($B576="","",IFERROR(_xlfn.XLOOKUP($B576,nrCDdate,nrCDnum),""))</f>
        <v/>
      </c>
      <c r="M576" s="16" t="n"/>
      <c r="N576" s="17">
        <f>IF(OR($B576="",$I576=""),"",_xlfn.LET(_xlpm.a,$I576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76" s="17">
        <f>IF(OR($B576="",$D576="",$E576=""),"",IF($E576=$D576,"CHECK TIMES (start = end)",IF($F576&gt;12,"CHECK TIMES (End is before Start?)","OK")))</f>
        <v/>
      </c>
      <c r="P576" s="17">
        <f>IF(OR($B576="",$I576=""),"",IF(IFERROR(MATCH($G576,nrBankTopics,0),0)=0,"OK",IF(COUNTA(INDEX(nrBankGrid,IFERROR(MATCH($G576,nrBankTopics,0),1),0))=0,"OK",IF(SUMPRODUCT((nrInstrNames&lt;&gt;"")*ISNUMBER(SEARCH(nrInstrNames,$I576))*(COUNTIF(INDEX(nrBankGrid,IFERROR(MATCH($G576,nrBankTopics,0),1),0),nrInstrNames)&gt;0))&lt;SUMPRODUCT((nrInstrNames&lt;&gt;"")*ISNUMBER(SEARCH(nrInstrNames,$I576))),"NOT IN BANK","OK"))))</f>
        <v/>
      </c>
    </row>
    <row r="577">
      <c r="B577" s="18" t="n"/>
      <c r="C577" s="17">
        <f>IF($B577="","",TEXT($B577,"ddd"))</f>
        <v/>
      </c>
      <c r="D577" s="41" t="n"/>
      <c r="E577" s="41" t="n"/>
      <c r="F577" s="17">
        <f>IF(OR($B577="",$D577="",$E577=""),"",ROUND(MOD($E577-$D577,1)*24,2))</f>
        <v/>
      </c>
      <c r="G577" s="16" t="n"/>
      <c r="H577" s="17">
        <f>IF($G577="","",IFERROR(_xlfn.XLOOKUP($G577,nrCHname,nrCHnum),IFERROR(_xlfn.XLOOKUP($G577,nrSUBname,nrSUBparent),"")))</f>
        <v/>
      </c>
      <c r="I577" s="16" t="n"/>
      <c r="J577" s="16" t="n"/>
      <c r="K577" s="17">
        <f>IF($B577="","",IFERROR(_xlfn.XLOOKUP($B577,nrCDdate,nrCDweek),""))</f>
        <v/>
      </c>
      <c r="L577" s="17">
        <f>IF($B577="","",IFERROR(_xlfn.XLOOKUP($B577,nrCDdate,nrCDnum),""))</f>
        <v/>
      </c>
      <c r="M577" s="16" t="n"/>
      <c r="N577" s="17">
        <f>IF(OR($B577="",$I577=""),"",_xlfn.LET(_xlpm.a,$I577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77" s="17">
        <f>IF(OR($B577="",$D577="",$E577=""),"",IF($E577=$D577,"CHECK TIMES (start = end)",IF($F577&gt;12,"CHECK TIMES (End is before Start?)","OK")))</f>
        <v/>
      </c>
      <c r="P577" s="17">
        <f>IF(OR($B577="",$I577=""),"",IF(IFERROR(MATCH($G577,nrBankTopics,0),0)=0,"OK",IF(COUNTA(INDEX(nrBankGrid,IFERROR(MATCH($G577,nrBankTopics,0),1),0))=0,"OK",IF(SUMPRODUCT((nrInstrNames&lt;&gt;"")*ISNUMBER(SEARCH(nrInstrNames,$I577))*(COUNTIF(INDEX(nrBankGrid,IFERROR(MATCH($G577,nrBankTopics,0),1),0),nrInstrNames)&gt;0))&lt;SUMPRODUCT((nrInstrNames&lt;&gt;"")*ISNUMBER(SEARCH(nrInstrNames,$I577))),"NOT IN BANK","OK"))))</f>
        <v/>
      </c>
    </row>
    <row r="578">
      <c r="B578" s="18" t="n"/>
      <c r="C578" s="17">
        <f>IF($B578="","",TEXT($B578,"ddd"))</f>
        <v/>
      </c>
      <c r="D578" s="41" t="n"/>
      <c r="E578" s="41" t="n"/>
      <c r="F578" s="17">
        <f>IF(OR($B578="",$D578="",$E578=""),"",ROUND(MOD($E578-$D578,1)*24,2))</f>
        <v/>
      </c>
      <c r="G578" s="16" t="n"/>
      <c r="H578" s="17">
        <f>IF($G578="","",IFERROR(_xlfn.XLOOKUP($G578,nrCHname,nrCHnum),IFERROR(_xlfn.XLOOKUP($G578,nrSUBname,nrSUBparent),"")))</f>
        <v/>
      </c>
      <c r="I578" s="16" t="n"/>
      <c r="J578" s="16" t="n"/>
      <c r="K578" s="17">
        <f>IF($B578="","",IFERROR(_xlfn.XLOOKUP($B578,nrCDdate,nrCDweek),""))</f>
        <v/>
      </c>
      <c r="L578" s="17">
        <f>IF($B578="","",IFERROR(_xlfn.XLOOKUP($B578,nrCDdate,nrCDnum),""))</f>
        <v/>
      </c>
      <c r="M578" s="16" t="n"/>
      <c r="N578" s="17">
        <f>IF(OR($B578="",$I578=""),"",_xlfn.LET(_xlpm.a,$I578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78" s="17">
        <f>IF(OR($B578="",$D578="",$E578=""),"",IF($E578=$D578,"CHECK TIMES (start = end)",IF($F578&gt;12,"CHECK TIMES (End is before Start?)","OK")))</f>
        <v/>
      </c>
      <c r="P578" s="17">
        <f>IF(OR($B578="",$I578=""),"",IF(IFERROR(MATCH($G578,nrBankTopics,0),0)=0,"OK",IF(COUNTA(INDEX(nrBankGrid,IFERROR(MATCH($G578,nrBankTopics,0),1),0))=0,"OK",IF(SUMPRODUCT((nrInstrNames&lt;&gt;"")*ISNUMBER(SEARCH(nrInstrNames,$I578))*(COUNTIF(INDEX(nrBankGrid,IFERROR(MATCH($G578,nrBankTopics,0),1),0),nrInstrNames)&gt;0))&lt;SUMPRODUCT((nrInstrNames&lt;&gt;"")*ISNUMBER(SEARCH(nrInstrNames,$I578))),"NOT IN BANK","OK"))))</f>
        <v/>
      </c>
    </row>
    <row r="579">
      <c r="B579" s="18" t="n"/>
      <c r="C579" s="17">
        <f>IF($B579="","",TEXT($B579,"ddd"))</f>
        <v/>
      </c>
      <c r="D579" s="41" t="n"/>
      <c r="E579" s="41" t="n"/>
      <c r="F579" s="17">
        <f>IF(OR($B579="",$D579="",$E579=""),"",ROUND(MOD($E579-$D579,1)*24,2))</f>
        <v/>
      </c>
      <c r="G579" s="16" t="n"/>
      <c r="H579" s="17">
        <f>IF($G579="","",IFERROR(_xlfn.XLOOKUP($G579,nrCHname,nrCHnum),IFERROR(_xlfn.XLOOKUP($G579,nrSUBname,nrSUBparent),"")))</f>
        <v/>
      </c>
      <c r="I579" s="16" t="n"/>
      <c r="J579" s="16" t="n"/>
      <c r="K579" s="17">
        <f>IF($B579="","",IFERROR(_xlfn.XLOOKUP($B579,nrCDdate,nrCDweek),""))</f>
        <v/>
      </c>
      <c r="L579" s="17">
        <f>IF($B579="","",IFERROR(_xlfn.XLOOKUP($B579,nrCDdate,nrCDnum),""))</f>
        <v/>
      </c>
      <c r="M579" s="16" t="n"/>
      <c r="N579" s="17">
        <f>IF(OR($B579="",$I579=""),"",_xlfn.LET(_xlpm.a,$I579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79" s="17">
        <f>IF(OR($B579="",$D579="",$E579=""),"",IF($E579=$D579,"CHECK TIMES (start = end)",IF($F579&gt;12,"CHECK TIMES (End is before Start?)","OK")))</f>
        <v/>
      </c>
      <c r="P579" s="17">
        <f>IF(OR($B579="",$I579=""),"",IF(IFERROR(MATCH($G579,nrBankTopics,0),0)=0,"OK",IF(COUNTA(INDEX(nrBankGrid,IFERROR(MATCH($G579,nrBankTopics,0),1),0))=0,"OK",IF(SUMPRODUCT((nrInstrNames&lt;&gt;"")*ISNUMBER(SEARCH(nrInstrNames,$I579))*(COUNTIF(INDEX(nrBankGrid,IFERROR(MATCH($G579,nrBankTopics,0),1),0),nrInstrNames)&gt;0))&lt;SUMPRODUCT((nrInstrNames&lt;&gt;"")*ISNUMBER(SEARCH(nrInstrNames,$I579))),"NOT IN BANK","OK"))))</f>
        <v/>
      </c>
    </row>
    <row r="580">
      <c r="B580" s="18" t="n"/>
      <c r="C580" s="17">
        <f>IF($B580="","",TEXT($B580,"ddd"))</f>
        <v/>
      </c>
      <c r="D580" s="41" t="n"/>
      <c r="E580" s="41" t="n"/>
      <c r="F580" s="17">
        <f>IF(OR($B580="",$D580="",$E580=""),"",ROUND(MOD($E580-$D580,1)*24,2))</f>
        <v/>
      </c>
      <c r="G580" s="16" t="n"/>
      <c r="H580" s="17">
        <f>IF($G580="","",IFERROR(_xlfn.XLOOKUP($G580,nrCHname,nrCHnum),IFERROR(_xlfn.XLOOKUP($G580,nrSUBname,nrSUBparent),"")))</f>
        <v/>
      </c>
      <c r="I580" s="16" t="n"/>
      <c r="J580" s="16" t="n"/>
      <c r="K580" s="17">
        <f>IF($B580="","",IFERROR(_xlfn.XLOOKUP($B580,nrCDdate,nrCDweek),""))</f>
        <v/>
      </c>
      <c r="L580" s="17">
        <f>IF($B580="","",IFERROR(_xlfn.XLOOKUP($B580,nrCDdate,nrCDnum),""))</f>
        <v/>
      </c>
      <c r="M580" s="16" t="n"/>
      <c r="N580" s="17">
        <f>IF(OR($B580="",$I580=""),"",_xlfn.LET(_xlpm.a,$I580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80" s="17">
        <f>IF(OR($B580="",$D580="",$E580=""),"",IF($E580=$D580,"CHECK TIMES (start = end)",IF($F580&gt;12,"CHECK TIMES (End is before Start?)","OK")))</f>
        <v/>
      </c>
      <c r="P580" s="17">
        <f>IF(OR($B580="",$I580=""),"",IF(IFERROR(MATCH($G580,nrBankTopics,0),0)=0,"OK",IF(COUNTA(INDEX(nrBankGrid,IFERROR(MATCH($G580,nrBankTopics,0),1),0))=0,"OK",IF(SUMPRODUCT((nrInstrNames&lt;&gt;"")*ISNUMBER(SEARCH(nrInstrNames,$I580))*(COUNTIF(INDEX(nrBankGrid,IFERROR(MATCH($G580,nrBankTopics,0),1),0),nrInstrNames)&gt;0))&lt;SUMPRODUCT((nrInstrNames&lt;&gt;"")*ISNUMBER(SEARCH(nrInstrNames,$I580))),"NOT IN BANK","OK"))))</f>
        <v/>
      </c>
    </row>
    <row r="581">
      <c r="B581" s="18" t="n"/>
      <c r="C581" s="17">
        <f>IF($B581="","",TEXT($B581,"ddd"))</f>
        <v/>
      </c>
      <c r="D581" s="41" t="n"/>
      <c r="E581" s="41" t="n"/>
      <c r="F581" s="17">
        <f>IF(OR($B581="",$D581="",$E581=""),"",ROUND(MOD($E581-$D581,1)*24,2))</f>
        <v/>
      </c>
      <c r="G581" s="16" t="n"/>
      <c r="H581" s="17">
        <f>IF($G581="","",IFERROR(_xlfn.XLOOKUP($G581,nrCHname,nrCHnum),IFERROR(_xlfn.XLOOKUP($G581,nrSUBname,nrSUBparent),"")))</f>
        <v/>
      </c>
      <c r="I581" s="16" t="n"/>
      <c r="J581" s="16" t="n"/>
      <c r="K581" s="17">
        <f>IF($B581="","",IFERROR(_xlfn.XLOOKUP($B581,nrCDdate,nrCDweek),""))</f>
        <v/>
      </c>
      <c r="L581" s="17">
        <f>IF($B581="","",IFERROR(_xlfn.XLOOKUP($B581,nrCDdate,nrCDnum),""))</f>
        <v/>
      </c>
      <c r="M581" s="16" t="n"/>
      <c r="N581" s="17">
        <f>IF(OR($B581="",$I581=""),"",_xlfn.LET(_xlpm.a,$I581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81" s="17">
        <f>IF(OR($B581="",$D581="",$E581=""),"",IF($E581=$D581,"CHECK TIMES (start = end)",IF($F581&gt;12,"CHECK TIMES (End is before Start?)","OK")))</f>
        <v/>
      </c>
      <c r="P581" s="17">
        <f>IF(OR($B581="",$I581=""),"",IF(IFERROR(MATCH($G581,nrBankTopics,0),0)=0,"OK",IF(COUNTA(INDEX(nrBankGrid,IFERROR(MATCH($G581,nrBankTopics,0),1),0))=0,"OK",IF(SUMPRODUCT((nrInstrNames&lt;&gt;"")*ISNUMBER(SEARCH(nrInstrNames,$I581))*(COUNTIF(INDEX(nrBankGrid,IFERROR(MATCH($G581,nrBankTopics,0),1),0),nrInstrNames)&gt;0))&lt;SUMPRODUCT((nrInstrNames&lt;&gt;"")*ISNUMBER(SEARCH(nrInstrNames,$I581))),"NOT IN BANK","OK"))))</f>
        <v/>
      </c>
    </row>
    <row r="582">
      <c r="B582" s="18" t="n"/>
      <c r="C582" s="17">
        <f>IF($B582="","",TEXT($B582,"ddd"))</f>
        <v/>
      </c>
      <c r="D582" s="41" t="n"/>
      <c r="E582" s="41" t="n"/>
      <c r="F582" s="17">
        <f>IF(OR($B582="",$D582="",$E582=""),"",ROUND(MOD($E582-$D582,1)*24,2))</f>
        <v/>
      </c>
      <c r="G582" s="16" t="n"/>
      <c r="H582" s="17">
        <f>IF($G582="","",IFERROR(_xlfn.XLOOKUP($G582,nrCHname,nrCHnum),IFERROR(_xlfn.XLOOKUP($G582,nrSUBname,nrSUBparent),"")))</f>
        <v/>
      </c>
      <c r="I582" s="16" t="n"/>
      <c r="J582" s="16" t="n"/>
      <c r="K582" s="17">
        <f>IF($B582="","",IFERROR(_xlfn.XLOOKUP($B582,nrCDdate,nrCDweek),""))</f>
        <v/>
      </c>
      <c r="L582" s="17">
        <f>IF($B582="","",IFERROR(_xlfn.XLOOKUP($B582,nrCDdate,nrCDnum),""))</f>
        <v/>
      </c>
      <c r="M582" s="16" t="n"/>
      <c r="N582" s="17">
        <f>IF(OR($B582="",$I582=""),"",_xlfn.LET(_xlpm.a,$I582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82" s="17">
        <f>IF(OR($B582="",$D582="",$E582=""),"",IF($E582=$D582,"CHECK TIMES (start = end)",IF($F582&gt;12,"CHECK TIMES (End is before Start?)","OK")))</f>
        <v/>
      </c>
      <c r="P582" s="17">
        <f>IF(OR($B582="",$I582=""),"",IF(IFERROR(MATCH($G582,nrBankTopics,0),0)=0,"OK",IF(COUNTA(INDEX(nrBankGrid,IFERROR(MATCH($G582,nrBankTopics,0),1),0))=0,"OK",IF(SUMPRODUCT((nrInstrNames&lt;&gt;"")*ISNUMBER(SEARCH(nrInstrNames,$I582))*(COUNTIF(INDEX(nrBankGrid,IFERROR(MATCH($G582,nrBankTopics,0),1),0),nrInstrNames)&gt;0))&lt;SUMPRODUCT((nrInstrNames&lt;&gt;"")*ISNUMBER(SEARCH(nrInstrNames,$I582))),"NOT IN BANK","OK"))))</f>
        <v/>
      </c>
    </row>
    <row r="583">
      <c r="B583" s="18" t="n"/>
      <c r="C583" s="17">
        <f>IF($B583="","",TEXT($B583,"ddd"))</f>
        <v/>
      </c>
      <c r="D583" s="41" t="n"/>
      <c r="E583" s="41" t="n"/>
      <c r="F583" s="17">
        <f>IF(OR($B583="",$D583="",$E583=""),"",ROUND(MOD($E583-$D583,1)*24,2))</f>
        <v/>
      </c>
      <c r="G583" s="16" t="n"/>
      <c r="H583" s="17">
        <f>IF($G583="","",IFERROR(_xlfn.XLOOKUP($G583,nrCHname,nrCHnum),IFERROR(_xlfn.XLOOKUP($G583,nrSUBname,nrSUBparent),"")))</f>
        <v/>
      </c>
      <c r="I583" s="16" t="n"/>
      <c r="J583" s="16" t="n"/>
      <c r="K583" s="17">
        <f>IF($B583="","",IFERROR(_xlfn.XLOOKUP($B583,nrCDdate,nrCDweek),""))</f>
        <v/>
      </c>
      <c r="L583" s="17">
        <f>IF($B583="","",IFERROR(_xlfn.XLOOKUP($B583,nrCDdate,nrCDnum),""))</f>
        <v/>
      </c>
      <c r="M583" s="16" t="n"/>
      <c r="N583" s="17">
        <f>IF(OR($B583="",$I583=""),"",_xlfn.LET(_xlpm.a,$I583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83" s="17">
        <f>IF(OR($B583="",$D583="",$E583=""),"",IF($E583=$D583,"CHECK TIMES (start = end)",IF($F583&gt;12,"CHECK TIMES (End is before Start?)","OK")))</f>
        <v/>
      </c>
      <c r="P583" s="17">
        <f>IF(OR($B583="",$I583=""),"",IF(IFERROR(MATCH($G583,nrBankTopics,0),0)=0,"OK",IF(COUNTA(INDEX(nrBankGrid,IFERROR(MATCH($G583,nrBankTopics,0),1),0))=0,"OK",IF(SUMPRODUCT((nrInstrNames&lt;&gt;"")*ISNUMBER(SEARCH(nrInstrNames,$I583))*(COUNTIF(INDEX(nrBankGrid,IFERROR(MATCH($G583,nrBankTopics,0),1),0),nrInstrNames)&gt;0))&lt;SUMPRODUCT((nrInstrNames&lt;&gt;"")*ISNUMBER(SEARCH(nrInstrNames,$I583))),"NOT IN BANK","OK"))))</f>
        <v/>
      </c>
    </row>
    <row r="584">
      <c r="B584" s="18" t="n"/>
      <c r="C584" s="17">
        <f>IF($B584="","",TEXT($B584,"ddd"))</f>
        <v/>
      </c>
      <c r="D584" s="41" t="n"/>
      <c r="E584" s="41" t="n"/>
      <c r="F584" s="17">
        <f>IF(OR($B584="",$D584="",$E584=""),"",ROUND(MOD($E584-$D584,1)*24,2))</f>
        <v/>
      </c>
      <c r="G584" s="16" t="n"/>
      <c r="H584" s="17">
        <f>IF($G584="","",IFERROR(_xlfn.XLOOKUP($G584,nrCHname,nrCHnum),IFERROR(_xlfn.XLOOKUP($G584,nrSUBname,nrSUBparent),"")))</f>
        <v/>
      </c>
      <c r="I584" s="16" t="n"/>
      <c r="J584" s="16" t="n"/>
      <c r="K584" s="17">
        <f>IF($B584="","",IFERROR(_xlfn.XLOOKUP($B584,nrCDdate,nrCDweek),""))</f>
        <v/>
      </c>
      <c r="L584" s="17">
        <f>IF($B584="","",IFERROR(_xlfn.XLOOKUP($B584,nrCDdate,nrCDnum),""))</f>
        <v/>
      </c>
      <c r="M584" s="16" t="n"/>
      <c r="N584" s="17">
        <f>IF(OR($B584="",$I584=""),"",_xlfn.LET(_xlpm.a,$I584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84" s="17">
        <f>IF(OR($B584="",$D584="",$E584=""),"",IF($E584=$D584,"CHECK TIMES (start = end)",IF($F584&gt;12,"CHECK TIMES (End is before Start?)","OK")))</f>
        <v/>
      </c>
      <c r="P584" s="17">
        <f>IF(OR($B584="",$I584=""),"",IF(IFERROR(MATCH($G584,nrBankTopics,0),0)=0,"OK",IF(COUNTA(INDEX(nrBankGrid,IFERROR(MATCH($G584,nrBankTopics,0),1),0))=0,"OK",IF(SUMPRODUCT((nrInstrNames&lt;&gt;"")*ISNUMBER(SEARCH(nrInstrNames,$I584))*(COUNTIF(INDEX(nrBankGrid,IFERROR(MATCH($G584,nrBankTopics,0),1),0),nrInstrNames)&gt;0))&lt;SUMPRODUCT((nrInstrNames&lt;&gt;"")*ISNUMBER(SEARCH(nrInstrNames,$I584))),"NOT IN BANK","OK"))))</f>
        <v/>
      </c>
    </row>
    <row r="585">
      <c r="B585" s="18" t="n"/>
      <c r="C585" s="17">
        <f>IF($B585="","",TEXT($B585,"ddd"))</f>
        <v/>
      </c>
      <c r="D585" s="41" t="n"/>
      <c r="E585" s="41" t="n"/>
      <c r="F585" s="17">
        <f>IF(OR($B585="",$D585="",$E585=""),"",ROUND(MOD($E585-$D585,1)*24,2))</f>
        <v/>
      </c>
      <c r="G585" s="16" t="n"/>
      <c r="H585" s="17">
        <f>IF($G585="","",IFERROR(_xlfn.XLOOKUP($G585,nrCHname,nrCHnum),IFERROR(_xlfn.XLOOKUP($G585,nrSUBname,nrSUBparent),"")))</f>
        <v/>
      </c>
      <c r="I585" s="16" t="n"/>
      <c r="J585" s="16" t="n"/>
      <c r="K585" s="17">
        <f>IF($B585="","",IFERROR(_xlfn.XLOOKUP($B585,nrCDdate,nrCDweek),""))</f>
        <v/>
      </c>
      <c r="L585" s="17">
        <f>IF($B585="","",IFERROR(_xlfn.XLOOKUP($B585,nrCDdate,nrCDnum),""))</f>
        <v/>
      </c>
      <c r="M585" s="16" t="n"/>
      <c r="N585" s="17">
        <f>IF(OR($B585="",$I585=""),"",_xlfn.LET(_xlpm.a,$I585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85" s="17">
        <f>IF(OR($B585="",$D585="",$E585=""),"",IF($E585=$D585,"CHECK TIMES (start = end)",IF($F585&gt;12,"CHECK TIMES (End is before Start?)","OK")))</f>
        <v/>
      </c>
      <c r="P585" s="17">
        <f>IF(OR($B585="",$I585=""),"",IF(IFERROR(MATCH($G585,nrBankTopics,0),0)=0,"OK",IF(COUNTA(INDEX(nrBankGrid,IFERROR(MATCH($G585,nrBankTopics,0),1),0))=0,"OK",IF(SUMPRODUCT((nrInstrNames&lt;&gt;"")*ISNUMBER(SEARCH(nrInstrNames,$I585))*(COUNTIF(INDEX(nrBankGrid,IFERROR(MATCH($G585,nrBankTopics,0),1),0),nrInstrNames)&gt;0))&lt;SUMPRODUCT((nrInstrNames&lt;&gt;"")*ISNUMBER(SEARCH(nrInstrNames,$I585))),"NOT IN BANK","OK"))))</f>
        <v/>
      </c>
    </row>
    <row r="586">
      <c r="B586" s="18" t="n"/>
      <c r="C586" s="17">
        <f>IF($B586="","",TEXT($B586,"ddd"))</f>
        <v/>
      </c>
      <c r="D586" s="41" t="n"/>
      <c r="E586" s="41" t="n"/>
      <c r="F586" s="17">
        <f>IF(OR($B586="",$D586="",$E586=""),"",ROUND(MOD($E586-$D586,1)*24,2))</f>
        <v/>
      </c>
      <c r="G586" s="16" t="n"/>
      <c r="H586" s="17">
        <f>IF($G586="","",IFERROR(_xlfn.XLOOKUP($G586,nrCHname,nrCHnum),IFERROR(_xlfn.XLOOKUP($G586,nrSUBname,nrSUBparent),"")))</f>
        <v/>
      </c>
      <c r="I586" s="16" t="n"/>
      <c r="J586" s="16" t="n"/>
      <c r="K586" s="17">
        <f>IF($B586="","",IFERROR(_xlfn.XLOOKUP($B586,nrCDdate,nrCDweek),""))</f>
        <v/>
      </c>
      <c r="L586" s="17">
        <f>IF($B586="","",IFERROR(_xlfn.XLOOKUP($B586,nrCDdate,nrCDnum),""))</f>
        <v/>
      </c>
      <c r="M586" s="16" t="n"/>
      <c r="N586" s="17">
        <f>IF(OR($B586="",$I586=""),"",_xlfn.LET(_xlpm.a,$I586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86" s="17">
        <f>IF(OR($B586="",$D586="",$E586=""),"",IF($E586=$D586,"CHECK TIMES (start = end)",IF($F586&gt;12,"CHECK TIMES (End is before Start?)","OK")))</f>
        <v/>
      </c>
      <c r="P586" s="17">
        <f>IF(OR($B586="",$I586=""),"",IF(IFERROR(MATCH($G586,nrBankTopics,0),0)=0,"OK",IF(COUNTA(INDEX(nrBankGrid,IFERROR(MATCH($G586,nrBankTopics,0),1),0))=0,"OK",IF(SUMPRODUCT((nrInstrNames&lt;&gt;"")*ISNUMBER(SEARCH(nrInstrNames,$I586))*(COUNTIF(INDEX(nrBankGrid,IFERROR(MATCH($G586,nrBankTopics,0),1),0),nrInstrNames)&gt;0))&lt;SUMPRODUCT((nrInstrNames&lt;&gt;"")*ISNUMBER(SEARCH(nrInstrNames,$I586))),"NOT IN BANK","OK"))))</f>
        <v/>
      </c>
    </row>
    <row r="587">
      <c r="B587" s="18" t="n"/>
      <c r="C587" s="17">
        <f>IF($B587="","",TEXT($B587,"ddd"))</f>
        <v/>
      </c>
      <c r="D587" s="41" t="n"/>
      <c r="E587" s="41" t="n"/>
      <c r="F587" s="17">
        <f>IF(OR($B587="",$D587="",$E587=""),"",ROUND(MOD($E587-$D587,1)*24,2))</f>
        <v/>
      </c>
      <c r="G587" s="16" t="n"/>
      <c r="H587" s="17">
        <f>IF($G587="","",IFERROR(_xlfn.XLOOKUP($G587,nrCHname,nrCHnum),IFERROR(_xlfn.XLOOKUP($G587,nrSUBname,nrSUBparent),"")))</f>
        <v/>
      </c>
      <c r="I587" s="16" t="n"/>
      <c r="J587" s="16" t="n"/>
      <c r="K587" s="17">
        <f>IF($B587="","",IFERROR(_xlfn.XLOOKUP($B587,nrCDdate,nrCDweek),""))</f>
        <v/>
      </c>
      <c r="L587" s="17">
        <f>IF($B587="","",IFERROR(_xlfn.XLOOKUP($B587,nrCDdate,nrCDnum),""))</f>
        <v/>
      </c>
      <c r="M587" s="16" t="n"/>
      <c r="N587" s="17">
        <f>IF(OR($B587="",$I587=""),"",_xlfn.LET(_xlpm.a,$I587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87" s="17">
        <f>IF(OR($B587="",$D587="",$E587=""),"",IF($E587=$D587,"CHECK TIMES (start = end)",IF($F587&gt;12,"CHECK TIMES (End is before Start?)","OK")))</f>
        <v/>
      </c>
      <c r="P587" s="17">
        <f>IF(OR($B587="",$I587=""),"",IF(IFERROR(MATCH($G587,nrBankTopics,0),0)=0,"OK",IF(COUNTA(INDEX(nrBankGrid,IFERROR(MATCH($G587,nrBankTopics,0),1),0))=0,"OK",IF(SUMPRODUCT((nrInstrNames&lt;&gt;"")*ISNUMBER(SEARCH(nrInstrNames,$I587))*(COUNTIF(INDEX(nrBankGrid,IFERROR(MATCH($G587,nrBankTopics,0),1),0),nrInstrNames)&gt;0))&lt;SUMPRODUCT((nrInstrNames&lt;&gt;"")*ISNUMBER(SEARCH(nrInstrNames,$I587))),"NOT IN BANK","OK"))))</f>
        <v/>
      </c>
    </row>
    <row r="588">
      <c r="B588" s="18" t="n"/>
      <c r="C588" s="17">
        <f>IF($B588="","",TEXT($B588,"ddd"))</f>
        <v/>
      </c>
      <c r="D588" s="41" t="n"/>
      <c r="E588" s="41" t="n"/>
      <c r="F588" s="17">
        <f>IF(OR($B588="",$D588="",$E588=""),"",ROUND(MOD($E588-$D588,1)*24,2))</f>
        <v/>
      </c>
      <c r="G588" s="16" t="n"/>
      <c r="H588" s="17">
        <f>IF($G588="","",IFERROR(_xlfn.XLOOKUP($G588,nrCHname,nrCHnum),IFERROR(_xlfn.XLOOKUP($G588,nrSUBname,nrSUBparent),"")))</f>
        <v/>
      </c>
      <c r="I588" s="16" t="n"/>
      <c r="J588" s="16" t="n"/>
      <c r="K588" s="17">
        <f>IF($B588="","",IFERROR(_xlfn.XLOOKUP($B588,nrCDdate,nrCDweek),""))</f>
        <v/>
      </c>
      <c r="L588" s="17">
        <f>IF($B588="","",IFERROR(_xlfn.XLOOKUP($B588,nrCDdate,nrCDnum),""))</f>
        <v/>
      </c>
      <c r="M588" s="16" t="n"/>
      <c r="N588" s="17">
        <f>IF(OR($B588="",$I588=""),"",_xlfn.LET(_xlpm.a,$I588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88" s="17">
        <f>IF(OR($B588="",$D588="",$E588=""),"",IF($E588=$D588,"CHECK TIMES (start = end)",IF($F588&gt;12,"CHECK TIMES (End is before Start?)","OK")))</f>
        <v/>
      </c>
      <c r="P588" s="17">
        <f>IF(OR($B588="",$I588=""),"",IF(IFERROR(MATCH($G588,nrBankTopics,0),0)=0,"OK",IF(COUNTA(INDEX(nrBankGrid,IFERROR(MATCH($G588,nrBankTopics,0),1),0))=0,"OK",IF(SUMPRODUCT((nrInstrNames&lt;&gt;"")*ISNUMBER(SEARCH(nrInstrNames,$I588))*(COUNTIF(INDEX(nrBankGrid,IFERROR(MATCH($G588,nrBankTopics,0),1),0),nrInstrNames)&gt;0))&lt;SUMPRODUCT((nrInstrNames&lt;&gt;"")*ISNUMBER(SEARCH(nrInstrNames,$I588))),"NOT IN BANK","OK"))))</f>
        <v/>
      </c>
    </row>
    <row r="589">
      <c r="B589" s="18" t="n"/>
      <c r="C589" s="17">
        <f>IF($B589="","",TEXT($B589,"ddd"))</f>
        <v/>
      </c>
      <c r="D589" s="41" t="n"/>
      <c r="E589" s="41" t="n"/>
      <c r="F589" s="17">
        <f>IF(OR($B589="",$D589="",$E589=""),"",ROUND(MOD($E589-$D589,1)*24,2))</f>
        <v/>
      </c>
      <c r="G589" s="16" t="n"/>
      <c r="H589" s="17">
        <f>IF($G589="","",IFERROR(_xlfn.XLOOKUP($G589,nrCHname,nrCHnum),IFERROR(_xlfn.XLOOKUP($G589,nrSUBname,nrSUBparent),"")))</f>
        <v/>
      </c>
      <c r="I589" s="16" t="n"/>
      <c r="J589" s="16" t="n"/>
      <c r="K589" s="17">
        <f>IF($B589="","",IFERROR(_xlfn.XLOOKUP($B589,nrCDdate,nrCDweek),""))</f>
        <v/>
      </c>
      <c r="L589" s="17">
        <f>IF($B589="","",IFERROR(_xlfn.XLOOKUP($B589,nrCDdate,nrCDnum),""))</f>
        <v/>
      </c>
      <c r="M589" s="16" t="n"/>
      <c r="N589" s="17">
        <f>IF(OR($B589="",$I589=""),"",_xlfn.LET(_xlpm.a,$I589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89" s="17">
        <f>IF(OR($B589="",$D589="",$E589=""),"",IF($E589=$D589,"CHECK TIMES (start = end)",IF($F589&gt;12,"CHECK TIMES (End is before Start?)","OK")))</f>
        <v/>
      </c>
      <c r="P589" s="17">
        <f>IF(OR($B589="",$I589=""),"",IF(IFERROR(MATCH($G589,nrBankTopics,0),0)=0,"OK",IF(COUNTA(INDEX(nrBankGrid,IFERROR(MATCH($G589,nrBankTopics,0),1),0))=0,"OK",IF(SUMPRODUCT((nrInstrNames&lt;&gt;"")*ISNUMBER(SEARCH(nrInstrNames,$I589))*(COUNTIF(INDEX(nrBankGrid,IFERROR(MATCH($G589,nrBankTopics,0),1),0),nrInstrNames)&gt;0))&lt;SUMPRODUCT((nrInstrNames&lt;&gt;"")*ISNUMBER(SEARCH(nrInstrNames,$I589))),"NOT IN BANK","OK"))))</f>
        <v/>
      </c>
    </row>
    <row r="590">
      <c r="B590" s="18" t="n"/>
      <c r="C590" s="17">
        <f>IF($B590="","",TEXT($B590,"ddd"))</f>
        <v/>
      </c>
      <c r="D590" s="41" t="n"/>
      <c r="E590" s="41" t="n"/>
      <c r="F590" s="17">
        <f>IF(OR($B590="",$D590="",$E590=""),"",ROUND(MOD($E590-$D590,1)*24,2))</f>
        <v/>
      </c>
      <c r="G590" s="16" t="n"/>
      <c r="H590" s="17">
        <f>IF($G590="","",IFERROR(_xlfn.XLOOKUP($G590,nrCHname,nrCHnum),IFERROR(_xlfn.XLOOKUP($G590,nrSUBname,nrSUBparent),"")))</f>
        <v/>
      </c>
      <c r="I590" s="16" t="n"/>
      <c r="J590" s="16" t="n"/>
      <c r="K590" s="17">
        <f>IF($B590="","",IFERROR(_xlfn.XLOOKUP($B590,nrCDdate,nrCDweek),""))</f>
        <v/>
      </c>
      <c r="L590" s="17">
        <f>IF($B590="","",IFERROR(_xlfn.XLOOKUP($B590,nrCDdate,nrCDnum),""))</f>
        <v/>
      </c>
      <c r="M590" s="16" t="n"/>
      <c r="N590" s="17">
        <f>IF(OR($B590="",$I590=""),"",_xlfn.LET(_xlpm.a,$I590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90" s="17">
        <f>IF(OR($B590="",$D590="",$E590=""),"",IF($E590=$D590,"CHECK TIMES (start = end)",IF($F590&gt;12,"CHECK TIMES (End is before Start?)","OK")))</f>
        <v/>
      </c>
      <c r="P590" s="17">
        <f>IF(OR($B590="",$I590=""),"",IF(IFERROR(MATCH($G590,nrBankTopics,0),0)=0,"OK",IF(COUNTA(INDEX(nrBankGrid,IFERROR(MATCH($G590,nrBankTopics,0),1),0))=0,"OK",IF(SUMPRODUCT((nrInstrNames&lt;&gt;"")*ISNUMBER(SEARCH(nrInstrNames,$I590))*(COUNTIF(INDEX(nrBankGrid,IFERROR(MATCH($G590,nrBankTopics,0),1),0),nrInstrNames)&gt;0))&lt;SUMPRODUCT((nrInstrNames&lt;&gt;"")*ISNUMBER(SEARCH(nrInstrNames,$I590))),"NOT IN BANK","OK"))))</f>
        <v/>
      </c>
    </row>
    <row r="591">
      <c r="B591" s="18" t="n"/>
      <c r="C591" s="17">
        <f>IF($B591="","",TEXT($B591,"ddd"))</f>
        <v/>
      </c>
      <c r="D591" s="41" t="n"/>
      <c r="E591" s="41" t="n"/>
      <c r="F591" s="17">
        <f>IF(OR($B591="",$D591="",$E591=""),"",ROUND(MOD($E591-$D591,1)*24,2))</f>
        <v/>
      </c>
      <c r="G591" s="16" t="n"/>
      <c r="H591" s="17">
        <f>IF($G591="","",IFERROR(_xlfn.XLOOKUP($G591,nrCHname,nrCHnum),IFERROR(_xlfn.XLOOKUP($G591,nrSUBname,nrSUBparent),"")))</f>
        <v/>
      </c>
      <c r="I591" s="16" t="n"/>
      <c r="J591" s="16" t="n"/>
      <c r="K591" s="17">
        <f>IF($B591="","",IFERROR(_xlfn.XLOOKUP($B591,nrCDdate,nrCDweek),""))</f>
        <v/>
      </c>
      <c r="L591" s="17">
        <f>IF($B591="","",IFERROR(_xlfn.XLOOKUP($B591,nrCDdate,nrCDnum),""))</f>
        <v/>
      </c>
      <c r="M591" s="16" t="n"/>
      <c r="N591" s="17">
        <f>IF(OR($B591="",$I591=""),"",_xlfn.LET(_xlpm.a,$I591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91" s="17">
        <f>IF(OR($B591="",$D591="",$E591=""),"",IF($E591=$D591,"CHECK TIMES (start = end)",IF($F591&gt;12,"CHECK TIMES (End is before Start?)","OK")))</f>
        <v/>
      </c>
      <c r="P591" s="17">
        <f>IF(OR($B591="",$I591=""),"",IF(IFERROR(MATCH($G591,nrBankTopics,0),0)=0,"OK",IF(COUNTA(INDEX(nrBankGrid,IFERROR(MATCH($G591,nrBankTopics,0),1),0))=0,"OK",IF(SUMPRODUCT((nrInstrNames&lt;&gt;"")*ISNUMBER(SEARCH(nrInstrNames,$I591))*(COUNTIF(INDEX(nrBankGrid,IFERROR(MATCH($G591,nrBankTopics,0),1),0),nrInstrNames)&gt;0))&lt;SUMPRODUCT((nrInstrNames&lt;&gt;"")*ISNUMBER(SEARCH(nrInstrNames,$I591))),"NOT IN BANK","OK"))))</f>
        <v/>
      </c>
    </row>
    <row r="592">
      <c r="B592" s="18" t="n"/>
      <c r="C592" s="17">
        <f>IF($B592="","",TEXT($B592,"ddd"))</f>
        <v/>
      </c>
      <c r="D592" s="41" t="n"/>
      <c r="E592" s="41" t="n"/>
      <c r="F592" s="17">
        <f>IF(OR($B592="",$D592="",$E592=""),"",ROUND(MOD($E592-$D592,1)*24,2))</f>
        <v/>
      </c>
      <c r="G592" s="16" t="n"/>
      <c r="H592" s="17">
        <f>IF($G592="","",IFERROR(_xlfn.XLOOKUP($G592,nrCHname,nrCHnum),IFERROR(_xlfn.XLOOKUP($G592,nrSUBname,nrSUBparent),"")))</f>
        <v/>
      </c>
      <c r="I592" s="16" t="n"/>
      <c r="J592" s="16" t="n"/>
      <c r="K592" s="17">
        <f>IF($B592="","",IFERROR(_xlfn.XLOOKUP($B592,nrCDdate,nrCDweek),""))</f>
        <v/>
      </c>
      <c r="L592" s="17">
        <f>IF($B592="","",IFERROR(_xlfn.XLOOKUP($B592,nrCDdate,nrCDnum),""))</f>
        <v/>
      </c>
      <c r="M592" s="16" t="n"/>
      <c r="N592" s="17">
        <f>IF(OR($B592="",$I592=""),"",_xlfn.LET(_xlpm.a,$I592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92" s="17">
        <f>IF(OR($B592="",$D592="",$E592=""),"",IF($E592=$D592,"CHECK TIMES (start = end)",IF($F592&gt;12,"CHECK TIMES (End is before Start?)","OK")))</f>
        <v/>
      </c>
      <c r="P592" s="17">
        <f>IF(OR($B592="",$I592=""),"",IF(IFERROR(MATCH($G592,nrBankTopics,0),0)=0,"OK",IF(COUNTA(INDEX(nrBankGrid,IFERROR(MATCH($G592,nrBankTopics,0),1),0))=0,"OK",IF(SUMPRODUCT((nrInstrNames&lt;&gt;"")*ISNUMBER(SEARCH(nrInstrNames,$I592))*(COUNTIF(INDEX(nrBankGrid,IFERROR(MATCH($G592,nrBankTopics,0),1),0),nrInstrNames)&gt;0))&lt;SUMPRODUCT((nrInstrNames&lt;&gt;"")*ISNUMBER(SEARCH(nrInstrNames,$I592))),"NOT IN BANK","OK"))))</f>
        <v/>
      </c>
    </row>
    <row r="593">
      <c r="B593" s="18" t="n"/>
      <c r="C593" s="17">
        <f>IF($B593="","",TEXT($B593,"ddd"))</f>
        <v/>
      </c>
      <c r="D593" s="41" t="n"/>
      <c r="E593" s="41" t="n"/>
      <c r="F593" s="17">
        <f>IF(OR($B593="",$D593="",$E593=""),"",ROUND(MOD($E593-$D593,1)*24,2))</f>
        <v/>
      </c>
      <c r="G593" s="16" t="n"/>
      <c r="H593" s="17">
        <f>IF($G593="","",IFERROR(_xlfn.XLOOKUP($G593,nrCHname,nrCHnum),IFERROR(_xlfn.XLOOKUP($G593,nrSUBname,nrSUBparent),"")))</f>
        <v/>
      </c>
      <c r="I593" s="16" t="n"/>
      <c r="J593" s="16" t="n"/>
      <c r="K593" s="17">
        <f>IF($B593="","",IFERROR(_xlfn.XLOOKUP($B593,nrCDdate,nrCDweek),""))</f>
        <v/>
      </c>
      <c r="L593" s="17">
        <f>IF($B593="","",IFERROR(_xlfn.XLOOKUP($B593,nrCDdate,nrCDnum),""))</f>
        <v/>
      </c>
      <c r="M593" s="16" t="n"/>
      <c r="N593" s="17">
        <f>IF(OR($B593="",$I593=""),"",_xlfn.LET(_xlpm.a,$I593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93" s="17">
        <f>IF(OR($B593="",$D593="",$E593=""),"",IF($E593=$D593,"CHECK TIMES (start = end)",IF($F593&gt;12,"CHECK TIMES (End is before Start?)","OK")))</f>
        <v/>
      </c>
      <c r="P593" s="17">
        <f>IF(OR($B593="",$I593=""),"",IF(IFERROR(MATCH($G593,nrBankTopics,0),0)=0,"OK",IF(COUNTA(INDEX(nrBankGrid,IFERROR(MATCH($G593,nrBankTopics,0),1),0))=0,"OK",IF(SUMPRODUCT((nrInstrNames&lt;&gt;"")*ISNUMBER(SEARCH(nrInstrNames,$I593))*(COUNTIF(INDEX(nrBankGrid,IFERROR(MATCH($G593,nrBankTopics,0),1),0),nrInstrNames)&gt;0))&lt;SUMPRODUCT((nrInstrNames&lt;&gt;"")*ISNUMBER(SEARCH(nrInstrNames,$I593))),"NOT IN BANK","OK"))))</f>
        <v/>
      </c>
    </row>
    <row r="594">
      <c r="B594" s="18" t="n"/>
      <c r="C594" s="17">
        <f>IF($B594="","",TEXT($B594,"ddd"))</f>
        <v/>
      </c>
      <c r="D594" s="41" t="n"/>
      <c r="E594" s="41" t="n"/>
      <c r="F594" s="17">
        <f>IF(OR($B594="",$D594="",$E594=""),"",ROUND(MOD($E594-$D594,1)*24,2))</f>
        <v/>
      </c>
      <c r="G594" s="16" t="n"/>
      <c r="H594" s="17">
        <f>IF($G594="","",IFERROR(_xlfn.XLOOKUP($G594,nrCHname,nrCHnum),IFERROR(_xlfn.XLOOKUP($G594,nrSUBname,nrSUBparent),"")))</f>
        <v/>
      </c>
      <c r="I594" s="16" t="n"/>
      <c r="J594" s="16" t="n"/>
      <c r="K594" s="17">
        <f>IF($B594="","",IFERROR(_xlfn.XLOOKUP($B594,nrCDdate,nrCDweek),""))</f>
        <v/>
      </c>
      <c r="L594" s="17">
        <f>IF($B594="","",IFERROR(_xlfn.XLOOKUP($B594,nrCDdate,nrCDnum),""))</f>
        <v/>
      </c>
      <c r="M594" s="16" t="n"/>
      <c r="N594" s="17">
        <f>IF(OR($B594="",$I594=""),"",_xlfn.LET(_xlpm.a,$I594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94" s="17">
        <f>IF(OR($B594="",$D594="",$E594=""),"",IF($E594=$D594,"CHECK TIMES (start = end)",IF($F594&gt;12,"CHECK TIMES (End is before Start?)","OK")))</f>
        <v/>
      </c>
      <c r="P594" s="17">
        <f>IF(OR($B594="",$I594=""),"",IF(IFERROR(MATCH($G594,nrBankTopics,0),0)=0,"OK",IF(COUNTA(INDEX(nrBankGrid,IFERROR(MATCH($G594,nrBankTopics,0),1),0))=0,"OK",IF(SUMPRODUCT((nrInstrNames&lt;&gt;"")*ISNUMBER(SEARCH(nrInstrNames,$I594))*(COUNTIF(INDEX(nrBankGrid,IFERROR(MATCH($G594,nrBankTopics,0),1),0),nrInstrNames)&gt;0))&lt;SUMPRODUCT((nrInstrNames&lt;&gt;"")*ISNUMBER(SEARCH(nrInstrNames,$I594))),"NOT IN BANK","OK"))))</f>
        <v/>
      </c>
    </row>
    <row r="595">
      <c r="B595" s="18" t="n"/>
      <c r="C595" s="17">
        <f>IF($B595="","",TEXT($B595,"ddd"))</f>
        <v/>
      </c>
      <c r="D595" s="41" t="n"/>
      <c r="E595" s="41" t="n"/>
      <c r="F595" s="17">
        <f>IF(OR($B595="",$D595="",$E595=""),"",ROUND(MOD($E595-$D595,1)*24,2))</f>
        <v/>
      </c>
      <c r="G595" s="16" t="n"/>
      <c r="H595" s="17">
        <f>IF($G595="","",IFERROR(_xlfn.XLOOKUP($G595,nrCHname,nrCHnum),IFERROR(_xlfn.XLOOKUP($G595,nrSUBname,nrSUBparent),"")))</f>
        <v/>
      </c>
      <c r="I595" s="16" t="n"/>
      <c r="J595" s="16" t="n"/>
      <c r="K595" s="17">
        <f>IF($B595="","",IFERROR(_xlfn.XLOOKUP($B595,nrCDdate,nrCDweek),""))</f>
        <v/>
      </c>
      <c r="L595" s="17">
        <f>IF($B595="","",IFERROR(_xlfn.XLOOKUP($B595,nrCDdate,nrCDnum),""))</f>
        <v/>
      </c>
      <c r="M595" s="16" t="n"/>
      <c r="N595" s="17">
        <f>IF(OR($B595="",$I595=""),"",_xlfn.LET(_xlpm.a,$I595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95" s="17">
        <f>IF(OR($B595="",$D595="",$E595=""),"",IF($E595=$D595,"CHECK TIMES (start = end)",IF($F595&gt;12,"CHECK TIMES (End is before Start?)","OK")))</f>
        <v/>
      </c>
      <c r="P595" s="17">
        <f>IF(OR($B595="",$I595=""),"",IF(IFERROR(MATCH($G595,nrBankTopics,0),0)=0,"OK",IF(COUNTA(INDEX(nrBankGrid,IFERROR(MATCH($G595,nrBankTopics,0),1),0))=0,"OK",IF(SUMPRODUCT((nrInstrNames&lt;&gt;"")*ISNUMBER(SEARCH(nrInstrNames,$I595))*(COUNTIF(INDEX(nrBankGrid,IFERROR(MATCH($G595,nrBankTopics,0),1),0),nrInstrNames)&gt;0))&lt;SUMPRODUCT((nrInstrNames&lt;&gt;"")*ISNUMBER(SEARCH(nrInstrNames,$I595))),"NOT IN BANK","OK"))))</f>
        <v/>
      </c>
    </row>
    <row r="596">
      <c r="B596" s="18" t="n"/>
      <c r="C596" s="17">
        <f>IF($B596="","",TEXT($B596,"ddd"))</f>
        <v/>
      </c>
      <c r="D596" s="41" t="n"/>
      <c r="E596" s="41" t="n"/>
      <c r="F596" s="17">
        <f>IF(OR($B596="",$D596="",$E596=""),"",ROUND(MOD($E596-$D596,1)*24,2))</f>
        <v/>
      </c>
      <c r="G596" s="16" t="n"/>
      <c r="H596" s="17">
        <f>IF($G596="","",IFERROR(_xlfn.XLOOKUP($G596,nrCHname,nrCHnum),IFERROR(_xlfn.XLOOKUP($G596,nrSUBname,nrSUBparent),"")))</f>
        <v/>
      </c>
      <c r="I596" s="16" t="n"/>
      <c r="J596" s="16" t="n"/>
      <c r="K596" s="17">
        <f>IF($B596="","",IFERROR(_xlfn.XLOOKUP($B596,nrCDdate,nrCDweek),""))</f>
        <v/>
      </c>
      <c r="L596" s="17">
        <f>IF($B596="","",IFERROR(_xlfn.XLOOKUP($B596,nrCDdate,nrCDnum),""))</f>
        <v/>
      </c>
      <c r="M596" s="16" t="n"/>
      <c r="N596" s="17">
        <f>IF(OR($B596="",$I596=""),"",_xlfn.LET(_xlpm.a,$I596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96" s="17">
        <f>IF(OR($B596="",$D596="",$E596=""),"",IF($E596=$D596,"CHECK TIMES (start = end)",IF($F596&gt;12,"CHECK TIMES (End is before Start?)","OK")))</f>
        <v/>
      </c>
      <c r="P596" s="17">
        <f>IF(OR($B596="",$I596=""),"",IF(IFERROR(MATCH($G596,nrBankTopics,0),0)=0,"OK",IF(COUNTA(INDEX(nrBankGrid,IFERROR(MATCH($G596,nrBankTopics,0),1),0))=0,"OK",IF(SUMPRODUCT((nrInstrNames&lt;&gt;"")*ISNUMBER(SEARCH(nrInstrNames,$I596))*(COUNTIF(INDEX(nrBankGrid,IFERROR(MATCH($G596,nrBankTopics,0),1),0),nrInstrNames)&gt;0))&lt;SUMPRODUCT((nrInstrNames&lt;&gt;"")*ISNUMBER(SEARCH(nrInstrNames,$I596))),"NOT IN BANK","OK"))))</f>
        <v/>
      </c>
    </row>
    <row r="597">
      <c r="B597" s="18" t="n"/>
      <c r="C597" s="17">
        <f>IF($B597="","",TEXT($B597,"ddd"))</f>
        <v/>
      </c>
      <c r="D597" s="41" t="n"/>
      <c r="E597" s="41" t="n"/>
      <c r="F597" s="17">
        <f>IF(OR($B597="",$D597="",$E597=""),"",ROUND(MOD($E597-$D597,1)*24,2))</f>
        <v/>
      </c>
      <c r="G597" s="16" t="n"/>
      <c r="H597" s="17">
        <f>IF($G597="","",IFERROR(_xlfn.XLOOKUP($G597,nrCHname,nrCHnum),IFERROR(_xlfn.XLOOKUP($G597,nrSUBname,nrSUBparent),"")))</f>
        <v/>
      </c>
      <c r="I597" s="16" t="n"/>
      <c r="J597" s="16" t="n"/>
      <c r="K597" s="17">
        <f>IF($B597="","",IFERROR(_xlfn.XLOOKUP($B597,nrCDdate,nrCDweek),""))</f>
        <v/>
      </c>
      <c r="L597" s="17">
        <f>IF($B597="","",IFERROR(_xlfn.XLOOKUP($B597,nrCDdate,nrCDnum),""))</f>
        <v/>
      </c>
      <c r="M597" s="16" t="n"/>
      <c r="N597" s="17">
        <f>IF(OR($B597="",$I597=""),"",_xlfn.LET(_xlpm.a,$I597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97" s="17">
        <f>IF(OR($B597="",$D597="",$E597=""),"",IF($E597=$D597,"CHECK TIMES (start = end)",IF($F597&gt;12,"CHECK TIMES (End is before Start?)","OK")))</f>
        <v/>
      </c>
      <c r="P597" s="17">
        <f>IF(OR($B597="",$I597=""),"",IF(IFERROR(MATCH($G597,nrBankTopics,0),0)=0,"OK",IF(COUNTA(INDEX(nrBankGrid,IFERROR(MATCH($G597,nrBankTopics,0),1),0))=0,"OK",IF(SUMPRODUCT((nrInstrNames&lt;&gt;"")*ISNUMBER(SEARCH(nrInstrNames,$I597))*(COUNTIF(INDEX(nrBankGrid,IFERROR(MATCH($G597,nrBankTopics,0),1),0),nrInstrNames)&gt;0))&lt;SUMPRODUCT((nrInstrNames&lt;&gt;"")*ISNUMBER(SEARCH(nrInstrNames,$I597))),"NOT IN BANK","OK"))))</f>
        <v/>
      </c>
    </row>
    <row r="598">
      <c r="B598" s="18" t="n"/>
      <c r="C598" s="17">
        <f>IF($B598="","",TEXT($B598,"ddd"))</f>
        <v/>
      </c>
      <c r="D598" s="41" t="n"/>
      <c r="E598" s="41" t="n"/>
      <c r="F598" s="17">
        <f>IF(OR($B598="",$D598="",$E598=""),"",ROUND(MOD($E598-$D598,1)*24,2))</f>
        <v/>
      </c>
      <c r="G598" s="16" t="n"/>
      <c r="H598" s="17">
        <f>IF($G598="","",IFERROR(_xlfn.XLOOKUP($G598,nrCHname,nrCHnum),IFERROR(_xlfn.XLOOKUP($G598,nrSUBname,nrSUBparent),"")))</f>
        <v/>
      </c>
      <c r="I598" s="16" t="n"/>
      <c r="J598" s="16" t="n"/>
      <c r="K598" s="17">
        <f>IF($B598="","",IFERROR(_xlfn.XLOOKUP($B598,nrCDdate,nrCDweek),""))</f>
        <v/>
      </c>
      <c r="L598" s="17">
        <f>IF($B598="","",IFERROR(_xlfn.XLOOKUP($B598,nrCDdate,nrCDnum),""))</f>
        <v/>
      </c>
      <c r="M598" s="16" t="n"/>
      <c r="N598" s="17">
        <f>IF(OR($B598="",$I598=""),"",_xlfn.LET(_xlpm.a,$I598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98" s="17">
        <f>IF(OR($B598="",$D598="",$E598=""),"",IF($E598=$D598,"CHECK TIMES (start = end)",IF($F598&gt;12,"CHECK TIMES (End is before Start?)","OK")))</f>
        <v/>
      </c>
      <c r="P598" s="17">
        <f>IF(OR($B598="",$I598=""),"",IF(IFERROR(MATCH($G598,nrBankTopics,0),0)=0,"OK",IF(COUNTA(INDEX(nrBankGrid,IFERROR(MATCH($G598,nrBankTopics,0),1),0))=0,"OK",IF(SUMPRODUCT((nrInstrNames&lt;&gt;"")*ISNUMBER(SEARCH(nrInstrNames,$I598))*(COUNTIF(INDEX(nrBankGrid,IFERROR(MATCH($G598,nrBankTopics,0),1),0),nrInstrNames)&gt;0))&lt;SUMPRODUCT((nrInstrNames&lt;&gt;"")*ISNUMBER(SEARCH(nrInstrNames,$I598))),"NOT IN BANK","OK"))))</f>
        <v/>
      </c>
    </row>
    <row r="599">
      <c r="B599" s="18" t="n"/>
      <c r="C599" s="17">
        <f>IF($B599="","",TEXT($B599,"ddd"))</f>
        <v/>
      </c>
      <c r="D599" s="41" t="n"/>
      <c r="E599" s="41" t="n"/>
      <c r="F599" s="17">
        <f>IF(OR($B599="",$D599="",$E599=""),"",ROUND(MOD($E599-$D599,1)*24,2))</f>
        <v/>
      </c>
      <c r="G599" s="16" t="n"/>
      <c r="H599" s="17">
        <f>IF($G599="","",IFERROR(_xlfn.XLOOKUP($G599,nrCHname,nrCHnum),IFERROR(_xlfn.XLOOKUP($G599,nrSUBname,nrSUBparent),"")))</f>
        <v/>
      </c>
      <c r="I599" s="16" t="n"/>
      <c r="J599" s="16" t="n"/>
      <c r="K599" s="17">
        <f>IF($B599="","",IFERROR(_xlfn.XLOOKUP($B599,nrCDdate,nrCDweek),""))</f>
        <v/>
      </c>
      <c r="L599" s="17">
        <f>IF($B599="","",IFERROR(_xlfn.XLOOKUP($B599,nrCDdate,nrCDnum),""))</f>
        <v/>
      </c>
      <c r="M599" s="16" t="n"/>
      <c r="N599" s="17">
        <f>IF(OR($B599="",$I599=""),"",_xlfn.LET(_xlpm.a,$I599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99" s="17">
        <f>IF(OR($B599="",$D599="",$E599=""),"",IF($E599=$D599,"CHECK TIMES (start = end)",IF($F599&gt;12,"CHECK TIMES (End is before Start?)","OK")))</f>
        <v/>
      </c>
      <c r="P599" s="17">
        <f>IF(OR($B599="",$I599=""),"",IF(IFERROR(MATCH($G599,nrBankTopics,0),0)=0,"OK",IF(COUNTA(INDEX(nrBankGrid,IFERROR(MATCH($G599,nrBankTopics,0),1),0))=0,"OK",IF(SUMPRODUCT((nrInstrNames&lt;&gt;"")*ISNUMBER(SEARCH(nrInstrNames,$I599))*(COUNTIF(INDEX(nrBankGrid,IFERROR(MATCH($G599,nrBankTopics,0),1),0),nrInstrNames)&gt;0))&lt;SUMPRODUCT((nrInstrNames&lt;&gt;"")*ISNUMBER(SEARCH(nrInstrNames,$I599))),"NOT IN BANK","OK"))))</f>
        <v/>
      </c>
    </row>
    <row r="600">
      <c r="B600" s="18" t="n"/>
      <c r="C600" s="17">
        <f>IF($B600="","",TEXT($B600,"ddd"))</f>
        <v/>
      </c>
      <c r="D600" s="41" t="n"/>
      <c r="E600" s="41" t="n"/>
      <c r="F600" s="17">
        <f>IF(OR($B600="",$D600="",$E600=""),"",ROUND(MOD($E600-$D600,1)*24,2))</f>
        <v/>
      </c>
      <c r="G600" s="16" t="n"/>
      <c r="H600" s="17">
        <f>IF($G600="","",IFERROR(_xlfn.XLOOKUP($G600,nrCHname,nrCHnum),IFERROR(_xlfn.XLOOKUP($G600,nrSUBname,nrSUBparent),"")))</f>
        <v/>
      </c>
      <c r="I600" s="16" t="n"/>
      <c r="J600" s="16" t="n"/>
      <c r="K600" s="17">
        <f>IF($B600="","",IFERROR(_xlfn.XLOOKUP($B600,nrCDdate,nrCDweek),""))</f>
        <v/>
      </c>
      <c r="L600" s="17">
        <f>IF($B600="","",IFERROR(_xlfn.XLOOKUP($B600,nrCDdate,nrCDnum),""))</f>
        <v/>
      </c>
      <c r="M600" s="16" t="n"/>
      <c r="N600" s="17">
        <f>IF(OR($B600="",$I600=""),"",_xlfn.LET(_xlpm.a,$I600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00" s="17">
        <f>IF(OR($B600="",$D600="",$E600=""),"",IF($E600=$D600,"CHECK TIMES (start = end)",IF($F600&gt;12,"CHECK TIMES (End is before Start?)","OK")))</f>
        <v/>
      </c>
      <c r="P600" s="17">
        <f>IF(OR($B600="",$I600=""),"",IF(IFERROR(MATCH($G600,nrBankTopics,0),0)=0,"OK",IF(COUNTA(INDEX(nrBankGrid,IFERROR(MATCH($G600,nrBankTopics,0),1),0))=0,"OK",IF(SUMPRODUCT((nrInstrNames&lt;&gt;"")*ISNUMBER(SEARCH(nrInstrNames,$I600))*(COUNTIF(INDEX(nrBankGrid,IFERROR(MATCH($G600,nrBankTopics,0),1),0),nrInstrNames)&gt;0))&lt;SUMPRODUCT((nrInstrNames&lt;&gt;"")*ISNUMBER(SEARCH(nrInstrNames,$I600))),"NOT IN BANK","OK"))))</f>
        <v/>
      </c>
    </row>
    <row r="601">
      <c r="B601" s="18" t="n"/>
      <c r="C601" s="17">
        <f>IF($B601="","",TEXT($B601,"ddd"))</f>
        <v/>
      </c>
      <c r="D601" s="41" t="n"/>
      <c r="E601" s="41" t="n"/>
      <c r="F601" s="17">
        <f>IF(OR($B601="",$D601="",$E601=""),"",ROUND(MOD($E601-$D601,1)*24,2))</f>
        <v/>
      </c>
      <c r="G601" s="16" t="n"/>
      <c r="H601" s="17">
        <f>IF($G601="","",IFERROR(_xlfn.XLOOKUP($G601,nrCHname,nrCHnum),IFERROR(_xlfn.XLOOKUP($G601,nrSUBname,nrSUBparent),"")))</f>
        <v/>
      </c>
      <c r="I601" s="16" t="n"/>
      <c r="J601" s="16" t="n"/>
      <c r="K601" s="17">
        <f>IF($B601="","",IFERROR(_xlfn.XLOOKUP($B601,nrCDdate,nrCDweek),""))</f>
        <v/>
      </c>
      <c r="L601" s="17">
        <f>IF($B601="","",IFERROR(_xlfn.XLOOKUP($B601,nrCDdate,nrCDnum),""))</f>
        <v/>
      </c>
      <c r="M601" s="16" t="n"/>
      <c r="N601" s="17">
        <f>IF(OR($B601="",$I601=""),"",_xlfn.LET(_xlpm.a,$I601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01" s="17">
        <f>IF(OR($B601="",$D601="",$E601=""),"",IF($E601=$D601,"CHECK TIMES (start = end)",IF($F601&gt;12,"CHECK TIMES (End is before Start?)","OK")))</f>
        <v/>
      </c>
      <c r="P601" s="17">
        <f>IF(OR($B601="",$I601=""),"",IF(IFERROR(MATCH($G601,nrBankTopics,0),0)=0,"OK",IF(COUNTA(INDEX(nrBankGrid,IFERROR(MATCH($G601,nrBankTopics,0),1),0))=0,"OK",IF(SUMPRODUCT((nrInstrNames&lt;&gt;"")*ISNUMBER(SEARCH(nrInstrNames,$I601))*(COUNTIF(INDEX(nrBankGrid,IFERROR(MATCH($G601,nrBankTopics,0),1),0),nrInstrNames)&gt;0))&lt;SUMPRODUCT((nrInstrNames&lt;&gt;"")*ISNUMBER(SEARCH(nrInstrNames,$I601))),"NOT IN BANK","OK"))))</f>
        <v/>
      </c>
    </row>
    <row r="602">
      <c r="B602" s="18" t="n"/>
      <c r="C602" s="17">
        <f>IF($B602="","",TEXT($B602,"ddd"))</f>
        <v/>
      </c>
      <c r="D602" s="41" t="n"/>
      <c r="E602" s="41" t="n"/>
      <c r="F602" s="17">
        <f>IF(OR($B602="",$D602="",$E602=""),"",ROUND(MOD($E602-$D602,1)*24,2))</f>
        <v/>
      </c>
      <c r="G602" s="16" t="n"/>
      <c r="H602" s="17">
        <f>IF($G602="","",IFERROR(_xlfn.XLOOKUP($G602,nrCHname,nrCHnum),IFERROR(_xlfn.XLOOKUP($G602,nrSUBname,nrSUBparent),"")))</f>
        <v/>
      </c>
      <c r="I602" s="16" t="n"/>
      <c r="J602" s="16" t="n"/>
      <c r="K602" s="17">
        <f>IF($B602="","",IFERROR(_xlfn.XLOOKUP($B602,nrCDdate,nrCDweek),""))</f>
        <v/>
      </c>
      <c r="L602" s="17">
        <f>IF($B602="","",IFERROR(_xlfn.XLOOKUP($B602,nrCDdate,nrCDnum),""))</f>
        <v/>
      </c>
      <c r="M602" s="16" t="n"/>
      <c r="N602" s="17">
        <f>IF(OR($B602="",$I602=""),"",_xlfn.LET(_xlpm.a,$I602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02" s="17">
        <f>IF(OR($B602="",$D602="",$E602=""),"",IF($E602=$D602,"CHECK TIMES (start = end)",IF($F602&gt;12,"CHECK TIMES (End is before Start?)","OK")))</f>
        <v/>
      </c>
      <c r="P602" s="17">
        <f>IF(OR($B602="",$I602=""),"",IF(IFERROR(MATCH($G602,nrBankTopics,0),0)=0,"OK",IF(COUNTA(INDEX(nrBankGrid,IFERROR(MATCH($G602,nrBankTopics,0),1),0))=0,"OK",IF(SUMPRODUCT((nrInstrNames&lt;&gt;"")*ISNUMBER(SEARCH(nrInstrNames,$I602))*(COUNTIF(INDEX(nrBankGrid,IFERROR(MATCH($G602,nrBankTopics,0),1),0),nrInstrNames)&gt;0))&lt;SUMPRODUCT((nrInstrNames&lt;&gt;"")*ISNUMBER(SEARCH(nrInstrNames,$I602))),"NOT IN BANK","OK"))))</f>
        <v/>
      </c>
    </row>
    <row r="603">
      <c r="B603" s="18" t="n"/>
      <c r="C603" s="17">
        <f>IF($B603="","",TEXT($B603,"ddd"))</f>
        <v/>
      </c>
      <c r="D603" s="41" t="n"/>
      <c r="E603" s="41" t="n"/>
      <c r="F603" s="17">
        <f>IF(OR($B603="",$D603="",$E603=""),"",ROUND(MOD($E603-$D603,1)*24,2))</f>
        <v/>
      </c>
      <c r="G603" s="16" t="n"/>
      <c r="H603" s="17">
        <f>IF($G603="","",IFERROR(_xlfn.XLOOKUP($G603,nrCHname,nrCHnum),IFERROR(_xlfn.XLOOKUP($G603,nrSUBname,nrSUBparent),"")))</f>
        <v/>
      </c>
      <c r="I603" s="16" t="n"/>
      <c r="J603" s="16" t="n"/>
      <c r="K603" s="17">
        <f>IF($B603="","",IFERROR(_xlfn.XLOOKUP($B603,nrCDdate,nrCDweek),""))</f>
        <v/>
      </c>
      <c r="L603" s="17">
        <f>IF($B603="","",IFERROR(_xlfn.XLOOKUP($B603,nrCDdate,nrCDnum),""))</f>
        <v/>
      </c>
      <c r="M603" s="16" t="n"/>
      <c r="N603" s="17">
        <f>IF(OR($B603="",$I603=""),"",_xlfn.LET(_xlpm.a,$I603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03" s="17">
        <f>IF(OR($B603="",$D603="",$E603=""),"",IF($E603=$D603,"CHECK TIMES (start = end)",IF($F603&gt;12,"CHECK TIMES (End is before Start?)","OK")))</f>
        <v/>
      </c>
      <c r="P603" s="17">
        <f>IF(OR($B603="",$I603=""),"",IF(IFERROR(MATCH($G603,nrBankTopics,0),0)=0,"OK",IF(COUNTA(INDEX(nrBankGrid,IFERROR(MATCH($G603,nrBankTopics,0),1),0))=0,"OK",IF(SUMPRODUCT((nrInstrNames&lt;&gt;"")*ISNUMBER(SEARCH(nrInstrNames,$I603))*(COUNTIF(INDEX(nrBankGrid,IFERROR(MATCH($G603,nrBankTopics,0),1),0),nrInstrNames)&gt;0))&lt;SUMPRODUCT((nrInstrNames&lt;&gt;"")*ISNUMBER(SEARCH(nrInstrNames,$I603))),"NOT IN BANK","OK"))))</f>
        <v/>
      </c>
    </row>
    <row r="604">
      <c r="B604" s="18" t="n"/>
      <c r="C604" s="17">
        <f>IF($B604="","",TEXT($B604,"ddd"))</f>
        <v/>
      </c>
      <c r="D604" s="41" t="n"/>
      <c r="E604" s="41" t="n"/>
      <c r="F604" s="17">
        <f>IF(OR($B604="",$D604="",$E604=""),"",ROUND(MOD($E604-$D604,1)*24,2))</f>
        <v/>
      </c>
      <c r="G604" s="16" t="n"/>
      <c r="H604" s="17">
        <f>IF($G604="","",IFERROR(_xlfn.XLOOKUP($G604,nrCHname,nrCHnum),IFERROR(_xlfn.XLOOKUP($G604,nrSUBname,nrSUBparent),"")))</f>
        <v/>
      </c>
      <c r="I604" s="16" t="n"/>
      <c r="J604" s="16" t="n"/>
      <c r="K604" s="17">
        <f>IF($B604="","",IFERROR(_xlfn.XLOOKUP($B604,nrCDdate,nrCDweek),""))</f>
        <v/>
      </c>
      <c r="L604" s="17">
        <f>IF($B604="","",IFERROR(_xlfn.XLOOKUP($B604,nrCDdate,nrCDnum),""))</f>
        <v/>
      </c>
      <c r="M604" s="16" t="n"/>
      <c r="N604" s="17">
        <f>IF(OR($B604="",$I604=""),"",_xlfn.LET(_xlpm.a,$I604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04" s="17">
        <f>IF(OR($B604="",$D604="",$E604=""),"",IF($E604=$D604,"CHECK TIMES (start = end)",IF($F604&gt;12,"CHECK TIMES (End is before Start?)","OK")))</f>
        <v/>
      </c>
      <c r="P604" s="17">
        <f>IF(OR($B604="",$I604=""),"",IF(IFERROR(MATCH($G604,nrBankTopics,0),0)=0,"OK",IF(COUNTA(INDEX(nrBankGrid,IFERROR(MATCH($G604,nrBankTopics,0),1),0))=0,"OK",IF(SUMPRODUCT((nrInstrNames&lt;&gt;"")*ISNUMBER(SEARCH(nrInstrNames,$I604))*(COUNTIF(INDEX(nrBankGrid,IFERROR(MATCH($G604,nrBankTopics,0),1),0),nrInstrNames)&gt;0))&lt;SUMPRODUCT((nrInstrNames&lt;&gt;"")*ISNUMBER(SEARCH(nrInstrNames,$I604))),"NOT IN BANK","OK"))))</f>
        <v/>
      </c>
    </row>
    <row r="605">
      <c r="B605" s="18" t="n"/>
      <c r="C605" s="17">
        <f>IF($B605="","",TEXT($B605,"ddd"))</f>
        <v/>
      </c>
      <c r="D605" s="41" t="n"/>
      <c r="E605" s="41" t="n"/>
      <c r="F605" s="17">
        <f>IF(OR($B605="",$D605="",$E605=""),"",ROUND(MOD($E605-$D605,1)*24,2))</f>
        <v/>
      </c>
      <c r="G605" s="16" t="n"/>
      <c r="H605" s="17">
        <f>IF($G605="","",IFERROR(_xlfn.XLOOKUP($G605,nrCHname,nrCHnum),IFERROR(_xlfn.XLOOKUP($G605,nrSUBname,nrSUBparent),"")))</f>
        <v/>
      </c>
      <c r="I605" s="16" t="n"/>
      <c r="J605" s="16" t="n"/>
      <c r="K605" s="17">
        <f>IF($B605="","",IFERROR(_xlfn.XLOOKUP($B605,nrCDdate,nrCDweek),""))</f>
        <v/>
      </c>
      <c r="L605" s="17">
        <f>IF($B605="","",IFERROR(_xlfn.XLOOKUP($B605,nrCDdate,nrCDnum),""))</f>
        <v/>
      </c>
      <c r="M605" s="16" t="n"/>
      <c r="N605" s="17">
        <f>IF(OR($B605="",$I605=""),"",_xlfn.LET(_xlpm.a,$I605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05" s="17">
        <f>IF(OR($B605="",$D605="",$E605=""),"",IF($E605=$D605,"CHECK TIMES (start = end)",IF($F605&gt;12,"CHECK TIMES (End is before Start?)","OK")))</f>
        <v/>
      </c>
      <c r="P605" s="17">
        <f>IF(OR($B605="",$I605=""),"",IF(IFERROR(MATCH($G605,nrBankTopics,0),0)=0,"OK",IF(COUNTA(INDEX(nrBankGrid,IFERROR(MATCH($G605,nrBankTopics,0),1),0))=0,"OK",IF(SUMPRODUCT((nrInstrNames&lt;&gt;"")*ISNUMBER(SEARCH(nrInstrNames,$I605))*(COUNTIF(INDEX(nrBankGrid,IFERROR(MATCH($G605,nrBankTopics,0),1),0),nrInstrNames)&gt;0))&lt;SUMPRODUCT((nrInstrNames&lt;&gt;"")*ISNUMBER(SEARCH(nrInstrNames,$I605))),"NOT IN BANK","OK"))))</f>
        <v/>
      </c>
    </row>
    <row r="606">
      <c r="B606" s="18" t="n"/>
      <c r="C606" s="17">
        <f>IF($B606="","",TEXT($B606,"ddd"))</f>
        <v/>
      </c>
      <c r="D606" s="41" t="n"/>
      <c r="E606" s="41" t="n"/>
      <c r="F606" s="17">
        <f>IF(OR($B606="",$D606="",$E606=""),"",ROUND(MOD($E606-$D606,1)*24,2))</f>
        <v/>
      </c>
      <c r="G606" s="16" t="n"/>
      <c r="H606" s="17">
        <f>IF($G606="","",IFERROR(_xlfn.XLOOKUP($G606,nrCHname,nrCHnum),IFERROR(_xlfn.XLOOKUP($G606,nrSUBname,nrSUBparent),"")))</f>
        <v/>
      </c>
      <c r="I606" s="16" t="n"/>
      <c r="J606" s="16" t="n"/>
      <c r="K606" s="17">
        <f>IF($B606="","",IFERROR(_xlfn.XLOOKUP($B606,nrCDdate,nrCDweek),""))</f>
        <v/>
      </c>
      <c r="L606" s="17">
        <f>IF($B606="","",IFERROR(_xlfn.XLOOKUP($B606,nrCDdate,nrCDnum),""))</f>
        <v/>
      </c>
      <c r="M606" s="16" t="n"/>
      <c r="N606" s="17">
        <f>IF(OR($B606="",$I606=""),"",_xlfn.LET(_xlpm.a,$I606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06" s="17">
        <f>IF(OR($B606="",$D606="",$E606=""),"",IF($E606=$D606,"CHECK TIMES (start = end)",IF($F606&gt;12,"CHECK TIMES (End is before Start?)","OK")))</f>
        <v/>
      </c>
      <c r="P606" s="17">
        <f>IF(OR($B606="",$I606=""),"",IF(IFERROR(MATCH($G606,nrBankTopics,0),0)=0,"OK",IF(COUNTA(INDEX(nrBankGrid,IFERROR(MATCH($G606,nrBankTopics,0),1),0))=0,"OK",IF(SUMPRODUCT((nrInstrNames&lt;&gt;"")*ISNUMBER(SEARCH(nrInstrNames,$I606))*(COUNTIF(INDEX(nrBankGrid,IFERROR(MATCH($G606,nrBankTopics,0),1),0),nrInstrNames)&gt;0))&lt;SUMPRODUCT((nrInstrNames&lt;&gt;"")*ISNUMBER(SEARCH(nrInstrNames,$I606))),"NOT IN BANK","OK"))))</f>
        <v/>
      </c>
    </row>
    <row r="607">
      <c r="B607" s="18" t="n"/>
      <c r="C607" s="17">
        <f>IF($B607="","",TEXT($B607,"ddd"))</f>
        <v/>
      </c>
      <c r="D607" s="41" t="n"/>
      <c r="E607" s="41" t="n"/>
      <c r="F607" s="17">
        <f>IF(OR($B607="",$D607="",$E607=""),"",ROUND(MOD($E607-$D607,1)*24,2))</f>
        <v/>
      </c>
      <c r="G607" s="16" t="n"/>
      <c r="H607" s="17">
        <f>IF($G607="","",IFERROR(_xlfn.XLOOKUP($G607,nrCHname,nrCHnum),IFERROR(_xlfn.XLOOKUP($G607,nrSUBname,nrSUBparent),"")))</f>
        <v/>
      </c>
      <c r="I607" s="16" t="n"/>
      <c r="J607" s="16" t="n"/>
      <c r="K607" s="17">
        <f>IF($B607="","",IFERROR(_xlfn.XLOOKUP($B607,nrCDdate,nrCDweek),""))</f>
        <v/>
      </c>
      <c r="L607" s="17">
        <f>IF($B607="","",IFERROR(_xlfn.XLOOKUP($B607,nrCDdate,nrCDnum),""))</f>
        <v/>
      </c>
      <c r="M607" s="16" t="n"/>
      <c r="N607" s="17">
        <f>IF(OR($B607="",$I607=""),"",_xlfn.LET(_xlpm.a,$I607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07" s="17">
        <f>IF(OR($B607="",$D607="",$E607=""),"",IF($E607=$D607,"CHECK TIMES (start = end)",IF($F607&gt;12,"CHECK TIMES (End is before Start?)","OK")))</f>
        <v/>
      </c>
      <c r="P607" s="17">
        <f>IF(OR($B607="",$I607=""),"",IF(IFERROR(MATCH($G607,nrBankTopics,0),0)=0,"OK",IF(COUNTA(INDEX(nrBankGrid,IFERROR(MATCH($G607,nrBankTopics,0),1),0))=0,"OK",IF(SUMPRODUCT((nrInstrNames&lt;&gt;"")*ISNUMBER(SEARCH(nrInstrNames,$I607))*(COUNTIF(INDEX(nrBankGrid,IFERROR(MATCH($G607,nrBankTopics,0),1),0),nrInstrNames)&gt;0))&lt;SUMPRODUCT((nrInstrNames&lt;&gt;"")*ISNUMBER(SEARCH(nrInstrNames,$I607))),"NOT IN BANK","OK"))))</f>
        <v/>
      </c>
    </row>
    <row r="608">
      <c r="B608" s="18" t="n"/>
      <c r="C608" s="17">
        <f>IF($B608="","",TEXT($B608,"ddd"))</f>
        <v/>
      </c>
      <c r="D608" s="41" t="n"/>
      <c r="E608" s="41" t="n"/>
      <c r="F608" s="17">
        <f>IF(OR($B608="",$D608="",$E608=""),"",ROUND(MOD($E608-$D608,1)*24,2))</f>
        <v/>
      </c>
      <c r="G608" s="16" t="n"/>
      <c r="H608" s="17">
        <f>IF($G608="","",IFERROR(_xlfn.XLOOKUP($G608,nrCHname,nrCHnum),IFERROR(_xlfn.XLOOKUP($G608,nrSUBname,nrSUBparent),"")))</f>
        <v/>
      </c>
      <c r="I608" s="16" t="n"/>
      <c r="J608" s="16" t="n"/>
      <c r="K608" s="17">
        <f>IF($B608="","",IFERROR(_xlfn.XLOOKUP($B608,nrCDdate,nrCDweek),""))</f>
        <v/>
      </c>
      <c r="L608" s="17">
        <f>IF($B608="","",IFERROR(_xlfn.XLOOKUP($B608,nrCDdate,nrCDnum),""))</f>
        <v/>
      </c>
      <c r="M608" s="16" t="n"/>
      <c r="N608" s="17">
        <f>IF(OR($B608="",$I608=""),"",_xlfn.LET(_xlpm.a,$I608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08" s="17">
        <f>IF(OR($B608="",$D608="",$E608=""),"",IF($E608=$D608,"CHECK TIMES (start = end)",IF($F608&gt;12,"CHECK TIMES (End is before Start?)","OK")))</f>
        <v/>
      </c>
      <c r="P608" s="17">
        <f>IF(OR($B608="",$I608=""),"",IF(IFERROR(MATCH($G608,nrBankTopics,0),0)=0,"OK",IF(COUNTA(INDEX(nrBankGrid,IFERROR(MATCH($G608,nrBankTopics,0),1),0))=0,"OK",IF(SUMPRODUCT((nrInstrNames&lt;&gt;"")*ISNUMBER(SEARCH(nrInstrNames,$I608))*(COUNTIF(INDEX(nrBankGrid,IFERROR(MATCH($G608,nrBankTopics,0),1),0),nrInstrNames)&gt;0))&lt;SUMPRODUCT((nrInstrNames&lt;&gt;"")*ISNUMBER(SEARCH(nrInstrNames,$I608))),"NOT IN BANK","OK"))))</f>
        <v/>
      </c>
    </row>
    <row r="609">
      <c r="B609" s="18" t="n"/>
      <c r="C609" s="17">
        <f>IF($B609="","",TEXT($B609,"ddd"))</f>
        <v/>
      </c>
      <c r="D609" s="41" t="n"/>
      <c r="E609" s="41" t="n"/>
      <c r="F609" s="17">
        <f>IF(OR($B609="",$D609="",$E609=""),"",ROUND(MOD($E609-$D609,1)*24,2))</f>
        <v/>
      </c>
      <c r="G609" s="16" t="n"/>
      <c r="H609" s="17">
        <f>IF($G609="","",IFERROR(_xlfn.XLOOKUP($G609,nrCHname,nrCHnum),IFERROR(_xlfn.XLOOKUP($G609,nrSUBname,nrSUBparent),"")))</f>
        <v/>
      </c>
      <c r="I609" s="16" t="n"/>
      <c r="J609" s="16" t="n"/>
      <c r="K609" s="17">
        <f>IF($B609="","",IFERROR(_xlfn.XLOOKUP($B609,nrCDdate,nrCDweek),""))</f>
        <v/>
      </c>
      <c r="L609" s="17">
        <f>IF($B609="","",IFERROR(_xlfn.XLOOKUP($B609,nrCDdate,nrCDnum),""))</f>
        <v/>
      </c>
      <c r="M609" s="16" t="n"/>
      <c r="N609" s="17">
        <f>IF(OR($B609="",$I609=""),"",_xlfn.LET(_xlpm.a,$I609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09" s="17">
        <f>IF(OR($B609="",$D609="",$E609=""),"",IF($E609=$D609,"CHECK TIMES (start = end)",IF($F609&gt;12,"CHECK TIMES (End is before Start?)","OK")))</f>
        <v/>
      </c>
      <c r="P609" s="17">
        <f>IF(OR($B609="",$I609=""),"",IF(IFERROR(MATCH($G609,nrBankTopics,0),0)=0,"OK",IF(COUNTA(INDEX(nrBankGrid,IFERROR(MATCH($G609,nrBankTopics,0),1),0))=0,"OK",IF(SUMPRODUCT((nrInstrNames&lt;&gt;"")*ISNUMBER(SEARCH(nrInstrNames,$I609))*(COUNTIF(INDEX(nrBankGrid,IFERROR(MATCH($G609,nrBankTopics,0),1),0),nrInstrNames)&gt;0))&lt;SUMPRODUCT((nrInstrNames&lt;&gt;"")*ISNUMBER(SEARCH(nrInstrNames,$I609))),"NOT IN BANK","OK"))))</f>
        <v/>
      </c>
    </row>
    <row r="610">
      <c r="B610" s="18" t="n"/>
      <c r="C610" s="17">
        <f>IF($B610="","",TEXT($B610,"ddd"))</f>
        <v/>
      </c>
      <c r="D610" s="41" t="n"/>
      <c r="E610" s="41" t="n"/>
      <c r="F610" s="17">
        <f>IF(OR($B610="",$D610="",$E610=""),"",ROUND(MOD($E610-$D610,1)*24,2))</f>
        <v/>
      </c>
      <c r="G610" s="16" t="n"/>
      <c r="H610" s="17">
        <f>IF($G610="","",IFERROR(_xlfn.XLOOKUP($G610,nrCHname,nrCHnum),IFERROR(_xlfn.XLOOKUP($G610,nrSUBname,nrSUBparent),"")))</f>
        <v/>
      </c>
      <c r="I610" s="16" t="n"/>
      <c r="J610" s="16" t="n"/>
      <c r="K610" s="17">
        <f>IF($B610="","",IFERROR(_xlfn.XLOOKUP($B610,nrCDdate,nrCDweek),""))</f>
        <v/>
      </c>
      <c r="L610" s="17">
        <f>IF($B610="","",IFERROR(_xlfn.XLOOKUP($B610,nrCDdate,nrCDnum),""))</f>
        <v/>
      </c>
      <c r="M610" s="16" t="n"/>
      <c r="N610" s="17">
        <f>IF(OR($B610="",$I610=""),"",_xlfn.LET(_xlpm.a,$I610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10" s="17">
        <f>IF(OR($B610="",$D610="",$E610=""),"",IF($E610=$D610,"CHECK TIMES (start = end)",IF($F610&gt;12,"CHECK TIMES (End is before Start?)","OK")))</f>
        <v/>
      </c>
      <c r="P610" s="17">
        <f>IF(OR($B610="",$I610=""),"",IF(IFERROR(MATCH($G610,nrBankTopics,0),0)=0,"OK",IF(COUNTA(INDEX(nrBankGrid,IFERROR(MATCH($G610,nrBankTopics,0),1),0))=0,"OK",IF(SUMPRODUCT((nrInstrNames&lt;&gt;"")*ISNUMBER(SEARCH(nrInstrNames,$I610))*(COUNTIF(INDEX(nrBankGrid,IFERROR(MATCH($G610,nrBankTopics,0),1),0),nrInstrNames)&gt;0))&lt;SUMPRODUCT((nrInstrNames&lt;&gt;"")*ISNUMBER(SEARCH(nrInstrNames,$I610))),"NOT IN BANK","OK"))))</f>
        <v/>
      </c>
    </row>
    <row r="611">
      <c r="B611" s="18" t="n"/>
      <c r="C611" s="17">
        <f>IF($B611="","",TEXT($B611,"ddd"))</f>
        <v/>
      </c>
      <c r="D611" s="41" t="n"/>
      <c r="E611" s="41" t="n"/>
      <c r="F611" s="17">
        <f>IF(OR($B611="",$D611="",$E611=""),"",ROUND(MOD($E611-$D611,1)*24,2))</f>
        <v/>
      </c>
      <c r="G611" s="16" t="n"/>
      <c r="H611" s="17">
        <f>IF($G611="","",IFERROR(_xlfn.XLOOKUP($G611,nrCHname,nrCHnum),IFERROR(_xlfn.XLOOKUP($G611,nrSUBname,nrSUBparent),"")))</f>
        <v/>
      </c>
      <c r="I611" s="16" t="n"/>
      <c r="J611" s="16" t="n"/>
      <c r="K611" s="17">
        <f>IF($B611="","",IFERROR(_xlfn.XLOOKUP($B611,nrCDdate,nrCDweek),""))</f>
        <v/>
      </c>
      <c r="L611" s="17">
        <f>IF($B611="","",IFERROR(_xlfn.XLOOKUP($B611,nrCDdate,nrCDnum),""))</f>
        <v/>
      </c>
      <c r="M611" s="16" t="n"/>
      <c r="N611" s="17">
        <f>IF(OR($B611="",$I611=""),"",_xlfn.LET(_xlpm.a,$I611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11" s="17">
        <f>IF(OR($B611="",$D611="",$E611=""),"",IF($E611=$D611,"CHECK TIMES (start = end)",IF($F611&gt;12,"CHECK TIMES (End is before Start?)","OK")))</f>
        <v/>
      </c>
      <c r="P611" s="17">
        <f>IF(OR($B611="",$I611=""),"",IF(IFERROR(MATCH($G611,nrBankTopics,0),0)=0,"OK",IF(COUNTA(INDEX(nrBankGrid,IFERROR(MATCH($G611,nrBankTopics,0),1),0))=0,"OK",IF(SUMPRODUCT((nrInstrNames&lt;&gt;"")*ISNUMBER(SEARCH(nrInstrNames,$I611))*(COUNTIF(INDEX(nrBankGrid,IFERROR(MATCH($G611,nrBankTopics,0),1),0),nrInstrNames)&gt;0))&lt;SUMPRODUCT((nrInstrNames&lt;&gt;"")*ISNUMBER(SEARCH(nrInstrNames,$I611))),"NOT IN BANK","OK"))))</f>
        <v/>
      </c>
    </row>
    <row r="612">
      <c r="B612" s="18" t="n"/>
      <c r="C612" s="17">
        <f>IF($B612="","",TEXT($B612,"ddd"))</f>
        <v/>
      </c>
      <c r="D612" s="41" t="n"/>
      <c r="E612" s="41" t="n"/>
      <c r="F612" s="17">
        <f>IF(OR($B612="",$D612="",$E612=""),"",ROUND(MOD($E612-$D612,1)*24,2))</f>
        <v/>
      </c>
      <c r="G612" s="16" t="n"/>
      <c r="H612" s="17">
        <f>IF($G612="","",IFERROR(_xlfn.XLOOKUP($G612,nrCHname,nrCHnum),IFERROR(_xlfn.XLOOKUP($G612,nrSUBname,nrSUBparent),"")))</f>
        <v/>
      </c>
      <c r="I612" s="16" t="n"/>
      <c r="J612" s="16" t="n"/>
      <c r="K612" s="17">
        <f>IF($B612="","",IFERROR(_xlfn.XLOOKUP($B612,nrCDdate,nrCDweek),""))</f>
        <v/>
      </c>
      <c r="L612" s="17">
        <f>IF($B612="","",IFERROR(_xlfn.XLOOKUP($B612,nrCDdate,nrCDnum),""))</f>
        <v/>
      </c>
      <c r="M612" s="16" t="n"/>
      <c r="N612" s="17">
        <f>IF(OR($B612="",$I612=""),"",_xlfn.LET(_xlpm.a,$I612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12" s="17">
        <f>IF(OR($B612="",$D612="",$E612=""),"",IF($E612=$D612,"CHECK TIMES (start = end)",IF($F612&gt;12,"CHECK TIMES (End is before Start?)","OK")))</f>
        <v/>
      </c>
      <c r="P612" s="17">
        <f>IF(OR($B612="",$I612=""),"",IF(IFERROR(MATCH($G612,nrBankTopics,0),0)=0,"OK",IF(COUNTA(INDEX(nrBankGrid,IFERROR(MATCH($G612,nrBankTopics,0),1),0))=0,"OK",IF(SUMPRODUCT((nrInstrNames&lt;&gt;"")*ISNUMBER(SEARCH(nrInstrNames,$I612))*(COUNTIF(INDEX(nrBankGrid,IFERROR(MATCH($G612,nrBankTopics,0),1),0),nrInstrNames)&gt;0))&lt;SUMPRODUCT((nrInstrNames&lt;&gt;"")*ISNUMBER(SEARCH(nrInstrNames,$I612))),"NOT IN BANK","OK"))))</f>
        <v/>
      </c>
    </row>
    <row r="613">
      <c r="B613" s="18" t="n"/>
      <c r="C613" s="17">
        <f>IF($B613="","",TEXT($B613,"ddd"))</f>
        <v/>
      </c>
      <c r="D613" s="41" t="n"/>
      <c r="E613" s="41" t="n"/>
      <c r="F613" s="17">
        <f>IF(OR($B613="",$D613="",$E613=""),"",ROUND(MOD($E613-$D613,1)*24,2))</f>
        <v/>
      </c>
      <c r="G613" s="16" t="n"/>
      <c r="H613" s="17">
        <f>IF($G613="","",IFERROR(_xlfn.XLOOKUP($G613,nrCHname,nrCHnum),IFERROR(_xlfn.XLOOKUP($G613,nrSUBname,nrSUBparent),"")))</f>
        <v/>
      </c>
      <c r="I613" s="16" t="n"/>
      <c r="J613" s="16" t="n"/>
      <c r="K613" s="17">
        <f>IF($B613="","",IFERROR(_xlfn.XLOOKUP($B613,nrCDdate,nrCDweek),""))</f>
        <v/>
      </c>
      <c r="L613" s="17">
        <f>IF($B613="","",IFERROR(_xlfn.XLOOKUP($B613,nrCDdate,nrCDnum),""))</f>
        <v/>
      </c>
      <c r="M613" s="16" t="n"/>
      <c r="N613" s="17">
        <f>IF(OR($B613="",$I613=""),"",_xlfn.LET(_xlpm.a,$I613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13" s="17">
        <f>IF(OR($B613="",$D613="",$E613=""),"",IF($E613=$D613,"CHECK TIMES (start = end)",IF($F613&gt;12,"CHECK TIMES (End is before Start?)","OK")))</f>
        <v/>
      </c>
      <c r="P613" s="17">
        <f>IF(OR($B613="",$I613=""),"",IF(IFERROR(MATCH($G613,nrBankTopics,0),0)=0,"OK",IF(COUNTA(INDEX(nrBankGrid,IFERROR(MATCH($G613,nrBankTopics,0),1),0))=0,"OK",IF(SUMPRODUCT((nrInstrNames&lt;&gt;"")*ISNUMBER(SEARCH(nrInstrNames,$I613))*(COUNTIF(INDEX(nrBankGrid,IFERROR(MATCH($G613,nrBankTopics,0),1),0),nrInstrNames)&gt;0))&lt;SUMPRODUCT((nrInstrNames&lt;&gt;"")*ISNUMBER(SEARCH(nrInstrNames,$I613))),"NOT IN BANK","OK"))))</f>
        <v/>
      </c>
    </row>
    <row r="614">
      <c r="B614" s="18" t="n"/>
      <c r="C614" s="17">
        <f>IF($B614="","",TEXT($B614,"ddd"))</f>
        <v/>
      </c>
      <c r="D614" s="41" t="n"/>
      <c r="E614" s="41" t="n"/>
      <c r="F614" s="17">
        <f>IF(OR($B614="",$D614="",$E614=""),"",ROUND(MOD($E614-$D614,1)*24,2))</f>
        <v/>
      </c>
      <c r="G614" s="16" t="n"/>
      <c r="H614" s="17">
        <f>IF($G614="","",IFERROR(_xlfn.XLOOKUP($G614,nrCHname,nrCHnum),IFERROR(_xlfn.XLOOKUP($G614,nrSUBname,nrSUBparent),"")))</f>
        <v/>
      </c>
      <c r="I614" s="16" t="n"/>
      <c r="J614" s="16" t="n"/>
      <c r="K614" s="17">
        <f>IF($B614="","",IFERROR(_xlfn.XLOOKUP($B614,nrCDdate,nrCDweek),""))</f>
        <v/>
      </c>
      <c r="L614" s="17">
        <f>IF($B614="","",IFERROR(_xlfn.XLOOKUP($B614,nrCDdate,nrCDnum),""))</f>
        <v/>
      </c>
      <c r="M614" s="16" t="n"/>
      <c r="N614" s="17">
        <f>IF(OR($B614="",$I614=""),"",_xlfn.LET(_xlpm.a,$I614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14" s="17">
        <f>IF(OR($B614="",$D614="",$E614=""),"",IF($E614=$D614,"CHECK TIMES (start = end)",IF($F614&gt;12,"CHECK TIMES (End is before Start?)","OK")))</f>
        <v/>
      </c>
      <c r="P614" s="17">
        <f>IF(OR($B614="",$I614=""),"",IF(IFERROR(MATCH($G614,nrBankTopics,0),0)=0,"OK",IF(COUNTA(INDEX(nrBankGrid,IFERROR(MATCH($G614,nrBankTopics,0),1),0))=0,"OK",IF(SUMPRODUCT((nrInstrNames&lt;&gt;"")*ISNUMBER(SEARCH(nrInstrNames,$I614))*(COUNTIF(INDEX(nrBankGrid,IFERROR(MATCH($G614,nrBankTopics,0),1),0),nrInstrNames)&gt;0))&lt;SUMPRODUCT((nrInstrNames&lt;&gt;"")*ISNUMBER(SEARCH(nrInstrNames,$I614))),"NOT IN BANK","OK"))))</f>
        <v/>
      </c>
    </row>
    <row r="615">
      <c r="B615" s="18" t="n"/>
      <c r="C615" s="17">
        <f>IF($B615="","",TEXT($B615,"ddd"))</f>
        <v/>
      </c>
      <c r="D615" s="41" t="n"/>
      <c r="E615" s="41" t="n"/>
      <c r="F615" s="17">
        <f>IF(OR($B615="",$D615="",$E615=""),"",ROUND(MOD($E615-$D615,1)*24,2))</f>
        <v/>
      </c>
      <c r="G615" s="16" t="n"/>
      <c r="H615" s="17">
        <f>IF($G615="","",IFERROR(_xlfn.XLOOKUP($G615,nrCHname,nrCHnum),IFERROR(_xlfn.XLOOKUP($G615,nrSUBname,nrSUBparent),"")))</f>
        <v/>
      </c>
      <c r="I615" s="16" t="n"/>
      <c r="J615" s="16" t="n"/>
      <c r="K615" s="17">
        <f>IF($B615="","",IFERROR(_xlfn.XLOOKUP($B615,nrCDdate,nrCDweek),""))</f>
        <v/>
      </c>
      <c r="L615" s="17">
        <f>IF($B615="","",IFERROR(_xlfn.XLOOKUP($B615,nrCDdate,nrCDnum),""))</f>
        <v/>
      </c>
      <c r="M615" s="16" t="n"/>
      <c r="N615" s="17">
        <f>IF(OR($B615="",$I615=""),"",_xlfn.LET(_xlpm.a,$I615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15" s="17">
        <f>IF(OR($B615="",$D615="",$E615=""),"",IF($E615=$D615,"CHECK TIMES (start = end)",IF($F615&gt;12,"CHECK TIMES (End is before Start?)","OK")))</f>
        <v/>
      </c>
      <c r="P615" s="17">
        <f>IF(OR($B615="",$I615=""),"",IF(IFERROR(MATCH($G615,nrBankTopics,0),0)=0,"OK",IF(COUNTA(INDEX(nrBankGrid,IFERROR(MATCH($G615,nrBankTopics,0),1),0))=0,"OK",IF(SUMPRODUCT((nrInstrNames&lt;&gt;"")*ISNUMBER(SEARCH(nrInstrNames,$I615))*(COUNTIF(INDEX(nrBankGrid,IFERROR(MATCH($G615,nrBankTopics,0),1),0),nrInstrNames)&gt;0))&lt;SUMPRODUCT((nrInstrNames&lt;&gt;"")*ISNUMBER(SEARCH(nrInstrNames,$I615))),"NOT IN BANK","OK"))))</f>
        <v/>
      </c>
    </row>
    <row r="616">
      <c r="B616" s="18" t="n"/>
      <c r="C616" s="17">
        <f>IF($B616="","",TEXT($B616,"ddd"))</f>
        <v/>
      </c>
      <c r="D616" s="41" t="n"/>
      <c r="E616" s="41" t="n"/>
      <c r="F616" s="17">
        <f>IF(OR($B616="",$D616="",$E616=""),"",ROUND(MOD($E616-$D616,1)*24,2))</f>
        <v/>
      </c>
      <c r="G616" s="16" t="n"/>
      <c r="H616" s="17">
        <f>IF($G616="","",IFERROR(_xlfn.XLOOKUP($G616,nrCHname,nrCHnum),IFERROR(_xlfn.XLOOKUP($G616,nrSUBname,nrSUBparent),"")))</f>
        <v/>
      </c>
      <c r="I616" s="16" t="n"/>
      <c r="J616" s="16" t="n"/>
      <c r="K616" s="17">
        <f>IF($B616="","",IFERROR(_xlfn.XLOOKUP($B616,nrCDdate,nrCDweek),""))</f>
        <v/>
      </c>
      <c r="L616" s="17">
        <f>IF($B616="","",IFERROR(_xlfn.XLOOKUP($B616,nrCDdate,nrCDnum),""))</f>
        <v/>
      </c>
      <c r="M616" s="16" t="n"/>
      <c r="N616" s="17">
        <f>IF(OR($B616="",$I616=""),"",_xlfn.LET(_xlpm.a,$I616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16" s="17">
        <f>IF(OR($B616="",$D616="",$E616=""),"",IF($E616=$D616,"CHECK TIMES (start = end)",IF($F616&gt;12,"CHECK TIMES (End is before Start?)","OK")))</f>
        <v/>
      </c>
      <c r="P616" s="17">
        <f>IF(OR($B616="",$I616=""),"",IF(IFERROR(MATCH($G616,nrBankTopics,0),0)=0,"OK",IF(COUNTA(INDEX(nrBankGrid,IFERROR(MATCH($G616,nrBankTopics,0),1),0))=0,"OK",IF(SUMPRODUCT((nrInstrNames&lt;&gt;"")*ISNUMBER(SEARCH(nrInstrNames,$I616))*(COUNTIF(INDEX(nrBankGrid,IFERROR(MATCH($G616,nrBankTopics,0),1),0),nrInstrNames)&gt;0))&lt;SUMPRODUCT((nrInstrNames&lt;&gt;"")*ISNUMBER(SEARCH(nrInstrNames,$I616))),"NOT IN BANK","OK"))))</f>
        <v/>
      </c>
    </row>
    <row r="617">
      <c r="B617" s="18" t="n"/>
      <c r="C617" s="17">
        <f>IF($B617="","",TEXT($B617,"ddd"))</f>
        <v/>
      </c>
      <c r="D617" s="41" t="n"/>
      <c r="E617" s="41" t="n"/>
      <c r="F617" s="17">
        <f>IF(OR($B617="",$D617="",$E617=""),"",ROUND(MOD($E617-$D617,1)*24,2))</f>
        <v/>
      </c>
      <c r="G617" s="16" t="n"/>
      <c r="H617" s="17">
        <f>IF($G617="","",IFERROR(_xlfn.XLOOKUP($G617,nrCHname,nrCHnum),IFERROR(_xlfn.XLOOKUP($G617,nrSUBname,nrSUBparent),"")))</f>
        <v/>
      </c>
      <c r="I617" s="16" t="n"/>
      <c r="J617" s="16" t="n"/>
      <c r="K617" s="17">
        <f>IF($B617="","",IFERROR(_xlfn.XLOOKUP($B617,nrCDdate,nrCDweek),""))</f>
        <v/>
      </c>
      <c r="L617" s="17">
        <f>IF($B617="","",IFERROR(_xlfn.XLOOKUP($B617,nrCDdate,nrCDnum),""))</f>
        <v/>
      </c>
      <c r="M617" s="16" t="n"/>
      <c r="N617" s="17">
        <f>IF(OR($B617="",$I617=""),"",_xlfn.LET(_xlpm.a,$I617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17" s="17">
        <f>IF(OR($B617="",$D617="",$E617=""),"",IF($E617=$D617,"CHECK TIMES (start = end)",IF($F617&gt;12,"CHECK TIMES (End is before Start?)","OK")))</f>
        <v/>
      </c>
      <c r="P617" s="17">
        <f>IF(OR($B617="",$I617=""),"",IF(IFERROR(MATCH($G617,nrBankTopics,0),0)=0,"OK",IF(COUNTA(INDEX(nrBankGrid,IFERROR(MATCH($G617,nrBankTopics,0),1),0))=0,"OK",IF(SUMPRODUCT((nrInstrNames&lt;&gt;"")*ISNUMBER(SEARCH(nrInstrNames,$I617))*(COUNTIF(INDEX(nrBankGrid,IFERROR(MATCH($G617,nrBankTopics,0),1),0),nrInstrNames)&gt;0))&lt;SUMPRODUCT((nrInstrNames&lt;&gt;"")*ISNUMBER(SEARCH(nrInstrNames,$I617))),"NOT IN BANK","OK"))))</f>
        <v/>
      </c>
    </row>
    <row r="618">
      <c r="B618" s="18" t="n"/>
      <c r="C618" s="17">
        <f>IF($B618="","",TEXT($B618,"ddd"))</f>
        <v/>
      </c>
      <c r="D618" s="41" t="n"/>
      <c r="E618" s="41" t="n"/>
      <c r="F618" s="17">
        <f>IF(OR($B618="",$D618="",$E618=""),"",ROUND(MOD($E618-$D618,1)*24,2))</f>
        <v/>
      </c>
      <c r="G618" s="16" t="n"/>
      <c r="H618" s="17">
        <f>IF($G618="","",IFERROR(_xlfn.XLOOKUP($G618,nrCHname,nrCHnum),IFERROR(_xlfn.XLOOKUP($G618,nrSUBname,nrSUBparent),"")))</f>
        <v/>
      </c>
      <c r="I618" s="16" t="n"/>
      <c r="J618" s="16" t="n"/>
      <c r="K618" s="17">
        <f>IF($B618="","",IFERROR(_xlfn.XLOOKUP($B618,nrCDdate,nrCDweek),""))</f>
        <v/>
      </c>
      <c r="L618" s="17">
        <f>IF($B618="","",IFERROR(_xlfn.XLOOKUP($B618,nrCDdate,nrCDnum),""))</f>
        <v/>
      </c>
      <c r="M618" s="16" t="n"/>
      <c r="N618" s="17">
        <f>IF(OR($B618="",$I618=""),"",_xlfn.LET(_xlpm.a,$I618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18" s="17">
        <f>IF(OR($B618="",$D618="",$E618=""),"",IF($E618=$D618,"CHECK TIMES (start = end)",IF($F618&gt;12,"CHECK TIMES (End is before Start?)","OK")))</f>
        <v/>
      </c>
      <c r="P618" s="17">
        <f>IF(OR($B618="",$I618=""),"",IF(IFERROR(MATCH($G618,nrBankTopics,0),0)=0,"OK",IF(COUNTA(INDEX(nrBankGrid,IFERROR(MATCH($G618,nrBankTopics,0),1),0))=0,"OK",IF(SUMPRODUCT((nrInstrNames&lt;&gt;"")*ISNUMBER(SEARCH(nrInstrNames,$I618))*(COUNTIF(INDEX(nrBankGrid,IFERROR(MATCH($G618,nrBankTopics,0),1),0),nrInstrNames)&gt;0))&lt;SUMPRODUCT((nrInstrNames&lt;&gt;"")*ISNUMBER(SEARCH(nrInstrNames,$I618))),"NOT IN BANK","OK"))))</f>
        <v/>
      </c>
    </row>
    <row r="619">
      <c r="B619" s="18" t="n"/>
      <c r="C619" s="17">
        <f>IF($B619="","",TEXT($B619,"ddd"))</f>
        <v/>
      </c>
      <c r="D619" s="41" t="n"/>
      <c r="E619" s="41" t="n"/>
      <c r="F619" s="17">
        <f>IF(OR($B619="",$D619="",$E619=""),"",ROUND(MOD($E619-$D619,1)*24,2))</f>
        <v/>
      </c>
      <c r="G619" s="16" t="n"/>
      <c r="H619" s="17">
        <f>IF($G619="","",IFERROR(_xlfn.XLOOKUP($G619,nrCHname,nrCHnum),IFERROR(_xlfn.XLOOKUP($G619,nrSUBname,nrSUBparent),"")))</f>
        <v/>
      </c>
      <c r="I619" s="16" t="n"/>
      <c r="J619" s="16" t="n"/>
      <c r="K619" s="17">
        <f>IF($B619="","",IFERROR(_xlfn.XLOOKUP($B619,nrCDdate,nrCDweek),""))</f>
        <v/>
      </c>
      <c r="L619" s="17">
        <f>IF($B619="","",IFERROR(_xlfn.XLOOKUP($B619,nrCDdate,nrCDnum),""))</f>
        <v/>
      </c>
      <c r="M619" s="16" t="n"/>
      <c r="N619" s="17">
        <f>IF(OR($B619="",$I619=""),"",_xlfn.LET(_xlpm.a,$I619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19" s="17">
        <f>IF(OR($B619="",$D619="",$E619=""),"",IF($E619=$D619,"CHECK TIMES (start = end)",IF($F619&gt;12,"CHECK TIMES (End is before Start?)","OK")))</f>
        <v/>
      </c>
      <c r="P619" s="17">
        <f>IF(OR($B619="",$I619=""),"",IF(IFERROR(MATCH($G619,nrBankTopics,0),0)=0,"OK",IF(COUNTA(INDEX(nrBankGrid,IFERROR(MATCH($G619,nrBankTopics,0),1),0))=0,"OK",IF(SUMPRODUCT((nrInstrNames&lt;&gt;"")*ISNUMBER(SEARCH(nrInstrNames,$I619))*(COUNTIF(INDEX(nrBankGrid,IFERROR(MATCH($G619,nrBankTopics,0),1),0),nrInstrNames)&gt;0))&lt;SUMPRODUCT((nrInstrNames&lt;&gt;"")*ISNUMBER(SEARCH(nrInstrNames,$I619))),"NOT IN BANK","OK"))))</f>
        <v/>
      </c>
    </row>
    <row r="620">
      <c r="B620" s="18" t="n"/>
      <c r="C620" s="17">
        <f>IF($B620="","",TEXT($B620,"ddd"))</f>
        <v/>
      </c>
      <c r="D620" s="41" t="n"/>
      <c r="E620" s="41" t="n"/>
      <c r="F620" s="17">
        <f>IF(OR($B620="",$D620="",$E620=""),"",ROUND(MOD($E620-$D620,1)*24,2))</f>
        <v/>
      </c>
      <c r="G620" s="16" t="n"/>
      <c r="H620" s="17">
        <f>IF($G620="","",IFERROR(_xlfn.XLOOKUP($G620,nrCHname,nrCHnum),IFERROR(_xlfn.XLOOKUP($G620,nrSUBname,nrSUBparent),"")))</f>
        <v/>
      </c>
      <c r="I620" s="16" t="n"/>
      <c r="J620" s="16" t="n"/>
      <c r="K620" s="17">
        <f>IF($B620="","",IFERROR(_xlfn.XLOOKUP($B620,nrCDdate,nrCDweek),""))</f>
        <v/>
      </c>
      <c r="L620" s="17">
        <f>IF($B620="","",IFERROR(_xlfn.XLOOKUP($B620,nrCDdate,nrCDnum),""))</f>
        <v/>
      </c>
      <c r="M620" s="16" t="n"/>
      <c r="N620" s="17">
        <f>IF(OR($B620="",$I620=""),"",_xlfn.LET(_xlpm.a,$I620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20" s="17">
        <f>IF(OR($B620="",$D620="",$E620=""),"",IF($E620=$D620,"CHECK TIMES (start = end)",IF($F620&gt;12,"CHECK TIMES (End is before Start?)","OK")))</f>
        <v/>
      </c>
      <c r="P620" s="17">
        <f>IF(OR($B620="",$I620=""),"",IF(IFERROR(MATCH($G620,nrBankTopics,0),0)=0,"OK",IF(COUNTA(INDEX(nrBankGrid,IFERROR(MATCH($G620,nrBankTopics,0),1),0))=0,"OK",IF(SUMPRODUCT((nrInstrNames&lt;&gt;"")*ISNUMBER(SEARCH(nrInstrNames,$I620))*(COUNTIF(INDEX(nrBankGrid,IFERROR(MATCH($G620,nrBankTopics,0),1),0),nrInstrNames)&gt;0))&lt;SUMPRODUCT((nrInstrNames&lt;&gt;"")*ISNUMBER(SEARCH(nrInstrNames,$I620))),"NOT IN BANK","OK"))))</f>
        <v/>
      </c>
    </row>
    <row r="621">
      <c r="B621" s="18" t="n"/>
      <c r="C621" s="17">
        <f>IF($B621="","",TEXT($B621,"ddd"))</f>
        <v/>
      </c>
      <c r="D621" s="41" t="n"/>
      <c r="E621" s="41" t="n"/>
      <c r="F621" s="17">
        <f>IF(OR($B621="",$D621="",$E621=""),"",ROUND(MOD($E621-$D621,1)*24,2))</f>
        <v/>
      </c>
      <c r="G621" s="16" t="n"/>
      <c r="H621" s="17">
        <f>IF($G621="","",IFERROR(_xlfn.XLOOKUP($G621,nrCHname,nrCHnum),IFERROR(_xlfn.XLOOKUP($G621,nrSUBname,nrSUBparent),"")))</f>
        <v/>
      </c>
      <c r="I621" s="16" t="n"/>
      <c r="J621" s="16" t="n"/>
      <c r="K621" s="17">
        <f>IF($B621="","",IFERROR(_xlfn.XLOOKUP($B621,nrCDdate,nrCDweek),""))</f>
        <v/>
      </c>
      <c r="L621" s="17">
        <f>IF($B621="","",IFERROR(_xlfn.XLOOKUP($B621,nrCDdate,nrCDnum),""))</f>
        <v/>
      </c>
      <c r="M621" s="16" t="n"/>
      <c r="N621" s="17">
        <f>IF(OR($B621="",$I621=""),"",_xlfn.LET(_xlpm.a,$I621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21" s="17">
        <f>IF(OR($B621="",$D621="",$E621=""),"",IF($E621=$D621,"CHECK TIMES (start = end)",IF($F621&gt;12,"CHECK TIMES (End is before Start?)","OK")))</f>
        <v/>
      </c>
      <c r="P621" s="17">
        <f>IF(OR($B621="",$I621=""),"",IF(IFERROR(MATCH($G621,nrBankTopics,0),0)=0,"OK",IF(COUNTA(INDEX(nrBankGrid,IFERROR(MATCH($G621,nrBankTopics,0),1),0))=0,"OK",IF(SUMPRODUCT((nrInstrNames&lt;&gt;"")*ISNUMBER(SEARCH(nrInstrNames,$I621))*(COUNTIF(INDEX(nrBankGrid,IFERROR(MATCH($G621,nrBankTopics,0),1),0),nrInstrNames)&gt;0))&lt;SUMPRODUCT((nrInstrNames&lt;&gt;"")*ISNUMBER(SEARCH(nrInstrNames,$I621))),"NOT IN BANK","OK"))))</f>
        <v/>
      </c>
    </row>
    <row r="622">
      <c r="B622" s="18" t="n"/>
      <c r="C622" s="17">
        <f>IF($B622="","",TEXT($B622,"ddd"))</f>
        <v/>
      </c>
      <c r="D622" s="41" t="n"/>
      <c r="E622" s="41" t="n"/>
      <c r="F622" s="17">
        <f>IF(OR($B622="",$D622="",$E622=""),"",ROUND(MOD($E622-$D622,1)*24,2))</f>
        <v/>
      </c>
      <c r="G622" s="16" t="n"/>
      <c r="H622" s="17">
        <f>IF($G622="","",IFERROR(_xlfn.XLOOKUP($G622,nrCHname,nrCHnum),IFERROR(_xlfn.XLOOKUP($G622,nrSUBname,nrSUBparent),"")))</f>
        <v/>
      </c>
      <c r="I622" s="16" t="n"/>
      <c r="J622" s="16" t="n"/>
      <c r="K622" s="17">
        <f>IF($B622="","",IFERROR(_xlfn.XLOOKUP($B622,nrCDdate,nrCDweek),""))</f>
        <v/>
      </c>
      <c r="L622" s="17">
        <f>IF($B622="","",IFERROR(_xlfn.XLOOKUP($B622,nrCDdate,nrCDnum),""))</f>
        <v/>
      </c>
      <c r="M622" s="16" t="n"/>
      <c r="N622" s="17">
        <f>IF(OR($B622="",$I622=""),"",_xlfn.LET(_xlpm.a,$I622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22" s="17">
        <f>IF(OR($B622="",$D622="",$E622=""),"",IF($E622=$D622,"CHECK TIMES (start = end)",IF($F622&gt;12,"CHECK TIMES (End is before Start?)","OK")))</f>
        <v/>
      </c>
      <c r="P622" s="17">
        <f>IF(OR($B622="",$I622=""),"",IF(IFERROR(MATCH($G622,nrBankTopics,0),0)=0,"OK",IF(COUNTA(INDEX(nrBankGrid,IFERROR(MATCH($G622,nrBankTopics,0),1),0))=0,"OK",IF(SUMPRODUCT((nrInstrNames&lt;&gt;"")*ISNUMBER(SEARCH(nrInstrNames,$I622))*(COUNTIF(INDEX(nrBankGrid,IFERROR(MATCH($G622,nrBankTopics,0),1),0),nrInstrNames)&gt;0))&lt;SUMPRODUCT((nrInstrNames&lt;&gt;"")*ISNUMBER(SEARCH(nrInstrNames,$I622))),"NOT IN BANK","OK"))))</f>
        <v/>
      </c>
    </row>
    <row r="623">
      <c r="B623" s="18" t="n"/>
      <c r="C623" s="17">
        <f>IF($B623="","",TEXT($B623,"ddd"))</f>
        <v/>
      </c>
      <c r="D623" s="41" t="n"/>
      <c r="E623" s="41" t="n"/>
      <c r="F623" s="17">
        <f>IF(OR($B623="",$D623="",$E623=""),"",ROUND(MOD($E623-$D623,1)*24,2))</f>
        <v/>
      </c>
      <c r="G623" s="16" t="n"/>
      <c r="H623" s="17">
        <f>IF($G623="","",IFERROR(_xlfn.XLOOKUP($G623,nrCHname,nrCHnum),IFERROR(_xlfn.XLOOKUP($G623,nrSUBname,nrSUBparent),"")))</f>
        <v/>
      </c>
      <c r="I623" s="16" t="n"/>
      <c r="J623" s="16" t="n"/>
      <c r="K623" s="17">
        <f>IF($B623="","",IFERROR(_xlfn.XLOOKUP($B623,nrCDdate,nrCDweek),""))</f>
        <v/>
      </c>
      <c r="L623" s="17">
        <f>IF($B623="","",IFERROR(_xlfn.XLOOKUP($B623,nrCDdate,nrCDnum),""))</f>
        <v/>
      </c>
      <c r="M623" s="16" t="n"/>
      <c r="N623" s="17">
        <f>IF(OR($B623="",$I623=""),"",_xlfn.LET(_xlpm.a,$I623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23" s="17">
        <f>IF(OR($B623="",$D623="",$E623=""),"",IF($E623=$D623,"CHECK TIMES (start = end)",IF($F623&gt;12,"CHECK TIMES (End is before Start?)","OK")))</f>
        <v/>
      </c>
      <c r="P623" s="17">
        <f>IF(OR($B623="",$I623=""),"",IF(IFERROR(MATCH($G623,nrBankTopics,0),0)=0,"OK",IF(COUNTA(INDEX(nrBankGrid,IFERROR(MATCH($G623,nrBankTopics,0),1),0))=0,"OK",IF(SUMPRODUCT((nrInstrNames&lt;&gt;"")*ISNUMBER(SEARCH(nrInstrNames,$I623))*(COUNTIF(INDEX(nrBankGrid,IFERROR(MATCH($G623,nrBankTopics,0),1),0),nrInstrNames)&gt;0))&lt;SUMPRODUCT((nrInstrNames&lt;&gt;"")*ISNUMBER(SEARCH(nrInstrNames,$I623))),"NOT IN BANK","OK"))))</f>
        <v/>
      </c>
    </row>
    <row r="624">
      <c r="B624" s="18" t="n"/>
      <c r="C624" s="17">
        <f>IF($B624="","",TEXT($B624,"ddd"))</f>
        <v/>
      </c>
      <c r="D624" s="41" t="n"/>
      <c r="E624" s="41" t="n"/>
      <c r="F624" s="17">
        <f>IF(OR($B624="",$D624="",$E624=""),"",ROUND(MOD($E624-$D624,1)*24,2))</f>
        <v/>
      </c>
      <c r="G624" s="16" t="n"/>
      <c r="H624" s="17">
        <f>IF($G624="","",IFERROR(_xlfn.XLOOKUP($G624,nrCHname,nrCHnum),IFERROR(_xlfn.XLOOKUP($G624,nrSUBname,nrSUBparent),"")))</f>
        <v/>
      </c>
      <c r="I624" s="16" t="n"/>
      <c r="J624" s="16" t="n"/>
      <c r="K624" s="17">
        <f>IF($B624="","",IFERROR(_xlfn.XLOOKUP($B624,nrCDdate,nrCDweek),""))</f>
        <v/>
      </c>
      <c r="L624" s="17">
        <f>IF($B624="","",IFERROR(_xlfn.XLOOKUP($B624,nrCDdate,nrCDnum),""))</f>
        <v/>
      </c>
      <c r="M624" s="16" t="n"/>
      <c r="N624" s="17">
        <f>IF(OR($B624="",$I624=""),"",_xlfn.LET(_xlpm.a,$I624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24" s="17">
        <f>IF(OR($B624="",$D624="",$E624=""),"",IF($E624=$D624,"CHECK TIMES (start = end)",IF($F624&gt;12,"CHECK TIMES (End is before Start?)","OK")))</f>
        <v/>
      </c>
      <c r="P624" s="17">
        <f>IF(OR($B624="",$I624=""),"",IF(IFERROR(MATCH($G624,nrBankTopics,0),0)=0,"OK",IF(COUNTA(INDEX(nrBankGrid,IFERROR(MATCH($G624,nrBankTopics,0),1),0))=0,"OK",IF(SUMPRODUCT((nrInstrNames&lt;&gt;"")*ISNUMBER(SEARCH(nrInstrNames,$I624))*(COUNTIF(INDEX(nrBankGrid,IFERROR(MATCH($G624,nrBankTopics,0),1),0),nrInstrNames)&gt;0))&lt;SUMPRODUCT((nrInstrNames&lt;&gt;"")*ISNUMBER(SEARCH(nrInstrNames,$I624))),"NOT IN BANK","OK"))))</f>
        <v/>
      </c>
    </row>
    <row r="625">
      <c r="B625" s="18" t="n"/>
      <c r="C625" s="17">
        <f>IF($B625="","",TEXT($B625,"ddd"))</f>
        <v/>
      </c>
      <c r="D625" s="41" t="n"/>
      <c r="E625" s="41" t="n"/>
      <c r="F625" s="17">
        <f>IF(OR($B625="",$D625="",$E625=""),"",ROUND(MOD($E625-$D625,1)*24,2))</f>
        <v/>
      </c>
      <c r="G625" s="16" t="n"/>
      <c r="H625" s="17">
        <f>IF($G625="","",IFERROR(_xlfn.XLOOKUP($G625,nrCHname,nrCHnum),IFERROR(_xlfn.XLOOKUP($G625,nrSUBname,nrSUBparent),"")))</f>
        <v/>
      </c>
      <c r="I625" s="16" t="n"/>
      <c r="J625" s="16" t="n"/>
      <c r="K625" s="17">
        <f>IF($B625="","",IFERROR(_xlfn.XLOOKUP($B625,nrCDdate,nrCDweek),""))</f>
        <v/>
      </c>
      <c r="L625" s="17">
        <f>IF($B625="","",IFERROR(_xlfn.XLOOKUP($B625,nrCDdate,nrCDnum),""))</f>
        <v/>
      </c>
      <c r="M625" s="16" t="n"/>
      <c r="N625" s="17">
        <f>IF(OR($B625="",$I625=""),"",_xlfn.LET(_xlpm.a,$I625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25" s="17">
        <f>IF(OR($B625="",$D625="",$E625=""),"",IF($E625=$D625,"CHECK TIMES (start = end)",IF($F625&gt;12,"CHECK TIMES (End is before Start?)","OK")))</f>
        <v/>
      </c>
      <c r="P625" s="17">
        <f>IF(OR($B625="",$I625=""),"",IF(IFERROR(MATCH($G625,nrBankTopics,0),0)=0,"OK",IF(COUNTA(INDEX(nrBankGrid,IFERROR(MATCH($G625,nrBankTopics,0),1),0))=0,"OK",IF(SUMPRODUCT((nrInstrNames&lt;&gt;"")*ISNUMBER(SEARCH(nrInstrNames,$I625))*(COUNTIF(INDEX(nrBankGrid,IFERROR(MATCH($G625,nrBankTopics,0),1),0),nrInstrNames)&gt;0))&lt;SUMPRODUCT((nrInstrNames&lt;&gt;"")*ISNUMBER(SEARCH(nrInstrNames,$I625))),"NOT IN BANK","OK"))))</f>
        <v/>
      </c>
    </row>
    <row r="626">
      <c r="B626" s="18" t="n"/>
      <c r="C626" s="17">
        <f>IF($B626="","",TEXT($B626,"ddd"))</f>
        <v/>
      </c>
      <c r="D626" s="41" t="n"/>
      <c r="E626" s="41" t="n"/>
      <c r="F626" s="17">
        <f>IF(OR($B626="",$D626="",$E626=""),"",ROUND(MOD($E626-$D626,1)*24,2))</f>
        <v/>
      </c>
      <c r="G626" s="16" t="n"/>
      <c r="H626" s="17">
        <f>IF($G626="","",IFERROR(_xlfn.XLOOKUP($G626,nrCHname,nrCHnum),IFERROR(_xlfn.XLOOKUP($G626,nrSUBname,nrSUBparent),"")))</f>
        <v/>
      </c>
      <c r="I626" s="16" t="n"/>
      <c r="J626" s="16" t="n"/>
      <c r="K626" s="17">
        <f>IF($B626="","",IFERROR(_xlfn.XLOOKUP($B626,nrCDdate,nrCDweek),""))</f>
        <v/>
      </c>
      <c r="L626" s="17">
        <f>IF($B626="","",IFERROR(_xlfn.XLOOKUP($B626,nrCDdate,nrCDnum),""))</f>
        <v/>
      </c>
      <c r="M626" s="16" t="n"/>
      <c r="N626" s="17">
        <f>IF(OR($B626="",$I626=""),"",_xlfn.LET(_xlpm.a,$I626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26" s="17">
        <f>IF(OR($B626="",$D626="",$E626=""),"",IF($E626=$D626,"CHECK TIMES (start = end)",IF($F626&gt;12,"CHECK TIMES (End is before Start?)","OK")))</f>
        <v/>
      </c>
      <c r="P626" s="17">
        <f>IF(OR($B626="",$I626=""),"",IF(IFERROR(MATCH($G626,nrBankTopics,0),0)=0,"OK",IF(COUNTA(INDEX(nrBankGrid,IFERROR(MATCH($G626,nrBankTopics,0),1),0))=0,"OK",IF(SUMPRODUCT((nrInstrNames&lt;&gt;"")*ISNUMBER(SEARCH(nrInstrNames,$I626))*(COUNTIF(INDEX(nrBankGrid,IFERROR(MATCH($G626,nrBankTopics,0),1),0),nrInstrNames)&gt;0))&lt;SUMPRODUCT((nrInstrNames&lt;&gt;"")*ISNUMBER(SEARCH(nrInstrNames,$I626))),"NOT IN BANK","OK"))))</f>
        <v/>
      </c>
    </row>
    <row r="627">
      <c r="B627" s="18" t="n"/>
      <c r="C627" s="17">
        <f>IF($B627="","",TEXT($B627,"ddd"))</f>
        <v/>
      </c>
      <c r="D627" s="41" t="n"/>
      <c r="E627" s="41" t="n"/>
      <c r="F627" s="17">
        <f>IF(OR($B627="",$D627="",$E627=""),"",ROUND(MOD($E627-$D627,1)*24,2))</f>
        <v/>
      </c>
      <c r="G627" s="16" t="n"/>
      <c r="H627" s="17">
        <f>IF($G627="","",IFERROR(_xlfn.XLOOKUP($G627,nrCHname,nrCHnum),IFERROR(_xlfn.XLOOKUP($G627,nrSUBname,nrSUBparent),"")))</f>
        <v/>
      </c>
      <c r="I627" s="16" t="n"/>
      <c r="J627" s="16" t="n"/>
      <c r="K627" s="17">
        <f>IF($B627="","",IFERROR(_xlfn.XLOOKUP($B627,nrCDdate,nrCDweek),""))</f>
        <v/>
      </c>
      <c r="L627" s="17">
        <f>IF($B627="","",IFERROR(_xlfn.XLOOKUP($B627,nrCDdate,nrCDnum),""))</f>
        <v/>
      </c>
      <c r="M627" s="16" t="n"/>
      <c r="N627" s="17">
        <f>IF(OR($B627="",$I627=""),"",_xlfn.LET(_xlpm.a,$I627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27" s="17">
        <f>IF(OR($B627="",$D627="",$E627=""),"",IF($E627=$D627,"CHECK TIMES (start = end)",IF($F627&gt;12,"CHECK TIMES (End is before Start?)","OK")))</f>
        <v/>
      </c>
      <c r="P627" s="17">
        <f>IF(OR($B627="",$I627=""),"",IF(IFERROR(MATCH($G627,nrBankTopics,0),0)=0,"OK",IF(COUNTA(INDEX(nrBankGrid,IFERROR(MATCH($G627,nrBankTopics,0),1),0))=0,"OK",IF(SUMPRODUCT((nrInstrNames&lt;&gt;"")*ISNUMBER(SEARCH(nrInstrNames,$I627))*(COUNTIF(INDEX(nrBankGrid,IFERROR(MATCH($G627,nrBankTopics,0),1),0),nrInstrNames)&gt;0))&lt;SUMPRODUCT((nrInstrNames&lt;&gt;"")*ISNUMBER(SEARCH(nrInstrNames,$I627))),"NOT IN BANK","OK"))))</f>
        <v/>
      </c>
    </row>
    <row r="628">
      <c r="B628" s="18" t="n"/>
      <c r="C628" s="17">
        <f>IF($B628="","",TEXT($B628,"ddd"))</f>
        <v/>
      </c>
      <c r="D628" s="41" t="n"/>
      <c r="E628" s="41" t="n"/>
      <c r="F628" s="17">
        <f>IF(OR($B628="",$D628="",$E628=""),"",ROUND(MOD($E628-$D628,1)*24,2))</f>
        <v/>
      </c>
      <c r="G628" s="16" t="n"/>
      <c r="H628" s="17">
        <f>IF($G628="","",IFERROR(_xlfn.XLOOKUP($G628,nrCHname,nrCHnum),IFERROR(_xlfn.XLOOKUP($G628,nrSUBname,nrSUBparent),"")))</f>
        <v/>
      </c>
      <c r="I628" s="16" t="n"/>
      <c r="J628" s="16" t="n"/>
      <c r="K628" s="17">
        <f>IF($B628="","",IFERROR(_xlfn.XLOOKUP($B628,nrCDdate,nrCDweek),""))</f>
        <v/>
      </c>
      <c r="L628" s="17">
        <f>IF($B628="","",IFERROR(_xlfn.XLOOKUP($B628,nrCDdate,nrCDnum),""))</f>
        <v/>
      </c>
      <c r="M628" s="16" t="n"/>
      <c r="N628" s="17">
        <f>IF(OR($B628="",$I628=""),"",_xlfn.LET(_xlpm.a,$I628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28" s="17">
        <f>IF(OR($B628="",$D628="",$E628=""),"",IF($E628=$D628,"CHECK TIMES (start = end)",IF($F628&gt;12,"CHECK TIMES (End is before Start?)","OK")))</f>
        <v/>
      </c>
      <c r="P628" s="17">
        <f>IF(OR($B628="",$I628=""),"",IF(IFERROR(MATCH($G628,nrBankTopics,0),0)=0,"OK",IF(COUNTA(INDEX(nrBankGrid,IFERROR(MATCH($G628,nrBankTopics,0),1),0))=0,"OK",IF(SUMPRODUCT((nrInstrNames&lt;&gt;"")*ISNUMBER(SEARCH(nrInstrNames,$I628))*(COUNTIF(INDEX(nrBankGrid,IFERROR(MATCH($G628,nrBankTopics,0),1),0),nrInstrNames)&gt;0))&lt;SUMPRODUCT((nrInstrNames&lt;&gt;"")*ISNUMBER(SEARCH(nrInstrNames,$I628))),"NOT IN BANK","OK"))))</f>
        <v/>
      </c>
    </row>
    <row r="629">
      <c r="B629" s="18" t="n"/>
      <c r="C629" s="17">
        <f>IF($B629="","",TEXT($B629,"ddd"))</f>
        <v/>
      </c>
      <c r="D629" s="41" t="n"/>
      <c r="E629" s="41" t="n"/>
      <c r="F629" s="17">
        <f>IF(OR($B629="",$D629="",$E629=""),"",ROUND(MOD($E629-$D629,1)*24,2))</f>
        <v/>
      </c>
      <c r="G629" s="16" t="n"/>
      <c r="H629" s="17">
        <f>IF($G629="","",IFERROR(_xlfn.XLOOKUP($G629,nrCHname,nrCHnum),IFERROR(_xlfn.XLOOKUP($G629,nrSUBname,nrSUBparent),"")))</f>
        <v/>
      </c>
      <c r="I629" s="16" t="n"/>
      <c r="J629" s="16" t="n"/>
      <c r="K629" s="17">
        <f>IF($B629="","",IFERROR(_xlfn.XLOOKUP($B629,nrCDdate,nrCDweek),""))</f>
        <v/>
      </c>
      <c r="L629" s="17">
        <f>IF($B629="","",IFERROR(_xlfn.XLOOKUP($B629,nrCDdate,nrCDnum),""))</f>
        <v/>
      </c>
      <c r="M629" s="16" t="n"/>
      <c r="N629" s="17">
        <f>IF(OR($B629="",$I629=""),"",_xlfn.LET(_xlpm.a,$I629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29" s="17">
        <f>IF(OR($B629="",$D629="",$E629=""),"",IF($E629=$D629,"CHECK TIMES (start = end)",IF($F629&gt;12,"CHECK TIMES (End is before Start?)","OK")))</f>
        <v/>
      </c>
      <c r="P629" s="17">
        <f>IF(OR($B629="",$I629=""),"",IF(IFERROR(MATCH($G629,nrBankTopics,0),0)=0,"OK",IF(COUNTA(INDEX(nrBankGrid,IFERROR(MATCH($G629,nrBankTopics,0),1),0))=0,"OK",IF(SUMPRODUCT((nrInstrNames&lt;&gt;"")*ISNUMBER(SEARCH(nrInstrNames,$I629))*(COUNTIF(INDEX(nrBankGrid,IFERROR(MATCH($G629,nrBankTopics,0),1),0),nrInstrNames)&gt;0))&lt;SUMPRODUCT((nrInstrNames&lt;&gt;"")*ISNUMBER(SEARCH(nrInstrNames,$I629))),"NOT IN BANK","OK"))))</f>
        <v/>
      </c>
    </row>
    <row r="630">
      <c r="B630" s="18" t="n"/>
      <c r="C630" s="17">
        <f>IF($B630="","",TEXT($B630,"ddd"))</f>
        <v/>
      </c>
      <c r="D630" s="41" t="n"/>
      <c r="E630" s="41" t="n"/>
      <c r="F630" s="17">
        <f>IF(OR($B630="",$D630="",$E630=""),"",ROUND(MOD($E630-$D630,1)*24,2))</f>
        <v/>
      </c>
      <c r="G630" s="16" t="n"/>
      <c r="H630" s="17">
        <f>IF($G630="","",IFERROR(_xlfn.XLOOKUP($G630,nrCHname,nrCHnum),IFERROR(_xlfn.XLOOKUP($G630,nrSUBname,nrSUBparent),"")))</f>
        <v/>
      </c>
      <c r="I630" s="16" t="n"/>
      <c r="J630" s="16" t="n"/>
      <c r="K630" s="17">
        <f>IF($B630="","",IFERROR(_xlfn.XLOOKUP($B630,nrCDdate,nrCDweek),""))</f>
        <v/>
      </c>
      <c r="L630" s="17">
        <f>IF($B630="","",IFERROR(_xlfn.XLOOKUP($B630,nrCDdate,nrCDnum),""))</f>
        <v/>
      </c>
      <c r="M630" s="16" t="n"/>
      <c r="N630" s="17">
        <f>IF(OR($B630="",$I630=""),"",_xlfn.LET(_xlpm.a,$I630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30" s="17">
        <f>IF(OR($B630="",$D630="",$E630=""),"",IF($E630=$D630,"CHECK TIMES (start = end)",IF($F630&gt;12,"CHECK TIMES (End is before Start?)","OK")))</f>
        <v/>
      </c>
      <c r="P630" s="17">
        <f>IF(OR($B630="",$I630=""),"",IF(IFERROR(MATCH($G630,nrBankTopics,0),0)=0,"OK",IF(COUNTA(INDEX(nrBankGrid,IFERROR(MATCH($G630,nrBankTopics,0),1),0))=0,"OK",IF(SUMPRODUCT((nrInstrNames&lt;&gt;"")*ISNUMBER(SEARCH(nrInstrNames,$I630))*(COUNTIF(INDEX(nrBankGrid,IFERROR(MATCH($G630,nrBankTopics,0),1),0),nrInstrNames)&gt;0))&lt;SUMPRODUCT((nrInstrNames&lt;&gt;"")*ISNUMBER(SEARCH(nrInstrNames,$I630))),"NOT IN BANK","OK"))))</f>
        <v/>
      </c>
    </row>
    <row r="631">
      <c r="B631" s="18" t="n"/>
      <c r="C631" s="17">
        <f>IF($B631="","",TEXT($B631,"ddd"))</f>
        <v/>
      </c>
      <c r="D631" s="41" t="n"/>
      <c r="E631" s="41" t="n"/>
      <c r="F631" s="17">
        <f>IF(OR($B631="",$D631="",$E631=""),"",ROUND(MOD($E631-$D631,1)*24,2))</f>
        <v/>
      </c>
      <c r="G631" s="16" t="n"/>
      <c r="H631" s="17">
        <f>IF($G631="","",IFERROR(_xlfn.XLOOKUP($G631,nrCHname,nrCHnum),IFERROR(_xlfn.XLOOKUP($G631,nrSUBname,nrSUBparent),"")))</f>
        <v/>
      </c>
      <c r="I631" s="16" t="n"/>
      <c r="J631" s="16" t="n"/>
      <c r="K631" s="17">
        <f>IF($B631="","",IFERROR(_xlfn.XLOOKUP($B631,nrCDdate,nrCDweek),""))</f>
        <v/>
      </c>
      <c r="L631" s="17">
        <f>IF($B631="","",IFERROR(_xlfn.XLOOKUP($B631,nrCDdate,nrCDnum),""))</f>
        <v/>
      </c>
      <c r="M631" s="16" t="n"/>
      <c r="N631" s="17">
        <f>IF(OR($B631="",$I631=""),"",_xlfn.LET(_xlpm.a,$I631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31" s="17">
        <f>IF(OR($B631="",$D631="",$E631=""),"",IF($E631=$D631,"CHECK TIMES (start = end)",IF($F631&gt;12,"CHECK TIMES (End is before Start?)","OK")))</f>
        <v/>
      </c>
      <c r="P631" s="17">
        <f>IF(OR($B631="",$I631=""),"",IF(IFERROR(MATCH($G631,nrBankTopics,0),0)=0,"OK",IF(COUNTA(INDEX(nrBankGrid,IFERROR(MATCH($G631,nrBankTopics,0),1),0))=0,"OK",IF(SUMPRODUCT((nrInstrNames&lt;&gt;"")*ISNUMBER(SEARCH(nrInstrNames,$I631))*(COUNTIF(INDEX(nrBankGrid,IFERROR(MATCH($G631,nrBankTopics,0),1),0),nrInstrNames)&gt;0))&lt;SUMPRODUCT((nrInstrNames&lt;&gt;"")*ISNUMBER(SEARCH(nrInstrNames,$I631))),"NOT IN BANK","OK"))))</f>
        <v/>
      </c>
    </row>
    <row r="632">
      <c r="B632" s="18" t="n"/>
      <c r="C632" s="17">
        <f>IF($B632="","",TEXT($B632,"ddd"))</f>
        <v/>
      </c>
      <c r="D632" s="41" t="n"/>
      <c r="E632" s="41" t="n"/>
      <c r="F632" s="17">
        <f>IF(OR($B632="",$D632="",$E632=""),"",ROUND(MOD($E632-$D632,1)*24,2))</f>
        <v/>
      </c>
      <c r="G632" s="16" t="n"/>
      <c r="H632" s="17">
        <f>IF($G632="","",IFERROR(_xlfn.XLOOKUP($G632,nrCHname,nrCHnum),IFERROR(_xlfn.XLOOKUP($G632,nrSUBname,nrSUBparent),"")))</f>
        <v/>
      </c>
      <c r="I632" s="16" t="n"/>
      <c r="J632" s="16" t="n"/>
      <c r="K632" s="17">
        <f>IF($B632="","",IFERROR(_xlfn.XLOOKUP($B632,nrCDdate,nrCDweek),""))</f>
        <v/>
      </c>
      <c r="L632" s="17">
        <f>IF($B632="","",IFERROR(_xlfn.XLOOKUP($B632,nrCDdate,nrCDnum),""))</f>
        <v/>
      </c>
      <c r="M632" s="16" t="n"/>
      <c r="N632" s="17">
        <f>IF(OR($B632="",$I632=""),"",_xlfn.LET(_xlpm.a,$I632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32" s="17">
        <f>IF(OR($B632="",$D632="",$E632=""),"",IF($E632=$D632,"CHECK TIMES (start = end)",IF($F632&gt;12,"CHECK TIMES (End is before Start?)","OK")))</f>
        <v/>
      </c>
      <c r="P632" s="17">
        <f>IF(OR($B632="",$I632=""),"",IF(IFERROR(MATCH($G632,nrBankTopics,0),0)=0,"OK",IF(COUNTA(INDEX(nrBankGrid,IFERROR(MATCH($G632,nrBankTopics,0),1),0))=0,"OK",IF(SUMPRODUCT((nrInstrNames&lt;&gt;"")*ISNUMBER(SEARCH(nrInstrNames,$I632))*(COUNTIF(INDEX(nrBankGrid,IFERROR(MATCH($G632,nrBankTopics,0),1),0),nrInstrNames)&gt;0))&lt;SUMPRODUCT((nrInstrNames&lt;&gt;"")*ISNUMBER(SEARCH(nrInstrNames,$I632))),"NOT IN BANK","OK"))))</f>
        <v/>
      </c>
    </row>
    <row r="633">
      <c r="B633" s="18" t="n"/>
      <c r="C633" s="17">
        <f>IF($B633="","",TEXT($B633,"ddd"))</f>
        <v/>
      </c>
      <c r="D633" s="41" t="n"/>
      <c r="E633" s="41" t="n"/>
      <c r="F633" s="17">
        <f>IF(OR($B633="",$D633="",$E633=""),"",ROUND(MOD($E633-$D633,1)*24,2))</f>
        <v/>
      </c>
      <c r="G633" s="16" t="n"/>
      <c r="H633" s="17">
        <f>IF($G633="","",IFERROR(_xlfn.XLOOKUP($G633,nrCHname,nrCHnum),IFERROR(_xlfn.XLOOKUP($G633,nrSUBname,nrSUBparent),"")))</f>
        <v/>
      </c>
      <c r="I633" s="16" t="n"/>
      <c r="J633" s="16" t="n"/>
      <c r="K633" s="17">
        <f>IF($B633="","",IFERROR(_xlfn.XLOOKUP($B633,nrCDdate,nrCDweek),""))</f>
        <v/>
      </c>
      <c r="L633" s="17">
        <f>IF($B633="","",IFERROR(_xlfn.XLOOKUP($B633,nrCDdate,nrCDnum),""))</f>
        <v/>
      </c>
      <c r="M633" s="16" t="n"/>
      <c r="N633" s="17">
        <f>IF(OR($B633="",$I633=""),"",_xlfn.LET(_xlpm.a,$I633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33" s="17">
        <f>IF(OR($B633="",$D633="",$E633=""),"",IF($E633=$D633,"CHECK TIMES (start = end)",IF($F633&gt;12,"CHECK TIMES (End is before Start?)","OK")))</f>
        <v/>
      </c>
      <c r="P633" s="17">
        <f>IF(OR($B633="",$I633=""),"",IF(IFERROR(MATCH($G633,nrBankTopics,0),0)=0,"OK",IF(COUNTA(INDEX(nrBankGrid,IFERROR(MATCH($G633,nrBankTopics,0),1),0))=0,"OK",IF(SUMPRODUCT((nrInstrNames&lt;&gt;"")*ISNUMBER(SEARCH(nrInstrNames,$I633))*(COUNTIF(INDEX(nrBankGrid,IFERROR(MATCH($G633,nrBankTopics,0),1),0),nrInstrNames)&gt;0))&lt;SUMPRODUCT((nrInstrNames&lt;&gt;"")*ISNUMBER(SEARCH(nrInstrNames,$I633))),"NOT IN BANK","OK"))))</f>
        <v/>
      </c>
    </row>
    <row r="634">
      <c r="B634" s="18" t="n"/>
      <c r="C634" s="17">
        <f>IF($B634="","",TEXT($B634,"ddd"))</f>
        <v/>
      </c>
      <c r="D634" s="41" t="n"/>
      <c r="E634" s="41" t="n"/>
      <c r="F634" s="17">
        <f>IF(OR($B634="",$D634="",$E634=""),"",ROUND(MOD($E634-$D634,1)*24,2))</f>
        <v/>
      </c>
      <c r="G634" s="16" t="n"/>
      <c r="H634" s="17">
        <f>IF($G634="","",IFERROR(_xlfn.XLOOKUP($G634,nrCHname,nrCHnum),IFERROR(_xlfn.XLOOKUP($G634,nrSUBname,nrSUBparent),"")))</f>
        <v/>
      </c>
      <c r="I634" s="16" t="n"/>
      <c r="J634" s="16" t="n"/>
      <c r="K634" s="17">
        <f>IF($B634="","",IFERROR(_xlfn.XLOOKUP($B634,nrCDdate,nrCDweek),""))</f>
        <v/>
      </c>
      <c r="L634" s="17">
        <f>IF($B634="","",IFERROR(_xlfn.XLOOKUP($B634,nrCDdate,nrCDnum),""))</f>
        <v/>
      </c>
      <c r="M634" s="16" t="n"/>
      <c r="N634" s="17">
        <f>IF(OR($B634="",$I634=""),"",_xlfn.LET(_xlpm.a,$I634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34" s="17">
        <f>IF(OR($B634="",$D634="",$E634=""),"",IF($E634=$D634,"CHECK TIMES (start = end)",IF($F634&gt;12,"CHECK TIMES (End is before Start?)","OK")))</f>
        <v/>
      </c>
      <c r="P634" s="17">
        <f>IF(OR($B634="",$I634=""),"",IF(IFERROR(MATCH($G634,nrBankTopics,0),0)=0,"OK",IF(COUNTA(INDEX(nrBankGrid,IFERROR(MATCH($G634,nrBankTopics,0),1),0))=0,"OK",IF(SUMPRODUCT((nrInstrNames&lt;&gt;"")*ISNUMBER(SEARCH(nrInstrNames,$I634))*(COUNTIF(INDEX(nrBankGrid,IFERROR(MATCH($G634,nrBankTopics,0),1),0),nrInstrNames)&gt;0))&lt;SUMPRODUCT((nrInstrNames&lt;&gt;"")*ISNUMBER(SEARCH(nrInstrNames,$I634))),"NOT IN BANK","OK"))))</f>
        <v/>
      </c>
    </row>
    <row r="635">
      <c r="B635" s="18" t="n"/>
      <c r="C635" s="17">
        <f>IF($B635="","",TEXT($B635,"ddd"))</f>
        <v/>
      </c>
      <c r="D635" s="41" t="n"/>
      <c r="E635" s="41" t="n"/>
      <c r="F635" s="17">
        <f>IF(OR($B635="",$D635="",$E635=""),"",ROUND(MOD($E635-$D635,1)*24,2))</f>
        <v/>
      </c>
      <c r="G635" s="16" t="n"/>
      <c r="H635" s="17">
        <f>IF($G635="","",IFERROR(_xlfn.XLOOKUP($G635,nrCHname,nrCHnum),IFERROR(_xlfn.XLOOKUP($G635,nrSUBname,nrSUBparent),"")))</f>
        <v/>
      </c>
      <c r="I635" s="16" t="n"/>
      <c r="J635" s="16" t="n"/>
      <c r="K635" s="17">
        <f>IF($B635="","",IFERROR(_xlfn.XLOOKUP($B635,nrCDdate,nrCDweek),""))</f>
        <v/>
      </c>
      <c r="L635" s="17">
        <f>IF($B635="","",IFERROR(_xlfn.XLOOKUP($B635,nrCDdate,nrCDnum),""))</f>
        <v/>
      </c>
      <c r="M635" s="16" t="n"/>
      <c r="N635" s="17">
        <f>IF(OR($B635="",$I635=""),"",_xlfn.LET(_xlpm.a,$I635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35" s="17">
        <f>IF(OR($B635="",$D635="",$E635=""),"",IF($E635=$D635,"CHECK TIMES (start = end)",IF($F635&gt;12,"CHECK TIMES (End is before Start?)","OK")))</f>
        <v/>
      </c>
      <c r="P635" s="17">
        <f>IF(OR($B635="",$I635=""),"",IF(IFERROR(MATCH($G635,nrBankTopics,0),0)=0,"OK",IF(COUNTA(INDEX(nrBankGrid,IFERROR(MATCH($G635,nrBankTopics,0),1),0))=0,"OK",IF(SUMPRODUCT((nrInstrNames&lt;&gt;"")*ISNUMBER(SEARCH(nrInstrNames,$I635))*(COUNTIF(INDEX(nrBankGrid,IFERROR(MATCH($G635,nrBankTopics,0),1),0),nrInstrNames)&gt;0))&lt;SUMPRODUCT((nrInstrNames&lt;&gt;"")*ISNUMBER(SEARCH(nrInstrNames,$I635))),"NOT IN BANK","OK"))))</f>
        <v/>
      </c>
    </row>
    <row r="636">
      <c r="B636" s="18" t="n"/>
      <c r="C636" s="17">
        <f>IF($B636="","",TEXT($B636,"ddd"))</f>
        <v/>
      </c>
      <c r="D636" s="41" t="n"/>
      <c r="E636" s="41" t="n"/>
      <c r="F636" s="17">
        <f>IF(OR($B636="",$D636="",$E636=""),"",ROUND(MOD($E636-$D636,1)*24,2))</f>
        <v/>
      </c>
      <c r="G636" s="16" t="n"/>
      <c r="H636" s="17">
        <f>IF($G636="","",IFERROR(_xlfn.XLOOKUP($G636,nrCHname,nrCHnum),IFERROR(_xlfn.XLOOKUP($G636,nrSUBname,nrSUBparent),"")))</f>
        <v/>
      </c>
      <c r="I636" s="16" t="n"/>
      <c r="J636" s="16" t="n"/>
      <c r="K636" s="17">
        <f>IF($B636="","",IFERROR(_xlfn.XLOOKUP($B636,nrCDdate,nrCDweek),""))</f>
        <v/>
      </c>
      <c r="L636" s="17">
        <f>IF($B636="","",IFERROR(_xlfn.XLOOKUP($B636,nrCDdate,nrCDnum),""))</f>
        <v/>
      </c>
      <c r="M636" s="16" t="n"/>
      <c r="N636" s="17">
        <f>IF(OR($B636="",$I636=""),"",_xlfn.LET(_xlpm.a,$I636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36" s="17">
        <f>IF(OR($B636="",$D636="",$E636=""),"",IF($E636=$D636,"CHECK TIMES (start = end)",IF($F636&gt;12,"CHECK TIMES (End is before Start?)","OK")))</f>
        <v/>
      </c>
      <c r="P636" s="17">
        <f>IF(OR($B636="",$I636=""),"",IF(IFERROR(MATCH($G636,nrBankTopics,0),0)=0,"OK",IF(COUNTA(INDEX(nrBankGrid,IFERROR(MATCH($G636,nrBankTopics,0),1),0))=0,"OK",IF(SUMPRODUCT((nrInstrNames&lt;&gt;"")*ISNUMBER(SEARCH(nrInstrNames,$I636))*(COUNTIF(INDEX(nrBankGrid,IFERROR(MATCH($G636,nrBankTopics,0),1),0),nrInstrNames)&gt;0))&lt;SUMPRODUCT((nrInstrNames&lt;&gt;"")*ISNUMBER(SEARCH(nrInstrNames,$I636))),"NOT IN BANK","OK"))))</f>
        <v/>
      </c>
    </row>
    <row r="637">
      <c r="B637" s="18" t="n"/>
      <c r="C637" s="17">
        <f>IF($B637="","",TEXT($B637,"ddd"))</f>
        <v/>
      </c>
      <c r="D637" s="41" t="n"/>
      <c r="E637" s="41" t="n"/>
      <c r="F637" s="17">
        <f>IF(OR($B637="",$D637="",$E637=""),"",ROUND(MOD($E637-$D637,1)*24,2))</f>
        <v/>
      </c>
      <c r="G637" s="16" t="n"/>
      <c r="H637" s="17">
        <f>IF($G637="","",IFERROR(_xlfn.XLOOKUP($G637,nrCHname,nrCHnum),IFERROR(_xlfn.XLOOKUP($G637,nrSUBname,nrSUBparent),"")))</f>
        <v/>
      </c>
      <c r="I637" s="16" t="n"/>
      <c r="J637" s="16" t="n"/>
      <c r="K637" s="17">
        <f>IF($B637="","",IFERROR(_xlfn.XLOOKUP($B637,nrCDdate,nrCDweek),""))</f>
        <v/>
      </c>
      <c r="L637" s="17">
        <f>IF($B637="","",IFERROR(_xlfn.XLOOKUP($B637,nrCDdate,nrCDnum),""))</f>
        <v/>
      </c>
      <c r="M637" s="16" t="n"/>
      <c r="N637" s="17">
        <f>IF(OR($B637="",$I637=""),"",_xlfn.LET(_xlpm.a,$I637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37" s="17">
        <f>IF(OR($B637="",$D637="",$E637=""),"",IF($E637=$D637,"CHECK TIMES (start = end)",IF($F637&gt;12,"CHECK TIMES (End is before Start?)","OK")))</f>
        <v/>
      </c>
      <c r="P637" s="17">
        <f>IF(OR($B637="",$I637=""),"",IF(IFERROR(MATCH($G637,nrBankTopics,0),0)=0,"OK",IF(COUNTA(INDEX(nrBankGrid,IFERROR(MATCH($G637,nrBankTopics,0),1),0))=0,"OK",IF(SUMPRODUCT((nrInstrNames&lt;&gt;"")*ISNUMBER(SEARCH(nrInstrNames,$I637))*(COUNTIF(INDEX(nrBankGrid,IFERROR(MATCH($G637,nrBankTopics,0),1),0),nrInstrNames)&gt;0))&lt;SUMPRODUCT((nrInstrNames&lt;&gt;"")*ISNUMBER(SEARCH(nrInstrNames,$I637))),"NOT IN BANK","OK"))))</f>
        <v/>
      </c>
    </row>
    <row r="638">
      <c r="B638" s="18" t="n"/>
      <c r="C638" s="17">
        <f>IF($B638="","",TEXT($B638,"ddd"))</f>
        <v/>
      </c>
      <c r="D638" s="41" t="n"/>
      <c r="E638" s="41" t="n"/>
      <c r="F638" s="17">
        <f>IF(OR($B638="",$D638="",$E638=""),"",ROUND(MOD($E638-$D638,1)*24,2))</f>
        <v/>
      </c>
      <c r="G638" s="16" t="n"/>
      <c r="H638" s="17">
        <f>IF($G638="","",IFERROR(_xlfn.XLOOKUP($G638,nrCHname,nrCHnum),IFERROR(_xlfn.XLOOKUP($G638,nrSUBname,nrSUBparent),"")))</f>
        <v/>
      </c>
      <c r="I638" s="16" t="n"/>
      <c r="J638" s="16" t="n"/>
      <c r="K638" s="17">
        <f>IF($B638="","",IFERROR(_xlfn.XLOOKUP($B638,nrCDdate,nrCDweek),""))</f>
        <v/>
      </c>
      <c r="L638" s="17">
        <f>IF($B638="","",IFERROR(_xlfn.XLOOKUP($B638,nrCDdate,nrCDnum),""))</f>
        <v/>
      </c>
      <c r="M638" s="16" t="n"/>
      <c r="N638" s="17">
        <f>IF(OR($B638="",$I638=""),"",_xlfn.LET(_xlpm.a,$I638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38" s="17">
        <f>IF(OR($B638="",$D638="",$E638=""),"",IF($E638=$D638,"CHECK TIMES (start = end)",IF($F638&gt;12,"CHECK TIMES (End is before Start?)","OK")))</f>
        <v/>
      </c>
      <c r="P638" s="17">
        <f>IF(OR($B638="",$I638=""),"",IF(IFERROR(MATCH($G638,nrBankTopics,0),0)=0,"OK",IF(COUNTA(INDEX(nrBankGrid,IFERROR(MATCH($G638,nrBankTopics,0),1),0))=0,"OK",IF(SUMPRODUCT((nrInstrNames&lt;&gt;"")*ISNUMBER(SEARCH(nrInstrNames,$I638))*(COUNTIF(INDEX(nrBankGrid,IFERROR(MATCH($G638,nrBankTopics,0),1),0),nrInstrNames)&gt;0))&lt;SUMPRODUCT((nrInstrNames&lt;&gt;"")*ISNUMBER(SEARCH(nrInstrNames,$I638))),"NOT IN BANK","OK"))))</f>
        <v/>
      </c>
    </row>
    <row r="639">
      <c r="B639" s="18" t="n"/>
      <c r="C639" s="17">
        <f>IF($B639="","",TEXT($B639,"ddd"))</f>
        <v/>
      </c>
      <c r="D639" s="41" t="n"/>
      <c r="E639" s="41" t="n"/>
      <c r="F639" s="17">
        <f>IF(OR($B639="",$D639="",$E639=""),"",ROUND(MOD($E639-$D639,1)*24,2))</f>
        <v/>
      </c>
      <c r="G639" s="16" t="n"/>
      <c r="H639" s="17">
        <f>IF($G639="","",IFERROR(_xlfn.XLOOKUP($G639,nrCHname,nrCHnum),IFERROR(_xlfn.XLOOKUP($G639,nrSUBname,nrSUBparent),"")))</f>
        <v/>
      </c>
      <c r="I639" s="16" t="n"/>
      <c r="J639" s="16" t="n"/>
      <c r="K639" s="17">
        <f>IF($B639="","",IFERROR(_xlfn.XLOOKUP($B639,nrCDdate,nrCDweek),""))</f>
        <v/>
      </c>
      <c r="L639" s="17">
        <f>IF($B639="","",IFERROR(_xlfn.XLOOKUP($B639,nrCDdate,nrCDnum),""))</f>
        <v/>
      </c>
      <c r="M639" s="16" t="n"/>
      <c r="N639" s="17">
        <f>IF(OR($B639="",$I639=""),"",_xlfn.LET(_xlpm.a,$I639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39" s="17">
        <f>IF(OR($B639="",$D639="",$E639=""),"",IF($E639=$D639,"CHECK TIMES (start = end)",IF($F639&gt;12,"CHECK TIMES (End is before Start?)","OK")))</f>
        <v/>
      </c>
      <c r="P639" s="17">
        <f>IF(OR($B639="",$I639=""),"",IF(IFERROR(MATCH($G639,nrBankTopics,0),0)=0,"OK",IF(COUNTA(INDEX(nrBankGrid,IFERROR(MATCH($G639,nrBankTopics,0),1),0))=0,"OK",IF(SUMPRODUCT((nrInstrNames&lt;&gt;"")*ISNUMBER(SEARCH(nrInstrNames,$I639))*(COUNTIF(INDEX(nrBankGrid,IFERROR(MATCH($G639,nrBankTopics,0),1),0),nrInstrNames)&gt;0))&lt;SUMPRODUCT((nrInstrNames&lt;&gt;"")*ISNUMBER(SEARCH(nrInstrNames,$I639))),"NOT IN BANK","OK"))))</f>
        <v/>
      </c>
    </row>
    <row r="640">
      <c r="B640" s="18" t="n"/>
      <c r="C640" s="17">
        <f>IF($B640="","",TEXT($B640,"ddd"))</f>
        <v/>
      </c>
      <c r="D640" s="41" t="n"/>
      <c r="E640" s="41" t="n"/>
      <c r="F640" s="17">
        <f>IF(OR($B640="",$D640="",$E640=""),"",ROUND(MOD($E640-$D640,1)*24,2))</f>
        <v/>
      </c>
      <c r="G640" s="16" t="n"/>
      <c r="H640" s="17">
        <f>IF($G640="","",IFERROR(_xlfn.XLOOKUP($G640,nrCHname,nrCHnum),IFERROR(_xlfn.XLOOKUP($G640,nrSUBname,nrSUBparent),"")))</f>
        <v/>
      </c>
      <c r="I640" s="16" t="n"/>
      <c r="J640" s="16" t="n"/>
      <c r="K640" s="17">
        <f>IF($B640="","",IFERROR(_xlfn.XLOOKUP($B640,nrCDdate,nrCDweek),""))</f>
        <v/>
      </c>
      <c r="L640" s="17">
        <f>IF($B640="","",IFERROR(_xlfn.XLOOKUP($B640,nrCDdate,nrCDnum),""))</f>
        <v/>
      </c>
      <c r="M640" s="16" t="n"/>
      <c r="N640" s="17">
        <f>IF(OR($B640="",$I640=""),"",_xlfn.LET(_xlpm.a,$I640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40" s="17">
        <f>IF(OR($B640="",$D640="",$E640=""),"",IF($E640=$D640,"CHECK TIMES (start = end)",IF($F640&gt;12,"CHECK TIMES (End is before Start?)","OK")))</f>
        <v/>
      </c>
      <c r="P640" s="17">
        <f>IF(OR($B640="",$I640=""),"",IF(IFERROR(MATCH($G640,nrBankTopics,0),0)=0,"OK",IF(COUNTA(INDEX(nrBankGrid,IFERROR(MATCH($G640,nrBankTopics,0),1),0))=0,"OK",IF(SUMPRODUCT((nrInstrNames&lt;&gt;"")*ISNUMBER(SEARCH(nrInstrNames,$I640))*(COUNTIF(INDEX(nrBankGrid,IFERROR(MATCH($G640,nrBankTopics,0),1),0),nrInstrNames)&gt;0))&lt;SUMPRODUCT((nrInstrNames&lt;&gt;"")*ISNUMBER(SEARCH(nrInstrNames,$I640))),"NOT IN BANK","OK"))))</f>
        <v/>
      </c>
    </row>
    <row r="641">
      <c r="B641" s="18" t="n"/>
      <c r="C641" s="17">
        <f>IF($B641="","",TEXT($B641,"ddd"))</f>
        <v/>
      </c>
      <c r="D641" s="41" t="n"/>
      <c r="E641" s="41" t="n"/>
      <c r="F641" s="17">
        <f>IF(OR($B641="",$D641="",$E641=""),"",ROUND(MOD($E641-$D641,1)*24,2))</f>
        <v/>
      </c>
      <c r="G641" s="16" t="n"/>
      <c r="H641" s="17">
        <f>IF($G641="","",IFERROR(_xlfn.XLOOKUP($G641,nrCHname,nrCHnum),IFERROR(_xlfn.XLOOKUP($G641,nrSUBname,nrSUBparent),"")))</f>
        <v/>
      </c>
      <c r="I641" s="16" t="n"/>
      <c r="J641" s="16" t="n"/>
      <c r="K641" s="17">
        <f>IF($B641="","",IFERROR(_xlfn.XLOOKUP($B641,nrCDdate,nrCDweek),""))</f>
        <v/>
      </c>
      <c r="L641" s="17">
        <f>IF($B641="","",IFERROR(_xlfn.XLOOKUP($B641,nrCDdate,nrCDnum),""))</f>
        <v/>
      </c>
      <c r="M641" s="16" t="n"/>
      <c r="N641" s="17">
        <f>IF(OR($B641="",$I641=""),"",_xlfn.LET(_xlpm.a,$I641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41" s="17">
        <f>IF(OR($B641="",$D641="",$E641=""),"",IF($E641=$D641,"CHECK TIMES (start = end)",IF($F641&gt;12,"CHECK TIMES (End is before Start?)","OK")))</f>
        <v/>
      </c>
      <c r="P641" s="17">
        <f>IF(OR($B641="",$I641=""),"",IF(IFERROR(MATCH($G641,nrBankTopics,0),0)=0,"OK",IF(COUNTA(INDEX(nrBankGrid,IFERROR(MATCH($G641,nrBankTopics,0),1),0))=0,"OK",IF(SUMPRODUCT((nrInstrNames&lt;&gt;"")*ISNUMBER(SEARCH(nrInstrNames,$I641))*(COUNTIF(INDEX(nrBankGrid,IFERROR(MATCH($G641,nrBankTopics,0),1),0),nrInstrNames)&gt;0))&lt;SUMPRODUCT((nrInstrNames&lt;&gt;"")*ISNUMBER(SEARCH(nrInstrNames,$I641))),"NOT IN BANK","OK"))))</f>
        <v/>
      </c>
    </row>
    <row r="642">
      <c r="B642" s="18" t="n"/>
      <c r="C642" s="17">
        <f>IF($B642="","",TEXT($B642,"ddd"))</f>
        <v/>
      </c>
      <c r="D642" s="41" t="n"/>
      <c r="E642" s="41" t="n"/>
      <c r="F642" s="17">
        <f>IF(OR($B642="",$D642="",$E642=""),"",ROUND(MOD($E642-$D642,1)*24,2))</f>
        <v/>
      </c>
      <c r="G642" s="16" t="n"/>
      <c r="H642" s="17">
        <f>IF($G642="","",IFERROR(_xlfn.XLOOKUP($G642,nrCHname,nrCHnum),IFERROR(_xlfn.XLOOKUP($G642,nrSUBname,nrSUBparent),"")))</f>
        <v/>
      </c>
      <c r="I642" s="16" t="n"/>
      <c r="J642" s="16" t="n"/>
      <c r="K642" s="17">
        <f>IF($B642="","",IFERROR(_xlfn.XLOOKUP($B642,nrCDdate,nrCDweek),""))</f>
        <v/>
      </c>
      <c r="L642" s="17">
        <f>IF($B642="","",IFERROR(_xlfn.XLOOKUP($B642,nrCDdate,nrCDnum),""))</f>
        <v/>
      </c>
      <c r="M642" s="16" t="n"/>
      <c r="N642" s="17">
        <f>IF(OR($B642="",$I642=""),"",_xlfn.LET(_xlpm.a,$I642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42" s="17">
        <f>IF(OR($B642="",$D642="",$E642=""),"",IF($E642=$D642,"CHECK TIMES (start = end)",IF($F642&gt;12,"CHECK TIMES (End is before Start?)","OK")))</f>
        <v/>
      </c>
      <c r="P642" s="17">
        <f>IF(OR($B642="",$I642=""),"",IF(IFERROR(MATCH($G642,nrBankTopics,0),0)=0,"OK",IF(COUNTA(INDEX(nrBankGrid,IFERROR(MATCH($G642,nrBankTopics,0),1),0))=0,"OK",IF(SUMPRODUCT((nrInstrNames&lt;&gt;"")*ISNUMBER(SEARCH(nrInstrNames,$I642))*(COUNTIF(INDEX(nrBankGrid,IFERROR(MATCH($G642,nrBankTopics,0),1),0),nrInstrNames)&gt;0))&lt;SUMPRODUCT((nrInstrNames&lt;&gt;"")*ISNUMBER(SEARCH(nrInstrNames,$I642))),"NOT IN BANK","OK"))))</f>
        <v/>
      </c>
    </row>
    <row r="643">
      <c r="B643" s="18" t="n"/>
      <c r="C643" s="17">
        <f>IF($B643="","",TEXT($B643,"ddd"))</f>
        <v/>
      </c>
      <c r="D643" s="41" t="n"/>
      <c r="E643" s="41" t="n"/>
      <c r="F643" s="17">
        <f>IF(OR($B643="",$D643="",$E643=""),"",ROUND(MOD($E643-$D643,1)*24,2))</f>
        <v/>
      </c>
      <c r="G643" s="16" t="n"/>
      <c r="H643" s="17">
        <f>IF($G643="","",IFERROR(_xlfn.XLOOKUP($G643,nrCHname,nrCHnum),IFERROR(_xlfn.XLOOKUP($G643,nrSUBname,nrSUBparent),"")))</f>
        <v/>
      </c>
      <c r="I643" s="16" t="n"/>
      <c r="J643" s="16" t="n"/>
      <c r="K643" s="17">
        <f>IF($B643="","",IFERROR(_xlfn.XLOOKUP($B643,nrCDdate,nrCDweek),""))</f>
        <v/>
      </c>
      <c r="L643" s="17">
        <f>IF($B643="","",IFERROR(_xlfn.XLOOKUP($B643,nrCDdate,nrCDnum),""))</f>
        <v/>
      </c>
      <c r="M643" s="16" t="n"/>
      <c r="N643" s="17">
        <f>IF(OR($B643="",$I643=""),"",_xlfn.LET(_xlpm.a,$I643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43" s="17">
        <f>IF(OR($B643="",$D643="",$E643=""),"",IF($E643=$D643,"CHECK TIMES (start = end)",IF($F643&gt;12,"CHECK TIMES (End is before Start?)","OK")))</f>
        <v/>
      </c>
      <c r="P643" s="17">
        <f>IF(OR($B643="",$I643=""),"",IF(IFERROR(MATCH($G643,nrBankTopics,0),0)=0,"OK",IF(COUNTA(INDEX(nrBankGrid,IFERROR(MATCH($G643,nrBankTopics,0),1),0))=0,"OK",IF(SUMPRODUCT((nrInstrNames&lt;&gt;"")*ISNUMBER(SEARCH(nrInstrNames,$I643))*(COUNTIF(INDEX(nrBankGrid,IFERROR(MATCH($G643,nrBankTopics,0),1),0),nrInstrNames)&gt;0))&lt;SUMPRODUCT((nrInstrNames&lt;&gt;"")*ISNUMBER(SEARCH(nrInstrNames,$I643))),"NOT IN BANK","OK"))))</f>
        <v/>
      </c>
    </row>
    <row r="644">
      <c r="B644" s="18" t="n"/>
      <c r="C644" s="17">
        <f>IF($B644="","",TEXT($B644,"ddd"))</f>
        <v/>
      </c>
      <c r="D644" s="41" t="n"/>
      <c r="E644" s="41" t="n"/>
      <c r="F644" s="17">
        <f>IF(OR($B644="",$D644="",$E644=""),"",ROUND(MOD($E644-$D644,1)*24,2))</f>
        <v/>
      </c>
      <c r="G644" s="16" t="n"/>
      <c r="H644" s="17">
        <f>IF($G644="","",IFERROR(_xlfn.XLOOKUP($G644,nrCHname,nrCHnum),IFERROR(_xlfn.XLOOKUP($G644,nrSUBname,nrSUBparent),"")))</f>
        <v/>
      </c>
      <c r="I644" s="16" t="n"/>
      <c r="J644" s="16" t="n"/>
      <c r="K644" s="17">
        <f>IF($B644="","",IFERROR(_xlfn.XLOOKUP($B644,nrCDdate,nrCDweek),""))</f>
        <v/>
      </c>
      <c r="L644" s="17">
        <f>IF($B644="","",IFERROR(_xlfn.XLOOKUP($B644,nrCDdate,nrCDnum),""))</f>
        <v/>
      </c>
      <c r="M644" s="16" t="n"/>
      <c r="N644" s="17">
        <f>IF(OR($B644="",$I644=""),"",_xlfn.LET(_xlpm.a,$I644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44" s="17">
        <f>IF(OR($B644="",$D644="",$E644=""),"",IF($E644=$D644,"CHECK TIMES (start = end)",IF($F644&gt;12,"CHECK TIMES (End is before Start?)","OK")))</f>
        <v/>
      </c>
      <c r="P644" s="17">
        <f>IF(OR($B644="",$I644=""),"",IF(IFERROR(MATCH($G644,nrBankTopics,0),0)=0,"OK",IF(COUNTA(INDEX(nrBankGrid,IFERROR(MATCH($G644,nrBankTopics,0),1),0))=0,"OK",IF(SUMPRODUCT((nrInstrNames&lt;&gt;"")*ISNUMBER(SEARCH(nrInstrNames,$I644))*(COUNTIF(INDEX(nrBankGrid,IFERROR(MATCH($G644,nrBankTopics,0),1),0),nrInstrNames)&gt;0))&lt;SUMPRODUCT((nrInstrNames&lt;&gt;"")*ISNUMBER(SEARCH(nrInstrNames,$I644))),"NOT IN BANK","OK"))))</f>
        <v/>
      </c>
    </row>
    <row r="645">
      <c r="B645" s="18" t="n"/>
      <c r="C645" s="17">
        <f>IF($B645="","",TEXT($B645,"ddd"))</f>
        <v/>
      </c>
      <c r="D645" s="41" t="n"/>
      <c r="E645" s="41" t="n"/>
      <c r="F645" s="17">
        <f>IF(OR($B645="",$D645="",$E645=""),"",ROUND(MOD($E645-$D645,1)*24,2))</f>
        <v/>
      </c>
      <c r="G645" s="16" t="n"/>
      <c r="H645" s="17">
        <f>IF($G645="","",IFERROR(_xlfn.XLOOKUP($G645,nrCHname,nrCHnum),IFERROR(_xlfn.XLOOKUP($G645,nrSUBname,nrSUBparent),"")))</f>
        <v/>
      </c>
      <c r="I645" s="16" t="n"/>
      <c r="J645" s="16" t="n"/>
      <c r="K645" s="17">
        <f>IF($B645="","",IFERROR(_xlfn.XLOOKUP($B645,nrCDdate,nrCDweek),""))</f>
        <v/>
      </c>
      <c r="L645" s="17">
        <f>IF($B645="","",IFERROR(_xlfn.XLOOKUP($B645,nrCDdate,nrCDnum),""))</f>
        <v/>
      </c>
      <c r="M645" s="16" t="n"/>
      <c r="N645" s="17">
        <f>IF(OR($B645="",$I645=""),"",_xlfn.LET(_xlpm.a,$I645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45" s="17">
        <f>IF(OR($B645="",$D645="",$E645=""),"",IF($E645=$D645,"CHECK TIMES (start = end)",IF($F645&gt;12,"CHECK TIMES (End is before Start?)","OK")))</f>
        <v/>
      </c>
      <c r="P645" s="17">
        <f>IF(OR($B645="",$I645=""),"",IF(IFERROR(MATCH($G645,nrBankTopics,0),0)=0,"OK",IF(COUNTA(INDEX(nrBankGrid,IFERROR(MATCH($G645,nrBankTopics,0),1),0))=0,"OK",IF(SUMPRODUCT((nrInstrNames&lt;&gt;"")*ISNUMBER(SEARCH(nrInstrNames,$I645))*(COUNTIF(INDEX(nrBankGrid,IFERROR(MATCH($G645,nrBankTopics,0),1),0),nrInstrNames)&gt;0))&lt;SUMPRODUCT((nrInstrNames&lt;&gt;"")*ISNUMBER(SEARCH(nrInstrNames,$I645))),"NOT IN BANK","OK"))))</f>
        <v/>
      </c>
    </row>
    <row r="646">
      <c r="B646" s="18" t="n"/>
      <c r="C646" s="17">
        <f>IF($B646="","",TEXT($B646,"ddd"))</f>
        <v/>
      </c>
      <c r="D646" s="41" t="n"/>
      <c r="E646" s="41" t="n"/>
      <c r="F646" s="17">
        <f>IF(OR($B646="",$D646="",$E646=""),"",ROUND(MOD($E646-$D646,1)*24,2))</f>
        <v/>
      </c>
      <c r="G646" s="16" t="n"/>
      <c r="H646" s="17">
        <f>IF($G646="","",IFERROR(_xlfn.XLOOKUP($G646,nrCHname,nrCHnum),IFERROR(_xlfn.XLOOKUP($G646,nrSUBname,nrSUBparent),"")))</f>
        <v/>
      </c>
      <c r="I646" s="16" t="n"/>
      <c r="J646" s="16" t="n"/>
      <c r="K646" s="17">
        <f>IF($B646="","",IFERROR(_xlfn.XLOOKUP($B646,nrCDdate,nrCDweek),""))</f>
        <v/>
      </c>
      <c r="L646" s="17">
        <f>IF($B646="","",IFERROR(_xlfn.XLOOKUP($B646,nrCDdate,nrCDnum),""))</f>
        <v/>
      </c>
      <c r="M646" s="16" t="n"/>
      <c r="N646" s="17">
        <f>IF(OR($B646="",$I646=""),"",_xlfn.LET(_xlpm.a,$I646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46" s="17">
        <f>IF(OR($B646="",$D646="",$E646=""),"",IF($E646=$D646,"CHECK TIMES (start = end)",IF($F646&gt;12,"CHECK TIMES (End is before Start?)","OK")))</f>
        <v/>
      </c>
      <c r="P646" s="17">
        <f>IF(OR($B646="",$I646=""),"",IF(IFERROR(MATCH($G646,nrBankTopics,0),0)=0,"OK",IF(COUNTA(INDEX(nrBankGrid,IFERROR(MATCH($G646,nrBankTopics,0),1),0))=0,"OK",IF(SUMPRODUCT((nrInstrNames&lt;&gt;"")*ISNUMBER(SEARCH(nrInstrNames,$I646))*(COUNTIF(INDEX(nrBankGrid,IFERROR(MATCH($G646,nrBankTopics,0),1),0),nrInstrNames)&gt;0))&lt;SUMPRODUCT((nrInstrNames&lt;&gt;"")*ISNUMBER(SEARCH(nrInstrNames,$I646))),"NOT IN BANK","OK"))))</f>
        <v/>
      </c>
    </row>
    <row r="647">
      <c r="B647" s="18" t="n"/>
      <c r="C647" s="17">
        <f>IF($B647="","",TEXT($B647,"ddd"))</f>
        <v/>
      </c>
      <c r="D647" s="41" t="n"/>
      <c r="E647" s="41" t="n"/>
      <c r="F647" s="17">
        <f>IF(OR($B647="",$D647="",$E647=""),"",ROUND(MOD($E647-$D647,1)*24,2))</f>
        <v/>
      </c>
      <c r="G647" s="16" t="n"/>
      <c r="H647" s="17">
        <f>IF($G647="","",IFERROR(_xlfn.XLOOKUP($G647,nrCHname,nrCHnum),IFERROR(_xlfn.XLOOKUP($G647,nrSUBname,nrSUBparent),"")))</f>
        <v/>
      </c>
      <c r="I647" s="16" t="n"/>
      <c r="J647" s="16" t="n"/>
      <c r="K647" s="17">
        <f>IF($B647="","",IFERROR(_xlfn.XLOOKUP($B647,nrCDdate,nrCDweek),""))</f>
        <v/>
      </c>
      <c r="L647" s="17">
        <f>IF($B647="","",IFERROR(_xlfn.XLOOKUP($B647,nrCDdate,nrCDnum),""))</f>
        <v/>
      </c>
      <c r="M647" s="16" t="n"/>
      <c r="N647" s="17">
        <f>IF(OR($B647="",$I647=""),"",_xlfn.LET(_xlpm.a,$I647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47" s="17">
        <f>IF(OR($B647="",$D647="",$E647=""),"",IF($E647=$D647,"CHECK TIMES (start = end)",IF($F647&gt;12,"CHECK TIMES (End is before Start?)","OK")))</f>
        <v/>
      </c>
      <c r="P647" s="17">
        <f>IF(OR($B647="",$I647=""),"",IF(IFERROR(MATCH($G647,nrBankTopics,0),0)=0,"OK",IF(COUNTA(INDEX(nrBankGrid,IFERROR(MATCH($G647,nrBankTopics,0),1),0))=0,"OK",IF(SUMPRODUCT((nrInstrNames&lt;&gt;"")*ISNUMBER(SEARCH(nrInstrNames,$I647))*(COUNTIF(INDEX(nrBankGrid,IFERROR(MATCH($G647,nrBankTopics,0),1),0),nrInstrNames)&gt;0))&lt;SUMPRODUCT((nrInstrNames&lt;&gt;"")*ISNUMBER(SEARCH(nrInstrNames,$I647))),"NOT IN BANK","OK"))))</f>
        <v/>
      </c>
    </row>
    <row r="648">
      <c r="B648" s="18" t="n"/>
      <c r="C648" s="17">
        <f>IF($B648="","",TEXT($B648,"ddd"))</f>
        <v/>
      </c>
      <c r="D648" s="41" t="n"/>
      <c r="E648" s="41" t="n"/>
      <c r="F648" s="17">
        <f>IF(OR($B648="",$D648="",$E648=""),"",ROUND(MOD($E648-$D648,1)*24,2))</f>
        <v/>
      </c>
      <c r="G648" s="16" t="n"/>
      <c r="H648" s="17">
        <f>IF($G648="","",IFERROR(_xlfn.XLOOKUP($G648,nrCHname,nrCHnum),IFERROR(_xlfn.XLOOKUP($G648,nrSUBname,nrSUBparent),"")))</f>
        <v/>
      </c>
      <c r="I648" s="16" t="n"/>
      <c r="J648" s="16" t="n"/>
      <c r="K648" s="17">
        <f>IF($B648="","",IFERROR(_xlfn.XLOOKUP($B648,nrCDdate,nrCDweek),""))</f>
        <v/>
      </c>
      <c r="L648" s="17">
        <f>IF($B648="","",IFERROR(_xlfn.XLOOKUP($B648,nrCDdate,nrCDnum),""))</f>
        <v/>
      </c>
      <c r="M648" s="16" t="n"/>
      <c r="N648" s="17">
        <f>IF(OR($B648="",$I648=""),"",_xlfn.LET(_xlpm.a,$I648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48" s="17">
        <f>IF(OR($B648="",$D648="",$E648=""),"",IF($E648=$D648,"CHECK TIMES (start = end)",IF($F648&gt;12,"CHECK TIMES (End is before Start?)","OK")))</f>
        <v/>
      </c>
      <c r="P648" s="17">
        <f>IF(OR($B648="",$I648=""),"",IF(IFERROR(MATCH($G648,nrBankTopics,0),0)=0,"OK",IF(COUNTA(INDEX(nrBankGrid,IFERROR(MATCH($G648,nrBankTopics,0),1),0))=0,"OK",IF(SUMPRODUCT((nrInstrNames&lt;&gt;"")*ISNUMBER(SEARCH(nrInstrNames,$I648))*(COUNTIF(INDEX(nrBankGrid,IFERROR(MATCH($G648,nrBankTopics,0),1),0),nrInstrNames)&gt;0))&lt;SUMPRODUCT((nrInstrNames&lt;&gt;"")*ISNUMBER(SEARCH(nrInstrNames,$I648))),"NOT IN BANK","OK"))))</f>
        <v/>
      </c>
    </row>
    <row r="649">
      <c r="B649" s="18" t="n"/>
      <c r="C649" s="17">
        <f>IF($B649="","",TEXT($B649,"ddd"))</f>
        <v/>
      </c>
      <c r="D649" s="41" t="n"/>
      <c r="E649" s="41" t="n"/>
      <c r="F649" s="17">
        <f>IF(OR($B649="",$D649="",$E649=""),"",ROUND(MOD($E649-$D649,1)*24,2))</f>
        <v/>
      </c>
      <c r="G649" s="16" t="n"/>
      <c r="H649" s="17">
        <f>IF($G649="","",IFERROR(_xlfn.XLOOKUP($G649,nrCHname,nrCHnum),IFERROR(_xlfn.XLOOKUP($G649,nrSUBname,nrSUBparent),"")))</f>
        <v/>
      </c>
      <c r="I649" s="16" t="n"/>
      <c r="J649" s="16" t="n"/>
      <c r="K649" s="17">
        <f>IF($B649="","",IFERROR(_xlfn.XLOOKUP($B649,nrCDdate,nrCDweek),""))</f>
        <v/>
      </c>
      <c r="L649" s="17">
        <f>IF($B649="","",IFERROR(_xlfn.XLOOKUP($B649,nrCDdate,nrCDnum),""))</f>
        <v/>
      </c>
      <c r="M649" s="16" t="n"/>
      <c r="N649" s="17">
        <f>IF(OR($B649="",$I649=""),"",_xlfn.LET(_xlpm.a,$I649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49" s="17">
        <f>IF(OR($B649="",$D649="",$E649=""),"",IF($E649=$D649,"CHECK TIMES (start = end)",IF($F649&gt;12,"CHECK TIMES (End is before Start?)","OK")))</f>
        <v/>
      </c>
      <c r="P649" s="17">
        <f>IF(OR($B649="",$I649=""),"",IF(IFERROR(MATCH($G649,nrBankTopics,0),0)=0,"OK",IF(COUNTA(INDEX(nrBankGrid,IFERROR(MATCH($G649,nrBankTopics,0),1),0))=0,"OK",IF(SUMPRODUCT((nrInstrNames&lt;&gt;"")*ISNUMBER(SEARCH(nrInstrNames,$I649))*(COUNTIF(INDEX(nrBankGrid,IFERROR(MATCH($G649,nrBankTopics,0),1),0),nrInstrNames)&gt;0))&lt;SUMPRODUCT((nrInstrNames&lt;&gt;"")*ISNUMBER(SEARCH(nrInstrNames,$I649))),"NOT IN BANK","OK"))))</f>
        <v/>
      </c>
    </row>
    <row r="650">
      <c r="B650" s="18" t="n"/>
      <c r="C650" s="17">
        <f>IF($B650="","",TEXT($B650,"ddd"))</f>
        <v/>
      </c>
      <c r="D650" s="41" t="n"/>
      <c r="E650" s="41" t="n"/>
      <c r="F650" s="17">
        <f>IF(OR($B650="",$D650="",$E650=""),"",ROUND(MOD($E650-$D650,1)*24,2))</f>
        <v/>
      </c>
      <c r="G650" s="16" t="n"/>
      <c r="H650" s="17">
        <f>IF($G650="","",IFERROR(_xlfn.XLOOKUP($G650,nrCHname,nrCHnum),IFERROR(_xlfn.XLOOKUP($G650,nrSUBname,nrSUBparent),"")))</f>
        <v/>
      </c>
      <c r="I650" s="16" t="n"/>
      <c r="J650" s="16" t="n"/>
      <c r="K650" s="17">
        <f>IF($B650="","",IFERROR(_xlfn.XLOOKUP($B650,nrCDdate,nrCDweek),""))</f>
        <v/>
      </c>
      <c r="L650" s="17">
        <f>IF($B650="","",IFERROR(_xlfn.XLOOKUP($B650,nrCDdate,nrCDnum),""))</f>
        <v/>
      </c>
      <c r="M650" s="16" t="n"/>
      <c r="N650" s="17">
        <f>IF(OR($B650="",$I650=""),"",_xlfn.LET(_xlpm.a,$I650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50" s="17">
        <f>IF(OR($B650="",$D650="",$E650=""),"",IF($E650=$D650,"CHECK TIMES (start = end)",IF($F650&gt;12,"CHECK TIMES (End is before Start?)","OK")))</f>
        <v/>
      </c>
      <c r="P650" s="17">
        <f>IF(OR($B650="",$I650=""),"",IF(IFERROR(MATCH($G650,nrBankTopics,0),0)=0,"OK",IF(COUNTA(INDEX(nrBankGrid,IFERROR(MATCH($G650,nrBankTopics,0),1),0))=0,"OK",IF(SUMPRODUCT((nrInstrNames&lt;&gt;"")*ISNUMBER(SEARCH(nrInstrNames,$I650))*(COUNTIF(INDEX(nrBankGrid,IFERROR(MATCH($G650,nrBankTopics,0),1),0),nrInstrNames)&gt;0))&lt;SUMPRODUCT((nrInstrNames&lt;&gt;"")*ISNUMBER(SEARCH(nrInstrNames,$I650))),"NOT IN BANK","OK"))))</f>
        <v/>
      </c>
    </row>
    <row r="651">
      <c r="B651" s="18" t="n"/>
      <c r="C651" s="17">
        <f>IF($B651="","",TEXT($B651,"ddd"))</f>
        <v/>
      </c>
      <c r="D651" s="41" t="n"/>
      <c r="E651" s="41" t="n"/>
      <c r="F651" s="17">
        <f>IF(OR($B651="",$D651="",$E651=""),"",ROUND(MOD($E651-$D651,1)*24,2))</f>
        <v/>
      </c>
      <c r="G651" s="16" t="n"/>
      <c r="H651" s="17">
        <f>IF($G651="","",IFERROR(_xlfn.XLOOKUP($G651,nrCHname,nrCHnum),IFERROR(_xlfn.XLOOKUP($G651,nrSUBname,nrSUBparent),"")))</f>
        <v/>
      </c>
      <c r="I651" s="16" t="n"/>
      <c r="J651" s="16" t="n"/>
      <c r="K651" s="17">
        <f>IF($B651="","",IFERROR(_xlfn.XLOOKUP($B651,nrCDdate,nrCDweek),""))</f>
        <v/>
      </c>
      <c r="L651" s="17">
        <f>IF($B651="","",IFERROR(_xlfn.XLOOKUP($B651,nrCDdate,nrCDnum),""))</f>
        <v/>
      </c>
      <c r="M651" s="16" t="n"/>
      <c r="N651" s="17">
        <f>IF(OR($B651="",$I651=""),"",_xlfn.LET(_xlpm.a,$I651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51" s="17">
        <f>IF(OR($B651="",$D651="",$E651=""),"",IF($E651=$D651,"CHECK TIMES (start = end)",IF($F651&gt;12,"CHECK TIMES (End is before Start?)","OK")))</f>
        <v/>
      </c>
      <c r="P651" s="17">
        <f>IF(OR($B651="",$I651=""),"",IF(IFERROR(MATCH($G651,nrBankTopics,0),0)=0,"OK",IF(COUNTA(INDEX(nrBankGrid,IFERROR(MATCH($G651,nrBankTopics,0),1),0))=0,"OK",IF(SUMPRODUCT((nrInstrNames&lt;&gt;"")*ISNUMBER(SEARCH(nrInstrNames,$I651))*(COUNTIF(INDEX(nrBankGrid,IFERROR(MATCH($G651,nrBankTopics,0),1),0),nrInstrNames)&gt;0))&lt;SUMPRODUCT((nrInstrNames&lt;&gt;"")*ISNUMBER(SEARCH(nrInstrNames,$I651))),"NOT IN BANK","OK"))))</f>
        <v/>
      </c>
    </row>
    <row r="652">
      <c r="B652" s="18" t="n"/>
      <c r="C652" s="17">
        <f>IF($B652="","",TEXT($B652,"ddd"))</f>
        <v/>
      </c>
      <c r="D652" s="41" t="n"/>
      <c r="E652" s="41" t="n"/>
      <c r="F652" s="17">
        <f>IF(OR($B652="",$D652="",$E652=""),"",ROUND(MOD($E652-$D652,1)*24,2))</f>
        <v/>
      </c>
      <c r="G652" s="16" t="n"/>
      <c r="H652" s="17">
        <f>IF($G652="","",IFERROR(_xlfn.XLOOKUP($G652,nrCHname,nrCHnum),IFERROR(_xlfn.XLOOKUP($G652,nrSUBname,nrSUBparent),"")))</f>
        <v/>
      </c>
      <c r="I652" s="16" t="n"/>
      <c r="J652" s="16" t="n"/>
      <c r="K652" s="17">
        <f>IF($B652="","",IFERROR(_xlfn.XLOOKUP($B652,nrCDdate,nrCDweek),""))</f>
        <v/>
      </c>
      <c r="L652" s="17">
        <f>IF($B652="","",IFERROR(_xlfn.XLOOKUP($B652,nrCDdate,nrCDnum),""))</f>
        <v/>
      </c>
      <c r="M652" s="16" t="n"/>
      <c r="N652" s="17">
        <f>IF(OR($B652="",$I652=""),"",_xlfn.LET(_xlpm.a,$I652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52" s="17">
        <f>IF(OR($B652="",$D652="",$E652=""),"",IF($E652=$D652,"CHECK TIMES (start = end)",IF($F652&gt;12,"CHECK TIMES (End is before Start?)","OK")))</f>
        <v/>
      </c>
      <c r="P652" s="17">
        <f>IF(OR($B652="",$I652=""),"",IF(IFERROR(MATCH($G652,nrBankTopics,0),0)=0,"OK",IF(COUNTA(INDEX(nrBankGrid,IFERROR(MATCH($G652,nrBankTopics,0),1),0))=0,"OK",IF(SUMPRODUCT((nrInstrNames&lt;&gt;"")*ISNUMBER(SEARCH(nrInstrNames,$I652))*(COUNTIF(INDEX(nrBankGrid,IFERROR(MATCH($G652,nrBankTopics,0),1),0),nrInstrNames)&gt;0))&lt;SUMPRODUCT((nrInstrNames&lt;&gt;"")*ISNUMBER(SEARCH(nrInstrNames,$I652))),"NOT IN BANK","OK"))))</f>
        <v/>
      </c>
    </row>
    <row r="653">
      <c r="B653" s="18" t="n"/>
      <c r="C653" s="17">
        <f>IF($B653="","",TEXT($B653,"ddd"))</f>
        <v/>
      </c>
      <c r="D653" s="41" t="n"/>
      <c r="E653" s="41" t="n"/>
      <c r="F653" s="17">
        <f>IF(OR($B653="",$D653="",$E653=""),"",ROUND(MOD($E653-$D653,1)*24,2))</f>
        <v/>
      </c>
      <c r="G653" s="16" t="n"/>
      <c r="H653" s="17">
        <f>IF($G653="","",IFERROR(_xlfn.XLOOKUP($G653,nrCHname,nrCHnum),IFERROR(_xlfn.XLOOKUP($G653,nrSUBname,nrSUBparent),"")))</f>
        <v/>
      </c>
      <c r="I653" s="16" t="n"/>
      <c r="J653" s="16" t="n"/>
      <c r="K653" s="17">
        <f>IF($B653="","",IFERROR(_xlfn.XLOOKUP($B653,nrCDdate,nrCDweek),""))</f>
        <v/>
      </c>
      <c r="L653" s="17">
        <f>IF($B653="","",IFERROR(_xlfn.XLOOKUP($B653,nrCDdate,nrCDnum),""))</f>
        <v/>
      </c>
      <c r="M653" s="16" t="n"/>
      <c r="N653" s="17">
        <f>IF(OR($B653="",$I653=""),"",_xlfn.LET(_xlpm.a,$I653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53" s="17">
        <f>IF(OR($B653="",$D653="",$E653=""),"",IF($E653=$D653,"CHECK TIMES (start = end)",IF($F653&gt;12,"CHECK TIMES (End is before Start?)","OK")))</f>
        <v/>
      </c>
      <c r="P653" s="17">
        <f>IF(OR($B653="",$I653=""),"",IF(IFERROR(MATCH($G653,nrBankTopics,0),0)=0,"OK",IF(COUNTA(INDEX(nrBankGrid,IFERROR(MATCH($G653,nrBankTopics,0),1),0))=0,"OK",IF(SUMPRODUCT((nrInstrNames&lt;&gt;"")*ISNUMBER(SEARCH(nrInstrNames,$I653))*(COUNTIF(INDEX(nrBankGrid,IFERROR(MATCH($G653,nrBankTopics,0),1),0),nrInstrNames)&gt;0))&lt;SUMPRODUCT((nrInstrNames&lt;&gt;"")*ISNUMBER(SEARCH(nrInstrNames,$I653))),"NOT IN BANK","OK"))))</f>
        <v/>
      </c>
    </row>
    <row r="654">
      <c r="B654" s="18" t="n"/>
      <c r="C654" s="17">
        <f>IF($B654="","",TEXT($B654,"ddd"))</f>
        <v/>
      </c>
      <c r="D654" s="41" t="n"/>
      <c r="E654" s="41" t="n"/>
      <c r="F654" s="17">
        <f>IF(OR($B654="",$D654="",$E654=""),"",ROUND(MOD($E654-$D654,1)*24,2))</f>
        <v/>
      </c>
      <c r="G654" s="16" t="n"/>
      <c r="H654" s="17">
        <f>IF($G654="","",IFERROR(_xlfn.XLOOKUP($G654,nrCHname,nrCHnum),IFERROR(_xlfn.XLOOKUP($G654,nrSUBname,nrSUBparent),"")))</f>
        <v/>
      </c>
      <c r="I654" s="16" t="n"/>
      <c r="J654" s="16" t="n"/>
      <c r="K654" s="17">
        <f>IF($B654="","",IFERROR(_xlfn.XLOOKUP($B654,nrCDdate,nrCDweek),""))</f>
        <v/>
      </c>
      <c r="L654" s="17">
        <f>IF($B654="","",IFERROR(_xlfn.XLOOKUP($B654,nrCDdate,nrCDnum),""))</f>
        <v/>
      </c>
      <c r="M654" s="16" t="n"/>
      <c r="N654" s="17">
        <f>IF(OR($B654="",$I654=""),"",_xlfn.LET(_xlpm.a,$I654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54" s="17">
        <f>IF(OR($B654="",$D654="",$E654=""),"",IF($E654=$D654,"CHECK TIMES (start = end)",IF($F654&gt;12,"CHECK TIMES (End is before Start?)","OK")))</f>
        <v/>
      </c>
      <c r="P654" s="17">
        <f>IF(OR($B654="",$I654=""),"",IF(IFERROR(MATCH($G654,nrBankTopics,0),0)=0,"OK",IF(COUNTA(INDEX(nrBankGrid,IFERROR(MATCH($G654,nrBankTopics,0),1),0))=0,"OK",IF(SUMPRODUCT((nrInstrNames&lt;&gt;"")*ISNUMBER(SEARCH(nrInstrNames,$I654))*(COUNTIF(INDEX(nrBankGrid,IFERROR(MATCH($G654,nrBankTopics,0),1),0),nrInstrNames)&gt;0))&lt;SUMPRODUCT((nrInstrNames&lt;&gt;"")*ISNUMBER(SEARCH(nrInstrNames,$I654))),"NOT IN BANK","OK"))))</f>
        <v/>
      </c>
    </row>
    <row r="655">
      <c r="B655" s="18" t="n"/>
      <c r="C655" s="17">
        <f>IF($B655="","",TEXT($B655,"ddd"))</f>
        <v/>
      </c>
      <c r="D655" s="41" t="n"/>
      <c r="E655" s="41" t="n"/>
      <c r="F655" s="17">
        <f>IF(OR($B655="",$D655="",$E655=""),"",ROUND(MOD($E655-$D655,1)*24,2))</f>
        <v/>
      </c>
      <c r="G655" s="16" t="n"/>
      <c r="H655" s="17">
        <f>IF($G655="","",IFERROR(_xlfn.XLOOKUP($G655,nrCHname,nrCHnum),IFERROR(_xlfn.XLOOKUP($G655,nrSUBname,nrSUBparent),"")))</f>
        <v/>
      </c>
      <c r="I655" s="16" t="n"/>
      <c r="J655" s="16" t="n"/>
      <c r="K655" s="17">
        <f>IF($B655="","",IFERROR(_xlfn.XLOOKUP($B655,nrCDdate,nrCDweek),""))</f>
        <v/>
      </c>
      <c r="L655" s="17">
        <f>IF($B655="","",IFERROR(_xlfn.XLOOKUP($B655,nrCDdate,nrCDnum),""))</f>
        <v/>
      </c>
      <c r="M655" s="16" t="n"/>
      <c r="N655" s="17">
        <f>IF(OR($B655="",$I655=""),"",_xlfn.LET(_xlpm.a,$I655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55" s="17">
        <f>IF(OR($B655="",$D655="",$E655=""),"",IF($E655=$D655,"CHECK TIMES (start = end)",IF($F655&gt;12,"CHECK TIMES (End is before Start?)","OK")))</f>
        <v/>
      </c>
      <c r="P655" s="17">
        <f>IF(OR($B655="",$I655=""),"",IF(IFERROR(MATCH($G655,nrBankTopics,0),0)=0,"OK",IF(COUNTA(INDEX(nrBankGrid,IFERROR(MATCH($G655,nrBankTopics,0),1),0))=0,"OK",IF(SUMPRODUCT((nrInstrNames&lt;&gt;"")*ISNUMBER(SEARCH(nrInstrNames,$I655))*(COUNTIF(INDEX(nrBankGrid,IFERROR(MATCH($G655,nrBankTopics,0),1),0),nrInstrNames)&gt;0))&lt;SUMPRODUCT((nrInstrNames&lt;&gt;"")*ISNUMBER(SEARCH(nrInstrNames,$I655))),"NOT IN BANK","OK"))))</f>
        <v/>
      </c>
    </row>
    <row r="656">
      <c r="B656" s="18" t="n"/>
      <c r="C656" s="17">
        <f>IF($B656="","",TEXT($B656,"ddd"))</f>
        <v/>
      </c>
      <c r="D656" s="41" t="n"/>
      <c r="E656" s="41" t="n"/>
      <c r="F656" s="17">
        <f>IF(OR($B656="",$D656="",$E656=""),"",ROUND(MOD($E656-$D656,1)*24,2))</f>
        <v/>
      </c>
      <c r="G656" s="16" t="n"/>
      <c r="H656" s="17">
        <f>IF($G656="","",IFERROR(_xlfn.XLOOKUP($G656,nrCHname,nrCHnum),IFERROR(_xlfn.XLOOKUP($G656,nrSUBname,nrSUBparent),"")))</f>
        <v/>
      </c>
      <c r="I656" s="16" t="n"/>
      <c r="J656" s="16" t="n"/>
      <c r="K656" s="17">
        <f>IF($B656="","",IFERROR(_xlfn.XLOOKUP($B656,nrCDdate,nrCDweek),""))</f>
        <v/>
      </c>
      <c r="L656" s="17">
        <f>IF($B656="","",IFERROR(_xlfn.XLOOKUP($B656,nrCDdate,nrCDnum),""))</f>
        <v/>
      </c>
      <c r="M656" s="16" t="n"/>
      <c r="N656" s="17">
        <f>IF(OR($B656="",$I656=""),"",_xlfn.LET(_xlpm.a,$I656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56" s="17">
        <f>IF(OR($B656="",$D656="",$E656=""),"",IF($E656=$D656,"CHECK TIMES (start = end)",IF($F656&gt;12,"CHECK TIMES (End is before Start?)","OK")))</f>
        <v/>
      </c>
      <c r="P656" s="17">
        <f>IF(OR($B656="",$I656=""),"",IF(IFERROR(MATCH($G656,nrBankTopics,0),0)=0,"OK",IF(COUNTA(INDEX(nrBankGrid,IFERROR(MATCH($G656,nrBankTopics,0),1),0))=0,"OK",IF(SUMPRODUCT((nrInstrNames&lt;&gt;"")*ISNUMBER(SEARCH(nrInstrNames,$I656))*(COUNTIF(INDEX(nrBankGrid,IFERROR(MATCH($G656,nrBankTopics,0),1),0),nrInstrNames)&gt;0))&lt;SUMPRODUCT((nrInstrNames&lt;&gt;"")*ISNUMBER(SEARCH(nrInstrNames,$I656))),"NOT IN BANK","OK"))))</f>
        <v/>
      </c>
    </row>
    <row r="657">
      <c r="B657" s="18" t="n"/>
      <c r="C657" s="17">
        <f>IF($B657="","",TEXT($B657,"ddd"))</f>
        <v/>
      </c>
      <c r="D657" s="41" t="n"/>
      <c r="E657" s="41" t="n"/>
      <c r="F657" s="17">
        <f>IF(OR($B657="",$D657="",$E657=""),"",ROUND(MOD($E657-$D657,1)*24,2))</f>
        <v/>
      </c>
      <c r="G657" s="16" t="n"/>
      <c r="H657" s="17">
        <f>IF($G657="","",IFERROR(_xlfn.XLOOKUP($G657,nrCHname,nrCHnum),IFERROR(_xlfn.XLOOKUP($G657,nrSUBname,nrSUBparent),"")))</f>
        <v/>
      </c>
      <c r="I657" s="16" t="n"/>
      <c r="J657" s="16" t="n"/>
      <c r="K657" s="17">
        <f>IF($B657="","",IFERROR(_xlfn.XLOOKUP($B657,nrCDdate,nrCDweek),""))</f>
        <v/>
      </c>
      <c r="L657" s="17">
        <f>IF($B657="","",IFERROR(_xlfn.XLOOKUP($B657,nrCDdate,nrCDnum),""))</f>
        <v/>
      </c>
      <c r="M657" s="16" t="n"/>
      <c r="N657" s="17">
        <f>IF(OR($B657="",$I657=""),"",_xlfn.LET(_xlpm.a,$I657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57" s="17">
        <f>IF(OR($B657="",$D657="",$E657=""),"",IF($E657=$D657,"CHECK TIMES (start = end)",IF($F657&gt;12,"CHECK TIMES (End is before Start?)","OK")))</f>
        <v/>
      </c>
      <c r="P657" s="17">
        <f>IF(OR($B657="",$I657=""),"",IF(IFERROR(MATCH($G657,nrBankTopics,0),0)=0,"OK",IF(COUNTA(INDEX(nrBankGrid,IFERROR(MATCH($G657,nrBankTopics,0),1),0))=0,"OK",IF(SUMPRODUCT((nrInstrNames&lt;&gt;"")*ISNUMBER(SEARCH(nrInstrNames,$I657))*(COUNTIF(INDEX(nrBankGrid,IFERROR(MATCH($G657,nrBankTopics,0),1),0),nrInstrNames)&gt;0))&lt;SUMPRODUCT((nrInstrNames&lt;&gt;"")*ISNUMBER(SEARCH(nrInstrNames,$I657))),"NOT IN BANK","OK"))))</f>
        <v/>
      </c>
    </row>
    <row r="658">
      <c r="B658" s="18" t="n"/>
      <c r="C658" s="17">
        <f>IF($B658="","",TEXT($B658,"ddd"))</f>
        <v/>
      </c>
      <c r="D658" s="41" t="n"/>
      <c r="E658" s="41" t="n"/>
      <c r="F658" s="17">
        <f>IF(OR($B658="",$D658="",$E658=""),"",ROUND(MOD($E658-$D658,1)*24,2))</f>
        <v/>
      </c>
      <c r="G658" s="16" t="n"/>
      <c r="H658" s="17">
        <f>IF($G658="","",IFERROR(_xlfn.XLOOKUP($G658,nrCHname,nrCHnum),IFERROR(_xlfn.XLOOKUP($G658,nrSUBname,nrSUBparent),"")))</f>
        <v/>
      </c>
      <c r="I658" s="16" t="n"/>
      <c r="J658" s="16" t="n"/>
      <c r="K658" s="17">
        <f>IF($B658="","",IFERROR(_xlfn.XLOOKUP($B658,nrCDdate,nrCDweek),""))</f>
        <v/>
      </c>
      <c r="L658" s="17">
        <f>IF($B658="","",IFERROR(_xlfn.XLOOKUP($B658,nrCDdate,nrCDnum),""))</f>
        <v/>
      </c>
      <c r="M658" s="16" t="n"/>
      <c r="N658" s="17">
        <f>IF(OR($B658="",$I658=""),"",_xlfn.LET(_xlpm.a,$I658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58" s="17">
        <f>IF(OR($B658="",$D658="",$E658=""),"",IF($E658=$D658,"CHECK TIMES (start = end)",IF($F658&gt;12,"CHECK TIMES (End is before Start?)","OK")))</f>
        <v/>
      </c>
      <c r="P658" s="17">
        <f>IF(OR($B658="",$I658=""),"",IF(IFERROR(MATCH($G658,nrBankTopics,0),0)=0,"OK",IF(COUNTA(INDEX(nrBankGrid,IFERROR(MATCH($G658,nrBankTopics,0),1),0))=0,"OK",IF(SUMPRODUCT((nrInstrNames&lt;&gt;"")*ISNUMBER(SEARCH(nrInstrNames,$I658))*(COUNTIF(INDEX(nrBankGrid,IFERROR(MATCH($G658,nrBankTopics,0),1),0),nrInstrNames)&gt;0))&lt;SUMPRODUCT((nrInstrNames&lt;&gt;"")*ISNUMBER(SEARCH(nrInstrNames,$I658))),"NOT IN BANK","OK"))))</f>
        <v/>
      </c>
    </row>
    <row r="659">
      <c r="B659" s="18" t="n"/>
      <c r="C659" s="17">
        <f>IF($B659="","",TEXT($B659,"ddd"))</f>
        <v/>
      </c>
      <c r="D659" s="41" t="n"/>
      <c r="E659" s="41" t="n"/>
      <c r="F659" s="17">
        <f>IF(OR($B659="",$D659="",$E659=""),"",ROUND(MOD($E659-$D659,1)*24,2))</f>
        <v/>
      </c>
      <c r="G659" s="16" t="n"/>
      <c r="H659" s="17">
        <f>IF($G659="","",IFERROR(_xlfn.XLOOKUP($G659,nrCHname,nrCHnum),IFERROR(_xlfn.XLOOKUP($G659,nrSUBname,nrSUBparent),"")))</f>
        <v/>
      </c>
      <c r="I659" s="16" t="n"/>
      <c r="J659" s="16" t="n"/>
      <c r="K659" s="17">
        <f>IF($B659="","",IFERROR(_xlfn.XLOOKUP($B659,nrCDdate,nrCDweek),""))</f>
        <v/>
      </c>
      <c r="L659" s="17">
        <f>IF($B659="","",IFERROR(_xlfn.XLOOKUP($B659,nrCDdate,nrCDnum),""))</f>
        <v/>
      </c>
      <c r="M659" s="16" t="n"/>
      <c r="N659" s="17">
        <f>IF(OR($B659="",$I659=""),"",_xlfn.LET(_xlpm.a,$I659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59" s="17">
        <f>IF(OR($B659="",$D659="",$E659=""),"",IF($E659=$D659,"CHECK TIMES (start = end)",IF($F659&gt;12,"CHECK TIMES (End is before Start?)","OK")))</f>
        <v/>
      </c>
      <c r="P659" s="17">
        <f>IF(OR($B659="",$I659=""),"",IF(IFERROR(MATCH($G659,nrBankTopics,0),0)=0,"OK",IF(COUNTA(INDEX(nrBankGrid,IFERROR(MATCH($G659,nrBankTopics,0),1),0))=0,"OK",IF(SUMPRODUCT((nrInstrNames&lt;&gt;"")*ISNUMBER(SEARCH(nrInstrNames,$I659))*(COUNTIF(INDEX(nrBankGrid,IFERROR(MATCH($G659,nrBankTopics,0),1),0),nrInstrNames)&gt;0))&lt;SUMPRODUCT((nrInstrNames&lt;&gt;"")*ISNUMBER(SEARCH(nrInstrNames,$I659))),"NOT IN BANK","OK"))))</f>
        <v/>
      </c>
    </row>
    <row r="660">
      <c r="B660" s="18" t="n"/>
      <c r="C660" s="17">
        <f>IF($B660="","",TEXT($B660,"ddd"))</f>
        <v/>
      </c>
      <c r="D660" s="41" t="n"/>
      <c r="E660" s="41" t="n"/>
      <c r="F660" s="17">
        <f>IF(OR($B660="",$D660="",$E660=""),"",ROUND(MOD($E660-$D660,1)*24,2))</f>
        <v/>
      </c>
      <c r="G660" s="16" t="n"/>
      <c r="H660" s="17">
        <f>IF($G660="","",IFERROR(_xlfn.XLOOKUP($G660,nrCHname,nrCHnum),IFERROR(_xlfn.XLOOKUP($G660,nrSUBname,nrSUBparent),"")))</f>
        <v/>
      </c>
      <c r="I660" s="16" t="n"/>
      <c r="J660" s="16" t="n"/>
      <c r="K660" s="17">
        <f>IF($B660="","",IFERROR(_xlfn.XLOOKUP($B660,nrCDdate,nrCDweek),""))</f>
        <v/>
      </c>
      <c r="L660" s="17">
        <f>IF($B660="","",IFERROR(_xlfn.XLOOKUP($B660,nrCDdate,nrCDnum),""))</f>
        <v/>
      </c>
      <c r="M660" s="16" t="n"/>
      <c r="N660" s="17">
        <f>IF(OR($B660="",$I660=""),"",_xlfn.LET(_xlpm.a,$I660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60" s="17">
        <f>IF(OR($B660="",$D660="",$E660=""),"",IF($E660=$D660,"CHECK TIMES (start = end)",IF($F660&gt;12,"CHECK TIMES (End is before Start?)","OK")))</f>
        <v/>
      </c>
      <c r="P660" s="17">
        <f>IF(OR($B660="",$I660=""),"",IF(IFERROR(MATCH($G660,nrBankTopics,0),0)=0,"OK",IF(COUNTA(INDEX(nrBankGrid,IFERROR(MATCH($G660,nrBankTopics,0),1),0))=0,"OK",IF(SUMPRODUCT((nrInstrNames&lt;&gt;"")*ISNUMBER(SEARCH(nrInstrNames,$I660))*(COUNTIF(INDEX(nrBankGrid,IFERROR(MATCH($G660,nrBankTopics,0),1),0),nrInstrNames)&gt;0))&lt;SUMPRODUCT((nrInstrNames&lt;&gt;"")*ISNUMBER(SEARCH(nrInstrNames,$I660))),"NOT IN BANK","OK"))))</f>
        <v/>
      </c>
    </row>
    <row r="661">
      <c r="B661" s="18" t="n"/>
      <c r="C661" s="17">
        <f>IF($B661="","",TEXT($B661,"ddd"))</f>
        <v/>
      </c>
      <c r="D661" s="41" t="n"/>
      <c r="E661" s="41" t="n"/>
      <c r="F661" s="17">
        <f>IF(OR($B661="",$D661="",$E661=""),"",ROUND(MOD($E661-$D661,1)*24,2))</f>
        <v/>
      </c>
      <c r="G661" s="16" t="n"/>
      <c r="H661" s="17">
        <f>IF($G661="","",IFERROR(_xlfn.XLOOKUP($G661,nrCHname,nrCHnum),IFERROR(_xlfn.XLOOKUP($G661,nrSUBname,nrSUBparent),"")))</f>
        <v/>
      </c>
      <c r="I661" s="16" t="n"/>
      <c r="J661" s="16" t="n"/>
      <c r="K661" s="17">
        <f>IF($B661="","",IFERROR(_xlfn.XLOOKUP($B661,nrCDdate,nrCDweek),""))</f>
        <v/>
      </c>
      <c r="L661" s="17">
        <f>IF($B661="","",IFERROR(_xlfn.XLOOKUP($B661,nrCDdate,nrCDnum),""))</f>
        <v/>
      </c>
      <c r="M661" s="16" t="n"/>
      <c r="N661" s="17">
        <f>IF(OR($B661="",$I661=""),"",_xlfn.LET(_xlpm.a,$I661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61" s="17">
        <f>IF(OR($B661="",$D661="",$E661=""),"",IF($E661=$D661,"CHECK TIMES (start = end)",IF($F661&gt;12,"CHECK TIMES (End is before Start?)","OK")))</f>
        <v/>
      </c>
      <c r="P661" s="17">
        <f>IF(OR($B661="",$I661=""),"",IF(IFERROR(MATCH($G661,nrBankTopics,0),0)=0,"OK",IF(COUNTA(INDEX(nrBankGrid,IFERROR(MATCH($G661,nrBankTopics,0),1),0))=0,"OK",IF(SUMPRODUCT((nrInstrNames&lt;&gt;"")*ISNUMBER(SEARCH(nrInstrNames,$I661))*(COUNTIF(INDEX(nrBankGrid,IFERROR(MATCH($G661,nrBankTopics,0),1),0),nrInstrNames)&gt;0))&lt;SUMPRODUCT((nrInstrNames&lt;&gt;"")*ISNUMBER(SEARCH(nrInstrNames,$I661))),"NOT IN BANK","OK"))))</f>
        <v/>
      </c>
    </row>
    <row r="662">
      <c r="B662" s="18" t="n"/>
      <c r="C662" s="17">
        <f>IF($B662="","",TEXT($B662,"ddd"))</f>
        <v/>
      </c>
      <c r="D662" s="41" t="n"/>
      <c r="E662" s="41" t="n"/>
      <c r="F662" s="17">
        <f>IF(OR($B662="",$D662="",$E662=""),"",ROUND(MOD($E662-$D662,1)*24,2))</f>
        <v/>
      </c>
      <c r="G662" s="16" t="n"/>
      <c r="H662" s="17">
        <f>IF($G662="","",IFERROR(_xlfn.XLOOKUP($G662,nrCHname,nrCHnum),IFERROR(_xlfn.XLOOKUP($G662,nrSUBname,nrSUBparent),"")))</f>
        <v/>
      </c>
      <c r="I662" s="16" t="n"/>
      <c r="J662" s="16" t="n"/>
      <c r="K662" s="17">
        <f>IF($B662="","",IFERROR(_xlfn.XLOOKUP($B662,nrCDdate,nrCDweek),""))</f>
        <v/>
      </c>
      <c r="L662" s="17">
        <f>IF($B662="","",IFERROR(_xlfn.XLOOKUP($B662,nrCDdate,nrCDnum),""))</f>
        <v/>
      </c>
      <c r="M662" s="16" t="n"/>
      <c r="N662" s="17">
        <f>IF(OR($B662="",$I662=""),"",_xlfn.LET(_xlpm.a,$I662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62" s="17">
        <f>IF(OR($B662="",$D662="",$E662=""),"",IF($E662=$D662,"CHECK TIMES (start = end)",IF($F662&gt;12,"CHECK TIMES (End is before Start?)","OK")))</f>
        <v/>
      </c>
      <c r="P662" s="17">
        <f>IF(OR($B662="",$I662=""),"",IF(IFERROR(MATCH($G662,nrBankTopics,0),0)=0,"OK",IF(COUNTA(INDEX(nrBankGrid,IFERROR(MATCH($G662,nrBankTopics,0),1),0))=0,"OK",IF(SUMPRODUCT((nrInstrNames&lt;&gt;"")*ISNUMBER(SEARCH(nrInstrNames,$I662))*(COUNTIF(INDEX(nrBankGrid,IFERROR(MATCH($G662,nrBankTopics,0),1),0),nrInstrNames)&gt;0))&lt;SUMPRODUCT((nrInstrNames&lt;&gt;"")*ISNUMBER(SEARCH(nrInstrNames,$I662))),"NOT IN BANK","OK"))))</f>
        <v/>
      </c>
    </row>
    <row r="663">
      <c r="B663" s="18" t="n"/>
      <c r="C663" s="17">
        <f>IF($B663="","",TEXT($B663,"ddd"))</f>
        <v/>
      </c>
      <c r="D663" s="41" t="n"/>
      <c r="E663" s="41" t="n"/>
      <c r="F663" s="17">
        <f>IF(OR($B663="",$D663="",$E663=""),"",ROUND(MOD($E663-$D663,1)*24,2))</f>
        <v/>
      </c>
      <c r="G663" s="16" t="n"/>
      <c r="H663" s="17">
        <f>IF($G663="","",IFERROR(_xlfn.XLOOKUP($G663,nrCHname,nrCHnum),IFERROR(_xlfn.XLOOKUP($G663,nrSUBname,nrSUBparent),"")))</f>
        <v/>
      </c>
      <c r="I663" s="16" t="n"/>
      <c r="J663" s="16" t="n"/>
      <c r="K663" s="17">
        <f>IF($B663="","",IFERROR(_xlfn.XLOOKUP($B663,nrCDdate,nrCDweek),""))</f>
        <v/>
      </c>
      <c r="L663" s="17">
        <f>IF($B663="","",IFERROR(_xlfn.XLOOKUP($B663,nrCDdate,nrCDnum),""))</f>
        <v/>
      </c>
      <c r="M663" s="16" t="n"/>
      <c r="N663" s="17">
        <f>IF(OR($B663="",$I663=""),"",_xlfn.LET(_xlpm.a,$I663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63" s="17">
        <f>IF(OR($B663="",$D663="",$E663=""),"",IF($E663=$D663,"CHECK TIMES (start = end)",IF($F663&gt;12,"CHECK TIMES (End is before Start?)","OK")))</f>
        <v/>
      </c>
      <c r="P663" s="17">
        <f>IF(OR($B663="",$I663=""),"",IF(IFERROR(MATCH($G663,nrBankTopics,0),0)=0,"OK",IF(COUNTA(INDEX(nrBankGrid,IFERROR(MATCH($G663,nrBankTopics,0),1),0))=0,"OK",IF(SUMPRODUCT((nrInstrNames&lt;&gt;"")*ISNUMBER(SEARCH(nrInstrNames,$I663))*(COUNTIF(INDEX(nrBankGrid,IFERROR(MATCH($G663,nrBankTopics,0),1),0),nrInstrNames)&gt;0))&lt;SUMPRODUCT((nrInstrNames&lt;&gt;"")*ISNUMBER(SEARCH(nrInstrNames,$I663))),"NOT IN BANK","OK"))))</f>
        <v/>
      </c>
    </row>
    <row r="664">
      <c r="B664" s="18" t="n"/>
      <c r="C664" s="17">
        <f>IF($B664="","",TEXT($B664,"ddd"))</f>
        <v/>
      </c>
      <c r="D664" s="41" t="n"/>
      <c r="E664" s="41" t="n"/>
      <c r="F664" s="17">
        <f>IF(OR($B664="",$D664="",$E664=""),"",ROUND(MOD($E664-$D664,1)*24,2))</f>
        <v/>
      </c>
      <c r="G664" s="16" t="n"/>
      <c r="H664" s="17">
        <f>IF($G664="","",IFERROR(_xlfn.XLOOKUP($G664,nrCHname,nrCHnum),IFERROR(_xlfn.XLOOKUP($G664,nrSUBname,nrSUBparent),"")))</f>
        <v/>
      </c>
      <c r="I664" s="16" t="n"/>
      <c r="J664" s="16" t="n"/>
      <c r="K664" s="17">
        <f>IF($B664="","",IFERROR(_xlfn.XLOOKUP($B664,nrCDdate,nrCDweek),""))</f>
        <v/>
      </c>
      <c r="L664" s="17">
        <f>IF($B664="","",IFERROR(_xlfn.XLOOKUP($B664,nrCDdate,nrCDnum),""))</f>
        <v/>
      </c>
      <c r="M664" s="16" t="n"/>
      <c r="N664" s="17">
        <f>IF(OR($B664="",$I664=""),"",_xlfn.LET(_xlpm.a,$I664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64" s="17">
        <f>IF(OR($B664="",$D664="",$E664=""),"",IF($E664=$D664,"CHECK TIMES (start = end)",IF($F664&gt;12,"CHECK TIMES (End is before Start?)","OK")))</f>
        <v/>
      </c>
      <c r="P664" s="17">
        <f>IF(OR($B664="",$I664=""),"",IF(IFERROR(MATCH($G664,nrBankTopics,0),0)=0,"OK",IF(COUNTA(INDEX(nrBankGrid,IFERROR(MATCH($G664,nrBankTopics,0),1),0))=0,"OK",IF(SUMPRODUCT((nrInstrNames&lt;&gt;"")*ISNUMBER(SEARCH(nrInstrNames,$I664))*(COUNTIF(INDEX(nrBankGrid,IFERROR(MATCH($G664,nrBankTopics,0),1),0),nrInstrNames)&gt;0))&lt;SUMPRODUCT((nrInstrNames&lt;&gt;"")*ISNUMBER(SEARCH(nrInstrNames,$I664))),"NOT IN BANK","OK"))))</f>
        <v/>
      </c>
    </row>
    <row r="665">
      <c r="B665" s="18" t="n"/>
      <c r="C665" s="17">
        <f>IF($B665="","",TEXT($B665,"ddd"))</f>
        <v/>
      </c>
      <c r="D665" s="41" t="n"/>
      <c r="E665" s="41" t="n"/>
      <c r="F665" s="17">
        <f>IF(OR($B665="",$D665="",$E665=""),"",ROUND(MOD($E665-$D665,1)*24,2))</f>
        <v/>
      </c>
      <c r="G665" s="16" t="n"/>
      <c r="H665" s="17">
        <f>IF($G665="","",IFERROR(_xlfn.XLOOKUP($G665,nrCHname,nrCHnum),IFERROR(_xlfn.XLOOKUP($G665,nrSUBname,nrSUBparent),"")))</f>
        <v/>
      </c>
      <c r="I665" s="16" t="n"/>
      <c r="J665" s="16" t="n"/>
      <c r="K665" s="17">
        <f>IF($B665="","",IFERROR(_xlfn.XLOOKUP($B665,nrCDdate,nrCDweek),""))</f>
        <v/>
      </c>
      <c r="L665" s="17">
        <f>IF($B665="","",IFERROR(_xlfn.XLOOKUP($B665,nrCDdate,nrCDnum),""))</f>
        <v/>
      </c>
      <c r="M665" s="16" t="n"/>
      <c r="N665" s="17">
        <f>IF(OR($B665="",$I665=""),"",_xlfn.LET(_xlpm.a,$I665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65" s="17">
        <f>IF(OR($B665="",$D665="",$E665=""),"",IF($E665=$D665,"CHECK TIMES (start = end)",IF($F665&gt;12,"CHECK TIMES (End is before Start?)","OK")))</f>
        <v/>
      </c>
      <c r="P665" s="17">
        <f>IF(OR($B665="",$I665=""),"",IF(IFERROR(MATCH($G665,nrBankTopics,0),0)=0,"OK",IF(COUNTA(INDEX(nrBankGrid,IFERROR(MATCH($G665,nrBankTopics,0),1),0))=0,"OK",IF(SUMPRODUCT((nrInstrNames&lt;&gt;"")*ISNUMBER(SEARCH(nrInstrNames,$I665))*(COUNTIF(INDEX(nrBankGrid,IFERROR(MATCH($G665,nrBankTopics,0),1),0),nrInstrNames)&gt;0))&lt;SUMPRODUCT((nrInstrNames&lt;&gt;"")*ISNUMBER(SEARCH(nrInstrNames,$I665))),"NOT IN BANK","OK"))))</f>
        <v/>
      </c>
    </row>
    <row r="666">
      <c r="B666" s="18" t="n"/>
      <c r="C666" s="17">
        <f>IF($B666="","",TEXT($B666,"ddd"))</f>
        <v/>
      </c>
      <c r="D666" s="41" t="n"/>
      <c r="E666" s="41" t="n"/>
      <c r="F666" s="17">
        <f>IF(OR($B666="",$D666="",$E666=""),"",ROUND(MOD($E666-$D666,1)*24,2))</f>
        <v/>
      </c>
      <c r="G666" s="16" t="n"/>
      <c r="H666" s="17">
        <f>IF($G666="","",IFERROR(_xlfn.XLOOKUP($G666,nrCHname,nrCHnum),IFERROR(_xlfn.XLOOKUP($G666,nrSUBname,nrSUBparent),"")))</f>
        <v/>
      </c>
      <c r="I666" s="16" t="n"/>
      <c r="J666" s="16" t="n"/>
      <c r="K666" s="17">
        <f>IF($B666="","",IFERROR(_xlfn.XLOOKUP($B666,nrCDdate,nrCDweek),""))</f>
        <v/>
      </c>
      <c r="L666" s="17">
        <f>IF($B666="","",IFERROR(_xlfn.XLOOKUP($B666,nrCDdate,nrCDnum),""))</f>
        <v/>
      </c>
      <c r="M666" s="16" t="n"/>
      <c r="N666" s="17">
        <f>IF(OR($B666="",$I666=""),"",_xlfn.LET(_xlpm.a,$I666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66" s="17">
        <f>IF(OR($B666="",$D666="",$E666=""),"",IF($E666=$D666,"CHECK TIMES (start = end)",IF($F666&gt;12,"CHECK TIMES (End is before Start?)","OK")))</f>
        <v/>
      </c>
      <c r="P666" s="17">
        <f>IF(OR($B666="",$I666=""),"",IF(IFERROR(MATCH($G666,nrBankTopics,0),0)=0,"OK",IF(COUNTA(INDEX(nrBankGrid,IFERROR(MATCH($G666,nrBankTopics,0),1),0))=0,"OK",IF(SUMPRODUCT((nrInstrNames&lt;&gt;"")*ISNUMBER(SEARCH(nrInstrNames,$I666))*(COUNTIF(INDEX(nrBankGrid,IFERROR(MATCH($G666,nrBankTopics,0),1),0),nrInstrNames)&gt;0))&lt;SUMPRODUCT((nrInstrNames&lt;&gt;"")*ISNUMBER(SEARCH(nrInstrNames,$I666))),"NOT IN BANK","OK"))))</f>
        <v/>
      </c>
    </row>
    <row r="667">
      <c r="B667" s="18" t="n"/>
      <c r="C667" s="17">
        <f>IF($B667="","",TEXT($B667,"ddd"))</f>
        <v/>
      </c>
      <c r="D667" s="41" t="n"/>
      <c r="E667" s="41" t="n"/>
      <c r="F667" s="17">
        <f>IF(OR($B667="",$D667="",$E667=""),"",ROUND(MOD($E667-$D667,1)*24,2))</f>
        <v/>
      </c>
      <c r="G667" s="16" t="n"/>
      <c r="H667" s="17">
        <f>IF($G667="","",IFERROR(_xlfn.XLOOKUP($G667,nrCHname,nrCHnum),IFERROR(_xlfn.XLOOKUP($G667,nrSUBname,nrSUBparent),"")))</f>
        <v/>
      </c>
      <c r="I667" s="16" t="n"/>
      <c r="J667" s="16" t="n"/>
      <c r="K667" s="17">
        <f>IF($B667="","",IFERROR(_xlfn.XLOOKUP($B667,nrCDdate,nrCDweek),""))</f>
        <v/>
      </c>
      <c r="L667" s="17">
        <f>IF($B667="","",IFERROR(_xlfn.XLOOKUP($B667,nrCDdate,nrCDnum),""))</f>
        <v/>
      </c>
      <c r="M667" s="16" t="n"/>
      <c r="N667" s="17">
        <f>IF(OR($B667="",$I667=""),"",_xlfn.LET(_xlpm.a,$I667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67" s="17">
        <f>IF(OR($B667="",$D667="",$E667=""),"",IF($E667=$D667,"CHECK TIMES (start = end)",IF($F667&gt;12,"CHECK TIMES (End is before Start?)","OK")))</f>
        <v/>
      </c>
      <c r="P667" s="17">
        <f>IF(OR($B667="",$I667=""),"",IF(IFERROR(MATCH($G667,nrBankTopics,0),0)=0,"OK",IF(COUNTA(INDEX(nrBankGrid,IFERROR(MATCH($G667,nrBankTopics,0),1),0))=0,"OK",IF(SUMPRODUCT((nrInstrNames&lt;&gt;"")*ISNUMBER(SEARCH(nrInstrNames,$I667))*(COUNTIF(INDEX(nrBankGrid,IFERROR(MATCH($G667,nrBankTopics,0),1),0),nrInstrNames)&gt;0))&lt;SUMPRODUCT((nrInstrNames&lt;&gt;"")*ISNUMBER(SEARCH(nrInstrNames,$I667))),"NOT IN BANK","OK"))))</f>
        <v/>
      </c>
    </row>
    <row r="668">
      <c r="B668" s="18" t="n"/>
      <c r="C668" s="17">
        <f>IF($B668="","",TEXT($B668,"ddd"))</f>
        <v/>
      </c>
      <c r="D668" s="41" t="n"/>
      <c r="E668" s="41" t="n"/>
      <c r="F668" s="17">
        <f>IF(OR($B668="",$D668="",$E668=""),"",ROUND(MOD($E668-$D668,1)*24,2))</f>
        <v/>
      </c>
      <c r="G668" s="16" t="n"/>
      <c r="H668" s="17">
        <f>IF($G668="","",IFERROR(_xlfn.XLOOKUP($G668,nrCHname,nrCHnum),IFERROR(_xlfn.XLOOKUP($G668,nrSUBname,nrSUBparent),"")))</f>
        <v/>
      </c>
      <c r="I668" s="16" t="n"/>
      <c r="J668" s="16" t="n"/>
      <c r="K668" s="17">
        <f>IF($B668="","",IFERROR(_xlfn.XLOOKUP($B668,nrCDdate,nrCDweek),""))</f>
        <v/>
      </c>
      <c r="L668" s="17">
        <f>IF($B668="","",IFERROR(_xlfn.XLOOKUP($B668,nrCDdate,nrCDnum),""))</f>
        <v/>
      </c>
      <c r="M668" s="16" t="n"/>
      <c r="N668" s="17">
        <f>IF(OR($B668="",$I668=""),"",_xlfn.LET(_xlpm.a,$I668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68" s="17">
        <f>IF(OR($B668="",$D668="",$E668=""),"",IF($E668=$D668,"CHECK TIMES (start = end)",IF($F668&gt;12,"CHECK TIMES (End is before Start?)","OK")))</f>
        <v/>
      </c>
      <c r="P668" s="17">
        <f>IF(OR($B668="",$I668=""),"",IF(IFERROR(MATCH($G668,nrBankTopics,0),0)=0,"OK",IF(COUNTA(INDEX(nrBankGrid,IFERROR(MATCH($G668,nrBankTopics,0),1),0))=0,"OK",IF(SUMPRODUCT((nrInstrNames&lt;&gt;"")*ISNUMBER(SEARCH(nrInstrNames,$I668))*(COUNTIF(INDEX(nrBankGrid,IFERROR(MATCH($G668,nrBankTopics,0),1),0),nrInstrNames)&gt;0))&lt;SUMPRODUCT((nrInstrNames&lt;&gt;"")*ISNUMBER(SEARCH(nrInstrNames,$I668))),"NOT IN BANK","OK"))))</f>
        <v/>
      </c>
    </row>
    <row r="669">
      <c r="B669" s="18" t="n"/>
      <c r="C669" s="17">
        <f>IF($B669="","",TEXT($B669,"ddd"))</f>
        <v/>
      </c>
      <c r="D669" s="41" t="n"/>
      <c r="E669" s="41" t="n"/>
      <c r="F669" s="17">
        <f>IF(OR($B669="",$D669="",$E669=""),"",ROUND(MOD($E669-$D669,1)*24,2))</f>
        <v/>
      </c>
      <c r="G669" s="16" t="n"/>
      <c r="H669" s="17">
        <f>IF($G669="","",IFERROR(_xlfn.XLOOKUP($G669,nrCHname,nrCHnum),IFERROR(_xlfn.XLOOKUP($G669,nrSUBname,nrSUBparent),"")))</f>
        <v/>
      </c>
      <c r="I669" s="16" t="n"/>
      <c r="J669" s="16" t="n"/>
      <c r="K669" s="17">
        <f>IF($B669="","",IFERROR(_xlfn.XLOOKUP($B669,nrCDdate,nrCDweek),""))</f>
        <v/>
      </c>
      <c r="L669" s="17">
        <f>IF($B669="","",IFERROR(_xlfn.XLOOKUP($B669,nrCDdate,nrCDnum),""))</f>
        <v/>
      </c>
      <c r="M669" s="16" t="n"/>
      <c r="N669" s="17">
        <f>IF(OR($B669="",$I669=""),"",_xlfn.LET(_xlpm.a,$I669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69" s="17">
        <f>IF(OR($B669="",$D669="",$E669=""),"",IF($E669=$D669,"CHECK TIMES (start = end)",IF($F669&gt;12,"CHECK TIMES (End is before Start?)","OK")))</f>
        <v/>
      </c>
      <c r="P669" s="17">
        <f>IF(OR($B669="",$I669=""),"",IF(IFERROR(MATCH($G669,nrBankTopics,0),0)=0,"OK",IF(COUNTA(INDEX(nrBankGrid,IFERROR(MATCH($G669,nrBankTopics,0),1),0))=0,"OK",IF(SUMPRODUCT((nrInstrNames&lt;&gt;"")*ISNUMBER(SEARCH(nrInstrNames,$I669))*(COUNTIF(INDEX(nrBankGrid,IFERROR(MATCH($G669,nrBankTopics,0),1),0),nrInstrNames)&gt;0))&lt;SUMPRODUCT((nrInstrNames&lt;&gt;"")*ISNUMBER(SEARCH(nrInstrNames,$I669))),"NOT IN BANK","OK"))))</f>
        <v/>
      </c>
    </row>
    <row r="670">
      <c r="B670" s="18" t="n"/>
      <c r="C670" s="17">
        <f>IF($B670="","",TEXT($B670,"ddd"))</f>
        <v/>
      </c>
      <c r="D670" s="41" t="n"/>
      <c r="E670" s="41" t="n"/>
      <c r="F670" s="17">
        <f>IF(OR($B670="",$D670="",$E670=""),"",ROUND(MOD($E670-$D670,1)*24,2))</f>
        <v/>
      </c>
      <c r="G670" s="16" t="n"/>
      <c r="H670" s="17">
        <f>IF($G670="","",IFERROR(_xlfn.XLOOKUP($G670,nrCHname,nrCHnum),IFERROR(_xlfn.XLOOKUP($G670,nrSUBname,nrSUBparent),"")))</f>
        <v/>
      </c>
      <c r="I670" s="16" t="n"/>
      <c r="J670" s="16" t="n"/>
      <c r="K670" s="17">
        <f>IF($B670="","",IFERROR(_xlfn.XLOOKUP($B670,nrCDdate,nrCDweek),""))</f>
        <v/>
      </c>
      <c r="L670" s="17">
        <f>IF($B670="","",IFERROR(_xlfn.XLOOKUP($B670,nrCDdate,nrCDnum),""))</f>
        <v/>
      </c>
      <c r="M670" s="16" t="n"/>
      <c r="N670" s="17">
        <f>IF(OR($B670="",$I670=""),"",_xlfn.LET(_xlpm.a,$I670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70" s="17">
        <f>IF(OR($B670="",$D670="",$E670=""),"",IF($E670=$D670,"CHECK TIMES (start = end)",IF($F670&gt;12,"CHECK TIMES (End is before Start?)","OK")))</f>
        <v/>
      </c>
      <c r="P670" s="17">
        <f>IF(OR($B670="",$I670=""),"",IF(IFERROR(MATCH($G670,nrBankTopics,0),0)=0,"OK",IF(COUNTA(INDEX(nrBankGrid,IFERROR(MATCH($G670,nrBankTopics,0),1),0))=0,"OK",IF(SUMPRODUCT((nrInstrNames&lt;&gt;"")*ISNUMBER(SEARCH(nrInstrNames,$I670))*(COUNTIF(INDEX(nrBankGrid,IFERROR(MATCH($G670,nrBankTopics,0),1),0),nrInstrNames)&gt;0))&lt;SUMPRODUCT((nrInstrNames&lt;&gt;"")*ISNUMBER(SEARCH(nrInstrNames,$I670))),"NOT IN BANK","OK"))))</f>
        <v/>
      </c>
    </row>
    <row r="671">
      <c r="B671" s="18" t="n"/>
      <c r="C671" s="17">
        <f>IF($B671="","",TEXT($B671,"ddd"))</f>
        <v/>
      </c>
      <c r="D671" s="41" t="n"/>
      <c r="E671" s="41" t="n"/>
      <c r="F671" s="17">
        <f>IF(OR($B671="",$D671="",$E671=""),"",ROUND(MOD($E671-$D671,1)*24,2))</f>
        <v/>
      </c>
      <c r="G671" s="16" t="n"/>
      <c r="H671" s="17">
        <f>IF($G671="","",IFERROR(_xlfn.XLOOKUP($G671,nrCHname,nrCHnum),IFERROR(_xlfn.XLOOKUP($G671,nrSUBname,nrSUBparent),"")))</f>
        <v/>
      </c>
      <c r="I671" s="16" t="n"/>
      <c r="J671" s="16" t="n"/>
      <c r="K671" s="17">
        <f>IF($B671="","",IFERROR(_xlfn.XLOOKUP($B671,nrCDdate,nrCDweek),""))</f>
        <v/>
      </c>
      <c r="L671" s="17">
        <f>IF($B671="","",IFERROR(_xlfn.XLOOKUP($B671,nrCDdate,nrCDnum),""))</f>
        <v/>
      </c>
      <c r="M671" s="16" t="n"/>
      <c r="N671" s="17">
        <f>IF(OR($B671="",$I671=""),"",_xlfn.LET(_xlpm.a,$I671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71" s="17">
        <f>IF(OR($B671="",$D671="",$E671=""),"",IF($E671=$D671,"CHECK TIMES (start = end)",IF($F671&gt;12,"CHECK TIMES (End is before Start?)","OK")))</f>
        <v/>
      </c>
      <c r="P671" s="17">
        <f>IF(OR($B671="",$I671=""),"",IF(IFERROR(MATCH($G671,nrBankTopics,0),0)=0,"OK",IF(COUNTA(INDEX(nrBankGrid,IFERROR(MATCH($G671,nrBankTopics,0),1),0))=0,"OK",IF(SUMPRODUCT((nrInstrNames&lt;&gt;"")*ISNUMBER(SEARCH(nrInstrNames,$I671))*(COUNTIF(INDEX(nrBankGrid,IFERROR(MATCH($G671,nrBankTopics,0),1),0),nrInstrNames)&gt;0))&lt;SUMPRODUCT((nrInstrNames&lt;&gt;"")*ISNUMBER(SEARCH(nrInstrNames,$I671))),"NOT IN BANK","OK"))))</f>
        <v/>
      </c>
    </row>
    <row r="672">
      <c r="B672" s="18" t="n"/>
      <c r="C672" s="17">
        <f>IF($B672="","",TEXT($B672,"ddd"))</f>
        <v/>
      </c>
      <c r="D672" s="41" t="n"/>
      <c r="E672" s="41" t="n"/>
      <c r="F672" s="17">
        <f>IF(OR($B672="",$D672="",$E672=""),"",ROUND(MOD($E672-$D672,1)*24,2))</f>
        <v/>
      </c>
      <c r="G672" s="16" t="n"/>
      <c r="H672" s="17">
        <f>IF($G672="","",IFERROR(_xlfn.XLOOKUP($G672,nrCHname,nrCHnum),IFERROR(_xlfn.XLOOKUP($G672,nrSUBname,nrSUBparent),"")))</f>
        <v/>
      </c>
      <c r="I672" s="16" t="n"/>
      <c r="J672" s="16" t="n"/>
      <c r="K672" s="17">
        <f>IF($B672="","",IFERROR(_xlfn.XLOOKUP($B672,nrCDdate,nrCDweek),""))</f>
        <v/>
      </c>
      <c r="L672" s="17">
        <f>IF($B672="","",IFERROR(_xlfn.XLOOKUP($B672,nrCDdate,nrCDnum),""))</f>
        <v/>
      </c>
      <c r="M672" s="16" t="n"/>
      <c r="N672" s="17">
        <f>IF(OR($B672="",$I672=""),"",_xlfn.LET(_xlpm.a,$I672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72" s="17">
        <f>IF(OR($B672="",$D672="",$E672=""),"",IF($E672=$D672,"CHECK TIMES (start = end)",IF($F672&gt;12,"CHECK TIMES (End is before Start?)","OK")))</f>
        <v/>
      </c>
      <c r="P672" s="17">
        <f>IF(OR($B672="",$I672=""),"",IF(IFERROR(MATCH($G672,nrBankTopics,0),0)=0,"OK",IF(COUNTA(INDEX(nrBankGrid,IFERROR(MATCH($G672,nrBankTopics,0),1),0))=0,"OK",IF(SUMPRODUCT((nrInstrNames&lt;&gt;"")*ISNUMBER(SEARCH(nrInstrNames,$I672))*(COUNTIF(INDEX(nrBankGrid,IFERROR(MATCH($G672,nrBankTopics,0),1),0),nrInstrNames)&gt;0))&lt;SUMPRODUCT((nrInstrNames&lt;&gt;"")*ISNUMBER(SEARCH(nrInstrNames,$I672))),"NOT IN BANK","OK"))))</f>
        <v/>
      </c>
    </row>
    <row r="673">
      <c r="B673" s="18" t="n"/>
      <c r="C673" s="17">
        <f>IF($B673="","",TEXT($B673,"ddd"))</f>
        <v/>
      </c>
      <c r="D673" s="41" t="n"/>
      <c r="E673" s="41" t="n"/>
      <c r="F673" s="17">
        <f>IF(OR($B673="",$D673="",$E673=""),"",ROUND(MOD($E673-$D673,1)*24,2))</f>
        <v/>
      </c>
      <c r="G673" s="16" t="n"/>
      <c r="H673" s="17">
        <f>IF($G673="","",IFERROR(_xlfn.XLOOKUP($G673,nrCHname,nrCHnum),IFERROR(_xlfn.XLOOKUP($G673,nrSUBname,nrSUBparent),"")))</f>
        <v/>
      </c>
      <c r="I673" s="16" t="n"/>
      <c r="J673" s="16" t="n"/>
      <c r="K673" s="17">
        <f>IF($B673="","",IFERROR(_xlfn.XLOOKUP($B673,nrCDdate,nrCDweek),""))</f>
        <v/>
      </c>
      <c r="L673" s="17">
        <f>IF($B673="","",IFERROR(_xlfn.XLOOKUP($B673,nrCDdate,nrCDnum),""))</f>
        <v/>
      </c>
      <c r="M673" s="16" t="n"/>
      <c r="N673" s="17">
        <f>IF(OR($B673="",$I673=""),"",_xlfn.LET(_xlpm.a,$I673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73" s="17">
        <f>IF(OR($B673="",$D673="",$E673=""),"",IF($E673=$D673,"CHECK TIMES (start = end)",IF($F673&gt;12,"CHECK TIMES (End is before Start?)","OK")))</f>
        <v/>
      </c>
      <c r="P673" s="17">
        <f>IF(OR($B673="",$I673=""),"",IF(IFERROR(MATCH($G673,nrBankTopics,0),0)=0,"OK",IF(COUNTA(INDEX(nrBankGrid,IFERROR(MATCH($G673,nrBankTopics,0),1),0))=0,"OK",IF(SUMPRODUCT((nrInstrNames&lt;&gt;"")*ISNUMBER(SEARCH(nrInstrNames,$I673))*(COUNTIF(INDEX(nrBankGrid,IFERROR(MATCH($G673,nrBankTopics,0),1),0),nrInstrNames)&gt;0))&lt;SUMPRODUCT((nrInstrNames&lt;&gt;"")*ISNUMBER(SEARCH(nrInstrNames,$I673))),"NOT IN BANK","OK"))))</f>
        <v/>
      </c>
    </row>
    <row r="674">
      <c r="B674" s="18" t="n"/>
      <c r="C674" s="17">
        <f>IF($B674="","",TEXT($B674,"ddd"))</f>
        <v/>
      </c>
      <c r="D674" s="41" t="n"/>
      <c r="E674" s="41" t="n"/>
      <c r="F674" s="17">
        <f>IF(OR($B674="",$D674="",$E674=""),"",ROUND(MOD($E674-$D674,1)*24,2))</f>
        <v/>
      </c>
      <c r="G674" s="16" t="n"/>
      <c r="H674" s="17">
        <f>IF($G674="","",IFERROR(_xlfn.XLOOKUP($G674,nrCHname,nrCHnum),IFERROR(_xlfn.XLOOKUP($G674,nrSUBname,nrSUBparent),"")))</f>
        <v/>
      </c>
      <c r="I674" s="16" t="n"/>
      <c r="J674" s="16" t="n"/>
      <c r="K674" s="17">
        <f>IF($B674="","",IFERROR(_xlfn.XLOOKUP($B674,nrCDdate,nrCDweek),""))</f>
        <v/>
      </c>
      <c r="L674" s="17">
        <f>IF($B674="","",IFERROR(_xlfn.XLOOKUP($B674,nrCDdate,nrCDnum),""))</f>
        <v/>
      </c>
      <c r="M674" s="16" t="n"/>
      <c r="N674" s="17">
        <f>IF(OR($B674="",$I674=""),"",_xlfn.LET(_xlpm.a,$I674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74" s="17">
        <f>IF(OR($B674="",$D674="",$E674=""),"",IF($E674=$D674,"CHECK TIMES (start = end)",IF($F674&gt;12,"CHECK TIMES (End is before Start?)","OK")))</f>
        <v/>
      </c>
      <c r="P674" s="17">
        <f>IF(OR($B674="",$I674=""),"",IF(IFERROR(MATCH($G674,nrBankTopics,0),0)=0,"OK",IF(COUNTA(INDEX(nrBankGrid,IFERROR(MATCH($G674,nrBankTopics,0),1),0))=0,"OK",IF(SUMPRODUCT((nrInstrNames&lt;&gt;"")*ISNUMBER(SEARCH(nrInstrNames,$I674))*(COUNTIF(INDEX(nrBankGrid,IFERROR(MATCH($G674,nrBankTopics,0),1),0),nrInstrNames)&gt;0))&lt;SUMPRODUCT((nrInstrNames&lt;&gt;"")*ISNUMBER(SEARCH(nrInstrNames,$I674))),"NOT IN BANK","OK"))))</f>
        <v/>
      </c>
    </row>
    <row r="675">
      <c r="B675" s="18" t="n"/>
      <c r="C675" s="17">
        <f>IF($B675="","",TEXT($B675,"ddd"))</f>
        <v/>
      </c>
      <c r="D675" s="41" t="n"/>
      <c r="E675" s="41" t="n"/>
      <c r="F675" s="17">
        <f>IF(OR($B675="",$D675="",$E675=""),"",ROUND(MOD($E675-$D675,1)*24,2))</f>
        <v/>
      </c>
      <c r="G675" s="16" t="n"/>
      <c r="H675" s="17">
        <f>IF($G675="","",IFERROR(_xlfn.XLOOKUP($G675,nrCHname,nrCHnum),IFERROR(_xlfn.XLOOKUP($G675,nrSUBname,nrSUBparent),"")))</f>
        <v/>
      </c>
      <c r="I675" s="16" t="n"/>
      <c r="J675" s="16" t="n"/>
      <c r="K675" s="17">
        <f>IF($B675="","",IFERROR(_xlfn.XLOOKUP($B675,nrCDdate,nrCDweek),""))</f>
        <v/>
      </c>
      <c r="L675" s="17">
        <f>IF($B675="","",IFERROR(_xlfn.XLOOKUP($B675,nrCDdate,nrCDnum),""))</f>
        <v/>
      </c>
      <c r="M675" s="16" t="n"/>
      <c r="N675" s="17">
        <f>IF(OR($B675="",$I675=""),"",_xlfn.LET(_xlpm.a,$I675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75" s="17">
        <f>IF(OR($B675="",$D675="",$E675=""),"",IF($E675=$D675,"CHECK TIMES (start = end)",IF($F675&gt;12,"CHECK TIMES (End is before Start?)","OK")))</f>
        <v/>
      </c>
      <c r="P675" s="17">
        <f>IF(OR($B675="",$I675=""),"",IF(IFERROR(MATCH($G675,nrBankTopics,0),0)=0,"OK",IF(COUNTA(INDEX(nrBankGrid,IFERROR(MATCH($G675,nrBankTopics,0),1),0))=0,"OK",IF(SUMPRODUCT((nrInstrNames&lt;&gt;"")*ISNUMBER(SEARCH(nrInstrNames,$I675))*(COUNTIF(INDEX(nrBankGrid,IFERROR(MATCH($G675,nrBankTopics,0),1),0),nrInstrNames)&gt;0))&lt;SUMPRODUCT((nrInstrNames&lt;&gt;"")*ISNUMBER(SEARCH(nrInstrNames,$I675))),"NOT IN BANK","OK"))))</f>
        <v/>
      </c>
    </row>
    <row r="676">
      <c r="B676" s="18" t="n"/>
      <c r="C676" s="17">
        <f>IF($B676="","",TEXT($B676,"ddd"))</f>
        <v/>
      </c>
      <c r="D676" s="41" t="n"/>
      <c r="E676" s="41" t="n"/>
      <c r="F676" s="17">
        <f>IF(OR($B676="",$D676="",$E676=""),"",ROUND(MOD($E676-$D676,1)*24,2))</f>
        <v/>
      </c>
      <c r="G676" s="16" t="n"/>
      <c r="H676" s="17">
        <f>IF($G676="","",IFERROR(_xlfn.XLOOKUP($G676,nrCHname,nrCHnum),IFERROR(_xlfn.XLOOKUP($G676,nrSUBname,nrSUBparent),"")))</f>
        <v/>
      </c>
      <c r="I676" s="16" t="n"/>
      <c r="J676" s="16" t="n"/>
      <c r="K676" s="17">
        <f>IF($B676="","",IFERROR(_xlfn.XLOOKUP($B676,nrCDdate,nrCDweek),""))</f>
        <v/>
      </c>
      <c r="L676" s="17">
        <f>IF($B676="","",IFERROR(_xlfn.XLOOKUP($B676,nrCDdate,nrCDnum),""))</f>
        <v/>
      </c>
      <c r="M676" s="16" t="n"/>
      <c r="N676" s="17">
        <f>IF(OR($B676="",$I676=""),"",_xlfn.LET(_xlpm.a,$I676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76" s="17">
        <f>IF(OR($B676="",$D676="",$E676=""),"",IF($E676=$D676,"CHECK TIMES (start = end)",IF($F676&gt;12,"CHECK TIMES (End is before Start?)","OK")))</f>
        <v/>
      </c>
      <c r="P676" s="17">
        <f>IF(OR($B676="",$I676=""),"",IF(IFERROR(MATCH($G676,nrBankTopics,0),0)=0,"OK",IF(COUNTA(INDEX(nrBankGrid,IFERROR(MATCH($G676,nrBankTopics,0),1),0))=0,"OK",IF(SUMPRODUCT((nrInstrNames&lt;&gt;"")*ISNUMBER(SEARCH(nrInstrNames,$I676))*(COUNTIF(INDEX(nrBankGrid,IFERROR(MATCH($G676,nrBankTopics,0),1),0),nrInstrNames)&gt;0))&lt;SUMPRODUCT((nrInstrNames&lt;&gt;"")*ISNUMBER(SEARCH(nrInstrNames,$I676))),"NOT IN BANK","OK"))))</f>
        <v/>
      </c>
    </row>
    <row r="677">
      <c r="B677" s="18" t="n"/>
      <c r="C677" s="17">
        <f>IF($B677="","",TEXT($B677,"ddd"))</f>
        <v/>
      </c>
      <c r="D677" s="41" t="n"/>
      <c r="E677" s="41" t="n"/>
      <c r="F677" s="17">
        <f>IF(OR($B677="",$D677="",$E677=""),"",ROUND(MOD($E677-$D677,1)*24,2))</f>
        <v/>
      </c>
      <c r="G677" s="16" t="n"/>
      <c r="H677" s="17">
        <f>IF($G677="","",IFERROR(_xlfn.XLOOKUP($G677,nrCHname,nrCHnum),IFERROR(_xlfn.XLOOKUP($G677,nrSUBname,nrSUBparent),"")))</f>
        <v/>
      </c>
      <c r="I677" s="16" t="n"/>
      <c r="J677" s="16" t="n"/>
      <c r="K677" s="17">
        <f>IF($B677="","",IFERROR(_xlfn.XLOOKUP($B677,nrCDdate,nrCDweek),""))</f>
        <v/>
      </c>
      <c r="L677" s="17">
        <f>IF($B677="","",IFERROR(_xlfn.XLOOKUP($B677,nrCDdate,nrCDnum),""))</f>
        <v/>
      </c>
      <c r="M677" s="16" t="n"/>
      <c r="N677" s="17">
        <f>IF(OR($B677="",$I677=""),"",_xlfn.LET(_xlpm.a,$I677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77" s="17">
        <f>IF(OR($B677="",$D677="",$E677=""),"",IF($E677=$D677,"CHECK TIMES (start = end)",IF($F677&gt;12,"CHECK TIMES (End is before Start?)","OK")))</f>
        <v/>
      </c>
      <c r="P677" s="17">
        <f>IF(OR($B677="",$I677=""),"",IF(IFERROR(MATCH($G677,nrBankTopics,0),0)=0,"OK",IF(COUNTA(INDEX(nrBankGrid,IFERROR(MATCH($G677,nrBankTopics,0),1),0))=0,"OK",IF(SUMPRODUCT((nrInstrNames&lt;&gt;"")*ISNUMBER(SEARCH(nrInstrNames,$I677))*(COUNTIF(INDEX(nrBankGrid,IFERROR(MATCH($G677,nrBankTopics,0),1),0),nrInstrNames)&gt;0))&lt;SUMPRODUCT((nrInstrNames&lt;&gt;"")*ISNUMBER(SEARCH(nrInstrNames,$I677))),"NOT IN BANK","OK"))))</f>
        <v/>
      </c>
    </row>
    <row r="678">
      <c r="B678" s="18" t="n"/>
      <c r="C678" s="17">
        <f>IF($B678="","",TEXT($B678,"ddd"))</f>
        <v/>
      </c>
      <c r="D678" s="41" t="n"/>
      <c r="E678" s="41" t="n"/>
      <c r="F678" s="17">
        <f>IF(OR($B678="",$D678="",$E678=""),"",ROUND(MOD($E678-$D678,1)*24,2))</f>
        <v/>
      </c>
      <c r="G678" s="16" t="n"/>
      <c r="H678" s="17">
        <f>IF($G678="","",IFERROR(_xlfn.XLOOKUP($G678,nrCHname,nrCHnum),IFERROR(_xlfn.XLOOKUP($G678,nrSUBname,nrSUBparent),"")))</f>
        <v/>
      </c>
      <c r="I678" s="16" t="n"/>
      <c r="J678" s="16" t="n"/>
      <c r="K678" s="17">
        <f>IF($B678="","",IFERROR(_xlfn.XLOOKUP($B678,nrCDdate,nrCDweek),""))</f>
        <v/>
      </c>
      <c r="L678" s="17">
        <f>IF($B678="","",IFERROR(_xlfn.XLOOKUP($B678,nrCDdate,nrCDnum),""))</f>
        <v/>
      </c>
      <c r="M678" s="16" t="n"/>
      <c r="N678" s="17">
        <f>IF(OR($B678="",$I678=""),"",_xlfn.LET(_xlpm.a,$I678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78" s="17">
        <f>IF(OR($B678="",$D678="",$E678=""),"",IF($E678=$D678,"CHECK TIMES (start = end)",IF($F678&gt;12,"CHECK TIMES (End is before Start?)","OK")))</f>
        <v/>
      </c>
      <c r="P678" s="17">
        <f>IF(OR($B678="",$I678=""),"",IF(IFERROR(MATCH($G678,nrBankTopics,0),0)=0,"OK",IF(COUNTA(INDEX(nrBankGrid,IFERROR(MATCH($G678,nrBankTopics,0),1),0))=0,"OK",IF(SUMPRODUCT((nrInstrNames&lt;&gt;"")*ISNUMBER(SEARCH(nrInstrNames,$I678))*(COUNTIF(INDEX(nrBankGrid,IFERROR(MATCH($G678,nrBankTopics,0),1),0),nrInstrNames)&gt;0))&lt;SUMPRODUCT((nrInstrNames&lt;&gt;"")*ISNUMBER(SEARCH(nrInstrNames,$I678))),"NOT IN BANK","OK"))))</f>
        <v/>
      </c>
    </row>
    <row r="679">
      <c r="B679" s="18" t="n"/>
      <c r="C679" s="17">
        <f>IF($B679="","",TEXT($B679,"ddd"))</f>
        <v/>
      </c>
      <c r="D679" s="41" t="n"/>
      <c r="E679" s="41" t="n"/>
      <c r="F679" s="17">
        <f>IF(OR($B679="",$D679="",$E679=""),"",ROUND(MOD($E679-$D679,1)*24,2))</f>
        <v/>
      </c>
      <c r="G679" s="16" t="n"/>
      <c r="H679" s="17">
        <f>IF($G679="","",IFERROR(_xlfn.XLOOKUP($G679,nrCHname,nrCHnum),IFERROR(_xlfn.XLOOKUP($G679,nrSUBname,nrSUBparent),"")))</f>
        <v/>
      </c>
      <c r="I679" s="16" t="n"/>
      <c r="J679" s="16" t="n"/>
      <c r="K679" s="17">
        <f>IF($B679="","",IFERROR(_xlfn.XLOOKUP($B679,nrCDdate,nrCDweek),""))</f>
        <v/>
      </c>
      <c r="L679" s="17">
        <f>IF($B679="","",IFERROR(_xlfn.XLOOKUP($B679,nrCDdate,nrCDnum),""))</f>
        <v/>
      </c>
      <c r="M679" s="16" t="n"/>
      <c r="N679" s="17">
        <f>IF(OR($B679="",$I679=""),"",_xlfn.LET(_xlpm.a,$I679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79" s="17">
        <f>IF(OR($B679="",$D679="",$E679=""),"",IF($E679=$D679,"CHECK TIMES (start = end)",IF($F679&gt;12,"CHECK TIMES (End is before Start?)","OK")))</f>
        <v/>
      </c>
      <c r="P679" s="17">
        <f>IF(OR($B679="",$I679=""),"",IF(IFERROR(MATCH($G679,nrBankTopics,0),0)=0,"OK",IF(COUNTA(INDEX(nrBankGrid,IFERROR(MATCH($G679,nrBankTopics,0),1),0))=0,"OK",IF(SUMPRODUCT((nrInstrNames&lt;&gt;"")*ISNUMBER(SEARCH(nrInstrNames,$I679))*(COUNTIF(INDEX(nrBankGrid,IFERROR(MATCH($G679,nrBankTopics,0),1),0),nrInstrNames)&gt;0))&lt;SUMPRODUCT((nrInstrNames&lt;&gt;"")*ISNUMBER(SEARCH(nrInstrNames,$I679))),"NOT IN BANK","OK"))))</f>
        <v/>
      </c>
    </row>
    <row r="680">
      <c r="B680" s="18" t="n"/>
      <c r="C680" s="17">
        <f>IF($B680="","",TEXT($B680,"ddd"))</f>
        <v/>
      </c>
      <c r="D680" s="41" t="n"/>
      <c r="E680" s="41" t="n"/>
      <c r="F680" s="17">
        <f>IF(OR($B680="",$D680="",$E680=""),"",ROUND(MOD($E680-$D680,1)*24,2))</f>
        <v/>
      </c>
      <c r="G680" s="16" t="n"/>
      <c r="H680" s="17">
        <f>IF($G680="","",IFERROR(_xlfn.XLOOKUP($G680,nrCHname,nrCHnum),IFERROR(_xlfn.XLOOKUP($G680,nrSUBname,nrSUBparent),"")))</f>
        <v/>
      </c>
      <c r="I680" s="16" t="n"/>
      <c r="J680" s="16" t="n"/>
      <c r="K680" s="17">
        <f>IF($B680="","",IFERROR(_xlfn.XLOOKUP($B680,nrCDdate,nrCDweek),""))</f>
        <v/>
      </c>
      <c r="L680" s="17">
        <f>IF($B680="","",IFERROR(_xlfn.XLOOKUP($B680,nrCDdate,nrCDnum),""))</f>
        <v/>
      </c>
      <c r="M680" s="16" t="n"/>
      <c r="N680" s="17">
        <f>IF(OR($B680="",$I680=""),"",_xlfn.LET(_xlpm.a,$I680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80" s="17">
        <f>IF(OR($B680="",$D680="",$E680=""),"",IF($E680=$D680,"CHECK TIMES (start = end)",IF($F680&gt;12,"CHECK TIMES (End is before Start?)","OK")))</f>
        <v/>
      </c>
      <c r="P680" s="17">
        <f>IF(OR($B680="",$I680=""),"",IF(IFERROR(MATCH($G680,nrBankTopics,0),0)=0,"OK",IF(COUNTA(INDEX(nrBankGrid,IFERROR(MATCH($G680,nrBankTopics,0),1),0))=0,"OK",IF(SUMPRODUCT((nrInstrNames&lt;&gt;"")*ISNUMBER(SEARCH(nrInstrNames,$I680))*(COUNTIF(INDEX(nrBankGrid,IFERROR(MATCH($G680,nrBankTopics,0),1),0),nrInstrNames)&gt;0))&lt;SUMPRODUCT((nrInstrNames&lt;&gt;"")*ISNUMBER(SEARCH(nrInstrNames,$I680))),"NOT IN BANK","OK"))))</f>
        <v/>
      </c>
    </row>
    <row r="681">
      <c r="B681" s="18" t="n"/>
      <c r="C681" s="17">
        <f>IF($B681="","",TEXT($B681,"ddd"))</f>
        <v/>
      </c>
      <c r="D681" s="41" t="n"/>
      <c r="E681" s="41" t="n"/>
      <c r="F681" s="17">
        <f>IF(OR($B681="",$D681="",$E681=""),"",ROUND(MOD($E681-$D681,1)*24,2))</f>
        <v/>
      </c>
      <c r="G681" s="16" t="n"/>
      <c r="H681" s="17">
        <f>IF($G681="","",IFERROR(_xlfn.XLOOKUP($G681,nrCHname,nrCHnum),IFERROR(_xlfn.XLOOKUP($G681,nrSUBname,nrSUBparent),"")))</f>
        <v/>
      </c>
      <c r="I681" s="16" t="n"/>
      <c r="J681" s="16" t="n"/>
      <c r="K681" s="17">
        <f>IF($B681="","",IFERROR(_xlfn.XLOOKUP($B681,nrCDdate,nrCDweek),""))</f>
        <v/>
      </c>
      <c r="L681" s="17">
        <f>IF($B681="","",IFERROR(_xlfn.XLOOKUP($B681,nrCDdate,nrCDnum),""))</f>
        <v/>
      </c>
      <c r="M681" s="16" t="n"/>
      <c r="N681" s="17">
        <f>IF(OR($B681="",$I681=""),"",_xlfn.LET(_xlpm.a,$I681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81" s="17">
        <f>IF(OR($B681="",$D681="",$E681=""),"",IF($E681=$D681,"CHECK TIMES (start = end)",IF($F681&gt;12,"CHECK TIMES (End is before Start?)","OK")))</f>
        <v/>
      </c>
      <c r="P681" s="17">
        <f>IF(OR($B681="",$I681=""),"",IF(IFERROR(MATCH($G681,nrBankTopics,0),0)=0,"OK",IF(COUNTA(INDEX(nrBankGrid,IFERROR(MATCH($G681,nrBankTopics,0),1),0))=0,"OK",IF(SUMPRODUCT((nrInstrNames&lt;&gt;"")*ISNUMBER(SEARCH(nrInstrNames,$I681))*(COUNTIF(INDEX(nrBankGrid,IFERROR(MATCH($G681,nrBankTopics,0),1),0),nrInstrNames)&gt;0))&lt;SUMPRODUCT((nrInstrNames&lt;&gt;"")*ISNUMBER(SEARCH(nrInstrNames,$I681))),"NOT IN BANK","OK"))))</f>
        <v/>
      </c>
    </row>
    <row r="682">
      <c r="B682" s="18" t="n"/>
      <c r="C682" s="17">
        <f>IF($B682="","",TEXT($B682,"ddd"))</f>
        <v/>
      </c>
      <c r="D682" s="41" t="n"/>
      <c r="E682" s="41" t="n"/>
      <c r="F682" s="17">
        <f>IF(OR($B682="",$D682="",$E682=""),"",ROUND(MOD($E682-$D682,1)*24,2))</f>
        <v/>
      </c>
      <c r="G682" s="16" t="n"/>
      <c r="H682" s="17">
        <f>IF($G682="","",IFERROR(_xlfn.XLOOKUP($G682,nrCHname,nrCHnum),IFERROR(_xlfn.XLOOKUP($G682,nrSUBname,nrSUBparent),"")))</f>
        <v/>
      </c>
      <c r="I682" s="16" t="n"/>
      <c r="J682" s="16" t="n"/>
      <c r="K682" s="17">
        <f>IF($B682="","",IFERROR(_xlfn.XLOOKUP($B682,nrCDdate,nrCDweek),""))</f>
        <v/>
      </c>
      <c r="L682" s="17">
        <f>IF($B682="","",IFERROR(_xlfn.XLOOKUP($B682,nrCDdate,nrCDnum),""))</f>
        <v/>
      </c>
      <c r="M682" s="16" t="n"/>
      <c r="N682" s="17">
        <f>IF(OR($B682="",$I682=""),"",_xlfn.LET(_xlpm.a,$I682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82" s="17">
        <f>IF(OR($B682="",$D682="",$E682=""),"",IF($E682=$D682,"CHECK TIMES (start = end)",IF($F682&gt;12,"CHECK TIMES (End is before Start?)","OK")))</f>
        <v/>
      </c>
      <c r="P682" s="17">
        <f>IF(OR($B682="",$I682=""),"",IF(IFERROR(MATCH($G682,nrBankTopics,0),0)=0,"OK",IF(COUNTA(INDEX(nrBankGrid,IFERROR(MATCH($G682,nrBankTopics,0),1),0))=0,"OK",IF(SUMPRODUCT((nrInstrNames&lt;&gt;"")*ISNUMBER(SEARCH(nrInstrNames,$I682))*(COUNTIF(INDEX(nrBankGrid,IFERROR(MATCH($G682,nrBankTopics,0),1),0),nrInstrNames)&gt;0))&lt;SUMPRODUCT((nrInstrNames&lt;&gt;"")*ISNUMBER(SEARCH(nrInstrNames,$I682))),"NOT IN BANK","OK"))))</f>
        <v/>
      </c>
    </row>
    <row r="683">
      <c r="B683" s="18" t="n"/>
      <c r="C683" s="17">
        <f>IF($B683="","",TEXT($B683,"ddd"))</f>
        <v/>
      </c>
      <c r="D683" s="41" t="n"/>
      <c r="E683" s="41" t="n"/>
      <c r="F683" s="17">
        <f>IF(OR($B683="",$D683="",$E683=""),"",ROUND(MOD($E683-$D683,1)*24,2))</f>
        <v/>
      </c>
      <c r="G683" s="16" t="n"/>
      <c r="H683" s="17">
        <f>IF($G683="","",IFERROR(_xlfn.XLOOKUP($G683,nrCHname,nrCHnum),IFERROR(_xlfn.XLOOKUP($G683,nrSUBname,nrSUBparent),"")))</f>
        <v/>
      </c>
      <c r="I683" s="16" t="n"/>
      <c r="J683" s="16" t="n"/>
      <c r="K683" s="17">
        <f>IF($B683="","",IFERROR(_xlfn.XLOOKUP($B683,nrCDdate,nrCDweek),""))</f>
        <v/>
      </c>
      <c r="L683" s="17">
        <f>IF($B683="","",IFERROR(_xlfn.XLOOKUP($B683,nrCDdate,nrCDnum),""))</f>
        <v/>
      </c>
      <c r="M683" s="16" t="n"/>
      <c r="N683" s="17">
        <f>IF(OR($B683="",$I683=""),"",_xlfn.LET(_xlpm.a,$I683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83" s="17">
        <f>IF(OR($B683="",$D683="",$E683=""),"",IF($E683=$D683,"CHECK TIMES (start = end)",IF($F683&gt;12,"CHECK TIMES (End is before Start?)","OK")))</f>
        <v/>
      </c>
      <c r="P683" s="17">
        <f>IF(OR($B683="",$I683=""),"",IF(IFERROR(MATCH($G683,nrBankTopics,0),0)=0,"OK",IF(COUNTA(INDEX(nrBankGrid,IFERROR(MATCH($G683,nrBankTopics,0),1),0))=0,"OK",IF(SUMPRODUCT((nrInstrNames&lt;&gt;"")*ISNUMBER(SEARCH(nrInstrNames,$I683))*(COUNTIF(INDEX(nrBankGrid,IFERROR(MATCH($G683,nrBankTopics,0),1),0),nrInstrNames)&gt;0))&lt;SUMPRODUCT((nrInstrNames&lt;&gt;"")*ISNUMBER(SEARCH(nrInstrNames,$I683))),"NOT IN BANK","OK"))))</f>
        <v/>
      </c>
    </row>
    <row r="684">
      <c r="B684" s="18" t="n"/>
      <c r="C684" s="17">
        <f>IF($B684="","",TEXT($B684,"ddd"))</f>
        <v/>
      </c>
      <c r="D684" s="41" t="n"/>
      <c r="E684" s="41" t="n"/>
      <c r="F684" s="17">
        <f>IF(OR($B684="",$D684="",$E684=""),"",ROUND(MOD($E684-$D684,1)*24,2))</f>
        <v/>
      </c>
      <c r="G684" s="16" t="n"/>
      <c r="H684" s="17">
        <f>IF($G684="","",IFERROR(_xlfn.XLOOKUP($G684,nrCHname,nrCHnum),IFERROR(_xlfn.XLOOKUP($G684,nrSUBname,nrSUBparent),"")))</f>
        <v/>
      </c>
      <c r="I684" s="16" t="n"/>
      <c r="J684" s="16" t="n"/>
      <c r="K684" s="17">
        <f>IF($B684="","",IFERROR(_xlfn.XLOOKUP($B684,nrCDdate,nrCDweek),""))</f>
        <v/>
      </c>
      <c r="L684" s="17">
        <f>IF($B684="","",IFERROR(_xlfn.XLOOKUP($B684,nrCDdate,nrCDnum),""))</f>
        <v/>
      </c>
      <c r="M684" s="16" t="n"/>
      <c r="N684" s="17">
        <f>IF(OR($B684="",$I684=""),"",_xlfn.LET(_xlpm.a,$I684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84" s="17">
        <f>IF(OR($B684="",$D684="",$E684=""),"",IF($E684=$D684,"CHECK TIMES (start = end)",IF($F684&gt;12,"CHECK TIMES (End is before Start?)","OK")))</f>
        <v/>
      </c>
      <c r="P684" s="17">
        <f>IF(OR($B684="",$I684=""),"",IF(IFERROR(MATCH($G684,nrBankTopics,0),0)=0,"OK",IF(COUNTA(INDEX(nrBankGrid,IFERROR(MATCH($G684,nrBankTopics,0),1),0))=0,"OK",IF(SUMPRODUCT((nrInstrNames&lt;&gt;"")*ISNUMBER(SEARCH(nrInstrNames,$I684))*(COUNTIF(INDEX(nrBankGrid,IFERROR(MATCH($G684,nrBankTopics,0),1),0),nrInstrNames)&gt;0))&lt;SUMPRODUCT((nrInstrNames&lt;&gt;"")*ISNUMBER(SEARCH(nrInstrNames,$I684))),"NOT IN BANK","OK"))))</f>
        <v/>
      </c>
    </row>
    <row r="685">
      <c r="B685" s="18" t="n"/>
      <c r="C685" s="17">
        <f>IF($B685="","",TEXT($B685,"ddd"))</f>
        <v/>
      </c>
      <c r="D685" s="41" t="n"/>
      <c r="E685" s="41" t="n"/>
      <c r="F685" s="17">
        <f>IF(OR($B685="",$D685="",$E685=""),"",ROUND(MOD($E685-$D685,1)*24,2))</f>
        <v/>
      </c>
      <c r="G685" s="16" t="n"/>
      <c r="H685" s="17">
        <f>IF($G685="","",IFERROR(_xlfn.XLOOKUP($G685,nrCHname,nrCHnum),IFERROR(_xlfn.XLOOKUP($G685,nrSUBname,nrSUBparent),"")))</f>
        <v/>
      </c>
      <c r="I685" s="16" t="n"/>
      <c r="J685" s="16" t="n"/>
      <c r="K685" s="17">
        <f>IF($B685="","",IFERROR(_xlfn.XLOOKUP($B685,nrCDdate,nrCDweek),""))</f>
        <v/>
      </c>
      <c r="L685" s="17">
        <f>IF($B685="","",IFERROR(_xlfn.XLOOKUP($B685,nrCDdate,nrCDnum),""))</f>
        <v/>
      </c>
      <c r="M685" s="16" t="n"/>
      <c r="N685" s="17">
        <f>IF(OR($B685="",$I685=""),"",_xlfn.LET(_xlpm.a,$I685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85" s="17">
        <f>IF(OR($B685="",$D685="",$E685=""),"",IF($E685=$D685,"CHECK TIMES (start = end)",IF($F685&gt;12,"CHECK TIMES (End is before Start?)","OK")))</f>
        <v/>
      </c>
      <c r="P685" s="17">
        <f>IF(OR($B685="",$I685=""),"",IF(IFERROR(MATCH($G685,nrBankTopics,0),0)=0,"OK",IF(COUNTA(INDEX(nrBankGrid,IFERROR(MATCH($G685,nrBankTopics,0),1),0))=0,"OK",IF(SUMPRODUCT((nrInstrNames&lt;&gt;"")*ISNUMBER(SEARCH(nrInstrNames,$I685))*(COUNTIF(INDEX(nrBankGrid,IFERROR(MATCH($G685,nrBankTopics,0),1),0),nrInstrNames)&gt;0))&lt;SUMPRODUCT((nrInstrNames&lt;&gt;"")*ISNUMBER(SEARCH(nrInstrNames,$I685))),"NOT IN BANK","OK"))))</f>
        <v/>
      </c>
    </row>
    <row r="686">
      <c r="B686" s="18" t="n"/>
      <c r="C686" s="17">
        <f>IF($B686="","",TEXT($B686,"ddd"))</f>
        <v/>
      </c>
      <c r="D686" s="41" t="n"/>
      <c r="E686" s="41" t="n"/>
      <c r="F686" s="17">
        <f>IF(OR($B686="",$D686="",$E686=""),"",ROUND(MOD($E686-$D686,1)*24,2))</f>
        <v/>
      </c>
      <c r="G686" s="16" t="n"/>
      <c r="H686" s="17">
        <f>IF($G686="","",IFERROR(_xlfn.XLOOKUP($G686,nrCHname,nrCHnum),IFERROR(_xlfn.XLOOKUP($G686,nrSUBname,nrSUBparent),"")))</f>
        <v/>
      </c>
      <c r="I686" s="16" t="n"/>
      <c r="J686" s="16" t="n"/>
      <c r="K686" s="17">
        <f>IF($B686="","",IFERROR(_xlfn.XLOOKUP($B686,nrCDdate,nrCDweek),""))</f>
        <v/>
      </c>
      <c r="L686" s="17">
        <f>IF($B686="","",IFERROR(_xlfn.XLOOKUP($B686,nrCDdate,nrCDnum),""))</f>
        <v/>
      </c>
      <c r="M686" s="16" t="n"/>
      <c r="N686" s="17">
        <f>IF(OR($B686="",$I686=""),"",_xlfn.LET(_xlpm.a,$I686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86" s="17">
        <f>IF(OR($B686="",$D686="",$E686=""),"",IF($E686=$D686,"CHECK TIMES (start = end)",IF($F686&gt;12,"CHECK TIMES (End is before Start?)","OK")))</f>
        <v/>
      </c>
      <c r="P686" s="17">
        <f>IF(OR($B686="",$I686=""),"",IF(IFERROR(MATCH($G686,nrBankTopics,0),0)=0,"OK",IF(COUNTA(INDEX(nrBankGrid,IFERROR(MATCH($G686,nrBankTopics,0),1),0))=0,"OK",IF(SUMPRODUCT((nrInstrNames&lt;&gt;"")*ISNUMBER(SEARCH(nrInstrNames,$I686))*(COUNTIF(INDEX(nrBankGrid,IFERROR(MATCH($G686,nrBankTopics,0),1),0),nrInstrNames)&gt;0))&lt;SUMPRODUCT((nrInstrNames&lt;&gt;"")*ISNUMBER(SEARCH(nrInstrNames,$I686))),"NOT IN BANK","OK"))))</f>
        <v/>
      </c>
    </row>
    <row r="687">
      <c r="B687" s="18" t="n"/>
      <c r="C687" s="17">
        <f>IF($B687="","",TEXT($B687,"ddd"))</f>
        <v/>
      </c>
      <c r="D687" s="41" t="n"/>
      <c r="E687" s="41" t="n"/>
      <c r="F687" s="17">
        <f>IF(OR($B687="",$D687="",$E687=""),"",ROUND(MOD($E687-$D687,1)*24,2))</f>
        <v/>
      </c>
      <c r="G687" s="16" t="n"/>
      <c r="H687" s="17">
        <f>IF($G687="","",IFERROR(_xlfn.XLOOKUP($G687,nrCHname,nrCHnum),IFERROR(_xlfn.XLOOKUP($G687,nrSUBname,nrSUBparent),"")))</f>
        <v/>
      </c>
      <c r="I687" s="16" t="n"/>
      <c r="J687" s="16" t="n"/>
      <c r="K687" s="17">
        <f>IF($B687="","",IFERROR(_xlfn.XLOOKUP($B687,nrCDdate,nrCDweek),""))</f>
        <v/>
      </c>
      <c r="L687" s="17">
        <f>IF($B687="","",IFERROR(_xlfn.XLOOKUP($B687,nrCDdate,nrCDnum),""))</f>
        <v/>
      </c>
      <c r="M687" s="16" t="n"/>
      <c r="N687" s="17">
        <f>IF(OR($B687="",$I687=""),"",_xlfn.LET(_xlpm.a,$I687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87" s="17">
        <f>IF(OR($B687="",$D687="",$E687=""),"",IF($E687=$D687,"CHECK TIMES (start = end)",IF($F687&gt;12,"CHECK TIMES (End is before Start?)","OK")))</f>
        <v/>
      </c>
      <c r="P687" s="17">
        <f>IF(OR($B687="",$I687=""),"",IF(IFERROR(MATCH($G687,nrBankTopics,0),0)=0,"OK",IF(COUNTA(INDEX(nrBankGrid,IFERROR(MATCH($G687,nrBankTopics,0),1),0))=0,"OK",IF(SUMPRODUCT((nrInstrNames&lt;&gt;"")*ISNUMBER(SEARCH(nrInstrNames,$I687))*(COUNTIF(INDEX(nrBankGrid,IFERROR(MATCH($G687,nrBankTopics,0),1),0),nrInstrNames)&gt;0))&lt;SUMPRODUCT((nrInstrNames&lt;&gt;"")*ISNUMBER(SEARCH(nrInstrNames,$I687))),"NOT IN BANK","OK"))))</f>
        <v/>
      </c>
    </row>
    <row r="688">
      <c r="B688" s="18" t="n"/>
      <c r="C688" s="17">
        <f>IF($B688="","",TEXT($B688,"ddd"))</f>
        <v/>
      </c>
      <c r="D688" s="41" t="n"/>
      <c r="E688" s="41" t="n"/>
      <c r="F688" s="17">
        <f>IF(OR($B688="",$D688="",$E688=""),"",ROUND(MOD($E688-$D688,1)*24,2))</f>
        <v/>
      </c>
      <c r="G688" s="16" t="n"/>
      <c r="H688" s="17">
        <f>IF($G688="","",IFERROR(_xlfn.XLOOKUP($G688,nrCHname,nrCHnum),IFERROR(_xlfn.XLOOKUP($G688,nrSUBname,nrSUBparent),"")))</f>
        <v/>
      </c>
      <c r="I688" s="16" t="n"/>
      <c r="J688" s="16" t="n"/>
      <c r="K688" s="17">
        <f>IF($B688="","",IFERROR(_xlfn.XLOOKUP($B688,nrCDdate,nrCDweek),""))</f>
        <v/>
      </c>
      <c r="L688" s="17">
        <f>IF($B688="","",IFERROR(_xlfn.XLOOKUP($B688,nrCDdate,nrCDnum),""))</f>
        <v/>
      </c>
      <c r="M688" s="16" t="n"/>
      <c r="N688" s="17">
        <f>IF(OR($B688="",$I688=""),"",_xlfn.LET(_xlpm.a,$I688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88" s="17">
        <f>IF(OR($B688="",$D688="",$E688=""),"",IF($E688=$D688,"CHECK TIMES (start = end)",IF($F688&gt;12,"CHECK TIMES (End is before Start?)","OK")))</f>
        <v/>
      </c>
      <c r="P688" s="17">
        <f>IF(OR($B688="",$I688=""),"",IF(IFERROR(MATCH($G688,nrBankTopics,0),0)=0,"OK",IF(COUNTA(INDEX(nrBankGrid,IFERROR(MATCH($G688,nrBankTopics,0),1),0))=0,"OK",IF(SUMPRODUCT((nrInstrNames&lt;&gt;"")*ISNUMBER(SEARCH(nrInstrNames,$I688))*(COUNTIF(INDEX(nrBankGrid,IFERROR(MATCH($G688,nrBankTopics,0),1),0),nrInstrNames)&gt;0))&lt;SUMPRODUCT((nrInstrNames&lt;&gt;"")*ISNUMBER(SEARCH(nrInstrNames,$I688))),"NOT IN BANK","OK"))))</f>
        <v/>
      </c>
    </row>
    <row r="689">
      <c r="B689" s="18" t="n"/>
      <c r="C689" s="17">
        <f>IF($B689="","",TEXT($B689,"ddd"))</f>
        <v/>
      </c>
      <c r="D689" s="41" t="n"/>
      <c r="E689" s="41" t="n"/>
      <c r="F689" s="17">
        <f>IF(OR($B689="",$D689="",$E689=""),"",ROUND(MOD($E689-$D689,1)*24,2))</f>
        <v/>
      </c>
      <c r="G689" s="16" t="n"/>
      <c r="H689" s="17">
        <f>IF($G689="","",IFERROR(_xlfn.XLOOKUP($G689,nrCHname,nrCHnum),IFERROR(_xlfn.XLOOKUP($G689,nrSUBname,nrSUBparent),"")))</f>
        <v/>
      </c>
      <c r="I689" s="16" t="n"/>
      <c r="J689" s="16" t="n"/>
      <c r="K689" s="17">
        <f>IF($B689="","",IFERROR(_xlfn.XLOOKUP($B689,nrCDdate,nrCDweek),""))</f>
        <v/>
      </c>
      <c r="L689" s="17">
        <f>IF($B689="","",IFERROR(_xlfn.XLOOKUP($B689,nrCDdate,nrCDnum),""))</f>
        <v/>
      </c>
      <c r="M689" s="16" t="n"/>
      <c r="N689" s="17">
        <f>IF(OR($B689="",$I689=""),"",_xlfn.LET(_xlpm.a,$I689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89" s="17">
        <f>IF(OR($B689="",$D689="",$E689=""),"",IF($E689=$D689,"CHECK TIMES (start = end)",IF($F689&gt;12,"CHECK TIMES (End is before Start?)","OK")))</f>
        <v/>
      </c>
      <c r="P689" s="17">
        <f>IF(OR($B689="",$I689=""),"",IF(IFERROR(MATCH($G689,nrBankTopics,0),0)=0,"OK",IF(COUNTA(INDEX(nrBankGrid,IFERROR(MATCH($G689,nrBankTopics,0),1),0))=0,"OK",IF(SUMPRODUCT((nrInstrNames&lt;&gt;"")*ISNUMBER(SEARCH(nrInstrNames,$I689))*(COUNTIF(INDEX(nrBankGrid,IFERROR(MATCH($G689,nrBankTopics,0),1),0),nrInstrNames)&gt;0))&lt;SUMPRODUCT((nrInstrNames&lt;&gt;"")*ISNUMBER(SEARCH(nrInstrNames,$I689))),"NOT IN BANK","OK"))))</f>
        <v/>
      </c>
    </row>
    <row r="690">
      <c r="B690" s="18" t="n"/>
      <c r="C690" s="17">
        <f>IF($B690="","",TEXT($B690,"ddd"))</f>
        <v/>
      </c>
      <c r="D690" s="41" t="n"/>
      <c r="E690" s="41" t="n"/>
      <c r="F690" s="17">
        <f>IF(OR($B690="",$D690="",$E690=""),"",ROUND(MOD($E690-$D690,1)*24,2))</f>
        <v/>
      </c>
      <c r="G690" s="16" t="n"/>
      <c r="H690" s="17">
        <f>IF($G690="","",IFERROR(_xlfn.XLOOKUP($G690,nrCHname,nrCHnum),IFERROR(_xlfn.XLOOKUP($G690,nrSUBname,nrSUBparent),"")))</f>
        <v/>
      </c>
      <c r="I690" s="16" t="n"/>
      <c r="J690" s="16" t="n"/>
      <c r="K690" s="17">
        <f>IF($B690="","",IFERROR(_xlfn.XLOOKUP($B690,nrCDdate,nrCDweek),""))</f>
        <v/>
      </c>
      <c r="L690" s="17">
        <f>IF($B690="","",IFERROR(_xlfn.XLOOKUP($B690,nrCDdate,nrCDnum),""))</f>
        <v/>
      </c>
      <c r="M690" s="16" t="n"/>
      <c r="N690" s="17">
        <f>IF(OR($B690="",$I690=""),"",_xlfn.LET(_xlpm.a,$I690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90" s="17">
        <f>IF(OR($B690="",$D690="",$E690=""),"",IF($E690=$D690,"CHECK TIMES (start = end)",IF($F690&gt;12,"CHECK TIMES (End is before Start?)","OK")))</f>
        <v/>
      </c>
      <c r="P690" s="17">
        <f>IF(OR($B690="",$I690=""),"",IF(IFERROR(MATCH($G690,nrBankTopics,0),0)=0,"OK",IF(COUNTA(INDEX(nrBankGrid,IFERROR(MATCH($G690,nrBankTopics,0),1),0))=0,"OK",IF(SUMPRODUCT((nrInstrNames&lt;&gt;"")*ISNUMBER(SEARCH(nrInstrNames,$I690))*(COUNTIF(INDEX(nrBankGrid,IFERROR(MATCH($G690,nrBankTopics,0),1),0),nrInstrNames)&gt;0))&lt;SUMPRODUCT((nrInstrNames&lt;&gt;"")*ISNUMBER(SEARCH(nrInstrNames,$I690))),"NOT IN BANK","OK"))))</f>
        <v/>
      </c>
    </row>
    <row r="691">
      <c r="B691" s="18" t="n"/>
      <c r="C691" s="17">
        <f>IF($B691="","",TEXT($B691,"ddd"))</f>
        <v/>
      </c>
      <c r="D691" s="41" t="n"/>
      <c r="E691" s="41" t="n"/>
      <c r="F691" s="17">
        <f>IF(OR($B691="",$D691="",$E691=""),"",ROUND(MOD($E691-$D691,1)*24,2))</f>
        <v/>
      </c>
      <c r="G691" s="16" t="n"/>
      <c r="H691" s="17">
        <f>IF($G691="","",IFERROR(_xlfn.XLOOKUP($G691,nrCHname,nrCHnum),IFERROR(_xlfn.XLOOKUP($G691,nrSUBname,nrSUBparent),"")))</f>
        <v/>
      </c>
      <c r="I691" s="16" t="n"/>
      <c r="J691" s="16" t="n"/>
      <c r="K691" s="17">
        <f>IF($B691="","",IFERROR(_xlfn.XLOOKUP($B691,nrCDdate,nrCDweek),""))</f>
        <v/>
      </c>
      <c r="L691" s="17">
        <f>IF($B691="","",IFERROR(_xlfn.XLOOKUP($B691,nrCDdate,nrCDnum),""))</f>
        <v/>
      </c>
      <c r="M691" s="16" t="n"/>
      <c r="N691" s="17">
        <f>IF(OR($B691="",$I691=""),"",_xlfn.LET(_xlpm.a,$I691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91" s="17">
        <f>IF(OR($B691="",$D691="",$E691=""),"",IF($E691=$D691,"CHECK TIMES (start = end)",IF($F691&gt;12,"CHECK TIMES (End is before Start?)","OK")))</f>
        <v/>
      </c>
      <c r="P691" s="17">
        <f>IF(OR($B691="",$I691=""),"",IF(IFERROR(MATCH($G691,nrBankTopics,0),0)=0,"OK",IF(COUNTA(INDEX(nrBankGrid,IFERROR(MATCH($G691,nrBankTopics,0),1),0))=0,"OK",IF(SUMPRODUCT((nrInstrNames&lt;&gt;"")*ISNUMBER(SEARCH(nrInstrNames,$I691))*(COUNTIF(INDEX(nrBankGrid,IFERROR(MATCH($G691,nrBankTopics,0),1),0),nrInstrNames)&gt;0))&lt;SUMPRODUCT((nrInstrNames&lt;&gt;"")*ISNUMBER(SEARCH(nrInstrNames,$I691))),"NOT IN BANK","OK"))))</f>
        <v/>
      </c>
    </row>
    <row r="692">
      <c r="B692" s="18" t="n"/>
      <c r="C692" s="17">
        <f>IF($B692="","",TEXT($B692,"ddd"))</f>
        <v/>
      </c>
      <c r="D692" s="41" t="n"/>
      <c r="E692" s="41" t="n"/>
      <c r="F692" s="17">
        <f>IF(OR($B692="",$D692="",$E692=""),"",ROUND(MOD($E692-$D692,1)*24,2))</f>
        <v/>
      </c>
      <c r="G692" s="16" t="n"/>
      <c r="H692" s="17">
        <f>IF($G692="","",IFERROR(_xlfn.XLOOKUP($G692,nrCHname,nrCHnum),IFERROR(_xlfn.XLOOKUP($G692,nrSUBname,nrSUBparent),"")))</f>
        <v/>
      </c>
      <c r="I692" s="16" t="n"/>
      <c r="J692" s="16" t="n"/>
      <c r="K692" s="17">
        <f>IF($B692="","",IFERROR(_xlfn.XLOOKUP($B692,nrCDdate,nrCDweek),""))</f>
        <v/>
      </c>
      <c r="L692" s="17">
        <f>IF($B692="","",IFERROR(_xlfn.XLOOKUP($B692,nrCDdate,nrCDnum),""))</f>
        <v/>
      </c>
      <c r="M692" s="16" t="n"/>
      <c r="N692" s="17">
        <f>IF(OR($B692="",$I692=""),"",_xlfn.LET(_xlpm.a,$I692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92" s="17">
        <f>IF(OR($B692="",$D692="",$E692=""),"",IF($E692=$D692,"CHECK TIMES (start = end)",IF($F692&gt;12,"CHECK TIMES (End is before Start?)","OK")))</f>
        <v/>
      </c>
      <c r="P692" s="17">
        <f>IF(OR($B692="",$I692=""),"",IF(IFERROR(MATCH($G692,nrBankTopics,0),0)=0,"OK",IF(COUNTA(INDEX(nrBankGrid,IFERROR(MATCH($G692,nrBankTopics,0),1),0))=0,"OK",IF(SUMPRODUCT((nrInstrNames&lt;&gt;"")*ISNUMBER(SEARCH(nrInstrNames,$I692))*(COUNTIF(INDEX(nrBankGrid,IFERROR(MATCH($G692,nrBankTopics,0),1),0),nrInstrNames)&gt;0))&lt;SUMPRODUCT((nrInstrNames&lt;&gt;"")*ISNUMBER(SEARCH(nrInstrNames,$I692))),"NOT IN BANK","OK"))))</f>
        <v/>
      </c>
    </row>
    <row r="693">
      <c r="B693" s="18" t="n"/>
      <c r="C693" s="17">
        <f>IF($B693="","",TEXT($B693,"ddd"))</f>
        <v/>
      </c>
      <c r="D693" s="41" t="n"/>
      <c r="E693" s="41" t="n"/>
      <c r="F693" s="17">
        <f>IF(OR($B693="",$D693="",$E693=""),"",ROUND(MOD($E693-$D693,1)*24,2))</f>
        <v/>
      </c>
      <c r="G693" s="16" t="n"/>
      <c r="H693" s="17">
        <f>IF($G693="","",IFERROR(_xlfn.XLOOKUP($G693,nrCHname,nrCHnum),IFERROR(_xlfn.XLOOKUP($G693,nrSUBname,nrSUBparent),"")))</f>
        <v/>
      </c>
      <c r="I693" s="16" t="n"/>
      <c r="J693" s="16" t="n"/>
      <c r="K693" s="17">
        <f>IF($B693="","",IFERROR(_xlfn.XLOOKUP($B693,nrCDdate,nrCDweek),""))</f>
        <v/>
      </c>
      <c r="L693" s="17">
        <f>IF($B693="","",IFERROR(_xlfn.XLOOKUP($B693,nrCDdate,nrCDnum),""))</f>
        <v/>
      </c>
      <c r="M693" s="16" t="n"/>
      <c r="N693" s="17">
        <f>IF(OR($B693="",$I693=""),"",_xlfn.LET(_xlpm.a,$I693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93" s="17">
        <f>IF(OR($B693="",$D693="",$E693=""),"",IF($E693=$D693,"CHECK TIMES (start = end)",IF($F693&gt;12,"CHECK TIMES (End is before Start?)","OK")))</f>
        <v/>
      </c>
      <c r="P693" s="17">
        <f>IF(OR($B693="",$I693=""),"",IF(IFERROR(MATCH($G693,nrBankTopics,0),0)=0,"OK",IF(COUNTA(INDEX(nrBankGrid,IFERROR(MATCH($G693,nrBankTopics,0),1),0))=0,"OK",IF(SUMPRODUCT((nrInstrNames&lt;&gt;"")*ISNUMBER(SEARCH(nrInstrNames,$I693))*(COUNTIF(INDEX(nrBankGrid,IFERROR(MATCH($G693,nrBankTopics,0),1),0),nrInstrNames)&gt;0))&lt;SUMPRODUCT((nrInstrNames&lt;&gt;"")*ISNUMBER(SEARCH(nrInstrNames,$I693))),"NOT IN BANK","OK"))))</f>
        <v/>
      </c>
    </row>
    <row r="694">
      <c r="B694" s="18" t="n"/>
      <c r="C694" s="17">
        <f>IF($B694="","",TEXT($B694,"ddd"))</f>
        <v/>
      </c>
      <c r="D694" s="41" t="n"/>
      <c r="E694" s="41" t="n"/>
      <c r="F694" s="17">
        <f>IF(OR($B694="",$D694="",$E694=""),"",ROUND(MOD($E694-$D694,1)*24,2))</f>
        <v/>
      </c>
      <c r="G694" s="16" t="n"/>
      <c r="H694" s="17">
        <f>IF($G694="","",IFERROR(_xlfn.XLOOKUP($G694,nrCHname,nrCHnum),IFERROR(_xlfn.XLOOKUP($G694,nrSUBname,nrSUBparent),"")))</f>
        <v/>
      </c>
      <c r="I694" s="16" t="n"/>
      <c r="J694" s="16" t="n"/>
      <c r="K694" s="17">
        <f>IF($B694="","",IFERROR(_xlfn.XLOOKUP($B694,nrCDdate,nrCDweek),""))</f>
        <v/>
      </c>
      <c r="L694" s="17">
        <f>IF($B694="","",IFERROR(_xlfn.XLOOKUP($B694,nrCDdate,nrCDnum),""))</f>
        <v/>
      </c>
      <c r="M694" s="16" t="n"/>
      <c r="N694" s="17">
        <f>IF(OR($B694="",$I694=""),"",_xlfn.LET(_xlpm.a,$I694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94" s="17">
        <f>IF(OR($B694="",$D694="",$E694=""),"",IF($E694=$D694,"CHECK TIMES (start = end)",IF($F694&gt;12,"CHECK TIMES (End is before Start?)","OK")))</f>
        <v/>
      </c>
      <c r="P694" s="17">
        <f>IF(OR($B694="",$I694=""),"",IF(IFERROR(MATCH($G694,nrBankTopics,0),0)=0,"OK",IF(COUNTA(INDEX(nrBankGrid,IFERROR(MATCH($G694,nrBankTopics,0),1),0))=0,"OK",IF(SUMPRODUCT((nrInstrNames&lt;&gt;"")*ISNUMBER(SEARCH(nrInstrNames,$I694))*(COUNTIF(INDEX(nrBankGrid,IFERROR(MATCH($G694,nrBankTopics,0),1),0),nrInstrNames)&gt;0))&lt;SUMPRODUCT((nrInstrNames&lt;&gt;"")*ISNUMBER(SEARCH(nrInstrNames,$I694))),"NOT IN BANK","OK"))))</f>
        <v/>
      </c>
    </row>
    <row r="695">
      <c r="B695" s="18" t="n"/>
      <c r="C695" s="17">
        <f>IF($B695="","",TEXT($B695,"ddd"))</f>
        <v/>
      </c>
      <c r="D695" s="41" t="n"/>
      <c r="E695" s="41" t="n"/>
      <c r="F695" s="17">
        <f>IF(OR($B695="",$D695="",$E695=""),"",ROUND(MOD($E695-$D695,1)*24,2))</f>
        <v/>
      </c>
      <c r="G695" s="16" t="n"/>
      <c r="H695" s="17">
        <f>IF($G695="","",IFERROR(_xlfn.XLOOKUP($G695,nrCHname,nrCHnum),IFERROR(_xlfn.XLOOKUP($G695,nrSUBname,nrSUBparent),"")))</f>
        <v/>
      </c>
      <c r="I695" s="16" t="n"/>
      <c r="J695" s="16" t="n"/>
      <c r="K695" s="17">
        <f>IF($B695="","",IFERROR(_xlfn.XLOOKUP($B695,nrCDdate,nrCDweek),""))</f>
        <v/>
      </c>
      <c r="L695" s="17">
        <f>IF($B695="","",IFERROR(_xlfn.XLOOKUP($B695,nrCDdate,nrCDnum),""))</f>
        <v/>
      </c>
      <c r="M695" s="16" t="n"/>
      <c r="N695" s="17">
        <f>IF(OR($B695="",$I695=""),"",_xlfn.LET(_xlpm.a,$I695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95" s="17">
        <f>IF(OR($B695="",$D695="",$E695=""),"",IF($E695=$D695,"CHECK TIMES (start = end)",IF($F695&gt;12,"CHECK TIMES (End is before Start?)","OK")))</f>
        <v/>
      </c>
      <c r="P695" s="17">
        <f>IF(OR($B695="",$I695=""),"",IF(IFERROR(MATCH($G695,nrBankTopics,0),0)=0,"OK",IF(COUNTA(INDEX(nrBankGrid,IFERROR(MATCH($G695,nrBankTopics,0),1),0))=0,"OK",IF(SUMPRODUCT((nrInstrNames&lt;&gt;"")*ISNUMBER(SEARCH(nrInstrNames,$I695))*(COUNTIF(INDEX(nrBankGrid,IFERROR(MATCH($G695,nrBankTopics,0),1),0),nrInstrNames)&gt;0))&lt;SUMPRODUCT((nrInstrNames&lt;&gt;"")*ISNUMBER(SEARCH(nrInstrNames,$I695))),"NOT IN BANK","OK"))))</f>
        <v/>
      </c>
    </row>
    <row r="696">
      <c r="B696" s="18" t="n"/>
      <c r="C696" s="17">
        <f>IF($B696="","",TEXT($B696,"ddd"))</f>
        <v/>
      </c>
      <c r="D696" s="41" t="n"/>
      <c r="E696" s="41" t="n"/>
      <c r="F696" s="17">
        <f>IF(OR($B696="",$D696="",$E696=""),"",ROUND(MOD($E696-$D696,1)*24,2))</f>
        <v/>
      </c>
      <c r="G696" s="16" t="n"/>
      <c r="H696" s="17">
        <f>IF($G696="","",IFERROR(_xlfn.XLOOKUP($G696,nrCHname,nrCHnum),IFERROR(_xlfn.XLOOKUP($G696,nrSUBname,nrSUBparent),"")))</f>
        <v/>
      </c>
      <c r="I696" s="16" t="n"/>
      <c r="J696" s="16" t="n"/>
      <c r="K696" s="17">
        <f>IF($B696="","",IFERROR(_xlfn.XLOOKUP($B696,nrCDdate,nrCDweek),""))</f>
        <v/>
      </c>
      <c r="L696" s="17">
        <f>IF($B696="","",IFERROR(_xlfn.XLOOKUP($B696,nrCDdate,nrCDnum),""))</f>
        <v/>
      </c>
      <c r="M696" s="16" t="n"/>
      <c r="N696" s="17">
        <f>IF(OR($B696="",$I696=""),"",_xlfn.LET(_xlpm.a,$I696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96" s="17">
        <f>IF(OR($B696="",$D696="",$E696=""),"",IF($E696=$D696,"CHECK TIMES (start = end)",IF($F696&gt;12,"CHECK TIMES (End is before Start?)","OK")))</f>
        <v/>
      </c>
      <c r="P696" s="17">
        <f>IF(OR($B696="",$I696=""),"",IF(IFERROR(MATCH($G696,nrBankTopics,0),0)=0,"OK",IF(COUNTA(INDEX(nrBankGrid,IFERROR(MATCH($G696,nrBankTopics,0),1),0))=0,"OK",IF(SUMPRODUCT((nrInstrNames&lt;&gt;"")*ISNUMBER(SEARCH(nrInstrNames,$I696))*(COUNTIF(INDEX(nrBankGrid,IFERROR(MATCH($G696,nrBankTopics,0),1),0),nrInstrNames)&gt;0))&lt;SUMPRODUCT((nrInstrNames&lt;&gt;"")*ISNUMBER(SEARCH(nrInstrNames,$I696))),"NOT IN BANK","OK"))))</f>
        <v/>
      </c>
    </row>
    <row r="697">
      <c r="B697" s="18" t="n"/>
      <c r="C697" s="17">
        <f>IF($B697="","",TEXT($B697,"ddd"))</f>
        <v/>
      </c>
      <c r="D697" s="41" t="n"/>
      <c r="E697" s="41" t="n"/>
      <c r="F697" s="17">
        <f>IF(OR($B697="",$D697="",$E697=""),"",ROUND(MOD($E697-$D697,1)*24,2))</f>
        <v/>
      </c>
      <c r="G697" s="16" t="n"/>
      <c r="H697" s="17">
        <f>IF($G697="","",IFERROR(_xlfn.XLOOKUP($G697,nrCHname,nrCHnum),IFERROR(_xlfn.XLOOKUP($G697,nrSUBname,nrSUBparent),"")))</f>
        <v/>
      </c>
      <c r="I697" s="16" t="n"/>
      <c r="J697" s="16" t="n"/>
      <c r="K697" s="17">
        <f>IF($B697="","",IFERROR(_xlfn.XLOOKUP($B697,nrCDdate,nrCDweek),""))</f>
        <v/>
      </c>
      <c r="L697" s="17">
        <f>IF($B697="","",IFERROR(_xlfn.XLOOKUP($B697,nrCDdate,nrCDnum),""))</f>
        <v/>
      </c>
      <c r="M697" s="16" t="n"/>
      <c r="N697" s="17">
        <f>IF(OR($B697="",$I697=""),"",_xlfn.LET(_xlpm.a,$I697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97" s="17">
        <f>IF(OR($B697="",$D697="",$E697=""),"",IF($E697=$D697,"CHECK TIMES (start = end)",IF($F697&gt;12,"CHECK TIMES (End is before Start?)","OK")))</f>
        <v/>
      </c>
      <c r="P697" s="17">
        <f>IF(OR($B697="",$I697=""),"",IF(IFERROR(MATCH($G697,nrBankTopics,0),0)=0,"OK",IF(COUNTA(INDEX(nrBankGrid,IFERROR(MATCH($G697,nrBankTopics,0),1),0))=0,"OK",IF(SUMPRODUCT((nrInstrNames&lt;&gt;"")*ISNUMBER(SEARCH(nrInstrNames,$I697))*(COUNTIF(INDEX(nrBankGrid,IFERROR(MATCH($G697,nrBankTopics,0),1),0),nrInstrNames)&gt;0))&lt;SUMPRODUCT((nrInstrNames&lt;&gt;"")*ISNUMBER(SEARCH(nrInstrNames,$I697))),"NOT IN BANK","OK"))))</f>
        <v/>
      </c>
    </row>
    <row r="698">
      <c r="B698" s="18" t="n"/>
      <c r="C698" s="17">
        <f>IF($B698="","",TEXT($B698,"ddd"))</f>
        <v/>
      </c>
      <c r="D698" s="41" t="n"/>
      <c r="E698" s="41" t="n"/>
      <c r="F698" s="17">
        <f>IF(OR($B698="",$D698="",$E698=""),"",ROUND(MOD($E698-$D698,1)*24,2))</f>
        <v/>
      </c>
      <c r="G698" s="16" t="n"/>
      <c r="H698" s="17">
        <f>IF($G698="","",IFERROR(_xlfn.XLOOKUP($G698,nrCHname,nrCHnum),IFERROR(_xlfn.XLOOKUP($G698,nrSUBname,nrSUBparent),"")))</f>
        <v/>
      </c>
      <c r="I698" s="16" t="n"/>
      <c r="J698" s="16" t="n"/>
      <c r="K698" s="17">
        <f>IF($B698="","",IFERROR(_xlfn.XLOOKUP($B698,nrCDdate,nrCDweek),""))</f>
        <v/>
      </c>
      <c r="L698" s="17">
        <f>IF($B698="","",IFERROR(_xlfn.XLOOKUP($B698,nrCDdate,nrCDnum),""))</f>
        <v/>
      </c>
      <c r="M698" s="16" t="n"/>
      <c r="N698" s="17">
        <f>IF(OR($B698="",$I698=""),"",_xlfn.LET(_xlpm.a,$I698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98" s="17">
        <f>IF(OR($B698="",$D698="",$E698=""),"",IF($E698=$D698,"CHECK TIMES (start = end)",IF($F698&gt;12,"CHECK TIMES (End is before Start?)","OK")))</f>
        <v/>
      </c>
      <c r="P698" s="17">
        <f>IF(OR($B698="",$I698=""),"",IF(IFERROR(MATCH($G698,nrBankTopics,0),0)=0,"OK",IF(COUNTA(INDEX(nrBankGrid,IFERROR(MATCH($G698,nrBankTopics,0),1),0))=0,"OK",IF(SUMPRODUCT((nrInstrNames&lt;&gt;"")*ISNUMBER(SEARCH(nrInstrNames,$I698))*(COUNTIF(INDEX(nrBankGrid,IFERROR(MATCH($G698,nrBankTopics,0),1),0),nrInstrNames)&gt;0))&lt;SUMPRODUCT((nrInstrNames&lt;&gt;"")*ISNUMBER(SEARCH(nrInstrNames,$I698))),"NOT IN BANK","OK"))))</f>
        <v/>
      </c>
    </row>
    <row r="699">
      <c r="B699" s="18" t="n"/>
      <c r="C699" s="17">
        <f>IF($B699="","",TEXT($B699,"ddd"))</f>
        <v/>
      </c>
      <c r="D699" s="41" t="n"/>
      <c r="E699" s="41" t="n"/>
      <c r="F699" s="17">
        <f>IF(OR($B699="",$D699="",$E699=""),"",ROUND(MOD($E699-$D699,1)*24,2))</f>
        <v/>
      </c>
      <c r="G699" s="16" t="n"/>
      <c r="H699" s="17">
        <f>IF($G699="","",IFERROR(_xlfn.XLOOKUP($G699,nrCHname,nrCHnum),IFERROR(_xlfn.XLOOKUP($G699,nrSUBname,nrSUBparent),"")))</f>
        <v/>
      </c>
      <c r="I699" s="16" t="n"/>
      <c r="J699" s="16" t="n"/>
      <c r="K699" s="17">
        <f>IF($B699="","",IFERROR(_xlfn.XLOOKUP($B699,nrCDdate,nrCDweek),""))</f>
        <v/>
      </c>
      <c r="L699" s="17">
        <f>IF($B699="","",IFERROR(_xlfn.XLOOKUP($B699,nrCDdate,nrCDnum),""))</f>
        <v/>
      </c>
      <c r="M699" s="16" t="n"/>
      <c r="N699" s="17">
        <f>IF(OR($B699="",$I699=""),"",_xlfn.LET(_xlpm.a,$I699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99" s="17">
        <f>IF(OR($B699="",$D699="",$E699=""),"",IF($E699=$D699,"CHECK TIMES (start = end)",IF($F699&gt;12,"CHECK TIMES (End is before Start?)","OK")))</f>
        <v/>
      </c>
      <c r="P699" s="17">
        <f>IF(OR($B699="",$I699=""),"",IF(IFERROR(MATCH($G699,nrBankTopics,0),0)=0,"OK",IF(COUNTA(INDEX(nrBankGrid,IFERROR(MATCH($G699,nrBankTopics,0),1),0))=0,"OK",IF(SUMPRODUCT((nrInstrNames&lt;&gt;"")*ISNUMBER(SEARCH(nrInstrNames,$I699))*(COUNTIF(INDEX(nrBankGrid,IFERROR(MATCH($G699,nrBankTopics,0),1),0),nrInstrNames)&gt;0))&lt;SUMPRODUCT((nrInstrNames&lt;&gt;"")*ISNUMBER(SEARCH(nrInstrNames,$I699))),"NOT IN BANK","OK"))))</f>
        <v/>
      </c>
    </row>
    <row r="700">
      <c r="B700" s="18" t="n"/>
      <c r="C700" s="17">
        <f>IF($B700="","",TEXT($B700,"ddd"))</f>
        <v/>
      </c>
      <c r="D700" s="41" t="n"/>
      <c r="E700" s="41" t="n"/>
      <c r="F700" s="17">
        <f>IF(OR($B700="",$D700="",$E700=""),"",ROUND(MOD($E700-$D700,1)*24,2))</f>
        <v/>
      </c>
      <c r="G700" s="16" t="n"/>
      <c r="H700" s="17">
        <f>IF($G700="","",IFERROR(_xlfn.XLOOKUP($G700,nrCHname,nrCHnum),IFERROR(_xlfn.XLOOKUP($G700,nrSUBname,nrSUBparent),"")))</f>
        <v/>
      </c>
      <c r="I700" s="16" t="n"/>
      <c r="J700" s="16" t="n"/>
      <c r="K700" s="17">
        <f>IF($B700="","",IFERROR(_xlfn.XLOOKUP($B700,nrCDdate,nrCDweek),""))</f>
        <v/>
      </c>
      <c r="L700" s="17">
        <f>IF($B700="","",IFERROR(_xlfn.XLOOKUP($B700,nrCDdate,nrCDnum),""))</f>
        <v/>
      </c>
      <c r="M700" s="16" t="n"/>
      <c r="N700" s="17">
        <f>IF(OR($B700="",$I700=""),"",_xlfn.LET(_xlpm.a,$I700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00" s="17">
        <f>IF(OR($B700="",$D700="",$E700=""),"",IF($E700=$D700,"CHECK TIMES (start = end)",IF($F700&gt;12,"CHECK TIMES (End is before Start?)","OK")))</f>
        <v/>
      </c>
      <c r="P700" s="17">
        <f>IF(OR($B700="",$I700=""),"",IF(IFERROR(MATCH($G700,nrBankTopics,0),0)=0,"OK",IF(COUNTA(INDEX(nrBankGrid,IFERROR(MATCH($G700,nrBankTopics,0),1),0))=0,"OK",IF(SUMPRODUCT((nrInstrNames&lt;&gt;"")*ISNUMBER(SEARCH(nrInstrNames,$I700))*(COUNTIF(INDEX(nrBankGrid,IFERROR(MATCH($G700,nrBankTopics,0),1),0),nrInstrNames)&gt;0))&lt;SUMPRODUCT((nrInstrNames&lt;&gt;"")*ISNUMBER(SEARCH(nrInstrNames,$I700))),"NOT IN BANK","OK"))))</f>
        <v/>
      </c>
    </row>
    <row r="701">
      <c r="B701" s="18" t="n"/>
      <c r="C701" s="17">
        <f>IF($B701="","",TEXT($B701,"ddd"))</f>
        <v/>
      </c>
      <c r="D701" s="41" t="n"/>
      <c r="E701" s="41" t="n"/>
      <c r="F701" s="17">
        <f>IF(OR($B701="",$D701="",$E701=""),"",ROUND(MOD($E701-$D701,1)*24,2))</f>
        <v/>
      </c>
      <c r="G701" s="16" t="n"/>
      <c r="H701" s="17">
        <f>IF($G701="","",IFERROR(_xlfn.XLOOKUP($G701,nrCHname,nrCHnum),IFERROR(_xlfn.XLOOKUP($G701,nrSUBname,nrSUBparent),"")))</f>
        <v/>
      </c>
      <c r="I701" s="16" t="n"/>
      <c r="J701" s="16" t="n"/>
      <c r="K701" s="17">
        <f>IF($B701="","",IFERROR(_xlfn.XLOOKUP($B701,nrCDdate,nrCDweek),""))</f>
        <v/>
      </c>
      <c r="L701" s="17">
        <f>IF($B701="","",IFERROR(_xlfn.XLOOKUP($B701,nrCDdate,nrCDnum),""))</f>
        <v/>
      </c>
      <c r="M701" s="16" t="n"/>
      <c r="N701" s="17">
        <f>IF(OR($B701="",$I701=""),"",_xlfn.LET(_xlpm.a,$I701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01" s="17">
        <f>IF(OR($B701="",$D701="",$E701=""),"",IF($E701=$D701,"CHECK TIMES (start = end)",IF($F701&gt;12,"CHECK TIMES (End is before Start?)","OK")))</f>
        <v/>
      </c>
      <c r="P701" s="17">
        <f>IF(OR($B701="",$I701=""),"",IF(IFERROR(MATCH($G701,nrBankTopics,0),0)=0,"OK",IF(COUNTA(INDEX(nrBankGrid,IFERROR(MATCH($G701,nrBankTopics,0),1),0))=0,"OK",IF(SUMPRODUCT((nrInstrNames&lt;&gt;"")*ISNUMBER(SEARCH(nrInstrNames,$I701))*(COUNTIF(INDEX(nrBankGrid,IFERROR(MATCH($G701,nrBankTopics,0),1),0),nrInstrNames)&gt;0))&lt;SUMPRODUCT((nrInstrNames&lt;&gt;"")*ISNUMBER(SEARCH(nrInstrNames,$I701))),"NOT IN BANK","OK"))))</f>
        <v/>
      </c>
    </row>
    <row r="702">
      <c r="B702" s="18" t="n"/>
      <c r="C702" s="17">
        <f>IF($B702="","",TEXT($B702,"ddd"))</f>
        <v/>
      </c>
      <c r="D702" s="41" t="n"/>
      <c r="E702" s="41" t="n"/>
      <c r="F702" s="17">
        <f>IF(OR($B702="",$D702="",$E702=""),"",ROUND(MOD($E702-$D702,1)*24,2))</f>
        <v/>
      </c>
      <c r="G702" s="16" t="n"/>
      <c r="H702" s="17">
        <f>IF($G702="","",IFERROR(_xlfn.XLOOKUP($G702,nrCHname,nrCHnum),IFERROR(_xlfn.XLOOKUP($G702,nrSUBname,nrSUBparent),"")))</f>
        <v/>
      </c>
      <c r="I702" s="16" t="n"/>
      <c r="J702" s="16" t="n"/>
      <c r="K702" s="17">
        <f>IF($B702="","",IFERROR(_xlfn.XLOOKUP($B702,nrCDdate,nrCDweek),""))</f>
        <v/>
      </c>
      <c r="L702" s="17">
        <f>IF($B702="","",IFERROR(_xlfn.XLOOKUP($B702,nrCDdate,nrCDnum),""))</f>
        <v/>
      </c>
      <c r="M702" s="16" t="n"/>
      <c r="N702" s="17">
        <f>IF(OR($B702="",$I702=""),"",_xlfn.LET(_xlpm.a,$I702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02" s="17">
        <f>IF(OR($B702="",$D702="",$E702=""),"",IF($E702=$D702,"CHECK TIMES (start = end)",IF($F702&gt;12,"CHECK TIMES (End is before Start?)","OK")))</f>
        <v/>
      </c>
      <c r="P702" s="17">
        <f>IF(OR($B702="",$I702=""),"",IF(IFERROR(MATCH($G702,nrBankTopics,0),0)=0,"OK",IF(COUNTA(INDEX(nrBankGrid,IFERROR(MATCH($G702,nrBankTopics,0),1),0))=0,"OK",IF(SUMPRODUCT((nrInstrNames&lt;&gt;"")*ISNUMBER(SEARCH(nrInstrNames,$I702))*(COUNTIF(INDEX(nrBankGrid,IFERROR(MATCH($G702,nrBankTopics,0),1),0),nrInstrNames)&gt;0))&lt;SUMPRODUCT((nrInstrNames&lt;&gt;"")*ISNUMBER(SEARCH(nrInstrNames,$I702))),"NOT IN BANK","OK"))))</f>
        <v/>
      </c>
    </row>
    <row r="703">
      <c r="B703" s="18" t="n"/>
      <c r="C703" s="17">
        <f>IF($B703="","",TEXT($B703,"ddd"))</f>
        <v/>
      </c>
      <c r="D703" s="41" t="n"/>
      <c r="E703" s="41" t="n"/>
      <c r="F703" s="17">
        <f>IF(OR($B703="",$D703="",$E703=""),"",ROUND(MOD($E703-$D703,1)*24,2))</f>
        <v/>
      </c>
      <c r="G703" s="16" t="n"/>
      <c r="H703" s="17">
        <f>IF($G703="","",IFERROR(_xlfn.XLOOKUP($G703,nrCHname,nrCHnum),IFERROR(_xlfn.XLOOKUP($G703,nrSUBname,nrSUBparent),"")))</f>
        <v/>
      </c>
      <c r="I703" s="16" t="n"/>
      <c r="J703" s="16" t="n"/>
      <c r="K703" s="17">
        <f>IF($B703="","",IFERROR(_xlfn.XLOOKUP($B703,nrCDdate,nrCDweek),""))</f>
        <v/>
      </c>
      <c r="L703" s="17">
        <f>IF($B703="","",IFERROR(_xlfn.XLOOKUP($B703,nrCDdate,nrCDnum),""))</f>
        <v/>
      </c>
      <c r="M703" s="16" t="n"/>
      <c r="N703" s="17">
        <f>IF(OR($B703="",$I703=""),"",_xlfn.LET(_xlpm.a,$I703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03" s="17">
        <f>IF(OR($B703="",$D703="",$E703=""),"",IF($E703=$D703,"CHECK TIMES (start = end)",IF($F703&gt;12,"CHECK TIMES (End is before Start?)","OK")))</f>
        <v/>
      </c>
      <c r="P703" s="17">
        <f>IF(OR($B703="",$I703=""),"",IF(IFERROR(MATCH($G703,nrBankTopics,0),0)=0,"OK",IF(COUNTA(INDEX(nrBankGrid,IFERROR(MATCH($G703,nrBankTopics,0),1),0))=0,"OK",IF(SUMPRODUCT((nrInstrNames&lt;&gt;"")*ISNUMBER(SEARCH(nrInstrNames,$I703))*(COUNTIF(INDEX(nrBankGrid,IFERROR(MATCH($G703,nrBankTopics,0),1),0),nrInstrNames)&gt;0))&lt;SUMPRODUCT((nrInstrNames&lt;&gt;"")*ISNUMBER(SEARCH(nrInstrNames,$I703))),"NOT IN BANK","OK"))))</f>
        <v/>
      </c>
    </row>
    <row r="704">
      <c r="B704" s="18" t="n"/>
      <c r="C704" s="17">
        <f>IF($B704="","",TEXT($B704,"ddd"))</f>
        <v/>
      </c>
      <c r="D704" s="41" t="n"/>
      <c r="E704" s="41" t="n"/>
      <c r="F704" s="17">
        <f>IF(OR($B704="",$D704="",$E704=""),"",ROUND(MOD($E704-$D704,1)*24,2))</f>
        <v/>
      </c>
      <c r="G704" s="16" t="n"/>
      <c r="H704" s="17">
        <f>IF($G704="","",IFERROR(_xlfn.XLOOKUP($G704,nrCHname,nrCHnum),IFERROR(_xlfn.XLOOKUP($G704,nrSUBname,nrSUBparent),"")))</f>
        <v/>
      </c>
      <c r="I704" s="16" t="n"/>
      <c r="J704" s="16" t="n"/>
      <c r="K704" s="17">
        <f>IF($B704="","",IFERROR(_xlfn.XLOOKUP($B704,nrCDdate,nrCDweek),""))</f>
        <v/>
      </c>
      <c r="L704" s="17">
        <f>IF($B704="","",IFERROR(_xlfn.XLOOKUP($B704,nrCDdate,nrCDnum),""))</f>
        <v/>
      </c>
      <c r="M704" s="16" t="n"/>
      <c r="N704" s="17">
        <f>IF(OR($B704="",$I704=""),"",_xlfn.LET(_xlpm.a,$I704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04" s="17">
        <f>IF(OR($B704="",$D704="",$E704=""),"",IF($E704=$D704,"CHECK TIMES (start = end)",IF($F704&gt;12,"CHECK TIMES (End is before Start?)","OK")))</f>
        <v/>
      </c>
      <c r="P704" s="17">
        <f>IF(OR($B704="",$I704=""),"",IF(IFERROR(MATCH($G704,nrBankTopics,0),0)=0,"OK",IF(COUNTA(INDEX(nrBankGrid,IFERROR(MATCH($G704,nrBankTopics,0),1),0))=0,"OK",IF(SUMPRODUCT((nrInstrNames&lt;&gt;"")*ISNUMBER(SEARCH(nrInstrNames,$I704))*(COUNTIF(INDEX(nrBankGrid,IFERROR(MATCH($G704,nrBankTopics,0),1),0),nrInstrNames)&gt;0))&lt;SUMPRODUCT((nrInstrNames&lt;&gt;"")*ISNUMBER(SEARCH(nrInstrNames,$I704))),"NOT IN BANK","OK"))))</f>
        <v/>
      </c>
    </row>
    <row r="705">
      <c r="B705" s="18" t="n"/>
      <c r="C705" s="17">
        <f>IF($B705="","",TEXT($B705,"ddd"))</f>
        <v/>
      </c>
      <c r="D705" s="41" t="n"/>
      <c r="E705" s="41" t="n"/>
      <c r="F705" s="17">
        <f>IF(OR($B705="",$D705="",$E705=""),"",ROUND(MOD($E705-$D705,1)*24,2))</f>
        <v/>
      </c>
      <c r="G705" s="16" t="n"/>
      <c r="H705" s="17">
        <f>IF($G705="","",IFERROR(_xlfn.XLOOKUP($G705,nrCHname,nrCHnum),IFERROR(_xlfn.XLOOKUP($G705,nrSUBname,nrSUBparent),"")))</f>
        <v/>
      </c>
      <c r="I705" s="16" t="n"/>
      <c r="J705" s="16" t="n"/>
      <c r="K705" s="17">
        <f>IF($B705="","",IFERROR(_xlfn.XLOOKUP($B705,nrCDdate,nrCDweek),""))</f>
        <v/>
      </c>
      <c r="L705" s="17">
        <f>IF($B705="","",IFERROR(_xlfn.XLOOKUP($B705,nrCDdate,nrCDnum),""))</f>
        <v/>
      </c>
      <c r="M705" s="16" t="n"/>
      <c r="N705" s="17">
        <f>IF(OR($B705="",$I705=""),"",_xlfn.LET(_xlpm.a,$I705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05" s="17">
        <f>IF(OR($B705="",$D705="",$E705=""),"",IF($E705=$D705,"CHECK TIMES (start = end)",IF($F705&gt;12,"CHECK TIMES (End is before Start?)","OK")))</f>
        <v/>
      </c>
      <c r="P705" s="17">
        <f>IF(OR($B705="",$I705=""),"",IF(IFERROR(MATCH($G705,nrBankTopics,0),0)=0,"OK",IF(COUNTA(INDEX(nrBankGrid,IFERROR(MATCH($G705,nrBankTopics,0),1),0))=0,"OK",IF(SUMPRODUCT((nrInstrNames&lt;&gt;"")*ISNUMBER(SEARCH(nrInstrNames,$I705))*(COUNTIF(INDEX(nrBankGrid,IFERROR(MATCH($G705,nrBankTopics,0),1),0),nrInstrNames)&gt;0))&lt;SUMPRODUCT((nrInstrNames&lt;&gt;"")*ISNUMBER(SEARCH(nrInstrNames,$I705))),"NOT IN BANK","OK"))))</f>
        <v/>
      </c>
    </row>
    <row r="706">
      <c r="B706" s="18" t="n"/>
      <c r="C706" s="17">
        <f>IF($B706="","",TEXT($B706,"ddd"))</f>
        <v/>
      </c>
      <c r="D706" s="41" t="n"/>
      <c r="E706" s="41" t="n"/>
      <c r="F706" s="17">
        <f>IF(OR($B706="",$D706="",$E706=""),"",ROUND(MOD($E706-$D706,1)*24,2))</f>
        <v/>
      </c>
      <c r="G706" s="16" t="n"/>
      <c r="H706" s="17">
        <f>IF($G706="","",IFERROR(_xlfn.XLOOKUP($G706,nrCHname,nrCHnum),IFERROR(_xlfn.XLOOKUP($G706,nrSUBname,nrSUBparent),"")))</f>
        <v/>
      </c>
      <c r="I706" s="16" t="n"/>
      <c r="J706" s="16" t="n"/>
      <c r="K706" s="17">
        <f>IF($B706="","",IFERROR(_xlfn.XLOOKUP($B706,nrCDdate,nrCDweek),""))</f>
        <v/>
      </c>
      <c r="L706" s="17">
        <f>IF($B706="","",IFERROR(_xlfn.XLOOKUP($B706,nrCDdate,nrCDnum),""))</f>
        <v/>
      </c>
      <c r="M706" s="16" t="n"/>
      <c r="N706" s="17">
        <f>IF(OR($B706="",$I706=""),"",_xlfn.LET(_xlpm.a,$I706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06" s="17">
        <f>IF(OR($B706="",$D706="",$E706=""),"",IF($E706=$D706,"CHECK TIMES (start = end)",IF($F706&gt;12,"CHECK TIMES (End is before Start?)","OK")))</f>
        <v/>
      </c>
      <c r="P706" s="17">
        <f>IF(OR($B706="",$I706=""),"",IF(IFERROR(MATCH($G706,nrBankTopics,0),0)=0,"OK",IF(COUNTA(INDEX(nrBankGrid,IFERROR(MATCH($G706,nrBankTopics,0),1),0))=0,"OK",IF(SUMPRODUCT((nrInstrNames&lt;&gt;"")*ISNUMBER(SEARCH(nrInstrNames,$I706))*(COUNTIF(INDEX(nrBankGrid,IFERROR(MATCH($G706,nrBankTopics,0),1),0),nrInstrNames)&gt;0))&lt;SUMPRODUCT((nrInstrNames&lt;&gt;"")*ISNUMBER(SEARCH(nrInstrNames,$I706))),"NOT IN BANK","OK"))))</f>
        <v/>
      </c>
    </row>
    <row r="707">
      <c r="B707" s="18" t="n"/>
      <c r="C707" s="17">
        <f>IF($B707="","",TEXT($B707,"ddd"))</f>
        <v/>
      </c>
      <c r="D707" s="41" t="n"/>
      <c r="E707" s="41" t="n"/>
      <c r="F707" s="17">
        <f>IF(OR($B707="",$D707="",$E707=""),"",ROUND(MOD($E707-$D707,1)*24,2))</f>
        <v/>
      </c>
      <c r="G707" s="16" t="n"/>
      <c r="H707" s="17">
        <f>IF($G707="","",IFERROR(_xlfn.XLOOKUP($G707,nrCHname,nrCHnum),IFERROR(_xlfn.XLOOKUP($G707,nrSUBname,nrSUBparent),"")))</f>
        <v/>
      </c>
      <c r="I707" s="16" t="n"/>
      <c r="J707" s="16" t="n"/>
      <c r="K707" s="17">
        <f>IF($B707="","",IFERROR(_xlfn.XLOOKUP($B707,nrCDdate,nrCDweek),""))</f>
        <v/>
      </c>
      <c r="L707" s="17">
        <f>IF($B707="","",IFERROR(_xlfn.XLOOKUP($B707,nrCDdate,nrCDnum),""))</f>
        <v/>
      </c>
      <c r="M707" s="16" t="n"/>
      <c r="N707" s="17">
        <f>IF(OR($B707="",$I707=""),"",_xlfn.LET(_xlpm.a,$I707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07" s="17">
        <f>IF(OR($B707="",$D707="",$E707=""),"",IF($E707=$D707,"CHECK TIMES (start = end)",IF($F707&gt;12,"CHECK TIMES (End is before Start?)","OK")))</f>
        <v/>
      </c>
      <c r="P707" s="17">
        <f>IF(OR($B707="",$I707=""),"",IF(IFERROR(MATCH($G707,nrBankTopics,0),0)=0,"OK",IF(COUNTA(INDEX(nrBankGrid,IFERROR(MATCH($G707,nrBankTopics,0),1),0))=0,"OK",IF(SUMPRODUCT((nrInstrNames&lt;&gt;"")*ISNUMBER(SEARCH(nrInstrNames,$I707))*(COUNTIF(INDEX(nrBankGrid,IFERROR(MATCH($G707,nrBankTopics,0),1),0),nrInstrNames)&gt;0))&lt;SUMPRODUCT((nrInstrNames&lt;&gt;"")*ISNUMBER(SEARCH(nrInstrNames,$I707))),"NOT IN BANK","OK"))))</f>
        <v/>
      </c>
    </row>
    <row r="708">
      <c r="B708" s="18" t="n"/>
      <c r="C708" s="17">
        <f>IF($B708="","",TEXT($B708,"ddd"))</f>
        <v/>
      </c>
      <c r="D708" s="41" t="n"/>
      <c r="E708" s="41" t="n"/>
      <c r="F708" s="17">
        <f>IF(OR($B708="",$D708="",$E708=""),"",ROUND(MOD($E708-$D708,1)*24,2))</f>
        <v/>
      </c>
      <c r="G708" s="16" t="n"/>
      <c r="H708" s="17">
        <f>IF($G708="","",IFERROR(_xlfn.XLOOKUP($G708,nrCHname,nrCHnum),IFERROR(_xlfn.XLOOKUP($G708,nrSUBname,nrSUBparent),"")))</f>
        <v/>
      </c>
      <c r="I708" s="16" t="n"/>
      <c r="J708" s="16" t="n"/>
      <c r="K708" s="17">
        <f>IF($B708="","",IFERROR(_xlfn.XLOOKUP($B708,nrCDdate,nrCDweek),""))</f>
        <v/>
      </c>
      <c r="L708" s="17">
        <f>IF($B708="","",IFERROR(_xlfn.XLOOKUP($B708,nrCDdate,nrCDnum),""))</f>
        <v/>
      </c>
      <c r="M708" s="16" t="n"/>
      <c r="N708" s="17">
        <f>IF(OR($B708="",$I708=""),"",_xlfn.LET(_xlpm.a,$I708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08" s="17">
        <f>IF(OR($B708="",$D708="",$E708=""),"",IF($E708=$D708,"CHECK TIMES (start = end)",IF($F708&gt;12,"CHECK TIMES (End is before Start?)","OK")))</f>
        <v/>
      </c>
      <c r="P708" s="17">
        <f>IF(OR($B708="",$I708=""),"",IF(IFERROR(MATCH($G708,nrBankTopics,0),0)=0,"OK",IF(COUNTA(INDEX(nrBankGrid,IFERROR(MATCH($G708,nrBankTopics,0),1),0))=0,"OK",IF(SUMPRODUCT((nrInstrNames&lt;&gt;"")*ISNUMBER(SEARCH(nrInstrNames,$I708))*(COUNTIF(INDEX(nrBankGrid,IFERROR(MATCH($G708,nrBankTopics,0),1),0),nrInstrNames)&gt;0))&lt;SUMPRODUCT((nrInstrNames&lt;&gt;"")*ISNUMBER(SEARCH(nrInstrNames,$I708))),"NOT IN BANK","OK"))))</f>
        <v/>
      </c>
    </row>
    <row r="709">
      <c r="B709" s="18" t="n"/>
      <c r="C709" s="17">
        <f>IF($B709="","",TEXT($B709,"ddd"))</f>
        <v/>
      </c>
      <c r="D709" s="41" t="n"/>
      <c r="E709" s="41" t="n"/>
      <c r="F709" s="17">
        <f>IF(OR($B709="",$D709="",$E709=""),"",ROUND(MOD($E709-$D709,1)*24,2))</f>
        <v/>
      </c>
      <c r="G709" s="16" t="n"/>
      <c r="H709" s="17">
        <f>IF($G709="","",IFERROR(_xlfn.XLOOKUP($G709,nrCHname,nrCHnum),IFERROR(_xlfn.XLOOKUP($G709,nrSUBname,nrSUBparent),"")))</f>
        <v/>
      </c>
      <c r="I709" s="16" t="n"/>
      <c r="J709" s="16" t="n"/>
      <c r="K709" s="17">
        <f>IF($B709="","",IFERROR(_xlfn.XLOOKUP($B709,nrCDdate,nrCDweek),""))</f>
        <v/>
      </c>
      <c r="L709" s="17">
        <f>IF($B709="","",IFERROR(_xlfn.XLOOKUP($B709,nrCDdate,nrCDnum),""))</f>
        <v/>
      </c>
      <c r="M709" s="16" t="n"/>
      <c r="N709" s="17">
        <f>IF(OR($B709="",$I709=""),"",_xlfn.LET(_xlpm.a,$I709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09" s="17">
        <f>IF(OR($B709="",$D709="",$E709=""),"",IF($E709=$D709,"CHECK TIMES (start = end)",IF($F709&gt;12,"CHECK TIMES (End is before Start?)","OK")))</f>
        <v/>
      </c>
      <c r="P709" s="17">
        <f>IF(OR($B709="",$I709=""),"",IF(IFERROR(MATCH($G709,nrBankTopics,0),0)=0,"OK",IF(COUNTA(INDEX(nrBankGrid,IFERROR(MATCH($G709,nrBankTopics,0),1),0))=0,"OK",IF(SUMPRODUCT((nrInstrNames&lt;&gt;"")*ISNUMBER(SEARCH(nrInstrNames,$I709))*(COUNTIF(INDEX(nrBankGrid,IFERROR(MATCH($G709,nrBankTopics,0),1),0),nrInstrNames)&gt;0))&lt;SUMPRODUCT((nrInstrNames&lt;&gt;"")*ISNUMBER(SEARCH(nrInstrNames,$I709))),"NOT IN BANK","OK"))))</f>
        <v/>
      </c>
    </row>
    <row r="710">
      <c r="B710" s="18" t="n"/>
      <c r="C710" s="17">
        <f>IF($B710="","",TEXT($B710,"ddd"))</f>
        <v/>
      </c>
      <c r="D710" s="41" t="n"/>
      <c r="E710" s="41" t="n"/>
      <c r="F710" s="17">
        <f>IF(OR($B710="",$D710="",$E710=""),"",ROUND(MOD($E710-$D710,1)*24,2))</f>
        <v/>
      </c>
      <c r="G710" s="16" t="n"/>
      <c r="H710" s="17">
        <f>IF($G710="","",IFERROR(_xlfn.XLOOKUP($G710,nrCHname,nrCHnum),IFERROR(_xlfn.XLOOKUP($G710,nrSUBname,nrSUBparent),"")))</f>
        <v/>
      </c>
      <c r="I710" s="16" t="n"/>
      <c r="J710" s="16" t="n"/>
      <c r="K710" s="17">
        <f>IF($B710="","",IFERROR(_xlfn.XLOOKUP($B710,nrCDdate,nrCDweek),""))</f>
        <v/>
      </c>
      <c r="L710" s="17">
        <f>IF($B710="","",IFERROR(_xlfn.XLOOKUP($B710,nrCDdate,nrCDnum),""))</f>
        <v/>
      </c>
      <c r="M710" s="16" t="n"/>
      <c r="N710" s="17">
        <f>IF(OR($B710="",$I710=""),"",_xlfn.LET(_xlpm.a,$I710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10" s="17">
        <f>IF(OR($B710="",$D710="",$E710=""),"",IF($E710=$D710,"CHECK TIMES (start = end)",IF($F710&gt;12,"CHECK TIMES (End is before Start?)","OK")))</f>
        <v/>
      </c>
      <c r="P710" s="17">
        <f>IF(OR($B710="",$I710=""),"",IF(IFERROR(MATCH($G710,nrBankTopics,0),0)=0,"OK",IF(COUNTA(INDEX(nrBankGrid,IFERROR(MATCH($G710,nrBankTopics,0),1),0))=0,"OK",IF(SUMPRODUCT((nrInstrNames&lt;&gt;"")*ISNUMBER(SEARCH(nrInstrNames,$I710))*(COUNTIF(INDEX(nrBankGrid,IFERROR(MATCH($G710,nrBankTopics,0),1),0),nrInstrNames)&gt;0))&lt;SUMPRODUCT((nrInstrNames&lt;&gt;"")*ISNUMBER(SEARCH(nrInstrNames,$I710))),"NOT IN BANK","OK"))))</f>
        <v/>
      </c>
    </row>
    <row r="711">
      <c r="B711" s="18" t="n"/>
      <c r="C711" s="17">
        <f>IF($B711="","",TEXT($B711,"ddd"))</f>
        <v/>
      </c>
      <c r="D711" s="41" t="n"/>
      <c r="E711" s="41" t="n"/>
      <c r="F711" s="17">
        <f>IF(OR($B711="",$D711="",$E711=""),"",ROUND(MOD($E711-$D711,1)*24,2))</f>
        <v/>
      </c>
      <c r="G711" s="16" t="n"/>
      <c r="H711" s="17">
        <f>IF($G711="","",IFERROR(_xlfn.XLOOKUP($G711,nrCHname,nrCHnum),IFERROR(_xlfn.XLOOKUP($G711,nrSUBname,nrSUBparent),"")))</f>
        <v/>
      </c>
      <c r="I711" s="16" t="n"/>
      <c r="J711" s="16" t="n"/>
      <c r="K711" s="17">
        <f>IF($B711="","",IFERROR(_xlfn.XLOOKUP($B711,nrCDdate,nrCDweek),""))</f>
        <v/>
      </c>
      <c r="L711" s="17">
        <f>IF($B711="","",IFERROR(_xlfn.XLOOKUP($B711,nrCDdate,nrCDnum),""))</f>
        <v/>
      </c>
      <c r="M711" s="16" t="n"/>
      <c r="N711" s="17">
        <f>IF(OR($B711="",$I711=""),"",_xlfn.LET(_xlpm.a,$I711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11" s="17">
        <f>IF(OR($B711="",$D711="",$E711=""),"",IF($E711=$D711,"CHECK TIMES (start = end)",IF($F711&gt;12,"CHECK TIMES (End is before Start?)","OK")))</f>
        <v/>
      </c>
      <c r="P711" s="17">
        <f>IF(OR($B711="",$I711=""),"",IF(IFERROR(MATCH($G711,nrBankTopics,0),0)=0,"OK",IF(COUNTA(INDEX(nrBankGrid,IFERROR(MATCH($G711,nrBankTopics,0),1),0))=0,"OK",IF(SUMPRODUCT((nrInstrNames&lt;&gt;"")*ISNUMBER(SEARCH(nrInstrNames,$I711))*(COUNTIF(INDEX(nrBankGrid,IFERROR(MATCH($G711,nrBankTopics,0),1),0),nrInstrNames)&gt;0))&lt;SUMPRODUCT((nrInstrNames&lt;&gt;"")*ISNUMBER(SEARCH(nrInstrNames,$I711))),"NOT IN BANK","OK"))))</f>
        <v/>
      </c>
    </row>
    <row r="712">
      <c r="B712" s="18" t="n"/>
      <c r="C712" s="17">
        <f>IF($B712="","",TEXT($B712,"ddd"))</f>
        <v/>
      </c>
      <c r="D712" s="41" t="n"/>
      <c r="E712" s="41" t="n"/>
      <c r="F712" s="17">
        <f>IF(OR($B712="",$D712="",$E712=""),"",ROUND(MOD($E712-$D712,1)*24,2))</f>
        <v/>
      </c>
      <c r="G712" s="16" t="n"/>
      <c r="H712" s="17">
        <f>IF($G712="","",IFERROR(_xlfn.XLOOKUP($G712,nrCHname,nrCHnum),IFERROR(_xlfn.XLOOKUP($G712,nrSUBname,nrSUBparent),"")))</f>
        <v/>
      </c>
      <c r="I712" s="16" t="n"/>
      <c r="J712" s="16" t="n"/>
      <c r="K712" s="17">
        <f>IF($B712="","",IFERROR(_xlfn.XLOOKUP($B712,nrCDdate,nrCDweek),""))</f>
        <v/>
      </c>
      <c r="L712" s="17">
        <f>IF($B712="","",IFERROR(_xlfn.XLOOKUP($B712,nrCDdate,nrCDnum),""))</f>
        <v/>
      </c>
      <c r="M712" s="16" t="n"/>
      <c r="N712" s="17">
        <f>IF(OR($B712="",$I712=""),"",_xlfn.LET(_xlpm.a,$I712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12" s="17">
        <f>IF(OR($B712="",$D712="",$E712=""),"",IF($E712=$D712,"CHECK TIMES (start = end)",IF($F712&gt;12,"CHECK TIMES (End is before Start?)","OK")))</f>
        <v/>
      </c>
      <c r="P712" s="17">
        <f>IF(OR($B712="",$I712=""),"",IF(IFERROR(MATCH($G712,nrBankTopics,0),0)=0,"OK",IF(COUNTA(INDEX(nrBankGrid,IFERROR(MATCH($G712,nrBankTopics,0),1),0))=0,"OK",IF(SUMPRODUCT((nrInstrNames&lt;&gt;"")*ISNUMBER(SEARCH(nrInstrNames,$I712))*(COUNTIF(INDEX(nrBankGrid,IFERROR(MATCH($G712,nrBankTopics,0),1),0),nrInstrNames)&gt;0))&lt;SUMPRODUCT((nrInstrNames&lt;&gt;"")*ISNUMBER(SEARCH(nrInstrNames,$I712))),"NOT IN BANK","OK"))))</f>
        <v/>
      </c>
    </row>
    <row r="713">
      <c r="B713" s="18" t="n"/>
      <c r="C713" s="17">
        <f>IF($B713="","",TEXT($B713,"ddd"))</f>
        <v/>
      </c>
      <c r="D713" s="41" t="n"/>
      <c r="E713" s="41" t="n"/>
      <c r="F713" s="17">
        <f>IF(OR($B713="",$D713="",$E713=""),"",ROUND(MOD($E713-$D713,1)*24,2))</f>
        <v/>
      </c>
      <c r="G713" s="16" t="n"/>
      <c r="H713" s="17">
        <f>IF($G713="","",IFERROR(_xlfn.XLOOKUP($G713,nrCHname,nrCHnum),IFERROR(_xlfn.XLOOKUP($G713,nrSUBname,nrSUBparent),"")))</f>
        <v/>
      </c>
      <c r="I713" s="16" t="n"/>
      <c r="J713" s="16" t="n"/>
      <c r="K713" s="17">
        <f>IF($B713="","",IFERROR(_xlfn.XLOOKUP($B713,nrCDdate,nrCDweek),""))</f>
        <v/>
      </c>
      <c r="L713" s="17">
        <f>IF($B713="","",IFERROR(_xlfn.XLOOKUP($B713,nrCDdate,nrCDnum),""))</f>
        <v/>
      </c>
      <c r="M713" s="16" t="n"/>
      <c r="N713" s="17">
        <f>IF(OR($B713="",$I713=""),"",_xlfn.LET(_xlpm.a,$I713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13" s="17">
        <f>IF(OR($B713="",$D713="",$E713=""),"",IF($E713=$D713,"CHECK TIMES (start = end)",IF($F713&gt;12,"CHECK TIMES (End is before Start?)","OK")))</f>
        <v/>
      </c>
      <c r="P713" s="17">
        <f>IF(OR($B713="",$I713=""),"",IF(IFERROR(MATCH($G713,nrBankTopics,0),0)=0,"OK",IF(COUNTA(INDEX(nrBankGrid,IFERROR(MATCH($G713,nrBankTopics,0),1),0))=0,"OK",IF(SUMPRODUCT((nrInstrNames&lt;&gt;"")*ISNUMBER(SEARCH(nrInstrNames,$I713))*(COUNTIF(INDEX(nrBankGrid,IFERROR(MATCH($G713,nrBankTopics,0),1),0),nrInstrNames)&gt;0))&lt;SUMPRODUCT((nrInstrNames&lt;&gt;"")*ISNUMBER(SEARCH(nrInstrNames,$I713))),"NOT IN BANK","OK"))))</f>
        <v/>
      </c>
    </row>
    <row r="714">
      <c r="B714" s="18" t="n"/>
      <c r="C714" s="17">
        <f>IF($B714="","",TEXT($B714,"ddd"))</f>
        <v/>
      </c>
      <c r="D714" s="41" t="n"/>
      <c r="E714" s="41" t="n"/>
      <c r="F714" s="17">
        <f>IF(OR($B714="",$D714="",$E714=""),"",ROUND(MOD($E714-$D714,1)*24,2))</f>
        <v/>
      </c>
      <c r="G714" s="16" t="n"/>
      <c r="H714" s="17">
        <f>IF($G714="","",IFERROR(_xlfn.XLOOKUP($G714,nrCHname,nrCHnum),IFERROR(_xlfn.XLOOKUP($G714,nrSUBname,nrSUBparent),"")))</f>
        <v/>
      </c>
      <c r="I714" s="16" t="n"/>
      <c r="J714" s="16" t="n"/>
      <c r="K714" s="17">
        <f>IF($B714="","",IFERROR(_xlfn.XLOOKUP($B714,nrCDdate,nrCDweek),""))</f>
        <v/>
      </c>
      <c r="L714" s="17">
        <f>IF($B714="","",IFERROR(_xlfn.XLOOKUP($B714,nrCDdate,nrCDnum),""))</f>
        <v/>
      </c>
      <c r="M714" s="16" t="n"/>
      <c r="N714" s="17">
        <f>IF(OR($B714="",$I714=""),"",_xlfn.LET(_xlpm.a,$I714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14" s="17">
        <f>IF(OR($B714="",$D714="",$E714=""),"",IF($E714=$D714,"CHECK TIMES (start = end)",IF($F714&gt;12,"CHECK TIMES (End is before Start?)","OK")))</f>
        <v/>
      </c>
      <c r="P714" s="17">
        <f>IF(OR($B714="",$I714=""),"",IF(IFERROR(MATCH($G714,nrBankTopics,0),0)=0,"OK",IF(COUNTA(INDEX(nrBankGrid,IFERROR(MATCH($G714,nrBankTopics,0),1),0))=0,"OK",IF(SUMPRODUCT((nrInstrNames&lt;&gt;"")*ISNUMBER(SEARCH(nrInstrNames,$I714))*(COUNTIF(INDEX(nrBankGrid,IFERROR(MATCH($G714,nrBankTopics,0),1),0),nrInstrNames)&gt;0))&lt;SUMPRODUCT((nrInstrNames&lt;&gt;"")*ISNUMBER(SEARCH(nrInstrNames,$I714))),"NOT IN BANK","OK"))))</f>
        <v/>
      </c>
    </row>
    <row r="715">
      <c r="B715" s="18" t="n"/>
      <c r="C715" s="17">
        <f>IF($B715="","",TEXT($B715,"ddd"))</f>
        <v/>
      </c>
      <c r="D715" s="41" t="n"/>
      <c r="E715" s="41" t="n"/>
      <c r="F715" s="17">
        <f>IF(OR($B715="",$D715="",$E715=""),"",ROUND(MOD($E715-$D715,1)*24,2))</f>
        <v/>
      </c>
      <c r="G715" s="16" t="n"/>
      <c r="H715" s="17">
        <f>IF($G715="","",IFERROR(_xlfn.XLOOKUP($G715,nrCHname,nrCHnum),IFERROR(_xlfn.XLOOKUP($G715,nrSUBname,nrSUBparent),"")))</f>
        <v/>
      </c>
      <c r="I715" s="16" t="n"/>
      <c r="J715" s="16" t="n"/>
      <c r="K715" s="17">
        <f>IF($B715="","",IFERROR(_xlfn.XLOOKUP($B715,nrCDdate,nrCDweek),""))</f>
        <v/>
      </c>
      <c r="L715" s="17">
        <f>IF($B715="","",IFERROR(_xlfn.XLOOKUP($B715,nrCDdate,nrCDnum),""))</f>
        <v/>
      </c>
      <c r="M715" s="16" t="n"/>
      <c r="N715" s="17">
        <f>IF(OR($B715="",$I715=""),"",_xlfn.LET(_xlpm.a,$I715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15" s="17">
        <f>IF(OR($B715="",$D715="",$E715=""),"",IF($E715=$D715,"CHECK TIMES (start = end)",IF($F715&gt;12,"CHECK TIMES (End is before Start?)","OK")))</f>
        <v/>
      </c>
      <c r="P715" s="17">
        <f>IF(OR($B715="",$I715=""),"",IF(IFERROR(MATCH($G715,nrBankTopics,0),0)=0,"OK",IF(COUNTA(INDEX(nrBankGrid,IFERROR(MATCH($G715,nrBankTopics,0),1),0))=0,"OK",IF(SUMPRODUCT((nrInstrNames&lt;&gt;"")*ISNUMBER(SEARCH(nrInstrNames,$I715))*(COUNTIF(INDEX(nrBankGrid,IFERROR(MATCH($G715,nrBankTopics,0),1),0),nrInstrNames)&gt;0))&lt;SUMPRODUCT((nrInstrNames&lt;&gt;"")*ISNUMBER(SEARCH(nrInstrNames,$I715))),"NOT IN BANK","OK"))))</f>
        <v/>
      </c>
    </row>
    <row r="716">
      <c r="B716" s="18" t="n"/>
      <c r="C716" s="17">
        <f>IF($B716="","",TEXT($B716,"ddd"))</f>
        <v/>
      </c>
      <c r="D716" s="41" t="n"/>
      <c r="E716" s="41" t="n"/>
      <c r="F716" s="17">
        <f>IF(OR($B716="",$D716="",$E716=""),"",ROUND(MOD($E716-$D716,1)*24,2))</f>
        <v/>
      </c>
      <c r="G716" s="16" t="n"/>
      <c r="H716" s="17">
        <f>IF($G716="","",IFERROR(_xlfn.XLOOKUP($G716,nrCHname,nrCHnum),IFERROR(_xlfn.XLOOKUP($G716,nrSUBname,nrSUBparent),"")))</f>
        <v/>
      </c>
      <c r="I716" s="16" t="n"/>
      <c r="J716" s="16" t="n"/>
      <c r="K716" s="17">
        <f>IF($B716="","",IFERROR(_xlfn.XLOOKUP($B716,nrCDdate,nrCDweek),""))</f>
        <v/>
      </c>
      <c r="L716" s="17">
        <f>IF($B716="","",IFERROR(_xlfn.XLOOKUP($B716,nrCDdate,nrCDnum),""))</f>
        <v/>
      </c>
      <c r="M716" s="16" t="n"/>
      <c r="N716" s="17">
        <f>IF(OR($B716="",$I716=""),"",_xlfn.LET(_xlpm.a,$I716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16" s="17">
        <f>IF(OR($B716="",$D716="",$E716=""),"",IF($E716=$D716,"CHECK TIMES (start = end)",IF($F716&gt;12,"CHECK TIMES (End is before Start?)","OK")))</f>
        <v/>
      </c>
      <c r="P716" s="17">
        <f>IF(OR($B716="",$I716=""),"",IF(IFERROR(MATCH($G716,nrBankTopics,0),0)=0,"OK",IF(COUNTA(INDEX(nrBankGrid,IFERROR(MATCH($G716,nrBankTopics,0),1),0))=0,"OK",IF(SUMPRODUCT((nrInstrNames&lt;&gt;"")*ISNUMBER(SEARCH(nrInstrNames,$I716))*(COUNTIF(INDEX(nrBankGrid,IFERROR(MATCH($G716,nrBankTopics,0),1),0),nrInstrNames)&gt;0))&lt;SUMPRODUCT((nrInstrNames&lt;&gt;"")*ISNUMBER(SEARCH(nrInstrNames,$I716))),"NOT IN BANK","OK"))))</f>
        <v/>
      </c>
    </row>
    <row r="717">
      <c r="B717" s="18" t="n"/>
      <c r="C717" s="17">
        <f>IF($B717="","",TEXT($B717,"ddd"))</f>
        <v/>
      </c>
      <c r="D717" s="41" t="n"/>
      <c r="E717" s="41" t="n"/>
      <c r="F717" s="17">
        <f>IF(OR($B717="",$D717="",$E717=""),"",ROUND(MOD($E717-$D717,1)*24,2))</f>
        <v/>
      </c>
      <c r="G717" s="16" t="n"/>
      <c r="H717" s="17">
        <f>IF($G717="","",IFERROR(_xlfn.XLOOKUP($G717,nrCHname,nrCHnum),IFERROR(_xlfn.XLOOKUP($G717,nrSUBname,nrSUBparent),"")))</f>
        <v/>
      </c>
      <c r="I717" s="16" t="n"/>
      <c r="J717" s="16" t="n"/>
      <c r="K717" s="17">
        <f>IF($B717="","",IFERROR(_xlfn.XLOOKUP($B717,nrCDdate,nrCDweek),""))</f>
        <v/>
      </c>
      <c r="L717" s="17">
        <f>IF($B717="","",IFERROR(_xlfn.XLOOKUP($B717,nrCDdate,nrCDnum),""))</f>
        <v/>
      </c>
      <c r="M717" s="16" t="n"/>
      <c r="N717" s="17">
        <f>IF(OR($B717="",$I717=""),"",_xlfn.LET(_xlpm.a,$I717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17" s="17">
        <f>IF(OR($B717="",$D717="",$E717=""),"",IF($E717=$D717,"CHECK TIMES (start = end)",IF($F717&gt;12,"CHECK TIMES (End is before Start?)","OK")))</f>
        <v/>
      </c>
      <c r="P717" s="17">
        <f>IF(OR($B717="",$I717=""),"",IF(IFERROR(MATCH($G717,nrBankTopics,0),0)=0,"OK",IF(COUNTA(INDEX(nrBankGrid,IFERROR(MATCH($G717,nrBankTopics,0),1),0))=0,"OK",IF(SUMPRODUCT((nrInstrNames&lt;&gt;"")*ISNUMBER(SEARCH(nrInstrNames,$I717))*(COUNTIF(INDEX(nrBankGrid,IFERROR(MATCH($G717,nrBankTopics,0),1),0),nrInstrNames)&gt;0))&lt;SUMPRODUCT((nrInstrNames&lt;&gt;"")*ISNUMBER(SEARCH(nrInstrNames,$I717))),"NOT IN BANK","OK"))))</f>
        <v/>
      </c>
    </row>
    <row r="718">
      <c r="B718" s="18" t="n"/>
      <c r="C718" s="17">
        <f>IF($B718="","",TEXT($B718,"ddd"))</f>
        <v/>
      </c>
      <c r="D718" s="41" t="n"/>
      <c r="E718" s="41" t="n"/>
      <c r="F718" s="17">
        <f>IF(OR($B718="",$D718="",$E718=""),"",ROUND(MOD($E718-$D718,1)*24,2))</f>
        <v/>
      </c>
      <c r="G718" s="16" t="n"/>
      <c r="H718" s="17">
        <f>IF($G718="","",IFERROR(_xlfn.XLOOKUP($G718,nrCHname,nrCHnum),IFERROR(_xlfn.XLOOKUP($G718,nrSUBname,nrSUBparent),"")))</f>
        <v/>
      </c>
      <c r="I718" s="16" t="n"/>
      <c r="J718" s="16" t="n"/>
      <c r="K718" s="17">
        <f>IF($B718="","",IFERROR(_xlfn.XLOOKUP($B718,nrCDdate,nrCDweek),""))</f>
        <v/>
      </c>
      <c r="L718" s="17">
        <f>IF($B718="","",IFERROR(_xlfn.XLOOKUP($B718,nrCDdate,nrCDnum),""))</f>
        <v/>
      </c>
      <c r="M718" s="16" t="n"/>
      <c r="N718" s="17">
        <f>IF(OR($B718="",$I718=""),"",_xlfn.LET(_xlpm.a,$I718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18" s="17">
        <f>IF(OR($B718="",$D718="",$E718=""),"",IF($E718=$D718,"CHECK TIMES (start = end)",IF($F718&gt;12,"CHECK TIMES (End is before Start?)","OK")))</f>
        <v/>
      </c>
      <c r="P718" s="17">
        <f>IF(OR($B718="",$I718=""),"",IF(IFERROR(MATCH($G718,nrBankTopics,0),0)=0,"OK",IF(COUNTA(INDEX(nrBankGrid,IFERROR(MATCH($G718,nrBankTopics,0),1),0))=0,"OK",IF(SUMPRODUCT((nrInstrNames&lt;&gt;"")*ISNUMBER(SEARCH(nrInstrNames,$I718))*(COUNTIF(INDEX(nrBankGrid,IFERROR(MATCH($G718,nrBankTopics,0),1),0),nrInstrNames)&gt;0))&lt;SUMPRODUCT((nrInstrNames&lt;&gt;"")*ISNUMBER(SEARCH(nrInstrNames,$I718))),"NOT IN BANK","OK"))))</f>
        <v/>
      </c>
    </row>
    <row r="719">
      <c r="B719" s="18" t="n"/>
      <c r="C719" s="17">
        <f>IF($B719="","",TEXT($B719,"ddd"))</f>
        <v/>
      </c>
      <c r="D719" s="41" t="n"/>
      <c r="E719" s="41" t="n"/>
      <c r="F719" s="17">
        <f>IF(OR($B719="",$D719="",$E719=""),"",ROUND(MOD($E719-$D719,1)*24,2))</f>
        <v/>
      </c>
      <c r="G719" s="16" t="n"/>
      <c r="H719" s="17">
        <f>IF($G719="","",IFERROR(_xlfn.XLOOKUP($G719,nrCHname,nrCHnum),IFERROR(_xlfn.XLOOKUP($G719,nrSUBname,nrSUBparent),"")))</f>
        <v/>
      </c>
      <c r="I719" s="16" t="n"/>
      <c r="J719" s="16" t="n"/>
      <c r="K719" s="17">
        <f>IF($B719="","",IFERROR(_xlfn.XLOOKUP($B719,nrCDdate,nrCDweek),""))</f>
        <v/>
      </c>
      <c r="L719" s="17">
        <f>IF($B719="","",IFERROR(_xlfn.XLOOKUP($B719,nrCDdate,nrCDnum),""))</f>
        <v/>
      </c>
      <c r="M719" s="16" t="n"/>
      <c r="N719" s="17">
        <f>IF(OR($B719="",$I719=""),"",_xlfn.LET(_xlpm.a,$I719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19" s="17">
        <f>IF(OR($B719="",$D719="",$E719=""),"",IF($E719=$D719,"CHECK TIMES (start = end)",IF($F719&gt;12,"CHECK TIMES (End is before Start?)","OK")))</f>
        <v/>
      </c>
      <c r="P719" s="17">
        <f>IF(OR($B719="",$I719=""),"",IF(IFERROR(MATCH($G719,nrBankTopics,0),0)=0,"OK",IF(COUNTA(INDEX(nrBankGrid,IFERROR(MATCH($G719,nrBankTopics,0),1),0))=0,"OK",IF(SUMPRODUCT((nrInstrNames&lt;&gt;"")*ISNUMBER(SEARCH(nrInstrNames,$I719))*(COUNTIF(INDEX(nrBankGrid,IFERROR(MATCH($G719,nrBankTopics,0),1),0),nrInstrNames)&gt;0))&lt;SUMPRODUCT((nrInstrNames&lt;&gt;"")*ISNUMBER(SEARCH(nrInstrNames,$I719))),"NOT IN BANK","OK"))))</f>
        <v/>
      </c>
    </row>
    <row r="720">
      <c r="B720" s="18" t="n"/>
      <c r="C720" s="17">
        <f>IF($B720="","",TEXT($B720,"ddd"))</f>
        <v/>
      </c>
      <c r="D720" s="41" t="n"/>
      <c r="E720" s="41" t="n"/>
      <c r="F720" s="17">
        <f>IF(OR($B720="",$D720="",$E720=""),"",ROUND(MOD($E720-$D720,1)*24,2))</f>
        <v/>
      </c>
      <c r="G720" s="16" t="n"/>
      <c r="H720" s="17">
        <f>IF($G720="","",IFERROR(_xlfn.XLOOKUP($G720,nrCHname,nrCHnum),IFERROR(_xlfn.XLOOKUP($G720,nrSUBname,nrSUBparent),"")))</f>
        <v/>
      </c>
      <c r="I720" s="16" t="n"/>
      <c r="J720" s="16" t="n"/>
      <c r="K720" s="17">
        <f>IF($B720="","",IFERROR(_xlfn.XLOOKUP($B720,nrCDdate,nrCDweek),""))</f>
        <v/>
      </c>
      <c r="L720" s="17">
        <f>IF($B720="","",IFERROR(_xlfn.XLOOKUP($B720,nrCDdate,nrCDnum),""))</f>
        <v/>
      </c>
      <c r="M720" s="16" t="n"/>
      <c r="N720" s="17">
        <f>IF(OR($B720="",$I720=""),"",_xlfn.LET(_xlpm.a,$I720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20" s="17">
        <f>IF(OR($B720="",$D720="",$E720=""),"",IF($E720=$D720,"CHECK TIMES (start = end)",IF($F720&gt;12,"CHECK TIMES (End is before Start?)","OK")))</f>
        <v/>
      </c>
      <c r="P720" s="17">
        <f>IF(OR($B720="",$I720=""),"",IF(IFERROR(MATCH($G720,nrBankTopics,0),0)=0,"OK",IF(COUNTA(INDEX(nrBankGrid,IFERROR(MATCH($G720,nrBankTopics,0),1),0))=0,"OK",IF(SUMPRODUCT((nrInstrNames&lt;&gt;"")*ISNUMBER(SEARCH(nrInstrNames,$I720))*(COUNTIF(INDEX(nrBankGrid,IFERROR(MATCH($G720,nrBankTopics,0),1),0),nrInstrNames)&gt;0))&lt;SUMPRODUCT((nrInstrNames&lt;&gt;"")*ISNUMBER(SEARCH(nrInstrNames,$I720))),"NOT IN BANK","OK"))))</f>
        <v/>
      </c>
    </row>
    <row r="721">
      <c r="B721" s="18" t="n"/>
      <c r="C721" s="17">
        <f>IF($B721="","",TEXT($B721,"ddd"))</f>
        <v/>
      </c>
      <c r="D721" s="41" t="n"/>
      <c r="E721" s="41" t="n"/>
      <c r="F721" s="17">
        <f>IF(OR($B721="",$D721="",$E721=""),"",ROUND(MOD($E721-$D721,1)*24,2))</f>
        <v/>
      </c>
      <c r="G721" s="16" t="n"/>
      <c r="H721" s="17">
        <f>IF($G721="","",IFERROR(_xlfn.XLOOKUP($G721,nrCHname,nrCHnum),IFERROR(_xlfn.XLOOKUP($G721,nrSUBname,nrSUBparent),"")))</f>
        <v/>
      </c>
      <c r="I721" s="16" t="n"/>
      <c r="J721" s="16" t="n"/>
      <c r="K721" s="17">
        <f>IF($B721="","",IFERROR(_xlfn.XLOOKUP($B721,nrCDdate,nrCDweek),""))</f>
        <v/>
      </c>
      <c r="L721" s="17">
        <f>IF($B721="","",IFERROR(_xlfn.XLOOKUP($B721,nrCDdate,nrCDnum),""))</f>
        <v/>
      </c>
      <c r="M721" s="16" t="n"/>
      <c r="N721" s="17">
        <f>IF(OR($B721="",$I721=""),"",_xlfn.LET(_xlpm.a,$I721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21" s="17">
        <f>IF(OR($B721="",$D721="",$E721=""),"",IF($E721=$D721,"CHECK TIMES (start = end)",IF($F721&gt;12,"CHECK TIMES (End is before Start?)","OK")))</f>
        <v/>
      </c>
      <c r="P721" s="17">
        <f>IF(OR($B721="",$I721=""),"",IF(IFERROR(MATCH($G721,nrBankTopics,0),0)=0,"OK",IF(COUNTA(INDEX(nrBankGrid,IFERROR(MATCH($G721,nrBankTopics,0),1),0))=0,"OK",IF(SUMPRODUCT((nrInstrNames&lt;&gt;"")*ISNUMBER(SEARCH(nrInstrNames,$I721))*(COUNTIF(INDEX(nrBankGrid,IFERROR(MATCH($G721,nrBankTopics,0),1),0),nrInstrNames)&gt;0))&lt;SUMPRODUCT((nrInstrNames&lt;&gt;"")*ISNUMBER(SEARCH(nrInstrNames,$I721))),"NOT IN BANK","OK"))))</f>
        <v/>
      </c>
    </row>
    <row r="722">
      <c r="B722" s="18" t="n"/>
      <c r="C722" s="17">
        <f>IF($B722="","",TEXT($B722,"ddd"))</f>
        <v/>
      </c>
      <c r="D722" s="41" t="n"/>
      <c r="E722" s="41" t="n"/>
      <c r="F722" s="17">
        <f>IF(OR($B722="",$D722="",$E722=""),"",ROUND(MOD($E722-$D722,1)*24,2))</f>
        <v/>
      </c>
      <c r="G722" s="16" t="n"/>
      <c r="H722" s="17">
        <f>IF($G722="","",IFERROR(_xlfn.XLOOKUP($G722,nrCHname,nrCHnum),IFERROR(_xlfn.XLOOKUP($G722,nrSUBname,nrSUBparent),"")))</f>
        <v/>
      </c>
      <c r="I722" s="16" t="n"/>
      <c r="J722" s="16" t="n"/>
      <c r="K722" s="17">
        <f>IF($B722="","",IFERROR(_xlfn.XLOOKUP($B722,nrCDdate,nrCDweek),""))</f>
        <v/>
      </c>
      <c r="L722" s="17">
        <f>IF($B722="","",IFERROR(_xlfn.XLOOKUP($B722,nrCDdate,nrCDnum),""))</f>
        <v/>
      </c>
      <c r="M722" s="16" t="n"/>
      <c r="N722" s="17">
        <f>IF(OR($B722="",$I722=""),"",_xlfn.LET(_xlpm.a,$I722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22" s="17">
        <f>IF(OR($B722="",$D722="",$E722=""),"",IF($E722=$D722,"CHECK TIMES (start = end)",IF($F722&gt;12,"CHECK TIMES (End is before Start?)","OK")))</f>
        <v/>
      </c>
      <c r="P722" s="17">
        <f>IF(OR($B722="",$I722=""),"",IF(IFERROR(MATCH($G722,nrBankTopics,0),0)=0,"OK",IF(COUNTA(INDEX(nrBankGrid,IFERROR(MATCH($G722,nrBankTopics,0),1),0))=0,"OK",IF(SUMPRODUCT((nrInstrNames&lt;&gt;"")*ISNUMBER(SEARCH(nrInstrNames,$I722))*(COUNTIF(INDEX(nrBankGrid,IFERROR(MATCH($G722,nrBankTopics,0),1),0),nrInstrNames)&gt;0))&lt;SUMPRODUCT((nrInstrNames&lt;&gt;"")*ISNUMBER(SEARCH(nrInstrNames,$I722))),"NOT IN BANK","OK"))))</f>
        <v/>
      </c>
    </row>
    <row r="723">
      <c r="B723" s="18" t="n"/>
      <c r="C723" s="17">
        <f>IF($B723="","",TEXT($B723,"ddd"))</f>
        <v/>
      </c>
      <c r="D723" s="41" t="n"/>
      <c r="E723" s="41" t="n"/>
      <c r="F723" s="17">
        <f>IF(OR($B723="",$D723="",$E723=""),"",ROUND(MOD($E723-$D723,1)*24,2))</f>
        <v/>
      </c>
      <c r="G723" s="16" t="n"/>
      <c r="H723" s="17">
        <f>IF($G723="","",IFERROR(_xlfn.XLOOKUP($G723,nrCHname,nrCHnum),IFERROR(_xlfn.XLOOKUP($G723,nrSUBname,nrSUBparent),"")))</f>
        <v/>
      </c>
      <c r="I723" s="16" t="n"/>
      <c r="J723" s="16" t="n"/>
      <c r="K723" s="17">
        <f>IF($B723="","",IFERROR(_xlfn.XLOOKUP($B723,nrCDdate,nrCDweek),""))</f>
        <v/>
      </c>
      <c r="L723" s="17">
        <f>IF($B723="","",IFERROR(_xlfn.XLOOKUP($B723,nrCDdate,nrCDnum),""))</f>
        <v/>
      </c>
      <c r="M723" s="16" t="n"/>
      <c r="N723" s="17">
        <f>IF(OR($B723="",$I723=""),"",_xlfn.LET(_xlpm.a,$I723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23" s="17">
        <f>IF(OR($B723="",$D723="",$E723=""),"",IF($E723=$D723,"CHECK TIMES (start = end)",IF($F723&gt;12,"CHECK TIMES (End is before Start?)","OK")))</f>
        <v/>
      </c>
      <c r="P723" s="17">
        <f>IF(OR($B723="",$I723=""),"",IF(IFERROR(MATCH($G723,nrBankTopics,0),0)=0,"OK",IF(COUNTA(INDEX(nrBankGrid,IFERROR(MATCH($G723,nrBankTopics,0),1),0))=0,"OK",IF(SUMPRODUCT((nrInstrNames&lt;&gt;"")*ISNUMBER(SEARCH(nrInstrNames,$I723))*(COUNTIF(INDEX(nrBankGrid,IFERROR(MATCH($G723,nrBankTopics,0),1),0),nrInstrNames)&gt;0))&lt;SUMPRODUCT((nrInstrNames&lt;&gt;"")*ISNUMBER(SEARCH(nrInstrNames,$I723))),"NOT IN BANK","OK"))))</f>
        <v/>
      </c>
    </row>
    <row r="724">
      <c r="B724" s="18" t="n"/>
      <c r="C724" s="17">
        <f>IF($B724="","",TEXT($B724,"ddd"))</f>
        <v/>
      </c>
      <c r="D724" s="41" t="n"/>
      <c r="E724" s="41" t="n"/>
      <c r="F724" s="17">
        <f>IF(OR($B724="",$D724="",$E724=""),"",ROUND(MOD($E724-$D724,1)*24,2))</f>
        <v/>
      </c>
      <c r="G724" s="16" t="n"/>
      <c r="H724" s="17">
        <f>IF($G724="","",IFERROR(_xlfn.XLOOKUP($G724,nrCHname,nrCHnum),IFERROR(_xlfn.XLOOKUP($G724,nrSUBname,nrSUBparent),"")))</f>
        <v/>
      </c>
      <c r="I724" s="16" t="n"/>
      <c r="J724" s="16" t="n"/>
      <c r="K724" s="17">
        <f>IF($B724="","",IFERROR(_xlfn.XLOOKUP($B724,nrCDdate,nrCDweek),""))</f>
        <v/>
      </c>
      <c r="L724" s="17">
        <f>IF($B724="","",IFERROR(_xlfn.XLOOKUP($B724,nrCDdate,nrCDnum),""))</f>
        <v/>
      </c>
      <c r="M724" s="16" t="n"/>
      <c r="N724" s="17">
        <f>IF(OR($B724="",$I724=""),"",_xlfn.LET(_xlpm.a,$I724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24" s="17">
        <f>IF(OR($B724="",$D724="",$E724=""),"",IF($E724=$D724,"CHECK TIMES (start = end)",IF($F724&gt;12,"CHECK TIMES (End is before Start?)","OK")))</f>
        <v/>
      </c>
      <c r="P724" s="17">
        <f>IF(OR($B724="",$I724=""),"",IF(IFERROR(MATCH($G724,nrBankTopics,0),0)=0,"OK",IF(COUNTA(INDEX(nrBankGrid,IFERROR(MATCH($G724,nrBankTopics,0),1),0))=0,"OK",IF(SUMPRODUCT((nrInstrNames&lt;&gt;"")*ISNUMBER(SEARCH(nrInstrNames,$I724))*(COUNTIF(INDEX(nrBankGrid,IFERROR(MATCH($G724,nrBankTopics,0),1),0),nrInstrNames)&gt;0))&lt;SUMPRODUCT((nrInstrNames&lt;&gt;"")*ISNUMBER(SEARCH(nrInstrNames,$I724))),"NOT IN BANK","OK"))))</f>
        <v/>
      </c>
    </row>
    <row r="725">
      <c r="B725" s="18" t="n"/>
      <c r="C725" s="17">
        <f>IF($B725="","",TEXT($B725,"ddd"))</f>
        <v/>
      </c>
      <c r="D725" s="41" t="n"/>
      <c r="E725" s="41" t="n"/>
      <c r="F725" s="17">
        <f>IF(OR($B725="",$D725="",$E725=""),"",ROUND(MOD($E725-$D725,1)*24,2))</f>
        <v/>
      </c>
      <c r="G725" s="16" t="n"/>
      <c r="H725" s="17">
        <f>IF($G725="","",IFERROR(_xlfn.XLOOKUP($G725,nrCHname,nrCHnum),IFERROR(_xlfn.XLOOKUP($G725,nrSUBname,nrSUBparent),"")))</f>
        <v/>
      </c>
      <c r="I725" s="16" t="n"/>
      <c r="J725" s="16" t="n"/>
      <c r="K725" s="17">
        <f>IF($B725="","",IFERROR(_xlfn.XLOOKUP($B725,nrCDdate,nrCDweek),""))</f>
        <v/>
      </c>
      <c r="L725" s="17">
        <f>IF($B725="","",IFERROR(_xlfn.XLOOKUP($B725,nrCDdate,nrCDnum),""))</f>
        <v/>
      </c>
      <c r="M725" s="16" t="n"/>
      <c r="N725" s="17">
        <f>IF(OR($B725="",$I725=""),"",_xlfn.LET(_xlpm.a,$I725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25" s="17">
        <f>IF(OR($B725="",$D725="",$E725=""),"",IF($E725=$D725,"CHECK TIMES (start = end)",IF($F725&gt;12,"CHECK TIMES (End is before Start?)","OK")))</f>
        <v/>
      </c>
      <c r="P725" s="17">
        <f>IF(OR($B725="",$I725=""),"",IF(IFERROR(MATCH($G725,nrBankTopics,0),0)=0,"OK",IF(COUNTA(INDEX(nrBankGrid,IFERROR(MATCH($G725,nrBankTopics,0),1),0))=0,"OK",IF(SUMPRODUCT((nrInstrNames&lt;&gt;"")*ISNUMBER(SEARCH(nrInstrNames,$I725))*(COUNTIF(INDEX(nrBankGrid,IFERROR(MATCH($G725,nrBankTopics,0),1),0),nrInstrNames)&gt;0))&lt;SUMPRODUCT((nrInstrNames&lt;&gt;"")*ISNUMBER(SEARCH(nrInstrNames,$I725))),"NOT IN BANK","OK"))))</f>
        <v/>
      </c>
    </row>
    <row r="726">
      <c r="B726" s="18" t="n"/>
      <c r="C726" s="17">
        <f>IF($B726="","",TEXT($B726,"ddd"))</f>
        <v/>
      </c>
      <c r="D726" s="41" t="n"/>
      <c r="E726" s="41" t="n"/>
      <c r="F726" s="17">
        <f>IF(OR($B726="",$D726="",$E726=""),"",ROUND(MOD($E726-$D726,1)*24,2))</f>
        <v/>
      </c>
      <c r="G726" s="16" t="n"/>
      <c r="H726" s="17">
        <f>IF($G726="","",IFERROR(_xlfn.XLOOKUP($G726,nrCHname,nrCHnum),IFERROR(_xlfn.XLOOKUP($G726,nrSUBname,nrSUBparent),"")))</f>
        <v/>
      </c>
      <c r="I726" s="16" t="n"/>
      <c r="J726" s="16" t="n"/>
      <c r="K726" s="17">
        <f>IF($B726="","",IFERROR(_xlfn.XLOOKUP($B726,nrCDdate,nrCDweek),""))</f>
        <v/>
      </c>
      <c r="L726" s="17">
        <f>IF($B726="","",IFERROR(_xlfn.XLOOKUP($B726,nrCDdate,nrCDnum),""))</f>
        <v/>
      </c>
      <c r="M726" s="16" t="n"/>
      <c r="N726" s="17">
        <f>IF(OR($B726="",$I726=""),"",_xlfn.LET(_xlpm.a,$I726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26" s="17">
        <f>IF(OR($B726="",$D726="",$E726=""),"",IF($E726=$D726,"CHECK TIMES (start = end)",IF($F726&gt;12,"CHECK TIMES (End is before Start?)","OK")))</f>
        <v/>
      </c>
      <c r="P726" s="17">
        <f>IF(OR($B726="",$I726=""),"",IF(IFERROR(MATCH($G726,nrBankTopics,0),0)=0,"OK",IF(COUNTA(INDEX(nrBankGrid,IFERROR(MATCH($G726,nrBankTopics,0),1),0))=0,"OK",IF(SUMPRODUCT((nrInstrNames&lt;&gt;"")*ISNUMBER(SEARCH(nrInstrNames,$I726))*(COUNTIF(INDEX(nrBankGrid,IFERROR(MATCH($G726,nrBankTopics,0),1),0),nrInstrNames)&gt;0))&lt;SUMPRODUCT((nrInstrNames&lt;&gt;"")*ISNUMBER(SEARCH(nrInstrNames,$I726))),"NOT IN BANK","OK"))))</f>
        <v/>
      </c>
    </row>
    <row r="727">
      <c r="B727" s="18" t="n"/>
      <c r="C727" s="17">
        <f>IF($B727="","",TEXT($B727,"ddd"))</f>
        <v/>
      </c>
      <c r="D727" s="41" t="n"/>
      <c r="E727" s="41" t="n"/>
      <c r="F727" s="17">
        <f>IF(OR($B727="",$D727="",$E727=""),"",ROUND(MOD($E727-$D727,1)*24,2))</f>
        <v/>
      </c>
      <c r="G727" s="16" t="n"/>
      <c r="H727" s="17">
        <f>IF($G727="","",IFERROR(_xlfn.XLOOKUP($G727,nrCHname,nrCHnum),IFERROR(_xlfn.XLOOKUP($G727,nrSUBname,nrSUBparent),"")))</f>
        <v/>
      </c>
      <c r="I727" s="16" t="n"/>
      <c r="J727" s="16" t="n"/>
      <c r="K727" s="17">
        <f>IF($B727="","",IFERROR(_xlfn.XLOOKUP($B727,nrCDdate,nrCDweek),""))</f>
        <v/>
      </c>
      <c r="L727" s="17">
        <f>IF($B727="","",IFERROR(_xlfn.XLOOKUP($B727,nrCDdate,nrCDnum),""))</f>
        <v/>
      </c>
      <c r="M727" s="16" t="n"/>
      <c r="N727" s="17">
        <f>IF(OR($B727="",$I727=""),"",_xlfn.LET(_xlpm.a,$I727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27" s="17">
        <f>IF(OR($B727="",$D727="",$E727=""),"",IF($E727=$D727,"CHECK TIMES (start = end)",IF($F727&gt;12,"CHECK TIMES (End is before Start?)","OK")))</f>
        <v/>
      </c>
      <c r="P727" s="17">
        <f>IF(OR($B727="",$I727=""),"",IF(IFERROR(MATCH($G727,nrBankTopics,0),0)=0,"OK",IF(COUNTA(INDEX(nrBankGrid,IFERROR(MATCH($G727,nrBankTopics,0),1),0))=0,"OK",IF(SUMPRODUCT((nrInstrNames&lt;&gt;"")*ISNUMBER(SEARCH(nrInstrNames,$I727))*(COUNTIF(INDEX(nrBankGrid,IFERROR(MATCH($G727,nrBankTopics,0),1),0),nrInstrNames)&gt;0))&lt;SUMPRODUCT((nrInstrNames&lt;&gt;"")*ISNUMBER(SEARCH(nrInstrNames,$I727))),"NOT IN BANK","OK"))))</f>
        <v/>
      </c>
    </row>
    <row r="728">
      <c r="B728" s="18" t="n"/>
      <c r="C728" s="17">
        <f>IF($B728="","",TEXT($B728,"ddd"))</f>
        <v/>
      </c>
      <c r="D728" s="41" t="n"/>
      <c r="E728" s="41" t="n"/>
      <c r="F728" s="17">
        <f>IF(OR($B728="",$D728="",$E728=""),"",ROUND(MOD($E728-$D728,1)*24,2))</f>
        <v/>
      </c>
      <c r="G728" s="16" t="n"/>
      <c r="H728" s="17">
        <f>IF($G728="","",IFERROR(_xlfn.XLOOKUP($G728,nrCHname,nrCHnum),IFERROR(_xlfn.XLOOKUP($G728,nrSUBname,nrSUBparent),"")))</f>
        <v/>
      </c>
      <c r="I728" s="16" t="n"/>
      <c r="J728" s="16" t="n"/>
      <c r="K728" s="17">
        <f>IF($B728="","",IFERROR(_xlfn.XLOOKUP($B728,nrCDdate,nrCDweek),""))</f>
        <v/>
      </c>
      <c r="L728" s="17">
        <f>IF($B728="","",IFERROR(_xlfn.XLOOKUP($B728,nrCDdate,nrCDnum),""))</f>
        <v/>
      </c>
      <c r="M728" s="16" t="n"/>
      <c r="N728" s="17">
        <f>IF(OR($B728="",$I728=""),"",_xlfn.LET(_xlpm.a,$I728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28" s="17">
        <f>IF(OR($B728="",$D728="",$E728=""),"",IF($E728=$D728,"CHECK TIMES (start = end)",IF($F728&gt;12,"CHECK TIMES (End is before Start?)","OK")))</f>
        <v/>
      </c>
      <c r="P728" s="17">
        <f>IF(OR($B728="",$I728=""),"",IF(IFERROR(MATCH($G728,nrBankTopics,0),0)=0,"OK",IF(COUNTA(INDEX(nrBankGrid,IFERROR(MATCH($G728,nrBankTopics,0),1),0))=0,"OK",IF(SUMPRODUCT((nrInstrNames&lt;&gt;"")*ISNUMBER(SEARCH(nrInstrNames,$I728))*(COUNTIF(INDEX(nrBankGrid,IFERROR(MATCH($G728,nrBankTopics,0),1),0),nrInstrNames)&gt;0))&lt;SUMPRODUCT((nrInstrNames&lt;&gt;"")*ISNUMBER(SEARCH(nrInstrNames,$I728))),"NOT IN BANK","OK"))))</f>
        <v/>
      </c>
    </row>
    <row r="729">
      <c r="B729" s="18" t="n"/>
      <c r="C729" s="17">
        <f>IF($B729="","",TEXT($B729,"ddd"))</f>
        <v/>
      </c>
      <c r="D729" s="41" t="n"/>
      <c r="E729" s="41" t="n"/>
      <c r="F729" s="17">
        <f>IF(OR($B729="",$D729="",$E729=""),"",ROUND(MOD($E729-$D729,1)*24,2))</f>
        <v/>
      </c>
      <c r="G729" s="16" t="n"/>
      <c r="H729" s="17">
        <f>IF($G729="","",IFERROR(_xlfn.XLOOKUP($G729,nrCHname,nrCHnum),IFERROR(_xlfn.XLOOKUP($G729,nrSUBname,nrSUBparent),"")))</f>
        <v/>
      </c>
      <c r="I729" s="16" t="n"/>
      <c r="J729" s="16" t="n"/>
      <c r="K729" s="17">
        <f>IF($B729="","",IFERROR(_xlfn.XLOOKUP($B729,nrCDdate,nrCDweek),""))</f>
        <v/>
      </c>
      <c r="L729" s="17">
        <f>IF($B729="","",IFERROR(_xlfn.XLOOKUP($B729,nrCDdate,nrCDnum),""))</f>
        <v/>
      </c>
      <c r="M729" s="16" t="n"/>
      <c r="N729" s="17">
        <f>IF(OR($B729="",$I729=""),"",_xlfn.LET(_xlpm.a,$I729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29" s="17">
        <f>IF(OR($B729="",$D729="",$E729=""),"",IF($E729=$D729,"CHECK TIMES (start = end)",IF($F729&gt;12,"CHECK TIMES (End is before Start?)","OK")))</f>
        <v/>
      </c>
      <c r="P729" s="17">
        <f>IF(OR($B729="",$I729=""),"",IF(IFERROR(MATCH($G729,nrBankTopics,0),0)=0,"OK",IF(COUNTA(INDEX(nrBankGrid,IFERROR(MATCH($G729,nrBankTopics,0),1),0))=0,"OK",IF(SUMPRODUCT((nrInstrNames&lt;&gt;"")*ISNUMBER(SEARCH(nrInstrNames,$I729))*(COUNTIF(INDEX(nrBankGrid,IFERROR(MATCH($G729,nrBankTopics,0),1),0),nrInstrNames)&gt;0))&lt;SUMPRODUCT((nrInstrNames&lt;&gt;"")*ISNUMBER(SEARCH(nrInstrNames,$I729))),"NOT IN BANK","OK"))))</f>
        <v/>
      </c>
    </row>
    <row r="730">
      <c r="B730" s="18" t="n"/>
      <c r="C730" s="17">
        <f>IF($B730="","",TEXT($B730,"ddd"))</f>
        <v/>
      </c>
      <c r="D730" s="41" t="n"/>
      <c r="E730" s="41" t="n"/>
      <c r="F730" s="17">
        <f>IF(OR($B730="",$D730="",$E730=""),"",ROUND(MOD($E730-$D730,1)*24,2))</f>
        <v/>
      </c>
      <c r="G730" s="16" t="n"/>
      <c r="H730" s="17">
        <f>IF($G730="","",IFERROR(_xlfn.XLOOKUP($G730,nrCHname,nrCHnum),IFERROR(_xlfn.XLOOKUP($G730,nrSUBname,nrSUBparent),"")))</f>
        <v/>
      </c>
      <c r="I730" s="16" t="n"/>
      <c r="J730" s="16" t="n"/>
      <c r="K730" s="17">
        <f>IF($B730="","",IFERROR(_xlfn.XLOOKUP($B730,nrCDdate,nrCDweek),""))</f>
        <v/>
      </c>
      <c r="L730" s="17">
        <f>IF($B730="","",IFERROR(_xlfn.XLOOKUP($B730,nrCDdate,nrCDnum),""))</f>
        <v/>
      </c>
      <c r="M730" s="16" t="n"/>
      <c r="N730" s="17">
        <f>IF(OR($B730="",$I730=""),"",_xlfn.LET(_xlpm.a,$I730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30" s="17">
        <f>IF(OR($B730="",$D730="",$E730=""),"",IF($E730=$D730,"CHECK TIMES (start = end)",IF($F730&gt;12,"CHECK TIMES (End is before Start?)","OK")))</f>
        <v/>
      </c>
      <c r="P730" s="17">
        <f>IF(OR($B730="",$I730=""),"",IF(IFERROR(MATCH($G730,nrBankTopics,0),0)=0,"OK",IF(COUNTA(INDEX(nrBankGrid,IFERROR(MATCH($G730,nrBankTopics,0),1),0))=0,"OK",IF(SUMPRODUCT((nrInstrNames&lt;&gt;"")*ISNUMBER(SEARCH(nrInstrNames,$I730))*(COUNTIF(INDEX(nrBankGrid,IFERROR(MATCH($G730,nrBankTopics,0),1),0),nrInstrNames)&gt;0))&lt;SUMPRODUCT((nrInstrNames&lt;&gt;"")*ISNUMBER(SEARCH(nrInstrNames,$I730))),"NOT IN BANK","OK"))))</f>
        <v/>
      </c>
    </row>
    <row r="731">
      <c r="B731" s="18" t="n"/>
      <c r="C731" s="17">
        <f>IF($B731="","",TEXT($B731,"ddd"))</f>
        <v/>
      </c>
      <c r="D731" s="41" t="n"/>
      <c r="E731" s="41" t="n"/>
      <c r="F731" s="17">
        <f>IF(OR($B731="",$D731="",$E731=""),"",ROUND(MOD($E731-$D731,1)*24,2))</f>
        <v/>
      </c>
      <c r="G731" s="16" t="n"/>
      <c r="H731" s="17">
        <f>IF($G731="","",IFERROR(_xlfn.XLOOKUP($G731,nrCHname,nrCHnum),IFERROR(_xlfn.XLOOKUP($G731,nrSUBname,nrSUBparent),"")))</f>
        <v/>
      </c>
      <c r="I731" s="16" t="n"/>
      <c r="J731" s="16" t="n"/>
      <c r="K731" s="17">
        <f>IF($B731="","",IFERROR(_xlfn.XLOOKUP($B731,nrCDdate,nrCDweek),""))</f>
        <v/>
      </c>
      <c r="L731" s="17">
        <f>IF($B731="","",IFERROR(_xlfn.XLOOKUP($B731,nrCDdate,nrCDnum),""))</f>
        <v/>
      </c>
      <c r="M731" s="16" t="n"/>
      <c r="N731" s="17">
        <f>IF(OR($B731="",$I731=""),"",_xlfn.LET(_xlpm.a,$I731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31" s="17">
        <f>IF(OR($B731="",$D731="",$E731=""),"",IF($E731=$D731,"CHECK TIMES (start = end)",IF($F731&gt;12,"CHECK TIMES (End is before Start?)","OK")))</f>
        <v/>
      </c>
      <c r="P731" s="17">
        <f>IF(OR($B731="",$I731=""),"",IF(IFERROR(MATCH($G731,nrBankTopics,0),0)=0,"OK",IF(COUNTA(INDEX(nrBankGrid,IFERROR(MATCH($G731,nrBankTopics,0),1),0))=0,"OK",IF(SUMPRODUCT((nrInstrNames&lt;&gt;"")*ISNUMBER(SEARCH(nrInstrNames,$I731))*(COUNTIF(INDEX(nrBankGrid,IFERROR(MATCH($G731,nrBankTopics,0),1),0),nrInstrNames)&gt;0))&lt;SUMPRODUCT((nrInstrNames&lt;&gt;"")*ISNUMBER(SEARCH(nrInstrNames,$I731))),"NOT IN BANK","OK"))))</f>
        <v/>
      </c>
    </row>
    <row r="732">
      <c r="B732" s="18" t="n"/>
      <c r="C732" s="17">
        <f>IF($B732="","",TEXT($B732,"ddd"))</f>
        <v/>
      </c>
      <c r="D732" s="41" t="n"/>
      <c r="E732" s="41" t="n"/>
      <c r="F732" s="17">
        <f>IF(OR($B732="",$D732="",$E732=""),"",ROUND(MOD($E732-$D732,1)*24,2))</f>
        <v/>
      </c>
      <c r="G732" s="16" t="n"/>
      <c r="H732" s="17">
        <f>IF($G732="","",IFERROR(_xlfn.XLOOKUP($G732,nrCHname,nrCHnum),IFERROR(_xlfn.XLOOKUP($G732,nrSUBname,nrSUBparent),"")))</f>
        <v/>
      </c>
      <c r="I732" s="16" t="n"/>
      <c r="J732" s="16" t="n"/>
      <c r="K732" s="17">
        <f>IF($B732="","",IFERROR(_xlfn.XLOOKUP($B732,nrCDdate,nrCDweek),""))</f>
        <v/>
      </c>
      <c r="L732" s="17">
        <f>IF($B732="","",IFERROR(_xlfn.XLOOKUP($B732,nrCDdate,nrCDnum),""))</f>
        <v/>
      </c>
      <c r="M732" s="16" t="n"/>
      <c r="N732" s="17">
        <f>IF(OR($B732="",$I732=""),"",_xlfn.LET(_xlpm.a,$I732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32" s="17">
        <f>IF(OR($B732="",$D732="",$E732=""),"",IF($E732=$D732,"CHECK TIMES (start = end)",IF($F732&gt;12,"CHECK TIMES (End is before Start?)","OK")))</f>
        <v/>
      </c>
      <c r="P732" s="17">
        <f>IF(OR($B732="",$I732=""),"",IF(IFERROR(MATCH($G732,nrBankTopics,0),0)=0,"OK",IF(COUNTA(INDEX(nrBankGrid,IFERROR(MATCH($G732,nrBankTopics,0),1),0))=0,"OK",IF(SUMPRODUCT((nrInstrNames&lt;&gt;"")*ISNUMBER(SEARCH(nrInstrNames,$I732))*(COUNTIF(INDEX(nrBankGrid,IFERROR(MATCH($G732,nrBankTopics,0),1),0),nrInstrNames)&gt;0))&lt;SUMPRODUCT((nrInstrNames&lt;&gt;"")*ISNUMBER(SEARCH(nrInstrNames,$I732))),"NOT IN BANK","OK"))))</f>
        <v/>
      </c>
    </row>
    <row r="733">
      <c r="B733" s="18" t="n"/>
      <c r="C733" s="17">
        <f>IF($B733="","",TEXT($B733,"ddd"))</f>
        <v/>
      </c>
      <c r="D733" s="41" t="n"/>
      <c r="E733" s="41" t="n"/>
      <c r="F733" s="17">
        <f>IF(OR($B733="",$D733="",$E733=""),"",ROUND(MOD($E733-$D733,1)*24,2))</f>
        <v/>
      </c>
      <c r="G733" s="16" t="n"/>
      <c r="H733" s="17">
        <f>IF($G733="","",IFERROR(_xlfn.XLOOKUP($G733,nrCHname,nrCHnum),IFERROR(_xlfn.XLOOKUP($G733,nrSUBname,nrSUBparent),"")))</f>
        <v/>
      </c>
      <c r="I733" s="16" t="n"/>
      <c r="J733" s="16" t="n"/>
      <c r="K733" s="17">
        <f>IF($B733="","",IFERROR(_xlfn.XLOOKUP($B733,nrCDdate,nrCDweek),""))</f>
        <v/>
      </c>
      <c r="L733" s="17">
        <f>IF($B733="","",IFERROR(_xlfn.XLOOKUP($B733,nrCDdate,nrCDnum),""))</f>
        <v/>
      </c>
      <c r="M733" s="16" t="n"/>
      <c r="N733" s="17">
        <f>IF(OR($B733="",$I733=""),"",_xlfn.LET(_xlpm.a,$I733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33" s="17">
        <f>IF(OR($B733="",$D733="",$E733=""),"",IF($E733=$D733,"CHECK TIMES (start = end)",IF($F733&gt;12,"CHECK TIMES (End is before Start?)","OK")))</f>
        <v/>
      </c>
      <c r="P733" s="17">
        <f>IF(OR($B733="",$I733=""),"",IF(IFERROR(MATCH($G733,nrBankTopics,0),0)=0,"OK",IF(COUNTA(INDEX(nrBankGrid,IFERROR(MATCH($G733,nrBankTopics,0),1),0))=0,"OK",IF(SUMPRODUCT((nrInstrNames&lt;&gt;"")*ISNUMBER(SEARCH(nrInstrNames,$I733))*(COUNTIF(INDEX(nrBankGrid,IFERROR(MATCH($G733,nrBankTopics,0),1),0),nrInstrNames)&gt;0))&lt;SUMPRODUCT((nrInstrNames&lt;&gt;"")*ISNUMBER(SEARCH(nrInstrNames,$I733))),"NOT IN BANK","OK"))))</f>
        <v/>
      </c>
    </row>
    <row r="734">
      <c r="B734" s="18" t="n"/>
      <c r="C734" s="17">
        <f>IF($B734="","",TEXT($B734,"ddd"))</f>
        <v/>
      </c>
      <c r="D734" s="41" t="n"/>
      <c r="E734" s="41" t="n"/>
      <c r="F734" s="17">
        <f>IF(OR($B734="",$D734="",$E734=""),"",ROUND(MOD($E734-$D734,1)*24,2))</f>
        <v/>
      </c>
      <c r="G734" s="16" t="n"/>
      <c r="H734" s="17">
        <f>IF($G734="","",IFERROR(_xlfn.XLOOKUP($G734,nrCHname,nrCHnum),IFERROR(_xlfn.XLOOKUP($G734,nrSUBname,nrSUBparent),"")))</f>
        <v/>
      </c>
      <c r="I734" s="16" t="n"/>
      <c r="J734" s="16" t="n"/>
      <c r="K734" s="17">
        <f>IF($B734="","",IFERROR(_xlfn.XLOOKUP($B734,nrCDdate,nrCDweek),""))</f>
        <v/>
      </c>
      <c r="L734" s="17">
        <f>IF($B734="","",IFERROR(_xlfn.XLOOKUP($B734,nrCDdate,nrCDnum),""))</f>
        <v/>
      </c>
      <c r="M734" s="16" t="n"/>
      <c r="N734" s="17">
        <f>IF(OR($B734="",$I734=""),"",_xlfn.LET(_xlpm.a,$I734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34" s="17">
        <f>IF(OR($B734="",$D734="",$E734=""),"",IF($E734=$D734,"CHECK TIMES (start = end)",IF($F734&gt;12,"CHECK TIMES (End is before Start?)","OK")))</f>
        <v/>
      </c>
      <c r="P734" s="17">
        <f>IF(OR($B734="",$I734=""),"",IF(IFERROR(MATCH($G734,nrBankTopics,0),0)=0,"OK",IF(COUNTA(INDEX(nrBankGrid,IFERROR(MATCH($G734,nrBankTopics,0),1),0))=0,"OK",IF(SUMPRODUCT((nrInstrNames&lt;&gt;"")*ISNUMBER(SEARCH(nrInstrNames,$I734))*(COUNTIF(INDEX(nrBankGrid,IFERROR(MATCH($G734,nrBankTopics,0),1),0),nrInstrNames)&gt;0))&lt;SUMPRODUCT((nrInstrNames&lt;&gt;"")*ISNUMBER(SEARCH(nrInstrNames,$I734))),"NOT IN BANK","OK"))))</f>
        <v/>
      </c>
    </row>
    <row r="735">
      <c r="B735" s="18" t="n"/>
      <c r="C735" s="17">
        <f>IF($B735="","",TEXT($B735,"ddd"))</f>
        <v/>
      </c>
      <c r="D735" s="41" t="n"/>
      <c r="E735" s="41" t="n"/>
      <c r="F735" s="17">
        <f>IF(OR($B735="",$D735="",$E735=""),"",ROUND(MOD($E735-$D735,1)*24,2))</f>
        <v/>
      </c>
      <c r="G735" s="16" t="n"/>
      <c r="H735" s="17">
        <f>IF($G735="","",IFERROR(_xlfn.XLOOKUP($G735,nrCHname,nrCHnum),IFERROR(_xlfn.XLOOKUP($G735,nrSUBname,nrSUBparent),"")))</f>
        <v/>
      </c>
      <c r="I735" s="16" t="n"/>
      <c r="J735" s="16" t="n"/>
      <c r="K735" s="17">
        <f>IF($B735="","",IFERROR(_xlfn.XLOOKUP($B735,nrCDdate,nrCDweek),""))</f>
        <v/>
      </c>
      <c r="L735" s="17">
        <f>IF($B735="","",IFERROR(_xlfn.XLOOKUP($B735,nrCDdate,nrCDnum),""))</f>
        <v/>
      </c>
      <c r="M735" s="16" t="n"/>
      <c r="N735" s="17">
        <f>IF(OR($B735="",$I735=""),"",_xlfn.LET(_xlpm.a,$I735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35" s="17">
        <f>IF(OR($B735="",$D735="",$E735=""),"",IF($E735=$D735,"CHECK TIMES (start = end)",IF($F735&gt;12,"CHECK TIMES (End is before Start?)","OK")))</f>
        <v/>
      </c>
      <c r="P735" s="17">
        <f>IF(OR($B735="",$I735=""),"",IF(IFERROR(MATCH($G735,nrBankTopics,0),0)=0,"OK",IF(COUNTA(INDEX(nrBankGrid,IFERROR(MATCH($G735,nrBankTopics,0),1),0))=0,"OK",IF(SUMPRODUCT((nrInstrNames&lt;&gt;"")*ISNUMBER(SEARCH(nrInstrNames,$I735))*(COUNTIF(INDEX(nrBankGrid,IFERROR(MATCH($G735,nrBankTopics,0),1),0),nrInstrNames)&gt;0))&lt;SUMPRODUCT((nrInstrNames&lt;&gt;"")*ISNUMBER(SEARCH(nrInstrNames,$I735))),"NOT IN BANK","OK"))))</f>
        <v/>
      </c>
    </row>
    <row r="736">
      <c r="B736" s="18" t="n"/>
      <c r="C736" s="17">
        <f>IF($B736="","",TEXT($B736,"ddd"))</f>
        <v/>
      </c>
      <c r="D736" s="41" t="n"/>
      <c r="E736" s="41" t="n"/>
      <c r="F736" s="17">
        <f>IF(OR($B736="",$D736="",$E736=""),"",ROUND(MOD($E736-$D736,1)*24,2))</f>
        <v/>
      </c>
      <c r="G736" s="16" t="n"/>
      <c r="H736" s="17">
        <f>IF($G736="","",IFERROR(_xlfn.XLOOKUP($G736,nrCHname,nrCHnum),IFERROR(_xlfn.XLOOKUP($G736,nrSUBname,nrSUBparent),"")))</f>
        <v/>
      </c>
      <c r="I736" s="16" t="n"/>
      <c r="J736" s="16" t="n"/>
      <c r="K736" s="17">
        <f>IF($B736="","",IFERROR(_xlfn.XLOOKUP($B736,nrCDdate,nrCDweek),""))</f>
        <v/>
      </c>
      <c r="L736" s="17">
        <f>IF($B736="","",IFERROR(_xlfn.XLOOKUP($B736,nrCDdate,nrCDnum),""))</f>
        <v/>
      </c>
      <c r="M736" s="16" t="n"/>
      <c r="N736" s="17">
        <f>IF(OR($B736="",$I736=""),"",_xlfn.LET(_xlpm.a,$I736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36" s="17">
        <f>IF(OR($B736="",$D736="",$E736=""),"",IF($E736=$D736,"CHECK TIMES (start = end)",IF($F736&gt;12,"CHECK TIMES (End is before Start?)","OK")))</f>
        <v/>
      </c>
      <c r="P736" s="17">
        <f>IF(OR($B736="",$I736=""),"",IF(IFERROR(MATCH($G736,nrBankTopics,0),0)=0,"OK",IF(COUNTA(INDEX(nrBankGrid,IFERROR(MATCH($G736,nrBankTopics,0),1),0))=0,"OK",IF(SUMPRODUCT((nrInstrNames&lt;&gt;"")*ISNUMBER(SEARCH(nrInstrNames,$I736))*(COUNTIF(INDEX(nrBankGrid,IFERROR(MATCH($G736,nrBankTopics,0),1),0),nrInstrNames)&gt;0))&lt;SUMPRODUCT((nrInstrNames&lt;&gt;"")*ISNUMBER(SEARCH(nrInstrNames,$I736))),"NOT IN BANK","OK"))))</f>
        <v/>
      </c>
    </row>
    <row r="737">
      <c r="B737" s="18" t="n"/>
      <c r="C737" s="17">
        <f>IF($B737="","",TEXT($B737,"ddd"))</f>
        <v/>
      </c>
      <c r="D737" s="41" t="n"/>
      <c r="E737" s="41" t="n"/>
      <c r="F737" s="17">
        <f>IF(OR($B737="",$D737="",$E737=""),"",ROUND(MOD($E737-$D737,1)*24,2))</f>
        <v/>
      </c>
      <c r="G737" s="16" t="n"/>
      <c r="H737" s="17">
        <f>IF($G737="","",IFERROR(_xlfn.XLOOKUP($G737,nrCHname,nrCHnum),IFERROR(_xlfn.XLOOKUP($G737,nrSUBname,nrSUBparent),"")))</f>
        <v/>
      </c>
      <c r="I737" s="16" t="n"/>
      <c r="J737" s="16" t="n"/>
      <c r="K737" s="17">
        <f>IF($B737="","",IFERROR(_xlfn.XLOOKUP($B737,nrCDdate,nrCDweek),""))</f>
        <v/>
      </c>
      <c r="L737" s="17">
        <f>IF($B737="","",IFERROR(_xlfn.XLOOKUP($B737,nrCDdate,nrCDnum),""))</f>
        <v/>
      </c>
      <c r="M737" s="16" t="n"/>
      <c r="N737" s="17">
        <f>IF(OR($B737="",$I737=""),"",_xlfn.LET(_xlpm.a,$I737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37" s="17">
        <f>IF(OR($B737="",$D737="",$E737=""),"",IF($E737=$D737,"CHECK TIMES (start = end)",IF($F737&gt;12,"CHECK TIMES (End is before Start?)","OK")))</f>
        <v/>
      </c>
      <c r="P737" s="17">
        <f>IF(OR($B737="",$I737=""),"",IF(IFERROR(MATCH($G737,nrBankTopics,0),0)=0,"OK",IF(COUNTA(INDEX(nrBankGrid,IFERROR(MATCH($G737,nrBankTopics,0),1),0))=0,"OK",IF(SUMPRODUCT((nrInstrNames&lt;&gt;"")*ISNUMBER(SEARCH(nrInstrNames,$I737))*(COUNTIF(INDEX(nrBankGrid,IFERROR(MATCH($G737,nrBankTopics,0),1),0),nrInstrNames)&gt;0))&lt;SUMPRODUCT((nrInstrNames&lt;&gt;"")*ISNUMBER(SEARCH(nrInstrNames,$I737))),"NOT IN BANK","OK"))))</f>
        <v/>
      </c>
    </row>
    <row r="738">
      <c r="B738" s="18" t="n"/>
      <c r="C738" s="17">
        <f>IF($B738="","",TEXT($B738,"ddd"))</f>
        <v/>
      </c>
      <c r="D738" s="41" t="n"/>
      <c r="E738" s="41" t="n"/>
      <c r="F738" s="17">
        <f>IF(OR($B738="",$D738="",$E738=""),"",ROUND(MOD($E738-$D738,1)*24,2))</f>
        <v/>
      </c>
      <c r="G738" s="16" t="n"/>
      <c r="H738" s="17">
        <f>IF($G738="","",IFERROR(_xlfn.XLOOKUP($G738,nrCHname,nrCHnum),IFERROR(_xlfn.XLOOKUP($G738,nrSUBname,nrSUBparent),"")))</f>
        <v/>
      </c>
      <c r="I738" s="16" t="n"/>
      <c r="J738" s="16" t="n"/>
      <c r="K738" s="17">
        <f>IF($B738="","",IFERROR(_xlfn.XLOOKUP($B738,nrCDdate,nrCDweek),""))</f>
        <v/>
      </c>
      <c r="L738" s="17">
        <f>IF($B738="","",IFERROR(_xlfn.XLOOKUP($B738,nrCDdate,nrCDnum),""))</f>
        <v/>
      </c>
      <c r="M738" s="16" t="n"/>
      <c r="N738" s="17">
        <f>IF(OR($B738="",$I738=""),"",_xlfn.LET(_xlpm.a,$I738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38" s="17">
        <f>IF(OR($B738="",$D738="",$E738=""),"",IF($E738=$D738,"CHECK TIMES (start = end)",IF($F738&gt;12,"CHECK TIMES (End is before Start?)","OK")))</f>
        <v/>
      </c>
      <c r="P738" s="17">
        <f>IF(OR($B738="",$I738=""),"",IF(IFERROR(MATCH($G738,nrBankTopics,0),0)=0,"OK",IF(COUNTA(INDEX(nrBankGrid,IFERROR(MATCH($G738,nrBankTopics,0),1),0))=0,"OK",IF(SUMPRODUCT((nrInstrNames&lt;&gt;"")*ISNUMBER(SEARCH(nrInstrNames,$I738))*(COUNTIF(INDEX(nrBankGrid,IFERROR(MATCH($G738,nrBankTopics,0),1),0),nrInstrNames)&gt;0))&lt;SUMPRODUCT((nrInstrNames&lt;&gt;"")*ISNUMBER(SEARCH(nrInstrNames,$I738))),"NOT IN BANK","OK"))))</f>
        <v/>
      </c>
    </row>
    <row r="739">
      <c r="B739" s="18" t="n"/>
      <c r="C739" s="17">
        <f>IF($B739="","",TEXT($B739,"ddd"))</f>
        <v/>
      </c>
      <c r="D739" s="41" t="n"/>
      <c r="E739" s="41" t="n"/>
      <c r="F739" s="17">
        <f>IF(OR($B739="",$D739="",$E739=""),"",ROUND(MOD($E739-$D739,1)*24,2))</f>
        <v/>
      </c>
      <c r="G739" s="16" t="n"/>
      <c r="H739" s="17">
        <f>IF($G739="","",IFERROR(_xlfn.XLOOKUP($G739,nrCHname,nrCHnum),IFERROR(_xlfn.XLOOKUP($G739,nrSUBname,nrSUBparent),"")))</f>
        <v/>
      </c>
      <c r="I739" s="16" t="n"/>
      <c r="J739" s="16" t="n"/>
      <c r="K739" s="17">
        <f>IF($B739="","",IFERROR(_xlfn.XLOOKUP($B739,nrCDdate,nrCDweek),""))</f>
        <v/>
      </c>
      <c r="L739" s="17">
        <f>IF($B739="","",IFERROR(_xlfn.XLOOKUP($B739,nrCDdate,nrCDnum),""))</f>
        <v/>
      </c>
      <c r="M739" s="16" t="n"/>
      <c r="N739" s="17">
        <f>IF(OR($B739="",$I739=""),"",_xlfn.LET(_xlpm.a,$I739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39" s="17">
        <f>IF(OR($B739="",$D739="",$E739=""),"",IF($E739=$D739,"CHECK TIMES (start = end)",IF($F739&gt;12,"CHECK TIMES (End is before Start?)","OK")))</f>
        <v/>
      </c>
      <c r="P739" s="17">
        <f>IF(OR($B739="",$I739=""),"",IF(IFERROR(MATCH($G739,nrBankTopics,0),0)=0,"OK",IF(COUNTA(INDEX(nrBankGrid,IFERROR(MATCH($G739,nrBankTopics,0),1),0))=0,"OK",IF(SUMPRODUCT((nrInstrNames&lt;&gt;"")*ISNUMBER(SEARCH(nrInstrNames,$I739))*(COUNTIF(INDEX(nrBankGrid,IFERROR(MATCH($G739,nrBankTopics,0),1),0),nrInstrNames)&gt;0))&lt;SUMPRODUCT((nrInstrNames&lt;&gt;"")*ISNUMBER(SEARCH(nrInstrNames,$I739))),"NOT IN BANK","OK"))))</f>
        <v/>
      </c>
    </row>
    <row r="740">
      <c r="B740" s="18" t="n"/>
      <c r="C740" s="17">
        <f>IF($B740="","",TEXT($B740,"ddd"))</f>
        <v/>
      </c>
      <c r="D740" s="41" t="n"/>
      <c r="E740" s="41" t="n"/>
      <c r="F740" s="17">
        <f>IF(OR($B740="",$D740="",$E740=""),"",ROUND(MOD($E740-$D740,1)*24,2))</f>
        <v/>
      </c>
      <c r="G740" s="16" t="n"/>
      <c r="H740" s="17">
        <f>IF($G740="","",IFERROR(_xlfn.XLOOKUP($G740,nrCHname,nrCHnum),IFERROR(_xlfn.XLOOKUP($G740,nrSUBname,nrSUBparent),"")))</f>
        <v/>
      </c>
      <c r="I740" s="16" t="n"/>
      <c r="J740" s="16" t="n"/>
      <c r="K740" s="17">
        <f>IF($B740="","",IFERROR(_xlfn.XLOOKUP($B740,nrCDdate,nrCDweek),""))</f>
        <v/>
      </c>
      <c r="L740" s="17">
        <f>IF($B740="","",IFERROR(_xlfn.XLOOKUP($B740,nrCDdate,nrCDnum),""))</f>
        <v/>
      </c>
      <c r="M740" s="16" t="n"/>
      <c r="N740" s="17">
        <f>IF(OR($B740="",$I740=""),"",_xlfn.LET(_xlpm.a,$I740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40" s="17">
        <f>IF(OR($B740="",$D740="",$E740=""),"",IF($E740=$D740,"CHECK TIMES (start = end)",IF($F740&gt;12,"CHECK TIMES (End is before Start?)","OK")))</f>
        <v/>
      </c>
      <c r="P740" s="17">
        <f>IF(OR($B740="",$I740=""),"",IF(IFERROR(MATCH($G740,nrBankTopics,0),0)=0,"OK",IF(COUNTA(INDEX(nrBankGrid,IFERROR(MATCH($G740,nrBankTopics,0),1),0))=0,"OK",IF(SUMPRODUCT((nrInstrNames&lt;&gt;"")*ISNUMBER(SEARCH(nrInstrNames,$I740))*(COUNTIF(INDEX(nrBankGrid,IFERROR(MATCH($G740,nrBankTopics,0),1),0),nrInstrNames)&gt;0))&lt;SUMPRODUCT((nrInstrNames&lt;&gt;"")*ISNUMBER(SEARCH(nrInstrNames,$I740))),"NOT IN BANK","OK"))))</f>
        <v/>
      </c>
    </row>
    <row r="741">
      <c r="B741" s="18" t="n"/>
      <c r="C741" s="17">
        <f>IF($B741="","",TEXT($B741,"ddd"))</f>
        <v/>
      </c>
      <c r="D741" s="41" t="n"/>
      <c r="E741" s="41" t="n"/>
      <c r="F741" s="17">
        <f>IF(OR($B741="",$D741="",$E741=""),"",ROUND(MOD($E741-$D741,1)*24,2))</f>
        <v/>
      </c>
      <c r="G741" s="16" t="n"/>
      <c r="H741" s="17">
        <f>IF($G741="","",IFERROR(_xlfn.XLOOKUP($G741,nrCHname,nrCHnum),IFERROR(_xlfn.XLOOKUP($G741,nrSUBname,nrSUBparent),"")))</f>
        <v/>
      </c>
      <c r="I741" s="16" t="n"/>
      <c r="J741" s="16" t="n"/>
      <c r="K741" s="17">
        <f>IF($B741="","",IFERROR(_xlfn.XLOOKUP($B741,nrCDdate,nrCDweek),""))</f>
        <v/>
      </c>
      <c r="L741" s="17">
        <f>IF($B741="","",IFERROR(_xlfn.XLOOKUP($B741,nrCDdate,nrCDnum),""))</f>
        <v/>
      </c>
      <c r="M741" s="16" t="n"/>
      <c r="N741" s="17">
        <f>IF(OR($B741="",$I741=""),"",_xlfn.LET(_xlpm.a,$I741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41" s="17">
        <f>IF(OR($B741="",$D741="",$E741=""),"",IF($E741=$D741,"CHECK TIMES (start = end)",IF($F741&gt;12,"CHECK TIMES (End is before Start?)","OK")))</f>
        <v/>
      </c>
      <c r="P741" s="17">
        <f>IF(OR($B741="",$I741=""),"",IF(IFERROR(MATCH($G741,nrBankTopics,0),0)=0,"OK",IF(COUNTA(INDEX(nrBankGrid,IFERROR(MATCH($G741,nrBankTopics,0),1),0))=0,"OK",IF(SUMPRODUCT((nrInstrNames&lt;&gt;"")*ISNUMBER(SEARCH(nrInstrNames,$I741))*(COUNTIF(INDEX(nrBankGrid,IFERROR(MATCH($G741,nrBankTopics,0),1),0),nrInstrNames)&gt;0))&lt;SUMPRODUCT((nrInstrNames&lt;&gt;"")*ISNUMBER(SEARCH(nrInstrNames,$I741))),"NOT IN BANK","OK"))))</f>
        <v/>
      </c>
    </row>
    <row r="742">
      <c r="B742" s="18" t="n"/>
      <c r="C742" s="17">
        <f>IF($B742="","",TEXT($B742,"ddd"))</f>
        <v/>
      </c>
      <c r="D742" s="41" t="n"/>
      <c r="E742" s="41" t="n"/>
      <c r="F742" s="17">
        <f>IF(OR($B742="",$D742="",$E742=""),"",ROUND(MOD($E742-$D742,1)*24,2))</f>
        <v/>
      </c>
      <c r="G742" s="16" t="n"/>
      <c r="H742" s="17">
        <f>IF($G742="","",IFERROR(_xlfn.XLOOKUP($G742,nrCHname,nrCHnum),IFERROR(_xlfn.XLOOKUP($G742,nrSUBname,nrSUBparent),"")))</f>
        <v/>
      </c>
      <c r="I742" s="16" t="n"/>
      <c r="J742" s="16" t="n"/>
      <c r="K742" s="17">
        <f>IF($B742="","",IFERROR(_xlfn.XLOOKUP($B742,nrCDdate,nrCDweek),""))</f>
        <v/>
      </c>
      <c r="L742" s="17">
        <f>IF($B742="","",IFERROR(_xlfn.XLOOKUP($B742,nrCDdate,nrCDnum),""))</f>
        <v/>
      </c>
      <c r="M742" s="16" t="n"/>
      <c r="N742" s="17">
        <f>IF(OR($B742="",$I742=""),"",_xlfn.LET(_xlpm.a,$I742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42" s="17">
        <f>IF(OR($B742="",$D742="",$E742=""),"",IF($E742=$D742,"CHECK TIMES (start = end)",IF($F742&gt;12,"CHECK TIMES (End is before Start?)","OK")))</f>
        <v/>
      </c>
      <c r="P742" s="17">
        <f>IF(OR($B742="",$I742=""),"",IF(IFERROR(MATCH($G742,nrBankTopics,0),0)=0,"OK",IF(COUNTA(INDEX(nrBankGrid,IFERROR(MATCH($G742,nrBankTopics,0),1),0))=0,"OK",IF(SUMPRODUCT((nrInstrNames&lt;&gt;"")*ISNUMBER(SEARCH(nrInstrNames,$I742))*(COUNTIF(INDEX(nrBankGrid,IFERROR(MATCH($G742,nrBankTopics,0),1),0),nrInstrNames)&gt;0))&lt;SUMPRODUCT((nrInstrNames&lt;&gt;"")*ISNUMBER(SEARCH(nrInstrNames,$I742))),"NOT IN BANK","OK"))))</f>
        <v/>
      </c>
    </row>
    <row r="743">
      <c r="B743" s="18" t="n"/>
      <c r="C743" s="17">
        <f>IF($B743="","",TEXT($B743,"ddd"))</f>
        <v/>
      </c>
      <c r="D743" s="41" t="n"/>
      <c r="E743" s="41" t="n"/>
      <c r="F743" s="17">
        <f>IF(OR($B743="",$D743="",$E743=""),"",ROUND(MOD($E743-$D743,1)*24,2))</f>
        <v/>
      </c>
      <c r="G743" s="16" t="n"/>
      <c r="H743" s="17">
        <f>IF($G743="","",IFERROR(_xlfn.XLOOKUP($G743,nrCHname,nrCHnum),IFERROR(_xlfn.XLOOKUP($G743,nrSUBname,nrSUBparent),"")))</f>
        <v/>
      </c>
      <c r="I743" s="16" t="n"/>
      <c r="J743" s="16" t="n"/>
      <c r="K743" s="17">
        <f>IF($B743="","",IFERROR(_xlfn.XLOOKUP($B743,nrCDdate,nrCDweek),""))</f>
        <v/>
      </c>
      <c r="L743" s="17">
        <f>IF($B743="","",IFERROR(_xlfn.XLOOKUP($B743,nrCDdate,nrCDnum),""))</f>
        <v/>
      </c>
      <c r="M743" s="16" t="n"/>
      <c r="N743" s="17">
        <f>IF(OR($B743="",$I743=""),"",_xlfn.LET(_xlpm.a,$I743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43" s="17">
        <f>IF(OR($B743="",$D743="",$E743=""),"",IF($E743=$D743,"CHECK TIMES (start = end)",IF($F743&gt;12,"CHECK TIMES (End is before Start?)","OK")))</f>
        <v/>
      </c>
      <c r="P743" s="17">
        <f>IF(OR($B743="",$I743=""),"",IF(IFERROR(MATCH($G743,nrBankTopics,0),0)=0,"OK",IF(COUNTA(INDEX(nrBankGrid,IFERROR(MATCH($G743,nrBankTopics,0),1),0))=0,"OK",IF(SUMPRODUCT((nrInstrNames&lt;&gt;"")*ISNUMBER(SEARCH(nrInstrNames,$I743))*(COUNTIF(INDEX(nrBankGrid,IFERROR(MATCH($G743,nrBankTopics,0),1),0),nrInstrNames)&gt;0))&lt;SUMPRODUCT((nrInstrNames&lt;&gt;"")*ISNUMBER(SEARCH(nrInstrNames,$I743))),"NOT IN BANK","OK"))))</f>
        <v/>
      </c>
    </row>
    <row r="744">
      <c r="B744" s="18" t="n"/>
      <c r="C744" s="17">
        <f>IF($B744="","",TEXT($B744,"ddd"))</f>
        <v/>
      </c>
      <c r="D744" s="41" t="n"/>
      <c r="E744" s="41" t="n"/>
      <c r="F744" s="17">
        <f>IF(OR($B744="",$D744="",$E744=""),"",ROUND(MOD($E744-$D744,1)*24,2))</f>
        <v/>
      </c>
      <c r="G744" s="16" t="n"/>
      <c r="H744" s="17">
        <f>IF($G744="","",IFERROR(_xlfn.XLOOKUP($G744,nrCHname,nrCHnum),IFERROR(_xlfn.XLOOKUP($G744,nrSUBname,nrSUBparent),"")))</f>
        <v/>
      </c>
      <c r="I744" s="16" t="n"/>
      <c r="J744" s="16" t="n"/>
      <c r="K744" s="17">
        <f>IF($B744="","",IFERROR(_xlfn.XLOOKUP($B744,nrCDdate,nrCDweek),""))</f>
        <v/>
      </c>
      <c r="L744" s="17">
        <f>IF($B744="","",IFERROR(_xlfn.XLOOKUP($B744,nrCDdate,nrCDnum),""))</f>
        <v/>
      </c>
      <c r="M744" s="16" t="n"/>
      <c r="N744" s="17">
        <f>IF(OR($B744="",$I744=""),"",_xlfn.LET(_xlpm.a,$I744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44" s="17">
        <f>IF(OR($B744="",$D744="",$E744=""),"",IF($E744=$D744,"CHECK TIMES (start = end)",IF($F744&gt;12,"CHECK TIMES (End is before Start?)","OK")))</f>
        <v/>
      </c>
      <c r="P744" s="17">
        <f>IF(OR($B744="",$I744=""),"",IF(IFERROR(MATCH($G744,nrBankTopics,0),0)=0,"OK",IF(COUNTA(INDEX(nrBankGrid,IFERROR(MATCH($G744,nrBankTopics,0),1),0))=0,"OK",IF(SUMPRODUCT((nrInstrNames&lt;&gt;"")*ISNUMBER(SEARCH(nrInstrNames,$I744))*(COUNTIF(INDEX(nrBankGrid,IFERROR(MATCH($G744,nrBankTopics,0),1),0),nrInstrNames)&gt;0))&lt;SUMPRODUCT((nrInstrNames&lt;&gt;"")*ISNUMBER(SEARCH(nrInstrNames,$I744))),"NOT IN BANK","OK"))))</f>
        <v/>
      </c>
    </row>
    <row r="745">
      <c r="B745" s="18" t="n"/>
      <c r="C745" s="17">
        <f>IF($B745="","",TEXT($B745,"ddd"))</f>
        <v/>
      </c>
      <c r="D745" s="41" t="n"/>
      <c r="E745" s="41" t="n"/>
      <c r="F745" s="17">
        <f>IF(OR($B745="",$D745="",$E745=""),"",ROUND(MOD($E745-$D745,1)*24,2))</f>
        <v/>
      </c>
      <c r="G745" s="16" t="n"/>
      <c r="H745" s="17">
        <f>IF($G745="","",IFERROR(_xlfn.XLOOKUP($G745,nrCHname,nrCHnum),IFERROR(_xlfn.XLOOKUP($G745,nrSUBname,nrSUBparent),"")))</f>
        <v/>
      </c>
      <c r="I745" s="16" t="n"/>
      <c r="J745" s="16" t="n"/>
      <c r="K745" s="17">
        <f>IF($B745="","",IFERROR(_xlfn.XLOOKUP($B745,nrCDdate,nrCDweek),""))</f>
        <v/>
      </c>
      <c r="L745" s="17">
        <f>IF($B745="","",IFERROR(_xlfn.XLOOKUP($B745,nrCDdate,nrCDnum),""))</f>
        <v/>
      </c>
      <c r="M745" s="16" t="n"/>
      <c r="N745" s="17">
        <f>IF(OR($B745="",$I745=""),"",_xlfn.LET(_xlpm.a,$I745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45" s="17">
        <f>IF(OR($B745="",$D745="",$E745=""),"",IF($E745=$D745,"CHECK TIMES (start = end)",IF($F745&gt;12,"CHECK TIMES (End is before Start?)","OK")))</f>
        <v/>
      </c>
      <c r="P745" s="17">
        <f>IF(OR($B745="",$I745=""),"",IF(IFERROR(MATCH($G745,nrBankTopics,0),0)=0,"OK",IF(COUNTA(INDEX(nrBankGrid,IFERROR(MATCH($G745,nrBankTopics,0),1),0))=0,"OK",IF(SUMPRODUCT((nrInstrNames&lt;&gt;"")*ISNUMBER(SEARCH(nrInstrNames,$I745))*(COUNTIF(INDEX(nrBankGrid,IFERROR(MATCH($G745,nrBankTopics,0),1),0),nrInstrNames)&gt;0))&lt;SUMPRODUCT((nrInstrNames&lt;&gt;"")*ISNUMBER(SEARCH(nrInstrNames,$I745))),"NOT IN BANK","OK"))))</f>
        <v/>
      </c>
    </row>
    <row r="746">
      <c r="B746" s="18" t="n"/>
      <c r="C746" s="17">
        <f>IF($B746="","",TEXT($B746,"ddd"))</f>
        <v/>
      </c>
      <c r="D746" s="41" t="n"/>
      <c r="E746" s="41" t="n"/>
      <c r="F746" s="17">
        <f>IF(OR($B746="",$D746="",$E746=""),"",ROUND(MOD($E746-$D746,1)*24,2))</f>
        <v/>
      </c>
      <c r="G746" s="16" t="n"/>
      <c r="H746" s="17">
        <f>IF($G746="","",IFERROR(_xlfn.XLOOKUP($G746,nrCHname,nrCHnum),IFERROR(_xlfn.XLOOKUP($G746,nrSUBname,nrSUBparent),"")))</f>
        <v/>
      </c>
      <c r="I746" s="16" t="n"/>
      <c r="J746" s="16" t="n"/>
      <c r="K746" s="17">
        <f>IF($B746="","",IFERROR(_xlfn.XLOOKUP($B746,nrCDdate,nrCDweek),""))</f>
        <v/>
      </c>
      <c r="L746" s="17">
        <f>IF($B746="","",IFERROR(_xlfn.XLOOKUP($B746,nrCDdate,nrCDnum),""))</f>
        <v/>
      </c>
      <c r="M746" s="16" t="n"/>
      <c r="N746" s="17">
        <f>IF(OR($B746="",$I746=""),"",_xlfn.LET(_xlpm.a,$I746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46" s="17">
        <f>IF(OR($B746="",$D746="",$E746=""),"",IF($E746=$D746,"CHECK TIMES (start = end)",IF($F746&gt;12,"CHECK TIMES (End is before Start?)","OK")))</f>
        <v/>
      </c>
      <c r="P746" s="17">
        <f>IF(OR($B746="",$I746=""),"",IF(IFERROR(MATCH($G746,nrBankTopics,0),0)=0,"OK",IF(COUNTA(INDEX(nrBankGrid,IFERROR(MATCH($G746,nrBankTopics,0),1),0))=0,"OK",IF(SUMPRODUCT((nrInstrNames&lt;&gt;"")*ISNUMBER(SEARCH(nrInstrNames,$I746))*(COUNTIF(INDEX(nrBankGrid,IFERROR(MATCH($G746,nrBankTopics,0),1),0),nrInstrNames)&gt;0))&lt;SUMPRODUCT((nrInstrNames&lt;&gt;"")*ISNUMBER(SEARCH(nrInstrNames,$I746))),"NOT IN BANK","OK"))))</f>
        <v/>
      </c>
    </row>
    <row r="747">
      <c r="B747" s="18" t="n"/>
      <c r="C747" s="17">
        <f>IF($B747="","",TEXT($B747,"ddd"))</f>
        <v/>
      </c>
      <c r="D747" s="41" t="n"/>
      <c r="E747" s="41" t="n"/>
      <c r="F747" s="17">
        <f>IF(OR($B747="",$D747="",$E747=""),"",ROUND(MOD($E747-$D747,1)*24,2))</f>
        <v/>
      </c>
      <c r="G747" s="16" t="n"/>
      <c r="H747" s="17">
        <f>IF($G747="","",IFERROR(_xlfn.XLOOKUP($G747,nrCHname,nrCHnum),IFERROR(_xlfn.XLOOKUP($G747,nrSUBname,nrSUBparent),"")))</f>
        <v/>
      </c>
      <c r="I747" s="16" t="n"/>
      <c r="J747" s="16" t="n"/>
      <c r="K747" s="17">
        <f>IF($B747="","",IFERROR(_xlfn.XLOOKUP($B747,nrCDdate,nrCDweek),""))</f>
        <v/>
      </c>
      <c r="L747" s="17">
        <f>IF($B747="","",IFERROR(_xlfn.XLOOKUP($B747,nrCDdate,nrCDnum),""))</f>
        <v/>
      </c>
      <c r="M747" s="16" t="n"/>
      <c r="N747" s="17">
        <f>IF(OR($B747="",$I747=""),"",_xlfn.LET(_xlpm.a,$I747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47" s="17">
        <f>IF(OR($B747="",$D747="",$E747=""),"",IF($E747=$D747,"CHECK TIMES (start = end)",IF($F747&gt;12,"CHECK TIMES (End is before Start?)","OK")))</f>
        <v/>
      </c>
      <c r="P747" s="17">
        <f>IF(OR($B747="",$I747=""),"",IF(IFERROR(MATCH($G747,nrBankTopics,0),0)=0,"OK",IF(COUNTA(INDEX(nrBankGrid,IFERROR(MATCH($G747,nrBankTopics,0),1),0))=0,"OK",IF(SUMPRODUCT((nrInstrNames&lt;&gt;"")*ISNUMBER(SEARCH(nrInstrNames,$I747))*(COUNTIF(INDEX(nrBankGrid,IFERROR(MATCH($G747,nrBankTopics,0),1),0),nrInstrNames)&gt;0))&lt;SUMPRODUCT((nrInstrNames&lt;&gt;"")*ISNUMBER(SEARCH(nrInstrNames,$I747))),"NOT IN BANK","OK"))))</f>
        <v/>
      </c>
    </row>
    <row r="748">
      <c r="B748" s="18" t="n"/>
      <c r="C748" s="17">
        <f>IF($B748="","",TEXT($B748,"ddd"))</f>
        <v/>
      </c>
      <c r="D748" s="41" t="n"/>
      <c r="E748" s="41" t="n"/>
      <c r="F748" s="17">
        <f>IF(OR($B748="",$D748="",$E748=""),"",ROUND(MOD($E748-$D748,1)*24,2))</f>
        <v/>
      </c>
      <c r="G748" s="16" t="n"/>
      <c r="H748" s="17">
        <f>IF($G748="","",IFERROR(_xlfn.XLOOKUP($G748,nrCHname,nrCHnum),IFERROR(_xlfn.XLOOKUP($G748,nrSUBname,nrSUBparent),"")))</f>
        <v/>
      </c>
      <c r="I748" s="16" t="n"/>
      <c r="J748" s="16" t="n"/>
      <c r="K748" s="17">
        <f>IF($B748="","",IFERROR(_xlfn.XLOOKUP($B748,nrCDdate,nrCDweek),""))</f>
        <v/>
      </c>
      <c r="L748" s="17">
        <f>IF($B748="","",IFERROR(_xlfn.XLOOKUP($B748,nrCDdate,nrCDnum),""))</f>
        <v/>
      </c>
      <c r="M748" s="16" t="n"/>
      <c r="N748" s="17">
        <f>IF(OR($B748="",$I748=""),"",_xlfn.LET(_xlpm.a,$I748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48" s="17">
        <f>IF(OR($B748="",$D748="",$E748=""),"",IF($E748=$D748,"CHECK TIMES (start = end)",IF($F748&gt;12,"CHECK TIMES (End is before Start?)","OK")))</f>
        <v/>
      </c>
      <c r="P748" s="17">
        <f>IF(OR($B748="",$I748=""),"",IF(IFERROR(MATCH($G748,nrBankTopics,0),0)=0,"OK",IF(COUNTA(INDEX(nrBankGrid,IFERROR(MATCH($G748,nrBankTopics,0),1),0))=0,"OK",IF(SUMPRODUCT((nrInstrNames&lt;&gt;"")*ISNUMBER(SEARCH(nrInstrNames,$I748))*(COUNTIF(INDEX(nrBankGrid,IFERROR(MATCH($G748,nrBankTopics,0),1),0),nrInstrNames)&gt;0))&lt;SUMPRODUCT((nrInstrNames&lt;&gt;"")*ISNUMBER(SEARCH(nrInstrNames,$I748))),"NOT IN BANK","OK"))))</f>
        <v/>
      </c>
    </row>
    <row r="749">
      <c r="B749" s="18" t="n"/>
      <c r="C749" s="17">
        <f>IF($B749="","",TEXT($B749,"ddd"))</f>
        <v/>
      </c>
      <c r="D749" s="41" t="n"/>
      <c r="E749" s="41" t="n"/>
      <c r="F749" s="17">
        <f>IF(OR($B749="",$D749="",$E749=""),"",ROUND(MOD($E749-$D749,1)*24,2))</f>
        <v/>
      </c>
      <c r="G749" s="16" t="n"/>
      <c r="H749" s="17">
        <f>IF($G749="","",IFERROR(_xlfn.XLOOKUP($G749,nrCHname,nrCHnum),IFERROR(_xlfn.XLOOKUP($G749,nrSUBname,nrSUBparent),"")))</f>
        <v/>
      </c>
      <c r="I749" s="16" t="n"/>
      <c r="J749" s="16" t="n"/>
      <c r="K749" s="17">
        <f>IF($B749="","",IFERROR(_xlfn.XLOOKUP($B749,nrCDdate,nrCDweek),""))</f>
        <v/>
      </c>
      <c r="L749" s="17">
        <f>IF($B749="","",IFERROR(_xlfn.XLOOKUP($B749,nrCDdate,nrCDnum),""))</f>
        <v/>
      </c>
      <c r="M749" s="16" t="n"/>
      <c r="N749" s="17">
        <f>IF(OR($B749="",$I749=""),"",_xlfn.LET(_xlpm.a,$I749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49" s="17">
        <f>IF(OR($B749="",$D749="",$E749=""),"",IF($E749=$D749,"CHECK TIMES (start = end)",IF($F749&gt;12,"CHECK TIMES (End is before Start?)","OK")))</f>
        <v/>
      </c>
      <c r="P749" s="17">
        <f>IF(OR($B749="",$I749=""),"",IF(IFERROR(MATCH($G749,nrBankTopics,0),0)=0,"OK",IF(COUNTA(INDEX(nrBankGrid,IFERROR(MATCH($G749,nrBankTopics,0),1),0))=0,"OK",IF(SUMPRODUCT((nrInstrNames&lt;&gt;"")*ISNUMBER(SEARCH(nrInstrNames,$I749))*(COUNTIF(INDEX(nrBankGrid,IFERROR(MATCH($G749,nrBankTopics,0),1),0),nrInstrNames)&gt;0))&lt;SUMPRODUCT((nrInstrNames&lt;&gt;"")*ISNUMBER(SEARCH(nrInstrNames,$I749))),"NOT IN BANK","OK"))))</f>
        <v/>
      </c>
    </row>
    <row r="750">
      <c r="B750" s="18" t="n"/>
      <c r="C750" s="17">
        <f>IF($B750="","",TEXT($B750,"ddd"))</f>
        <v/>
      </c>
      <c r="D750" s="41" t="n"/>
      <c r="E750" s="41" t="n"/>
      <c r="F750" s="17">
        <f>IF(OR($B750="",$D750="",$E750=""),"",ROUND(MOD($E750-$D750,1)*24,2))</f>
        <v/>
      </c>
      <c r="G750" s="16" t="n"/>
      <c r="H750" s="17">
        <f>IF($G750="","",IFERROR(_xlfn.XLOOKUP($G750,nrCHname,nrCHnum),IFERROR(_xlfn.XLOOKUP($G750,nrSUBname,nrSUBparent),"")))</f>
        <v/>
      </c>
      <c r="I750" s="16" t="n"/>
      <c r="J750" s="16" t="n"/>
      <c r="K750" s="17">
        <f>IF($B750="","",IFERROR(_xlfn.XLOOKUP($B750,nrCDdate,nrCDweek),""))</f>
        <v/>
      </c>
      <c r="L750" s="17">
        <f>IF($B750="","",IFERROR(_xlfn.XLOOKUP($B750,nrCDdate,nrCDnum),""))</f>
        <v/>
      </c>
      <c r="M750" s="16" t="n"/>
      <c r="N750" s="17">
        <f>IF(OR($B750="",$I750=""),"",_xlfn.LET(_xlpm.a,$I750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50" s="17">
        <f>IF(OR($B750="",$D750="",$E750=""),"",IF($E750=$D750,"CHECK TIMES (start = end)",IF($F750&gt;12,"CHECK TIMES (End is before Start?)","OK")))</f>
        <v/>
      </c>
      <c r="P750" s="17">
        <f>IF(OR($B750="",$I750=""),"",IF(IFERROR(MATCH($G750,nrBankTopics,0),0)=0,"OK",IF(COUNTA(INDEX(nrBankGrid,IFERROR(MATCH($G750,nrBankTopics,0),1),0))=0,"OK",IF(SUMPRODUCT((nrInstrNames&lt;&gt;"")*ISNUMBER(SEARCH(nrInstrNames,$I750))*(COUNTIF(INDEX(nrBankGrid,IFERROR(MATCH($G750,nrBankTopics,0),1),0),nrInstrNames)&gt;0))&lt;SUMPRODUCT((nrInstrNames&lt;&gt;"")*ISNUMBER(SEARCH(nrInstrNames,$I750))),"NOT IN BANK","OK"))))</f>
        <v/>
      </c>
    </row>
    <row r="751">
      <c r="B751" s="18" t="n"/>
      <c r="C751" s="17">
        <f>IF($B751="","",TEXT($B751,"ddd"))</f>
        <v/>
      </c>
      <c r="D751" s="41" t="n"/>
      <c r="E751" s="41" t="n"/>
      <c r="F751" s="17">
        <f>IF(OR($B751="",$D751="",$E751=""),"",ROUND(MOD($E751-$D751,1)*24,2))</f>
        <v/>
      </c>
      <c r="G751" s="16" t="n"/>
      <c r="H751" s="17">
        <f>IF($G751="","",IFERROR(_xlfn.XLOOKUP($G751,nrCHname,nrCHnum),IFERROR(_xlfn.XLOOKUP($G751,nrSUBname,nrSUBparent),"")))</f>
        <v/>
      </c>
      <c r="I751" s="16" t="n"/>
      <c r="J751" s="16" t="n"/>
      <c r="K751" s="17">
        <f>IF($B751="","",IFERROR(_xlfn.XLOOKUP($B751,nrCDdate,nrCDweek),""))</f>
        <v/>
      </c>
      <c r="L751" s="17">
        <f>IF($B751="","",IFERROR(_xlfn.XLOOKUP($B751,nrCDdate,nrCDnum),""))</f>
        <v/>
      </c>
      <c r="M751" s="16" t="n"/>
      <c r="N751" s="17">
        <f>IF(OR($B751="",$I751=""),"",_xlfn.LET(_xlpm.a,$I751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51" s="17">
        <f>IF(OR($B751="",$D751="",$E751=""),"",IF($E751=$D751,"CHECK TIMES (start = end)",IF($F751&gt;12,"CHECK TIMES (End is before Start?)","OK")))</f>
        <v/>
      </c>
      <c r="P751" s="17">
        <f>IF(OR($B751="",$I751=""),"",IF(IFERROR(MATCH($G751,nrBankTopics,0),0)=0,"OK",IF(COUNTA(INDEX(nrBankGrid,IFERROR(MATCH($G751,nrBankTopics,0),1),0))=0,"OK",IF(SUMPRODUCT((nrInstrNames&lt;&gt;"")*ISNUMBER(SEARCH(nrInstrNames,$I751))*(COUNTIF(INDEX(nrBankGrid,IFERROR(MATCH($G751,nrBankTopics,0),1),0),nrInstrNames)&gt;0))&lt;SUMPRODUCT((nrInstrNames&lt;&gt;"")*ISNUMBER(SEARCH(nrInstrNames,$I751))),"NOT IN BANK","OK"))))</f>
        <v/>
      </c>
    </row>
    <row r="752">
      <c r="B752" s="18" t="n"/>
      <c r="C752" s="17">
        <f>IF($B752="","",TEXT($B752,"ddd"))</f>
        <v/>
      </c>
      <c r="D752" s="41" t="n"/>
      <c r="E752" s="41" t="n"/>
      <c r="F752" s="17">
        <f>IF(OR($B752="",$D752="",$E752=""),"",ROUND(MOD($E752-$D752,1)*24,2))</f>
        <v/>
      </c>
      <c r="G752" s="16" t="n"/>
      <c r="H752" s="17">
        <f>IF($G752="","",IFERROR(_xlfn.XLOOKUP($G752,nrCHname,nrCHnum),IFERROR(_xlfn.XLOOKUP($G752,nrSUBname,nrSUBparent),"")))</f>
        <v/>
      </c>
      <c r="I752" s="16" t="n"/>
      <c r="J752" s="16" t="n"/>
      <c r="K752" s="17">
        <f>IF($B752="","",IFERROR(_xlfn.XLOOKUP($B752,nrCDdate,nrCDweek),""))</f>
        <v/>
      </c>
      <c r="L752" s="17">
        <f>IF($B752="","",IFERROR(_xlfn.XLOOKUP($B752,nrCDdate,nrCDnum),""))</f>
        <v/>
      </c>
      <c r="M752" s="16" t="n"/>
      <c r="N752" s="17">
        <f>IF(OR($B752="",$I752=""),"",_xlfn.LET(_xlpm.a,$I752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52" s="17">
        <f>IF(OR($B752="",$D752="",$E752=""),"",IF($E752=$D752,"CHECK TIMES (start = end)",IF($F752&gt;12,"CHECK TIMES (End is before Start?)","OK")))</f>
        <v/>
      </c>
      <c r="P752" s="17">
        <f>IF(OR($B752="",$I752=""),"",IF(IFERROR(MATCH($G752,nrBankTopics,0),0)=0,"OK",IF(COUNTA(INDEX(nrBankGrid,IFERROR(MATCH($G752,nrBankTopics,0),1),0))=0,"OK",IF(SUMPRODUCT((nrInstrNames&lt;&gt;"")*ISNUMBER(SEARCH(nrInstrNames,$I752))*(COUNTIF(INDEX(nrBankGrid,IFERROR(MATCH($G752,nrBankTopics,0),1),0),nrInstrNames)&gt;0))&lt;SUMPRODUCT((nrInstrNames&lt;&gt;"")*ISNUMBER(SEARCH(nrInstrNames,$I752))),"NOT IN BANK","OK"))))</f>
        <v/>
      </c>
    </row>
    <row r="753">
      <c r="B753" s="18" t="n"/>
      <c r="C753" s="17">
        <f>IF($B753="","",TEXT($B753,"ddd"))</f>
        <v/>
      </c>
      <c r="D753" s="41" t="n"/>
      <c r="E753" s="41" t="n"/>
      <c r="F753" s="17">
        <f>IF(OR($B753="",$D753="",$E753=""),"",ROUND(MOD($E753-$D753,1)*24,2))</f>
        <v/>
      </c>
      <c r="G753" s="16" t="n"/>
      <c r="H753" s="17">
        <f>IF($G753="","",IFERROR(_xlfn.XLOOKUP($G753,nrCHname,nrCHnum),IFERROR(_xlfn.XLOOKUP($G753,nrSUBname,nrSUBparent),"")))</f>
        <v/>
      </c>
      <c r="I753" s="16" t="n"/>
      <c r="J753" s="16" t="n"/>
      <c r="K753" s="17">
        <f>IF($B753="","",IFERROR(_xlfn.XLOOKUP($B753,nrCDdate,nrCDweek),""))</f>
        <v/>
      </c>
      <c r="L753" s="17">
        <f>IF($B753="","",IFERROR(_xlfn.XLOOKUP($B753,nrCDdate,nrCDnum),""))</f>
        <v/>
      </c>
      <c r="M753" s="16" t="n"/>
      <c r="N753" s="17">
        <f>IF(OR($B753="",$I753=""),"",_xlfn.LET(_xlpm.a,$I753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53" s="17">
        <f>IF(OR($B753="",$D753="",$E753=""),"",IF($E753=$D753,"CHECK TIMES (start = end)",IF($F753&gt;12,"CHECK TIMES (End is before Start?)","OK")))</f>
        <v/>
      </c>
      <c r="P753" s="17">
        <f>IF(OR($B753="",$I753=""),"",IF(IFERROR(MATCH($G753,nrBankTopics,0),0)=0,"OK",IF(COUNTA(INDEX(nrBankGrid,IFERROR(MATCH($G753,nrBankTopics,0),1),0))=0,"OK",IF(SUMPRODUCT((nrInstrNames&lt;&gt;"")*ISNUMBER(SEARCH(nrInstrNames,$I753))*(COUNTIF(INDEX(nrBankGrid,IFERROR(MATCH($G753,nrBankTopics,0),1),0),nrInstrNames)&gt;0))&lt;SUMPRODUCT((nrInstrNames&lt;&gt;"")*ISNUMBER(SEARCH(nrInstrNames,$I753))),"NOT IN BANK","OK"))))</f>
        <v/>
      </c>
    </row>
    <row r="754">
      <c r="B754" s="18" t="n"/>
      <c r="C754" s="17">
        <f>IF($B754="","",TEXT($B754,"ddd"))</f>
        <v/>
      </c>
      <c r="D754" s="41" t="n"/>
      <c r="E754" s="41" t="n"/>
      <c r="F754" s="17">
        <f>IF(OR($B754="",$D754="",$E754=""),"",ROUND(MOD($E754-$D754,1)*24,2))</f>
        <v/>
      </c>
      <c r="G754" s="16" t="n"/>
      <c r="H754" s="17">
        <f>IF($G754="","",IFERROR(_xlfn.XLOOKUP($G754,nrCHname,nrCHnum),IFERROR(_xlfn.XLOOKUP($G754,nrSUBname,nrSUBparent),"")))</f>
        <v/>
      </c>
      <c r="I754" s="16" t="n"/>
      <c r="J754" s="16" t="n"/>
      <c r="K754" s="17">
        <f>IF($B754="","",IFERROR(_xlfn.XLOOKUP($B754,nrCDdate,nrCDweek),""))</f>
        <v/>
      </c>
      <c r="L754" s="17">
        <f>IF($B754="","",IFERROR(_xlfn.XLOOKUP($B754,nrCDdate,nrCDnum),""))</f>
        <v/>
      </c>
      <c r="M754" s="16" t="n"/>
      <c r="N754" s="17">
        <f>IF(OR($B754="",$I754=""),"",_xlfn.LET(_xlpm.a,$I754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54" s="17">
        <f>IF(OR($B754="",$D754="",$E754=""),"",IF($E754=$D754,"CHECK TIMES (start = end)",IF($F754&gt;12,"CHECK TIMES (End is before Start?)","OK")))</f>
        <v/>
      </c>
      <c r="P754" s="17">
        <f>IF(OR($B754="",$I754=""),"",IF(IFERROR(MATCH($G754,nrBankTopics,0),0)=0,"OK",IF(COUNTA(INDEX(nrBankGrid,IFERROR(MATCH($G754,nrBankTopics,0),1),0))=0,"OK",IF(SUMPRODUCT((nrInstrNames&lt;&gt;"")*ISNUMBER(SEARCH(nrInstrNames,$I754))*(COUNTIF(INDEX(nrBankGrid,IFERROR(MATCH($G754,nrBankTopics,0),1),0),nrInstrNames)&gt;0))&lt;SUMPRODUCT((nrInstrNames&lt;&gt;"")*ISNUMBER(SEARCH(nrInstrNames,$I754))),"NOT IN BANK","OK"))))</f>
        <v/>
      </c>
    </row>
    <row r="755">
      <c r="B755" s="18" t="n"/>
      <c r="C755" s="17">
        <f>IF($B755="","",TEXT($B755,"ddd"))</f>
        <v/>
      </c>
      <c r="D755" s="41" t="n"/>
      <c r="E755" s="41" t="n"/>
      <c r="F755" s="17">
        <f>IF(OR($B755="",$D755="",$E755=""),"",ROUND(MOD($E755-$D755,1)*24,2))</f>
        <v/>
      </c>
      <c r="G755" s="16" t="n"/>
      <c r="H755" s="17">
        <f>IF($G755="","",IFERROR(_xlfn.XLOOKUP($G755,nrCHname,nrCHnum),IFERROR(_xlfn.XLOOKUP($G755,nrSUBname,nrSUBparent),"")))</f>
        <v/>
      </c>
      <c r="I755" s="16" t="n"/>
      <c r="J755" s="16" t="n"/>
      <c r="K755" s="17">
        <f>IF($B755="","",IFERROR(_xlfn.XLOOKUP($B755,nrCDdate,nrCDweek),""))</f>
        <v/>
      </c>
      <c r="L755" s="17">
        <f>IF($B755="","",IFERROR(_xlfn.XLOOKUP($B755,nrCDdate,nrCDnum),""))</f>
        <v/>
      </c>
      <c r="M755" s="16" t="n"/>
      <c r="N755" s="17">
        <f>IF(OR($B755="",$I755=""),"",_xlfn.LET(_xlpm.a,$I755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55" s="17">
        <f>IF(OR($B755="",$D755="",$E755=""),"",IF($E755=$D755,"CHECK TIMES (start = end)",IF($F755&gt;12,"CHECK TIMES (End is before Start?)","OK")))</f>
        <v/>
      </c>
      <c r="P755" s="17">
        <f>IF(OR($B755="",$I755=""),"",IF(IFERROR(MATCH($G755,nrBankTopics,0),0)=0,"OK",IF(COUNTA(INDEX(nrBankGrid,IFERROR(MATCH($G755,nrBankTopics,0),1),0))=0,"OK",IF(SUMPRODUCT((nrInstrNames&lt;&gt;"")*ISNUMBER(SEARCH(nrInstrNames,$I755))*(COUNTIF(INDEX(nrBankGrid,IFERROR(MATCH($G755,nrBankTopics,0),1),0),nrInstrNames)&gt;0))&lt;SUMPRODUCT((nrInstrNames&lt;&gt;"")*ISNUMBER(SEARCH(nrInstrNames,$I755))),"NOT IN BANK","OK"))))</f>
        <v/>
      </c>
    </row>
    <row r="756">
      <c r="B756" s="18" t="n"/>
      <c r="C756" s="17">
        <f>IF($B756="","",TEXT($B756,"ddd"))</f>
        <v/>
      </c>
      <c r="D756" s="41" t="n"/>
      <c r="E756" s="41" t="n"/>
      <c r="F756" s="17">
        <f>IF(OR($B756="",$D756="",$E756=""),"",ROUND(MOD($E756-$D756,1)*24,2))</f>
        <v/>
      </c>
      <c r="G756" s="16" t="n"/>
      <c r="H756" s="17">
        <f>IF($G756="","",IFERROR(_xlfn.XLOOKUP($G756,nrCHname,nrCHnum),IFERROR(_xlfn.XLOOKUP($G756,nrSUBname,nrSUBparent),"")))</f>
        <v/>
      </c>
      <c r="I756" s="16" t="n"/>
      <c r="J756" s="16" t="n"/>
      <c r="K756" s="17">
        <f>IF($B756="","",IFERROR(_xlfn.XLOOKUP($B756,nrCDdate,nrCDweek),""))</f>
        <v/>
      </c>
      <c r="L756" s="17">
        <f>IF($B756="","",IFERROR(_xlfn.XLOOKUP($B756,nrCDdate,nrCDnum),""))</f>
        <v/>
      </c>
      <c r="M756" s="16" t="n"/>
      <c r="N756" s="17">
        <f>IF(OR($B756="",$I756=""),"",_xlfn.LET(_xlpm.a,$I756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56" s="17">
        <f>IF(OR($B756="",$D756="",$E756=""),"",IF($E756=$D756,"CHECK TIMES (start = end)",IF($F756&gt;12,"CHECK TIMES (End is before Start?)","OK")))</f>
        <v/>
      </c>
      <c r="P756" s="17">
        <f>IF(OR($B756="",$I756=""),"",IF(IFERROR(MATCH($G756,nrBankTopics,0),0)=0,"OK",IF(COUNTA(INDEX(nrBankGrid,IFERROR(MATCH($G756,nrBankTopics,0),1),0))=0,"OK",IF(SUMPRODUCT((nrInstrNames&lt;&gt;"")*ISNUMBER(SEARCH(nrInstrNames,$I756))*(COUNTIF(INDEX(nrBankGrid,IFERROR(MATCH($G756,nrBankTopics,0),1),0),nrInstrNames)&gt;0))&lt;SUMPRODUCT((nrInstrNames&lt;&gt;"")*ISNUMBER(SEARCH(nrInstrNames,$I756))),"NOT IN BANK","OK"))))</f>
        <v/>
      </c>
    </row>
    <row r="757">
      <c r="B757" s="18" t="n"/>
      <c r="C757" s="17">
        <f>IF($B757="","",TEXT($B757,"ddd"))</f>
        <v/>
      </c>
      <c r="D757" s="41" t="n"/>
      <c r="E757" s="41" t="n"/>
      <c r="F757" s="17">
        <f>IF(OR($B757="",$D757="",$E757=""),"",ROUND(MOD($E757-$D757,1)*24,2))</f>
        <v/>
      </c>
      <c r="G757" s="16" t="n"/>
      <c r="H757" s="17">
        <f>IF($G757="","",IFERROR(_xlfn.XLOOKUP($G757,nrCHname,nrCHnum),IFERROR(_xlfn.XLOOKUP($G757,nrSUBname,nrSUBparent),"")))</f>
        <v/>
      </c>
      <c r="I757" s="16" t="n"/>
      <c r="J757" s="16" t="n"/>
      <c r="K757" s="17">
        <f>IF($B757="","",IFERROR(_xlfn.XLOOKUP($B757,nrCDdate,nrCDweek),""))</f>
        <v/>
      </c>
      <c r="L757" s="17">
        <f>IF($B757="","",IFERROR(_xlfn.XLOOKUP($B757,nrCDdate,nrCDnum),""))</f>
        <v/>
      </c>
      <c r="M757" s="16" t="n"/>
      <c r="N757" s="17">
        <f>IF(OR($B757="",$I757=""),"",_xlfn.LET(_xlpm.a,$I757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57" s="17">
        <f>IF(OR($B757="",$D757="",$E757=""),"",IF($E757=$D757,"CHECK TIMES (start = end)",IF($F757&gt;12,"CHECK TIMES (End is before Start?)","OK")))</f>
        <v/>
      </c>
      <c r="P757" s="17">
        <f>IF(OR($B757="",$I757=""),"",IF(IFERROR(MATCH($G757,nrBankTopics,0),0)=0,"OK",IF(COUNTA(INDEX(nrBankGrid,IFERROR(MATCH($G757,nrBankTopics,0),1),0))=0,"OK",IF(SUMPRODUCT((nrInstrNames&lt;&gt;"")*ISNUMBER(SEARCH(nrInstrNames,$I757))*(COUNTIF(INDEX(nrBankGrid,IFERROR(MATCH($G757,nrBankTopics,0),1),0),nrInstrNames)&gt;0))&lt;SUMPRODUCT((nrInstrNames&lt;&gt;"")*ISNUMBER(SEARCH(nrInstrNames,$I757))),"NOT IN BANK","OK"))))</f>
        <v/>
      </c>
    </row>
    <row r="758">
      <c r="B758" s="18" t="n"/>
      <c r="C758" s="17">
        <f>IF($B758="","",TEXT($B758,"ddd"))</f>
        <v/>
      </c>
      <c r="D758" s="41" t="n"/>
      <c r="E758" s="41" t="n"/>
      <c r="F758" s="17">
        <f>IF(OR($B758="",$D758="",$E758=""),"",ROUND(MOD($E758-$D758,1)*24,2))</f>
        <v/>
      </c>
      <c r="G758" s="16" t="n"/>
      <c r="H758" s="17">
        <f>IF($G758="","",IFERROR(_xlfn.XLOOKUP($G758,nrCHname,nrCHnum),IFERROR(_xlfn.XLOOKUP($G758,nrSUBname,nrSUBparent),"")))</f>
        <v/>
      </c>
      <c r="I758" s="16" t="n"/>
      <c r="J758" s="16" t="n"/>
      <c r="K758" s="17">
        <f>IF($B758="","",IFERROR(_xlfn.XLOOKUP($B758,nrCDdate,nrCDweek),""))</f>
        <v/>
      </c>
      <c r="L758" s="17">
        <f>IF($B758="","",IFERROR(_xlfn.XLOOKUP($B758,nrCDdate,nrCDnum),""))</f>
        <v/>
      </c>
      <c r="M758" s="16" t="n"/>
      <c r="N758" s="17">
        <f>IF(OR($B758="",$I758=""),"",_xlfn.LET(_xlpm.a,$I758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58" s="17">
        <f>IF(OR($B758="",$D758="",$E758=""),"",IF($E758=$D758,"CHECK TIMES (start = end)",IF($F758&gt;12,"CHECK TIMES (End is before Start?)","OK")))</f>
        <v/>
      </c>
      <c r="P758" s="17">
        <f>IF(OR($B758="",$I758=""),"",IF(IFERROR(MATCH($G758,nrBankTopics,0),0)=0,"OK",IF(COUNTA(INDEX(nrBankGrid,IFERROR(MATCH($G758,nrBankTopics,0),1),0))=0,"OK",IF(SUMPRODUCT((nrInstrNames&lt;&gt;"")*ISNUMBER(SEARCH(nrInstrNames,$I758))*(COUNTIF(INDEX(nrBankGrid,IFERROR(MATCH($G758,nrBankTopics,0),1),0),nrInstrNames)&gt;0))&lt;SUMPRODUCT((nrInstrNames&lt;&gt;"")*ISNUMBER(SEARCH(nrInstrNames,$I758))),"NOT IN BANK","OK"))))</f>
        <v/>
      </c>
    </row>
    <row r="759">
      <c r="B759" s="18" t="n"/>
      <c r="C759" s="17">
        <f>IF($B759="","",TEXT($B759,"ddd"))</f>
        <v/>
      </c>
      <c r="D759" s="41" t="n"/>
      <c r="E759" s="41" t="n"/>
      <c r="F759" s="17">
        <f>IF(OR($B759="",$D759="",$E759=""),"",ROUND(MOD($E759-$D759,1)*24,2))</f>
        <v/>
      </c>
      <c r="G759" s="16" t="n"/>
      <c r="H759" s="17">
        <f>IF($G759="","",IFERROR(_xlfn.XLOOKUP($G759,nrCHname,nrCHnum),IFERROR(_xlfn.XLOOKUP($G759,nrSUBname,nrSUBparent),"")))</f>
        <v/>
      </c>
      <c r="I759" s="16" t="n"/>
      <c r="J759" s="16" t="n"/>
      <c r="K759" s="17">
        <f>IF($B759="","",IFERROR(_xlfn.XLOOKUP($B759,nrCDdate,nrCDweek),""))</f>
        <v/>
      </c>
      <c r="L759" s="17">
        <f>IF($B759="","",IFERROR(_xlfn.XLOOKUP($B759,nrCDdate,nrCDnum),""))</f>
        <v/>
      </c>
      <c r="M759" s="16" t="n"/>
      <c r="N759" s="17">
        <f>IF(OR($B759="",$I759=""),"",_xlfn.LET(_xlpm.a,$I759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59" s="17">
        <f>IF(OR($B759="",$D759="",$E759=""),"",IF($E759=$D759,"CHECK TIMES (start = end)",IF($F759&gt;12,"CHECK TIMES (End is before Start?)","OK")))</f>
        <v/>
      </c>
      <c r="P759" s="17">
        <f>IF(OR($B759="",$I759=""),"",IF(IFERROR(MATCH($G759,nrBankTopics,0),0)=0,"OK",IF(COUNTA(INDEX(nrBankGrid,IFERROR(MATCH($G759,nrBankTopics,0),1),0))=0,"OK",IF(SUMPRODUCT((nrInstrNames&lt;&gt;"")*ISNUMBER(SEARCH(nrInstrNames,$I759))*(COUNTIF(INDEX(nrBankGrid,IFERROR(MATCH($G759,nrBankTopics,0),1),0),nrInstrNames)&gt;0))&lt;SUMPRODUCT((nrInstrNames&lt;&gt;"")*ISNUMBER(SEARCH(nrInstrNames,$I759))),"NOT IN BANK","OK"))))</f>
        <v/>
      </c>
    </row>
    <row r="760">
      <c r="B760" s="18" t="n"/>
      <c r="C760" s="17">
        <f>IF($B760="","",TEXT($B760,"ddd"))</f>
        <v/>
      </c>
      <c r="D760" s="41" t="n"/>
      <c r="E760" s="41" t="n"/>
      <c r="F760" s="17">
        <f>IF(OR($B760="",$D760="",$E760=""),"",ROUND(MOD($E760-$D760,1)*24,2))</f>
        <v/>
      </c>
      <c r="G760" s="16" t="n"/>
      <c r="H760" s="17">
        <f>IF($G760="","",IFERROR(_xlfn.XLOOKUP($G760,nrCHname,nrCHnum),IFERROR(_xlfn.XLOOKUP($G760,nrSUBname,nrSUBparent),"")))</f>
        <v/>
      </c>
      <c r="I760" s="16" t="n"/>
      <c r="J760" s="16" t="n"/>
      <c r="K760" s="17">
        <f>IF($B760="","",IFERROR(_xlfn.XLOOKUP($B760,nrCDdate,nrCDweek),""))</f>
        <v/>
      </c>
      <c r="L760" s="17">
        <f>IF($B760="","",IFERROR(_xlfn.XLOOKUP($B760,nrCDdate,nrCDnum),""))</f>
        <v/>
      </c>
      <c r="M760" s="16" t="n"/>
      <c r="N760" s="17">
        <f>IF(OR($B760="",$I760=""),"",_xlfn.LET(_xlpm.a,$I760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60" s="17">
        <f>IF(OR($B760="",$D760="",$E760=""),"",IF($E760=$D760,"CHECK TIMES (start = end)",IF($F760&gt;12,"CHECK TIMES (End is before Start?)","OK")))</f>
        <v/>
      </c>
      <c r="P760" s="17">
        <f>IF(OR($B760="",$I760=""),"",IF(IFERROR(MATCH($G760,nrBankTopics,0),0)=0,"OK",IF(COUNTA(INDEX(nrBankGrid,IFERROR(MATCH($G760,nrBankTopics,0),1),0))=0,"OK",IF(SUMPRODUCT((nrInstrNames&lt;&gt;"")*ISNUMBER(SEARCH(nrInstrNames,$I760))*(COUNTIF(INDEX(nrBankGrid,IFERROR(MATCH($G760,nrBankTopics,0),1),0),nrInstrNames)&gt;0))&lt;SUMPRODUCT((nrInstrNames&lt;&gt;"")*ISNUMBER(SEARCH(nrInstrNames,$I760))),"NOT IN BANK","OK"))))</f>
        <v/>
      </c>
    </row>
    <row r="761">
      <c r="B761" s="18" t="n"/>
      <c r="C761" s="17">
        <f>IF($B761="","",TEXT($B761,"ddd"))</f>
        <v/>
      </c>
      <c r="D761" s="41" t="n"/>
      <c r="E761" s="41" t="n"/>
      <c r="F761" s="17">
        <f>IF(OR($B761="",$D761="",$E761=""),"",ROUND(MOD($E761-$D761,1)*24,2))</f>
        <v/>
      </c>
      <c r="G761" s="16" t="n"/>
      <c r="H761" s="17">
        <f>IF($G761="","",IFERROR(_xlfn.XLOOKUP($G761,nrCHname,nrCHnum),IFERROR(_xlfn.XLOOKUP($G761,nrSUBname,nrSUBparent),"")))</f>
        <v/>
      </c>
      <c r="I761" s="16" t="n"/>
      <c r="J761" s="16" t="n"/>
      <c r="K761" s="17">
        <f>IF($B761="","",IFERROR(_xlfn.XLOOKUP($B761,nrCDdate,nrCDweek),""))</f>
        <v/>
      </c>
      <c r="L761" s="17">
        <f>IF($B761="","",IFERROR(_xlfn.XLOOKUP($B761,nrCDdate,nrCDnum),""))</f>
        <v/>
      </c>
      <c r="M761" s="16" t="n"/>
      <c r="N761" s="17">
        <f>IF(OR($B761="",$I761=""),"",_xlfn.LET(_xlpm.a,$I761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61" s="17">
        <f>IF(OR($B761="",$D761="",$E761=""),"",IF($E761=$D761,"CHECK TIMES (start = end)",IF($F761&gt;12,"CHECK TIMES (End is before Start?)","OK")))</f>
        <v/>
      </c>
      <c r="P761" s="17">
        <f>IF(OR($B761="",$I761=""),"",IF(IFERROR(MATCH($G761,nrBankTopics,0),0)=0,"OK",IF(COUNTA(INDEX(nrBankGrid,IFERROR(MATCH($G761,nrBankTopics,0),1),0))=0,"OK",IF(SUMPRODUCT((nrInstrNames&lt;&gt;"")*ISNUMBER(SEARCH(nrInstrNames,$I761))*(COUNTIF(INDEX(nrBankGrid,IFERROR(MATCH($G761,nrBankTopics,0),1),0),nrInstrNames)&gt;0))&lt;SUMPRODUCT((nrInstrNames&lt;&gt;"")*ISNUMBER(SEARCH(nrInstrNames,$I761))),"NOT IN BANK","OK"))))</f>
        <v/>
      </c>
    </row>
    <row r="762">
      <c r="B762" s="18" t="n"/>
      <c r="C762" s="17">
        <f>IF($B762="","",TEXT($B762,"ddd"))</f>
        <v/>
      </c>
      <c r="D762" s="41" t="n"/>
      <c r="E762" s="41" t="n"/>
      <c r="F762" s="17">
        <f>IF(OR($B762="",$D762="",$E762=""),"",ROUND(MOD($E762-$D762,1)*24,2))</f>
        <v/>
      </c>
      <c r="G762" s="16" t="n"/>
      <c r="H762" s="17">
        <f>IF($G762="","",IFERROR(_xlfn.XLOOKUP($G762,nrCHname,nrCHnum),IFERROR(_xlfn.XLOOKUP($G762,nrSUBname,nrSUBparent),"")))</f>
        <v/>
      </c>
      <c r="I762" s="16" t="n"/>
      <c r="J762" s="16" t="n"/>
      <c r="K762" s="17">
        <f>IF($B762="","",IFERROR(_xlfn.XLOOKUP($B762,nrCDdate,nrCDweek),""))</f>
        <v/>
      </c>
      <c r="L762" s="17">
        <f>IF($B762="","",IFERROR(_xlfn.XLOOKUP($B762,nrCDdate,nrCDnum),""))</f>
        <v/>
      </c>
      <c r="M762" s="16" t="n"/>
      <c r="N762" s="17">
        <f>IF(OR($B762="",$I762=""),"",_xlfn.LET(_xlpm.a,$I762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62" s="17">
        <f>IF(OR($B762="",$D762="",$E762=""),"",IF($E762=$D762,"CHECK TIMES (start = end)",IF($F762&gt;12,"CHECK TIMES (End is before Start?)","OK")))</f>
        <v/>
      </c>
      <c r="P762" s="17">
        <f>IF(OR($B762="",$I762=""),"",IF(IFERROR(MATCH($G762,nrBankTopics,0),0)=0,"OK",IF(COUNTA(INDEX(nrBankGrid,IFERROR(MATCH($G762,nrBankTopics,0),1),0))=0,"OK",IF(SUMPRODUCT((nrInstrNames&lt;&gt;"")*ISNUMBER(SEARCH(nrInstrNames,$I762))*(COUNTIF(INDEX(nrBankGrid,IFERROR(MATCH($G762,nrBankTopics,0),1),0),nrInstrNames)&gt;0))&lt;SUMPRODUCT((nrInstrNames&lt;&gt;"")*ISNUMBER(SEARCH(nrInstrNames,$I762))),"NOT IN BANK","OK"))))</f>
        <v/>
      </c>
    </row>
    <row r="763">
      <c r="B763" s="18" t="n"/>
      <c r="C763" s="17">
        <f>IF($B763="","",TEXT($B763,"ddd"))</f>
        <v/>
      </c>
      <c r="D763" s="41" t="n"/>
      <c r="E763" s="41" t="n"/>
      <c r="F763" s="17">
        <f>IF(OR($B763="",$D763="",$E763=""),"",ROUND(MOD($E763-$D763,1)*24,2))</f>
        <v/>
      </c>
      <c r="G763" s="16" t="n"/>
      <c r="H763" s="17">
        <f>IF($G763="","",IFERROR(_xlfn.XLOOKUP($G763,nrCHname,nrCHnum),IFERROR(_xlfn.XLOOKUP($G763,nrSUBname,nrSUBparent),"")))</f>
        <v/>
      </c>
      <c r="I763" s="16" t="n"/>
      <c r="J763" s="16" t="n"/>
      <c r="K763" s="17">
        <f>IF($B763="","",IFERROR(_xlfn.XLOOKUP($B763,nrCDdate,nrCDweek),""))</f>
        <v/>
      </c>
      <c r="L763" s="17">
        <f>IF($B763="","",IFERROR(_xlfn.XLOOKUP($B763,nrCDdate,nrCDnum),""))</f>
        <v/>
      </c>
      <c r="M763" s="16" t="n"/>
      <c r="N763" s="17">
        <f>IF(OR($B763="",$I763=""),"",_xlfn.LET(_xlpm.a,$I763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63" s="17">
        <f>IF(OR($B763="",$D763="",$E763=""),"",IF($E763=$D763,"CHECK TIMES (start = end)",IF($F763&gt;12,"CHECK TIMES (End is before Start?)","OK")))</f>
        <v/>
      </c>
      <c r="P763" s="17">
        <f>IF(OR($B763="",$I763=""),"",IF(IFERROR(MATCH($G763,nrBankTopics,0),0)=0,"OK",IF(COUNTA(INDEX(nrBankGrid,IFERROR(MATCH($G763,nrBankTopics,0),1),0))=0,"OK",IF(SUMPRODUCT((nrInstrNames&lt;&gt;"")*ISNUMBER(SEARCH(nrInstrNames,$I763))*(COUNTIF(INDEX(nrBankGrid,IFERROR(MATCH($G763,nrBankTopics,0),1),0),nrInstrNames)&gt;0))&lt;SUMPRODUCT((nrInstrNames&lt;&gt;"")*ISNUMBER(SEARCH(nrInstrNames,$I763))),"NOT IN BANK","OK"))))</f>
        <v/>
      </c>
    </row>
    <row r="764">
      <c r="B764" s="18" t="n"/>
      <c r="C764" s="17">
        <f>IF($B764="","",TEXT($B764,"ddd"))</f>
        <v/>
      </c>
      <c r="D764" s="41" t="n"/>
      <c r="E764" s="41" t="n"/>
      <c r="F764" s="17">
        <f>IF(OR($B764="",$D764="",$E764=""),"",ROUND(MOD($E764-$D764,1)*24,2))</f>
        <v/>
      </c>
      <c r="G764" s="16" t="n"/>
      <c r="H764" s="17">
        <f>IF($G764="","",IFERROR(_xlfn.XLOOKUP($G764,nrCHname,nrCHnum),IFERROR(_xlfn.XLOOKUP($G764,nrSUBname,nrSUBparent),"")))</f>
        <v/>
      </c>
      <c r="I764" s="16" t="n"/>
      <c r="J764" s="16" t="n"/>
      <c r="K764" s="17">
        <f>IF($B764="","",IFERROR(_xlfn.XLOOKUP($B764,nrCDdate,nrCDweek),""))</f>
        <v/>
      </c>
      <c r="L764" s="17">
        <f>IF($B764="","",IFERROR(_xlfn.XLOOKUP($B764,nrCDdate,nrCDnum),""))</f>
        <v/>
      </c>
      <c r="M764" s="16" t="n"/>
      <c r="N764" s="17">
        <f>IF(OR($B764="",$I764=""),"",_xlfn.LET(_xlpm.a,$I764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64" s="17">
        <f>IF(OR($B764="",$D764="",$E764=""),"",IF($E764=$D764,"CHECK TIMES (start = end)",IF($F764&gt;12,"CHECK TIMES (End is before Start?)","OK")))</f>
        <v/>
      </c>
      <c r="P764" s="17">
        <f>IF(OR($B764="",$I764=""),"",IF(IFERROR(MATCH($G764,nrBankTopics,0),0)=0,"OK",IF(COUNTA(INDEX(nrBankGrid,IFERROR(MATCH($G764,nrBankTopics,0),1),0))=0,"OK",IF(SUMPRODUCT((nrInstrNames&lt;&gt;"")*ISNUMBER(SEARCH(nrInstrNames,$I764))*(COUNTIF(INDEX(nrBankGrid,IFERROR(MATCH($G764,nrBankTopics,0),1),0),nrInstrNames)&gt;0))&lt;SUMPRODUCT((nrInstrNames&lt;&gt;"")*ISNUMBER(SEARCH(nrInstrNames,$I764))),"NOT IN BANK","OK"))))</f>
        <v/>
      </c>
    </row>
    <row r="765">
      <c r="B765" s="18" t="n"/>
      <c r="C765" s="17">
        <f>IF($B765="","",TEXT($B765,"ddd"))</f>
        <v/>
      </c>
      <c r="D765" s="41" t="n"/>
      <c r="E765" s="41" t="n"/>
      <c r="F765" s="17">
        <f>IF(OR($B765="",$D765="",$E765=""),"",ROUND(MOD($E765-$D765,1)*24,2))</f>
        <v/>
      </c>
      <c r="G765" s="16" t="n"/>
      <c r="H765" s="17">
        <f>IF($G765="","",IFERROR(_xlfn.XLOOKUP($G765,nrCHname,nrCHnum),IFERROR(_xlfn.XLOOKUP($G765,nrSUBname,nrSUBparent),"")))</f>
        <v/>
      </c>
      <c r="I765" s="16" t="n"/>
      <c r="J765" s="16" t="n"/>
      <c r="K765" s="17">
        <f>IF($B765="","",IFERROR(_xlfn.XLOOKUP($B765,nrCDdate,nrCDweek),""))</f>
        <v/>
      </c>
      <c r="L765" s="17">
        <f>IF($B765="","",IFERROR(_xlfn.XLOOKUP($B765,nrCDdate,nrCDnum),""))</f>
        <v/>
      </c>
      <c r="M765" s="16" t="n"/>
      <c r="N765" s="17">
        <f>IF(OR($B765="",$I765=""),"",_xlfn.LET(_xlpm.a,$I765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65" s="17">
        <f>IF(OR($B765="",$D765="",$E765=""),"",IF($E765=$D765,"CHECK TIMES (start = end)",IF($F765&gt;12,"CHECK TIMES (End is before Start?)","OK")))</f>
        <v/>
      </c>
      <c r="P765" s="17">
        <f>IF(OR($B765="",$I765=""),"",IF(IFERROR(MATCH($G765,nrBankTopics,0),0)=0,"OK",IF(COUNTA(INDEX(nrBankGrid,IFERROR(MATCH($G765,nrBankTopics,0),1),0))=0,"OK",IF(SUMPRODUCT((nrInstrNames&lt;&gt;"")*ISNUMBER(SEARCH(nrInstrNames,$I765))*(COUNTIF(INDEX(nrBankGrid,IFERROR(MATCH($G765,nrBankTopics,0),1),0),nrInstrNames)&gt;0))&lt;SUMPRODUCT((nrInstrNames&lt;&gt;"")*ISNUMBER(SEARCH(nrInstrNames,$I765))),"NOT IN BANK","OK"))))</f>
        <v/>
      </c>
    </row>
    <row r="766">
      <c r="B766" s="18" t="n"/>
      <c r="C766" s="17">
        <f>IF($B766="","",TEXT($B766,"ddd"))</f>
        <v/>
      </c>
      <c r="D766" s="41" t="n"/>
      <c r="E766" s="41" t="n"/>
      <c r="F766" s="17">
        <f>IF(OR($B766="",$D766="",$E766=""),"",ROUND(MOD($E766-$D766,1)*24,2))</f>
        <v/>
      </c>
      <c r="G766" s="16" t="n"/>
      <c r="H766" s="17">
        <f>IF($G766="","",IFERROR(_xlfn.XLOOKUP($G766,nrCHname,nrCHnum),IFERROR(_xlfn.XLOOKUP($G766,nrSUBname,nrSUBparent),"")))</f>
        <v/>
      </c>
      <c r="I766" s="16" t="n"/>
      <c r="J766" s="16" t="n"/>
      <c r="K766" s="17">
        <f>IF($B766="","",IFERROR(_xlfn.XLOOKUP($B766,nrCDdate,nrCDweek),""))</f>
        <v/>
      </c>
      <c r="L766" s="17">
        <f>IF($B766="","",IFERROR(_xlfn.XLOOKUP($B766,nrCDdate,nrCDnum),""))</f>
        <v/>
      </c>
      <c r="M766" s="16" t="n"/>
      <c r="N766" s="17">
        <f>IF(OR($B766="",$I766=""),"",_xlfn.LET(_xlpm.a,$I766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66" s="17">
        <f>IF(OR($B766="",$D766="",$E766=""),"",IF($E766=$D766,"CHECK TIMES (start = end)",IF($F766&gt;12,"CHECK TIMES (End is before Start?)","OK")))</f>
        <v/>
      </c>
      <c r="P766" s="17">
        <f>IF(OR($B766="",$I766=""),"",IF(IFERROR(MATCH($G766,nrBankTopics,0),0)=0,"OK",IF(COUNTA(INDEX(nrBankGrid,IFERROR(MATCH($G766,nrBankTopics,0),1),0))=0,"OK",IF(SUMPRODUCT((nrInstrNames&lt;&gt;"")*ISNUMBER(SEARCH(nrInstrNames,$I766))*(COUNTIF(INDEX(nrBankGrid,IFERROR(MATCH($G766,nrBankTopics,0),1),0),nrInstrNames)&gt;0))&lt;SUMPRODUCT((nrInstrNames&lt;&gt;"")*ISNUMBER(SEARCH(nrInstrNames,$I766))),"NOT IN BANK","OK"))))</f>
        <v/>
      </c>
    </row>
    <row r="767">
      <c r="B767" s="18" t="n"/>
      <c r="C767" s="17">
        <f>IF($B767="","",TEXT($B767,"ddd"))</f>
        <v/>
      </c>
      <c r="D767" s="41" t="n"/>
      <c r="E767" s="41" t="n"/>
      <c r="F767" s="17">
        <f>IF(OR($B767="",$D767="",$E767=""),"",ROUND(MOD($E767-$D767,1)*24,2))</f>
        <v/>
      </c>
      <c r="G767" s="16" t="n"/>
      <c r="H767" s="17">
        <f>IF($G767="","",IFERROR(_xlfn.XLOOKUP($G767,nrCHname,nrCHnum),IFERROR(_xlfn.XLOOKUP($G767,nrSUBname,nrSUBparent),"")))</f>
        <v/>
      </c>
      <c r="I767" s="16" t="n"/>
      <c r="J767" s="16" t="n"/>
      <c r="K767" s="17">
        <f>IF($B767="","",IFERROR(_xlfn.XLOOKUP($B767,nrCDdate,nrCDweek),""))</f>
        <v/>
      </c>
      <c r="L767" s="17">
        <f>IF($B767="","",IFERROR(_xlfn.XLOOKUP($B767,nrCDdate,nrCDnum),""))</f>
        <v/>
      </c>
      <c r="M767" s="16" t="n"/>
      <c r="N767" s="17">
        <f>IF(OR($B767="",$I767=""),"",_xlfn.LET(_xlpm.a,$I767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67" s="17">
        <f>IF(OR($B767="",$D767="",$E767=""),"",IF($E767=$D767,"CHECK TIMES (start = end)",IF($F767&gt;12,"CHECK TIMES (End is before Start?)","OK")))</f>
        <v/>
      </c>
      <c r="P767" s="17">
        <f>IF(OR($B767="",$I767=""),"",IF(IFERROR(MATCH($G767,nrBankTopics,0),0)=0,"OK",IF(COUNTA(INDEX(nrBankGrid,IFERROR(MATCH($G767,nrBankTopics,0),1),0))=0,"OK",IF(SUMPRODUCT((nrInstrNames&lt;&gt;"")*ISNUMBER(SEARCH(nrInstrNames,$I767))*(COUNTIF(INDEX(nrBankGrid,IFERROR(MATCH($G767,nrBankTopics,0),1),0),nrInstrNames)&gt;0))&lt;SUMPRODUCT((nrInstrNames&lt;&gt;"")*ISNUMBER(SEARCH(nrInstrNames,$I767))),"NOT IN BANK","OK"))))</f>
        <v/>
      </c>
    </row>
    <row r="768">
      <c r="B768" s="18" t="n"/>
      <c r="C768" s="17">
        <f>IF($B768="","",TEXT($B768,"ddd"))</f>
        <v/>
      </c>
      <c r="D768" s="41" t="n"/>
      <c r="E768" s="41" t="n"/>
      <c r="F768" s="17">
        <f>IF(OR($B768="",$D768="",$E768=""),"",ROUND(MOD($E768-$D768,1)*24,2))</f>
        <v/>
      </c>
      <c r="G768" s="16" t="n"/>
      <c r="H768" s="17">
        <f>IF($G768="","",IFERROR(_xlfn.XLOOKUP($G768,nrCHname,nrCHnum),IFERROR(_xlfn.XLOOKUP($G768,nrSUBname,nrSUBparent),"")))</f>
        <v/>
      </c>
      <c r="I768" s="16" t="n"/>
      <c r="J768" s="16" t="n"/>
      <c r="K768" s="17">
        <f>IF($B768="","",IFERROR(_xlfn.XLOOKUP($B768,nrCDdate,nrCDweek),""))</f>
        <v/>
      </c>
      <c r="L768" s="17">
        <f>IF($B768="","",IFERROR(_xlfn.XLOOKUP($B768,nrCDdate,nrCDnum),""))</f>
        <v/>
      </c>
      <c r="M768" s="16" t="n"/>
      <c r="N768" s="17">
        <f>IF(OR($B768="",$I768=""),"",_xlfn.LET(_xlpm.a,$I768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68" s="17">
        <f>IF(OR($B768="",$D768="",$E768=""),"",IF($E768=$D768,"CHECK TIMES (start = end)",IF($F768&gt;12,"CHECK TIMES (End is before Start?)","OK")))</f>
        <v/>
      </c>
      <c r="P768" s="17">
        <f>IF(OR($B768="",$I768=""),"",IF(IFERROR(MATCH($G768,nrBankTopics,0),0)=0,"OK",IF(COUNTA(INDEX(nrBankGrid,IFERROR(MATCH($G768,nrBankTopics,0),1),0))=0,"OK",IF(SUMPRODUCT((nrInstrNames&lt;&gt;"")*ISNUMBER(SEARCH(nrInstrNames,$I768))*(COUNTIF(INDEX(nrBankGrid,IFERROR(MATCH($G768,nrBankTopics,0),1),0),nrInstrNames)&gt;0))&lt;SUMPRODUCT((nrInstrNames&lt;&gt;"")*ISNUMBER(SEARCH(nrInstrNames,$I768))),"NOT IN BANK","OK"))))</f>
        <v/>
      </c>
    </row>
    <row r="769">
      <c r="B769" s="18" t="n"/>
      <c r="C769" s="17">
        <f>IF($B769="","",TEXT($B769,"ddd"))</f>
        <v/>
      </c>
      <c r="D769" s="41" t="n"/>
      <c r="E769" s="41" t="n"/>
      <c r="F769" s="17">
        <f>IF(OR($B769="",$D769="",$E769=""),"",ROUND(MOD($E769-$D769,1)*24,2))</f>
        <v/>
      </c>
      <c r="G769" s="16" t="n"/>
      <c r="H769" s="17">
        <f>IF($G769="","",IFERROR(_xlfn.XLOOKUP($G769,nrCHname,nrCHnum),IFERROR(_xlfn.XLOOKUP($G769,nrSUBname,nrSUBparent),"")))</f>
        <v/>
      </c>
      <c r="I769" s="16" t="n"/>
      <c r="J769" s="16" t="n"/>
      <c r="K769" s="17">
        <f>IF($B769="","",IFERROR(_xlfn.XLOOKUP($B769,nrCDdate,nrCDweek),""))</f>
        <v/>
      </c>
      <c r="L769" s="17">
        <f>IF($B769="","",IFERROR(_xlfn.XLOOKUP($B769,nrCDdate,nrCDnum),""))</f>
        <v/>
      </c>
      <c r="M769" s="16" t="n"/>
      <c r="N769" s="17">
        <f>IF(OR($B769="",$I769=""),"",_xlfn.LET(_xlpm.a,$I769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69" s="17">
        <f>IF(OR($B769="",$D769="",$E769=""),"",IF($E769=$D769,"CHECK TIMES (start = end)",IF($F769&gt;12,"CHECK TIMES (End is before Start?)","OK")))</f>
        <v/>
      </c>
      <c r="P769" s="17">
        <f>IF(OR($B769="",$I769=""),"",IF(IFERROR(MATCH($G769,nrBankTopics,0),0)=0,"OK",IF(COUNTA(INDEX(nrBankGrid,IFERROR(MATCH($G769,nrBankTopics,0),1),0))=0,"OK",IF(SUMPRODUCT((nrInstrNames&lt;&gt;"")*ISNUMBER(SEARCH(nrInstrNames,$I769))*(COUNTIF(INDEX(nrBankGrid,IFERROR(MATCH($G769,nrBankTopics,0),1),0),nrInstrNames)&gt;0))&lt;SUMPRODUCT((nrInstrNames&lt;&gt;"")*ISNUMBER(SEARCH(nrInstrNames,$I769))),"NOT IN BANK","OK"))))</f>
        <v/>
      </c>
    </row>
    <row r="770">
      <c r="B770" s="18" t="n"/>
      <c r="C770" s="17">
        <f>IF($B770="","",TEXT($B770,"ddd"))</f>
        <v/>
      </c>
      <c r="D770" s="41" t="n"/>
      <c r="E770" s="41" t="n"/>
      <c r="F770" s="17">
        <f>IF(OR($B770="",$D770="",$E770=""),"",ROUND(MOD($E770-$D770,1)*24,2))</f>
        <v/>
      </c>
      <c r="G770" s="16" t="n"/>
      <c r="H770" s="17">
        <f>IF($G770="","",IFERROR(_xlfn.XLOOKUP($G770,nrCHname,nrCHnum),IFERROR(_xlfn.XLOOKUP($G770,nrSUBname,nrSUBparent),"")))</f>
        <v/>
      </c>
      <c r="I770" s="16" t="n"/>
      <c r="J770" s="16" t="n"/>
      <c r="K770" s="17">
        <f>IF($B770="","",IFERROR(_xlfn.XLOOKUP($B770,nrCDdate,nrCDweek),""))</f>
        <v/>
      </c>
      <c r="L770" s="17">
        <f>IF($B770="","",IFERROR(_xlfn.XLOOKUP($B770,nrCDdate,nrCDnum),""))</f>
        <v/>
      </c>
      <c r="M770" s="16" t="n"/>
      <c r="N770" s="17">
        <f>IF(OR($B770="",$I770=""),"",_xlfn.LET(_xlpm.a,$I770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70" s="17">
        <f>IF(OR($B770="",$D770="",$E770=""),"",IF($E770=$D770,"CHECK TIMES (start = end)",IF($F770&gt;12,"CHECK TIMES (End is before Start?)","OK")))</f>
        <v/>
      </c>
      <c r="P770" s="17">
        <f>IF(OR($B770="",$I770=""),"",IF(IFERROR(MATCH($G770,nrBankTopics,0),0)=0,"OK",IF(COUNTA(INDEX(nrBankGrid,IFERROR(MATCH($G770,nrBankTopics,0),1),0))=0,"OK",IF(SUMPRODUCT((nrInstrNames&lt;&gt;"")*ISNUMBER(SEARCH(nrInstrNames,$I770))*(COUNTIF(INDEX(nrBankGrid,IFERROR(MATCH($G770,nrBankTopics,0),1),0),nrInstrNames)&gt;0))&lt;SUMPRODUCT((nrInstrNames&lt;&gt;"")*ISNUMBER(SEARCH(nrInstrNames,$I770))),"NOT IN BANK","OK"))))</f>
        <v/>
      </c>
    </row>
    <row r="771">
      <c r="B771" s="18" t="n"/>
      <c r="C771" s="17">
        <f>IF($B771="","",TEXT($B771,"ddd"))</f>
        <v/>
      </c>
      <c r="D771" s="41" t="n"/>
      <c r="E771" s="41" t="n"/>
      <c r="F771" s="17">
        <f>IF(OR($B771="",$D771="",$E771=""),"",ROUND(MOD($E771-$D771,1)*24,2))</f>
        <v/>
      </c>
      <c r="G771" s="16" t="n"/>
      <c r="H771" s="17">
        <f>IF($G771="","",IFERROR(_xlfn.XLOOKUP($G771,nrCHname,nrCHnum),IFERROR(_xlfn.XLOOKUP($G771,nrSUBname,nrSUBparent),"")))</f>
        <v/>
      </c>
      <c r="I771" s="16" t="n"/>
      <c r="J771" s="16" t="n"/>
      <c r="K771" s="17">
        <f>IF($B771="","",IFERROR(_xlfn.XLOOKUP($B771,nrCDdate,nrCDweek),""))</f>
        <v/>
      </c>
      <c r="L771" s="17">
        <f>IF($B771="","",IFERROR(_xlfn.XLOOKUP($B771,nrCDdate,nrCDnum),""))</f>
        <v/>
      </c>
      <c r="M771" s="16" t="n"/>
      <c r="N771" s="17">
        <f>IF(OR($B771="",$I771=""),"",_xlfn.LET(_xlpm.a,$I771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71" s="17">
        <f>IF(OR($B771="",$D771="",$E771=""),"",IF($E771=$D771,"CHECK TIMES (start = end)",IF($F771&gt;12,"CHECK TIMES (End is before Start?)","OK")))</f>
        <v/>
      </c>
      <c r="P771" s="17">
        <f>IF(OR($B771="",$I771=""),"",IF(IFERROR(MATCH($G771,nrBankTopics,0),0)=0,"OK",IF(COUNTA(INDEX(nrBankGrid,IFERROR(MATCH($G771,nrBankTopics,0),1),0))=0,"OK",IF(SUMPRODUCT((nrInstrNames&lt;&gt;"")*ISNUMBER(SEARCH(nrInstrNames,$I771))*(COUNTIF(INDEX(nrBankGrid,IFERROR(MATCH($G771,nrBankTopics,0),1),0),nrInstrNames)&gt;0))&lt;SUMPRODUCT((nrInstrNames&lt;&gt;"")*ISNUMBER(SEARCH(nrInstrNames,$I771))),"NOT IN BANK","OK"))))</f>
        <v/>
      </c>
    </row>
    <row r="772">
      <c r="B772" s="18" t="n"/>
      <c r="C772" s="17">
        <f>IF($B772="","",TEXT($B772,"ddd"))</f>
        <v/>
      </c>
      <c r="D772" s="41" t="n"/>
      <c r="E772" s="41" t="n"/>
      <c r="F772" s="17">
        <f>IF(OR($B772="",$D772="",$E772=""),"",ROUND(MOD($E772-$D772,1)*24,2))</f>
        <v/>
      </c>
      <c r="G772" s="16" t="n"/>
      <c r="H772" s="17">
        <f>IF($G772="","",IFERROR(_xlfn.XLOOKUP($G772,nrCHname,nrCHnum),IFERROR(_xlfn.XLOOKUP($G772,nrSUBname,nrSUBparent),"")))</f>
        <v/>
      </c>
      <c r="I772" s="16" t="n"/>
      <c r="J772" s="16" t="n"/>
      <c r="K772" s="17">
        <f>IF($B772="","",IFERROR(_xlfn.XLOOKUP($B772,nrCDdate,nrCDweek),""))</f>
        <v/>
      </c>
      <c r="L772" s="17">
        <f>IF($B772="","",IFERROR(_xlfn.XLOOKUP($B772,nrCDdate,nrCDnum),""))</f>
        <v/>
      </c>
      <c r="M772" s="16" t="n"/>
      <c r="N772" s="17">
        <f>IF(OR($B772="",$I772=""),"",_xlfn.LET(_xlpm.a,$I772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72" s="17">
        <f>IF(OR($B772="",$D772="",$E772=""),"",IF($E772=$D772,"CHECK TIMES (start = end)",IF($F772&gt;12,"CHECK TIMES (End is before Start?)","OK")))</f>
        <v/>
      </c>
      <c r="P772" s="17">
        <f>IF(OR($B772="",$I772=""),"",IF(IFERROR(MATCH($G772,nrBankTopics,0),0)=0,"OK",IF(COUNTA(INDEX(nrBankGrid,IFERROR(MATCH($G772,nrBankTopics,0),1),0))=0,"OK",IF(SUMPRODUCT((nrInstrNames&lt;&gt;"")*ISNUMBER(SEARCH(nrInstrNames,$I772))*(COUNTIF(INDEX(nrBankGrid,IFERROR(MATCH($G772,nrBankTopics,0),1),0),nrInstrNames)&gt;0))&lt;SUMPRODUCT((nrInstrNames&lt;&gt;"")*ISNUMBER(SEARCH(nrInstrNames,$I772))),"NOT IN BANK","OK"))))</f>
        <v/>
      </c>
    </row>
    <row r="773">
      <c r="B773" s="18" t="n"/>
      <c r="C773" s="17">
        <f>IF($B773="","",TEXT($B773,"ddd"))</f>
        <v/>
      </c>
      <c r="D773" s="41" t="n"/>
      <c r="E773" s="41" t="n"/>
      <c r="F773" s="17">
        <f>IF(OR($B773="",$D773="",$E773=""),"",ROUND(MOD($E773-$D773,1)*24,2))</f>
        <v/>
      </c>
      <c r="G773" s="16" t="n"/>
      <c r="H773" s="17">
        <f>IF($G773="","",IFERROR(_xlfn.XLOOKUP($G773,nrCHname,nrCHnum),IFERROR(_xlfn.XLOOKUP($G773,nrSUBname,nrSUBparent),"")))</f>
        <v/>
      </c>
      <c r="I773" s="16" t="n"/>
      <c r="J773" s="16" t="n"/>
      <c r="K773" s="17">
        <f>IF($B773="","",IFERROR(_xlfn.XLOOKUP($B773,nrCDdate,nrCDweek),""))</f>
        <v/>
      </c>
      <c r="L773" s="17">
        <f>IF($B773="","",IFERROR(_xlfn.XLOOKUP($B773,nrCDdate,nrCDnum),""))</f>
        <v/>
      </c>
      <c r="M773" s="16" t="n"/>
      <c r="N773" s="17">
        <f>IF(OR($B773="",$I773=""),"",_xlfn.LET(_xlpm.a,$I773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73" s="17">
        <f>IF(OR($B773="",$D773="",$E773=""),"",IF($E773=$D773,"CHECK TIMES (start = end)",IF($F773&gt;12,"CHECK TIMES (End is before Start?)","OK")))</f>
        <v/>
      </c>
      <c r="P773" s="17">
        <f>IF(OR($B773="",$I773=""),"",IF(IFERROR(MATCH($G773,nrBankTopics,0),0)=0,"OK",IF(COUNTA(INDEX(nrBankGrid,IFERROR(MATCH($G773,nrBankTopics,0),1),0))=0,"OK",IF(SUMPRODUCT((nrInstrNames&lt;&gt;"")*ISNUMBER(SEARCH(nrInstrNames,$I773))*(COUNTIF(INDEX(nrBankGrid,IFERROR(MATCH($G773,nrBankTopics,0),1),0),nrInstrNames)&gt;0))&lt;SUMPRODUCT((nrInstrNames&lt;&gt;"")*ISNUMBER(SEARCH(nrInstrNames,$I773))),"NOT IN BANK","OK"))))</f>
        <v/>
      </c>
    </row>
    <row r="774">
      <c r="B774" s="18" t="n"/>
      <c r="C774" s="17">
        <f>IF($B774="","",TEXT($B774,"ddd"))</f>
        <v/>
      </c>
      <c r="D774" s="41" t="n"/>
      <c r="E774" s="41" t="n"/>
      <c r="F774" s="17">
        <f>IF(OR($B774="",$D774="",$E774=""),"",ROUND(MOD($E774-$D774,1)*24,2))</f>
        <v/>
      </c>
      <c r="G774" s="16" t="n"/>
      <c r="H774" s="17">
        <f>IF($G774="","",IFERROR(_xlfn.XLOOKUP($G774,nrCHname,nrCHnum),IFERROR(_xlfn.XLOOKUP($G774,nrSUBname,nrSUBparent),"")))</f>
        <v/>
      </c>
      <c r="I774" s="16" t="n"/>
      <c r="J774" s="16" t="n"/>
      <c r="K774" s="17">
        <f>IF($B774="","",IFERROR(_xlfn.XLOOKUP($B774,nrCDdate,nrCDweek),""))</f>
        <v/>
      </c>
      <c r="L774" s="17">
        <f>IF($B774="","",IFERROR(_xlfn.XLOOKUP($B774,nrCDdate,nrCDnum),""))</f>
        <v/>
      </c>
      <c r="M774" s="16" t="n"/>
      <c r="N774" s="17">
        <f>IF(OR($B774="",$I774=""),"",_xlfn.LET(_xlpm.a,$I774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74" s="17">
        <f>IF(OR($B774="",$D774="",$E774=""),"",IF($E774=$D774,"CHECK TIMES (start = end)",IF($F774&gt;12,"CHECK TIMES (End is before Start?)","OK")))</f>
        <v/>
      </c>
      <c r="P774" s="17">
        <f>IF(OR($B774="",$I774=""),"",IF(IFERROR(MATCH($G774,nrBankTopics,0),0)=0,"OK",IF(COUNTA(INDEX(nrBankGrid,IFERROR(MATCH($G774,nrBankTopics,0),1),0))=0,"OK",IF(SUMPRODUCT((nrInstrNames&lt;&gt;"")*ISNUMBER(SEARCH(nrInstrNames,$I774))*(COUNTIF(INDEX(nrBankGrid,IFERROR(MATCH($G774,nrBankTopics,0),1),0),nrInstrNames)&gt;0))&lt;SUMPRODUCT((nrInstrNames&lt;&gt;"")*ISNUMBER(SEARCH(nrInstrNames,$I774))),"NOT IN BANK","OK"))))</f>
        <v/>
      </c>
    </row>
    <row r="775">
      <c r="B775" s="18" t="n"/>
      <c r="C775" s="17">
        <f>IF($B775="","",TEXT($B775,"ddd"))</f>
        <v/>
      </c>
      <c r="D775" s="41" t="n"/>
      <c r="E775" s="41" t="n"/>
      <c r="F775" s="17">
        <f>IF(OR($B775="",$D775="",$E775=""),"",ROUND(MOD($E775-$D775,1)*24,2))</f>
        <v/>
      </c>
      <c r="G775" s="16" t="n"/>
      <c r="H775" s="17">
        <f>IF($G775="","",IFERROR(_xlfn.XLOOKUP($G775,nrCHname,nrCHnum),IFERROR(_xlfn.XLOOKUP($G775,nrSUBname,nrSUBparent),"")))</f>
        <v/>
      </c>
      <c r="I775" s="16" t="n"/>
      <c r="J775" s="16" t="n"/>
      <c r="K775" s="17">
        <f>IF($B775="","",IFERROR(_xlfn.XLOOKUP($B775,nrCDdate,nrCDweek),""))</f>
        <v/>
      </c>
      <c r="L775" s="17">
        <f>IF($B775="","",IFERROR(_xlfn.XLOOKUP($B775,nrCDdate,nrCDnum),""))</f>
        <v/>
      </c>
      <c r="M775" s="16" t="n"/>
      <c r="N775" s="17">
        <f>IF(OR($B775="",$I775=""),"",_xlfn.LET(_xlpm.a,$I775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75" s="17">
        <f>IF(OR($B775="",$D775="",$E775=""),"",IF($E775=$D775,"CHECK TIMES (start = end)",IF($F775&gt;12,"CHECK TIMES (End is before Start?)","OK")))</f>
        <v/>
      </c>
      <c r="P775" s="17">
        <f>IF(OR($B775="",$I775=""),"",IF(IFERROR(MATCH($G775,nrBankTopics,0),0)=0,"OK",IF(COUNTA(INDEX(nrBankGrid,IFERROR(MATCH($G775,nrBankTopics,0),1),0))=0,"OK",IF(SUMPRODUCT((nrInstrNames&lt;&gt;"")*ISNUMBER(SEARCH(nrInstrNames,$I775))*(COUNTIF(INDEX(nrBankGrid,IFERROR(MATCH($G775,nrBankTopics,0),1),0),nrInstrNames)&gt;0))&lt;SUMPRODUCT((nrInstrNames&lt;&gt;"")*ISNUMBER(SEARCH(nrInstrNames,$I775))),"NOT IN BANK","OK"))))</f>
        <v/>
      </c>
    </row>
    <row r="776">
      <c r="B776" s="18" t="n"/>
      <c r="C776" s="17">
        <f>IF($B776="","",TEXT($B776,"ddd"))</f>
        <v/>
      </c>
      <c r="D776" s="41" t="n"/>
      <c r="E776" s="41" t="n"/>
      <c r="F776" s="17">
        <f>IF(OR($B776="",$D776="",$E776=""),"",ROUND(MOD($E776-$D776,1)*24,2))</f>
        <v/>
      </c>
      <c r="G776" s="16" t="n"/>
      <c r="H776" s="17">
        <f>IF($G776="","",IFERROR(_xlfn.XLOOKUP($G776,nrCHname,nrCHnum),IFERROR(_xlfn.XLOOKUP($G776,nrSUBname,nrSUBparent),"")))</f>
        <v/>
      </c>
      <c r="I776" s="16" t="n"/>
      <c r="J776" s="16" t="n"/>
      <c r="K776" s="17">
        <f>IF($B776="","",IFERROR(_xlfn.XLOOKUP($B776,nrCDdate,nrCDweek),""))</f>
        <v/>
      </c>
      <c r="L776" s="17">
        <f>IF($B776="","",IFERROR(_xlfn.XLOOKUP($B776,nrCDdate,nrCDnum),""))</f>
        <v/>
      </c>
      <c r="M776" s="16" t="n"/>
      <c r="N776" s="17">
        <f>IF(OR($B776="",$I776=""),"",_xlfn.LET(_xlpm.a,$I776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76" s="17">
        <f>IF(OR($B776="",$D776="",$E776=""),"",IF($E776=$D776,"CHECK TIMES (start = end)",IF($F776&gt;12,"CHECK TIMES (End is before Start?)","OK")))</f>
        <v/>
      </c>
      <c r="P776" s="17">
        <f>IF(OR($B776="",$I776=""),"",IF(IFERROR(MATCH($G776,nrBankTopics,0),0)=0,"OK",IF(COUNTA(INDEX(nrBankGrid,IFERROR(MATCH($G776,nrBankTopics,0),1),0))=0,"OK",IF(SUMPRODUCT((nrInstrNames&lt;&gt;"")*ISNUMBER(SEARCH(nrInstrNames,$I776))*(COUNTIF(INDEX(nrBankGrid,IFERROR(MATCH($G776,nrBankTopics,0),1),0),nrInstrNames)&gt;0))&lt;SUMPRODUCT((nrInstrNames&lt;&gt;"")*ISNUMBER(SEARCH(nrInstrNames,$I776))),"NOT IN BANK","OK"))))</f>
        <v/>
      </c>
    </row>
    <row r="777">
      <c r="B777" s="18" t="n"/>
      <c r="C777" s="17">
        <f>IF($B777="","",TEXT($B777,"ddd"))</f>
        <v/>
      </c>
      <c r="D777" s="41" t="n"/>
      <c r="E777" s="41" t="n"/>
      <c r="F777" s="17">
        <f>IF(OR($B777="",$D777="",$E777=""),"",ROUND(MOD($E777-$D777,1)*24,2))</f>
        <v/>
      </c>
      <c r="G777" s="16" t="n"/>
      <c r="H777" s="17">
        <f>IF($G777="","",IFERROR(_xlfn.XLOOKUP($G777,nrCHname,nrCHnum),IFERROR(_xlfn.XLOOKUP($G777,nrSUBname,nrSUBparent),"")))</f>
        <v/>
      </c>
      <c r="I777" s="16" t="n"/>
      <c r="J777" s="16" t="n"/>
      <c r="K777" s="17">
        <f>IF($B777="","",IFERROR(_xlfn.XLOOKUP($B777,nrCDdate,nrCDweek),""))</f>
        <v/>
      </c>
      <c r="L777" s="17">
        <f>IF($B777="","",IFERROR(_xlfn.XLOOKUP($B777,nrCDdate,nrCDnum),""))</f>
        <v/>
      </c>
      <c r="M777" s="16" t="n"/>
      <c r="N777" s="17">
        <f>IF(OR($B777="",$I777=""),"",_xlfn.LET(_xlpm.a,$I777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77" s="17">
        <f>IF(OR($B777="",$D777="",$E777=""),"",IF($E777=$D777,"CHECK TIMES (start = end)",IF($F777&gt;12,"CHECK TIMES (End is before Start?)","OK")))</f>
        <v/>
      </c>
      <c r="P777" s="17">
        <f>IF(OR($B777="",$I777=""),"",IF(IFERROR(MATCH($G777,nrBankTopics,0),0)=0,"OK",IF(COUNTA(INDEX(nrBankGrid,IFERROR(MATCH($G777,nrBankTopics,0),1),0))=0,"OK",IF(SUMPRODUCT((nrInstrNames&lt;&gt;"")*ISNUMBER(SEARCH(nrInstrNames,$I777))*(COUNTIF(INDEX(nrBankGrid,IFERROR(MATCH($G777,nrBankTopics,0),1),0),nrInstrNames)&gt;0))&lt;SUMPRODUCT((nrInstrNames&lt;&gt;"")*ISNUMBER(SEARCH(nrInstrNames,$I777))),"NOT IN BANK","OK"))))</f>
        <v/>
      </c>
    </row>
    <row r="778">
      <c r="B778" s="18" t="n"/>
      <c r="C778" s="17">
        <f>IF($B778="","",TEXT($B778,"ddd"))</f>
        <v/>
      </c>
      <c r="D778" s="41" t="n"/>
      <c r="E778" s="41" t="n"/>
      <c r="F778" s="17">
        <f>IF(OR($B778="",$D778="",$E778=""),"",ROUND(MOD($E778-$D778,1)*24,2))</f>
        <v/>
      </c>
      <c r="G778" s="16" t="n"/>
      <c r="H778" s="17">
        <f>IF($G778="","",IFERROR(_xlfn.XLOOKUP($G778,nrCHname,nrCHnum),IFERROR(_xlfn.XLOOKUP($G778,nrSUBname,nrSUBparent),"")))</f>
        <v/>
      </c>
      <c r="I778" s="16" t="n"/>
      <c r="J778" s="16" t="n"/>
      <c r="K778" s="17">
        <f>IF($B778="","",IFERROR(_xlfn.XLOOKUP($B778,nrCDdate,nrCDweek),""))</f>
        <v/>
      </c>
      <c r="L778" s="17">
        <f>IF($B778="","",IFERROR(_xlfn.XLOOKUP($B778,nrCDdate,nrCDnum),""))</f>
        <v/>
      </c>
      <c r="M778" s="16" t="n"/>
      <c r="N778" s="17">
        <f>IF(OR($B778="",$I778=""),"",_xlfn.LET(_xlpm.a,$I778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78" s="17">
        <f>IF(OR($B778="",$D778="",$E778=""),"",IF($E778=$D778,"CHECK TIMES (start = end)",IF($F778&gt;12,"CHECK TIMES (End is before Start?)","OK")))</f>
        <v/>
      </c>
      <c r="P778" s="17">
        <f>IF(OR($B778="",$I778=""),"",IF(IFERROR(MATCH($G778,nrBankTopics,0),0)=0,"OK",IF(COUNTA(INDEX(nrBankGrid,IFERROR(MATCH($G778,nrBankTopics,0),1),0))=0,"OK",IF(SUMPRODUCT((nrInstrNames&lt;&gt;"")*ISNUMBER(SEARCH(nrInstrNames,$I778))*(COUNTIF(INDEX(nrBankGrid,IFERROR(MATCH($G778,nrBankTopics,0),1),0),nrInstrNames)&gt;0))&lt;SUMPRODUCT((nrInstrNames&lt;&gt;"")*ISNUMBER(SEARCH(nrInstrNames,$I778))),"NOT IN BANK","OK"))))</f>
        <v/>
      </c>
    </row>
    <row r="779">
      <c r="B779" s="18" t="n"/>
      <c r="C779" s="17">
        <f>IF($B779="","",TEXT($B779,"ddd"))</f>
        <v/>
      </c>
      <c r="D779" s="41" t="n"/>
      <c r="E779" s="41" t="n"/>
      <c r="F779" s="17">
        <f>IF(OR($B779="",$D779="",$E779=""),"",ROUND(MOD($E779-$D779,1)*24,2))</f>
        <v/>
      </c>
      <c r="G779" s="16" t="n"/>
      <c r="H779" s="17">
        <f>IF($G779="","",IFERROR(_xlfn.XLOOKUP($G779,nrCHname,nrCHnum),IFERROR(_xlfn.XLOOKUP($G779,nrSUBname,nrSUBparent),"")))</f>
        <v/>
      </c>
      <c r="I779" s="16" t="n"/>
      <c r="J779" s="16" t="n"/>
      <c r="K779" s="17">
        <f>IF($B779="","",IFERROR(_xlfn.XLOOKUP($B779,nrCDdate,nrCDweek),""))</f>
        <v/>
      </c>
      <c r="L779" s="17">
        <f>IF($B779="","",IFERROR(_xlfn.XLOOKUP($B779,nrCDdate,nrCDnum),""))</f>
        <v/>
      </c>
      <c r="M779" s="16" t="n"/>
      <c r="N779" s="17">
        <f>IF(OR($B779="",$I779=""),"",_xlfn.LET(_xlpm.a,$I779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79" s="17">
        <f>IF(OR($B779="",$D779="",$E779=""),"",IF($E779=$D779,"CHECK TIMES (start = end)",IF($F779&gt;12,"CHECK TIMES (End is before Start?)","OK")))</f>
        <v/>
      </c>
      <c r="P779" s="17">
        <f>IF(OR($B779="",$I779=""),"",IF(IFERROR(MATCH($G779,nrBankTopics,0),0)=0,"OK",IF(COUNTA(INDEX(nrBankGrid,IFERROR(MATCH($G779,nrBankTopics,0),1),0))=0,"OK",IF(SUMPRODUCT((nrInstrNames&lt;&gt;"")*ISNUMBER(SEARCH(nrInstrNames,$I779))*(COUNTIF(INDEX(nrBankGrid,IFERROR(MATCH($G779,nrBankTopics,0),1),0),nrInstrNames)&gt;0))&lt;SUMPRODUCT((nrInstrNames&lt;&gt;"")*ISNUMBER(SEARCH(nrInstrNames,$I779))),"NOT IN BANK","OK"))))</f>
        <v/>
      </c>
    </row>
    <row r="780">
      <c r="B780" s="18" t="n"/>
      <c r="C780" s="17">
        <f>IF($B780="","",TEXT($B780,"ddd"))</f>
        <v/>
      </c>
      <c r="D780" s="41" t="n"/>
      <c r="E780" s="41" t="n"/>
      <c r="F780" s="17">
        <f>IF(OR($B780="",$D780="",$E780=""),"",ROUND(MOD($E780-$D780,1)*24,2))</f>
        <v/>
      </c>
      <c r="G780" s="16" t="n"/>
      <c r="H780" s="17">
        <f>IF($G780="","",IFERROR(_xlfn.XLOOKUP($G780,nrCHname,nrCHnum),IFERROR(_xlfn.XLOOKUP($G780,nrSUBname,nrSUBparent),"")))</f>
        <v/>
      </c>
      <c r="I780" s="16" t="n"/>
      <c r="J780" s="16" t="n"/>
      <c r="K780" s="17">
        <f>IF($B780="","",IFERROR(_xlfn.XLOOKUP($B780,nrCDdate,nrCDweek),""))</f>
        <v/>
      </c>
      <c r="L780" s="17">
        <f>IF($B780="","",IFERROR(_xlfn.XLOOKUP($B780,nrCDdate,nrCDnum),""))</f>
        <v/>
      </c>
      <c r="M780" s="16" t="n"/>
      <c r="N780" s="17">
        <f>IF(OR($B780="",$I780=""),"",_xlfn.LET(_xlpm.a,$I780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80" s="17">
        <f>IF(OR($B780="",$D780="",$E780=""),"",IF($E780=$D780,"CHECK TIMES (start = end)",IF($F780&gt;12,"CHECK TIMES (End is before Start?)","OK")))</f>
        <v/>
      </c>
      <c r="P780" s="17">
        <f>IF(OR($B780="",$I780=""),"",IF(IFERROR(MATCH($G780,nrBankTopics,0),0)=0,"OK",IF(COUNTA(INDEX(nrBankGrid,IFERROR(MATCH($G780,nrBankTopics,0),1),0))=0,"OK",IF(SUMPRODUCT((nrInstrNames&lt;&gt;"")*ISNUMBER(SEARCH(nrInstrNames,$I780))*(COUNTIF(INDEX(nrBankGrid,IFERROR(MATCH($G780,nrBankTopics,0),1),0),nrInstrNames)&gt;0))&lt;SUMPRODUCT((nrInstrNames&lt;&gt;"")*ISNUMBER(SEARCH(nrInstrNames,$I780))),"NOT IN BANK","OK"))))</f>
        <v/>
      </c>
    </row>
    <row r="781">
      <c r="B781" s="18" t="n"/>
      <c r="C781" s="17">
        <f>IF($B781="","",TEXT($B781,"ddd"))</f>
        <v/>
      </c>
      <c r="D781" s="41" t="n"/>
      <c r="E781" s="41" t="n"/>
      <c r="F781" s="17">
        <f>IF(OR($B781="",$D781="",$E781=""),"",ROUND(MOD($E781-$D781,1)*24,2))</f>
        <v/>
      </c>
      <c r="G781" s="16" t="n"/>
      <c r="H781" s="17">
        <f>IF($G781="","",IFERROR(_xlfn.XLOOKUP($G781,nrCHname,nrCHnum),IFERROR(_xlfn.XLOOKUP($G781,nrSUBname,nrSUBparent),"")))</f>
        <v/>
      </c>
      <c r="I781" s="16" t="n"/>
      <c r="J781" s="16" t="n"/>
      <c r="K781" s="17">
        <f>IF($B781="","",IFERROR(_xlfn.XLOOKUP($B781,nrCDdate,nrCDweek),""))</f>
        <v/>
      </c>
      <c r="L781" s="17">
        <f>IF($B781="","",IFERROR(_xlfn.XLOOKUP($B781,nrCDdate,nrCDnum),""))</f>
        <v/>
      </c>
      <c r="M781" s="16" t="n"/>
      <c r="N781" s="17">
        <f>IF(OR($B781="",$I781=""),"",_xlfn.LET(_xlpm.a,$I781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81" s="17">
        <f>IF(OR($B781="",$D781="",$E781=""),"",IF($E781=$D781,"CHECK TIMES (start = end)",IF($F781&gt;12,"CHECK TIMES (End is before Start?)","OK")))</f>
        <v/>
      </c>
      <c r="P781" s="17">
        <f>IF(OR($B781="",$I781=""),"",IF(IFERROR(MATCH($G781,nrBankTopics,0),0)=0,"OK",IF(COUNTA(INDEX(nrBankGrid,IFERROR(MATCH($G781,nrBankTopics,0),1),0))=0,"OK",IF(SUMPRODUCT((nrInstrNames&lt;&gt;"")*ISNUMBER(SEARCH(nrInstrNames,$I781))*(COUNTIF(INDEX(nrBankGrid,IFERROR(MATCH($G781,nrBankTopics,0),1),0),nrInstrNames)&gt;0))&lt;SUMPRODUCT((nrInstrNames&lt;&gt;"")*ISNUMBER(SEARCH(nrInstrNames,$I781))),"NOT IN BANK","OK"))))</f>
        <v/>
      </c>
    </row>
    <row r="782">
      <c r="B782" s="18" t="n"/>
      <c r="C782" s="17">
        <f>IF($B782="","",TEXT($B782,"ddd"))</f>
        <v/>
      </c>
      <c r="D782" s="41" t="n"/>
      <c r="E782" s="41" t="n"/>
      <c r="F782" s="17">
        <f>IF(OR($B782="",$D782="",$E782=""),"",ROUND(MOD($E782-$D782,1)*24,2))</f>
        <v/>
      </c>
      <c r="G782" s="16" t="n"/>
      <c r="H782" s="17">
        <f>IF($G782="","",IFERROR(_xlfn.XLOOKUP($G782,nrCHname,nrCHnum),IFERROR(_xlfn.XLOOKUP($G782,nrSUBname,nrSUBparent),"")))</f>
        <v/>
      </c>
      <c r="I782" s="16" t="n"/>
      <c r="J782" s="16" t="n"/>
      <c r="K782" s="17">
        <f>IF($B782="","",IFERROR(_xlfn.XLOOKUP($B782,nrCDdate,nrCDweek),""))</f>
        <v/>
      </c>
      <c r="L782" s="17">
        <f>IF($B782="","",IFERROR(_xlfn.XLOOKUP($B782,nrCDdate,nrCDnum),""))</f>
        <v/>
      </c>
      <c r="M782" s="16" t="n"/>
      <c r="N782" s="17">
        <f>IF(OR($B782="",$I782=""),"",_xlfn.LET(_xlpm.a,$I782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82" s="17">
        <f>IF(OR($B782="",$D782="",$E782=""),"",IF($E782=$D782,"CHECK TIMES (start = end)",IF($F782&gt;12,"CHECK TIMES (End is before Start?)","OK")))</f>
        <v/>
      </c>
      <c r="P782" s="17">
        <f>IF(OR($B782="",$I782=""),"",IF(IFERROR(MATCH($G782,nrBankTopics,0),0)=0,"OK",IF(COUNTA(INDEX(nrBankGrid,IFERROR(MATCH($G782,nrBankTopics,0),1),0))=0,"OK",IF(SUMPRODUCT((nrInstrNames&lt;&gt;"")*ISNUMBER(SEARCH(nrInstrNames,$I782))*(COUNTIF(INDEX(nrBankGrid,IFERROR(MATCH($G782,nrBankTopics,0),1),0),nrInstrNames)&gt;0))&lt;SUMPRODUCT((nrInstrNames&lt;&gt;"")*ISNUMBER(SEARCH(nrInstrNames,$I782))),"NOT IN BANK","OK"))))</f>
        <v/>
      </c>
    </row>
    <row r="783">
      <c r="B783" s="18" t="n"/>
      <c r="C783" s="17">
        <f>IF($B783="","",TEXT($B783,"ddd"))</f>
        <v/>
      </c>
      <c r="D783" s="41" t="n"/>
      <c r="E783" s="41" t="n"/>
      <c r="F783" s="17">
        <f>IF(OR($B783="",$D783="",$E783=""),"",ROUND(MOD($E783-$D783,1)*24,2))</f>
        <v/>
      </c>
      <c r="G783" s="16" t="n"/>
      <c r="H783" s="17">
        <f>IF($G783="","",IFERROR(_xlfn.XLOOKUP($G783,nrCHname,nrCHnum),IFERROR(_xlfn.XLOOKUP($G783,nrSUBname,nrSUBparent),"")))</f>
        <v/>
      </c>
      <c r="I783" s="16" t="n"/>
      <c r="J783" s="16" t="n"/>
      <c r="K783" s="17">
        <f>IF($B783="","",IFERROR(_xlfn.XLOOKUP($B783,nrCDdate,nrCDweek),""))</f>
        <v/>
      </c>
      <c r="L783" s="17">
        <f>IF($B783="","",IFERROR(_xlfn.XLOOKUP($B783,nrCDdate,nrCDnum),""))</f>
        <v/>
      </c>
      <c r="M783" s="16" t="n"/>
      <c r="N783" s="17">
        <f>IF(OR($B783="",$I783=""),"",_xlfn.LET(_xlpm.a,$I783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83" s="17">
        <f>IF(OR($B783="",$D783="",$E783=""),"",IF($E783=$D783,"CHECK TIMES (start = end)",IF($F783&gt;12,"CHECK TIMES (End is before Start?)","OK")))</f>
        <v/>
      </c>
      <c r="P783" s="17">
        <f>IF(OR($B783="",$I783=""),"",IF(IFERROR(MATCH($G783,nrBankTopics,0),0)=0,"OK",IF(COUNTA(INDEX(nrBankGrid,IFERROR(MATCH($G783,nrBankTopics,0),1),0))=0,"OK",IF(SUMPRODUCT((nrInstrNames&lt;&gt;"")*ISNUMBER(SEARCH(nrInstrNames,$I783))*(COUNTIF(INDEX(nrBankGrid,IFERROR(MATCH($G783,nrBankTopics,0),1),0),nrInstrNames)&gt;0))&lt;SUMPRODUCT((nrInstrNames&lt;&gt;"")*ISNUMBER(SEARCH(nrInstrNames,$I783))),"NOT IN BANK","OK"))))</f>
        <v/>
      </c>
    </row>
    <row r="784">
      <c r="B784" s="18" t="n"/>
      <c r="C784" s="17">
        <f>IF($B784="","",TEXT($B784,"ddd"))</f>
        <v/>
      </c>
      <c r="D784" s="41" t="n"/>
      <c r="E784" s="41" t="n"/>
      <c r="F784" s="17">
        <f>IF(OR($B784="",$D784="",$E784=""),"",ROUND(MOD($E784-$D784,1)*24,2))</f>
        <v/>
      </c>
      <c r="G784" s="16" t="n"/>
      <c r="H784" s="17">
        <f>IF($G784="","",IFERROR(_xlfn.XLOOKUP($G784,nrCHname,nrCHnum),IFERROR(_xlfn.XLOOKUP($G784,nrSUBname,nrSUBparent),"")))</f>
        <v/>
      </c>
      <c r="I784" s="16" t="n"/>
      <c r="J784" s="16" t="n"/>
      <c r="K784" s="17">
        <f>IF($B784="","",IFERROR(_xlfn.XLOOKUP($B784,nrCDdate,nrCDweek),""))</f>
        <v/>
      </c>
      <c r="L784" s="17">
        <f>IF($B784="","",IFERROR(_xlfn.XLOOKUP($B784,nrCDdate,nrCDnum),""))</f>
        <v/>
      </c>
      <c r="M784" s="16" t="n"/>
      <c r="N784" s="17">
        <f>IF(OR($B784="",$I784=""),"",_xlfn.LET(_xlpm.a,$I784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84" s="17">
        <f>IF(OR($B784="",$D784="",$E784=""),"",IF($E784=$D784,"CHECK TIMES (start = end)",IF($F784&gt;12,"CHECK TIMES (End is before Start?)","OK")))</f>
        <v/>
      </c>
      <c r="P784" s="17">
        <f>IF(OR($B784="",$I784=""),"",IF(IFERROR(MATCH($G784,nrBankTopics,0),0)=0,"OK",IF(COUNTA(INDEX(nrBankGrid,IFERROR(MATCH($G784,nrBankTopics,0),1),0))=0,"OK",IF(SUMPRODUCT((nrInstrNames&lt;&gt;"")*ISNUMBER(SEARCH(nrInstrNames,$I784))*(COUNTIF(INDEX(nrBankGrid,IFERROR(MATCH($G784,nrBankTopics,0),1),0),nrInstrNames)&gt;0))&lt;SUMPRODUCT((nrInstrNames&lt;&gt;"")*ISNUMBER(SEARCH(nrInstrNames,$I784))),"NOT IN BANK","OK"))))</f>
        <v/>
      </c>
    </row>
    <row r="785">
      <c r="B785" s="18" t="n"/>
      <c r="C785" s="17">
        <f>IF($B785="","",TEXT($B785,"ddd"))</f>
        <v/>
      </c>
      <c r="D785" s="41" t="n"/>
      <c r="E785" s="41" t="n"/>
      <c r="F785" s="17">
        <f>IF(OR($B785="",$D785="",$E785=""),"",ROUND(MOD($E785-$D785,1)*24,2))</f>
        <v/>
      </c>
      <c r="G785" s="16" t="n"/>
      <c r="H785" s="17">
        <f>IF($G785="","",IFERROR(_xlfn.XLOOKUP($G785,nrCHname,nrCHnum),IFERROR(_xlfn.XLOOKUP($G785,nrSUBname,nrSUBparent),"")))</f>
        <v/>
      </c>
      <c r="I785" s="16" t="n"/>
      <c r="J785" s="16" t="n"/>
      <c r="K785" s="17">
        <f>IF($B785="","",IFERROR(_xlfn.XLOOKUP($B785,nrCDdate,nrCDweek),""))</f>
        <v/>
      </c>
      <c r="L785" s="17">
        <f>IF($B785="","",IFERROR(_xlfn.XLOOKUP($B785,nrCDdate,nrCDnum),""))</f>
        <v/>
      </c>
      <c r="M785" s="16" t="n"/>
      <c r="N785" s="17">
        <f>IF(OR($B785="",$I785=""),"",_xlfn.LET(_xlpm.a,$I785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85" s="17">
        <f>IF(OR($B785="",$D785="",$E785=""),"",IF($E785=$D785,"CHECK TIMES (start = end)",IF($F785&gt;12,"CHECK TIMES (End is before Start?)","OK")))</f>
        <v/>
      </c>
      <c r="P785" s="17">
        <f>IF(OR($B785="",$I785=""),"",IF(IFERROR(MATCH($G785,nrBankTopics,0),0)=0,"OK",IF(COUNTA(INDEX(nrBankGrid,IFERROR(MATCH($G785,nrBankTopics,0),1),0))=0,"OK",IF(SUMPRODUCT((nrInstrNames&lt;&gt;"")*ISNUMBER(SEARCH(nrInstrNames,$I785))*(COUNTIF(INDEX(nrBankGrid,IFERROR(MATCH($G785,nrBankTopics,0),1),0),nrInstrNames)&gt;0))&lt;SUMPRODUCT((nrInstrNames&lt;&gt;"")*ISNUMBER(SEARCH(nrInstrNames,$I785))),"NOT IN BANK","OK"))))</f>
        <v/>
      </c>
    </row>
    <row r="786">
      <c r="B786" s="18" t="n"/>
      <c r="C786" s="17">
        <f>IF($B786="","",TEXT($B786,"ddd"))</f>
        <v/>
      </c>
      <c r="D786" s="41" t="n"/>
      <c r="E786" s="41" t="n"/>
      <c r="F786" s="17">
        <f>IF(OR($B786="",$D786="",$E786=""),"",ROUND(MOD($E786-$D786,1)*24,2))</f>
        <v/>
      </c>
      <c r="G786" s="16" t="n"/>
      <c r="H786" s="17">
        <f>IF($G786="","",IFERROR(_xlfn.XLOOKUP($G786,nrCHname,nrCHnum),IFERROR(_xlfn.XLOOKUP($G786,nrSUBname,nrSUBparent),"")))</f>
        <v/>
      </c>
      <c r="I786" s="16" t="n"/>
      <c r="J786" s="16" t="n"/>
      <c r="K786" s="17">
        <f>IF($B786="","",IFERROR(_xlfn.XLOOKUP($B786,nrCDdate,nrCDweek),""))</f>
        <v/>
      </c>
      <c r="L786" s="17">
        <f>IF($B786="","",IFERROR(_xlfn.XLOOKUP($B786,nrCDdate,nrCDnum),""))</f>
        <v/>
      </c>
      <c r="M786" s="16" t="n"/>
      <c r="N786" s="17">
        <f>IF(OR($B786="",$I786=""),"",_xlfn.LET(_xlpm.a,$I786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86" s="17">
        <f>IF(OR($B786="",$D786="",$E786=""),"",IF($E786=$D786,"CHECK TIMES (start = end)",IF($F786&gt;12,"CHECK TIMES (End is before Start?)","OK")))</f>
        <v/>
      </c>
      <c r="P786" s="17">
        <f>IF(OR($B786="",$I786=""),"",IF(IFERROR(MATCH($G786,nrBankTopics,0),0)=0,"OK",IF(COUNTA(INDEX(nrBankGrid,IFERROR(MATCH($G786,nrBankTopics,0),1),0))=0,"OK",IF(SUMPRODUCT((nrInstrNames&lt;&gt;"")*ISNUMBER(SEARCH(nrInstrNames,$I786))*(COUNTIF(INDEX(nrBankGrid,IFERROR(MATCH($G786,nrBankTopics,0),1),0),nrInstrNames)&gt;0))&lt;SUMPRODUCT((nrInstrNames&lt;&gt;"")*ISNUMBER(SEARCH(nrInstrNames,$I786))),"NOT IN BANK","OK"))))</f>
        <v/>
      </c>
    </row>
    <row r="787">
      <c r="B787" s="18" t="n"/>
      <c r="C787" s="17">
        <f>IF($B787="","",TEXT($B787,"ddd"))</f>
        <v/>
      </c>
      <c r="D787" s="41" t="n"/>
      <c r="E787" s="41" t="n"/>
      <c r="F787" s="17">
        <f>IF(OR($B787="",$D787="",$E787=""),"",ROUND(MOD($E787-$D787,1)*24,2))</f>
        <v/>
      </c>
      <c r="G787" s="16" t="n"/>
      <c r="H787" s="17">
        <f>IF($G787="","",IFERROR(_xlfn.XLOOKUP($G787,nrCHname,nrCHnum),IFERROR(_xlfn.XLOOKUP($G787,nrSUBname,nrSUBparent),"")))</f>
        <v/>
      </c>
      <c r="I787" s="16" t="n"/>
      <c r="J787" s="16" t="n"/>
      <c r="K787" s="17">
        <f>IF($B787="","",IFERROR(_xlfn.XLOOKUP($B787,nrCDdate,nrCDweek),""))</f>
        <v/>
      </c>
      <c r="L787" s="17">
        <f>IF($B787="","",IFERROR(_xlfn.XLOOKUP($B787,nrCDdate,nrCDnum),""))</f>
        <v/>
      </c>
      <c r="M787" s="16" t="n"/>
      <c r="N787" s="17">
        <f>IF(OR($B787="",$I787=""),"",_xlfn.LET(_xlpm.a,$I787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87" s="17">
        <f>IF(OR($B787="",$D787="",$E787=""),"",IF($E787=$D787,"CHECK TIMES (start = end)",IF($F787&gt;12,"CHECK TIMES (End is before Start?)","OK")))</f>
        <v/>
      </c>
      <c r="P787" s="17">
        <f>IF(OR($B787="",$I787=""),"",IF(IFERROR(MATCH($G787,nrBankTopics,0),0)=0,"OK",IF(COUNTA(INDEX(nrBankGrid,IFERROR(MATCH($G787,nrBankTopics,0),1),0))=0,"OK",IF(SUMPRODUCT((nrInstrNames&lt;&gt;"")*ISNUMBER(SEARCH(nrInstrNames,$I787))*(COUNTIF(INDEX(nrBankGrid,IFERROR(MATCH($G787,nrBankTopics,0),1),0),nrInstrNames)&gt;0))&lt;SUMPRODUCT((nrInstrNames&lt;&gt;"")*ISNUMBER(SEARCH(nrInstrNames,$I787))),"NOT IN BANK","OK"))))</f>
        <v/>
      </c>
    </row>
    <row r="788">
      <c r="B788" s="18" t="n"/>
      <c r="C788" s="17">
        <f>IF($B788="","",TEXT($B788,"ddd"))</f>
        <v/>
      </c>
      <c r="D788" s="41" t="n"/>
      <c r="E788" s="41" t="n"/>
      <c r="F788" s="17">
        <f>IF(OR($B788="",$D788="",$E788=""),"",ROUND(MOD($E788-$D788,1)*24,2))</f>
        <v/>
      </c>
      <c r="G788" s="16" t="n"/>
      <c r="H788" s="17">
        <f>IF($G788="","",IFERROR(_xlfn.XLOOKUP($G788,nrCHname,nrCHnum),IFERROR(_xlfn.XLOOKUP($G788,nrSUBname,nrSUBparent),"")))</f>
        <v/>
      </c>
      <c r="I788" s="16" t="n"/>
      <c r="J788" s="16" t="n"/>
      <c r="K788" s="17">
        <f>IF($B788="","",IFERROR(_xlfn.XLOOKUP($B788,nrCDdate,nrCDweek),""))</f>
        <v/>
      </c>
      <c r="L788" s="17">
        <f>IF($B788="","",IFERROR(_xlfn.XLOOKUP($B788,nrCDdate,nrCDnum),""))</f>
        <v/>
      </c>
      <c r="M788" s="16" t="n"/>
      <c r="N788" s="17">
        <f>IF(OR($B788="",$I788=""),"",_xlfn.LET(_xlpm.a,$I788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88" s="17">
        <f>IF(OR($B788="",$D788="",$E788=""),"",IF($E788=$D788,"CHECK TIMES (start = end)",IF($F788&gt;12,"CHECK TIMES (End is before Start?)","OK")))</f>
        <v/>
      </c>
      <c r="P788" s="17">
        <f>IF(OR($B788="",$I788=""),"",IF(IFERROR(MATCH($G788,nrBankTopics,0),0)=0,"OK",IF(COUNTA(INDEX(nrBankGrid,IFERROR(MATCH($G788,nrBankTopics,0),1),0))=0,"OK",IF(SUMPRODUCT((nrInstrNames&lt;&gt;"")*ISNUMBER(SEARCH(nrInstrNames,$I788))*(COUNTIF(INDEX(nrBankGrid,IFERROR(MATCH($G788,nrBankTopics,0),1),0),nrInstrNames)&gt;0))&lt;SUMPRODUCT((nrInstrNames&lt;&gt;"")*ISNUMBER(SEARCH(nrInstrNames,$I788))),"NOT IN BANK","OK"))))</f>
        <v/>
      </c>
    </row>
    <row r="789">
      <c r="B789" s="18" t="n"/>
      <c r="C789" s="17">
        <f>IF($B789="","",TEXT($B789,"ddd"))</f>
        <v/>
      </c>
      <c r="D789" s="41" t="n"/>
      <c r="E789" s="41" t="n"/>
      <c r="F789" s="17">
        <f>IF(OR($B789="",$D789="",$E789=""),"",ROUND(MOD($E789-$D789,1)*24,2))</f>
        <v/>
      </c>
      <c r="G789" s="16" t="n"/>
      <c r="H789" s="17">
        <f>IF($G789="","",IFERROR(_xlfn.XLOOKUP($G789,nrCHname,nrCHnum),IFERROR(_xlfn.XLOOKUP($G789,nrSUBname,nrSUBparent),"")))</f>
        <v/>
      </c>
      <c r="I789" s="16" t="n"/>
      <c r="J789" s="16" t="n"/>
      <c r="K789" s="17">
        <f>IF($B789="","",IFERROR(_xlfn.XLOOKUP($B789,nrCDdate,nrCDweek),""))</f>
        <v/>
      </c>
      <c r="L789" s="17">
        <f>IF($B789="","",IFERROR(_xlfn.XLOOKUP($B789,nrCDdate,nrCDnum),""))</f>
        <v/>
      </c>
      <c r="M789" s="16" t="n"/>
      <c r="N789" s="17">
        <f>IF(OR($B789="",$I789=""),"",_xlfn.LET(_xlpm.a,$I789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89" s="17">
        <f>IF(OR($B789="",$D789="",$E789=""),"",IF($E789=$D789,"CHECK TIMES (start = end)",IF($F789&gt;12,"CHECK TIMES (End is before Start?)","OK")))</f>
        <v/>
      </c>
      <c r="P789" s="17">
        <f>IF(OR($B789="",$I789=""),"",IF(IFERROR(MATCH($G789,nrBankTopics,0),0)=0,"OK",IF(COUNTA(INDEX(nrBankGrid,IFERROR(MATCH($G789,nrBankTopics,0),1),0))=0,"OK",IF(SUMPRODUCT((nrInstrNames&lt;&gt;"")*ISNUMBER(SEARCH(nrInstrNames,$I789))*(COUNTIF(INDEX(nrBankGrid,IFERROR(MATCH($G789,nrBankTopics,0),1),0),nrInstrNames)&gt;0))&lt;SUMPRODUCT((nrInstrNames&lt;&gt;"")*ISNUMBER(SEARCH(nrInstrNames,$I789))),"NOT IN BANK","OK"))))</f>
        <v/>
      </c>
    </row>
    <row r="790">
      <c r="B790" s="18" t="n"/>
      <c r="C790" s="17">
        <f>IF($B790="","",TEXT($B790,"ddd"))</f>
        <v/>
      </c>
      <c r="D790" s="41" t="n"/>
      <c r="E790" s="41" t="n"/>
      <c r="F790" s="17">
        <f>IF(OR($B790="",$D790="",$E790=""),"",ROUND(MOD($E790-$D790,1)*24,2))</f>
        <v/>
      </c>
      <c r="G790" s="16" t="n"/>
      <c r="H790" s="17">
        <f>IF($G790="","",IFERROR(_xlfn.XLOOKUP($G790,nrCHname,nrCHnum),IFERROR(_xlfn.XLOOKUP($G790,nrSUBname,nrSUBparent),"")))</f>
        <v/>
      </c>
      <c r="I790" s="16" t="n"/>
      <c r="J790" s="16" t="n"/>
      <c r="K790" s="17">
        <f>IF($B790="","",IFERROR(_xlfn.XLOOKUP($B790,nrCDdate,nrCDweek),""))</f>
        <v/>
      </c>
      <c r="L790" s="17">
        <f>IF($B790="","",IFERROR(_xlfn.XLOOKUP($B790,nrCDdate,nrCDnum),""))</f>
        <v/>
      </c>
      <c r="M790" s="16" t="n"/>
      <c r="N790" s="17">
        <f>IF(OR($B790="",$I790=""),"",_xlfn.LET(_xlpm.a,$I790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90" s="17">
        <f>IF(OR($B790="",$D790="",$E790=""),"",IF($E790=$D790,"CHECK TIMES (start = end)",IF($F790&gt;12,"CHECK TIMES (End is before Start?)","OK")))</f>
        <v/>
      </c>
      <c r="P790" s="17">
        <f>IF(OR($B790="",$I790=""),"",IF(IFERROR(MATCH($G790,nrBankTopics,0),0)=0,"OK",IF(COUNTA(INDEX(nrBankGrid,IFERROR(MATCH($G790,nrBankTopics,0),1),0))=0,"OK",IF(SUMPRODUCT((nrInstrNames&lt;&gt;"")*ISNUMBER(SEARCH(nrInstrNames,$I790))*(COUNTIF(INDEX(nrBankGrid,IFERROR(MATCH($G790,nrBankTopics,0),1),0),nrInstrNames)&gt;0))&lt;SUMPRODUCT((nrInstrNames&lt;&gt;"")*ISNUMBER(SEARCH(nrInstrNames,$I790))),"NOT IN BANK","OK"))))</f>
        <v/>
      </c>
    </row>
    <row r="791">
      <c r="B791" s="18" t="n"/>
      <c r="C791" s="17">
        <f>IF($B791="","",TEXT($B791,"ddd"))</f>
        <v/>
      </c>
      <c r="D791" s="41" t="n"/>
      <c r="E791" s="41" t="n"/>
      <c r="F791" s="17">
        <f>IF(OR($B791="",$D791="",$E791=""),"",ROUND(MOD($E791-$D791,1)*24,2))</f>
        <v/>
      </c>
      <c r="G791" s="16" t="n"/>
      <c r="H791" s="17">
        <f>IF($G791="","",IFERROR(_xlfn.XLOOKUP($G791,nrCHname,nrCHnum),IFERROR(_xlfn.XLOOKUP($G791,nrSUBname,nrSUBparent),"")))</f>
        <v/>
      </c>
      <c r="I791" s="16" t="n"/>
      <c r="J791" s="16" t="n"/>
      <c r="K791" s="17">
        <f>IF($B791="","",IFERROR(_xlfn.XLOOKUP($B791,nrCDdate,nrCDweek),""))</f>
        <v/>
      </c>
      <c r="L791" s="17">
        <f>IF($B791="","",IFERROR(_xlfn.XLOOKUP($B791,nrCDdate,nrCDnum),""))</f>
        <v/>
      </c>
      <c r="M791" s="16" t="n"/>
      <c r="N791" s="17">
        <f>IF(OR($B791="",$I791=""),"",_xlfn.LET(_xlpm.a,$I791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91" s="17">
        <f>IF(OR($B791="",$D791="",$E791=""),"",IF($E791=$D791,"CHECK TIMES (start = end)",IF($F791&gt;12,"CHECK TIMES (End is before Start?)","OK")))</f>
        <v/>
      </c>
      <c r="P791" s="17">
        <f>IF(OR($B791="",$I791=""),"",IF(IFERROR(MATCH($G791,nrBankTopics,0),0)=0,"OK",IF(COUNTA(INDEX(nrBankGrid,IFERROR(MATCH($G791,nrBankTopics,0),1),0))=0,"OK",IF(SUMPRODUCT((nrInstrNames&lt;&gt;"")*ISNUMBER(SEARCH(nrInstrNames,$I791))*(COUNTIF(INDEX(nrBankGrid,IFERROR(MATCH($G791,nrBankTopics,0),1),0),nrInstrNames)&gt;0))&lt;SUMPRODUCT((nrInstrNames&lt;&gt;"")*ISNUMBER(SEARCH(nrInstrNames,$I791))),"NOT IN BANK","OK"))))</f>
        <v/>
      </c>
    </row>
    <row r="792">
      <c r="B792" s="18" t="n"/>
      <c r="C792" s="17">
        <f>IF($B792="","",TEXT($B792,"ddd"))</f>
        <v/>
      </c>
      <c r="D792" s="41" t="n"/>
      <c r="E792" s="41" t="n"/>
      <c r="F792" s="17">
        <f>IF(OR($B792="",$D792="",$E792=""),"",ROUND(MOD($E792-$D792,1)*24,2))</f>
        <v/>
      </c>
      <c r="G792" s="16" t="n"/>
      <c r="H792" s="17">
        <f>IF($G792="","",IFERROR(_xlfn.XLOOKUP($G792,nrCHname,nrCHnum),IFERROR(_xlfn.XLOOKUP($G792,nrSUBname,nrSUBparent),"")))</f>
        <v/>
      </c>
      <c r="I792" s="16" t="n"/>
      <c r="J792" s="16" t="n"/>
      <c r="K792" s="17">
        <f>IF($B792="","",IFERROR(_xlfn.XLOOKUP($B792,nrCDdate,nrCDweek),""))</f>
        <v/>
      </c>
      <c r="L792" s="17">
        <f>IF($B792="","",IFERROR(_xlfn.XLOOKUP($B792,nrCDdate,nrCDnum),""))</f>
        <v/>
      </c>
      <c r="M792" s="16" t="n"/>
      <c r="N792" s="17">
        <f>IF(OR($B792="",$I792=""),"",_xlfn.LET(_xlpm.a,$I792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92" s="17">
        <f>IF(OR($B792="",$D792="",$E792=""),"",IF($E792=$D792,"CHECK TIMES (start = end)",IF($F792&gt;12,"CHECK TIMES (End is before Start?)","OK")))</f>
        <v/>
      </c>
      <c r="P792" s="17">
        <f>IF(OR($B792="",$I792=""),"",IF(IFERROR(MATCH($G792,nrBankTopics,0),0)=0,"OK",IF(COUNTA(INDEX(nrBankGrid,IFERROR(MATCH($G792,nrBankTopics,0),1),0))=0,"OK",IF(SUMPRODUCT((nrInstrNames&lt;&gt;"")*ISNUMBER(SEARCH(nrInstrNames,$I792))*(COUNTIF(INDEX(nrBankGrid,IFERROR(MATCH($G792,nrBankTopics,0),1),0),nrInstrNames)&gt;0))&lt;SUMPRODUCT((nrInstrNames&lt;&gt;"")*ISNUMBER(SEARCH(nrInstrNames,$I792))),"NOT IN BANK","OK"))))</f>
        <v/>
      </c>
    </row>
    <row r="793">
      <c r="B793" s="18" t="n"/>
      <c r="C793" s="17">
        <f>IF($B793="","",TEXT($B793,"ddd"))</f>
        <v/>
      </c>
      <c r="D793" s="41" t="n"/>
      <c r="E793" s="41" t="n"/>
      <c r="F793" s="17">
        <f>IF(OR($B793="",$D793="",$E793=""),"",ROUND(MOD($E793-$D793,1)*24,2))</f>
        <v/>
      </c>
      <c r="G793" s="16" t="n"/>
      <c r="H793" s="17">
        <f>IF($G793="","",IFERROR(_xlfn.XLOOKUP($G793,nrCHname,nrCHnum),IFERROR(_xlfn.XLOOKUP($G793,nrSUBname,nrSUBparent),"")))</f>
        <v/>
      </c>
      <c r="I793" s="16" t="n"/>
      <c r="J793" s="16" t="n"/>
      <c r="K793" s="17">
        <f>IF($B793="","",IFERROR(_xlfn.XLOOKUP($B793,nrCDdate,nrCDweek),""))</f>
        <v/>
      </c>
      <c r="L793" s="17">
        <f>IF($B793="","",IFERROR(_xlfn.XLOOKUP($B793,nrCDdate,nrCDnum),""))</f>
        <v/>
      </c>
      <c r="M793" s="16" t="n"/>
      <c r="N793" s="17">
        <f>IF(OR($B793="",$I793=""),"",_xlfn.LET(_xlpm.a,$I793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93" s="17">
        <f>IF(OR($B793="",$D793="",$E793=""),"",IF($E793=$D793,"CHECK TIMES (start = end)",IF($F793&gt;12,"CHECK TIMES (End is before Start?)","OK")))</f>
        <v/>
      </c>
      <c r="P793" s="17">
        <f>IF(OR($B793="",$I793=""),"",IF(IFERROR(MATCH($G793,nrBankTopics,0),0)=0,"OK",IF(COUNTA(INDEX(nrBankGrid,IFERROR(MATCH($G793,nrBankTopics,0),1),0))=0,"OK",IF(SUMPRODUCT((nrInstrNames&lt;&gt;"")*ISNUMBER(SEARCH(nrInstrNames,$I793))*(COUNTIF(INDEX(nrBankGrid,IFERROR(MATCH($G793,nrBankTopics,0),1),0),nrInstrNames)&gt;0))&lt;SUMPRODUCT((nrInstrNames&lt;&gt;"")*ISNUMBER(SEARCH(nrInstrNames,$I793))),"NOT IN BANK","OK"))))</f>
        <v/>
      </c>
    </row>
    <row r="794">
      <c r="B794" s="18" t="n"/>
      <c r="C794" s="17">
        <f>IF($B794="","",TEXT($B794,"ddd"))</f>
        <v/>
      </c>
      <c r="D794" s="41" t="n"/>
      <c r="E794" s="41" t="n"/>
      <c r="F794" s="17">
        <f>IF(OR($B794="",$D794="",$E794=""),"",ROUND(MOD($E794-$D794,1)*24,2))</f>
        <v/>
      </c>
      <c r="G794" s="16" t="n"/>
      <c r="H794" s="17">
        <f>IF($G794="","",IFERROR(_xlfn.XLOOKUP($G794,nrCHname,nrCHnum),IFERROR(_xlfn.XLOOKUP($G794,nrSUBname,nrSUBparent),"")))</f>
        <v/>
      </c>
      <c r="I794" s="16" t="n"/>
      <c r="J794" s="16" t="n"/>
      <c r="K794" s="17">
        <f>IF($B794="","",IFERROR(_xlfn.XLOOKUP($B794,nrCDdate,nrCDweek),""))</f>
        <v/>
      </c>
      <c r="L794" s="17">
        <f>IF($B794="","",IFERROR(_xlfn.XLOOKUP($B794,nrCDdate,nrCDnum),""))</f>
        <v/>
      </c>
      <c r="M794" s="16" t="n"/>
      <c r="N794" s="17">
        <f>IF(OR($B794="",$I794=""),"",_xlfn.LET(_xlpm.a,$I794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94" s="17">
        <f>IF(OR($B794="",$D794="",$E794=""),"",IF($E794=$D794,"CHECK TIMES (start = end)",IF($F794&gt;12,"CHECK TIMES (End is before Start?)","OK")))</f>
        <v/>
      </c>
      <c r="P794" s="17">
        <f>IF(OR($B794="",$I794=""),"",IF(IFERROR(MATCH($G794,nrBankTopics,0),0)=0,"OK",IF(COUNTA(INDEX(nrBankGrid,IFERROR(MATCH($G794,nrBankTopics,0),1),0))=0,"OK",IF(SUMPRODUCT((nrInstrNames&lt;&gt;"")*ISNUMBER(SEARCH(nrInstrNames,$I794))*(COUNTIF(INDEX(nrBankGrid,IFERROR(MATCH($G794,nrBankTopics,0),1),0),nrInstrNames)&gt;0))&lt;SUMPRODUCT((nrInstrNames&lt;&gt;"")*ISNUMBER(SEARCH(nrInstrNames,$I794))),"NOT IN BANK","OK"))))</f>
        <v/>
      </c>
    </row>
    <row r="795">
      <c r="B795" s="18" t="n"/>
      <c r="C795" s="17">
        <f>IF($B795="","",TEXT($B795,"ddd"))</f>
        <v/>
      </c>
      <c r="D795" s="41" t="n"/>
      <c r="E795" s="41" t="n"/>
      <c r="F795" s="17">
        <f>IF(OR($B795="",$D795="",$E795=""),"",ROUND(MOD($E795-$D795,1)*24,2))</f>
        <v/>
      </c>
      <c r="G795" s="16" t="n"/>
      <c r="H795" s="17">
        <f>IF($G795="","",IFERROR(_xlfn.XLOOKUP($G795,nrCHname,nrCHnum),IFERROR(_xlfn.XLOOKUP($G795,nrSUBname,nrSUBparent),"")))</f>
        <v/>
      </c>
      <c r="I795" s="16" t="n"/>
      <c r="J795" s="16" t="n"/>
      <c r="K795" s="17">
        <f>IF($B795="","",IFERROR(_xlfn.XLOOKUP($B795,nrCDdate,nrCDweek),""))</f>
        <v/>
      </c>
      <c r="L795" s="17">
        <f>IF($B795="","",IFERROR(_xlfn.XLOOKUP($B795,nrCDdate,nrCDnum),""))</f>
        <v/>
      </c>
      <c r="M795" s="16" t="n"/>
      <c r="N795" s="17">
        <f>IF(OR($B795="",$I795=""),"",_xlfn.LET(_xlpm.a,$I795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95" s="17">
        <f>IF(OR($B795="",$D795="",$E795=""),"",IF($E795=$D795,"CHECK TIMES (start = end)",IF($F795&gt;12,"CHECK TIMES (End is before Start?)","OK")))</f>
        <v/>
      </c>
      <c r="P795" s="17">
        <f>IF(OR($B795="",$I795=""),"",IF(IFERROR(MATCH($G795,nrBankTopics,0),0)=0,"OK",IF(COUNTA(INDEX(nrBankGrid,IFERROR(MATCH($G795,nrBankTopics,0),1),0))=0,"OK",IF(SUMPRODUCT((nrInstrNames&lt;&gt;"")*ISNUMBER(SEARCH(nrInstrNames,$I795))*(COUNTIF(INDEX(nrBankGrid,IFERROR(MATCH($G795,nrBankTopics,0),1),0),nrInstrNames)&gt;0))&lt;SUMPRODUCT((nrInstrNames&lt;&gt;"")*ISNUMBER(SEARCH(nrInstrNames,$I795))),"NOT IN BANK","OK"))))</f>
        <v/>
      </c>
    </row>
    <row r="796">
      <c r="B796" s="18" t="n"/>
      <c r="C796" s="17">
        <f>IF($B796="","",TEXT($B796,"ddd"))</f>
        <v/>
      </c>
      <c r="D796" s="41" t="n"/>
      <c r="E796" s="41" t="n"/>
      <c r="F796" s="17">
        <f>IF(OR($B796="",$D796="",$E796=""),"",ROUND(MOD($E796-$D796,1)*24,2))</f>
        <v/>
      </c>
      <c r="G796" s="16" t="n"/>
      <c r="H796" s="17">
        <f>IF($G796="","",IFERROR(_xlfn.XLOOKUP($G796,nrCHname,nrCHnum),IFERROR(_xlfn.XLOOKUP($G796,nrSUBname,nrSUBparent),"")))</f>
        <v/>
      </c>
      <c r="I796" s="16" t="n"/>
      <c r="J796" s="16" t="n"/>
      <c r="K796" s="17">
        <f>IF($B796="","",IFERROR(_xlfn.XLOOKUP($B796,nrCDdate,nrCDweek),""))</f>
        <v/>
      </c>
      <c r="L796" s="17">
        <f>IF($B796="","",IFERROR(_xlfn.XLOOKUP($B796,nrCDdate,nrCDnum),""))</f>
        <v/>
      </c>
      <c r="M796" s="16" t="n"/>
      <c r="N796" s="17">
        <f>IF(OR($B796="",$I796=""),"",_xlfn.LET(_xlpm.a,$I796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96" s="17">
        <f>IF(OR($B796="",$D796="",$E796=""),"",IF($E796=$D796,"CHECK TIMES (start = end)",IF($F796&gt;12,"CHECK TIMES (End is before Start?)","OK")))</f>
        <v/>
      </c>
      <c r="P796" s="17">
        <f>IF(OR($B796="",$I796=""),"",IF(IFERROR(MATCH($G796,nrBankTopics,0),0)=0,"OK",IF(COUNTA(INDEX(nrBankGrid,IFERROR(MATCH($G796,nrBankTopics,0),1),0))=0,"OK",IF(SUMPRODUCT((nrInstrNames&lt;&gt;"")*ISNUMBER(SEARCH(nrInstrNames,$I796))*(COUNTIF(INDEX(nrBankGrid,IFERROR(MATCH($G796,nrBankTopics,0),1),0),nrInstrNames)&gt;0))&lt;SUMPRODUCT((nrInstrNames&lt;&gt;"")*ISNUMBER(SEARCH(nrInstrNames,$I796))),"NOT IN BANK","OK"))))</f>
        <v/>
      </c>
    </row>
    <row r="797">
      <c r="B797" s="18" t="n"/>
      <c r="C797" s="17">
        <f>IF($B797="","",TEXT($B797,"ddd"))</f>
        <v/>
      </c>
      <c r="D797" s="41" t="n"/>
      <c r="E797" s="41" t="n"/>
      <c r="F797" s="17">
        <f>IF(OR($B797="",$D797="",$E797=""),"",ROUND(MOD($E797-$D797,1)*24,2))</f>
        <v/>
      </c>
      <c r="G797" s="16" t="n"/>
      <c r="H797" s="17">
        <f>IF($G797="","",IFERROR(_xlfn.XLOOKUP($G797,nrCHname,nrCHnum),IFERROR(_xlfn.XLOOKUP($G797,nrSUBname,nrSUBparent),"")))</f>
        <v/>
      </c>
      <c r="I797" s="16" t="n"/>
      <c r="J797" s="16" t="n"/>
      <c r="K797" s="17">
        <f>IF($B797="","",IFERROR(_xlfn.XLOOKUP($B797,nrCDdate,nrCDweek),""))</f>
        <v/>
      </c>
      <c r="L797" s="17">
        <f>IF($B797="","",IFERROR(_xlfn.XLOOKUP($B797,nrCDdate,nrCDnum),""))</f>
        <v/>
      </c>
      <c r="M797" s="16" t="n"/>
      <c r="N797" s="17">
        <f>IF(OR($B797="",$I797=""),"",_xlfn.LET(_xlpm.a,$I797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97" s="17">
        <f>IF(OR($B797="",$D797="",$E797=""),"",IF($E797=$D797,"CHECK TIMES (start = end)",IF($F797&gt;12,"CHECK TIMES (End is before Start?)","OK")))</f>
        <v/>
      </c>
      <c r="P797" s="17">
        <f>IF(OR($B797="",$I797=""),"",IF(IFERROR(MATCH($G797,nrBankTopics,0),0)=0,"OK",IF(COUNTA(INDEX(nrBankGrid,IFERROR(MATCH($G797,nrBankTopics,0),1),0))=0,"OK",IF(SUMPRODUCT((nrInstrNames&lt;&gt;"")*ISNUMBER(SEARCH(nrInstrNames,$I797))*(COUNTIF(INDEX(nrBankGrid,IFERROR(MATCH($G797,nrBankTopics,0),1),0),nrInstrNames)&gt;0))&lt;SUMPRODUCT((nrInstrNames&lt;&gt;"")*ISNUMBER(SEARCH(nrInstrNames,$I797))),"NOT IN BANK","OK"))))</f>
        <v/>
      </c>
    </row>
    <row r="798">
      <c r="B798" s="18" t="n"/>
      <c r="C798" s="17">
        <f>IF($B798="","",TEXT($B798,"ddd"))</f>
        <v/>
      </c>
      <c r="D798" s="41" t="n"/>
      <c r="E798" s="41" t="n"/>
      <c r="F798" s="17">
        <f>IF(OR($B798="",$D798="",$E798=""),"",ROUND(MOD($E798-$D798,1)*24,2))</f>
        <v/>
      </c>
      <c r="G798" s="16" t="n"/>
      <c r="H798" s="17">
        <f>IF($G798="","",IFERROR(_xlfn.XLOOKUP($G798,nrCHname,nrCHnum),IFERROR(_xlfn.XLOOKUP($G798,nrSUBname,nrSUBparent),"")))</f>
        <v/>
      </c>
      <c r="I798" s="16" t="n"/>
      <c r="J798" s="16" t="n"/>
      <c r="K798" s="17">
        <f>IF($B798="","",IFERROR(_xlfn.XLOOKUP($B798,nrCDdate,nrCDweek),""))</f>
        <v/>
      </c>
      <c r="L798" s="17">
        <f>IF($B798="","",IFERROR(_xlfn.XLOOKUP($B798,nrCDdate,nrCDnum),""))</f>
        <v/>
      </c>
      <c r="M798" s="16" t="n"/>
      <c r="N798" s="17">
        <f>IF(OR($B798="",$I798=""),"",_xlfn.LET(_xlpm.a,$I798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98" s="17">
        <f>IF(OR($B798="",$D798="",$E798=""),"",IF($E798=$D798,"CHECK TIMES (start = end)",IF($F798&gt;12,"CHECK TIMES (End is before Start?)","OK")))</f>
        <v/>
      </c>
      <c r="P798" s="17">
        <f>IF(OR($B798="",$I798=""),"",IF(IFERROR(MATCH($G798,nrBankTopics,0),0)=0,"OK",IF(COUNTA(INDEX(nrBankGrid,IFERROR(MATCH($G798,nrBankTopics,0),1),0))=0,"OK",IF(SUMPRODUCT((nrInstrNames&lt;&gt;"")*ISNUMBER(SEARCH(nrInstrNames,$I798))*(COUNTIF(INDEX(nrBankGrid,IFERROR(MATCH($G798,nrBankTopics,0),1),0),nrInstrNames)&gt;0))&lt;SUMPRODUCT((nrInstrNames&lt;&gt;"")*ISNUMBER(SEARCH(nrInstrNames,$I798))),"NOT IN BANK","OK"))))</f>
        <v/>
      </c>
    </row>
    <row r="799">
      <c r="B799" s="18" t="n"/>
      <c r="C799" s="17">
        <f>IF($B799="","",TEXT($B799,"ddd"))</f>
        <v/>
      </c>
      <c r="D799" s="41" t="n"/>
      <c r="E799" s="41" t="n"/>
      <c r="F799" s="17">
        <f>IF(OR($B799="",$D799="",$E799=""),"",ROUND(MOD($E799-$D799,1)*24,2))</f>
        <v/>
      </c>
      <c r="G799" s="16" t="n"/>
      <c r="H799" s="17">
        <f>IF($G799="","",IFERROR(_xlfn.XLOOKUP($G799,nrCHname,nrCHnum),IFERROR(_xlfn.XLOOKUP($G799,nrSUBname,nrSUBparent),"")))</f>
        <v/>
      </c>
      <c r="I799" s="16" t="n"/>
      <c r="J799" s="16" t="n"/>
      <c r="K799" s="17">
        <f>IF($B799="","",IFERROR(_xlfn.XLOOKUP($B799,nrCDdate,nrCDweek),""))</f>
        <v/>
      </c>
      <c r="L799" s="17">
        <f>IF($B799="","",IFERROR(_xlfn.XLOOKUP($B799,nrCDdate,nrCDnum),""))</f>
        <v/>
      </c>
      <c r="M799" s="16" t="n"/>
      <c r="N799" s="17">
        <f>IF(OR($B799="",$I799=""),"",_xlfn.LET(_xlpm.a,$I799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99" s="17">
        <f>IF(OR($B799="",$D799="",$E799=""),"",IF($E799=$D799,"CHECK TIMES (start = end)",IF($F799&gt;12,"CHECK TIMES (End is before Start?)","OK")))</f>
        <v/>
      </c>
      <c r="P799" s="17">
        <f>IF(OR($B799="",$I799=""),"",IF(IFERROR(MATCH($G799,nrBankTopics,0),0)=0,"OK",IF(COUNTA(INDEX(nrBankGrid,IFERROR(MATCH($G799,nrBankTopics,0),1),0))=0,"OK",IF(SUMPRODUCT((nrInstrNames&lt;&gt;"")*ISNUMBER(SEARCH(nrInstrNames,$I799))*(COUNTIF(INDEX(nrBankGrid,IFERROR(MATCH($G799,nrBankTopics,0),1),0),nrInstrNames)&gt;0))&lt;SUMPRODUCT((nrInstrNames&lt;&gt;"")*ISNUMBER(SEARCH(nrInstrNames,$I799))),"NOT IN BANK","OK"))))</f>
        <v/>
      </c>
    </row>
    <row r="800">
      <c r="B800" s="18" t="n"/>
      <c r="C800" s="17">
        <f>IF($B800="","",TEXT($B800,"ddd"))</f>
        <v/>
      </c>
      <c r="D800" s="41" t="n"/>
      <c r="E800" s="41" t="n"/>
      <c r="F800" s="17">
        <f>IF(OR($B800="",$D800="",$E800=""),"",ROUND(MOD($E800-$D800,1)*24,2))</f>
        <v/>
      </c>
      <c r="G800" s="16" t="n"/>
      <c r="H800" s="17">
        <f>IF($G800="","",IFERROR(_xlfn.XLOOKUP($G800,nrCHname,nrCHnum),IFERROR(_xlfn.XLOOKUP($G800,nrSUBname,nrSUBparent),"")))</f>
        <v/>
      </c>
      <c r="I800" s="16" t="n"/>
      <c r="J800" s="16" t="n"/>
      <c r="K800" s="17">
        <f>IF($B800="","",IFERROR(_xlfn.XLOOKUP($B800,nrCDdate,nrCDweek),""))</f>
        <v/>
      </c>
      <c r="L800" s="17">
        <f>IF($B800="","",IFERROR(_xlfn.XLOOKUP($B800,nrCDdate,nrCDnum),""))</f>
        <v/>
      </c>
      <c r="M800" s="16" t="n"/>
      <c r="N800" s="17">
        <f>IF(OR($B800="",$I800=""),"",_xlfn.LET(_xlpm.a,$I800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00" s="17">
        <f>IF(OR($B800="",$D800="",$E800=""),"",IF($E800=$D800,"CHECK TIMES (start = end)",IF($F800&gt;12,"CHECK TIMES (End is before Start?)","OK")))</f>
        <v/>
      </c>
      <c r="P800" s="17">
        <f>IF(OR($B800="",$I800=""),"",IF(IFERROR(MATCH($G800,nrBankTopics,0),0)=0,"OK",IF(COUNTA(INDEX(nrBankGrid,IFERROR(MATCH($G800,nrBankTopics,0),1),0))=0,"OK",IF(SUMPRODUCT((nrInstrNames&lt;&gt;"")*ISNUMBER(SEARCH(nrInstrNames,$I800))*(COUNTIF(INDEX(nrBankGrid,IFERROR(MATCH($G800,nrBankTopics,0),1),0),nrInstrNames)&gt;0))&lt;SUMPRODUCT((nrInstrNames&lt;&gt;"")*ISNUMBER(SEARCH(nrInstrNames,$I800))),"NOT IN BANK","OK"))))</f>
        <v/>
      </c>
    </row>
    <row r="801">
      <c r="B801" s="18" t="n"/>
      <c r="C801" s="17">
        <f>IF($B801="","",TEXT($B801,"ddd"))</f>
        <v/>
      </c>
      <c r="D801" s="41" t="n"/>
      <c r="E801" s="41" t="n"/>
      <c r="F801" s="17">
        <f>IF(OR($B801="",$D801="",$E801=""),"",ROUND(MOD($E801-$D801,1)*24,2))</f>
        <v/>
      </c>
      <c r="G801" s="16" t="n"/>
      <c r="H801" s="17">
        <f>IF($G801="","",IFERROR(_xlfn.XLOOKUP($G801,nrCHname,nrCHnum),IFERROR(_xlfn.XLOOKUP($G801,nrSUBname,nrSUBparent),"")))</f>
        <v/>
      </c>
      <c r="I801" s="16" t="n"/>
      <c r="J801" s="16" t="n"/>
      <c r="K801" s="17">
        <f>IF($B801="","",IFERROR(_xlfn.XLOOKUP($B801,nrCDdate,nrCDweek),""))</f>
        <v/>
      </c>
      <c r="L801" s="17">
        <f>IF($B801="","",IFERROR(_xlfn.XLOOKUP($B801,nrCDdate,nrCDnum),""))</f>
        <v/>
      </c>
      <c r="M801" s="16" t="n"/>
      <c r="N801" s="17">
        <f>IF(OR($B801="",$I801=""),"",_xlfn.LET(_xlpm.a,$I801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01" s="17">
        <f>IF(OR($B801="",$D801="",$E801=""),"",IF($E801=$D801,"CHECK TIMES (start = end)",IF($F801&gt;12,"CHECK TIMES (End is before Start?)","OK")))</f>
        <v/>
      </c>
      <c r="P801" s="17">
        <f>IF(OR($B801="",$I801=""),"",IF(IFERROR(MATCH($G801,nrBankTopics,0),0)=0,"OK",IF(COUNTA(INDEX(nrBankGrid,IFERROR(MATCH($G801,nrBankTopics,0),1),0))=0,"OK",IF(SUMPRODUCT((nrInstrNames&lt;&gt;"")*ISNUMBER(SEARCH(nrInstrNames,$I801))*(COUNTIF(INDEX(nrBankGrid,IFERROR(MATCH($G801,nrBankTopics,0),1),0),nrInstrNames)&gt;0))&lt;SUMPRODUCT((nrInstrNames&lt;&gt;"")*ISNUMBER(SEARCH(nrInstrNames,$I801))),"NOT IN BANK","OK"))))</f>
        <v/>
      </c>
    </row>
    <row r="802">
      <c r="B802" s="18" t="n"/>
      <c r="C802" s="17">
        <f>IF($B802="","",TEXT($B802,"ddd"))</f>
        <v/>
      </c>
      <c r="D802" s="41" t="n"/>
      <c r="E802" s="41" t="n"/>
      <c r="F802" s="17">
        <f>IF(OR($B802="",$D802="",$E802=""),"",ROUND(MOD($E802-$D802,1)*24,2))</f>
        <v/>
      </c>
      <c r="G802" s="16" t="n"/>
      <c r="H802" s="17">
        <f>IF($G802="","",IFERROR(_xlfn.XLOOKUP($G802,nrCHname,nrCHnum),IFERROR(_xlfn.XLOOKUP($G802,nrSUBname,nrSUBparent),"")))</f>
        <v/>
      </c>
      <c r="I802" s="16" t="n"/>
      <c r="J802" s="16" t="n"/>
      <c r="K802" s="17">
        <f>IF($B802="","",IFERROR(_xlfn.XLOOKUP($B802,nrCDdate,nrCDweek),""))</f>
        <v/>
      </c>
      <c r="L802" s="17">
        <f>IF($B802="","",IFERROR(_xlfn.XLOOKUP($B802,nrCDdate,nrCDnum),""))</f>
        <v/>
      </c>
      <c r="M802" s="16" t="n"/>
      <c r="N802" s="17">
        <f>IF(OR($B802="",$I802=""),"",_xlfn.LET(_xlpm.a,$I802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02" s="17">
        <f>IF(OR($B802="",$D802="",$E802=""),"",IF($E802=$D802,"CHECK TIMES (start = end)",IF($F802&gt;12,"CHECK TIMES (End is before Start?)","OK")))</f>
        <v/>
      </c>
      <c r="P802" s="17">
        <f>IF(OR($B802="",$I802=""),"",IF(IFERROR(MATCH($G802,nrBankTopics,0),0)=0,"OK",IF(COUNTA(INDEX(nrBankGrid,IFERROR(MATCH($G802,nrBankTopics,0),1),0))=0,"OK",IF(SUMPRODUCT((nrInstrNames&lt;&gt;"")*ISNUMBER(SEARCH(nrInstrNames,$I802))*(COUNTIF(INDEX(nrBankGrid,IFERROR(MATCH($G802,nrBankTopics,0),1),0),nrInstrNames)&gt;0))&lt;SUMPRODUCT((nrInstrNames&lt;&gt;"")*ISNUMBER(SEARCH(nrInstrNames,$I802))),"NOT IN BANK","OK"))))</f>
        <v/>
      </c>
    </row>
    <row r="803">
      <c r="B803" s="18" t="n"/>
      <c r="C803" s="17">
        <f>IF($B803="","",TEXT($B803,"ddd"))</f>
        <v/>
      </c>
      <c r="D803" s="41" t="n"/>
      <c r="E803" s="41" t="n"/>
      <c r="F803" s="17">
        <f>IF(OR($B803="",$D803="",$E803=""),"",ROUND(MOD($E803-$D803,1)*24,2))</f>
        <v/>
      </c>
      <c r="G803" s="16" t="n"/>
      <c r="H803" s="17">
        <f>IF($G803="","",IFERROR(_xlfn.XLOOKUP($G803,nrCHname,nrCHnum),IFERROR(_xlfn.XLOOKUP($G803,nrSUBname,nrSUBparent),"")))</f>
        <v/>
      </c>
      <c r="I803" s="16" t="n"/>
      <c r="J803" s="16" t="n"/>
      <c r="K803" s="17">
        <f>IF($B803="","",IFERROR(_xlfn.XLOOKUP($B803,nrCDdate,nrCDweek),""))</f>
        <v/>
      </c>
      <c r="L803" s="17">
        <f>IF($B803="","",IFERROR(_xlfn.XLOOKUP($B803,nrCDdate,nrCDnum),""))</f>
        <v/>
      </c>
      <c r="M803" s="16" t="n"/>
      <c r="N803" s="17">
        <f>IF(OR($B803="",$I803=""),"",_xlfn.LET(_xlpm.a,$I803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03" s="17">
        <f>IF(OR($B803="",$D803="",$E803=""),"",IF($E803=$D803,"CHECK TIMES (start = end)",IF($F803&gt;12,"CHECK TIMES (End is before Start?)","OK")))</f>
        <v/>
      </c>
      <c r="P803" s="17">
        <f>IF(OR($B803="",$I803=""),"",IF(IFERROR(MATCH($G803,nrBankTopics,0),0)=0,"OK",IF(COUNTA(INDEX(nrBankGrid,IFERROR(MATCH($G803,nrBankTopics,0),1),0))=0,"OK",IF(SUMPRODUCT((nrInstrNames&lt;&gt;"")*ISNUMBER(SEARCH(nrInstrNames,$I803))*(COUNTIF(INDEX(nrBankGrid,IFERROR(MATCH($G803,nrBankTopics,0),1),0),nrInstrNames)&gt;0))&lt;SUMPRODUCT((nrInstrNames&lt;&gt;"")*ISNUMBER(SEARCH(nrInstrNames,$I803))),"NOT IN BANK","OK"))))</f>
        <v/>
      </c>
    </row>
    <row r="804">
      <c r="B804" s="18" t="n"/>
      <c r="C804" s="17">
        <f>IF($B804="","",TEXT($B804,"ddd"))</f>
        <v/>
      </c>
      <c r="D804" s="41" t="n"/>
      <c r="E804" s="41" t="n"/>
      <c r="F804" s="17">
        <f>IF(OR($B804="",$D804="",$E804=""),"",ROUND(MOD($E804-$D804,1)*24,2))</f>
        <v/>
      </c>
      <c r="G804" s="16" t="n"/>
      <c r="H804" s="17">
        <f>IF($G804="","",IFERROR(_xlfn.XLOOKUP($G804,nrCHname,nrCHnum),IFERROR(_xlfn.XLOOKUP($G804,nrSUBname,nrSUBparent),"")))</f>
        <v/>
      </c>
      <c r="I804" s="16" t="n"/>
      <c r="J804" s="16" t="n"/>
      <c r="K804" s="17">
        <f>IF($B804="","",IFERROR(_xlfn.XLOOKUP($B804,nrCDdate,nrCDweek),""))</f>
        <v/>
      </c>
      <c r="L804" s="17">
        <f>IF($B804="","",IFERROR(_xlfn.XLOOKUP($B804,nrCDdate,nrCDnum),""))</f>
        <v/>
      </c>
      <c r="M804" s="16" t="n"/>
      <c r="N804" s="17">
        <f>IF(OR($B804="",$I804=""),"",_xlfn.LET(_xlpm.a,$I804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04" s="17">
        <f>IF(OR($B804="",$D804="",$E804=""),"",IF($E804=$D804,"CHECK TIMES (start = end)",IF($F804&gt;12,"CHECK TIMES (End is before Start?)","OK")))</f>
        <v/>
      </c>
      <c r="P804" s="17">
        <f>IF(OR($B804="",$I804=""),"",IF(IFERROR(MATCH($G804,nrBankTopics,0),0)=0,"OK",IF(COUNTA(INDEX(nrBankGrid,IFERROR(MATCH($G804,nrBankTopics,0),1),0))=0,"OK",IF(SUMPRODUCT((nrInstrNames&lt;&gt;"")*ISNUMBER(SEARCH(nrInstrNames,$I804))*(COUNTIF(INDEX(nrBankGrid,IFERROR(MATCH($G804,nrBankTopics,0),1),0),nrInstrNames)&gt;0))&lt;SUMPRODUCT((nrInstrNames&lt;&gt;"")*ISNUMBER(SEARCH(nrInstrNames,$I804))),"NOT IN BANK","OK"))))</f>
        <v/>
      </c>
    </row>
    <row r="805">
      <c r="B805" s="18" t="n"/>
      <c r="C805" s="17">
        <f>IF($B805="","",TEXT($B805,"ddd"))</f>
        <v/>
      </c>
      <c r="D805" s="41" t="n"/>
      <c r="E805" s="41" t="n"/>
      <c r="F805" s="17">
        <f>IF(OR($B805="",$D805="",$E805=""),"",ROUND(MOD($E805-$D805,1)*24,2))</f>
        <v/>
      </c>
      <c r="G805" s="16" t="n"/>
      <c r="H805" s="17">
        <f>IF($G805="","",IFERROR(_xlfn.XLOOKUP($G805,nrCHname,nrCHnum),IFERROR(_xlfn.XLOOKUP($G805,nrSUBname,nrSUBparent),"")))</f>
        <v/>
      </c>
      <c r="I805" s="16" t="n"/>
      <c r="J805" s="16" t="n"/>
      <c r="K805" s="17">
        <f>IF($B805="","",IFERROR(_xlfn.XLOOKUP($B805,nrCDdate,nrCDweek),""))</f>
        <v/>
      </c>
      <c r="L805" s="17">
        <f>IF($B805="","",IFERROR(_xlfn.XLOOKUP($B805,nrCDdate,nrCDnum),""))</f>
        <v/>
      </c>
      <c r="M805" s="16" t="n"/>
      <c r="N805" s="17">
        <f>IF(OR($B805="",$I805=""),"",_xlfn.LET(_xlpm.a,$I805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05" s="17">
        <f>IF(OR($B805="",$D805="",$E805=""),"",IF($E805=$D805,"CHECK TIMES (start = end)",IF($F805&gt;12,"CHECK TIMES (End is before Start?)","OK")))</f>
        <v/>
      </c>
      <c r="P805" s="17">
        <f>IF(OR($B805="",$I805=""),"",IF(IFERROR(MATCH($G805,nrBankTopics,0),0)=0,"OK",IF(COUNTA(INDEX(nrBankGrid,IFERROR(MATCH($G805,nrBankTopics,0),1),0))=0,"OK",IF(SUMPRODUCT((nrInstrNames&lt;&gt;"")*ISNUMBER(SEARCH(nrInstrNames,$I805))*(COUNTIF(INDEX(nrBankGrid,IFERROR(MATCH($G805,nrBankTopics,0),1),0),nrInstrNames)&gt;0))&lt;SUMPRODUCT((nrInstrNames&lt;&gt;"")*ISNUMBER(SEARCH(nrInstrNames,$I805))),"NOT IN BANK","OK"))))</f>
        <v/>
      </c>
    </row>
    <row r="806">
      <c r="B806" s="18" t="n"/>
      <c r="C806" s="17">
        <f>IF($B806="","",TEXT($B806,"ddd"))</f>
        <v/>
      </c>
      <c r="D806" s="41" t="n"/>
      <c r="E806" s="41" t="n"/>
      <c r="F806" s="17">
        <f>IF(OR($B806="",$D806="",$E806=""),"",ROUND(MOD($E806-$D806,1)*24,2))</f>
        <v/>
      </c>
      <c r="G806" s="16" t="n"/>
      <c r="H806" s="17">
        <f>IF($G806="","",IFERROR(_xlfn.XLOOKUP($G806,nrCHname,nrCHnum),IFERROR(_xlfn.XLOOKUP($G806,nrSUBname,nrSUBparent),"")))</f>
        <v/>
      </c>
      <c r="I806" s="16" t="n"/>
      <c r="J806" s="16" t="n"/>
      <c r="K806" s="17">
        <f>IF($B806="","",IFERROR(_xlfn.XLOOKUP($B806,nrCDdate,nrCDweek),""))</f>
        <v/>
      </c>
      <c r="L806" s="17">
        <f>IF($B806="","",IFERROR(_xlfn.XLOOKUP($B806,nrCDdate,nrCDnum),""))</f>
        <v/>
      </c>
      <c r="M806" s="16" t="n"/>
      <c r="N806" s="17">
        <f>IF(OR($B806="",$I806=""),"",_xlfn.LET(_xlpm.a,$I806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06" s="17">
        <f>IF(OR($B806="",$D806="",$E806=""),"",IF($E806=$D806,"CHECK TIMES (start = end)",IF($F806&gt;12,"CHECK TIMES (End is before Start?)","OK")))</f>
        <v/>
      </c>
      <c r="P806" s="17">
        <f>IF(OR($B806="",$I806=""),"",IF(IFERROR(MATCH($G806,nrBankTopics,0),0)=0,"OK",IF(COUNTA(INDEX(nrBankGrid,IFERROR(MATCH($G806,nrBankTopics,0),1),0))=0,"OK",IF(SUMPRODUCT((nrInstrNames&lt;&gt;"")*ISNUMBER(SEARCH(nrInstrNames,$I806))*(COUNTIF(INDEX(nrBankGrid,IFERROR(MATCH($G806,nrBankTopics,0),1),0),nrInstrNames)&gt;0))&lt;SUMPRODUCT((nrInstrNames&lt;&gt;"")*ISNUMBER(SEARCH(nrInstrNames,$I806))),"NOT IN BANK","OK"))))</f>
        <v/>
      </c>
    </row>
    <row r="807">
      <c r="B807" s="18" t="n"/>
      <c r="C807" s="17">
        <f>IF($B807="","",TEXT($B807,"ddd"))</f>
        <v/>
      </c>
      <c r="D807" s="41" t="n"/>
      <c r="E807" s="41" t="n"/>
      <c r="F807" s="17">
        <f>IF(OR($B807="",$D807="",$E807=""),"",ROUND(MOD($E807-$D807,1)*24,2))</f>
        <v/>
      </c>
      <c r="G807" s="16" t="n"/>
      <c r="H807" s="17">
        <f>IF($G807="","",IFERROR(_xlfn.XLOOKUP($G807,nrCHname,nrCHnum),IFERROR(_xlfn.XLOOKUP($G807,nrSUBname,nrSUBparent),"")))</f>
        <v/>
      </c>
      <c r="I807" s="16" t="n"/>
      <c r="J807" s="16" t="n"/>
      <c r="K807" s="17">
        <f>IF($B807="","",IFERROR(_xlfn.XLOOKUP($B807,nrCDdate,nrCDweek),""))</f>
        <v/>
      </c>
      <c r="L807" s="17">
        <f>IF($B807="","",IFERROR(_xlfn.XLOOKUP($B807,nrCDdate,nrCDnum),""))</f>
        <v/>
      </c>
      <c r="M807" s="16" t="n"/>
      <c r="N807" s="17">
        <f>IF(OR($B807="",$I807=""),"",_xlfn.LET(_xlpm.a,$I807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07" s="17">
        <f>IF(OR($B807="",$D807="",$E807=""),"",IF($E807=$D807,"CHECK TIMES (start = end)",IF($F807&gt;12,"CHECK TIMES (End is before Start?)","OK")))</f>
        <v/>
      </c>
      <c r="P807" s="17">
        <f>IF(OR($B807="",$I807=""),"",IF(IFERROR(MATCH($G807,nrBankTopics,0),0)=0,"OK",IF(COUNTA(INDEX(nrBankGrid,IFERROR(MATCH($G807,nrBankTopics,0),1),0))=0,"OK",IF(SUMPRODUCT((nrInstrNames&lt;&gt;"")*ISNUMBER(SEARCH(nrInstrNames,$I807))*(COUNTIF(INDEX(nrBankGrid,IFERROR(MATCH($G807,nrBankTopics,0),1),0),nrInstrNames)&gt;0))&lt;SUMPRODUCT((nrInstrNames&lt;&gt;"")*ISNUMBER(SEARCH(nrInstrNames,$I807))),"NOT IN BANK","OK"))))</f>
        <v/>
      </c>
    </row>
    <row r="808">
      <c r="B808" s="18" t="n"/>
      <c r="C808" s="17">
        <f>IF($B808="","",TEXT($B808,"ddd"))</f>
        <v/>
      </c>
      <c r="D808" s="41" t="n"/>
      <c r="E808" s="41" t="n"/>
      <c r="F808" s="17">
        <f>IF(OR($B808="",$D808="",$E808=""),"",ROUND(MOD($E808-$D808,1)*24,2))</f>
        <v/>
      </c>
      <c r="G808" s="16" t="n"/>
      <c r="H808" s="17">
        <f>IF($G808="","",IFERROR(_xlfn.XLOOKUP($G808,nrCHname,nrCHnum),IFERROR(_xlfn.XLOOKUP($G808,nrSUBname,nrSUBparent),"")))</f>
        <v/>
      </c>
      <c r="I808" s="16" t="n"/>
      <c r="J808" s="16" t="n"/>
      <c r="K808" s="17">
        <f>IF($B808="","",IFERROR(_xlfn.XLOOKUP($B808,nrCDdate,nrCDweek),""))</f>
        <v/>
      </c>
      <c r="L808" s="17">
        <f>IF($B808="","",IFERROR(_xlfn.XLOOKUP($B808,nrCDdate,nrCDnum),""))</f>
        <v/>
      </c>
      <c r="M808" s="16" t="n"/>
      <c r="N808" s="17">
        <f>IF(OR($B808="",$I808=""),"",_xlfn.LET(_xlpm.a,$I808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08" s="17">
        <f>IF(OR($B808="",$D808="",$E808=""),"",IF($E808=$D808,"CHECK TIMES (start = end)",IF($F808&gt;12,"CHECK TIMES (End is before Start?)","OK")))</f>
        <v/>
      </c>
      <c r="P808" s="17">
        <f>IF(OR($B808="",$I808=""),"",IF(IFERROR(MATCH($G808,nrBankTopics,0),0)=0,"OK",IF(COUNTA(INDEX(nrBankGrid,IFERROR(MATCH($G808,nrBankTopics,0),1),0))=0,"OK",IF(SUMPRODUCT((nrInstrNames&lt;&gt;"")*ISNUMBER(SEARCH(nrInstrNames,$I808))*(COUNTIF(INDEX(nrBankGrid,IFERROR(MATCH($G808,nrBankTopics,0),1),0),nrInstrNames)&gt;0))&lt;SUMPRODUCT((nrInstrNames&lt;&gt;"")*ISNUMBER(SEARCH(nrInstrNames,$I808))),"NOT IN BANK","OK"))))</f>
        <v/>
      </c>
    </row>
    <row r="809">
      <c r="B809" s="18" t="n"/>
      <c r="C809" s="17">
        <f>IF($B809="","",TEXT($B809,"ddd"))</f>
        <v/>
      </c>
      <c r="D809" s="41" t="n"/>
      <c r="E809" s="41" t="n"/>
      <c r="F809" s="17">
        <f>IF(OR($B809="",$D809="",$E809=""),"",ROUND(MOD($E809-$D809,1)*24,2))</f>
        <v/>
      </c>
      <c r="G809" s="16" t="n"/>
      <c r="H809" s="17">
        <f>IF($G809="","",IFERROR(_xlfn.XLOOKUP($G809,nrCHname,nrCHnum),IFERROR(_xlfn.XLOOKUP($G809,nrSUBname,nrSUBparent),"")))</f>
        <v/>
      </c>
      <c r="I809" s="16" t="n"/>
      <c r="J809" s="16" t="n"/>
      <c r="K809" s="17">
        <f>IF($B809="","",IFERROR(_xlfn.XLOOKUP($B809,nrCDdate,nrCDweek),""))</f>
        <v/>
      </c>
      <c r="L809" s="17">
        <f>IF($B809="","",IFERROR(_xlfn.XLOOKUP($B809,nrCDdate,nrCDnum),""))</f>
        <v/>
      </c>
      <c r="M809" s="16" t="n"/>
      <c r="N809" s="17">
        <f>IF(OR($B809="",$I809=""),"",_xlfn.LET(_xlpm.a,$I809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09" s="17">
        <f>IF(OR($B809="",$D809="",$E809=""),"",IF($E809=$D809,"CHECK TIMES (start = end)",IF($F809&gt;12,"CHECK TIMES (End is before Start?)","OK")))</f>
        <v/>
      </c>
      <c r="P809" s="17">
        <f>IF(OR($B809="",$I809=""),"",IF(IFERROR(MATCH($G809,nrBankTopics,0),0)=0,"OK",IF(COUNTA(INDEX(nrBankGrid,IFERROR(MATCH($G809,nrBankTopics,0),1),0))=0,"OK",IF(SUMPRODUCT((nrInstrNames&lt;&gt;"")*ISNUMBER(SEARCH(nrInstrNames,$I809))*(COUNTIF(INDEX(nrBankGrid,IFERROR(MATCH($G809,nrBankTopics,0),1),0),nrInstrNames)&gt;0))&lt;SUMPRODUCT((nrInstrNames&lt;&gt;"")*ISNUMBER(SEARCH(nrInstrNames,$I809))),"NOT IN BANK","OK"))))</f>
        <v/>
      </c>
    </row>
    <row r="810">
      <c r="B810" s="18" t="n"/>
      <c r="C810" s="17">
        <f>IF($B810="","",TEXT($B810,"ddd"))</f>
        <v/>
      </c>
      <c r="D810" s="41" t="n"/>
      <c r="E810" s="41" t="n"/>
      <c r="F810" s="17">
        <f>IF(OR($B810="",$D810="",$E810=""),"",ROUND(MOD($E810-$D810,1)*24,2))</f>
        <v/>
      </c>
      <c r="G810" s="16" t="n"/>
      <c r="H810" s="17">
        <f>IF($G810="","",IFERROR(_xlfn.XLOOKUP($G810,nrCHname,nrCHnum),IFERROR(_xlfn.XLOOKUP($G810,nrSUBname,nrSUBparent),"")))</f>
        <v/>
      </c>
      <c r="I810" s="16" t="n"/>
      <c r="J810" s="16" t="n"/>
      <c r="K810" s="17">
        <f>IF($B810="","",IFERROR(_xlfn.XLOOKUP($B810,nrCDdate,nrCDweek),""))</f>
        <v/>
      </c>
      <c r="L810" s="17">
        <f>IF($B810="","",IFERROR(_xlfn.XLOOKUP($B810,nrCDdate,nrCDnum),""))</f>
        <v/>
      </c>
      <c r="M810" s="16" t="n"/>
      <c r="N810" s="17">
        <f>IF(OR($B810="",$I810=""),"",_xlfn.LET(_xlpm.a,$I810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10" s="17">
        <f>IF(OR($B810="",$D810="",$E810=""),"",IF($E810=$D810,"CHECK TIMES (start = end)",IF($F810&gt;12,"CHECK TIMES (End is before Start?)","OK")))</f>
        <v/>
      </c>
      <c r="P810" s="17">
        <f>IF(OR($B810="",$I810=""),"",IF(IFERROR(MATCH($G810,nrBankTopics,0),0)=0,"OK",IF(COUNTA(INDEX(nrBankGrid,IFERROR(MATCH($G810,nrBankTopics,0),1),0))=0,"OK",IF(SUMPRODUCT((nrInstrNames&lt;&gt;"")*ISNUMBER(SEARCH(nrInstrNames,$I810))*(COUNTIF(INDEX(nrBankGrid,IFERROR(MATCH($G810,nrBankTopics,0),1),0),nrInstrNames)&gt;0))&lt;SUMPRODUCT((nrInstrNames&lt;&gt;"")*ISNUMBER(SEARCH(nrInstrNames,$I810))),"NOT IN BANK","OK"))))</f>
        <v/>
      </c>
    </row>
    <row r="811">
      <c r="B811" s="18" t="n"/>
      <c r="C811" s="17">
        <f>IF($B811="","",TEXT($B811,"ddd"))</f>
        <v/>
      </c>
      <c r="D811" s="41" t="n"/>
      <c r="E811" s="41" t="n"/>
      <c r="F811" s="17">
        <f>IF(OR($B811="",$D811="",$E811=""),"",ROUND(MOD($E811-$D811,1)*24,2))</f>
        <v/>
      </c>
      <c r="G811" s="16" t="n"/>
      <c r="H811" s="17">
        <f>IF($G811="","",IFERROR(_xlfn.XLOOKUP($G811,nrCHname,nrCHnum),IFERROR(_xlfn.XLOOKUP($G811,nrSUBname,nrSUBparent),"")))</f>
        <v/>
      </c>
      <c r="I811" s="16" t="n"/>
      <c r="J811" s="16" t="n"/>
      <c r="K811" s="17">
        <f>IF($B811="","",IFERROR(_xlfn.XLOOKUP($B811,nrCDdate,nrCDweek),""))</f>
        <v/>
      </c>
      <c r="L811" s="17">
        <f>IF($B811="","",IFERROR(_xlfn.XLOOKUP($B811,nrCDdate,nrCDnum),""))</f>
        <v/>
      </c>
      <c r="M811" s="16" t="n"/>
      <c r="N811" s="17">
        <f>IF(OR($B811="",$I811=""),"",_xlfn.LET(_xlpm.a,$I811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11" s="17">
        <f>IF(OR($B811="",$D811="",$E811=""),"",IF($E811=$D811,"CHECK TIMES (start = end)",IF($F811&gt;12,"CHECK TIMES (End is before Start?)","OK")))</f>
        <v/>
      </c>
      <c r="P811" s="17">
        <f>IF(OR($B811="",$I811=""),"",IF(IFERROR(MATCH($G811,nrBankTopics,0),0)=0,"OK",IF(COUNTA(INDEX(nrBankGrid,IFERROR(MATCH($G811,nrBankTopics,0),1),0))=0,"OK",IF(SUMPRODUCT((nrInstrNames&lt;&gt;"")*ISNUMBER(SEARCH(nrInstrNames,$I811))*(COUNTIF(INDEX(nrBankGrid,IFERROR(MATCH($G811,nrBankTopics,0),1),0),nrInstrNames)&gt;0))&lt;SUMPRODUCT((nrInstrNames&lt;&gt;"")*ISNUMBER(SEARCH(nrInstrNames,$I811))),"NOT IN BANK","OK"))))</f>
        <v/>
      </c>
    </row>
    <row r="812">
      <c r="B812" s="18" t="n"/>
      <c r="C812" s="17">
        <f>IF($B812="","",TEXT($B812,"ddd"))</f>
        <v/>
      </c>
      <c r="D812" s="41" t="n"/>
      <c r="E812" s="41" t="n"/>
      <c r="F812" s="17">
        <f>IF(OR($B812="",$D812="",$E812=""),"",ROUND(MOD($E812-$D812,1)*24,2))</f>
        <v/>
      </c>
      <c r="G812" s="16" t="n"/>
      <c r="H812" s="17">
        <f>IF($G812="","",IFERROR(_xlfn.XLOOKUP($G812,nrCHname,nrCHnum),IFERROR(_xlfn.XLOOKUP($G812,nrSUBname,nrSUBparent),"")))</f>
        <v/>
      </c>
      <c r="I812" s="16" t="n"/>
      <c r="J812" s="16" t="n"/>
      <c r="K812" s="17">
        <f>IF($B812="","",IFERROR(_xlfn.XLOOKUP($B812,nrCDdate,nrCDweek),""))</f>
        <v/>
      </c>
      <c r="L812" s="17">
        <f>IF($B812="","",IFERROR(_xlfn.XLOOKUP($B812,nrCDdate,nrCDnum),""))</f>
        <v/>
      </c>
      <c r="M812" s="16" t="n"/>
      <c r="N812" s="17">
        <f>IF(OR($B812="",$I812=""),"",_xlfn.LET(_xlpm.a,$I812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12" s="17">
        <f>IF(OR($B812="",$D812="",$E812=""),"",IF($E812=$D812,"CHECK TIMES (start = end)",IF($F812&gt;12,"CHECK TIMES (End is before Start?)","OK")))</f>
        <v/>
      </c>
      <c r="P812" s="17">
        <f>IF(OR($B812="",$I812=""),"",IF(IFERROR(MATCH($G812,nrBankTopics,0),0)=0,"OK",IF(COUNTA(INDEX(nrBankGrid,IFERROR(MATCH($G812,nrBankTopics,0),1),0))=0,"OK",IF(SUMPRODUCT((nrInstrNames&lt;&gt;"")*ISNUMBER(SEARCH(nrInstrNames,$I812))*(COUNTIF(INDEX(nrBankGrid,IFERROR(MATCH($G812,nrBankTopics,0),1),0),nrInstrNames)&gt;0))&lt;SUMPRODUCT((nrInstrNames&lt;&gt;"")*ISNUMBER(SEARCH(nrInstrNames,$I812))),"NOT IN BANK","OK"))))</f>
        <v/>
      </c>
    </row>
    <row r="813">
      <c r="B813" s="18" t="n"/>
      <c r="C813" s="17">
        <f>IF($B813="","",TEXT($B813,"ddd"))</f>
        <v/>
      </c>
      <c r="D813" s="41" t="n"/>
      <c r="E813" s="41" t="n"/>
      <c r="F813" s="17">
        <f>IF(OR($B813="",$D813="",$E813=""),"",ROUND(MOD($E813-$D813,1)*24,2))</f>
        <v/>
      </c>
      <c r="G813" s="16" t="n"/>
      <c r="H813" s="17">
        <f>IF($G813="","",IFERROR(_xlfn.XLOOKUP($G813,nrCHname,nrCHnum),IFERROR(_xlfn.XLOOKUP($G813,nrSUBname,nrSUBparent),"")))</f>
        <v/>
      </c>
      <c r="I813" s="16" t="n"/>
      <c r="J813" s="16" t="n"/>
      <c r="K813" s="17">
        <f>IF($B813="","",IFERROR(_xlfn.XLOOKUP($B813,nrCDdate,nrCDweek),""))</f>
        <v/>
      </c>
      <c r="L813" s="17">
        <f>IF($B813="","",IFERROR(_xlfn.XLOOKUP($B813,nrCDdate,nrCDnum),""))</f>
        <v/>
      </c>
      <c r="M813" s="16" t="n"/>
      <c r="N813" s="17">
        <f>IF(OR($B813="",$I813=""),"",_xlfn.LET(_xlpm.a,$I813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13" s="17">
        <f>IF(OR($B813="",$D813="",$E813=""),"",IF($E813=$D813,"CHECK TIMES (start = end)",IF($F813&gt;12,"CHECK TIMES (End is before Start?)","OK")))</f>
        <v/>
      </c>
      <c r="P813" s="17">
        <f>IF(OR($B813="",$I813=""),"",IF(IFERROR(MATCH($G813,nrBankTopics,0),0)=0,"OK",IF(COUNTA(INDEX(nrBankGrid,IFERROR(MATCH($G813,nrBankTopics,0),1),0))=0,"OK",IF(SUMPRODUCT((nrInstrNames&lt;&gt;"")*ISNUMBER(SEARCH(nrInstrNames,$I813))*(COUNTIF(INDEX(nrBankGrid,IFERROR(MATCH($G813,nrBankTopics,0),1),0),nrInstrNames)&gt;0))&lt;SUMPRODUCT((nrInstrNames&lt;&gt;"")*ISNUMBER(SEARCH(nrInstrNames,$I813))),"NOT IN BANK","OK"))))</f>
        <v/>
      </c>
    </row>
    <row r="814">
      <c r="B814" s="18" t="n"/>
      <c r="C814" s="17">
        <f>IF($B814="","",TEXT($B814,"ddd"))</f>
        <v/>
      </c>
      <c r="D814" s="41" t="n"/>
      <c r="E814" s="41" t="n"/>
      <c r="F814" s="17">
        <f>IF(OR($B814="",$D814="",$E814=""),"",ROUND(MOD($E814-$D814,1)*24,2))</f>
        <v/>
      </c>
      <c r="G814" s="16" t="n"/>
      <c r="H814" s="17">
        <f>IF($G814="","",IFERROR(_xlfn.XLOOKUP($G814,nrCHname,nrCHnum),IFERROR(_xlfn.XLOOKUP($G814,nrSUBname,nrSUBparent),"")))</f>
        <v/>
      </c>
      <c r="I814" s="16" t="n"/>
      <c r="J814" s="16" t="n"/>
      <c r="K814" s="17">
        <f>IF($B814="","",IFERROR(_xlfn.XLOOKUP($B814,nrCDdate,nrCDweek),""))</f>
        <v/>
      </c>
      <c r="L814" s="17">
        <f>IF($B814="","",IFERROR(_xlfn.XLOOKUP($B814,nrCDdate,nrCDnum),""))</f>
        <v/>
      </c>
      <c r="M814" s="16" t="n"/>
      <c r="N814" s="17">
        <f>IF(OR($B814="",$I814=""),"",_xlfn.LET(_xlpm.a,$I814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14" s="17">
        <f>IF(OR($B814="",$D814="",$E814=""),"",IF($E814=$D814,"CHECK TIMES (start = end)",IF($F814&gt;12,"CHECK TIMES (End is before Start?)","OK")))</f>
        <v/>
      </c>
      <c r="P814" s="17">
        <f>IF(OR($B814="",$I814=""),"",IF(IFERROR(MATCH($G814,nrBankTopics,0),0)=0,"OK",IF(COUNTA(INDEX(nrBankGrid,IFERROR(MATCH($G814,nrBankTopics,0),1),0))=0,"OK",IF(SUMPRODUCT((nrInstrNames&lt;&gt;"")*ISNUMBER(SEARCH(nrInstrNames,$I814))*(COUNTIF(INDEX(nrBankGrid,IFERROR(MATCH($G814,nrBankTopics,0),1),0),nrInstrNames)&gt;0))&lt;SUMPRODUCT((nrInstrNames&lt;&gt;"")*ISNUMBER(SEARCH(nrInstrNames,$I814))),"NOT IN BANK","OK"))))</f>
        <v/>
      </c>
    </row>
    <row r="815">
      <c r="B815" s="18" t="n"/>
      <c r="C815" s="17">
        <f>IF($B815="","",TEXT($B815,"ddd"))</f>
        <v/>
      </c>
      <c r="D815" s="41" t="n"/>
      <c r="E815" s="41" t="n"/>
      <c r="F815" s="17">
        <f>IF(OR($B815="",$D815="",$E815=""),"",ROUND(MOD($E815-$D815,1)*24,2))</f>
        <v/>
      </c>
      <c r="G815" s="16" t="n"/>
      <c r="H815" s="17">
        <f>IF($G815="","",IFERROR(_xlfn.XLOOKUP($G815,nrCHname,nrCHnum),IFERROR(_xlfn.XLOOKUP($G815,nrSUBname,nrSUBparent),"")))</f>
        <v/>
      </c>
      <c r="I815" s="16" t="n"/>
      <c r="J815" s="16" t="n"/>
      <c r="K815" s="17">
        <f>IF($B815="","",IFERROR(_xlfn.XLOOKUP($B815,nrCDdate,nrCDweek),""))</f>
        <v/>
      </c>
      <c r="L815" s="17">
        <f>IF($B815="","",IFERROR(_xlfn.XLOOKUP($B815,nrCDdate,nrCDnum),""))</f>
        <v/>
      </c>
      <c r="M815" s="16" t="n"/>
      <c r="N815" s="17">
        <f>IF(OR($B815="",$I815=""),"",_xlfn.LET(_xlpm.a,$I815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15" s="17">
        <f>IF(OR($B815="",$D815="",$E815=""),"",IF($E815=$D815,"CHECK TIMES (start = end)",IF($F815&gt;12,"CHECK TIMES (End is before Start?)","OK")))</f>
        <v/>
      </c>
      <c r="P815" s="17">
        <f>IF(OR($B815="",$I815=""),"",IF(IFERROR(MATCH($G815,nrBankTopics,0),0)=0,"OK",IF(COUNTA(INDEX(nrBankGrid,IFERROR(MATCH($G815,nrBankTopics,0),1),0))=0,"OK",IF(SUMPRODUCT((nrInstrNames&lt;&gt;"")*ISNUMBER(SEARCH(nrInstrNames,$I815))*(COUNTIF(INDEX(nrBankGrid,IFERROR(MATCH($G815,nrBankTopics,0),1),0),nrInstrNames)&gt;0))&lt;SUMPRODUCT((nrInstrNames&lt;&gt;"")*ISNUMBER(SEARCH(nrInstrNames,$I815))),"NOT IN BANK","OK"))))</f>
        <v/>
      </c>
    </row>
    <row r="816">
      <c r="B816" s="18" t="n"/>
      <c r="C816" s="17">
        <f>IF($B816="","",TEXT($B816,"ddd"))</f>
        <v/>
      </c>
      <c r="D816" s="41" t="n"/>
      <c r="E816" s="41" t="n"/>
      <c r="F816" s="17">
        <f>IF(OR($B816="",$D816="",$E816=""),"",ROUND(MOD($E816-$D816,1)*24,2))</f>
        <v/>
      </c>
      <c r="G816" s="16" t="n"/>
      <c r="H816" s="17">
        <f>IF($G816="","",IFERROR(_xlfn.XLOOKUP($G816,nrCHname,nrCHnum),IFERROR(_xlfn.XLOOKUP($G816,nrSUBname,nrSUBparent),"")))</f>
        <v/>
      </c>
      <c r="I816" s="16" t="n"/>
      <c r="J816" s="16" t="n"/>
      <c r="K816" s="17">
        <f>IF($B816="","",IFERROR(_xlfn.XLOOKUP($B816,nrCDdate,nrCDweek),""))</f>
        <v/>
      </c>
      <c r="L816" s="17">
        <f>IF($B816="","",IFERROR(_xlfn.XLOOKUP($B816,nrCDdate,nrCDnum),""))</f>
        <v/>
      </c>
      <c r="M816" s="16" t="n"/>
      <c r="N816" s="17">
        <f>IF(OR($B816="",$I816=""),"",_xlfn.LET(_xlpm.a,$I816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16" s="17">
        <f>IF(OR($B816="",$D816="",$E816=""),"",IF($E816=$D816,"CHECK TIMES (start = end)",IF($F816&gt;12,"CHECK TIMES (End is before Start?)","OK")))</f>
        <v/>
      </c>
      <c r="P816" s="17">
        <f>IF(OR($B816="",$I816=""),"",IF(IFERROR(MATCH($G816,nrBankTopics,0),0)=0,"OK",IF(COUNTA(INDEX(nrBankGrid,IFERROR(MATCH($G816,nrBankTopics,0),1),0))=0,"OK",IF(SUMPRODUCT((nrInstrNames&lt;&gt;"")*ISNUMBER(SEARCH(nrInstrNames,$I816))*(COUNTIF(INDEX(nrBankGrid,IFERROR(MATCH($G816,nrBankTopics,0),1),0),nrInstrNames)&gt;0))&lt;SUMPRODUCT((nrInstrNames&lt;&gt;"")*ISNUMBER(SEARCH(nrInstrNames,$I816))),"NOT IN BANK","OK"))))</f>
        <v/>
      </c>
    </row>
    <row r="817">
      <c r="B817" s="18" t="n"/>
      <c r="C817" s="17">
        <f>IF($B817="","",TEXT($B817,"ddd"))</f>
        <v/>
      </c>
      <c r="D817" s="41" t="n"/>
      <c r="E817" s="41" t="n"/>
      <c r="F817" s="17">
        <f>IF(OR($B817="",$D817="",$E817=""),"",ROUND(MOD($E817-$D817,1)*24,2))</f>
        <v/>
      </c>
      <c r="G817" s="16" t="n"/>
      <c r="H817" s="17">
        <f>IF($G817="","",IFERROR(_xlfn.XLOOKUP($G817,nrCHname,nrCHnum),IFERROR(_xlfn.XLOOKUP($G817,nrSUBname,nrSUBparent),"")))</f>
        <v/>
      </c>
      <c r="I817" s="16" t="n"/>
      <c r="J817" s="16" t="n"/>
      <c r="K817" s="17">
        <f>IF($B817="","",IFERROR(_xlfn.XLOOKUP($B817,nrCDdate,nrCDweek),""))</f>
        <v/>
      </c>
      <c r="L817" s="17">
        <f>IF($B817="","",IFERROR(_xlfn.XLOOKUP($B817,nrCDdate,nrCDnum),""))</f>
        <v/>
      </c>
      <c r="M817" s="16" t="n"/>
      <c r="N817" s="17">
        <f>IF(OR($B817="",$I817=""),"",_xlfn.LET(_xlpm.a,$I817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17" s="17">
        <f>IF(OR($B817="",$D817="",$E817=""),"",IF($E817=$D817,"CHECK TIMES (start = end)",IF($F817&gt;12,"CHECK TIMES (End is before Start?)","OK")))</f>
        <v/>
      </c>
      <c r="P817" s="17">
        <f>IF(OR($B817="",$I817=""),"",IF(IFERROR(MATCH($G817,nrBankTopics,0),0)=0,"OK",IF(COUNTA(INDEX(nrBankGrid,IFERROR(MATCH($G817,nrBankTopics,0),1),0))=0,"OK",IF(SUMPRODUCT((nrInstrNames&lt;&gt;"")*ISNUMBER(SEARCH(nrInstrNames,$I817))*(COUNTIF(INDEX(nrBankGrid,IFERROR(MATCH($G817,nrBankTopics,0),1),0),nrInstrNames)&gt;0))&lt;SUMPRODUCT((nrInstrNames&lt;&gt;"")*ISNUMBER(SEARCH(nrInstrNames,$I817))),"NOT IN BANK","OK"))))</f>
        <v/>
      </c>
    </row>
    <row r="818">
      <c r="B818" s="18" t="n"/>
      <c r="C818" s="17">
        <f>IF($B818="","",TEXT($B818,"ddd"))</f>
        <v/>
      </c>
      <c r="D818" s="41" t="n"/>
      <c r="E818" s="41" t="n"/>
      <c r="F818" s="17">
        <f>IF(OR($B818="",$D818="",$E818=""),"",ROUND(MOD($E818-$D818,1)*24,2))</f>
        <v/>
      </c>
      <c r="G818" s="16" t="n"/>
      <c r="H818" s="17">
        <f>IF($G818="","",IFERROR(_xlfn.XLOOKUP($G818,nrCHname,nrCHnum),IFERROR(_xlfn.XLOOKUP($G818,nrSUBname,nrSUBparent),"")))</f>
        <v/>
      </c>
      <c r="I818" s="16" t="n"/>
      <c r="J818" s="16" t="n"/>
      <c r="K818" s="17">
        <f>IF($B818="","",IFERROR(_xlfn.XLOOKUP($B818,nrCDdate,nrCDweek),""))</f>
        <v/>
      </c>
      <c r="L818" s="17">
        <f>IF($B818="","",IFERROR(_xlfn.XLOOKUP($B818,nrCDdate,nrCDnum),""))</f>
        <v/>
      </c>
      <c r="M818" s="16" t="n"/>
      <c r="N818" s="17">
        <f>IF(OR($B818="",$I818=""),"",_xlfn.LET(_xlpm.a,$I818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18" s="17">
        <f>IF(OR($B818="",$D818="",$E818=""),"",IF($E818=$D818,"CHECK TIMES (start = end)",IF($F818&gt;12,"CHECK TIMES (End is before Start?)","OK")))</f>
        <v/>
      </c>
      <c r="P818" s="17">
        <f>IF(OR($B818="",$I818=""),"",IF(IFERROR(MATCH($G818,nrBankTopics,0),0)=0,"OK",IF(COUNTA(INDEX(nrBankGrid,IFERROR(MATCH($G818,nrBankTopics,0),1),0))=0,"OK",IF(SUMPRODUCT((nrInstrNames&lt;&gt;"")*ISNUMBER(SEARCH(nrInstrNames,$I818))*(COUNTIF(INDEX(nrBankGrid,IFERROR(MATCH($G818,nrBankTopics,0),1),0),nrInstrNames)&gt;0))&lt;SUMPRODUCT((nrInstrNames&lt;&gt;"")*ISNUMBER(SEARCH(nrInstrNames,$I818))),"NOT IN BANK","OK"))))</f>
        <v/>
      </c>
    </row>
    <row r="819">
      <c r="B819" s="18" t="n"/>
      <c r="C819" s="17">
        <f>IF($B819="","",TEXT($B819,"ddd"))</f>
        <v/>
      </c>
      <c r="D819" s="41" t="n"/>
      <c r="E819" s="41" t="n"/>
      <c r="F819" s="17">
        <f>IF(OR($B819="",$D819="",$E819=""),"",ROUND(MOD($E819-$D819,1)*24,2))</f>
        <v/>
      </c>
      <c r="G819" s="16" t="n"/>
      <c r="H819" s="17">
        <f>IF($G819="","",IFERROR(_xlfn.XLOOKUP($G819,nrCHname,nrCHnum),IFERROR(_xlfn.XLOOKUP($G819,nrSUBname,nrSUBparent),"")))</f>
        <v/>
      </c>
      <c r="I819" s="16" t="n"/>
      <c r="J819" s="16" t="n"/>
      <c r="K819" s="17">
        <f>IF($B819="","",IFERROR(_xlfn.XLOOKUP($B819,nrCDdate,nrCDweek),""))</f>
        <v/>
      </c>
      <c r="L819" s="17">
        <f>IF($B819="","",IFERROR(_xlfn.XLOOKUP($B819,nrCDdate,nrCDnum),""))</f>
        <v/>
      </c>
      <c r="M819" s="16" t="n"/>
      <c r="N819" s="17">
        <f>IF(OR($B819="",$I819=""),"",_xlfn.LET(_xlpm.a,$I819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19" s="17">
        <f>IF(OR($B819="",$D819="",$E819=""),"",IF($E819=$D819,"CHECK TIMES (start = end)",IF($F819&gt;12,"CHECK TIMES (End is before Start?)","OK")))</f>
        <v/>
      </c>
      <c r="P819" s="17">
        <f>IF(OR($B819="",$I819=""),"",IF(IFERROR(MATCH($G819,nrBankTopics,0),0)=0,"OK",IF(COUNTA(INDEX(nrBankGrid,IFERROR(MATCH($G819,nrBankTopics,0),1),0))=0,"OK",IF(SUMPRODUCT((nrInstrNames&lt;&gt;"")*ISNUMBER(SEARCH(nrInstrNames,$I819))*(COUNTIF(INDEX(nrBankGrid,IFERROR(MATCH($G819,nrBankTopics,0),1),0),nrInstrNames)&gt;0))&lt;SUMPRODUCT((nrInstrNames&lt;&gt;"")*ISNUMBER(SEARCH(nrInstrNames,$I819))),"NOT IN BANK","OK"))))</f>
        <v/>
      </c>
    </row>
    <row r="820">
      <c r="B820" s="18" t="n"/>
      <c r="C820" s="17">
        <f>IF($B820="","",TEXT($B820,"ddd"))</f>
        <v/>
      </c>
      <c r="D820" s="41" t="n"/>
      <c r="E820" s="41" t="n"/>
      <c r="F820" s="17">
        <f>IF(OR($B820="",$D820="",$E820=""),"",ROUND(MOD($E820-$D820,1)*24,2))</f>
        <v/>
      </c>
      <c r="G820" s="16" t="n"/>
      <c r="H820" s="17">
        <f>IF($G820="","",IFERROR(_xlfn.XLOOKUP($G820,nrCHname,nrCHnum),IFERROR(_xlfn.XLOOKUP($G820,nrSUBname,nrSUBparent),"")))</f>
        <v/>
      </c>
      <c r="I820" s="16" t="n"/>
      <c r="J820" s="16" t="n"/>
      <c r="K820" s="17">
        <f>IF($B820="","",IFERROR(_xlfn.XLOOKUP($B820,nrCDdate,nrCDweek),""))</f>
        <v/>
      </c>
      <c r="L820" s="17">
        <f>IF($B820="","",IFERROR(_xlfn.XLOOKUP($B820,nrCDdate,nrCDnum),""))</f>
        <v/>
      </c>
      <c r="M820" s="16" t="n"/>
      <c r="N820" s="17">
        <f>IF(OR($B820="",$I820=""),"",_xlfn.LET(_xlpm.a,$I820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20" s="17">
        <f>IF(OR($B820="",$D820="",$E820=""),"",IF($E820=$D820,"CHECK TIMES (start = end)",IF($F820&gt;12,"CHECK TIMES (End is before Start?)","OK")))</f>
        <v/>
      </c>
      <c r="P820" s="17">
        <f>IF(OR($B820="",$I820=""),"",IF(IFERROR(MATCH($G820,nrBankTopics,0),0)=0,"OK",IF(COUNTA(INDEX(nrBankGrid,IFERROR(MATCH($G820,nrBankTopics,0),1),0))=0,"OK",IF(SUMPRODUCT((nrInstrNames&lt;&gt;"")*ISNUMBER(SEARCH(nrInstrNames,$I820))*(COUNTIF(INDEX(nrBankGrid,IFERROR(MATCH($G820,nrBankTopics,0),1),0),nrInstrNames)&gt;0))&lt;SUMPRODUCT((nrInstrNames&lt;&gt;"")*ISNUMBER(SEARCH(nrInstrNames,$I820))),"NOT IN BANK","OK"))))</f>
        <v/>
      </c>
    </row>
    <row r="821">
      <c r="B821" s="18" t="n"/>
      <c r="C821" s="17">
        <f>IF($B821="","",TEXT($B821,"ddd"))</f>
        <v/>
      </c>
      <c r="D821" s="41" t="n"/>
      <c r="E821" s="41" t="n"/>
      <c r="F821" s="17">
        <f>IF(OR($B821="",$D821="",$E821=""),"",ROUND(MOD($E821-$D821,1)*24,2))</f>
        <v/>
      </c>
      <c r="G821" s="16" t="n"/>
      <c r="H821" s="17">
        <f>IF($G821="","",IFERROR(_xlfn.XLOOKUP($G821,nrCHname,nrCHnum),IFERROR(_xlfn.XLOOKUP($G821,nrSUBname,nrSUBparent),"")))</f>
        <v/>
      </c>
      <c r="I821" s="16" t="n"/>
      <c r="J821" s="16" t="n"/>
      <c r="K821" s="17">
        <f>IF($B821="","",IFERROR(_xlfn.XLOOKUP($B821,nrCDdate,nrCDweek),""))</f>
        <v/>
      </c>
      <c r="L821" s="17">
        <f>IF($B821="","",IFERROR(_xlfn.XLOOKUP($B821,nrCDdate,nrCDnum),""))</f>
        <v/>
      </c>
      <c r="M821" s="16" t="n"/>
      <c r="N821" s="17">
        <f>IF(OR($B821="",$I821=""),"",_xlfn.LET(_xlpm.a,$I821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21" s="17">
        <f>IF(OR($B821="",$D821="",$E821=""),"",IF($E821=$D821,"CHECK TIMES (start = end)",IF($F821&gt;12,"CHECK TIMES (End is before Start?)","OK")))</f>
        <v/>
      </c>
      <c r="P821" s="17">
        <f>IF(OR($B821="",$I821=""),"",IF(IFERROR(MATCH($G821,nrBankTopics,0),0)=0,"OK",IF(COUNTA(INDEX(nrBankGrid,IFERROR(MATCH($G821,nrBankTopics,0),1),0))=0,"OK",IF(SUMPRODUCT((nrInstrNames&lt;&gt;"")*ISNUMBER(SEARCH(nrInstrNames,$I821))*(COUNTIF(INDEX(nrBankGrid,IFERROR(MATCH($G821,nrBankTopics,0),1),0),nrInstrNames)&gt;0))&lt;SUMPRODUCT((nrInstrNames&lt;&gt;"")*ISNUMBER(SEARCH(nrInstrNames,$I821))),"NOT IN BANK","OK"))))</f>
        <v/>
      </c>
    </row>
    <row r="822">
      <c r="B822" s="18" t="n"/>
      <c r="C822" s="17">
        <f>IF($B822="","",TEXT($B822,"ddd"))</f>
        <v/>
      </c>
      <c r="D822" s="41" t="n"/>
      <c r="E822" s="41" t="n"/>
      <c r="F822" s="17">
        <f>IF(OR($B822="",$D822="",$E822=""),"",ROUND(MOD($E822-$D822,1)*24,2))</f>
        <v/>
      </c>
      <c r="G822" s="16" t="n"/>
      <c r="H822" s="17">
        <f>IF($G822="","",IFERROR(_xlfn.XLOOKUP($G822,nrCHname,nrCHnum),IFERROR(_xlfn.XLOOKUP($G822,nrSUBname,nrSUBparent),"")))</f>
        <v/>
      </c>
      <c r="I822" s="16" t="n"/>
      <c r="J822" s="16" t="n"/>
      <c r="K822" s="17">
        <f>IF($B822="","",IFERROR(_xlfn.XLOOKUP($B822,nrCDdate,nrCDweek),""))</f>
        <v/>
      </c>
      <c r="L822" s="17">
        <f>IF($B822="","",IFERROR(_xlfn.XLOOKUP($B822,nrCDdate,nrCDnum),""))</f>
        <v/>
      </c>
      <c r="M822" s="16" t="n"/>
      <c r="N822" s="17">
        <f>IF(OR($B822="",$I822=""),"",_xlfn.LET(_xlpm.a,$I822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22" s="17">
        <f>IF(OR($B822="",$D822="",$E822=""),"",IF($E822=$D822,"CHECK TIMES (start = end)",IF($F822&gt;12,"CHECK TIMES (End is before Start?)","OK")))</f>
        <v/>
      </c>
      <c r="P822" s="17">
        <f>IF(OR($B822="",$I822=""),"",IF(IFERROR(MATCH($G822,nrBankTopics,0),0)=0,"OK",IF(COUNTA(INDEX(nrBankGrid,IFERROR(MATCH($G822,nrBankTopics,0),1),0))=0,"OK",IF(SUMPRODUCT((nrInstrNames&lt;&gt;"")*ISNUMBER(SEARCH(nrInstrNames,$I822))*(COUNTIF(INDEX(nrBankGrid,IFERROR(MATCH($G822,nrBankTopics,0),1),0),nrInstrNames)&gt;0))&lt;SUMPRODUCT((nrInstrNames&lt;&gt;"")*ISNUMBER(SEARCH(nrInstrNames,$I822))),"NOT IN BANK","OK"))))</f>
        <v/>
      </c>
    </row>
    <row r="823">
      <c r="B823" s="18" t="n"/>
      <c r="C823" s="17">
        <f>IF($B823="","",TEXT($B823,"ddd"))</f>
        <v/>
      </c>
      <c r="D823" s="41" t="n"/>
      <c r="E823" s="41" t="n"/>
      <c r="F823" s="17">
        <f>IF(OR($B823="",$D823="",$E823=""),"",ROUND(MOD($E823-$D823,1)*24,2))</f>
        <v/>
      </c>
      <c r="G823" s="16" t="n"/>
      <c r="H823" s="17">
        <f>IF($G823="","",IFERROR(_xlfn.XLOOKUP($G823,nrCHname,nrCHnum),IFERROR(_xlfn.XLOOKUP($G823,nrSUBname,nrSUBparent),"")))</f>
        <v/>
      </c>
      <c r="I823" s="16" t="n"/>
      <c r="J823" s="16" t="n"/>
      <c r="K823" s="17">
        <f>IF($B823="","",IFERROR(_xlfn.XLOOKUP($B823,nrCDdate,nrCDweek),""))</f>
        <v/>
      </c>
      <c r="L823" s="17">
        <f>IF($B823="","",IFERROR(_xlfn.XLOOKUP($B823,nrCDdate,nrCDnum),""))</f>
        <v/>
      </c>
      <c r="M823" s="16" t="n"/>
      <c r="N823" s="17">
        <f>IF(OR($B823="",$I823=""),"",_xlfn.LET(_xlpm.a,$I823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23" s="17">
        <f>IF(OR($B823="",$D823="",$E823=""),"",IF($E823=$D823,"CHECK TIMES (start = end)",IF($F823&gt;12,"CHECK TIMES (End is before Start?)","OK")))</f>
        <v/>
      </c>
      <c r="P823" s="17">
        <f>IF(OR($B823="",$I823=""),"",IF(IFERROR(MATCH($G823,nrBankTopics,0),0)=0,"OK",IF(COUNTA(INDEX(nrBankGrid,IFERROR(MATCH($G823,nrBankTopics,0),1),0))=0,"OK",IF(SUMPRODUCT((nrInstrNames&lt;&gt;"")*ISNUMBER(SEARCH(nrInstrNames,$I823))*(COUNTIF(INDEX(nrBankGrid,IFERROR(MATCH($G823,nrBankTopics,0),1),0),nrInstrNames)&gt;0))&lt;SUMPRODUCT((nrInstrNames&lt;&gt;"")*ISNUMBER(SEARCH(nrInstrNames,$I823))),"NOT IN BANK","OK"))))</f>
        <v/>
      </c>
    </row>
    <row r="824">
      <c r="B824" s="18" t="n"/>
      <c r="C824" s="17">
        <f>IF($B824="","",TEXT($B824,"ddd"))</f>
        <v/>
      </c>
      <c r="D824" s="41" t="n"/>
      <c r="E824" s="41" t="n"/>
      <c r="F824" s="17">
        <f>IF(OR($B824="",$D824="",$E824=""),"",ROUND(MOD($E824-$D824,1)*24,2))</f>
        <v/>
      </c>
      <c r="G824" s="16" t="n"/>
      <c r="H824" s="17">
        <f>IF($G824="","",IFERROR(_xlfn.XLOOKUP($G824,nrCHname,nrCHnum),IFERROR(_xlfn.XLOOKUP($G824,nrSUBname,nrSUBparent),"")))</f>
        <v/>
      </c>
      <c r="I824" s="16" t="n"/>
      <c r="J824" s="16" t="n"/>
      <c r="K824" s="17">
        <f>IF($B824="","",IFERROR(_xlfn.XLOOKUP($B824,nrCDdate,nrCDweek),""))</f>
        <v/>
      </c>
      <c r="L824" s="17">
        <f>IF($B824="","",IFERROR(_xlfn.XLOOKUP($B824,nrCDdate,nrCDnum),""))</f>
        <v/>
      </c>
      <c r="M824" s="16" t="n"/>
      <c r="N824" s="17">
        <f>IF(OR($B824="",$I824=""),"",_xlfn.LET(_xlpm.a,$I824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24" s="17">
        <f>IF(OR($B824="",$D824="",$E824=""),"",IF($E824=$D824,"CHECK TIMES (start = end)",IF($F824&gt;12,"CHECK TIMES (End is before Start?)","OK")))</f>
        <v/>
      </c>
      <c r="P824" s="17">
        <f>IF(OR($B824="",$I824=""),"",IF(IFERROR(MATCH($G824,nrBankTopics,0),0)=0,"OK",IF(COUNTA(INDEX(nrBankGrid,IFERROR(MATCH($G824,nrBankTopics,0),1),0))=0,"OK",IF(SUMPRODUCT((nrInstrNames&lt;&gt;"")*ISNUMBER(SEARCH(nrInstrNames,$I824))*(COUNTIF(INDEX(nrBankGrid,IFERROR(MATCH($G824,nrBankTopics,0),1),0),nrInstrNames)&gt;0))&lt;SUMPRODUCT((nrInstrNames&lt;&gt;"")*ISNUMBER(SEARCH(nrInstrNames,$I824))),"NOT IN BANK","OK"))))</f>
        <v/>
      </c>
    </row>
    <row r="825">
      <c r="B825" s="18" t="n"/>
      <c r="C825" s="17">
        <f>IF($B825="","",TEXT($B825,"ddd"))</f>
        <v/>
      </c>
      <c r="D825" s="41" t="n"/>
      <c r="E825" s="41" t="n"/>
      <c r="F825" s="17">
        <f>IF(OR($B825="",$D825="",$E825=""),"",ROUND(MOD($E825-$D825,1)*24,2))</f>
        <v/>
      </c>
      <c r="G825" s="16" t="n"/>
      <c r="H825" s="17">
        <f>IF($G825="","",IFERROR(_xlfn.XLOOKUP($G825,nrCHname,nrCHnum),IFERROR(_xlfn.XLOOKUP($G825,nrSUBname,nrSUBparent),"")))</f>
        <v/>
      </c>
      <c r="I825" s="16" t="n"/>
      <c r="J825" s="16" t="n"/>
      <c r="K825" s="17">
        <f>IF($B825="","",IFERROR(_xlfn.XLOOKUP($B825,nrCDdate,nrCDweek),""))</f>
        <v/>
      </c>
      <c r="L825" s="17">
        <f>IF($B825="","",IFERROR(_xlfn.XLOOKUP($B825,nrCDdate,nrCDnum),""))</f>
        <v/>
      </c>
      <c r="M825" s="16" t="n"/>
      <c r="N825" s="17">
        <f>IF(OR($B825="",$I825=""),"",_xlfn.LET(_xlpm.a,$I825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25" s="17">
        <f>IF(OR($B825="",$D825="",$E825=""),"",IF($E825=$D825,"CHECK TIMES (start = end)",IF($F825&gt;12,"CHECK TIMES (End is before Start?)","OK")))</f>
        <v/>
      </c>
      <c r="P825" s="17">
        <f>IF(OR($B825="",$I825=""),"",IF(IFERROR(MATCH($G825,nrBankTopics,0),0)=0,"OK",IF(COUNTA(INDEX(nrBankGrid,IFERROR(MATCH($G825,nrBankTopics,0),1),0))=0,"OK",IF(SUMPRODUCT((nrInstrNames&lt;&gt;"")*ISNUMBER(SEARCH(nrInstrNames,$I825))*(COUNTIF(INDEX(nrBankGrid,IFERROR(MATCH($G825,nrBankTopics,0),1),0),nrInstrNames)&gt;0))&lt;SUMPRODUCT((nrInstrNames&lt;&gt;"")*ISNUMBER(SEARCH(nrInstrNames,$I825))),"NOT IN BANK","OK"))))</f>
        <v/>
      </c>
    </row>
    <row r="826">
      <c r="B826" s="18" t="n"/>
      <c r="C826" s="17">
        <f>IF($B826="","",TEXT($B826,"ddd"))</f>
        <v/>
      </c>
      <c r="D826" s="41" t="n"/>
      <c r="E826" s="41" t="n"/>
      <c r="F826" s="17">
        <f>IF(OR($B826="",$D826="",$E826=""),"",ROUND(MOD($E826-$D826,1)*24,2))</f>
        <v/>
      </c>
      <c r="G826" s="16" t="n"/>
      <c r="H826" s="17">
        <f>IF($G826="","",IFERROR(_xlfn.XLOOKUP($G826,nrCHname,nrCHnum),IFERROR(_xlfn.XLOOKUP($G826,nrSUBname,nrSUBparent),"")))</f>
        <v/>
      </c>
      <c r="I826" s="16" t="n"/>
      <c r="J826" s="16" t="n"/>
      <c r="K826" s="17">
        <f>IF($B826="","",IFERROR(_xlfn.XLOOKUP($B826,nrCDdate,nrCDweek),""))</f>
        <v/>
      </c>
      <c r="L826" s="17">
        <f>IF($B826="","",IFERROR(_xlfn.XLOOKUP($B826,nrCDdate,nrCDnum),""))</f>
        <v/>
      </c>
      <c r="M826" s="16" t="n"/>
      <c r="N826" s="17">
        <f>IF(OR($B826="",$I826=""),"",_xlfn.LET(_xlpm.a,$I826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26" s="17">
        <f>IF(OR($B826="",$D826="",$E826=""),"",IF($E826=$D826,"CHECK TIMES (start = end)",IF($F826&gt;12,"CHECK TIMES (End is before Start?)","OK")))</f>
        <v/>
      </c>
      <c r="P826" s="17">
        <f>IF(OR($B826="",$I826=""),"",IF(IFERROR(MATCH($G826,nrBankTopics,0),0)=0,"OK",IF(COUNTA(INDEX(nrBankGrid,IFERROR(MATCH($G826,nrBankTopics,0),1),0))=0,"OK",IF(SUMPRODUCT((nrInstrNames&lt;&gt;"")*ISNUMBER(SEARCH(nrInstrNames,$I826))*(COUNTIF(INDEX(nrBankGrid,IFERROR(MATCH($G826,nrBankTopics,0),1),0),nrInstrNames)&gt;0))&lt;SUMPRODUCT((nrInstrNames&lt;&gt;"")*ISNUMBER(SEARCH(nrInstrNames,$I826))),"NOT IN BANK","OK"))))</f>
        <v/>
      </c>
    </row>
    <row r="827">
      <c r="B827" s="18" t="n"/>
      <c r="C827" s="17">
        <f>IF($B827="","",TEXT($B827,"ddd"))</f>
        <v/>
      </c>
      <c r="D827" s="41" t="n"/>
      <c r="E827" s="41" t="n"/>
      <c r="F827" s="17">
        <f>IF(OR($B827="",$D827="",$E827=""),"",ROUND(MOD($E827-$D827,1)*24,2))</f>
        <v/>
      </c>
      <c r="G827" s="16" t="n"/>
      <c r="H827" s="17">
        <f>IF($G827="","",IFERROR(_xlfn.XLOOKUP($G827,nrCHname,nrCHnum),IFERROR(_xlfn.XLOOKUP($G827,nrSUBname,nrSUBparent),"")))</f>
        <v/>
      </c>
      <c r="I827" s="16" t="n"/>
      <c r="J827" s="16" t="n"/>
      <c r="K827" s="17">
        <f>IF($B827="","",IFERROR(_xlfn.XLOOKUP($B827,nrCDdate,nrCDweek),""))</f>
        <v/>
      </c>
      <c r="L827" s="17">
        <f>IF($B827="","",IFERROR(_xlfn.XLOOKUP($B827,nrCDdate,nrCDnum),""))</f>
        <v/>
      </c>
      <c r="M827" s="16" t="n"/>
      <c r="N827" s="17">
        <f>IF(OR($B827="",$I827=""),"",_xlfn.LET(_xlpm.a,$I827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27" s="17">
        <f>IF(OR($B827="",$D827="",$E827=""),"",IF($E827=$D827,"CHECK TIMES (start = end)",IF($F827&gt;12,"CHECK TIMES (End is before Start?)","OK")))</f>
        <v/>
      </c>
      <c r="P827" s="17">
        <f>IF(OR($B827="",$I827=""),"",IF(IFERROR(MATCH($G827,nrBankTopics,0),0)=0,"OK",IF(COUNTA(INDEX(nrBankGrid,IFERROR(MATCH($G827,nrBankTopics,0),1),0))=0,"OK",IF(SUMPRODUCT((nrInstrNames&lt;&gt;"")*ISNUMBER(SEARCH(nrInstrNames,$I827))*(COUNTIF(INDEX(nrBankGrid,IFERROR(MATCH($G827,nrBankTopics,0),1),0),nrInstrNames)&gt;0))&lt;SUMPRODUCT((nrInstrNames&lt;&gt;"")*ISNUMBER(SEARCH(nrInstrNames,$I827))),"NOT IN BANK","OK"))))</f>
        <v/>
      </c>
    </row>
    <row r="828">
      <c r="B828" s="18" t="n"/>
      <c r="C828" s="17">
        <f>IF($B828="","",TEXT($B828,"ddd"))</f>
        <v/>
      </c>
      <c r="D828" s="41" t="n"/>
      <c r="E828" s="41" t="n"/>
      <c r="F828" s="17">
        <f>IF(OR($B828="",$D828="",$E828=""),"",ROUND(MOD($E828-$D828,1)*24,2))</f>
        <v/>
      </c>
      <c r="G828" s="16" t="n"/>
      <c r="H828" s="17">
        <f>IF($G828="","",IFERROR(_xlfn.XLOOKUP($G828,nrCHname,nrCHnum),IFERROR(_xlfn.XLOOKUP($G828,nrSUBname,nrSUBparent),"")))</f>
        <v/>
      </c>
      <c r="I828" s="16" t="n"/>
      <c r="J828" s="16" t="n"/>
      <c r="K828" s="17">
        <f>IF($B828="","",IFERROR(_xlfn.XLOOKUP($B828,nrCDdate,nrCDweek),""))</f>
        <v/>
      </c>
      <c r="L828" s="17">
        <f>IF($B828="","",IFERROR(_xlfn.XLOOKUP($B828,nrCDdate,nrCDnum),""))</f>
        <v/>
      </c>
      <c r="M828" s="16" t="n"/>
      <c r="N828" s="17">
        <f>IF(OR($B828="",$I828=""),"",_xlfn.LET(_xlpm.a,$I828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28" s="17">
        <f>IF(OR($B828="",$D828="",$E828=""),"",IF($E828=$D828,"CHECK TIMES (start = end)",IF($F828&gt;12,"CHECK TIMES (End is before Start?)","OK")))</f>
        <v/>
      </c>
      <c r="P828" s="17">
        <f>IF(OR($B828="",$I828=""),"",IF(IFERROR(MATCH($G828,nrBankTopics,0),0)=0,"OK",IF(COUNTA(INDEX(nrBankGrid,IFERROR(MATCH($G828,nrBankTopics,0),1),0))=0,"OK",IF(SUMPRODUCT((nrInstrNames&lt;&gt;"")*ISNUMBER(SEARCH(nrInstrNames,$I828))*(COUNTIF(INDEX(nrBankGrid,IFERROR(MATCH($G828,nrBankTopics,0),1),0),nrInstrNames)&gt;0))&lt;SUMPRODUCT((nrInstrNames&lt;&gt;"")*ISNUMBER(SEARCH(nrInstrNames,$I828))),"NOT IN BANK","OK"))))</f>
        <v/>
      </c>
    </row>
    <row r="829">
      <c r="B829" s="18" t="n"/>
      <c r="C829" s="17">
        <f>IF($B829="","",TEXT($B829,"ddd"))</f>
        <v/>
      </c>
      <c r="D829" s="41" t="n"/>
      <c r="E829" s="41" t="n"/>
      <c r="F829" s="17">
        <f>IF(OR($B829="",$D829="",$E829=""),"",ROUND(MOD($E829-$D829,1)*24,2))</f>
        <v/>
      </c>
      <c r="G829" s="16" t="n"/>
      <c r="H829" s="17">
        <f>IF($G829="","",IFERROR(_xlfn.XLOOKUP($G829,nrCHname,nrCHnum),IFERROR(_xlfn.XLOOKUP($G829,nrSUBname,nrSUBparent),"")))</f>
        <v/>
      </c>
      <c r="I829" s="16" t="n"/>
      <c r="J829" s="16" t="n"/>
      <c r="K829" s="17">
        <f>IF($B829="","",IFERROR(_xlfn.XLOOKUP($B829,nrCDdate,nrCDweek),""))</f>
        <v/>
      </c>
      <c r="L829" s="17">
        <f>IF($B829="","",IFERROR(_xlfn.XLOOKUP($B829,nrCDdate,nrCDnum),""))</f>
        <v/>
      </c>
      <c r="M829" s="16" t="n"/>
      <c r="N829" s="17">
        <f>IF(OR($B829="",$I829=""),"",_xlfn.LET(_xlpm.a,$I829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29" s="17">
        <f>IF(OR($B829="",$D829="",$E829=""),"",IF($E829=$D829,"CHECK TIMES (start = end)",IF($F829&gt;12,"CHECK TIMES (End is before Start?)","OK")))</f>
        <v/>
      </c>
      <c r="P829" s="17">
        <f>IF(OR($B829="",$I829=""),"",IF(IFERROR(MATCH($G829,nrBankTopics,0),0)=0,"OK",IF(COUNTA(INDEX(nrBankGrid,IFERROR(MATCH($G829,nrBankTopics,0),1),0))=0,"OK",IF(SUMPRODUCT((nrInstrNames&lt;&gt;"")*ISNUMBER(SEARCH(nrInstrNames,$I829))*(COUNTIF(INDEX(nrBankGrid,IFERROR(MATCH($G829,nrBankTopics,0),1),0),nrInstrNames)&gt;0))&lt;SUMPRODUCT((nrInstrNames&lt;&gt;"")*ISNUMBER(SEARCH(nrInstrNames,$I829))),"NOT IN BANK","OK"))))</f>
        <v/>
      </c>
    </row>
    <row r="830">
      <c r="B830" s="18" t="n"/>
      <c r="C830" s="17">
        <f>IF($B830="","",TEXT($B830,"ddd"))</f>
        <v/>
      </c>
      <c r="D830" s="41" t="n"/>
      <c r="E830" s="41" t="n"/>
      <c r="F830" s="17">
        <f>IF(OR($B830="",$D830="",$E830=""),"",ROUND(MOD($E830-$D830,1)*24,2))</f>
        <v/>
      </c>
      <c r="G830" s="16" t="n"/>
      <c r="H830" s="17">
        <f>IF($G830="","",IFERROR(_xlfn.XLOOKUP($G830,nrCHname,nrCHnum),IFERROR(_xlfn.XLOOKUP($G830,nrSUBname,nrSUBparent),"")))</f>
        <v/>
      </c>
      <c r="I830" s="16" t="n"/>
      <c r="J830" s="16" t="n"/>
      <c r="K830" s="17">
        <f>IF($B830="","",IFERROR(_xlfn.XLOOKUP($B830,nrCDdate,nrCDweek),""))</f>
        <v/>
      </c>
      <c r="L830" s="17">
        <f>IF($B830="","",IFERROR(_xlfn.XLOOKUP($B830,nrCDdate,nrCDnum),""))</f>
        <v/>
      </c>
      <c r="M830" s="16" t="n"/>
      <c r="N830" s="17">
        <f>IF(OR($B830="",$I830=""),"",_xlfn.LET(_xlpm.a,$I830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30" s="17">
        <f>IF(OR($B830="",$D830="",$E830=""),"",IF($E830=$D830,"CHECK TIMES (start = end)",IF($F830&gt;12,"CHECK TIMES (End is before Start?)","OK")))</f>
        <v/>
      </c>
      <c r="P830" s="17">
        <f>IF(OR($B830="",$I830=""),"",IF(IFERROR(MATCH($G830,nrBankTopics,0),0)=0,"OK",IF(COUNTA(INDEX(nrBankGrid,IFERROR(MATCH($G830,nrBankTopics,0),1),0))=0,"OK",IF(SUMPRODUCT((nrInstrNames&lt;&gt;"")*ISNUMBER(SEARCH(nrInstrNames,$I830))*(COUNTIF(INDEX(nrBankGrid,IFERROR(MATCH($G830,nrBankTopics,0),1),0),nrInstrNames)&gt;0))&lt;SUMPRODUCT((nrInstrNames&lt;&gt;"")*ISNUMBER(SEARCH(nrInstrNames,$I830))),"NOT IN BANK","OK"))))</f>
        <v/>
      </c>
    </row>
    <row r="831">
      <c r="B831" s="18" t="n"/>
      <c r="C831" s="17">
        <f>IF($B831="","",TEXT($B831,"ddd"))</f>
        <v/>
      </c>
      <c r="D831" s="41" t="n"/>
      <c r="E831" s="41" t="n"/>
      <c r="F831" s="17">
        <f>IF(OR($B831="",$D831="",$E831=""),"",ROUND(MOD($E831-$D831,1)*24,2))</f>
        <v/>
      </c>
      <c r="G831" s="16" t="n"/>
      <c r="H831" s="17">
        <f>IF($G831="","",IFERROR(_xlfn.XLOOKUP($G831,nrCHname,nrCHnum),IFERROR(_xlfn.XLOOKUP($G831,nrSUBname,nrSUBparent),"")))</f>
        <v/>
      </c>
      <c r="I831" s="16" t="n"/>
      <c r="J831" s="16" t="n"/>
      <c r="K831" s="17">
        <f>IF($B831="","",IFERROR(_xlfn.XLOOKUP($B831,nrCDdate,nrCDweek),""))</f>
        <v/>
      </c>
      <c r="L831" s="17">
        <f>IF($B831="","",IFERROR(_xlfn.XLOOKUP($B831,nrCDdate,nrCDnum),""))</f>
        <v/>
      </c>
      <c r="M831" s="16" t="n"/>
      <c r="N831" s="17">
        <f>IF(OR($B831="",$I831=""),"",_xlfn.LET(_xlpm.a,$I831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31" s="17">
        <f>IF(OR($B831="",$D831="",$E831=""),"",IF($E831=$D831,"CHECK TIMES (start = end)",IF($F831&gt;12,"CHECK TIMES (End is before Start?)","OK")))</f>
        <v/>
      </c>
      <c r="P831" s="17">
        <f>IF(OR($B831="",$I831=""),"",IF(IFERROR(MATCH($G831,nrBankTopics,0),0)=0,"OK",IF(COUNTA(INDEX(nrBankGrid,IFERROR(MATCH($G831,nrBankTopics,0),1),0))=0,"OK",IF(SUMPRODUCT((nrInstrNames&lt;&gt;"")*ISNUMBER(SEARCH(nrInstrNames,$I831))*(COUNTIF(INDEX(nrBankGrid,IFERROR(MATCH($G831,nrBankTopics,0),1),0),nrInstrNames)&gt;0))&lt;SUMPRODUCT((nrInstrNames&lt;&gt;"")*ISNUMBER(SEARCH(nrInstrNames,$I831))),"NOT IN BANK","OK"))))</f>
        <v/>
      </c>
    </row>
    <row r="832">
      <c r="B832" s="18" t="n"/>
      <c r="C832" s="17">
        <f>IF($B832="","",TEXT($B832,"ddd"))</f>
        <v/>
      </c>
      <c r="D832" s="41" t="n"/>
      <c r="E832" s="41" t="n"/>
      <c r="F832" s="17">
        <f>IF(OR($B832="",$D832="",$E832=""),"",ROUND(MOD($E832-$D832,1)*24,2))</f>
        <v/>
      </c>
      <c r="G832" s="16" t="n"/>
      <c r="H832" s="17">
        <f>IF($G832="","",IFERROR(_xlfn.XLOOKUP($G832,nrCHname,nrCHnum),IFERROR(_xlfn.XLOOKUP($G832,nrSUBname,nrSUBparent),"")))</f>
        <v/>
      </c>
      <c r="I832" s="16" t="n"/>
      <c r="J832" s="16" t="n"/>
      <c r="K832" s="17">
        <f>IF($B832="","",IFERROR(_xlfn.XLOOKUP($B832,nrCDdate,nrCDweek),""))</f>
        <v/>
      </c>
      <c r="L832" s="17">
        <f>IF($B832="","",IFERROR(_xlfn.XLOOKUP($B832,nrCDdate,nrCDnum),""))</f>
        <v/>
      </c>
      <c r="M832" s="16" t="n"/>
      <c r="N832" s="17">
        <f>IF(OR($B832="",$I832=""),"",_xlfn.LET(_xlpm.a,$I832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32" s="17">
        <f>IF(OR($B832="",$D832="",$E832=""),"",IF($E832=$D832,"CHECK TIMES (start = end)",IF($F832&gt;12,"CHECK TIMES (End is before Start?)","OK")))</f>
        <v/>
      </c>
      <c r="P832" s="17">
        <f>IF(OR($B832="",$I832=""),"",IF(IFERROR(MATCH($G832,nrBankTopics,0),0)=0,"OK",IF(COUNTA(INDEX(nrBankGrid,IFERROR(MATCH($G832,nrBankTopics,0),1),0))=0,"OK",IF(SUMPRODUCT((nrInstrNames&lt;&gt;"")*ISNUMBER(SEARCH(nrInstrNames,$I832))*(COUNTIF(INDEX(nrBankGrid,IFERROR(MATCH($G832,nrBankTopics,0),1),0),nrInstrNames)&gt;0))&lt;SUMPRODUCT((nrInstrNames&lt;&gt;"")*ISNUMBER(SEARCH(nrInstrNames,$I832))),"NOT IN BANK","OK"))))</f>
        <v/>
      </c>
    </row>
    <row r="833">
      <c r="B833" s="18" t="n"/>
      <c r="C833" s="17">
        <f>IF($B833="","",TEXT($B833,"ddd"))</f>
        <v/>
      </c>
      <c r="D833" s="41" t="n"/>
      <c r="E833" s="41" t="n"/>
      <c r="F833" s="17">
        <f>IF(OR($B833="",$D833="",$E833=""),"",ROUND(MOD($E833-$D833,1)*24,2))</f>
        <v/>
      </c>
      <c r="G833" s="16" t="n"/>
      <c r="H833" s="17">
        <f>IF($G833="","",IFERROR(_xlfn.XLOOKUP($G833,nrCHname,nrCHnum),IFERROR(_xlfn.XLOOKUP($G833,nrSUBname,nrSUBparent),"")))</f>
        <v/>
      </c>
      <c r="I833" s="16" t="n"/>
      <c r="J833" s="16" t="n"/>
      <c r="K833" s="17">
        <f>IF($B833="","",IFERROR(_xlfn.XLOOKUP($B833,nrCDdate,nrCDweek),""))</f>
        <v/>
      </c>
      <c r="L833" s="17">
        <f>IF($B833="","",IFERROR(_xlfn.XLOOKUP($B833,nrCDdate,nrCDnum),""))</f>
        <v/>
      </c>
      <c r="M833" s="16" t="n"/>
      <c r="N833" s="17">
        <f>IF(OR($B833="",$I833=""),"",_xlfn.LET(_xlpm.a,$I833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33" s="17">
        <f>IF(OR($B833="",$D833="",$E833=""),"",IF($E833=$D833,"CHECK TIMES (start = end)",IF($F833&gt;12,"CHECK TIMES (End is before Start?)","OK")))</f>
        <v/>
      </c>
      <c r="P833" s="17">
        <f>IF(OR($B833="",$I833=""),"",IF(IFERROR(MATCH($G833,nrBankTopics,0),0)=0,"OK",IF(COUNTA(INDEX(nrBankGrid,IFERROR(MATCH($G833,nrBankTopics,0),1),0))=0,"OK",IF(SUMPRODUCT((nrInstrNames&lt;&gt;"")*ISNUMBER(SEARCH(nrInstrNames,$I833))*(COUNTIF(INDEX(nrBankGrid,IFERROR(MATCH($G833,nrBankTopics,0),1),0),nrInstrNames)&gt;0))&lt;SUMPRODUCT((nrInstrNames&lt;&gt;"")*ISNUMBER(SEARCH(nrInstrNames,$I833))),"NOT IN BANK","OK"))))</f>
        <v/>
      </c>
    </row>
    <row r="834">
      <c r="B834" s="18" t="n"/>
      <c r="C834" s="17">
        <f>IF($B834="","",TEXT($B834,"ddd"))</f>
        <v/>
      </c>
      <c r="D834" s="41" t="n"/>
      <c r="E834" s="41" t="n"/>
      <c r="F834" s="17">
        <f>IF(OR($B834="",$D834="",$E834=""),"",ROUND(MOD($E834-$D834,1)*24,2))</f>
        <v/>
      </c>
      <c r="G834" s="16" t="n"/>
      <c r="H834" s="17">
        <f>IF($G834="","",IFERROR(_xlfn.XLOOKUP($G834,nrCHname,nrCHnum),IFERROR(_xlfn.XLOOKUP($G834,nrSUBname,nrSUBparent),"")))</f>
        <v/>
      </c>
      <c r="I834" s="16" t="n"/>
      <c r="J834" s="16" t="n"/>
      <c r="K834" s="17">
        <f>IF($B834="","",IFERROR(_xlfn.XLOOKUP($B834,nrCDdate,nrCDweek),""))</f>
        <v/>
      </c>
      <c r="L834" s="17">
        <f>IF($B834="","",IFERROR(_xlfn.XLOOKUP($B834,nrCDdate,nrCDnum),""))</f>
        <v/>
      </c>
      <c r="M834" s="16" t="n"/>
      <c r="N834" s="17">
        <f>IF(OR($B834="",$I834=""),"",_xlfn.LET(_xlpm.a,$I834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34" s="17">
        <f>IF(OR($B834="",$D834="",$E834=""),"",IF($E834=$D834,"CHECK TIMES (start = end)",IF($F834&gt;12,"CHECK TIMES (End is before Start?)","OK")))</f>
        <v/>
      </c>
      <c r="P834" s="17">
        <f>IF(OR($B834="",$I834=""),"",IF(IFERROR(MATCH($G834,nrBankTopics,0),0)=0,"OK",IF(COUNTA(INDEX(nrBankGrid,IFERROR(MATCH($G834,nrBankTopics,0),1),0))=0,"OK",IF(SUMPRODUCT((nrInstrNames&lt;&gt;"")*ISNUMBER(SEARCH(nrInstrNames,$I834))*(COUNTIF(INDEX(nrBankGrid,IFERROR(MATCH($G834,nrBankTopics,0),1),0),nrInstrNames)&gt;0))&lt;SUMPRODUCT((nrInstrNames&lt;&gt;"")*ISNUMBER(SEARCH(nrInstrNames,$I834))),"NOT IN BANK","OK"))))</f>
        <v/>
      </c>
    </row>
    <row r="835">
      <c r="B835" s="18" t="n"/>
      <c r="C835" s="17">
        <f>IF($B835="","",TEXT($B835,"ddd"))</f>
        <v/>
      </c>
      <c r="D835" s="41" t="n"/>
      <c r="E835" s="41" t="n"/>
      <c r="F835" s="17">
        <f>IF(OR($B835="",$D835="",$E835=""),"",ROUND(MOD($E835-$D835,1)*24,2))</f>
        <v/>
      </c>
      <c r="G835" s="16" t="n"/>
      <c r="H835" s="17">
        <f>IF($G835="","",IFERROR(_xlfn.XLOOKUP($G835,nrCHname,nrCHnum),IFERROR(_xlfn.XLOOKUP($G835,nrSUBname,nrSUBparent),"")))</f>
        <v/>
      </c>
      <c r="I835" s="16" t="n"/>
      <c r="J835" s="16" t="n"/>
      <c r="K835" s="17">
        <f>IF($B835="","",IFERROR(_xlfn.XLOOKUP($B835,nrCDdate,nrCDweek),""))</f>
        <v/>
      </c>
      <c r="L835" s="17">
        <f>IF($B835="","",IFERROR(_xlfn.XLOOKUP($B835,nrCDdate,nrCDnum),""))</f>
        <v/>
      </c>
      <c r="M835" s="16" t="n"/>
      <c r="N835" s="17">
        <f>IF(OR($B835="",$I835=""),"",_xlfn.LET(_xlpm.a,$I835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35" s="17">
        <f>IF(OR($B835="",$D835="",$E835=""),"",IF($E835=$D835,"CHECK TIMES (start = end)",IF($F835&gt;12,"CHECK TIMES (End is before Start?)","OK")))</f>
        <v/>
      </c>
      <c r="P835" s="17">
        <f>IF(OR($B835="",$I835=""),"",IF(IFERROR(MATCH($G835,nrBankTopics,0),0)=0,"OK",IF(COUNTA(INDEX(nrBankGrid,IFERROR(MATCH($G835,nrBankTopics,0),1),0))=0,"OK",IF(SUMPRODUCT((nrInstrNames&lt;&gt;"")*ISNUMBER(SEARCH(nrInstrNames,$I835))*(COUNTIF(INDEX(nrBankGrid,IFERROR(MATCH($G835,nrBankTopics,0),1),0),nrInstrNames)&gt;0))&lt;SUMPRODUCT((nrInstrNames&lt;&gt;"")*ISNUMBER(SEARCH(nrInstrNames,$I835))),"NOT IN BANK","OK"))))</f>
        <v/>
      </c>
    </row>
    <row r="836">
      <c r="B836" s="18" t="n"/>
      <c r="C836" s="17">
        <f>IF($B836="","",TEXT($B836,"ddd"))</f>
        <v/>
      </c>
      <c r="D836" s="41" t="n"/>
      <c r="E836" s="41" t="n"/>
      <c r="F836" s="17">
        <f>IF(OR($B836="",$D836="",$E836=""),"",ROUND(MOD($E836-$D836,1)*24,2))</f>
        <v/>
      </c>
      <c r="G836" s="16" t="n"/>
      <c r="H836" s="17">
        <f>IF($G836="","",IFERROR(_xlfn.XLOOKUP($G836,nrCHname,nrCHnum),IFERROR(_xlfn.XLOOKUP($G836,nrSUBname,nrSUBparent),"")))</f>
        <v/>
      </c>
      <c r="I836" s="16" t="n"/>
      <c r="J836" s="16" t="n"/>
      <c r="K836" s="17">
        <f>IF($B836="","",IFERROR(_xlfn.XLOOKUP($B836,nrCDdate,nrCDweek),""))</f>
        <v/>
      </c>
      <c r="L836" s="17">
        <f>IF($B836="","",IFERROR(_xlfn.XLOOKUP($B836,nrCDdate,nrCDnum),""))</f>
        <v/>
      </c>
      <c r="M836" s="16" t="n"/>
      <c r="N836" s="17">
        <f>IF(OR($B836="",$I836=""),"",_xlfn.LET(_xlpm.a,$I836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36" s="17">
        <f>IF(OR($B836="",$D836="",$E836=""),"",IF($E836=$D836,"CHECK TIMES (start = end)",IF($F836&gt;12,"CHECK TIMES (End is before Start?)","OK")))</f>
        <v/>
      </c>
      <c r="P836" s="17">
        <f>IF(OR($B836="",$I836=""),"",IF(IFERROR(MATCH($G836,nrBankTopics,0),0)=0,"OK",IF(COUNTA(INDEX(nrBankGrid,IFERROR(MATCH($G836,nrBankTopics,0),1),0))=0,"OK",IF(SUMPRODUCT((nrInstrNames&lt;&gt;"")*ISNUMBER(SEARCH(nrInstrNames,$I836))*(COUNTIF(INDEX(nrBankGrid,IFERROR(MATCH($G836,nrBankTopics,0),1),0),nrInstrNames)&gt;0))&lt;SUMPRODUCT((nrInstrNames&lt;&gt;"")*ISNUMBER(SEARCH(nrInstrNames,$I836))),"NOT IN BANK","OK"))))</f>
        <v/>
      </c>
    </row>
    <row r="837">
      <c r="B837" s="18" t="n"/>
      <c r="C837" s="17">
        <f>IF($B837="","",TEXT($B837,"ddd"))</f>
        <v/>
      </c>
      <c r="D837" s="41" t="n"/>
      <c r="E837" s="41" t="n"/>
      <c r="F837" s="17">
        <f>IF(OR($B837="",$D837="",$E837=""),"",ROUND(MOD($E837-$D837,1)*24,2))</f>
        <v/>
      </c>
      <c r="G837" s="16" t="n"/>
      <c r="H837" s="17">
        <f>IF($G837="","",IFERROR(_xlfn.XLOOKUP($G837,nrCHname,nrCHnum),IFERROR(_xlfn.XLOOKUP($G837,nrSUBname,nrSUBparent),"")))</f>
        <v/>
      </c>
      <c r="I837" s="16" t="n"/>
      <c r="J837" s="16" t="n"/>
      <c r="K837" s="17">
        <f>IF($B837="","",IFERROR(_xlfn.XLOOKUP($B837,nrCDdate,nrCDweek),""))</f>
        <v/>
      </c>
      <c r="L837" s="17">
        <f>IF($B837="","",IFERROR(_xlfn.XLOOKUP($B837,nrCDdate,nrCDnum),""))</f>
        <v/>
      </c>
      <c r="M837" s="16" t="n"/>
      <c r="N837" s="17">
        <f>IF(OR($B837="",$I837=""),"",_xlfn.LET(_xlpm.a,$I837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37" s="17">
        <f>IF(OR($B837="",$D837="",$E837=""),"",IF($E837=$D837,"CHECK TIMES (start = end)",IF($F837&gt;12,"CHECK TIMES (End is before Start?)","OK")))</f>
        <v/>
      </c>
      <c r="P837" s="17">
        <f>IF(OR($B837="",$I837=""),"",IF(IFERROR(MATCH($G837,nrBankTopics,0),0)=0,"OK",IF(COUNTA(INDEX(nrBankGrid,IFERROR(MATCH($G837,nrBankTopics,0),1),0))=0,"OK",IF(SUMPRODUCT((nrInstrNames&lt;&gt;"")*ISNUMBER(SEARCH(nrInstrNames,$I837))*(COUNTIF(INDEX(nrBankGrid,IFERROR(MATCH($G837,nrBankTopics,0),1),0),nrInstrNames)&gt;0))&lt;SUMPRODUCT((nrInstrNames&lt;&gt;"")*ISNUMBER(SEARCH(nrInstrNames,$I837))),"NOT IN BANK","OK"))))</f>
        <v/>
      </c>
    </row>
    <row r="838">
      <c r="B838" s="18" t="n"/>
      <c r="C838" s="17">
        <f>IF($B838="","",TEXT($B838,"ddd"))</f>
        <v/>
      </c>
      <c r="D838" s="41" t="n"/>
      <c r="E838" s="41" t="n"/>
      <c r="F838" s="17">
        <f>IF(OR($B838="",$D838="",$E838=""),"",ROUND(MOD($E838-$D838,1)*24,2))</f>
        <v/>
      </c>
      <c r="G838" s="16" t="n"/>
      <c r="H838" s="17">
        <f>IF($G838="","",IFERROR(_xlfn.XLOOKUP($G838,nrCHname,nrCHnum),IFERROR(_xlfn.XLOOKUP($G838,nrSUBname,nrSUBparent),"")))</f>
        <v/>
      </c>
      <c r="I838" s="16" t="n"/>
      <c r="J838" s="16" t="n"/>
      <c r="K838" s="17">
        <f>IF($B838="","",IFERROR(_xlfn.XLOOKUP($B838,nrCDdate,nrCDweek),""))</f>
        <v/>
      </c>
      <c r="L838" s="17">
        <f>IF($B838="","",IFERROR(_xlfn.XLOOKUP($B838,nrCDdate,nrCDnum),""))</f>
        <v/>
      </c>
      <c r="M838" s="16" t="n"/>
      <c r="N838" s="17">
        <f>IF(OR($B838="",$I838=""),"",_xlfn.LET(_xlpm.a,$I838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38" s="17">
        <f>IF(OR($B838="",$D838="",$E838=""),"",IF($E838=$D838,"CHECK TIMES (start = end)",IF($F838&gt;12,"CHECK TIMES (End is before Start?)","OK")))</f>
        <v/>
      </c>
      <c r="P838" s="17">
        <f>IF(OR($B838="",$I838=""),"",IF(IFERROR(MATCH($G838,nrBankTopics,0),0)=0,"OK",IF(COUNTA(INDEX(nrBankGrid,IFERROR(MATCH($G838,nrBankTopics,0),1),0))=0,"OK",IF(SUMPRODUCT((nrInstrNames&lt;&gt;"")*ISNUMBER(SEARCH(nrInstrNames,$I838))*(COUNTIF(INDEX(nrBankGrid,IFERROR(MATCH($G838,nrBankTopics,0),1),0),nrInstrNames)&gt;0))&lt;SUMPRODUCT((nrInstrNames&lt;&gt;"")*ISNUMBER(SEARCH(nrInstrNames,$I838))),"NOT IN BANK","OK"))))</f>
        <v/>
      </c>
    </row>
    <row r="839">
      <c r="B839" s="18" t="n"/>
      <c r="C839" s="17">
        <f>IF($B839="","",TEXT($B839,"ddd"))</f>
        <v/>
      </c>
      <c r="D839" s="41" t="n"/>
      <c r="E839" s="41" t="n"/>
      <c r="F839" s="17">
        <f>IF(OR($B839="",$D839="",$E839=""),"",ROUND(MOD($E839-$D839,1)*24,2))</f>
        <v/>
      </c>
      <c r="G839" s="16" t="n"/>
      <c r="H839" s="17">
        <f>IF($G839="","",IFERROR(_xlfn.XLOOKUP($G839,nrCHname,nrCHnum),IFERROR(_xlfn.XLOOKUP($G839,nrSUBname,nrSUBparent),"")))</f>
        <v/>
      </c>
      <c r="I839" s="16" t="n"/>
      <c r="J839" s="16" t="n"/>
      <c r="K839" s="17">
        <f>IF($B839="","",IFERROR(_xlfn.XLOOKUP($B839,nrCDdate,nrCDweek),""))</f>
        <v/>
      </c>
      <c r="L839" s="17">
        <f>IF($B839="","",IFERROR(_xlfn.XLOOKUP($B839,nrCDdate,nrCDnum),""))</f>
        <v/>
      </c>
      <c r="M839" s="16" t="n"/>
      <c r="N839" s="17">
        <f>IF(OR($B839="",$I839=""),"",_xlfn.LET(_xlpm.a,$I839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39" s="17">
        <f>IF(OR($B839="",$D839="",$E839=""),"",IF($E839=$D839,"CHECK TIMES (start = end)",IF($F839&gt;12,"CHECK TIMES (End is before Start?)","OK")))</f>
        <v/>
      </c>
      <c r="P839" s="17">
        <f>IF(OR($B839="",$I839=""),"",IF(IFERROR(MATCH($G839,nrBankTopics,0),0)=0,"OK",IF(COUNTA(INDEX(nrBankGrid,IFERROR(MATCH($G839,nrBankTopics,0),1),0))=0,"OK",IF(SUMPRODUCT((nrInstrNames&lt;&gt;"")*ISNUMBER(SEARCH(nrInstrNames,$I839))*(COUNTIF(INDEX(nrBankGrid,IFERROR(MATCH($G839,nrBankTopics,0),1),0),nrInstrNames)&gt;0))&lt;SUMPRODUCT((nrInstrNames&lt;&gt;"")*ISNUMBER(SEARCH(nrInstrNames,$I839))),"NOT IN BANK","OK"))))</f>
        <v/>
      </c>
    </row>
    <row r="840">
      <c r="B840" s="18" t="n"/>
      <c r="C840" s="17">
        <f>IF($B840="","",TEXT($B840,"ddd"))</f>
        <v/>
      </c>
      <c r="D840" s="41" t="n"/>
      <c r="E840" s="41" t="n"/>
      <c r="F840" s="17">
        <f>IF(OR($B840="",$D840="",$E840=""),"",ROUND(MOD($E840-$D840,1)*24,2))</f>
        <v/>
      </c>
      <c r="G840" s="16" t="n"/>
      <c r="H840" s="17">
        <f>IF($G840="","",IFERROR(_xlfn.XLOOKUP($G840,nrCHname,nrCHnum),IFERROR(_xlfn.XLOOKUP($G840,nrSUBname,nrSUBparent),"")))</f>
        <v/>
      </c>
      <c r="I840" s="16" t="n"/>
      <c r="J840" s="16" t="n"/>
      <c r="K840" s="17">
        <f>IF($B840="","",IFERROR(_xlfn.XLOOKUP($B840,nrCDdate,nrCDweek),""))</f>
        <v/>
      </c>
      <c r="L840" s="17">
        <f>IF($B840="","",IFERROR(_xlfn.XLOOKUP($B840,nrCDdate,nrCDnum),""))</f>
        <v/>
      </c>
      <c r="M840" s="16" t="n"/>
      <c r="N840" s="17">
        <f>IF(OR($B840="",$I840=""),"",_xlfn.LET(_xlpm.a,$I840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40" s="17">
        <f>IF(OR($B840="",$D840="",$E840=""),"",IF($E840=$D840,"CHECK TIMES (start = end)",IF($F840&gt;12,"CHECK TIMES (End is before Start?)","OK")))</f>
        <v/>
      </c>
      <c r="P840" s="17">
        <f>IF(OR($B840="",$I840=""),"",IF(IFERROR(MATCH($G840,nrBankTopics,0),0)=0,"OK",IF(COUNTA(INDEX(nrBankGrid,IFERROR(MATCH($G840,nrBankTopics,0),1),0))=0,"OK",IF(SUMPRODUCT((nrInstrNames&lt;&gt;"")*ISNUMBER(SEARCH(nrInstrNames,$I840))*(COUNTIF(INDEX(nrBankGrid,IFERROR(MATCH($G840,nrBankTopics,0),1),0),nrInstrNames)&gt;0))&lt;SUMPRODUCT((nrInstrNames&lt;&gt;"")*ISNUMBER(SEARCH(nrInstrNames,$I840))),"NOT IN BANK","OK"))))</f>
        <v/>
      </c>
    </row>
    <row r="841">
      <c r="B841" s="18" t="n"/>
      <c r="C841" s="17">
        <f>IF($B841="","",TEXT($B841,"ddd"))</f>
        <v/>
      </c>
      <c r="D841" s="41" t="n"/>
      <c r="E841" s="41" t="n"/>
      <c r="F841" s="17">
        <f>IF(OR($B841="",$D841="",$E841=""),"",ROUND(MOD($E841-$D841,1)*24,2))</f>
        <v/>
      </c>
      <c r="G841" s="16" t="n"/>
      <c r="H841" s="17">
        <f>IF($G841="","",IFERROR(_xlfn.XLOOKUP($G841,nrCHname,nrCHnum),IFERROR(_xlfn.XLOOKUP($G841,nrSUBname,nrSUBparent),"")))</f>
        <v/>
      </c>
      <c r="I841" s="16" t="n"/>
      <c r="J841" s="16" t="n"/>
      <c r="K841" s="17">
        <f>IF($B841="","",IFERROR(_xlfn.XLOOKUP($B841,nrCDdate,nrCDweek),""))</f>
        <v/>
      </c>
      <c r="L841" s="17">
        <f>IF($B841="","",IFERROR(_xlfn.XLOOKUP($B841,nrCDdate,nrCDnum),""))</f>
        <v/>
      </c>
      <c r="M841" s="16" t="n"/>
      <c r="N841" s="17">
        <f>IF(OR($B841="",$I841=""),"",_xlfn.LET(_xlpm.a,$I841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41" s="17">
        <f>IF(OR($B841="",$D841="",$E841=""),"",IF($E841=$D841,"CHECK TIMES (start = end)",IF($F841&gt;12,"CHECK TIMES (End is before Start?)","OK")))</f>
        <v/>
      </c>
      <c r="P841" s="17">
        <f>IF(OR($B841="",$I841=""),"",IF(IFERROR(MATCH($G841,nrBankTopics,0),0)=0,"OK",IF(COUNTA(INDEX(nrBankGrid,IFERROR(MATCH($G841,nrBankTopics,0),1),0))=0,"OK",IF(SUMPRODUCT((nrInstrNames&lt;&gt;"")*ISNUMBER(SEARCH(nrInstrNames,$I841))*(COUNTIF(INDEX(nrBankGrid,IFERROR(MATCH($G841,nrBankTopics,0),1),0),nrInstrNames)&gt;0))&lt;SUMPRODUCT((nrInstrNames&lt;&gt;"")*ISNUMBER(SEARCH(nrInstrNames,$I841))),"NOT IN BANK","OK"))))</f>
        <v/>
      </c>
    </row>
    <row r="842">
      <c r="B842" s="18" t="n"/>
      <c r="C842" s="17">
        <f>IF($B842="","",TEXT($B842,"ddd"))</f>
        <v/>
      </c>
      <c r="D842" s="41" t="n"/>
      <c r="E842" s="41" t="n"/>
      <c r="F842" s="17">
        <f>IF(OR($B842="",$D842="",$E842=""),"",ROUND(MOD($E842-$D842,1)*24,2))</f>
        <v/>
      </c>
      <c r="G842" s="16" t="n"/>
      <c r="H842" s="17">
        <f>IF($G842="","",IFERROR(_xlfn.XLOOKUP($G842,nrCHname,nrCHnum),IFERROR(_xlfn.XLOOKUP($G842,nrSUBname,nrSUBparent),"")))</f>
        <v/>
      </c>
      <c r="I842" s="16" t="n"/>
      <c r="J842" s="16" t="n"/>
      <c r="K842" s="17">
        <f>IF($B842="","",IFERROR(_xlfn.XLOOKUP($B842,nrCDdate,nrCDweek),""))</f>
        <v/>
      </c>
      <c r="L842" s="17">
        <f>IF($B842="","",IFERROR(_xlfn.XLOOKUP($B842,nrCDdate,nrCDnum),""))</f>
        <v/>
      </c>
      <c r="M842" s="16" t="n"/>
      <c r="N842" s="17">
        <f>IF(OR($B842="",$I842=""),"",_xlfn.LET(_xlpm.a,$I842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42" s="17">
        <f>IF(OR($B842="",$D842="",$E842=""),"",IF($E842=$D842,"CHECK TIMES (start = end)",IF($F842&gt;12,"CHECK TIMES (End is before Start?)","OK")))</f>
        <v/>
      </c>
      <c r="P842" s="17">
        <f>IF(OR($B842="",$I842=""),"",IF(IFERROR(MATCH($G842,nrBankTopics,0),0)=0,"OK",IF(COUNTA(INDEX(nrBankGrid,IFERROR(MATCH($G842,nrBankTopics,0),1),0))=0,"OK",IF(SUMPRODUCT((nrInstrNames&lt;&gt;"")*ISNUMBER(SEARCH(nrInstrNames,$I842))*(COUNTIF(INDEX(nrBankGrid,IFERROR(MATCH($G842,nrBankTopics,0),1),0),nrInstrNames)&gt;0))&lt;SUMPRODUCT((nrInstrNames&lt;&gt;"")*ISNUMBER(SEARCH(nrInstrNames,$I842))),"NOT IN BANK","OK"))))</f>
        <v/>
      </c>
    </row>
    <row r="843">
      <c r="B843" s="18" t="n"/>
      <c r="C843" s="17">
        <f>IF($B843="","",TEXT($B843,"ddd"))</f>
        <v/>
      </c>
      <c r="D843" s="41" t="n"/>
      <c r="E843" s="41" t="n"/>
      <c r="F843" s="17">
        <f>IF(OR($B843="",$D843="",$E843=""),"",ROUND(MOD($E843-$D843,1)*24,2))</f>
        <v/>
      </c>
      <c r="G843" s="16" t="n"/>
      <c r="H843" s="17">
        <f>IF($G843="","",IFERROR(_xlfn.XLOOKUP($G843,nrCHname,nrCHnum),IFERROR(_xlfn.XLOOKUP($G843,nrSUBname,nrSUBparent),"")))</f>
        <v/>
      </c>
      <c r="I843" s="16" t="n"/>
      <c r="J843" s="16" t="n"/>
      <c r="K843" s="17">
        <f>IF($B843="","",IFERROR(_xlfn.XLOOKUP($B843,nrCDdate,nrCDweek),""))</f>
        <v/>
      </c>
      <c r="L843" s="17">
        <f>IF($B843="","",IFERROR(_xlfn.XLOOKUP($B843,nrCDdate,nrCDnum),""))</f>
        <v/>
      </c>
      <c r="M843" s="16" t="n"/>
      <c r="N843" s="17">
        <f>IF(OR($B843="",$I843=""),"",_xlfn.LET(_xlpm.a,$I843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43" s="17">
        <f>IF(OR($B843="",$D843="",$E843=""),"",IF($E843=$D843,"CHECK TIMES (start = end)",IF($F843&gt;12,"CHECK TIMES (End is before Start?)","OK")))</f>
        <v/>
      </c>
      <c r="P843" s="17">
        <f>IF(OR($B843="",$I843=""),"",IF(IFERROR(MATCH($G843,nrBankTopics,0),0)=0,"OK",IF(COUNTA(INDEX(nrBankGrid,IFERROR(MATCH($G843,nrBankTopics,0),1),0))=0,"OK",IF(SUMPRODUCT((nrInstrNames&lt;&gt;"")*ISNUMBER(SEARCH(nrInstrNames,$I843))*(COUNTIF(INDEX(nrBankGrid,IFERROR(MATCH($G843,nrBankTopics,0),1),0),nrInstrNames)&gt;0))&lt;SUMPRODUCT((nrInstrNames&lt;&gt;"")*ISNUMBER(SEARCH(nrInstrNames,$I843))),"NOT IN BANK","OK"))))</f>
        <v/>
      </c>
    </row>
    <row r="844">
      <c r="B844" s="18" t="n"/>
      <c r="C844" s="17">
        <f>IF($B844="","",TEXT($B844,"ddd"))</f>
        <v/>
      </c>
      <c r="D844" s="41" t="n"/>
      <c r="E844" s="41" t="n"/>
      <c r="F844" s="17">
        <f>IF(OR($B844="",$D844="",$E844=""),"",ROUND(MOD($E844-$D844,1)*24,2))</f>
        <v/>
      </c>
      <c r="G844" s="16" t="n"/>
      <c r="H844" s="17">
        <f>IF($G844="","",IFERROR(_xlfn.XLOOKUP($G844,nrCHname,nrCHnum),IFERROR(_xlfn.XLOOKUP($G844,nrSUBname,nrSUBparent),"")))</f>
        <v/>
      </c>
      <c r="I844" s="16" t="n"/>
      <c r="J844" s="16" t="n"/>
      <c r="K844" s="17">
        <f>IF($B844="","",IFERROR(_xlfn.XLOOKUP($B844,nrCDdate,nrCDweek),""))</f>
        <v/>
      </c>
      <c r="L844" s="17">
        <f>IF($B844="","",IFERROR(_xlfn.XLOOKUP($B844,nrCDdate,nrCDnum),""))</f>
        <v/>
      </c>
      <c r="M844" s="16" t="n"/>
      <c r="N844" s="17">
        <f>IF(OR($B844="",$I844=""),"",_xlfn.LET(_xlpm.a,$I844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44" s="17">
        <f>IF(OR($B844="",$D844="",$E844=""),"",IF($E844=$D844,"CHECK TIMES (start = end)",IF($F844&gt;12,"CHECK TIMES (End is before Start?)","OK")))</f>
        <v/>
      </c>
      <c r="P844" s="17">
        <f>IF(OR($B844="",$I844=""),"",IF(IFERROR(MATCH($G844,nrBankTopics,0),0)=0,"OK",IF(COUNTA(INDEX(nrBankGrid,IFERROR(MATCH($G844,nrBankTopics,0),1),0))=0,"OK",IF(SUMPRODUCT((nrInstrNames&lt;&gt;"")*ISNUMBER(SEARCH(nrInstrNames,$I844))*(COUNTIF(INDEX(nrBankGrid,IFERROR(MATCH($G844,nrBankTopics,0),1),0),nrInstrNames)&gt;0))&lt;SUMPRODUCT((nrInstrNames&lt;&gt;"")*ISNUMBER(SEARCH(nrInstrNames,$I844))),"NOT IN BANK","OK"))))</f>
        <v/>
      </c>
    </row>
    <row r="845">
      <c r="B845" s="18" t="n"/>
      <c r="C845" s="17">
        <f>IF($B845="","",TEXT($B845,"ddd"))</f>
        <v/>
      </c>
      <c r="D845" s="41" t="n"/>
      <c r="E845" s="41" t="n"/>
      <c r="F845" s="17">
        <f>IF(OR($B845="",$D845="",$E845=""),"",ROUND(MOD($E845-$D845,1)*24,2))</f>
        <v/>
      </c>
      <c r="G845" s="16" t="n"/>
      <c r="H845" s="17">
        <f>IF($G845="","",IFERROR(_xlfn.XLOOKUP($G845,nrCHname,nrCHnum),IFERROR(_xlfn.XLOOKUP($G845,nrSUBname,nrSUBparent),"")))</f>
        <v/>
      </c>
      <c r="I845" s="16" t="n"/>
      <c r="J845" s="16" t="n"/>
      <c r="K845" s="17">
        <f>IF($B845="","",IFERROR(_xlfn.XLOOKUP($B845,nrCDdate,nrCDweek),""))</f>
        <v/>
      </c>
      <c r="L845" s="17">
        <f>IF($B845="","",IFERROR(_xlfn.XLOOKUP($B845,nrCDdate,nrCDnum),""))</f>
        <v/>
      </c>
      <c r="M845" s="16" t="n"/>
      <c r="N845" s="17">
        <f>IF(OR($B845="",$I845=""),"",_xlfn.LET(_xlpm.a,$I845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45" s="17">
        <f>IF(OR($B845="",$D845="",$E845=""),"",IF($E845=$D845,"CHECK TIMES (start = end)",IF($F845&gt;12,"CHECK TIMES (End is before Start?)","OK")))</f>
        <v/>
      </c>
      <c r="P845" s="17">
        <f>IF(OR($B845="",$I845=""),"",IF(IFERROR(MATCH($G845,nrBankTopics,0),0)=0,"OK",IF(COUNTA(INDEX(nrBankGrid,IFERROR(MATCH($G845,nrBankTopics,0),1),0))=0,"OK",IF(SUMPRODUCT((nrInstrNames&lt;&gt;"")*ISNUMBER(SEARCH(nrInstrNames,$I845))*(COUNTIF(INDEX(nrBankGrid,IFERROR(MATCH($G845,nrBankTopics,0),1),0),nrInstrNames)&gt;0))&lt;SUMPRODUCT((nrInstrNames&lt;&gt;"")*ISNUMBER(SEARCH(nrInstrNames,$I845))),"NOT IN BANK","OK"))))</f>
        <v/>
      </c>
    </row>
    <row r="846">
      <c r="B846" s="18" t="n"/>
      <c r="C846" s="17">
        <f>IF($B846="","",TEXT($B846,"ddd"))</f>
        <v/>
      </c>
      <c r="D846" s="41" t="n"/>
      <c r="E846" s="41" t="n"/>
      <c r="F846" s="17">
        <f>IF(OR($B846="",$D846="",$E846=""),"",ROUND(MOD($E846-$D846,1)*24,2))</f>
        <v/>
      </c>
      <c r="G846" s="16" t="n"/>
      <c r="H846" s="17">
        <f>IF($G846="","",IFERROR(_xlfn.XLOOKUP($G846,nrCHname,nrCHnum),IFERROR(_xlfn.XLOOKUP($G846,nrSUBname,nrSUBparent),"")))</f>
        <v/>
      </c>
      <c r="I846" s="16" t="n"/>
      <c r="J846" s="16" t="n"/>
      <c r="K846" s="17">
        <f>IF($B846="","",IFERROR(_xlfn.XLOOKUP($B846,nrCDdate,nrCDweek),""))</f>
        <v/>
      </c>
      <c r="L846" s="17">
        <f>IF($B846="","",IFERROR(_xlfn.XLOOKUP($B846,nrCDdate,nrCDnum),""))</f>
        <v/>
      </c>
      <c r="M846" s="16" t="n"/>
      <c r="N846" s="17">
        <f>IF(OR($B846="",$I846=""),"",_xlfn.LET(_xlpm.a,$I846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46" s="17">
        <f>IF(OR($B846="",$D846="",$E846=""),"",IF($E846=$D846,"CHECK TIMES (start = end)",IF($F846&gt;12,"CHECK TIMES (End is before Start?)","OK")))</f>
        <v/>
      </c>
      <c r="P846" s="17">
        <f>IF(OR($B846="",$I846=""),"",IF(IFERROR(MATCH($G846,nrBankTopics,0),0)=0,"OK",IF(COUNTA(INDEX(nrBankGrid,IFERROR(MATCH($G846,nrBankTopics,0),1),0))=0,"OK",IF(SUMPRODUCT((nrInstrNames&lt;&gt;"")*ISNUMBER(SEARCH(nrInstrNames,$I846))*(COUNTIF(INDEX(nrBankGrid,IFERROR(MATCH($G846,nrBankTopics,0),1),0),nrInstrNames)&gt;0))&lt;SUMPRODUCT((nrInstrNames&lt;&gt;"")*ISNUMBER(SEARCH(nrInstrNames,$I846))),"NOT IN BANK","OK"))))</f>
        <v/>
      </c>
    </row>
    <row r="847">
      <c r="B847" s="18" t="n"/>
      <c r="C847" s="17">
        <f>IF($B847="","",TEXT($B847,"ddd"))</f>
        <v/>
      </c>
      <c r="D847" s="41" t="n"/>
      <c r="E847" s="41" t="n"/>
      <c r="F847" s="17">
        <f>IF(OR($B847="",$D847="",$E847=""),"",ROUND(MOD($E847-$D847,1)*24,2))</f>
        <v/>
      </c>
      <c r="G847" s="16" t="n"/>
      <c r="H847" s="17">
        <f>IF($G847="","",IFERROR(_xlfn.XLOOKUP($G847,nrCHname,nrCHnum),IFERROR(_xlfn.XLOOKUP($G847,nrSUBname,nrSUBparent),"")))</f>
        <v/>
      </c>
      <c r="I847" s="16" t="n"/>
      <c r="J847" s="16" t="n"/>
      <c r="K847" s="17">
        <f>IF($B847="","",IFERROR(_xlfn.XLOOKUP($B847,nrCDdate,nrCDweek),""))</f>
        <v/>
      </c>
      <c r="L847" s="17">
        <f>IF($B847="","",IFERROR(_xlfn.XLOOKUP($B847,nrCDdate,nrCDnum),""))</f>
        <v/>
      </c>
      <c r="M847" s="16" t="n"/>
      <c r="N847" s="17">
        <f>IF(OR($B847="",$I847=""),"",_xlfn.LET(_xlpm.a,$I847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47" s="17">
        <f>IF(OR($B847="",$D847="",$E847=""),"",IF($E847=$D847,"CHECK TIMES (start = end)",IF($F847&gt;12,"CHECK TIMES (End is before Start?)","OK")))</f>
        <v/>
      </c>
      <c r="P847" s="17">
        <f>IF(OR($B847="",$I847=""),"",IF(IFERROR(MATCH($G847,nrBankTopics,0),0)=0,"OK",IF(COUNTA(INDEX(nrBankGrid,IFERROR(MATCH($G847,nrBankTopics,0),1),0))=0,"OK",IF(SUMPRODUCT((nrInstrNames&lt;&gt;"")*ISNUMBER(SEARCH(nrInstrNames,$I847))*(COUNTIF(INDEX(nrBankGrid,IFERROR(MATCH($G847,nrBankTopics,0),1),0),nrInstrNames)&gt;0))&lt;SUMPRODUCT((nrInstrNames&lt;&gt;"")*ISNUMBER(SEARCH(nrInstrNames,$I847))),"NOT IN BANK","OK"))))</f>
        <v/>
      </c>
    </row>
    <row r="848">
      <c r="B848" s="18" t="n"/>
      <c r="C848" s="17">
        <f>IF($B848="","",TEXT($B848,"ddd"))</f>
        <v/>
      </c>
      <c r="D848" s="41" t="n"/>
      <c r="E848" s="41" t="n"/>
      <c r="F848" s="17">
        <f>IF(OR($B848="",$D848="",$E848=""),"",ROUND(MOD($E848-$D848,1)*24,2))</f>
        <v/>
      </c>
      <c r="G848" s="16" t="n"/>
      <c r="H848" s="17">
        <f>IF($G848="","",IFERROR(_xlfn.XLOOKUP($G848,nrCHname,nrCHnum),IFERROR(_xlfn.XLOOKUP($G848,nrSUBname,nrSUBparent),"")))</f>
        <v/>
      </c>
      <c r="I848" s="16" t="n"/>
      <c r="J848" s="16" t="n"/>
      <c r="K848" s="17">
        <f>IF($B848="","",IFERROR(_xlfn.XLOOKUP($B848,nrCDdate,nrCDweek),""))</f>
        <v/>
      </c>
      <c r="L848" s="17">
        <f>IF($B848="","",IFERROR(_xlfn.XLOOKUP($B848,nrCDdate,nrCDnum),""))</f>
        <v/>
      </c>
      <c r="M848" s="16" t="n"/>
      <c r="N848" s="17">
        <f>IF(OR($B848="",$I848=""),"",_xlfn.LET(_xlpm.a,$I848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48" s="17">
        <f>IF(OR($B848="",$D848="",$E848=""),"",IF($E848=$D848,"CHECK TIMES (start = end)",IF($F848&gt;12,"CHECK TIMES (End is before Start?)","OK")))</f>
        <v/>
      </c>
      <c r="P848" s="17">
        <f>IF(OR($B848="",$I848=""),"",IF(IFERROR(MATCH($G848,nrBankTopics,0),0)=0,"OK",IF(COUNTA(INDEX(nrBankGrid,IFERROR(MATCH($G848,nrBankTopics,0),1),0))=0,"OK",IF(SUMPRODUCT((nrInstrNames&lt;&gt;"")*ISNUMBER(SEARCH(nrInstrNames,$I848))*(COUNTIF(INDEX(nrBankGrid,IFERROR(MATCH($G848,nrBankTopics,0),1),0),nrInstrNames)&gt;0))&lt;SUMPRODUCT((nrInstrNames&lt;&gt;"")*ISNUMBER(SEARCH(nrInstrNames,$I848))),"NOT IN BANK","OK"))))</f>
        <v/>
      </c>
    </row>
    <row r="849">
      <c r="B849" s="18" t="n"/>
      <c r="C849" s="17">
        <f>IF($B849="","",TEXT($B849,"ddd"))</f>
        <v/>
      </c>
      <c r="D849" s="41" t="n"/>
      <c r="E849" s="41" t="n"/>
      <c r="F849" s="17">
        <f>IF(OR($B849="",$D849="",$E849=""),"",ROUND(MOD($E849-$D849,1)*24,2))</f>
        <v/>
      </c>
      <c r="G849" s="16" t="n"/>
      <c r="H849" s="17">
        <f>IF($G849="","",IFERROR(_xlfn.XLOOKUP($G849,nrCHname,nrCHnum),IFERROR(_xlfn.XLOOKUP($G849,nrSUBname,nrSUBparent),"")))</f>
        <v/>
      </c>
      <c r="I849" s="16" t="n"/>
      <c r="J849" s="16" t="n"/>
      <c r="K849" s="17">
        <f>IF($B849="","",IFERROR(_xlfn.XLOOKUP($B849,nrCDdate,nrCDweek),""))</f>
        <v/>
      </c>
      <c r="L849" s="17">
        <f>IF($B849="","",IFERROR(_xlfn.XLOOKUP($B849,nrCDdate,nrCDnum),""))</f>
        <v/>
      </c>
      <c r="M849" s="16" t="n"/>
      <c r="N849" s="17">
        <f>IF(OR($B849="",$I849=""),"",_xlfn.LET(_xlpm.a,$I849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49" s="17">
        <f>IF(OR($B849="",$D849="",$E849=""),"",IF($E849=$D849,"CHECK TIMES (start = end)",IF($F849&gt;12,"CHECK TIMES (End is before Start?)","OK")))</f>
        <v/>
      </c>
      <c r="P849" s="17">
        <f>IF(OR($B849="",$I849=""),"",IF(IFERROR(MATCH($G849,nrBankTopics,0),0)=0,"OK",IF(COUNTA(INDEX(nrBankGrid,IFERROR(MATCH($G849,nrBankTopics,0),1),0))=0,"OK",IF(SUMPRODUCT((nrInstrNames&lt;&gt;"")*ISNUMBER(SEARCH(nrInstrNames,$I849))*(COUNTIF(INDEX(nrBankGrid,IFERROR(MATCH($G849,nrBankTopics,0),1),0),nrInstrNames)&gt;0))&lt;SUMPRODUCT((nrInstrNames&lt;&gt;"")*ISNUMBER(SEARCH(nrInstrNames,$I849))),"NOT IN BANK","OK"))))</f>
        <v/>
      </c>
    </row>
    <row r="850">
      <c r="B850" s="18" t="n"/>
      <c r="C850" s="17">
        <f>IF($B850="","",TEXT($B850,"ddd"))</f>
        <v/>
      </c>
      <c r="D850" s="41" t="n"/>
      <c r="E850" s="41" t="n"/>
      <c r="F850" s="17">
        <f>IF(OR($B850="",$D850="",$E850=""),"",ROUND(MOD($E850-$D850,1)*24,2))</f>
        <v/>
      </c>
      <c r="G850" s="16" t="n"/>
      <c r="H850" s="17">
        <f>IF($G850="","",IFERROR(_xlfn.XLOOKUP($G850,nrCHname,nrCHnum),IFERROR(_xlfn.XLOOKUP($G850,nrSUBname,nrSUBparent),"")))</f>
        <v/>
      </c>
      <c r="I850" s="16" t="n"/>
      <c r="J850" s="16" t="n"/>
      <c r="K850" s="17">
        <f>IF($B850="","",IFERROR(_xlfn.XLOOKUP($B850,nrCDdate,nrCDweek),""))</f>
        <v/>
      </c>
      <c r="L850" s="17">
        <f>IF($B850="","",IFERROR(_xlfn.XLOOKUP($B850,nrCDdate,nrCDnum),""))</f>
        <v/>
      </c>
      <c r="M850" s="16" t="n"/>
      <c r="N850" s="17">
        <f>IF(OR($B850="",$I850=""),"",_xlfn.LET(_xlpm.a,$I850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50" s="17">
        <f>IF(OR($B850="",$D850="",$E850=""),"",IF($E850=$D850,"CHECK TIMES (start = end)",IF($F850&gt;12,"CHECK TIMES (End is before Start?)","OK")))</f>
        <v/>
      </c>
      <c r="P850" s="17">
        <f>IF(OR($B850="",$I850=""),"",IF(IFERROR(MATCH($G850,nrBankTopics,0),0)=0,"OK",IF(COUNTA(INDEX(nrBankGrid,IFERROR(MATCH($G850,nrBankTopics,0),1),0))=0,"OK",IF(SUMPRODUCT((nrInstrNames&lt;&gt;"")*ISNUMBER(SEARCH(nrInstrNames,$I850))*(COUNTIF(INDEX(nrBankGrid,IFERROR(MATCH($G850,nrBankTopics,0),1),0),nrInstrNames)&gt;0))&lt;SUMPRODUCT((nrInstrNames&lt;&gt;"")*ISNUMBER(SEARCH(nrInstrNames,$I850))),"NOT IN BANK","OK"))))</f>
        <v/>
      </c>
    </row>
    <row r="851">
      <c r="B851" s="18" t="n"/>
      <c r="C851" s="17">
        <f>IF($B851="","",TEXT($B851,"ddd"))</f>
        <v/>
      </c>
      <c r="D851" s="41" t="n"/>
      <c r="E851" s="41" t="n"/>
      <c r="F851" s="17">
        <f>IF(OR($B851="",$D851="",$E851=""),"",ROUND(MOD($E851-$D851,1)*24,2))</f>
        <v/>
      </c>
      <c r="G851" s="16" t="n"/>
      <c r="H851" s="17">
        <f>IF($G851="","",IFERROR(_xlfn.XLOOKUP($G851,nrCHname,nrCHnum),IFERROR(_xlfn.XLOOKUP($G851,nrSUBname,nrSUBparent),"")))</f>
        <v/>
      </c>
      <c r="I851" s="16" t="n"/>
      <c r="J851" s="16" t="n"/>
      <c r="K851" s="17">
        <f>IF($B851="","",IFERROR(_xlfn.XLOOKUP($B851,nrCDdate,nrCDweek),""))</f>
        <v/>
      </c>
      <c r="L851" s="17">
        <f>IF($B851="","",IFERROR(_xlfn.XLOOKUP($B851,nrCDdate,nrCDnum),""))</f>
        <v/>
      </c>
      <c r="M851" s="16" t="n"/>
      <c r="N851" s="17">
        <f>IF(OR($B851="",$I851=""),"",_xlfn.LET(_xlpm.a,$I851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51" s="17">
        <f>IF(OR($B851="",$D851="",$E851=""),"",IF($E851=$D851,"CHECK TIMES (start = end)",IF($F851&gt;12,"CHECK TIMES (End is before Start?)","OK")))</f>
        <v/>
      </c>
      <c r="P851" s="17">
        <f>IF(OR($B851="",$I851=""),"",IF(IFERROR(MATCH($G851,nrBankTopics,0),0)=0,"OK",IF(COUNTA(INDEX(nrBankGrid,IFERROR(MATCH($G851,nrBankTopics,0),1),0))=0,"OK",IF(SUMPRODUCT((nrInstrNames&lt;&gt;"")*ISNUMBER(SEARCH(nrInstrNames,$I851))*(COUNTIF(INDEX(nrBankGrid,IFERROR(MATCH($G851,nrBankTopics,0),1),0),nrInstrNames)&gt;0))&lt;SUMPRODUCT((nrInstrNames&lt;&gt;"")*ISNUMBER(SEARCH(nrInstrNames,$I851))),"NOT IN BANK","OK"))))</f>
        <v/>
      </c>
    </row>
    <row r="852">
      <c r="B852" s="18" t="n"/>
      <c r="C852" s="17">
        <f>IF($B852="","",TEXT($B852,"ddd"))</f>
        <v/>
      </c>
      <c r="D852" s="41" t="n"/>
      <c r="E852" s="41" t="n"/>
      <c r="F852" s="17">
        <f>IF(OR($B852="",$D852="",$E852=""),"",ROUND(MOD($E852-$D852,1)*24,2))</f>
        <v/>
      </c>
      <c r="G852" s="16" t="n"/>
      <c r="H852" s="17">
        <f>IF($G852="","",IFERROR(_xlfn.XLOOKUP($G852,nrCHname,nrCHnum),IFERROR(_xlfn.XLOOKUP($G852,nrSUBname,nrSUBparent),"")))</f>
        <v/>
      </c>
      <c r="I852" s="16" t="n"/>
      <c r="J852" s="16" t="n"/>
      <c r="K852" s="17">
        <f>IF($B852="","",IFERROR(_xlfn.XLOOKUP($B852,nrCDdate,nrCDweek),""))</f>
        <v/>
      </c>
      <c r="L852" s="17">
        <f>IF($B852="","",IFERROR(_xlfn.XLOOKUP($B852,nrCDdate,nrCDnum),""))</f>
        <v/>
      </c>
      <c r="M852" s="16" t="n"/>
      <c r="N852" s="17">
        <f>IF(OR($B852="",$I852=""),"",_xlfn.LET(_xlpm.a,$I852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52" s="17">
        <f>IF(OR($B852="",$D852="",$E852=""),"",IF($E852=$D852,"CHECK TIMES (start = end)",IF($F852&gt;12,"CHECK TIMES (End is before Start?)","OK")))</f>
        <v/>
      </c>
      <c r="P852" s="17">
        <f>IF(OR($B852="",$I852=""),"",IF(IFERROR(MATCH($G852,nrBankTopics,0),0)=0,"OK",IF(COUNTA(INDEX(nrBankGrid,IFERROR(MATCH($G852,nrBankTopics,0),1),0))=0,"OK",IF(SUMPRODUCT((nrInstrNames&lt;&gt;"")*ISNUMBER(SEARCH(nrInstrNames,$I852))*(COUNTIF(INDEX(nrBankGrid,IFERROR(MATCH($G852,nrBankTopics,0),1),0),nrInstrNames)&gt;0))&lt;SUMPRODUCT((nrInstrNames&lt;&gt;"")*ISNUMBER(SEARCH(nrInstrNames,$I852))),"NOT IN BANK","OK"))))</f>
        <v/>
      </c>
    </row>
    <row r="853">
      <c r="B853" s="18" t="n"/>
      <c r="C853" s="17">
        <f>IF($B853="","",TEXT($B853,"ddd"))</f>
        <v/>
      </c>
      <c r="D853" s="41" t="n"/>
      <c r="E853" s="41" t="n"/>
      <c r="F853" s="17">
        <f>IF(OR($B853="",$D853="",$E853=""),"",ROUND(MOD($E853-$D853,1)*24,2))</f>
        <v/>
      </c>
      <c r="G853" s="16" t="n"/>
      <c r="H853" s="17">
        <f>IF($G853="","",IFERROR(_xlfn.XLOOKUP($G853,nrCHname,nrCHnum),IFERROR(_xlfn.XLOOKUP($G853,nrSUBname,nrSUBparent),"")))</f>
        <v/>
      </c>
      <c r="I853" s="16" t="n"/>
      <c r="J853" s="16" t="n"/>
      <c r="K853" s="17">
        <f>IF($B853="","",IFERROR(_xlfn.XLOOKUP($B853,nrCDdate,nrCDweek),""))</f>
        <v/>
      </c>
      <c r="L853" s="17">
        <f>IF($B853="","",IFERROR(_xlfn.XLOOKUP($B853,nrCDdate,nrCDnum),""))</f>
        <v/>
      </c>
      <c r="M853" s="16" t="n"/>
      <c r="N853" s="17">
        <f>IF(OR($B853="",$I853=""),"",_xlfn.LET(_xlpm.a,$I853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53" s="17">
        <f>IF(OR($B853="",$D853="",$E853=""),"",IF($E853=$D853,"CHECK TIMES (start = end)",IF($F853&gt;12,"CHECK TIMES (End is before Start?)","OK")))</f>
        <v/>
      </c>
      <c r="P853" s="17">
        <f>IF(OR($B853="",$I853=""),"",IF(IFERROR(MATCH($G853,nrBankTopics,0),0)=0,"OK",IF(COUNTA(INDEX(nrBankGrid,IFERROR(MATCH($G853,nrBankTopics,0),1),0))=0,"OK",IF(SUMPRODUCT((nrInstrNames&lt;&gt;"")*ISNUMBER(SEARCH(nrInstrNames,$I853))*(COUNTIF(INDEX(nrBankGrid,IFERROR(MATCH($G853,nrBankTopics,0),1),0),nrInstrNames)&gt;0))&lt;SUMPRODUCT((nrInstrNames&lt;&gt;"")*ISNUMBER(SEARCH(nrInstrNames,$I853))),"NOT IN BANK","OK"))))</f>
        <v/>
      </c>
    </row>
    <row r="854">
      <c r="B854" s="18" t="n"/>
      <c r="C854" s="17">
        <f>IF($B854="","",TEXT($B854,"ddd"))</f>
        <v/>
      </c>
      <c r="D854" s="41" t="n"/>
      <c r="E854" s="41" t="n"/>
      <c r="F854" s="17">
        <f>IF(OR($B854="",$D854="",$E854=""),"",ROUND(MOD($E854-$D854,1)*24,2))</f>
        <v/>
      </c>
      <c r="G854" s="16" t="n"/>
      <c r="H854" s="17">
        <f>IF($G854="","",IFERROR(_xlfn.XLOOKUP($G854,nrCHname,nrCHnum),IFERROR(_xlfn.XLOOKUP($G854,nrSUBname,nrSUBparent),"")))</f>
        <v/>
      </c>
      <c r="I854" s="16" t="n"/>
      <c r="J854" s="16" t="n"/>
      <c r="K854" s="17">
        <f>IF($B854="","",IFERROR(_xlfn.XLOOKUP($B854,nrCDdate,nrCDweek),""))</f>
        <v/>
      </c>
      <c r="L854" s="17">
        <f>IF($B854="","",IFERROR(_xlfn.XLOOKUP($B854,nrCDdate,nrCDnum),""))</f>
        <v/>
      </c>
      <c r="M854" s="16" t="n"/>
      <c r="N854" s="17">
        <f>IF(OR($B854="",$I854=""),"",_xlfn.LET(_xlpm.a,$I854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54" s="17">
        <f>IF(OR($B854="",$D854="",$E854=""),"",IF($E854=$D854,"CHECK TIMES (start = end)",IF($F854&gt;12,"CHECK TIMES (End is before Start?)","OK")))</f>
        <v/>
      </c>
      <c r="P854" s="17">
        <f>IF(OR($B854="",$I854=""),"",IF(IFERROR(MATCH($G854,nrBankTopics,0),0)=0,"OK",IF(COUNTA(INDEX(nrBankGrid,IFERROR(MATCH($G854,nrBankTopics,0),1),0))=0,"OK",IF(SUMPRODUCT((nrInstrNames&lt;&gt;"")*ISNUMBER(SEARCH(nrInstrNames,$I854))*(COUNTIF(INDEX(nrBankGrid,IFERROR(MATCH($G854,nrBankTopics,0),1),0),nrInstrNames)&gt;0))&lt;SUMPRODUCT((nrInstrNames&lt;&gt;"")*ISNUMBER(SEARCH(nrInstrNames,$I854))),"NOT IN BANK","OK"))))</f>
        <v/>
      </c>
    </row>
    <row r="855">
      <c r="B855" s="18" t="n"/>
      <c r="C855" s="17">
        <f>IF($B855="","",TEXT($B855,"ddd"))</f>
        <v/>
      </c>
      <c r="D855" s="41" t="n"/>
      <c r="E855" s="41" t="n"/>
      <c r="F855" s="17">
        <f>IF(OR($B855="",$D855="",$E855=""),"",ROUND(MOD($E855-$D855,1)*24,2))</f>
        <v/>
      </c>
      <c r="G855" s="16" t="n"/>
      <c r="H855" s="17">
        <f>IF($G855="","",IFERROR(_xlfn.XLOOKUP($G855,nrCHname,nrCHnum),IFERROR(_xlfn.XLOOKUP($G855,nrSUBname,nrSUBparent),"")))</f>
        <v/>
      </c>
      <c r="I855" s="16" t="n"/>
      <c r="J855" s="16" t="n"/>
      <c r="K855" s="17">
        <f>IF($B855="","",IFERROR(_xlfn.XLOOKUP($B855,nrCDdate,nrCDweek),""))</f>
        <v/>
      </c>
      <c r="L855" s="17">
        <f>IF($B855="","",IFERROR(_xlfn.XLOOKUP($B855,nrCDdate,nrCDnum),""))</f>
        <v/>
      </c>
      <c r="M855" s="16" t="n"/>
      <c r="N855" s="17">
        <f>IF(OR($B855="",$I855=""),"",_xlfn.LET(_xlpm.a,$I855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55" s="17">
        <f>IF(OR($B855="",$D855="",$E855=""),"",IF($E855=$D855,"CHECK TIMES (start = end)",IF($F855&gt;12,"CHECK TIMES (End is before Start?)","OK")))</f>
        <v/>
      </c>
      <c r="P855" s="17">
        <f>IF(OR($B855="",$I855=""),"",IF(IFERROR(MATCH($G855,nrBankTopics,0),0)=0,"OK",IF(COUNTA(INDEX(nrBankGrid,IFERROR(MATCH($G855,nrBankTopics,0),1),0))=0,"OK",IF(SUMPRODUCT((nrInstrNames&lt;&gt;"")*ISNUMBER(SEARCH(nrInstrNames,$I855))*(COUNTIF(INDEX(nrBankGrid,IFERROR(MATCH($G855,nrBankTopics,0),1),0),nrInstrNames)&gt;0))&lt;SUMPRODUCT((nrInstrNames&lt;&gt;"")*ISNUMBER(SEARCH(nrInstrNames,$I855))),"NOT IN BANK","OK"))))</f>
        <v/>
      </c>
    </row>
    <row r="856">
      <c r="B856" s="18" t="n"/>
      <c r="C856" s="17">
        <f>IF($B856="","",TEXT($B856,"ddd"))</f>
        <v/>
      </c>
      <c r="D856" s="41" t="n"/>
      <c r="E856" s="41" t="n"/>
      <c r="F856" s="17">
        <f>IF(OR($B856="",$D856="",$E856=""),"",ROUND(MOD($E856-$D856,1)*24,2))</f>
        <v/>
      </c>
      <c r="G856" s="16" t="n"/>
      <c r="H856" s="17">
        <f>IF($G856="","",IFERROR(_xlfn.XLOOKUP($G856,nrCHname,nrCHnum),IFERROR(_xlfn.XLOOKUP($G856,nrSUBname,nrSUBparent),"")))</f>
        <v/>
      </c>
      <c r="I856" s="16" t="n"/>
      <c r="J856" s="16" t="n"/>
      <c r="K856" s="17">
        <f>IF($B856="","",IFERROR(_xlfn.XLOOKUP($B856,nrCDdate,nrCDweek),""))</f>
        <v/>
      </c>
      <c r="L856" s="17">
        <f>IF($B856="","",IFERROR(_xlfn.XLOOKUP($B856,nrCDdate,nrCDnum),""))</f>
        <v/>
      </c>
      <c r="M856" s="16" t="n"/>
      <c r="N856" s="17">
        <f>IF(OR($B856="",$I856=""),"",_xlfn.LET(_xlpm.a,$I856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56" s="17">
        <f>IF(OR($B856="",$D856="",$E856=""),"",IF($E856=$D856,"CHECK TIMES (start = end)",IF($F856&gt;12,"CHECK TIMES (End is before Start?)","OK")))</f>
        <v/>
      </c>
      <c r="P856" s="17">
        <f>IF(OR($B856="",$I856=""),"",IF(IFERROR(MATCH($G856,nrBankTopics,0),0)=0,"OK",IF(COUNTA(INDEX(nrBankGrid,IFERROR(MATCH($G856,nrBankTopics,0),1),0))=0,"OK",IF(SUMPRODUCT((nrInstrNames&lt;&gt;"")*ISNUMBER(SEARCH(nrInstrNames,$I856))*(COUNTIF(INDEX(nrBankGrid,IFERROR(MATCH($G856,nrBankTopics,0),1),0),nrInstrNames)&gt;0))&lt;SUMPRODUCT((nrInstrNames&lt;&gt;"")*ISNUMBER(SEARCH(nrInstrNames,$I856))),"NOT IN BANK","OK"))))</f>
        <v/>
      </c>
    </row>
    <row r="857">
      <c r="B857" s="18" t="n"/>
      <c r="C857" s="17">
        <f>IF($B857="","",TEXT($B857,"ddd"))</f>
        <v/>
      </c>
      <c r="D857" s="41" t="n"/>
      <c r="E857" s="41" t="n"/>
      <c r="F857" s="17">
        <f>IF(OR($B857="",$D857="",$E857=""),"",ROUND(MOD($E857-$D857,1)*24,2))</f>
        <v/>
      </c>
      <c r="G857" s="16" t="n"/>
      <c r="H857" s="17">
        <f>IF($G857="","",IFERROR(_xlfn.XLOOKUP($G857,nrCHname,nrCHnum),IFERROR(_xlfn.XLOOKUP($G857,nrSUBname,nrSUBparent),"")))</f>
        <v/>
      </c>
      <c r="I857" s="16" t="n"/>
      <c r="J857" s="16" t="n"/>
      <c r="K857" s="17">
        <f>IF($B857="","",IFERROR(_xlfn.XLOOKUP($B857,nrCDdate,nrCDweek),""))</f>
        <v/>
      </c>
      <c r="L857" s="17">
        <f>IF($B857="","",IFERROR(_xlfn.XLOOKUP($B857,nrCDdate,nrCDnum),""))</f>
        <v/>
      </c>
      <c r="M857" s="16" t="n"/>
      <c r="N857" s="17">
        <f>IF(OR($B857="",$I857=""),"",_xlfn.LET(_xlpm.a,$I857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57" s="17">
        <f>IF(OR($B857="",$D857="",$E857=""),"",IF($E857=$D857,"CHECK TIMES (start = end)",IF($F857&gt;12,"CHECK TIMES (End is before Start?)","OK")))</f>
        <v/>
      </c>
      <c r="P857" s="17">
        <f>IF(OR($B857="",$I857=""),"",IF(IFERROR(MATCH($G857,nrBankTopics,0),0)=0,"OK",IF(COUNTA(INDEX(nrBankGrid,IFERROR(MATCH($G857,nrBankTopics,0),1),0))=0,"OK",IF(SUMPRODUCT((nrInstrNames&lt;&gt;"")*ISNUMBER(SEARCH(nrInstrNames,$I857))*(COUNTIF(INDEX(nrBankGrid,IFERROR(MATCH($G857,nrBankTopics,0),1),0),nrInstrNames)&gt;0))&lt;SUMPRODUCT((nrInstrNames&lt;&gt;"")*ISNUMBER(SEARCH(nrInstrNames,$I857))),"NOT IN BANK","OK"))))</f>
        <v/>
      </c>
    </row>
    <row r="858">
      <c r="B858" s="18" t="n"/>
      <c r="C858" s="17">
        <f>IF($B858="","",TEXT($B858,"ddd"))</f>
        <v/>
      </c>
      <c r="D858" s="41" t="n"/>
      <c r="E858" s="41" t="n"/>
      <c r="F858" s="17">
        <f>IF(OR($B858="",$D858="",$E858=""),"",ROUND(MOD($E858-$D858,1)*24,2))</f>
        <v/>
      </c>
      <c r="G858" s="16" t="n"/>
      <c r="H858" s="17">
        <f>IF($G858="","",IFERROR(_xlfn.XLOOKUP($G858,nrCHname,nrCHnum),IFERROR(_xlfn.XLOOKUP($G858,nrSUBname,nrSUBparent),"")))</f>
        <v/>
      </c>
      <c r="I858" s="16" t="n"/>
      <c r="J858" s="16" t="n"/>
      <c r="K858" s="17">
        <f>IF($B858="","",IFERROR(_xlfn.XLOOKUP($B858,nrCDdate,nrCDweek),""))</f>
        <v/>
      </c>
      <c r="L858" s="17">
        <f>IF($B858="","",IFERROR(_xlfn.XLOOKUP($B858,nrCDdate,nrCDnum),""))</f>
        <v/>
      </c>
      <c r="M858" s="16" t="n"/>
      <c r="N858" s="17">
        <f>IF(OR($B858="",$I858=""),"",_xlfn.LET(_xlpm.a,$I858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58" s="17">
        <f>IF(OR($B858="",$D858="",$E858=""),"",IF($E858=$D858,"CHECK TIMES (start = end)",IF($F858&gt;12,"CHECK TIMES (End is before Start?)","OK")))</f>
        <v/>
      </c>
      <c r="P858" s="17">
        <f>IF(OR($B858="",$I858=""),"",IF(IFERROR(MATCH($G858,nrBankTopics,0),0)=0,"OK",IF(COUNTA(INDEX(nrBankGrid,IFERROR(MATCH($G858,nrBankTopics,0),1),0))=0,"OK",IF(SUMPRODUCT((nrInstrNames&lt;&gt;"")*ISNUMBER(SEARCH(nrInstrNames,$I858))*(COUNTIF(INDEX(nrBankGrid,IFERROR(MATCH($G858,nrBankTopics,0),1),0),nrInstrNames)&gt;0))&lt;SUMPRODUCT((nrInstrNames&lt;&gt;"")*ISNUMBER(SEARCH(nrInstrNames,$I858))),"NOT IN BANK","OK"))))</f>
        <v/>
      </c>
    </row>
    <row r="859">
      <c r="B859" s="18" t="n"/>
      <c r="C859" s="17">
        <f>IF($B859="","",TEXT($B859,"ddd"))</f>
        <v/>
      </c>
      <c r="D859" s="41" t="n"/>
      <c r="E859" s="41" t="n"/>
      <c r="F859" s="17">
        <f>IF(OR($B859="",$D859="",$E859=""),"",ROUND(MOD($E859-$D859,1)*24,2))</f>
        <v/>
      </c>
      <c r="G859" s="16" t="n"/>
      <c r="H859" s="17">
        <f>IF($G859="","",IFERROR(_xlfn.XLOOKUP($G859,nrCHname,nrCHnum),IFERROR(_xlfn.XLOOKUP($G859,nrSUBname,nrSUBparent),"")))</f>
        <v/>
      </c>
      <c r="I859" s="16" t="n"/>
      <c r="J859" s="16" t="n"/>
      <c r="K859" s="17">
        <f>IF($B859="","",IFERROR(_xlfn.XLOOKUP($B859,nrCDdate,nrCDweek),""))</f>
        <v/>
      </c>
      <c r="L859" s="17">
        <f>IF($B859="","",IFERROR(_xlfn.XLOOKUP($B859,nrCDdate,nrCDnum),""))</f>
        <v/>
      </c>
      <c r="M859" s="16" t="n"/>
      <c r="N859" s="17">
        <f>IF(OR($B859="",$I859=""),"",_xlfn.LET(_xlpm.a,$I859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59" s="17">
        <f>IF(OR($B859="",$D859="",$E859=""),"",IF($E859=$D859,"CHECK TIMES (start = end)",IF($F859&gt;12,"CHECK TIMES (End is before Start?)","OK")))</f>
        <v/>
      </c>
      <c r="P859" s="17">
        <f>IF(OR($B859="",$I859=""),"",IF(IFERROR(MATCH($G859,nrBankTopics,0),0)=0,"OK",IF(COUNTA(INDEX(nrBankGrid,IFERROR(MATCH($G859,nrBankTopics,0),1),0))=0,"OK",IF(SUMPRODUCT((nrInstrNames&lt;&gt;"")*ISNUMBER(SEARCH(nrInstrNames,$I859))*(COUNTIF(INDEX(nrBankGrid,IFERROR(MATCH($G859,nrBankTopics,0),1),0),nrInstrNames)&gt;0))&lt;SUMPRODUCT((nrInstrNames&lt;&gt;"")*ISNUMBER(SEARCH(nrInstrNames,$I859))),"NOT IN BANK","OK"))))</f>
        <v/>
      </c>
    </row>
    <row r="860">
      <c r="B860" s="18" t="n"/>
      <c r="C860" s="17">
        <f>IF($B860="","",TEXT($B860,"ddd"))</f>
        <v/>
      </c>
      <c r="D860" s="41" t="n"/>
      <c r="E860" s="41" t="n"/>
      <c r="F860" s="17">
        <f>IF(OR($B860="",$D860="",$E860=""),"",ROUND(MOD($E860-$D860,1)*24,2))</f>
        <v/>
      </c>
      <c r="G860" s="16" t="n"/>
      <c r="H860" s="17">
        <f>IF($G860="","",IFERROR(_xlfn.XLOOKUP($G860,nrCHname,nrCHnum),IFERROR(_xlfn.XLOOKUP($G860,nrSUBname,nrSUBparent),"")))</f>
        <v/>
      </c>
      <c r="I860" s="16" t="n"/>
      <c r="J860" s="16" t="n"/>
      <c r="K860" s="17">
        <f>IF($B860="","",IFERROR(_xlfn.XLOOKUP($B860,nrCDdate,nrCDweek),""))</f>
        <v/>
      </c>
      <c r="L860" s="17">
        <f>IF($B860="","",IFERROR(_xlfn.XLOOKUP($B860,nrCDdate,nrCDnum),""))</f>
        <v/>
      </c>
      <c r="M860" s="16" t="n"/>
      <c r="N860" s="17">
        <f>IF(OR($B860="",$I860=""),"",_xlfn.LET(_xlpm.a,$I860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60" s="17">
        <f>IF(OR($B860="",$D860="",$E860=""),"",IF($E860=$D860,"CHECK TIMES (start = end)",IF($F860&gt;12,"CHECK TIMES (End is before Start?)","OK")))</f>
        <v/>
      </c>
      <c r="P860" s="17">
        <f>IF(OR($B860="",$I860=""),"",IF(IFERROR(MATCH($G860,nrBankTopics,0),0)=0,"OK",IF(COUNTA(INDEX(nrBankGrid,IFERROR(MATCH($G860,nrBankTopics,0),1),0))=0,"OK",IF(SUMPRODUCT((nrInstrNames&lt;&gt;"")*ISNUMBER(SEARCH(nrInstrNames,$I860))*(COUNTIF(INDEX(nrBankGrid,IFERROR(MATCH($G860,nrBankTopics,0),1),0),nrInstrNames)&gt;0))&lt;SUMPRODUCT((nrInstrNames&lt;&gt;"")*ISNUMBER(SEARCH(nrInstrNames,$I860))),"NOT IN BANK","OK"))))</f>
        <v/>
      </c>
    </row>
    <row r="861">
      <c r="B861" s="18" t="n"/>
      <c r="C861" s="17">
        <f>IF($B861="","",TEXT($B861,"ddd"))</f>
        <v/>
      </c>
      <c r="D861" s="41" t="n"/>
      <c r="E861" s="41" t="n"/>
      <c r="F861" s="17">
        <f>IF(OR($B861="",$D861="",$E861=""),"",ROUND(MOD($E861-$D861,1)*24,2))</f>
        <v/>
      </c>
      <c r="G861" s="16" t="n"/>
      <c r="H861" s="17">
        <f>IF($G861="","",IFERROR(_xlfn.XLOOKUP($G861,nrCHname,nrCHnum),IFERROR(_xlfn.XLOOKUP($G861,nrSUBname,nrSUBparent),"")))</f>
        <v/>
      </c>
      <c r="I861" s="16" t="n"/>
      <c r="J861" s="16" t="n"/>
      <c r="K861" s="17">
        <f>IF($B861="","",IFERROR(_xlfn.XLOOKUP($B861,nrCDdate,nrCDweek),""))</f>
        <v/>
      </c>
      <c r="L861" s="17">
        <f>IF($B861="","",IFERROR(_xlfn.XLOOKUP($B861,nrCDdate,nrCDnum),""))</f>
        <v/>
      </c>
      <c r="M861" s="16" t="n"/>
      <c r="N861" s="17">
        <f>IF(OR($B861="",$I861=""),"",_xlfn.LET(_xlpm.a,$I861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61" s="17">
        <f>IF(OR($B861="",$D861="",$E861=""),"",IF($E861=$D861,"CHECK TIMES (start = end)",IF($F861&gt;12,"CHECK TIMES (End is before Start?)","OK")))</f>
        <v/>
      </c>
      <c r="P861" s="17">
        <f>IF(OR($B861="",$I861=""),"",IF(IFERROR(MATCH($G861,nrBankTopics,0),0)=0,"OK",IF(COUNTA(INDEX(nrBankGrid,IFERROR(MATCH($G861,nrBankTopics,0),1),0))=0,"OK",IF(SUMPRODUCT((nrInstrNames&lt;&gt;"")*ISNUMBER(SEARCH(nrInstrNames,$I861))*(COUNTIF(INDEX(nrBankGrid,IFERROR(MATCH($G861,nrBankTopics,0),1),0),nrInstrNames)&gt;0))&lt;SUMPRODUCT((nrInstrNames&lt;&gt;"")*ISNUMBER(SEARCH(nrInstrNames,$I861))),"NOT IN BANK","OK"))))</f>
        <v/>
      </c>
    </row>
    <row r="862">
      <c r="B862" s="18" t="n"/>
      <c r="C862" s="17">
        <f>IF($B862="","",TEXT($B862,"ddd"))</f>
        <v/>
      </c>
      <c r="D862" s="41" t="n"/>
      <c r="E862" s="41" t="n"/>
      <c r="F862" s="17">
        <f>IF(OR($B862="",$D862="",$E862=""),"",ROUND(MOD($E862-$D862,1)*24,2))</f>
        <v/>
      </c>
      <c r="G862" s="16" t="n"/>
      <c r="H862" s="17">
        <f>IF($G862="","",IFERROR(_xlfn.XLOOKUP($G862,nrCHname,nrCHnum),IFERROR(_xlfn.XLOOKUP($G862,nrSUBname,nrSUBparent),"")))</f>
        <v/>
      </c>
      <c r="I862" s="16" t="n"/>
      <c r="J862" s="16" t="n"/>
      <c r="K862" s="17">
        <f>IF($B862="","",IFERROR(_xlfn.XLOOKUP($B862,nrCDdate,nrCDweek),""))</f>
        <v/>
      </c>
      <c r="L862" s="17">
        <f>IF($B862="","",IFERROR(_xlfn.XLOOKUP($B862,nrCDdate,nrCDnum),""))</f>
        <v/>
      </c>
      <c r="M862" s="16" t="n"/>
      <c r="N862" s="17">
        <f>IF(OR($B862="",$I862=""),"",_xlfn.LET(_xlpm.a,$I862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62" s="17">
        <f>IF(OR($B862="",$D862="",$E862=""),"",IF($E862=$D862,"CHECK TIMES (start = end)",IF($F862&gt;12,"CHECK TIMES (End is before Start?)","OK")))</f>
        <v/>
      </c>
      <c r="P862" s="17">
        <f>IF(OR($B862="",$I862=""),"",IF(IFERROR(MATCH($G862,nrBankTopics,0),0)=0,"OK",IF(COUNTA(INDEX(nrBankGrid,IFERROR(MATCH($G862,nrBankTopics,0),1),0))=0,"OK",IF(SUMPRODUCT((nrInstrNames&lt;&gt;"")*ISNUMBER(SEARCH(nrInstrNames,$I862))*(COUNTIF(INDEX(nrBankGrid,IFERROR(MATCH($G862,nrBankTopics,0),1),0),nrInstrNames)&gt;0))&lt;SUMPRODUCT((nrInstrNames&lt;&gt;"")*ISNUMBER(SEARCH(nrInstrNames,$I862))),"NOT IN BANK","OK"))))</f>
        <v/>
      </c>
    </row>
    <row r="863">
      <c r="B863" s="18" t="n"/>
      <c r="C863" s="17">
        <f>IF($B863="","",TEXT($B863,"ddd"))</f>
        <v/>
      </c>
      <c r="D863" s="41" t="n"/>
      <c r="E863" s="41" t="n"/>
      <c r="F863" s="17">
        <f>IF(OR($B863="",$D863="",$E863=""),"",ROUND(MOD($E863-$D863,1)*24,2))</f>
        <v/>
      </c>
      <c r="G863" s="16" t="n"/>
      <c r="H863" s="17">
        <f>IF($G863="","",IFERROR(_xlfn.XLOOKUP($G863,nrCHname,nrCHnum),IFERROR(_xlfn.XLOOKUP($G863,nrSUBname,nrSUBparent),"")))</f>
        <v/>
      </c>
      <c r="I863" s="16" t="n"/>
      <c r="J863" s="16" t="n"/>
      <c r="K863" s="17">
        <f>IF($B863="","",IFERROR(_xlfn.XLOOKUP($B863,nrCDdate,nrCDweek),""))</f>
        <v/>
      </c>
      <c r="L863" s="17">
        <f>IF($B863="","",IFERROR(_xlfn.XLOOKUP($B863,nrCDdate,nrCDnum),""))</f>
        <v/>
      </c>
      <c r="M863" s="16" t="n"/>
      <c r="N863" s="17">
        <f>IF(OR($B863="",$I863=""),"",_xlfn.LET(_xlpm.a,$I863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63" s="17">
        <f>IF(OR($B863="",$D863="",$E863=""),"",IF($E863=$D863,"CHECK TIMES (start = end)",IF($F863&gt;12,"CHECK TIMES (End is before Start?)","OK")))</f>
        <v/>
      </c>
      <c r="P863" s="17">
        <f>IF(OR($B863="",$I863=""),"",IF(IFERROR(MATCH($G863,nrBankTopics,0),0)=0,"OK",IF(COUNTA(INDEX(nrBankGrid,IFERROR(MATCH($G863,nrBankTopics,0),1),0))=0,"OK",IF(SUMPRODUCT((nrInstrNames&lt;&gt;"")*ISNUMBER(SEARCH(nrInstrNames,$I863))*(COUNTIF(INDEX(nrBankGrid,IFERROR(MATCH($G863,nrBankTopics,0),1),0),nrInstrNames)&gt;0))&lt;SUMPRODUCT((nrInstrNames&lt;&gt;"")*ISNUMBER(SEARCH(nrInstrNames,$I863))),"NOT IN BANK","OK"))))</f>
        <v/>
      </c>
    </row>
    <row r="864">
      <c r="B864" s="18" t="n"/>
      <c r="C864" s="17">
        <f>IF($B864="","",TEXT($B864,"ddd"))</f>
        <v/>
      </c>
      <c r="D864" s="41" t="n"/>
      <c r="E864" s="41" t="n"/>
      <c r="F864" s="17">
        <f>IF(OR($B864="",$D864="",$E864=""),"",ROUND(MOD($E864-$D864,1)*24,2))</f>
        <v/>
      </c>
      <c r="G864" s="16" t="n"/>
      <c r="H864" s="17">
        <f>IF($G864="","",IFERROR(_xlfn.XLOOKUP($G864,nrCHname,nrCHnum),IFERROR(_xlfn.XLOOKUP($G864,nrSUBname,nrSUBparent),"")))</f>
        <v/>
      </c>
      <c r="I864" s="16" t="n"/>
      <c r="J864" s="16" t="n"/>
      <c r="K864" s="17">
        <f>IF($B864="","",IFERROR(_xlfn.XLOOKUP($B864,nrCDdate,nrCDweek),""))</f>
        <v/>
      </c>
      <c r="L864" s="17">
        <f>IF($B864="","",IFERROR(_xlfn.XLOOKUP($B864,nrCDdate,nrCDnum),""))</f>
        <v/>
      </c>
      <c r="M864" s="16" t="n"/>
      <c r="N864" s="17">
        <f>IF(OR($B864="",$I864=""),"",_xlfn.LET(_xlpm.a,$I864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64" s="17">
        <f>IF(OR($B864="",$D864="",$E864=""),"",IF($E864=$D864,"CHECK TIMES (start = end)",IF($F864&gt;12,"CHECK TIMES (End is before Start?)","OK")))</f>
        <v/>
      </c>
      <c r="P864" s="17">
        <f>IF(OR($B864="",$I864=""),"",IF(IFERROR(MATCH($G864,nrBankTopics,0),0)=0,"OK",IF(COUNTA(INDEX(nrBankGrid,IFERROR(MATCH($G864,nrBankTopics,0),1),0))=0,"OK",IF(SUMPRODUCT((nrInstrNames&lt;&gt;"")*ISNUMBER(SEARCH(nrInstrNames,$I864))*(COUNTIF(INDEX(nrBankGrid,IFERROR(MATCH($G864,nrBankTopics,0),1),0),nrInstrNames)&gt;0))&lt;SUMPRODUCT((nrInstrNames&lt;&gt;"")*ISNUMBER(SEARCH(nrInstrNames,$I864))),"NOT IN BANK","OK"))))</f>
        <v/>
      </c>
    </row>
    <row r="865">
      <c r="B865" s="18" t="n"/>
      <c r="C865" s="17">
        <f>IF($B865="","",TEXT($B865,"ddd"))</f>
        <v/>
      </c>
      <c r="D865" s="41" t="n"/>
      <c r="E865" s="41" t="n"/>
      <c r="F865" s="17">
        <f>IF(OR($B865="",$D865="",$E865=""),"",ROUND(MOD($E865-$D865,1)*24,2))</f>
        <v/>
      </c>
      <c r="G865" s="16" t="n"/>
      <c r="H865" s="17">
        <f>IF($G865="","",IFERROR(_xlfn.XLOOKUP($G865,nrCHname,nrCHnum),IFERROR(_xlfn.XLOOKUP($G865,nrSUBname,nrSUBparent),"")))</f>
        <v/>
      </c>
      <c r="I865" s="16" t="n"/>
      <c r="J865" s="16" t="n"/>
      <c r="K865" s="17">
        <f>IF($B865="","",IFERROR(_xlfn.XLOOKUP($B865,nrCDdate,nrCDweek),""))</f>
        <v/>
      </c>
      <c r="L865" s="17">
        <f>IF($B865="","",IFERROR(_xlfn.XLOOKUP($B865,nrCDdate,nrCDnum),""))</f>
        <v/>
      </c>
      <c r="M865" s="16" t="n"/>
      <c r="N865" s="17">
        <f>IF(OR($B865="",$I865=""),"",_xlfn.LET(_xlpm.a,$I865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65" s="17">
        <f>IF(OR($B865="",$D865="",$E865=""),"",IF($E865=$D865,"CHECK TIMES (start = end)",IF($F865&gt;12,"CHECK TIMES (End is before Start?)","OK")))</f>
        <v/>
      </c>
      <c r="P865" s="17">
        <f>IF(OR($B865="",$I865=""),"",IF(IFERROR(MATCH($G865,nrBankTopics,0),0)=0,"OK",IF(COUNTA(INDEX(nrBankGrid,IFERROR(MATCH($G865,nrBankTopics,0),1),0))=0,"OK",IF(SUMPRODUCT((nrInstrNames&lt;&gt;"")*ISNUMBER(SEARCH(nrInstrNames,$I865))*(COUNTIF(INDEX(nrBankGrid,IFERROR(MATCH($G865,nrBankTopics,0),1),0),nrInstrNames)&gt;0))&lt;SUMPRODUCT((nrInstrNames&lt;&gt;"")*ISNUMBER(SEARCH(nrInstrNames,$I865))),"NOT IN BANK","OK"))))</f>
        <v/>
      </c>
    </row>
    <row r="866">
      <c r="B866" s="18" t="n"/>
      <c r="C866" s="17">
        <f>IF($B866="","",TEXT($B866,"ddd"))</f>
        <v/>
      </c>
      <c r="D866" s="41" t="n"/>
      <c r="E866" s="41" t="n"/>
      <c r="F866" s="17">
        <f>IF(OR($B866="",$D866="",$E866=""),"",ROUND(MOD($E866-$D866,1)*24,2))</f>
        <v/>
      </c>
      <c r="G866" s="16" t="n"/>
      <c r="H866" s="17">
        <f>IF($G866="","",IFERROR(_xlfn.XLOOKUP($G866,nrCHname,nrCHnum),IFERROR(_xlfn.XLOOKUP($G866,nrSUBname,nrSUBparent),"")))</f>
        <v/>
      </c>
      <c r="I866" s="16" t="n"/>
      <c r="J866" s="16" t="n"/>
      <c r="K866" s="17">
        <f>IF($B866="","",IFERROR(_xlfn.XLOOKUP($B866,nrCDdate,nrCDweek),""))</f>
        <v/>
      </c>
      <c r="L866" s="17">
        <f>IF($B866="","",IFERROR(_xlfn.XLOOKUP($B866,nrCDdate,nrCDnum),""))</f>
        <v/>
      </c>
      <c r="M866" s="16" t="n"/>
      <c r="N866" s="17">
        <f>IF(OR($B866="",$I866=""),"",_xlfn.LET(_xlpm.a,$I866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66" s="17">
        <f>IF(OR($B866="",$D866="",$E866=""),"",IF($E866=$D866,"CHECK TIMES (start = end)",IF($F866&gt;12,"CHECK TIMES (End is before Start?)","OK")))</f>
        <v/>
      </c>
      <c r="P866" s="17">
        <f>IF(OR($B866="",$I866=""),"",IF(IFERROR(MATCH($G866,nrBankTopics,0),0)=0,"OK",IF(COUNTA(INDEX(nrBankGrid,IFERROR(MATCH($G866,nrBankTopics,0),1),0))=0,"OK",IF(SUMPRODUCT((nrInstrNames&lt;&gt;"")*ISNUMBER(SEARCH(nrInstrNames,$I866))*(COUNTIF(INDEX(nrBankGrid,IFERROR(MATCH($G866,nrBankTopics,0),1),0),nrInstrNames)&gt;0))&lt;SUMPRODUCT((nrInstrNames&lt;&gt;"")*ISNUMBER(SEARCH(nrInstrNames,$I866))),"NOT IN BANK","OK"))))</f>
        <v/>
      </c>
    </row>
    <row r="867">
      <c r="B867" s="18" t="n"/>
      <c r="C867" s="17">
        <f>IF($B867="","",TEXT($B867,"ddd"))</f>
        <v/>
      </c>
      <c r="D867" s="41" t="n"/>
      <c r="E867" s="41" t="n"/>
      <c r="F867" s="17">
        <f>IF(OR($B867="",$D867="",$E867=""),"",ROUND(MOD($E867-$D867,1)*24,2))</f>
        <v/>
      </c>
      <c r="G867" s="16" t="n"/>
      <c r="H867" s="17">
        <f>IF($G867="","",IFERROR(_xlfn.XLOOKUP($G867,nrCHname,nrCHnum),IFERROR(_xlfn.XLOOKUP($G867,nrSUBname,nrSUBparent),"")))</f>
        <v/>
      </c>
      <c r="I867" s="16" t="n"/>
      <c r="J867" s="16" t="n"/>
      <c r="K867" s="17">
        <f>IF($B867="","",IFERROR(_xlfn.XLOOKUP($B867,nrCDdate,nrCDweek),""))</f>
        <v/>
      </c>
      <c r="L867" s="17">
        <f>IF($B867="","",IFERROR(_xlfn.XLOOKUP($B867,nrCDdate,nrCDnum),""))</f>
        <v/>
      </c>
      <c r="M867" s="16" t="n"/>
      <c r="N867" s="17">
        <f>IF(OR($B867="",$I867=""),"",_xlfn.LET(_xlpm.a,$I867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67" s="17">
        <f>IF(OR($B867="",$D867="",$E867=""),"",IF($E867=$D867,"CHECK TIMES (start = end)",IF($F867&gt;12,"CHECK TIMES (End is before Start?)","OK")))</f>
        <v/>
      </c>
      <c r="P867" s="17">
        <f>IF(OR($B867="",$I867=""),"",IF(IFERROR(MATCH($G867,nrBankTopics,0),0)=0,"OK",IF(COUNTA(INDEX(nrBankGrid,IFERROR(MATCH($G867,nrBankTopics,0),1),0))=0,"OK",IF(SUMPRODUCT((nrInstrNames&lt;&gt;"")*ISNUMBER(SEARCH(nrInstrNames,$I867))*(COUNTIF(INDEX(nrBankGrid,IFERROR(MATCH($G867,nrBankTopics,0),1),0),nrInstrNames)&gt;0))&lt;SUMPRODUCT((nrInstrNames&lt;&gt;"")*ISNUMBER(SEARCH(nrInstrNames,$I867))),"NOT IN BANK","OK"))))</f>
        <v/>
      </c>
    </row>
    <row r="868">
      <c r="B868" s="18" t="n"/>
      <c r="C868" s="17">
        <f>IF($B868="","",TEXT($B868,"ddd"))</f>
        <v/>
      </c>
      <c r="D868" s="41" t="n"/>
      <c r="E868" s="41" t="n"/>
      <c r="F868" s="17">
        <f>IF(OR($B868="",$D868="",$E868=""),"",ROUND(MOD($E868-$D868,1)*24,2))</f>
        <v/>
      </c>
      <c r="G868" s="16" t="n"/>
      <c r="H868" s="17">
        <f>IF($G868="","",IFERROR(_xlfn.XLOOKUP($G868,nrCHname,nrCHnum),IFERROR(_xlfn.XLOOKUP($G868,nrSUBname,nrSUBparent),"")))</f>
        <v/>
      </c>
      <c r="I868" s="16" t="n"/>
      <c r="J868" s="16" t="n"/>
      <c r="K868" s="17">
        <f>IF($B868="","",IFERROR(_xlfn.XLOOKUP($B868,nrCDdate,nrCDweek),""))</f>
        <v/>
      </c>
      <c r="L868" s="17">
        <f>IF($B868="","",IFERROR(_xlfn.XLOOKUP($B868,nrCDdate,nrCDnum),""))</f>
        <v/>
      </c>
      <c r="M868" s="16" t="n"/>
      <c r="N868" s="17">
        <f>IF(OR($B868="",$I868=""),"",_xlfn.LET(_xlpm.a,$I868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68" s="17">
        <f>IF(OR($B868="",$D868="",$E868=""),"",IF($E868=$D868,"CHECK TIMES (start = end)",IF($F868&gt;12,"CHECK TIMES (End is before Start?)","OK")))</f>
        <v/>
      </c>
      <c r="P868" s="17">
        <f>IF(OR($B868="",$I868=""),"",IF(IFERROR(MATCH($G868,nrBankTopics,0),0)=0,"OK",IF(COUNTA(INDEX(nrBankGrid,IFERROR(MATCH($G868,nrBankTopics,0),1),0))=0,"OK",IF(SUMPRODUCT((nrInstrNames&lt;&gt;"")*ISNUMBER(SEARCH(nrInstrNames,$I868))*(COUNTIF(INDEX(nrBankGrid,IFERROR(MATCH($G868,nrBankTopics,0),1),0),nrInstrNames)&gt;0))&lt;SUMPRODUCT((nrInstrNames&lt;&gt;"")*ISNUMBER(SEARCH(nrInstrNames,$I868))),"NOT IN BANK","OK"))))</f>
        <v/>
      </c>
    </row>
    <row r="869">
      <c r="B869" s="18" t="n"/>
      <c r="C869" s="17">
        <f>IF($B869="","",TEXT($B869,"ddd"))</f>
        <v/>
      </c>
      <c r="D869" s="41" t="n"/>
      <c r="E869" s="41" t="n"/>
      <c r="F869" s="17">
        <f>IF(OR($B869="",$D869="",$E869=""),"",ROUND(MOD($E869-$D869,1)*24,2))</f>
        <v/>
      </c>
      <c r="G869" s="16" t="n"/>
      <c r="H869" s="17">
        <f>IF($G869="","",IFERROR(_xlfn.XLOOKUP($G869,nrCHname,nrCHnum),IFERROR(_xlfn.XLOOKUP($G869,nrSUBname,nrSUBparent),"")))</f>
        <v/>
      </c>
      <c r="I869" s="16" t="n"/>
      <c r="J869" s="16" t="n"/>
      <c r="K869" s="17">
        <f>IF($B869="","",IFERROR(_xlfn.XLOOKUP($B869,nrCDdate,nrCDweek),""))</f>
        <v/>
      </c>
      <c r="L869" s="17">
        <f>IF($B869="","",IFERROR(_xlfn.XLOOKUP($B869,nrCDdate,nrCDnum),""))</f>
        <v/>
      </c>
      <c r="M869" s="16" t="n"/>
      <c r="N869" s="17">
        <f>IF(OR($B869="",$I869=""),"",_xlfn.LET(_xlpm.a,$I869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69" s="17">
        <f>IF(OR($B869="",$D869="",$E869=""),"",IF($E869=$D869,"CHECK TIMES (start = end)",IF($F869&gt;12,"CHECK TIMES (End is before Start?)","OK")))</f>
        <v/>
      </c>
      <c r="P869" s="17">
        <f>IF(OR($B869="",$I869=""),"",IF(IFERROR(MATCH($G869,nrBankTopics,0),0)=0,"OK",IF(COUNTA(INDEX(nrBankGrid,IFERROR(MATCH($G869,nrBankTopics,0),1),0))=0,"OK",IF(SUMPRODUCT((nrInstrNames&lt;&gt;"")*ISNUMBER(SEARCH(nrInstrNames,$I869))*(COUNTIF(INDEX(nrBankGrid,IFERROR(MATCH($G869,nrBankTopics,0),1),0),nrInstrNames)&gt;0))&lt;SUMPRODUCT((nrInstrNames&lt;&gt;"")*ISNUMBER(SEARCH(nrInstrNames,$I869))),"NOT IN BANK","OK"))))</f>
        <v/>
      </c>
    </row>
    <row r="870">
      <c r="B870" s="18" t="n"/>
      <c r="C870" s="17">
        <f>IF($B870="","",TEXT($B870,"ddd"))</f>
        <v/>
      </c>
      <c r="D870" s="41" t="n"/>
      <c r="E870" s="41" t="n"/>
      <c r="F870" s="17">
        <f>IF(OR($B870="",$D870="",$E870=""),"",ROUND(MOD($E870-$D870,1)*24,2))</f>
        <v/>
      </c>
      <c r="G870" s="16" t="n"/>
      <c r="H870" s="17">
        <f>IF($G870="","",IFERROR(_xlfn.XLOOKUP($G870,nrCHname,nrCHnum),IFERROR(_xlfn.XLOOKUP($G870,nrSUBname,nrSUBparent),"")))</f>
        <v/>
      </c>
      <c r="I870" s="16" t="n"/>
      <c r="J870" s="16" t="n"/>
      <c r="K870" s="17">
        <f>IF($B870="","",IFERROR(_xlfn.XLOOKUP($B870,nrCDdate,nrCDweek),""))</f>
        <v/>
      </c>
      <c r="L870" s="17">
        <f>IF($B870="","",IFERROR(_xlfn.XLOOKUP($B870,nrCDdate,nrCDnum),""))</f>
        <v/>
      </c>
      <c r="M870" s="16" t="n"/>
      <c r="N870" s="17">
        <f>IF(OR($B870="",$I870=""),"",_xlfn.LET(_xlpm.a,$I870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70" s="17">
        <f>IF(OR($B870="",$D870="",$E870=""),"",IF($E870=$D870,"CHECK TIMES (start = end)",IF($F870&gt;12,"CHECK TIMES (End is before Start?)","OK")))</f>
        <v/>
      </c>
      <c r="P870" s="17">
        <f>IF(OR($B870="",$I870=""),"",IF(IFERROR(MATCH($G870,nrBankTopics,0),0)=0,"OK",IF(COUNTA(INDEX(nrBankGrid,IFERROR(MATCH($G870,nrBankTopics,0),1),0))=0,"OK",IF(SUMPRODUCT((nrInstrNames&lt;&gt;"")*ISNUMBER(SEARCH(nrInstrNames,$I870))*(COUNTIF(INDEX(nrBankGrid,IFERROR(MATCH($G870,nrBankTopics,0),1),0),nrInstrNames)&gt;0))&lt;SUMPRODUCT((nrInstrNames&lt;&gt;"")*ISNUMBER(SEARCH(nrInstrNames,$I870))),"NOT IN BANK","OK"))))</f>
        <v/>
      </c>
    </row>
    <row r="871">
      <c r="B871" s="18" t="n"/>
      <c r="C871" s="17">
        <f>IF($B871="","",TEXT($B871,"ddd"))</f>
        <v/>
      </c>
      <c r="D871" s="41" t="n"/>
      <c r="E871" s="41" t="n"/>
      <c r="F871" s="17">
        <f>IF(OR($B871="",$D871="",$E871=""),"",ROUND(MOD($E871-$D871,1)*24,2))</f>
        <v/>
      </c>
      <c r="G871" s="16" t="n"/>
      <c r="H871" s="17">
        <f>IF($G871="","",IFERROR(_xlfn.XLOOKUP($G871,nrCHname,nrCHnum),IFERROR(_xlfn.XLOOKUP($G871,nrSUBname,nrSUBparent),"")))</f>
        <v/>
      </c>
      <c r="I871" s="16" t="n"/>
      <c r="J871" s="16" t="n"/>
      <c r="K871" s="17">
        <f>IF($B871="","",IFERROR(_xlfn.XLOOKUP($B871,nrCDdate,nrCDweek),""))</f>
        <v/>
      </c>
      <c r="L871" s="17">
        <f>IF($B871="","",IFERROR(_xlfn.XLOOKUP($B871,nrCDdate,nrCDnum),""))</f>
        <v/>
      </c>
      <c r="M871" s="16" t="n"/>
      <c r="N871" s="17">
        <f>IF(OR($B871="",$I871=""),"",_xlfn.LET(_xlpm.a,$I871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71" s="17">
        <f>IF(OR($B871="",$D871="",$E871=""),"",IF($E871=$D871,"CHECK TIMES (start = end)",IF($F871&gt;12,"CHECK TIMES (End is before Start?)","OK")))</f>
        <v/>
      </c>
      <c r="P871" s="17">
        <f>IF(OR($B871="",$I871=""),"",IF(IFERROR(MATCH($G871,nrBankTopics,0),0)=0,"OK",IF(COUNTA(INDEX(nrBankGrid,IFERROR(MATCH($G871,nrBankTopics,0),1),0))=0,"OK",IF(SUMPRODUCT((nrInstrNames&lt;&gt;"")*ISNUMBER(SEARCH(nrInstrNames,$I871))*(COUNTIF(INDEX(nrBankGrid,IFERROR(MATCH($G871,nrBankTopics,0),1),0),nrInstrNames)&gt;0))&lt;SUMPRODUCT((nrInstrNames&lt;&gt;"")*ISNUMBER(SEARCH(nrInstrNames,$I871))),"NOT IN BANK","OK"))))</f>
        <v/>
      </c>
    </row>
    <row r="872">
      <c r="B872" s="18" t="n"/>
      <c r="C872" s="17">
        <f>IF($B872="","",TEXT($B872,"ddd"))</f>
        <v/>
      </c>
      <c r="D872" s="41" t="n"/>
      <c r="E872" s="41" t="n"/>
      <c r="F872" s="17">
        <f>IF(OR($B872="",$D872="",$E872=""),"",ROUND(MOD($E872-$D872,1)*24,2))</f>
        <v/>
      </c>
      <c r="G872" s="16" t="n"/>
      <c r="H872" s="17">
        <f>IF($G872="","",IFERROR(_xlfn.XLOOKUP($G872,nrCHname,nrCHnum),IFERROR(_xlfn.XLOOKUP($G872,nrSUBname,nrSUBparent),"")))</f>
        <v/>
      </c>
      <c r="I872" s="16" t="n"/>
      <c r="J872" s="16" t="n"/>
      <c r="K872" s="17">
        <f>IF($B872="","",IFERROR(_xlfn.XLOOKUP($B872,nrCDdate,nrCDweek),""))</f>
        <v/>
      </c>
      <c r="L872" s="17">
        <f>IF($B872="","",IFERROR(_xlfn.XLOOKUP($B872,nrCDdate,nrCDnum),""))</f>
        <v/>
      </c>
      <c r="M872" s="16" t="n"/>
      <c r="N872" s="17">
        <f>IF(OR($B872="",$I872=""),"",_xlfn.LET(_xlpm.a,$I872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72" s="17">
        <f>IF(OR($B872="",$D872="",$E872=""),"",IF($E872=$D872,"CHECK TIMES (start = end)",IF($F872&gt;12,"CHECK TIMES (End is before Start?)","OK")))</f>
        <v/>
      </c>
      <c r="P872" s="17">
        <f>IF(OR($B872="",$I872=""),"",IF(IFERROR(MATCH($G872,nrBankTopics,0),0)=0,"OK",IF(COUNTA(INDEX(nrBankGrid,IFERROR(MATCH($G872,nrBankTopics,0),1),0))=0,"OK",IF(SUMPRODUCT((nrInstrNames&lt;&gt;"")*ISNUMBER(SEARCH(nrInstrNames,$I872))*(COUNTIF(INDEX(nrBankGrid,IFERROR(MATCH($G872,nrBankTopics,0),1),0),nrInstrNames)&gt;0))&lt;SUMPRODUCT((nrInstrNames&lt;&gt;"")*ISNUMBER(SEARCH(nrInstrNames,$I872))),"NOT IN BANK","OK"))))</f>
        <v/>
      </c>
    </row>
    <row r="873">
      <c r="B873" s="18" t="n"/>
      <c r="C873" s="17">
        <f>IF($B873="","",TEXT($B873,"ddd"))</f>
        <v/>
      </c>
      <c r="D873" s="41" t="n"/>
      <c r="E873" s="41" t="n"/>
      <c r="F873" s="17">
        <f>IF(OR($B873="",$D873="",$E873=""),"",ROUND(MOD($E873-$D873,1)*24,2))</f>
        <v/>
      </c>
      <c r="G873" s="16" t="n"/>
      <c r="H873" s="17">
        <f>IF($G873="","",IFERROR(_xlfn.XLOOKUP($G873,nrCHname,nrCHnum),IFERROR(_xlfn.XLOOKUP($G873,nrSUBname,nrSUBparent),"")))</f>
        <v/>
      </c>
      <c r="I873" s="16" t="n"/>
      <c r="J873" s="16" t="n"/>
      <c r="K873" s="17">
        <f>IF($B873="","",IFERROR(_xlfn.XLOOKUP($B873,nrCDdate,nrCDweek),""))</f>
        <v/>
      </c>
      <c r="L873" s="17">
        <f>IF($B873="","",IFERROR(_xlfn.XLOOKUP($B873,nrCDdate,nrCDnum),""))</f>
        <v/>
      </c>
      <c r="M873" s="16" t="n"/>
      <c r="N873" s="17">
        <f>IF(OR($B873="",$I873=""),"",_xlfn.LET(_xlpm.a,$I873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73" s="17">
        <f>IF(OR($B873="",$D873="",$E873=""),"",IF($E873=$D873,"CHECK TIMES (start = end)",IF($F873&gt;12,"CHECK TIMES (End is before Start?)","OK")))</f>
        <v/>
      </c>
      <c r="P873" s="17">
        <f>IF(OR($B873="",$I873=""),"",IF(IFERROR(MATCH($G873,nrBankTopics,0),0)=0,"OK",IF(COUNTA(INDEX(nrBankGrid,IFERROR(MATCH($G873,nrBankTopics,0),1),0))=0,"OK",IF(SUMPRODUCT((nrInstrNames&lt;&gt;"")*ISNUMBER(SEARCH(nrInstrNames,$I873))*(COUNTIF(INDEX(nrBankGrid,IFERROR(MATCH($G873,nrBankTopics,0),1),0),nrInstrNames)&gt;0))&lt;SUMPRODUCT((nrInstrNames&lt;&gt;"")*ISNUMBER(SEARCH(nrInstrNames,$I873))),"NOT IN BANK","OK"))))</f>
        <v/>
      </c>
    </row>
    <row r="874">
      <c r="B874" s="18" t="n"/>
      <c r="C874" s="17">
        <f>IF($B874="","",TEXT($B874,"ddd"))</f>
        <v/>
      </c>
      <c r="D874" s="41" t="n"/>
      <c r="E874" s="41" t="n"/>
      <c r="F874" s="17">
        <f>IF(OR($B874="",$D874="",$E874=""),"",ROUND(MOD($E874-$D874,1)*24,2))</f>
        <v/>
      </c>
      <c r="G874" s="16" t="n"/>
      <c r="H874" s="17">
        <f>IF($G874="","",IFERROR(_xlfn.XLOOKUP($G874,nrCHname,nrCHnum),IFERROR(_xlfn.XLOOKUP($G874,nrSUBname,nrSUBparent),"")))</f>
        <v/>
      </c>
      <c r="I874" s="16" t="n"/>
      <c r="J874" s="16" t="n"/>
      <c r="K874" s="17">
        <f>IF($B874="","",IFERROR(_xlfn.XLOOKUP($B874,nrCDdate,nrCDweek),""))</f>
        <v/>
      </c>
      <c r="L874" s="17">
        <f>IF($B874="","",IFERROR(_xlfn.XLOOKUP($B874,nrCDdate,nrCDnum),""))</f>
        <v/>
      </c>
      <c r="M874" s="16" t="n"/>
      <c r="N874" s="17">
        <f>IF(OR($B874="",$I874=""),"",_xlfn.LET(_xlpm.a,$I874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74" s="17">
        <f>IF(OR($B874="",$D874="",$E874=""),"",IF($E874=$D874,"CHECK TIMES (start = end)",IF($F874&gt;12,"CHECK TIMES (End is before Start?)","OK")))</f>
        <v/>
      </c>
      <c r="P874" s="17">
        <f>IF(OR($B874="",$I874=""),"",IF(IFERROR(MATCH($G874,nrBankTopics,0),0)=0,"OK",IF(COUNTA(INDEX(nrBankGrid,IFERROR(MATCH($G874,nrBankTopics,0),1),0))=0,"OK",IF(SUMPRODUCT((nrInstrNames&lt;&gt;"")*ISNUMBER(SEARCH(nrInstrNames,$I874))*(COUNTIF(INDEX(nrBankGrid,IFERROR(MATCH($G874,nrBankTopics,0),1),0),nrInstrNames)&gt;0))&lt;SUMPRODUCT((nrInstrNames&lt;&gt;"")*ISNUMBER(SEARCH(nrInstrNames,$I874))),"NOT IN BANK","OK"))))</f>
        <v/>
      </c>
    </row>
    <row r="875">
      <c r="B875" s="18" t="n"/>
      <c r="C875" s="17">
        <f>IF($B875="","",TEXT($B875,"ddd"))</f>
        <v/>
      </c>
      <c r="D875" s="41" t="n"/>
      <c r="E875" s="41" t="n"/>
      <c r="F875" s="17">
        <f>IF(OR($B875="",$D875="",$E875=""),"",ROUND(MOD($E875-$D875,1)*24,2))</f>
        <v/>
      </c>
      <c r="G875" s="16" t="n"/>
      <c r="H875" s="17">
        <f>IF($G875="","",IFERROR(_xlfn.XLOOKUP($G875,nrCHname,nrCHnum),IFERROR(_xlfn.XLOOKUP($G875,nrSUBname,nrSUBparent),"")))</f>
        <v/>
      </c>
      <c r="I875" s="16" t="n"/>
      <c r="J875" s="16" t="n"/>
      <c r="K875" s="17">
        <f>IF($B875="","",IFERROR(_xlfn.XLOOKUP($B875,nrCDdate,nrCDweek),""))</f>
        <v/>
      </c>
      <c r="L875" s="17">
        <f>IF($B875="","",IFERROR(_xlfn.XLOOKUP($B875,nrCDdate,nrCDnum),""))</f>
        <v/>
      </c>
      <c r="M875" s="16" t="n"/>
      <c r="N875" s="17">
        <f>IF(OR($B875="",$I875=""),"",_xlfn.LET(_xlpm.a,$I875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75" s="17">
        <f>IF(OR($B875="",$D875="",$E875=""),"",IF($E875=$D875,"CHECK TIMES (start = end)",IF($F875&gt;12,"CHECK TIMES (End is before Start?)","OK")))</f>
        <v/>
      </c>
      <c r="P875" s="17">
        <f>IF(OR($B875="",$I875=""),"",IF(IFERROR(MATCH($G875,nrBankTopics,0),0)=0,"OK",IF(COUNTA(INDEX(nrBankGrid,IFERROR(MATCH($G875,nrBankTopics,0),1),0))=0,"OK",IF(SUMPRODUCT((nrInstrNames&lt;&gt;"")*ISNUMBER(SEARCH(nrInstrNames,$I875))*(COUNTIF(INDEX(nrBankGrid,IFERROR(MATCH($G875,nrBankTopics,0),1),0),nrInstrNames)&gt;0))&lt;SUMPRODUCT((nrInstrNames&lt;&gt;"")*ISNUMBER(SEARCH(nrInstrNames,$I875))),"NOT IN BANK","OK"))))</f>
        <v/>
      </c>
    </row>
    <row r="876">
      <c r="B876" s="18" t="n"/>
      <c r="C876" s="17">
        <f>IF($B876="","",TEXT($B876,"ddd"))</f>
        <v/>
      </c>
      <c r="D876" s="41" t="n"/>
      <c r="E876" s="41" t="n"/>
      <c r="F876" s="17">
        <f>IF(OR($B876="",$D876="",$E876=""),"",ROUND(MOD($E876-$D876,1)*24,2))</f>
        <v/>
      </c>
      <c r="G876" s="16" t="n"/>
      <c r="H876" s="17">
        <f>IF($G876="","",IFERROR(_xlfn.XLOOKUP($G876,nrCHname,nrCHnum),IFERROR(_xlfn.XLOOKUP($G876,nrSUBname,nrSUBparent),"")))</f>
        <v/>
      </c>
      <c r="I876" s="16" t="n"/>
      <c r="J876" s="16" t="n"/>
      <c r="K876" s="17">
        <f>IF($B876="","",IFERROR(_xlfn.XLOOKUP($B876,nrCDdate,nrCDweek),""))</f>
        <v/>
      </c>
      <c r="L876" s="17">
        <f>IF($B876="","",IFERROR(_xlfn.XLOOKUP($B876,nrCDdate,nrCDnum),""))</f>
        <v/>
      </c>
      <c r="M876" s="16" t="n"/>
      <c r="N876" s="17">
        <f>IF(OR($B876="",$I876=""),"",_xlfn.LET(_xlpm.a,$I876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76" s="17">
        <f>IF(OR($B876="",$D876="",$E876=""),"",IF($E876=$D876,"CHECK TIMES (start = end)",IF($F876&gt;12,"CHECK TIMES (End is before Start?)","OK")))</f>
        <v/>
      </c>
      <c r="P876" s="17">
        <f>IF(OR($B876="",$I876=""),"",IF(IFERROR(MATCH($G876,nrBankTopics,0),0)=0,"OK",IF(COUNTA(INDEX(nrBankGrid,IFERROR(MATCH($G876,nrBankTopics,0),1),0))=0,"OK",IF(SUMPRODUCT((nrInstrNames&lt;&gt;"")*ISNUMBER(SEARCH(nrInstrNames,$I876))*(COUNTIF(INDEX(nrBankGrid,IFERROR(MATCH($G876,nrBankTopics,0),1),0),nrInstrNames)&gt;0))&lt;SUMPRODUCT((nrInstrNames&lt;&gt;"")*ISNUMBER(SEARCH(nrInstrNames,$I876))),"NOT IN BANK","OK"))))</f>
        <v/>
      </c>
    </row>
    <row r="877">
      <c r="B877" s="18" t="n"/>
      <c r="C877" s="17">
        <f>IF($B877="","",TEXT($B877,"ddd"))</f>
        <v/>
      </c>
      <c r="D877" s="41" t="n"/>
      <c r="E877" s="41" t="n"/>
      <c r="F877" s="17">
        <f>IF(OR($B877="",$D877="",$E877=""),"",ROUND(MOD($E877-$D877,1)*24,2))</f>
        <v/>
      </c>
      <c r="G877" s="16" t="n"/>
      <c r="H877" s="17">
        <f>IF($G877="","",IFERROR(_xlfn.XLOOKUP($G877,nrCHname,nrCHnum),IFERROR(_xlfn.XLOOKUP($G877,nrSUBname,nrSUBparent),"")))</f>
        <v/>
      </c>
      <c r="I877" s="16" t="n"/>
      <c r="J877" s="16" t="n"/>
      <c r="K877" s="17">
        <f>IF($B877="","",IFERROR(_xlfn.XLOOKUP($B877,nrCDdate,nrCDweek),""))</f>
        <v/>
      </c>
      <c r="L877" s="17">
        <f>IF($B877="","",IFERROR(_xlfn.XLOOKUP($B877,nrCDdate,nrCDnum),""))</f>
        <v/>
      </c>
      <c r="M877" s="16" t="n"/>
      <c r="N877" s="17">
        <f>IF(OR($B877="",$I877=""),"",_xlfn.LET(_xlpm.a,$I877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77" s="17">
        <f>IF(OR($B877="",$D877="",$E877=""),"",IF($E877=$D877,"CHECK TIMES (start = end)",IF($F877&gt;12,"CHECK TIMES (End is before Start?)","OK")))</f>
        <v/>
      </c>
      <c r="P877" s="17">
        <f>IF(OR($B877="",$I877=""),"",IF(IFERROR(MATCH($G877,nrBankTopics,0),0)=0,"OK",IF(COUNTA(INDEX(nrBankGrid,IFERROR(MATCH($G877,nrBankTopics,0),1),0))=0,"OK",IF(SUMPRODUCT((nrInstrNames&lt;&gt;"")*ISNUMBER(SEARCH(nrInstrNames,$I877))*(COUNTIF(INDEX(nrBankGrid,IFERROR(MATCH($G877,nrBankTopics,0),1),0),nrInstrNames)&gt;0))&lt;SUMPRODUCT((nrInstrNames&lt;&gt;"")*ISNUMBER(SEARCH(nrInstrNames,$I877))),"NOT IN BANK","OK"))))</f>
        <v/>
      </c>
    </row>
    <row r="878">
      <c r="B878" s="18" t="n"/>
      <c r="C878" s="17">
        <f>IF($B878="","",TEXT($B878,"ddd"))</f>
        <v/>
      </c>
      <c r="D878" s="41" t="n"/>
      <c r="E878" s="41" t="n"/>
      <c r="F878" s="17">
        <f>IF(OR($B878="",$D878="",$E878=""),"",ROUND(MOD($E878-$D878,1)*24,2))</f>
        <v/>
      </c>
      <c r="G878" s="16" t="n"/>
      <c r="H878" s="17">
        <f>IF($G878="","",IFERROR(_xlfn.XLOOKUP($G878,nrCHname,nrCHnum),IFERROR(_xlfn.XLOOKUP($G878,nrSUBname,nrSUBparent),"")))</f>
        <v/>
      </c>
      <c r="I878" s="16" t="n"/>
      <c r="J878" s="16" t="n"/>
      <c r="K878" s="17">
        <f>IF($B878="","",IFERROR(_xlfn.XLOOKUP($B878,nrCDdate,nrCDweek),""))</f>
        <v/>
      </c>
      <c r="L878" s="17">
        <f>IF($B878="","",IFERROR(_xlfn.XLOOKUP($B878,nrCDdate,nrCDnum),""))</f>
        <v/>
      </c>
      <c r="M878" s="16" t="n"/>
      <c r="N878" s="17">
        <f>IF(OR($B878="",$I878=""),"",_xlfn.LET(_xlpm.a,$I878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78" s="17">
        <f>IF(OR($B878="",$D878="",$E878=""),"",IF($E878=$D878,"CHECK TIMES (start = end)",IF($F878&gt;12,"CHECK TIMES (End is before Start?)","OK")))</f>
        <v/>
      </c>
      <c r="P878" s="17">
        <f>IF(OR($B878="",$I878=""),"",IF(IFERROR(MATCH($G878,nrBankTopics,0),0)=0,"OK",IF(COUNTA(INDEX(nrBankGrid,IFERROR(MATCH($G878,nrBankTopics,0),1),0))=0,"OK",IF(SUMPRODUCT((nrInstrNames&lt;&gt;"")*ISNUMBER(SEARCH(nrInstrNames,$I878))*(COUNTIF(INDEX(nrBankGrid,IFERROR(MATCH($G878,nrBankTopics,0),1),0),nrInstrNames)&gt;0))&lt;SUMPRODUCT((nrInstrNames&lt;&gt;"")*ISNUMBER(SEARCH(nrInstrNames,$I878))),"NOT IN BANK","OK"))))</f>
        <v/>
      </c>
    </row>
    <row r="879">
      <c r="B879" s="18" t="n"/>
      <c r="C879" s="17">
        <f>IF($B879="","",TEXT($B879,"ddd"))</f>
        <v/>
      </c>
      <c r="D879" s="41" t="n"/>
      <c r="E879" s="41" t="n"/>
      <c r="F879" s="17">
        <f>IF(OR($B879="",$D879="",$E879=""),"",ROUND(MOD($E879-$D879,1)*24,2))</f>
        <v/>
      </c>
      <c r="G879" s="16" t="n"/>
      <c r="H879" s="17">
        <f>IF($G879="","",IFERROR(_xlfn.XLOOKUP($G879,nrCHname,nrCHnum),IFERROR(_xlfn.XLOOKUP($G879,nrSUBname,nrSUBparent),"")))</f>
        <v/>
      </c>
      <c r="I879" s="16" t="n"/>
      <c r="J879" s="16" t="n"/>
      <c r="K879" s="17">
        <f>IF($B879="","",IFERROR(_xlfn.XLOOKUP($B879,nrCDdate,nrCDweek),""))</f>
        <v/>
      </c>
      <c r="L879" s="17">
        <f>IF($B879="","",IFERROR(_xlfn.XLOOKUP($B879,nrCDdate,nrCDnum),""))</f>
        <v/>
      </c>
      <c r="M879" s="16" t="n"/>
      <c r="N879" s="17">
        <f>IF(OR($B879="",$I879=""),"",_xlfn.LET(_xlpm.a,$I879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79" s="17">
        <f>IF(OR($B879="",$D879="",$E879=""),"",IF($E879=$D879,"CHECK TIMES (start = end)",IF($F879&gt;12,"CHECK TIMES (End is before Start?)","OK")))</f>
        <v/>
      </c>
      <c r="P879" s="17">
        <f>IF(OR($B879="",$I879=""),"",IF(IFERROR(MATCH($G879,nrBankTopics,0),0)=0,"OK",IF(COUNTA(INDEX(nrBankGrid,IFERROR(MATCH($G879,nrBankTopics,0),1),0))=0,"OK",IF(SUMPRODUCT((nrInstrNames&lt;&gt;"")*ISNUMBER(SEARCH(nrInstrNames,$I879))*(COUNTIF(INDEX(nrBankGrid,IFERROR(MATCH($G879,nrBankTopics,0),1),0),nrInstrNames)&gt;0))&lt;SUMPRODUCT((nrInstrNames&lt;&gt;"")*ISNUMBER(SEARCH(nrInstrNames,$I879))),"NOT IN BANK","OK"))))</f>
        <v/>
      </c>
    </row>
    <row r="880">
      <c r="B880" s="18" t="n"/>
      <c r="C880" s="17">
        <f>IF($B880="","",TEXT($B880,"ddd"))</f>
        <v/>
      </c>
      <c r="D880" s="41" t="n"/>
      <c r="E880" s="41" t="n"/>
      <c r="F880" s="17">
        <f>IF(OR($B880="",$D880="",$E880=""),"",ROUND(MOD($E880-$D880,1)*24,2))</f>
        <v/>
      </c>
      <c r="G880" s="16" t="n"/>
      <c r="H880" s="17">
        <f>IF($G880="","",IFERROR(_xlfn.XLOOKUP($G880,nrCHname,nrCHnum),IFERROR(_xlfn.XLOOKUP($G880,nrSUBname,nrSUBparent),"")))</f>
        <v/>
      </c>
      <c r="I880" s="16" t="n"/>
      <c r="J880" s="16" t="n"/>
      <c r="K880" s="17">
        <f>IF($B880="","",IFERROR(_xlfn.XLOOKUP($B880,nrCDdate,nrCDweek),""))</f>
        <v/>
      </c>
      <c r="L880" s="17">
        <f>IF($B880="","",IFERROR(_xlfn.XLOOKUP($B880,nrCDdate,nrCDnum),""))</f>
        <v/>
      </c>
      <c r="M880" s="16" t="n"/>
      <c r="N880" s="17">
        <f>IF(OR($B880="",$I880=""),"",_xlfn.LET(_xlpm.a,$I880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80" s="17">
        <f>IF(OR($B880="",$D880="",$E880=""),"",IF($E880=$D880,"CHECK TIMES (start = end)",IF($F880&gt;12,"CHECK TIMES (End is before Start?)","OK")))</f>
        <v/>
      </c>
      <c r="P880" s="17">
        <f>IF(OR($B880="",$I880=""),"",IF(IFERROR(MATCH($G880,nrBankTopics,0),0)=0,"OK",IF(COUNTA(INDEX(nrBankGrid,IFERROR(MATCH($G880,nrBankTopics,0),1),0))=0,"OK",IF(SUMPRODUCT((nrInstrNames&lt;&gt;"")*ISNUMBER(SEARCH(nrInstrNames,$I880))*(COUNTIF(INDEX(nrBankGrid,IFERROR(MATCH($G880,nrBankTopics,0),1),0),nrInstrNames)&gt;0))&lt;SUMPRODUCT((nrInstrNames&lt;&gt;"")*ISNUMBER(SEARCH(nrInstrNames,$I880))),"NOT IN BANK","OK"))))</f>
        <v/>
      </c>
    </row>
    <row r="881">
      <c r="B881" s="18" t="n"/>
      <c r="C881" s="17">
        <f>IF($B881="","",TEXT($B881,"ddd"))</f>
        <v/>
      </c>
      <c r="D881" s="41" t="n"/>
      <c r="E881" s="41" t="n"/>
      <c r="F881" s="17">
        <f>IF(OR($B881="",$D881="",$E881=""),"",ROUND(MOD($E881-$D881,1)*24,2))</f>
        <v/>
      </c>
      <c r="G881" s="16" t="n"/>
      <c r="H881" s="17">
        <f>IF($G881="","",IFERROR(_xlfn.XLOOKUP($G881,nrCHname,nrCHnum),IFERROR(_xlfn.XLOOKUP($G881,nrSUBname,nrSUBparent),"")))</f>
        <v/>
      </c>
      <c r="I881" s="16" t="n"/>
      <c r="J881" s="16" t="n"/>
      <c r="K881" s="17">
        <f>IF($B881="","",IFERROR(_xlfn.XLOOKUP($B881,nrCDdate,nrCDweek),""))</f>
        <v/>
      </c>
      <c r="L881" s="17">
        <f>IF($B881="","",IFERROR(_xlfn.XLOOKUP($B881,nrCDdate,nrCDnum),""))</f>
        <v/>
      </c>
      <c r="M881" s="16" t="n"/>
      <c r="N881" s="17">
        <f>IF(OR($B881="",$I881=""),"",_xlfn.LET(_xlpm.a,$I881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81" s="17">
        <f>IF(OR($B881="",$D881="",$E881=""),"",IF($E881=$D881,"CHECK TIMES (start = end)",IF($F881&gt;12,"CHECK TIMES (End is before Start?)","OK")))</f>
        <v/>
      </c>
      <c r="P881" s="17">
        <f>IF(OR($B881="",$I881=""),"",IF(IFERROR(MATCH($G881,nrBankTopics,0),0)=0,"OK",IF(COUNTA(INDEX(nrBankGrid,IFERROR(MATCH($G881,nrBankTopics,0),1),0))=0,"OK",IF(SUMPRODUCT((nrInstrNames&lt;&gt;"")*ISNUMBER(SEARCH(nrInstrNames,$I881))*(COUNTIF(INDEX(nrBankGrid,IFERROR(MATCH($G881,nrBankTopics,0),1),0),nrInstrNames)&gt;0))&lt;SUMPRODUCT((nrInstrNames&lt;&gt;"")*ISNUMBER(SEARCH(nrInstrNames,$I881))),"NOT IN BANK","OK"))))</f>
        <v/>
      </c>
    </row>
    <row r="882">
      <c r="B882" s="18" t="n"/>
      <c r="C882" s="17">
        <f>IF($B882="","",TEXT($B882,"ddd"))</f>
        <v/>
      </c>
      <c r="D882" s="41" t="n"/>
      <c r="E882" s="41" t="n"/>
      <c r="F882" s="17">
        <f>IF(OR($B882="",$D882="",$E882=""),"",ROUND(MOD($E882-$D882,1)*24,2))</f>
        <v/>
      </c>
      <c r="G882" s="16" t="n"/>
      <c r="H882" s="17">
        <f>IF($G882="","",IFERROR(_xlfn.XLOOKUP($G882,nrCHname,nrCHnum),IFERROR(_xlfn.XLOOKUP($G882,nrSUBname,nrSUBparent),"")))</f>
        <v/>
      </c>
      <c r="I882" s="16" t="n"/>
      <c r="J882" s="16" t="n"/>
      <c r="K882" s="17">
        <f>IF($B882="","",IFERROR(_xlfn.XLOOKUP($B882,nrCDdate,nrCDweek),""))</f>
        <v/>
      </c>
      <c r="L882" s="17">
        <f>IF($B882="","",IFERROR(_xlfn.XLOOKUP($B882,nrCDdate,nrCDnum),""))</f>
        <v/>
      </c>
      <c r="M882" s="16" t="n"/>
      <c r="N882" s="17">
        <f>IF(OR($B882="",$I882=""),"",_xlfn.LET(_xlpm.a,$I882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82" s="17">
        <f>IF(OR($B882="",$D882="",$E882=""),"",IF($E882=$D882,"CHECK TIMES (start = end)",IF($F882&gt;12,"CHECK TIMES (End is before Start?)","OK")))</f>
        <v/>
      </c>
      <c r="P882" s="17">
        <f>IF(OR($B882="",$I882=""),"",IF(IFERROR(MATCH($G882,nrBankTopics,0),0)=0,"OK",IF(COUNTA(INDEX(nrBankGrid,IFERROR(MATCH($G882,nrBankTopics,0),1),0))=0,"OK",IF(SUMPRODUCT((nrInstrNames&lt;&gt;"")*ISNUMBER(SEARCH(nrInstrNames,$I882))*(COUNTIF(INDEX(nrBankGrid,IFERROR(MATCH($G882,nrBankTopics,0),1),0),nrInstrNames)&gt;0))&lt;SUMPRODUCT((nrInstrNames&lt;&gt;"")*ISNUMBER(SEARCH(nrInstrNames,$I882))),"NOT IN BANK","OK"))))</f>
        <v/>
      </c>
    </row>
    <row r="883">
      <c r="B883" s="18" t="n"/>
      <c r="C883" s="17">
        <f>IF($B883="","",TEXT($B883,"ddd"))</f>
        <v/>
      </c>
      <c r="D883" s="41" t="n"/>
      <c r="E883" s="41" t="n"/>
      <c r="F883" s="17">
        <f>IF(OR($B883="",$D883="",$E883=""),"",ROUND(MOD($E883-$D883,1)*24,2))</f>
        <v/>
      </c>
      <c r="G883" s="16" t="n"/>
      <c r="H883" s="17">
        <f>IF($G883="","",IFERROR(_xlfn.XLOOKUP($G883,nrCHname,nrCHnum),IFERROR(_xlfn.XLOOKUP($G883,nrSUBname,nrSUBparent),"")))</f>
        <v/>
      </c>
      <c r="I883" s="16" t="n"/>
      <c r="J883" s="16" t="n"/>
      <c r="K883" s="17">
        <f>IF($B883="","",IFERROR(_xlfn.XLOOKUP($B883,nrCDdate,nrCDweek),""))</f>
        <v/>
      </c>
      <c r="L883" s="17">
        <f>IF($B883="","",IFERROR(_xlfn.XLOOKUP($B883,nrCDdate,nrCDnum),""))</f>
        <v/>
      </c>
      <c r="M883" s="16" t="n"/>
      <c r="N883" s="17">
        <f>IF(OR($B883="",$I883=""),"",_xlfn.LET(_xlpm.a,$I883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83" s="17">
        <f>IF(OR($B883="",$D883="",$E883=""),"",IF($E883=$D883,"CHECK TIMES (start = end)",IF($F883&gt;12,"CHECK TIMES (End is before Start?)","OK")))</f>
        <v/>
      </c>
      <c r="P883" s="17">
        <f>IF(OR($B883="",$I883=""),"",IF(IFERROR(MATCH($G883,nrBankTopics,0),0)=0,"OK",IF(COUNTA(INDEX(nrBankGrid,IFERROR(MATCH($G883,nrBankTopics,0),1),0))=0,"OK",IF(SUMPRODUCT((nrInstrNames&lt;&gt;"")*ISNUMBER(SEARCH(nrInstrNames,$I883))*(COUNTIF(INDEX(nrBankGrid,IFERROR(MATCH($G883,nrBankTopics,0),1),0),nrInstrNames)&gt;0))&lt;SUMPRODUCT((nrInstrNames&lt;&gt;"")*ISNUMBER(SEARCH(nrInstrNames,$I883))),"NOT IN BANK","OK"))))</f>
        <v/>
      </c>
    </row>
    <row r="884">
      <c r="B884" s="18" t="n"/>
      <c r="C884" s="17">
        <f>IF($B884="","",TEXT($B884,"ddd"))</f>
        <v/>
      </c>
      <c r="D884" s="41" t="n"/>
      <c r="E884" s="41" t="n"/>
      <c r="F884" s="17">
        <f>IF(OR($B884="",$D884="",$E884=""),"",ROUND(MOD($E884-$D884,1)*24,2))</f>
        <v/>
      </c>
      <c r="G884" s="16" t="n"/>
      <c r="H884" s="17">
        <f>IF($G884="","",IFERROR(_xlfn.XLOOKUP($G884,nrCHname,nrCHnum),IFERROR(_xlfn.XLOOKUP($G884,nrSUBname,nrSUBparent),"")))</f>
        <v/>
      </c>
      <c r="I884" s="16" t="n"/>
      <c r="J884" s="16" t="n"/>
      <c r="K884" s="17">
        <f>IF($B884="","",IFERROR(_xlfn.XLOOKUP($B884,nrCDdate,nrCDweek),""))</f>
        <v/>
      </c>
      <c r="L884" s="17">
        <f>IF($B884="","",IFERROR(_xlfn.XLOOKUP($B884,nrCDdate,nrCDnum),""))</f>
        <v/>
      </c>
      <c r="M884" s="16" t="n"/>
      <c r="N884" s="17">
        <f>IF(OR($B884="",$I884=""),"",_xlfn.LET(_xlpm.a,$I884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84" s="17">
        <f>IF(OR($B884="",$D884="",$E884=""),"",IF($E884=$D884,"CHECK TIMES (start = end)",IF($F884&gt;12,"CHECK TIMES (End is before Start?)","OK")))</f>
        <v/>
      </c>
      <c r="P884" s="17">
        <f>IF(OR($B884="",$I884=""),"",IF(IFERROR(MATCH($G884,nrBankTopics,0),0)=0,"OK",IF(COUNTA(INDEX(nrBankGrid,IFERROR(MATCH($G884,nrBankTopics,0),1),0))=0,"OK",IF(SUMPRODUCT((nrInstrNames&lt;&gt;"")*ISNUMBER(SEARCH(nrInstrNames,$I884))*(COUNTIF(INDEX(nrBankGrid,IFERROR(MATCH($G884,nrBankTopics,0),1),0),nrInstrNames)&gt;0))&lt;SUMPRODUCT((nrInstrNames&lt;&gt;"")*ISNUMBER(SEARCH(nrInstrNames,$I884))),"NOT IN BANK","OK"))))</f>
        <v/>
      </c>
    </row>
    <row r="885">
      <c r="B885" s="18" t="n"/>
      <c r="C885" s="17">
        <f>IF($B885="","",TEXT($B885,"ddd"))</f>
        <v/>
      </c>
      <c r="D885" s="41" t="n"/>
      <c r="E885" s="41" t="n"/>
      <c r="F885" s="17">
        <f>IF(OR($B885="",$D885="",$E885=""),"",ROUND(MOD($E885-$D885,1)*24,2))</f>
        <v/>
      </c>
      <c r="G885" s="16" t="n"/>
      <c r="H885" s="17">
        <f>IF($G885="","",IFERROR(_xlfn.XLOOKUP($G885,nrCHname,nrCHnum),IFERROR(_xlfn.XLOOKUP($G885,nrSUBname,nrSUBparent),"")))</f>
        <v/>
      </c>
      <c r="I885" s="16" t="n"/>
      <c r="J885" s="16" t="n"/>
      <c r="K885" s="17">
        <f>IF($B885="","",IFERROR(_xlfn.XLOOKUP($B885,nrCDdate,nrCDweek),""))</f>
        <v/>
      </c>
      <c r="L885" s="17">
        <f>IF($B885="","",IFERROR(_xlfn.XLOOKUP($B885,nrCDdate,nrCDnum),""))</f>
        <v/>
      </c>
      <c r="M885" s="16" t="n"/>
      <c r="N885" s="17">
        <f>IF(OR($B885="",$I885=""),"",_xlfn.LET(_xlpm.a,$I885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85" s="17">
        <f>IF(OR($B885="",$D885="",$E885=""),"",IF($E885=$D885,"CHECK TIMES (start = end)",IF($F885&gt;12,"CHECK TIMES (End is before Start?)","OK")))</f>
        <v/>
      </c>
      <c r="P885" s="17">
        <f>IF(OR($B885="",$I885=""),"",IF(IFERROR(MATCH($G885,nrBankTopics,0),0)=0,"OK",IF(COUNTA(INDEX(nrBankGrid,IFERROR(MATCH($G885,nrBankTopics,0),1),0))=0,"OK",IF(SUMPRODUCT((nrInstrNames&lt;&gt;"")*ISNUMBER(SEARCH(nrInstrNames,$I885))*(COUNTIF(INDEX(nrBankGrid,IFERROR(MATCH($G885,nrBankTopics,0),1),0),nrInstrNames)&gt;0))&lt;SUMPRODUCT((nrInstrNames&lt;&gt;"")*ISNUMBER(SEARCH(nrInstrNames,$I885))),"NOT IN BANK","OK"))))</f>
        <v/>
      </c>
    </row>
    <row r="886">
      <c r="B886" s="18" t="n"/>
      <c r="C886" s="17">
        <f>IF($B886="","",TEXT($B886,"ddd"))</f>
        <v/>
      </c>
      <c r="D886" s="41" t="n"/>
      <c r="E886" s="41" t="n"/>
      <c r="F886" s="17">
        <f>IF(OR($B886="",$D886="",$E886=""),"",ROUND(MOD($E886-$D886,1)*24,2))</f>
        <v/>
      </c>
      <c r="G886" s="16" t="n"/>
      <c r="H886" s="17">
        <f>IF($G886="","",IFERROR(_xlfn.XLOOKUP($G886,nrCHname,nrCHnum),IFERROR(_xlfn.XLOOKUP($G886,nrSUBname,nrSUBparent),"")))</f>
        <v/>
      </c>
      <c r="I886" s="16" t="n"/>
      <c r="J886" s="16" t="n"/>
      <c r="K886" s="17">
        <f>IF($B886="","",IFERROR(_xlfn.XLOOKUP($B886,nrCDdate,nrCDweek),""))</f>
        <v/>
      </c>
      <c r="L886" s="17">
        <f>IF($B886="","",IFERROR(_xlfn.XLOOKUP($B886,nrCDdate,nrCDnum),""))</f>
        <v/>
      </c>
      <c r="M886" s="16" t="n"/>
      <c r="N886" s="17">
        <f>IF(OR($B886="",$I886=""),"",_xlfn.LET(_xlpm.a,$I886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86" s="17">
        <f>IF(OR($B886="",$D886="",$E886=""),"",IF($E886=$D886,"CHECK TIMES (start = end)",IF($F886&gt;12,"CHECK TIMES (End is before Start?)","OK")))</f>
        <v/>
      </c>
      <c r="P886" s="17">
        <f>IF(OR($B886="",$I886=""),"",IF(IFERROR(MATCH($G886,nrBankTopics,0),0)=0,"OK",IF(COUNTA(INDEX(nrBankGrid,IFERROR(MATCH($G886,nrBankTopics,0),1),0))=0,"OK",IF(SUMPRODUCT((nrInstrNames&lt;&gt;"")*ISNUMBER(SEARCH(nrInstrNames,$I886))*(COUNTIF(INDEX(nrBankGrid,IFERROR(MATCH($G886,nrBankTopics,0),1),0),nrInstrNames)&gt;0))&lt;SUMPRODUCT((nrInstrNames&lt;&gt;"")*ISNUMBER(SEARCH(nrInstrNames,$I886))),"NOT IN BANK","OK"))))</f>
        <v/>
      </c>
    </row>
    <row r="887">
      <c r="B887" s="18" t="n"/>
      <c r="C887" s="17">
        <f>IF($B887="","",TEXT($B887,"ddd"))</f>
        <v/>
      </c>
      <c r="D887" s="41" t="n"/>
      <c r="E887" s="41" t="n"/>
      <c r="F887" s="17">
        <f>IF(OR($B887="",$D887="",$E887=""),"",ROUND(MOD($E887-$D887,1)*24,2))</f>
        <v/>
      </c>
      <c r="G887" s="16" t="n"/>
      <c r="H887" s="17">
        <f>IF($G887="","",IFERROR(_xlfn.XLOOKUP($G887,nrCHname,nrCHnum),IFERROR(_xlfn.XLOOKUP($G887,nrSUBname,nrSUBparent),"")))</f>
        <v/>
      </c>
      <c r="I887" s="16" t="n"/>
      <c r="J887" s="16" t="n"/>
      <c r="K887" s="17">
        <f>IF($B887="","",IFERROR(_xlfn.XLOOKUP($B887,nrCDdate,nrCDweek),""))</f>
        <v/>
      </c>
      <c r="L887" s="17">
        <f>IF($B887="","",IFERROR(_xlfn.XLOOKUP($B887,nrCDdate,nrCDnum),""))</f>
        <v/>
      </c>
      <c r="M887" s="16" t="n"/>
      <c r="N887" s="17">
        <f>IF(OR($B887="",$I887=""),"",_xlfn.LET(_xlpm.a,$I887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87" s="17">
        <f>IF(OR($B887="",$D887="",$E887=""),"",IF($E887=$D887,"CHECK TIMES (start = end)",IF($F887&gt;12,"CHECK TIMES (End is before Start?)","OK")))</f>
        <v/>
      </c>
      <c r="P887" s="17">
        <f>IF(OR($B887="",$I887=""),"",IF(IFERROR(MATCH($G887,nrBankTopics,0),0)=0,"OK",IF(COUNTA(INDEX(nrBankGrid,IFERROR(MATCH($G887,nrBankTopics,0),1),0))=0,"OK",IF(SUMPRODUCT((nrInstrNames&lt;&gt;"")*ISNUMBER(SEARCH(nrInstrNames,$I887))*(COUNTIF(INDEX(nrBankGrid,IFERROR(MATCH($G887,nrBankTopics,0),1),0),nrInstrNames)&gt;0))&lt;SUMPRODUCT((nrInstrNames&lt;&gt;"")*ISNUMBER(SEARCH(nrInstrNames,$I887))),"NOT IN BANK","OK"))))</f>
        <v/>
      </c>
    </row>
    <row r="888">
      <c r="B888" s="18" t="n"/>
      <c r="C888" s="17">
        <f>IF($B888="","",TEXT($B888,"ddd"))</f>
        <v/>
      </c>
      <c r="D888" s="41" t="n"/>
      <c r="E888" s="41" t="n"/>
      <c r="F888" s="17">
        <f>IF(OR($B888="",$D888="",$E888=""),"",ROUND(MOD($E888-$D888,1)*24,2))</f>
        <v/>
      </c>
      <c r="G888" s="16" t="n"/>
      <c r="H888" s="17">
        <f>IF($G888="","",IFERROR(_xlfn.XLOOKUP($G888,nrCHname,nrCHnum),IFERROR(_xlfn.XLOOKUP($G888,nrSUBname,nrSUBparent),"")))</f>
        <v/>
      </c>
      <c r="I888" s="16" t="n"/>
      <c r="J888" s="16" t="n"/>
      <c r="K888" s="17">
        <f>IF($B888="","",IFERROR(_xlfn.XLOOKUP($B888,nrCDdate,nrCDweek),""))</f>
        <v/>
      </c>
      <c r="L888" s="17">
        <f>IF($B888="","",IFERROR(_xlfn.XLOOKUP($B888,nrCDdate,nrCDnum),""))</f>
        <v/>
      </c>
      <c r="M888" s="16" t="n"/>
      <c r="N888" s="17">
        <f>IF(OR($B888="",$I888=""),"",_xlfn.LET(_xlpm.a,$I888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88" s="17">
        <f>IF(OR($B888="",$D888="",$E888=""),"",IF($E888=$D888,"CHECK TIMES (start = end)",IF($F888&gt;12,"CHECK TIMES (End is before Start?)","OK")))</f>
        <v/>
      </c>
      <c r="P888" s="17">
        <f>IF(OR($B888="",$I888=""),"",IF(IFERROR(MATCH($G888,nrBankTopics,0),0)=0,"OK",IF(COUNTA(INDEX(nrBankGrid,IFERROR(MATCH($G888,nrBankTopics,0),1),0))=0,"OK",IF(SUMPRODUCT((nrInstrNames&lt;&gt;"")*ISNUMBER(SEARCH(nrInstrNames,$I888))*(COUNTIF(INDEX(nrBankGrid,IFERROR(MATCH($G888,nrBankTopics,0),1),0),nrInstrNames)&gt;0))&lt;SUMPRODUCT((nrInstrNames&lt;&gt;"")*ISNUMBER(SEARCH(nrInstrNames,$I888))),"NOT IN BANK","OK"))))</f>
        <v/>
      </c>
    </row>
    <row r="889">
      <c r="B889" s="18" t="n"/>
      <c r="C889" s="17">
        <f>IF($B889="","",TEXT($B889,"ddd"))</f>
        <v/>
      </c>
      <c r="D889" s="41" t="n"/>
      <c r="E889" s="41" t="n"/>
      <c r="F889" s="17">
        <f>IF(OR($B889="",$D889="",$E889=""),"",ROUND(MOD($E889-$D889,1)*24,2))</f>
        <v/>
      </c>
      <c r="G889" s="16" t="n"/>
      <c r="H889" s="17">
        <f>IF($G889="","",IFERROR(_xlfn.XLOOKUP($G889,nrCHname,nrCHnum),IFERROR(_xlfn.XLOOKUP($G889,nrSUBname,nrSUBparent),"")))</f>
        <v/>
      </c>
      <c r="I889" s="16" t="n"/>
      <c r="J889" s="16" t="n"/>
      <c r="K889" s="17">
        <f>IF($B889="","",IFERROR(_xlfn.XLOOKUP($B889,nrCDdate,nrCDweek),""))</f>
        <v/>
      </c>
      <c r="L889" s="17">
        <f>IF($B889="","",IFERROR(_xlfn.XLOOKUP($B889,nrCDdate,nrCDnum),""))</f>
        <v/>
      </c>
      <c r="M889" s="16" t="n"/>
      <c r="N889" s="17">
        <f>IF(OR($B889="",$I889=""),"",_xlfn.LET(_xlpm.a,$I889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89" s="17">
        <f>IF(OR($B889="",$D889="",$E889=""),"",IF($E889=$D889,"CHECK TIMES (start = end)",IF($F889&gt;12,"CHECK TIMES (End is before Start?)","OK")))</f>
        <v/>
      </c>
      <c r="P889" s="17">
        <f>IF(OR($B889="",$I889=""),"",IF(IFERROR(MATCH($G889,nrBankTopics,0),0)=0,"OK",IF(COUNTA(INDEX(nrBankGrid,IFERROR(MATCH($G889,nrBankTopics,0),1),0))=0,"OK",IF(SUMPRODUCT((nrInstrNames&lt;&gt;"")*ISNUMBER(SEARCH(nrInstrNames,$I889))*(COUNTIF(INDEX(nrBankGrid,IFERROR(MATCH($G889,nrBankTopics,0),1),0),nrInstrNames)&gt;0))&lt;SUMPRODUCT((nrInstrNames&lt;&gt;"")*ISNUMBER(SEARCH(nrInstrNames,$I889))),"NOT IN BANK","OK"))))</f>
        <v/>
      </c>
    </row>
    <row r="890">
      <c r="B890" s="18" t="n"/>
      <c r="C890" s="17">
        <f>IF($B890="","",TEXT($B890,"ddd"))</f>
        <v/>
      </c>
      <c r="D890" s="41" t="n"/>
      <c r="E890" s="41" t="n"/>
      <c r="F890" s="17">
        <f>IF(OR($B890="",$D890="",$E890=""),"",ROUND(MOD($E890-$D890,1)*24,2))</f>
        <v/>
      </c>
      <c r="G890" s="16" t="n"/>
      <c r="H890" s="17">
        <f>IF($G890="","",IFERROR(_xlfn.XLOOKUP($G890,nrCHname,nrCHnum),IFERROR(_xlfn.XLOOKUP($G890,nrSUBname,nrSUBparent),"")))</f>
        <v/>
      </c>
      <c r="I890" s="16" t="n"/>
      <c r="J890" s="16" t="n"/>
      <c r="K890" s="17">
        <f>IF($B890="","",IFERROR(_xlfn.XLOOKUP($B890,nrCDdate,nrCDweek),""))</f>
        <v/>
      </c>
      <c r="L890" s="17">
        <f>IF($B890="","",IFERROR(_xlfn.XLOOKUP($B890,nrCDdate,nrCDnum),""))</f>
        <v/>
      </c>
      <c r="M890" s="16" t="n"/>
      <c r="N890" s="17">
        <f>IF(OR($B890="",$I890=""),"",_xlfn.LET(_xlpm.a,$I890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90" s="17">
        <f>IF(OR($B890="",$D890="",$E890=""),"",IF($E890=$D890,"CHECK TIMES (start = end)",IF($F890&gt;12,"CHECK TIMES (End is before Start?)","OK")))</f>
        <v/>
      </c>
      <c r="P890" s="17">
        <f>IF(OR($B890="",$I890=""),"",IF(IFERROR(MATCH($G890,nrBankTopics,0),0)=0,"OK",IF(COUNTA(INDEX(nrBankGrid,IFERROR(MATCH($G890,nrBankTopics,0),1),0))=0,"OK",IF(SUMPRODUCT((nrInstrNames&lt;&gt;"")*ISNUMBER(SEARCH(nrInstrNames,$I890))*(COUNTIF(INDEX(nrBankGrid,IFERROR(MATCH($G890,nrBankTopics,0),1),0),nrInstrNames)&gt;0))&lt;SUMPRODUCT((nrInstrNames&lt;&gt;"")*ISNUMBER(SEARCH(nrInstrNames,$I890))),"NOT IN BANK","OK"))))</f>
        <v/>
      </c>
    </row>
    <row r="891">
      <c r="B891" s="18" t="n"/>
      <c r="C891" s="17">
        <f>IF($B891="","",TEXT($B891,"ddd"))</f>
        <v/>
      </c>
      <c r="D891" s="41" t="n"/>
      <c r="E891" s="41" t="n"/>
      <c r="F891" s="17">
        <f>IF(OR($B891="",$D891="",$E891=""),"",ROUND(MOD($E891-$D891,1)*24,2))</f>
        <v/>
      </c>
      <c r="G891" s="16" t="n"/>
      <c r="H891" s="17">
        <f>IF($G891="","",IFERROR(_xlfn.XLOOKUP($G891,nrCHname,nrCHnum),IFERROR(_xlfn.XLOOKUP($G891,nrSUBname,nrSUBparent),"")))</f>
        <v/>
      </c>
      <c r="I891" s="16" t="n"/>
      <c r="J891" s="16" t="n"/>
      <c r="K891" s="17">
        <f>IF($B891="","",IFERROR(_xlfn.XLOOKUP($B891,nrCDdate,nrCDweek),""))</f>
        <v/>
      </c>
      <c r="L891" s="17">
        <f>IF($B891="","",IFERROR(_xlfn.XLOOKUP($B891,nrCDdate,nrCDnum),""))</f>
        <v/>
      </c>
      <c r="M891" s="16" t="n"/>
      <c r="N891" s="17">
        <f>IF(OR($B891="",$I891=""),"",_xlfn.LET(_xlpm.a,$I891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91" s="17">
        <f>IF(OR($B891="",$D891="",$E891=""),"",IF($E891=$D891,"CHECK TIMES (start = end)",IF($F891&gt;12,"CHECK TIMES (End is before Start?)","OK")))</f>
        <v/>
      </c>
      <c r="P891" s="17">
        <f>IF(OR($B891="",$I891=""),"",IF(IFERROR(MATCH($G891,nrBankTopics,0),0)=0,"OK",IF(COUNTA(INDEX(nrBankGrid,IFERROR(MATCH($G891,nrBankTopics,0),1),0))=0,"OK",IF(SUMPRODUCT((nrInstrNames&lt;&gt;"")*ISNUMBER(SEARCH(nrInstrNames,$I891))*(COUNTIF(INDEX(nrBankGrid,IFERROR(MATCH($G891,nrBankTopics,0),1),0),nrInstrNames)&gt;0))&lt;SUMPRODUCT((nrInstrNames&lt;&gt;"")*ISNUMBER(SEARCH(nrInstrNames,$I891))),"NOT IN BANK","OK"))))</f>
        <v/>
      </c>
    </row>
    <row r="892">
      <c r="B892" s="18" t="n"/>
      <c r="C892" s="17">
        <f>IF($B892="","",TEXT($B892,"ddd"))</f>
        <v/>
      </c>
      <c r="D892" s="41" t="n"/>
      <c r="E892" s="41" t="n"/>
      <c r="F892" s="17">
        <f>IF(OR($B892="",$D892="",$E892=""),"",ROUND(MOD($E892-$D892,1)*24,2))</f>
        <v/>
      </c>
      <c r="G892" s="16" t="n"/>
      <c r="H892" s="17">
        <f>IF($G892="","",IFERROR(_xlfn.XLOOKUP($G892,nrCHname,nrCHnum),IFERROR(_xlfn.XLOOKUP($G892,nrSUBname,nrSUBparent),"")))</f>
        <v/>
      </c>
      <c r="I892" s="16" t="n"/>
      <c r="J892" s="16" t="n"/>
      <c r="K892" s="17">
        <f>IF($B892="","",IFERROR(_xlfn.XLOOKUP($B892,nrCDdate,nrCDweek),""))</f>
        <v/>
      </c>
      <c r="L892" s="17">
        <f>IF($B892="","",IFERROR(_xlfn.XLOOKUP($B892,nrCDdate,nrCDnum),""))</f>
        <v/>
      </c>
      <c r="M892" s="16" t="n"/>
      <c r="N892" s="17">
        <f>IF(OR($B892="",$I892=""),"",_xlfn.LET(_xlpm.a,$I892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92" s="17">
        <f>IF(OR($B892="",$D892="",$E892=""),"",IF($E892=$D892,"CHECK TIMES (start = end)",IF($F892&gt;12,"CHECK TIMES (End is before Start?)","OK")))</f>
        <v/>
      </c>
      <c r="P892" s="17">
        <f>IF(OR($B892="",$I892=""),"",IF(IFERROR(MATCH($G892,nrBankTopics,0),0)=0,"OK",IF(COUNTA(INDEX(nrBankGrid,IFERROR(MATCH($G892,nrBankTopics,0),1),0))=0,"OK",IF(SUMPRODUCT((nrInstrNames&lt;&gt;"")*ISNUMBER(SEARCH(nrInstrNames,$I892))*(COUNTIF(INDEX(nrBankGrid,IFERROR(MATCH($G892,nrBankTopics,0),1),0),nrInstrNames)&gt;0))&lt;SUMPRODUCT((nrInstrNames&lt;&gt;"")*ISNUMBER(SEARCH(nrInstrNames,$I892))),"NOT IN BANK","OK"))))</f>
        <v/>
      </c>
    </row>
    <row r="893">
      <c r="B893" s="18" t="n"/>
      <c r="C893" s="17">
        <f>IF($B893="","",TEXT($B893,"ddd"))</f>
        <v/>
      </c>
      <c r="D893" s="41" t="n"/>
      <c r="E893" s="41" t="n"/>
      <c r="F893" s="17">
        <f>IF(OR($B893="",$D893="",$E893=""),"",ROUND(MOD($E893-$D893,1)*24,2))</f>
        <v/>
      </c>
      <c r="G893" s="16" t="n"/>
      <c r="H893" s="17">
        <f>IF($G893="","",IFERROR(_xlfn.XLOOKUP($G893,nrCHname,nrCHnum),IFERROR(_xlfn.XLOOKUP($G893,nrSUBname,nrSUBparent),"")))</f>
        <v/>
      </c>
      <c r="I893" s="16" t="n"/>
      <c r="J893" s="16" t="n"/>
      <c r="K893" s="17">
        <f>IF($B893="","",IFERROR(_xlfn.XLOOKUP($B893,nrCDdate,nrCDweek),""))</f>
        <v/>
      </c>
      <c r="L893" s="17">
        <f>IF($B893="","",IFERROR(_xlfn.XLOOKUP($B893,nrCDdate,nrCDnum),""))</f>
        <v/>
      </c>
      <c r="M893" s="16" t="n"/>
      <c r="N893" s="17">
        <f>IF(OR($B893="",$I893=""),"",_xlfn.LET(_xlpm.a,$I893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93" s="17">
        <f>IF(OR($B893="",$D893="",$E893=""),"",IF($E893=$D893,"CHECK TIMES (start = end)",IF($F893&gt;12,"CHECK TIMES (End is before Start?)","OK")))</f>
        <v/>
      </c>
      <c r="P893" s="17">
        <f>IF(OR($B893="",$I893=""),"",IF(IFERROR(MATCH($G893,nrBankTopics,0),0)=0,"OK",IF(COUNTA(INDEX(nrBankGrid,IFERROR(MATCH($G893,nrBankTopics,0),1),0))=0,"OK",IF(SUMPRODUCT((nrInstrNames&lt;&gt;"")*ISNUMBER(SEARCH(nrInstrNames,$I893))*(COUNTIF(INDEX(nrBankGrid,IFERROR(MATCH($G893,nrBankTopics,0),1),0),nrInstrNames)&gt;0))&lt;SUMPRODUCT((nrInstrNames&lt;&gt;"")*ISNUMBER(SEARCH(nrInstrNames,$I893))),"NOT IN BANK","OK"))))</f>
        <v/>
      </c>
    </row>
    <row r="894">
      <c r="B894" s="18" t="n"/>
      <c r="C894" s="17">
        <f>IF($B894="","",TEXT($B894,"ddd"))</f>
        <v/>
      </c>
      <c r="D894" s="41" t="n"/>
      <c r="E894" s="41" t="n"/>
      <c r="F894" s="17">
        <f>IF(OR($B894="",$D894="",$E894=""),"",ROUND(MOD($E894-$D894,1)*24,2))</f>
        <v/>
      </c>
      <c r="G894" s="16" t="n"/>
      <c r="H894" s="17">
        <f>IF($G894="","",IFERROR(_xlfn.XLOOKUP($G894,nrCHname,nrCHnum),IFERROR(_xlfn.XLOOKUP($G894,nrSUBname,nrSUBparent),"")))</f>
        <v/>
      </c>
      <c r="I894" s="16" t="n"/>
      <c r="J894" s="16" t="n"/>
      <c r="K894" s="17">
        <f>IF($B894="","",IFERROR(_xlfn.XLOOKUP($B894,nrCDdate,nrCDweek),""))</f>
        <v/>
      </c>
      <c r="L894" s="17">
        <f>IF($B894="","",IFERROR(_xlfn.XLOOKUP($B894,nrCDdate,nrCDnum),""))</f>
        <v/>
      </c>
      <c r="M894" s="16" t="n"/>
      <c r="N894" s="17">
        <f>IF(OR($B894="",$I894=""),"",_xlfn.LET(_xlpm.a,$I894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94" s="17">
        <f>IF(OR($B894="",$D894="",$E894=""),"",IF($E894=$D894,"CHECK TIMES (start = end)",IF($F894&gt;12,"CHECK TIMES (End is before Start?)","OK")))</f>
        <v/>
      </c>
      <c r="P894" s="17">
        <f>IF(OR($B894="",$I894=""),"",IF(IFERROR(MATCH($G894,nrBankTopics,0),0)=0,"OK",IF(COUNTA(INDEX(nrBankGrid,IFERROR(MATCH($G894,nrBankTopics,0),1),0))=0,"OK",IF(SUMPRODUCT((nrInstrNames&lt;&gt;"")*ISNUMBER(SEARCH(nrInstrNames,$I894))*(COUNTIF(INDEX(nrBankGrid,IFERROR(MATCH($G894,nrBankTopics,0),1),0),nrInstrNames)&gt;0))&lt;SUMPRODUCT((nrInstrNames&lt;&gt;"")*ISNUMBER(SEARCH(nrInstrNames,$I894))),"NOT IN BANK","OK"))))</f>
        <v/>
      </c>
    </row>
    <row r="895">
      <c r="B895" s="18" t="n"/>
      <c r="C895" s="17">
        <f>IF($B895="","",TEXT($B895,"ddd"))</f>
        <v/>
      </c>
      <c r="D895" s="41" t="n"/>
      <c r="E895" s="41" t="n"/>
      <c r="F895" s="17">
        <f>IF(OR($B895="",$D895="",$E895=""),"",ROUND(MOD($E895-$D895,1)*24,2))</f>
        <v/>
      </c>
      <c r="G895" s="16" t="n"/>
      <c r="H895" s="17">
        <f>IF($G895="","",IFERROR(_xlfn.XLOOKUP($G895,nrCHname,nrCHnum),IFERROR(_xlfn.XLOOKUP($G895,nrSUBname,nrSUBparent),"")))</f>
        <v/>
      </c>
      <c r="I895" s="16" t="n"/>
      <c r="J895" s="16" t="n"/>
      <c r="K895" s="17">
        <f>IF($B895="","",IFERROR(_xlfn.XLOOKUP($B895,nrCDdate,nrCDweek),""))</f>
        <v/>
      </c>
      <c r="L895" s="17">
        <f>IF($B895="","",IFERROR(_xlfn.XLOOKUP($B895,nrCDdate,nrCDnum),""))</f>
        <v/>
      </c>
      <c r="M895" s="16" t="n"/>
      <c r="N895" s="17">
        <f>IF(OR($B895="",$I895=""),"",_xlfn.LET(_xlpm.a,$I895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95" s="17">
        <f>IF(OR($B895="",$D895="",$E895=""),"",IF($E895=$D895,"CHECK TIMES (start = end)",IF($F895&gt;12,"CHECK TIMES (End is before Start?)","OK")))</f>
        <v/>
      </c>
      <c r="P895" s="17">
        <f>IF(OR($B895="",$I895=""),"",IF(IFERROR(MATCH($G895,nrBankTopics,0),0)=0,"OK",IF(COUNTA(INDEX(nrBankGrid,IFERROR(MATCH($G895,nrBankTopics,0),1),0))=0,"OK",IF(SUMPRODUCT((nrInstrNames&lt;&gt;"")*ISNUMBER(SEARCH(nrInstrNames,$I895))*(COUNTIF(INDEX(nrBankGrid,IFERROR(MATCH($G895,nrBankTopics,0),1),0),nrInstrNames)&gt;0))&lt;SUMPRODUCT((nrInstrNames&lt;&gt;"")*ISNUMBER(SEARCH(nrInstrNames,$I895))),"NOT IN BANK","OK"))))</f>
        <v/>
      </c>
    </row>
    <row r="896">
      <c r="B896" s="18" t="n"/>
      <c r="C896" s="17">
        <f>IF($B896="","",TEXT($B896,"ddd"))</f>
        <v/>
      </c>
      <c r="D896" s="41" t="n"/>
      <c r="E896" s="41" t="n"/>
      <c r="F896" s="17">
        <f>IF(OR($B896="",$D896="",$E896=""),"",ROUND(MOD($E896-$D896,1)*24,2))</f>
        <v/>
      </c>
      <c r="G896" s="16" t="n"/>
      <c r="H896" s="17">
        <f>IF($G896="","",IFERROR(_xlfn.XLOOKUP($G896,nrCHname,nrCHnum),IFERROR(_xlfn.XLOOKUP($G896,nrSUBname,nrSUBparent),"")))</f>
        <v/>
      </c>
      <c r="I896" s="16" t="n"/>
      <c r="J896" s="16" t="n"/>
      <c r="K896" s="17">
        <f>IF($B896="","",IFERROR(_xlfn.XLOOKUP($B896,nrCDdate,nrCDweek),""))</f>
        <v/>
      </c>
      <c r="L896" s="17">
        <f>IF($B896="","",IFERROR(_xlfn.XLOOKUP($B896,nrCDdate,nrCDnum),""))</f>
        <v/>
      </c>
      <c r="M896" s="16" t="n"/>
      <c r="N896" s="17">
        <f>IF(OR($B896="",$I896=""),"",_xlfn.LET(_xlpm.a,$I896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96" s="17">
        <f>IF(OR($B896="",$D896="",$E896=""),"",IF($E896=$D896,"CHECK TIMES (start = end)",IF($F896&gt;12,"CHECK TIMES (End is before Start?)","OK")))</f>
        <v/>
      </c>
      <c r="P896" s="17">
        <f>IF(OR($B896="",$I896=""),"",IF(IFERROR(MATCH($G896,nrBankTopics,0),0)=0,"OK",IF(COUNTA(INDEX(nrBankGrid,IFERROR(MATCH($G896,nrBankTopics,0),1),0))=0,"OK",IF(SUMPRODUCT((nrInstrNames&lt;&gt;"")*ISNUMBER(SEARCH(nrInstrNames,$I896))*(COUNTIF(INDEX(nrBankGrid,IFERROR(MATCH($G896,nrBankTopics,0),1),0),nrInstrNames)&gt;0))&lt;SUMPRODUCT((nrInstrNames&lt;&gt;"")*ISNUMBER(SEARCH(nrInstrNames,$I896))),"NOT IN BANK","OK"))))</f>
        <v/>
      </c>
    </row>
    <row r="897">
      <c r="B897" s="18" t="n"/>
      <c r="C897" s="17">
        <f>IF($B897="","",TEXT($B897,"ddd"))</f>
        <v/>
      </c>
      <c r="D897" s="41" t="n"/>
      <c r="E897" s="41" t="n"/>
      <c r="F897" s="17">
        <f>IF(OR($B897="",$D897="",$E897=""),"",ROUND(MOD($E897-$D897,1)*24,2))</f>
        <v/>
      </c>
      <c r="G897" s="16" t="n"/>
      <c r="H897" s="17">
        <f>IF($G897="","",IFERROR(_xlfn.XLOOKUP($G897,nrCHname,nrCHnum),IFERROR(_xlfn.XLOOKUP($G897,nrSUBname,nrSUBparent),"")))</f>
        <v/>
      </c>
      <c r="I897" s="16" t="n"/>
      <c r="J897" s="16" t="n"/>
      <c r="K897" s="17">
        <f>IF($B897="","",IFERROR(_xlfn.XLOOKUP($B897,nrCDdate,nrCDweek),""))</f>
        <v/>
      </c>
      <c r="L897" s="17">
        <f>IF($B897="","",IFERROR(_xlfn.XLOOKUP($B897,nrCDdate,nrCDnum),""))</f>
        <v/>
      </c>
      <c r="M897" s="16" t="n"/>
      <c r="N897" s="17">
        <f>IF(OR($B897="",$I897=""),"",_xlfn.LET(_xlpm.a,$I897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97" s="17">
        <f>IF(OR($B897="",$D897="",$E897=""),"",IF($E897=$D897,"CHECK TIMES (start = end)",IF($F897&gt;12,"CHECK TIMES (End is before Start?)","OK")))</f>
        <v/>
      </c>
      <c r="P897" s="17">
        <f>IF(OR($B897="",$I897=""),"",IF(IFERROR(MATCH($G897,nrBankTopics,0),0)=0,"OK",IF(COUNTA(INDEX(nrBankGrid,IFERROR(MATCH($G897,nrBankTopics,0),1),0))=0,"OK",IF(SUMPRODUCT((nrInstrNames&lt;&gt;"")*ISNUMBER(SEARCH(nrInstrNames,$I897))*(COUNTIF(INDEX(nrBankGrid,IFERROR(MATCH($G897,nrBankTopics,0),1),0),nrInstrNames)&gt;0))&lt;SUMPRODUCT((nrInstrNames&lt;&gt;"")*ISNUMBER(SEARCH(nrInstrNames,$I897))),"NOT IN BANK","OK"))))</f>
        <v/>
      </c>
    </row>
    <row r="898">
      <c r="B898" s="18" t="n"/>
      <c r="C898" s="17">
        <f>IF($B898="","",TEXT($B898,"ddd"))</f>
        <v/>
      </c>
      <c r="D898" s="41" t="n"/>
      <c r="E898" s="41" t="n"/>
      <c r="F898" s="17">
        <f>IF(OR($B898="",$D898="",$E898=""),"",ROUND(MOD($E898-$D898,1)*24,2))</f>
        <v/>
      </c>
      <c r="G898" s="16" t="n"/>
      <c r="H898" s="17">
        <f>IF($G898="","",IFERROR(_xlfn.XLOOKUP($G898,nrCHname,nrCHnum),IFERROR(_xlfn.XLOOKUP($G898,nrSUBname,nrSUBparent),"")))</f>
        <v/>
      </c>
      <c r="I898" s="16" t="n"/>
      <c r="J898" s="16" t="n"/>
      <c r="K898" s="17">
        <f>IF($B898="","",IFERROR(_xlfn.XLOOKUP($B898,nrCDdate,nrCDweek),""))</f>
        <v/>
      </c>
      <c r="L898" s="17">
        <f>IF($B898="","",IFERROR(_xlfn.XLOOKUP($B898,nrCDdate,nrCDnum),""))</f>
        <v/>
      </c>
      <c r="M898" s="16" t="n"/>
      <c r="N898" s="17">
        <f>IF(OR($B898="",$I898=""),"",_xlfn.LET(_xlpm.a,$I898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98" s="17">
        <f>IF(OR($B898="",$D898="",$E898=""),"",IF($E898=$D898,"CHECK TIMES (start = end)",IF($F898&gt;12,"CHECK TIMES (End is before Start?)","OK")))</f>
        <v/>
      </c>
      <c r="P898" s="17">
        <f>IF(OR($B898="",$I898=""),"",IF(IFERROR(MATCH($G898,nrBankTopics,0),0)=0,"OK",IF(COUNTA(INDEX(nrBankGrid,IFERROR(MATCH($G898,nrBankTopics,0),1),0))=0,"OK",IF(SUMPRODUCT((nrInstrNames&lt;&gt;"")*ISNUMBER(SEARCH(nrInstrNames,$I898))*(COUNTIF(INDEX(nrBankGrid,IFERROR(MATCH($G898,nrBankTopics,0),1),0),nrInstrNames)&gt;0))&lt;SUMPRODUCT((nrInstrNames&lt;&gt;"")*ISNUMBER(SEARCH(nrInstrNames,$I898))),"NOT IN BANK","OK"))))</f>
        <v/>
      </c>
    </row>
    <row r="899">
      <c r="B899" s="18" t="n"/>
      <c r="C899" s="17">
        <f>IF($B899="","",TEXT($B899,"ddd"))</f>
        <v/>
      </c>
      <c r="D899" s="41" t="n"/>
      <c r="E899" s="41" t="n"/>
      <c r="F899" s="17">
        <f>IF(OR($B899="",$D899="",$E899=""),"",ROUND(MOD($E899-$D899,1)*24,2))</f>
        <v/>
      </c>
      <c r="G899" s="16" t="n"/>
      <c r="H899" s="17">
        <f>IF($G899="","",IFERROR(_xlfn.XLOOKUP($G899,nrCHname,nrCHnum),IFERROR(_xlfn.XLOOKUP($G899,nrSUBname,nrSUBparent),"")))</f>
        <v/>
      </c>
      <c r="I899" s="16" t="n"/>
      <c r="J899" s="16" t="n"/>
      <c r="K899" s="17">
        <f>IF($B899="","",IFERROR(_xlfn.XLOOKUP($B899,nrCDdate,nrCDweek),""))</f>
        <v/>
      </c>
      <c r="L899" s="17">
        <f>IF($B899="","",IFERROR(_xlfn.XLOOKUP($B899,nrCDdate,nrCDnum),""))</f>
        <v/>
      </c>
      <c r="M899" s="16" t="n"/>
      <c r="N899" s="17">
        <f>IF(OR($B899="",$I899=""),"",_xlfn.LET(_xlpm.a,$I899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99" s="17">
        <f>IF(OR($B899="",$D899="",$E899=""),"",IF($E899=$D899,"CHECK TIMES (start = end)",IF($F899&gt;12,"CHECK TIMES (End is before Start?)","OK")))</f>
        <v/>
      </c>
      <c r="P899" s="17">
        <f>IF(OR($B899="",$I899=""),"",IF(IFERROR(MATCH($G899,nrBankTopics,0),0)=0,"OK",IF(COUNTA(INDEX(nrBankGrid,IFERROR(MATCH($G899,nrBankTopics,0),1),0))=0,"OK",IF(SUMPRODUCT((nrInstrNames&lt;&gt;"")*ISNUMBER(SEARCH(nrInstrNames,$I899))*(COUNTIF(INDEX(nrBankGrid,IFERROR(MATCH($G899,nrBankTopics,0),1),0),nrInstrNames)&gt;0))&lt;SUMPRODUCT((nrInstrNames&lt;&gt;"")*ISNUMBER(SEARCH(nrInstrNames,$I899))),"NOT IN BANK","OK"))))</f>
        <v/>
      </c>
    </row>
    <row r="900">
      <c r="B900" s="18" t="n"/>
      <c r="C900" s="17">
        <f>IF($B900="","",TEXT($B900,"ddd"))</f>
        <v/>
      </c>
      <c r="D900" s="41" t="n"/>
      <c r="E900" s="41" t="n"/>
      <c r="F900" s="17">
        <f>IF(OR($B900="",$D900="",$E900=""),"",ROUND(MOD($E900-$D900,1)*24,2))</f>
        <v/>
      </c>
      <c r="G900" s="16" t="n"/>
      <c r="H900" s="17">
        <f>IF($G900="","",IFERROR(_xlfn.XLOOKUP($G900,nrCHname,nrCHnum),IFERROR(_xlfn.XLOOKUP($G900,nrSUBname,nrSUBparent),"")))</f>
        <v/>
      </c>
      <c r="I900" s="16" t="n"/>
      <c r="J900" s="16" t="n"/>
      <c r="K900" s="17">
        <f>IF($B900="","",IFERROR(_xlfn.XLOOKUP($B900,nrCDdate,nrCDweek),""))</f>
        <v/>
      </c>
      <c r="L900" s="17">
        <f>IF($B900="","",IFERROR(_xlfn.XLOOKUP($B900,nrCDdate,nrCDnum),""))</f>
        <v/>
      </c>
      <c r="M900" s="16" t="n"/>
      <c r="N900" s="17">
        <f>IF(OR($B900="",$I900=""),"",_xlfn.LET(_xlpm.a,$I900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900" s="17">
        <f>IF(OR($B900="",$D900="",$E900=""),"",IF($E900=$D900,"CHECK TIMES (start = end)",IF($F900&gt;12,"CHECK TIMES (End is before Start?)","OK")))</f>
        <v/>
      </c>
      <c r="P900" s="17">
        <f>IF(OR($B900="",$I900=""),"",IF(IFERROR(MATCH($G900,nrBankTopics,0),0)=0,"OK",IF(COUNTA(INDEX(nrBankGrid,IFERROR(MATCH($G900,nrBankTopics,0),1),0))=0,"OK",IF(SUMPRODUCT((nrInstrNames&lt;&gt;"")*ISNUMBER(SEARCH(nrInstrNames,$I900))*(COUNTIF(INDEX(nrBankGrid,IFERROR(MATCH($G900,nrBankTopics,0),1),0),nrInstrNames)&gt;0))&lt;SUMPRODUCT((nrInstrNames&lt;&gt;"")*ISNUMBER(SEARCH(nrInstrNames,$I900))),"NOT IN BANK","OK"))))</f>
        <v/>
      </c>
    </row>
    <row r="901">
      <c r="B901" s="18" t="n"/>
      <c r="C901" s="17">
        <f>IF($B901="","",TEXT($B901,"ddd"))</f>
        <v/>
      </c>
      <c r="D901" s="41" t="n"/>
      <c r="E901" s="41" t="n"/>
      <c r="F901" s="17">
        <f>IF(OR($B901="",$D901="",$E901=""),"",ROUND(MOD($E901-$D901,1)*24,2))</f>
        <v/>
      </c>
      <c r="G901" s="16" t="n"/>
      <c r="H901" s="17">
        <f>IF($G901="","",IFERROR(_xlfn.XLOOKUP($G901,nrCHname,nrCHnum),IFERROR(_xlfn.XLOOKUP($G901,nrSUBname,nrSUBparent),"")))</f>
        <v/>
      </c>
      <c r="I901" s="16" t="n"/>
      <c r="J901" s="16" t="n"/>
      <c r="K901" s="17">
        <f>IF($B901="","",IFERROR(_xlfn.XLOOKUP($B901,nrCDdate,nrCDweek),""))</f>
        <v/>
      </c>
      <c r="L901" s="17">
        <f>IF($B901="","",IFERROR(_xlfn.XLOOKUP($B901,nrCDdate,nrCDnum),""))</f>
        <v/>
      </c>
      <c r="M901" s="16" t="n"/>
      <c r="N901" s="17">
        <f>IF(OR($B901="",$I901=""),"",_xlfn.LET(_xlpm.a,$I901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901" s="17">
        <f>IF(OR($B901="",$D901="",$E901=""),"",IF($E901=$D901,"CHECK TIMES (start = end)",IF($F901&gt;12,"CHECK TIMES (End is before Start?)","OK")))</f>
        <v/>
      </c>
      <c r="P901" s="17">
        <f>IF(OR($B901="",$I901=""),"",IF(IFERROR(MATCH($G901,nrBankTopics,0),0)=0,"OK",IF(COUNTA(INDEX(nrBankGrid,IFERROR(MATCH($G901,nrBankTopics,0),1),0))=0,"OK",IF(SUMPRODUCT((nrInstrNames&lt;&gt;"")*ISNUMBER(SEARCH(nrInstrNames,$I901))*(COUNTIF(INDEX(nrBankGrid,IFERROR(MATCH($G901,nrBankTopics,0),1),0),nrInstrNames)&gt;0))&lt;SUMPRODUCT((nrInstrNames&lt;&gt;"")*ISNUMBER(SEARCH(nrInstrNames,$I901))),"NOT IN BANK","OK"))))</f>
        <v/>
      </c>
    </row>
    <row r="902">
      <c r="B902" s="18" t="n"/>
      <c r="C902" s="17">
        <f>IF($B902="","",TEXT($B902,"ddd"))</f>
        <v/>
      </c>
      <c r="D902" s="41" t="n"/>
      <c r="E902" s="41" t="n"/>
      <c r="F902" s="17">
        <f>IF(OR($B902="",$D902="",$E902=""),"",ROUND(MOD($E902-$D902,1)*24,2))</f>
        <v/>
      </c>
      <c r="G902" s="16" t="n"/>
      <c r="H902" s="17">
        <f>IF($G902="","",IFERROR(_xlfn.XLOOKUP($G902,nrCHname,nrCHnum),IFERROR(_xlfn.XLOOKUP($G902,nrSUBname,nrSUBparent),"")))</f>
        <v/>
      </c>
      <c r="I902" s="16" t="n"/>
      <c r="J902" s="16" t="n"/>
      <c r="K902" s="17">
        <f>IF($B902="","",IFERROR(_xlfn.XLOOKUP($B902,nrCDdate,nrCDweek),""))</f>
        <v/>
      </c>
      <c r="L902" s="17">
        <f>IF($B902="","",IFERROR(_xlfn.XLOOKUP($B902,nrCDdate,nrCDnum),""))</f>
        <v/>
      </c>
      <c r="M902" s="16" t="n"/>
      <c r="N902" s="17">
        <f>IF(OR($B902="",$I902=""),"",_xlfn.LET(_xlpm.a,$I902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902" s="17">
        <f>IF(OR($B902="",$D902="",$E902=""),"",IF($E902=$D902,"CHECK TIMES (start = end)",IF($F902&gt;12,"CHECK TIMES (End is before Start?)","OK")))</f>
        <v/>
      </c>
      <c r="P902" s="17">
        <f>IF(OR($B902="",$I902=""),"",IF(IFERROR(MATCH($G902,nrBankTopics,0),0)=0,"OK",IF(COUNTA(INDEX(nrBankGrid,IFERROR(MATCH($G902,nrBankTopics,0),1),0))=0,"OK",IF(SUMPRODUCT((nrInstrNames&lt;&gt;"")*ISNUMBER(SEARCH(nrInstrNames,$I902))*(COUNTIF(INDEX(nrBankGrid,IFERROR(MATCH($G902,nrBankTopics,0),1),0),nrInstrNames)&gt;0))&lt;SUMPRODUCT((nrInstrNames&lt;&gt;"")*ISNUMBER(SEARCH(nrInstrNames,$I902))),"NOT IN BANK","OK"))))</f>
        <v/>
      </c>
    </row>
    <row r="903">
      <c r="B903" s="18" t="n"/>
      <c r="C903" s="17">
        <f>IF($B903="","",TEXT($B903,"ddd"))</f>
        <v/>
      </c>
      <c r="D903" s="41" t="n"/>
      <c r="E903" s="41" t="n"/>
      <c r="F903" s="17">
        <f>IF(OR($B903="",$D903="",$E903=""),"",ROUND(MOD($E903-$D903,1)*24,2))</f>
        <v/>
      </c>
      <c r="G903" s="16" t="n"/>
      <c r="H903" s="17">
        <f>IF($G903="","",IFERROR(_xlfn.XLOOKUP($G903,nrCHname,nrCHnum),IFERROR(_xlfn.XLOOKUP($G903,nrSUBname,nrSUBparent),"")))</f>
        <v/>
      </c>
      <c r="I903" s="16" t="n"/>
      <c r="J903" s="16" t="n"/>
      <c r="K903" s="17">
        <f>IF($B903="","",IFERROR(_xlfn.XLOOKUP($B903,nrCDdate,nrCDweek),""))</f>
        <v/>
      </c>
      <c r="L903" s="17">
        <f>IF($B903="","",IFERROR(_xlfn.XLOOKUP($B903,nrCDdate,nrCDnum),""))</f>
        <v/>
      </c>
      <c r="M903" s="16" t="n"/>
      <c r="N903" s="17">
        <f>IF(OR($B903="",$I903=""),"",_xlfn.LET(_xlpm.a,$I903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903" s="17">
        <f>IF(OR($B903="",$D903="",$E903=""),"",IF($E903=$D903,"CHECK TIMES (start = end)",IF($F903&gt;12,"CHECK TIMES (End is before Start?)","OK")))</f>
        <v/>
      </c>
      <c r="P903" s="17">
        <f>IF(OR($B903="",$I903=""),"",IF(IFERROR(MATCH($G903,nrBankTopics,0),0)=0,"OK",IF(COUNTA(INDEX(nrBankGrid,IFERROR(MATCH($G903,nrBankTopics,0),1),0))=0,"OK",IF(SUMPRODUCT((nrInstrNames&lt;&gt;"")*ISNUMBER(SEARCH(nrInstrNames,$I903))*(COUNTIF(INDEX(nrBankGrid,IFERROR(MATCH($G903,nrBankTopics,0),1),0),nrInstrNames)&gt;0))&lt;SUMPRODUCT((nrInstrNames&lt;&gt;"")*ISNUMBER(SEARCH(nrInstrNames,$I903))),"NOT IN BANK","OK"))))</f>
        <v/>
      </c>
    </row>
    <row r="904">
      <c r="B904" s="18" t="n"/>
      <c r="C904" s="17">
        <f>IF($B904="","",TEXT($B904,"ddd"))</f>
        <v/>
      </c>
      <c r="D904" s="41" t="n"/>
      <c r="E904" s="41" t="n"/>
      <c r="F904" s="17">
        <f>IF(OR($B904="",$D904="",$E904=""),"",ROUND(MOD($E904-$D904,1)*24,2))</f>
        <v/>
      </c>
      <c r="G904" s="16" t="n"/>
      <c r="H904" s="17">
        <f>IF($G904="","",IFERROR(_xlfn.XLOOKUP($G904,nrCHname,nrCHnum),IFERROR(_xlfn.XLOOKUP($G904,nrSUBname,nrSUBparent),"")))</f>
        <v/>
      </c>
      <c r="I904" s="16" t="n"/>
      <c r="J904" s="16" t="n"/>
      <c r="K904" s="17">
        <f>IF($B904="","",IFERROR(_xlfn.XLOOKUP($B904,nrCDdate,nrCDweek),""))</f>
        <v/>
      </c>
      <c r="L904" s="17">
        <f>IF($B904="","",IFERROR(_xlfn.XLOOKUP($B904,nrCDdate,nrCDnum),""))</f>
        <v/>
      </c>
      <c r="M904" s="16" t="n"/>
      <c r="N904" s="17">
        <f>IF(OR($B904="",$I904=""),"",_xlfn.LET(_xlpm.a,$I904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904" s="17">
        <f>IF(OR($B904="",$D904="",$E904=""),"",IF($E904=$D904,"CHECK TIMES (start = end)",IF($F904&gt;12,"CHECK TIMES (End is before Start?)","OK")))</f>
        <v/>
      </c>
      <c r="P904" s="17">
        <f>IF(OR($B904="",$I904=""),"",IF(IFERROR(MATCH($G904,nrBankTopics,0),0)=0,"OK",IF(COUNTA(INDEX(nrBankGrid,IFERROR(MATCH($G904,nrBankTopics,0),1),0))=0,"OK",IF(SUMPRODUCT((nrInstrNames&lt;&gt;"")*ISNUMBER(SEARCH(nrInstrNames,$I904))*(COUNTIF(INDEX(nrBankGrid,IFERROR(MATCH($G904,nrBankTopics,0),1),0),nrInstrNames)&gt;0))&lt;SUMPRODUCT((nrInstrNames&lt;&gt;"")*ISNUMBER(SEARCH(nrInstrNames,$I904))),"NOT IN BANK","OK"))))</f>
        <v/>
      </c>
    </row>
    <row r="905">
      <c r="B905" s="18" t="n"/>
      <c r="C905" s="17">
        <f>IF($B905="","",TEXT($B905,"ddd"))</f>
        <v/>
      </c>
      <c r="D905" s="41" t="n"/>
      <c r="E905" s="41" t="n"/>
      <c r="F905" s="17">
        <f>IF(OR($B905="",$D905="",$E905=""),"",ROUND(MOD($E905-$D905,1)*24,2))</f>
        <v/>
      </c>
      <c r="G905" s="16" t="n"/>
      <c r="H905" s="17">
        <f>IF($G905="","",IFERROR(_xlfn.XLOOKUP($G905,nrCHname,nrCHnum),IFERROR(_xlfn.XLOOKUP($G905,nrSUBname,nrSUBparent),"")))</f>
        <v/>
      </c>
      <c r="I905" s="16" t="n"/>
      <c r="J905" s="16" t="n"/>
      <c r="K905" s="17">
        <f>IF($B905="","",IFERROR(_xlfn.XLOOKUP($B905,nrCDdate,nrCDweek),""))</f>
        <v/>
      </c>
      <c r="L905" s="17">
        <f>IF($B905="","",IFERROR(_xlfn.XLOOKUP($B905,nrCDdate,nrCDnum),""))</f>
        <v/>
      </c>
      <c r="M905" s="16" t="n"/>
      <c r="N905" s="17">
        <f>IF(OR($B905="",$I905=""),"",_xlfn.LET(_xlpm.a,$I905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905" s="17">
        <f>IF(OR($B905="",$D905="",$E905=""),"",IF($E905=$D905,"CHECK TIMES (start = end)",IF($F905&gt;12,"CHECK TIMES (End is before Start?)","OK")))</f>
        <v/>
      </c>
      <c r="P905" s="17">
        <f>IF(OR($B905="",$I905=""),"",IF(IFERROR(MATCH($G905,nrBankTopics,0),0)=0,"OK",IF(COUNTA(INDEX(nrBankGrid,IFERROR(MATCH($G905,nrBankTopics,0),1),0))=0,"OK",IF(SUMPRODUCT((nrInstrNames&lt;&gt;"")*ISNUMBER(SEARCH(nrInstrNames,$I905))*(COUNTIF(INDEX(nrBankGrid,IFERROR(MATCH($G905,nrBankTopics,0),1),0),nrInstrNames)&gt;0))&lt;SUMPRODUCT((nrInstrNames&lt;&gt;"")*ISNUMBER(SEARCH(nrInstrNames,$I905))),"NOT IN BANK","OK"))))</f>
        <v/>
      </c>
    </row>
  </sheetData>
  <sheetProtection selectLockedCells="0" selectUnlockedCells="0" sheet="1" objects="0" insertRows="1" insertHyperlinks="1" autoFilter="0" scenarios="0" formatColumns="1" deleteColumns="1" insertColumns="1" pivotTables="1" deleteRows="1" formatCells="1" formatRows="1" sort="1" password="B4BB"/>
  <autoFilter ref="B5:P5"/>
  <conditionalFormatting sqref="N6:N905">
    <cfRule type="expression" priority="1" dxfId="0">
      <formula>$N6="UNRECOGNIZED"</formula>
    </cfRule>
  </conditionalFormatting>
  <conditionalFormatting sqref="P6:P905">
    <cfRule type="expression" priority="2" dxfId="0">
      <formula>$P6="NOT IN BANK"</formula>
    </cfRule>
  </conditionalFormatting>
  <conditionalFormatting sqref="O6:O905">
    <cfRule type="expression" priority="3" dxfId="0">
      <formula>AND($O6&lt;&gt;"",$O6&lt;&gt;"OK")</formula>
    </cfRule>
  </conditionalFormatting>
  <dataValidations count="2">
    <dataValidation sqref="G6:G905" showDropDown="0" showInputMessage="0" showErrorMessage="1" allowBlank="1" type="list">
      <formula1>=nrScheduleItems</formula1>
    </dataValidation>
    <dataValidation sqref="I6:I905" showDropDown="0" showInputMessage="0" showErrorMessage="0" allowBlank="1" type="list">
      <formula1>=IF(OR(IFERROR(MATCH($G6,nrBankTopics,0),0)=0,COUNTA(INDEX(nrBankSel,IFERROR(MATCH($G6,nrBankTopics,0),1),0))=0),nrInstrNames,INDEX(nrBankSel,IFERROR(MATCH($G6,nrBankTopics,0),1),0))</formula1>
    </dataValidation>
  </dataValidations>
  <pageMargins left="0.75" right="0.75" top="1" bottom="1" header="0.5" footer="0.5"/>
  <pageSetup orientation="landscape" fitToHeight="0" fitToWidth="1"/>
</worksheet>
</file>

<file path=xl/worksheets/sheet52.xml><?xml version="1.0" encoding="utf-8"?>
<worksheet xmlns="http://schemas.openxmlformats.org/spreadsheetml/2006/main">
  <sheetPr>
    <tabColor rgb="00808080"/>
    <outlinePr summaryBelow="1" summaryRight="1"/>
    <pageSetUpPr/>
  </sheetPr>
  <dimension ref="B1:AC55"/>
  <sheetViews>
    <sheetView showGridLines="0" workbookViewId="0">
      <pane xSplit="3" ySplit="5" topLeftCell="D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4" customWidth="1" min="3" max="3"/>
  </cols>
  <sheetData>
    <row r="1">
      <c r="B1" s="10">
        <f>HYPERLINK("#Dashboard!B5","◄ Dashboard")</f>
        <v/>
      </c>
    </row>
    <row r="4">
      <c r="B4" s="11" t="inlineStr">
        <is>
          <t>Weighted per policy 300.2 (Major 40 / Minor 30 / Spelling 10 / Final 20); pass requires 70 in EACH category. Projection columns show the average needed on remaining exams. Locked engine — do not edit.</t>
        </is>
      </c>
    </row>
    <row r="5" ht="26" customHeight="1">
      <c r="B5" s="12" t="inlineStr">
        <is>
          <t>PID</t>
        </is>
      </c>
      <c r="C5" s="12" t="inlineStr">
        <is>
          <t>Cadet Name</t>
        </is>
      </c>
      <c r="D5" s="12" t="inlineStr">
        <is>
          <t>Status</t>
        </is>
      </c>
      <c r="E5" s="12" t="inlineStr">
        <is>
          <t>MajCnt</t>
        </is>
      </c>
      <c r="F5" s="12" t="inlineStr">
        <is>
          <t>MinCnt</t>
        </is>
      </c>
      <c r="G5" s="12" t="inlineStr">
        <is>
          <t>SpCnt</t>
        </is>
      </c>
      <c r="H5" s="12" t="inlineStr">
        <is>
          <t>FinCnt</t>
        </is>
      </c>
      <c r="I5" s="12" t="inlineStr">
        <is>
          <t>MajorAvg</t>
        </is>
      </c>
      <c r="J5" s="12" t="inlineStr">
        <is>
          <t>MinorAvg</t>
        </is>
      </c>
      <c r="K5" s="12" t="inlineStr">
        <is>
          <t>SpellAvg</t>
        </is>
      </c>
      <c r="L5" s="12" t="inlineStr">
        <is>
          <t>FinalScore</t>
        </is>
      </c>
      <c r="M5" s="12" t="inlineStr">
        <is>
          <t>Current Grade</t>
        </is>
      </c>
      <c r="N5" s="12" t="inlineStr">
        <is>
          <t>Final Grade</t>
        </is>
      </c>
      <c r="O5" s="12" t="inlineStr">
        <is>
          <t>Retakes</t>
        </is>
      </c>
      <c r="P5" s="12" t="inlineStr">
        <is>
          <t>DismissRev</t>
        </is>
      </c>
      <c r="Q5" s="12" t="inlineStr">
        <is>
          <t>MajBelow</t>
        </is>
      </c>
      <c r="R5" s="12" t="inlineStr">
        <is>
          <t>MinBelow</t>
        </is>
      </c>
      <c r="S5" s="12" t="inlineStr">
        <is>
          <t>GradeNum</t>
        </is>
      </c>
      <c r="T5" s="12" t="inlineStr">
        <is>
          <t>RankElig</t>
        </is>
      </c>
      <c r="U5" s="12" t="inlineStr">
        <is>
          <t>Rank</t>
        </is>
      </c>
      <c r="V5" s="12" t="inlineStr">
        <is>
          <t>AcademicElig</t>
        </is>
      </c>
      <c r="W5" s="12" t="inlineStr">
        <is>
          <t>Need Maj Avg Left</t>
        </is>
      </c>
      <c r="X5" s="12" t="inlineStr">
        <is>
          <t>Need Min Avg Left</t>
        </is>
      </c>
      <c r="Y5" s="12" t="inlineStr">
        <is>
          <t>Need Final</t>
        </is>
      </c>
      <c r="Z5" s="12" t="inlineStr">
        <is>
          <t>LastScore</t>
        </is>
      </c>
      <c r="AA5" s="12" t="inlineStr">
        <is>
          <t>PrevScore</t>
        </is>
      </c>
      <c r="AB5" s="12" t="inlineStr">
        <is>
          <t>GradeDrop</t>
        </is>
      </c>
      <c r="AC5" s="12" t="inlineStr">
        <is>
          <t>ConsecFails</t>
        </is>
      </c>
    </row>
    <row r="6">
      <c r="B6" s="17">
        <f>IF(Cadets!$B6="","",Cadets!$B6)</f>
        <v/>
      </c>
      <c r="C6" s="17">
        <f>IF($B6="","",Cadets!$F6)</f>
        <v/>
      </c>
      <c r="D6" s="17">
        <f>IF($B6="","",Cadets!$I6)</f>
        <v/>
      </c>
      <c r="E6" s="17">
        <f>IF($B6="","",COUNTIFS(nrES_PID,$B6,nrES_Type,"Major",nrES_Final,"Yes",nrES_Rec,"&gt;=0",nrES_Rec,"&lt;=100"))</f>
        <v/>
      </c>
      <c r="F6" s="17">
        <f>IF($B6="","",COUNTIFS(nrES_PID,$B6,nrES_Type,"Minor",nrES_Final,"Yes",nrES_Rec,"&gt;=0",nrES_Rec,"&lt;=100"))</f>
        <v/>
      </c>
      <c r="G6" s="17">
        <f>IF($B6="","",Spelling!Q6)</f>
        <v/>
      </c>
      <c r="H6" s="17">
        <f>IF($B6="","",COUNTIFS(nrES_PID,$B6,nrES_Type,"Final",nrES_Final,"Yes",nrES_Rec,"&gt;=0",nrES_Rec,"&lt;=100"))</f>
        <v/>
      </c>
      <c r="I6" s="17">
        <f>IF(OR($B6="",$E6=0),"",IFERROR(ROUND(AVERAGEIFS(nrES_Rec,nrES_PID,$B6,nrES_Type,"Major",nrES_Final,"Yes",nrES_Rec,"&gt;=0",nrES_Rec,"&lt;=100"),2),""))</f>
        <v/>
      </c>
      <c r="J6" s="17">
        <f>IF(OR($B6="",$F6=0),"",IFERROR(ROUND(AVERAGEIFS(nrES_Rec,nrES_PID,$B6,nrES_Type,"Minor",nrES_Final,"Yes",nrES_Rec,"&gt;=0",nrES_Rec,"&lt;=100"),2),""))</f>
        <v/>
      </c>
      <c r="K6" s="17">
        <f>IF($B6="","",Spelling!P6)</f>
        <v/>
      </c>
      <c r="L6" s="17">
        <f>IF(OR($B6="",$H6=0),"",IFERROR(ROUND(AVERAGEIFS(nrES_Rec,nrES_PID,$B6,nrES_Type,"Final",nrES_Final,"Yes",nrES_Rec,"&gt;=0",nrES_Rec,"&lt;=100"),2),""))</f>
        <v/>
      </c>
      <c r="M6" s="17">
        <f>IF($B6="","",_xlfn.LET(_xlpm.w,($E6&gt;0)*cfgWeightMajor+($F6&gt;0)*cfgWeightMinor+(N($G6)&gt;0)*cfgWeightSpelling+($H6&gt;0)*cfgWeightFinal,IF(_xlpm.w=0,"",ROUND((($E6&gt;0)*cfgWeightMajor*N($I6)+($F6&gt;0)*cfgWeightMinor*N($J6)+(N($G6)&gt;0)*cfgWeightSpelling*N($K6)+($H6&gt;0)*cfgWeightFinal*N($L6))/_xlpm.w,2))))</f>
        <v/>
      </c>
      <c r="N6" s="17">
        <f>IF(OR($B6="",$H6=0),"",$M6)</f>
        <v/>
      </c>
      <c r="O6" s="17">
        <f>IF($B6="","",COUNTIFS(nrES_PID,$B6,nrES_Att,2))</f>
        <v/>
      </c>
      <c r="P6" s="17">
        <f>IF($B6="","",COUNTIFS(nrES_PID,$B6,nrES_Dis,"Yes"))</f>
        <v/>
      </c>
      <c r="Q6" s="17">
        <f>IF($B6="","",IF(AND($I6&lt;&gt;"",$I6&lt;cfgThresholdScore,OR($E6&gt;=cfgThresholdAfterExam,$E6&gt;=COUNTIFS(rngEPuse,"Yes",rngEPtype,"Major"))),"Yes","No"))</f>
        <v/>
      </c>
      <c r="R6" s="17">
        <f>IF($B6="","",IF(AND($J6&lt;&gt;"",$J6&lt;cfgThresholdScore,OR($F6&gt;=cfgThresholdAfterExam,$F6&gt;=COUNTIFS(rngEPuse,"Yes",rngEPtype,"Minor"))),"Yes","No"))</f>
        <v/>
      </c>
      <c r="S6" s="17">
        <f>IF($B6="","",IF($M6="",-1,$M6))</f>
        <v/>
      </c>
      <c r="T6" s="17">
        <f>IF($B6="","",IF(AND($D6="Active",sysChecks!$M6&lt;&gt;"Yes",$M6&lt;&gt;""),"Yes","No"))</f>
        <v/>
      </c>
      <c r="U6" s="17">
        <f>IF($T6&lt;&gt;"Yes","",SUMPRODUCT(($T$6:$T$55="Yes")*(($S$6:$S$55&gt;$S6)+($S$6:$S$55=$S6)*(ROW($S$6:$S$55)&lt;ROW())))+1)</f>
        <v/>
      </c>
      <c r="V6" s="17">
        <f>IF($B6="","",IF(AND($Q6="No",$R6="No",OR(N($G6)=0,$K6&gt;=cfgThresholdScore),OR($H6=0,$L6&gt;=cfgThresholdScore)),"Yes","No"))</f>
        <v/>
      </c>
      <c r="W6" s="17">
        <f>IF($B6="","",_xlfn.LET(_xlpm.tot,COUNTIFS(rngEPuse,"Yes",rngEPtype,"Major"),_xlpm.left,_xlpm.tot-$E6,IF(_xlpm.left&lt;=0,"done",MAX(0,ROUND((cfgThresholdScore*_xlpm.tot-N($I6)*$E6)/_xlpm.left,1)))))</f>
        <v/>
      </c>
      <c r="X6" s="17">
        <f>IF($B6="","",_xlfn.LET(_xlpm.tot,COUNTIFS(rngEPuse,"Yes",rngEPtype,"Minor"),_xlpm.left,_xlpm.tot-$F6,IF(_xlpm.left&lt;=0,"done",MAX(0,ROUND((cfgThresholdScore*_xlpm.tot-N($J6)*$F6)/_xlpm.left,1)))))</f>
        <v/>
      </c>
      <c r="Y6" s="17">
        <f>IF($B6="","",IF($H6&gt;0,"done",cfgThresholdScore))</f>
        <v/>
      </c>
      <c r="Z6" s="17">
        <f>IF($B6="","",_xlfn.LET(_xlpm.s,_xlfn.MAXIFS(nrES_Seq,nrES_PID,$B6,nrES_Att,1,nrES_Raw,"&gt;=0"),IF(_xlpm.s=0,"",SUMIFS(nrES_Raw,nrES_PID,$B6,nrES_Att,1,nrES_Seq,_xlpm.s))))</f>
        <v/>
      </c>
      <c r="AA6" s="17">
        <f>IF($B6="","",_xlfn.LET(_xlpm.s,_xlfn.MAXIFS(nrES_Seq,nrES_PID,$B6,nrES_Att,1,nrES_Raw,"&gt;=0"),IF(_xlpm.s=0,"",_xlfn.LET(_xlpm.p,_xlfn.MAXIFS(nrES_Seq,nrES_PID,$B6,nrES_Att,1,nrES_Seq,"&lt;"&amp;_xlpm.s,nrES_Raw,"&gt;=0"),IF(_xlpm.p=0,"",SUMIFS(nrES_Raw,nrES_PID,$B6,nrES_Att,1,nrES_Seq,_xlpm.p))))))</f>
        <v/>
      </c>
      <c r="AB6" s="17">
        <f>IF(OR($B6="",$Z6="",$AA6=""),"",ROUND($AA6-$Z6,1))</f>
        <v/>
      </c>
      <c r="AC6" s="17">
        <f>IF($B6="","",_xlfn.LET(_xlpm.s,_xlfn.MAXIFS(nrES_Seq,nrES_PID,$B6,nrES_Att,1,nrES_Raw,"&gt;=0"),IF(_xlpm.s=0,0,_xlfn.LET(_xlpm.a,IF(SUMIFS(nrES_Raw,nrES_PID,$B6,nrES_Att,1,nrES_Seq,_xlpm.s)&lt;cfgPassingScore,1,0),_xlpm.p,_xlfn.MAXIFS(nrES_Seq,nrES_PID,$B6,nrES_Att,1,nrES_Seq,"&lt;"&amp;_xlpm.s,nrES_Raw,"&gt;=0"),IF(OR(_xlpm.a=0,_xlpm.p=0),_xlpm.a,_xlpm.a+IF(SUMIFS(nrES_Raw,nrES_PID,$B6,nrES_Att,1,nrES_Seq,_xlpm.p)&lt;cfgPassingScore,1,0))))))</f>
        <v/>
      </c>
    </row>
    <row r="7">
      <c r="B7" s="17">
        <f>IF(Cadets!$B7="","",Cadets!$B7)</f>
        <v/>
      </c>
      <c r="C7" s="17">
        <f>IF($B7="","",Cadets!$F7)</f>
        <v/>
      </c>
      <c r="D7" s="17">
        <f>IF($B7="","",Cadets!$I7)</f>
        <v/>
      </c>
      <c r="E7" s="17">
        <f>IF($B7="","",COUNTIFS(nrES_PID,$B7,nrES_Type,"Major",nrES_Final,"Yes",nrES_Rec,"&gt;=0",nrES_Rec,"&lt;=100"))</f>
        <v/>
      </c>
      <c r="F7" s="17">
        <f>IF($B7="","",COUNTIFS(nrES_PID,$B7,nrES_Type,"Minor",nrES_Final,"Yes",nrES_Rec,"&gt;=0",nrES_Rec,"&lt;=100"))</f>
        <v/>
      </c>
      <c r="G7" s="17">
        <f>IF($B7="","",Spelling!Q7)</f>
        <v/>
      </c>
      <c r="H7" s="17">
        <f>IF($B7="","",COUNTIFS(nrES_PID,$B7,nrES_Type,"Final",nrES_Final,"Yes",nrES_Rec,"&gt;=0",nrES_Rec,"&lt;=100"))</f>
        <v/>
      </c>
      <c r="I7" s="17">
        <f>IF(OR($B7="",$E7=0),"",IFERROR(ROUND(AVERAGEIFS(nrES_Rec,nrES_PID,$B7,nrES_Type,"Major",nrES_Final,"Yes",nrES_Rec,"&gt;=0",nrES_Rec,"&lt;=100"),2),""))</f>
        <v/>
      </c>
      <c r="J7" s="17">
        <f>IF(OR($B7="",$F7=0),"",IFERROR(ROUND(AVERAGEIFS(nrES_Rec,nrES_PID,$B7,nrES_Type,"Minor",nrES_Final,"Yes",nrES_Rec,"&gt;=0",nrES_Rec,"&lt;=100"),2),""))</f>
        <v/>
      </c>
      <c r="K7" s="17">
        <f>IF($B7="","",Spelling!P7)</f>
        <v/>
      </c>
      <c r="L7" s="17">
        <f>IF(OR($B7="",$H7=0),"",IFERROR(ROUND(AVERAGEIFS(nrES_Rec,nrES_PID,$B7,nrES_Type,"Final",nrES_Final,"Yes",nrES_Rec,"&gt;=0",nrES_Rec,"&lt;=100"),2),""))</f>
        <v/>
      </c>
      <c r="M7" s="17">
        <f>IF($B7="","",_xlfn.LET(_xlpm.w,($E7&gt;0)*cfgWeightMajor+($F7&gt;0)*cfgWeightMinor+(N($G7)&gt;0)*cfgWeightSpelling+($H7&gt;0)*cfgWeightFinal,IF(_xlpm.w=0,"",ROUND((($E7&gt;0)*cfgWeightMajor*N($I7)+($F7&gt;0)*cfgWeightMinor*N($J7)+(N($G7)&gt;0)*cfgWeightSpelling*N($K7)+($H7&gt;0)*cfgWeightFinal*N($L7))/_xlpm.w,2))))</f>
        <v/>
      </c>
      <c r="N7" s="17">
        <f>IF(OR($B7="",$H7=0),"",$M7)</f>
        <v/>
      </c>
      <c r="O7" s="17">
        <f>IF($B7="","",COUNTIFS(nrES_PID,$B7,nrES_Att,2))</f>
        <v/>
      </c>
      <c r="P7" s="17">
        <f>IF($B7="","",COUNTIFS(nrES_PID,$B7,nrES_Dis,"Yes"))</f>
        <v/>
      </c>
      <c r="Q7" s="17">
        <f>IF($B7="","",IF(AND($I7&lt;&gt;"",$I7&lt;cfgThresholdScore,OR($E7&gt;=cfgThresholdAfterExam,$E7&gt;=COUNTIFS(rngEPuse,"Yes",rngEPtype,"Major"))),"Yes","No"))</f>
        <v/>
      </c>
      <c r="R7" s="17">
        <f>IF($B7="","",IF(AND($J7&lt;&gt;"",$J7&lt;cfgThresholdScore,OR($F7&gt;=cfgThresholdAfterExam,$F7&gt;=COUNTIFS(rngEPuse,"Yes",rngEPtype,"Minor"))),"Yes","No"))</f>
        <v/>
      </c>
      <c r="S7" s="17">
        <f>IF($B7="","",IF($M7="",-1,$M7))</f>
        <v/>
      </c>
      <c r="T7" s="17">
        <f>IF($B7="","",IF(AND($D7="Active",sysChecks!$M7&lt;&gt;"Yes",$M7&lt;&gt;""),"Yes","No"))</f>
        <v/>
      </c>
      <c r="U7" s="17">
        <f>IF($T7&lt;&gt;"Yes","",SUMPRODUCT(($T$6:$T$55="Yes")*(($S$6:$S$55&gt;$S7)+($S$6:$S$55=$S7)*(ROW($S$6:$S$55)&lt;ROW())))+1)</f>
        <v/>
      </c>
      <c r="V7" s="17">
        <f>IF($B7="","",IF(AND($Q7="No",$R7="No",OR(N($G7)=0,$K7&gt;=cfgThresholdScore),OR($H7=0,$L7&gt;=cfgThresholdScore)),"Yes","No"))</f>
        <v/>
      </c>
      <c r="W7" s="17">
        <f>IF($B7="","",_xlfn.LET(_xlpm.tot,COUNTIFS(rngEPuse,"Yes",rngEPtype,"Major"),_xlpm.left,_xlpm.tot-$E7,IF(_xlpm.left&lt;=0,"done",MAX(0,ROUND((cfgThresholdScore*_xlpm.tot-N($I7)*$E7)/_xlpm.left,1)))))</f>
        <v/>
      </c>
      <c r="X7" s="17">
        <f>IF($B7="","",_xlfn.LET(_xlpm.tot,COUNTIFS(rngEPuse,"Yes",rngEPtype,"Minor"),_xlpm.left,_xlpm.tot-$F7,IF(_xlpm.left&lt;=0,"done",MAX(0,ROUND((cfgThresholdScore*_xlpm.tot-N($J7)*$F7)/_xlpm.left,1)))))</f>
        <v/>
      </c>
      <c r="Y7" s="17">
        <f>IF($B7="","",IF($H7&gt;0,"done",cfgThresholdScore))</f>
        <v/>
      </c>
      <c r="Z7" s="17">
        <f>IF($B7="","",_xlfn.LET(_xlpm.s,_xlfn.MAXIFS(nrES_Seq,nrES_PID,$B7,nrES_Att,1,nrES_Raw,"&gt;=0"),IF(_xlpm.s=0,"",SUMIFS(nrES_Raw,nrES_PID,$B7,nrES_Att,1,nrES_Seq,_xlpm.s))))</f>
        <v/>
      </c>
      <c r="AA7" s="17">
        <f>IF($B7="","",_xlfn.LET(_xlpm.s,_xlfn.MAXIFS(nrES_Seq,nrES_PID,$B7,nrES_Att,1,nrES_Raw,"&gt;=0"),IF(_xlpm.s=0,"",_xlfn.LET(_xlpm.p,_xlfn.MAXIFS(nrES_Seq,nrES_PID,$B7,nrES_Att,1,nrES_Seq,"&lt;"&amp;_xlpm.s,nrES_Raw,"&gt;=0"),IF(_xlpm.p=0,"",SUMIFS(nrES_Raw,nrES_PID,$B7,nrES_Att,1,nrES_Seq,_xlpm.p))))))</f>
        <v/>
      </c>
      <c r="AB7" s="17">
        <f>IF(OR($B7="",$Z7="",$AA7=""),"",ROUND($AA7-$Z7,1))</f>
        <v/>
      </c>
      <c r="AC7" s="17">
        <f>IF($B7="","",_xlfn.LET(_xlpm.s,_xlfn.MAXIFS(nrES_Seq,nrES_PID,$B7,nrES_Att,1,nrES_Raw,"&gt;=0"),IF(_xlpm.s=0,0,_xlfn.LET(_xlpm.a,IF(SUMIFS(nrES_Raw,nrES_PID,$B7,nrES_Att,1,nrES_Seq,_xlpm.s)&lt;cfgPassingScore,1,0),_xlpm.p,_xlfn.MAXIFS(nrES_Seq,nrES_PID,$B7,nrES_Att,1,nrES_Seq,"&lt;"&amp;_xlpm.s,nrES_Raw,"&gt;=0"),IF(OR(_xlpm.a=0,_xlpm.p=0),_xlpm.a,_xlpm.a+IF(SUMIFS(nrES_Raw,nrES_PID,$B7,nrES_Att,1,nrES_Seq,_xlpm.p)&lt;cfgPassingScore,1,0))))))</f>
        <v/>
      </c>
    </row>
    <row r="8">
      <c r="B8" s="17">
        <f>IF(Cadets!$B8="","",Cadets!$B8)</f>
        <v/>
      </c>
      <c r="C8" s="17">
        <f>IF($B8="","",Cadets!$F8)</f>
        <v/>
      </c>
      <c r="D8" s="17">
        <f>IF($B8="","",Cadets!$I8)</f>
        <v/>
      </c>
      <c r="E8" s="17">
        <f>IF($B8="","",COUNTIFS(nrES_PID,$B8,nrES_Type,"Major",nrES_Final,"Yes",nrES_Rec,"&gt;=0",nrES_Rec,"&lt;=100"))</f>
        <v/>
      </c>
      <c r="F8" s="17">
        <f>IF($B8="","",COUNTIFS(nrES_PID,$B8,nrES_Type,"Minor",nrES_Final,"Yes",nrES_Rec,"&gt;=0",nrES_Rec,"&lt;=100"))</f>
        <v/>
      </c>
      <c r="G8" s="17">
        <f>IF($B8="","",Spelling!Q8)</f>
        <v/>
      </c>
      <c r="H8" s="17">
        <f>IF($B8="","",COUNTIFS(nrES_PID,$B8,nrES_Type,"Final",nrES_Final,"Yes",nrES_Rec,"&gt;=0",nrES_Rec,"&lt;=100"))</f>
        <v/>
      </c>
      <c r="I8" s="17">
        <f>IF(OR($B8="",$E8=0),"",IFERROR(ROUND(AVERAGEIFS(nrES_Rec,nrES_PID,$B8,nrES_Type,"Major",nrES_Final,"Yes",nrES_Rec,"&gt;=0",nrES_Rec,"&lt;=100"),2),""))</f>
        <v/>
      </c>
      <c r="J8" s="17">
        <f>IF(OR($B8="",$F8=0),"",IFERROR(ROUND(AVERAGEIFS(nrES_Rec,nrES_PID,$B8,nrES_Type,"Minor",nrES_Final,"Yes",nrES_Rec,"&gt;=0",nrES_Rec,"&lt;=100"),2),""))</f>
        <v/>
      </c>
      <c r="K8" s="17">
        <f>IF($B8="","",Spelling!P8)</f>
        <v/>
      </c>
      <c r="L8" s="17">
        <f>IF(OR($B8="",$H8=0),"",IFERROR(ROUND(AVERAGEIFS(nrES_Rec,nrES_PID,$B8,nrES_Type,"Final",nrES_Final,"Yes",nrES_Rec,"&gt;=0",nrES_Rec,"&lt;=100"),2),""))</f>
        <v/>
      </c>
      <c r="M8" s="17">
        <f>IF($B8="","",_xlfn.LET(_xlpm.w,($E8&gt;0)*cfgWeightMajor+($F8&gt;0)*cfgWeightMinor+(N($G8)&gt;0)*cfgWeightSpelling+($H8&gt;0)*cfgWeightFinal,IF(_xlpm.w=0,"",ROUND((($E8&gt;0)*cfgWeightMajor*N($I8)+($F8&gt;0)*cfgWeightMinor*N($J8)+(N($G8)&gt;0)*cfgWeightSpelling*N($K8)+($H8&gt;0)*cfgWeightFinal*N($L8))/_xlpm.w,2))))</f>
        <v/>
      </c>
      <c r="N8" s="17">
        <f>IF(OR($B8="",$H8=0),"",$M8)</f>
        <v/>
      </c>
      <c r="O8" s="17">
        <f>IF($B8="","",COUNTIFS(nrES_PID,$B8,nrES_Att,2))</f>
        <v/>
      </c>
      <c r="P8" s="17">
        <f>IF($B8="","",COUNTIFS(nrES_PID,$B8,nrES_Dis,"Yes"))</f>
        <v/>
      </c>
      <c r="Q8" s="17">
        <f>IF($B8="","",IF(AND($I8&lt;&gt;"",$I8&lt;cfgThresholdScore,OR($E8&gt;=cfgThresholdAfterExam,$E8&gt;=COUNTIFS(rngEPuse,"Yes",rngEPtype,"Major"))),"Yes","No"))</f>
        <v/>
      </c>
      <c r="R8" s="17">
        <f>IF($B8="","",IF(AND($J8&lt;&gt;"",$J8&lt;cfgThresholdScore,OR($F8&gt;=cfgThresholdAfterExam,$F8&gt;=COUNTIFS(rngEPuse,"Yes",rngEPtype,"Minor"))),"Yes","No"))</f>
        <v/>
      </c>
      <c r="S8" s="17">
        <f>IF($B8="","",IF($M8="",-1,$M8))</f>
        <v/>
      </c>
      <c r="T8" s="17">
        <f>IF($B8="","",IF(AND($D8="Active",sysChecks!$M8&lt;&gt;"Yes",$M8&lt;&gt;""),"Yes","No"))</f>
        <v/>
      </c>
      <c r="U8" s="17">
        <f>IF($T8&lt;&gt;"Yes","",SUMPRODUCT(($T$6:$T$55="Yes")*(($S$6:$S$55&gt;$S8)+($S$6:$S$55=$S8)*(ROW($S$6:$S$55)&lt;ROW())))+1)</f>
        <v/>
      </c>
      <c r="V8" s="17">
        <f>IF($B8="","",IF(AND($Q8="No",$R8="No",OR(N($G8)=0,$K8&gt;=cfgThresholdScore),OR($H8=0,$L8&gt;=cfgThresholdScore)),"Yes","No"))</f>
        <v/>
      </c>
      <c r="W8" s="17">
        <f>IF($B8="","",_xlfn.LET(_xlpm.tot,COUNTIFS(rngEPuse,"Yes",rngEPtype,"Major"),_xlpm.left,_xlpm.tot-$E8,IF(_xlpm.left&lt;=0,"done",MAX(0,ROUND((cfgThresholdScore*_xlpm.tot-N($I8)*$E8)/_xlpm.left,1)))))</f>
        <v/>
      </c>
      <c r="X8" s="17">
        <f>IF($B8="","",_xlfn.LET(_xlpm.tot,COUNTIFS(rngEPuse,"Yes",rngEPtype,"Minor"),_xlpm.left,_xlpm.tot-$F8,IF(_xlpm.left&lt;=0,"done",MAX(0,ROUND((cfgThresholdScore*_xlpm.tot-N($J8)*$F8)/_xlpm.left,1)))))</f>
        <v/>
      </c>
      <c r="Y8" s="17">
        <f>IF($B8="","",IF($H8&gt;0,"done",cfgThresholdScore))</f>
        <v/>
      </c>
      <c r="Z8" s="17">
        <f>IF($B8="","",_xlfn.LET(_xlpm.s,_xlfn.MAXIFS(nrES_Seq,nrES_PID,$B8,nrES_Att,1,nrES_Raw,"&gt;=0"),IF(_xlpm.s=0,"",SUMIFS(nrES_Raw,nrES_PID,$B8,nrES_Att,1,nrES_Seq,_xlpm.s))))</f>
        <v/>
      </c>
      <c r="AA8" s="17">
        <f>IF($B8="","",_xlfn.LET(_xlpm.s,_xlfn.MAXIFS(nrES_Seq,nrES_PID,$B8,nrES_Att,1,nrES_Raw,"&gt;=0"),IF(_xlpm.s=0,"",_xlfn.LET(_xlpm.p,_xlfn.MAXIFS(nrES_Seq,nrES_PID,$B8,nrES_Att,1,nrES_Seq,"&lt;"&amp;_xlpm.s,nrES_Raw,"&gt;=0"),IF(_xlpm.p=0,"",SUMIFS(nrES_Raw,nrES_PID,$B8,nrES_Att,1,nrES_Seq,_xlpm.p))))))</f>
        <v/>
      </c>
      <c r="AB8" s="17">
        <f>IF(OR($B8="",$Z8="",$AA8=""),"",ROUND($AA8-$Z8,1))</f>
        <v/>
      </c>
      <c r="AC8" s="17">
        <f>IF($B8="","",_xlfn.LET(_xlpm.s,_xlfn.MAXIFS(nrES_Seq,nrES_PID,$B8,nrES_Att,1,nrES_Raw,"&gt;=0"),IF(_xlpm.s=0,0,_xlfn.LET(_xlpm.a,IF(SUMIFS(nrES_Raw,nrES_PID,$B8,nrES_Att,1,nrES_Seq,_xlpm.s)&lt;cfgPassingScore,1,0),_xlpm.p,_xlfn.MAXIFS(nrES_Seq,nrES_PID,$B8,nrES_Att,1,nrES_Seq,"&lt;"&amp;_xlpm.s,nrES_Raw,"&gt;=0"),IF(OR(_xlpm.a=0,_xlpm.p=0),_xlpm.a,_xlpm.a+IF(SUMIFS(nrES_Raw,nrES_PID,$B8,nrES_Att,1,nrES_Seq,_xlpm.p)&lt;cfgPassingScore,1,0))))))</f>
        <v/>
      </c>
    </row>
    <row r="9">
      <c r="B9" s="17">
        <f>IF(Cadets!$B9="","",Cadets!$B9)</f>
        <v/>
      </c>
      <c r="C9" s="17">
        <f>IF($B9="","",Cadets!$F9)</f>
        <v/>
      </c>
      <c r="D9" s="17">
        <f>IF($B9="","",Cadets!$I9)</f>
        <v/>
      </c>
      <c r="E9" s="17">
        <f>IF($B9="","",COUNTIFS(nrES_PID,$B9,nrES_Type,"Major",nrES_Final,"Yes",nrES_Rec,"&gt;=0",nrES_Rec,"&lt;=100"))</f>
        <v/>
      </c>
      <c r="F9" s="17">
        <f>IF($B9="","",COUNTIFS(nrES_PID,$B9,nrES_Type,"Minor",nrES_Final,"Yes",nrES_Rec,"&gt;=0",nrES_Rec,"&lt;=100"))</f>
        <v/>
      </c>
      <c r="G9" s="17">
        <f>IF($B9="","",Spelling!Q9)</f>
        <v/>
      </c>
      <c r="H9" s="17">
        <f>IF($B9="","",COUNTIFS(nrES_PID,$B9,nrES_Type,"Final",nrES_Final,"Yes",nrES_Rec,"&gt;=0",nrES_Rec,"&lt;=100"))</f>
        <v/>
      </c>
      <c r="I9" s="17">
        <f>IF(OR($B9="",$E9=0),"",IFERROR(ROUND(AVERAGEIFS(nrES_Rec,nrES_PID,$B9,nrES_Type,"Major",nrES_Final,"Yes",nrES_Rec,"&gt;=0",nrES_Rec,"&lt;=100"),2),""))</f>
        <v/>
      </c>
      <c r="J9" s="17">
        <f>IF(OR($B9="",$F9=0),"",IFERROR(ROUND(AVERAGEIFS(nrES_Rec,nrES_PID,$B9,nrES_Type,"Minor",nrES_Final,"Yes",nrES_Rec,"&gt;=0",nrES_Rec,"&lt;=100"),2),""))</f>
        <v/>
      </c>
      <c r="K9" s="17">
        <f>IF($B9="","",Spelling!P9)</f>
        <v/>
      </c>
      <c r="L9" s="17">
        <f>IF(OR($B9="",$H9=0),"",IFERROR(ROUND(AVERAGEIFS(nrES_Rec,nrES_PID,$B9,nrES_Type,"Final",nrES_Final,"Yes",nrES_Rec,"&gt;=0",nrES_Rec,"&lt;=100"),2),""))</f>
        <v/>
      </c>
      <c r="M9" s="17">
        <f>IF($B9="","",_xlfn.LET(_xlpm.w,($E9&gt;0)*cfgWeightMajor+($F9&gt;0)*cfgWeightMinor+(N($G9)&gt;0)*cfgWeightSpelling+($H9&gt;0)*cfgWeightFinal,IF(_xlpm.w=0,"",ROUND((($E9&gt;0)*cfgWeightMajor*N($I9)+($F9&gt;0)*cfgWeightMinor*N($J9)+(N($G9)&gt;0)*cfgWeightSpelling*N($K9)+($H9&gt;0)*cfgWeightFinal*N($L9))/_xlpm.w,2))))</f>
        <v/>
      </c>
      <c r="N9" s="17">
        <f>IF(OR($B9="",$H9=0),"",$M9)</f>
        <v/>
      </c>
      <c r="O9" s="17">
        <f>IF($B9="","",COUNTIFS(nrES_PID,$B9,nrES_Att,2))</f>
        <v/>
      </c>
      <c r="P9" s="17">
        <f>IF($B9="","",COUNTIFS(nrES_PID,$B9,nrES_Dis,"Yes"))</f>
        <v/>
      </c>
      <c r="Q9" s="17">
        <f>IF($B9="","",IF(AND($I9&lt;&gt;"",$I9&lt;cfgThresholdScore,OR($E9&gt;=cfgThresholdAfterExam,$E9&gt;=COUNTIFS(rngEPuse,"Yes",rngEPtype,"Major"))),"Yes","No"))</f>
        <v/>
      </c>
      <c r="R9" s="17">
        <f>IF($B9="","",IF(AND($J9&lt;&gt;"",$J9&lt;cfgThresholdScore,OR($F9&gt;=cfgThresholdAfterExam,$F9&gt;=COUNTIFS(rngEPuse,"Yes",rngEPtype,"Minor"))),"Yes","No"))</f>
        <v/>
      </c>
      <c r="S9" s="17">
        <f>IF($B9="","",IF($M9="",-1,$M9))</f>
        <v/>
      </c>
      <c r="T9" s="17">
        <f>IF($B9="","",IF(AND($D9="Active",sysChecks!$M9&lt;&gt;"Yes",$M9&lt;&gt;""),"Yes","No"))</f>
        <v/>
      </c>
      <c r="U9" s="17">
        <f>IF($T9&lt;&gt;"Yes","",SUMPRODUCT(($T$6:$T$55="Yes")*(($S$6:$S$55&gt;$S9)+($S$6:$S$55=$S9)*(ROW($S$6:$S$55)&lt;ROW())))+1)</f>
        <v/>
      </c>
      <c r="V9" s="17">
        <f>IF($B9="","",IF(AND($Q9="No",$R9="No",OR(N($G9)=0,$K9&gt;=cfgThresholdScore),OR($H9=0,$L9&gt;=cfgThresholdScore)),"Yes","No"))</f>
        <v/>
      </c>
      <c r="W9" s="17">
        <f>IF($B9="","",_xlfn.LET(_xlpm.tot,COUNTIFS(rngEPuse,"Yes",rngEPtype,"Major"),_xlpm.left,_xlpm.tot-$E9,IF(_xlpm.left&lt;=0,"done",MAX(0,ROUND((cfgThresholdScore*_xlpm.tot-N($I9)*$E9)/_xlpm.left,1)))))</f>
        <v/>
      </c>
      <c r="X9" s="17">
        <f>IF($B9="","",_xlfn.LET(_xlpm.tot,COUNTIFS(rngEPuse,"Yes",rngEPtype,"Minor"),_xlpm.left,_xlpm.tot-$F9,IF(_xlpm.left&lt;=0,"done",MAX(0,ROUND((cfgThresholdScore*_xlpm.tot-N($J9)*$F9)/_xlpm.left,1)))))</f>
        <v/>
      </c>
      <c r="Y9" s="17">
        <f>IF($B9="","",IF($H9&gt;0,"done",cfgThresholdScore))</f>
        <v/>
      </c>
      <c r="Z9" s="17">
        <f>IF($B9="","",_xlfn.LET(_xlpm.s,_xlfn.MAXIFS(nrES_Seq,nrES_PID,$B9,nrES_Att,1,nrES_Raw,"&gt;=0"),IF(_xlpm.s=0,"",SUMIFS(nrES_Raw,nrES_PID,$B9,nrES_Att,1,nrES_Seq,_xlpm.s))))</f>
        <v/>
      </c>
      <c r="AA9" s="17">
        <f>IF($B9="","",_xlfn.LET(_xlpm.s,_xlfn.MAXIFS(nrES_Seq,nrES_PID,$B9,nrES_Att,1,nrES_Raw,"&gt;=0"),IF(_xlpm.s=0,"",_xlfn.LET(_xlpm.p,_xlfn.MAXIFS(nrES_Seq,nrES_PID,$B9,nrES_Att,1,nrES_Seq,"&lt;"&amp;_xlpm.s,nrES_Raw,"&gt;=0"),IF(_xlpm.p=0,"",SUMIFS(nrES_Raw,nrES_PID,$B9,nrES_Att,1,nrES_Seq,_xlpm.p))))))</f>
        <v/>
      </c>
      <c r="AB9" s="17">
        <f>IF(OR($B9="",$Z9="",$AA9=""),"",ROUND($AA9-$Z9,1))</f>
        <v/>
      </c>
      <c r="AC9" s="17">
        <f>IF($B9="","",_xlfn.LET(_xlpm.s,_xlfn.MAXIFS(nrES_Seq,nrES_PID,$B9,nrES_Att,1,nrES_Raw,"&gt;=0"),IF(_xlpm.s=0,0,_xlfn.LET(_xlpm.a,IF(SUMIFS(nrES_Raw,nrES_PID,$B9,nrES_Att,1,nrES_Seq,_xlpm.s)&lt;cfgPassingScore,1,0),_xlpm.p,_xlfn.MAXIFS(nrES_Seq,nrES_PID,$B9,nrES_Att,1,nrES_Seq,"&lt;"&amp;_xlpm.s,nrES_Raw,"&gt;=0"),IF(OR(_xlpm.a=0,_xlpm.p=0),_xlpm.a,_xlpm.a+IF(SUMIFS(nrES_Raw,nrES_PID,$B9,nrES_Att,1,nrES_Seq,_xlpm.p)&lt;cfgPassingScore,1,0))))))</f>
        <v/>
      </c>
    </row>
    <row r="10">
      <c r="B10" s="17">
        <f>IF(Cadets!$B10="","",Cadets!$B10)</f>
        <v/>
      </c>
      <c r="C10" s="17">
        <f>IF($B10="","",Cadets!$F10)</f>
        <v/>
      </c>
      <c r="D10" s="17">
        <f>IF($B10="","",Cadets!$I10)</f>
        <v/>
      </c>
      <c r="E10" s="17">
        <f>IF($B10="","",COUNTIFS(nrES_PID,$B10,nrES_Type,"Major",nrES_Final,"Yes",nrES_Rec,"&gt;=0",nrES_Rec,"&lt;=100"))</f>
        <v/>
      </c>
      <c r="F10" s="17">
        <f>IF($B10="","",COUNTIFS(nrES_PID,$B10,nrES_Type,"Minor",nrES_Final,"Yes",nrES_Rec,"&gt;=0",nrES_Rec,"&lt;=100"))</f>
        <v/>
      </c>
      <c r="G10" s="17">
        <f>IF($B10="","",Spelling!Q10)</f>
        <v/>
      </c>
      <c r="H10" s="17">
        <f>IF($B10="","",COUNTIFS(nrES_PID,$B10,nrES_Type,"Final",nrES_Final,"Yes",nrES_Rec,"&gt;=0",nrES_Rec,"&lt;=100"))</f>
        <v/>
      </c>
      <c r="I10" s="17">
        <f>IF(OR($B10="",$E10=0),"",IFERROR(ROUND(AVERAGEIFS(nrES_Rec,nrES_PID,$B10,nrES_Type,"Major",nrES_Final,"Yes",nrES_Rec,"&gt;=0",nrES_Rec,"&lt;=100"),2),""))</f>
        <v/>
      </c>
      <c r="J10" s="17">
        <f>IF(OR($B10="",$F10=0),"",IFERROR(ROUND(AVERAGEIFS(nrES_Rec,nrES_PID,$B10,nrES_Type,"Minor",nrES_Final,"Yes",nrES_Rec,"&gt;=0",nrES_Rec,"&lt;=100"),2),""))</f>
        <v/>
      </c>
      <c r="K10" s="17">
        <f>IF($B10="","",Spelling!P10)</f>
        <v/>
      </c>
      <c r="L10" s="17">
        <f>IF(OR($B10="",$H10=0),"",IFERROR(ROUND(AVERAGEIFS(nrES_Rec,nrES_PID,$B10,nrES_Type,"Final",nrES_Final,"Yes",nrES_Rec,"&gt;=0",nrES_Rec,"&lt;=100"),2),""))</f>
        <v/>
      </c>
      <c r="M10" s="17">
        <f>IF($B10="","",_xlfn.LET(_xlpm.w,($E10&gt;0)*cfgWeightMajor+($F10&gt;0)*cfgWeightMinor+(N($G10)&gt;0)*cfgWeightSpelling+($H10&gt;0)*cfgWeightFinal,IF(_xlpm.w=0,"",ROUND((($E10&gt;0)*cfgWeightMajor*N($I10)+($F10&gt;0)*cfgWeightMinor*N($J10)+(N($G10)&gt;0)*cfgWeightSpelling*N($K10)+($H10&gt;0)*cfgWeightFinal*N($L10))/_xlpm.w,2))))</f>
        <v/>
      </c>
      <c r="N10" s="17">
        <f>IF(OR($B10="",$H10=0),"",$M10)</f>
        <v/>
      </c>
      <c r="O10" s="17">
        <f>IF($B10="","",COUNTIFS(nrES_PID,$B10,nrES_Att,2))</f>
        <v/>
      </c>
      <c r="P10" s="17">
        <f>IF($B10="","",COUNTIFS(nrES_PID,$B10,nrES_Dis,"Yes"))</f>
        <v/>
      </c>
      <c r="Q10" s="17">
        <f>IF($B10="","",IF(AND($I10&lt;&gt;"",$I10&lt;cfgThresholdScore,OR($E10&gt;=cfgThresholdAfterExam,$E10&gt;=COUNTIFS(rngEPuse,"Yes",rngEPtype,"Major"))),"Yes","No"))</f>
        <v/>
      </c>
      <c r="R10" s="17">
        <f>IF($B10="","",IF(AND($J10&lt;&gt;"",$J10&lt;cfgThresholdScore,OR($F10&gt;=cfgThresholdAfterExam,$F10&gt;=COUNTIFS(rngEPuse,"Yes",rngEPtype,"Minor"))),"Yes","No"))</f>
        <v/>
      </c>
      <c r="S10" s="17">
        <f>IF($B10="","",IF($M10="",-1,$M10))</f>
        <v/>
      </c>
      <c r="T10" s="17">
        <f>IF($B10="","",IF(AND($D10="Active",sysChecks!$M10&lt;&gt;"Yes",$M10&lt;&gt;""),"Yes","No"))</f>
        <v/>
      </c>
      <c r="U10" s="17">
        <f>IF($T10&lt;&gt;"Yes","",SUMPRODUCT(($T$6:$T$55="Yes")*(($S$6:$S$55&gt;$S10)+($S$6:$S$55=$S10)*(ROW($S$6:$S$55)&lt;ROW())))+1)</f>
        <v/>
      </c>
      <c r="V10" s="17">
        <f>IF($B10="","",IF(AND($Q10="No",$R10="No",OR(N($G10)=0,$K10&gt;=cfgThresholdScore),OR($H10=0,$L10&gt;=cfgThresholdScore)),"Yes","No"))</f>
        <v/>
      </c>
      <c r="W10" s="17">
        <f>IF($B10="","",_xlfn.LET(_xlpm.tot,COUNTIFS(rngEPuse,"Yes",rngEPtype,"Major"),_xlpm.left,_xlpm.tot-$E10,IF(_xlpm.left&lt;=0,"done",MAX(0,ROUND((cfgThresholdScore*_xlpm.tot-N($I10)*$E10)/_xlpm.left,1)))))</f>
        <v/>
      </c>
      <c r="X10" s="17">
        <f>IF($B10="","",_xlfn.LET(_xlpm.tot,COUNTIFS(rngEPuse,"Yes",rngEPtype,"Minor"),_xlpm.left,_xlpm.tot-$F10,IF(_xlpm.left&lt;=0,"done",MAX(0,ROUND((cfgThresholdScore*_xlpm.tot-N($J10)*$F10)/_xlpm.left,1)))))</f>
        <v/>
      </c>
      <c r="Y10" s="17">
        <f>IF($B10="","",IF($H10&gt;0,"done",cfgThresholdScore))</f>
        <v/>
      </c>
      <c r="Z10" s="17">
        <f>IF($B10="","",_xlfn.LET(_xlpm.s,_xlfn.MAXIFS(nrES_Seq,nrES_PID,$B10,nrES_Att,1,nrES_Raw,"&gt;=0"),IF(_xlpm.s=0,"",SUMIFS(nrES_Raw,nrES_PID,$B10,nrES_Att,1,nrES_Seq,_xlpm.s))))</f>
        <v/>
      </c>
      <c r="AA10" s="17">
        <f>IF($B10="","",_xlfn.LET(_xlpm.s,_xlfn.MAXIFS(nrES_Seq,nrES_PID,$B10,nrES_Att,1,nrES_Raw,"&gt;=0"),IF(_xlpm.s=0,"",_xlfn.LET(_xlpm.p,_xlfn.MAXIFS(nrES_Seq,nrES_PID,$B10,nrES_Att,1,nrES_Seq,"&lt;"&amp;_xlpm.s,nrES_Raw,"&gt;=0"),IF(_xlpm.p=0,"",SUMIFS(nrES_Raw,nrES_PID,$B10,nrES_Att,1,nrES_Seq,_xlpm.p))))))</f>
        <v/>
      </c>
      <c r="AB10" s="17">
        <f>IF(OR($B10="",$Z10="",$AA10=""),"",ROUND($AA10-$Z10,1))</f>
        <v/>
      </c>
      <c r="AC10" s="17">
        <f>IF($B10="","",_xlfn.LET(_xlpm.s,_xlfn.MAXIFS(nrES_Seq,nrES_PID,$B10,nrES_Att,1,nrES_Raw,"&gt;=0"),IF(_xlpm.s=0,0,_xlfn.LET(_xlpm.a,IF(SUMIFS(nrES_Raw,nrES_PID,$B10,nrES_Att,1,nrES_Seq,_xlpm.s)&lt;cfgPassingScore,1,0),_xlpm.p,_xlfn.MAXIFS(nrES_Seq,nrES_PID,$B10,nrES_Att,1,nrES_Seq,"&lt;"&amp;_xlpm.s,nrES_Raw,"&gt;=0"),IF(OR(_xlpm.a=0,_xlpm.p=0),_xlpm.a,_xlpm.a+IF(SUMIFS(nrES_Raw,nrES_PID,$B10,nrES_Att,1,nrES_Seq,_xlpm.p)&lt;cfgPassingScore,1,0))))))</f>
        <v/>
      </c>
    </row>
    <row r="11">
      <c r="B11" s="17">
        <f>IF(Cadets!$B11="","",Cadets!$B11)</f>
        <v/>
      </c>
      <c r="C11" s="17">
        <f>IF($B11="","",Cadets!$F11)</f>
        <v/>
      </c>
      <c r="D11" s="17">
        <f>IF($B11="","",Cadets!$I11)</f>
        <v/>
      </c>
      <c r="E11" s="17">
        <f>IF($B11="","",COUNTIFS(nrES_PID,$B11,nrES_Type,"Major",nrES_Final,"Yes",nrES_Rec,"&gt;=0",nrES_Rec,"&lt;=100"))</f>
        <v/>
      </c>
      <c r="F11" s="17">
        <f>IF($B11="","",COUNTIFS(nrES_PID,$B11,nrES_Type,"Minor",nrES_Final,"Yes",nrES_Rec,"&gt;=0",nrES_Rec,"&lt;=100"))</f>
        <v/>
      </c>
      <c r="G11" s="17">
        <f>IF($B11="","",Spelling!Q11)</f>
        <v/>
      </c>
      <c r="H11" s="17">
        <f>IF($B11="","",COUNTIFS(nrES_PID,$B11,nrES_Type,"Final",nrES_Final,"Yes",nrES_Rec,"&gt;=0",nrES_Rec,"&lt;=100"))</f>
        <v/>
      </c>
      <c r="I11" s="17">
        <f>IF(OR($B11="",$E11=0),"",IFERROR(ROUND(AVERAGEIFS(nrES_Rec,nrES_PID,$B11,nrES_Type,"Major",nrES_Final,"Yes",nrES_Rec,"&gt;=0",nrES_Rec,"&lt;=100"),2),""))</f>
        <v/>
      </c>
      <c r="J11" s="17">
        <f>IF(OR($B11="",$F11=0),"",IFERROR(ROUND(AVERAGEIFS(nrES_Rec,nrES_PID,$B11,nrES_Type,"Minor",nrES_Final,"Yes",nrES_Rec,"&gt;=0",nrES_Rec,"&lt;=100"),2),""))</f>
        <v/>
      </c>
      <c r="K11" s="17">
        <f>IF($B11="","",Spelling!P11)</f>
        <v/>
      </c>
      <c r="L11" s="17">
        <f>IF(OR($B11="",$H11=0),"",IFERROR(ROUND(AVERAGEIFS(nrES_Rec,nrES_PID,$B11,nrES_Type,"Final",nrES_Final,"Yes",nrES_Rec,"&gt;=0",nrES_Rec,"&lt;=100"),2),""))</f>
        <v/>
      </c>
      <c r="M11" s="17">
        <f>IF($B11="","",_xlfn.LET(_xlpm.w,($E11&gt;0)*cfgWeightMajor+($F11&gt;0)*cfgWeightMinor+(N($G11)&gt;0)*cfgWeightSpelling+($H11&gt;0)*cfgWeightFinal,IF(_xlpm.w=0,"",ROUND((($E11&gt;0)*cfgWeightMajor*N($I11)+($F11&gt;0)*cfgWeightMinor*N($J11)+(N($G11)&gt;0)*cfgWeightSpelling*N($K11)+($H11&gt;0)*cfgWeightFinal*N($L11))/_xlpm.w,2))))</f>
        <v/>
      </c>
      <c r="N11" s="17">
        <f>IF(OR($B11="",$H11=0),"",$M11)</f>
        <v/>
      </c>
      <c r="O11" s="17">
        <f>IF($B11="","",COUNTIFS(nrES_PID,$B11,nrES_Att,2))</f>
        <v/>
      </c>
      <c r="P11" s="17">
        <f>IF($B11="","",COUNTIFS(nrES_PID,$B11,nrES_Dis,"Yes"))</f>
        <v/>
      </c>
      <c r="Q11" s="17">
        <f>IF($B11="","",IF(AND($I11&lt;&gt;"",$I11&lt;cfgThresholdScore,OR($E11&gt;=cfgThresholdAfterExam,$E11&gt;=COUNTIFS(rngEPuse,"Yes",rngEPtype,"Major"))),"Yes","No"))</f>
        <v/>
      </c>
      <c r="R11" s="17">
        <f>IF($B11="","",IF(AND($J11&lt;&gt;"",$J11&lt;cfgThresholdScore,OR($F11&gt;=cfgThresholdAfterExam,$F11&gt;=COUNTIFS(rngEPuse,"Yes",rngEPtype,"Minor"))),"Yes","No"))</f>
        <v/>
      </c>
      <c r="S11" s="17">
        <f>IF($B11="","",IF($M11="",-1,$M11))</f>
        <v/>
      </c>
      <c r="T11" s="17">
        <f>IF($B11="","",IF(AND($D11="Active",sysChecks!$M11&lt;&gt;"Yes",$M11&lt;&gt;""),"Yes","No"))</f>
        <v/>
      </c>
      <c r="U11" s="17">
        <f>IF($T11&lt;&gt;"Yes","",SUMPRODUCT(($T$6:$T$55="Yes")*(($S$6:$S$55&gt;$S11)+($S$6:$S$55=$S11)*(ROW($S$6:$S$55)&lt;ROW())))+1)</f>
        <v/>
      </c>
      <c r="V11" s="17">
        <f>IF($B11="","",IF(AND($Q11="No",$R11="No",OR(N($G11)=0,$K11&gt;=cfgThresholdScore),OR($H11=0,$L11&gt;=cfgThresholdScore)),"Yes","No"))</f>
        <v/>
      </c>
      <c r="W11" s="17">
        <f>IF($B11="","",_xlfn.LET(_xlpm.tot,COUNTIFS(rngEPuse,"Yes",rngEPtype,"Major"),_xlpm.left,_xlpm.tot-$E11,IF(_xlpm.left&lt;=0,"done",MAX(0,ROUND((cfgThresholdScore*_xlpm.tot-N($I11)*$E11)/_xlpm.left,1)))))</f>
        <v/>
      </c>
      <c r="X11" s="17">
        <f>IF($B11="","",_xlfn.LET(_xlpm.tot,COUNTIFS(rngEPuse,"Yes",rngEPtype,"Minor"),_xlpm.left,_xlpm.tot-$F11,IF(_xlpm.left&lt;=0,"done",MAX(0,ROUND((cfgThresholdScore*_xlpm.tot-N($J11)*$F11)/_xlpm.left,1)))))</f>
        <v/>
      </c>
      <c r="Y11" s="17">
        <f>IF($B11="","",IF($H11&gt;0,"done",cfgThresholdScore))</f>
        <v/>
      </c>
      <c r="Z11" s="17">
        <f>IF($B11="","",_xlfn.LET(_xlpm.s,_xlfn.MAXIFS(nrES_Seq,nrES_PID,$B11,nrES_Att,1,nrES_Raw,"&gt;=0"),IF(_xlpm.s=0,"",SUMIFS(nrES_Raw,nrES_PID,$B11,nrES_Att,1,nrES_Seq,_xlpm.s))))</f>
        <v/>
      </c>
      <c r="AA11" s="17">
        <f>IF($B11="","",_xlfn.LET(_xlpm.s,_xlfn.MAXIFS(nrES_Seq,nrES_PID,$B11,nrES_Att,1,nrES_Raw,"&gt;=0"),IF(_xlpm.s=0,"",_xlfn.LET(_xlpm.p,_xlfn.MAXIFS(nrES_Seq,nrES_PID,$B11,nrES_Att,1,nrES_Seq,"&lt;"&amp;_xlpm.s,nrES_Raw,"&gt;=0"),IF(_xlpm.p=0,"",SUMIFS(nrES_Raw,nrES_PID,$B11,nrES_Att,1,nrES_Seq,_xlpm.p))))))</f>
        <v/>
      </c>
      <c r="AB11" s="17">
        <f>IF(OR($B11="",$Z11="",$AA11=""),"",ROUND($AA11-$Z11,1))</f>
        <v/>
      </c>
      <c r="AC11" s="17">
        <f>IF($B11="","",_xlfn.LET(_xlpm.s,_xlfn.MAXIFS(nrES_Seq,nrES_PID,$B11,nrES_Att,1,nrES_Raw,"&gt;=0"),IF(_xlpm.s=0,0,_xlfn.LET(_xlpm.a,IF(SUMIFS(nrES_Raw,nrES_PID,$B11,nrES_Att,1,nrES_Seq,_xlpm.s)&lt;cfgPassingScore,1,0),_xlpm.p,_xlfn.MAXIFS(nrES_Seq,nrES_PID,$B11,nrES_Att,1,nrES_Seq,"&lt;"&amp;_xlpm.s,nrES_Raw,"&gt;=0"),IF(OR(_xlpm.a=0,_xlpm.p=0),_xlpm.a,_xlpm.a+IF(SUMIFS(nrES_Raw,nrES_PID,$B11,nrES_Att,1,nrES_Seq,_xlpm.p)&lt;cfgPassingScore,1,0))))))</f>
        <v/>
      </c>
    </row>
    <row r="12">
      <c r="B12" s="17">
        <f>IF(Cadets!$B12="","",Cadets!$B12)</f>
        <v/>
      </c>
      <c r="C12" s="17">
        <f>IF($B12="","",Cadets!$F12)</f>
        <v/>
      </c>
      <c r="D12" s="17">
        <f>IF($B12="","",Cadets!$I12)</f>
        <v/>
      </c>
      <c r="E12" s="17">
        <f>IF($B12="","",COUNTIFS(nrES_PID,$B12,nrES_Type,"Major",nrES_Final,"Yes",nrES_Rec,"&gt;=0",nrES_Rec,"&lt;=100"))</f>
        <v/>
      </c>
      <c r="F12" s="17">
        <f>IF($B12="","",COUNTIFS(nrES_PID,$B12,nrES_Type,"Minor",nrES_Final,"Yes",nrES_Rec,"&gt;=0",nrES_Rec,"&lt;=100"))</f>
        <v/>
      </c>
      <c r="G12" s="17">
        <f>IF($B12="","",Spelling!Q12)</f>
        <v/>
      </c>
      <c r="H12" s="17">
        <f>IF($B12="","",COUNTIFS(nrES_PID,$B12,nrES_Type,"Final",nrES_Final,"Yes",nrES_Rec,"&gt;=0",nrES_Rec,"&lt;=100"))</f>
        <v/>
      </c>
      <c r="I12" s="17">
        <f>IF(OR($B12="",$E12=0),"",IFERROR(ROUND(AVERAGEIFS(nrES_Rec,nrES_PID,$B12,nrES_Type,"Major",nrES_Final,"Yes",nrES_Rec,"&gt;=0",nrES_Rec,"&lt;=100"),2),""))</f>
        <v/>
      </c>
      <c r="J12" s="17">
        <f>IF(OR($B12="",$F12=0),"",IFERROR(ROUND(AVERAGEIFS(nrES_Rec,nrES_PID,$B12,nrES_Type,"Minor",nrES_Final,"Yes",nrES_Rec,"&gt;=0",nrES_Rec,"&lt;=100"),2),""))</f>
        <v/>
      </c>
      <c r="K12" s="17">
        <f>IF($B12="","",Spelling!P12)</f>
        <v/>
      </c>
      <c r="L12" s="17">
        <f>IF(OR($B12="",$H12=0),"",IFERROR(ROUND(AVERAGEIFS(nrES_Rec,nrES_PID,$B12,nrES_Type,"Final",nrES_Final,"Yes",nrES_Rec,"&gt;=0",nrES_Rec,"&lt;=100"),2),""))</f>
        <v/>
      </c>
      <c r="M12" s="17">
        <f>IF($B12="","",_xlfn.LET(_xlpm.w,($E12&gt;0)*cfgWeightMajor+($F12&gt;0)*cfgWeightMinor+(N($G12)&gt;0)*cfgWeightSpelling+($H12&gt;0)*cfgWeightFinal,IF(_xlpm.w=0,"",ROUND((($E12&gt;0)*cfgWeightMajor*N($I12)+($F12&gt;0)*cfgWeightMinor*N($J12)+(N($G12)&gt;0)*cfgWeightSpelling*N($K12)+($H12&gt;0)*cfgWeightFinal*N($L12))/_xlpm.w,2))))</f>
        <v/>
      </c>
      <c r="N12" s="17">
        <f>IF(OR($B12="",$H12=0),"",$M12)</f>
        <v/>
      </c>
      <c r="O12" s="17">
        <f>IF($B12="","",COUNTIFS(nrES_PID,$B12,nrES_Att,2))</f>
        <v/>
      </c>
      <c r="P12" s="17">
        <f>IF($B12="","",COUNTIFS(nrES_PID,$B12,nrES_Dis,"Yes"))</f>
        <v/>
      </c>
      <c r="Q12" s="17">
        <f>IF($B12="","",IF(AND($I12&lt;&gt;"",$I12&lt;cfgThresholdScore,OR($E12&gt;=cfgThresholdAfterExam,$E12&gt;=COUNTIFS(rngEPuse,"Yes",rngEPtype,"Major"))),"Yes","No"))</f>
        <v/>
      </c>
      <c r="R12" s="17">
        <f>IF($B12="","",IF(AND($J12&lt;&gt;"",$J12&lt;cfgThresholdScore,OR($F12&gt;=cfgThresholdAfterExam,$F12&gt;=COUNTIFS(rngEPuse,"Yes",rngEPtype,"Minor"))),"Yes","No"))</f>
        <v/>
      </c>
      <c r="S12" s="17">
        <f>IF($B12="","",IF($M12="",-1,$M12))</f>
        <v/>
      </c>
      <c r="T12" s="17">
        <f>IF($B12="","",IF(AND($D12="Active",sysChecks!$M12&lt;&gt;"Yes",$M12&lt;&gt;""),"Yes","No"))</f>
        <v/>
      </c>
      <c r="U12" s="17">
        <f>IF($T12&lt;&gt;"Yes","",SUMPRODUCT(($T$6:$T$55="Yes")*(($S$6:$S$55&gt;$S12)+($S$6:$S$55=$S12)*(ROW($S$6:$S$55)&lt;ROW())))+1)</f>
        <v/>
      </c>
      <c r="V12" s="17">
        <f>IF($B12="","",IF(AND($Q12="No",$R12="No",OR(N($G12)=0,$K12&gt;=cfgThresholdScore),OR($H12=0,$L12&gt;=cfgThresholdScore)),"Yes","No"))</f>
        <v/>
      </c>
      <c r="W12" s="17">
        <f>IF($B12="","",_xlfn.LET(_xlpm.tot,COUNTIFS(rngEPuse,"Yes",rngEPtype,"Major"),_xlpm.left,_xlpm.tot-$E12,IF(_xlpm.left&lt;=0,"done",MAX(0,ROUND((cfgThresholdScore*_xlpm.tot-N($I12)*$E12)/_xlpm.left,1)))))</f>
        <v/>
      </c>
      <c r="X12" s="17">
        <f>IF($B12="","",_xlfn.LET(_xlpm.tot,COUNTIFS(rngEPuse,"Yes",rngEPtype,"Minor"),_xlpm.left,_xlpm.tot-$F12,IF(_xlpm.left&lt;=0,"done",MAX(0,ROUND((cfgThresholdScore*_xlpm.tot-N($J12)*$F12)/_xlpm.left,1)))))</f>
        <v/>
      </c>
      <c r="Y12" s="17">
        <f>IF($B12="","",IF($H12&gt;0,"done",cfgThresholdScore))</f>
        <v/>
      </c>
      <c r="Z12" s="17">
        <f>IF($B12="","",_xlfn.LET(_xlpm.s,_xlfn.MAXIFS(nrES_Seq,nrES_PID,$B12,nrES_Att,1,nrES_Raw,"&gt;=0"),IF(_xlpm.s=0,"",SUMIFS(nrES_Raw,nrES_PID,$B12,nrES_Att,1,nrES_Seq,_xlpm.s))))</f>
        <v/>
      </c>
      <c r="AA12" s="17">
        <f>IF($B12="","",_xlfn.LET(_xlpm.s,_xlfn.MAXIFS(nrES_Seq,nrES_PID,$B12,nrES_Att,1,nrES_Raw,"&gt;=0"),IF(_xlpm.s=0,"",_xlfn.LET(_xlpm.p,_xlfn.MAXIFS(nrES_Seq,nrES_PID,$B12,nrES_Att,1,nrES_Seq,"&lt;"&amp;_xlpm.s,nrES_Raw,"&gt;=0"),IF(_xlpm.p=0,"",SUMIFS(nrES_Raw,nrES_PID,$B12,nrES_Att,1,nrES_Seq,_xlpm.p))))))</f>
        <v/>
      </c>
      <c r="AB12" s="17">
        <f>IF(OR($B12="",$Z12="",$AA12=""),"",ROUND($AA12-$Z12,1))</f>
        <v/>
      </c>
      <c r="AC12" s="17">
        <f>IF($B12="","",_xlfn.LET(_xlpm.s,_xlfn.MAXIFS(nrES_Seq,nrES_PID,$B12,nrES_Att,1,nrES_Raw,"&gt;=0"),IF(_xlpm.s=0,0,_xlfn.LET(_xlpm.a,IF(SUMIFS(nrES_Raw,nrES_PID,$B12,nrES_Att,1,nrES_Seq,_xlpm.s)&lt;cfgPassingScore,1,0),_xlpm.p,_xlfn.MAXIFS(nrES_Seq,nrES_PID,$B12,nrES_Att,1,nrES_Seq,"&lt;"&amp;_xlpm.s,nrES_Raw,"&gt;=0"),IF(OR(_xlpm.a=0,_xlpm.p=0),_xlpm.a,_xlpm.a+IF(SUMIFS(nrES_Raw,nrES_PID,$B12,nrES_Att,1,nrES_Seq,_xlpm.p)&lt;cfgPassingScore,1,0))))))</f>
        <v/>
      </c>
    </row>
    <row r="13">
      <c r="B13" s="17">
        <f>IF(Cadets!$B13="","",Cadets!$B13)</f>
        <v/>
      </c>
      <c r="C13" s="17">
        <f>IF($B13="","",Cadets!$F13)</f>
        <v/>
      </c>
      <c r="D13" s="17">
        <f>IF($B13="","",Cadets!$I13)</f>
        <v/>
      </c>
      <c r="E13" s="17">
        <f>IF($B13="","",COUNTIFS(nrES_PID,$B13,nrES_Type,"Major",nrES_Final,"Yes",nrES_Rec,"&gt;=0",nrES_Rec,"&lt;=100"))</f>
        <v/>
      </c>
      <c r="F13" s="17">
        <f>IF($B13="","",COUNTIFS(nrES_PID,$B13,nrES_Type,"Minor",nrES_Final,"Yes",nrES_Rec,"&gt;=0",nrES_Rec,"&lt;=100"))</f>
        <v/>
      </c>
      <c r="G13" s="17">
        <f>IF($B13="","",Spelling!Q13)</f>
        <v/>
      </c>
      <c r="H13" s="17">
        <f>IF($B13="","",COUNTIFS(nrES_PID,$B13,nrES_Type,"Final",nrES_Final,"Yes",nrES_Rec,"&gt;=0",nrES_Rec,"&lt;=100"))</f>
        <v/>
      </c>
      <c r="I13" s="17">
        <f>IF(OR($B13="",$E13=0),"",IFERROR(ROUND(AVERAGEIFS(nrES_Rec,nrES_PID,$B13,nrES_Type,"Major",nrES_Final,"Yes",nrES_Rec,"&gt;=0",nrES_Rec,"&lt;=100"),2),""))</f>
        <v/>
      </c>
      <c r="J13" s="17">
        <f>IF(OR($B13="",$F13=0),"",IFERROR(ROUND(AVERAGEIFS(nrES_Rec,nrES_PID,$B13,nrES_Type,"Minor",nrES_Final,"Yes",nrES_Rec,"&gt;=0",nrES_Rec,"&lt;=100"),2),""))</f>
        <v/>
      </c>
      <c r="K13" s="17">
        <f>IF($B13="","",Spelling!P13)</f>
        <v/>
      </c>
      <c r="L13" s="17">
        <f>IF(OR($B13="",$H13=0),"",IFERROR(ROUND(AVERAGEIFS(nrES_Rec,nrES_PID,$B13,nrES_Type,"Final",nrES_Final,"Yes",nrES_Rec,"&gt;=0",nrES_Rec,"&lt;=100"),2),""))</f>
        <v/>
      </c>
      <c r="M13" s="17">
        <f>IF($B13="","",_xlfn.LET(_xlpm.w,($E13&gt;0)*cfgWeightMajor+($F13&gt;0)*cfgWeightMinor+(N($G13)&gt;0)*cfgWeightSpelling+($H13&gt;0)*cfgWeightFinal,IF(_xlpm.w=0,"",ROUND((($E13&gt;0)*cfgWeightMajor*N($I13)+($F13&gt;0)*cfgWeightMinor*N($J13)+(N($G13)&gt;0)*cfgWeightSpelling*N($K13)+($H13&gt;0)*cfgWeightFinal*N($L13))/_xlpm.w,2))))</f>
        <v/>
      </c>
      <c r="N13" s="17">
        <f>IF(OR($B13="",$H13=0),"",$M13)</f>
        <v/>
      </c>
      <c r="O13" s="17">
        <f>IF($B13="","",COUNTIFS(nrES_PID,$B13,nrES_Att,2))</f>
        <v/>
      </c>
      <c r="P13" s="17">
        <f>IF($B13="","",COUNTIFS(nrES_PID,$B13,nrES_Dis,"Yes"))</f>
        <v/>
      </c>
      <c r="Q13" s="17">
        <f>IF($B13="","",IF(AND($I13&lt;&gt;"",$I13&lt;cfgThresholdScore,OR($E13&gt;=cfgThresholdAfterExam,$E13&gt;=COUNTIFS(rngEPuse,"Yes",rngEPtype,"Major"))),"Yes","No"))</f>
        <v/>
      </c>
      <c r="R13" s="17">
        <f>IF($B13="","",IF(AND($J13&lt;&gt;"",$J13&lt;cfgThresholdScore,OR($F13&gt;=cfgThresholdAfterExam,$F13&gt;=COUNTIFS(rngEPuse,"Yes",rngEPtype,"Minor"))),"Yes","No"))</f>
        <v/>
      </c>
      <c r="S13" s="17">
        <f>IF($B13="","",IF($M13="",-1,$M13))</f>
        <v/>
      </c>
      <c r="T13" s="17">
        <f>IF($B13="","",IF(AND($D13="Active",sysChecks!$M13&lt;&gt;"Yes",$M13&lt;&gt;""),"Yes","No"))</f>
        <v/>
      </c>
      <c r="U13" s="17">
        <f>IF($T13&lt;&gt;"Yes","",SUMPRODUCT(($T$6:$T$55="Yes")*(($S$6:$S$55&gt;$S13)+($S$6:$S$55=$S13)*(ROW($S$6:$S$55)&lt;ROW())))+1)</f>
        <v/>
      </c>
      <c r="V13" s="17">
        <f>IF($B13="","",IF(AND($Q13="No",$R13="No",OR(N($G13)=0,$K13&gt;=cfgThresholdScore),OR($H13=0,$L13&gt;=cfgThresholdScore)),"Yes","No"))</f>
        <v/>
      </c>
      <c r="W13" s="17">
        <f>IF($B13="","",_xlfn.LET(_xlpm.tot,COUNTIFS(rngEPuse,"Yes",rngEPtype,"Major"),_xlpm.left,_xlpm.tot-$E13,IF(_xlpm.left&lt;=0,"done",MAX(0,ROUND((cfgThresholdScore*_xlpm.tot-N($I13)*$E13)/_xlpm.left,1)))))</f>
        <v/>
      </c>
      <c r="X13" s="17">
        <f>IF($B13="","",_xlfn.LET(_xlpm.tot,COUNTIFS(rngEPuse,"Yes",rngEPtype,"Minor"),_xlpm.left,_xlpm.tot-$F13,IF(_xlpm.left&lt;=0,"done",MAX(0,ROUND((cfgThresholdScore*_xlpm.tot-N($J13)*$F13)/_xlpm.left,1)))))</f>
        <v/>
      </c>
      <c r="Y13" s="17">
        <f>IF($B13="","",IF($H13&gt;0,"done",cfgThresholdScore))</f>
        <v/>
      </c>
      <c r="Z13" s="17">
        <f>IF($B13="","",_xlfn.LET(_xlpm.s,_xlfn.MAXIFS(nrES_Seq,nrES_PID,$B13,nrES_Att,1,nrES_Raw,"&gt;=0"),IF(_xlpm.s=0,"",SUMIFS(nrES_Raw,nrES_PID,$B13,nrES_Att,1,nrES_Seq,_xlpm.s))))</f>
        <v/>
      </c>
      <c r="AA13" s="17">
        <f>IF($B13="","",_xlfn.LET(_xlpm.s,_xlfn.MAXIFS(nrES_Seq,nrES_PID,$B13,nrES_Att,1,nrES_Raw,"&gt;=0"),IF(_xlpm.s=0,"",_xlfn.LET(_xlpm.p,_xlfn.MAXIFS(nrES_Seq,nrES_PID,$B13,nrES_Att,1,nrES_Seq,"&lt;"&amp;_xlpm.s,nrES_Raw,"&gt;=0"),IF(_xlpm.p=0,"",SUMIFS(nrES_Raw,nrES_PID,$B13,nrES_Att,1,nrES_Seq,_xlpm.p))))))</f>
        <v/>
      </c>
      <c r="AB13" s="17">
        <f>IF(OR($B13="",$Z13="",$AA13=""),"",ROUND($AA13-$Z13,1))</f>
        <v/>
      </c>
      <c r="AC13" s="17">
        <f>IF($B13="","",_xlfn.LET(_xlpm.s,_xlfn.MAXIFS(nrES_Seq,nrES_PID,$B13,nrES_Att,1,nrES_Raw,"&gt;=0"),IF(_xlpm.s=0,0,_xlfn.LET(_xlpm.a,IF(SUMIFS(nrES_Raw,nrES_PID,$B13,nrES_Att,1,nrES_Seq,_xlpm.s)&lt;cfgPassingScore,1,0),_xlpm.p,_xlfn.MAXIFS(nrES_Seq,nrES_PID,$B13,nrES_Att,1,nrES_Seq,"&lt;"&amp;_xlpm.s,nrES_Raw,"&gt;=0"),IF(OR(_xlpm.a=0,_xlpm.p=0),_xlpm.a,_xlpm.a+IF(SUMIFS(nrES_Raw,nrES_PID,$B13,nrES_Att,1,nrES_Seq,_xlpm.p)&lt;cfgPassingScore,1,0))))))</f>
        <v/>
      </c>
    </row>
    <row r="14">
      <c r="B14" s="17">
        <f>IF(Cadets!$B14="","",Cadets!$B14)</f>
        <v/>
      </c>
      <c r="C14" s="17">
        <f>IF($B14="","",Cadets!$F14)</f>
        <v/>
      </c>
      <c r="D14" s="17">
        <f>IF($B14="","",Cadets!$I14)</f>
        <v/>
      </c>
      <c r="E14" s="17">
        <f>IF($B14="","",COUNTIFS(nrES_PID,$B14,nrES_Type,"Major",nrES_Final,"Yes",nrES_Rec,"&gt;=0",nrES_Rec,"&lt;=100"))</f>
        <v/>
      </c>
      <c r="F14" s="17">
        <f>IF($B14="","",COUNTIFS(nrES_PID,$B14,nrES_Type,"Minor",nrES_Final,"Yes",nrES_Rec,"&gt;=0",nrES_Rec,"&lt;=100"))</f>
        <v/>
      </c>
      <c r="G14" s="17">
        <f>IF($B14="","",Spelling!Q14)</f>
        <v/>
      </c>
      <c r="H14" s="17">
        <f>IF($B14="","",COUNTIFS(nrES_PID,$B14,nrES_Type,"Final",nrES_Final,"Yes",nrES_Rec,"&gt;=0",nrES_Rec,"&lt;=100"))</f>
        <v/>
      </c>
      <c r="I14" s="17">
        <f>IF(OR($B14="",$E14=0),"",IFERROR(ROUND(AVERAGEIFS(nrES_Rec,nrES_PID,$B14,nrES_Type,"Major",nrES_Final,"Yes",nrES_Rec,"&gt;=0",nrES_Rec,"&lt;=100"),2),""))</f>
        <v/>
      </c>
      <c r="J14" s="17">
        <f>IF(OR($B14="",$F14=0),"",IFERROR(ROUND(AVERAGEIFS(nrES_Rec,nrES_PID,$B14,nrES_Type,"Minor",nrES_Final,"Yes",nrES_Rec,"&gt;=0",nrES_Rec,"&lt;=100"),2),""))</f>
        <v/>
      </c>
      <c r="K14" s="17">
        <f>IF($B14="","",Spelling!P14)</f>
        <v/>
      </c>
      <c r="L14" s="17">
        <f>IF(OR($B14="",$H14=0),"",IFERROR(ROUND(AVERAGEIFS(nrES_Rec,nrES_PID,$B14,nrES_Type,"Final",nrES_Final,"Yes",nrES_Rec,"&gt;=0",nrES_Rec,"&lt;=100"),2),""))</f>
        <v/>
      </c>
      <c r="M14" s="17">
        <f>IF($B14="","",_xlfn.LET(_xlpm.w,($E14&gt;0)*cfgWeightMajor+($F14&gt;0)*cfgWeightMinor+(N($G14)&gt;0)*cfgWeightSpelling+($H14&gt;0)*cfgWeightFinal,IF(_xlpm.w=0,"",ROUND((($E14&gt;0)*cfgWeightMajor*N($I14)+($F14&gt;0)*cfgWeightMinor*N($J14)+(N($G14)&gt;0)*cfgWeightSpelling*N($K14)+($H14&gt;0)*cfgWeightFinal*N($L14))/_xlpm.w,2))))</f>
        <v/>
      </c>
      <c r="N14" s="17">
        <f>IF(OR($B14="",$H14=0),"",$M14)</f>
        <v/>
      </c>
      <c r="O14" s="17">
        <f>IF($B14="","",COUNTIFS(nrES_PID,$B14,nrES_Att,2))</f>
        <v/>
      </c>
      <c r="P14" s="17">
        <f>IF($B14="","",COUNTIFS(nrES_PID,$B14,nrES_Dis,"Yes"))</f>
        <v/>
      </c>
      <c r="Q14" s="17">
        <f>IF($B14="","",IF(AND($I14&lt;&gt;"",$I14&lt;cfgThresholdScore,OR($E14&gt;=cfgThresholdAfterExam,$E14&gt;=COUNTIFS(rngEPuse,"Yes",rngEPtype,"Major"))),"Yes","No"))</f>
        <v/>
      </c>
      <c r="R14" s="17">
        <f>IF($B14="","",IF(AND($J14&lt;&gt;"",$J14&lt;cfgThresholdScore,OR($F14&gt;=cfgThresholdAfterExam,$F14&gt;=COUNTIFS(rngEPuse,"Yes",rngEPtype,"Minor"))),"Yes","No"))</f>
        <v/>
      </c>
      <c r="S14" s="17">
        <f>IF($B14="","",IF($M14="",-1,$M14))</f>
        <v/>
      </c>
      <c r="T14" s="17">
        <f>IF($B14="","",IF(AND($D14="Active",sysChecks!$M14&lt;&gt;"Yes",$M14&lt;&gt;""),"Yes","No"))</f>
        <v/>
      </c>
      <c r="U14" s="17">
        <f>IF($T14&lt;&gt;"Yes","",SUMPRODUCT(($T$6:$T$55="Yes")*(($S$6:$S$55&gt;$S14)+($S$6:$S$55=$S14)*(ROW($S$6:$S$55)&lt;ROW())))+1)</f>
        <v/>
      </c>
      <c r="V14" s="17">
        <f>IF($B14="","",IF(AND($Q14="No",$R14="No",OR(N($G14)=0,$K14&gt;=cfgThresholdScore),OR($H14=0,$L14&gt;=cfgThresholdScore)),"Yes","No"))</f>
        <v/>
      </c>
      <c r="W14" s="17">
        <f>IF($B14="","",_xlfn.LET(_xlpm.tot,COUNTIFS(rngEPuse,"Yes",rngEPtype,"Major"),_xlpm.left,_xlpm.tot-$E14,IF(_xlpm.left&lt;=0,"done",MAX(0,ROUND((cfgThresholdScore*_xlpm.tot-N($I14)*$E14)/_xlpm.left,1)))))</f>
        <v/>
      </c>
      <c r="X14" s="17">
        <f>IF($B14="","",_xlfn.LET(_xlpm.tot,COUNTIFS(rngEPuse,"Yes",rngEPtype,"Minor"),_xlpm.left,_xlpm.tot-$F14,IF(_xlpm.left&lt;=0,"done",MAX(0,ROUND((cfgThresholdScore*_xlpm.tot-N($J14)*$F14)/_xlpm.left,1)))))</f>
        <v/>
      </c>
      <c r="Y14" s="17">
        <f>IF($B14="","",IF($H14&gt;0,"done",cfgThresholdScore))</f>
        <v/>
      </c>
      <c r="Z14" s="17">
        <f>IF($B14="","",_xlfn.LET(_xlpm.s,_xlfn.MAXIFS(nrES_Seq,nrES_PID,$B14,nrES_Att,1,nrES_Raw,"&gt;=0"),IF(_xlpm.s=0,"",SUMIFS(nrES_Raw,nrES_PID,$B14,nrES_Att,1,nrES_Seq,_xlpm.s))))</f>
        <v/>
      </c>
      <c r="AA14" s="17">
        <f>IF($B14="","",_xlfn.LET(_xlpm.s,_xlfn.MAXIFS(nrES_Seq,nrES_PID,$B14,nrES_Att,1,nrES_Raw,"&gt;=0"),IF(_xlpm.s=0,"",_xlfn.LET(_xlpm.p,_xlfn.MAXIFS(nrES_Seq,nrES_PID,$B14,nrES_Att,1,nrES_Seq,"&lt;"&amp;_xlpm.s,nrES_Raw,"&gt;=0"),IF(_xlpm.p=0,"",SUMIFS(nrES_Raw,nrES_PID,$B14,nrES_Att,1,nrES_Seq,_xlpm.p))))))</f>
        <v/>
      </c>
      <c r="AB14" s="17">
        <f>IF(OR($B14="",$Z14="",$AA14=""),"",ROUND($AA14-$Z14,1))</f>
        <v/>
      </c>
      <c r="AC14" s="17">
        <f>IF($B14="","",_xlfn.LET(_xlpm.s,_xlfn.MAXIFS(nrES_Seq,nrES_PID,$B14,nrES_Att,1,nrES_Raw,"&gt;=0"),IF(_xlpm.s=0,0,_xlfn.LET(_xlpm.a,IF(SUMIFS(nrES_Raw,nrES_PID,$B14,nrES_Att,1,nrES_Seq,_xlpm.s)&lt;cfgPassingScore,1,0),_xlpm.p,_xlfn.MAXIFS(nrES_Seq,nrES_PID,$B14,nrES_Att,1,nrES_Seq,"&lt;"&amp;_xlpm.s,nrES_Raw,"&gt;=0"),IF(OR(_xlpm.a=0,_xlpm.p=0),_xlpm.a,_xlpm.a+IF(SUMIFS(nrES_Raw,nrES_PID,$B14,nrES_Att,1,nrES_Seq,_xlpm.p)&lt;cfgPassingScore,1,0))))))</f>
        <v/>
      </c>
    </row>
    <row r="15">
      <c r="B15" s="17">
        <f>IF(Cadets!$B15="","",Cadets!$B15)</f>
        <v/>
      </c>
      <c r="C15" s="17">
        <f>IF($B15="","",Cadets!$F15)</f>
        <v/>
      </c>
      <c r="D15" s="17">
        <f>IF($B15="","",Cadets!$I15)</f>
        <v/>
      </c>
      <c r="E15" s="17">
        <f>IF($B15="","",COUNTIFS(nrES_PID,$B15,nrES_Type,"Major",nrES_Final,"Yes",nrES_Rec,"&gt;=0",nrES_Rec,"&lt;=100"))</f>
        <v/>
      </c>
      <c r="F15" s="17">
        <f>IF($B15="","",COUNTIFS(nrES_PID,$B15,nrES_Type,"Minor",nrES_Final,"Yes",nrES_Rec,"&gt;=0",nrES_Rec,"&lt;=100"))</f>
        <v/>
      </c>
      <c r="G15" s="17">
        <f>IF($B15="","",Spelling!Q15)</f>
        <v/>
      </c>
      <c r="H15" s="17">
        <f>IF($B15="","",COUNTIFS(nrES_PID,$B15,nrES_Type,"Final",nrES_Final,"Yes",nrES_Rec,"&gt;=0",nrES_Rec,"&lt;=100"))</f>
        <v/>
      </c>
      <c r="I15" s="17">
        <f>IF(OR($B15="",$E15=0),"",IFERROR(ROUND(AVERAGEIFS(nrES_Rec,nrES_PID,$B15,nrES_Type,"Major",nrES_Final,"Yes",nrES_Rec,"&gt;=0",nrES_Rec,"&lt;=100"),2),""))</f>
        <v/>
      </c>
      <c r="J15" s="17">
        <f>IF(OR($B15="",$F15=0),"",IFERROR(ROUND(AVERAGEIFS(nrES_Rec,nrES_PID,$B15,nrES_Type,"Minor",nrES_Final,"Yes",nrES_Rec,"&gt;=0",nrES_Rec,"&lt;=100"),2),""))</f>
        <v/>
      </c>
      <c r="K15" s="17">
        <f>IF($B15="","",Spelling!P15)</f>
        <v/>
      </c>
      <c r="L15" s="17">
        <f>IF(OR($B15="",$H15=0),"",IFERROR(ROUND(AVERAGEIFS(nrES_Rec,nrES_PID,$B15,nrES_Type,"Final",nrES_Final,"Yes",nrES_Rec,"&gt;=0",nrES_Rec,"&lt;=100"),2),""))</f>
        <v/>
      </c>
      <c r="M15" s="17">
        <f>IF($B15="","",_xlfn.LET(_xlpm.w,($E15&gt;0)*cfgWeightMajor+($F15&gt;0)*cfgWeightMinor+(N($G15)&gt;0)*cfgWeightSpelling+($H15&gt;0)*cfgWeightFinal,IF(_xlpm.w=0,"",ROUND((($E15&gt;0)*cfgWeightMajor*N($I15)+($F15&gt;0)*cfgWeightMinor*N($J15)+(N($G15)&gt;0)*cfgWeightSpelling*N($K15)+($H15&gt;0)*cfgWeightFinal*N($L15))/_xlpm.w,2))))</f>
        <v/>
      </c>
      <c r="N15" s="17">
        <f>IF(OR($B15="",$H15=0),"",$M15)</f>
        <v/>
      </c>
      <c r="O15" s="17">
        <f>IF($B15="","",COUNTIFS(nrES_PID,$B15,nrES_Att,2))</f>
        <v/>
      </c>
      <c r="P15" s="17">
        <f>IF($B15="","",COUNTIFS(nrES_PID,$B15,nrES_Dis,"Yes"))</f>
        <v/>
      </c>
      <c r="Q15" s="17">
        <f>IF($B15="","",IF(AND($I15&lt;&gt;"",$I15&lt;cfgThresholdScore,OR($E15&gt;=cfgThresholdAfterExam,$E15&gt;=COUNTIFS(rngEPuse,"Yes",rngEPtype,"Major"))),"Yes","No"))</f>
        <v/>
      </c>
      <c r="R15" s="17">
        <f>IF($B15="","",IF(AND($J15&lt;&gt;"",$J15&lt;cfgThresholdScore,OR($F15&gt;=cfgThresholdAfterExam,$F15&gt;=COUNTIFS(rngEPuse,"Yes",rngEPtype,"Minor"))),"Yes","No"))</f>
        <v/>
      </c>
      <c r="S15" s="17">
        <f>IF($B15="","",IF($M15="",-1,$M15))</f>
        <v/>
      </c>
      <c r="T15" s="17">
        <f>IF($B15="","",IF(AND($D15="Active",sysChecks!$M15&lt;&gt;"Yes",$M15&lt;&gt;""),"Yes","No"))</f>
        <v/>
      </c>
      <c r="U15" s="17">
        <f>IF($T15&lt;&gt;"Yes","",SUMPRODUCT(($T$6:$T$55="Yes")*(($S$6:$S$55&gt;$S15)+($S$6:$S$55=$S15)*(ROW($S$6:$S$55)&lt;ROW())))+1)</f>
        <v/>
      </c>
      <c r="V15" s="17">
        <f>IF($B15="","",IF(AND($Q15="No",$R15="No",OR(N($G15)=0,$K15&gt;=cfgThresholdScore),OR($H15=0,$L15&gt;=cfgThresholdScore)),"Yes","No"))</f>
        <v/>
      </c>
      <c r="W15" s="17">
        <f>IF($B15="","",_xlfn.LET(_xlpm.tot,COUNTIFS(rngEPuse,"Yes",rngEPtype,"Major"),_xlpm.left,_xlpm.tot-$E15,IF(_xlpm.left&lt;=0,"done",MAX(0,ROUND((cfgThresholdScore*_xlpm.tot-N($I15)*$E15)/_xlpm.left,1)))))</f>
        <v/>
      </c>
      <c r="X15" s="17">
        <f>IF($B15="","",_xlfn.LET(_xlpm.tot,COUNTIFS(rngEPuse,"Yes",rngEPtype,"Minor"),_xlpm.left,_xlpm.tot-$F15,IF(_xlpm.left&lt;=0,"done",MAX(0,ROUND((cfgThresholdScore*_xlpm.tot-N($J15)*$F15)/_xlpm.left,1)))))</f>
        <v/>
      </c>
      <c r="Y15" s="17">
        <f>IF($B15="","",IF($H15&gt;0,"done",cfgThresholdScore))</f>
        <v/>
      </c>
      <c r="Z15" s="17">
        <f>IF($B15="","",_xlfn.LET(_xlpm.s,_xlfn.MAXIFS(nrES_Seq,nrES_PID,$B15,nrES_Att,1,nrES_Raw,"&gt;=0"),IF(_xlpm.s=0,"",SUMIFS(nrES_Raw,nrES_PID,$B15,nrES_Att,1,nrES_Seq,_xlpm.s))))</f>
        <v/>
      </c>
      <c r="AA15" s="17">
        <f>IF($B15="","",_xlfn.LET(_xlpm.s,_xlfn.MAXIFS(nrES_Seq,nrES_PID,$B15,nrES_Att,1,nrES_Raw,"&gt;=0"),IF(_xlpm.s=0,"",_xlfn.LET(_xlpm.p,_xlfn.MAXIFS(nrES_Seq,nrES_PID,$B15,nrES_Att,1,nrES_Seq,"&lt;"&amp;_xlpm.s,nrES_Raw,"&gt;=0"),IF(_xlpm.p=0,"",SUMIFS(nrES_Raw,nrES_PID,$B15,nrES_Att,1,nrES_Seq,_xlpm.p))))))</f>
        <v/>
      </c>
      <c r="AB15" s="17">
        <f>IF(OR($B15="",$Z15="",$AA15=""),"",ROUND($AA15-$Z15,1))</f>
        <v/>
      </c>
      <c r="AC15" s="17">
        <f>IF($B15="","",_xlfn.LET(_xlpm.s,_xlfn.MAXIFS(nrES_Seq,nrES_PID,$B15,nrES_Att,1,nrES_Raw,"&gt;=0"),IF(_xlpm.s=0,0,_xlfn.LET(_xlpm.a,IF(SUMIFS(nrES_Raw,nrES_PID,$B15,nrES_Att,1,nrES_Seq,_xlpm.s)&lt;cfgPassingScore,1,0),_xlpm.p,_xlfn.MAXIFS(nrES_Seq,nrES_PID,$B15,nrES_Att,1,nrES_Seq,"&lt;"&amp;_xlpm.s,nrES_Raw,"&gt;=0"),IF(OR(_xlpm.a=0,_xlpm.p=0),_xlpm.a,_xlpm.a+IF(SUMIFS(nrES_Raw,nrES_PID,$B15,nrES_Att,1,nrES_Seq,_xlpm.p)&lt;cfgPassingScore,1,0))))))</f>
        <v/>
      </c>
    </row>
    <row r="16">
      <c r="B16" s="17">
        <f>IF(Cadets!$B16="","",Cadets!$B16)</f>
        <v/>
      </c>
      <c r="C16" s="17">
        <f>IF($B16="","",Cadets!$F16)</f>
        <v/>
      </c>
      <c r="D16" s="17">
        <f>IF($B16="","",Cadets!$I16)</f>
        <v/>
      </c>
      <c r="E16" s="17">
        <f>IF($B16="","",COUNTIFS(nrES_PID,$B16,nrES_Type,"Major",nrES_Final,"Yes",nrES_Rec,"&gt;=0",nrES_Rec,"&lt;=100"))</f>
        <v/>
      </c>
      <c r="F16" s="17">
        <f>IF($B16="","",COUNTIFS(nrES_PID,$B16,nrES_Type,"Minor",nrES_Final,"Yes",nrES_Rec,"&gt;=0",nrES_Rec,"&lt;=100"))</f>
        <v/>
      </c>
      <c r="G16" s="17">
        <f>IF($B16="","",Spelling!Q16)</f>
        <v/>
      </c>
      <c r="H16" s="17">
        <f>IF($B16="","",COUNTIFS(nrES_PID,$B16,nrES_Type,"Final",nrES_Final,"Yes",nrES_Rec,"&gt;=0",nrES_Rec,"&lt;=100"))</f>
        <v/>
      </c>
      <c r="I16" s="17">
        <f>IF(OR($B16="",$E16=0),"",IFERROR(ROUND(AVERAGEIFS(nrES_Rec,nrES_PID,$B16,nrES_Type,"Major",nrES_Final,"Yes",nrES_Rec,"&gt;=0",nrES_Rec,"&lt;=100"),2),""))</f>
        <v/>
      </c>
      <c r="J16" s="17">
        <f>IF(OR($B16="",$F16=0),"",IFERROR(ROUND(AVERAGEIFS(nrES_Rec,nrES_PID,$B16,nrES_Type,"Minor",nrES_Final,"Yes",nrES_Rec,"&gt;=0",nrES_Rec,"&lt;=100"),2),""))</f>
        <v/>
      </c>
      <c r="K16" s="17">
        <f>IF($B16="","",Spelling!P16)</f>
        <v/>
      </c>
      <c r="L16" s="17">
        <f>IF(OR($B16="",$H16=0),"",IFERROR(ROUND(AVERAGEIFS(nrES_Rec,nrES_PID,$B16,nrES_Type,"Final",nrES_Final,"Yes",nrES_Rec,"&gt;=0",nrES_Rec,"&lt;=100"),2),""))</f>
        <v/>
      </c>
      <c r="M16" s="17">
        <f>IF($B16="","",_xlfn.LET(_xlpm.w,($E16&gt;0)*cfgWeightMajor+($F16&gt;0)*cfgWeightMinor+(N($G16)&gt;0)*cfgWeightSpelling+($H16&gt;0)*cfgWeightFinal,IF(_xlpm.w=0,"",ROUND((($E16&gt;0)*cfgWeightMajor*N($I16)+($F16&gt;0)*cfgWeightMinor*N($J16)+(N($G16)&gt;0)*cfgWeightSpelling*N($K16)+($H16&gt;0)*cfgWeightFinal*N($L16))/_xlpm.w,2))))</f>
        <v/>
      </c>
      <c r="N16" s="17">
        <f>IF(OR($B16="",$H16=0),"",$M16)</f>
        <v/>
      </c>
      <c r="O16" s="17">
        <f>IF($B16="","",COUNTIFS(nrES_PID,$B16,nrES_Att,2))</f>
        <v/>
      </c>
      <c r="P16" s="17">
        <f>IF($B16="","",COUNTIFS(nrES_PID,$B16,nrES_Dis,"Yes"))</f>
        <v/>
      </c>
      <c r="Q16" s="17">
        <f>IF($B16="","",IF(AND($I16&lt;&gt;"",$I16&lt;cfgThresholdScore,OR($E16&gt;=cfgThresholdAfterExam,$E16&gt;=COUNTIFS(rngEPuse,"Yes",rngEPtype,"Major"))),"Yes","No"))</f>
        <v/>
      </c>
      <c r="R16" s="17">
        <f>IF($B16="","",IF(AND($J16&lt;&gt;"",$J16&lt;cfgThresholdScore,OR($F16&gt;=cfgThresholdAfterExam,$F16&gt;=COUNTIFS(rngEPuse,"Yes",rngEPtype,"Minor"))),"Yes","No"))</f>
        <v/>
      </c>
      <c r="S16" s="17">
        <f>IF($B16="","",IF($M16="",-1,$M16))</f>
        <v/>
      </c>
      <c r="T16" s="17">
        <f>IF($B16="","",IF(AND($D16="Active",sysChecks!$M16&lt;&gt;"Yes",$M16&lt;&gt;""),"Yes","No"))</f>
        <v/>
      </c>
      <c r="U16" s="17">
        <f>IF($T16&lt;&gt;"Yes","",SUMPRODUCT(($T$6:$T$55="Yes")*(($S$6:$S$55&gt;$S16)+($S$6:$S$55=$S16)*(ROW($S$6:$S$55)&lt;ROW())))+1)</f>
        <v/>
      </c>
      <c r="V16" s="17">
        <f>IF($B16="","",IF(AND($Q16="No",$R16="No",OR(N($G16)=0,$K16&gt;=cfgThresholdScore),OR($H16=0,$L16&gt;=cfgThresholdScore)),"Yes","No"))</f>
        <v/>
      </c>
      <c r="W16" s="17">
        <f>IF($B16="","",_xlfn.LET(_xlpm.tot,COUNTIFS(rngEPuse,"Yes",rngEPtype,"Major"),_xlpm.left,_xlpm.tot-$E16,IF(_xlpm.left&lt;=0,"done",MAX(0,ROUND((cfgThresholdScore*_xlpm.tot-N($I16)*$E16)/_xlpm.left,1)))))</f>
        <v/>
      </c>
      <c r="X16" s="17">
        <f>IF($B16="","",_xlfn.LET(_xlpm.tot,COUNTIFS(rngEPuse,"Yes",rngEPtype,"Minor"),_xlpm.left,_xlpm.tot-$F16,IF(_xlpm.left&lt;=0,"done",MAX(0,ROUND((cfgThresholdScore*_xlpm.tot-N($J16)*$F16)/_xlpm.left,1)))))</f>
        <v/>
      </c>
      <c r="Y16" s="17">
        <f>IF($B16="","",IF($H16&gt;0,"done",cfgThresholdScore))</f>
        <v/>
      </c>
      <c r="Z16" s="17">
        <f>IF($B16="","",_xlfn.LET(_xlpm.s,_xlfn.MAXIFS(nrES_Seq,nrES_PID,$B16,nrES_Att,1,nrES_Raw,"&gt;=0"),IF(_xlpm.s=0,"",SUMIFS(nrES_Raw,nrES_PID,$B16,nrES_Att,1,nrES_Seq,_xlpm.s))))</f>
        <v/>
      </c>
      <c r="AA16" s="17">
        <f>IF($B16="","",_xlfn.LET(_xlpm.s,_xlfn.MAXIFS(nrES_Seq,nrES_PID,$B16,nrES_Att,1,nrES_Raw,"&gt;=0"),IF(_xlpm.s=0,"",_xlfn.LET(_xlpm.p,_xlfn.MAXIFS(nrES_Seq,nrES_PID,$B16,nrES_Att,1,nrES_Seq,"&lt;"&amp;_xlpm.s,nrES_Raw,"&gt;=0"),IF(_xlpm.p=0,"",SUMIFS(nrES_Raw,nrES_PID,$B16,nrES_Att,1,nrES_Seq,_xlpm.p))))))</f>
        <v/>
      </c>
      <c r="AB16" s="17">
        <f>IF(OR($B16="",$Z16="",$AA16=""),"",ROUND($AA16-$Z16,1))</f>
        <v/>
      </c>
      <c r="AC16" s="17">
        <f>IF($B16="","",_xlfn.LET(_xlpm.s,_xlfn.MAXIFS(nrES_Seq,nrES_PID,$B16,nrES_Att,1,nrES_Raw,"&gt;=0"),IF(_xlpm.s=0,0,_xlfn.LET(_xlpm.a,IF(SUMIFS(nrES_Raw,nrES_PID,$B16,nrES_Att,1,nrES_Seq,_xlpm.s)&lt;cfgPassingScore,1,0),_xlpm.p,_xlfn.MAXIFS(nrES_Seq,nrES_PID,$B16,nrES_Att,1,nrES_Seq,"&lt;"&amp;_xlpm.s,nrES_Raw,"&gt;=0"),IF(OR(_xlpm.a=0,_xlpm.p=0),_xlpm.a,_xlpm.a+IF(SUMIFS(nrES_Raw,nrES_PID,$B16,nrES_Att,1,nrES_Seq,_xlpm.p)&lt;cfgPassingScore,1,0))))))</f>
        <v/>
      </c>
    </row>
    <row r="17">
      <c r="B17" s="17">
        <f>IF(Cadets!$B17="","",Cadets!$B17)</f>
        <v/>
      </c>
      <c r="C17" s="17">
        <f>IF($B17="","",Cadets!$F17)</f>
        <v/>
      </c>
      <c r="D17" s="17">
        <f>IF($B17="","",Cadets!$I17)</f>
        <v/>
      </c>
      <c r="E17" s="17">
        <f>IF($B17="","",COUNTIFS(nrES_PID,$B17,nrES_Type,"Major",nrES_Final,"Yes",nrES_Rec,"&gt;=0",nrES_Rec,"&lt;=100"))</f>
        <v/>
      </c>
      <c r="F17" s="17">
        <f>IF($B17="","",COUNTIFS(nrES_PID,$B17,nrES_Type,"Minor",nrES_Final,"Yes",nrES_Rec,"&gt;=0",nrES_Rec,"&lt;=100"))</f>
        <v/>
      </c>
      <c r="G17" s="17">
        <f>IF($B17="","",Spelling!Q17)</f>
        <v/>
      </c>
      <c r="H17" s="17">
        <f>IF($B17="","",COUNTIFS(nrES_PID,$B17,nrES_Type,"Final",nrES_Final,"Yes",nrES_Rec,"&gt;=0",nrES_Rec,"&lt;=100"))</f>
        <v/>
      </c>
      <c r="I17" s="17">
        <f>IF(OR($B17="",$E17=0),"",IFERROR(ROUND(AVERAGEIFS(nrES_Rec,nrES_PID,$B17,nrES_Type,"Major",nrES_Final,"Yes",nrES_Rec,"&gt;=0",nrES_Rec,"&lt;=100"),2),""))</f>
        <v/>
      </c>
      <c r="J17" s="17">
        <f>IF(OR($B17="",$F17=0),"",IFERROR(ROUND(AVERAGEIFS(nrES_Rec,nrES_PID,$B17,nrES_Type,"Minor",nrES_Final,"Yes",nrES_Rec,"&gt;=0",nrES_Rec,"&lt;=100"),2),""))</f>
        <v/>
      </c>
      <c r="K17" s="17">
        <f>IF($B17="","",Spelling!P17)</f>
        <v/>
      </c>
      <c r="L17" s="17">
        <f>IF(OR($B17="",$H17=0),"",IFERROR(ROUND(AVERAGEIFS(nrES_Rec,nrES_PID,$B17,nrES_Type,"Final",nrES_Final,"Yes",nrES_Rec,"&gt;=0",nrES_Rec,"&lt;=100"),2),""))</f>
        <v/>
      </c>
      <c r="M17" s="17">
        <f>IF($B17="","",_xlfn.LET(_xlpm.w,($E17&gt;0)*cfgWeightMajor+($F17&gt;0)*cfgWeightMinor+(N($G17)&gt;0)*cfgWeightSpelling+($H17&gt;0)*cfgWeightFinal,IF(_xlpm.w=0,"",ROUND((($E17&gt;0)*cfgWeightMajor*N($I17)+($F17&gt;0)*cfgWeightMinor*N($J17)+(N($G17)&gt;0)*cfgWeightSpelling*N($K17)+($H17&gt;0)*cfgWeightFinal*N($L17))/_xlpm.w,2))))</f>
        <v/>
      </c>
      <c r="N17" s="17">
        <f>IF(OR($B17="",$H17=0),"",$M17)</f>
        <v/>
      </c>
      <c r="O17" s="17">
        <f>IF($B17="","",COUNTIFS(nrES_PID,$B17,nrES_Att,2))</f>
        <v/>
      </c>
      <c r="P17" s="17">
        <f>IF($B17="","",COUNTIFS(nrES_PID,$B17,nrES_Dis,"Yes"))</f>
        <v/>
      </c>
      <c r="Q17" s="17">
        <f>IF($B17="","",IF(AND($I17&lt;&gt;"",$I17&lt;cfgThresholdScore,OR($E17&gt;=cfgThresholdAfterExam,$E17&gt;=COUNTIFS(rngEPuse,"Yes",rngEPtype,"Major"))),"Yes","No"))</f>
        <v/>
      </c>
      <c r="R17" s="17">
        <f>IF($B17="","",IF(AND($J17&lt;&gt;"",$J17&lt;cfgThresholdScore,OR($F17&gt;=cfgThresholdAfterExam,$F17&gt;=COUNTIFS(rngEPuse,"Yes",rngEPtype,"Minor"))),"Yes","No"))</f>
        <v/>
      </c>
      <c r="S17" s="17">
        <f>IF($B17="","",IF($M17="",-1,$M17))</f>
        <v/>
      </c>
      <c r="T17" s="17">
        <f>IF($B17="","",IF(AND($D17="Active",sysChecks!$M17&lt;&gt;"Yes",$M17&lt;&gt;""),"Yes","No"))</f>
        <v/>
      </c>
      <c r="U17" s="17">
        <f>IF($T17&lt;&gt;"Yes","",SUMPRODUCT(($T$6:$T$55="Yes")*(($S$6:$S$55&gt;$S17)+($S$6:$S$55=$S17)*(ROW($S$6:$S$55)&lt;ROW())))+1)</f>
        <v/>
      </c>
      <c r="V17" s="17">
        <f>IF($B17="","",IF(AND($Q17="No",$R17="No",OR(N($G17)=0,$K17&gt;=cfgThresholdScore),OR($H17=0,$L17&gt;=cfgThresholdScore)),"Yes","No"))</f>
        <v/>
      </c>
      <c r="W17" s="17">
        <f>IF($B17="","",_xlfn.LET(_xlpm.tot,COUNTIFS(rngEPuse,"Yes",rngEPtype,"Major"),_xlpm.left,_xlpm.tot-$E17,IF(_xlpm.left&lt;=0,"done",MAX(0,ROUND((cfgThresholdScore*_xlpm.tot-N($I17)*$E17)/_xlpm.left,1)))))</f>
        <v/>
      </c>
      <c r="X17" s="17">
        <f>IF($B17="","",_xlfn.LET(_xlpm.tot,COUNTIFS(rngEPuse,"Yes",rngEPtype,"Minor"),_xlpm.left,_xlpm.tot-$F17,IF(_xlpm.left&lt;=0,"done",MAX(0,ROUND((cfgThresholdScore*_xlpm.tot-N($J17)*$F17)/_xlpm.left,1)))))</f>
        <v/>
      </c>
      <c r="Y17" s="17">
        <f>IF($B17="","",IF($H17&gt;0,"done",cfgThresholdScore))</f>
        <v/>
      </c>
      <c r="Z17" s="17">
        <f>IF($B17="","",_xlfn.LET(_xlpm.s,_xlfn.MAXIFS(nrES_Seq,nrES_PID,$B17,nrES_Att,1,nrES_Raw,"&gt;=0"),IF(_xlpm.s=0,"",SUMIFS(nrES_Raw,nrES_PID,$B17,nrES_Att,1,nrES_Seq,_xlpm.s))))</f>
        <v/>
      </c>
      <c r="AA17" s="17">
        <f>IF($B17="","",_xlfn.LET(_xlpm.s,_xlfn.MAXIFS(nrES_Seq,nrES_PID,$B17,nrES_Att,1,nrES_Raw,"&gt;=0"),IF(_xlpm.s=0,"",_xlfn.LET(_xlpm.p,_xlfn.MAXIFS(nrES_Seq,nrES_PID,$B17,nrES_Att,1,nrES_Seq,"&lt;"&amp;_xlpm.s,nrES_Raw,"&gt;=0"),IF(_xlpm.p=0,"",SUMIFS(nrES_Raw,nrES_PID,$B17,nrES_Att,1,nrES_Seq,_xlpm.p))))))</f>
        <v/>
      </c>
      <c r="AB17" s="17">
        <f>IF(OR($B17="",$Z17="",$AA17=""),"",ROUND($AA17-$Z17,1))</f>
        <v/>
      </c>
      <c r="AC17" s="17">
        <f>IF($B17="","",_xlfn.LET(_xlpm.s,_xlfn.MAXIFS(nrES_Seq,nrES_PID,$B17,nrES_Att,1,nrES_Raw,"&gt;=0"),IF(_xlpm.s=0,0,_xlfn.LET(_xlpm.a,IF(SUMIFS(nrES_Raw,nrES_PID,$B17,nrES_Att,1,nrES_Seq,_xlpm.s)&lt;cfgPassingScore,1,0),_xlpm.p,_xlfn.MAXIFS(nrES_Seq,nrES_PID,$B17,nrES_Att,1,nrES_Seq,"&lt;"&amp;_xlpm.s,nrES_Raw,"&gt;=0"),IF(OR(_xlpm.a=0,_xlpm.p=0),_xlpm.a,_xlpm.a+IF(SUMIFS(nrES_Raw,nrES_PID,$B17,nrES_Att,1,nrES_Seq,_xlpm.p)&lt;cfgPassingScore,1,0))))))</f>
        <v/>
      </c>
    </row>
    <row r="18">
      <c r="B18" s="17">
        <f>IF(Cadets!$B18="","",Cadets!$B18)</f>
        <v/>
      </c>
      <c r="C18" s="17">
        <f>IF($B18="","",Cadets!$F18)</f>
        <v/>
      </c>
      <c r="D18" s="17">
        <f>IF($B18="","",Cadets!$I18)</f>
        <v/>
      </c>
      <c r="E18" s="17">
        <f>IF($B18="","",COUNTIFS(nrES_PID,$B18,nrES_Type,"Major",nrES_Final,"Yes",nrES_Rec,"&gt;=0",nrES_Rec,"&lt;=100"))</f>
        <v/>
      </c>
      <c r="F18" s="17">
        <f>IF($B18="","",COUNTIFS(nrES_PID,$B18,nrES_Type,"Minor",nrES_Final,"Yes",nrES_Rec,"&gt;=0",nrES_Rec,"&lt;=100"))</f>
        <v/>
      </c>
      <c r="G18" s="17">
        <f>IF($B18="","",Spelling!Q18)</f>
        <v/>
      </c>
      <c r="H18" s="17">
        <f>IF($B18="","",COUNTIFS(nrES_PID,$B18,nrES_Type,"Final",nrES_Final,"Yes",nrES_Rec,"&gt;=0",nrES_Rec,"&lt;=100"))</f>
        <v/>
      </c>
      <c r="I18" s="17">
        <f>IF(OR($B18="",$E18=0),"",IFERROR(ROUND(AVERAGEIFS(nrES_Rec,nrES_PID,$B18,nrES_Type,"Major",nrES_Final,"Yes",nrES_Rec,"&gt;=0",nrES_Rec,"&lt;=100"),2),""))</f>
        <v/>
      </c>
      <c r="J18" s="17">
        <f>IF(OR($B18="",$F18=0),"",IFERROR(ROUND(AVERAGEIFS(nrES_Rec,nrES_PID,$B18,nrES_Type,"Minor",nrES_Final,"Yes",nrES_Rec,"&gt;=0",nrES_Rec,"&lt;=100"),2),""))</f>
        <v/>
      </c>
      <c r="K18" s="17">
        <f>IF($B18="","",Spelling!P18)</f>
        <v/>
      </c>
      <c r="L18" s="17">
        <f>IF(OR($B18="",$H18=0),"",IFERROR(ROUND(AVERAGEIFS(nrES_Rec,nrES_PID,$B18,nrES_Type,"Final",nrES_Final,"Yes",nrES_Rec,"&gt;=0",nrES_Rec,"&lt;=100"),2),""))</f>
        <v/>
      </c>
      <c r="M18" s="17">
        <f>IF($B18="","",_xlfn.LET(_xlpm.w,($E18&gt;0)*cfgWeightMajor+($F18&gt;0)*cfgWeightMinor+(N($G18)&gt;0)*cfgWeightSpelling+($H18&gt;0)*cfgWeightFinal,IF(_xlpm.w=0,"",ROUND((($E18&gt;0)*cfgWeightMajor*N($I18)+($F18&gt;0)*cfgWeightMinor*N($J18)+(N($G18)&gt;0)*cfgWeightSpelling*N($K18)+($H18&gt;0)*cfgWeightFinal*N($L18))/_xlpm.w,2))))</f>
        <v/>
      </c>
      <c r="N18" s="17">
        <f>IF(OR($B18="",$H18=0),"",$M18)</f>
        <v/>
      </c>
      <c r="O18" s="17">
        <f>IF($B18="","",COUNTIFS(nrES_PID,$B18,nrES_Att,2))</f>
        <v/>
      </c>
      <c r="P18" s="17">
        <f>IF($B18="","",COUNTIFS(nrES_PID,$B18,nrES_Dis,"Yes"))</f>
        <v/>
      </c>
      <c r="Q18" s="17">
        <f>IF($B18="","",IF(AND($I18&lt;&gt;"",$I18&lt;cfgThresholdScore,OR($E18&gt;=cfgThresholdAfterExam,$E18&gt;=COUNTIFS(rngEPuse,"Yes",rngEPtype,"Major"))),"Yes","No"))</f>
        <v/>
      </c>
      <c r="R18" s="17">
        <f>IF($B18="","",IF(AND($J18&lt;&gt;"",$J18&lt;cfgThresholdScore,OR($F18&gt;=cfgThresholdAfterExam,$F18&gt;=COUNTIFS(rngEPuse,"Yes",rngEPtype,"Minor"))),"Yes","No"))</f>
        <v/>
      </c>
      <c r="S18" s="17">
        <f>IF($B18="","",IF($M18="",-1,$M18))</f>
        <v/>
      </c>
      <c r="T18" s="17">
        <f>IF($B18="","",IF(AND($D18="Active",sysChecks!$M18&lt;&gt;"Yes",$M18&lt;&gt;""),"Yes","No"))</f>
        <v/>
      </c>
      <c r="U18" s="17">
        <f>IF($T18&lt;&gt;"Yes","",SUMPRODUCT(($T$6:$T$55="Yes")*(($S$6:$S$55&gt;$S18)+($S$6:$S$55=$S18)*(ROW($S$6:$S$55)&lt;ROW())))+1)</f>
        <v/>
      </c>
      <c r="V18" s="17">
        <f>IF($B18="","",IF(AND($Q18="No",$R18="No",OR(N($G18)=0,$K18&gt;=cfgThresholdScore),OR($H18=0,$L18&gt;=cfgThresholdScore)),"Yes","No"))</f>
        <v/>
      </c>
      <c r="W18" s="17">
        <f>IF($B18="","",_xlfn.LET(_xlpm.tot,COUNTIFS(rngEPuse,"Yes",rngEPtype,"Major"),_xlpm.left,_xlpm.tot-$E18,IF(_xlpm.left&lt;=0,"done",MAX(0,ROUND((cfgThresholdScore*_xlpm.tot-N($I18)*$E18)/_xlpm.left,1)))))</f>
        <v/>
      </c>
      <c r="X18" s="17">
        <f>IF($B18="","",_xlfn.LET(_xlpm.tot,COUNTIFS(rngEPuse,"Yes",rngEPtype,"Minor"),_xlpm.left,_xlpm.tot-$F18,IF(_xlpm.left&lt;=0,"done",MAX(0,ROUND((cfgThresholdScore*_xlpm.tot-N($J18)*$F18)/_xlpm.left,1)))))</f>
        <v/>
      </c>
      <c r="Y18" s="17">
        <f>IF($B18="","",IF($H18&gt;0,"done",cfgThresholdScore))</f>
        <v/>
      </c>
      <c r="Z18" s="17">
        <f>IF($B18="","",_xlfn.LET(_xlpm.s,_xlfn.MAXIFS(nrES_Seq,nrES_PID,$B18,nrES_Att,1,nrES_Raw,"&gt;=0"),IF(_xlpm.s=0,"",SUMIFS(nrES_Raw,nrES_PID,$B18,nrES_Att,1,nrES_Seq,_xlpm.s))))</f>
        <v/>
      </c>
      <c r="AA18" s="17">
        <f>IF($B18="","",_xlfn.LET(_xlpm.s,_xlfn.MAXIFS(nrES_Seq,nrES_PID,$B18,nrES_Att,1,nrES_Raw,"&gt;=0"),IF(_xlpm.s=0,"",_xlfn.LET(_xlpm.p,_xlfn.MAXIFS(nrES_Seq,nrES_PID,$B18,nrES_Att,1,nrES_Seq,"&lt;"&amp;_xlpm.s,nrES_Raw,"&gt;=0"),IF(_xlpm.p=0,"",SUMIFS(nrES_Raw,nrES_PID,$B18,nrES_Att,1,nrES_Seq,_xlpm.p))))))</f>
        <v/>
      </c>
      <c r="AB18" s="17">
        <f>IF(OR($B18="",$Z18="",$AA18=""),"",ROUND($AA18-$Z18,1))</f>
        <v/>
      </c>
      <c r="AC18" s="17">
        <f>IF($B18="","",_xlfn.LET(_xlpm.s,_xlfn.MAXIFS(nrES_Seq,nrES_PID,$B18,nrES_Att,1,nrES_Raw,"&gt;=0"),IF(_xlpm.s=0,0,_xlfn.LET(_xlpm.a,IF(SUMIFS(nrES_Raw,nrES_PID,$B18,nrES_Att,1,nrES_Seq,_xlpm.s)&lt;cfgPassingScore,1,0),_xlpm.p,_xlfn.MAXIFS(nrES_Seq,nrES_PID,$B18,nrES_Att,1,nrES_Seq,"&lt;"&amp;_xlpm.s,nrES_Raw,"&gt;=0"),IF(OR(_xlpm.a=0,_xlpm.p=0),_xlpm.a,_xlpm.a+IF(SUMIFS(nrES_Raw,nrES_PID,$B18,nrES_Att,1,nrES_Seq,_xlpm.p)&lt;cfgPassingScore,1,0))))))</f>
        <v/>
      </c>
    </row>
    <row r="19">
      <c r="B19" s="17">
        <f>IF(Cadets!$B19="","",Cadets!$B19)</f>
        <v/>
      </c>
      <c r="C19" s="17">
        <f>IF($B19="","",Cadets!$F19)</f>
        <v/>
      </c>
      <c r="D19" s="17">
        <f>IF($B19="","",Cadets!$I19)</f>
        <v/>
      </c>
      <c r="E19" s="17">
        <f>IF($B19="","",COUNTIFS(nrES_PID,$B19,nrES_Type,"Major",nrES_Final,"Yes",nrES_Rec,"&gt;=0",nrES_Rec,"&lt;=100"))</f>
        <v/>
      </c>
      <c r="F19" s="17">
        <f>IF($B19="","",COUNTIFS(nrES_PID,$B19,nrES_Type,"Minor",nrES_Final,"Yes",nrES_Rec,"&gt;=0",nrES_Rec,"&lt;=100"))</f>
        <v/>
      </c>
      <c r="G19" s="17">
        <f>IF($B19="","",Spelling!Q19)</f>
        <v/>
      </c>
      <c r="H19" s="17">
        <f>IF($B19="","",COUNTIFS(nrES_PID,$B19,nrES_Type,"Final",nrES_Final,"Yes",nrES_Rec,"&gt;=0",nrES_Rec,"&lt;=100"))</f>
        <v/>
      </c>
      <c r="I19" s="17">
        <f>IF(OR($B19="",$E19=0),"",IFERROR(ROUND(AVERAGEIFS(nrES_Rec,nrES_PID,$B19,nrES_Type,"Major",nrES_Final,"Yes",nrES_Rec,"&gt;=0",nrES_Rec,"&lt;=100"),2),""))</f>
        <v/>
      </c>
      <c r="J19" s="17">
        <f>IF(OR($B19="",$F19=0),"",IFERROR(ROUND(AVERAGEIFS(nrES_Rec,nrES_PID,$B19,nrES_Type,"Minor",nrES_Final,"Yes",nrES_Rec,"&gt;=0",nrES_Rec,"&lt;=100"),2),""))</f>
        <v/>
      </c>
      <c r="K19" s="17">
        <f>IF($B19="","",Spelling!P19)</f>
        <v/>
      </c>
      <c r="L19" s="17">
        <f>IF(OR($B19="",$H19=0),"",IFERROR(ROUND(AVERAGEIFS(nrES_Rec,nrES_PID,$B19,nrES_Type,"Final",nrES_Final,"Yes",nrES_Rec,"&gt;=0",nrES_Rec,"&lt;=100"),2),""))</f>
        <v/>
      </c>
      <c r="M19" s="17">
        <f>IF($B19="","",_xlfn.LET(_xlpm.w,($E19&gt;0)*cfgWeightMajor+($F19&gt;0)*cfgWeightMinor+(N($G19)&gt;0)*cfgWeightSpelling+($H19&gt;0)*cfgWeightFinal,IF(_xlpm.w=0,"",ROUND((($E19&gt;0)*cfgWeightMajor*N($I19)+($F19&gt;0)*cfgWeightMinor*N($J19)+(N($G19)&gt;0)*cfgWeightSpelling*N($K19)+($H19&gt;0)*cfgWeightFinal*N($L19))/_xlpm.w,2))))</f>
        <v/>
      </c>
      <c r="N19" s="17">
        <f>IF(OR($B19="",$H19=0),"",$M19)</f>
        <v/>
      </c>
      <c r="O19" s="17">
        <f>IF($B19="","",COUNTIFS(nrES_PID,$B19,nrES_Att,2))</f>
        <v/>
      </c>
      <c r="P19" s="17">
        <f>IF($B19="","",COUNTIFS(nrES_PID,$B19,nrES_Dis,"Yes"))</f>
        <v/>
      </c>
      <c r="Q19" s="17">
        <f>IF($B19="","",IF(AND($I19&lt;&gt;"",$I19&lt;cfgThresholdScore,OR($E19&gt;=cfgThresholdAfterExam,$E19&gt;=COUNTIFS(rngEPuse,"Yes",rngEPtype,"Major"))),"Yes","No"))</f>
        <v/>
      </c>
      <c r="R19" s="17">
        <f>IF($B19="","",IF(AND($J19&lt;&gt;"",$J19&lt;cfgThresholdScore,OR($F19&gt;=cfgThresholdAfterExam,$F19&gt;=COUNTIFS(rngEPuse,"Yes",rngEPtype,"Minor"))),"Yes","No"))</f>
        <v/>
      </c>
      <c r="S19" s="17">
        <f>IF($B19="","",IF($M19="",-1,$M19))</f>
        <v/>
      </c>
      <c r="T19" s="17">
        <f>IF($B19="","",IF(AND($D19="Active",sysChecks!$M19&lt;&gt;"Yes",$M19&lt;&gt;""),"Yes","No"))</f>
        <v/>
      </c>
      <c r="U19" s="17">
        <f>IF($T19&lt;&gt;"Yes","",SUMPRODUCT(($T$6:$T$55="Yes")*(($S$6:$S$55&gt;$S19)+($S$6:$S$55=$S19)*(ROW($S$6:$S$55)&lt;ROW())))+1)</f>
        <v/>
      </c>
      <c r="V19" s="17">
        <f>IF($B19="","",IF(AND($Q19="No",$R19="No",OR(N($G19)=0,$K19&gt;=cfgThresholdScore),OR($H19=0,$L19&gt;=cfgThresholdScore)),"Yes","No"))</f>
        <v/>
      </c>
      <c r="W19" s="17">
        <f>IF($B19="","",_xlfn.LET(_xlpm.tot,COUNTIFS(rngEPuse,"Yes",rngEPtype,"Major"),_xlpm.left,_xlpm.tot-$E19,IF(_xlpm.left&lt;=0,"done",MAX(0,ROUND((cfgThresholdScore*_xlpm.tot-N($I19)*$E19)/_xlpm.left,1)))))</f>
        <v/>
      </c>
      <c r="X19" s="17">
        <f>IF($B19="","",_xlfn.LET(_xlpm.tot,COUNTIFS(rngEPuse,"Yes",rngEPtype,"Minor"),_xlpm.left,_xlpm.tot-$F19,IF(_xlpm.left&lt;=0,"done",MAX(0,ROUND((cfgThresholdScore*_xlpm.tot-N($J19)*$F19)/_xlpm.left,1)))))</f>
        <v/>
      </c>
      <c r="Y19" s="17">
        <f>IF($B19="","",IF($H19&gt;0,"done",cfgThresholdScore))</f>
        <v/>
      </c>
      <c r="Z19" s="17">
        <f>IF($B19="","",_xlfn.LET(_xlpm.s,_xlfn.MAXIFS(nrES_Seq,nrES_PID,$B19,nrES_Att,1,nrES_Raw,"&gt;=0"),IF(_xlpm.s=0,"",SUMIFS(nrES_Raw,nrES_PID,$B19,nrES_Att,1,nrES_Seq,_xlpm.s))))</f>
        <v/>
      </c>
      <c r="AA19" s="17">
        <f>IF($B19="","",_xlfn.LET(_xlpm.s,_xlfn.MAXIFS(nrES_Seq,nrES_PID,$B19,nrES_Att,1,nrES_Raw,"&gt;=0"),IF(_xlpm.s=0,"",_xlfn.LET(_xlpm.p,_xlfn.MAXIFS(nrES_Seq,nrES_PID,$B19,nrES_Att,1,nrES_Seq,"&lt;"&amp;_xlpm.s,nrES_Raw,"&gt;=0"),IF(_xlpm.p=0,"",SUMIFS(nrES_Raw,nrES_PID,$B19,nrES_Att,1,nrES_Seq,_xlpm.p))))))</f>
        <v/>
      </c>
      <c r="AB19" s="17">
        <f>IF(OR($B19="",$Z19="",$AA19=""),"",ROUND($AA19-$Z19,1))</f>
        <v/>
      </c>
      <c r="AC19" s="17">
        <f>IF($B19="","",_xlfn.LET(_xlpm.s,_xlfn.MAXIFS(nrES_Seq,nrES_PID,$B19,nrES_Att,1,nrES_Raw,"&gt;=0"),IF(_xlpm.s=0,0,_xlfn.LET(_xlpm.a,IF(SUMIFS(nrES_Raw,nrES_PID,$B19,nrES_Att,1,nrES_Seq,_xlpm.s)&lt;cfgPassingScore,1,0),_xlpm.p,_xlfn.MAXIFS(nrES_Seq,nrES_PID,$B19,nrES_Att,1,nrES_Seq,"&lt;"&amp;_xlpm.s,nrES_Raw,"&gt;=0"),IF(OR(_xlpm.a=0,_xlpm.p=0),_xlpm.a,_xlpm.a+IF(SUMIFS(nrES_Raw,nrES_PID,$B19,nrES_Att,1,nrES_Seq,_xlpm.p)&lt;cfgPassingScore,1,0))))))</f>
        <v/>
      </c>
    </row>
    <row r="20">
      <c r="B20" s="17">
        <f>IF(Cadets!$B20="","",Cadets!$B20)</f>
        <v/>
      </c>
      <c r="C20" s="17">
        <f>IF($B20="","",Cadets!$F20)</f>
        <v/>
      </c>
      <c r="D20" s="17">
        <f>IF($B20="","",Cadets!$I20)</f>
        <v/>
      </c>
      <c r="E20" s="17">
        <f>IF($B20="","",COUNTIFS(nrES_PID,$B20,nrES_Type,"Major",nrES_Final,"Yes",nrES_Rec,"&gt;=0",nrES_Rec,"&lt;=100"))</f>
        <v/>
      </c>
      <c r="F20" s="17">
        <f>IF($B20="","",COUNTIFS(nrES_PID,$B20,nrES_Type,"Minor",nrES_Final,"Yes",nrES_Rec,"&gt;=0",nrES_Rec,"&lt;=100"))</f>
        <v/>
      </c>
      <c r="G20" s="17">
        <f>IF($B20="","",Spelling!Q20)</f>
        <v/>
      </c>
      <c r="H20" s="17">
        <f>IF($B20="","",COUNTIFS(nrES_PID,$B20,nrES_Type,"Final",nrES_Final,"Yes",nrES_Rec,"&gt;=0",nrES_Rec,"&lt;=100"))</f>
        <v/>
      </c>
      <c r="I20" s="17">
        <f>IF(OR($B20="",$E20=0),"",IFERROR(ROUND(AVERAGEIFS(nrES_Rec,nrES_PID,$B20,nrES_Type,"Major",nrES_Final,"Yes",nrES_Rec,"&gt;=0",nrES_Rec,"&lt;=100"),2),""))</f>
        <v/>
      </c>
      <c r="J20" s="17">
        <f>IF(OR($B20="",$F20=0),"",IFERROR(ROUND(AVERAGEIFS(nrES_Rec,nrES_PID,$B20,nrES_Type,"Minor",nrES_Final,"Yes",nrES_Rec,"&gt;=0",nrES_Rec,"&lt;=100"),2),""))</f>
        <v/>
      </c>
      <c r="K20" s="17">
        <f>IF($B20="","",Spelling!P20)</f>
        <v/>
      </c>
      <c r="L20" s="17">
        <f>IF(OR($B20="",$H20=0),"",IFERROR(ROUND(AVERAGEIFS(nrES_Rec,nrES_PID,$B20,nrES_Type,"Final",nrES_Final,"Yes",nrES_Rec,"&gt;=0",nrES_Rec,"&lt;=100"),2),""))</f>
        <v/>
      </c>
      <c r="M20" s="17">
        <f>IF($B20="","",_xlfn.LET(_xlpm.w,($E20&gt;0)*cfgWeightMajor+($F20&gt;0)*cfgWeightMinor+(N($G20)&gt;0)*cfgWeightSpelling+($H20&gt;0)*cfgWeightFinal,IF(_xlpm.w=0,"",ROUND((($E20&gt;0)*cfgWeightMajor*N($I20)+($F20&gt;0)*cfgWeightMinor*N($J20)+(N($G20)&gt;0)*cfgWeightSpelling*N($K20)+($H20&gt;0)*cfgWeightFinal*N($L20))/_xlpm.w,2))))</f>
        <v/>
      </c>
      <c r="N20" s="17">
        <f>IF(OR($B20="",$H20=0),"",$M20)</f>
        <v/>
      </c>
      <c r="O20" s="17">
        <f>IF($B20="","",COUNTIFS(nrES_PID,$B20,nrES_Att,2))</f>
        <v/>
      </c>
      <c r="P20" s="17">
        <f>IF($B20="","",COUNTIFS(nrES_PID,$B20,nrES_Dis,"Yes"))</f>
        <v/>
      </c>
      <c r="Q20" s="17">
        <f>IF($B20="","",IF(AND($I20&lt;&gt;"",$I20&lt;cfgThresholdScore,OR($E20&gt;=cfgThresholdAfterExam,$E20&gt;=COUNTIFS(rngEPuse,"Yes",rngEPtype,"Major"))),"Yes","No"))</f>
        <v/>
      </c>
      <c r="R20" s="17">
        <f>IF($B20="","",IF(AND($J20&lt;&gt;"",$J20&lt;cfgThresholdScore,OR($F20&gt;=cfgThresholdAfterExam,$F20&gt;=COUNTIFS(rngEPuse,"Yes",rngEPtype,"Minor"))),"Yes","No"))</f>
        <v/>
      </c>
      <c r="S20" s="17">
        <f>IF($B20="","",IF($M20="",-1,$M20))</f>
        <v/>
      </c>
      <c r="T20" s="17">
        <f>IF($B20="","",IF(AND($D20="Active",sysChecks!$M20&lt;&gt;"Yes",$M20&lt;&gt;""),"Yes","No"))</f>
        <v/>
      </c>
      <c r="U20" s="17">
        <f>IF($T20&lt;&gt;"Yes","",SUMPRODUCT(($T$6:$T$55="Yes")*(($S$6:$S$55&gt;$S20)+($S$6:$S$55=$S20)*(ROW($S$6:$S$55)&lt;ROW())))+1)</f>
        <v/>
      </c>
      <c r="V20" s="17">
        <f>IF($B20="","",IF(AND($Q20="No",$R20="No",OR(N($G20)=0,$K20&gt;=cfgThresholdScore),OR($H20=0,$L20&gt;=cfgThresholdScore)),"Yes","No"))</f>
        <v/>
      </c>
      <c r="W20" s="17">
        <f>IF($B20="","",_xlfn.LET(_xlpm.tot,COUNTIFS(rngEPuse,"Yes",rngEPtype,"Major"),_xlpm.left,_xlpm.tot-$E20,IF(_xlpm.left&lt;=0,"done",MAX(0,ROUND((cfgThresholdScore*_xlpm.tot-N($I20)*$E20)/_xlpm.left,1)))))</f>
        <v/>
      </c>
      <c r="X20" s="17">
        <f>IF($B20="","",_xlfn.LET(_xlpm.tot,COUNTIFS(rngEPuse,"Yes",rngEPtype,"Minor"),_xlpm.left,_xlpm.tot-$F20,IF(_xlpm.left&lt;=0,"done",MAX(0,ROUND((cfgThresholdScore*_xlpm.tot-N($J20)*$F20)/_xlpm.left,1)))))</f>
        <v/>
      </c>
      <c r="Y20" s="17">
        <f>IF($B20="","",IF($H20&gt;0,"done",cfgThresholdScore))</f>
        <v/>
      </c>
      <c r="Z20" s="17">
        <f>IF($B20="","",_xlfn.LET(_xlpm.s,_xlfn.MAXIFS(nrES_Seq,nrES_PID,$B20,nrES_Att,1,nrES_Raw,"&gt;=0"),IF(_xlpm.s=0,"",SUMIFS(nrES_Raw,nrES_PID,$B20,nrES_Att,1,nrES_Seq,_xlpm.s))))</f>
        <v/>
      </c>
      <c r="AA20" s="17">
        <f>IF($B20="","",_xlfn.LET(_xlpm.s,_xlfn.MAXIFS(nrES_Seq,nrES_PID,$B20,nrES_Att,1,nrES_Raw,"&gt;=0"),IF(_xlpm.s=0,"",_xlfn.LET(_xlpm.p,_xlfn.MAXIFS(nrES_Seq,nrES_PID,$B20,nrES_Att,1,nrES_Seq,"&lt;"&amp;_xlpm.s,nrES_Raw,"&gt;=0"),IF(_xlpm.p=0,"",SUMIFS(nrES_Raw,nrES_PID,$B20,nrES_Att,1,nrES_Seq,_xlpm.p))))))</f>
        <v/>
      </c>
      <c r="AB20" s="17">
        <f>IF(OR($B20="",$Z20="",$AA20=""),"",ROUND($AA20-$Z20,1))</f>
        <v/>
      </c>
      <c r="AC20" s="17">
        <f>IF($B20="","",_xlfn.LET(_xlpm.s,_xlfn.MAXIFS(nrES_Seq,nrES_PID,$B20,nrES_Att,1,nrES_Raw,"&gt;=0"),IF(_xlpm.s=0,0,_xlfn.LET(_xlpm.a,IF(SUMIFS(nrES_Raw,nrES_PID,$B20,nrES_Att,1,nrES_Seq,_xlpm.s)&lt;cfgPassingScore,1,0),_xlpm.p,_xlfn.MAXIFS(nrES_Seq,nrES_PID,$B20,nrES_Att,1,nrES_Seq,"&lt;"&amp;_xlpm.s,nrES_Raw,"&gt;=0"),IF(OR(_xlpm.a=0,_xlpm.p=0),_xlpm.a,_xlpm.a+IF(SUMIFS(nrES_Raw,nrES_PID,$B20,nrES_Att,1,nrES_Seq,_xlpm.p)&lt;cfgPassingScore,1,0))))))</f>
        <v/>
      </c>
    </row>
    <row r="21">
      <c r="B21" s="17">
        <f>IF(Cadets!$B21="","",Cadets!$B21)</f>
        <v/>
      </c>
      <c r="C21" s="17">
        <f>IF($B21="","",Cadets!$F21)</f>
        <v/>
      </c>
      <c r="D21" s="17">
        <f>IF($B21="","",Cadets!$I21)</f>
        <v/>
      </c>
      <c r="E21" s="17">
        <f>IF($B21="","",COUNTIFS(nrES_PID,$B21,nrES_Type,"Major",nrES_Final,"Yes",nrES_Rec,"&gt;=0",nrES_Rec,"&lt;=100"))</f>
        <v/>
      </c>
      <c r="F21" s="17">
        <f>IF($B21="","",COUNTIFS(nrES_PID,$B21,nrES_Type,"Minor",nrES_Final,"Yes",nrES_Rec,"&gt;=0",nrES_Rec,"&lt;=100"))</f>
        <v/>
      </c>
      <c r="G21" s="17">
        <f>IF($B21="","",Spelling!Q21)</f>
        <v/>
      </c>
      <c r="H21" s="17">
        <f>IF($B21="","",COUNTIFS(nrES_PID,$B21,nrES_Type,"Final",nrES_Final,"Yes",nrES_Rec,"&gt;=0",nrES_Rec,"&lt;=100"))</f>
        <v/>
      </c>
      <c r="I21" s="17">
        <f>IF(OR($B21="",$E21=0),"",IFERROR(ROUND(AVERAGEIFS(nrES_Rec,nrES_PID,$B21,nrES_Type,"Major",nrES_Final,"Yes",nrES_Rec,"&gt;=0",nrES_Rec,"&lt;=100"),2),""))</f>
        <v/>
      </c>
      <c r="J21" s="17">
        <f>IF(OR($B21="",$F21=0),"",IFERROR(ROUND(AVERAGEIFS(nrES_Rec,nrES_PID,$B21,nrES_Type,"Minor",nrES_Final,"Yes",nrES_Rec,"&gt;=0",nrES_Rec,"&lt;=100"),2),""))</f>
        <v/>
      </c>
      <c r="K21" s="17">
        <f>IF($B21="","",Spelling!P21)</f>
        <v/>
      </c>
      <c r="L21" s="17">
        <f>IF(OR($B21="",$H21=0),"",IFERROR(ROUND(AVERAGEIFS(nrES_Rec,nrES_PID,$B21,nrES_Type,"Final",nrES_Final,"Yes",nrES_Rec,"&gt;=0",nrES_Rec,"&lt;=100"),2),""))</f>
        <v/>
      </c>
      <c r="M21" s="17">
        <f>IF($B21="","",_xlfn.LET(_xlpm.w,($E21&gt;0)*cfgWeightMajor+($F21&gt;0)*cfgWeightMinor+(N($G21)&gt;0)*cfgWeightSpelling+($H21&gt;0)*cfgWeightFinal,IF(_xlpm.w=0,"",ROUND((($E21&gt;0)*cfgWeightMajor*N($I21)+($F21&gt;0)*cfgWeightMinor*N($J21)+(N($G21)&gt;0)*cfgWeightSpelling*N($K21)+($H21&gt;0)*cfgWeightFinal*N($L21))/_xlpm.w,2))))</f>
        <v/>
      </c>
      <c r="N21" s="17">
        <f>IF(OR($B21="",$H21=0),"",$M21)</f>
        <v/>
      </c>
      <c r="O21" s="17">
        <f>IF($B21="","",COUNTIFS(nrES_PID,$B21,nrES_Att,2))</f>
        <v/>
      </c>
      <c r="P21" s="17">
        <f>IF($B21="","",COUNTIFS(nrES_PID,$B21,nrES_Dis,"Yes"))</f>
        <v/>
      </c>
      <c r="Q21" s="17">
        <f>IF($B21="","",IF(AND($I21&lt;&gt;"",$I21&lt;cfgThresholdScore,OR($E21&gt;=cfgThresholdAfterExam,$E21&gt;=COUNTIFS(rngEPuse,"Yes",rngEPtype,"Major"))),"Yes","No"))</f>
        <v/>
      </c>
      <c r="R21" s="17">
        <f>IF($B21="","",IF(AND($J21&lt;&gt;"",$J21&lt;cfgThresholdScore,OR($F21&gt;=cfgThresholdAfterExam,$F21&gt;=COUNTIFS(rngEPuse,"Yes",rngEPtype,"Minor"))),"Yes","No"))</f>
        <v/>
      </c>
      <c r="S21" s="17">
        <f>IF($B21="","",IF($M21="",-1,$M21))</f>
        <v/>
      </c>
      <c r="T21" s="17">
        <f>IF($B21="","",IF(AND($D21="Active",sysChecks!$M21&lt;&gt;"Yes",$M21&lt;&gt;""),"Yes","No"))</f>
        <v/>
      </c>
      <c r="U21" s="17">
        <f>IF($T21&lt;&gt;"Yes","",SUMPRODUCT(($T$6:$T$55="Yes")*(($S$6:$S$55&gt;$S21)+($S$6:$S$55=$S21)*(ROW($S$6:$S$55)&lt;ROW())))+1)</f>
        <v/>
      </c>
      <c r="V21" s="17">
        <f>IF($B21="","",IF(AND($Q21="No",$R21="No",OR(N($G21)=0,$K21&gt;=cfgThresholdScore),OR($H21=0,$L21&gt;=cfgThresholdScore)),"Yes","No"))</f>
        <v/>
      </c>
      <c r="W21" s="17">
        <f>IF($B21="","",_xlfn.LET(_xlpm.tot,COUNTIFS(rngEPuse,"Yes",rngEPtype,"Major"),_xlpm.left,_xlpm.tot-$E21,IF(_xlpm.left&lt;=0,"done",MAX(0,ROUND((cfgThresholdScore*_xlpm.tot-N($I21)*$E21)/_xlpm.left,1)))))</f>
        <v/>
      </c>
      <c r="X21" s="17">
        <f>IF($B21="","",_xlfn.LET(_xlpm.tot,COUNTIFS(rngEPuse,"Yes",rngEPtype,"Minor"),_xlpm.left,_xlpm.tot-$F21,IF(_xlpm.left&lt;=0,"done",MAX(0,ROUND((cfgThresholdScore*_xlpm.tot-N($J21)*$F21)/_xlpm.left,1)))))</f>
        <v/>
      </c>
      <c r="Y21" s="17">
        <f>IF($B21="","",IF($H21&gt;0,"done",cfgThresholdScore))</f>
        <v/>
      </c>
      <c r="Z21" s="17">
        <f>IF($B21="","",_xlfn.LET(_xlpm.s,_xlfn.MAXIFS(nrES_Seq,nrES_PID,$B21,nrES_Att,1,nrES_Raw,"&gt;=0"),IF(_xlpm.s=0,"",SUMIFS(nrES_Raw,nrES_PID,$B21,nrES_Att,1,nrES_Seq,_xlpm.s))))</f>
        <v/>
      </c>
      <c r="AA21" s="17">
        <f>IF($B21="","",_xlfn.LET(_xlpm.s,_xlfn.MAXIFS(nrES_Seq,nrES_PID,$B21,nrES_Att,1,nrES_Raw,"&gt;=0"),IF(_xlpm.s=0,"",_xlfn.LET(_xlpm.p,_xlfn.MAXIFS(nrES_Seq,nrES_PID,$B21,nrES_Att,1,nrES_Seq,"&lt;"&amp;_xlpm.s,nrES_Raw,"&gt;=0"),IF(_xlpm.p=0,"",SUMIFS(nrES_Raw,nrES_PID,$B21,nrES_Att,1,nrES_Seq,_xlpm.p))))))</f>
        <v/>
      </c>
      <c r="AB21" s="17">
        <f>IF(OR($B21="",$Z21="",$AA21=""),"",ROUND($AA21-$Z21,1))</f>
        <v/>
      </c>
      <c r="AC21" s="17">
        <f>IF($B21="","",_xlfn.LET(_xlpm.s,_xlfn.MAXIFS(nrES_Seq,nrES_PID,$B21,nrES_Att,1,nrES_Raw,"&gt;=0"),IF(_xlpm.s=0,0,_xlfn.LET(_xlpm.a,IF(SUMIFS(nrES_Raw,nrES_PID,$B21,nrES_Att,1,nrES_Seq,_xlpm.s)&lt;cfgPassingScore,1,0),_xlpm.p,_xlfn.MAXIFS(nrES_Seq,nrES_PID,$B21,nrES_Att,1,nrES_Seq,"&lt;"&amp;_xlpm.s,nrES_Raw,"&gt;=0"),IF(OR(_xlpm.a=0,_xlpm.p=0),_xlpm.a,_xlpm.a+IF(SUMIFS(nrES_Raw,nrES_PID,$B21,nrES_Att,1,nrES_Seq,_xlpm.p)&lt;cfgPassingScore,1,0))))))</f>
        <v/>
      </c>
    </row>
    <row r="22">
      <c r="B22" s="17">
        <f>IF(Cadets!$B22="","",Cadets!$B22)</f>
        <v/>
      </c>
      <c r="C22" s="17">
        <f>IF($B22="","",Cadets!$F22)</f>
        <v/>
      </c>
      <c r="D22" s="17">
        <f>IF($B22="","",Cadets!$I22)</f>
        <v/>
      </c>
      <c r="E22" s="17">
        <f>IF($B22="","",COUNTIFS(nrES_PID,$B22,nrES_Type,"Major",nrES_Final,"Yes",nrES_Rec,"&gt;=0",nrES_Rec,"&lt;=100"))</f>
        <v/>
      </c>
      <c r="F22" s="17">
        <f>IF($B22="","",COUNTIFS(nrES_PID,$B22,nrES_Type,"Minor",nrES_Final,"Yes",nrES_Rec,"&gt;=0",nrES_Rec,"&lt;=100"))</f>
        <v/>
      </c>
      <c r="G22" s="17">
        <f>IF($B22="","",Spelling!Q22)</f>
        <v/>
      </c>
      <c r="H22" s="17">
        <f>IF($B22="","",COUNTIFS(nrES_PID,$B22,nrES_Type,"Final",nrES_Final,"Yes",nrES_Rec,"&gt;=0",nrES_Rec,"&lt;=100"))</f>
        <v/>
      </c>
      <c r="I22" s="17">
        <f>IF(OR($B22="",$E22=0),"",IFERROR(ROUND(AVERAGEIFS(nrES_Rec,nrES_PID,$B22,nrES_Type,"Major",nrES_Final,"Yes",nrES_Rec,"&gt;=0",nrES_Rec,"&lt;=100"),2),""))</f>
        <v/>
      </c>
      <c r="J22" s="17">
        <f>IF(OR($B22="",$F22=0),"",IFERROR(ROUND(AVERAGEIFS(nrES_Rec,nrES_PID,$B22,nrES_Type,"Minor",nrES_Final,"Yes",nrES_Rec,"&gt;=0",nrES_Rec,"&lt;=100"),2),""))</f>
        <v/>
      </c>
      <c r="K22" s="17">
        <f>IF($B22="","",Spelling!P22)</f>
        <v/>
      </c>
      <c r="L22" s="17">
        <f>IF(OR($B22="",$H22=0),"",IFERROR(ROUND(AVERAGEIFS(nrES_Rec,nrES_PID,$B22,nrES_Type,"Final",nrES_Final,"Yes",nrES_Rec,"&gt;=0",nrES_Rec,"&lt;=100"),2),""))</f>
        <v/>
      </c>
      <c r="M22" s="17">
        <f>IF($B22="","",_xlfn.LET(_xlpm.w,($E22&gt;0)*cfgWeightMajor+($F22&gt;0)*cfgWeightMinor+(N($G22)&gt;0)*cfgWeightSpelling+($H22&gt;0)*cfgWeightFinal,IF(_xlpm.w=0,"",ROUND((($E22&gt;0)*cfgWeightMajor*N($I22)+($F22&gt;0)*cfgWeightMinor*N($J22)+(N($G22)&gt;0)*cfgWeightSpelling*N($K22)+($H22&gt;0)*cfgWeightFinal*N($L22))/_xlpm.w,2))))</f>
        <v/>
      </c>
      <c r="N22" s="17">
        <f>IF(OR($B22="",$H22=0),"",$M22)</f>
        <v/>
      </c>
      <c r="O22" s="17">
        <f>IF($B22="","",COUNTIFS(nrES_PID,$B22,nrES_Att,2))</f>
        <v/>
      </c>
      <c r="P22" s="17">
        <f>IF($B22="","",COUNTIFS(nrES_PID,$B22,nrES_Dis,"Yes"))</f>
        <v/>
      </c>
      <c r="Q22" s="17">
        <f>IF($B22="","",IF(AND($I22&lt;&gt;"",$I22&lt;cfgThresholdScore,OR($E22&gt;=cfgThresholdAfterExam,$E22&gt;=COUNTIFS(rngEPuse,"Yes",rngEPtype,"Major"))),"Yes","No"))</f>
        <v/>
      </c>
      <c r="R22" s="17">
        <f>IF($B22="","",IF(AND($J22&lt;&gt;"",$J22&lt;cfgThresholdScore,OR($F22&gt;=cfgThresholdAfterExam,$F22&gt;=COUNTIFS(rngEPuse,"Yes",rngEPtype,"Minor"))),"Yes","No"))</f>
        <v/>
      </c>
      <c r="S22" s="17">
        <f>IF($B22="","",IF($M22="",-1,$M22))</f>
        <v/>
      </c>
      <c r="T22" s="17">
        <f>IF($B22="","",IF(AND($D22="Active",sysChecks!$M22&lt;&gt;"Yes",$M22&lt;&gt;""),"Yes","No"))</f>
        <v/>
      </c>
      <c r="U22" s="17">
        <f>IF($T22&lt;&gt;"Yes","",SUMPRODUCT(($T$6:$T$55="Yes")*(($S$6:$S$55&gt;$S22)+($S$6:$S$55=$S22)*(ROW($S$6:$S$55)&lt;ROW())))+1)</f>
        <v/>
      </c>
      <c r="V22" s="17">
        <f>IF($B22="","",IF(AND($Q22="No",$R22="No",OR(N($G22)=0,$K22&gt;=cfgThresholdScore),OR($H22=0,$L22&gt;=cfgThresholdScore)),"Yes","No"))</f>
        <v/>
      </c>
      <c r="W22" s="17">
        <f>IF($B22="","",_xlfn.LET(_xlpm.tot,COUNTIFS(rngEPuse,"Yes",rngEPtype,"Major"),_xlpm.left,_xlpm.tot-$E22,IF(_xlpm.left&lt;=0,"done",MAX(0,ROUND((cfgThresholdScore*_xlpm.tot-N($I22)*$E22)/_xlpm.left,1)))))</f>
        <v/>
      </c>
      <c r="X22" s="17">
        <f>IF($B22="","",_xlfn.LET(_xlpm.tot,COUNTIFS(rngEPuse,"Yes",rngEPtype,"Minor"),_xlpm.left,_xlpm.tot-$F22,IF(_xlpm.left&lt;=0,"done",MAX(0,ROUND((cfgThresholdScore*_xlpm.tot-N($J22)*$F22)/_xlpm.left,1)))))</f>
        <v/>
      </c>
      <c r="Y22" s="17">
        <f>IF($B22="","",IF($H22&gt;0,"done",cfgThresholdScore))</f>
        <v/>
      </c>
      <c r="Z22" s="17">
        <f>IF($B22="","",_xlfn.LET(_xlpm.s,_xlfn.MAXIFS(nrES_Seq,nrES_PID,$B22,nrES_Att,1,nrES_Raw,"&gt;=0"),IF(_xlpm.s=0,"",SUMIFS(nrES_Raw,nrES_PID,$B22,nrES_Att,1,nrES_Seq,_xlpm.s))))</f>
        <v/>
      </c>
      <c r="AA22" s="17">
        <f>IF($B22="","",_xlfn.LET(_xlpm.s,_xlfn.MAXIFS(nrES_Seq,nrES_PID,$B22,nrES_Att,1,nrES_Raw,"&gt;=0"),IF(_xlpm.s=0,"",_xlfn.LET(_xlpm.p,_xlfn.MAXIFS(nrES_Seq,nrES_PID,$B22,nrES_Att,1,nrES_Seq,"&lt;"&amp;_xlpm.s,nrES_Raw,"&gt;=0"),IF(_xlpm.p=0,"",SUMIFS(nrES_Raw,nrES_PID,$B22,nrES_Att,1,nrES_Seq,_xlpm.p))))))</f>
        <v/>
      </c>
      <c r="AB22" s="17">
        <f>IF(OR($B22="",$Z22="",$AA22=""),"",ROUND($AA22-$Z22,1))</f>
        <v/>
      </c>
      <c r="AC22" s="17">
        <f>IF($B22="","",_xlfn.LET(_xlpm.s,_xlfn.MAXIFS(nrES_Seq,nrES_PID,$B22,nrES_Att,1,nrES_Raw,"&gt;=0"),IF(_xlpm.s=0,0,_xlfn.LET(_xlpm.a,IF(SUMIFS(nrES_Raw,nrES_PID,$B22,nrES_Att,1,nrES_Seq,_xlpm.s)&lt;cfgPassingScore,1,0),_xlpm.p,_xlfn.MAXIFS(nrES_Seq,nrES_PID,$B22,nrES_Att,1,nrES_Seq,"&lt;"&amp;_xlpm.s,nrES_Raw,"&gt;=0"),IF(OR(_xlpm.a=0,_xlpm.p=0),_xlpm.a,_xlpm.a+IF(SUMIFS(nrES_Raw,nrES_PID,$B22,nrES_Att,1,nrES_Seq,_xlpm.p)&lt;cfgPassingScore,1,0))))))</f>
        <v/>
      </c>
    </row>
    <row r="23">
      <c r="B23" s="17">
        <f>IF(Cadets!$B23="","",Cadets!$B23)</f>
        <v/>
      </c>
      <c r="C23" s="17">
        <f>IF($B23="","",Cadets!$F23)</f>
        <v/>
      </c>
      <c r="D23" s="17">
        <f>IF($B23="","",Cadets!$I23)</f>
        <v/>
      </c>
      <c r="E23" s="17">
        <f>IF($B23="","",COUNTIFS(nrES_PID,$B23,nrES_Type,"Major",nrES_Final,"Yes",nrES_Rec,"&gt;=0",nrES_Rec,"&lt;=100"))</f>
        <v/>
      </c>
      <c r="F23" s="17">
        <f>IF($B23="","",COUNTIFS(nrES_PID,$B23,nrES_Type,"Minor",nrES_Final,"Yes",nrES_Rec,"&gt;=0",nrES_Rec,"&lt;=100"))</f>
        <v/>
      </c>
      <c r="G23" s="17">
        <f>IF($B23="","",Spelling!Q23)</f>
        <v/>
      </c>
      <c r="H23" s="17">
        <f>IF($B23="","",COUNTIFS(nrES_PID,$B23,nrES_Type,"Final",nrES_Final,"Yes",nrES_Rec,"&gt;=0",nrES_Rec,"&lt;=100"))</f>
        <v/>
      </c>
      <c r="I23" s="17">
        <f>IF(OR($B23="",$E23=0),"",IFERROR(ROUND(AVERAGEIFS(nrES_Rec,nrES_PID,$B23,nrES_Type,"Major",nrES_Final,"Yes",nrES_Rec,"&gt;=0",nrES_Rec,"&lt;=100"),2),""))</f>
        <v/>
      </c>
      <c r="J23" s="17">
        <f>IF(OR($B23="",$F23=0),"",IFERROR(ROUND(AVERAGEIFS(nrES_Rec,nrES_PID,$B23,nrES_Type,"Minor",nrES_Final,"Yes",nrES_Rec,"&gt;=0",nrES_Rec,"&lt;=100"),2),""))</f>
        <v/>
      </c>
      <c r="K23" s="17">
        <f>IF($B23="","",Spelling!P23)</f>
        <v/>
      </c>
      <c r="L23" s="17">
        <f>IF(OR($B23="",$H23=0),"",IFERROR(ROUND(AVERAGEIFS(nrES_Rec,nrES_PID,$B23,nrES_Type,"Final",nrES_Final,"Yes",nrES_Rec,"&gt;=0",nrES_Rec,"&lt;=100"),2),""))</f>
        <v/>
      </c>
      <c r="M23" s="17">
        <f>IF($B23="","",_xlfn.LET(_xlpm.w,($E23&gt;0)*cfgWeightMajor+($F23&gt;0)*cfgWeightMinor+(N($G23)&gt;0)*cfgWeightSpelling+($H23&gt;0)*cfgWeightFinal,IF(_xlpm.w=0,"",ROUND((($E23&gt;0)*cfgWeightMajor*N($I23)+($F23&gt;0)*cfgWeightMinor*N($J23)+(N($G23)&gt;0)*cfgWeightSpelling*N($K23)+($H23&gt;0)*cfgWeightFinal*N($L23))/_xlpm.w,2))))</f>
        <v/>
      </c>
      <c r="N23" s="17">
        <f>IF(OR($B23="",$H23=0),"",$M23)</f>
        <v/>
      </c>
      <c r="O23" s="17">
        <f>IF($B23="","",COUNTIFS(nrES_PID,$B23,nrES_Att,2))</f>
        <v/>
      </c>
      <c r="P23" s="17">
        <f>IF($B23="","",COUNTIFS(nrES_PID,$B23,nrES_Dis,"Yes"))</f>
        <v/>
      </c>
      <c r="Q23" s="17">
        <f>IF($B23="","",IF(AND($I23&lt;&gt;"",$I23&lt;cfgThresholdScore,OR($E23&gt;=cfgThresholdAfterExam,$E23&gt;=COUNTIFS(rngEPuse,"Yes",rngEPtype,"Major"))),"Yes","No"))</f>
        <v/>
      </c>
      <c r="R23" s="17">
        <f>IF($B23="","",IF(AND($J23&lt;&gt;"",$J23&lt;cfgThresholdScore,OR($F23&gt;=cfgThresholdAfterExam,$F23&gt;=COUNTIFS(rngEPuse,"Yes",rngEPtype,"Minor"))),"Yes","No"))</f>
        <v/>
      </c>
      <c r="S23" s="17">
        <f>IF($B23="","",IF($M23="",-1,$M23))</f>
        <v/>
      </c>
      <c r="T23" s="17">
        <f>IF($B23="","",IF(AND($D23="Active",sysChecks!$M23&lt;&gt;"Yes",$M23&lt;&gt;""),"Yes","No"))</f>
        <v/>
      </c>
      <c r="U23" s="17">
        <f>IF($T23&lt;&gt;"Yes","",SUMPRODUCT(($T$6:$T$55="Yes")*(($S$6:$S$55&gt;$S23)+($S$6:$S$55=$S23)*(ROW($S$6:$S$55)&lt;ROW())))+1)</f>
        <v/>
      </c>
      <c r="V23" s="17">
        <f>IF($B23="","",IF(AND($Q23="No",$R23="No",OR(N($G23)=0,$K23&gt;=cfgThresholdScore),OR($H23=0,$L23&gt;=cfgThresholdScore)),"Yes","No"))</f>
        <v/>
      </c>
      <c r="W23" s="17">
        <f>IF($B23="","",_xlfn.LET(_xlpm.tot,COUNTIFS(rngEPuse,"Yes",rngEPtype,"Major"),_xlpm.left,_xlpm.tot-$E23,IF(_xlpm.left&lt;=0,"done",MAX(0,ROUND((cfgThresholdScore*_xlpm.tot-N($I23)*$E23)/_xlpm.left,1)))))</f>
        <v/>
      </c>
      <c r="X23" s="17">
        <f>IF($B23="","",_xlfn.LET(_xlpm.tot,COUNTIFS(rngEPuse,"Yes",rngEPtype,"Minor"),_xlpm.left,_xlpm.tot-$F23,IF(_xlpm.left&lt;=0,"done",MAX(0,ROUND((cfgThresholdScore*_xlpm.tot-N($J23)*$F23)/_xlpm.left,1)))))</f>
        <v/>
      </c>
      <c r="Y23" s="17">
        <f>IF($B23="","",IF($H23&gt;0,"done",cfgThresholdScore))</f>
        <v/>
      </c>
      <c r="Z23" s="17">
        <f>IF($B23="","",_xlfn.LET(_xlpm.s,_xlfn.MAXIFS(nrES_Seq,nrES_PID,$B23,nrES_Att,1,nrES_Raw,"&gt;=0"),IF(_xlpm.s=0,"",SUMIFS(nrES_Raw,nrES_PID,$B23,nrES_Att,1,nrES_Seq,_xlpm.s))))</f>
        <v/>
      </c>
      <c r="AA23" s="17">
        <f>IF($B23="","",_xlfn.LET(_xlpm.s,_xlfn.MAXIFS(nrES_Seq,nrES_PID,$B23,nrES_Att,1,nrES_Raw,"&gt;=0"),IF(_xlpm.s=0,"",_xlfn.LET(_xlpm.p,_xlfn.MAXIFS(nrES_Seq,nrES_PID,$B23,nrES_Att,1,nrES_Seq,"&lt;"&amp;_xlpm.s,nrES_Raw,"&gt;=0"),IF(_xlpm.p=0,"",SUMIFS(nrES_Raw,nrES_PID,$B23,nrES_Att,1,nrES_Seq,_xlpm.p))))))</f>
        <v/>
      </c>
      <c r="AB23" s="17">
        <f>IF(OR($B23="",$Z23="",$AA23=""),"",ROUND($AA23-$Z23,1))</f>
        <v/>
      </c>
      <c r="AC23" s="17">
        <f>IF($B23="","",_xlfn.LET(_xlpm.s,_xlfn.MAXIFS(nrES_Seq,nrES_PID,$B23,nrES_Att,1,nrES_Raw,"&gt;=0"),IF(_xlpm.s=0,0,_xlfn.LET(_xlpm.a,IF(SUMIFS(nrES_Raw,nrES_PID,$B23,nrES_Att,1,nrES_Seq,_xlpm.s)&lt;cfgPassingScore,1,0),_xlpm.p,_xlfn.MAXIFS(nrES_Seq,nrES_PID,$B23,nrES_Att,1,nrES_Seq,"&lt;"&amp;_xlpm.s,nrES_Raw,"&gt;=0"),IF(OR(_xlpm.a=0,_xlpm.p=0),_xlpm.a,_xlpm.a+IF(SUMIFS(nrES_Raw,nrES_PID,$B23,nrES_Att,1,nrES_Seq,_xlpm.p)&lt;cfgPassingScore,1,0))))))</f>
        <v/>
      </c>
    </row>
    <row r="24">
      <c r="B24" s="17">
        <f>IF(Cadets!$B24="","",Cadets!$B24)</f>
        <v/>
      </c>
      <c r="C24" s="17">
        <f>IF($B24="","",Cadets!$F24)</f>
        <v/>
      </c>
      <c r="D24" s="17">
        <f>IF($B24="","",Cadets!$I24)</f>
        <v/>
      </c>
      <c r="E24" s="17">
        <f>IF($B24="","",COUNTIFS(nrES_PID,$B24,nrES_Type,"Major",nrES_Final,"Yes",nrES_Rec,"&gt;=0",nrES_Rec,"&lt;=100"))</f>
        <v/>
      </c>
      <c r="F24" s="17">
        <f>IF($B24="","",COUNTIFS(nrES_PID,$B24,nrES_Type,"Minor",nrES_Final,"Yes",nrES_Rec,"&gt;=0",nrES_Rec,"&lt;=100"))</f>
        <v/>
      </c>
      <c r="G24" s="17">
        <f>IF($B24="","",Spelling!Q24)</f>
        <v/>
      </c>
      <c r="H24" s="17">
        <f>IF($B24="","",COUNTIFS(nrES_PID,$B24,nrES_Type,"Final",nrES_Final,"Yes",nrES_Rec,"&gt;=0",nrES_Rec,"&lt;=100"))</f>
        <v/>
      </c>
      <c r="I24" s="17">
        <f>IF(OR($B24="",$E24=0),"",IFERROR(ROUND(AVERAGEIFS(nrES_Rec,nrES_PID,$B24,nrES_Type,"Major",nrES_Final,"Yes",nrES_Rec,"&gt;=0",nrES_Rec,"&lt;=100"),2),""))</f>
        <v/>
      </c>
      <c r="J24" s="17">
        <f>IF(OR($B24="",$F24=0),"",IFERROR(ROUND(AVERAGEIFS(nrES_Rec,nrES_PID,$B24,nrES_Type,"Minor",nrES_Final,"Yes",nrES_Rec,"&gt;=0",nrES_Rec,"&lt;=100"),2),""))</f>
        <v/>
      </c>
      <c r="K24" s="17">
        <f>IF($B24="","",Spelling!P24)</f>
        <v/>
      </c>
      <c r="L24" s="17">
        <f>IF(OR($B24="",$H24=0),"",IFERROR(ROUND(AVERAGEIFS(nrES_Rec,nrES_PID,$B24,nrES_Type,"Final",nrES_Final,"Yes",nrES_Rec,"&gt;=0",nrES_Rec,"&lt;=100"),2),""))</f>
        <v/>
      </c>
      <c r="M24" s="17">
        <f>IF($B24="","",_xlfn.LET(_xlpm.w,($E24&gt;0)*cfgWeightMajor+($F24&gt;0)*cfgWeightMinor+(N($G24)&gt;0)*cfgWeightSpelling+($H24&gt;0)*cfgWeightFinal,IF(_xlpm.w=0,"",ROUND((($E24&gt;0)*cfgWeightMajor*N($I24)+($F24&gt;0)*cfgWeightMinor*N($J24)+(N($G24)&gt;0)*cfgWeightSpelling*N($K24)+($H24&gt;0)*cfgWeightFinal*N($L24))/_xlpm.w,2))))</f>
        <v/>
      </c>
      <c r="N24" s="17">
        <f>IF(OR($B24="",$H24=0),"",$M24)</f>
        <v/>
      </c>
      <c r="O24" s="17">
        <f>IF($B24="","",COUNTIFS(nrES_PID,$B24,nrES_Att,2))</f>
        <v/>
      </c>
      <c r="P24" s="17">
        <f>IF($B24="","",COUNTIFS(nrES_PID,$B24,nrES_Dis,"Yes"))</f>
        <v/>
      </c>
      <c r="Q24" s="17">
        <f>IF($B24="","",IF(AND($I24&lt;&gt;"",$I24&lt;cfgThresholdScore,OR($E24&gt;=cfgThresholdAfterExam,$E24&gt;=COUNTIFS(rngEPuse,"Yes",rngEPtype,"Major"))),"Yes","No"))</f>
        <v/>
      </c>
      <c r="R24" s="17">
        <f>IF($B24="","",IF(AND($J24&lt;&gt;"",$J24&lt;cfgThresholdScore,OR($F24&gt;=cfgThresholdAfterExam,$F24&gt;=COUNTIFS(rngEPuse,"Yes",rngEPtype,"Minor"))),"Yes","No"))</f>
        <v/>
      </c>
      <c r="S24" s="17">
        <f>IF($B24="","",IF($M24="",-1,$M24))</f>
        <v/>
      </c>
      <c r="T24" s="17">
        <f>IF($B24="","",IF(AND($D24="Active",sysChecks!$M24&lt;&gt;"Yes",$M24&lt;&gt;""),"Yes","No"))</f>
        <v/>
      </c>
      <c r="U24" s="17">
        <f>IF($T24&lt;&gt;"Yes","",SUMPRODUCT(($T$6:$T$55="Yes")*(($S$6:$S$55&gt;$S24)+($S$6:$S$55=$S24)*(ROW($S$6:$S$55)&lt;ROW())))+1)</f>
        <v/>
      </c>
      <c r="V24" s="17">
        <f>IF($B24="","",IF(AND($Q24="No",$R24="No",OR(N($G24)=0,$K24&gt;=cfgThresholdScore),OR($H24=0,$L24&gt;=cfgThresholdScore)),"Yes","No"))</f>
        <v/>
      </c>
      <c r="W24" s="17">
        <f>IF($B24="","",_xlfn.LET(_xlpm.tot,COUNTIFS(rngEPuse,"Yes",rngEPtype,"Major"),_xlpm.left,_xlpm.tot-$E24,IF(_xlpm.left&lt;=0,"done",MAX(0,ROUND((cfgThresholdScore*_xlpm.tot-N($I24)*$E24)/_xlpm.left,1)))))</f>
        <v/>
      </c>
      <c r="X24" s="17">
        <f>IF($B24="","",_xlfn.LET(_xlpm.tot,COUNTIFS(rngEPuse,"Yes",rngEPtype,"Minor"),_xlpm.left,_xlpm.tot-$F24,IF(_xlpm.left&lt;=0,"done",MAX(0,ROUND((cfgThresholdScore*_xlpm.tot-N($J24)*$F24)/_xlpm.left,1)))))</f>
        <v/>
      </c>
      <c r="Y24" s="17">
        <f>IF($B24="","",IF($H24&gt;0,"done",cfgThresholdScore))</f>
        <v/>
      </c>
      <c r="Z24" s="17">
        <f>IF($B24="","",_xlfn.LET(_xlpm.s,_xlfn.MAXIFS(nrES_Seq,nrES_PID,$B24,nrES_Att,1,nrES_Raw,"&gt;=0"),IF(_xlpm.s=0,"",SUMIFS(nrES_Raw,nrES_PID,$B24,nrES_Att,1,nrES_Seq,_xlpm.s))))</f>
        <v/>
      </c>
      <c r="AA24" s="17">
        <f>IF($B24="","",_xlfn.LET(_xlpm.s,_xlfn.MAXIFS(nrES_Seq,nrES_PID,$B24,nrES_Att,1,nrES_Raw,"&gt;=0"),IF(_xlpm.s=0,"",_xlfn.LET(_xlpm.p,_xlfn.MAXIFS(nrES_Seq,nrES_PID,$B24,nrES_Att,1,nrES_Seq,"&lt;"&amp;_xlpm.s,nrES_Raw,"&gt;=0"),IF(_xlpm.p=0,"",SUMIFS(nrES_Raw,nrES_PID,$B24,nrES_Att,1,nrES_Seq,_xlpm.p))))))</f>
        <v/>
      </c>
      <c r="AB24" s="17">
        <f>IF(OR($B24="",$Z24="",$AA24=""),"",ROUND($AA24-$Z24,1))</f>
        <v/>
      </c>
      <c r="AC24" s="17">
        <f>IF($B24="","",_xlfn.LET(_xlpm.s,_xlfn.MAXIFS(nrES_Seq,nrES_PID,$B24,nrES_Att,1,nrES_Raw,"&gt;=0"),IF(_xlpm.s=0,0,_xlfn.LET(_xlpm.a,IF(SUMIFS(nrES_Raw,nrES_PID,$B24,nrES_Att,1,nrES_Seq,_xlpm.s)&lt;cfgPassingScore,1,0),_xlpm.p,_xlfn.MAXIFS(nrES_Seq,nrES_PID,$B24,nrES_Att,1,nrES_Seq,"&lt;"&amp;_xlpm.s,nrES_Raw,"&gt;=0"),IF(OR(_xlpm.a=0,_xlpm.p=0),_xlpm.a,_xlpm.a+IF(SUMIFS(nrES_Raw,nrES_PID,$B24,nrES_Att,1,nrES_Seq,_xlpm.p)&lt;cfgPassingScore,1,0))))))</f>
        <v/>
      </c>
    </row>
    <row r="25">
      <c r="B25" s="17">
        <f>IF(Cadets!$B25="","",Cadets!$B25)</f>
        <v/>
      </c>
      <c r="C25" s="17">
        <f>IF($B25="","",Cadets!$F25)</f>
        <v/>
      </c>
      <c r="D25" s="17">
        <f>IF($B25="","",Cadets!$I25)</f>
        <v/>
      </c>
      <c r="E25" s="17">
        <f>IF($B25="","",COUNTIFS(nrES_PID,$B25,nrES_Type,"Major",nrES_Final,"Yes",nrES_Rec,"&gt;=0",nrES_Rec,"&lt;=100"))</f>
        <v/>
      </c>
      <c r="F25" s="17">
        <f>IF($B25="","",COUNTIFS(nrES_PID,$B25,nrES_Type,"Minor",nrES_Final,"Yes",nrES_Rec,"&gt;=0",nrES_Rec,"&lt;=100"))</f>
        <v/>
      </c>
      <c r="G25" s="17">
        <f>IF($B25="","",Spelling!Q25)</f>
        <v/>
      </c>
      <c r="H25" s="17">
        <f>IF($B25="","",COUNTIFS(nrES_PID,$B25,nrES_Type,"Final",nrES_Final,"Yes",nrES_Rec,"&gt;=0",nrES_Rec,"&lt;=100"))</f>
        <v/>
      </c>
      <c r="I25" s="17">
        <f>IF(OR($B25="",$E25=0),"",IFERROR(ROUND(AVERAGEIFS(nrES_Rec,nrES_PID,$B25,nrES_Type,"Major",nrES_Final,"Yes",nrES_Rec,"&gt;=0",nrES_Rec,"&lt;=100"),2),""))</f>
        <v/>
      </c>
      <c r="J25" s="17">
        <f>IF(OR($B25="",$F25=0),"",IFERROR(ROUND(AVERAGEIFS(nrES_Rec,nrES_PID,$B25,nrES_Type,"Minor",nrES_Final,"Yes",nrES_Rec,"&gt;=0",nrES_Rec,"&lt;=100"),2),""))</f>
        <v/>
      </c>
      <c r="K25" s="17">
        <f>IF($B25="","",Spelling!P25)</f>
        <v/>
      </c>
      <c r="L25" s="17">
        <f>IF(OR($B25="",$H25=0),"",IFERROR(ROUND(AVERAGEIFS(nrES_Rec,nrES_PID,$B25,nrES_Type,"Final",nrES_Final,"Yes",nrES_Rec,"&gt;=0",nrES_Rec,"&lt;=100"),2),""))</f>
        <v/>
      </c>
      <c r="M25" s="17">
        <f>IF($B25="","",_xlfn.LET(_xlpm.w,($E25&gt;0)*cfgWeightMajor+($F25&gt;0)*cfgWeightMinor+(N($G25)&gt;0)*cfgWeightSpelling+($H25&gt;0)*cfgWeightFinal,IF(_xlpm.w=0,"",ROUND((($E25&gt;0)*cfgWeightMajor*N($I25)+($F25&gt;0)*cfgWeightMinor*N($J25)+(N($G25)&gt;0)*cfgWeightSpelling*N($K25)+($H25&gt;0)*cfgWeightFinal*N($L25))/_xlpm.w,2))))</f>
        <v/>
      </c>
      <c r="N25" s="17">
        <f>IF(OR($B25="",$H25=0),"",$M25)</f>
        <v/>
      </c>
      <c r="O25" s="17">
        <f>IF($B25="","",COUNTIFS(nrES_PID,$B25,nrES_Att,2))</f>
        <v/>
      </c>
      <c r="P25" s="17">
        <f>IF($B25="","",COUNTIFS(nrES_PID,$B25,nrES_Dis,"Yes"))</f>
        <v/>
      </c>
      <c r="Q25" s="17">
        <f>IF($B25="","",IF(AND($I25&lt;&gt;"",$I25&lt;cfgThresholdScore,OR($E25&gt;=cfgThresholdAfterExam,$E25&gt;=COUNTIFS(rngEPuse,"Yes",rngEPtype,"Major"))),"Yes","No"))</f>
        <v/>
      </c>
      <c r="R25" s="17">
        <f>IF($B25="","",IF(AND($J25&lt;&gt;"",$J25&lt;cfgThresholdScore,OR($F25&gt;=cfgThresholdAfterExam,$F25&gt;=COUNTIFS(rngEPuse,"Yes",rngEPtype,"Minor"))),"Yes","No"))</f>
        <v/>
      </c>
      <c r="S25" s="17">
        <f>IF($B25="","",IF($M25="",-1,$M25))</f>
        <v/>
      </c>
      <c r="T25" s="17">
        <f>IF($B25="","",IF(AND($D25="Active",sysChecks!$M25&lt;&gt;"Yes",$M25&lt;&gt;""),"Yes","No"))</f>
        <v/>
      </c>
      <c r="U25" s="17">
        <f>IF($T25&lt;&gt;"Yes","",SUMPRODUCT(($T$6:$T$55="Yes")*(($S$6:$S$55&gt;$S25)+($S$6:$S$55=$S25)*(ROW($S$6:$S$55)&lt;ROW())))+1)</f>
        <v/>
      </c>
      <c r="V25" s="17">
        <f>IF($B25="","",IF(AND($Q25="No",$R25="No",OR(N($G25)=0,$K25&gt;=cfgThresholdScore),OR($H25=0,$L25&gt;=cfgThresholdScore)),"Yes","No"))</f>
        <v/>
      </c>
      <c r="W25" s="17">
        <f>IF($B25="","",_xlfn.LET(_xlpm.tot,COUNTIFS(rngEPuse,"Yes",rngEPtype,"Major"),_xlpm.left,_xlpm.tot-$E25,IF(_xlpm.left&lt;=0,"done",MAX(0,ROUND((cfgThresholdScore*_xlpm.tot-N($I25)*$E25)/_xlpm.left,1)))))</f>
        <v/>
      </c>
      <c r="X25" s="17">
        <f>IF($B25="","",_xlfn.LET(_xlpm.tot,COUNTIFS(rngEPuse,"Yes",rngEPtype,"Minor"),_xlpm.left,_xlpm.tot-$F25,IF(_xlpm.left&lt;=0,"done",MAX(0,ROUND((cfgThresholdScore*_xlpm.tot-N($J25)*$F25)/_xlpm.left,1)))))</f>
        <v/>
      </c>
      <c r="Y25" s="17">
        <f>IF($B25="","",IF($H25&gt;0,"done",cfgThresholdScore))</f>
        <v/>
      </c>
      <c r="Z25" s="17">
        <f>IF($B25="","",_xlfn.LET(_xlpm.s,_xlfn.MAXIFS(nrES_Seq,nrES_PID,$B25,nrES_Att,1,nrES_Raw,"&gt;=0"),IF(_xlpm.s=0,"",SUMIFS(nrES_Raw,nrES_PID,$B25,nrES_Att,1,nrES_Seq,_xlpm.s))))</f>
        <v/>
      </c>
      <c r="AA25" s="17">
        <f>IF($B25="","",_xlfn.LET(_xlpm.s,_xlfn.MAXIFS(nrES_Seq,nrES_PID,$B25,nrES_Att,1,nrES_Raw,"&gt;=0"),IF(_xlpm.s=0,"",_xlfn.LET(_xlpm.p,_xlfn.MAXIFS(nrES_Seq,nrES_PID,$B25,nrES_Att,1,nrES_Seq,"&lt;"&amp;_xlpm.s,nrES_Raw,"&gt;=0"),IF(_xlpm.p=0,"",SUMIFS(nrES_Raw,nrES_PID,$B25,nrES_Att,1,nrES_Seq,_xlpm.p))))))</f>
        <v/>
      </c>
      <c r="AB25" s="17">
        <f>IF(OR($B25="",$Z25="",$AA25=""),"",ROUND($AA25-$Z25,1))</f>
        <v/>
      </c>
      <c r="AC25" s="17">
        <f>IF($B25="","",_xlfn.LET(_xlpm.s,_xlfn.MAXIFS(nrES_Seq,nrES_PID,$B25,nrES_Att,1,nrES_Raw,"&gt;=0"),IF(_xlpm.s=0,0,_xlfn.LET(_xlpm.a,IF(SUMIFS(nrES_Raw,nrES_PID,$B25,nrES_Att,1,nrES_Seq,_xlpm.s)&lt;cfgPassingScore,1,0),_xlpm.p,_xlfn.MAXIFS(nrES_Seq,nrES_PID,$B25,nrES_Att,1,nrES_Seq,"&lt;"&amp;_xlpm.s,nrES_Raw,"&gt;=0"),IF(OR(_xlpm.a=0,_xlpm.p=0),_xlpm.a,_xlpm.a+IF(SUMIFS(nrES_Raw,nrES_PID,$B25,nrES_Att,1,nrES_Seq,_xlpm.p)&lt;cfgPassingScore,1,0))))))</f>
        <v/>
      </c>
    </row>
    <row r="26">
      <c r="B26" s="17">
        <f>IF(Cadets!$B26="","",Cadets!$B26)</f>
        <v/>
      </c>
      <c r="C26" s="17">
        <f>IF($B26="","",Cadets!$F26)</f>
        <v/>
      </c>
      <c r="D26" s="17">
        <f>IF($B26="","",Cadets!$I26)</f>
        <v/>
      </c>
      <c r="E26" s="17">
        <f>IF($B26="","",COUNTIFS(nrES_PID,$B26,nrES_Type,"Major",nrES_Final,"Yes",nrES_Rec,"&gt;=0",nrES_Rec,"&lt;=100"))</f>
        <v/>
      </c>
      <c r="F26" s="17">
        <f>IF($B26="","",COUNTIFS(nrES_PID,$B26,nrES_Type,"Minor",nrES_Final,"Yes",nrES_Rec,"&gt;=0",nrES_Rec,"&lt;=100"))</f>
        <v/>
      </c>
      <c r="G26" s="17">
        <f>IF($B26="","",Spelling!Q26)</f>
        <v/>
      </c>
      <c r="H26" s="17">
        <f>IF($B26="","",COUNTIFS(nrES_PID,$B26,nrES_Type,"Final",nrES_Final,"Yes",nrES_Rec,"&gt;=0",nrES_Rec,"&lt;=100"))</f>
        <v/>
      </c>
      <c r="I26" s="17">
        <f>IF(OR($B26="",$E26=0),"",IFERROR(ROUND(AVERAGEIFS(nrES_Rec,nrES_PID,$B26,nrES_Type,"Major",nrES_Final,"Yes",nrES_Rec,"&gt;=0",nrES_Rec,"&lt;=100"),2),""))</f>
        <v/>
      </c>
      <c r="J26" s="17">
        <f>IF(OR($B26="",$F26=0),"",IFERROR(ROUND(AVERAGEIFS(nrES_Rec,nrES_PID,$B26,nrES_Type,"Minor",nrES_Final,"Yes",nrES_Rec,"&gt;=0",nrES_Rec,"&lt;=100"),2),""))</f>
        <v/>
      </c>
      <c r="K26" s="17">
        <f>IF($B26="","",Spelling!P26)</f>
        <v/>
      </c>
      <c r="L26" s="17">
        <f>IF(OR($B26="",$H26=0),"",IFERROR(ROUND(AVERAGEIFS(nrES_Rec,nrES_PID,$B26,nrES_Type,"Final",nrES_Final,"Yes",nrES_Rec,"&gt;=0",nrES_Rec,"&lt;=100"),2),""))</f>
        <v/>
      </c>
      <c r="M26" s="17">
        <f>IF($B26="","",_xlfn.LET(_xlpm.w,($E26&gt;0)*cfgWeightMajor+($F26&gt;0)*cfgWeightMinor+(N($G26)&gt;0)*cfgWeightSpelling+($H26&gt;0)*cfgWeightFinal,IF(_xlpm.w=0,"",ROUND((($E26&gt;0)*cfgWeightMajor*N($I26)+($F26&gt;0)*cfgWeightMinor*N($J26)+(N($G26)&gt;0)*cfgWeightSpelling*N($K26)+($H26&gt;0)*cfgWeightFinal*N($L26))/_xlpm.w,2))))</f>
        <v/>
      </c>
      <c r="N26" s="17">
        <f>IF(OR($B26="",$H26=0),"",$M26)</f>
        <v/>
      </c>
      <c r="O26" s="17">
        <f>IF($B26="","",COUNTIFS(nrES_PID,$B26,nrES_Att,2))</f>
        <v/>
      </c>
      <c r="P26" s="17">
        <f>IF($B26="","",COUNTIFS(nrES_PID,$B26,nrES_Dis,"Yes"))</f>
        <v/>
      </c>
      <c r="Q26" s="17">
        <f>IF($B26="","",IF(AND($I26&lt;&gt;"",$I26&lt;cfgThresholdScore,OR($E26&gt;=cfgThresholdAfterExam,$E26&gt;=COUNTIFS(rngEPuse,"Yes",rngEPtype,"Major"))),"Yes","No"))</f>
        <v/>
      </c>
      <c r="R26" s="17">
        <f>IF($B26="","",IF(AND($J26&lt;&gt;"",$J26&lt;cfgThresholdScore,OR($F26&gt;=cfgThresholdAfterExam,$F26&gt;=COUNTIFS(rngEPuse,"Yes",rngEPtype,"Minor"))),"Yes","No"))</f>
        <v/>
      </c>
      <c r="S26" s="17">
        <f>IF($B26="","",IF($M26="",-1,$M26))</f>
        <v/>
      </c>
      <c r="T26" s="17">
        <f>IF($B26="","",IF(AND($D26="Active",sysChecks!$M26&lt;&gt;"Yes",$M26&lt;&gt;""),"Yes","No"))</f>
        <v/>
      </c>
      <c r="U26" s="17">
        <f>IF($T26&lt;&gt;"Yes","",SUMPRODUCT(($T$6:$T$55="Yes")*(($S$6:$S$55&gt;$S26)+($S$6:$S$55=$S26)*(ROW($S$6:$S$55)&lt;ROW())))+1)</f>
        <v/>
      </c>
      <c r="V26" s="17">
        <f>IF($B26="","",IF(AND($Q26="No",$R26="No",OR(N($G26)=0,$K26&gt;=cfgThresholdScore),OR($H26=0,$L26&gt;=cfgThresholdScore)),"Yes","No"))</f>
        <v/>
      </c>
      <c r="W26" s="17">
        <f>IF($B26="","",_xlfn.LET(_xlpm.tot,COUNTIFS(rngEPuse,"Yes",rngEPtype,"Major"),_xlpm.left,_xlpm.tot-$E26,IF(_xlpm.left&lt;=0,"done",MAX(0,ROUND((cfgThresholdScore*_xlpm.tot-N($I26)*$E26)/_xlpm.left,1)))))</f>
        <v/>
      </c>
      <c r="X26" s="17">
        <f>IF($B26="","",_xlfn.LET(_xlpm.tot,COUNTIFS(rngEPuse,"Yes",rngEPtype,"Minor"),_xlpm.left,_xlpm.tot-$F26,IF(_xlpm.left&lt;=0,"done",MAX(0,ROUND((cfgThresholdScore*_xlpm.tot-N($J26)*$F26)/_xlpm.left,1)))))</f>
        <v/>
      </c>
      <c r="Y26" s="17">
        <f>IF($B26="","",IF($H26&gt;0,"done",cfgThresholdScore))</f>
        <v/>
      </c>
      <c r="Z26" s="17">
        <f>IF($B26="","",_xlfn.LET(_xlpm.s,_xlfn.MAXIFS(nrES_Seq,nrES_PID,$B26,nrES_Att,1,nrES_Raw,"&gt;=0"),IF(_xlpm.s=0,"",SUMIFS(nrES_Raw,nrES_PID,$B26,nrES_Att,1,nrES_Seq,_xlpm.s))))</f>
        <v/>
      </c>
      <c r="AA26" s="17">
        <f>IF($B26="","",_xlfn.LET(_xlpm.s,_xlfn.MAXIFS(nrES_Seq,nrES_PID,$B26,nrES_Att,1,nrES_Raw,"&gt;=0"),IF(_xlpm.s=0,"",_xlfn.LET(_xlpm.p,_xlfn.MAXIFS(nrES_Seq,nrES_PID,$B26,nrES_Att,1,nrES_Seq,"&lt;"&amp;_xlpm.s,nrES_Raw,"&gt;=0"),IF(_xlpm.p=0,"",SUMIFS(nrES_Raw,nrES_PID,$B26,nrES_Att,1,nrES_Seq,_xlpm.p))))))</f>
        <v/>
      </c>
      <c r="AB26" s="17">
        <f>IF(OR($B26="",$Z26="",$AA26=""),"",ROUND($AA26-$Z26,1))</f>
        <v/>
      </c>
      <c r="AC26" s="17">
        <f>IF($B26="","",_xlfn.LET(_xlpm.s,_xlfn.MAXIFS(nrES_Seq,nrES_PID,$B26,nrES_Att,1,nrES_Raw,"&gt;=0"),IF(_xlpm.s=0,0,_xlfn.LET(_xlpm.a,IF(SUMIFS(nrES_Raw,nrES_PID,$B26,nrES_Att,1,nrES_Seq,_xlpm.s)&lt;cfgPassingScore,1,0),_xlpm.p,_xlfn.MAXIFS(nrES_Seq,nrES_PID,$B26,nrES_Att,1,nrES_Seq,"&lt;"&amp;_xlpm.s,nrES_Raw,"&gt;=0"),IF(OR(_xlpm.a=0,_xlpm.p=0),_xlpm.a,_xlpm.a+IF(SUMIFS(nrES_Raw,nrES_PID,$B26,nrES_Att,1,nrES_Seq,_xlpm.p)&lt;cfgPassingScore,1,0))))))</f>
        <v/>
      </c>
    </row>
    <row r="27">
      <c r="B27" s="17">
        <f>IF(Cadets!$B27="","",Cadets!$B27)</f>
        <v/>
      </c>
      <c r="C27" s="17">
        <f>IF($B27="","",Cadets!$F27)</f>
        <v/>
      </c>
      <c r="D27" s="17">
        <f>IF($B27="","",Cadets!$I27)</f>
        <v/>
      </c>
      <c r="E27" s="17">
        <f>IF($B27="","",COUNTIFS(nrES_PID,$B27,nrES_Type,"Major",nrES_Final,"Yes",nrES_Rec,"&gt;=0",nrES_Rec,"&lt;=100"))</f>
        <v/>
      </c>
      <c r="F27" s="17">
        <f>IF($B27="","",COUNTIFS(nrES_PID,$B27,nrES_Type,"Minor",nrES_Final,"Yes",nrES_Rec,"&gt;=0",nrES_Rec,"&lt;=100"))</f>
        <v/>
      </c>
      <c r="G27" s="17">
        <f>IF($B27="","",Spelling!Q27)</f>
        <v/>
      </c>
      <c r="H27" s="17">
        <f>IF($B27="","",COUNTIFS(nrES_PID,$B27,nrES_Type,"Final",nrES_Final,"Yes",nrES_Rec,"&gt;=0",nrES_Rec,"&lt;=100"))</f>
        <v/>
      </c>
      <c r="I27" s="17">
        <f>IF(OR($B27="",$E27=0),"",IFERROR(ROUND(AVERAGEIFS(nrES_Rec,nrES_PID,$B27,nrES_Type,"Major",nrES_Final,"Yes",nrES_Rec,"&gt;=0",nrES_Rec,"&lt;=100"),2),""))</f>
        <v/>
      </c>
      <c r="J27" s="17">
        <f>IF(OR($B27="",$F27=0),"",IFERROR(ROUND(AVERAGEIFS(nrES_Rec,nrES_PID,$B27,nrES_Type,"Minor",nrES_Final,"Yes",nrES_Rec,"&gt;=0",nrES_Rec,"&lt;=100"),2),""))</f>
        <v/>
      </c>
      <c r="K27" s="17">
        <f>IF($B27="","",Spelling!P27)</f>
        <v/>
      </c>
      <c r="L27" s="17">
        <f>IF(OR($B27="",$H27=0),"",IFERROR(ROUND(AVERAGEIFS(nrES_Rec,nrES_PID,$B27,nrES_Type,"Final",nrES_Final,"Yes",nrES_Rec,"&gt;=0",nrES_Rec,"&lt;=100"),2),""))</f>
        <v/>
      </c>
      <c r="M27" s="17">
        <f>IF($B27="","",_xlfn.LET(_xlpm.w,($E27&gt;0)*cfgWeightMajor+($F27&gt;0)*cfgWeightMinor+(N($G27)&gt;0)*cfgWeightSpelling+($H27&gt;0)*cfgWeightFinal,IF(_xlpm.w=0,"",ROUND((($E27&gt;0)*cfgWeightMajor*N($I27)+($F27&gt;0)*cfgWeightMinor*N($J27)+(N($G27)&gt;0)*cfgWeightSpelling*N($K27)+($H27&gt;0)*cfgWeightFinal*N($L27))/_xlpm.w,2))))</f>
        <v/>
      </c>
      <c r="N27" s="17">
        <f>IF(OR($B27="",$H27=0),"",$M27)</f>
        <v/>
      </c>
      <c r="O27" s="17">
        <f>IF($B27="","",COUNTIFS(nrES_PID,$B27,nrES_Att,2))</f>
        <v/>
      </c>
      <c r="P27" s="17">
        <f>IF($B27="","",COUNTIFS(nrES_PID,$B27,nrES_Dis,"Yes"))</f>
        <v/>
      </c>
      <c r="Q27" s="17">
        <f>IF($B27="","",IF(AND($I27&lt;&gt;"",$I27&lt;cfgThresholdScore,OR($E27&gt;=cfgThresholdAfterExam,$E27&gt;=COUNTIFS(rngEPuse,"Yes",rngEPtype,"Major"))),"Yes","No"))</f>
        <v/>
      </c>
      <c r="R27" s="17">
        <f>IF($B27="","",IF(AND($J27&lt;&gt;"",$J27&lt;cfgThresholdScore,OR($F27&gt;=cfgThresholdAfterExam,$F27&gt;=COUNTIFS(rngEPuse,"Yes",rngEPtype,"Minor"))),"Yes","No"))</f>
        <v/>
      </c>
      <c r="S27" s="17">
        <f>IF($B27="","",IF($M27="",-1,$M27))</f>
        <v/>
      </c>
      <c r="T27" s="17">
        <f>IF($B27="","",IF(AND($D27="Active",sysChecks!$M27&lt;&gt;"Yes",$M27&lt;&gt;""),"Yes","No"))</f>
        <v/>
      </c>
      <c r="U27" s="17">
        <f>IF($T27&lt;&gt;"Yes","",SUMPRODUCT(($T$6:$T$55="Yes")*(($S$6:$S$55&gt;$S27)+($S$6:$S$55=$S27)*(ROW($S$6:$S$55)&lt;ROW())))+1)</f>
        <v/>
      </c>
      <c r="V27" s="17">
        <f>IF($B27="","",IF(AND($Q27="No",$R27="No",OR(N($G27)=0,$K27&gt;=cfgThresholdScore),OR($H27=0,$L27&gt;=cfgThresholdScore)),"Yes","No"))</f>
        <v/>
      </c>
      <c r="W27" s="17">
        <f>IF($B27="","",_xlfn.LET(_xlpm.tot,COUNTIFS(rngEPuse,"Yes",rngEPtype,"Major"),_xlpm.left,_xlpm.tot-$E27,IF(_xlpm.left&lt;=0,"done",MAX(0,ROUND((cfgThresholdScore*_xlpm.tot-N($I27)*$E27)/_xlpm.left,1)))))</f>
        <v/>
      </c>
      <c r="X27" s="17">
        <f>IF($B27="","",_xlfn.LET(_xlpm.tot,COUNTIFS(rngEPuse,"Yes",rngEPtype,"Minor"),_xlpm.left,_xlpm.tot-$F27,IF(_xlpm.left&lt;=0,"done",MAX(0,ROUND((cfgThresholdScore*_xlpm.tot-N($J27)*$F27)/_xlpm.left,1)))))</f>
        <v/>
      </c>
      <c r="Y27" s="17">
        <f>IF($B27="","",IF($H27&gt;0,"done",cfgThresholdScore))</f>
        <v/>
      </c>
      <c r="Z27" s="17">
        <f>IF($B27="","",_xlfn.LET(_xlpm.s,_xlfn.MAXIFS(nrES_Seq,nrES_PID,$B27,nrES_Att,1,nrES_Raw,"&gt;=0"),IF(_xlpm.s=0,"",SUMIFS(nrES_Raw,nrES_PID,$B27,nrES_Att,1,nrES_Seq,_xlpm.s))))</f>
        <v/>
      </c>
      <c r="AA27" s="17">
        <f>IF($B27="","",_xlfn.LET(_xlpm.s,_xlfn.MAXIFS(nrES_Seq,nrES_PID,$B27,nrES_Att,1,nrES_Raw,"&gt;=0"),IF(_xlpm.s=0,"",_xlfn.LET(_xlpm.p,_xlfn.MAXIFS(nrES_Seq,nrES_PID,$B27,nrES_Att,1,nrES_Seq,"&lt;"&amp;_xlpm.s,nrES_Raw,"&gt;=0"),IF(_xlpm.p=0,"",SUMIFS(nrES_Raw,nrES_PID,$B27,nrES_Att,1,nrES_Seq,_xlpm.p))))))</f>
        <v/>
      </c>
      <c r="AB27" s="17">
        <f>IF(OR($B27="",$Z27="",$AA27=""),"",ROUND($AA27-$Z27,1))</f>
        <v/>
      </c>
      <c r="AC27" s="17">
        <f>IF($B27="","",_xlfn.LET(_xlpm.s,_xlfn.MAXIFS(nrES_Seq,nrES_PID,$B27,nrES_Att,1,nrES_Raw,"&gt;=0"),IF(_xlpm.s=0,0,_xlfn.LET(_xlpm.a,IF(SUMIFS(nrES_Raw,nrES_PID,$B27,nrES_Att,1,nrES_Seq,_xlpm.s)&lt;cfgPassingScore,1,0),_xlpm.p,_xlfn.MAXIFS(nrES_Seq,nrES_PID,$B27,nrES_Att,1,nrES_Seq,"&lt;"&amp;_xlpm.s,nrES_Raw,"&gt;=0"),IF(OR(_xlpm.a=0,_xlpm.p=0),_xlpm.a,_xlpm.a+IF(SUMIFS(nrES_Raw,nrES_PID,$B27,nrES_Att,1,nrES_Seq,_xlpm.p)&lt;cfgPassingScore,1,0))))))</f>
        <v/>
      </c>
    </row>
    <row r="28">
      <c r="B28" s="17">
        <f>IF(Cadets!$B28="","",Cadets!$B28)</f>
        <v/>
      </c>
      <c r="C28" s="17">
        <f>IF($B28="","",Cadets!$F28)</f>
        <v/>
      </c>
      <c r="D28" s="17">
        <f>IF($B28="","",Cadets!$I28)</f>
        <v/>
      </c>
      <c r="E28" s="17">
        <f>IF($B28="","",COUNTIFS(nrES_PID,$B28,nrES_Type,"Major",nrES_Final,"Yes",nrES_Rec,"&gt;=0",nrES_Rec,"&lt;=100"))</f>
        <v/>
      </c>
      <c r="F28" s="17">
        <f>IF($B28="","",COUNTIFS(nrES_PID,$B28,nrES_Type,"Minor",nrES_Final,"Yes",nrES_Rec,"&gt;=0",nrES_Rec,"&lt;=100"))</f>
        <v/>
      </c>
      <c r="G28" s="17">
        <f>IF($B28="","",Spelling!Q28)</f>
        <v/>
      </c>
      <c r="H28" s="17">
        <f>IF($B28="","",COUNTIFS(nrES_PID,$B28,nrES_Type,"Final",nrES_Final,"Yes",nrES_Rec,"&gt;=0",nrES_Rec,"&lt;=100"))</f>
        <v/>
      </c>
      <c r="I28" s="17">
        <f>IF(OR($B28="",$E28=0),"",IFERROR(ROUND(AVERAGEIFS(nrES_Rec,nrES_PID,$B28,nrES_Type,"Major",nrES_Final,"Yes",nrES_Rec,"&gt;=0",nrES_Rec,"&lt;=100"),2),""))</f>
        <v/>
      </c>
      <c r="J28" s="17">
        <f>IF(OR($B28="",$F28=0),"",IFERROR(ROUND(AVERAGEIFS(nrES_Rec,nrES_PID,$B28,nrES_Type,"Minor",nrES_Final,"Yes",nrES_Rec,"&gt;=0",nrES_Rec,"&lt;=100"),2),""))</f>
        <v/>
      </c>
      <c r="K28" s="17">
        <f>IF($B28="","",Spelling!P28)</f>
        <v/>
      </c>
      <c r="L28" s="17">
        <f>IF(OR($B28="",$H28=0),"",IFERROR(ROUND(AVERAGEIFS(nrES_Rec,nrES_PID,$B28,nrES_Type,"Final",nrES_Final,"Yes",nrES_Rec,"&gt;=0",nrES_Rec,"&lt;=100"),2),""))</f>
        <v/>
      </c>
      <c r="M28" s="17">
        <f>IF($B28="","",_xlfn.LET(_xlpm.w,($E28&gt;0)*cfgWeightMajor+($F28&gt;0)*cfgWeightMinor+(N($G28)&gt;0)*cfgWeightSpelling+($H28&gt;0)*cfgWeightFinal,IF(_xlpm.w=0,"",ROUND((($E28&gt;0)*cfgWeightMajor*N($I28)+($F28&gt;0)*cfgWeightMinor*N($J28)+(N($G28)&gt;0)*cfgWeightSpelling*N($K28)+($H28&gt;0)*cfgWeightFinal*N($L28))/_xlpm.w,2))))</f>
        <v/>
      </c>
      <c r="N28" s="17">
        <f>IF(OR($B28="",$H28=0),"",$M28)</f>
        <v/>
      </c>
      <c r="O28" s="17">
        <f>IF($B28="","",COUNTIFS(nrES_PID,$B28,nrES_Att,2))</f>
        <v/>
      </c>
      <c r="P28" s="17">
        <f>IF($B28="","",COUNTIFS(nrES_PID,$B28,nrES_Dis,"Yes"))</f>
        <v/>
      </c>
      <c r="Q28" s="17">
        <f>IF($B28="","",IF(AND($I28&lt;&gt;"",$I28&lt;cfgThresholdScore,OR($E28&gt;=cfgThresholdAfterExam,$E28&gt;=COUNTIFS(rngEPuse,"Yes",rngEPtype,"Major"))),"Yes","No"))</f>
        <v/>
      </c>
      <c r="R28" s="17">
        <f>IF($B28="","",IF(AND($J28&lt;&gt;"",$J28&lt;cfgThresholdScore,OR($F28&gt;=cfgThresholdAfterExam,$F28&gt;=COUNTIFS(rngEPuse,"Yes",rngEPtype,"Minor"))),"Yes","No"))</f>
        <v/>
      </c>
      <c r="S28" s="17">
        <f>IF($B28="","",IF($M28="",-1,$M28))</f>
        <v/>
      </c>
      <c r="T28" s="17">
        <f>IF($B28="","",IF(AND($D28="Active",sysChecks!$M28&lt;&gt;"Yes",$M28&lt;&gt;""),"Yes","No"))</f>
        <v/>
      </c>
      <c r="U28" s="17">
        <f>IF($T28&lt;&gt;"Yes","",SUMPRODUCT(($T$6:$T$55="Yes")*(($S$6:$S$55&gt;$S28)+($S$6:$S$55=$S28)*(ROW($S$6:$S$55)&lt;ROW())))+1)</f>
        <v/>
      </c>
      <c r="V28" s="17">
        <f>IF($B28="","",IF(AND($Q28="No",$R28="No",OR(N($G28)=0,$K28&gt;=cfgThresholdScore),OR($H28=0,$L28&gt;=cfgThresholdScore)),"Yes","No"))</f>
        <v/>
      </c>
      <c r="W28" s="17">
        <f>IF($B28="","",_xlfn.LET(_xlpm.tot,COUNTIFS(rngEPuse,"Yes",rngEPtype,"Major"),_xlpm.left,_xlpm.tot-$E28,IF(_xlpm.left&lt;=0,"done",MAX(0,ROUND((cfgThresholdScore*_xlpm.tot-N($I28)*$E28)/_xlpm.left,1)))))</f>
        <v/>
      </c>
      <c r="X28" s="17">
        <f>IF($B28="","",_xlfn.LET(_xlpm.tot,COUNTIFS(rngEPuse,"Yes",rngEPtype,"Minor"),_xlpm.left,_xlpm.tot-$F28,IF(_xlpm.left&lt;=0,"done",MAX(0,ROUND((cfgThresholdScore*_xlpm.tot-N($J28)*$F28)/_xlpm.left,1)))))</f>
        <v/>
      </c>
      <c r="Y28" s="17">
        <f>IF($B28="","",IF($H28&gt;0,"done",cfgThresholdScore))</f>
        <v/>
      </c>
      <c r="Z28" s="17">
        <f>IF($B28="","",_xlfn.LET(_xlpm.s,_xlfn.MAXIFS(nrES_Seq,nrES_PID,$B28,nrES_Att,1,nrES_Raw,"&gt;=0"),IF(_xlpm.s=0,"",SUMIFS(nrES_Raw,nrES_PID,$B28,nrES_Att,1,nrES_Seq,_xlpm.s))))</f>
        <v/>
      </c>
      <c r="AA28" s="17">
        <f>IF($B28="","",_xlfn.LET(_xlpm.s,_xlfn.MAXIFS(nrES_Seq,nrES_PID,$B28,nrES_Att,1,nrES_Raw,"&gt;=0"),IF(_xlpm.s=0,"",_xlfn.LET(_xlpm.p,_xlfn.MAXIFS(nrES_Seq,nrES_PID,$B28,nrES_Att,1,nrES_Seq,"&lt;"&amp;_xlpm.s,nrES_Raw,"&gt;=0"),IF(_xlpm.p=0,"",SUMIFS(nrES_Raw,nrES_PID,$B28,nrES_Att,1,nrES_Seq,_xlpm.p))))))</f>
        <v/>
      </c>
      <c r="AB28" s="17">
        <f>IF(OR($B28="",$Z28="",$AA28=""),"",ROUND($AA28-$Z28,1))</f>
        <v/>
      </c>
      <c r="AC28" s="17">
        <f>IF($B28="","",_xlfn.LET(_xlpm.s,_xlfn.MAXIFS(nrES_Seq,nrES_PID,$B28,nrES_Att,1,nrES_Raw,"&gt;=0"),IF(_xlpm.s=0,0,_xlfn.LET(_xlpm.a,IF(SUMIFS(nrES_Raw,nrES_PID,$B28,nrES_Att,1,nrES_Seq,_xlpm.s)&lt;cfgPassingScore,1,0),_xlpm.p,_xlfn.MAXIFS(nrES_Seq,nrES_PID,$B28,nrES_Att,1,nrES_Seq,"&lt;"&amp;_xlpm.s,nrES_Raw,"&gt;=0"),IF(OR(_xlpm.a=0,_xlpm.p=0),_xlpm.a,_xlpm.a+IF(SUMIFS(nrES_Raw,nrES_PID,$B28,nrES_Att,1,nrES_Seq,_xlpm.p)&lt;cfgPassingScore,1,0))))))</f>
        <v/>
      </c>
    </row>
    <row r="29">
      <c r="B29" s="17">
        <f>IF(Cadets!$B29="","",Cadets!$B29)</f>
        <v/>
      </c>
      <c r="C29" s="17">
        <f>IF($B29="","",Cadets!$F29)</f>
        <v/>
      </c>
      <c r="D29" s="17">
        <f>IF($B29="","",Cadets!$I29)</f>
        <v/>
      </c>
      <c r="E29" s="17">
        <f>IF($B29="","",COUNTIFS(nrES_PID,$B29,nrES_Type,"Major",nrES_Final,"Yes",nrES_Rec,"&gt;=0",nrES_Rec,"&lt;=100"))</f>
        <v/>
      </c>
      <c r="F29" s="17">
        <f>IF($B29="","",COUNTIFS(nrES_PID,$B29,nrES_Type,"Minor",nrES_Final,"Yes",nrES_Rec,"&gt;=0",nrES_Rec,"&lt;=100"))</f>
        <v/>
      </c>
      <c r="G29" s="17">
        <f>IF($B29="","",Spelling!Q29)</f>
        <v/>
      </c>
      <c r="H29" s="17">
        <f>IF($B29="","",COUNTIFS(nrES_PID,$B29,nrES_Type,"Final",nrES_Final,"Yes",nrES_Rec,"&gt;=0",nrES_Rec,"&lt;=100"))</f>
        <v/>
      </c>
      <c r="I29" s="17">
        <f>IF(OR($B29="",$E29=0),"",IFERROR(ROUND(AVERAGEIFS(nrES_Rec,nrES_PID,$B29,nrES_Type,"Major",nrES_Final,"Yes",nrES_Rec,"&gt;=0",nrES_Rec,"&lt;=100"),2),""))</f>
        <v/>
      </c>
      <c r="J29" s="17">
        <f>IF(OR($B29="",$F29=0),"",IFERROR(ROUND(AVERAGEIFS(nrES_Rec,nrES_PID,$B29,nrES_Type,"Minor",nrES_Final,"Yes",nrES_Rec,"&gt;=0",nrES_Rec,"&lt;=100"),2),""))</f>
        <v/>
      </c>
      <c r="K29" s="17">
        <f>IF($B29="","",Spelling!P29)</f>
        <v/>
      </c>
      <c r="L29" s="17">
        <f>IF(OR($B29="",$H29=0),"",IFERROR(ROUND(AVERAGEIFS(nrES_Rec,nrES_PID,$B29,nrES_Type,"Final",nrES_Final,"Yes",nrES_Rec,"&gt;=0",nrES_Rec,"&lt;=100"),2),""))</f>
        <v/>
      </c>
      <c r="M29" s="17">
        <f>IF($B29="","",_xlfn.LET(_xlpm.w,($E29&gt;0)*cfgWeightMajor+($F29&gt;0)*cfgWeightMinor+(N($G29)&gt;0)*cfgWeightSpelling+($H29&gt;0)*cfgWeightFinal,IF(_xlpm.w=0,"",ROUND((($E29&gt;0)*cfgWeightMajor*N($I29)+($F29&gt;0)*cfgWeightMinor*N($J29)+(N($G29)&gt;0)*cfgWeightSpelling*N($K29)+($H29&gt;0)*cfgWeightFinal*N($L29))/_xlpm.w,2))))</f>
        <v/>
      </c>
      <c r="N29" s="17">
        <f>IF(OR($B29="",$H29=0),"",$M29)</f>
        <v/>
      </c>
      <c r="O29" s="17">
        <f>IF($B29="","",COUNTIFS(nrES_PID,$B29,nrES_Att,2))</f>
        <v/>
      </c>
      <c r="P29" s="17">
        <f>IF($B29="","",COUNTIFS(nrES_PID,$B29,nrES_Dis,"Yes"))</f>
        <v/>
      </c>
      <c r="Q29" s="17">
        <f>IF($B29="","",IF(AND($I29&lt;&gt;"",$I29&lt;cfgThresholdScore,OR($E29&gt;=cfgThresholdAfterExam,$E29&gt;=COUNTIFS(rngEPuse,"Yes",rngEPtype,"Major"))),"Yes","No"))</f>
        <v/>
      </c>
      <c r="R29" s="17">
        <f>IF($B29="","",IF(AND($J29&lt;&gt;"",$J29&lt;cfgThresholdScore,OR($F29&gt;=cfgThresholdAfterExam,$F29&gt;=COUNTIFS(rngEPuse,"Yes",rngEPtype,"Minor"))),"Yes","No"))</f>
        <v/>
      </c>
      <c r="S29" s="17">
        <f>IF($B29="","",IF($M29="",-1,$M29))</f>
        <v/>
      </c>
      <c r="T29" s="17">
        <f>IF($B29="","",IF(AND($D29="Active",sysChecks!$M29&lt;&gt;"Yes",$M29&lt;&gt;""),"Yes","No"))</f>
        <v/>
      </c>
      <c r="U29" s="17">
        <f>IF($T29&lt;&gt;"Yes","",SUMPRODUCT(($T$6:$T$55="Yes")*(($S$6:$S$55&gt;$S29)+($S$6:$S$55=$S29)*(ROW($S$6:$S$55)&lt;ROW())))+1)</f>
        <v/>
      </c>
      <c r="V29" s="17">
        <f>IF($B29="","",IF(AND($Q29="No",$R29="No",OR(N($G29)=0,$K29&gt;=cfgThresholdScore),OR($H29=0,$L29&gt;=cfgThresholdScore)),"Yes","No"))</f>
        <v/>
      </c>
      <c r="W29" s="17">
        <f>IF($B29="","",_xlfn.LET(_xlpm.tot,COUNTIFS(rngEPuse,"Yes",rngEPtype,"Major"),_xlpm.left,_xlpm.tot-$E29,IF(_xlpm.left&lt;=0,"done",MAX(0,ROUND((cfgThresholdScore*_xlpm.tot-N($I29)*$E29)/_xlpm.left,1)))))</f>
        <v/>
      </c>
      <c r="X29" s="17">
        <f>IF($B29="","",_xlfn.LET(_xlpm.tot,COUNTIFS(rngEPuse,"Yes",rngEPtype,"Minor"),_xlpm.left,_xlpm.tot-$F29,IF(_xlpm.left&lt;=0,"done",MAX(0,ROUND((cfgThresholdScore*_xlpm.tot-N($J29)*$F29)/_xlpm.left,1)))))</f>
        <v/>
      </c>
      <c r="Y29" s="17">
        <f>IF($B29="","",IF($H29&gt;0,"done",cfgThresholdScore))</f>
        <v/>
      </c>
      <c r="Z29" s="17">
        <f>IF($B29="","",_xlfn.LET(_xlpm.s,_xlfn.MAXIFS(nrES_Seq,nrES_PID,$B29,nrES_Att,1,nrES_Raw,"&gt;=0"),IF(_xlpm.s=0,"",SUMIFS(nrES_Raw,nrES_PID,$B29,nrES_Att,1,nrES_Seq,_xlpm.s))))</f>
        <v/>
      </c>
      <c r="AA29" s="17">
        <f>IF($B29="","",_xlfn.LET(_xlpm.s,_xlfn.MAXIFS(nrES_Seq,nrES_PID,$B29,nrES_Att,1,nrES_Raw,"&gt;=0"),IF(_xlpm.s=0,"",_xlfn.LET(_xlpm.p,_xlfn.MAXIFS(nrES_Seq,nrES_PID,$B29,nrES_Att,1,nrES_Seq,"&lt;"&amp;_xlpm.s,nrES_Raw,"&gt;=0"),IF(_xlpm.p=0,"",SUMIFS(nrES_Raw,nrES_PID,$B29,nrES_Att,1,nrES_Seq,_xlpm.p))))))</f>
        <v/>
      </c>
      <c r="AB29" s="17">
        <f>IF(OR($B29="",$Z29="",$AA29=""),"",ROUND($AA29-$Z29,1))</f>
        <v/>
      </c>
      <c r="AC29" s="17">
        <f>IF($B29="","",_xlfn.LET(_xlpm.s,_xlfn.MAXIFS(nrES_Seq,nrES_PID,$B29,nrES_Att,1,nrES_Raw,"&gt;=0"),IF(_xlpm.s=0,0,_xlfn.LET(_xlpm.a,IF(SUMIFS(nrES_Raw,nrES_PID,$B29,nrES_Att,1,nrES_Seq,_xlpm.s)&lt;cfgPassingScore,1,0),_xlpm.p,_xlfn.MAXIFS(nrES_Seq,nrES_PID,$B29,nrES_Att,1,nrES_Seq,"&lt;"&amp;_xlpm.s,nrES_Raw,"&gt;=0"),IF(OR(_xlpm.a=0,_xlpm.p=0),_xlpm.a,_xlpm.a+IF(SUMIFS(nrES_Raw,nrES_PID,$B29,nrES_Att,1,nrES_Seq,_xlpm.p)&lt;cfgPassingScore,1,0))))))</f>
        <v/>
      </c>
    </row>
    <row r="30">
      <c r="B30" s="17">
        <f>IF(Cadets!$B30="","",Cadets!$B30)</f>
        <v/>
      </c>
      <c r="C30" s="17">
        <f>IF($B30="","",Cadets!$F30)</f>
        <v/>
      </c>
      <c r="D30" s="17">
        <f>IF($B30="","",Cadets!$I30)</f>
        <v/>
      </c>
      <c r="E30" s="17">
        <f>IF($B30="","",COUNTIFS(nrES_PID,$B30,nrES_Type,"Major",nrES_Final,"Yes",nrES_Rec,"&gt;=0",nrES_Rec,"&lt;=100"))</f>
        <v/>
      </c>
      <c r="F30" s="17">
        <f>IF($B30="","",COUNTIFS(nrES_PID,$B30,nrES_Type,"Minor",nrES_Final,"Yes",nrES_Rec,"&gt;=0",nrES_Rec,"&lt;=100"))</f>
        <v/>
      </c>
      <c r="G30" s="17">
        <f>IF($B30="","",Spelling!Q30)</f>
        <v/>
      </c>
      <c r="H30" s="17">
        <f>IF($B30="","",COUNTIFS(nrES_PID,$B30,nrES_Type,"Final",nrES_Final,"Yes",nrES_Rec,"&gt;=0",nrES_Rec,"&lt;=100"))</f>
        <v/>
      </c>
      <c r="I30" s="17">
        <f>IF(OR($B30="",$E30=0),"",IFERROR(ROUND(AVERAGEIFS(nrES_Rec,nrES_PID,$B30,nrES_Type,"Major",nrES_Final,"Yes",nrES_Rec,"&gt;=0",nrES_Rec,"&lt;=100"),2),""))</f>
        <v/>
      </c>
      <c r="J30" s="17">
        <f>IF(OR($B30="",$F30=0),"",IFERROR(ROUND(AVERAGEIFS(nrES_Rec,nrES_PID,$B30,nrES_Type,"Minor",nrES_Final,"Yes",nrES_Rec,"&gt;=0",nrES_Rec,"&lt;=100"),2),""))</f>
        <v/>
      </c>
      <c r="K30" s="17">
        <f>IF($B30="","",Spelling!P30)</f>
        <v/>
      </c>
      <c r="L30" s="17">
        <f>IF(OR($B30="",$H30=0),"",IFERROR(ROUND(AVERAGEIFS(nrES_Rec,nrES_PID,$B30,nrES_Type,"Final",nrES_Final,"Yes",nrES_Rec,"&gt;=0",nrES_Rec,"&lt;=100"),2),""))</f>
        <v/>
      </c>
      <c r="M30" s="17">
        <f>IF($B30="","",_xlfn.LET(_xlpm.w,($E30&gt;0)*cfgWeightMajor+($F30&gt;0)*cfgWeightMinor+(N($G30)&gt;0)*cfgWeightSpelling+($H30&gt;0)*cfgWeightFinal,IF(_xlpm.w=0,"",ROUND((($E30&gt;0)*cfgWeightMajor*N($I30)+($F30&gt;0)*cfgWeightMinor*N($J30)+(N($G30)&gt;0)*cfgWeightSpelling*N($K30)+($H30&gt;0)*cfgWeightFinal*N($L30))/_xlpm.w,2))))</f>
        <v/>
      </c>
      <c r="N30" s="17">
        <f>IF(OR($B30="",$H30=0),"",$M30)</f>
        <v/>
      </c>
      <c r="O30" s="17">
        <f>IF($B30="","",COUNTIFS(nrES_PID,$B30,nrES_Att,2))</f>
        <v/>
      </c>
      <c r="P30" s="17">
        <f>IF($B30="","",COUNTIFS(nrES_PID,$B30,nrES_Dis,"Yes"))</f>
        <v/>
      </c>
      <c r="Q30" s="17">
        <f>IF($B30="","",IF(AND($I30&lt;&gt;"",$I30&lt;cfgThresholdScore,OR($E30&gt;=cfgThresholdAfterExam,$E30&gt;=COUNTIFS(rngEPuse,"Yes",rngEPtype,"Major"))),"Yes","No"))</f>
        <v/>
      </c>
      <c r="R30" s="17">
        <f>IF($B30="","",IF(AND($J30&lt;&gt;"",$J30&lt;cfgThresholdScore,OR($F30&gt;=cfgThresholdAfterExam,$F30&gt;=COUNTIFS(rngEPuse,"Yes",rngEPtype,"Minor"))),"Yes","No"))</f>
        <v/>
      </c>
      <c r="S30" s="17">
        <f>IF($B30="","",IF($M30="",-1,$M30))</f>
        <v/>
      </c>
      <c r="T30" s="17">
        <f>IF($B30="","",IF(AND($D30="Active",sysChecks!$M30&lt;&gt;"Yes",$M30&lt;&gt;""),"Yes","No"))</f>
        <v/>
      </c>
      <c r="U30" s="17">
        <f>IF($T30&lt;&gt;"Yes","",SUMPRODUCT(($T$6:$T$55="Yes")*(($S$6:$S$55&gt;$S30)+($S$6:$S$55=$S30)*(ROW($S$6:$S$55)&lt;ROW())))+1)</f>
        <v/>
      </c>
      <c r="V30" s="17">
        <f>IF($B30="","",IF(AND($Q30="No",$R30="No",OR(N($G30)=0,$K30&gt;=cfgThresholdScore),OR($H30=0,$L30&gt;=cfgThresholdScore)),"Yes","No"))</f>
        <v/>
      </c>
      <c r="W30" s="17">
        <f>IF($B30="","",_xlfn.LET(_xlpm.tot,COUNTIFS(rngEPuse,"Yes",rngEPtype,"Major"),_xlpm.left,_xlpm.tot-$E30,IF(_xlpm.left&lt;=0,"done",MAX(0,ROUND((cfgThresholdScore*_xlpm.tot-N($I30)*$E30)/_xlpm.left,1)))))</f>
        <v/>
      </c>
      <c r="X30" s="17">
        <f>IF($B30="","",_xlfn.LET(_xlpm.tot,COUNTIFS(rngEPuse,"Yes",rngEPtype,"Minor"),_xlpm.left,_xlpm.tot-$F30,IF(_xlpm.left&lt;=0,"done",MAX(0,ROUND((cfgThresholdScore*_xlpm.tot-N($J30)*$F30)/_xlpm.left,1)))))</f>
        <v/>
      </c>
      <c r="Y30" s="17">
        <f>IF($B30="","",IF($H30&gt;0,"done",cfgThresholdScore))</f>
        <v/>
      </c>
      <c r="Z30" s="17">
        <f>IF($B30="","",_xlfn.LET(_xlpm.s,_xlfn.MAXIFS(nrES_Seq,nrES_PID,$B30,nrES_Att,1,nrES_Raw,"&gt;=0"),IF(_xlpm.s=0,"",SUMIFS(nrES_Raw,nrES_PID,$B30,nrES_Att,1,nrES_Seq,_xlpm.s))))</f>
        <v/>
      </c>
      <c r="AA30" s="17">
        <f>IF($B30="","",_xlfn.LET(_xlpm.s,_xlfn.MAXIFS(nrES_Seq,nrES_PID,$B30,nrES_Att,1,nrES_Raw,"&gt;=0"),IF(_xlpm.s=0,"",_xlfn.LET(_xlpm.p,_xlfn.MAXIFS(nrES_Seq,nrES_PID,$B30,nrES_Att,1,nrES_Seq,"&lt;"&amp;_xlpm.s,nrES_Raw,"&gt;=0"),IF(_xlpm.p=0,"",SUMIFS(nrES_Raw,nrES_PID,$B30,nrES_Att,1,nrES_Seq,_xlpm.p))))))</f>
        <v/>
      </c>
      <c r="AB30" s="17">
        <f>IF(OR($B30="",$Z30="",$AA30=""),"",ROUND($AA30-$Z30,1))</f>
        <v/>
      </c>
      <c r="AC30" s="17">
        <f>IF($B30="","",_xlfn.LET(_xlpm.s,_xlfn.MAXIFS(nrES_Seq,nrES_PID,$B30,nrES_Att,1,nrES_Raw,"&gt;=0"),IF(_xlpm.s=0,0,_xlfn.LET(_xlpm.a,IF(SUMIFS(nrES_Raw,nrES_PID,$B30,nrES_Att,1,nrES_Seq,_xlpm.s)&lt;cfgPassingScore,1,0),_xlpm.p,_xlfn.MAXIFS(nrES_Seq,nrES_PID,$B30,nrES_Att,1,nrES_Seq,"&lt;"&amp;_xlpm.s,nrES_Raw,"&gt;=0"),IF(OR(_xlpm.a=0,_xlpm.p=0),_xlpm.a,_xlpm.a+IF(SUMIFS(nrES_Raw,nrES_PID,$B30,nrES_Att,1,nrES_Seq,_xlpm.p)&lt;cfgPassingScore,1,0))))))</f>
        <v/>
      </c>
    </row>
    <row r="31">
      <c r="B31" s="17">
        <f>IF(Cadets!$B31="","",Cadets!$B31)</f>
        <v/>
      </c>
      <c r="C31" s="17">
        <f>IF($B31="","",Cadets!$F31)</f>
        <v/>
      </c>
      <c r="D31" s="17">
        <f>IF($B31="","",Cadets!$I31)</f>
        <v/>
      </c>
      <c r="E31" s="17">
        <f>IF($B31="","",COUNTIFS(nrES_PID,$B31,nrES_Type,"Major",nrES_Final,"Yes",nrES_Rec,"&gt;=0",nrES_Rec,"&lt;=100"))</f>
        <v/>
      </c>
      <c r="F31" s="17">
        <f>IF($B31="","",COUNTIFS(nrES_PID,$B31,nrES_Type,"Minor",nrES_Final,"Yes",nrES_Rec,"&gt;=0",nrES_Rec,"&lt;=100"))</f>
        <v/>
      </c>
      <c r="G31" s="17">
        <f>IF($B31="","",Spelling!Q31)</f>
        <v/>
      </c>
      <c r="H31" s="17">
        <f>IF($B31="","",COUNTIFS(nrES_PID,$B31,nrES_Type,"Final",nrES_Final,"Yes",nrES_Rec,"&gt;=0",nrES_Rec,"&lt;=100"))</f>
        <v/>
      </c>
      <c r="I31" s="17">
        <f>IF(OR($B31="",$E31=0),"",IFERROR(ROUND(AVERAGEIFS(nrES_Rec,nrES_PID,$B31,nrES_Type,"Major",nrES_Final,"Yes",nrES_Rec,"&gt;=0",nrES_Rec,"&lt;=100"),2),""))</f>
        <v/>
      </c>
      <c r="J31" s="17">
        <f>IF(OR($B31="",$F31=0),"",IFERROR(ROUND(AVERAGEIFS(nrES_Rec,nrES_PID,$B31,nrES_Type,"Minor",nrES_Final,"Yes",nrES_Rec,"&gt;=0",nrES_Rec,"&lt;=100"),2),""))</f>
        <v/>
      </c>
      <c r="K31" s="17">
        <f>IF($B31="","",Spelling!P31)</f>
        <v/>
      </c>
      <c r="L31" s="17">
        <f>IF(OR($B31="",$H31=0),"",IFERROR(ROUND(AVERAGEIFS(nrES_Rec,nrES_PID,$B31,nrES_Type,"Final",nrES_Final,"Yes",nrES_Rec,"&gt;=0",nrES_Rec,"&lt;=100"),2),""))</f>
        <v/>
      </c>
      <c r="M31" s="17">
        <f>IF($B31="","",_xlfn.LET(_xlpm.w,($E31&gt;0)*cfgWeightMajor+($F31&gt;0)*cfgWeightMinor+(N($G31)&gt;0)*cfgWeightSpelling+($H31&gt;0)*cfgWeightFinal,IF(_xlpm.w=0,"",ROUND((($E31&gt;0)*cfgWeightMajor*N($I31)+($F31&gt;0)*cfgWeightMinor*N($J31)+(N($G31)&gt;0)*cfgWeightSpelling*N($K31)+($H31&gt;0)*cfgWeightFinal*N($L31))/_xlpm.w,2))))</f>
        <v/>
      </c>
      <c r="N31" s="17">
        <f>IF(OR($B31="",$H31=0),"",$M31)</f>
        <v/>
      </c>
      <c r="O31" s="17">
        <f>IF($B31="","",COUNTIFS(nrES_PID,$B31,nrES_Att,2))</f>
        <v/>
      </c>
      <c r="P31" s="17">
        <f>IF($B31="","",COUNTIFS(nrES_PID,$B31,nrES_Dis,"Yes"))</f>
        <v/>
      </c>
      <c r="Q31" s="17">
        <f>IF($B31="","",IF(AND($I31&lt;&gt;"",$I31&lt;cfgThresholdScore,OR($E31&gt;=cfgThresholdAfterExam,$E31&gt;=COUNTIFS(rngEPuse,"Yes",rngEPtype,"Major"))),"Yes","No"))</f>
        <v/>
      </c>
      <c r="R31" s="17">
        <f>IF($B31="","",IF(AND($J31&lt;&gt;"",$J31&lt;cfgThresholdScore,OR($F31&gt;=cfgThresholdAfterExam,$F31&gt;=COUNTIFS(rngEPuse,"Yes",rngEPtype,"Minor"))),"Yes","No"))</f>
        <v/>
      </c>
      <c r="S31" s="17">
        <f>IF($B31="","",IF($M31="",-1,$M31))</f>
        <v/>
      </c>
      <c r="T31" s="17">
        <f>IF($B31="","",IF(AND($D31="Active",sysChecks!$M31&lt;&gt;"Yes",$M31&lt;&gt;""),"Yes","No"))</f>
        <v/>
      </c>
      <c r="U31" s="17">
        <f>IF($T31&lt;&gt;"Yes","",SUMPRODUCT(($T$6:$T$55="Yes")*(($S$6:$S$55&gt;$S31)+($S$6:$S$55=$S31)*(ROW($S$6:$S$55)&lt;ROW())))+1)</f>
        <v/>
      </c>
      <c r="V31" s="17">
        <f>IF($B31="","",IF(AND($Q31="No",$R31="No",OR(N($G31)=0,$K31&gt;=cfgThresholdScore),OR($H31=0,$L31&gt;=cfgThresholdScore)),"Yes","No"))</f>
        <v/>
      </c>
      <c r="W31" s="17">
        <f>IF($B31="","",_xlfn.LET(_xlpm.tot,COUNTIFS(rngEPuse,"Yes",rngEPtype,"Major"),_xlpm.left,_xlpm.tot-$E31,IF(_xlpm.left&lt;=0,"done",MAX(0,ROUND((cfgThresholdScore*_xlpm.tot-N($I31)*$E31)/_xlpm.left,1)))))</f>
        <v/>
      </c>
      <c r="X31" s="17">
        <f>IF($B31="","",_xlfn.LET(_xlpm.tot,COUNTIFS(rngEPuse,"Yes",rngEPtype,"Minor"),_xlpm.left,_xlpm.tot-$F31,IF(_xlpm.left&lt;=0,"done",MAX(0,ROUND((cfgThresholdScore*_xlpm.tot-N($J31)*$F31)/_xlpm.left,1)))))</f>
        <v/>
      </c>
      <c r="Y31" s="17">
        <f>IF($B31="","",IF($H31&gt;0,"done",cfgThresholdScore))</f>
        <v/>
      </c>
      <c r="Z31" s="17">
        <f>IF($B31="","",_xlfn.LET(_xlpm.s,_xlfn.MAXIFS(nrES_Seq,nrES_PID,$B31,nrES_Att,1,nrES_Raw,"&gt;=0"),IF(_xlpm.s=0,"",SUMIFS(nrES_Raw,nrES_PID,$B31,nrES_Att,1,nrES_Seq,_xlpm.s))))</f>
        <v/>
      </c>
      <c r="AA31" s="17">
        <f>IF($B31="","",_xlfn.LET(_xlpm.s,_xlfn.MAXIFS(nrES_Seq,nrES_PID,$B31,nrES_Att,1,nrES_Raw,"&gt;=0"),IF(_xlpm.s=0,"",_xlfn.LET(_xlpm.p,_xlfn.MAXIFS(nrES_Seq,nrES_PID,$B31,nrES_Att,1,nrES_Seq,"&lt;"&amp;_xlpm.s,nrES_Raw,"&gt;=0"),IF(_xlpm.p=0,"",SUMIFS(nrES_Raw,nrES_PID,$B31,nrES_Att,1,nrES_Seq,_xlpm.p))))))</f>
        <v/>
      </c>
      <c r="AB31" s="17">
        <f>IF(OR($B31="",$Z31="",$AA31=""),"",ROUND($AA31-$Z31,1))</f>
        <v/>
      </c>
      <c r="AC31" s="17">
        <f>IF($B31="","",_xlfn.LET(_xlpm.s,_xlfn.MAXIFS(nrES_Seq,nrES_PID,$B31,nrES_Att,1,nrES_Raw,"&gt;=0"),IF(_xlpm.s=0,0,_xlfn.LET(_xlpm.a,IF(SUMIFS(nrES_Raw,nrES_PID,$B31,nrES_Att,1,nrES_Seq,_xlpm.s)&lt;cfgPassingScore,1,0),_xlpm.p,_xlfn.MAXIFS(nrES_Seq,nrES_PID,$B31,nrES_Att,1,nrES_Seq,"&lt;"&amp;_xlpm.s,nrES_Raw,"&gt;=0"),IF(OR(_xlpm.a=0,_xlpm.p=0),_xlpm.a,_xlpm.a+IF(SUMIFS(nrES_Raw,nrES_PID,$B31,nrES_Att,1,nrES_Seq,_xlpm.p)&lt;cfgPassingScore,1,0))))))</f>
        <v/>
      </c>
    </row>
    <row r="32">
      <c r="B32" s="17">
        <f>IF(Cadets!$B32="","",Cadets!$B32)</f>
        <v/>
      </c>
      <c r="C32" s="17">
        <f>IF($B32="","",Cadets!$F32)</f>
        <v/>
      </c>
      <c r="D32" s="17">
        <f>IF($B32="","",Cadets!$I32)</f>
        <v/>
      </c>
      <c r="E32" s="17">
        <f>IF($B32="","",COUNTIFS(nrES_PID,$B32,nrES_Type,"Major",nrES_Final,"Yes",nrES_Rec,"&gt;=0",nrES_Rec,"&lt;=100"))</f>
        <v/>
      </c>
      <c r="F32" s="17">
        <f>IF($B32="","",COUNTIFS(nrES_PID,$B32,nrES_Type,"Minor",nrES_Final,"Yes",nrES_Rec,"&gt;=0",nrES_Rec,"&lt;=100"))</f>
        <v/>
      </c>
      <c r="G32" s="17">
        <f>IF($B32="","",Spelling!Q32)</f>
        <v/>
      </c>
      <c r="H32" s="17">
        <f>IF($B32="","",COUNTIFS(nrES_PID,$B32,nrES_Type,"Final",nrES_Final,"Yes",nrES_Rec,"&gt;=0",nrES_Rec,"&lt;=100"))</f>
        <v/>
      </c>
      <c r="I32" s="17">
        <f>IF(OR($B32="",$E32=0),"",IFERROR(ROUND(AVERAGEIFS(nrES_Rec,nrES_PID,$B32,nrES_Type,"Major",nrES_Final,"Yes",nrES_Rec,"&gt;=0",nrES_Rec,"&lt;=100"),2),""))</f>
        <v/>
      </c>
      <c r="J32" s="17">
        <f>IF(OR($B32="",$F32=0),"",IFERROR(ROUND(AVERAGEIFS(nrES_Rec,nrES_PID,$B32,nrES_Type,"Minor",nrES_Final,"Yes",nrES_Rec,"&gt;=0",nrES_Rec,"&lt;=100"),2),""))</f>
        <v/>
      </c>
      <c r="K32" s="17">
        <f>IF($B32="","",Spelling!P32)</f>
        <v/>
      </c>
      <c r="L32" s="17">
        <f>IF(OR($B32="",$H32=0),"",IFERROR(ROUND(AVERAGEIFS(nrES_Rec,nrES_PID,$B32,nrES_Type,"Final",nrES_Final,"Yes",nrES_Rec,"&gt;=0",nrES_Rec,"&lt;=100"),2),""))</f>
        <v/>
      </c>
      <c r="M32" s="17">
        <f>IF($B32="","",_xlfn.LET(_xlpm.w,($E32&gt;0)*cfgWeightMajor+($F32&gt;0)*cfgWeightMinor+(N($G32)&gt;0)*cfgWeightSpelling+($H32&gt;0)*cfgWeightFinal,IF(_xlpm.w=0,"",ROUND((($E32&gt;0)*cfgWeightMajor*N($I32)+($F32&gt;0)*cfgWeightMinor*N($J32)+(N($G32)&gt;0)*cfgWeightSpelling*N($K32)+($H32&gt;0)*cfgWeightFinal*N($L32))/_xlpm.w,2))))</f>
        <v/>
      </c>
      <c r="N32" s="17">
        <f>IF(OR($B32="",$H32=0),"",$M32)</f>
        <v/>
      </c>
      <c r="O32" s="17">
        <f>IF($B32="","",COUNTIFS(nrES_PID,$B32,nrES_Att,2))</f>
        <v/>
      </c>
      <c r="P32" s="17">
        <f>IF($B32="","",COUNTIFS(nrES_PID,$B32,nrES_Dis,"Yes"))</f>
        <v/>
      </c>
      <c r="Q32" s="17">
        <f>IF($B32="","",IF(AND($I32&lt;&gt;"",$I32&lt;cfgThresholdScore,OR($E32&gt;=cfgThresholdAfterExam,$E32&gt;=COUNTIFS(rngEPuse,"Yes",rngEPtype,"Major"))),"Yes","No"))</f>
        <v/>
      </c>
      <c r="R32" s="17">
        <f>IF($B32="","",IF(AND($J32&lt;&gt;"",$J32&lt;cfgThresholdScore,OR($F32&gt;=cfgThresholdAfterExam,$F32&gt;=COUNTIFS(rngEPuse,"Yes",rngEPtype,"Minor"))),"Yes","No"))</f>
        <v/>
      </c>
      <c r="S32" s="17">
        <f>IF($B32="","",IF($M32="",-1,$M32))</f>
        <v/>
      </c>
      <c r="T32" s="17">
        <f>IF($B32="","",IF(AND($D32="Active",sysChecks!$M32&lt;&gt;"Yes",$M32&lt;&gt;""),"Yes","No"))</f>
        <v/>
      </c>
      <c r="U32" s="17">
        <f>IF($T32&lt;&gt;"Yes","",SUMPRODUCT(($T$6:$T$55="Yes")*(($S$6:$S$55&gt;$S32)+($S$6:$S$55=$S32)*(ROW($S$6:$S$55)&lt;ROW())))+1)</f>
        <v/>
      </c>
      <c r="V32" s="17">
        <f>IF($B32="","",IF(AND($Q32="No",$R32="No",OR(N($G32)=0,$K32&gt;=cfgThresholdScore),OR($H32=0,$L32&gt;=cfgThresholdScore)),"Yes","No"))</f>
        <v/>
      </c>
      <c r="W32" s="17">
        <f>IF($B32="","",_xlfn.LET(_xlpm.tot,COUNTIFS(rngEPuse,"Yes",rngEPtype,"Major"),_xlpm.left,_xlpm.tot-$E32,IF(_xlpm.left&lt;=0,"done",MAX(0,ROUND((cfgThresholdScore*_xlpm.tot-N($I32)*$E32)/_xlpm.left,1)))))</f>
        <v/>
      </c>
      <c r="X32" s="17">
        <f>IF($B32="","",_xlfn.LET(_xlpm.tot,COUNTIFS(rngEPuse,"Yes",rngEPtype,"Minor"),_xlpm.left,_xlpm.tot-$F32,IF(_xlpm.left&lt;=0,"done",MAX(0,ROUND((cfgThresholdScore*_xlpm.tot-N($J32)*$F32)/_xlpm.left,1)))))</f>
        <v/>
      </c>
      <c r="Y32" s="17">
        <f>IF($B32="","",IF($H32&gt;0,"done",cfgThresholdScore))</f>
        <v/>
      </c>
      <c r="Z32" s="17">
        <f>IF($B32="","",_xlfn.LET(_xlpm.s,_xlfn.MAXIFS(nrES_Seq,nrES_PID,$B32,nrES_Att,1,nrES_Raw,"&gt;=0"),IF(_xlpm.s=0,"",SUMIFS(nrES_Raw,nrES_PID,$B32,nrES_Att,1,nrES_Seq,_xlpm.s))))</f>
        <v/>
      </c>
      <c r="AA32" s="17">
        <f>IF($B32="","",_xlfn.LET(_xlpm.s,_xlfn.MAXIFS(nrES_Seq,nrES_PID,$B32,nrES_Att,1,nrES_Raw,"&gt;=0"),IF(_xlpm.s=0,"",_xlfn.LET(_xlpm.p,_xlfn.MAXIFS(nrES_Seq,nrES_PID,$B32,nrES_Att,1,nrES_Seq,"&lt;"&amp;_xlpm.s,nrES_Raw,"&gt;=0"),IF(_xlpm.p=0,"",SUMIFS(nrES_Raw,nrES_PID,$B32,nrES_Att,1,nrES_Seq,_xlpm.p))))))</f>
        <v/>
      </c>
      <c r="AB32" s="17">
        <f>IF(OR($B32="",$Z32="",$AA32=""),"",ROUND($AA32-$Z32,1))</f>
        <v/>
      </c>
      <c r="AC32" s="17">
        <f>IF($B32="","",_xlfn.LET(_xlpm.s,_xlfn.MAXIFS(nrES_Seq,nrES_PID,$B32,nrES_Att,1,nrES_Raw,"&gt;=0"),IF(_xlpm.s=0,0,_xlfn.LET(_xlpm.a,IF(SUMIFS(nrES_Raw,nrES_PID,$B32,nrES_Att,1,nrES_Seq,_xlpm.s)&lt;cfgPassingScore,1,0),_xlpm.p,_xlfn.MAXIFS(nrES_Seq,nrES_PID,$B32,nrES_Att,1,nrES_Seq,"&lt;"&amp;_xlpm.s,nrES_Raw,"&gt;=0"),IF(OR(_xlpm.a=0,_xlpm.p=0),_xlpm.a,_xlpm.a+IF(SUMIFS(nrES_Raw,nrES_PID,$B32,nrES_Att,1,nrES_Seq,_xlpm.p)&lt;cfgPassingScore,1,0))))))</f>
        <v/>
      </c>
    </row>
    <row r="33">
      <c r="B33" s="17">
        <f>IF(Cadets!$B33="","",Cadets!$B33)</f>
        <v/>
      </c>
      <c r="C33" s="17">
        <f>IF($B33="","",Cadets!$F33)</f>
        <v/>
      </c>
      <c r="D33" s="17">
        <f>IF($B33="","",Cadets!$I33)</f>
        <v/>
      </c>
      <c r="E33" s="17">
        <f>IF($B33="","",COUNTIFS(nrES_PID,$B33,nrES_Type,"Major",nrES_Final,"Yes",nrES_Rec,"&gt;=0",nrES_Rec,"&lt;=100"))</f>
        <v/>
      </c>
      <c r="F33" s="17">
        <f>IF($B33="","",COUNTIFS(nrES_PID,$B33,nrES_Type,"Minor",nrES_Final,"Yes",nrES_Rec,"&gt;=0",nrES_Rec,"&lt;=100"))</f>
        <v/>
      </c>
      <c r="G33" s="17">
        <f>IF($B33="","",Spelling!Q33)</f>
        <v/>
      </c>
      <c r="H33" s="17">
        <f>IF($B33="","",COUNTIFS(nrES_PID,$B33,nrES_Type,"Final",nrES_Final,"Yes",nrES_Rec,"&gt;=0",nrES_Rec,"&lt;=100"))</f>
        <v/>
      </c>
      <c r="I33" s="17">
        <f>IF(OR($B33="",$E33=0),"",IFERROR(ROUND(AVERAGEIFS(nrES_Rec,nrES_PID,$B33,nrES_Type,"Major",nrES_Final,"Yes",nrES_Rec,"&gt;=0",nrES_Rec,"&lt;=100"),2),""))</f>
        <v/>
      </c>
      <c r="J33" s="17">
        <f>IF(OR($B33="",$F33=0),"",IFERROR(ROUND(AVERAGEIFS(nrES_Rec,nrES_PID,$B33,nrES_Type,"Minor",nrES_Final,"Yes",nrES_Rec,"&gt;=0",nrES_Rec,"&lt;=100"),2),""))</f>
        <v/>
      </c>
      <c r="K33" s="17">
        <f>IF($B33="","",Spelling!P33)</f>
        <v/>
      </c>
      <c r="L33" s="17">
        <f>IF(OR($B33="",$H33=0),"",IFERROR(ROUND(AVERAGEIFS(nrES_Rec,nrES_PID,$B33,nrES_Type,"Final",nrES_Final,"Yes",nrES_Rec,"&gt;=0",nrES_Rec,"&lt;=100"),2),""))</f>
        <v/>
      </c>
      <c r="M33" s="17">
        <f>IF($B33="","",_xlfn.LET(_xlpm.w,($E33&gt;0)*cfgWeightMajor+($F33&gt;0)*cfgWeightMinor+(N($G33)&gt;0)*cfgWeightSpelling+($H33&gt;0)*cfgWeightFinal,IF(_xlpm.w=0,"",ROUND((($E33&gt;0)*cfgWeightMajor*N($I33)+($F33&gt;0)*cfgWeightMinor*N($J33)+(N($G33)&gt;0)*cfgWeightSpelling*N($K33)+($H33&gt;0)*cfgWeightFinal*N($L33))/_xlpm.w,2))))</f>
        <v/>
      </c>
      <c r="N33" s="17">
        <f>IF(OR($B33="",$H33=0),"",$M33)</f>
        <v/>
      </c>
      <c r="O33" s="17">
        <f>IF($B33="","",COUNTIFS(nrES_PID,$B33,nrES_Att,2))</f>
        <v/>
      </c>
      <c r="P33" s="17">
        <f>IF($B33="","",COUNTIFS(nrES_PID,$B33,nrES_Dis,"Yes"))</f>
        <v/>
      </c>
      <c r="Q33" s="17">
        <f>IF($B33="","",IF(AND($I33&lt;&gt;"",$I33&lt;cfgThresholdScore,OR($E33&gt;=cfgThresholdAfterExam,$E33&gt;=COUNTIFS(rngEPuse,"Yes",rngEPtype,"Major"))),"Yes","No"))</f>
        <v/>
      </c>
      <c r="R33" s="17">
        <f>IF($B33="","",IF(AND($J33&lt;&gt;"",$J33&lt;cfgThresholdScore,OR($F33&gt;=cfgThresholdAfterExam,$F33&gt;=COUNTIFS(rngEPuse,"Yes",rngEPtype,"Minor"))),"Yes","No"))</f>
        <v/>
      </c>
      <c r="S33" s="17">
        <f>IF($B33="","",IF($M33="",-1,$M33))</f>
        <v/>
      </c>
      <c r="T33" s="17">
        <f>IF($B33="","",IF(AND($D33="Active",sysChecks!$M33&lt;&gt;"Yes",$M33&lt;&gt;""),"Yes","No"))</f>
        <v/>
      </c>
      <c r="U33" s="17">
        <f>IF($T33&lt;&gt;"Yes","",SUMPRODUCT(($T$6:$T$55="Yes")*(($S$6:$S$55&gt;$S33)+($S$6:$S$55=$S33)*(ROW($S$6:$S$55)&lt;ROW())))+1)</f>
        <v/>
      </c>
      <c r="V33" s="17">
        <f>IF($B33="","",IF(AND($Q33="No",$R33="No",OR(N($G33)=0,$K33&gt;=cfgThresholdScore),OR($H33=0,$L33&gt;=cfgThresholdScore)),"Yes","No"))</f>
        <v/>
      </c>
      <c r="W33" s="17">
        <f>IF($B33="","",_xlfn.LET(_xlpm.tot,COUNTIFS(rngEPuse,"Yes",rngEPtype,"Major"),_xlpm.left,_xlpm.tot-$E33,IF(_xlpm.left&lt;=0,"done",MAX(0,ROUND((cfgThresholdScore*_xlpm.tot-N($I33)*$E33)/_xlpm.left,1)))))</f>
        <v/>
      </c>
      <c r="X33" s="17">
        <f>IF($B33="","",_xlfn.LET(_xlpm.tot,COUNTIFS(rngEPuse,"Yes",rngEPtype,"Minor"),_xlpm.left,_xlpm.tot-$F33,IF(_xlpm.left&lt;=0,"done",MAX(0,ROUND((cfgThresholdScore*_xlpm.tot-N($J33)*$F33)/_xlpm.left,1)))))</f>
        <v/>
      </c>
      <c r="Y33" s="17">
        <f>IF($B33="","",IF($H33&gt;0,"done",cfgThresholdScore))</f>
        <v/>
      </c>
      <c r="Z33" s="17">
        <f>IF($B33="","",_xlfn.LET(_xlpm.s,_xlfn.MAXIFS(nrES_Seq,nrES_PID,$B33,nrES_Att,1,nrES_Raw,"&gt;=0"),IF(_xlpm.s=0,"",SUMIFS(nrES_Raw,nrES_PID,$B33,nrES_Att,1,nrES_Seq,_xlpm.s))))</f>
        <v/>
      </c>
      <c r="AA33" s="17">
        <f>IF($B33="","",_xlfn.LET(_xlpm.s,_xlfn.MAXIFS(nrES_Seq,nrES_PID,$B33,nrES_Att,1,nrES_Raw,"&gt;=0"),IF(_xlpm.s=0,"",_xlfn.LET(_xlpm.p,_xlfn.MAXIFS(nrES_Seq,nrES_PID,$B33,nrES_Att,1,nrES_Seq,"&lt;"&amp;_xlpm.s,nrES_Raw,"&gt;=0"),IF(_xlpm.p=0,"",SUMIFS(nrES_Raw,nrES_PID,$B33,nrES_Att,1,nrES_Seq,_xlpm.p))))))</f>
        <v/>
      </c>
      <c r="AB33" s="17">
        <f>IF(OR($B33="",$Z33="",$AA33=""),"",ROUND($AA33-$Z33,1))</f>
        <v/>
      </c>
      <c r="AC33" s="17">
        <f>IF($B33="","",_xlfn.LET(_xlpm.s,_xlfn.MAXIFS(nrES_Seq,nrES_PID,$B33,nrES_Att,1,nrES_Raw,"&gt;=0"),IF(_xlpm.s=0,0,_xlfn.LET(_xlpm.a,IF(SUMIFS(nrES_Raw,nrES_PID,$B33,nrES_Att,1,nrES_Seq,_xlpm.s)&lt;cfgPassingScore,1,0),_xlpm.p,_xlfn.MAXIFS(nrES_Seq,nrES_PID,$B33,nrES_Att,1,nrES_Seq,"&lt;"&amp;_xlpm.s,nrES_Raw,"&gt;=0"),IF(OR(_xlpm.a=0,_xlpm.p=0),_xlpm.a,_xlpm.a+IF(SUMIFS(nrES_Raw,nrES_PID,$B33,nrES_Att,1,nrES_Seq,_xlpm.p)&lt;cfgPassingScore,1,0))))))</f>
        <v/>
      </c>
    </row>
    <row r="34">
      <c r="B34" s="17">
        <f>IF(Cadets!$B34="","",Cadets!$B34)</f>
        <v/>
      </c>
      <c r="C34" s="17">
        <f>IF($B34="","",Cadets!$F34)</f>
        <v/>
      </c>
      <c r="D34" s="17">
        <f>IF($B34="","",Cadets!$I34)</f>
        <v/>
      </c>
      <c r="E34" s="17">
        <f>IF($B34="","",COUNTIFS(nrES_PID,$B34,nrES_Type,"Major",nrES_Final,"Yes",nrES_Rec,"&gt;=0",nrES_Rec,"&lt;=100"))</f>
        <v/>
      </c>
      <c r="F34" s="17">
        <f>IF($B34="","",COUNTIFS(nrES_PID,$B34,nrES_Type,"Minor",nrES_Final,"Yes",nrES_Rec,"&gt;=0",nrES_Rec,"&lt;=100"))</f>
        <v/>
      </c>
      <c r="G34" s="17">
        <f>IF($B34="","",Spelling!Q34)</f>
        <v/>
      </c>
      <c r="H34" s="17">
        <f>IF($B34="","",COUNTIFS(nrES_PID,$B34,nrES_Type,"Final",nrES_Final,"Yes",nrES_Rec,"&gt;=0",nrES_Rec,"&lt;=100"))</f>
        <v/>
      </c>
      <c r="I34" s="17">
        <f>IF(OR($B34="",$E34=0),"",IFERROR(ROUND(AVERAGEIFS(nrES_Rec,nrES_PID,$B34,nrES_Type,"Major",nrES_Final,"Yes",nrES_Rec,"&gt;=0",nrES_Rec,"&lt;=100"),2),""))</f>
        <v/>
      </c>
      <c r="J34" s="17">
        <f>IF(OR($B34="",$F34=0),"",IFERROR(ROUND(AVERAGEIFS(nrES_Rec,nrES_PID,$B34,nrES_Type,"Minor",nrES_Final,"Yes",nrES_Rec,"&gt;=0",nrES_Rec,"&lt;=100"),2),""))</f>
        <v/>
      </c>
      <c r="K34" s="17">
        <f>IF($B34="","",Spelling!P34)</f>
        <v/>
      </c>
      <c r="L34" s="17">
        <f>IF(OR($B34="",$H34=0),"",IFERROR(ROUND(AVERAGEIFS(nrES_Rec,nrES_PID,$B34,nrES_Type,"Final",nrES_Final,"Yes",nrES_Rec,"&gt;=0",nrES_Rec,"&lt;=100"),2),""))</f>
        <v/>
      </c>
      <c r="M34" s="17">
        <f>IF($B34="","",_xlfn.LET(_xlpm.w,($E34&gt;0)*cfgWeightMajor+($F34&gt;0)*cfgWeightMinor+(N($G34)&gt;0)*cfgWeightSpelling+($H34&gt;0)*cfgWeightFinal,IF(_xlpm.w=0,"",ROUND((($E34&gt;0)*cfgWeightMajor*N($I34)+($F34&gt;0)*cfgWeightMinor*N($J34)+(N($G34)&gt;0)*cfgWeightSpelling*N($K34)+($H34&gt;0)*cfgWeightFinal*N($L34))/_xlpm.w,2))))</f>
        <v/>
      </c>
      <c r="N34" s="17">
        <f>IF(OR($B34="",$H34=0),"",$M34)</f>
        <v/>
      </c>
      <c r="O34" s="17">
        <f>IF($B34="","",COUNTIFS(nrES_PID,$B34,nrES_Att,2))</f>
        <v/>
      </c>
      <c r="P34" s="17">
        <f>IF($B34="","",COUNTIFS(nrES_PID,$B34,nrES_Dis,"Yes"))</f>
        <v/>
      </c>
      <c r="Q34" s="17">
        <f>IF($B34="","",IF(AND($I34&lt;&gt;"",$I34&lt;cfgThresholdScore,OR($E34&gt;=cfgThresholdAfterExam,$E34&gt;=COUNTIFS(rngEPuse,"Yes",rngEPtype,"Major"))),"Yes","No"))</f>
        <v/>
      </c>
      <c r="R34" s="17">
        <f>IF($B34="","",IF(AND($J34&lt;&gt;"",$J34&lt;cfgThresholdScore,OR($F34&gt;=cfgThresholdAfterExam,$F34&gt;=COUNTIFS(rngEPuse,"Yes",rngEPtype,"Minor"))),"Yes","No"))</f>
        <v/>
      </c>
      <c r="S34" s="17">
        <f>IF($B34="","",IF($M34="",-1,$M34))</f>
        <v/>
      </c>
      <c r="T34" s="17">
        <f>IF($B34="","",IF(AND($D34="Active",sysChecks!$M34&lt;&gt;"Yes",$M34&lt;&gt;""),"Yes","No"))</f>
        <v/>
      </c>
      <c r="U34" s="17">
        <f>IF($T34&lt;&gt;"Yes","",SUMPRODUCT(($T$6:$T$55="Yes")*(($S$6:$S$55&gt;$S34)+($S$6:$S$55=$S34)*(ROW($S$6:$S$55)&lt;ROW())))+1)</f>
        <v/>
      </c>
      <c r="V34" s="17">
        <f>IF($B34="","",IF(AND($Q34="No",$R34="No",OR(N($G34)=0,$K34&gt;=cfgThresholdScore),OR($H34=0,$L34&gt;=cfgThresholdScore)),"Yes","No"))</f>
        <v/>
      </c>
      <c r="W34" s="17">
        <f>IF($B34="","",_xlfn.LET(_xlpm.tot,COUNTIFS(rngEPuse,"Yes",rngEPtype,"Major"),_xlpm.left,_xlpm.tot-$E34,IF(_xlpm.left&lt;=0,"done",MAX(0,ROUND((cfgThresholdScore*_xlpm.tot-N($I34)*$E34)/_xlpm.left,1)))))</f>
        <v/>
      </c>
      <c r="X34" s="17">
        <f>IF($B34="","",_xlfn.LET(_xlpm.tot,COUNTIFS(rngEPuse,"Yes",rngEPtype,"Minor"),_xlpm.left,_xlpm.tot-$F34,IF(_xlpm.left&lt;=0,"done",MAX(0,ROUND((cfgThresholdScore*_xlpm.tot-N($J34)*$F34)/_xlpm.left,1)))))</f>
        <v/>
      </c>
      <c r="Y34" s="17">
        <f>IF($B34="","",IF($H34&gt;0,"done",cfgThresholdScore))</f>
        <v/>
      </c>
      <c r="Z34" s="17">
        <f>IF($B34="","",_xlfn.LET(_xlpm.s,_xlfn.MAXIFS(nrES_Seq,nrES_PID,$B34,nrES_Att,1,nrES_Raw,"&gt;=0"),IF(_xlpm.s=0,"",SUMIFS(nrES_Raw,nrES_PID,$B34,nrES_Att,1,nrES_Seq,_xlpm.s))))</f>
        <v/>
      </c>
      <c r="AA34" s="17">
        <f>IF($B34="","",_xlfn.LET(_xlpm.s,_xlfn.MAXIFS(nrES_Seq,nrES_PID,$B34,nrES_Att,1,nrES_Raw,"&gt;=0"),IF(_xlpm.s=0,"",_xlfn.LET(_xlpm.p,_xlfn.MAXIFS(nrES_Seq,nrES_PID,$B34,nrES_Att,1,nrES_Seq,"&lt;"&amp;_xlpm.s,nrES_Raw,"&gt;=0"),IF(_xlpm.p=0,"",SUMIFS(nrES_Raw,nrES_PID,$B34,nrES_Att,1,nrES_Seq,_xlpm.p))))))</f>
        <v/>
      </c>
      <c r="AB34" s="17">
        <f>IF(OR($B34="",$Z34="",$AA34=""),"",ROUND($AA34-$Z34,1))</f>
        <v/>
      </c>
      <c r="AC34" s="17">
        <f>IF($B34="","",_xlfn.LET(_xlpm.s,_xlfn.MAXIFS(nrES_Seq,nrES_PID,$B34,nrES_Att,1,nrES_Raw,"&gt;=0"),IF(_xlpm.s=0,0,_xlfn.LET(_xlpm.a,IF(SUMIFS(nrES_Raw,nrES_PID,$B34,nrES_Att,1,nrES_Seq,_xlpm.s)&lt;cfgPassingScore,1,0),_xlpm.p,_xlfn.MAXIFS(nrES_Seq,nrES_PID,$B34,nrES_Att,1,nrES_Seq,"&lt;"&amp;_xlpm.s,nrES_Raw,"&gt;=0"),IF(OR(_xlpm.a=0,_xlpm.p=0),_xlpm.a,_xlpm.a+IF(SUMIFS(nrES_Raw,nrES_PID,$B34,nrES_Att,1,nrES_Seq,_xlpm.p)&lt;cfgPassingScore,1,0))))))</f>
        <v/>
      </c>
    </row>
    <row r="35">
      <c r="B35" s="17">
        <f>IF(Cadets!$B35="","",Cadets!$B35)</f>
        <v/>
      </c>
      <c r="C35" s="17">
        <f>IF($B35="","",Cadets!$F35)</f>
        <v/>
      </c>
      <c r="D35" s="17">
        <f>IF($B35="","",Cadets!$I35)</f>
        <v/>
      </c>
      <c r="E35" s="17">
        <f>IF($B35="","",COUNTIFS(nrES_PID,$B35,nrES_Type,"Major",nrES_Final,"Yes",nrES_Rec,"&gt;=0",nrES_Rec,"&lt;=100"))</f>
        <v/>
      </c>
      <c r="F35" s="17">
        <f>IF($B35="","",COUNTIFS(nrES_PID,$B35,nrES_Type,"Minor",nrES_Final,"Yes",nrES_Rec,"&gt;=0",nrES_Rec,"&lt;=100"))</f>
        <v/>
      </c>
      <c r="G35" s="17">
        <f>IF($B35="","",Spelling!Q35)</f>
        <v/>
      </c>
      <c r="H35" s="17">
        <f>IF($B35="","",COUNTIFS(nrES_PID,$B35,nrES_Type,"Final",nrES_Final,"Yes",nrES_Rec,"&gt;=0",nrES_Rec,"&lt;=100"))</f>
        <v/>
      </c>
      <c r="I35" s="17">
        <f>IF(OR($B35="",$E35=0),"",IFERROR(ROUND(AVERAGEIFS(nrES_Rec,nrES_PID,$B35,nrES_Type,"Major",nrES_Final,"Yes",nrES_Rec,"&gt;=0",nrES_Rec,"&lt;=100"),2),""))</f>
        <v/>
      </c>
      <c r="J35" s="17">
        <f>IF(OR($B35="",$F35=0),"",IFERROR(ROUND(AVERAGEIFS(nrES_Rec,nrES_PID,$B35,nrES_Type,"Minor",nrES_Final,"Yes",nrES_Rec,"&gt;=0",nrES_Rec,"&lt;=100"),2),""))</f>
        <v/>
      </c>
      <c r="K35" s="17">
        <f>IF($B35="","",Spelling!P35)</f>
        <v/>
      </c>
      <c r="L35" s="17">
        <f>IF(OR($B35="",$H35=0),"",IFERROR(ROUND(AVERAGEIFS(nrES_Rec,nrES_PID,$B35,nrES_Type,"Final",nrES_Final,"Yes",nrES_Rec,"&gt;=0",nrES_Rec,"&lt;=100"),2),""))</f>
        <v/>
      </c>
      <c r="M35" s="17">
        <f>IF($B35="","",_xlfn.LET(_xlpm.w,($E35&gt;0)*cfgWeightMajor+($F35&gt;0)*cfgWeightMinor+(N($G35)&gt;0)*cfgWeightSpelling+($H35&gt;0)*cfgWeightFinal,IF(_xlpm.w=0,"",ROUND((($E35&gt;0)*cfgWeightMajor*N($I35)+($F35&gt;0)*cfgWeightMinor*N($J35)+(N($G35)&gt;0)*cfgWeightSpelling*N($K35)+($H35&gt;0)*cfgWeightFinal*N($L35))/_xlpm.w,2))))</f>
        <v/>
      </c>
      <c r="N35" s="17">
        <f>IF(OR($B35="",$H35=0),"",$M35)</f>
        <v/>
      </c>
      <c r="O35" s="17">
        <f>IF($B35="","",COUNTIFS(nrES_PID,$B35,nrES_Att,2))</f>
        <v/>
      </c>
      <c r="P35" s="17">
        <f>IF($B35="","",COUNTIFS(nrES_PID,$B35,nrES_Dis,"Yes"))</f>
        <v/>
      </c>
      <c r="Q35" s="17">
        <f>IF($B35="","",IF(AND($I35&lt;&gt;"",$I35&lt;cfgThresholdScore,OR($E35&gt;=cfgThresholdAfterExam,$E35&gt;=COUNTIFS(rngEPuse,"Yes",rngEPtype,"Major"))),"Yes","No"))</f>
        <v/>
      </c>
      <c r="R35" s="17">
        <f>IF($B35="","",IF(AND($J35&lt;&gt;"",$J35&lt;cfgThresholdScore,OR($F35&gt;=cfgThresholdAfterExam,$F35&gt;=COUNTIFS(rngEPuse,"Yes",rngEPtype,"Minor"))),"Yes","No"))</f>
        <v/>
      </c>
      <c r="S35" s="17">
        <f>IF($B35="","",IF($M35="",-1,$M35))</f>
        <v/>
      </c>
      <c r="T35" s="17">
        <f>IF($B35="","",IF(AND($D35="Active",sysChecks!$M35&lt;&gt;"Yes",$M35&lt;&gt;""),"Yes","No"))</f>
        <v/>
      </c>
      <c r="U35" s="17">
        <f>IF($T35&lt;&gt;"Yes","",SUMPRODUCT(($T$6:$T$55="Yes")*(($S$6:$S$55&gt;$S35)+($S$6:$S$55=$S35)*(ROW($S$6:$S$55)&lt;ROW())))+1)</f>
        <v/>
      </c>
      <c r="V35" s="17">
        <f>IF($B35="","",IF(AND($Q35="No",$R35="No",OR(N($G35)=0,$K35&gt;=cfgThresholdScore),OR($H35=0,$L35&gt;=cfgThresholdScore)),"Yes","No"))</f>
        <v/>
      </c>
      <c r="W35" s="17">
        <f>IF($B35="","",_xlfn.LET(_xlpm.tot,COUNTIFS(rngEPuse,"Yes",rngEPtype,"Major"),_xlpm.left,_xlpm.tot-$E35,IF(_xlpm.left&lt;=0,"done",MAX(0,ROUND((cfgThresholdScore*_xlpm.tot-N($I35)*$E35)/_xlpm.left,1)))))</f>
        <v/>
      </c>
      <c r="X35" s="17">
        <f>IF($B35="","",_xlfn.LET(_xlpm.tot,COUNTIFS(rngEPuse,"Yes",rngEPtype,"Minor"),_xlpm.left,_xlpm.tot-$F35,IF(_xlpm.left&lt;=0,"done",MAX(0,ROUND((cfgThresholdScore*_xlpm.tot-N($J35)*$F35)/_xlpm.left,1)))))</f>
        <v/>
      </c>
      <c r="Y35" s="17">
        <f>IF($B35="","",IF($H35&gt;0,"done",cfgThresholdScore))</f>
        <v/>
      </c>
      <c r="Z35" s="17">
        <f>IF($B35="","",_xlfn.LET(_xlpm.s,_xlfn.MAXIFS(nrES_Seq,nrES_PID,$B35,nrES_Att,1,nrES_Raw,"&gt;=0"),IF(_xlpm.s=0,"",SUMIFS(nrES_Raw,nrES_PID,$B35,nrES_Att,1,nrES_Seq,_xlpm.s))))</f>
        <v/>
      </c>
      <c r="AA35" s="17">
        <f>IF($B35="","",_xlfn.LET(_xlpm.s,_xlfn.MAXIFS(nrES_Seq,nrES_PID,$B35,nrES_Att,1,nrES_Raw,"&gt;=0"),IF(_xlpm.s=0,"",_xlfn.LET(_xlpm.p,_xlfn.MAXIFS(nrES_Seq,nrES_PID,$B35,nrES_Att,1,nrES_Seq,"&lt;"&amp;_xlpm.s,nrES_Raw,"&gt;=0"),IF(_xlpm.p=0,"",SUMIFS(nrES_Raw,nrES_PID,$B35,nrES_Att,1,nrES_Seq,_xlpm.p))))))</f>
        <v/>
      </c>
      <c r="AB35" s="17">
        <f>IF(OR($B35="",$Z35="",$AA35=""),"",ROUND($AA35-$Z35,1))</f>
        <v/>
      </c>
      <c r="AC35" s="17">
        <f>IF($B35="","",_xlfn.LET(_xlpm.s,_xlfn.MAXIFS(nrES_Seq,nrES_PID,$B35,nrES_Att,1,nrES_Raw,"&gt;=0"),IF(_xlpm.s=0,0,_xlfn.LET(_xlpm.a,IF(SUMIFS(nrES_Raw,nrES_PID,$B35,nrES_Att,1,nrES_Seq,_xlpm.s)&lt;cfgPassingScore,1,0),_xlpm.p,_xlfn.MAXIFS(nrES_Seq,nrES_PID,$B35,nrES_Att,1,nrES_Seq,"&lt;"&amp;_xlpm.s,nrES_Raw,"&gt;=0"),IF(OR(_xlpm.a=0,_xlpm.p=0),_xlpm.a,_xlpm.a+IF(SUMIFS(nrES_Raw,nrES_PID,$B35,nrES_Att,1,nrES_Seq,_xlpm.p)&lt;cfgPassingScore,1,0))))))</f>
        <v/>
      </c>
    </row>
    <row r="36">
      <c r="B36" s="17">
        <f>IF(Cadets!$B36="","",Cadets!$B36)</f>
        <v/>
      </c>
      <c r="C36" s="17">
        <f>IF($B36="","",Cadets!$F36)</f>
        <v/>
      </c>
      <c r="D36" s="17">
        <f>IF($B36="","",Cadets!$I36)</f>
        <v/>
      </c>
      <c r="E36" s="17">
        <f>IF($B36="","",COUNTIFS(nrES_PID,$B36,nrES_Type,"Major",nrES_Final,"Yes",nrES_Rec,"&gt;=0",nrES_Rec,"&lt;=100"))</f>
        <v/>
      </c>
      <c r="F36" s="17">
        <f>IF($B36="","",COUNTIFS(nrES_PID,$B36,nrES_Type,"Minor",nrES_Final,"Yes",nrES_Rec,"&gt;=0",nrES_Rec,"&lt;=100"))</f>
        <v/>
      </c>
      <c r="G36" s="17">
        <f>IF($B36="","",Spelling!Q36)</f>
        <v/>
      </c>
      <c r="H36" s="17">
        <f>IF($B36="","",COUNTIFS(nrES_PID,$B36,nrES_Type,"Final",nrES_Final,"Yes",nrES_Rec,"&gt;=0",nrES_Rec,"&lt;=100"))</f>
        <v/>
      </c>
      <c r="I36" s="17">
        <f>IF(OR($B36="",$E36=0),"",IFERROR(ROUND(AVERAGEIFS(nrES_Rec,nrES_PID,$B36,nrES_Type,"Major",nrES_Final,"Yes",nrES_Rec,"&gt;=0",nrES_Rec,"&lt;=100"),2),""))</f>
        <v/>
      </c>
      <c r="J36" s="17">
        <f>IF(OR($B36="",$F36=0),"",IFERROR(ROUND(AVERAGEIFS(nrES_Rec,nrES_PID,$B36,nrES_Type,"Minor",nrES_Final,"Yes",nrES_Rec,"&gt;=0",nrES_Rec,"&lt;=100"),2),""))</f>
        <v/>
      </c>
      <c r="K36" s="17">
        <f>IF($B36="","",Spelling!P36)</f>
        <v/>
      </c>
      <c r="L36" s="17">
        <f>IF(OR($B36="",$H36=0),"",IFERROR(ROUND(AVERAGEIFS(nrES_Rec,nrES_PID,$B36,nrES_Type,"Final",nrES_Final,"Yes",nrES_Rec,"&gt;=0",nrES_Rec,"&lt;=100"),2),""))</f>
        <v/>
      </c>
      <c r="M36" s="17">
        <f>IF($B36="","",_xlfn.LET(_xlpm.w,($E36&gt;0)*cfgWeightMajor+($F36&gt;0)*cfgWeightMinor+(N($G36)&gt;0)*cfgWeightSpelling+($H36&gt;0)*cfgWeightFinal,IF(_xlpm.w=0,"",ROUND((($E36&gt;0)*cfgWeightMajor*N($I36)+($F36&gt;0)*cfgWeightMinor*N($J36)+(N($G36)&gt;0)*cfgWeightSpelling*N($K36)+($H36&gt;0)*cfgWeightFinal*N($L36))/_xlpm.w,2))))</f>
        <v/>
      </c>
      <c r="N36" s="17">
        <f>IF(OR($B36="",$H36=0),"",$M36)</f>
        <v/>
      </c>
      <c r="O36" s="17">
        <f>IF($B36="","",COUNTIFS(nrES_PID,$B36,nrES_Att,2))</f>
        <v/>
      </c>
      <c r="P36" s="17">
        <f>IF($B36="","",COUNTIFS(nrES_PID,$B36,nrES_Dis,"Yes"))</f>
        <v/>
      </c>
      <c r="Q36" s="17">
        <f>IF($B36="","",IF(AND($I36&lt;&gt;"",$I36&lt;cfgThresholdScore,OR($E36&gt;=cfgThresholdAfterExam,$E36&gt;=COUNTIFS(rngEPuse,"Yes",rngEPtype,"Major"))),"Yes","No"))</f>
        <v/>
      </c>
      <c r="R36" s="17">
        <f>IF($B36="","",IF(AND($J36&lt;&gt;"",$J36&lt;cfgThresholdScore,OR($F36&gt;=cfgThresholdAfterExam,$F36&gt;=COUNTIFS(rngEPuse,"Yes",rngEPtype,"Minor"))),"Yes","No"))</f>
        <v/>
      </c>
      <c r="S36" s="17">
        <f>IF($B36="","",IF($M36="",-1,$M36))</f>
        <v/>
      </c>
      <c r="T36" s="17">
        <f>IF($B36="","",IF(AND($D36="Active",sysChecks!$M36&lt;&gt;"Yes",$M36&lt;&gt;""),"Yes","No"))</f>
        <v/>
      </c>
      <c r="U36" s="17">
        <f>IF($T36&lt;&gt;"Yes","",SUMPRODUCT(($T$6:$T$55="Yes")*(($S$6:$S$55&gt;$S36)+($S$6:$S$55=$S36)*(ROW($S$6:$S$55)&lt;ROW())))+1)</f>
        <v/>
      </c>
      <c r="V36" s="17">
        <f>IF($B36="","",IF(AND($Q36="No",$R36="No",OR(N($G36)=0,$K36&gt;=cfgThresholdScore),OR($H36=0,$L36&gt;=cfgThresholdScore)),"Yes","No"))</f>
        <v/>
      </c>
      <c r="W36" s="17">
        <f>IF($B36="","",_xlfn.LET(_xlpm.tot,COUNTIFS(rngEPuse,"Yes",rngEPtype,"Major"),_xlpm.left,_xlpm.tot-$E36,IF(_xlpm.left&lt;=0,"done",MAX(0,ROUND((cfgThresholdScore*_xlpm.tot-N($I36)*$E36)/_xlpm.left,1)))))</f>
        <v/>
      </c>
      <c r="X36" s="17">
        <f>IF($B36="","",_xlfn.LET(_xlpm.tot,COUNTIFS(rngEPuse,"Yes",rngEPtype,"Minor"),_xlpm.left,_xlpm.tot-$F36,IF(_xlpm.left&lt;=0,"done",MAX(0,ROUND((cfgThresholdScore*_xlpm.tot-N($J36)*$F36)/_xlpm.left,1)))))</f>
        <v/>
      </c>
      <c r="Y36" s="17">
        <f>IF($B36="","",IF($H36&gt;0,"done",cfgThresholdScore))</f>
        <v/>
      </c>
      <c r="Z36" s="17">
        <f>IF($B36="","",_xlfn.LET(_xlpm.s,_xlfn.MAXIFS(nrES_Seq,nrES_PID,$B36,nrES_Att,1,nrES_Raw,"&gt;=0"),IF(_xlpm.s=0,"",SUMIFS(nrES_Raw,nrES_PID,$B36,nrES_Att,1,nrES_Seq,_xlpm.s))))</f>
        <v/>
      </c>
      <c r="AA36" s="17">
        <f>IF($B36="","",_xlfn.LET(_xlpm.s,_xlfn.MAXIFS(nrES_Seq,nrES_PID,$B36,nrES_Att,1,nrES_Raw,"&gt;=0"),IF(_xlpm.s=0,"",_xlfn.LET(_xlpm.p,_xlfn.MAXIFS(nrES_Seq,nrES_PID,$B36,nrES_Att,1,nrES_Seq,"&lt;"&amp;_xlpm.s,nrES_Raw,"&gt;=0"),IF(_xlpm.p=0,"",SUMIFS(nrES_Raw,nrES_PID,$B36,nrES_Att,1,nrES_Seq,_xlpm.p))))))</f>
        <v/>
      </c>
      <c r="AB36" s="17">
        <f>IF(OR($B36="",$Z36="",$AA36=""),"",ROUND($AA36-$Z36,1))</f>
        <v/>
      </c>
      <c r="AC36" s="17">
        <f>IF($B36="","",_xlfn.LET(_xlpm.s,_xlfn.MAXIFS(nrES_Seq,nrES_PID,$B36,nrES_Att,1,nrES_Raw,"&gt;=0"),IF(_xlpm.s=0,0,_xlfn.LET(_xlpm.a,IF(SUMIFS(nrES_Raw,nrES_PID,$B36,nrES_Att,1,nrES_Seq,_xlpm.s)&lt;cfgPassingScore,1,0),_xlpm.p,_xlfn.MAXIFS(nrES_Seq,nrES_PID,$B36,nrES_Att,1,nrES_Seq,"&lt;"&amp;_xlpm.s,nrES_Raw,"&gt;=0"),IF(OR(_xlpm.a=0,_xlpm.p=0),_xlpm.a,_xlpm.a+IF(SUMIFS(nrES_Raw,nrES_PID,$B36,nrES_Att,1,nrES_Seq,_xlpm.p)&lt;cfgPassingScore,1,0))))))</f>
        <v/>
      </c>
    </row>
    <row r="37">
      <c r="B37" s="17">
        <f>IF(Cadets!$B37="","",Cadets!$B37)</f>
        <v/>
      </c>
      <c r="C37" s="17">
        <f>IF($B37="","",Cadets!$F37)</f>
        <v/>
      </c>
      <c r="D37" s="17">
        <f>IF($B37="","",Cadets!$I37)</f>
        <v/>
      </c>
      <c r="E37" s="17">
        <f>IF($B37="","",COUNTIFS(nrES_PID,$B37,nrES_Type,"Major",nrES_Final,"Yes",nrES_Rec,"&gt;=0",nrES_Rec,"&lt;=100"))</f>
        <v/>
      </c>
      <c r="F37" s="17">
        <f>IF($B37="","",COUNTIFS(nrES_PID,$B37,nrES_Type,"Minor",nrES_Final,"Yes",nrES_Rec,"&gt;=0",nrES_Rec,"&lt;=100"))</f>
        <v/>
      </c>
      <c r="G37" s="17">
        <f>IF($B37="","",Spelling!Q37)</f>
        <v/>
      </c>
      <c r="H37" s="17">
        <f>IF($B37="","",COUNTIFS(nrES_PID,$B37,nrES_Type,"Final",nrES_Final,"Yes",nrES_Rec,"&gt;=0",nrES_Rec,"&lt;=100"))</f>
        <v/>
      </c>
      <c r="I37" s="17">
        <f>IF(OR($B37="",$E37=0),"",IFERROR(ROUND(AVERAGEIFS(nrES_Rec,nrES_PID,$B37,nrES_Type,"Major",nrES_Final,"Yes",nrES_Rec,"&gt;=0",nrES_Rec,"&lt;=100"),2),""))</f>
        <v/>
      </c>
      <c r="J37" s="17">
        <f>IF(OR($B37="",$F37=0),"",IFERROR(ROUND(AVERAGEIFS(nrES_Rec,nrES_PID,$B37,nrES_Type,"Minor",nrES_Final,"Yes",nrES_Rec,"&gt;=0",nrES_Rec,"&lt;=100"),2),""))</f>
        <v/>
      </c>
      <c r="K37" s="17">
        <f>IF($B37="","",Spelling!P37)</f>
        <v/>
      </c>
      <c r="L37" s="17">
        <f>IF(OR($B37="",$H37=0),"",IFERROR(ROUND(AVERAGEIFS(nrES_Rec,nrES_PID,$B37,nrES_Type,"Final",nrES_Final,"Yes",nrES_Rec,"&gt;=0",nrES_Rec,"&lt;=100"),2),""))</f>
        <v/>
      </c>
      <c r="M37" s="17">
        <f>IF($B37="","",_xlfn.LET(_xlpm.w,($E37&gt;0)*cfgWeightMajor+($F37&gt;0)*cfgWeightMinor+(N($G37)&gt;0)*cfgWeightSpelling+($H37&gt;0)*cfgWeightFinal,IF(_xlpm.w=0,"",ROUND((($E37&gt;0)*cfgWeightMajor*N($I37)+($F37&gt;0)*cfgWeightMinor*N($J37)+(N($G37)&gt;0)*cfgWeightSpelling*N($K37)+($H37&gt;0)*cfgWeightFinal*N($L37))/_xlpm.w,2))))</f>
        <v/>
      </c>
      <c r="N37" s="17">
        <f>IF(OR($B37="",$H37=0),"",$M37)</f>
        <v/>
      </c>
      <c r="O37" s="17">
        <f>IF($B37="","",COUNTIFS(nrES_PID,$B37,nrES_Att,2))</f>
        <v/>
      </c>
      <c r="P37" s="17">
        <f>IF($B37="","",COUNTIFS(nrES_PID,$B37,nrES_Dis,"Yes"))</f>
        <v/>
      </c>
      <c r="Q37" s="17">
        <f>IF($B37="","",IF(AND($I37&lt;&gt;"",$I37&lt;cfgThresholdScore,OR($E37&gt;=cfgThresholdAfterExam,$E37&gt;=COUNTIFS(rngEPuse,"Yes",rngEPtype,"Major"))),"Yes","No"))</f>
        <v/>
      </c>
      <c r="R37" s="17">
        <f>IF($B37="","",IF(AND($J37&lt;&gt;"",$J37&lt;cfgThresholdScore,OR($F37&gt;=cfgThresholdAfterExam,$F37&gt;=COUNTIFS(rngEPuse,"Yes",rngEPtype,"Minor"))),"Yes","No"))</f>
        <v/>
      </c>
      <c r="S37" s="17">
        <f>IF($B37="","",IF($M37="",-1,$M37))</f>
        <v/>
      </c>
      <c r="T37" s="17">
        <f>IF($B37="","",IF(AND($D37="Active",sysChecks!$M37&lt;&gt;"Yes",$M37&lt;&gt;""),"Yes","No"))</f>
        <v/>
      </c>
      <c r="U37" s="17">
        <f>IF($T37&lt;&gt;"Yes","",SUMPRODUCT(($T$6:$T$55="Yes")*(($S$6:$S$55&gt;$S37)+($S$6:$S$55=$S37)*(ROW($S$6:$S$55)&lt;ROW())))+1)</f>
        <v/>
      </c>
      <c r="V37" s="17">
        <f>IF($B37="","",IF(AND($Q37="No",$R37="No",OR(N($G37)=0,$K37&gt;=cfgThresholdScore),OR($H37=0,$L37&gt;=cfgThresholdScore)),"Yes","No"))</f>
        <v/>
      </c>
      <c r="W37" s="17">
        <f>IF($B37="","",_xlfn.LET(_xlpm.tot,COUNTIFS(rngEPuse,"Yes",rngEPtype,"Major"),_xlpm.left,_xlpm.tot-$E37,IF(_xlpm.left&lt;=0,"done",MAX(0,ROUND((cfgThresholdScore*_xlpm.tot-N($I37)*$E37)/_xlpm.left,1)))))</f>
        <v/>
      </c>
      <c r="X37" s="17">
        <f>IF($B37="","",_xlfn.LET(_xlpm.tot,COUNTIFS(rngEPuse,"Yes",rngEPtype,"Minor"),_xlpm.left,_xlpm.tot-$F37,IF(_xlpm.left&lt;=0,"done",MAX(0,ROUND((cfgThresholdScore*_xlpm.tot-N($J37)*$F37)/_xlpm.left,1)))))</f>
        <v/>
      </c>
      <c r="Y37" s="17">
        <f>IF($B37="","",IF($H37&gt;0,"done",cfgThresholdScore))</f>
        <v/>
      </c>
      <c r="Z37" s="17">
        <f>IF($B37="","",_xlfn.LET(_xlpm.s,_xlfn.MAXIFS(nrES_Seq,nrES_PID,$B37,nrES_Att,1,nrES_Raw,"&gt;=0"),IF(_xlpm.s=0,"",SUMIFS(nrES_Raw,nrES_PID,$B37,nrES_Att,1,nrES_Seq,_xlpm.s))))</f>
        <v/>
      </c>
      <c r="AA37" s="17">
        <f>IF($B37="","",_xlfn.LET(_xlpm.s,_xlfn.MAXIFS(nrES_Seq,nrES_PID,$B37,nrES_Att,1,nrES_Raw,"&gt;=0"),IF(_xlpm.s=0,"",_xlfn.LET(_xlpm.p,_xlfn.MAXIFS(nrES_Seq,nrES_PID,$B37,nrES_Att,1,nrES_Seq,"&lt;"&amp;_xlpm.s,nrES_Raw,"&gt;=0"),IF(_xlpm.p=0,"",SUMIFS(nrES_Raw,nrES_PID,$B37,nrES_Att,1,nrES_Seq,_xlpm.p))))))</f>
        <v/>
      </c>
      <c r="AB37" s="17">
        <f>IF(OR($B37="",$Z37="",$AA37=""),"",ROUND($AA37-$Z37,1))</f>
        <v/>
      </c>
      <c r="AC37" s="17">
        <f>IF($B37="","",_xlfn.LET(_xlpm.s,_xlfn.MAXIFS(nrES_Seq,nrES_PID,$B37,nrES_Att,1,nrES_Raw,"&gt;=0"),IF(_xlpm.s=0,0,_xlfn.LET(_xlpm.a,IF(SUMIFS(nrES_Raw,nrES_PID,$B37,nrES_Att,1,nrES_Seq,_xlpm.s)&lt;cfgPassingScore,1,0),_xlpm.p,_xlfn.MAXIFS(nrES_Seq,nrES_PID,$B37,nrES_Att,1,nrES_Seq,"&lt;"&amp;_xlpm.s,nrES_Raw,"&gt;=0"),IF(OR(_xlpm.a=0,_xlpm.p=0),_xlpm.a,_xlpm.a+IF(SUMIFS(nrES_Raw,nrES_PID,$B37,nrES_Att,1,nrES_Seq,_xlpm.p)&lt;cfgPassingScore,1,0))))))</f>
        <v/>
      </c>
    </row>
    <row r="38">
      <c r="B38" s="17">
        <f>IF(Cadets!$B38="","",Cadets!$B38)</f>
        <v/>
      </c>
      <c r="C38" s="17">
        <f>IF($B38="","",Cadets!$F38)</f>
        <v/>
      </c>
      <c r="D38" s="17">
        <f>IF($B38="","",Cadets!$I38)</f>
        <v/>
      </c>
      <c r="E38" s="17">
        <f>IF($B38="","",COUNTIFS(nrES_PID,$B38,nrES_Type,"Major",nrES_Final,"Yes",nrES_Rec,"&gt;=0",nrES_Rec,"&lt;=100"))</f>
        <v/>
      </c>
      <c r="F38" s="17">
        <f>IF($B38="","",COUNTIFS(nrES_PID,$B38,nrES_Type,"Minor",nrES_Final,"Yes",nrES_Rec,"&gt;=0",nrES_Rec,"&lt;=100"))</f>
        <v/>
      </c>
      <c r="G38" s="17">
        <f>IF($B38="","",Spelling!Q38)</f>
        <v/>
      </c>
      <c r="H38" s="17">
        <f>IF($B38="","",COUNTIFS(nrES_PID,$B38,nrES_Type,"Final",nrES_Final,"Yes",nrES_Rec,"&gt;=0",nrES_Rec,"&lt;=100"))</f>
        <v/>
      </c>
      <c r="I38" s="17">
        <f>IF(OR($B38="",$E38=0),"",IFERROR(ROUND(AVERAGEIFS(nrES_Rec,nrES_PID,$B38,nrES_Type,"Major",nrES_Final,"Yes",nrES_Rec,"&gt;=0",nrES_Rec,"&lt;=100"),2),""))</f>
        <v/>
      </c>
      <c r="J38" s="17">
        <f>IF(OR($B38="",$F38=0),"",IFERROR(ROUND(AVERAGEIFS(nrES_Rec,nrES_PID,$B38,nrES_Type,"Minor",nrES_Final,"Yes",nrES_Rec,"&gt;=0",nrES_Rec,"&lt;=100"),2),""))</f>
        <v/>
      </c>
      <c r="K38" s="17">
        <f>IF($B38="","",Spelling!P38)</f>
        <v/>
      </c>
      <c r="L38" s="17">
        <f>IF(OR($B38="",$H38=0),"",IFERROR(ROUND(AVERAGEIFS(nrES_Rec,nrES_PID,$B38,nrES_Type,"Final",nrES_Final,"Yes",nrES_Rec,"&gt;=0",nrES_Rec,"&lt;=100"),2),""))</f>
        <v/>
      </c>
      <c r="M38" s="17">
        <f>IF($B38="","",_xlfn.LET(_xlpm.w,($E38&gt;0)*cfgWeightMajor+($F38&gt;0)*cfgWeightMinor+(N($G38)&gt;0)*cfgWeightSpelling+($H38&gt;0)*cfgWeightFinal,IF(_xlpm.w=0,"",ROUND((($E38&gt;0)*cfgWeightMajor*N($I38)+($F38&gt;0)*cfgWeightMinor*N($J38)+(N($G38)&gt;0)*cfgWeightSpelling*N($K38)+($H38&gt;0)*cfgWeightFinal*N($L38))/_xlpm.w,2))))</f>
        <v/>
      </c>
      <c r="N38" s="17">
        <f>IF(OR($B38="",$H38=0),"",$M38)</f>
        <v/>
      </c>
      <c r="O38" s="17">
        <f>IF($B38="","",COUNTIFS(nrES_PID,$B38,nrES_Att,2))</f>
        <v/>
      </c>
      <c r="P38" s="17">
        <f>IF($B38="","",COUNTIFS(nrES_PID,$B38,nrES_Dis,"Yes"))</f>
        <v/>
      </c>
      <c r="Q38" s="17">
        <f>IF($B38="","",IF(AND($I38&lt;&gt;"",$I38&lt;cfgThresholdScore,OR($E38&gt;=cfgThresholdAfterExam,$E38&gt;=COUNTIFS(rngEPuse,"Yes",rngEPtype,"Major"))),"Yes","No"))</f>
        <v/>
      </c>
      <c r="R38" s="17">
        <f>IF($B38="","",IF(AND($J38&lt;&gt;"",$J38&lt;cfgThresholdScore,OR($F38&gt;=cfgThresholdAfterExam,$F38&gt;=COUNTIFS(rngEPuse,"Yes",rngEPtype,"Minor"))),"Yes","No"))</f>
        <v/>
      </c>
      <c r="S38" s="17">
        <f>IF($B38="","",IF($M38="",-1,$M38))</f>
        <v/>
      </c>
      <c r="T38" s="17">
        <f>IF($B38="","",IF(AND($D38="Active",sysChecks!$M38&lt;&gt;"Yes",$M38&lt;&gt;""),"Yes","No"))</f>
        <v/>
      </c>
      <c r="U38" s="17">
        <f>IF($T38&lt;&gt;"Yes","",SUMPRODUCT(($T$6:$T$55="Yes")*(($S$6:$S$55&gt;$S38)+($S$6:$S$55=$S38)*(ROW($S$6:$S$55)&lt;ROW())))+1)</f>
        <v/>
      </c>
      <c r="V38" s="17">
        <f>IF($B38="","",IF(AND($Q38="No",$R38="No",OR(N($G38)=0,$K38&gt;=cfgThresholdScore),OR($H38=0,$L38&gt;=cfgThresholdScore)),"Yes","No"))</f>
        <v/>
      </c>
      <c r="W38" s="17">
        <f>IF($B38="","",_xlfn.LET(_xlpm.tot,COUNTIFS(rngEPuse,"Yes",rngEPtype,"Major"),_xlpm.left,_xlpm.tot-$E38,IF(_xlpm.left&lt;=0,"done",MAX(0,ROUND((cfgThresholdScore*_xlpm.tot-N($I38)*$E38)/_xlpm.left,1)))))</f>
        <v/>
      </c>
      <c r="X38" s="17">
        <f>IF($B38="","",_xlfn.LET(_xlpm.tot,COUNTIFS(rngEPuse,"Yes",rngEPtype,"Minor"),_xlpm.left,_xlpm.tot-$F38,IF(_xlpm.left&lt;=0,"done",MAX(0,ROUND((cfgThresholdScore*_xlpm.tot-N($J38)*$F38)/_xlpm.left,1)))))</f>
        <v/>
      </c>
      <c r="Y38" s="17">
        <f>IF($B38="","",IF($H38&gt;0,"done",cfgThresholdScore))</f>
        <v/>
      </c>
      <c r="Z38" s="17">
        <f>IF($B38="","",_xlfn.LET(_xlpm.s,_xlfn.MAXIFS(nrES_Seq,nrES_PID,$B38,nrES_Att,1,nrES_Raw,"&gt;=0"),IF(_xlpm.s=0,"",SUMIFS(nrES_Raw,nrES_PID,$B38,nrES_Att,1,nrES_Seq,_xlpm.s))))</f>
        <v/>
      </c>
      <c r="AA38" s="17">
        <f>IF($B38="","",_xlfn.LET(_xlpm.s,_xlfn.MAXIFS(nrES_Seq,nrES_PID,$B38,nrES_Att,1,nrES_Raw,"&gt;=0"),IF(_xlpm.s=0,"",_xlfn.LET(_xlpm.p,_xlfn.MAXIFS(nrES_Seq,nrES_PID,$B38,nrES_Att,1,nrES_Seq,"&lt;"&amp;_xlpm.s,nrES_Raw,"&gt;=0"),IF(_xlpm.p=0,"",SUMIFS(nrES_Raw,nrES_PID,$B38,nrES_Att,1,nrES_Seq,_xlpm.p))))))</f>
        <v/>
      </c>
      <c r="AB38" s="17">
        <f>IF(OR($B38="",$Z38="",$AA38=""),"",ROUND($AA38-$Z38,1))</f>
        <v/>
      </c>
      <c r="AC38" s="17">
        <f>IF($B38="","",_xlfn.LET(_xlpm.s,_xlfn.MAXIFS(nrES_Seq,nrES_PID,$B38,nrES_Att,1,nrES_Raw,"&gt;=0"),IF(_xlpm.s=0,0,_xlfn.LET(_xlpm.a,IF(SUMIFS(nrES_Raw,nrES_PID,$B38,nrES_Att,1,nrES_Seq,_xlpm.s)&lt;cfgPassingScore,1,0),_xlpm.p,_xlfn.MAXIFS(nrES_Seq,nrES_PID,$B38,nrES_Att,1,nrES_Seq,"&lt;"&amp;_xlpm.s,nrES_Raw,"&gt;=0"),IF(OR(_xlpm.a=0,_xlpm.p=0),_xlpm.a,_xlpm.a+IF(SUMIFS(nrES_Raw,nrES_PID,$B38,nrES_Att,1,nrES_Seq,_xlpm.p)&lt;cfgPassingScore,1,0))))))</f>
        <v/>
      </c>
    </row>
    <row r="39">
      <c r="B39" s="17">
        <f>IF(Cadets!$B39="","",Cadets!$B39)</f>
        <v/>
      </c>
      <c r="C39" s="17">
        <f>IF($B39="","",Cadets!$F39)</f>
        <v/>
      </c>
      <c r="D39" s="17">
        <f>IF($B39="","",Cadets!$I39)</f>
        <v/>
      </c>
      <c r="E39" s="17">
        <f>IF($B39="","",COUNTIFS(nrES_PID,$B39,nrES_Type,"Major",nrES_Final,"Yes",nrES_Rec,"&gt;=0",nrES_Rec,"&lt;=100"))</f>
        <v/>
      </c>
      <c r="F39" s="17">
        <f>IF($B39="","",COUNTIFS(nrES_PID,$B39,nrES_Type,"Minor",nrES_Final,"Yes",nrES_Rec,"&gt;=0",nrES_Rec,"&lt;=100"))</f>
        <v/>
      </c>
      <c r="G39" s="17">
        <f>IF($B39="","",Spelling!Q39)</f>
        <v/>
      </c>
      <c r="H39" s="17">
        <f>IF($B39="","",COUNTIFS(nrES_PID,$B39,nrES_Type,"Final",nrES_Final,"Yes",nrES_Rec,"&gt;=0",nrES_Rec,"&lt;=100"))</f>
        <v/>
      </c>
      <c r="I39" s="17">
        <f>IF(OR($B39="",$E39=0),"",IFERROR(ROUND(AVERAGEIFS(nrES_Rec,nrES_PID,$B39,nrES_Type,"Major",nrES_Final,"Yes",nrES_Rec,"&gt;=0",nrES_Rec,"&lt;=100"),2),""))</f>
        <v/>
      </c>
      <c r="J39" s="17">
        <f>IF(OR($B39="",$F39=0),"",IFERROR(ROUND(AVERAGEIFS(nrES_Rec,nrES_PID,$B39,nrES_Type,"Minor",nrES_Final,"Yes",nrES_Rec,"&gt;=0",nrES_Rec,"&lt;=100"),2),""))</f>
        <v/>
      </c>
      <c r="K39" s="17">
        <f>IF($B39="","",Spelling!P39)</f>
        <v/>
      </c>
      <c r="L39" s="17">
        <f>IF(OR($B39="",$H39=0),"",IFERROR(ROUND(AVERAGEIFS(nrES_Rec,nrES_PID,$B39,nrES_Type,"Final",nrES_Final,"Yes",nrES_Rec,"&gt;=0",nrES_Rec,"&lt;=100"),2),""))</f>
        <v/>
      </c>
      <c r="M39" s="17">
        <f>IF($B39="","",_xlfn.LET(_xlpm.w,($E39&gt;0)*cfgWeightMajor+($F39&gt;0)*cfgWeightMinor+(N($G39)&gt;0)*cfgWeightSpelling+($H39&gt;0)*cfgWeightFinal,IF(_xlpm.w=0,"",ROUND((($E39&gt;0)*cfgWeightMajor*N($I39)+($F39&gt;0)*cfgWeightMinor*N($J39)+(N($G39)&gt;0)*cfgWeightSpelling*N($K39)+($H39&gt;0)*cfgWeightFinal*N($L39))/_xlpm.w,2))))</f>
        <v/>
      </c>
      <c r="N39" s="17">
        <f>IF(OR($B39="",$H39=0),"",$M39)</f>
        <v/>
      </c>
      <c r="O39" s="17">
        <f>IF($B39="","",COUNTIFS(nrES_PID,$B39,nrES_Att,2))</f>
        <v/>
      </c>
      <c r="P39" s="17">
        <f>IF($B39="","",COUNTIFS(nrES_PID,$B39,nrES_Dis,"Yes"))</f>
        <v/>
      </c>
      <c r="Q39" s="17">
        <f>IF($B39="","",IF(AND($I39&lt;&gt;"",$I39&lt;cfgThresholdScore,OR($E39&gt;=cfgThresholdAfterExam,$E39&gt;=COUNTIFS(rngEPuse,"Yes",rngEPtype,"Major"))),"Yes","No"))</f>
        <v/>
      </c>
      <c r="R39" s="17">
        <f>IF($B39="","",IF(AND($J39&lt;&gt;"",$J39&lt;cfgThresholdScore,OR($F39&gt;=cfgThresholdAfterExam,$F39&gt;=COUNTIFS(rngEPuse,"Yes",rngEPtype,"Minor"))),"Yes","No"))</f>
        <v/>
      </c>
      <c r="S39" s="17">
        <f>IF($B39="","",IF($M39="",-1,$M39))</f>
        <v/>
      </c>
      <c r="T39" s="17">
        <f>IF($B39="","",IF(AND($D39="Active",sysChecks!$M39&lt;&gt;"Yes",$M39&lt;&gt;""),"Yes","No"))</f>
        <v/>
      </c>
      <c r="U39" s="17">
        <f>IF($T39&lt;&gt;"Yes","",SUMPRODUCT(($T$6:$T$55="Yes")*(($S$6:$S$55&gt;$S39)+($S$6:$S$55=$S39)*(ROW($S$6:$S$55)&lt;ROW())))+1)</f>
        <v/>
      </c>
      <c r="V39" s="17">
        <f>IF($B39="","",IF(AND($Q39="No",$R39="No",OR(N($G39)=0,$K39&gt;=cfgThresholdScore),OR($H39=0,$L39&gt;=cfgThresholdScore)),"Yes","No"))</f>
        <v/>
      </c>
      <c r="W39" s="17">
        <f>IF($B39="","",_xlfn.LET(_xlpm.tot,COUNTIFS(rngEPuse,"Yes",rngEPtype,"Major"),_xlpm.left,_xlpm.tot-$E39,IF(_xlpm.left&lt;=0,"done",MAX(0,ROUND((cfgThresholdScore*_xlpm.tot-N($I39)*$E39)/_xlpm.left,1)))))</f>
        <v/>
      </c>
      <c r="X39" s="17">
        <f>IF($B39="","",_xlfn.LET(_xlpm.tot,COUNTIFS(rngEPuse,"Yes",rngEPtype,"Minor"),_xlpm.left,_xlpm.tot-$F39,IF(_xlpm.left&lt;=0,"done",MAX(0,ROUND((cfgThresholdScore*_xlpm.tot-N($J39)*$F39)/_xlpm.left,1)))))</f>
        <v/>
      </c>
      <c r="Y39" s="17">
        <f>IF($B39="","",IF($H39&gt;0,"done",cfgThresholdScore))</f>
        <v/>
      </c>
      <c r="Z39" s="17">
        <f>IF($B39="","",_xlfn.LET(_xlpm.s,_xlfn.MAXIFS(nrES_Seq,nrES_PID,$B39,nrES_Att,1,nrES_Raw,"&gt;=0"),IF(_xlpm.s=0,"",SUMIFS(nrES_Raw,nrES_PID,$B39,nrES_Att,1,nrES_Seq,_xlpm.s))))</f>
        <v/>
      </c>
      <c r="AA39" s="17">
        <f>IF($B39="","",_xlfn.LET(_xlpm.s,_xlfn.MAXIFS(nrES_Seq,nrES_PID,$B39,nrES_Att,1,nrES_Raw,"&gt;=0"),IF(_xlpm.s=0,"",_xlfn.LET(_xlpm.p,_xlfn.MAXIFS(nrES_Seq,nrES_PID,$B39,nrES_Att,1,nrES_Seq,"&lt;"&amp;_xlpm.s,nrES_Raw,"&gt;=0"),IF(_xlpm.p=0,"",SUMIFS(nrES_Raw,nrES_PID,$B39,nrES_Att,1,nrES_Seq,_xlpm.p))))))</f>
        <v/>
      </c>
      <c r="AB39" s="17">
        <f>IF(OR($B39="",$Z39="",$AA39=""),"",ROUND($AA39-$Z39,1))</f>
        <v/>
      </c>
      <c r="AC39" s="17">
        <f>IF($B39="","",_xlfn.LET(_xlpm.s,_xlfn.MAXIFS(nrES_Seq,nrES_PID,$B39,nrES_Att,1,nrES_Raw,"&gt;=0"),IF(_xlpm.s=0,0,_xlfn.LET(_xlpm.a,IF(SUMIFS(nrES_Raw,nrES_PID,$B39,nrES_Att,1,nrES_Seq,_xlpm.s)&lt;cfgPassingScore,1,0),_xlpm.p,_xlfn.MAXIFS(nrES_Seq,nrES_PID,$B39,nrES_Att,1,nrES_Seq,"&lt;"&amp;_xlpm.s,nrES_Raw,"&gt;=0"),IF(OR(_xlpm.a=0,_xlpm.p=0),_xlpm.a,_xlpm.a+IF(SUMIFS(nrES_Raw,nrES_PID,$B39,nrES_Att,1,nrES_Seq,_xlpm.p)&lt;cfgPassingScore,1,0))))))</f>
        <v/>
      </c>
    </row>
    <row r="40">
      <c r="B40" s="17">
        <f>IF(Cadets!$B40="","",Cadets!$B40)</f>
        <v/>
      </c>
      <c r="C40" s="17">
        <f>IF($B40="","",Cadets!$F40)</f>
        <v/>
      </c>
      <c r="D40" s="17">
        <f>IF($B40="","",Cadets!$I40)</f>
        <v/>
      </c>
      <c r="E40" s="17">
        <f>IF($B40="","",COUNTIFS(nrES_PID,$B40,nrES_Type,"Major",nrES_Final,"Yes",nrES_Rec,"&gt;=0",nrES_Rec,"&lt;=100"))</f>
        <v/>
      </c>
      <c r="F40" s="17">
        <f>IF($B40="","",COUNTIFS(nrES_PID,$B40,nrES_Type,"Minor",nrES_Final,"Yes",nrES_Rec,"&gt;=0",nrES_Rec,"&lt;=100"))</f>
        <v/>
      </c>
      <c r="G40" s="17">
        <f>IF($B40="","",Spelling!Q40)</f>
        <v/>
      </c>
      <c r="H40" s="17">
        <f>IF($B40="","",COUNTIFS(nrES_PID,$B40,nrES_Type,"Final",nrES_Final,"Yes",nrES_Rec,"&gt;=0",nrES_Rec,"&lt;=100"))</f>
        <v/>
      </c>
      <c r="I40" s="17">
        <f>IF(OR($B40="",$E40=0),"",IFERROR(ROUND(AVERAGEIFS(nrES_Rec,nrES_PID,$B40,nrES_Type,"Major",nrES_Final,"Yes",nrES_Rec,"&gt;=0",nrES_Rec,"&lt;=100"),2),""))</f>
        <v/>
      </c>
      <c r="J40" s="17">
        <f>IF(OR($B40="",$F40=0),"",IFERROR(ROUND(AVERAGEIFS(nrES_Rec,nrES_PID,$B40,nrES_Type,"Minor",nrES_Final,"Yes",nrES_Rec,"&gt;=0",nrES_Rec,"&lt;=100"),2),""))</f>
        <v/>
      </c>
      <c r="K40" s="17">
        <f>IF($B40="","",Spelling!P40)</f>
        <v/>
      </c>
      <c r="L40" s="17">
        <f>IF(OR($B40="",$H40=0),"",IFERROR(ROUND(AVERAGEIFS(nrES_Rec,nrES_PID,$B40,nrES_Type,"Final",nrES_Final,"Yes",nrES_Rec,"&gt;=0",nrES_Rec,"&lt;=100"),2),""))</f>
        <v/>
      </c>
      <c r="M40" s="17">
        <f>IF($B40="","",_xlfn.LET(_xlpm.w,($E40&gt;0)*cfgWeightMajor+($F40&gt;0)*cfgWeightMinor+(N($G40)&gt;0)*cfgWeightSpelling+($H40&gt;0)*cfgWeightFinal,IF(_xlpm.w=0,"",ROUND((($E40&gt;0)*cfgWeightMajor*N($I40)+($F40&gt;0)*cfgWeightMinor*N($J40)+(N($G40)&gt;0)*cfgWeightSpelling*N($K40)+($H40&gt;0)*cfgWeightFinal*N($L40))/_xlpm.w,2))))</f>
        <v/>
      </c>
      <c r="N40" s="17">
        <f>IF(OR($B40="",$H40=0),"",$M40)</f>
        <v/>
      </c>
      <c r="O40" s="17">
        <f>IF($B40="","",COUNTIFS(nrES_PID,$B40,nrES_Att,2))</f>
        <v/>
      </c>
      <c r="P40" s="17">
        <f>IF($B40="","",COUNTIFS(nrES_PID,$B40,nrES_Dis,"Yes"))</f>
        <v/>
      </c>
      <c r="Q40" s="17">
        <f>IF($B40="","",IF(AND($I40&lt;&gt;"",$I40&lt;cfgThresholdScore,OR($E40&gt;=cfgThresholdAfterExam,$E40&gt;=COUNTIFS(rngEPuse,"Yes",rngEPtype,"Major"))),"Yes","No"))</f>
        <v/>
      </c>
      <c r="R40" s="17">
        <f>IF($B40="","",IF(AND($J40&lt;&gt;"",$J40&lt;cfgThresholdScore,OR($F40&gt;=cfgThresholdAfterExam,$F40&gt;=COUNTIFS(rngEPuse,"Yes",rngEPtype,"Minor"))),"Yes","No"))</f>
        <v/>
      </c>
      <c r="S40" s="17">
        <f>IF($B40="","",IF($M40="",-1,$M40))</f>
        <v/>
      </c>
      <c r="T40" s="17">
        <f>IF($B40="","",IF(AND($D40="Active",sysChecks!$M40&lt;&gt;"Yes",$M40&lt;&gt;""),"Yes","No"))</f>
        <v/>
      </c>
      <c r="U40" s="17">
        <f>IF($T40&lt;&gt;"Yes","",SUMPRODUCT(($T$6:$T$55="Yes")*(($S$6:$S$55&gt;$S40)+($S$6:$S$55=$S40)*(ROW($S$6:$S$55)&lt;ROW())))+1)</f>
        <v/>
      </c>
      <c r="V40" s="17">
        <f>IF($B40="","",IF(AND($Q40="No",$R40="No",OR(N($G40)=0,$K40&gt;=cfgThresholdScore),OR($H40=0,$L40&gt;=cfgThresholdScore)),"Yes","No"))</f>
        <v/>
      </c>
      <c r="W40" s="17">
        <f>IF($B40="","",_xlfn.LET(_xlpm.tot,COUNTIFS(rngEPuse,"Yes",rngEPtype,"Major"),_xlpm.left,_xlpm.tot-$E40,IF(_xlpm.left&lt;=0,"done",MAX(0,ROUND((cfgThresholdScore*_xlpm.tot-N($I40)*$E40)/_xlpm.left,1)))))</f>
        <v/>
      </c>
      <c r="X40" s="17">
        <f>IF($B40="","",_xlfn.LET(_xlpm.tot,COUNTIFS(rngEPuse,"Yes",rngEPtype,"Minor"),_xlpm.left,_xlpm.tot-$F40,IF(_xlpm.left&lt;=0,"done",MAX(0,ROUND((cfgThresholdScore*_xlpm.tot-N($J40)*$F40)/_xlpm.left,1)))))</f>
        <v/>
      </c>
      <c r="Y40" s="17">
        <f>IF($B40="","",IF($H40&gt;0,"done",cfgThresholdScore))</f>
        <v/>
      </c>
      <c r="Z40" s="17">
        <f>IF($B40="","",_xlfn.LET(_xlpm.s,_xlfn.MAXIFS(nrES_Seq,nrES_PID,$B40,nrES_Att,1,nrES_Raw,"&gt;=0"),IF(_xlpm.s=0,"",SUMIFS(nrES_Raw,nrES_PID,$B40,nrES_Att,1,nrES_Seq,_xlpm.s))))</f>
        <v/>
      </c>
      <c r="AA40" s="17">
        <f>IF($B40="","",_xlfn.LET(_xlpm.s,_xlfn.MAXIFS(nrES_Seq,nrES_PID,$B40,nrES_Att,1,nrES_Raw,"&gt;=0"),IF(_xlpm.s=0,"",_xlfn.LET(_xlpm.p,_xlfn.MAXIFS(nrES_Seq,nrES_PID,$B40,nrES_Att,1,nrES_Seq,"&lt;"&amp;_xlpm.s,nrES_Raw,"&gt;=0"),IF(_xlpm.p=0,"",SUMIFS(nrES_Raw,nrES_PID,$B40,nrES_Att,1,nrES_Seq,_xlpm.p))))))</f>
        <v/>
      </c>
      <c r="AB40" s="17">
        <f>IF(OR($B40="",$Z40="",$AA40=""),"",ROUND($AA40-$Z40,1))</f>
        <v/>
      </c>
      <c r="AC40" s="17">
        <f>IF($B40="","",_xlfn.LET(_xlpm.s,_xlfn.MAXIFS(nrES_Seq,nrES_PID,$B40,nrES_Att,1,nrES_Raw,"&gt;=0"),IF(_xlpm.s=0,0,_xlfn.LET(_xlpm.a,IF(SUMIFS(nrES_Raw,nrES_PID,$B40,nrES_Att,1,nrES_Seq,_xlpm.s)&lt;cfgPassingScore,1,0),_xlpm.p,_xlfn.MAXIFS(nrES_Seq,nrES_PID,$B40,nrES_Att,1,nrES_Seq,"&lt;"&amp;_xlpm.s,nrES_Raw,"&gt;=0"),IF(OR(_xlpm.a=0,_xlpm.p=0),_xlpm.a,_xlpm.a+IF(SUMIFS(nrES_Raw,nrES_PID,$B40,nrES_Att,1,nrES_Seq,_xlpm.p)&lt;cfgPassingScore,1,0))))))</f>
        <v/>
      </c>
    </row>
    <row r="41">
      <c r="B41" s="17">
        <f>IF(Cadets!$B41="","",Cadets!$B41)</f>
        <v/>
      </c>
      <c r="C41" s="17">
        <f>IF($B41="","",Cadets!$F41)</f>
        <v/>
      </c>
      <c r="D41" s="17">
        <f>IF($B41="","",Cadets!$I41)</f>
        <v/>
      </c>
      <c r="E41" s="17">
        <f>IF($B41="","",COUNTIFS(nrES_PID,$B41,nrES_Type,"Major",nrES_Final,"Yes",nrES_Rec,"&gt;=0",nrES_Rec,"&lt;=100"))</f>
        <v/>
      </c>
      <c r="F41" s="17">
        <f>IF($B41="","",COUNTIFS(nrES_PID,$B41,nrES_Type,"Minor",nrES_Final,"Yes",nrES_Rec,"&gt;=0",nrES_Rec,"&lt;=100"))</f>
        <v/>
      </c>
      <c r="G41" s="17">
        <f>IF($B41="","",Spelling!Q41)</f>
        <v/>
      </c>
      <c r="H41" s="17">
        <f>IF($B41="","",COUNTIFS(nrES_PID,$B41,nrES_Type,"Final",nrES_Final,"Yes",nrES_Rec,"&gt;=0",nrES_Rec,"&lt;=100"))</f>
        <v/>
      </c>
      <c r="I41" s="17">
        <f>IF(OR($B41="",$E41=0),"",IFERROR(ROUND(AVERAGEIFS(nrES_Rec,nrES_PID,$B41,nrES_Type,"Major",nrES_Final,"Yes",nrES_Rec,"&gt;=0",nrES_Rec,"&lt;=100"),2),""))</f>
        <v/>
      </c>
      <c r="J41" s="17">
        <f>IF(OR($B41="",$F41=0),"",IFERROR(ROUND(AVERAGEIFS(nrES_Rec,nrES_PID,$B41,nrES_Type,"Minor",nrES_Final,"Yes",nrES_Rec,"&gt;=0",nrES_Rec,"&lt;=100"),2),""))</f>
        <v/>
      </c>
      <c r="K41" s="17">
        <f>IF($B41="","",Spelling!P41)</f>
        <v/>
      </c>
      <c r="L41" s="17">
        <f>IF(OR($B41="",$H41=0),"",IFERROR(ROUND(AVERAGEIFS(nrES_Rec,nrES_PID,$B41,nrES_Type,"Final",nrES_Final,"Yes",nrES_Rec,"&gt;=0",nrES_Rec,"&lt;=100"),2),""))</f>
        <v/>
      </c>
      <c r="M41" s="17">
        <f>IF($B41="","",_xlfn.LET(_xlpm.w,($E41&gt;0)*cfgWeightMajor+($F41&gt;0)*cfgWeightMinor+(N($G41)&gt;0)*cfgWeightSpelling+($H41&gt;0)*cfgWeightFinal,IF(_xlpm.w=0,"",ROUND((($E41&gt;0)*cfgWeightMajor*N($I41)+($F41&gt;0)*cfgWeightMinor*N($J41)+(N($G41)&gt;0)*cfgWeightSpelling*N($K41)+($H41&gt;0)*cfgWeightFinal*N($L41))/_xlpm.w,2))))</f>
        <v/>
      </c>
      <c r="N41" s="17">
        <f>IF(OR($B41="",$H41=0),"",$M41)</f>
        <v/>
      </c>
      <c r="O41" s="17">
        <f>IF($B41="","",COUNTIFS(nrES_PID,$B41,nrES_Att,2))</f>
        <v/>
      </c>
      <c r="P41" s="17">
        <f>IF($B41="","",COUNTIFS(nrES_PID,$B41,nrES_Dis,"Yes"))</f>
        <v/>
      </c>
      <c r="Q41" s="17">
        <f>IF($B41="","",IF(AND($I41&lt;&gt;"",$I41&lt;cfgThresholdScore,OR($E41&gt;=cfgThresholdAfterExam,$E41&gt;=COUNTIFS(rngEPuse,"Yes",rngEPtype,"Major"))),"Yes","No"))</f>
        <v/>
      </c>
      <c r="R41" s="17">
        <f>IF($B41="","",IF(AND($J41&lt;&gt;"",$J41&lt;cfgThresholdScore,OR($F41&gt;=cfgThresholdAfterExam,$F41&gt;=COUNTIFS(rngEPuse,"Yes",rngEPtype,"Minor"))),"Yes","No"))</f>
        <v/>
      </c>
      <c r="S41" s="17">
        <f>IF($B41="","",IF($M41="",-1,$M41))</f>
        <v/>
      </c>
      <c r="T41" s="17">
        <f>IF($B41="","",IF(AND($D41="Active",sysChecks!$M41&lt;&gt;"Yes",$M41&lt;&gt;""),"Yes","No"))</f>
        <v/>
      </c>
      <c r="U41" s="17">
        <f>IF($T41&lt;&gt;"Yes","",SUMPRODUCT(($T$6:$T$55="Yes")*(($S$6:$S$55&gt;$S41)+($S$6:$S$55=$S41)*(ROW($S$6:$S$55)&lt;ROW())))+1)</f>
        <v/>
      </c>
      <c r="V41" s="17">
        <f>IF($B41="","",IF(AND($Q41="No",$R41="No",OR(N($G41)=0,$K41&gt;=cfgThresholdScore),OR($H41=0,$L41&gt;=cfgThresholdScore)),"Yes","No"))</f>
        <v/>
      </c>
      <c r="W41" s="17">
        <f>IF($B41="","",_xlfn.LET(_xlpm.tot,COUNTIFS(rngEPuse,"Yes",rngEPtype,"Major"),_xlpm.left,_xlpm.tot-$E41,IF(_xlpm.left&lt;=0,"done",MAX(0,ROUND((cfgThresholdScore*_xlpm.tot-N($I41)*$E41)/_xlpm.left,1)))))</f>
        <v/>
      </c>
      <c r="X41" s="17">
        <f>IF($B41="","",_xlfn.LET(_xlpm.tot,COUNTIFS(rngEPuse,"Yes",rngEPtype,"Minor"),_xlpm.left,_xlpm.tot-$F41,IF(_xlpm.left&lt;=0,"done",MAX(0,ROUND((cfgThresholdScore*_xlpm.tot-N($J41)*$F41)/_xlpm.left,1)))))</f>
        <v/>
      </c>
      <c r="Y41" s="17">
        <f>IF($B41="","",IF($H41&gt;0,"done",cfgThresholdScore))</f>
        <v/>
      </c>
      <c r="Z41" s="17">
        <f>IF($B41="","",_xlfn.LET(_xlpm.s,_xlfn.MAXIFS(nrES_Seq,nrES_PID,$B41,nrES_Att,1,nrES_Raw,"&gt;=0"),IF(_xlpm.s=0,"",SUMIFS(nrES_Raw,nrES_PID,$B41,nrES_Att,1,nrES_Seq,_xlpm.s))))</f>
        <v/>
      </c>
      <c r="AA41" s="17">
        <f>IF($B41="","",_xlfn.LET(_xlpm.s,_xlfn.MAXIFS(nrES_Seq,nrES_PID,$B41,nrES_Att,1,nrES_Raw,"&gt;=0"),IF(_xlpm.s=0,"",_xlfn.LET(_xlpm.p,_xlfn.MAXIFS(nrES_Seq,nrES_PID,$B41,nrES_Att,1,nrES_Seq,"&lt;"&amp;_xlpm.s,nrES_Raw,"&gt;=0"),IF(_xlpm.p=0,"",SUMIFS(nrES_Raw,nrES_PID,$B41,nrES_Att,1,nrES_Seq,_xlpm.p))))))</f>
        <v/>
      </c>
      <c r="AB41" s="17">
        <f>IF(OR($B41="",$Z41="",$AA41=""),"",ROUND($AA41-$Z41,1))</f>
        <v/>
      </c>
      <c r="AC41" s="17">
        <f>IF($B41="","",_xlfn.LET(_xlpm.s,_xlfn.MAXIFS(nrES_Seq,nrES_PID,$B41,nrES_Att,1,nrES_Raw,"&gt;=0"),IF(_xlpm.s=0,0,_xlfn.LET(_xlpm.a,IF(SUMIFS(nrES_Raw,nrES_PID,$B41,nrES_Att,1,nrES_Seq,_xlpm.s)&lt;cfgPassingScore,1,0),_xlpm.p,_xlfn.MAXIFS(nrES_Seq,nrES_PID,$B41,nrES_Att,1,nrES_Seq,"&lt;"&amp;_xlpm.s,nrES_Raw,"&gt;=0"),IF(OR(_xlpm.a=0,_xlpm.p=0),_xlpm.a,_xlpm.a+IF(SUMIFS(nrES_Raw,nrES_PID,$B41,nrES_Att,1,nrES_Seq,_xlpm.p)&lt;cfgPassingScore,1,0))))))</f>
        <v/>
      </c>
    </row>
    <row r="42">
      <c r="B42" s="17">
        <f>IF(Cadets!$B42="","",Cadets!$B42)</f>
        <v/>
      </c>
      <c r="C42" s="17">
        <f>IF($B42="","",Cadets!$F42)</f>
        <v/>
      </c>
      <c r="D42" s="17">
        <f>IF($B42="","",Cadets!$I42)</f>
        <v/>
      </c>
      <c r="E42" s="17">
        <f>IF($B42="","",COUNTIFS(nrES_PID,$B42,nrES_Type,"Major",nrES_Final,"Yes",nrES_Rec,"&gt;=0",nrES_Rec,"&lt;=100"))</f>
        <v/>
      </c>
      <c r="F42" s="17">
        <f>IF($B42="","",COUNTIFS(nrES_PID,$B42,nrES_Type,"Minor",nrES_Final,"Yes",nrES_Rec,"&gt;=0",nrES_Rec,"&lt;=100"))</f>
        <v/>
      </c>
      <c r="G42" s="17">
        <f>IF($B42="","",Spelling!Q42)</f>
        <v/>
      </c>
      <c r="H42" s="17">
        <f>IF($B42="","",COUNTIFS(nrES_PID,$B42,nrES_Type,"Final",nrES_Final,"Yes",nrES_Rec,"&gt;=0",nrES_Rec,"&lt;=100"))</f>
        <v/>
      </c>
      <c r="I42" s="17">
        <f>IF(OR($B42="",$E42=0),"",IFERROR(ROUND(AVERAGEIFS(nrES_Rec,nrES_PID,$B42,nrES_Type,"Major",nrES_Final,"Yes",nrES_Rec,"&gt;=0",nrES_Rec,"&lt;=100"),2),""))</f>
        <v/>
      </c>
      <c r="J42" s="17">
        <f>IF(OR($B42="",$F42=0),"",IFERROR(ROUND(AVERAGEIFS(nrES_Rec,nrES_PID,$B42,nrES_Type,"Minor",nrES_Final,"Yes",nrES_Rec,"&gt;=0",nrES_Rec,"&lt;=100"),2),""))</f>
        <v/>
      </c>
      <c r="K42" s="17">
        <f>IF($B42="","",Spelling!P42)</f>
        <v/>
      </c>
      <c r="L42" s="17">
        <f>IF(OR($B42="",$H42=0),"",IFERROR(ROUND(AVERAGEIFS(nrES_Rec,nrES_PID,$B42,nrES_Type,"Final",nrES_Final,"Yes",nrES_Rec,"&gt;=0",nrES_Rec,"&lt;=100"),2),""))</f>
        <v/>
      </c>
      <c r="M42" s="17">
        <f>IF($B42="","",_xlfn.LET(_xlpm.w,($E42&gt;0)*cfgWeightMajor+($F42&gt;0)*cfgWeightMinor+(N($G42)&gt;0)*cfgWeightSpelling+($H42&gt;0)*cfgWeightFinal,IF(_xlpm.w=0,"",ROUND((($E42&gt;0)*cfgWeightMajor*N($I42)+($F42&gt;0)*cfgWeightMinor*N($J42)+(N($G42)&gt;0)*cfgWeightSpelling*N($K42)+($H42&gt;0)*cfgWeightFinal*N($L42))/_xlpm.w,2))))</f>
        <v/>
      </c>
      <c r="N42" s="17">
        <f>IF(OR($B42="",$H42=0),"",$M42)</f>
        <v/>
      </c>
      <c r="O42" s="17">
        <f>IF($B42="","",COUNTIFS(nrES_PID,$B42,nrES_Att,2))</f>
        <v/>
      </c>
      <c r="P42" s="17">
        <f>IF($B42="","",COUNTIFS(nrES_PID,$B42,nrES_Dis,"Yes"))</f>
        <v/>
      </c>
      <c r="Q42" s="17">
        <f>IF($B42="","",IF(AND($I42&lt;&gt;"",$I42&lt;cfgThresholdScore,OR($E42&gt;=cfgThresholdAfterExam,$E42&gt;=COUNTIFS(rngEPuse,"Yes",rngEPtype,"Major"))),"Yes","No"))</f>
        <v/>
      </c>
      <c r="R42" s="17">
        <f>IF($B42="","",IF(AND($J42&lt;&gt;"",$J42&lt;cfgThresholdScore,OR($F42&gt;=cfgThresholdAfterExam,$F42&gt;=COUNTIFS(rngEPuse,"Yes",rngEPtype,"Minor"))),"Yes","No"))</f>
        <v/>
      </c>
      <c r="S42" s="17">
        <f>IF($B42="","",IF($M42="",-1,$M42))</f>
        <v/>
      </c>
      <c r="T42" s="17">
        <f>IF($B42="","",IF(AND($D42="Active",sysChecks!$M42&lt;&gt;"Yes",$M42&lt;&gt;""),"Yes","No"))</f>
        <v/>
      </c>
      <c r="U42" s="17">
        <f>IF($T42&lt;&gt;"Yes","",SUMPRODUCT(($T$6:$T$55="Yes")*(($S$6:$S$55&gt;$S42)+($S$6:$S$55=$S42)*(ROW($S$6:$S$55)&lt;ROW())))+1)</f>
        <v/>
      </c>
      <c r="V42" s="17">
        <f>IF($B42="","",IF(AND($Q42="No",$R42="No",OR(N($G42)=0,$K42&gt;=cfgThresholdScore),OR($H42=0,$L42&gt;=cfgThresholdScore)),"Yes","No"))</f>
        <v/>
      </c>
      <c r="W42" s="17">
        <f>IF($B42="","",_xlfn.LET(_xlpm.tot,COUNTIFS(rngEPuse,"Yes",rngEPtype,"Major"),_xlpm.left,_xlpm.tot-$E42,IF(_xlpm.left&lt;=0,"done",MAX(0,ROUND((cfgThresholdScore*_xlpm.tot-N($I42)*$E42)/_xlpm.left,1)))))</f>
        <v/>
      </c>
      <c r="X42" s="17">
        <f>IF($B42="","",_xlfn.LET(_xlpm.tot,COUNTIFS(rngEPuse,"Yes",rngEPtype,"Minor"),_xlpm.left,_xlpm.tot-$F42,IF(_xlpm.left&lt;=0,"done",MAX(0,ROUND((cfgThresholdScore*_xlpm.tot-N($J42)*$F42)/_xlpm.left,1)))))</f>
        <v/>
      </c>
      <c r="Y42" s="17">
        <f>IF($B42="","",IF($H42&gt;0,"done",cfgThresholdScore))</f>
        <v/>
      </c>
      <c r="Z42" s="17">
        <f>IF($B42="","",_xlfn.LET(_xlpm.s,_xlfn.MAXIFS(nrES_Seq,nrES_PID,$B42,nrES_Att,1,nrES_Raw,"&gt;=0"),IF(_xlpm.s=0,"",SUMIFS(nrES_Raw,nrES_PID,$B42,nrES_Att,1,nrES_Seq,_xlpm.s))))</f>
        <v/>
      </c>
      <c r="AA42" s="17">
        <f>IF($B42="","",_xlfn.LET(_xlpm.s,_xlfn.MAXIFS(nrES_Seq,nrES_PID,$B42,nrES_Att,1,nrES_Raw,"&gt;=0"),IF(_xlpm.s=0,"",_xlfn.LET(_xlpm.p,_xlfn.MAXIFS(nrES_Seq,nrES_PID,$B42,nrES_Att,1,nrES_Seq,"&lt;"&amp;_xlpm.s,nrES_Raw,"&gt;=0"),IF(_xlpm.p=0,"",SUMIFS(nrES_Raw,nrES_PID,$B42,nrES_Att,1,nrES_Seq,_xlpm.p))))))</f>
        <v/>
      </c>
      <c r="AB42" s="17">
        <f>IF(OR($B42="",$Z42="",$AA42=""),"",ROUND($AA42-$Z42,1))</f>
        <v/>
      </c>
      <c r="AC42" s="17">
        <f>IF($B42="","",_xlfn.LET(_xlpm.s,_xlfn.MAXIFS(nrES_Seq,nrES_PID,$B42,nrES_Att,1,nrES_Raw,"&gt;=0"),IF(_xlpm.s=0,0,_xlfn.LET(_xlpm.a,IF(SUMIFS(nrES_Raw,nrES_PID,$B42,nrES_Att,1,nrES_Seq,_xlpm.s)&lt;cfgPassingScore,1,0),_xlpm.p,_xlfn.MAXIFS(nrES_Seq,nrES_PID,$B42,nrES_Att,1,nrES_Seq,"&lt;"&amp;_xlpm.s,nrES_Raw,"&gt;=0"),IF(OR(_xlpm.a=0,_xlpm.p=0),_xlpm.a,_xlpm.a+IF(SUMIFS(nrES_Raw,nrES_PID,$B42,nrES_Att,1,nrES_Seq,_xlpm.p)&lt;cfgPassingScore,1,0))))))</f>
        <v/>
      </c>
    </row>
    <row r="43">
      <c r="B43" s="17">
        <f>IF(Cadets!$B43="","",Cadets!$B43)</f>
        <v/>
      </c>
      <c r="C43" s="17">
        <f>IF($B43="","",Cadets!$F43)</f>
        <v/>
      </c>
      <c r="D43" s="17">
        <f>IF($B43="","",Cadets!$I43)</f>
        <v/>
      </c>
      <c r="E43" s="17">
        <f>IF($B43="","",COUNTIFS(nrES_PID,$B43,nrES_Type,"Major",nrES_Final,"Yes",nrES_Rec,"&gt;=0",nrES_Rec,"&lt;=100"))</f>
        <v/>
      </c>
      <c r="F43" s="17">
        <f>IF($B43="","",COUNTIFS(nrES_PID,$B43,nrES_Type,"Minor",nrES_Final,"Yes",nrES_Rec,"&gt;=0",nrES_Rec,"&lt;=100"))</f>
        <v/>
      </c>
      <c r="G43" s="17">
        <f>IF($B43="","",Spelling!Q43)</f>
        <v/>
      </c>
      <c r="H43" s="17">
        <f>IF($B43="","",COUNTIFS(nrES_PID,$B43,nrES_Type,"Final",nrES_Final,"Yes",nrES_Rec,"&gt;=0",nrES_Rec,"&lt;=100"))</f>
        <v/>
      </c>
      <c r="I43" s="17">
        <f>IF(OR($B43="",$E43=0),"",IFERROR(ROUND(AVERAGEIFS(nrES_Rec,nrES_PID,$B43,nrES_Type,"Major",nrES_Final,"Yes",nrES_Rec,"&gt;=0",nrES_Rec,"&lt;=100"),2),""))</f>
        <v/>
      </c>
      <c r="J43" s="17">
        <f>IF(OR($B43="",$F43=0),"",IFERROR(ROUND(AVERAGEIFS(nrES_Rec,nrES_PID,$B43,nrES_Type,"Minor",nrES_Final,"Yes",nrES_Rec,"&gt;=0",nrES_Rec,"&lt;=100"),2),""))</f>
        <v/>
      </c>
      <c r="K43" s="17">
        <f>IF($B43="","",Spelling!P43)</f>
        <v/>
      </c>
      <c r="L43" s="17">
        <f>IF(OR($B43="",$H43=0),"",IFERROR(ROUND(AVERAGEIFS(nrES_Rec,nrES_PID,$B43,nrES_Type,"Final",nrES_Final,"Yes",nrES_Rec,"&gt;=0",nrES_Rec,"&lt;=100"),2),""))</f>
        <v/>
      </c>
      <c r="M43" s="17">
        <f>IF($B43="","",_xlfn.LET(_xlpm.w,($E43&gt;0)*cfgWeightMajor+($F43&gt;0)*cfgWeightMinor+(N($G43)&gt;0)*cfgWeightSpelling+($H43&gt;0)*cfgWeightFinal,IF(_xlpm.w=0,"",ROUND((($E43&gt;0)*cfgWeightMajor*N($I43)+($F43&gt;0)*cfgWeightMinor*N($J43)+(N($G43)&gt;0)*cfgWeightSpelling*N($K43)+($H43&gt;0)*cfgWeightFinal*N($L43))/_xlpm.w,2))))</f>
        <v/>
      </c>
      <c r="N43" s="17">
        <f>IF(OR($B43="",$H43=0),"",$M43)</f>
        <v/>
      </c>
      <c r="O43" s="17">
        <f>IF($B43="","",COUNTIFS(nrES_PID,$B43,nrES_Att,2))</f>
        <v/>
      </c>
      <c r="P43" s="17">
        <f>IF($B43="","",COUNTIFS(nrES_PID,$B43,nrES_Dis,"Yes"))</f>
        <v/>
      </c>
      <c r="Q43" s="17">
        <f>IF($B43="","",IF(AND($I43&lt;&gt;"",$I43&lt;cfgThresholdScore,OR($E43&gt;=cfgThresholdAfterExam,$E43&gt;=COUNTIFS(rngEPuse,"Yes",rngEPtype,"Major"))),"Yes","No"))</f>
        <v/>
      </c>
      <c r="R43" s="17">
        <f>IF($B43="","",IF(AND($J43&lt;&gt;"",$J43&lt;cfgThresholdScore,OR($F43&gt;=cfgThresholdAfterExam,$F43&gt;=COUNTIFS(rngEPuse,"Yes",rngEPtype,"Minor"))),"Yes","No"))</f>
        <v/>
      </c>
      <c r="S43" s="17">
        <f>IF($B43="","",IF($M43="",-1,$M43))</f>
        <v/>
      </c>
      <c r="T43" s="17">
        <f>IF($B43="","",IF(AND($D43="Active",sysChecks!$M43&lt;&gt;"Yes",$M43&lt;&gt;""),"Yes","No"))</f>
        <v/>
      </c>
      <c r="U43" s="17">
        <f>IF($T43&lt;&gt;"Yes","",SUMPRODUCT(($T$6:$T$55="Yes")*(($S$6:$S$55&gt;$S43)+($S$6:$S$55=$S43)*(ROW($S$6:$S$55)&lt;ROW())))+1)</f>
        <v/>
      </c>
      <c r="V43" s="17">
        <f>IF($B43="","",IF(AND($Q43="No",$R43="No",OR(N($G43)=0,$K43&gt;=cfgThresholdScore),OR($H43=0,$L43&gt;=cfgThresholdScore)),"Yes","No"))</f>
        <v/>
      </c>
      <c r="W43" s="17">
        <f>IF($B43="","",_xlfn.LET(_xlpm.tot,COUNTIFS(rngEPuse,"Yes",rngEPtype,"Major"),_xlpm.left,_xlpm.tot-$E43,IF(_xlpm.left&lt;=0,"done",MAX(0,ROUND((cfgThresholdScore*_xlpm.tot-N($I43)*$E43)/_xlpm.left,1)))))</f>
        <v/>
      </c>
      <c r="X43" s="17">
        <f>IF($B43="","",_xlfn.LET(_xlpm.tot,COUNTIFS(rngEPuse,"Yes",rngEPtype,"Minor"),_xlpm.left,_xlpm.tot-$F43,IF(_xlpm.left&lt;=0,"done",MAX(0,ROUND((cfgThresholdScore*_xlpm.tot-N($J43)*$F43)/_xlpm.left,1)))))</f>
        <v/>
      </c>
      <c r="Y43" s="17">
        <f>IF($B43="","",IF($H43&gt;0,"done",cfgThresholdScore))</f>
        <v/>
      </c>
      <c r="Z43" s="17">
        <f>IF($B43="","",_xlfn.LET(_xlpm.s,_xlfn.MAXIFS(nrES_Seq,nrES_PID,$B43,nrES_Att,1,nrES_Raw,"&gt;=0"),IF(_xlpm.s=0,"",SUMIFS(nrES_Raw,nrES_PID,$B43,nrES_Att,1,nrES_Seq,_xlpm.s))))</f>
        <v/>
      </c>
      <c r="AA43" s="17">
        <f>IF($B43="","",_xlfn.LET(_xlpm.s,_xlfn.MAXIFS(nrES_Seq,nrES_PID,$B43,nrES_Att,1,nrES_Raw,"&gt;=0"),IF(_xlpm.s=0,"",_xlfn.LET(_xlpm.p,_xlfn.MAXIFS(nrES_Seq,nrES_PID,$B43,nrES_Att,1,nrES_Seq,"&lt;"&amp;_xlpm.s,nrES_Raw,"&gt;=0"),IF(_xlpm.p=0,"",SUMIFS(nrES_Raw,nrES_PID,$B43,nrES_Att,1,nrES_Seq,_xlpm.p))))))</f>
        <v/>
      </c>
      <c r="AB43" s="17">
        <f>IF(OR($B43="",$Z43="",$AA43=""),"",ROUND($AA43-$Z43,1))</f>
        <v/>
      </c>
      <c r="AC43" s="17">
        <f>IF($B43="","",_xlfn.LET(_xlpm.s,_xlfn.MAXIFS(nrES_Seq,nrES_PID,$B43,nrES_Att,1,nrES_Raw,"&gt;=0"),IF(_xlpm.s=0,0,_xlfn.LET(_xlpm.a,IF(SUMIFS(nrES_Raw,nrES_PID,$B43,nrES_Att,1,nrES_Seq,_xlpm.s)&lt;cfgPassingScore,1,0),_xlpm.p,_xlfn.MAXIFS(nrES_Seq,nrES_PID,$B43,nrES_Att,1,nrES_Seq,"&lt;"&amp;_xlpm.s,nrES_Raw,"&gt;=0"),IF(OR(_xlpm.a=0,_xlpm.p=0),_xlpm.a,_xlpm.a+IF(SUMIFS(nrES_Raw,nrES_PID,$B43,nrES_Att,1,nrES_Seq,_xlpm.p)&lt;cfgPassingScore,1,0))))))</f>
        <v/>
      </c>
    </row>
    <row r="44">
      <c r="B44" s="17">
        <f>IF(Cadets!$B44="","",Cadets!$B44)</f>
        <v/>
      </c>
      <c r="C44" s="17">
        <f>IF($B44="","",Cadets!$F44)</f>
        <v/>
      </c>
      <c r="D44" s="17">
        <f>IF($B44="","",Cadets!$I44)</f>
        <v/>
      </c>
      <c r="E44" s="17">
        <f>IF($B44="","",COUNTIFS(nrES_PID,$B44,nrES_Type,"Major",nrES_Final,"Yes",nrES_Rec,"&gt;=0",nrES_Rec,"&lt;=100"))</f>
        <v/>
      </c>
      <c r="F44" s="17">
        <f>IF($B44="","",COUNTIFS(nrES_PID,$B44,nrES_Type,"Minor",nrES_Final,"Yes",nrES_Rec,"&gt;=0",nrES_Rec,"&lt;=100"))</f>
        <v/>
      </c>
      <c r="G44" s="17">
        <f>IF($B44="","",Spelling!Q44)</f>
        <v/>
      </c>
      <c r="H44" s="17">
        <f>IF($B44="","",COUNTIFS(nrES_PID,$B44,nrES_Type,"Final",nrES_Final,"Yes",nrES_Rec,"&gt;=0",nrES_Rec,"&lt;=100"))</f>
        <v/>
      </c>
      <c r="I44" s="17">
        <f>IF(OR($B44="",$E44=0),"",IFERROR(ROUND(AVERAGEIFS(nrES_Rec,nrES_PID,$B44,nrES_Type,"Major",nrES_Final,"Yes",nrES_Rec,"&gt;=0",nrES_Rec,"&lt;=100"),2),""))</f>
        <v/>
      </c>
      <c r="J44" s="17">
        <f>IF(OR($B44="",$F44=0),"",IFERROR(ROUND(AVERAGEIFS(nrES_Rec,nrES_PID,$B44,nrES_Type,"Minor",nrES_Final,"Yes",nrES_Rec,"&gt;=0",nrES_Rec,"&lt;=100"),2),""))</f>
        <v/>
      </c>
      <c r="K44" s="17">
        <f>IF($B44="","",Spelling!P44)</f>
        <v/>
      </c>
      <c r="L44" s="17">
        <f>IF(OR($B44="",$H44=0),"",IFERROR(ROUND(AVERAGEIFS(nrES_Rec,nrES_PID,$B44,nrES_Type,"Final",nrES_Final,"Yes",nrES_Rec,"&gt;=0",nrES_Rec,"&lt;=100"),2),""))</f>
        <v/>
      </c>
      <c r="M44" s="17">
        <f>IF($B44="","",_xlfn.LET(_xlpm.w,($E44&gt;0)*cfgWeightMajor+($F44&gt;0)*cfgWeightMinor+(N($G44)&gt;0)*cfgWeightSpelling+($H44&gt;0)*cfgWeightFinal,IF(_xlpm.w=0,"",ROUND((($E44&gt;0)*cfgWeightMajor*N($I44)+($F44&gt;0)*cfgWeightMinor*N($J44)+(N($G44)&gt;0)*cfgWeightSpelling*N($K44)+($H44&gt;0)*cfgWeightFinal*N($L44))/_xlpm.w,2))))</f>
        <v/>
      </c>
      <c r="N44" s="17">
        <f>IF(OR($B44="",$H44=0),"",$M44)</f>
        <v/>
      </c>
      <c r="O44" s="17">
        <f>IF($B44="","",COUNTIFS(nrES_PID,$B44,nrES_Att,2))</f>
        <v/>
      </c>
      <c r="P44" s="17">
        <f>IF($B44="","",COUNTIFS(nrES_PID,$B44,nrES_Dis,"Yes"))</f>
        <v/>
      </c>
      <c r="Q44" s="17">
        <f>IF($B44="","",IF(AND($I44&lt;&gt;"",$I44&lt;cfgThresholdScore,OR($E44&gt;=cfgThresholdAfterExam,$E44&gt;=COUNTIFS(rngEPuse,"Yes",rngEPtype,"Major"))),"Yes","No"))</f>
        <v/>
      </c>
      <c r="R44" s="17">
        <f>IF($B44="","",IF(AND($J44&lt;&gt;"",$J44&lt;cfgThresholdScore,OR($F44&gt;=cfgThresholdAfterExam,$F44&gt;=COUNTIFS(rngEPuse,"Yes",rngEPtype,"Minor"))),"Yes","No"))</f>
        <v/>
      </c>
      <c r="S44" s="17">
        <f>IF($B44="","",IF($M44="",-1,$M44))</f>
        <v/>
      </c>
      <c r="T44" s="17">
        <f>IF($B44="","",IF(AND($D44="Active",sysChecks!$M44&lt;&gt;"Yes",$M44&lt;&gt;""),"Yes","No"))</f>
        <v/>
      </c>
      <c r="U44" s="17">
        <f>IF($T44&lt;&gt;"Yes","",SUMPRODUCT(($T$6:$T$55="Yes")*(($S$6:$S$55&gt;$S44)+($S$6:$S$55=$S44)*(ROW($S$6:$S$55)&lt;ROW())))+1)</f>
        <v/>
      </c>
      <c r="V44" s="17">
        <f>IF($B44="","",IF(AND($Q44="No",$R44="No",OR(N($G44)=0,$K44&gt;=cfgThresholdScore),OR($H44=0,$L44&gt;=cfgThresholdScore)),"Yes","No"))</f>
        <v/>
      </c>
      <c r="W44" s="17">
        <f>IF($B44="","",_xlfn.LET(_xlpm.tot,COUNTIFS(rngEPuse,"Yes",rngEPtype,"Major"),_xlpm.left,_xlpm.tot-$E44,IF(_xlpm.left&lt;=0,"done",MAX(0,ROUND((cfgThresholdScore*_xlpm.tot-N($I44)*$E44)/_xlpm.left,1)))))</f>
        <v/>
      </c>
      <c r="X44" s="17">
        <f>IF($B44="","",_xlfn.LET(_xlpm.tot,COUNTIFS(rngEPuse,"Yes",rngEPtype,"Minor"),_xlpm.left,_xlpm.tot-$F44,IF(_xlpm.left&lt;=0,"done",MAX(0,ROUND((cfgThresholdScore*_xlpm.tot-N($J44)*$F44)/_xlpm.left,1)))))</f>
        <v/>
      </c>
      <c r="Y44" s="17">
        <f>IF($B44="","",IF($H44&gt;0,"done",cfgThresholdScore))</f>
        <v/>
      </c>
      <c r="Z44" s="17">
        <f>IF($B44="","",_xlfn.LET(_xlpm.s,_xlfn.MAXIFS(nrES_Seq,nrES_PID,$B44,nrES_Att,1,nrES_Raw,"&gt;=0"),IF(_xlpm.s=0,"",SUMIFS(nrES_Raw,nrES_PID,$B44,nrES_Att,1,nrES_Seq,_xlpm.s))))</f>
        <v/>
      </c>
      <c r="AA44" s="17">
        <f>IF($B44="","",_xlfn.LET(_xlpm.s,_xlfn.MAXIFS(nrES_Seq,nrES_PID,$B44,nrES_Att,1,nrES_Raw,"&gt;=0"),IF(_xlpm.s=0,"",_xlfn.LET(_xlpm.p,_xlfn.MAXIFS(nrES_Seq,nrES_PID,$B44,nrES_Att,1,nrES_Seq,"&lt;"&amp;_xlpm.s,nrES_Raw,"&gt;=0"),IF(_xlpm.p=0,"",SUMIFS(nrES_Raw,nrES_PID,$B44,nrES_Att,1,nrES_Seq,_xlpm.p))))))</f>
        <v/>
      </c>
      <c r="AB44" s="17">
        <f>IF(OR($B44="",$Z44="",$AA44=""),"",ROUND($AA44-$Z44,1))</f>
        <v/>
      </c>
      <c r="AC44" s="17">
        <f>IF($B44="","",_xlfn.LET(_xlpm.s,_xlfn.MAXIFS(nrES_Seq,nrES_PID,$B44,nrES_Att,1,nrES_Raw,"&gt;=0"),IF(_xlpm.s=0,0,_xlfn.LET(_xlpm.a,IF(SUMIFS(nrES_Raw,nrES_PID,$B44,nrES_Att,1,nrES_Seq,_xlpm.s)&lt;cfgPassingScore,1,0),_xlpm.p,_xlfn.MAXIFS(nrES_Seq,nrES_PID,$B44,nrES_Att,1,nrES_Seq,"&lt;"&amp;_xlpm.s,nrES_Raw,"&gt;=0"),IF(OR(_xlpm.a=0,_xlpm.p=0),_xlpm.a,_xlpm.a+IF(SUMIFS(nrES_Raw,nrES_PID,$B44,nrES_Att,1,nrES_Seq,_xlpm.p)&lt;cfgPassingScore,1,0))))))</f>
        <v/>
      </c>
    </row>
    <row r="45">
      <c r="B45" s="17">
        <f>IF(Cadets!$B45="","",Cadets!$B45)</f>
        <v/>
      </c>
      <c r="C45" s="17">
        <f>IF($B45="","",Cadets!$F45)</f>
        <v/>
      </c>
      <c r="D45" s="17">
        <f>IF($B45="","",Cadets!$I45)</f>
        <v/>
      </c>
      <c r="E45" s="17">
        <f>IF($B45="","",COUNTIFS(nrES_PID,$B45,nrES_Type,"Major",nrES_Final,"Yes",nrES_Rec,"&gt;=0",nrES_Rec,"&lt;=100"))</f>
        <v/>
      </c>
      <c r="F45" s="17">
        <f>IF($B45="","",COUNTIFS(nrES_PID,$B45,nrES_Type,"Minor",nrES_Final,"Yes",nrES_Rec,"&gt;=0",nrES_Rec,"&lt;=100"))</f>
        <v/>
      </c>
      <c r="G45" s="17">
        <f>IF($B45="","",Spelling!Q45)</f>
        <v/>
      </c>
      <c r="H45" s="17">
        <f>IF($B45="","",COUNTIFS(nrES_PID,$B45,nrES_Type,"Final",nrES_Final,"Yes",nrES_Rec,"&gt;=0",nrES_Rec,"&lt;=100"))</f>
        <v/>
      </c>
      <c r="I45" s="17">
        <f>IF(OR($B45="",$E45=0),"",IFERROR(ROUND(AVERAGEIFS(nrES_Rec,nrES_PID,$B45,nrES_Type,"Major",nrES_Final,"Yes",nrES_Rec,"&gt;=0",nrES_Rec,"&lt;=100"),2),""))</f>
        <v/>
      </c>
      <c r="J45" s="17">
        <f>IF(OR($B45="",$F45=0),"",IFERROR(ROUND(AVERAGEIFS(nrES_Rec,nrES_PID,$B45,nrES_Type,"Minor",nrES_Final,"Yes",nrES_Rec,"&gt;=0",nrES_Rec,"&lt;=100"),2),""))</f>
        <v/>
      </c>
      <c r="K45" s="17">
        <f>IF($B45="","",Spelling!P45)</f>
        <v/>
      </c>
      <c r="L45" s="17">
        <f>IF(OR($B45="",$H45=0),"",IFERROR(ROUND(AVERAGEIFS(nrES_Rec,nrES_PID,$B45,nrES_Type,"Final",nrES_Final,"Yes",nrES_Rec,"&gt;=0",nrES_Rec,"&lt;=100"),2),""))</f>
        <v/>
      </c>
      <c r="M45" s="17">
        <f>IF($B45="","",_xlfn.LET(_xlpm.w,($E45&gt;0)*cfgWeightMajor+($F45&gt;0)*cfgWeightMinor+(N($G45)&gt;0)*cfgWeightSpelling+($H45&gt;0)*cfgWeightFinal,IF(_xlpm.w=0,"",ROUND((($E45&gt;0)*cfgWeightMajor*N($I45)+($F45&gt;0)*cfgWeightMinor*N($J45)+(N($G45)&gt;0)*cfgWeightSpelling*N($K45)+($H45&gt;0)*cfgWeightFinal*N($L45))/_xlpm.w,2))))</f>
        <v/>
      </c>
      <c r="N45" s="17">
        <f>IF(OR($B45="",$H45=0),"",$M45)</f>
        <v/>
      </c>
      <c r="O45" s="17">
        <f>IF($B45="","",COUNTIFS(nrES_PID,$B45,nrES_Att,2))</f>
        <v/>
      </c>
      <c r="P45" s="17">
        <f>IF($B45="","",COUNTIFS(nrES_PID,$B45,nrES_Dis,"Yes"))</f>
        <v/>
      </c>
      <c r="Q45" s="17">
        <f>IF($B45="","",IF(AND($I45&lt;&gt;"",$I45&lt;cfgThresholdScore,OR($E45&gt;=cfgThresholdAfterExam,$E45&gt;=COUNTIFS(rngEPuse,"Yes",rngEPtype,"Major"))),"Yes","No"))</f>
        <v/>
      </c>
      <c r="R45" s="17">
        <f>IF($B45="","",IF(AND($J45&lt;&gt;"",$J45&lt;cfgThresholdScore,OR($F45&gt;=cfgThresholdAfterExam,$F45&gt;=COUNTIFS(rngEPuse,"Yes",rngEPtype,"Minor"))),"Yes","No"))</f>
        <v/>
      </c>
      <c r="S45" s="17">
        <f>IF($B45="","",IF($M45="",-1,$M45))</f>
        <v/>
      </c>
      <c r="T45" s="17">
        <f>IF($B45="","",IF(AND($D45="Active",sysChecks!$M45&lt;&gt;"Yes",$M45&lt;&gt;""),"Yes","No"))</f>
        <v/>
      </c>
      <c r="U45" s="17">
        <f>IF($T45&lt;&gt;"Yes","",SUMPRODUCT(($T$6:$T$55="Yes")*(($S$6:$S$55&gt;$S45)+($S$6:$S$55=$S45)*(ROW($S$6:$S$55)&lt;ROW())))+1)</f>
        <v/>
      </c>
      <c r="V45" s="17">
        <f>IF($B45="","",IF(AND($Q45="No",$R45="No",OR(N($G45)=0,$K45&gt;=cfgThresholdScore),OR($H45=0,$L45&gt;=cfgThresholdScore)),"Yes","No"))</f>
        <v/>
      </c>
      <c r="W45" s="17">
        <f>IF($B45="","",_xlfn.LET(_xlpm.tot,COUNTIFS(rngEPuse,"Yes",rngEPtype,"Major"),_xlpm.left,_xlpm.tot-$E45,IF(_xlpm.left&lt;=0,"done",MAX(0,ROUND((cfgThresholdScore*_xlpm.tot-N($I45)*$E45)/_xlpm.left,1)))))</f>
        <v/>
      </c>
      <c r="X45" s="17">
        <f>IF($B45="","",_xlfn.LET(_xlpm.tot,COUNTIFS(rngEPuse,"Yes",rngEPtype,"Minor"),_xlpm.left,_xlpm.tot-$F45,IF(_xlpm.left&lt;=0,"done",MAX(0,ROUND((cfgThresholdScore*_xlpm.tot-N($J45)*$F45)/_xlpm.left,1)))))</f>
        <v/>
      </c>
      <c r="Y45" s="17">
        <f>IF($B45="","",IF($H45&gt;0,"done",cfgThresholdScore))</f>
        <v/>
      </c>
      <c r="Z45" s="17">
        <f>IF($B45="","",_xlfn.LET(_xlpm.s,_xlfn.MAXIFS(nrES_Seq,nrES_PID,$B45,nrES_Att,1,nrES_Raw,"&gt;=0"),IF(_xlpm.s=0,"",SUMIFS(nrES_Raw,nrES_PID,$B45,nrES_Att,1,nrES_Seq,_xlpm.s))))</f>
        <v/>
      </c>
      <c r="AA45" s="17">
        <f>IF($B45="","",_xlfn.LET(_xlpm.s,_xlfn.MAXIFS(nrES_Seq,nrES_PID,$B45,nrES_Att,1,nrES_Raw,"&gt;=0"),IF(_xlpm.s=0,"",_xlfn.LET(_xlpm.p,_xlfn.MAXIFS(nrES_Seq,nrES_PID,$B45,nrES_Att,1,nrES_Seq,"&lt;"&amp;_xlpm.s,nrES_Raw,"&gt;=0"),IF(_xlpm.p=0,"",SUMIFS(nrES_Raw,nrES_PID,$B45,nrES_Att,1,nrES_Seq,_xlpm.p))))))</f>
        <v/>
      </c>
      <c r="AB45" s="17">
        <f>IF(OR($B45="",$Z45="",$AA45=""),"",ROUND($AA45-$Z45,1))</f>
        <v/>
      </c>
      <c r="AC45" s="17">
        <f>IF($B45="","",_xlfn.LET(_xlpm.s,_xlfn.MAXIFS(nrES_Seq,nrES_PID,$B45,nrES_Att,1,nrES_Raw,"&gt;=0"),IF(_xlpm.s=0,0,_xlfn.LET(_xlpm.a,IF(SUMIFS(nrES_Raw,nrES_PID,$B45,nrES_Att,1,nrES_Seq,_xlpm.s)&lt;cfgPassingScore,1,0),_xlpm.p,_xlfn.MAXIFS(nrES_Seq,nrES_PID,$B45,nrES_Att,1,nrES_Seq,"&lt;"&amp;_xlpm.s,nrES_Raw,"&gt;=0"),IF(OR(_xlpm.a=0,_xlpm.p=0),_xlpm.a,_xlpm.a+IF(SUMIFS(nrES_Raw,nrES_PID,$B45,nrES_Att,1,nrES_Seq,_xlpm.p)&lt;cfgPassingScore,1,0))))))</f>
        <v/>
      </c>
    </row>
    <row r="46">
      <c r="B46" s="17">
        <f>IF(Cadets!$B46="","",Cadets!$B46)</f>
        <v/>
      </c>
      <c r="C46" s="17">
        <f>IF($B46="","",Cadets!$F46)</f>
        <v/>
      </c>
      <c r="D46" s="17">
        <f>IF($B46="","",Cadets!$I46)</f>
        <v/>
      </c>
      <c r="E46" s="17">
        <f>IF($B46="","",COUNTIFS(nrES_PID,$B46,nrES_Type,"Major",nrES_Final,"Yes",nrES_Rec,"&gt;=0",nrES_Rec,"&lt;=100"))</f>
        <v/>
      </c>
      <c r="F46" s="17">
        <f>IF($B46="","",COUNTIFS(nrES_PID,$B46,nrES_Type,"Minor",nrES_Final,"Yes",nrES_Rec,"&gt;=0",nrES_Rec,"&lt;=100"))</f>
        <v/>
      </c>
      <c r="G46" s="17">
        <f>IF($B46="","",Spelling!Q46)</f>
        <v/>
      </c>
      <c r="H46" s="17">
        <f>IF($B46="","",COUNTIFS(nrES_PID,$B46,nrES_Type,"Final",nrES_Final,"Yes",nrES_Rec,"&gt;=0",nrES_Rec,"&lt;=100"))</f>
        <v/>
      </c>
      <c r="I46" s="17">
        <f>IF(OR($B46="",$E46=0),"",IFERROR(ROUND(AVERAGEIFS(nrES_Rec,nrES_PID,$B46,nrES_Type,"Major",nrES_Final,"Yes",nrES_Rec,"&gt;=0",nrES_Rec,"&lt;=100"),2),""))</f>
        <v/>
      </c>
      <c r="J46" s="17">
        <f>IF(OR($B46="",$F46=0),"",IFERROR(ROUND(AVERAGEIFS(nrES_Rec,nrES_PID,$B46,nrES_Type,"Minor",nrES_Final,"Yes",nrES_Rec,"&gt;=0",nrES_Rec,"&lt;=100"),2),""))</f>
        <v/>
      </c>
      <c r="K46" s="17">
        <f>IF($B46="","",Spelling!P46)</f>
        <v/>
      </c>
      <c r="L46" s="17">
        <f>IF(OR($B46="",$H46=0),"",IFERROR(ROUND(AVERAGEIFS(nrES_Rec,nrES_PID,$B46,nrES_Type,"Final",nrES_Final,"Yes",nrES_Rec,"&gt;=0",nrES_Rec,"&lt;=100"),2),""))</f>
        <v/>
      </c>
      <c r="M46" s="17">
        <f>IF($B46="","",_xlfn.LET(_xlpm.w,($E46&gt;0)*cfgWeightMajor+($F46&gt;0)*cfgWeightMinor+(N($G46)&gt;0)*cfgWeightSpelling+($H46&gt;0)*cfgWeightFinal,IF(_xlpm.w=0,"",ROUND((($E46&gt;0)*cfgWeightMajor*N($I46)+($F46&gt;0)*cfgWeightMinor*N($J46)+(N($G46)&gt;0)*cfgWeightSpelling*N($K46)+($H46&gt;0)*cfgWeightFinal*N($L46))/_xlpm.w,2))))</f>
        <v/>
      </c>
      <c r="N46" s="17">
        <f>IF(OR($B46="",$H46=0),"",$M46)</f>
        <v/>
      </c>
      <c r="O46" s="17">
        <f>IF($B46="","",COUNTIFS(nrES_PID,$B46,nrES_Att,2))</f>
        <v/>
      </c>
      <c r="P46" s="17">
        <f>IF($B46="","",COUNTIFS(nrES_PID,$B46,nrES_Dis,"Yes"))</f>
        <v/>
      </c>
      <c r="Q46" s="17">
        <f>IF($B46="","",IF(AND($I46&lt;&gt;"",$I46&lt;cfgThresholdScore,OR($E46&gt;=cfgThresholdAfterExam,$E46&gt;=COUNTIFS(rngEPuse,"Yes",rngEPtype,"Major"))),"Yes","No"))</f>
        <v/>
      </c>
      <c r="R46" s="17">
        <f>IF($B46="","",IF(AND($J46&lt;&gt;"",$J46&lt;cfgThresholdScore,OR($F46&gt;=cfgThresholdAfterExam,$F46&gt;=COUNTIFS(rngEPuse,"Yes",rngEPtype,"Minor"))),"Yes","No"))</f>
        <v/>
      </c>
      <c r="S46" s="17">
        <f>IF($B46="","",IF($M46="",-1,$M46))</f>
        <v/>
      </c>
      <c r="T46" s="17">
        <f>IF($B46="","",IF(AND($D46="Active",sysChecks!$M46&lt;&gt;"Yes",$M46&lt;&gt;""),"Yes","No"))</f>
        <v/>
      </c>
      <c r="U46" s="17">
        <f>IF($T46&lt;&gt;"Yes","",SUMPRODUCT(($T$6:$T$55="Yes")*(($S$6:$S$55&gt;$S46)+($S$6:$S$55=$S46)*(ROW($S$6:$S$55)&lt;ROW())))+1)</f>
        <v/>
      </c>
      <c r="V46" s="17">
        <f>IF($B46="","",IF(AND($Q46="No",$R46="No",OR(N($G46)=0,$K46&gt;=cfgThresholdScore),OR($H46=0,$L46&gt;=cfgThresholdScore)),"Yes","No"))</f>
        <v/>
      </c>
      <c r="W46" s="17">
        <f>IF($B46="","",_xlfn.LET(_xlpm.tot,COUNTIFS(rngEPuse,"Yes",rngEPtype,"Major"),_xlpm.left,_xlpm.tot-$E46,IF(_xlpm.left&lt;=0,"done",MAX(0,ROUND((cfgThresholdScore*_xlpm.tot-N($I46)*$E46)/_xlpm.left,1)))))</f>
        <v/>
      </c>
      <c r="X46" s="17">
        <f>IF($B46="","",_xlfn.LET(_xlpm.tot,COUNTIFS(rngEPuse,"Yes",rngEPtype,"Minor"),_xlpm.left,_xlpm.tot-$F46,IF(_xlpm.left&lt;=0,"done",MAX(0,ROUND((cfgThresholdScore*_xlpm.tot-N($J46)*$F46)/_xlpm.left,1)))))</f>
        <v/>
      </c>
      <c r="Y46" s="17">
        <f>IF($B46="","",IF($H46&gt;0,"done",cfgThresholdScore))</f>
        <v/>
      </c>
      <c r="Z46" s="17">
        <f>IF($B46="","",_xlfn.LET(_xlpm.s,_xlfn.MAXIFS(nrES_Seq,nrES_PID,$B46,nrES_Att,1,nrES_Raw,"&gt;=0"),IF(_xlpm.s=0,"",SUMIFS(nrES_Raw,nrES_PID,$B46,nrES_Att,1,nrES_Seq,_xlpm.s))))</f>
        <v/>
      </c>
      <c r="AA46" s="17">
        <f>IF($B46="","",_xlfn.LET(_xlpm.s,_xlfn.MAXIFS(nrES_Seq,nrES_PID,$B46,nrES_Att,1,nrES_Raw,"&gt;=0"),IF(_xlpm.s=0,"",_xlfn.LET(_xlpm.p,_xlfn.MAXIFS(nrES_Seq,nrES_PID,$B46,nrES_Att,1,nrES_Seq,"&lt;"&amp;_xlpm.s,nrES_Raw,"&gt;=0"),IF(_xlpm.p=0,"",SUMIFS(nrES_Raw,nrES_PID,$B46,nrES_Att,1,nrES_Seq,_xlpm.p))))))</f>
        <v/>
      </c>
      <c r="AB46" s="17">
        <f>IF(OR($B46="",$Z46="",$AA46=""),"",ROUND($AA46-$Z46,1))</f>
        <v/>
      </c>
      <c r="AC46" s="17">
        <f>IF($B46="","",_xlfn.LET(_xlpm.s,_xlfn.MAXIFS(nrES_Seq,nrES_PID,$B46,nrES_Att,1,nrES_Raw,"&gt;=0"),IF(_xlpm.s=0,0,_xlfn.LET(_xlpm.a,IF(SUMIFS(nrES_Raw,nrES_PID,$B46,nrES_Att,1,nrES_Seq,_xlpm.s)&lt;cfgPassingScore,1,0),_xlpm.p,_xlfn.MAXIFS(nrES_Seq,nrES_PID,$B46,nrES_Att,1,nrES_Seq,"&lt;"&amp;_xlpm.s,nrES_Raw,"&gt;=0"),IF(OR(_xlpm.a=0,_xlpm.p=0),_xlpm.a,_xlpm.a+IF(SUMIFS(nrES_Raw,nrES_PID,$B46,nrES_Att,1,nrES_Seq,_xlpm.p)&lt;cfgPassingScore,1,0))))))</f>
        <v/>
      </c>
    </row>
    <row r="47">
      <c r="B47" s="17">
        <f>IF(Cadets!$B47="","",Cadets!$B47)</f>
        <v/>
      </c>
      <c r="C47" s="17">
        <f>IF($B47="","",Cadets!$F47)</f>
        <v/>
      </c>
      <c r="D47" s="17">
        <f>IF($B47="","",Cadets!$I47)</f>
        <v/>
      </c>
      <c r="E47" s="17">
        <f>IF($B47="","",COUNTIFS(nrES_PID,$B47,nrES_Type,"Major",nrES_Final,"Yes",nrES_Rec,"&gt;=0",nrES_Rec,"&lt;=100"))</f>
        <v/>
      </c>
      <c r="F47" s="17">
        <f>IF($B47="","",COUNTIFS(nrES_PID,$B47,nrES_Type,"Minor",nrES_Final,"Yes",nrES_Rec,"&gt;=0",nrES_Rec,"&lt;=100"))</f>
        <v/>
      </c>
      <c r="G47" s="17">
        <f>IF($B47="","",Spelling!Q47)</f>
        <v/>
      </c>
      <c r="H47" s="17">
        <f>IF($B47="","",COUNTIFS(nrES_PID,$B47,nrES_Type,"Final",nrES_Final,"Yes",nrES_Rec,"&gt;=0",nrES_Rec,"&lt;=100"))</f>
        <v/>
      </c>
      <c r="I47" s="17">
        <f>IF(OR($B47="",$E47=0),"",IFERROR(ROUND(AVERAGEIFS(nrES_Rec,nrES_PID,$B47,nrES_Type,"Major",nrES_Final,"Yes",nrES_Rec,"&gt;=0",nrES_Rec,"&lt;=100"),2),""))</f>
        <v/>
      </c>
      <c r="J47" s="17">
        <f>IF(OR($B47="",$F47=0),"",IFERROR(ROUND(AVERAGEIFS(nrES_Rec,nrES_PID,$B47,nrES_Type,"Minor",nrES_Final,"Yes",nrES_Rec,"&gt;=0",nrES_Rec,"&lt;=100"),2),""))</f>
        <v/>
      </c>
      <c r="K47" s="17">
        <f>IF($B47="","",Spelling!P47)</f>
        <v/>
      </c>
      <c r="L47" s="17">
        <f>IF(OR($B47="",$H47=0),"",IFERROR(ROUND(AVERAGEIFS(nrES_Rec,nrES_PID,$B47,nrES_Type,"Final",nrES_Final,"Yes",nrES_Rec,"&gt;=0",nrES_Rec,"&lt;=100"),2),""))</f>
        <v/>
      </c>
      <c r="M47" s="17">
        <f>IF($B47="","",_xlfn.LET(_xlpm.w,($E47&gt;0)*cfgWeightMajor+($F47&gt;0)*cfgWeightMinor+(N($G47)&gt;0)*cfgWeightSpelling+($H47&gt;0)*cfgWeightFinal,IF(_xlpm.w=0,"",ROUND((($E47&gt;0)*cfgWeightMajor*N($I47)+($F47&gt;0)*cfgWeightMinor*N($J47)+(N($G47)&gt;0)*cfgWeightSpelling*N($K47)+($H47&gt;0)*cfgWeightFinal*N($L47))/_xlpm.w,2))))</f>
        <v/>
      </c>
      <c r="N47" s="17">
        <f>IF(OR($B47="",$H47=0),"",$M47)</f>
        <v/>
      </c>
      <c r="O47" s="17">
        <f>IF($B47="","",COUNTIFS(nrES_PID,$B47,nrES_Att,2))</f>
        <v/>
      </c>
      <c r="P47" s="17">
        <f>IF($B47="","",COUNTIFS(nrES_PID,$B47,nrES_Dis,"Yes"))</f>
        <v/>
      </c>
      <c r="Q47" s="17">
        <f>IF($B47="","",IF(AND($I47&lt;&gt;"",$I47&lt;cfgThresholdScore,OR($E47&gt;=cfgThresholdAfterExam,$E47&gt;=COUNTIFS(rngEPuse,"Yes",rngEPtype,"Major"))),"Yes","No"))</f>
        <v/>
      </c>
      <c r="R47" s="17">
        <f>IF($B47="","",IF(AND($J47&lt;&gt;"",$J47&lt;cfgThresholdScore,OR($F47&gt;=cfgThresholdAfterExam,$F47&gt;=COUNTIFS(rngEPuse,"Yes",rngEPtype,"Minor"))),"Yes","No"))</f>
        <v/>
      </c>
      <c r="S47" s="17">
        <f>IF($B47="","",IF($M47="",-1,$M47))</f>
        <v/>
      </c>
      <c r="T47" s="17">
        <f>IF($B47="","",IF(AND($D47="Active",sysChecks!$M47&lt;&gt;"Yes",$M47&lt;&gt;""),"Yes","No"))</f>
        <v/>
      </c>
      <c r="U47" s="17">
        <f>IF($T47&lt;&gt;"Yes","",SUMPRODUCT(($T$6:$T$55="Yes")*(($S$6:$S$55&gt;$S47)+($S$6:$S$55=$S47)*(ROW($S$6:$S$55)&lt;ROW())))+1)</f>
        <v/>
      </c>
      <c r="V47" s="17">
        <f>IF($B47="","",IF(AND($Q47="No",$R47="No",OR(N($G47)=0,$K47&gt;=cfgThresholdScore),OR($H47=0,$L47&gt;=cfgThresholdScore)),"Yes","No"))</f>
        <v/>
      </c>
      <c r="W47" s="17">
        <f>IF($B47="","",_xlfn.LET(_xlpm.tot,COUNTIFS(rngEPuse,"Yes",rngEPtype,"Major"),_xlpm.left,_xlpm.tot-$E47,IF(_xlpm.left&lt;=0,"done",MAX(0,ROUND((cfgThresholdScore*_xlpm.tot-N($I47)*$E47)/_xlpm.left,1)))))</f>
        <v/>
      </c>
      <c r="X47" s="17">
        <f>IF($B47="","",_xlfn.LET(_xlpm.tot,COUNTIFS(rngEPuse,"Yes",rngEPtype,"Minor"),_xlpm.left,_xlpm.tot-$F47,IF(_xlpm.left&lt;=0,"done",MAX(0,ROUND((cfgThresholdScore*_xlpm.tot-N($J47)*$F47)/_xlpm.left,1)))))</f>
        <v/>
      </c>
      <c r="Y47" s="17">
        <f>IF($B47="","",IF($H47&gt;0,"done",cfgThresholdScore))</f>
        <v/>
      </c>
      <c r="Z47" s="17">
        <f>IF($B47="","",_xlfn.LET(_xlpm.s,_xlfn.MAXIFS(nrES_Seq,nrES_PID,$B47,nrES_Att,1,nrES_Raw,"&gt;=0"),IF(_xlpm.s=0,"",SUMIFS(nrES_Raw,nrES_PID,$B47,nrES_Att,1,nrES_Seq,_xlpm.s))))</f>
        <v/>
      </c>
      <c r="AA47" s="17">
        <f>IF($B47="","",_xlfn.LET(_xlpm.s,_xlfn.MAXIFS(nrES_Seq,nrES_PID,$B47,nrES_Att,1,nrES_Raw,"&gt;=0"),IF(_xlpm.s=0,"",_xlfn.LET(_xlpm.p,_xlfn.MAXIFS(nrES_Seq,nrES_PID,$B47,nrES_Att,1,nrES_Seq,"&lt;"&amp;_xlpm.s,nrES_Raw,"&gt;=0"),IF(_xlpm.p=0,"",SUMIFS(nrES_Raw,nrES_PID,$B47,nrES_Att,1,nrES_Seq,_xlpm.p))))))</f>
        <v/>
      </c>
      <c r="AB47" s="17">
        <f>IF(OR($B47="",$Z47="",$AA47=""),"",ROUND($AA47-$Z47,1))</f>
        <v/>
      </c>
      <c r="AC47" s="17">
        <f>IF($B47="","",_xlfn.LET(_xlpm.s,_xlfn.MAXIFS(nrES_Seq,nrES_PID,$B47,nrES_Att,1,nrES_Raw,"&gt;=0"),IF(_xlpm.s=0,0,_xlfn.LET(_xlpm.a,IF(SUMIFS(nrES_Raw,nrES_PID,$B47,nrES_Att,1,nrES_Seq,_xlpm.s)&lt;cfgPassingScore,1,0),_xlpm.p,_xlfn.MAXIFS(nrES_Seq,nrES_PID,$B47,nrES_Att,1,nrES_Seq,"&lt;"&amp;_xlpm.s,nrES_Raw,"&gt;=0"),IF(OR(_xlpm.a=0,_xlpm.p=0),_xlpm.a,_xlpm.a+IF(SUMIFS(nrES_Raw,nrES_PID,$B47,nrES_Att,1,nrES_Seq,_xlpm.p)&lt;cfgPassingScore,1,0))))))</f>
        <v/>
      </c>
    </row>
    <row r="48">
      <c r="B48" s="17">
        <f>IF(Cadets!$B48="","",Cadets!$B48)</f>
        <v/>
      </c>
      <c r="C48" s="17">
        <f>IF($B48="","",Cadets!$F48)</f>
        <v/>
      </c>
      <c r="D48" s="17">
        <f>IF($B48="","",Cadets!$I48)</f>
        <v/>
      </c>
      <c r="E48" s="17">
        <f>IF($B48="","",COUNTIFS(nrES_PID,$B48,nrES_Type,"Major",nrES_Final,"Yes",nrES_Rec,"&gt;=0",nrES_Rec,"&lt;=100"))</f>
        <v/>
      </c>
      <c r="F48" s="17">
        <f>IF($B48="","",COUNTIFS(nrES_PID,$B48,nrES_Type,"Minor",nrES_Final,"Yes",nrES_Rec,"&gt;=0",nrES_Rec,"&lt;=100"))</f>
        <v/>
      </c>
      <c r="G48" s="17">
        <f>IF($B48="","",Spelling!Q48)</f>
        <v/>
      </c>
      <c r="H48" s="17">
        <f>IF($B48="","",COUNTIFS(nrES_PID,$B48,nrES_Type,"Final",nrES_Final,"Yes",nrES_Rec,"&gt;=0",nrES_Rec,"&lt;=100"))</f>
        <v/>
      </c>
      <c r="I48" s="17">
        <f>IF(OR($B48="",$E48=0),"",IFERROR(ROUND(AVERAGEIFS(nrES_Rec,nrES_PID,$B48,nrES_Type,"Major",nrES_Final,"Yes",nrES_Rec,"&gt;=0",nrES_Rec,"&lt;=100"),2),""))</f>
        <v/>
      </c>
      <c r="J48" s="17">
        <f>IF(OR($B48="",$F48=0),"",IFERROR(ROUND(AVERAGEIFS(nrES_Rec,nrES_PID,$B48,nrES_Type,"Minor",nrES_Final,"Yes",nrES_Rec,"&gt;=0",nrES_Rec,"&lt;=100"),2),""))</f>
        <v/>
      </c>
      <c r="K48" s="17">
        <f>IF($B48="","",Spelling!P48)</f>
        <v/>
      </c>
      <c r="L48" s="17">
        <f>IF(OR($B48="",$H48=0),"",IFERROR(ROUND(AVERAGEIFS(nrES_Rec,nrES_PID,$B48,nrES_Type,"Final",nrES_Final,"Yes",nrES_Rec,"&gt;=0",nrES_Rec,"&lt;=100"),2),""))</f>
        <v/>
      </c>
      <c r="M48" s="17">
        <f>IF($B48="","",_xlfn.LET(_xlpm.w,($E48&gt;0)*cfgWeightMajor+($F48&gt;0)*cfgWeightMinor+(N($G48)&gt;0)*cfgWeightSpelling+($H48&gt;0)*cfgWeightFinal,IF(_xlpm.w=0,"",ROUND((($E48&gt;0)*cfgWeightMajor*N($I48)+($F48&gt;0)*cfgWeightMinor*N($J48)+(N($G48)&gt;0)*cfgWeightSpelling*N($K48)+($H48&gt;0)*cfgWeightFinal*N($L48))/_xlpm.w,2))))</f>
        <v/>
      </c>
      <c r="N48" s="17">
        <f>IF(OR($B48="",$H48=0),"",$M48)</f>
        <v/>
      </c>
      <c r="O48" s="17">
        <f>IF($B48="","",COUNTIFS(nrES_PID,$B48,nrES_Att,2))</f>
        <v/>
      </c>
      <c r="P48" s="17">
        <f>IF($B48="","",COUNTIFS(nrES_PID,$B48,nrES_Dis,"Yes"))</f>
        <v/>
      </c>
      <c r="Q48" s="17">
        <f>IF($B48="","",IF(AND($I48&lt;&gt;"",$I48&lt;cfgThresholdScore,OR($E48&gt;=cfgThresholdAfterExam,$E48&gt;=COUNTIFS(rngEPuse,"Yes",rngEPtype,"Major"))),"Yes","No"))</f>
        <v/>
      </c>
      <c r="R48" s="17">
        <f>IF($B48="","",IF(AND($J48&lt;&gt;"",$J48&lt;cfgThresholdScore,OR($F48&gt;=cfgThresholdAfterExam,$F48&gt;=COUNTIFS(rngEPuse,"Yes",rngEPtype,"Minor"))),"Yes","No"))</f>
        <v/>
      </c>
      <c r="S48" s="17">
        <f>IF($B48="","",IF($M48="",-1,$M48))</f>
        <v/>
      </c>
      <c r="T48" s="17">
        <f>IF($B48="","",IF(AND($D48="Active",sysChecks!$M48&lt;&gt;"Yes",$M48&lt;&gt;""),"Yes","No"))</f>
        <v/>
      </c>
      <c r="U48" s="17">
        <f>IF($T48&lt;&gt;"Yes","",SUMPRODUCT(($T$6:$T$55="Yes")*(($S$6:$S$55&gt;$S48)+($S$6:$S$55=$S48)*(ROW($S$6:$S$55)&lt;ROW())))+1)</f>
        <v/>
      </c>
      <c r="V48" s="17">
        <f>IF($B48="","",IF(AND($Q48="No",$R48="No",OR(N($G48)=0,$K48&gt;=cfgThresholdScore),OR($H48=0,$L48&gt;=cfgThresholdScore)),"Yes","No"))</f>
        <v/>
      </c>
      <c r="W48" s="17">
        <f>IF($B48="","",_xlfn.LET(_xlpm.tot,COUNTIFS(rngEPuse,"Yes",rngEPtype,"Major"),_xlpm.left,_xlpm.tot-$E48,IF(_xlpm.left&lt;=0,"done",MAX(0,ROUND((cfgThresholdScore*_xlpm.tot-N($I48)*$E48)/_xlpm.left,1)))))</f>
        <v/>
      </c>
      <c r="X48" s="17">
        <f>IF($B48="","",_xlfn.LET(_xlpm.tot,COUNTIFS(rngEPuse,"Yes",rngEPtype,"Minor"),_xlpm.left,_xlpm.tot-$F48,IF(_xlpm.left&lt;=0,"done",MAX(0,ROUND((cfgThresholdScore*_xlpm.tot-N($J48)*$F48)/_xlpm.left,1)))))</f>
        <v/>
      </c>
      <c r="Y48" s="17">
        <f>IF($B48="","",IF($H48&gt;0,"done",cfgThresholdScore))</f>
        <v/>
      </c>
      <c r="Z48" s="17">
        <f>IF($B48="","",_xlfn.LET(_xlpm.s,_xlfn.MAXIFS(nrES_Seq,nrES_PID,$B48,nrES_Att,1,nrES_Raw,"&gt;=0"),IF(_xlpm.s=0,"",SUMIFS(nrES_Raw,nrES_PID,$B48,nrES_Att,1,nrES_Seq,_xlpm.s))))</f>
        <v/>
      </c>
      <c r="AA48" s="17">
        <f>IF($B48="","",_xlfn.LET(_xlpm.s,_xlfn.MAXIFS(nrES_Seq,nrES_PID,$B48,nrES_Att,1,nrES_Raw,"&gt;=0"),IF(_xlpm.s=0,"",_xlfn.LET(_xlpm.p,_xlfn.MAXIFS(nrES_Seq,nrES_PID,$B48,nrES_Att,1,nrES_Seq,"&lt;"&amp;_xlpm.s,nrES_Raw,"&gt;=0"),IF(_xlpm.p=0,"",SUMIFS(nrES_Raw,nrES_PID,$B48,nrES_Att,1,nrES_Seq,_xlpm.p))))))</f>
        <v/>
      </c>
      <c r="AB48" s="17">
        <f>IF(OR($B48="",$Z48="",$AA48=""),"",ROUND($AA48-$Z48,1))</f>
        <v/>
      </c>
      <c r="AC48" s="17">
        <f>IF($B48="","",_xlfn.LET(_xlpm.s,_xlfn.MAXIFS(nrES_Seq,nrES_PID,$B48,nrES_Att,1,nrES_Raw,"&gt;=0"),IF(_xlpm.s=0,0,_xlfn.LET(_xlpm.a,IF(SUMIFS(nrES_Raw,nrES_PID,$B48,nrES_Att,1,nrES_Seq,_xlpm.s)&lt;cfgPassingScore,1,0),_xlpm.p,_xlfn.MAXIFS(nrES_Seq,nrES_PID,$B48,nrES_Att,1,nrES_Seq,"&lt;"&amp;_xlpm.s,nrES_Raw,"&gt;=0"),IF(OR(_xlpm.a=0,_xlpm.p=0),_xlpm.a,_xlpm.a+IF(SUMIFS(nrES_Raw,nrES_PID,$B48,nrES_Att,1,nrES_Seq,_xlpm.p)&lt;cfgPassingScore,1,0))))))</f>
        <v/>
      </c>
    </row>
    <row r="49">
      <c r="B49" s="17">
        <f>IF(Cadets!$B49="","",Cadets!$B49)</f>
        <v/>
      </c>
      <c r="C49" s="17">
        <f>IF($B49="","",Cadets!$F49)</f>
        <v/>
      </c>
      <c r="D49" s="17">
        <f>IF($B49="","",Cadets!$I49)</f>
        <v/>
      </c>
      <c r="E49" s="17">
        <f>IF($B49="","",COUNTIFS(nrES_PID,$B49,nrES_Type,"Major",nrES_Final,"Yes",nrES_Rec,"&gt;=0",nrES_Rec,"&lt;=100"))</f>
        <v/>
      </c>
      <c r="F49" s="17">
        <f>IF($B49="","",COUNTIFS(nrES_PID,$B49,nrES_Type,"Minor",nrES_Final,"Yes",nrES_Rec,"&gt;=0",nrES_Rec,"&lt;=100"))</f>
        <v/>
      </c>
      <c r="G49" s="17">
        <f>IF($B49="","",Spelling!Q49)</f>
        <v/>
      </c>
      <c r="H49" s="17">
        <f>IF($B49="","",COUNTIFS(nrES_PID,$B49,nrES_Type,"Final",nrES_Final,"Yes",nrES_Rec,"&gt;=0",nrES_Rec,"&lt;=100"))</f>
        <v/>
      </c>
      <c r="I49" s="17">
        <f>IF(OR($B49="",$E49=0),"",IFERROR(ROUND(AVERAGEIFS(nrES_Rec,nrES_PID,$B49,nrES_Type,"Major",nrES_Final,"Yes",nrES_Rec,"&gt;=0",nrES_Rec,"&lt;=100"),2),""))</f>
        <v/>
      </c>
      <c r="J49" s="17">
        <f>IF(OR($B49="",$F49=0),"",IFERROR(ROUND(AVERAGEIFS(nrES_Rec,nrES_PID,$B49,nrES_Type,"Minor",nrES_Final,"Yes",nrES_Rec,"&gt;=0",nrES_Rec,"&lt;=100"),2),""))</f>
        <v/>
      </c>
      <c r="K49" s="17">
        <f>IF($B49="","",Spelling!P49)</f>
        <v/>
      </c>
      <c r="L49" s="17">
        <f>IF(OR($B49="",$H49=0),"",IFERROR(ROUND(AVERAGEIFS(nrES_Rec,nrES_PID,$B49,nrES_Type,"Final",nrES_Final,"Yes",nrES_Rec,"&gt;=0",nrES_Rec,"&lt;=100"),2),""))</f>
        <v/>
      </c>
      <c r="M49" s="17">
        <f>IF($B49="","",_xlfn.LET(_xlpm.w,($E49&gt;0)*cfgWeightMajor+($F49&gt;0)*cfgWeightMinor+(N($G49)&gt;0)*cfgWeightSpelling+($H49&gt;0)*cfgWeightFinal,IF(_xlpm.w=0,"",ROUND((($E49&gt;0)*cfgWeightMajor*N($I49)+($F49&gt;0)*cfgWeightMinor*N($J49)+(N($G49)&gt;0)*cfgWeightSpelling*N($K49)+($H49&gt;0)*cfgWeightFinal*N($L49))/_xlpm.w,2))))</f>
        <v/>
      </c>
      <c r="N49" s="17">
        <f>IF(OR($B49="",$H49=0),"",$M49)</f>
        <v/>
      </c>
      <c r="O49" s="17">
        <f>IF($B49="","",COUNTIFS(nrES_PID,$B49,nrES_Att,2))</f>
        <v/>
      </c>
      <c r="P49" s="17">
        <f>IF($B49="","",COUNTIFS(nrES_PID,$B49,nrES_Dis,"Yes"))</f>
        <v/>
      </c>
      <c r="Q49" s="17">
        <f>IF($B49="","",IF(AND($I49&lt;&gt;"",$I49&lt;cfgThresholdScore,OR($E49&gt;=cfgThresholdAfterExam,$E49&gt;=COUNTIFS(rngEPuse,"Yes",rngEPtype,"Major"))),"Yes","No"))</f>
        <v/>
      </c>
      <c r="R49" s="17">
        <f>IF($B49="","",IF(AND($J49&lt;&gt;"",$J49&lt;cfgThresholdScore,OR($F49&gt;=cfgThresholdAfterExam,$F49&gt;=COUNTIFS(rngEPuse,"Yes",rngEPtype,"Minor"))),"Yes","No"))</f>
        <v/>
      </c>
      <c r="S49" s="17">
        <f>IF($B49="","",IF($M49="",-1,$M49))</f>
        <v/>
      </c>
      <c r="T49" s="17">
        <f>IF($B49="","",IF(AND($D49="Active",sysChecks!$M49&lt;&gt;"Yes",$M49&lt;&gt;""),"Yes","No"))</f>
        <v/>
      </c>
      <c r="U49" s="17">
        <f>IF($T49&lt;&gt;"Yes","",SUMPRODUCT(($T$6:$T$55="Yes")*(($S$6:$S$55&gt;$S49)+($S$6:$S$55=$S49)*(ROW($S$6:$S$55)&lt;ROW())))+1)</f>
        <v/>
      </c>
      <c r="V49" s="17">
        <f>IF($B49="","",IF(AND($Q49="No",$R49="No",OR(N($G49)=0,$K49&gt;=cfgThresholdScore),OR($H49=0,$L49&gt;=cfgThresholdScore)),"Yes","No"))</f>
        <v/>
      </c>
      <c r="W49" s="17">
        <f>IF($B49="","",_xlfn.LET(_xlpm.tot,COUNTIFS(rngEPuse,"Yes",rngEPtype,"Major"),_xlpm.left,_xlpm.tot-$E49,IF(_xlpm.left&lt;=0,"done",MAX(0,ROUND((cfgThresholdScore*_xlpm.tot-N($I49)*$E49)/_xlpm.left,1)))))</f>
        <v/>
      </c>
      <c r="X49" s="17">
        <f>IF($B49="","",_xlfn.LET(_xlpm.tot,COUNTIFS(rngEPuse,"Yes",rngEPtype,"Minor"),_xlpm.left,_xlpm.tot-$F49,IF(_xlpm.left&lt;=0,"done",MAX(0,ROUND((cfgThresholdScore*_xlpm.tot-N($J49)*$F49)/_xlpm.left,1)))))</f>
        <v/>
      </c>
      <c r="Y49" s="17">
        <f>IF($B49="","",IF($H49&gt;0,"done",cfgThresholdScore))</f>
        <v/>
      </c>
      <c r="Z49" s="17">
        <f>IF($B49="","",_xlfn.LET(_xlpm.s,_xlfn.MAXIFS(nrES_Seq,nrES_PID,$B49,nrES_Att,1,nrES_Raw,"&gt;=0"),IF(_xlpm.s=0,"",SUMIFS(nrES_Raw,nrES_PID,$B49,nrES_Att,1,nrES_Seq,_xlpm.s))))</f>
        <v/>
      </c>
      <c r="AA49" s="17">
        <f>IF($B49="","",_xlfn.LET(_xlpm.s,_xlfn.MAXIFS(nrES_Seq,nrES_PID,$B49,nrES_Att,1,nrES_Raw,"&gt;=0"),IF(_xlpm.s=0,"",_xlfn.LET(_xlpm.p,_xlfn.MAXIFS(nrES_Seq,nrES_PID,$B49,nrES_Att,1,nrES_Seq,"&lt;"&amp;_xlpm.s,nrES_Raw,"&gt;=0"),IF(_xlpm.p=0,"",SUMIFS(nrES_Raw,nrES_PID,$B49,nrES_Att,1,nrES_Seq,_xlpm.p))))))</f>
        <v/>
      </c>
      <c r="AB49" s="17">
        <f>IF(OR($B49="",$Z49="",$AA49=""),"",ROUND($AA49-$Z49,1))</f>
        <v/>
      </c>
      <c r="AC49" s="17">
        <f>IF($B49="","",_xlfn.LET(_xlpm.s,_xlfn.MAXIFS(nrES_Seq,nrES_PID,$B49,nrES_Att,1,nrES_Raw,"&gt;=0"),IF(_xlpm.s=0,0,_xlfn.LET(_xlpm.a,IF(SUMIFS(nrES_Raw,nrES_PID,$B49,nrES_Att,1,nrES_Seq,_xlpm.s)&lt;cfgPassingScore,1,0),_xlpm.p,_xlfn.MAXIFS(nrES_Seq,nrES_PID,$B49,nrES_Att,1,nrES_Seq,"&lt;"&amp;_xlpm.s,nrES_Raw,"&gt;=0"),IF(OR(_xlpm.a=0,_xlpm.p=0),_xlpm.a,_xlpm.a+IF(SUMIFS(nrES_Raw,nrES_PID,$B49,nrES_Att,1,nrES_Seq,_xlpm.p)&lt;cfgPassingScore,1,0))))))</f>
        <v/>
      </c>
    </row>
    <row r="50">
      <c r="B50" s="17">
        <f>IF(Cadets!$B50="","",Cadets!$B50)</f>
        <v/>
      </c>
      <c r="C50" s="17">
        <f>IF($B50="","",Cadets!$F50)</f>
        <v/>
      </c>
      <c r="D50" s="17">
        <f>IF($B50="","",Cadets!$I50)</f>
        <v/>
      </c>
      <c r="E50" s="17">
        <f>IF($B50="","",COUNTIFS(nrES_PID,$B50,nrES_Type,"Major",nrES_Final,"Yes",nrES_Rec,"&gt;=0",nrES_Rec,"&lt;=100"))</f>
        <v/>
      </c>
      <c r="F50" s="17">
        <f>IF($B50="","",COUNTIFS(nrES_PID,$B50,nrES_Type,"Minor",nrES_Final,"Yes",nrES_Rec,"&gt;=0",nrES_Rec,"&lt;=100"))</f>
        <v/>
      </c>
      <c r="G50" s="17">
        <f>IF($B50="","",Spelling!Q50)</f>
        <v/>
      </c>
      <c r="H50" s="17">
        <f>IF($B50="","",COUNTIFS(nrES_PID,$B50,nrES_Type,"Final",nrES_Final,"Yes",nrES_Rec,"&gt;=0",nrES_Rec,"&lt;=100"))</f>
        <v/>
      </c>
      <c r="I50" s="17">
        <f>IF(OR($B50="",$E50=0),"",IFERROR(ROUND(AVERAGEIFS(nrES_Rec,nrES_PID,$B50,nrES_Type,"Major",nrES_Final,"Yes",nrES_Rec,"&gt;=0",nrES_Rec,"&lt;=100"),2),""))</f>
        <v/>
      </c>
      <c r="J50" s="17">
        <f>IF(OR($B50="",$F50=0),"",IFERROR(ROUND(AVERAGEIFS(nrES_Rec,nrES_PID,$B50,nrES_Type,"Minor",nrES_Final,"Yes",nrES_Rec,"&gt;=0",nrES_Rec,"&lt;=100"),2),""))</f>
        <v/>
      </c>
      <c r="K50" s="17">
        <f>IF($B50="","",Spelling!P50)</f>
        <v/>
      </c>
      <c r="L50" s="17">
        <f>IF(OR($B50="",$H50=0),"",IFERROR(ROUND(AVERAGEIFS(nrES_Rec,nrES_PID,$B50,nrES_Type,"Final",nrES_Final,"Yes",nrES_Rec,"&gt;=0",nrES_Rec,"&lt;=100"),2),""))</f>
        <v/>
      </c>
      <c r="M50" s="17">
        <f>IF($B50="","",_xlfn.LET(_xlpm.w,($E50&gt;0)*cfgWeightMajor+($F50&gt;0)*cfgWeightMinor+(N($G50)&gt;0)*cfgWeightSpelling+($H50&gt;0)*cfgWeightFinal,IF(_xlpm.w=0,"",ROUND((($E50&gt;0)*cfgWeightMajor*N($I50)+($F50&gt;0)*cfgWeightMinor*N($J50)+(N($G50)&gt;0)*cfgWeightSpelling*N($K50)+($H50&gt;0)*cfgWeightFinal*N($L50))/_xlpm.w,2))))</f>
        <v/>
      </c>
      <c r="N50" s="17">
        <f>IF(OR($B50="",$H50=0),"",$M50)</f>
        <v/>
      </c>
      <c r="O50" s="17">
        <f>IF($B50="","",COUNTIFS(nrES_PID,$B50,nrES_Att,2))</f>
        <v/>
      </c>
      <c r="P50" s="17">
        <f>IF($B50="","",COUNTIFS(nrES_PID,$B50,nrES_Dis,"Yes"))</f>
        <v/>
      </c>
      <c r="Q50" s="17">
        <f>IF($B50="","",IF(AND($I50&lt;&gt;"",$I50&lt;cfgThresholdScore,OR($E50&gt;=cfgThresholdAfterExam,$E50&gt;=COUNTIFS(rngEPuse,"Yes",rngEPtype,"Major"))),"Yes","No"))</f>
        <v/>
      </c>
      <c r="R50" s="17">
        <f>IF($B50="","",IF(AND($J50&lt;&gt;"",$J50&lt;cfgThresholdScore,OR($F50&gt;=cfgThresholdAfterExam,$F50&gt;=COUNTIFS(rngEPuse,"Yes",rngEPtype,"Minor"))),"Yes","No"))</f>
        <v/>
      </c>
      <c r="S50" s="17">
        <f>IF($B50="","",IF($M50="",-1,$M50))</f>
        <v/>
      </c>
      <c r="T50" s="17">
        <f>IF($B50="","",IF(AND($D50="Active",sysChecks!$M50&lt;&gt;"Yes",$M50&lt;&gt;""),"Yes","No"))</f>
        <v/>
      </c>
      <c r="U50" s="17">
        <f>IF($T50&lt;&gt;"Yes","",SUMPRODUCT(($T$6:$T$55="Yes")*(($S$6:$S$55&gt;$S50)+($S$6:$S$55=$S50)*(ROW($S$6:$S$55)&lt;ROW())))+1)</f>
        <v/>
      </c>
      <c r="V50" s="17">
        <f>IF($B50="","",IF(AND($Q50="No",$R50="No",OR(N($G50)=0,$K50&gt;=cfgThresholdScore),OR($H50=0,$L50&gt;=cfgThresholdScore)),"Yes","No"))</f>
        <v/>
      </c>
      <c r="W50" s="17">
        <f>IF($B50="","",_xlfn.LET(_xlpm.tot,COUNTIFS(rngEPuse,"Yes",rngEPtype,"Major"),_xlpm.left,_xlpm.tot-$E50,IF(_xlpm.left&lt;=0,"done",MAX(0,ROUND((cfgThresholdScore*_xlpm.tot-N($I50)*$E50)/_xlpm.left,1)))))</f>
        <v/>
      </c>
      <c r="X50" s="17">
        <f>IF($B50="","",_xlfn.LET(_xlpm.tot,COUNTIFS(rngEPuse,"Yes",rngEPtype,"Minor"),_xlpm.left,_xlpm.tot-$F50,IF(_xlpm.left&lt;=0,"done",MAX(0,ROUND((cfgThresholdScore*_xlpm.tot-N($J50)*$F50)/_xlpm.left,1)))))</f>
        <v/>
      </c>
      <c r="Y50" s="17">
        <f>IF($B50="","",IF($H50&gt;0,"done",cfgThresholdScore))</f>
        <v/>
      </c>
      <c r="Z50" s="17">
        <f>IF($B50="","",_xlfn.LET(_xlpm.s,_xlfn.MAXIFS(nrES_Seq,nrES_PID,$B50,nrES_Att,1,nrES_Raw,"&gt;=0"),IF(_xlpm.s=0,"",SUMIFS(nrES_Raw,nrES_PID,$B50,nrES_Att,1,nrES_Seq,_xlpm.s))))</f>
        <v/>
      </c>
      <c r="AA50" s="17">
        <f>IF($B50="","",_xlfn.LET(_xlpm.s,_xlfn.MAXIFS(nrES_Seq,nrES_PID,$B50,nrES_Att,1,nrES_Raw,"&gt;=0"),IF(_xlpm.s=0,"",_xlfn.LET(_xlpm.p,_xlfn.MAXIFS(nrES_Seq,nrES_PID,$B50,nrES_Att,1,nrES_Seq,"&lt;"&amp;_xlpm.s,nrES_Raw,"&gt;=0"),IF(_xlpm.p=0,"",SUMIFS(nrES_Raw,nrES_PID,$B50,nrES_Att,1,nrES_Seq,_xlpm.p))))))</f>
        <v/>
      </c>
      <c r="AB50" s="17">
        <f>IF(OR($B50="",$Z50="",$AA50=""),"",ROUND($AA50-$Z50,1))</f>
        <v/>
      </c>
      <c r="AC50" s="17">
        <f>IF($B50="","",_xlfn.LET(_xlpm.s,_xlfn.MAXIFS(nrES_Seq,nrES_PID,$B50,nrES_Att,1,nrES_Raw,"&gt;=0"),IF(_xlpm.s=0,0,_xlfn.LET(_xlpm.a,IF(SUMIFS(nrES_Raw,nrES_PID,$B50,nrES_Att,1,nrES_Seq,_xlpm.s)&lt;cfgPassingScore,1,0),_xlpm.p,_xlfn.MAXIFS(nrES_Seq,nrES_PID,$B50,nrES_Att,1,nrES_Seq,"&lt;"&amp;_xlpm.s,nrES_Raw,"&gt;=0"),IF(OR(_xlpm.a=0,_xlpm.p=0),_xlpm.a,_xlpm.a+IF(SUMIFS(nrES_Raw,nrES_PID,$B50,nrES_Att,1,nrES_Seq,_xlpm.p)&lt;cfgPassingScore,1,0))))))</f>
        <v/>
      </c>
    </row>
    <row r="51">
      <c r="B51" s="17">
        <f>IF(Cadets!$B51="","",Cadets!$B51)</f>
        <v/>
      </c>
      <c r="C51" s="17">
        <f>IF($B51="","",Cadets!$F51)</f>
        <v/>
      </c>
      <c r="D51" s="17">
        <f>IF($B51="","",Cadets!$I51)</f>
        <v/>
      </c>
      <c r="E51" s="17">
        <f>IF($B51="","",COUNTIFS(nrES_PID,$B51,nrES_Type,"Major",nrES_Final,"Yes",nrES_Rec,"&gt;=0",nrES_Rec,"&lt;=100"))</f>
        <v/>
      </c>
      <c r="F51" s="17">
        <f>IF($B51="","",COUNTIFS(nrES_PID,$B51,nrES_Type,"Minor",nrES_Final,"Yes",nrES_Rec,"&gt;=0",nrES_Rec,"&lt;=100"))</f>
        <v/>
      </c>
      <c r="G51" s="17">
        <f>IF($B51="","",Spelling!Q51)</f>
        <v/>
      </c>
      <c r="H51" s="17">
        <f>IF($B51="","",COUNTIFS(nrES_PID,$B51,nrES_Type,"Final",nrES_Final,"Yes",nrES_Rec,"&gt;=0",nrES_Rec,"&lt;=100"))</f>
        <v/>
      </c>
      <c r="I51" s="17">
        <f>IF(OR($B51="",$E51=0),"",IFERROR(ROUND(AVERAGEIFS(nrES_Rec,nrES_PID,$B51,nrES_Type,"Major",nrES_Final,"Yes",nrES_Rec,"&gt;=0",nrES_Rec,"&lt;=100"),2),""))</f>
        <v/>
      </c>
      <c r="J51" s="17">
        <f>IF(OR($B51="",$F51=0),"",IFERROR(ROUND(AVERAGEIFS(nrES_Rec,nrES_PID,$B51,nrES_Type,"Minor",nrES_Final,"Yes",nrES_Rec,"&gt;=0",nrES_Rec,"&lt;=100"),2),""))</f>
        <v/>
      </c>
      <c r="K51" s="17">
        <f>IF($B51="","",Spelling!P51)</f>
        <v/>
      </c>
      <c r="L51" s="17">
        <f>IF(OR($B51="",$H51=0),"",IFERROR(ROUND(AVERAGEIFS(nrES_Rec,nrES_PID,$B51,nrES_Type,"Final",nrES_Final,"Yes",nrES_Rec,"&gt;=0",nrES_Rec,"&lt;=100"),2),""))</f>
        <v/>
      </c>
      <c r="M51" s="17">
        <f>IF($B51="","",_xlfn.LET(_xlpm.w,($E51&gt;0)*cfgWeightMajor+($F51&gt;0)*cfgWeightMinor+(N($G51)&gt;0)*cfgWeightSpelling+($H51&gt;0)*cfgWeightFinal,IF(_xlpm.w=0,"",ROUND((($E51&gt;0)*cfgWeightMajor*N($I51)+($F51&gt;0)*cfgWeightMinor*N($J51)+(N($G51)&gt;0)*cfgWeightSpelling*N($K51)+($H51&gt;0)*cfgWeightFinal*N($L51))/_xlpm.w,2))))</f>
        <v/>
      </c>
      <c r="N51" s="17">
        <f>IF(OR($B51="",$H51=0),"",$M51)</f>
        <v/>
      </c>
      <c r="O51" s="17">
        <f>IF($B51="","",COUNTIFS(nrES_PID,$B51,nrES_Att,2))</f>
        <v/>
      </c>
      <c r="P51" s="17">
        <f>IF($B51="","",COUNTIFS(nrES_PID,$B51,nrES_Dis,"Yes"))</f>
        <v/>
      </c>
      <c r="Q51" s="17">
        <f>IF($B51="","",IF(AND($I51&lt;&gt;"",$I51&lt;cfgThresholdScore,OR($E51&gt;=cfgThresholdAfterExam,$E51&gt;=COUNTIFS(rngEPuse,"Yes",rngEPtype,"Major"))),"Yes","No"))</f>
        <v/>
      </c>
      <c r="R51" s="17">
        <f>IF($B51="","",IF(AND($J51&lt;&gt;"",$J51&lt;cfgThresholdScore,OR($F51&gt;=cfgThresholdAfterExam,$F51&gt;=COUNTIFS(rngEPuse,"Yes",rngEPtype,"Minor"))),"Yes","No"))</f>
        <v/>
      </c>
      <c r="S51" s="17">
        <f>IF($B51="","",IF($M51="",-1,$M51))</f>
        <v/>
      </c>
      <c r="T51" s="17">
        <f>IF($B51="","",IF(AND($D51="Active",sysChecks!$M51&lt;&gt;"Yes",$M51&lt;&gt;""),"Yes","No"))</f>
        <v/>
      </c>
      <c r="U51" s="17">
        <f>IF($T51&lt;&gt;"Yes","",SUMPRODUCT(($T$6:$T$55="Yes")*(($S$6:$S$55&gt;$S51)+($S$6:$S$55=$S51)*(ROW($S$6:$S$55)&lt;ROW())))+1)</f>
        <v/>
      </c>
      <c r="V51" s="17">
        <f>IF($B51="","",IF(AND($Q51="No",$R51="No",OR(N($G51)=0,$K51&gt;=cfgThresholdScore),OR($H51=0,$L51&gt;=cfgThresholdScore)),"Yes","No"))</f>
        <v/>
      </c>
      <c r="W51" s="17">
        <f>IF($B51="","",_xlfn.LET(_xlpm.tot,COUNTIFS(rngEPuse,"Yes",rngEPtype,"Major"),_xlpm.left,_xlpm.tot-$E51,IF(_xlpm.left&lt;=0,"done",MAX(0,ROUND((cfgThresholdScore*_xlpm.tot-N($I51)*$E51)/_xlpm.left,1)))))</f>
        <v/>
      </c>
      <c r="X51" s="17">
        <f>IF($B51="","",_xlfn.LET(_xlpm.tot,COUNTIFS(rngEPuse,"Yes",rngEPtype,"Minor"),_xlpm.left,_xlpm.tot-$F51,IF(_xlpm.left&lt;=0,"done",MAX(0,ROUND((cfgThresholdScore*_xlpm.tot-N($J51)*$F51)/_xlpm.left,1)))))</f>
        <v/>
      </c>
      <c r="Y51" s="17">
        <f>IF($B51="","",IF($H51&gt;0,"done",cfgThresholdScore))</f>
        <v/>
      </c>
      <c r="Z51" s="17">
        <f>IF($B51="","",_xlfn.LET(_xlpm.s,_xlfn.MAXIFS(nrES_Seq,nrES_PID,$B51,nrES_Att,1,nrES_Raw,"&gt;=0"),IF(_xlpm.s=0,"",SUMIFS(nrES_Raw,nrES_PID,$B51,nrES_Att,1,nrES_Seq,_xlpm.s))))</f>
        <v/>
      </c>
      <c r="AA51" s="17">
        <f>IF($B51="","",_xlfn.LET(_xlpm.s,_xlfn.MAXIFS(nrES_Seq,nrES_PID,$B51,nrES_Att,1,nrES_Raw,"&gt;=0"),IF(_xlpm.s=0,"",_xlfn.LET(_xlpm.p,_xlfn.MAXIFS(nrES_Seq,nrES_PID,$B51,nrES_Att,1,nrES_Seq,"&lt;"&amp;_xlpm.s,nrES_Raw,"&gt;=0"),IF(_xlpm.p=0,"",SUMIFS(nrES_Raw,nrES_PID,$B51,nrES_Att,1,nrES_Seq,_xlpm.p))))))</f>
        <v/>
      </c>
      <c r="AB51" s="17">
        <f>IF(OR($B51="",$Z51="",$AA51=""),"",ROUND($AA51-$Z51,1))</f>
        <v/>
      </c>
      <c r="AC51" s="17">
        <f>IF($B51="","",_xlfn.LET(_xlpm.s,_xlfn.MAXIFS(nrES_Seq,nrES_PID,$B51,nrES_Att,1,nrES_Raw,"&gt;=0"),IF(_xlpm.s=0,0,_xlfn.LET(_xlpm.a,IF(SUMIFS(nrES_Raw,nrES_PID,$B51,nrES_Att,1,nrES_Seq,_xlpm.s)&lt;cfgPassingScore,1,0),_xlpm.p,_xlfn.MAXIFS(nrES_Seq,nrES_PID,$B51,nrES_Att,1,nrES_Seq,"&lt;"&amp;_xlpm.s,nrES_Raw,"&gt;=0"),IF(OR(_xlpm.a=0,_xlpm.p=0),_xlpm.a,_xlpm.a+IF(SUMIFS(nrES_Raw,nrES_PID,$B51,nrES_Att,1,nrES_Seq,_xlpm.p)&lt;cfgPassingScore,1,0))))))</f>
        <v/>
      </c>
    </row>
    <row r="52">
      <c r="B52" s="17">
        <f>IF(Cadets!$B52="","",Cadets!$B52)</f>
        <v/>
      </c>
      <c r="C52" s="17">
        <f>IF($B52="","",Cadets!$F52)</f>
        <v/>
      </c>
      <c r="D52" s="17">
        <f>IF($B52="","",Cadets!$I52)</f>
        <v/>
      </c>
      <c r="E52" s="17">
        <f>IF($B52="","",COUNTIFS(nrES_PID,$B52,nrES_Type,"Major",nrES_Final,"Yes",nrES_Rec,"&gt;=0",nrES_Rec,"&lt;=100"))</f>
        <v/>
      </c>
      <c r="F52" s="17">
        <f>IF($B52="","",COUNTIFS(nrES_PID,$B52,nrES_Type,"Minor",nrES_Final,"Yes",nrES_Rec,"&gt;=0",nrES_Rec,"&lt;=100"))</f>
        <v/>
      </c>
      <c r="G52" s="17">
        <f>IF($B52="","",Spelling!Q52)</f>
        <v/>
      </c>
      <c r="H52" s="17">
        <f>IF($B52="","",COUNTIFS(nrES_PID,$B52,nrES_Type,"Final",nrES_Final,"Yes",nrES_Rec,"&gt;=0",nrES_Rec,"&lt;=100"))</f>
        <v/>
      </c>
      <c r="I52" s="17">
        <f>IF(OR($B52="",$E52=0),"",IFERROR(ROUND(AVERAGEIFS(nrES_Rec,nrES_PID,$B52,nrES_Type,"Major",nrES_Final,"Yes",nrES_Rec,"&gt;=0",nrES_Rec,"&lt;=100"),2),""))</f>
        <v/>
      </c>
      <c r="J52" s="17">
        <f>IF(OR($B52="",$F52=0),"",IFERROR(ROUND(AVERAGEIFS(nrES_Rec,nrES_PID,$B52,nrES_Type,"Minor",nrES_Final,"Yes",nrES_Rec,"&gt;=0",nrES_Rec,"&lt;=100"),2),""))</f>
        <v/>
      </c>
      <c r="K52" s="17">
        <f>IF($B52="","",Spelling!P52)</f>
        <v/>
      </c>
      <c r="L52" s="17">
        <f>IF(OR($B52="",$H52=0),"",IFERROR(ROUND(AVERAGEIFS(nrES_Rec,nrES_PID,$B52,nrES_Type,"Final",nrES_Final,"Yes",nrES_Rec,"&gt;=0",nrES_Rec,"&lt;=100"),2),""))</f>
        <v/>
      </c>
      <c r="M52" s="17">
        <f>IF($B52="","",_xlfn.LET(_xlpm.w,($E52&gt;0)*cfgWeightMajor+($F52&gt;0)*cfgWeightMinor+(N($G52)&gt;0)*cfgWeightSpelling+($H52&gt;0)*cfgWeightFinal,IF(_xlpm.w=0,"",ROUND((($E52&gt;0)*cfgWeightMajor*N($I52)+($F52&gt;0)*cfgWeightMinor*N($J52)+(N($G52)&gt;0)*cfgWeightSpelling*N($K52)+($H52&gt;0)*cfgWeightFinal*N($L52))/_xlpm.w,2))))</f>
        <v/>
      </c>
      <c r="N52" s="17">
        <f>IF(OR($B52="",$H52=0),"",$M52)</f>
        <v/>
      </c>
      <c r="O52" s="17">
        <f>IF($B52="","",COUNTIFS(nrES_PID,$B52,nrES_Att,2))</f>
        <v/>
      </c>
      <c r="P52" s="17">
        <f>IF($B52="","",COUNTIFS(nrES_PID,$B52,nrES_Dis,"Yes"))</f>
        <v/>
      </c>
      <c r="Q52" s="17">
        <f>IF($B52="","",IF(AND($I52&lt;&gt;"",$I52&lt;cfgThresholdScore,OR($E52&gt;=cfgThresholdAfterExam,$E52&gt;=COUNTIFS(rngEPuse,"Yes",rngEPtype,"Major"))),"Yes","No"))</f>
        <v/>
      </c>
      <c r="R52" s="17">
        <f>IF($B52="","",IF(AND($J52&lt;&gt;"",$J52&lt;cfgThresholdScore,OR($F52&gt;=cfgThresholdAfterExam,$F52&gt;=COUNTIFS(rngEPuse,"Yes",rngEPtype,"Minor"))),"Yes","No"))</f>
        <v/>
      </c>
      <c r="S52" s="17">
        <f>IF($B52="","",IF($M52="",-1,$M52))</f>
        <v/>
      </c>
      <c r="T52" s="17">
        <f>IF($B52="","",IF(AND($D52="Active",sysChecks!$M52&lt;&gt;"Yes",$M52&lt;&gt;""),"Yes","No"))</f>
        <v/>
      </c>
      <c r="U52" s="17">
        <f>IF($T52&lt;&gt;"Yes","",SUMPRODUCT(($T$6:$T$55="Yes")*(($S$6:$S$55&gt;$S52)+($S$6:$S$55=$S52)*(ROW($S$6:$S$55)&lt;ROW())))+1)</f>
        <v/>
      </c>
      <c r="V52" s="17">
        <f>IF($B52="","",IF(AND($Q52="No",$R52="No",OR(N($G52)=0,$K52&gt;=cfgThresholdScore),OR($H52=0,$L52&gt;=cfgThresholdScore)),"Yes","No"))</f>
        <v/>
      </c>
      <c r="W52" s="17">
        <f>IF($B52="","",_xlfn.LET(_xlpm.tot,COUNTIFS(rngEPuse,"Yes",rngEPtype,"Major"),_xlpm.left,_xlpm.tot-$E52,IF(_xlpm.left&lt;=0,"done",MAX(0,ROUND((cfgThresholdScore*_xlpm.tot-N($I52)*$E52)/_xlpm.left,1)))))</f>
        <v/>
      </c>
      <c r="X52" s="17">
        <f>IF($B52="","",_xlfn.LET(_xlpm.tot,COUNTIFS(rngEPuse,"Yes",rngEPtype,"Minor"),_xlpm.left,_xlpm.tot-$F52,IF(_xlpm.left&lt;=0,"done",MAX(0,ROUND((cfgThresholdScore*_xlpm.tot-N($J52)*$F52)/_xlpm.left,1)))))</f>
        <v/>
      </c>
      <c r="Y52" s="17">
        <f>IF($B52="","",IF($H52&gt;0,"done",cfgThresholdScore))</f>
        <v/>
      </c>
      <c r="Z52" s="17">
        <f>IF($B52="","",_xlfn.LET(_xlpm.s,_xlfn.MAXIFS(nrES_Seq,nrES_PID,$B52,nrES_Att,1,nrES_Raw,"&gt;=0"),IF(_xlpm.s=0,"",SUMIFS(nrES_Raw,nrES_PID,$B52,nrES_Att,1,nrES_Seq,_xlpm.s))))</f>
        <v/>
      </c>
      <c r="AA52" s="17">
        <f>IF($B52="","",_xlfn.LET(_xlpm.s,_xlfn.MAXIFS(nrES_Seq,nrES_PID,$B52,nrES_Att,1,nrES_Raw,"&gt;=0"),IF(_xlpm.s=0,"",_xlfn.LET(_xlpm.p,_xlfn.MAXIFS(nrES_Seq,nrES_PID,$B52,nrES_Att,1,nrES_Seq,"&lt;"&amp;_xlpm.s,nrES_Raw,"&gt;=0"),IF(_xlpm.p=0,"",SUMIFS(nrES_Raw,nrES_PID,$B52,nrES_Att,1,nrES_Seq,_xlpm.p))))))</f>
        <v/>
      </c>
      <c r="AB52" s="17">
        <f>IF(OR($B52="",$Z52="",$AA52=""),"",ROUND($AA52-$Z52,1))</f>
        <v/>
      </c>
      <c r="AC52" s="17">
        <f>IF($B52="","",_xlfn.LET(_xlpm.s,_xlfn.MAXIFS(nrES_Seq,nrES_PID,$B52,nrES_Att,1,nrES_Raw,"&gt;=0"),IF(_xlpm.s=0,0,_xlfn.LET(_xlpm.a,IF(SUMIFS(nrES_Raw,nrES_PID,$B52,nrES_Att,1,nrES_Seq,_xlpm.s)&lt;cfgPassingScore,1,0),_xlpm.p,_xlfn.MAXIFS(nrES_Seq,nrES_PID,$B52,nrES_Att,1,nrES_Seq,"&lt;"&amp;_xlpm.s,nrES_Raw,"&gt;=0"),IF(OR(_xlpm.a=0,_xlpm.p=0),_xlpm.a,_xlpm.a+IF(SUMIFS(nrES_Raw,nrES_PID,$B52,nrES_Att,1,nrES_Seq,_xlpm.p)&lt;cfgPassingScore,1,0))))))</f>
        <v/>
      </c>
    </row>
    <row r="53">
      <c r="B53" s="17">
        <f>IF(Cadets!$B53="","",Cadets!$B53)</f>
        <v/>
      </c>
      <c r="C53" s="17">
        <f>IF($B53="","",Cadets!$F53)</f>
        <v/>
      </c>
      <c r="D53" s="17">
        <f>IF($B53="","",Cadets!$I53)</f>
        <v/>
      </c>
      <c r="E53" s="17">
        <f>IF($B53="","",COUNTIFS(nrES_PID,$B53,nrES_Type,"Major",nrES_Final,"Yes",nrES_Rec,"&gt;=0",nrES_Rec,"&lt;=100"))</f>
        <v/>
      </c>
      <c r="F53" s="17">
        <f>IF($B53="","",COUNTIFS(nrES_PID,$B53,nrES_Type,"Minor",nrES_Final,"Yes",nrES_Rec,"&gt;=0",nrES_Rec,"&lt;=100"))</f>
        <v/>
      </c>
      <c r="G53" s="17">
        <f>IF($B53="","",Spelling!Q53)</f>
        <v/>
      </c>
      <c r="H53" s="17">
        <f>IF($B53="","",COUNTIFS(nrES_PID,$B53,nrES_Type,"Final",nrES_Final,"Yes",nrES_Rec,"&gt;=0",nrES_Rec,"&lt;=100"))</f>
        <v/>
      </c>
      <c r="I53" s="17">
        <f>IF(OR($B53="",$E53=0),"",IFERROR(ROUND(AVERAGEIFS(nrES_Rec,nrES_PID,$B53,nrES_Type,"Major",nrES_Final,"Yes",nrES_Rec,"&gt;=0",nrES_Rec,"&lt;=100"),2),""))</f>
        <v/>
      </c>
      <c r="J53" s="17">
        <f>IF(OR($B53="",$F53=0),"",IFERROR(ROUND(AVERAGEIFS(nrES_Rec,nrES_PID,$B53,nrES_Type,"Minor",nrES_Final,"Yes",nrES_Rec,"&gt;=0",nrES_Rec,"&lt;=100"),2),""))</f>
        <v/>
      </c>
      <c r="K53" s="17">
        <f>IF($B53="","",Spelling!P53)</f>
        <v/>
      </c>
      <c r="L53" s="17">
        <f>IF(OR($B53="",$H53=0),"",IFERROR(ROUND(AVERAGEIFS(nrES_Rec,nrES_PID,$B53,nrES_Type,"Final",nrES_Final,"Yes",nrES_Rec,"&gt;=0",nrES_Rec,"&lt;=100"),2),""))</f>
        <v/>
      </c>
      <c r="M53" s="17">
        <f>IF($B53="","",_xlfn.LET(_xlpm.w,($E53&gt;0)*cfgWeightMajor+($F53&gt;0)*cfgWeightMinor+(N($G53)&gt;0)*cfgWeightSpelling+($H53&gt;0)*cfgWeightFinal,IF(_xlpm.w=0,"",ROUND((($E53&gt;0)*cfgWeightMajor*N($I53)+($F53&gt;0)*cfgWeightMinor*N($J53)+(N($G53)&gt;0)*cfgWeightSpelling*N($K53)+($H53&gt;0)*cfgWeightFinal*N($L53))/_xlpm.w,2))))</f>
        <v/>
      </c>
      <c r="N53" s="17">
        <f>IF(OR($B53="",$H53=0),"",$M53)</f>
        <v/>
      </c>
      <c r="O53" s="17">
        <f>IF($B53="","",COUNTIFS(nrES_PID,$B53,nrES_Att,2))</f>
        <v/>
      </c>
      <c r="P53" s="17">
        <f>IF($B53="","",COUNTIFS(nrES_PID,$B53,nrES_Dis,"Yes"))</f>
        <v/>
      </c>
      <c r="Q53" s="17">
        <f>IF($B53="","",IF(AND($I53&lt;&gt;"",$I53&lt;cfgThresholdScore,OR($E53&gt;=cfgThresholdAfterExam,$E53&gt;=COUNTIFS(rngEPuse,"Yes",rngEPtype,"Major"))),"Yes","No"))</f>
        <v/>
      </c>
      <c r="R53" s="17">
        <f>IF($B53="","",IF(AND($J53&lt;&gt;"",$J53&lt;cfgThresholdScore,OR($F53&gt;=cfgThresholdAfterExam,$F53&gt;=COUNTIFS(rngEPuse,"Yes",rngEPtype,"Minor"))),"Yes","No"))</f>
        <v/>
      </c>
      <c r="S53" s="17">
        <f>IF($B53="","",IF($M53="",-1,$M53))</f>
        <v/>
      </c>
      <c r="T53" s="17">
        <f>IF($B53="","",IF(AND($D53="Active",sysChecks!$M53&lt;&gt;"Yes",$M53&lt;&gt;""),"Yes","No"))</f>
        <v/>
      </c>
      <c r="U53" s="17">
        <f>IF($T53&lt;&gt;"Yes","",SUMPRODUCT(($T$6:$T$55="Yes")*(($S$6:$S$55&gt;$S53)+($S$6:$S$55=$S53)*(ROW($S$6:$S$55)&lt;ROW())))+1)</f>
        <v/>
      </c>
      <c r="V53" s="17">
        <f>IF($B53="","",IF(AND($Q53="No",$R53="No",OR(N($G53)=0,$K53&gt;=cfgThresholdScore),OR($H53=0,$L53&gt;=cfgThresholdScore)),"Yes","No"))</f>
        <v/>
      </c>
      <c r="W53" s="17">
        <f>IF($B53="","",_xlfn.LET(_xlpm.tot,COUNTIFS(rngEPuse,"Yes",rngEPtype,"Major"),_xlpm.left,_xlpm.tot-$E53,IF(_xlpm.left&lt;=0,"done",MAX(0,ROUND((cfgThresholdScore*_xlpm.tot-N($I53)*$E53)/_xlpm.left,1)))))</f>
        <v/>
      </c>
      <c r="X53" s="17">
        <f>IF($B53="","",_xlfn.LET(_xlpm.tot,COUNTIFS(rngEPuse,"Yes",rngEPtype,"Minor"),_xlpm.left,_xlpm.tot-$F53,IF(_xlpm.left&lt;=0,"done",MAX(0,ROUND((cfgThresholdScore*_xlpm.tot-N($J53)*$F53)/_xlpm.left,1)))))</f>
        <v/>
      </c>
      <c r="Y53" s="17">
        <f>IF($B53="","",IF($H53&gt;0,"done",cfgThresholdScore))</f>
        <v/>
      </c>
      <c r="Z53" s="17">
        <f>IF($B53="","",_xlfn.LET(_xlpm.s,_xlfn.MAXIFS(nrES_Seq,nrES_PID,$B53,nrES_Att,1,nrES_Raw,"&gt;=0"),IF(_xlpm.s=0,"",SUMIFS(nrES_Raw,nrES_PID,$B53,nrES_Att,1,nrES_Seq,_xlpm.s))))</f>
        <v/>
      </c>
      <c r="AA53" s="17">
        <f>IF($B53="","",_xlfn.LET(_xlpm.s,_xlfn.MAXIFS(nrES_Seq,nrES_PID,$B53,nrES_Att,1,nrES_Raw,"&gt;=0"),IF(_xlpm.s=0,"",_xlfn.LET(_xlpm.p,_xlfn.MAXIFS(nrES_Seq,nrES_PID,$B53,nrES_Att,1,nrES_Seq,"&lt;"&amp;_xlpm.s,nrES_Raw,"&gt;=0"),IF(_xlpm.p=0,"",SUMIFS(nrES_Raw,nrES_PID,$B53,nrES_Att,1,nrES_Seq,_xlpm.p))))))</f>
        <v/>
      </c>
      <c r="AB53" s="17">
        <f>IF(OR($B53="",$Z53="",$AA53=""),"",ROUND($AA53-$Z53,1))</f>
        <v/>
      </c>
      <c r="AC53" s="17">
        <f>IF($B53="","",_xlfn.LET(_xlpm.s,_xlfn.MAXIFS(nrES_Seq,nrES_PID,$B53,nrES_Att,1,nrES_Raw,"&gt;=0"),IF(_xlpm.s=0,0,_xlfn.LET(_xlpm.a,IF(SUMIFS(nrES_Raw,nrES_PID,$B53,nrES_Att,1,nrES_Seq,_xlpm.s)&lt;cfgPassingScore,1,0),_xlpm.p,_xlfn.MAXIFS(nrES_Seq,nrES_PID,$B53,nrES_Att,1,nrES_Seq,"&lt;"&amp;_xlpm.s,nrES_Raw,"&gt;=0"),IF(OR(_xlpm.a=0,_xlpm.p=0),_xlpm.a,_xlpm.a+IF(SUMIFS(nrES_Raw,nrES_PID,$B53,nrES_Att,1,nrES_Seq,_xlpm.p)&lt;cfgPassingScore,1,0))))))</f>
        <v/>
      </c>
    </row>
    <row r="54">
      <c r="B54" s="17">
        <f>IF(Cadets!$B54="","",Cadets!$B54)</f>
        <v/>
      </c>
      <c r="C54" s="17">
        <f>IF($B54="","",Cadets!$F54)</f>
        <v/>
      </c>
      <c r="D54" s="17">
        <f>IF($B54="","",Cadets!$I54)</f>
        <v/>
      </c>
      <c r="E54" s="17">
        <f>IF($B54="","",COUNTIFS(nrES_PID,$B54,nrES_Type,"Major",nrES_Final,"Yes",nrES_Rec,"&gt;=0",nrES_Rec,"&lt;=100"))</f>
        <v/>
      </c>
      <c r="F54" s="17">
        <f>IF($B54="","",COUNTIFS(nrES_PID,$B54,nrES_Type,"Minor",nrES_Final,"Yes",nrES_Rec,"&gt;=0",nrES_Rec,"&lt;=100"))</f>
        <v/>
      </c>
      <c r="G54" s="17">
        <f>IF($B54="","",Spelling!Q54)</f>
        <v/>
      </c>
      <c r="H54" s="17">
        <f>IF($B54="","",COUNTIFS(nrES_PID,$B54,nrES_Type,"Final",nrES_Final,"Yes",nrES_Rec,"&gt;=0",nrES_Rec,"&lt;=100"))</f>
        <v/>
      </c>
      <c r="I54" s="17">
        <f>IF(OR($B54="",$E54=0),"",IFERROR(ROUND(AVERAGEIFS(nrES_Rec,nrES_PID,$B54,nrES_Type,"Major",nrES_Final,"Yes",nrES_Rec,"&gt;=0",nrES_Rec,"&lt;=100"),2),""))</f>
        <v/>
      </c>
      <c r="J54" s="17">
        <f>IF(OR($B54="",$F54=0),"",IFERROR(ROUND(AVERAGEIFS(nrES_Rec,nrES_PID,$B54,nrES_Type,"Minor",nrES_Final,"Yes",nrES_Rec,"&gt;=0",nrES_Rec,"&lt;=100"),2),""))</f>
        <v/>
      </c>
      <c r="K54" s="17">
        <f>IF($B54="","",Spelling!P54)</f>
        <v/>
      </c>
      <c r="L54" s="17">
        <f>IF(OR($B54="",$H54=0),"",IFERROR(ROUND(AVERAGEIFS(nrES_Rec,nrES_PID,$B54,nrES_Type,"Final",nrES_Final,"Yes",nrES_Rec,"&gt;=0",nrES_Rec,"&lt;=100"),2),""))</f>
        <v/>
      </c>
      <c r="M54" s="17">
        <f>IF($B54="","",_xlfn.LET(_xlpm.w,($E54&gt;0)*cfgWeightMajor+($F54&gt;0)*cfgWeightMinor+(N($G54)&gt;0)*cfgWeightSpelling+($H54&gt;0)*cfgWeightFinal,IF(_xlpm.w=0,"",ROUND((($E54&gt;0)*cfgWeightMajor*N($I54)+($F54&gt;0)*cfgWeightMinor*N($J54)+(N($G54)&gt;0)*cfgWeightSpelling*N($K54)+($H54&gt;0)*cfgWeightFinal*N($L54))/_xlpm.w,2))))</f>
        <v/>
      </c>
      <c r="N54" s="17">
        <f>IF(OR($B54="",$H54=0),"",$M54)</f>
        <v/>
      </c>
      <c r="O54" s="17">
        <f>IF($B54="","",COUNTIFS(nrES_PID,$B54,nrES_Att,2))</f>
        <v/>
      </c>
      <c r="P54" s="17">
        <f>IF($B54="","",COUNTIFS(nrES_PID,$B54,nrES_Dis,"Yes"))</f>
        <v/>
      </c>
      <c r="Q54" s="17">
        <f>IF($B54="","",IF(AND($I54&lt;&gt;"",$I54&lt;cfgThresholdScore,OR($E54&gt;=cfgThresholdAfterExam,$E54&gt;=COUNTIFS(rngEPuse,"Yes",rngEPtype,"Major"))),"Yes","No"))</f>
        <v/>
      </c>
      <c r="R54" s="17">
        <f>IF($B54="","",IF(AND($J54&lt;&gt;"",$J54&lt;cfgThresholdScore,OR($F54&gt;=cfgThresholdAfterExam,$F54&gt;=COUNTIFS(rngEPuse,"Yes",rngEPtype,"Minor"))),"Yes","No"))</f>
        <v/>
      </c>
      <c r="S54" s="17">
        <f>IF($B54="","",IF($M54="",-1,$M54))</f>
        <v/>
      </c>
      <c r="T54" s="17">
        <f>IF($B54="","",IF(AND($D54="Active",sysChecks!$M54&lt;&gt;"Yes",$M54&lt;&gt;""),"Yes","No"))</f>
        <v/>
      </c>
      <c r="U54" s="17">
        <f>IF($T54&lt;&gt;"Yes","",SUMPRODUCT(($T$6:$T$55="Yes")*(($S$6:$S$55&gt;$S54)+($S$6:$S$55=$S54)*(ROW($S$6:$S$55)&lt;ROW())))+1)</f>
        <v/>
      </c>
      <c r="V54" s="17">
        <f>IF($B54="","",IF(AND($Q54="No",$R54="No",OR(N($G54)=0,$K54&gt;=cfgThresholdScore),OR($H54=0,$L54&gt;=cfgThresholdScore)),"Yes","No"))</f>
        <v/>
      </c>
      <c r="W54" s="17">
        <f>IF($B54="","",_xlfn.LET(_xlpm.tot,COUNTIFS(rngEPuse,"Yes",rngEPtype,"Major"),_xlpm.left,_xlpm.tot-$E54,IF(_xlpm.left&lt;=0,"done",MAX(0,ROUND((cfgThresholdScore*_xlpm.tot-N($I54)*$E54)/_xlpm.left,1)))))</f>
        <v/>
      </c>
      <c r="X54" s="17">
        <f>IF($B54="","",_xlfn.LET(_xlpm.tot,COUNTIFS(rngEPuse,"Yes",rngEPtype,"Minor"),_xlpm.left,_xlpm.tot-$F54,IF(_xlpm.left&lt;=0,"done",MAX(0,ROUND((cfgThresholdScore*_xlpm.tot-N($J54)*$F54)/_xlpm.left,1)))))</f>
        <v/>
      </c>
      <c r="Y54" s="17">
        <f>IF($B54="","",IF($H54&gt;0,"done",cfgThresholdScore))</f>
        <v/>
      </c>
      <c r="Z54" s="17">
        <f>IF($B54="","",_xlfn.LET(_xlpm.s,_xlfn.MAXIFS(nrES_Seq,nrES_PID,$B54,nrES_Att,1,nrES_Raw,"&gt;=0"),IF(_xlpm.s=0,"",SUMIFS(nrES_Raw,nrES_PID,$B54,nrES_Att,1,nrES_Seq,_xlpm.s))))</f>
        <v/>
      </c>
      <c r="AA54" s="17">
        <f>IF($B54="","",_xlfn.LET(_xlpm.s,_xlfn.MAXIFS(nrES_Seq,nrES_PID,$B54,nrES_Att,1,nrES_Raw,"&gt;=0"),IF(_xlpm.s=0,"",_xlfn.LET(_xlpm.p,_xlfn.MAXIFS(nrES_Seq,nrES_PID,$B54,nrES_Att,1,nrES_Seq,"&lt;"&amp;_xlpm.s,nrES_Raw,"&gt;=0"),IF(_xlpm.p=0,"",SUMIFS(nrES_Raw,nrES_PID,$B54,nrES_Att,1,nrES_Seq,_xlpm.p))))))</f>
        <v/>
      </c>
      <c r="AB54" s="17">
        <f>IF(OR($B54="",$Z54="",$AA54=""),"",ROUND($AA54-$Z54,1))</f>
        <v/>
      </c>
      <c r="AC54" s="17">
        <f>IF($B54="","",_xlfn.LET(_xlpm.s,_xlfn.MAXIFS(nrES_Seq,nrES_PID,$B54,nrES_Att,1,nrES_Raw,"&gt;=0"),IF(_xlpm.s=0,0,_xlfn.LET(_xlpm.a,IF(SUMIFS(nrES_Raw,nrES_PID,$B54,nrES_Att,1,nrES_Seq,_xlpm.s)&lt;cfgPassingScore,1,0),_xlpm.p,_xlfn.MAXIFS(nrES_Seq,nrES_PID,$B54,nrES_Att,1,nrES_Seq,"&lt;"&amp;_xlpm.s,nrES_Raw,"&gt;=0"),IF(OR(_xlpm.a=0,_xlpm.p=0),_xlpm.a,_xlpm.a+IF(SUMIFS(nrES_Raw,nrES_PID,$B54,nrES_Att,1,nrES_Seq,_xlpm.p)&lt;cfgPassingScore,1,0))))))</f>
        <v/>
      </c>
    </row>
    <row r="55">
      <c r="B55" s="17">
        <f>IF(Cadets!$B55="","",Cadets!$B55)</f>
        <v/>
      </c>
      <c r="C55" s="17">
        <f>IF($B55="","",Cadets!$F55)</f>
        <v/>
      </c>
      <c r="D55" s="17">
        <f>IF($B55="","",Cadets!$I55)</f>
        <v/>
      </c>
      <c r="E55" s="17">
        <f>IF($B55="","",COUNTIFS(nrES_PID,$B55,nrES_Type,"Major",nrES_Final,"Yes",nrES_Rec,"&gt;=0",nrES_Rec,"&lt;=100"))</f>
        <v/>
      </c>
      <c r="F55" s="17">
        <f>IF($B55="","",COUNTIFS(nrES_PID,$B55,nrES_Type,"Minor",nrES_Final,"Yes",nrES_Rec,"&gt;=0",nrES_Rec,"&lt;=100"))</f>
        <v/>
      </c>
      <c r="G55" s="17">
        <f>IF($B55="","",Spelling!Q55)</f>
        <v/>
      </c>
      <c r="H55" s="17">
        <f>IF($B55="","",COUNTIFS(nrES_PID,$B55,nrES_Type,"Final",nrES_Final,"Yes",nrES_Rec,"&gt;=0",nrES_Rec,"&lt;=100"))</f>
        <v/>
      </c>
      <c r="I55" s="17">
        <f>IF(OR($B55="",$E55=0),"",IFERROR(ROUND(AVERAGEIFS(nrES_Rec,nrES_PID,$B55,nrES_Type,"Major",nrES_Final,"Yes",nrES_Rec,"&gt;=0",nrES_Rec,"&lt;=100"),2),""))</f>
        <v/>
      </c>
      <c r="J55" s="17">
        <f>IF(OR($B55="",$F55=0),"",IFERROR(ROUND(AVERAGEIFS(nrES_Rec,nrES_PID,$B55,nrES_Type,"Minor",nrES_Final,"Yes",nrES_Rec,"&gt;=0",nrES_Rec,"&lt;=100"),2),""))</f>
        <v/>
      </c>
      <c r="K55" s="17">
        <f>IF($B55="","",Spelling!P55)</f>
        <v/>
      </c>
      <c r="L55" s="17">
        <f>IF(OR($B55="",$H55=0),"",IFERROR(ROUND(AVERAGEIFS(nrES_Rec,nrES_PID,$B55,nrES_Type,"Final",nrES_Final,"Yes",nrES_Rec,"&gt;=0",nrES_Rec,"&lt;=100"),2),""))</f>
        <v/>
      </c>
      <c r="M55" s="17">
        <f>IF($B55="","",_xlfn.LET(_xlpm.w,($E55&gt;0)*cfgWeightMajor+($F55&gt;0)*cfgWeightMinor+(N($G55)&gt;0)*cfgWeightSpelling+($H55&gt;0)*cfgWeightFinal,IF(_xlpm.w=0,"",ROUND((($E55&gt;0)*cfgWeightMajor*N($I55)+($F55&gt;0)*cfgWeightMinor*N($J55)+(N($G55)&gt;0)*cfgWeightSpelling*N($K55)+($H55&gt;0)*cfgWeightFinal*N($L55))/_xlpm.w,2))))</f>
        <v/>
      </c>
      <c r="N55" s="17">
        <f>IF(OR($B55="",$H55=0),"",$M55)</f>
        <v/>
      </c>
      <c r="O55" s="17">
        <f>IF($B55="","",COUNTIFS(nrES_PID,$B55,nrES_Att,2))</f>
        <v/>
      </c>
      <c r="P55" s="17">
        <f>IF($B55="","",COUNTIFS(nrES_PID,$B55,nrES_Dis,"Yes"))</f>
        <v/>
      </c>
      <c r="Q55" s="17">
        <f>IF($B55="","",IF(AND($I55&lt;&gt;"",$I55&lt;cfgThresholdScore,OR($E55&gt;=cfgThresholdAfterExam,$E55&gt;=COUNTIFS(rngEPuse,"Yes",rngEPtype,"Major"))),"Yes","No"))</f>
        <v/>
      </c>
      <c r="R55" s="17">
        <f>IF($B55="","",IF(AND($J55&lt;&gt;"",$J55&lt;cfgThresholdScore,OR($F55&gt;=cfgThresholdAfterExam,$F55&gt;=COUNTIFS(rngEPuse,"Yes",rngEPtype,"Minor"))),"Yes","No"))</f>
        <v/>
      </c>
      <c r="S55" s="17">
        <f>IF($B55="","",IF($M55="",-1,$M55))</f>
        <v/>
      </c>
      <c r="T55" s="17">
        <f>IF($B55="","",IF(AND($D55="Active",sysChecks!$M55&lt;&gt;"Yes",$M55&lt;&gt;""),"Yes","No"))</f>
        <v/>
      </c>
      <c r="U55" s="17">
        <f>IF($T55&lt;&gt;"Yes","",SUMPRODUCT(($T$6:$T$55="Yes")*(($S$6:$S$55&gt;$S55)+($S$6:$S$55=$S55)*(ROW($S$6:$S$55)&lt;ROW())))+1)</f>
        <v/>
      </c>
      <c r="V55" s="17">
        <f>IF($B55="","",IF(AND($Q55="No",$R55="No",OR(N($G55)=0,$K55&gt;=cfgThresholdScore),OR($H55=0,$L55&gt;=cfgThresholdScore)),"Yes","No"))</f>
        <v/>
      </c>
      <c r="W55" s="17">
        <f>IF($B55="","",_xlfn.LET(_xlpm.tot,COUNTIFS(rngEPuse,"Yes",rngEPtype,"Major"),_xlpm.left,_xlpm.tot-$E55,IF(_xlpm.left&lt;=0,"done",MAX(0,ROUND((cfgThresholdScore*_xlpm.tot-N($I55)*$E55)/_xlpm.left,1)))))</f>
        <v/>
      </c>
      <c r="X55" s="17">
        <f>IF($B55="","",_xlfn.LET(_xlpm.tot,COUNTIFS(rngEPuse,"Yes",rngEPtype,"Minor"),_xlpm.left,_xlpm.tot-$F55,IF(_xlpm.left&lt;=0,"done",MAX(0,ROUND((cfgThresholdScore*_xlpm.tot-N($J55)*$F55)/_xlpm.left,1)))))</f>
        <v/>
      </c>
      <c r="Y55" s="17">
        <f>IF($B55="","",IF($H55&gt;0,"done",cfgThresholdScore))</f>
        <v/>
      </c>
      <c r="Z55" s="17">
        <f>IF($B55="","",_xlfn.LET(_xlpm.s,_xlfn.MAXIFS(nrES_Seq,nrES_PID,$B55,nrES_Att,1,nrES_Raw,"&gt;=0"),IF(_xlpm.s=0,"",SUMIFS(nrES_Raw,nrES_PID,$B55,nrES_Att,1,nrES_Seq,_xlpm.s))))</f>
        <v/>
      </c>
      <c r="AA55" s="17">
        <f>IF($B55="","",_xlfn.LET(_xlpm.s,_xlfn.MAXIFS(nrES_Seq,nrES_PID,$B55,nrES_Att,1,nrES_Raw,"&gt;=0"),IF(_xlpm.s=0,"",_xlfn.LET(_xlpm.p,_xlfn.MAXIFS(nrES_Seq,nrES_PID,$B55,nrES_Att,1,nrES_Seq,"&lt;"&amp;_xlpm.s,nrES_Raw,"&gt;=0"),IF(_xlpm.p=0,"",SUMIFS(nrES_Raw,nrES_PID,$B55,nrES_Att,1,nrES_Seq,_xlpm.p))))))</f>
        <v/>
      </c>
      <c r="AB55" s="17">
        <f>IF(OR($B55="",$Z55="",$AA55=""),"",ROUND($AA55-$Z55,1))</f>
        <v/>
      </c>
      <c r="AC55" s="17">
        <f>IF($B55="","",_xlfn.LET(_xlpm.s,_xlfn.MAXIFS(nrES_Seq,nrES_PID,$B55,nrES_Att,1,nrES_Raw,"&gt;=0"),IF(_xlpm.s=0,0,_xlfn.LET(_xlpm.a,IF(SUMIFS(nrES_Raw,nrES_PID,$B55,nrES_Att,1,nrES_Seq,_xlpm.s)&lt;cfgPassingScore,1,0),_xlpm.p,_xlfn.MAXIFS(nrES_Seq,nrES_PID,$B55,nrES_Att,1,nrES_Seq,"&lt;"&amp;_xlpm.s,nrES_Raw,"&gt;=0"),IF(OR(_xlpm.a=0,_xlpm.p=0),_xlpm.a,_xlpm.a+IF(SUMIFS(nrES_Raw,nrES_PID,$B55,nrES_Att,1,nrES_Seq,_xlpm.p)&lt;cfgPassingScore,1,0))))))</f>
        <v/>
      </c>
    </row>
  </sheetData>
  <sheetProtection selectLockedCells="0" selectUnlockedCells="0" sheet="1" objects="0" insertRows="1" insertHyperlinks="1" autoFilter="1" scenarios="0" formatColumns="1" deleteColumns="1" insertColumns="1" pivotTables="1" deleteRows="1" formatCells="1" formatRows="1" sort="1" password="B4BB"/>
  <pageMargins left="0.75" right="0.75" top="1" bottom="1" header="0.5" footer="0.5"/>
</worksheet>
</file>

<file path=xl/worksheets/sheet53.xml><?xml version="1.0" encoding="utf-8"?>
<worksheet xmlns="http://schemas.openxmlformats.org/spreadsheetml/2006/main">
  <sheetPr>
    <tabColor rgb="00808080"/>
    <outlinePr summaryBelow="1" summaryRight="1"/>
    <pageSetUpPr/>
  </sheetPr>
  <dimension ref="B1:Y55"/>
  <sheetViews>
    <sheetView showGridLines="0" workbookViewId="0">
      <pane xSplit="3" ySplit="5" topLeftCell="D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4" customWidth="1" min="3" max="3"/>
  </cols>
  <sheetData>
    <row r="1">
      <c r="B1" s="10">
        <f>HYPERLINK("#Dashboard!B5","◄ Dashboard")</f>
        <v/>
      </c>
    </row>
    <row r="4">
      <c r="B4" s="11" t="inlineStr">
        <is>
          <t>Classroom MINUTES STILL OWED (there is no attendance allowance - every missed minute is made up); PT sessions vs the 5-session cap (policy 400). 'Cl MadeUp'/'PT MadeUp' are the sum of the PER-EVENT credits on Attendance (P/Q), each capped at that event's own duration — so these can never disagree with the OPEN/CLEARED banner. 'Cl Owed' = missed minutes not yet made up; 'Makeup Complete?' requires both owed classroom minutes AND owed PT sessions at 0 before graduation. Locked.</t>
        </is>
      </c>
    </row>
    <row r="5" ht="26" customHeight="1">
      <c r="B5" s="12" t="inlineStr">
        <is>
          <t>PID</t>
        </is>
      </c>
      <c r="C5" s="12" t="inlineStr">
        <is>
          <t>Cadet Name</t>
        </is>
      </c>
      <c r="D5" s="12" t="inlineStr">
        <is>
          <t>Status</t>
        </is>
      </c>
      <c r="E5" s="12" t="inlineStr">
        <is>
          <t>Cl Missed</t>
        </is>
      </c>
      <c r="F5" s="12" t="inlineStr">
        <is>
          <t>Cl MadeUp</t>
        </is>
      </c>
      <c r="G5" s="12" t="inlineStr">
        <is>
          <t>Cl Net</t>
        </is>
      </c>
      <c r="H5" s="12" t="inlineStr">
        <is>
          <t>Advisory At</t>
        </is>
      </c>
      <c r="I5" s="12" t="inlineStr">
        <is>
          <t>Cl Owed (min)</t>
        </is>
      </c>
      <c r="J5" s="12" t="inlineStr">
        <is>
          <t>Cl Tier</t>
        </is>
      </c>
      <c r="K5" s="12" t="inlineStr">
        <is>
          <t>Cl Clear?</t>
        </is>
      </c>
      <c r="L5" s="12" t="inlineStr">
        <is>
          <t>Cl Owed</t>
        </is>
      </c>
      <c r="M5" s="12" t="inlineStr">
        <is>
          <t>PT Missed</t>
        </is>
      </c>
      <c r="N5" s="12" t="inlineStr">
        <is>
          <t>PT MadeUp</t>
        </is>
      </c>
      <c r="O5" s="12" t="inlineStr">
        <is>
          <t>PT Net</t>
        </is>
      </c>
      <c r="P5" s="12" t="inlineStr">
        <is>
          <t>PT Cap</t>
        </is>
      </c>
      <c r="Q5" s="12" t="inlineStr">
        <is>
          <t>PT %</t>
        </is>
      </c>
      <c r="R5" s="12" t="inlineStr">
        <is>
          <t>PT Tier</t>
        </is>
      </c>
      <c r="S5" s="12" t="inlineStr">
        <is>
          <t>PT Elig</t>
        </is>
      </c>
      <c r="T5" s="12" t="inlineStr">
        <is>
          <t>Makeup Complete?</t>
        </is>
      </c>
      <c r="U5" s="12" t="inlineStr">
        <is>
          <t>Tardy</t>
        </is>
      </c>
      <c r="V5" s="12" t="inlineStr">
        <is>
          <t>FullAbs</t>
        </is>
      </c>
      <c r="W5" s="12" t="inlineStr">
        <is>
          <t>PartAbs</t>
        </is>
      </c>
      <c r="X5" s="12" t="inlineStr">
        <is>
          <t>PTMissCnt</t>
        </is>
      </c>
      <c r="Y5" s="12" t="inlineStr">
        <is>
          <t>Excused</t>
        </is>
      </c>
    </row>
    <row r="6">
      <c r="B6" s="17">
        <f>IF(Cadets!$B6="","",Cadets!$B6)</f>
        <v/>
      </c>
      <c r="C6" s="17">
        <f>IF($B6="","",Cadets!$F6)</f>
        <v/>
      </c>
      <c r="D6" s="17">
        <f>IF($B6="","",Cadets!$I6)</f>
        <v/>
      </c>
      <c r="E6" s="17">
        <f>IF($B6="","",SUMIFS(nrAT_Min,nrAT_PID,$B6,nrAT_Counts,"Yes",nrAT_IsPT,"No"))</f>
        <v/>
      </c>
      <c r="F6" s="17">
        <f>IF($B6="","",SUMIFS(nrAT_MadeUpMin,nrAT_PID,$B6,nrAT_Counts,"Yes",nrAT_IsPT,"No"))</f>
        <v/>
      </c>
      <c r="G6" s="17">
        <f>IF($B6="","",MAX(0,$E6-$F6))</f>
        <v/>
      </c>
      <c r="H6" s="17">
        <f>IF($B6="","",cfgMakeupAdvisoryMin)</f>
        <v/>
      </c>
      <c r="I6" s="42">
        <f>IF($B6="","",MAX(0,$E6-$F6))</f>
        <v/>
      </c>
      <c r="J6" s="17">
        <f>IF($B6="","",IF($I6=0,"OK",IF($I6&gt;=cfgMakeupCriticalMin,"CRITICAL",IF($I6&gt;=cfgMakeupAdvisoryMin,"Advisory","Owes time"))))</f>
        <v/>
      </c>
      <c r="K6" s="17">
        <f>IF($B6="","",IF($I6=0,"Yes","No"))</f>
        <v/>
      </c>
      <c r="L6" s="17">
        <f>IF($B6="","",MAX(0,$E6-$F6))</f>
        <v/>
      </c>
      <c r="M6" s="17">
        <f>IF($B6="","",SUMIFS(nrAT_Sess,nrAT_PID,$B6,nrAT_Counts,"Yes",nrAT_IsPT,"Yes"))</f>
        <v/>
      </c>
      <c r="N6" s="17">
        <f>IF($B6="","",SUMIFS(nrAT_MadeUpSess,nrAT_PID,$B6,nrAT_Counts,"Yes",nrAT_IsPT,"Yes"))</f>
        <v/>
      </c>
      <c r="O6" s="17">
        <f>IF($B6="","",MAX(0,$M6-$N6))</f>
        <v/>
      </c>
      <c r="P6" s="17">
        <f>IF($B6="","",cfgPTCapSessions)</f>
        <v/>
      </c>
      <c r="Q6" s="43">
        <f>IF($B6="","",IF($P6=0,0,$O6/$P6))</f>
        <v/>
      </c>
      <c r="R6" s="17">
        <f>IF($B6="","",IF($Q6&gt;=1,"AT CAP (5 sessions)",IF($Q6&gt;=cfgAttendanceCriticalPct,"Critical",IF($Q6&gt;=cfgAttendanceAdvisoryPct,"Advisory","OK"))))</f>
        <v/>
      </c>
      <c r="S6" s="17">
        <f>IF($B6="","",IF($P6=0,"Yes",IF($O6&lt;$P6,"Yes","No")))</f>
        <v/>
      </c>
      <c r="T6" s="17">
        <f>IF($B6="","",IF(AND($L6=0,$O6=0),"Yes","No"))</f>
        <v/>
      </c>
      <c r="U6" s="17">
        <f>IF($B6="","",COUNTIFS(nrAT_PID,$B6,nrAT_Type,"Tardy"))</f>
        <v/>
      </c>
      <c r="V6" s="17">
        <f>IF($B6="","",COUNTIFS(nrAT_PID,$B6,nrAT_Type,"Absent Full Day"))</f>
        <v/>
      </c>
      <c r="W6" s="17">
        <f>IF($B6="","",COUNTIFS(nrAT_PID,$B6,nrAT_Type,"Absent Partial Day"))</f>
        <v/>
      </c>
      <c r="X6" s="17">
        <f>IF($B6="","",COUNTIFS(nrAT_PID,$B6,nrAT_Type,"PT Missed"))</f>
        <v/>
      </c>
      <c r="Y6" s="17">
        <f>IF($B6="","",COUNTIFS(nrAT_PID,$B6,nrAT_Excused,"Excused"))</f>
        <v/>
      </c>
    </row>
    <row r="7">
      <c r="B7" s="17">
        <f>IF(Cadets!$B7="","",Cadets!$B7)</f>
        <v/>
      </c>
      <c r="C7" s="17">
        <f>IF($B7="","",Cadets!$F7)</f>
        <v/>
      </c>
      <c r="D7" s="17">
        <f>IF($B7="","",Cadets!$I7)</f>
        <v/>
      </c>
      <c r="E7" s="17">
        <f>IF($B7="","",SUMIFS(nrAT_Min,nrAT_PID,$B7,nrAT_Counts,"Yes",nrAT_IsPT,"No"))</f>
        <v/>
      </c>
      <c r="F7" s="17">
        <f>IF($B7="","",SUMIFS(nrAT_MadeUpMin,nrAT_PID,$B7,nrAT_Counts,"Yes",nrAT_IsPT,"No"))</f>
        <v/>
      </c>
      <c r="G7" s="17">
        <f>IF($B7="","",MAX(0,$E7-$F7))</f>
        <v/>
      </c>
      <c r="H7" s="17">
        <f>IF($B7="","",cfgMakeupAdvisoryMin)</f>
        <v/>
      </c>
      <c r="I7" s="42">
        <f>IF($B7="","",MAX(0,$E7-$F7))</f>
        <v/>
      </c>
      <c r="J7" s="17">
        <f>IF($B7="","",IF($I7=0,"OK",IF($I7&gt;=cfgMakeupCriticalMin,"CRITICAL",IF($I7&gt;=cfgMakeupAdvisoryMin,"Advisory","Owes time"))))</f>
        <v/>
      </c>
      <c r="K7" s="17">
        <f>IF($B7="","",IF($I7=0,"Yes","No"))</f>
        <v/>
      </c>
      <c r="L7" s="17">
        <f>IF($B7="","",MAX(0,$E7-$F7))</f>
        <v/>
      </c>
      <c r="M7" s="17">
        <f>IF($B7="","",SUMIFS(nrAT_Sess,nrAT_PID,$B7,nrAT_Counts,"Yes",nrAT_IsPT,"Yes"))</f>
        <v/>
      </c>
      <c r="N7" s="17">
        <f>IF($B7="","",SUMIFS(nrAT_MadeUpSess,nrAT_PID,$B7,nrAT_Counts,"Yes",nrAT_IsPT,"Yes"))</f>
        <v/>
      </c>
      <c r="O7" s="17">
        <f>IF($B7="","",MAX(0,$M7-$N7))</f>
        <v/>
      </c>
      <c r="P7" s="17">
        <f>IF($B7="","",cfgPTCapSessions)</f>
        <v/>
      </c>
      <c r="Q7" s="43">
        <f>IF($B7="","",IF($P7=0,0,$O7/$P7))</f>
        <v/>
      </c>
      <c r="R7" s="17">
        <f>IF($B7="","",IF($Q7&gt;=1,"AT CAP (5 sessions)",IF($Q7&gt;=cfgAttendanceCriticalPct,"Critical",IF($Q7&gt;=cfgAttendanceAdvisoryPct,"Advisory","OK"))))</f>
        <v/>
      </c>
      <c r="S7" s="17">
        <f>IF($B7="","",IF($P7=0,"Yes",IF($O7&lt;$P7,"Yes","No")))</f>
        <v/>
      </c>
      <c r="T7" s="17">
        <f>IF($B7="","",IF(AND($L7=0,$O7=0),"Yes","No"))</f>
        <v/>
      </c>
      <c r="U7" s="17">
        <f>IF($B7="","",COUNTIFS(nrAT_PID,$B7,nrAT_Type,"Tardy"))</f>
        <v/>
      </c>
      <c r="V7" s="17">
        <f>IF($B7="","",COUNTIFS(nrAT_PID,$B7,nrAT_Type,"Absent Full Day"))</f>
        <v/>
      </c>
      <c r="W7" s="17">
        <f>IF($B7="","",COUNTIFS(nrAT_PID,$B7,nrAT_Type,"Absent Partial Day"))</f>
        <v/>
      </c>
      <c r="X7" s="17">
        <f>IF($B7="","",COUNTIFS(nrAT_PID,$B7,nrAT_Type,"PT Missed"))</f>
        <v/>
      </c>
      <c r="Y7" s="17">
        <f>IF($B7="","",COUNTIFS(nrAT_PID,$B7,nrAT_Excused,"Excused"))</f>
        <v/>
      </c>
    </row>
    <row r="8">
      <c r="B8" s="17">
        <f>IF(Cadets!$B8="","",Cadets!$B8)</f>
        <v/>
      </c>
      <c r="C8" s="17">
        <f>IF($B8="","",Cadets!$F8)</f>
        <v/>
      </c>
      <c r="D8" s="17">
        <f>IF($B8="","",Cadets!$I8)</f>
        <v/>
      </c>
      <c r="E8" s="17">
        <f>IF($B8="","",SUMIFS(nrAT_Min,nrAT_PID,$B8,nrAT_Counts,"Yes",nrAT_IsPT,"No"))</f>
        <v/>
      </c>
      <c r="F8" s="17">
        <f>IF($B8="","",SUMIFS(nrAT_MadeUpMin,nrAT_PID,$B8,nrAT_Counts,"Yes",nrAT_IsPT,"No"))</f>
        <v/>
      </c>
      <c r="G8" s="17">
        <f>IF($B8="","",MAX(0,$E8-$F8))</f>
        <v/>
      </c>
      <c r="H8" s="17">
        <f>IF($B8="","",cfgMakeupAdvisoryMin)</f>
        <v/>
      </c>
      <c r="I8" s="42">
        <f>IF($B8="","",MAX(0,$E8-$F8))</f>
        <v/>
      </c>
      <c r="J8" s="17">
        <f>IF($B8="","",IF($I8=0,"OK",IF($I8&gt;=cfgMakeupCriticalMin,"CRITICAL",IF($I8&gt;=cfgMakeupAdvisoryMin,"Advisory","Owes time"))))</f>
        <v/>
      </c>
      <c r="K8" s="17">
        <f>IF($B8="","",IF($I8=0,"Yes","No"))</f>
        <v/>
      </c>
      <c r="L8" s="17">
        <f>IF($B8="","",MAX(0,$E8-$F8))</f>
        <v/>
      </c>
      <c r="M8" s="17">
        <f>IF($B8="","",SUMIFS(nrAT_Sess,nrAT_PID,$B8,nrAT_Counts,"Yes",nrAT_IsPT,"Yes"))</f>
        <v/>
      </c>
      <c r="N8" s="17">
        <f>IF($B8="","",SUMIFS(nrAT_MadeUpSess,nrAT_PID,$B8,nrAT_Counts,"Yes",nrAT_IsPT,"Yes"))</f>
        <v/>
      </c>
      <c r="O8" s="17">
        <f>IF($B8="","",MAX(0,$M8-$N8))</f>
        <v/>
      </c>
      <c r="P8" s="17">
        <f>IF($B8="","",cfgPTCapSessions)</f>
        <v/>
      </c>
      <c r="Q8" s="43">
        <f>IF($B8="","",IF($P8=0,0,$O8/$P8))</f>
        <v/>
      </c>
      <c r="R8" s="17">
        <f>IF($B8="","",IF($Q8&gt;=1,"AT CAP (5 sessions)",IF($Q8&gt;=cfgAttendanceCriticalPct,"Critical",IF($Q8&gt;=cfgAttendanceAdvisoryPct,"Advisory","OK"))))</f>
        <v/>
      </c>
      <c r="S8" s="17">
        <f>IF($B8="","",IF($P8=0,"Yes",IF($O8&lt;$P8,"Yes","No")))</f>
        <v/>
      </c>
      <c r="T8" s="17">
        <f>IF($B8="","",IF(AND($L8=0,$O8=0),"Yes","No"))</f>
        <v/>
      </c>
      <c r="U8" s="17">
        <f>IF($B8="","",COUNTIFS(nrAT_PID,$B8,nrAT_Type,"Tardy"))</f>
        <v/>
      </c>
      <c r="V8" s="17">
        <f>IF($B8="","",COUNTIFS(nrAT_PID,$B8,nrAT_Type,"Absent Full Day"))</f>
        <v/>
      </c>
      <c r="W8" s="17">
        <f>IF($B8="","",COUNTIFS(nrAT_PID,$B8,nrAT_Type,"Absent Partial Day"))</f>
        <v/>
      </c>
      <c r="X8" s="17">
        <f>IF($B8="","",COUNTIFS(nrAT_PID,$B8,nrAT_Type,"PT Missed"))</f>
        <v/>
      </c>
      <c r="Y8" s="17">
        <f>IF($B8="","",COUNTIFS(nrAT_PID,$B8,nrAT_Excused,"Excused"))</f>
        <v/>
      </c>
    </row>
    <row r="9">
      <c r="B9" s="17">
        <f>IF(Cadets!$B9="","",Cadets!$B9)</f>
        <v/>
      </c>
      <c r="C9" s="17">
        <f>IF($B9="","",Cadets!$F9)</f>
        <v/>
      </c>
      <c r="D9" s="17">
        <f>IF($B9="","",Cadets!$I9)</f>
        <v/>
      </c>
      <c r="E9" s="17">
        <f>IF($B9="","",SUMIFS(nrAT_Min,nrAT_PID,$B9,nrAT_Counts,"Yes",nrAT_IsPT,"No"))</f>
        <v/>
      </c>
      <c r="F9" s="17">
        <f>IF($B9="","",SUMIFS(nrAT_MadeUpMin,nrAT_PID,$B9,nrAT_Counts,"Yes",nrAT_IsPT,"No"))</f>
        <v/>
      </c>
      <c r="G9" s="17">
        <f>IF($B9="","",MAX(0,$E9-$F9))</f>
        <v/>
      </c>
      <c r="H9" s="17">
        <f>IF($B9="","",cfgMakeupAdvisoryMin)</f>
        <v/>
      </c>
      <c r="I9" s="42">
        <f>IF($B9="","",MAX(0,$E9-$F9))</f>
        <v/>
      </c>
      <c r="J9" s="17">
        <f>IF($B9="","",IF($I9=0,"OK",IF($I9&gt;=cfgMakeupCriticalMin,"CRITICAL",IF($I9&gt;=cfgMakeupAdvisoryMin,"Advisory","Owes time"))))</f>
        <v/>
      </c>
      <c r="K9" s="17">
        <f>IF($B9="","",IF($I9=0,"Yes","No"))</f>
        <v/>
      </c>
      <c r="L9" s="17">
        <f>IF($B9="","",MAX(0,$E9-$F9))</f>
        <v/>
      </c>
      <c r="M9" s="17">
        <f>IF($B9="","",SUMIFS(nrAT_Sess,nrAT_PID,$B9,nrAT_Counts,"Yes",nrAT_IsPT,"Yes"))</f>
        <v/>
      </c>
      <c r="N9" s="17">
        <f>IF($B9="","",SUMIFS(nrAT_MadeUpSess,nrAT_PID,$B9,nrAT_Counts,"Yes",nrAT_IsPT,"Yes"))</f>
        <v/>
      </c>
      <c r="O9" s="17">
        <f>IF($B9="","",MAX(0,$M9-$N9))</f>
        <v/>
      </c>
      <c r="P9" s="17">
        <f>IF($B9="","",cfgPTCapSessions)</f>
        <v/>
      </c>
      <c r="Q9" s="43">
        <f>IF($B9="","",IF($P9=0,0,$O9/$P9))</f>
        <v/>
      </c>
      <c r="R9" s="17">
        <f>IF($B9="","",IF($Q9&gt;=1,"AT CAP (5 sessions)",IF($Q9&gt;=cfgAttendanceCriticalPct,"Critical",IF($Q9&gt;=cfgAttendanceAdvisoryPct,"Advisory","OK"))))</f>
        <v/>
      </c>
      <c r="S9" s="17">
        <f>IF($B9="","",IF($P9=0,"Yes",IF($O9&lt;$P9,"Yes","No")))</f>
        <v/>
      </c>
      <c r="T9" s="17">
        <f>IF($B9="","",IF(AND($L9=0,$O9=0),"Yes","No"))</f>
        <v/>
      </c>
      <c r="U9" s="17">
        <f>IF($B9="","",COUNTIFS(nrAT_PID,$B9,nrAT_Type,"Tardy"))</f>
        <v/>
      </c>
      <c r="V9" s="17">
        <f>IF($B9="","",COUNTIFS(nrAT_PID,$B9,nrAT_Type,"Absent Full Day"))</f>
        <v/>
      </c>
      <c r="W9" s="17">
        <f>IF($B9="","",COUNTIFS(nrAT_PID,$B9,nrAT_Type,"Absent Partial Day"))</f>
        <v/>
      </c>
      <c r="X9" s="17">
        <f>IF($B9="","",COUNTIFS(nrAT_PID,$B9,nrAT_Type,"PT Missed"))</f>
        <v/>
      </c>
      <c r="Y9" s="17">
        <f>IF($B9="","",COUNTIFS(nrAT_PID,$B9,nrAT_Excused,"Excused"))</f>
        <v/>
      </c>
    </row>
    <row r="10">
      <c r="B10" s="17">
        <f>IF(Cadets!$B10="","",Cadets!$B10)</f>
        <v/>
      </c>
      <c r="C10" s="17">
        <f>IF($B10="","",Cadets!$F10)</f>
        <v/>
      </c>
      <c r="D10" s="17">
        <f>IF($B10="","",Cadets!$I10)</f>
        <v/>
      </c>
      <c r="E10" s="17">
        <f>IF($B10="","",SUMIFS(nrAT_Min,nrAT_PID,$B10,nrAT_Counts,"Yes",nrAT_IsPT,"No"))</f>
        <v/>
      </c>
      <c r="F10" s="17">
        <f>IF($B10="","",SUMIFS(nrAT_MadeUpMin,nrAT_PID,$B10,nrAT_Counts,"Yes",nrAT_IsPT,"No"))</f>
        <v/>
      </c>
      <c r="G10" s="17">
        <f>IF($B10="","",MAX(0,$E10-$F10))</f>
        <v/>
      </c>
      <c r="H10" s="17">
        <f>IF($B10="","",cfgMakeupAdvisoryMin)</f>
        <v/>
      </c>
      <c r="I10" s="42">
        <f>IF($B10="","",MAX(0,$E10-$F10))</f>
        <v/>
      </c>
      <c r="J10" s="17">
        <f>IF($B10="","",IF($I10=0,"OK",IF($I10&gt;=cfgMakeupCriticalMin,"CRITICAL",IF($I10&gt;=cfgMakeupAdvisoryMin,"Advisory","Owes time"))))</f>
        <v/>
      </c>
      <c r="K10" s="17">
        <f>IF($B10="","",IF($I10=0,"Yes","No"))</f>
        <v/>
      </c>
      <c r="L10" s="17">
        <f>IF($B10="","",MAX(0,$E10-$F10))</f>
        <v/>
      </c>
      <c r="M10" s="17">
        <f>IF($B10="","",SUMIFS(nrAT_Sess,nrAT_PID,$B10,nrAT_Counts,"Yes",nrAT_IsPT,"Yes"))</f>
        <v/>
      </c>
      <c r="N10" s="17">
        <f>IF($B10="","",SUMIFS(nrAT_MadeUpSess,nrAT_PID,$B10,nrAT_Counts,"Yes",nrAT_IsPT,"Yes"))</f>
        <v/>
      </c>
      <c r="O10" s="17">
        <f>IF($B10="","",MAX(0,$M10-$N10))</f>
        <v/>
      </c>
      <c r="P10" s="17">
        <f>IF($B10="","",cfgPTCapSessions)</f>
        <v/>
      </c>
      <c r="Q10" s="43">
        <f>IF($B10="","",IF($P10=0,0,$O10/$P10))</f>
        <v/>
      </c>
      <c r="R10" s="17">
        <f>IF($B10="","",IF($Q10&gt;=1,"AT CAP (5 sessions)",IF($Q10&gt;=cfgAttendanceCriticalPct,"Critical",IF($Q10&gt;=cfgAttendanceAdvisoryPct,"Advisory","OK"))))</f>
        <v/>
      </c>
      <c r="S10" s="17">
        <f>IF($B10="","",IF($P10=0,"Yes",IF($O10&lt;$P10,"Yes","No")))</f>
        <v/>
      </c>
      <c r="T10" s="17">
        <f>IF($B10="","",IF(AND($L10=0,$O10=0),"Yes","No"))</f>
        <v/>
      </c>
      <c r="U10" s="17">
        <f>IF($B10="","",COUNTIFS(nrAT_PID,$B10,nrAT_Type,"Tardy"))</f>
        <v/>
      </c>
      <c r="V10" s="17">
        <f>IF($B10="","",COUNTIFS(nrAT_PID,$B10,nrAT_Type,"Absent Full Day"))</f>
        <v/>
      </c>
      <c r="W10" s="17">
        <f>IF($B10="","",COUNTIFS(nrAT_PID,$B10,nrAT_Type,"Absent Partial Day"))</f>
        <v/>
      </c>
      <c r="X10" s="17">
        <f>IF($B10="","",COUNTIFS(nrAT_PID,$B10,nrAT_Type,"PT Missed"))</f>
        <v/>
      </c>
      <c r="Y10" s="17">
        <f>IF($B10="","",COUNTIFS(nrAT_PID,$B10,nrAT_Excused,"Excused"))</f>
        <v/>
      </c>
    </row>
    <row r="11">
      <c r="B11" s="17">
        <f>IF(Cadets!$B11="","",Cadets!$B11)</f>
        <v/>
      </c>
      <c r="C11" s="17">
        <f>IF($B11="","",Cadets!$F11)</f>
        <v/>
      </c>
      <c r="D11" s="17">
        <f>IF($B11="","",Cadets!$I11)</f>
        <v/>
      </c>
      <c r="E11" s="17">
        <f>IF($B11="","",SUMIFS(nrAT_Min,nrAT_PID,$B11,nrAT_Counts,"Yes",nrAT_IsPT,"No"))</f>
        <v/>
      </c>
      <c r="F11" s="17">
        <f>IF($B11="","",SUMIFS(nrAT_MadeUpMin,nrAT_PID,$B11,nrAT_Counts,"Yes",nrAT_IsPT,"No"))</f>
        <v/>
      </c>
      <c r="G11" s="17">
        <f>IF($B11="","",MAX(0,$E11-$F11))</f>
        <v/>
      </c>
      <c r="H11" s="17">
        <f>IF($B11="","",cfgMakeupAdvisoryMin)</f>
        <v/>
      </c>
      <c r="I11" s="42">
        <f>IF($B11="","",MAX(0,$E11-$F11))</f>
        <v/>
      </c>
      <c r="J11" s="17">
        <f>IF($B11="","",IF($I11=0,"OK",IF($I11&gt;=cfgMakeupCriticalMin,"CRITICAL",IF($I11&gt;=cfgMakeupAdvisoryMin,"Advisory","Owes time"))))</f>
        <v/>
      </c>
      <c r="K11" s="17">
        <f>IF($B11="","",IF($I11=0,"Yes","No"))</f>
        <v/>
      </c>
      <c r="L11" s="17">
        <f>IF($B11="","",MAX(0,$E11-$F11))</f>
        <v/>
      </c>
      <c r="M11" s="17">
        <f>IF($B11="","",SUMIFS(nrAT_Sess,nrAT_PID,$B11,nrAT_Counts,"Yes",nrAT_IsPT,"Yes"))</f>
        <v/>
      </c>
      <c r="N11" s="17">
        <f>IF($B11="","",SUMIFS(nrAT_MadeUpSess,nrAT_PID,$B11,nrAT_Counts,"Yes",nrAT_IsPT,"Yes"))</f>
        <v/>
      </c>
      <c r="O11" s="17">
        <f>IF($B11="","",MAX(0,$M11-$N11))</f>
        <v/>
      </c>
      <c r="P11" s="17">
        <f>IF($B11="","",cfgPTCapSessions)</f>
        <v/>
      </c>
      <c r="Q11" s="43">
        <f>IF($B11="","",IF($P11=0,0,$O11/$P11))</f>
        <v/>
      </c>
      <c r="R11" s="17">
        <f>IF($B11="","",IF($Q11&gt;=1,"AT CAP (5 sessions)",IF($Q11&gt;=cfgAttendanceCriticalPct,"Critical",IF($Q11&gt;=cfgAttendanceAdvisoryPct,"Advisory","OK"))))</f>
        <v/>
      </c>
      <c r="S11" s="17">
        <f>IF($B11="","",IF($P11=0,"Yes",IF($O11&lt;$P11,"Yes","No")))</f>
        <v/>
      </c>
      <c r="T11" s="17">
        <f>IF($B11="","",IF(AND($L11=0,$O11=0),"Yes","No"))</f>
        <v/>
      </c>
      <c r="U11" s="17">
        <f>IF($B11="","",COUNTIFS(nrAT_PID,$B11,nrAT_Type,"Tardy"))</f>
        <v/>
      </c>
      <c r="V11" s="17">
        <f>IF($B11="","",COUNTIFS(nrAT_PID,$B11,nrAT_Type,"Absent Full Day"))</f>
        <v/>
      </c>
      <c r="W11" s="17">
        <f>IF($B11="","",COUNTIFS(nrAT_PID,$B11,nrAT_Type,"Absent Partial Day"))</f>
        <v/>
      </c>
      <c r="X11" s="17">
        <f>IF($B11="","",COUNTIFS(nrAT_PID,$B11,nrAT_Type,"PT Missed"))</f>
        <v/>
      </c>
      <c r="Y11" s="17">
        <f>IF($B11="","",COUNTIFS(nrAT_PID,$B11,nrAT_Excused,"Excused"))</f>
        <v/>
      </c>
    </row>
    <row r="12">
      <c r="B12" s="17">
        <f>IF(Cadets!$B12="","",Cadets!$B12)</f>
        <v/>
      </c>
      <c r="C12" s="17">
        <f>IF($B12="","",Cadets!$F12)</f>
        <v/>
      </c>
      <c r="D12" s="17">
        <f>IF($B12="","",Cadets!$I12)</f>
        <v/>
      </c>
      <c r="E12" s="17">
        <f>IF($B12="","",SUMIFS(nrAT_Min,nrAT_PID,$B12,nrAT_Counts,"Yes",nrAT_IsPT,"No"))</f>
        <v/>
      </c>
      <c r="F12" s="17">
        <f>IF($B12="","",SUMIFS(nrAT_MadeUpMin,nrAT_PID,$B12,nrAT_Counts,"Yes",nrAT_IsPT,"No"))</f>
        <v/>
      </c>
      <c r="G12" s="17">
        <f>IF($B12="","",MAX(0,$E12-$F12))</f>
        <v/>
      </c>
      <c r="H12" s="17">
        <f>IF($B12="","",cfgMakeupAdvisoryMin)</f>
        <v/>
      </c>
      <c r="I12" s="42">
        <f>IF($B12="","",MAX(0,$E12-$F12))</f>
        <v/>
      </c>
      <c r="J12" s="17">
        <f>IF($B12="","",IF($I12=0,"OK",IF($I12&gt;=cfgMakeupCriticalMin,"CRITICAL",IF($I12&gt;=cfgMakeupAdvisoryMin,"Advisory","Owes time"))))</f>
        <v/>
      </c>
      <c r="K12" s="17">
        <f>IF($B12="","",IF($I12=0,"Yes","No"))</f>
        <v/>
      </c>
      <c r="L12" s="17">
        <f>IF($B12="","",MAX(0,$E12-$F12))</f>
        <v/>
      </c>
      <c r="M12" s="17">
        <f>IF($B12="","",SUMIFS(nrAT_Sess,nrAT_PID,$B12,nrAT_Counts,"Yes",nrAT_IsPT,"Yes"))</f>
        <v/>
      </c>
      <c r="N12" s="17">
        <f>IF($B12="","",SUMIFS(nrAT_MadeUpSess,nrAT_PID,$B12,nrAT_Counts,"Yes",nrAT_IsPT,"Yes"))</f>
        <v/>
      </c>
      <c r="O12" s="17">
        <f>IF($B12="","",MAX(0,$M12-$N12))</f>
        <v/>
      </c>
      <c r="P12" s="17">
        <f>IF($B12="","",cfgPTCapSessions)</f>
        <v/>
      </c>
      <c r="Q12" s="43">
        <f>IF($B12="","",IF($P12=0,0,$O12/$P12))</f>
        <v/>
      </c>
      <c r="R12" s="17">
        <f>IF($B12="","",IF($Q12&gt;=1,"AT CAP (5 sessions)",IF($Q12&gt;=cfgAttendanceCriticalPct,"Critical",IF($Q12&gt;=cfgAttendanceAdvisoryPct,"Advisory","OK"))))</f>
        <v/>
      </c>
      <c r="S12" s="17">
        <f>IF($B12="","",IF($P12=0,"Yes",IF($O12&lt;$P12,"Yes","No")))</f>
        <v/>
      </c>
      <c r="T12" s="17">
        <f>IF($B12="","",IF(AND($L12=0,$O12=0),"Yes","No"))</f>
        <v/>
      </c>
      <c r="U12" s="17">
        <f>IF($B12="","",COUNTIFS(nrAT_PID,$B12,nrAT_Type,"Tardy"))</f>
        <v/>
      </c>
      <c r="V12" s="17">
        <f>IF($B12="","",COUNTIFS(nrAT_PID,$B12,nrAT_Type,"Absent Full Day"))</f>
        <v/>
      </c>
      <c r="W12" s="17">
        <f>IF($B12="","",COUNTIFS(nrAT_PID,$B12,nrAT_Type,"Absent Partial Day"))</f>
        <v/>
      </c>
      <c r="X12" s="17">
        <f>IF($B12="","",COUNTIFS(nrAT_PID,$B12,nrAT_Type,"PT Missed"))</f>
        <v/>
      </c>
      <c r="Y12" s="17">
        <f>IF($B12="","",COUNTIFS(nrAT_PID,$B12,nrAT_Excused,"Excused"))</f>
        <v/>
      </c>
    </row>
    <row r="13">
      <c r="B13" s="17">
        <f>IF(Cadets!$B13="","",Cadets!$B13)</f>
        <v/>
      </c>
      <c r="C13" s="17">
        <f>IF($B13="","",Cadets!$F13)</f>
        <v/>
      </c>
      <c r="D13" s="17">
        <f>IF($B13="","",Cadets!$I13)</f>
        <v/>
      </c>
      <c r="E13" s="17">
        <f>IF($B13="","",SUMIFS(nrAT_Min,nrAT_PID,$B13,nrAT_Counts,"Yes",nrAT_IsPT,"No"))</f>
        <v/>
      </c>
      <c r="F13" s="17">
        <f>IF($B13="","",SUMIFS(nrAT_MadeUpMin,nrAT_PID,$B13,nrAT_Counts,"Yes",nrAT_IsPT,"No"))</f>
        <v/>
      </c>
      <c r="G13" s="17">
        <f>IF($B13="","",MAX(0,$E13-$F13))</f>
        <v/>
      </c>
      <c r="H13" s="17">
        <f>IF($B13="","",cfgMakeupAdvisoryMin)</f>
        <v/>
      </c>
      <c r="I13" s="42">
        <f>IF($B13="","",MAX(0,$E13-$F13))</f>
        <v/>
      </c>
      <c r="J13" s="17">
        <f>IF($B13="","",IF($I13=0,"OK",IF($I13&gt;=cfgMakeupCriticalMin,"CRITICAL",IF($I13&gt;=cfgMakeupAdvisoryMin,"Advisory","Owes time"))))</f>
        <v/>
      </c>
      <c r="K13" s="17">
        <f>IF($B13="","",IF($I13=0,"Yes","No"))</f>
        <v/>
      </c>
      <c r="L13" s="17">
        <f>IF($B13="","",MAX(0,$E13-$F13))</f>
        <v/>
      </c>
      <c r="M13" s="17">
        <f>IF($B13="","",SUMIFS(nrAT_Sess,nrAT_PID,$B13,nrAT_Counts,"Yes",nrAT_IsPT,"Yes"))</f>
        <v/>
      </c>
      <c r="N13" s="17">
        <f>IF($B13="","",SUMIFS(nrAT_MadeUpSess,nrAT_PID,$B13,nrAT_Counts,"Yes",nrAT_IsPT,"Yes"))</f>
        <v/>
      </c>
      <c r="O13" s="17">
        <f>IF($B13="","",MAX(0,$M13-$N13))</f>
        <v/>
      </c>
      <c r="P13" s="17">
        <f>IF($B13="","",cfgPTCapSessions)</f>
        <v/>
      </c>
      <c r="Q13" s="43">
        <f>IF($B13="","",IF($P13=0,0,$O13/$P13))</f>
        <v/>
      </c>
      <c r="R13" s="17">
        <f>IF($B13="","",IF($Q13&gt;=1,"AT CAP (5 sessions)",IF($Q13&gt;=cfgAttendanceCriticalPct,"Critical",IF($Q13&gt;=cfgAttendanceAdvisoryPct,"Advisory","OK"))))</f>
        <v/>
      </c>
      <c r="S13" s="17">
        <f>IF($B13="","",IF($P13=0,"Yes",IF($O13&lt;$P13,"Yes","No")))</f>
        <v/>
      </c>
      <c r="T13" s="17">
        <f>IF($B13="","",IF(AND($L13=0,$O13=0),"Yes","No"))</f>
        <v/>
      </c>
      <c r="U13" s="17">
        <f>IF($B13="","",COUNTIFS(nrAT_PID,$B13,nrAT_Type,"Tardy"))</f>
        <v/>
      </c>
      <c r="V13" s="17">
        <f>IF($B13="","",COUNTIFS(nrAT_PID,$B13,nrAT_Type,"Absent Full Day"))</f>
        <v/>
      </c>
      <c r="W13" s="17">
        <f>IF($B13="","",COUNTIFS(nrAT_PID,$B13,nrAT_Type,"Absent Partial Day"))</f>
        <v/>
      </c>
      <c r="X13" s="17">
        <f>IF($B13="","",COUNTIFS(nrAT_PID,$B13,nrAT_Type,"PT Missed"))</f>
        <v/>
      </c>
      <c r="Y13" s="17">
        <f>IF($B13="","",COUNTIFS(nrAT_PID,$B13,nrAT_Excused,"Excused"))</f>
        <v/>
      </c>
    </row>
    <row r="14">
      <c r="B14" s="17">
        <f>IF(Cadets!$B14="","",Cadets!$B14)</f>
        <v/>
      </c>
      <c r="C14" s="17">
        <f>IF($B14="","",Cadets!$F14)</f>
        <v/>
      </c>
      <c r="D14" s="17">
        <f>IF($B14="","",Cadets!$I14)</f>
        <v/>
      </c>
      <c r="E14" s="17">
        <f>IF($B14="","",SUMIFS(nrAT_Min,nrAT_PID,$B14,nrAT_Counts,"Yes",nrAT_IsPT,"No"))</f>
        <v/>
      </c>
      <c r="F14" s="17">
        <f>IF($B14="","",SUMIFS(nrAT_MadeUpMin,nrAT_PID,$B14,nrAT_Counts,"Yes",nrAT_IsPT,"No"))</f>
        <v/>
      </c>
      <c r="G14" s="17">
        <f>IF($B14="","",MAX(0,$E14-$F14))</f>
        <v/>
      </c>
      <c r="H14" s="17">
        <f>IF($B14="","",cfgMakeupAdvisoryMin)</f>
        <v/>
      </c>
      <c r="I14" s="42">
        <f>IF($B14="","",MAX(0,$E14-$F14))</f>
        <v/>
      </c>
      <c r="J14" s="17">
        <f>IF($B14="","",IF($I14=0,"OK",IF($I14&gt;=cfgMakeupCriticalMin,"CRITICAL",IF($I14&gt;=cfgMakeupAdvisoryMin,"Advisory","Owes time"))))</f>
        <v/>
      </c>
      <c r="K14" s="17">
        <f>IF($B14="","",IF($I14=0,"Yes","No"))</f>
        <v/>
      </c>
      <c r="L14" s="17">
        <f>IF($B14="","",MAX(0,$E14-$F14))</f>
        <v/>
      </c>
      <c r="M14" s="17">
        <f>IF($B14="","",SUMIFS(nrAT_Sess,nrAT_PID,$B14,nrAT_Counts,"Yes",nrAT_IsPT,"Yes"))</f>
        <v/>
      </c>
      <c r="N14" s="17">
        <f>IF($B14="","",SUMIFS(nrAT_MadeUpSess,nrAT_PID,$B14,nrAT_Counts,"Yes",nrAT_IsPT,"Yes"))</f>
        <v/>
      </c>
      <c r="O14" s="17">
        <f>IF($B14="","",MAX(0,$M14-$N14))</f>
        <v/>
      </c>
      <c r="P14" s="17">
        <f>IF($B14="","",cfgPTCapSessions)</f>
        <v/>
      </c>
      <c r="Q14" s="43">
        <f>IF($B14="","",IF($P14=0,0,$O14/$P14))</f>
        <v/>
      </c>
      <c r="R14" s="17">
        <f>IF($B14="","",IF($Q14&gt;=1,"AT CAP (5 sessions)",IF($Q14&gt;=cfgAttendanceCriticalPct,"Critical",IF($Q14&gt;=cfgAttendanceAdvisoryPct,"Advisory","OK"))))</f>
        <v/>
      </c>
      <c r="S14" s="17">
        <f>IF($B14="","",IF($P14=0,"Yes",IF($O14&lt;$P14,"Yes","No")))</f>
        <v/>
      </c>
      <c r="T14" s="17">
        <f>IF($B14="","",IF(AND($L14=0,$O14=0),"Yes","No"))</f>
        <v/>
      </c>
      <c r="U14" s="17">
        <f>IF($B14="","",COUNTIFS(nrAT_PID,$B14,nrAT_Type,"Tardy"))</f>
        <v/>
      </c>
      <c r="V14" s="17">
        <f>IF($B14="","",COUNTIFS(nrAT_PID,$B14,nrAT_Type,"Absent Full Day"))</f>
        <v/>
      </c>
      <c r="W14" s="17">
        <f>IF($B14="","",COUNTIFS(nrAT_PID,$B14,nrAT_Type,"Absent Partial Day"))</f>
        <v/>
      </c>
      <c r="X14" s="17">
        <f>IF($B14="","",COUNTIFS(nrAT_PID,$B14,nrAT_Type,"PT Missed"))</f>
        <v/>
      </c>
      <c r="Y14" s="17">
        <f>IF($B14="","",COUNTIFS(nrAT_PID,$B14,nrAT_Excused,"Excused"))</f>
        <v/>
      </c>
    </row>
    <row r="15">
      <c r="B15" s="17">
        <f>IF(Cadets!$B15="","",Cadets!$B15)</f>
        <v/>
      </c>
      <c r="C15" s="17">
        <f>IF($B15="","",Cadets!$F15)</f>
        <v/>
      </c>
      <c r="D15" s="17">
        <f>IF($B15="","",Cadets!$I15)</f>
        <v/>
      </c>
      <c r="E15" s="17">
        <f>IF($B15="","",SUMIFS(nrAT_Min,nrAT_PID,$B15,nrAT_Counts,"Yes",nrAT_IsPT,"No"))</f>
        <v/>
      </c>
      <c r="F15" s="17">
        <f>IF($B15="","",SUMIFS(nrAT_MadeUpMin,nrAT_PID,$B15,nrAT_Counts,"Yes",nrAT_IsPT,"No"))</f>
        <v/>
      </c>
      <c r="G15" s="17">
        <f>IF($B15="","",MAX(0,$E15-$F15))</f>
        <v/>
      </c>
      <c r="H15" s="17">
        <f>IF($B15="","",cfgMakeupAdvisoryMin)</f>
        <v/>
      </c>
      <c r="I15" s="42">
        <f>IF($B15="","",MAX(0,$E15-$F15))</f>
        <v/>
      </c>
      <c r="J15" s="17">
        <f>IF($B15="","",IF($I15=0,"OK",IF($I15&gt;=cfgMakeupCriticalMin,"CRITICAL",IF($I15&gt;=cfgMakeupAdvisoryMin,"Advisory","Owes time"))))</f>
        <v/>
      </c>
      <c r="K15" s="17">
        <f>IF($B15="","",IF($I15=0,"Yes","No"))</f>
        <v/>
      </c>
      <c r="L15" s="17">
        <f>IF($B15="","",MAX(0,$E15-$F15))</f>
        <v/>
      </c>
      <c r="M15" s="17">
        <f>IF($B15="","",SUMIFS(nrAT_Sess,nrAT_PID,$B15,nrAT_Counts,"Yes",nrAT_IsPT,"Yes"))</f>
        <v/>
      </c>
      <c r="N15" s="17">
        <f>IF($B15="","",SUMIFS(nrAT_MadeUpSess,nrAT_PID,$B15,nrAT_Counts,"Yes",nrAT_IsPT,"Yes"))</f>
        <v/>
      </c>
      <c r="O15" s="17">
        <f>IF($B15="","",MAX(0,$M15-$N15))</f>
        <v/>
      </c>
      <c r="P15" s="17">
        <f>IF($B15="","",cfgPTCapSessions)</f>
        <v/>
      </c>
      <c r="Q15" s="43">
        <f>IF($B15="","",IF($P15=0,0,$O15/$P15))</f>
        <v/>
      </c>
      <c r="R15" s="17">
        <f>IF($B15="","",IF($Q15&gt;=1,"AT CAP (5 sessions)",IF($Q15&gt;=cfgAttendanceCriticalPct,"Critical",IF($Q15&gt;=cfgAttendanceAdvisoryPct,"Advisory","OK"))))</f>
        <v/>
      </c>
      <c r="S15" s="17">
        <f>IF($B15="","",IF($P15=0,"Yes",IF($O15&lt;$P15,"Yes","No")))</f>
        <v/>
      </c>
      <c r="T15" s="17">
        <f>IF($B15="","",IF(AND($L15=0,$O15=0),"Yes","No"))</f>
        <v/>
      </c>
      <c r="U15" s="17">
        <f>IF($B15="","",COUNTIFS(nrAT_PID,$B15,nrAT_Type,"Tardy"))</f>
        <v/>
      </c>
      <c r="V15" s="17">
        <f>IF($B15="","",COUNTIFS(nrAT_PID,$B15,nrAT_Type,"Absent Full Day"))</f>
        <v/>
      </c>
      <c r="W15" s="17">
        <f>IF($B15="","",COUNTIFS(nrAT_PID,$B15,nrAT_Type,"Absent Partial Day"))</f>
        <v/>
      </c>
      <c r="X15" s="17">
        <f>IF($B15="","",COUNTIFS(nrAT_PID,$B15,nrAT_Type,"PT Missed"))</f>
        <v/>
      </c>
      <c r="Y15" s="17">
        <f>IF($B15="","",COUNTIFS(nrAT_PID,$B15,nrAT_Excused,"Excused"))</f>
        <v/>
      </c>
    </row>
    <row r="16">
      <c r="B16" s="17">
        <f>IF(Cadets!$B16="","",Cadets!$B16)</f>
        <v/>
      </c>
      <c r="C16" s="17">
        <f>IF($B16="","",Cadets!$F16)</f>
        <v/>
      </c>
      <c r="D16" s="17">
        <f>IF($B16="","",Cadets!$I16)</f>
        <v/>
      </c>
      <c r="E16" s="17">
        <f>IF($B16="","",SUMIFS(nrAT_Min,nrAT_PID,$B16,nrAT_Counts,"Yes",nrAT_IsPT,"No"))</f>
        <v/>
      </c>
      <c r="F16" s="17">
        <f>IF($B16="","",SUMIFS(nrAT_MadeUpMin,nrAT_PID,$B16,nrAT_Counts,"Yes",nrAT_IsPT,"No"))</f>
        <v/>
      </c>
      <c r="G16" s="17">
        <f>IF($B16="","",MAX(0,$E16-$F16))</f>
        <v/>
      </c>
      <c r="H16" s="17">
        <f>IF($B16="","",cfgMakeupAdvisoryMin)</f>
        <v/>
      </c>
      <c r="I16" s="42">
        <f>IF($B16="","",MAX(0,$E16-$F16))</f>
        <v/>
      </c>
      <c r="J16" s="17">
        <f>IF($B16="","",IF($I16=0,"OK",IF($I16&gt;=cfgMakeupCriticalMin,"CRITICAL",IF($I16&gt;=cfgMakeupAdvisoryMin,"Advisory","Owes time"))))</f>
        <v/>
      </c>
      <c r="K16" s="17">
        <f>IF($B16="","",IF($I16=0,"Yes","No"))</f>
        <v/>
      </c>
      <c r="L16" s="17">
        <f>IF($B16="","",MAX(0,$E16-$F16))</f>
        <v/>
      </c>
      <c r="M16" s="17">
        <f>IF($B16="","",SUMIFS(nrAT_Sess,nrAT_PID,$B16,nrAT_Counts,"Yes",nrAT_IsPT,"Yes"))</f>
        <v/>
      </c>
      <c r="N16" s="17">
        <f>IF($B16="","",SUMIFS(nrAT_MadeUpSess,nrAT_PID,$B16,nrAT_Counts,"Yes",nrAT_IsPT,"Yes"))</f>
        <v/>
      </c>
      <c r="O16" s="17">
        <f>IF($B16="","",MAX(0,$M16-$N16))</f>
        <v/>
      </c>
      <c r="P16" s="17">
        <f>IF($B16="","",cfgPTCapSessions)</f>
        <v/>
      </c>
      <c r="Q16" s="43">
        <f>IF($B16="","",IF($P16=0,0,$O16/$P16))</f>
        <v/>
      </c>
      <c r="R16" s="17">
        <f>IF($B16="","",IF($Q16&gt;=1,"AT CAP (5 sessions)",IF($Q16&gt;=cfgAttendanceCriticalPct,"Critical",IF($Q16&gt;=cfgAttendanceAdvisoryPct,"Advisory","OK"))))</f>
        <v/>
      </c>
      <c r="S16" s="17">
        <f>IF($B16="","",IF($P16=0,"Yes",IF($O16&lt;$P16,"Yes","No")))</f>
        <v/>
      </c>
      <c r="T16" s="17">
        <f>IF($B16="","",IF(AND($L16=0,$O16=0),"Yes","No"))</f>
        <v/>
      </c>
      <c r="U16" s="17">
        <f>IF($B16="","",COUNTIFS(nrAT_PID,$B16,nrAT_Type,"Tardy"))</f>
        <v/>
      </c>
      <c r="V16" s="17">
        <f>IF($B16="","",COUNTIFS(nrAT_PID,$B16,nrAT_Type,"Absent Full Day"))</f>
        <v/>
      </c>
      <c r="W16" s="17">
        <f>IF($B16="","",COUNTIFS(nrAT_PID,$B16,nrAT_Type,"Absent Partial Day"))</f>
        <v/>
      </c>
      <c r="X16" s="17">
        <f>IF($B16="","",COUNTIFS(nrAT_PID,$B16,nrAT_Type,"PT Missed"))</f>
        <v/>
      </c>
      <c r="Y16" s="17">
        <f>IF($B16="","",COUNTIFS(nrAT_PID,$B16,nrAT_Excused,"Excused"))</f>
        <v/>
      </c>
    </row>
    <row r="17">
      <c r="B17" s="17">
        <f>IF(Cadets!$B17="","",Cadets!$B17)</f>
        <v/>
      </c>
      <c r="C17" s="17">
        <f>IF($B17="","",Cadets!$F17)</f>
        <v/>
      </c>
      <c r="D17" s="17">
        <f>IF($B17="","",Cadets!$I17)</f>
        <v/>
      </c>
      <c r="E17" s="17">
        <f>IF($B17="","",SUMIFS(nrAT_Min,nrAT_PID,$B17,nrAT_Counts,"Yes",nrAT_IsPT,"No"))</f>
        <v/>
      </c>
      <c r="F17" s="17">
        <f>IF($B17="","",SUMIFS(nrAT_MadeUpMin,nrAT_PID,$B17,nrAT_Counts,"Yes",nrAT_IsPT,"No"))</f>
        <v/>
      </c>
      <c r="G17" s="17">
        <f>IF($B17="","",MAX(0,$E17-$F17))</f>
        <v/>
      </c>
      <c r="H17" s="17">
        <f>IF($B17="","",cfgMakeupAdvisoryMin)</f>
        <v/>
      </c>
      <c r="I17" s="42">
        <f>IF($B17="","",MAX(0,$E17-$F17))</f>
        <v/>
      </c>
      <c r="J17" s="17">
        <f>IF($B17="","",IF($I17=0,"OK",IF($I17&gt;=cfgMakeupCriticalMin,"CRITICAL",IF($I17&gt;=cfgMakeupAdvisoryMin,"Advisory","Owes time"))))</f>
        <v/>
      </c>
      <c r="K17" s="17">
        <f>IF($B17="","",IF($I17=0,"Yes","No"))</f>
        <v/>
      </c>
      <c r="L17" s="17">
        <f>IF($B17="","",MAX(0,$E17-$F17))</f>
        <v/>
      </c>
      <c r="M17" s="17">
        <f>IF($B17="","",SUMIFS(nrAT_Sess,nrAT_PID,$B17,nrAT_Counts,"Yes",nrAT_IsPT,"Yes"))</f>
        <v/>
      </c>
      <c r="N17" s="17">
        <f>IF($B17="","",SUMIFS(nrAT_MadeUpSess,nrAT_PID,$B17,nrAT_Counts,"Yes",nrAT_IsPT,"Yes"))</f>
        <v/>
      </c>
      <c r="O17" s="17">
        <f>IF($B17="","",MAX(0,$M17-$N17))</f>
        <v/>
      </c>
      <c r="P17" s="17">
        <f>IF($B17="","",cfgPTCapSessions)</f>
        <v/>
      </c>
      <c r="Q17" s="43">
        <f>IF($B17="","",IF($P17=0,0,$O17/$P17))</f>
        <v/>
      </c>
      <c r="R17" s="17">
        <f>IF($B17="","",IF($Q17&gt;=1,"AT CAP (5 sessions)",IF($Q17&gt;=cfgAttendanceCriticalPct,"Critical",IF($Q17&gt;=cfgAttendanceAdvisoryPct,"Advisory","OK"))))</f>
        <v/>
      </c>
      <c r="S17" s="17">
        <f>IF($B17="","",IF($P17=0,"Yes",IF($O17&lt;$P17,"Yes","No")))</f>
        <v/>
      </c>
      <c r="T17" s="17">
        <f>IF($B17="","",IF(AND($L17=0,$O17=0),"Yes","No"))</f>
        <v/>
      </c>
      <c r="U17" s="17">
        <f>IF($B17="","",COUNTIFS(nrAT_PID,$B17,nrAT_Type,"Tardy"))</f>
        <v/>
      </c>
      <c r="V17" s="17">
        <f>IF($B17="","",COUNTIFS(nrAT_PID,$B17,nrAT_Type,"Absent Full Day"))</f>
        <v/>
      </c>
      <c r="W17" s="17">
        <f>IF($B17="","",COUNTIFS(nrAT_PID,$B17,nrAT_Type,"Absent Partial Day"))</f>
        <v/>
      </c>
      <c r="X17" s="17">
        <f>IF($B17="","",COUNTIFS(nrAT_PID,$B17,nrAT_Type,"PT Missed"))</f>
        <v/>
      </c>
      <c r="Y17" s="17">
        <f>IF($B17="","",COUNTIFS(nrAT_PID,$B17,nrAT_Excused,"Excused"))</f>
        <v/>
      </c>
    </row>
    <row r="18">
      <c r="B18" s="17">
        <f>IF(Cadets!$B18="","",Cadets!$B18)</f>
        <v/>
      </c>
      <c r="C18" s="17">
        <f>IF($B18="","",Cadets!$F18)</f>
        <v/>
      </c>
      <c r="D18" s="17">
        <f>IF($B18="","",Cadets!$I18)</f>
        <v/>
      </c>
      <c r="E18" s="17">
        <f>IF($B18="","",SUMIFS(nrAT_Min,nrAT_PID,$B18,nrAT_Counts,"Yes",nrAT_IsPT,"No"))</f>
        <v/>
      </c>
      <c r="F18" s="17">
        <f>IF($B18="","",SUMIFS(nrAT_MadeUpMin,nrAT_PID,$B18,nrAT_Counts,"Yes",nrAT_IsPT,"No"))</f>
        <v/>
      </c>
      <c r="G18" s="17">
        <f>IF($B18="","",MAX(0,$E18-$F18))</f>
        <v/>
      </c>
      <c r="H18" s="17">
        <f>IF($B18="","",cfgMakeupAdvisoryMin)</f>
        <v/>
      </c>
      <c r="I18" s="42">
        <f>IF($B18="","",MAX(0,$E18-$F18))</f>
        <v/>
      </c>
      <c r="J18" s="17">
        <f>IF($B18="","",IF($I18=0,"OK",IF($I18&gt;=cfgMakeupCriticalMin,"CRITICAL",IF($I18&gt;=cfgMakeupAdvisoryMin,"Advisory","Owes time"))))</f>
        <v/>
      </c>
      <c r="K18" s="17">
        <f>IF($B18="","",IF($I18=0,"Yes","No"))</f>
        <v/>
      </c>
      <c r="L18" s="17">
        <f>IF($B18="","",MAX(0,$E18-$F18))</f>
        <v/>
      </c>
      <c r="M18" s="17">
        <f>IF($B18="","",SUMIFS(nrAT_Sess,nrAT_PID,$B18,nrAT_Counts,"Yes",nrAT_IsPT,"Yes"))</f>
        <v/>
      </c>
      <c r="N18" s="17">
        <f>IF($B18="","",SUMIFS(nrAT_MadeUpSess,nrAT_PID,$B18,nrAT_Counts,"Yes",nrAT_IsPT,"Yes"))</f>
        <v/>
      </c>
      <c r="O18" s="17">
        <f>IF($B18="","",MAX(0,$M18-$N18))</f>
        <v/>
      </c>
      <c r="P18" s="17">
        <f>IF($B18="","",cfgPTCapSessions)</f>
        <v/>
      </c>
      <c r="Q18" s="43">
        <f>IF($B18="","",IF($P18=0,0,$O18/$P18))</f>
        <v/>
      </c>
      <c r="R18" s="17">
        <f>IF($B18="","",IF($Q18&gt;=1,"AT CAP (5 sessions)",IF($Q18&gt;=cfgAttendanceCriticalPct,"Critical",IF($Q18&gt;=cfgAttendanceAdvisoryPct,"Advisory","OK"))))</f>
        <v/>
      </c>
      <c r="S18" s="17">
        <f>IF($B18="","",IF($P18=0,"Yes",IF($O18&lt;$P18,"Yes","No")))</f>
        <v/>
      </c>
      <c r="T18" s="17">
        <f>IF($B18="","",IF(AND($L18=0,$O18=0),"Yes","No"))</f>
        <v/>
      </c>
      <c r="U18" s="17">
        <f>IF($B18="","",COUNTIFS(nrAT_PID,$B18,nrAT_Type,"Tardy"))</f>
        <v/>
      </c>
      <c r="V18" s="17">
        <f>IF($B18="","",COUNTIFS(nrAT_PID,$B18,nrAT_Type,"Absent Full Day"))</f>
        <v/>
      </c>
      <c r="W18" s="17">
        <f>IF($B18="","",COUNTIFS(nrAT_PID,$B18,nrAT_Type,"Absent Partial Day"))</f>
        <v/>
      </c>
      <c r="X18" s="17">
        <f>IF($B18="","",COUNTIFS(nrAT_PID,$B18,nrAT_Type,"PT Missed"))</f>
        <v/>
      </c>
      <c r="Y18" s="17">
        <f>IF($B18="","",COUNTIFS(nrAT_PID,$B18,nrAT_Excused,"Excused"))</f>
        <v/>
      </c>
    </row>
    <row r="19">
      <c r="B19" s="17">
        <f>IF(Cadets!$B19="","",Cadets!$B19)</f>
        <v/>
      </c>
      <c r="C19" s="17">
        <f>IF($B19="","",Cadets!$F19)</f>
        <v/>
      </c>
      <c r="D19" s="17">
        <f>IF($B19="","",Cadets!$I19)</f>
        <v/>
      </c>
      <c r="E19" s="17">
        <f>IF($B19="","",SUMIFS(nrAT_Min,nrAT_PID,$B19,nrAT_Counts,"Yes",nrAT_IsPT,"No"))</f>
        <v/>
      </c>
      <c r="F19" s="17">
        <f>IF($B19="","",SUMIFS(nrAT_MadeUpMin,nrAT_PID,$B19,nrAT_Counts,"Yes",nrAT_IsPT,"No"))</f>
        <v/>
      </c>
      <c r="G19" s="17">
        <f>IF($B19="","",MAX(0,$E19-$F19))</f>
        <v/>
      </c>
      <c r="H19" s="17">
        <f>IF($B19="","",cfgMakeupAdvisoryMin)</f>
        <v/>
      </c>
      <c r="I19" s="42">
        <f>IF($B19="","",MAX(0,$E19-$F19))</f>
        <v/>
      </c>
      <c r="J19" s="17">
        <f>IF($B19="","",IF($I19=0,"OK",IF($I19&gt;=cfgMakeupCriticalMin,"CRITICAL",IF($I19&gt;=cfgMakeupAdvisoryMin,"Advisory","Owes time"))))</f>
        <v/>
      </c>
      <c r="K19" s="17">
        <f>IF($B19="","",IF($I19=0,"Yes","No"))</f>
        <v/>
      </c>
      <c r="L19" s="17">
        <f>IF($B19="","",MAX(0,$E19-$F19))</f>
        <v/>
      </c>
      <c r="M19" s="17">
        <f>IF($B19="","",SUMIFS(nrAT_Sess,nrAT_PID,$B19,nrAT_Counts,"Yes",nrAT_IsPT,"Yes"))</f>
        <v/>
      </c>
      <c r="N19" s="17">
        <f>IF($B19="","",SUMIFS(nrAT_MadeUpSess,nrAT_PID,$B19,nrAT_Counts,"Yes",nrAT_IsPT,"Yes"))</f>
        <v/>
      </c>
      <c r="O19" s="17">
        <f>IF($B19="","",MAX(0,$M19-$N19))</f>
        <v/>
      </c>
      <c r="P19" s="17">
        <f>IF($B19="","",cfgPTCapSessions)</f>
        <v/>
      </c>
      <c r="Q19" s="43">
        <f>IF($B19="","",IF($P19=0,0,$O19/$P19))</f>
        <v/>
      </c>
      <c r="R19" s="17">
        <f>IF($B19="","",IF($Q19&gt;=1,"AT CAP (5 sessions)",IF($Q19&gt;=cfgAttendanceCriticalPct,"Critical",IF($Q19&gt;=cfgAttendanceAdvisoryPct,"Advisory","OK"))))</f>
        <v/>
      </c>
      <c r="S19" s="17">
        <f>IF($B19="","",IF($P19=0,"Yes",IF($O19&lt;$P19,"Yes","No")))</f>
        <v/>
      </c>
      <c r="T19" s="17">
        <f>IF($B19="","",IF(AND($L19=0,$O19=0),"Yes","No"))</f>
        <v/>
      </c>
      <c r="U19" s="17">
        <f>IF($B19="","",COUNTIFS(nrAT_PID,$B19,nrAT_Type,"Tardy"))</f>
        <v/>
      </c>
      <c r="V19" s="17">
        <f>IF($B19="","",COUNTIFS(nrAT_PID,$B19,nrAT_Type,"Absent Full Day"))</f>
        <v/>
      </c>
      <c r="W19" s="17">
        <f>IF($B19="","",COUNTIFS(nrAT_PID,$B19,nrAT_Type,"Absent Partial Day"))</f>
        <v/>
      </c>
      <c r="X19" s="17">
        <f>IF($B19="","",COUNTIFS(nrAT_PID,$B19,nrAT_Type,"PT Missed"))</f>
        <v/>
      </c>
      <c r="Y19" s="17">
        <f>IF($B19="","",COUNTIFS(nrAT_PID,$B19,nrAT_Excused,"Excused"))</f>
        <v/>
      </c>
    </row>
    <row r="20">
      <c r="B20" s="17">
        <f>IF(Cadets!$B20="","",Cadets!$B20)</f>
        <v/>
      </c>
      <c r="C20" s="17">
        <f>IF($B20="","",Cadets!$F20)</f>
        <v/>
      </c>
      <c r="D20" s="17">
        <f>IF($B20="","",Cadets!$I20)</f>
        <v/>
      </c>
      <c r="E20" s="17">
        <f>IF($B20="","",SUMIFS(nrAT_Min,nrAT_PID,$B20,nrAT_Counts,"Yes",nrAT_IsPT,"No"))</f>
        <v/>
      </c>
      <c r="F20" s="17">
        <f>IF($B20="","",SUMIFS(nrAT_MadeUpMin,nrAT_PID,$B20,nrAT_Counts,"Yes",nrAT_IsPT,"No"))</f>
        <v/>
      </c>
      <c r="G20" s="17">
        <f>IF($B20="","",MAX(0,$E20-$F20))</f>
        <v/>
      </c>
      <c r="H20" s="17">
        <f>IF($B20="","",cfgMakeupAdvisoryMin)</f>
        <v/>
      </c>
      <c r="I20" s="42">
        <f>IF($B20="","",MAX(0,$E20-$F20))</f>
        <v/>
      </c>
      <c r="J20" s="17">
        <f>IF($B20="","",IF($I20=0,"OK",IF($I20&gt;=cfgMakeupCriticalMin,"CRITICAL",IF($I20&gt;=cfgMakeupAdvisoryMin,"Advisory","Owes time"))))</f>
        <v/>
      </c>
      <c r="K20" s="17">
        <f>IF($B20="","",IF($I20=0,"Yes","No"))</f>
        <v/>
      </c>
      <c r="L20" s="17">
        <f>IF($B20="","",MAX(0,$E20-$F20))</f>
        <v/>
      </c>
      <c r="M20" s="17">
        <f>IF($B20="","",SUMIFS(nrAT_Sess,nrAT_PID,$B20,nrAT_Counts,"Yes",nrAT_IsPT,"Yes"))</f>
        <v/>
      </c>
      <c r="N20" s="17">
        <f>IF($B20="","",SUMIFS(nrAT_MadeUpSess,nrAT_PID,$B20,nrAT_Counts,"Yes",nrAT_IsPT,"Yes"))</f>
        <v/>
      </c>
      <c r="O20" s="17">
        <f>IF($B20="","",MAX(0,$M20-$N20))</f>
        <v/>
      </c>
      <c r="P20" s="17">
        <f>IF($B20="","",cfgPTCapSessions)</f>
        <v/>
      </c>
      <c r="Q20" s="43">
        <f>IF($B20="","",IF($P20=0,0,$O20/$P20))</f>
        <v/>
      </c>
      <c r="R20" s="17">
        <f>IF($B20="","",IF($Q20&gt;=1,"AT CAP (5 sessions)",IF($Q20&gt;=cfgAttendanceCriticalPct,"Critical",IF($Q20&gt;=cfgAttendanceAdvisoryPct,"Advisory","OK"))))</f>
        <v/>
      </c>
      <c r="S20" s="17">
        <f>IF($B20="","",IF($P20=0,"Yes",IF($O20&lt;$P20,"Yes","No")))</f>
        <v/>
      </c>
      <c r="T20" s="17">
        <f>IF($B20="","",IF(AND($L20=0,$O20=0),"Yes","No"))</f>
        <v/>
      </c>
      <c r="U20" s="17">
        <f>IF($B20="","",COUNTIFS(nrAT_PID,$B20,nrAT_Type,"Tardy"))</f>
        <v/>
      </c>
      <c r="V20" s="17">
        <f>IF($B20="","",COUNTIFS(nrAT_PID,$B20,nrAT_Type,"Absent Full Day"))</f>
        <v/>
      </c>
      <c r="W20" s="17">
        <f>IF($B20="","",COUNTIFS(nrAT_PID,$B20,nrAT_Type,"Absent Partial Day"))</f>
        <v/>
      </c>
      <c r="X20" s="17">
        <f>IF($B20="","",COUNTIFS(nrAT_PID,$B20,nrAT_Type,"PT Missed"))</f>
        <v/>
      </c>
      <c r="Y20" s="17">
        <f>IF($B20="","",COUNTIFS(nrAT_PID,$B20,nrAT_Excused,"Excused"))</f>
        <v/>
      </c>
    </row>
    <row r="21">
      <c r="B21" s="17">
        <f>IF(Cadets!$B21="","",Cadets!$B21)</f>
        <v/>
      </c>
      <c r="C21" s="17">
        <f>IF($B21="","",Cadets!$F21)</f>
        <v/>
      </c>
      <c r="D21" s="17">
        <f>IF($B21="","",Cadets!$I21)</f>
        <v/>
      </c>
      <c r="E21" s="17">
        <f>IF($B21="","",SUMIFS(nrAT_Min,nrAT_PID,$B21,nrAT_Counts,"Yes",nrAT_IsPT,"No"))</f>
        <v/>
      </c>
      <c r="F21" s="17">
        <f>IF($B21="","",SUMIFS(nrAT_MadeUpMin,nrAT_PID,$B21,nrAT_Counts,"Yes",nrAT_IsPT,"No"))</f>
        <v/>
      </c>
      <c r="G21" s="17">
        <f>IF($B21="","",MAX(0,$E21-$F21))</f>
        <v/>
      </c>
      <c r="H21" s="17">
        <f>IF($B21="","",cfgMakeupAdvisoryMin)</f>
        <v/>
      </c>
      <c r="I21" s="42">
        <f>IF($B21="","",MAX(0,$E21-$F21))</f>
        <v/>
      </c>
      <c r="J21" s="17">
        <f>IF($B21="","",IF($I21=0,"OK",IF($I21&gt;=cfgMakeupCriticalMin,"CRITICAL",IF($I21&gt;=cfgMakeupAdvisoryMin,"Advisory","Owes time"))))</f>
        <v/>
      </c>
      <c r="K21" s="17">
        <f>IF($B21="","",IF($I21=0,"Yes","No"))</f>
        <v/>
      </c>
      <c r="L21" s="17">
        <f>IF($B21="","",MAX(0,$E21-$F21))</f>
        <v/>
      </c>
      <c r="M21" s="17">
        <f>IF($B21="","",SUMIFS(nrAT_Sess,nrAT_PID,$B21,nrAT_Counts,"Yes",nrAT_IsPT,"Yes"))</f>
        <v/>
      </c>
      <c r="N21" s="17">
        <f>IF($B21="","",SUMIFS(nrAT_MadeUpSess,nrAT_PID,$B21,nrAT_Counts,"Yes",nrAT_IsPT,"Yes"))</f>
        <v/>
      </c>
      <c r="O21" s="17">
        <f>IF($B21="","",MAX(0,$M21-$N21))</f>
        <v/>
      </c>
      <c r="P21" s="17">
        <f>IF($B21="","",cfgPTCapSessions)</f>
        <v/>
      </c>
      <c r="Q21" s="43">
        <f>IF($B21="","",IF($P21=0,0,$O21/$P21))</f>
        <v/>
      </c>
      <c r="R21" s="17">
        <f>IF($B21="","",IF($Q21&gt;=1,"AT CAP (5 sessions)",IF($Q21&gt;=cfgAttendanceCriticalPct,"Critical",IF($Q21&gt;=cfgAttendanceAdvisoryPct,"Advisory","OK"))))</f>
        <v/>
      </c>
      <c r="S21" s="17">
        <f>IF($B21="","",IF($P21=0,"Yes",IF($O21&lt;$P21,"Yes","No")))</f>
        <v/>
      </c>
      <c r="T21" s="17">
        <f>IF($B21="","",IF(AND($L21=0,$O21=0),"Yes","No"))</f>
        <v/>
      </c>
      <c r="U21" s="17">
        <f>IF($B21="","",COUNTIFS(nrAT_PID,$B21,nrAT_Type,"Tardy"))</f>
        <v/>
      </c>
      <c r="V21" s="17">
        <f>IF($B21="","",COUNTIFS(nrAT_PID,$B21,nrAT_Type,"Absent Full Day"))</f>
        <v/>
      </c>
      <c r="W21" s="17">
        <f>IF($B21="","",COUNTIFS(nrAT_PID,$B21,nrAT_Type,"Absent Partial Day"))</f>
        <v/>
      </c>
      <c r="X21" s="17">
        <f>IF($B21="","",COUNTIFS(nrAT_PID,$B21,nrAT_Type,"PT Missed"))</f>
        <v/>
      </c>
      <c r="Y21" s="17">
        <f>IF($B21="","",COUNTIFS(nrAT_PID,$B21,nrAT_Excused,"Excused"))</f>
        <v/>
      </c>
    </row>
    <row r="22">
      <c r="B22" s="17">
        <f>IF(Cadets!$B22="","",Cadets!$B22)</f>
        <v/>
      </c>
      <c r="C22" s="17">
        <f>IF($B22="","",Cadets!$F22)</f>
        <v/>
      </c>
      <c r="D22" s="17">
        <f>IF($B22="","",Cadets!$I22)</f>
        <v/>
      </c>
      <c r="E22" s="17">
        <f>IF($B22="","",SUMIFS(nrAT_Min,nrAT_PID,$B22,nrAT_Counts,"Yes",nrAT_IsPT,"No"))</f>
        <v/>
      </c>
      <c r="F22" s="17">
        <f>IF($B22="","",SUMIFS(nrAT_MadeUpMin,nrAT_PID,$B22,nrAT_Counts,"Yes",nrAT_IsPT,"No"))</f>
        <v/>
      </c>
      <c r="G22" s="17">
        <f>IF($B22="","",MAX(0,$E22-$F22))</f>
        <v/>
      </c>
      <c r="H22" s="17">
        <f>IF($B22="","",cfgMakeupAdvisoryMin)</f>
        <v/>
      </c>
      <c r="I22" s="42">
        <f>IF($B22="","",MAX(0,$E22-$F22))</f>
        <v/>
      </c>
      <c r="J22" s="17">
        <f>IF($B22="","",IF($I22=0,"OK",IF($I22&gt;=cfgMakeupCriticalMin,"CRITICAL",IF($I22&gt;=cfgMakeupAdvisoryMin,"Advisory","Owes time"))))</f>
        <v/>
      </c>
      <c r="K22" s="17">
        <f>IF($B22="","",IF($I22=0,"Yes","No"))</f>
        <v/>
      </c>
      <c r="L22" s="17">
        <f>IF($B22="","",MAX(0,$E22-$F22))</f>
        <v/>
      </c>
      <c r="M22" s="17">
        <f>IF($B22="","",SUMIFS(nrAT_Sess,nrAT_PID,$B22,nrAT_Counts,"Yes",nrAT_IsPT,"Yes"))</f>
        <v/>
      </c>
      <c r="N22" s="17">
        <f>IF($B22="","",SUMIFS(nrAT_MadeUpSess,nrAT_PID,$B22,nrAT_Counts,"Yes",nrAT_IsPT,"Yes"))</f>
        <v/>
      </c>
      <c r="O22" s="17">
        <f>IF($B22="","",MAX(0,$M22-$N22))</f>
        <v/>
      </c>
      <c r="P22" s="17">
        <f>IF($B22="","",cfgPTCapSessions)</f>
        <v/>
      </c>
      <c r="Q22" s="43">
        <f>IF($B22="","",IF($P22=0,0,$O22/$P22))</f>
        <v/>
      </c>
      <c r="R22" s="17">
        <f>IF($B22="","",IF($Q22&gt;=1,"AT CAP (5 sessions)",IF($Q22&gt;=cfgAttendanceCriticalPct,"Critical",IF($Q22&gt;=cfgAttendanceAdvisoryPct,"Advisory","OK"))))</f>
        <v/>
      </c>
      <c r="S22" s="17">
        <f>IF($B22="","",IF($P22=0,"Yes",IF($O22&lt;$P22,"Yes","No")))</f>
        <v/>
      </c>
      <c r="T22" s="17">
        <f>IF($B22="","",IF(AND($L22=0,$O22=0),"Yes","No"))</f>
        <v/>
      </c>
      <c r="U22" s="17">
        <f>IF($B22="","",COUNTIFS(nrAT_PID,$B22,nrAT_Type,"Tardy"))</f>
        <v/>
      </c>
      <c r="V22" s="17">
        <f>IF($B22="","",COUNTIFS(nrAT_PID,$B22,nrAT_Type,"Absent Full Day"))</f>
        <v/>
      </c>
      <c r="W22" s="17">
        <f>IF($B22="","",COUNTIFS(nrAT_PID,$B22,nrAT_Type,"Absent Partial Day"))</f>
        <v/>
      </c>
      <c r="X22" s="17">
        <f>IF($B22="","",COUNTIFS(nrAT_PID,$B22,nrAT_Type,"PT Missed"))</f>
        <v/>
      </c>
      <c r="Y22" s="17">
        <f>IF($B22="","",COUNTIFS(nrAT_PID,$B22,nrAT_Excused,"Excused"))</f>
        <v/>
      </c>
    </row>
    <row r="23">
      <c r="B23" s="17">
        <f>IF(Cadets!$B23="","",Cadets!$B23)</f>
        <v/>
      </c>
      <c r="C23" s="17">
        <f>IF($B23="","",Cadets!$F23)</f>
        <v/>
      </c>
      <c r="D23" s="17">
        <f>IF($B23="","",Cadets!$I23)</f>
        <v/>
      </c>
      <c r="E23" s="17">
        <f>IF($B23="","",SUMIFS(nrAT_Min,nrAT_PID,$B23,nrAT_Counts,"Yes",nrAT_IsPT,"No"))</f>
        <v/>
      </c>
      <c r="F23" s="17">
        <f>IF($B23="","",SUMIFS(nrAT_MadeUpMin,nrAT_PID,$B23,nrAT_Counts,"Yes",nrAT_IsPT,"No"))</f>
        <v/>
      </c>
      <c r="G23" s="17">
        <f>IF($B23="","",MAX(0,$E23-$F23))</f>
        <v/>
      </c>
      <c r="H23" s="17">
        <f>IF($B23="","",cfgMakeupAdvisoryMin)</f>
        <v/>
      </c>
      <c r="I23" s="42">
        <f>IF($B23="","",MAX(0,$E23-$F23))</f>
        <v/>
      </c>
      <c r="J23" s="17">
        <f>IF($B23="","",IF($I23=0,"OK",IF($I23&gt;=cfgMakeupCriticalMin,"CRITICAL",IF($I23&gt;=cfgMakeupAdvisoryMin,"Advisory","Owes time"))))</f>
        <v/>
      </c>
      <c r="K23" s="17">
        <f>IF($B23="","",IF($I23=0,"Yes","No"))</f>
        <v/>
      </c>
      <c r="L23" s="17">
        <f>IF($B23="","",MAX(0,$E23-$F23))</f>
        <v/>
      </c>
      <c r="M23" s="17">
        <f>IF($B23="","",SUMIFS(nrAT_Sess,nrAT_PID,$B23,nrAT_Counts,"Yes",nrAT_IsPT,"Yes"))</f>
        <v/>
      </c>
      <c r="N23" s="17">
        <f>IF($B23="","",SUMIFS(nrAT_MadeUpSess,nrAT_PID,$B23,nrAT_Counts,"Yes",nrAT_IsPT,"Yes"))</f>
        <v/>
      </c>
      <c r="O23" s="17">
        <f>IF($B23="","",MAX(0,$M23-$N23))</f>
        <v/>
      </c>
      <c r="P23" s="17">
        <f>IF($B23="","",cfgPTCapSessions)</f>
        <v/>
      </c>
      <c r="Q23" s="43">
        <f>IF($B23="","",IF($P23=0,0,$O23/$P23))</f>
        <v/>
      </c>
      <c r="R23" s="17">
        <f>IF($B23="","",IF($Q23&gt;=1,"AT CAP (5 sessions)",IF($Q23&gt;=cfgAttendanceCriticalPct,"Critical",IF($Q23&gt;=cfgAttendanceAdvisoryPct,"Advisory","OK"))))</f>
        <v/>
      </c>
      <c r="S23" s="17">
        <f>IF($B23="","",IF($P23=0,"Yes",IF($O23&lt;$P23,"Yes","No")))</f>
        <v/>
      </c>
      <c r="T23" s="17">
        <f>IF($B23="","",IF(AND($L23=0,$O23=0),"Yes","No"))</f>
        <v/>
      </c>
      <c r="U23" s="17">
        <f>IF($B23="","",COUNTIFS(nrAT_PID,$B23,nrAT_Type,"Tardy"))</f>
        <v/>
      </c>
      <c r="V23" s="17">
        <f>IF($B23="","",COUNTIFS(nrAT_PID,$B23,nrAT_Type,"Absent Full Day"))</f>
        <v/>
      </c>
      <c r="W23" s="17">
        <f>IF($B23="","",COUNTIFS(nrAT_PID,$B23,nrAT_Type,"Absent Partial Day"))</f>
        <v/>
      </c>
      <c r="X23" s="17">
        <f>IF($B23="","",COUNTIFS(nrAT_PID,$B23,nrAT_Type,"PT Missed"))</f>
        <v/>
      </c>
      <c r="Y23" s="17">
        <f>IF($B23="","",COUNTIFS(nrAT_PID,$B23,nrAT_Excused,"Excused"))</f>
        <v/>
      </c>
    </row>
    <row r="24">
      <c r="B24" s="17">
        <f>IF(Cadets!$B24="","",Cadets!$B24)</f>
        <v/>
      </c>
      <c r="C24" s="17">
        <f>IF($B24="","",Cadets!$F24)</f>
        <v/>
      </c>
      <c r="D24" s="17">
        <f>IF($B24="","",Cadets!$I24)</f>
        <v/>
      </c>
      <c r="E24" s="17">
        <f>IF($B24="","",SUMIFS(nrAT_Min,nrAT_PID,$B24,nrAT_Counts,"Yes",nrAT_IsPT,"No"))</f>
        <v/>
      </c>
      <c r="F24" s="17">
        <f>IF($B24="","",SUMIFS(nrAT_MadeUpMin,nrAT_PID,$B24,nrAT_Counts,"Yes",nrAT_IsPT,"No"))</f>
        <v/>
      </c>
      <c r="G24" s="17">
        <f>IF($B24="","",MAX(0,$E24-$F24))</f>
        <v/>
      </c>
      <c r="H24" s="17">
        <f>IF($B24="","",cfgMakeupAdvisoryMin)</f>
        <v/>
      </c>
      <c r="I24" s="42">
        <f>IF($B24="","",MAX(0,$E24-$F24))</f>
        <v/>
      </c>
      <c r="J24" s="17">
        <f>IF($B24="","",IF($I24=0,"OK",IF($I24&gt;=cfgMakeupCriticalMin,"CRITICAL",IF($I24&gt;=cfgMakeupAdvisoryMin,"Advisory","Owes time"))))</f>
        <v/>
      </c>
      <c r="K24" s="17">
        <f>IF($B24="","",IF($I24=0,"Yes","No"))</f>
        <v/>
      </c>
      <c r="L24" s="17">
        <f>IF($B24="","",MAX(0,$E24-$F24))</f>
        <v/>
      </c>
      <c r="M24" s="17">
        <f>IF($B24="","",SUMIFS(nrAT_Sess,nrAT_PID,$B24,nrAT_Counts,"Yes",nrAT_IsPT,"Yes"))</f>
        <v/>
      </c>
      <c r="N24" s="17">
        <f>IF($B24="","",SUMIFS(nrAT_MadeUpSess,nrAT_PID,$B24,nrAT_Counts,"Yes",nrAT_IsPT,"Yes"))</f>
        <v/>
      </c>
      <c r="O24" s="17">
        <f>IF($B24="","",MAX(0,$M24-$N24))</f>
        <v/>
      </c>
      <c r="P24" s="17">
        <f>IF($B24="","",cfgPTCapSessions)</f>
        <v/>
      </c>
      <c r="Q24" s="43">
        <f>IF($B24="","",IF($P24=0,0,$O24/$P24))</f>
        <v/>
      </c>
      <c r="R24" s="17">
        <f>IF($B24="","",IF($Q24&gt;=1,"AT CAP (5 sessions)",IF($Q24&gt;=cfgAttendanceCriticalPct,"Critical",IF($Q24&gt;=cfgAttendanceAdvisoryPct,"Advisory","OK"))))</f>
        <v/>
      </c>
      <c r="S24" s="17">
        <f>IF($B24="","",IF($P24=0,"Yes",IF($O24&lt;$P24,"Yes","No")))</f>
        <v/>
      </c>
      <c r="T24" s="17">
        <f>IF($B24="","",IF(AND($L24=0,$O24=0),"Yes","No"))</f>
        <v/>
      </c>
      <c r="U24" s="17">
        <f>IF($B24="","",COUNTIFS(nrAT_PID,$B24,nrAT_Type,"Tardy"))</f>
        <v/>
      </c>
      <c r="V24" s="17">
        <f>IF($B24="","",COUNTIFS(nrAT_PID,$B24,nrAT_Type,"Absent Full Day"))</f>
        <v/>
      </c>
      <c r="W24" s="17">
        <f>IF($B24="","",COUNTIFS(nrAT_PID,$B24,nrAT_Type,"Absent Partial Day"))</f>
        <v/>
      </c>
      <c r="X24" s="17">
        <f>IF($B24="","",COUNTIFS(nrAT_PID,$B24,nrAT_Type,"PT Missed"))</f>
        <v/>
      </c>
      <c r="Y24" s="17">
        <f>IF($B24="","",COUNTIFS(nrAT_PID,$B24,nrAT_Excused,"Excused"))</f>
        <v/>
      </c>
    </row>
    <row r="25">
      <c r="B25" s="17">
        <f>IF(Cadets!$B25="","",Cadets!$B25)</f>
        <v/>
      </c>
      <c r="C25" s="17">
        <f>IF($B25="","",Cadets!$F25)</f>
        <v/>
      </c>
      <c r="D25" s="17">
        <f>IF($B25="","",Cadets!$I25)</f>
        <v/>
      </c>
      <c r="E25" s="17">
        <f>IF($B25="","",SUMIFS(nrAT_Min,nrAT_PID,$B25,nrAT_Counts,"Yes",nrAT_IsPT,"No"))</f>
        <v/>
      </c>
      <c r="F25" s="17">
        <f>IF($B25="","",SUMIFS(nrAT_MadeUpMin,nrAT_PID,$B25,nrAT_Counts,"Yes",nrAT_IsPT,"No"))</f>
        <v/>
      </c>
      <c r="G25" s="17">
        <f>IF($B25="","",MAX(0,$E25-$F25))</f>
        <v/>
      </c>
      <c r="H25" s="17">
        <f>IF($B25="","",cfgMakeupAdvisoryMin)</f>
        <v/>
      </c>
      <c r="I25" s="42">
        <f>IF($B25="","",MAX(0,$E25-$F25))</f>
        <v/>
      </c>
      <c r="J25" s="17">
        <f>IF($B25="","",IF($I25=0,"OK",IF($I25&gt;=cfgMakeupCriticalMin,"CRITICAL",IF($I25&gt;=cfgMakeupAdvisoryMin,"Advisory","Owes time"))))</f>
        <v/>
      </c>
      <c r="K25" s="17">
        <f>IF($B25="","",IF($I25=0,"Yes","No"))</f>
        <v/>
      </c>
      <c r="L25" s="17">
        <f>IF($B25="","",MAX(0,$E25-$F25))</f>
        <v/>
      </c>
      <c r="M25" s="17">
        <f>IF($B25="","",SUMIFS(nrAT_Sess,nrAT_PID,$B25,nrAT_Counts,"Yes",nrAT_IsPT,"Yes"))</f>
        <v/>
      </c>
      <c r="N25" s="17">
        <f>IF($B25="","",SUMIFS(nrAT_MadeUpSess,nrAT_PID,$B25,nrAT_Counts,"Yes",nrAT_IsPT,"Yes"))</f>
        <v/>
      </c>
      <c r="O25" s="17">
        <f>IF($B25="","",MAX(0,$M25-$N25))</f>
        <v/>
      </c>
      <c r="P25" s="17">
        <f>IF($B25="","",cfgPTCapSessions)</f>
        <v/>
      </c>
      <c r="Q25" s="43">
        <f>IF($B25="","",IF($P25=0,0,$O25/$P25))</f>
        <v/>
      </c>
      <c r="R25" s="17">
        <f>IF($B25="","",IF($Q25&gt;=1,"AT CAP (5 sessions)",IF($Q25&gt;=cfgAttendanceCriticalPct,"Critical",IF($Q25&gt;=cfgAttendanceAdvisoryPct,"Advisory","OK"))))</f>
        <v/>
      </c>
      <c r="S25" s="17">
        <f>IF($B25="","",IF($P25=0,"Yes",IF($O25&lt;$P25,"Yes","No")))</f>
        <v/>
      </c>
      <c r="T25" s="17">
        <f>IF($B25="","",IF(AND($L25=0,$O25=0),"Yes","No"))</f>
        <v/>
      </c>
      <c r="U25" s="17">
        <f>IF($B25="","",COUNTIFS(nrAT_PID,$B25,nrAT_Type,"Tardy"))</f>
        <v/>
      </c>
      <c r="V25" s="17">
        <f>IF($B25="","",COUNTIFS(nrAT_PID,$B25,nrAT_Type,"Absent Full Day"))</f>
        <v/>
      </c>
      <c r="W25" s="17">
        <f>IF($B25="","",COUNTIFS(nrAT_PID,$B25,nrAT_Type,"Absent Partial Day"))</f>
        <v/>
      </c>
      <c r="X25" s="17">
        <f>IF($B25="","",COUNTIFS(nrAT_PID,$B25,nrAT_Type,"PT Missed"))</f>
        <v/>
      </c>
      <c r="Y25" s="17">
        <f>IF($B25="","",COUNTIFS(nrAT_PID,$B25,nrAT_Excused,"Excused"))</f>
        <v/>
      </c>
    </row>
    <row r="26">
      <c r="B26" s="17">
        <f>IF(Cadets!$B26="","",Cadets!$B26)</f>
        <v/>
      </c>
      <c r="C26" s="17">
        <f>IF($B26="","",Cadets!$F26)</f>
        <v/>
      </c>
      <c r="D26" s="17">
        <f>IF($B26="","",Cadets!$I26)</f>
        <v/>
      </c>
      <c r="E26" s="17">
        <f>IF($B26="","",SUMIFS(nrAT_Min,nrAT_PID,$B26,nrAT_Counts,"Yes",nrAT_IsPT,"No"))</f>
        <v/>
      </c>
      <c r="F26" s="17">
        <f>IF($B26="","",SUMIFS(nrAT_MadeUpMin,nrAT_PID,$B26,nrAT_Counts,"Yes",nrAT_IsPT,"No"))</f>
        <v/>
      </c>
      <c r="G26" s="17">
        <f>IF($B26="","",MAX(0,$E26-$F26))</f>
        <v/>
      </c>
      <c r="H26" s="17">
        <f>IF($B26="","",cfgMakeupAdvisoryMin)</f>
        <v/>
      </c>
      <c r="I26" s="42">
        <f>IF($B26="","",MAX(0,$E26-$F26))</f>
        <v/>
      </c>
      <c r="J26" s="17">
        <f>IF($B26="","",IF($I26=0,"OK",IF($I26&gt;=cfgMakeupCriticalMin,"CRITICAL",IF($I26&gt;=cfgMakeupAdvisoryMin,"Advisory","Owes time"))))</f>
        <v/>
      </c>
      <c r="K26" s="17">
        <f>IF($B26="","",IF($I26=0,"Yes","No"))</f>
        <v/>
      </c>
      <c r="L26" s="17">
        <f>IF($B26="","",MAX(0,$E26-$F26))</f>
        <v/>
      </c>
      <c r="M26" s="17">
        <f>IF($B26="","",SUMIFS(nrAT_Sess,nrAT_PID,$B26,nrAT_Counts,"Yes",nrAT_IsPT,"Yes"))</f>
        <v/>
      </c>
      <c r="N26" s="17">
        <f>IF($B26="","",SUMIFS(nrAT_MadeUpSess,nrAT_PID,$B26,nrAT_Counts,"Yes",nrAT_IsPT,"Yes"))</f>
        <v/>
      </c>
      <c r="O26" s="17">
        <f>IF($B26="","",MAX(0,$M26-$N26))</f>
        <v/>
      </c>
      <c r="P26" s="17">
        <f>IF($B26="","",cfgPTCapSessions)</f>
        <v/>
      </c>
      <c r="Q26" s="43">
        <f>IF($B26="","",IF($P26=0,0,$O26/$P26))</f>
        <v/>
      </c>
      <c r="R26" s="17">
        <f>IF($B26="","",IF($Q26&gt;=1,"AT CAP (5 sessions)",IF($Q26&gt;=cfgAttendanceCriticalPct,"Critical",IF($Q26&gt;=cfgAttendanceAdvisoryPct,"Advisory","OK"))))</f>
        <v/>
      </c>
      <c r="S26" s="17">
        <f>IF($B26="","",IF($P26=0,"Yes",IF($O26&lt;$P26,"Yes","No")))</f>
        <v/>
      </c>
      <c r="T26" s="17">
        <f>IF($B26="","",IF(AND($L26=0,$O26=0),"Yes","No"))</f>
        <v/>
      </c>
      <c r="U26" s="17">
        <f>IF($B26="","",COUNTIFS(nrAT_PID,$B26,nrAT_Type,"Tardy"))</f>
        <v/>
      </c>
      <c r="V26" s="17">
        <f>IF($B26="","",COUNTIFS(nrAT_PID,$B26,nrAT_Type,"Absent Full Day"))</f>
        <v/>
      </c>
      <c r="W26" s="17">
        <f>IF($B26="","",COUNTIFS(nrAT_PID,$B26,nrAT_Type,"Absent Partial Day"))</f>
        <v/>
      </c>
      <c r="X26" s="17">
        <f>IF($B26="","",COUNTIFS(nrAT_PID,$B26,nrAT_Type,"PT Missed"))</f>
        <v/>
      </c>
      <c r="Y26" s="17">
        <f>IF($B26="","",COUNTIFS(nrAT_PID,$B26,nrAT_Excused,"Excused"))</f>
        <v/>
      </c>
    </row>
    <row r="27">
      <c r="B27" s="17">
        <f>IF(Cadets!$B27="","",Cadets!$B27)</f>
        <v/>
      </c>
      <c r="C27" s="17">
        <f>IF($B27="","",Cadets!$F27)</f>
        <v/>
      </c>
      <c r="D27" s="17">
        <f>IF($B27="","",Cadets!$I27)</f>
        <v/>
      </c>
      <c r="E27" s="17">
        <f>IF($B27="","",SUMIFS(nrAT_Min,nrAT_PID,$B27,nrAT_Counts,"Yes",nrAT_IsPT,"No"))</f>
        <v/>
      </c>
      <c r="F27" s="17">
        <f>IF($B27="","",SUMIFS(nrAT_MadeUpMin,nrAT_PID,$B27,nrAT_Counts,"Yes",nrAT_IsPT,"No"))</f>
        <v/>
      </c>
      <c r="G27" s="17">
        <f>IF($B27="","",MAX(0,$E27-$F27))</f>
        <v/>
      </c>
      <c r="H27" s="17">
        <f>IF($B27="","",cfgMakeupAdvisoryMin)</f>
        <v/>
      </c>
      <c r="I27" s="42">
        <f>IF($B27="","",MAX(0,$E27-$F27))</f>
        <v/>
      </c>
      <c r="J27" s="17">
        <f>IF($B27="","",IF($I27=0,"OK",IF($I27&gt;=cfgMakeupCriticalMin,"CRITICAL",IF($I27&gt;=cfgMakeupAdvisoryMin,"Advisory","Owes time"))))</f>
        <v/>
      </c>
      <c r="K27" s="17">
        <f>IF($B27="","",IF($I27=0,"Yes","No"))</f>
        <v/>
      </c>
      <c r="L27" s="17">
        <f>IF($B27="","",MAX(0,$E27-$F27))</f>
        <v/>
      </c>
      <c r="M27" s="17">
        <f>IF($B27="","",SUMIFS(nrAT_Sess,nrAT_PID,$B27,nrAT_Counts,"Yes",nrAT_IsPT,"Yes"))</f>
        <v/>
      </c>
      <c r="N27" s="17">
        <f>IF($B27="","",SUMIFS(nrAT_MadeUpSess,nrAT_PID,$B27,nrAT_Counts,"Yes",nrAT_IsPT,"Yes"))</f>
        <v/>
      </c>
      <c r="O27" s="17">
        <f>IF($B27="","",MAX(0,$M27-$N27))</f>
        <v/>
      </c>
      <c r="P27" s="17">
        <f>IF($B27="","",cfgPTCapSessions)</f>
        <v/>
      </c>
      <c r="Q27" s="43">
        <f>IF($B27="","",IF($P27=0,0,$O27/$P27))</f>
        <v/>
      </c>
      <c r="R27" s="17">
        <f>IF($B27="","",IF($Q27&gt;=1,"AT CAP (5 sessions)",IF($Q27&gt;=cfgAttendanceCriticalPct,"Critical",IF($Q27&gt;=cfgAttendanceAdvisoryPct,"Advisory","OK"))))</f>
        <v/>
      </c>
      <c r="S27" s="17">
        <f>IF($B27="","",IF($P27=0,"Yes",IF($O27&lt;$P27,"Yes","No")))</f>
        <v/>
      </c>
      <c r="T27" s="17">
        <f>IF($B27="","",IF(AND($L27=0,$O27=0),"Yes","No"))</f>
        <v/>
      </c>
      <c r="U27" s="17">
        <f>IF($B27="","",COUNTIFS(nrAT_PID,$B27,nrAT_Type,"Tardy"))</f>
        <v/>
      </c>
      <c r="V27" s="17">
        <f>IF($B27="","",COUNTIFS(nrAT_PID,$B27,nrAT_Type,"Absent Full Day"))</f>
        <v/>
      </c>
      <c r="W27" s="17">
        <f>IF($B27="","",COUNTIFS(nrAT_PID,$B27,nrAT_Type,"Absent Partial Day"))</f>
        <v/>
      </c>
      <c r="X27" s="17">
        <f>IF($B27="","",COUNTIFS(nrAT_PID,$B27,nrAT_Type,"PT Missed"))</f>
        <v/>
      </c>
      <c r="Y27" s="17">
        <f>IF($B27="","",COUNTIFS(nrAT_PID,$B27,nrAT_Excused,"Excused"))</f>
        <v/>
      </c>
    </row>
    <row r="28">
      <c r="B28" s="17">
        <f>IF(Cadets!$B28="","",Cadets!$B28)</f>
        <v/>
      </c>
      <c r="C28" s="17">
        <f>IF($B28="","",Cadets!$F28)</f>
        <v/>
      </c>
      <c r="D28" s="17">
        <f>IF($B28="","",Cadets!$I28)</f>
        <v/>
      </c>
      <c r="E28" s="17">
        <f>IF($B28="","",SUMIFS(nrAT_Min,nrAT_PID,$B28,nrAT_Counts,"Yes",nrAT_IsPT,"No"))</f>
        <v/>
      </c>
      <c r="F28" s="17">
        <f>IF($B28="","",SUMIFS(nrAT_MadeUpMin,nrAT_PID,$B28,nrAT_Counts,"Yes",nrAT_IsPT,"No"))</f>
        <v/>
      </c>
      <c r="G28" s="17">
        <f>IF($B28="","",MAX(0,$E28-$F28))</f>
        <v/>
      </c>
      <c r="H28" s="17">
        <f>IF($B28="","",cfgMakeupAdvisoryMin)</f>
        <v/>
      </c>
      <c r="I28" s="42">
        <f>IF($B28="","",MAX(0,$E28-$F28))</f>
        <v/>
      </c>
      <c r="J28" s="17">
        <f>IF($B28="","",IF($I28=0,"OK",IF($I28&gt;=cfgMakeupCriticalMin,"CRITICAL",IF($I28&gt;=cfgMakeupAdvisoryMin,"Advisory","Owes time"))))</f>
        <v/>
      </c>
      <c r="K28" s="17">
        <f>IF($B28="","",IF($I28=0,"Yes","No"))</f>
        <v/>
      </c>
      <c r="L28" s="17">
        <f>IF($B28="","",MAX(0,$E28-$F28))</f>
        <v/>
      </c>
      <c r="M28" s="17">
        <f>IF($B28="","",SUMIFS(nrAT_Sess,nrAT_PID,$B28,nrAT_Counts,"Yes",nrAT_IsPT,"Yes"))</f>
        <v/>
      </c>
      <c r="N28" s="17">
        <f>IF($B28="","",SUMIFS(nrAT_MadeUpSess,nrAT_PID,$B28,nrAT_Counts,"Yes",nrAT_IsPT,"Yes"))</f>
        <v/>
      </c>
      <c r="O28" s="17">
        <f>IF($B28="","",MAX(0,$M28-$N28))</f>
        <v/>
      </c>
      <c r="P28" s="17">
        <f>IF($B28="","",cfgPTCapSessions)</f>
        <v/>
      </c>
      <c r="Q28" s="43">
        <f>IF($B28="","",IF($P28=0,0,$O28/$P28))</f>
        <v/>
      </c>
      <c r="R28" s="17">
        <f>IF($B28="","",IF($Q28&gt;=1,"AT CAP (5 sessions)",IF($Q28&gt;=cfgAttendanceCriticalPct,"Critical",IF($Q28&gt;=cfgAttendanceAdvisoryPct,"Advisory","OK"))))</f>
        <v/>
      </c>
      <c r="S28" s="17">
        <f>IF($B28="","",IF($P28=0,"Yes",IF($O28&lt;$P28,"Yes","No")))</f>
        <v/>
      </c>
      <c r="T28" s="17">
        <f>IF($B28="","",IF(AND($L28=0,$O28=0),"Yes","No"))</f>
        <v/>
      </c>
      <c r="U28" s="17">
        <f>IF($B28="","",COUNTIFS(nrAT_PID,$B28,nrAT_Type,"Tardy"))</f>
        <v/>
      </c>
      <c r="V28" s="17">
        <f>IF($B28="","",COUNTIFS(nrAT_PID,$B28,nrAT_Type,"Absent Full Day"))</f>
        <v/>
      </c>
      <c r="W28" s="17">
        <f>IF($B28="","",COUNTIFS(nrAT_PID,$B28,nrAT_Type,"Absent Partial Day"))</f>
        <v/>
      </c>
      <c r="X28" s="17">
        <f>IF($B28="","",COUNTIFS(nrAT_PID,$B28,nrAT_Type,"PT Missed"))</f>
        <v/>
      </c>
      <c r="Y28" s="17">
        <f>IF($B28="","",COUNTIFS(nrAT_PID,$B28,nrAT_Excused,"Excused"))</f>
        <v/>
      </c>
    </row>
    <row r="29">
      <c r="B29" s="17">
        <f>IF(Cadets!$B29="","",Cadets!$B29)</f>
        <v/>
      </c>
      <c r="C29" s="17">
        <f>IF($B29="","",Cadets!$F29)</f>
        <v/>
      </c>
      <c r="D29" s="17">
        <f>IF($B29="","",Cadets!$I29)</f>
        <v/>
      </c>
      <c r="E29" s="17">
        <f>IF($B29="","",SUMIFS(nrAT_Min,nrAT_PID,$B29,nrAT_Counts,"Yes",nrAT_IsPT,"No"))</f>
        <v/>
      </c>
      <c r="F29" s="17">
        <f>IF($B29="","",SUMIFS(nrAT_MadeUpMin,nrAT_PID,$B29,nrAT_Counts,"Yes",nrAT_IsPT,"No"))</f>
        <v/>
      </c>
      <c r="G29" s="17">
        <f>IF($B29="","",MAX(0,$E29-$F29))</f>
        <v/>
      </c>
      <c r="H29" s="17">
        <f>IF($B29="","",cfgMakeupAdvisoryMin)</f>
        <v/>
      </c>
      <c r="I29" s="42">
        <f>IF($B29="","",MAX(0,$E29-$F29))</f>
        <v/>
      </c>
      <c r="J29" s="17">
        <f>IF($B29="","",IF($I29=0,"OK",IF($I29&gt;=cfgMakeupCriticalMin,"CRITICAL",IF($I29&gt;=cfgMakeupAdvisoryMin,"Advisory","Owes time"))))</f>
        <v/>
      </c>
      <c r="K29" s="17">
        <f>IF($B29="","",IF($I29=0,"Yes","No"))</f>
        <v/>
      </c>
      <c r="L29" s="17">
        <f>IF($B29="","",MAX(0,$E29-$F29))</f>
        <v/>
      </c>
      <c r="M29" s="17">
        <f>IF($B29="","",SUMIFS(nrAT_Sess,nrAT_PID,$B29,nrAT_Counts,"Yes",nrAT_IsPT,"Yes"))</f>
        <v/>
      </c>
      <c r="N29" s="17">
        <f>IF($B29="","",SUMIFS(nrAT_MadeUpSess,nrAT_PID,$B29,nrAT_Counts,"Yes",nrAT_IsPT,"Yes"))</f>
        <v/>
      </c>
      <c r="O29" s="17">
        <f>IF($B29="","",MAX(0,$M29-$N29))</f>
        <v/>
      </c>
      <c r="P29" s="17">
        <f>IF($B29="","",cfgPTCapSessions)</f>
        <v/>
      </c>
      <c r="Q29" s="43">
        <f>IF($B29="","",IF($P29=0,0,$O29/$P29))</f>
        <v/>
      </c>
      <c r="R29" s="17">
        <f>IF($B29="","",IF($Q29&gt;=1,"AT CAP (5 sessions)",IF($Q29&gt;=cfgAttendanceCriticalPct,"Critical",IF($Q29&gt;=cfgAttendanceAdvisoryPct,"Advisory","OK"))))</f>
        <v/>
      </c>
      <c r="S29" s="17">
        <f>IF($B29="","",IF($P29=0,"Yes",IF($O29&lt;$P29,"Yes","No")))</f>
        <v/>
      </c>
      <c r="T29" s="17">
        <f>IF($B29="","",IF(AND($L29=0,$O29=0),"Yes","No"))</f>
        <v/>
      </c>
      <c r="U29" s="17">
        <f>IF($B29="","",COUNTIFS(nrAT_PID,$B29,nrAT_Type,"Tardy"))</f>
        <v/>
      </c>
      <c r="V29" s="17">
        <f>IF($B29="","",COUNTIFS(nrAT_PID,$B29,nrAT_Type,"Absent Full Day"))</f>
        <v/>
      </c>
      <c r="W29" s="17">
        <f>IF($B29="","",COUNTIFS(nrAT_PID,$B29,nrAT_Type,"Absent Partial Day"))</f>
        <v/>
      </c>
      <c r="X29" s="17">
        <f>IF($B29="","",COUNTIFS(nrAT_PID,$B29,nrAT_Type,"PT Missed"))</f>
        <v/>
      </c>
      <c r="Y29" s="17">
        <f>IF($B29="","",COUNTIFS(nrAT_PID,$B29,nrAT_Excused,"Excused"))</f>
        <v/>
      </c>
    </row>
    <row r="30">
      <c r="B30" s="17">
        <f>IF(Cadets!$B30="","",Cadets!$B30)</f>
        <v/>
      </c>
      <c r="C30" s="17">
        <f>IF($B30="","",Cadets!$F30)</f>
        <v/>
      </c>
      <c r="D30" s="17">
        <f>IF($B30="","",Cadets!$I30)</f>
        <v/>
      </c>
      <c r="E30" s="17">
        <f>IF($B30="","",SUMIFS(nrAT_Min,nrAT_PID,$B30,nrAT_Counts,"Yes",nrAT_IsPT,"No"))</f>
        <v/>
      </c>
      <c r="F30" s="17">
        <f>IF($B30="","",SUMIFS(nrAT_MadeUpMin,nrAT_PID,$B30,nrAT_Counts,"Yes",nrAT_IsPT,"No"))</f>
        <v/>
      </c>
      <c r="G30" s="17">
        <f>IF($B30="","",MAX(0,$E30-$F30))</f>
        <v/>
      </c>
      <c r="H30" s="17">
        <f>IF($B30="","",cfgMakeupAdvisoryMin)</f>
        <v/>
      </c>
      <c r="I30" s="42">
        <f>IF($B30="","",MAX(0,$E30-$F30))</f>
        <v/>
      </c>
      <c r="J30" s="17">
        <f>IF($B30="","",IF($I30=0,"OK",IF($I30&gt;=cfgMakeupCriticalMin,"CRITICAL",IF($I30&gt;=cfgMakeupAdvisoryMin,"Advisory","Owes time"))))</f>
        <v/>
      </c>
      <c r="K30" s="17">
        <f>IF($B30="","",IF($I30=0,"Yes","No"))</f>
        <v/>
      </c>
      <c r="L30" s="17">
        <f>IF($B30="","",MAX(0,$E30-$F30))</f>
        <v/>
      </c>
      <c r="M30" s="17">
        <f>IF($B30="","",SUMIFS(nrAT_Sess,nrAT_PID,$B30,nrAT_Counts,"Yes",nrAT_IsPT,"Yes"))</f>
        <v/>
      </c>
      <c r="N30" s="17">
        <f>IF($B30="","",SUMIFS(nrAT_MadeUpSess,nrAT_PID,$B30,nrAT_Counts,"Yes",nrAT_IsPT,"Yes"))</f>
        <v/>
      </c>
      <c r="O30" s="17">
        <f>IF($B30="","",MAX(0,$M30-$N30))</f>
        <v/>
      </c>
      <c r="P30" s="17">
        <f>IF($B30="","",cfgPTCapSessions)</f>
        <v/>
      </c>
      <c r="Q30" s="43">
        <f>IF($B30="","",IF($P30=0,0,$O30/$P30))</f>
        <v/>
      </c>
      <c r="R30" s="17">
        <f>IF($B30="","",IF($Q30&gt;=1,"AT CAP (5 sessions)",IF($Q30&gt;=cfgAttendanceCriticalPct,"Critical",IF($Q30&gt;=cfgAttendanceAdvisoryPct,"Advisory","OK"))))</f>
        <v/>
      </c>
      <c r="S30" s="17">
        <f>IF($B30="","",IF($P30=0,"Yes",IF($O30&lt;$P30,"Yes","No")))</f>
        <v/>
      </c>
      <c r="T30" s="17">
        <f>IF($B30="","",IF(AND($L30=0,$O30=0),"Yes","No"))</f>
        <v/>
      </c>
      <c r="U30" s="17">
        <f>IF($B30="","",COUNTIFS(nrAT_PID,$B30,nrAT_Type,"Tardy"))</f>
        <v/>
      </c>
      <c r="V30" s="17">
        <f>IF($B30="","",COUNTIFS(nrAT_PID,$B30,nrAT_Type,"Absent Full Day"))</f>
        <v/>
      </c>
      <c r="W30" s="17">
        <f>IF($B30="","",COUNTIFS(nrAT_PID,$B30,nrAT_Type,"Absent Partial Day"))</f>
        <v/>
      </c>
      <c r="X30" s="17">
        <f>IF($B30="","",COUNTIFS(nrAT_PID,$B30,nrAT_Type,"PT Missed"))</f>
        <v/>
      </c>
      <c r="Y30" s="17">
        <f>IF($B30="","",COUNTIFS(nrAT_PID,$B30,nrAT_Excused,"Excused"))</f>
        <v/>
      </c>
    </row>
    <row r="31">
      <c r="B31" s="17">
        <f>IF(Cadets!$B31="","",Cadets!$B31)</f>
        <v/>
      </c>
      <c r="C31" s="17">
        <f>IF($B31="","",Cadets!$F31)</f>
        <v/>
      </c>
      <c r="D31" s="17">
        <f>IF($B31="","",Cadets!$I31)</f>
        <v/>
      </c>
      <c r="E31" s="17">
        <f>IF($B31="","",SUMIFS(nrAT_Min,nrAT_PID,$B31,nrAT_Counts,"Yes",nrAT_IsPT,"No"))</f>
        <v/>
      </c>
      <c r="F31" s="17">
        <f>IF($B31="","",SUMIFS(nrAT_MadeUpMin,nrAT_PID,$B31,nrAT_Counts,"Yes",nrAT_IsPT,"No"))</f>
        <v/>
      </c>
      <c r="G31" s="17">
        <f>IF($B31="","",MAX(0,$E31-$F31))</f>
        <v/>
      </c>
      <c r="H31" s="17">
        <f>IF($B31="","",cfgMakeupAdvisoryMin)</f>
        <v/>
      </c>
      <c r="I31" s="42">
        <f>IF($B31="","",MAX(0,$E31-$F31))</f>
        <v/>
      </c>
      <c r="J31" s="17">
        <f>IF($B31="","",IF($I31=0,"OK",IF($I31&gt;=cfgMakeupCriticalMin,"CRITICAL",IF($I31&gt;=cfgMakeupAdvisoryMin,"Advisory","Owes time"))))</f>
        <v/>
      </c>
      <c r="K31" s="17">
        <f>IF($B31="","",IF($I31=0,"Yes","No"))</f>
        <v/>
      </c>
      <c r="L31" s="17">
        <f>IF($B31="","",MAX(0,$E31-$F31))</f>
        <v/>
      </c>
      <c r="M31" s="17">
        <f>IF($B31="","",SUMIFS(nrAT_Sess,nrAT_PID,$B31,nrAT_Counts,"Yes",nrAT_IsPT,"Yes"))</f>
        <v/>
      </c>
      <c r="N31" s="17">
        <f>IF($B31="","",SUMIFS(nrAT_MadeUpSess,nrAT_PID,$B31,nrAT_Counts,"Yes",nrAT_IsPT,"Yes"))</f>
        <v/>
      </c>
      <c r="O31" s="17">
        <f>IF($B31="","",MAX(0,$M31-$N31))</f>
        <v/>
      </c>
      <c r="P31" s="17">
        <f>IF($B31="","",cfgPTCapSessions)</f>
        <v/>
      </c>
      <c r="Q31" s="43">
        <f>IF($B31="","",IF($P31=0,0,$O31/$P31))</f>
        <v/>
      </c>
      <c r="R31" s="17">
        <f>IF($B31="","",IF($Q31&gt;=1,"AT CAP (5 sessions)",IF($Q31&gt;=cfgAttendanceCriticalPct,"Critical",IF($Q31&gt;=cfgAttendanceAdvisoryPct,"Advisory","OK"))))</f>
        <v/>
      </c>
      <c r="S31" s="17">
        <f>IF($B31="","",IF($P31=0,"Yes",IF($O31&lt;$P31,"Yes","No")))</f>
        <v/>
      </c>
      <c r="T31" s="17">
        <f>IF($B31="","",IF(AND($L31=0,$O31=0),"Yes","No"))</f>
        <v/>
      </c>
      <c r="U31" s="17">
        <f>IF($B31="","",COUNTIFS(nrAT_PID,$B31,nrAT_Type,"Tardy"))</f>
        <v/>
      </c>
      <c r="V31" s="17">
        <f>IF($B31="","",COUNTIFS(nrAT_PID,$B31,nrAT_Type,"Absent Full Day"))</f>
        <v/>
      </c>
      <c r="W31" s="17">
        <f>IF($B31="","",COUNTIFS(nrAT_PID,$B31,nrAT_Type,"Absent Partial Day"))</f>
        <v/>
      </c>
      <c r="X31" s="17">
        <f>IF($B31="","",COUNTIFS(nrAT_PID,$B31,nrAT_Type,"PT Missed"))</f>
        <v/>
      </c>
      <c r="Y31" s="17">
        <f>IF($B31="","",COUNTIFS(nrAT_PID,$B31,nrAT_Excused,"Excused"))</f>
        <v/>
      </c>
    </row>
    <row r="32">
      <c r="B32" s="17">
        <f>IF(Cadets!$B32="","",Cadets!$B32)</f>
        <v/>
      </c>
      <c r="C32" s="17">
        <f>IF($B32="","",Cadets!$F32)</f>
        <v/>
      </c>
      <c r="D32" s="17">
        <f>IF($B32="","",Cadets!$I32)</f>
        <v/>
      </c>
      <c r="E32" s="17">
        <f>IF($B32="","",SUMIFS(nrAT_Min,nrAT_PID,$B32,nrAT_Counts,"Yes",nrAT_IsPT,"No"))</f>
        <v/>
      </c>
      <c r="F32" s="17">
        <f>IF($B32="","",SUMIFS(nrAT_MadeUpMin,nrAT_PID,$B32,nrAT_Counts,"Yes",nrAT_IsPT,"No"))</f>
        <v/>
      </c>
      <c r="G32" s="17">
        <f>IF($B32="","",MAX(0,$E32-$F32))</f>
        <v/>
      </c>
      <c r="H32" s="17">
        <f>IF($B32="","",cfgMakeupAdvisoryMin)</f>
        <v/>
      </c>
      <c r="I32" s="42">
        <f>IF($B32="","",MAX(0,$E32-$F32))</f>
        <v/>
      </c>
      <c r="J32" s="17">
        <f>IF($B32="","",IF($I32=0,"OK",IF($I32&gt;=cfgMakeupCriticalMin,"CRITICAL",IF($I32&gt;=cfgMakeupAdvisoryMin,"Advisory","Owes time"))))</f>
        <v/>
      </c>
      <c r="K32" s="17">
        <f>IF($B32="","",IF($I32=0,"Yes","No"))</f>
        <v/>
      </c>
      <c r="L32" s="17">
        <f>IF($B32="","",MAX(0,$E32-$F32))</f>
        <v/>
      </c>
      <c r="M32" s="17">
        <f>IF($B32="","",SUMIFS(nrAT_Sess,nrAT_PID,$B32,nrAT_Counts,"Yes",nrAT_IsPT,"Yes"))</f>
        <v/>
      </c>
      <c r="N32" s="17">
        <f>IF($B32="","",SUMIFS(nrAT_MadeUpSess,nrAT_PID,$B32,nrAT_Counts,"Yes",nrAT_IsPT,"Yes"))</f>
        <v/>
      </c>
      <c r="O32" s="17">
        <f>IF($B32="","",MAX(0,$M32-$N32))</f>
        <v/>
      </c>
      <c r="P32" s="17">
        <f>IF($B32="","",cfgPTCapSessions)</f>
        <v/>
      </c>
      <c r="Q32" s="43">
        <f>IF($B32="","",IF($P32=0,0,$O32/$P32))</f>
        <v/>
      </c>
      <c r="R32" s="17">
        <f>IF($B32="","",IF($Q32&gt;=1,"AT CAP (5 sessions)",IF($Q32&gt;=cfgAttendanceCriticalPct,"Critical",IF($Q32&gt;=cfgAttendanceAdvisoryPct,"Advisory","OK"))))</f>
        <v/>
      </c>
      <c r="S32" s="17">
        <f>IF($B32="","",IF($P32=0,"Yes",IF($O32&lt;$P32,"Yes","No")))</f>
        <v/>
      </c>
      <c r="T32" s="17">
        <f>IF($B32="","",IF(AND($L32=0,$O32=0),"Yes","No"))</f>
        <v/>
      </c>
      <c r="U32" s="17">
        <f>IF($B32="","",COUNTIFS(nrAT_PID,$B32,nrAT_Type,"Tardy"))</f>
        <v/>
      </c>
      <c r="V32" s="17">
        <f>IF($B32="","",COUNTIFS(nrAT_PID,$B32,nrAT_Type,"Absent Full Day"))</f>
        <v/>
      </c>
      <c r="W32" s="17">
        <f>IF($B32="","",COUNTIFS(nrAT_PID,$B32,nrAT_Type,"Absent Partial Day"))</f>
        <v/>
      </c>
      <c r="X32" s="17">
        <f>IF($B32="","",COUNTIFS(nrAT_PID,$B32,nrAT_Type,"PT Missed"))</f>
        <v/>
      </c>
      <c r="Y32" s="17">
        <f>IF($B32="","",COUNTIFS(nrAT_PID,$B32,nrAT_Excused,"Excused"))</f>
        <v/>
      </c>
    </row>
    <row r="33">
      <c r="B33" s="17">
        <f>IF(Cadets!$B33="","",Cadets!$B33)</f>
        <v/>
      </c>
      <c r="C33" s="17">
        <f>IF($B33="","",Cadets!$F33)</f>
        <v/>
      </c>
      <c r="D33" s="17">
        <f>IF($B33="","",Cadets!$I33)</f>
        <v/>
      </c>
      <c r="E33" s="17">
        <f>IF($B33="","",SUMIFS(nrAT_Min,nrAT_PID,$B33,nrAT_Counts,"Yes",nrAT_IsPT,"No"))</f>
        <v/>
      </c>
      <c r="F33" s="17">
        <f>IF($B33="","",SUMIFS(nrAT_MadeUpMin,nrAT_PID,$B33,nrAT_Counts,"Yes",nrAT_IsPT,"No"))</f>
        <v/>
      </c>
      <c r="G33" s="17">
        <f>IF($B33="","",MAX(0,$E33-$F33))</f>
        <v/>
      </c>
      <c r="H33" s="17">
        <f>IF($B33="","",cfgMakeupAdvisoryMin)</f>
        <v/>
      </c>
      <c r="I33" s="42">
        <f>IF($B33="","",MAX(0,$E33-$F33))</f>
        <v/>
      </c>
      <c r="J33" s="17">
        <f>IF($B33="","",IF($I33=0,"OK",IF($I33&gt;=cfgMakeupCriticalMin,"CRITICAL",IF($I33&gt;=cfgMakeupAdvisoryMin,"Advisory","Owes time"))))</f>
        <v/>
      </c>
      <c r="K33" s="17">
        <f>IF($B33="","",IF($I33=0,"Yes","No"))</f>
        <v/>
      </c>
      <c r="L33" s="17">
        <f>IF($B33="","",MAX(0,$E33-$F33))</f>
        <v/>
      </c>
      <c r="M33" s="17">
        <f>IF($B33="","",SUMIFS(nrAT_Sess,nrAT_PID,$B33,nrAT_Counts,"Yes",nrAT_IsPT,"Yes"))</f>
        <v/>
      </c>
      <c r="N33" s="17">
        <f>IF($B33="","",SUMIFS(nrAT_MadeUpSess,nrAT_PID,$B33,nrAT_Counts,"Yes",nrAT_IsPT,"Yes"))</f>
        <v/>
      </c>
      <c r="O33" s="17">
        <f>IF($B33="","",MAX(0,$M33-$N33))</f>
        <v/>
      </c>
      <c r="P33" s="17">
        <f>IF($B33="","",cfgPTCapSessions)</f>
        <v/>
      </c>
      <c r="Q33" s="43">
        <f>IF($B33="","",IF($P33=0,0,$O33/$P33))</f>
        <v/>
      </c>
      <c r="R33" s="17">
        <f>IF($B33="","",IF($Q33&gt;=1,"AT CAP (5 sessions)",IF($Q33&gt;=cfgAttendanceCriticalPct,"Critical",IF($Q33&gt;=cfgAttendanceAdvisoryPct,"Advisory","OK"))))</f>
        <v/>
      </c>
      <c r="S33" s="17">
        <f>IF($B33="","",IF($P33=0,"Yes",IF($O33&lt;$P33,"Yes","No")))</f>
        <v/>
      </c>
      <c r="T33" s="17">
        <f>IF($B33="","",IF(AND($L33=0,$O33=0),"Yes","No"))</f>
        <v/>
      </c>
      <c r="U33" s="17">
        <f>IF($B33="","",COUNTIFS(nrAT_PID,$B33,nrAT_Type,"Tardy"))</f>
        <v/>
      </c>
      <c r="V33" s="17">
        <f>IF($B33="","",COUNTIFS(nrAT_PID,$B33,nrAT_Type,"Absent Full Day"))</f>
        <v/>
      </c>
      <c r="W33" s="17">
        <f>IF($B33="","",COUNTIFS(nrAT_PID,$B33,nrAT_Type,"Absent Partial Day"))</f>
        <v/>
      </c>
      <c r="X33" s="17">
        <f>IF($B33="","",COUNTIFS(nrAT_PID,$B33,nrAT_Type,"PT Missed"))</f>
        <v/>
      </c>
      <c r="Y33" s="17">
        <f>IF($B33="","",COUNTIFS(nrAT_PID,$B33,nrAT_Excused,"Excused"))</f>
        <v/>
      </c>
    </row>
    <row r="34">
      <c r="B34" s="17">
        <f>IF(Cadets!$B34="","",Cadets!$B34)</f>
        <v/>
      </c>
      <c r="C34" s="17">
        <f>IF($B34="","",Cadets!$F34)</f>
        <v/>
      </c>
      <c r="D34" s="17">
        <f>IF($B34="","",Cadets!$I34)</f>
        <v/>
      </c>
      <c r="E34" s="17">
        <f>IF($B34="","",SUMIFS(nrAT_Min,nrAT_PID,$B34,nrAT_Counts,"Yes",nrAT_IsPT,"No"))</f>
        <v/>
      </c>
      <c r="F34" s="17">
        <f>IF($B34="","",SUMIFS(nrAT_MadeUpMin,nrAT_PID,$B34,nrAT_Counts,"Yes",nrAT_IsPT,"No"))</f>
        <v/>
      </c>
      <c r="G34" s="17">
        <f>IF($B34="","",MAX(0,$E34-$F34))</f>
        <v/>
      </c>
      <c r="H34" s="17">
        <f>IF($B34="","",cfgMakeupAdvisoryMin)</f>
        <v/>
      </c>
      <c r="I34" s="42">
        <f>IF($B34="","",MAX(0,$E34-$F34))</f>
        <v/>
      </c>
      <c r="J34" s="17">
        <f>IF($B34="","",IF($I34=0,"OK",IF($I34&gt;=cfgMakeupCriticalMin,"CRITICAL",IF($I34&gt;=cfgMakeupAdvisoryMin,"Advisory","Owes time"))))</f>
        <v/>
      </c>
      <c r="K34" s="17">
        <f>IF($B34="","",IF($I34=0,"Yes","No"))</f>
        <v/>
      </c>
      <c r="L34" s="17">
        <f>IF($B34="","",MAX(0,$E34-$F34))</f>
        <v/>
      </c>
      <c r="M34" s="17">
        <f>IF($B34="","",SUMIFS(nrAT_Sess,nrAT_PID,$B34,nrAT_Counts,"Yes",nrAT_IsPT,"Yes"))</f>
        <v/>
      </c>
      <c r="N34" s="17">
        <f>IF($B34="","",SUMIFS(nrAT_MadeUpSess,nrAT_PID,$B34,nrAT_Counts,"Yes",nrAT_IsPT,"Yes"))</f>
        <v/>
      </c>
      <c r="O34" s="17">
        <f>IF($B34="","",MAX(0,$M34-$N34))</f>
        <v/>
      </c>
      <c r="P34" s="17">
        <f>IF($B34="","",cfgPTCapSessions)</f>
        <v/>
      </c>
      <c r="Q34" s="43">
        <f>IF($B34="","",IF($P34=0,0,$O34/$P34))</f>
        <v/>
      </c>
      <c r="R34" s="17">
        <f>IF($B34="","",IF($Q34&gt;=1,"AT CAP (5 sessions)",IF($Q34&gt;=cfgAttendanceCriticalPct,"Critical",IF($Q34&gt;=cfgAttendanceAdvisoryPct,"Advisory","OK"))))</f>
        <v/>
      </c>
      <c r="S34" s="17">
        <f>IF($B34="","",IF($P34=0,"Yes",IF($O34&lt;$P34,"Yes","No")))</f>
        <v/>
      </c>
      <c r="T34" s="17">
        <f>IF($B34="","",IF(AND($L34=0,$O34=0),"Yes","No"))</f>
        <v/>
      </c>
      <c r="U34" s="17">
        <f>IF($B34="","",COUNTIFS(nrAT_PID,$B34,nrAT_Type,"Tardy"))</f>
        <v/>
      </c>
      <c r="V34" s="17">
        <f>IF($B34="","",COUNTIFS(nrAT_PID,$B34,nrAT_Type,"Absent Full Day"))</f>
        <v/>
      </c>
      <c r="W34" s="17">
        <f>IF($B34="","",COUNTIFS(nrAT_PID,$B34,nrAT_Type,"Absent Partial Day"))</f>
        <v/>
      </c>
      <c r="X34" s="17">
        <f>IF($B34="","",COUNTIFS(nrAT_PID,$B34,nrAT_Type,"PT Missed"))</f>
        <v/>
      </c>
      <c r="Y34" s="17">
        <f>IF($B34="","",COUNTIFS(nrAT_PID,$B34,nrAT_Excused,"Excused"))</f>
        <v/>
      </c>
    </row>
    <row r="35">
      <c r="B35" s="17">
        <f>IF(Cadets!$B35="","",Cadets!$B35)</f>
        <v/>
      </c>
      <c r="C35" s="17">
        <f>IF($B35="","",Cadets!$F35)</f>
        <v/>
      </c>
      <c r="D35" s="17">
        <f>IF($B35="","",Cadets!$I35)</f>
        <v/>
      </c>
      <c r="E35" s="17">
        <f>IF($B35="","",SUMIFS(nrAT_Min,nrAT_PID,$B35,nrAT_Counts,"Yes",nrAT_IsPT,"No"))</f>
        <v/>
      </c>
      <c r="F35" s="17">
        <f>IF($B35="","",SUMIFS(nrAT_MadeUpMin,nrAT_PID,$B35,nrAT_Counts,"Yes",nrAT_IsPT,"No"))</f>
        <v/>
      </c>
      <c r="G35" s="17">
        <f>IF($B35="","",MAX(0,$E35-$F35))</f>
        <v/>
      </c>
      <c r="H35" s="17">
        <f>IF($B35="","",cfgMakeupAdvisoryMin)</f>
        <v/>
      </c>
      <c r="I35" s="42">
        <f>IF($B35="","",MAX(0,$E35-$F35))</f>
        <v/>
      </c>
      <c r="J35" s="17">
        <f>IF($B35="","",IF($I35=0,"OK",IF($I35&gt;=cfgMakeupCriticalMin,"CRITICAL",IF($I35&gt;=cfgMakeupAdvisoryMin,"Advisory","Owes time"))))</f>
        <v/>
      </c>
      <c r="K35" s="17">
        <f>IF($B35="","",IF($I35=0,"Yes","No"))</f>
        <v/>
      </c>
      <c r="L35" s="17">
        <f>IF($B35="","",MAX(0,$E35-$F35))</f>
        <v/>
      </c>
      <c r="M35" s="17">
        <f>IF($B35="","",SUMIFS(nrAT_Sess,nrAT_PID,$B35,nrAT_Counts,"Yes",nrAT_IsPT,"Yes"))</f>
        <v/>
      </c>
      <c r="N35" s="17">
        <f>IF($B35="","",SUMIFS(nrAT_MadeUpSess,nrAT_PID,$B35,nrAT_Counts,"Yes",nrAT_IsPT,"Yes"))</f>
        <v/>
      </c>
      <c r="O35" s="17">
        <f>IF($B35="","",MAX(0,$M35-$N35))</f>
        <v/>
      </c>
      <c r="P35" s="17">
        <f>IF($B35="","",cfgPTCapSessions)</f>
        <v/>
      </c>
      <c r="Q35" s="43">
        <f>IF($B35="","",IF($P35=0,0,$O35/$P35))</f>
        <v/>
      </c>
      <c r="R35" s="17">
        <f>IF($B35="","",IF($Q35&gt;=1,"AT CAP (5 sessions)",IF($Q35&gt;=cfgAttendanceCriticalPct,"Critical",IF($Q35&gt;=cfgAttendanceAdvisoryPct,"Advisory","OK"))))</f>
        <v/>
      </c>
      <c r="S35" s="17">
        <f>IF($B35="","",IF($P35=0,"Yes",IF($O35&lt;$P35,"Yes","No")))</f>
        <v/>
      </c>
      <c r="T35" s="17">
        <f>IF($B35="","",IF(AND($L35=0,$O35=0),"Yes","No"))</f>
        <v/>
      </c>
      <c r="U35" s="17">
        <f>IF($B35="","",COUNTIFS(nrAT_PID,$B35,nrAT_Type,"Tardy"))</f>
        <v/>
      </c>
      <c r="V35" s="17">
        <f>IF($B35="","",COUNTIFS(nrAT_PID,$B35,nrAT_Type,"Absent Full Day"))</f>
        <v/>
      </c>
      <c r="W35" s="17">
        <f>IF($B35="","",COUNTIFS(nrAT_PID,$B35,nrAT_Type,"Absent Partial Day"))</f>
        <v/>
      </c>
      <c r="X35" s="17">
        <f>IF($B35="","",COUNTIFS(nrAT_PID,$B35,nrAT_Type,"PT Missed"))</f>
        <v/>
      </c>
      <c r="Y35" s="17">
        <f>IF($B35="","",COUNTIFS(nrAT_PID,$B35,nrAT_Excused,"Excused"))</f>
        <v/>
      </c>
    </row>
    <row r="36">
      <c r="B36" s="17">
        <f>IF(Cadets!$B36="","",Cadets!$B36)</f>
        <v/>
      </c>
      <c r="C36" s="17">
        <f>IF($B36="","",Cadets!$F36)</f>
        <v/>
      </c>
      <c r="D36" s="17">
        <f>IF($B36="","",Cadets!$I36)</f>
        <v/>
      </c>
      <c r="E36" s="17">
        <f>IF($B36="","",SUMIFS(nrAT_Min,nrAT_PID,$B36,nrAT_Counts,"Yes",nrAT_IsPT,"No"))</f>
        <v/>
      </c>
      <c r="F36" s="17">
        <f>IF($B36="","",SUMIFS(nrAT_MadeUpMin,nrAT_PID,$B36,nrAT_Counts,"Yes",nrAT_IsPT,"No"))</f>
        <v/>
      </c>
      <c r="G36" s="17">
        <f>IF($B36="","",MAX(0,$E36-$F36))</f>
        <v/>
      </c>
      <c r="H36" s="17">
        <f>IF($B36="","",cfgMakeupAdvisoryMin)</f>
        <v/>
      </c>
      <c r="I36" s="42">
        <f>IF($B36="","",MAX(0,$E36-$F36))</f>
        <v/>
      </c>
      <c r="J36" s="17">
        <f>IF($B36="","",IF($I36=0,"OK",IF($I36&gt;=cfgMakeupCriticalMin,"CRITICAL",IF($I36&gt;=cfgMakeupAdvisoryMin,"Advisory","Owes time"))))</f>
        <v/>
      </c>
      <c r="K36" s="17">
        <f>IF($B36="","",IF($I36=0,"Yes","No"))</f>
        <v/>
      </c>
      <c r="L36" s="17">
        <f>IF($B36="","",MAX(0,$E36-$F36))</f>
        <v/>
      </c>
      <c r="M36" s="17">
        <f>IF($B36="","",SUMIFS(nrAT_Sess,nrAT_PID,$B36,nrAT_Counts,"Yes",nrAT_IsPT,"Yes"))</f>
        <v/>
      </c>
      <c r="N36" s="17">
        <f>IF($B36="","",SUMIFS(nrAT_MadeUpSess,nrAT_PID,$B36,nrAT_Counts,"Yes",nrAT_IsPT,"Yes"))</f>
        <v/>
      </c>
      <c r="O36" s="17">
        <f>IF($B36="","",MAX(0,$M36-$N36))</f>
        <v/>
      </c>
      <c r="P36" s="17">
        <f>IF($B36="","",cfgPTCapSessions)</f>
        <v/>
      </c>
      <c r="Q36" s="43">
        <f>IF($B36="","",IF($P36=0,0,$O36/$P36))</f>
        <v/>
      </c>
      <c r="R36" s="17">
        <f>IF($B36="","",IF($Q36&gt;=1,"AT CAP (5 sessions)",IF($Q36&gt;=cfgAttendanceCriticalPct,"Critical",IF($Q36&gt;=cfgAttendanceAdvisoryPct,"Advisory","OK"))))</f>
        <v/>
      </c>
      <c r="S36" s="17">
        <f>IF($B36="","",IF($P36=0,"Yes",IF($O36&lt;$P36,"Yes","No")))</f>
        <v/>
      </c>
      <c r="T36" s="17">
        <f>IF($B36="","",IF(AND($L36=0,$O36=0),"Yes","No"))</f>
        <v/>
      </c>
      <c r="U36" s="17">
        <f>IF($B36="","",COUNTIFS(nrAT_PID,$B36,nrAT_Type,"Tardy"))</f>
        <v/>
      </c>
      <c r="V36" s="17">
        <f>IF($B36="","",COUNTIFS(nrAT_PID,$B36,nrAT_Type,"Absent Full Day"))</f>
        <v/>
      </c>
      <c r="W36" s="17">
        <f>IF($B36="","",COUNTIFS(nrAT_PID,$B36,nrAT_Type,"Absent Partial Day"))</f>
        <v/>
      </c>
      <c r="X36" s="17">
        <f>IF($B36="","",COUNTIFS(nrAT_PID,$B36,nrAT_Type,"PT Missed"))</f>
        <v/>
      </c>
      <c r="Y36" s="17">
        <f>IF($B36="","",COUNTIFS(nrAT_PID,$B36,nrAT_Excused,"Excused"))</f>
        <v/>
      </c>
    </row>
    <row r="37">
      <c r="B37" s="17">
        <f>IF(Cadets!$B37="","",Cadets!$B37)</f>
        <v/>
      </c>
      <c r="C37" s="17">
        <f>IF($B37="","",Cadets!$F37)</f>
        <v/>
      </c>
      <c r="D37" s="17">
        <f>IF($B37="","",Cadets!$I37)</f>
        <v/>
      </c>
      <c r="E37" s="17">
        <f>IF($B37="","",SUMIFS(nrAT_Min,nrAT_PID,$B37,nrAT_Counts,"Yes",nrAT_IsPT,"No"))</f>
        <v/>
      </c>
      <c r="F37" s="17">
        <f>IF($B37="","",SUMIFS(nrAT_MadeUpMin,nrAT_PID,$B37,nrAT_Counts,"Yes",nrAT_IsPT,"No"))</f>
        <v/>
      </c>
      <c r="G37" s="17">
        <f>IF($B37="","",MAX(0,$E37-$F37))</f>
        <v/>
      </c>
      <c r="H37" s="17">
        <f>IF($B37="","",cfgMakeupAdvisoryMin)</f>
        <v/>
      </c>
      <c r="I37" s="42">
        <f>IF($B37="","",MAX(0,$E37-$F37))</f>
        <v/>
      </c>
      <c r="J37" s="17">
        <f>IF($B37="","",IF($I37=0,"OK",IF($I37&gt;=cfgMakeupCriticalMin,"CRITICAL",IF($I37&gt;=cfgMakeupAdvisoryMin,"Advisory","Owes time"))))</f>
        <v/>
      </c>
      <c r="K37" s="17">
        <f>IF($B37="","",IF($I37=0,"Yes","No"))</f>
        <v/>
      </c>
      <c r="L37" s="17">
        <f>IF($B37="","",MAX(0,$E37-$F37))</f>
        <v/>
      </c>
      <c r="M37" s="17">
        <f>IF($B37="","",SUMIFS(nrAT_Sess,nrAT_PID,$B37,nrAT_Counts,"Yes",nrAT_IsPT,"Yes"))</f>
        <v/>
      </c>
      <c r="N37" s="17">
        <f>IF($B37="","",SUMIFS(nrAT_MadeUpSess,nrAT_PID,$B37,nrAT_Counts,"Yes",nrAT_IsPT,"Yes"))</f>
        <v/>
      </c>
      <c r="O37" s="17">
        <f>IF($B37="","",MAX(0,$M37-$N37))</f>
        <v/>
      </c>
      <c r="P37" s="17">
        <f>IF($B37="","",cfgPTCapSessions)</f>
        <v/>
      </c>
      <c r="Q37" s="43">
        <f>IF($B37="","",IF($P37=0,0,$O37/$P37))</f>
        <v/>
      </c>
      <c r="R37" s="17">
        <f>IF($B37="","",IF($Q37&gt;=1,"AT CAP (5 sessions)",IF($Q37&gt;=cfgAttendanceCriticalPct,"Critical",IF($Q37&gt;=cfgAttendanceAdvisoryPct,"Advisory","OK"))))</f>
        <v/>
      </c>
      <c r="S37" s="17">
        <f>IF($B37="","",IF($P37=0,"Yes",IF($O37&lt;$P37,"Yes","No")))</f>
        <v/>
      </c>
      <c r="T37" s="17">
        <f>IF($B37="","",IF(AND($L37=0,$O37=0),"Yes","No"))</f>
        <v/>
      </c>
      <c r="U37" s="17">
        <f>IF($B37="","",COUNTIFS(nrAT_PID,$B37,nrAT_Type,"Tardy"))</f>
        <v/>
      </c>
      <c r="V37" s="17">
        <f>IF($B37="","",COUNTIFS(nrAT_PID,$B37,nrAT_Type,"Absent Full Day"))</f>
        <v/>
      </c>
      <c r="W37" s="17">
        <f>IF($B37="","",COUNTIFS(nrAT_PID,$B37,nrAT_Type,"Absent Partial Day"))</f>
        <v/>
      </c>
      <c r="X37" s="17">
        <f>IF($B37="","",COUNTIFS(nrAT_PID,$B37,nrAT_Type,"PT Missed"))</f>
        <v/>
      </c>
      <c r="Y37" s="17">
        <f>IF($B37="","",COUNTIFS(nrAT_PID,$B37,nrAT_Excused,"Excused"))</f>
        <v/>
      </c>
    </row>
    <row r="38">
      <c r="B38" s="17">
        <f>IF(Cadets!$B38="","",Cadets!$B38)</f>
        <v/>
      </c>
      <c r="C38" s="17">
        <f>IF($B38="","",Cadets!$F38)</f>
        <v/>
      </c>
      <c r="D38" s="17">
        <f>IF($B38="","",Cadets!$I38)</f>
        <v/>
      </c>
      <c r="E38" s="17">
        <f>IF($B38="","",SUMIFS(nrAT_Min,nrAT_PID,$B38,nrAT_Counts,"Yes",nrAT_IsPT,"No"))</f>
        <v/>
      </c>
      <c r="F38" s="17">
        <f>IF($B38="","",SUMIFS(nrAT_MadeUpMin,nrAT_PID,$B38,nrAT_Counts,"Yes",nrAT_IsPT,"No"))</f>
        <v/>
      </c>
      <c r="G38" s="17">
        <f>IF($B38="","",MAX(0,$E38-$F38))</f>
        <v/>
      </c>
      <c r="H38" s="17">
        <f>IF($B38="","",cfgMakeupAdvisoryMin)</f>
        <v/>
      </c>
      <c r="I38" s="42">
        <f>IF($B38="","",MAX(0,$E38-$F38))</f>
        <v/>
      </c>
      <c r="J38" s="17">
        <f>IF($B38="","",IF($I38=0,"OK",IF($I38&gt;=cfgMakeupCriticalMin,"CRITICAL",IF($I38&gt;=cfgMakeupAdvisoryMin,"Advisory","Owes time"))))</f>
        <v/>
      </c>
      <c r="K38" s="17">
        <f>IF($B38="","",IF($I38=0,"Yes","No"))</f>
        <v/>
      </c>
      <c r="L38" s="17">
        <f>IF($B38="","",MAX(0,$E38-$F38))</f>
        <v/>
      </c>
      <c r="M38" s="17">
        <f>IF($B38="","",SUMIFS(nrAT_Sess,nrAT_PID,$B38,nrAT_Counts,"Yes",nrAT_IsPT,"Yes"))</f>
        <v/>
      </c>
      <c r="N38" s="17">
        <f>IF($B38="","",SUMIFS(nrAT_MadeUpSess,nrAT_PID,$B38,nrAT_Counts,"Yes",nrAT_IsPT,"Yes"))</f>
        <v/>
      </c>
      <c r="O38" s="17">
        <f>IF($B38="","",MAX(0,$M38-$N38))</f>
        <v/>
      </c>
      <c r="P38" s="17">
        <f>IF($B38="","",cfgPTCapSessions)</f>
        <v/>
      </c>
      <c r="Q38" s="43">
        <f>IF($B38="","",IF($P38=0,0,$O38/$P38))</f>
        <v/>
      </c>
      <c r="R38" s="17">
        <f>IF($B38="","",IF($Q38&gt;=1,"AT CAP (5 sessions)",IF($Q38&gt;=cfgAttendanceCriticalPct,"Critical",IF($Q38&gt;=cfgAttendanceAdvisoryPct,"Advisory","OK"))))</f>
        <v/>
      </c>
      <c r="S38" s="17">
        <f>IF($B38="","",IF($P38=0,"Yes",IF($O38&lt;$P38,"Yes","No")))</f>
        <v/>
      </c>
      <c r="T38" s="17">
        <f>IF($B38="","",IF(AND($L38=0,$O38=0),"Yes","No"))</f>
        <v/>
      </c>
      <c r="U38" s="17">
        <f>IF($B38="","",COUNTIFS(nrAT_PID,$B38,nrAT_Type,"Tardy"))</f>
        <v/>
      </c>
      <c r="V38" s="17">
        <f>IF($B38="","",COUNTIFS(nrAT_PID,$B38,nrAT_Type,"Absent Full Day"))</f>
        <v/>
      </c>
      <c r="W38" s="17">
        <f>IF($B38="","",COUNTIFS(nrAT_PID,$B38,nrAT_Type,"Absent Partial Day"))</f>
        <v/>
      </c>
      <c r="X38" s="17">
        <f>IF($B38="","",COUNTIFS(nrAT_PID,$B38,nrAT_Type,"PT Missed"))</f>
        <v/>
      </c>
      <c r="Y38" s="17">
        <f>IF($B38="","",COUNTIFS(nrAT_PID,$B38,nrAT_Excused,"Excused"))</f>
        <v/>
      </c>
    </row>
    <row r="39">
      <c r="B39" s="17">
        <f>IF(Cadets!$B39="","",Cadets!$B39)</f>
        <v/>
      </c>
      <c r="C39" s="17">
        <f>IF($B39="","",Cadets!$F39)</f>
        <v/>
      </c>
      <c r="D39" s="17">
        <f>IF($B39="","",Cadets!$I39)</f>
        <v/>
      </c>
      <c r="E39" s="17">
        <f>IF($B39="","",SUMIFS(nrAT_Min,nrAT_PID,$B39,nrAT_Counts,"Yes",nrAT_IsPT,"No"))</f>
        <v/>
      </c>
      <c r="F39" s="17">
        <f>IF($B39="","",SUMIFS(nrAT_MadeUpMin,nrAT_PID,$B39,nrAT_Counts,"Yes",nrAT_IsPT,"No"))</f>
        <v/>
      </c>
      <c r="G39" s="17">
        <f>IF($B39="","",MAX(0,$E39-$F39))</f>
        <v/>
      </c>
      <c r="H39" s="17">
        <f>IF($B39="","",cfgMakeupAdvisoryMin)</f>
        <v/>
      </c>
      <c r="I39" s="42">
        <f>IF($B39="","",MAX(0,$E39-$F39))</f>
        <v/>
      </c>
      <c r="J39" s="17">
        <f>IF($B39="","",IF($I39=0,"OK",IF($I39&gt;=cfgMakeupCriticalMin,"CRITICAL",IF($I39&gt;=cfgMakeupAdvisoryMin,"Advisory","Owes time"))))</f>
        <v/>
      </c>
      <c r="K39" s="17">
        <f>IF($B39="","",IF($I39=0,"Yes","No"))</f>
        <v/>
      </c>
      <c r="L39" s="17">
        <f>IF($B39="","",MAX(0,$E39-$F39))</f>
        <v/>
      </c>
      <c r="M39" s="17">
        <f>IF($B39="","",SUMIFS(nrAT_Sess,nrAT_PID,$B39,nrAT_Counts,"Yes",nrAT_IsPT,"Yes"))</f>
        <v/>
      </c>
      <c r="N39" s="17">
        <f>IF($B39="","",SUMIFS(nrAT_MadeUpSess,nrAT_PID,$B39,nrAT_Counts,"Yes",nrAT_IsPT,"Yes"))</f>
        <v/>
      </c>
      <c r="O39" s="17">
        <f>IF($B39="","",MAX(0,$M39-$N39))</f>
        <v/>
      </c>
      <c r="P39" s="17">
        <f>IF($B39="","",cfgPTCapSessions)</f>
        <v/>
      </c>
      <c r="Q39" s="43">
        <f>IF($B39="","",IF($P39=0,0,$O39/$P39))</f>
        <v/>
      </c>
      <c r="R39" s="17">
        <f>IF($B39="","",IF($Q39&gt;=1,"AT CAP (5 sessions)",IF($Q39&gt;=cfgAttendanceCriticalPct,"Critical",IF($Q39&gt;=cfgAttendanceAdvisoryPct,"Advisory","OK"))))</f>
        <v/>
      </c>
      <c r="S39" s="17">
        <f>IF($B39="","",IF($P39=0,"Yes",IF($O39&lt;$P39,"Yes","No")))</f>
        <v/>
      </c>
      <c r="T39" s="17">
        <f>IF($B39="","",IF(AND($L39=0,$O39=0),"Yes","No"))</f>
        <v/>
      </c>
      <c r="U39" s="17">
        <f>IF($B39="","",COUNTIFS(nrAT_PID,$B39,nrAT_Type,"Tardy"))</f>
        <v/>
      </c>
      <c r="V39" s="17">
        <f>IF($B39="","",COUNTIFS(nrAT_PID,$B39,nrAT_Type,"Absent Full Day"))</f>
        <v/>
      </c>
      <c r="W39" s="17">
        <f>IF($B39="","",COUNTIFS(nrAT_PID,$B39,nrAT_Type,"Absent Partial Day"))</f>
        <v/>
      </c>
      <c r="X39" s="17">
        <f>IF($B39="","",COUNTIFS(nrAT_PID,$B39,nrAT_Type,"PT Missed"))</f>
        <v/>
      </c>
      <c r="Y39" s="17">
        <f>IF($B39="","",COUNTIFS(nrAT_PID,$B39,nrAT_Excused,"Excused"))</f>
        <v/>
      </c>
    </row>
    <row r="40">
      <c r="B40" s="17">
        <f>IF(Cadets!$B40="","",Cadets!$B40)</f>
        <v/>
      </c>
      <c r="C40" s="17">
        <f>IF($B40="","",Cadets!$F40)</f>
        <v/>
      </c>
      <c r="D40" s="17">
        <f>IF($B40="","",Cadets!$I40)</f>
        <v/>
      </c>
      <c r="E40" s="17">
        <f>IF($B40="","",SUMIFS(nrAT_Min,nrAT_PID,$B40,nrAT_Counts,"Yes",nrAT_IsPT,"No"))</f>
        <v/>
      </c>
      <c r="F40" s="17">
        <f>IF($B40="","",SUMIFS(nrAT_MadeUpMin,nrAT_PID,$B40,nrAT_Counts,"Yes",nrAT_IsPT,"No"))</f>
        <v/>
      </c>
      <c r="G40" s="17">
        <f>IF($B40="","",MAX(0,$E40-$F40))</f>
        <v/>
      </c>
      <c r="H40" s="17">
        <f>IF($B40="","",cfgMakeupAdvisoryMin)</f>
        <v/>
      </c>
      <c r="I40" s="42">
        <f>IF($B40="","",MAX(0,$E40-$F40))</f>
        <v/>
      </c>
      <c r="J40" s="17">
        <f>IF($B40="","",IF($I40=0,"OK",IF($I40&gt;=cfgMakeupCriticalMin,"CRITICAL",IF($I40&gt;=cfgMakeupAdvisoryMin,"Advisory","Owes time"))))</f>
        <v/>
      </c>
      <c r="K40" s="17">
        <f>IF($B40="","",IF($I40=0,"Yes","No"))</f>
        <v/>
      </c>
      <c r="L40" s="17">
        <f>IF($B40="","",MAX(0,$E40-$F40))</f>
        <v/>
      </c>
      <c r="M40" s="17">
        <f>IF($B40="","",SUMIFS(nrAT_Sess,nrAT_PID,$B40,nrAT_Counts,"Yes",nrAT_IsPT,"Yes"))</f>
        <v/>
      </c>
      <c r="N40" s="17">
        <f>IF($B40="","",SUMIFS(nrAT_MadeUpSess,nrAT_PID,$B40,nrAT_Counts,"Yes",nrAT_IsPT,"Yes"))</f>
        <v/>
      </c>
      <c r="O40" s="17">
        <f>IF($B40="","",MAX(0,$M40-$N40))</f>
        <v/>
      </c>
      <c r="P40" s="17">
        <f>IF($B40="","",cfgPTCapSessions)</f>
        <v/>
      </c>
      <c r="Q40" s="43">
        <f>IF($B40="","",IF($P40=0,0,$O40/$P40))</f>
        <v/>
      </c>
      <c r="R40" s="17">
        <f>IF($B40="","",IF($Q40&gt;=1,"AT CAP (5 sessions)",IF($Q40&gt;=cfgAttendanceCriticalPct,"Critical",IF($Q40&gt;=cfgAttendanceAdvisoryPct,"Advisory","OK"))))</f>
        <v/>
      </c>
      <c r="S40" s="17">
        <f>IF($B40="","",IF($P40=0,"Yes",IF($O40&lt;$P40,"Yes","No")))</f>
        <v/>
      </c>
      <c r="T40" s="17">
        <f>IF($B40="","",IF(AND($L40=0,$O40=0),"Yes","No"))</f>
        <v/>
      </c>
      <c r="U40" s="17">
        <f>IF($B40="","",COUNTIFS(nrAT_PID,$B40,nrAT_Type,"Tardy"))</f>
        <v/>
      </c>
      <c r="V40" s="17">
        <f>IF($B40="","",COUNTIFS(nrAT_PID,$B40,nrAT_Type,"Absent Full Day"))</f>
        <v/>
      </c>
      <c r="W40" s="17">
        <f>IF($B40="","",COUNTIFS(nrAT_PID,$B40,nrAT_Type,"Absent Partial Day"))</f>
        <v/>
      </c>
      <c r="X40" s="17">
        <f>IF($B40="","",COUNTIFS(nrAT_PID,$B40,nrAT_Type,"PT Missed"))</f>
        <v/>
      </c>
      <c r="Y40" s="17">
        <f>IF($B40="","",COUNTIFS(nrAT_PID,$B40,nrAT_Excused,"Excused"))</f>
        <v/>
      </c>
    </row>
    <row r="41">
      <c r="B41" s="17">
        <f>IF(Cadets!$B41="","",Cadets!$B41)</f>
        <v/>
      </c>
      <c r="C41" s="17">
        <f>IF($B41="","",Cadets!$F41)</f>
        <v/>
      </c>
      <c r="D41" s="17">
        <f>IF($B41="","",Cadets!$I41)</f>
        <v/>
      </c>
      <c r="E41" s="17">
        <f>IF($B41="","",SUMIFS(nrAT_Min,nrAT_PID,$B41,nrAT_Counts,"Yes",nrAT_IsPT,"No"))</f>
        <v/>
      </c>
      <c r="F41" s="17">
        <f>IF($B41="","",SUMIFS(nrAT_MadeUpMin,nrAT_PID,$B41,nrAT_Counts,"Yes",nrAT_IsPT,"No"))</f>
        <v/>
      </c>
      <c r="G41" s="17">
        <f>IF($B41="","",MAX(0,$E41-$F41))</f>
        <v/>
      </c>
      <c r="H41" s="17">
        <f>IF($B41="","",cfgMakeupAdvisoryMin)</f>
        <v/>
      </c>
      <c r="I41" s="42">
        <f>IF($B41="","",MAX(0,$E41-$F41))</f>
        <v/>
      </c>
      <c r="J41" s="17">
        <f>IF($B41="","",IF($I41=0,"OK",IF($I41&gt;=cfgMakeupCriticalMin,"CRITICAL",IF($I41&gt;=cfgMakeupAdvisoryMin,"Advisory","Owes time"))))</f>
        <v/>
      </c>
      <c r="K41" s="17">
        <f>IF($B41="","",IF($I41=0,"Yes","No"))</f>
        <v/>
      </c>
      <c r="L41" s="17">
        <f>IF($B41="","",MAX(0,$E41-$F41))</f>
        <v/>
      </c>
      <c r="M41" s="17">
        <f>IF($B41="","",SUMIFS(nrAT_Sess,nrAT_PID,$B41,nrAT_Counts,"Yes",nrAT_IsPT,"Yes"))</f>
        <v/>
      </c>
      <c r="N41" s="17">
        <f>IF($B41="","",SUMIFS(nrAT_MadeUpSess,nrAT_PID,$B41,nrAT_Counts,"Yes",nrAT_IsPT,"Yes"))</f>
        <v/>
      </c>
      <c r="O41" s="17">
        <f>IF($B41="","",MAX(0,$M41-$N41))</f>
        <v/>
      </c>
      <c r="P41" s="17">
        <f>IF($B41="","",cfgPTCapSessions)</f>
        <v/>
      </c>
      <c r="Q41" s="43">
        <f>IF($B41="","",IF($P41=0,0,$O41/$P41))</f>
        <v/>
      </c>
      <c r="R41" s="17">
        <f>IF($B41="","",IF($Q41&gt;=1,"AT CAP (5 sessions)",IF($Q41&gt;=cfgAttendanceCriticalPct,"Critical",IF($Q41&gt;=cfgAttendanceAdvisoryPct,"Advisory","OK"))))</f>
        <v/>
      </c>
      <c r="S41" s="17">
        <f>IF($B41="","",IF($P41=0,"Yes",IF($O41&lt;$P41,"Yes","No")))</f>
        <v/>
      </c>
      <c r="T41" s="17">
        <f>IF($B41="","",IF(AND($L41=0,$O41=0),"Yes","No"))</f>
        <v/>
      </c>
      <c r="U41" s="17">
        <f>IF($B41="","",COUNTIFS(nrAT_PID,$B41,nrAT_Type,"Tardy"))</f>
        <v/>
      </c>
      <c r="V41" s="17">
        <f>IF($B41="","",COUNTIFS(nrAT_PID,$B41,nrAT_Type,"Absent Full Day"))</f>
        <v/>
      </c>
      <c r="W41" s="17">
        <f>IF($B41="","",COUNTIFS(nrAT_PID,$B41,nrAT_Type,"Absent Partial Day"))</f>
        <v/>
      </c>
      <c r="X41" s="17">
        <f>IF($B41="","",COUNTIFS(nrAT_PID,$B41,nrAT_Type,"PT Missed"))</f>
        <v/>
      </c>
      <c r="Y41" s="17">
        <f>IF($B41="","",COUNTIFS(nrAT_PID,$B41,nrAT_Excused,"Excused"))</f>
        <v/>
      </c>
    </row>
    <row r="42">
      <c r="B42" s="17">
        <f>IF(Cadets!$B42="","",Cadets!$B42)</f>
        <v/>
      </c>
      <c r="C42" s="17">
        <f>IF($B42="","",Cadets!$F42)</f>
        <v/>
      </c>
      <c r="D42" s="17">
        <f>IF($B42="","",Cadets!$I42)</f>
        <v/>
      </c>
      <c r="E42" s="17">
        <f>IF($B42="","",SUMIFS(nrAT_Min,nrAT_PID,$B42,nrAT_Counts,"Yes",nrAT_IsPT,"No"))</f>
        <v/>
      </c>
      <c r="F42" s="17">
        <f>IF($B42="","",SUMIFS(nrAT_MadeUpMin,nrAT_PID,$B42,nrAT_Counts,"Yes",nrAT_IsPT,"No"))</f>
        <v/>
      </c>
      <c r="G42" s="17">
        <f>IF($B42="","",MAX(0,$E42-$F42))</f>
        <v/>
      </c>
      <c r="H42" s="17">
        <f>IF($B42="","",cfgMakeupAdvisoryMin)</f>
        <v/>
      </c>
      <c r="I42" s="42">
        <f>IF($B42="","",MAX(0,$E42-$F42))</f>
        <v/>
      </c>
      <c r="J42" s="17">
        <f>IF($B42="","",IF($I42=0,"OK",IF($I42&gt;=cfgMakeupCriticalMin,"CRITICAL",IF($I42&gt;=cfgMakeupAdvisoryMin,"Advisory","Owes time"))))</f>
        <v/>
      </c>
      <c r="K42" s="17">
        <f>IF($B42="","",IF($I42=0,"Yes","No"))</f>
        <v/>
      </c>
      <c r="L42" s="17">
        <f>IF($B42="","",MAX(0,$E42-$F42))</f>
        <v/>
      </c>
      <c r="M42" s="17">
        <f>IF($B42="","",SUMIFS(nrAT_Sess,nrAT_PID,$B42,nrAT_Counts,"Yes",nrAT_IsPT,"Yes"))</f>
        <v/>
      </c>
      <c r="N42" s="17">
        <f>IF($B42="","",SUMIFS(nrAT_MadeUpSess,nrAT_PID,$B42,nrAT_Counts,"Yes",nrAT_IsPT,"Yes"))</f>
        <v/>
      </c>
      <c r="O42" s="17">
        <f>IF($B42="","",MAX(0,$M42-$N42))</f>
        <v/>
      </c>
      <c r="P42" s="17">
        <f>IF($B42="","",cfgPTCapSessions)</f>
        <v/>
      </c>
      <c r="Q42" s="43">
        <f>IF($B42="","",IF($P42=0,0,$O42/$P42))</f>
        <v/>
      </c>
      <c r="R42" s="17">
        <f>IF($B42="","",IF($Q42&gt;=1,"AT CAP (5 sessions)",IF($Q42&gt;=cfgAttendanceCriticalPct,"Critical",IF($Q42&gt;=cfgAttendanceAdvisoryPct,"Advisory","OK"))))</f>
        <v/>
      </c>
      <c r="S42" s="17">
        <f>IF($B42="","",IF($P42=0,"Yes",IF($O42&lt;$P42,"Yes","No")))</f>
        <v/>
      </c>
      <c r="T42" s="17">
        <f>IF($B42="","",IF(AND($L42=0,$O42=0),"Yes","No"))</f>
        <v/>
      </c>
      <c r="U42" s="17">
        <f>IF($B42="","",COUNTIFS(nrAT_PID,$B42,nrAT_Type,"Tardy"))</f>
        <v/>
      </c>
      <c r="V42" s="17">
        <f>IF($B42="","",COUNTIFS(nrAT_PID,$B42,nrAT_Type,"Absent Full Day"))</f>
        <v/>
      </c>
      <c r="W42" s="17">
        <f>IF($B42="","",COUNTIFS(nrAT_PID,$B42,nrAT_Type,"Absent Partial Day"))</f>
        <v/>
      </c>
      <c r="X42" s="17">
        <f>IF($B42="","",COUNTIFS(nrAT_PID,$B42,nrAT_Type,"PT Missed"))</f>
        <v/>
      </c>
      <c r="Y42" s="17">
        <f>IF($B42="","",COUNTIFS(nrAT_PID,$B42,nrAT_Excused,"Excused"))</f>
        <v/>
      </c>
    </row>
    <row r="43">
      <c r="B43" s="17">
        <f>IF(Cadets!$B43="","",Cadets!$B43)</f>
        <v/>
      </c>
      <c r="C43" s="17">
        <f>IF($B43="","",Cadets!$F43)</f>
        <v/>
      </c>
      <c r="D43" s="17">
        <f>IF($B43="","",Cadets!$I43)</f>
        <v/>
      </c>
      <c r="E43" s="17">
        <f>IF($B43="","",SUMIFS(nrAT_Min,nrAT_PID,$B43,nrAT_Counts,"Yes",nrAT_IsPT,"No"))</f>
        <v/>
      </c>
      <c r="F43" s="17">
        <f>IF($B43="","",SUMIFS(nrAT_MadeUpMin,nrAT_PID,$B43,nrAT_Counts,"Yes",nrAT_IsPT,"No"))</f>
        <v/>
      </c>
      <c r="G43" s="17">
        <f>IF($B43="","",MAX(0,$E43-$F43))</f>
        <v/>
      </c>
      <c r="H43" s="17">
        <f>IF($B43="","",cfgMakeupAdvisoryMin)</f>
        <v/>
      </c>
      <c r="I43" s="42">
        <f>IF($B43="","",MAX(0,$E43-$F43))</f>
        <v/>
      </c>
      <c r="J43" s="17">
        <f>IF($B43="","",IF($I43=0,"OK",IF($I43&gt;=cfgMakeupCriticalMin,"CRITICAL",IF($I43&gt;=cfgMakeupAdvisoryMin,"Advisory","Owes time"))))</f>
        <v/>
      </c>
      <c r="K43" s="17">
        <f>IF($B43="","",IF($I43=0,"Yes","No"))</f>
        <v/>
      </c>
      <c r="L43" s="17">
        <f>IF($B43="","",MAX(0,$E43-$F43))</f>
        <v/>
      </c>
      <c r="M43" s="17">
        <f>IF($B43="","",SUMIFS(nrAT_Sess,nrAT_PID,$B43,nrAT_Counts,"Yes",nrAT_IsPT,"Yes"))</f>
        <v/>
      </c>
      <c r="N43" s="17">
        <f>IF($B43="","",SUMIFS(nrAT_MadeUpSess,nrAT_PID,$B43,nrAT_Counts,"Yes",nrAT_IsPT,"Yes"))</f>
        <v/>
      </c>
      <c r="O43" s="17">
        <f>IF($B43="","",MAX(0,$M43-$N43))</f>
        <v/>
      </c>
      <c r="P43" s="17">
        <f>IF($B43="","",cfgPTCapSessions)</f>
        <v/>
      </c>
      <c r="Q43" s="43">
        <f>IF($B43="","",IF($P43=0,0,$O43/$P43))</f>
        <v/>
      </c>
      <c r="R43" s="17">
        <f>IF($B43="","",IF($Q43&gt;=1,"AT CAP (5 sessions)",IF($Q43&gt;=cfgAttendanceCriticalPct,"Critical",IF($Q43&gt;=cfgAttendanceAdvisoryPct,"Advisory","OK"))))</f>
        <v/>
      </c>
      <c r="S43" s="17">
        <f>IF($B43="","",IF($P43=0,"Yes",IF($O43&lt;$P43,"Yes","No")))</f>
        <v/>
      </c>
      <c r="T43" s="17">
        <f>IF($B43="","",IF(AND($L43=0,$O43=0),"Yes","No"))</f>
        <v/>
      </c>
      <c r="U43" s="17">
        <f>IF($B43="","",COUNTIFS(nrAT_PID,$B43,nrAT_Type,"Tardy"))</f>
        <v/>
      </c>
      <c r="V43" s="17">
        <f>IF($B43="","",COUNTIFS(nrAT_PID,$B43,nrAT_Type,"Absent Full Day"))</f>
        <v/>
      </c>
      <c r="W43" s="17">
        <f>IF($B43="","",COUNTIFS(nrAT_PID,$B43,nrAT_Type,"Absent Partial Day"))</f>
        <v/>
      </c>
      <c r="X43" s="17">
        <f>IF($B43="","",COUNTIFS(nrAT_PID,$B43,nrAT_Type,"PT Missed"))</f>
        <v/>
      </c>
      <c r="Y43" s="17">
        <f>IF($B43="","",COUNTIFS(nrAT_PID,$B43,nrAT_Excused,"Excused"))</f>
        <v/>
      </c>
    </row>
    <row r="44">
      <c r="B44" s="17">
        <f>IF(Cadets!$B44="","",Cadets!$B44)</f>
        <v/>
      </c>
      <c r="C44" s="17">
        <f>IF($B44="","",Cadets!$F44)</f>
        <v/>
      </c>
      <c r="D44" s="17">
        <f>IF($B44="","",Cadets!$I44)</f>
        <v/>
      </c>
      <c r="E44" s="17">
        <f>IF($B44="","",SUMIFS(nrAT_Min,nrAT_PID,$B44,nrAT_Counts,"Yes",nrAT_IsPT,"No"))</f>
        <v/>
      </c>
      <c r="F44" s="17">
        <f>IF($B44="","",SUMIFS(nrAT_MadeUpMin,nrAT_PID,$B44,nrAT_Counts,"Yes",nrAT_IsPT,"No"))</f>
        <v/>
      </c>
      <c r="G44" s="17">
        <f>IF($B44="","",MAX(0,$E44-$F44))</f>
        <v/>
      </c>
      <c r="H44" s="17">
        <f>IF($B44="","",cfgMakeupAdvisoryMin)</f>
        <v/>
      </c>
      <c r="I44" s="42">
        <f>IF($B44="","",MAX(0,$E44-$F44))</f>
        <v/>
      </c>
      <c r="J44" s="17">
        <f>IF($B44="","",IF($I44=0,"OK",IF($I44&gt;=cfgMakeupCriticalMin,"CRITICAL",IF($I44&gt;=cfgMakeupAdvisoryMin,"Advisory","Owes time"))))</f>
        <v/>
      </c>
      <c r="K44" s="17">
        <f>IF($B44="","",IF($I44=0,"Yes","No"))</f>
        <v/>
      </c>
      <c r="L44" s="17">
        <f>IF($B44="","",MAX(0,$E44-$F44))</f>
        <v/>
      </c>
      <c r="M44" s="17">
        <f>IF($B44="","",SUMIFS(nrAT_Sess,nrAT_PID,$B44,nrAT_Counts,"Yes",nrAT_IsPT,"Yes"))</f>
        <v/>
      </c>
      <c r="N44" s="17">
        <f>IF($B44="","",SUMIFS(nrAT_MadeUpSess,nrAT_PID,$B44,nrAT_Counts,"Yes",nrAT_IsPT,"Yes"))</f>
        <v/>
      </c>
      <c r="O44" s="17">
        <f>IF($B44="","",MAX(0,$M44-$N44))</f>
        <v/>
      </c>
      <c r="P44" s="17">
        <f>IF($B44="","",cfgPTCapSessions)</f>
        <v/>
      </c>
      <c r="Q44" s="43">
        <f>IF($B44="","",IF($P44=0,0,$O44/$P44))</f>
        <v/>
      </c>
      <c r="R44" s="17">
        <f>IF($B44="","",IF($Q44&gt;=1,"AT CAP (5 sessions)",IF($Q44&gt;=cfgAttendanceCriticalPct,"Critical",IF($Q44&gt;=cfgAttendanceAdvisoryPct,"Advisory","OK"))))</f>
        <v/>
      </c>
      <c r="S44" s="17">
        <f>IF($B44="","",IF($P44=0,"Yes",IF($O44&lt;$P44,"Yes","No")))</f>
        <v/>
      </c>
      <c r="T44" s="17">
        <f>IF($B44="","",IF(AND($L44=0,$O44=0),"Yes","No"))</f>
        <v/>
      </c>
      <c r="U44" s="17">
        <f>IF($B44="","",COUNTIFS(nrAT_PID,$B44,nrAT_Type,"Tardy"))</f>
        <v/>
      </c>
      <c r="V44" s="17">
        <f>IF($B44="","",COUNTIFS(nrAT_PID,$B44,nrAT_Type,"Absent Full Day"))</f>
        <v/>
      </c>
      <c r="W44" s="17">
        <f>IF($B44="","",COUNTIFS(nrAT_PID,$B44,nrAT_Type,"Absent Partial Day"))</f>
        <v/>
      </c>
      <c r="X44" s="17">
        <f>IF($B44="","",COUNTIFS(nrAT_PID,$B44,nrAT_Type,"PT Missed"))</f>
        <v/>
      </c>
      <c r="Y44" s="17">
        <f>IF($B44="","",COUNTIFS(nrAT_PID,$B44,nrAT_Excused,"Excused"))</f>
        <v/>
      </c>
    </row>
    <row r="45">
      <c r="B45" s="17">
        <f>IF(Cadets!$B45="","",Cadets!$B45)</f>
        <v/>
      </c>
      <c r="C45" s="17">
        <f>IF($B45="","",Cadets!$F45)</f>
        <v/>
      </c>
      <c r="D45" s="17">
        <f>IF($B45="","",Cadets!$I45)</f>
        <v/>
      </c>
      <c r="E45" s="17">
        <f>IF($B45="","",SUMIFS(nrAT_Min,nrAT_PID,$B45,nrAT_Counts,"Yes",nrAT_IsPT,"No"))</f>
        <v/>
      </c>
      <c r="F45" s="17">
        <f>IF($B45="","",SUMIFS(nrAT_MadeUpMin,nrAT_PID,$B45,nrAT_Counts,"Yes",nrAT_IsPT,"No"))</f>
        <v/>
      </c>
      <c r="G45" s="17">
        <f>IF($B45="","",MAX(0,$E45-$F45))</f>
        <v/>
      </c>
      <c r="H45" s="17">
        <f>IF($B45="","",cfgMakeupAdvisoryMin)</f>
        <v/>
      </c>
      <c r="I45" s="42">
        <f>IF($B45="","",MAX(0,$E45-$F45))</f>
        <v/>
      </c>
      <c r="J45" s="17">
        <f>IF($B45="","",IF($I45=0,"OK",IF($I45&gt;=cfgMakeupCriticalMin,"CRITICAL",IF($I45&gt;=cfgMakeupAdvisoryMin,"Advisory","Owes time"))))</f>
        <v/>
      </c>
      <c r="K45" s="17">
        <f>IF($B45="","",IF($I45=0,"Yes","No"))</f>
        <v/>
      </c>
      <c r="L45" s="17">
        <f>IF($B45="","",MAX(0,$E45-$F45))</f>
        <v/>
      </c>
      <c r="M45" s="17">
        <f>IF($B45="","",SUMIFS(nrAT_Sess,nrAT_PID,$B45,nrAT_Counts,"Yes",nrAT_IsPT,"Yes"))</f>
        <v/>
      </c>
      <c r="N45" s="17">
        <f>IF($B45="","",SUMIFS(nrAT_MadeUpSess,nrAT_PID,$B45,nrAT_Counts,"Yes",nrAT_IsPT,"Yes"))</f>
        <v/>
      </c>
      <c r="O45" s="17">
        <f>IF($B45="","",MAX(0,$M45-$N45))</f>
        <v/>
      </c>
      <c r="P45" s="17">
        <f>IF($B45="","",cfgPTCapSessions)</f>
        <v/>
      </c>
      <c r="Q45" s="43">
        <f>IF($B45="","",IF($P45=0,0,$O45/$P45))</f>
        <v/>
      </c>
      <c r="R45" s="17">
        <f>IF($B45="","",IF($Q45&gt;=1,"AT CAP (5 sessions)",IF($Q45&gt;=cfgAttendanceCriticalPct,"Critical",IF($Q45&gt;=cfgAttendanceAdvisoryPct,"Advisory","OK"))))</f>
        <v/>
      </c>
      <c r="S45" s="17">
        <f>IF($B45="","",IF($P45=0,"Yes",IF($O45&lt;$P45,"Yes","No")))</f>
        <v/>
      </c>
      <c r="T45" s="17">
        <f>IF($B45="","",IF(AND($L45=0,$O45=0),"Yes","No"))</f>
        <v/>
      </c>
      <c r="U45" s="17">
        <f>IF($B45="","",COUNTIFS(nrAT_PID,$B45,nrAT_Type,"Tardy"))</f>
        <v/>
      </c>
      <c r="V45" s="17">
        <f>IF($B45="","",COUNTIFS(nrAT_PID,$B45,nrAT_Type,"Absent Full Day"))</f>
        <v/>
      </c>
      <c r="W45" s="17">
        <f>IF($B45="","",COUNTIFS(nrAT_PID,$B45,nrAT_Type,"Absent Partial Day"))</f>
        <v/>
      </c>
      <c r="X45" s="17">
        <f>IF($B45="","",COUNTIFS(nrAT_PID,$B45,nrAT_Type,"PT Missed"))</f>
        <v/>
      </c>
      <c r="Y45" s="17">
        <f>IF($B45="","",COUNTIFS(nrAT_PID,$B45,nrAT_Excused,"Excused"))</f>
        <v/>
      </c>
    </row>
    <row r="46">
      <c r="B46" s="17">
        <f>IF(Cadets!$B46="","",Cadets!$B46)</f>
        <v/>
      </c>
      <c r="C46" s="17">
        <f>IF($B46="","",Cadets!$F46)</f>
        <v/>
      </c>
      <c r="D46" s="17">
        <f>IF($B46="","",Cadets!$I46)</f>
        <v/>
      </c>
      <c r="E46" s="17">
        <f>IF($B46="","",SUMIFS(nrAT_Min,nrAT_PID,$B46,nrAT_Counts,"Yes",nrAT_IsPT,"No"))</f>
        <v/>
      </c>
      <c r="F46" s="17">
        <f>IF($B46="","",SUMIFS(nrAT_MadeUpMin,nrAT_PID,$B46,nrAT_Counts,"Yes",nrAT_IsPT,"No"))</f>
        <v/>
      </c>
      <c r="G46" s="17">
        <f>IF($B46="","",MAX(0,$E46-$F46))</f>
        <v/>
      </c>
      <c r="H46" s="17">
        <f>IF($B46="","",cfgMakeupAdvisoryMin)</f>
        <v/>
      </c>
      <c r="I46" s="42">
        <f>IF($B46="","",MAX(0,$E46-$F46))</f>
        <v/>
      </c>
      <c r="J46" s="17">
        <f>IF($B46="","",IF($I46=0,"OK",IF($I46&gt;=cfgMakeupCriticalMin,"CRITICAL",IF($I46&gt;=cfgMakeupAdvisoryMin,"Advisory","Owes time"))))</f>
        <v/>
      </c>
      <c r="K46" s="17">
        <f>IF($B46="","",IF($I46=0,"Yes","No"))</f>
        <v/>
      </c>
      <c r="L46" s="17">
        <f>IF($B46="","",MAX(0,$E46-$F46))</f>
        <v/>
      </c>
      <c r="M46" s="17">
        <f>IF($B46="","",SUMIFS(nrAT_Sess,nrAT_PID,$B46,nrAT_Counts,"Yes",nrAT_IsPT,"Yes"))</f>
        <v/>
      </c>
      <c r="N46" s="17">
        <f>IF($B46="","",SUMIFS(nrAT_MadeUpSess,nrAT_PID,$B46,nrAT_Counts,"Yes",nrAT_IsPT,"Yes"))</f>
        <v/>
      </c>
      <c r="O46" s="17">
        <f>IF($B46="","",MAX(0,$M46-$N46))</f>
        <v/>
      </c>
      <c r="P46" s="17">
        <f>IF($B46="","",cfgPTCapSessions)</f>
        <v/>
      </c>
      <c r="Q46" s="43">
        <f>IF($B46="","",IF($P46=0,0,$O46/$P46))</f>
        <v/>
      </c>
      <c r="R46" s="17">
        <f>IF($B46="","",IF($Q46&gt;=1,"AT CAP (5 sessions)",IF($Q46&gt;=cfgAttendanceCriticalPct,"Critical",IF($Q46&gt;=cfgAttendanceAdvisoryPct,"Advisory","OK"))))</f>
        <v/>
      </c>
      <c r="S46" s="17">
        <f>IF($B46="","",IF($P46=0,"Yes",IF($O46&lt;$P46,"Yes","No")))</f>
        <v/>
      </c>
      <c r="T46" s="17">
        <f>IF($B46="","",IF(AND($L46=0,$O46=0),"Yes","No"))</f>
        <v/>
      </c>
      <c r="U46" s="17">
        <f>IF($B46="","",COUNTIFS(nrAT_PID,$B46,nrAT_Type,"Tardy"))</f>
        <v/>
      </c>
      <c r="V46" s="17">
        <f>IF($B46="","",COUNTIFS(nrAT_PID,$B46,nrAT_Type,"Absent Full Day"))</f>
        <v/>
      </c>
      <c r="W46" s="17">
        <f>IF($B46="","",COUNTIFS(nrAT_PID,$B46,nrAT_Type,"Absent Partial Day"))</f>
        <v/>
      </c>
      <c r="X46" s="17">
        <f>IF($B46="","",COUNTIFS(nrAT_PID,$B46,nrAT_Type,"PT Missed"))</f>
        <v/>
      </c>
      <c r="Y46" s="17">
        <f>IF($B46="","",COUNTIFS(nrAT_PID,$B46,nrAT_Excused,"Excused"))</f>
        <v/>
      </c>
    </row>
    <row r="47">
      <c r="B47" s="17">
        <f>IF(Cadets!$B47="","",Cadets!$B47)</f>
        <v/>
      </c>
      <c r="C47" s="17">
        <f>IF($B47="","",Cadets!$F47)</f>
        <v/>
      </c>
      <c r="D47" s="17">
        <f>IF($B47="","",Cadets!$I47)</f>
        <v/>
      </c>
      <c r="E47" s="17">
        <f>IF($B47="","",SUMIFS(nrAT_Min,nrAT_PID,$B47,nrAT_Counts,"Yes",nrAT_IsPT,"No"))</f>
        <v/>
      </c>
      <c r="F47" s="17">
        <f>IF($B47="","",SUMIFS(nrAT_MadeUpMin,nrAT_PID,$B47,nrAT_Counts,"Yes",nrAT_IsPT,"No"))</f>
        <v/>
      </c>
      <c r="G47" s="17">
        <f>IF($B47="","",MAX(0,$E47-$F47))</f>
        <v/>
      </c>
      <c r="H47" s="17">
        <f>IF($B47="","",cfgMakeupAdvisoryMin)</f>
        <v/>
      </c>
      <c r="I47" s="42">
        <f>IF($B47="","",MAX(0,$E47-$F47))</f>
        <v/>
      </c>
      <c r="J47" s="17">
        <f>IF($B47="","",IF($I47=0,"OK",IF($I47&gt;=cfgMakeupCriticalMin,"CRITICAL",IF($I47&gt;=cfgMakeupAdvisoryMin,"Advisory","Owes time"))))</f>
        <v/>
      </c>
      <c r="K47" s="17">
        <f>IF($B47="","",IF($I47=0,"Yes","No"))</f>
        <v/>
      </c>
      <c r="L47" s="17">
        <f>IF($B47="","",MAX(0,$E47-$F47))</f>
        <v/>
      </c>
      <c r="M47" s="17">
        <f>IF($B47="","",SUMIFS(nrAT_Sess,nrAT_PID,$B47,nrAT_Counts,"Yes",nrAT_IsPT,"Yes"))</f>
        <v/>
      </c>
      <c r="N47" s="17">
        <f>IF($B47="","",SUMIFS(nrAT_MadeUpSess,nrAT_PID,$B47,nrAT_Counts,"Yes",nrAT_IsPT,"Yes"))</f>
        <v/>
      </c>
      <c r="O47" s="17">
        <f>IF($B47="","",MAX(0,$M47-$N47))</f>
        <v/>
      </c>
      <c r="P47" s="17">
        <f>IF($B47="","",cfgPTCapSessions)</f>
        <v/>
      </c>
      <c r="Q47" s="43">
        <f>IF($B47="","",IF($P47=0,0,$O47/$P47))</f>
        <v/>
      </c>
      <c r="R47" s="17">
        <f>IF($B47="","",IF($Q47&gt;=1,"AT CAP (5 sessions)",IF($Q47&gt;=cfgAttendanceCriticalPct,"Critical",IF($Q47&gt;=cfgAttendanceAdvisoryPct,"Advisory","OK"))))</f>
        <v/>
      </c>
      <c r="S47" s="17">
        <f>IF($B47="","",IF($P47=0,"Yes",IF($O47&lt;$P47,"Yes","No")))</f>
        <v/>
      </c>
      <c r="T47" s="17">
        <f>IF($B47="","",IF(AND($L47=0,$O47=0),"Yes","No"))</f>
        <v/>
      </c>
      <c r="U47" s="17">
        <f>IF($B47="","",COUNTIFS(nrAT_PID,$B47,nrAT_Type,"Tardy"))</f>
        <v/>
      </c>
      <c r="V47" s="17">
        <f>IF($B47="","",COUNTIFS(nrAT_PID,$B47,nrAT_Type,"Absent Full Day"))</f>
        <v/>
      </c>
      <c r="W47" s="17">
        <f>IF($B47="","",COUNTIFS(nrAT_PID,$B47,nrAT_Type,"Absent Partial Day"))</f>
        <v/>
      </c>
      <c r="X47" s="17">
        <f>IF($B47="","",COUNTIFS(nrAT_PID,$B47,nrAT_Type,"PT Missed"))</f>
        <v/>
      </c>
      <c r="Y47" s="17">
        <f>IF($B47="","",COUNTIFS(nrAT_PID,$B47,nrAT_Excused,"Excused"))</f>
        <v/>
      </c>
    </row>
    <row r="48">
      <c r="B48" s="17">
        <f>IF(Cadets!$B48="","",Cadets!$B48)</f>
        <v/>
      </c>
      <c r="C48" s="17">
        <f>IF($B48="","",Cadets!$F48)</f>
        <v/>
      </c>
      <c r="D48" s="17">
        <f>IF($B48="","",Cadets!$I48)</f>
        <v/>
      </c>
      <c r="E48" s="17">
        <f>IF($B48="","",SUMIFS(nrAT_Min,nrAT_PID,$B48,nrAT_Counts,"Yes",nrAT_IsPT,"No"))</f>
        <v/>
      </c>
      <c r="F48" s="17">
        <f>IF($B48="","",SUMIFS(nrAT_MadeUpMin,nrAT_PID,$B48,nrAT_Counts,"Yes",nrAT_IsPT,"No"))</f>
        <v/>
      </c>
      <c r="G48" s="17">
        <f>IF($B48="","",MAX(0,$E48-$F48))</f>
        <v/>
      </c>
      <c r="H48" s="17">
        <f>IF($B48="","",cfgMakeupAdvisoryMin)</f>
        <v/>
      </c>
      <c r="I48" s="42">
        <f>IF($B48="","",MAX(0,$E48-$F48))</f>
        <v/>
      </c>
      <c r="J48" s="17">
        <f>IF($B48="","",IF($I48=0,"OK",IF($I48&gt;=cfgMakeupCriticalMin,"CRITICAL",IF($I48&gt;=cfgMakeupAdvisoryMin,"Advisory","Owes time"))))</f>
        <v/>
      </c>
      <c r="K48" s="17">
        <f>IF($B48="","",IF($I48=0,"Yes","No"))</f>
        <v/>
      </c>
      <c r="L48" s="17">
        <f>IF($B48="","",MAX(0,$E48-$F48))</f>
        <v/>
      </c>
      <c r="M48" s="17">
        <f>IF($B48="","",SUMIFS(nrAT_Sess,nrAT_PID,$B48,nrAT_Counts,"Yes",nrAT_IsPT,"Yes"))</f>
        <v/>
      </c>
      <c r="N48" s="17">
        <f>IF($B48="","",SUMIFS(nrAT_MadeUpSess,nrAT_PID,$B48,nrAT_Counts,"Yes",nrAT_IsPT,"Yes"))</f>
        <v/>
      </c>
      <c r="O48" s="17">
        <f>IF($B48="","",MAX(0,$M48-$N48))</f>
        <v/>
      </c>
      <c r="P48" s="17">
        <f>IF($B48="","",cfgPTCapSessions)</f>
        <v/>
      </c>
      <c r="Q48" s="43">
        <f>IF($B48="","",IF($P48=0,0,$O48/$P48))</f>
        <v/>
      </c>
      <c r="R48" s="17">
        <f>IF($B48="","",IF($Q48&gt;=1,"AT CAP (5 sessions)",IF($Q48&gt;=cfgAttendanceCriticalPct,"Critical",IF($Q48&gt;=cfgAttendanceAdvisoryPct,"Advisory","OK"))))</f>
        <v/>
      </c>
      <c r="S48" s="17">
        <f>IF($B48="","",IF($P48=0,"Yes",IF($O48&lt;$P48,"Yes","No")))</f>
        <v/>
      </c>
      <c r="T48" s="17">
        <f>IF($B48="","",IF(AND($L48=0,$O48=0),"Yes","No"))</f>
        <v/>
      </c>
      <c r="U48" s="17">
        <f>IF($B48="","",COUNTIFS(nrAT_PID,$B48,nrAT_Type,"Tardy"))</f>
        <v/>
      </c>
      <c r="V48" s="17">
        <f>IF($B48="","",COUNTIFS(nrAT_PID,$B48,nrAT_Type,"Absent Full Day"))</f>
        <v/>
      </c>
      <c r="W48" s="17">
        <f>IF($B48="","",COUNTIFS(nrAT_PID,$B48,nrAT_Type,"Absent Partial Day"))</f>
        <v/>
      </c>
      <c r="X48" s="17">
        <f>IF($B48="","",COUNTIFS(nrAT_PID,$B48,nrAT_Type,"PT Missed"))</f>
        <v/>
      </c>
      <c r="Y48" s="17">
        <f>IF($B48="","",COUNTIFS(nrAT_PID,$B48,nrAT_Excused,"Excused"))</f>
        <v/>
      </c>
    </row>
    <row r="49">
      <c r="B49" s="17">
        <f>IF(Cadets!$B49="","",Cadets!$B49)</f>
        <v/>
      </c>
      <c r="C49" s="17">
        <f>IF($B49="","",Cadets!$F49)</f>
        <v/>
      </c>
      <c r="D49" s="17">
        <f>IF($B49="","",Cadets!$I49)</f>
        <v/>
      </c>
      <c r="E49" s="17">
        <f>IF($B49="","",SUMIFS(nrAT_Min,nrAT_PID,$B49,nrAT_Counts,"Yes",nrAT_IsPT,"No"))</f>
        <v/>
      </c>
      <c r="F49" s="17">
        <f>IF($B49="","",SUMIFS(nrAT_MadeUpMin,nrAT_PID,$B49,nrAT_Counts,"Yes",nrAT_IsPT,"No"))</f>
        <v/>
      </c>
      <c r="G49" s="17">
        <f>IF($B49="","",MAX(0,$E49-$F49))</f>
        <v/>
      </c>
      <c r="H49" s="17">
        <f>IF($B49="","",cfgMakeupAdvisoryMin)</f>
        <v/>
      </c>
      <c r="I49" s="42">
        <f>IF($B49="","",MAX(0,$E49-$F49))</f>
        <v/>
      </c>
      <c r="J49" s="17">
        <f>IF($B49="","",IF($I49=0,"OK",IF($I49&gt;=cfgMakeupCriticalMin,"CRITICAL",IF($I49&gt;=cfgMakeupAdvisoryMin,"Advisory","Owes time"))))</f>
        <v/>
      </c>
      <c r="K49" s="17">
        <f>IF($B49="","",IF($I49=0,"Yes","No"))</f>
        <v/>
      </c>
      <c r="L49" s="17">
        <f>IF($B49="","",MAX(0,$E49-$F49))</f>
        <v/>
      </c>
      <c r="M49" s="17">
        <f>IF($B49="","",SUMIFS(nrAT_Sess,nrAT_PID,$B49,nrAT_Counts,"Yes",nrAT_IsPT,"Yes"))</f>
        <v/>
      </c>
      <c r="N49" s="17">
        <f>IF($B49="","",SUMIFS(nrAT_MadeUpSess,nrAT_PID,$B49,nrAT_Counts,"Yes",nrAT_IsPT,"Yes"))</f>
        <v/>
      </c>
      <c r="O49" s="17">
        <f>IF($B49="","",MAX(0,$M49-$N49))</f>
        <v/>
      </c>
      <c r="P49" s="17">
        <f>IF($B49="","",cfgPTCapSessions)</f>
        <v/>
      </c>
      <c r="Q49" s="43">
        <f>IF($B49="","",IF($P49=0,0,$O49/$P49))</f>
        <v/>
      </c>
      <c r="R49" s="17">
        <f>IF($B49="","",IF($Q49&gt;=1,"AT CAP (5 sessions)",IF($Q49&gt;=cfgAttendanceCriticalPct,"Critical",IF($Q49&gt;=cfgAttendanceAdvisoryPct,"Advisory","OK"))))</f>
        <v/>
      </c>
      <c r="S49" s="17">
        <f>IF($B49="","",IF($P49=0,"Yes",IF($O49&lt;$P49,"Yes","No")))</f>
        <v/>
      </c>
      <c r="T49" s="17">
        <f>IF($B49="","",IF(AND($L49=0,$O49=0),"Yes","No"))</f>
        <v/>
      </c>
      <c r="U49" s="17">
        <f>IF($B49="","",COUNTIFS(nrAT_PID,$B49,nrAT_Type,"Tardy"))</f>
        <v/>
      </c>
      <c r="V49" s="17">
        <f>IF($B49="","",COUNTIFS(nrAT_PID,$B49,nrAT_Type,"Absent Full Day"))</f>
        <v/>
      </c>
      <c r="W49" s="17">
        <f>IF($B49="","",COUNTIFS(nrAT_PID,$B49,nrAT_Type,"Absent Partial Day"))</f>
        <v/>
      </c>
      <c r="X49" s="17">
        <f>IF($B49="","",COUNTIFS(nrAT_PID,$B49,nrAT_Type,"PT Missed"))</f>
        <v/>
      </c>
      <c r="Y49" s="17">
        <f>IF($B49="","",COUNTIFS(nrAT_PID,$B49,nrAT_Excused,"Excused"))</f>
        <v/>
      </c>
    </row>
    <row r="50">
      <c r="B50" s="17">
        <f>IF(Cadets!$B50="","",Cadets!$B50)</f>
        <v/>
      </c>
      <c r="C50" s="17">
        <f>IF($B50="","",Cadets!$F50)</f>
        <v/>
      </c>
      <c r="D50" s="17">
        <f>IF($B50="","",Cadets!$I50)</f>
        <v/>
      </c>
      <c r="E50" s="17">
        <f>IF($B50="","",SUMIFS(nrAT_Min,nrAT_PID,$B50,nrAT_Counts,"Yes",nrAT_IsPT,"No"))</f>
        <v/>
      </c>
      <c r="F50" s="17">
        <f>IF($B50="","",SUMIFS(nrAT_MadeUpMin,nrAT_PID,$B50,nrAT_Counts,"Yes",nrAT_IsPT,"No"))</f>
        <v/>
      </c>
      <c r="G50" s="17">
        <f>IF($B50="","",MAX(0,$E50-$F50))</f>
        <v/>
      </c>
      <c r="H50" s="17">
        <f>IF($B50="","",cfgMakeupAdvisoryMin)</f>
        <v/>
      </c>
      <c r="I50" s="42">
        <f>IF($B50="","",MAX(0,$E50-$F50))</f>
        <v/>
      </c>
      <c r="J50" s="17">
        <f>IF($B50="","",IF($I50=0,"OK",IF($I50&gt;=cfgMakeupCriticalMin,"CRITICAL",IF($I50&gt;=cfgMakeupAdvisoryMin,"Advisory","Owes time"))))</f>
        <v/>
      </c>
      <c r="K50" s="17">
        <f>IF($B50="","",IF($I50=0,"Yes","No"))</f>
        <v/>
      </c>
      <c r="L50" s="17">
        <f>IF($B50="","",MAX(0,$E50-$F50))</f>
        <v/>
      </c>
      <c r="M50" s="17">
        <f>IF($B50="","",SUMIFS(nrAT_Sess,nrAT_PID,$B50,nrAT_Counts,"Yes",nrAT_IsPT,"Yes"))</f>
        <v/>
      </c>
      <c r="N50" s="17">
        <f>IF($B50="","",SUMIFS(nrAT_MadeUpSess,nrAT_PID,$B50,nrAT_Counts,"Yes",nrAT_IsPT,"Yes"))</f>
        <v/>
      </c>
      <c r="O50" s="17">
        <f>IF($B50="","",MAX(0,$M50-$N50))</f>
        <v/>
      </c>
      <c r="P50" s="17">
        <f>IF($B50="","",cfgPTCapSessions)</f>
        <v/>
      </c>
      <c r="Q50" s="43">
        <f>IF($B50="","",IF($P50=0,0,$O50/$P50))</f>
        <v/>
      </c>
      <c r="R50" s="17">
        <f>IF($B50="","",IF($Q50&gt;=1,"AT CAP (5 sessions)",IF($Q50&gt;=cfgAttendanceCriticalPct,"Critical",IF($Q50&gt;=cfgAttendanceAdvisoryPct,"Advisory","OK"))))</f>
        <v/>
      </c>
      <c r="S50" s="17">
        <f>IF($B50="","",IF($P50=0,"Yes",IF($O50&lt;$P50,"Yes","No")))</f>
        <v/>
      </c>
      <c r="T50" s="17">
        <f>IF($B50="","",IF(AND($L50=0,$O50=0),"Yes","No"))</f>
        <v/>
      </c>
      <c r="U50" s="17">
        <f>IF($B50="","",COUNTIFS(nrAT_PID,$B50,nrAT_Type,"Tardy"))</f>
        <v/>
      </c>
      <c r="V50" s="17">
        <f>IF($B50="","",COUNTIFS(nrAT_PID,$B50,nrAT_Type,"Absent Full Day"))</f>
        <v/>
      </c>
      <c r="W50" s="17">
        <f>IF($B50="","",COUNTIFS(nrAT_PID,$B50,nrAT_Type,"Absent Partial Day"))</f>
        <v/>
      </c>
      <c r="X50" s="17">
        <f>IF($B50="","",COUNTIFS(nrAT_PID,$B50,nrAT_Type,"PT Missed"))</f>
        <v/>
      </c>
      <c r="Y50" s="17">
        <f>IF($B50="","",COUNTIFS(nrAT_PID,$B50,nrAT_Excused,"Excused"))</f>
        <v/>
      </c>
    </row>
    <row r="51">
      <c r="B51" s="17">
        <f>IF(Cadets!$B51="","",Cadets!$B51)</f>
        <v/>
      </c>
      <c r="C51" s="17">
        <f>IF($B51="","",Cadets!$F51)</f>
        <v/>
      </c>
      <c r="D51" s="17">
        <f>IF($B51="","",Cadets!$I51)</f>
        <v/>
      </c>
      <c r="E51" s="17">
        <f>IF($B51="","",SUMIFS(nrAT_Min,nrAT_PID,$B51,nrAT_Counts,"Yes",nrAT_IsPT,"No"))</f>
        <v/>
      </c>
      <c r="F51" s="17">
        <f>IF($B51="","",SUMIFS(nrAT_MadeUpMin,nrAT_PID,$B51,nrAT_Counts,"Yes",nrAT_IsPT,"No"))</f>
        <v/>
      </c>
      <c r="G51" s="17">
        <f>IF($B51="","",MAX(0,$E51-$F51))</f>
        <v/>
      </c>
      <c r="H51" s="17">
        <f>IF($B51="","",cfgMakeupAdvisoryMin)</f>
        <v/>
      </c>
      <c r="I51" s="42">
        <f>IF($B51="","",MAX(0,$E51-$F51))</f>
        <v/>
      </c>
      <c r="J51" s="17">
        <f>IF($B51="","",IF($I51=0,"OK",IF($I51&gt;=cfgMakeupCriticalMin,"CRITICAL",IF($I51&gt;=cfgMakeupAdvisoryMin,"Advisory","Owes time"))))</f>
        <v/>
      </c>
      <c r="K51" s="17">
        <f>IF($B51="","",IF($I51=0,"Yes","No"))</f>
        <v/>
      </c>
      <c r="L51" s="17">
        <f>IF($B51="","",MAX(0,$E51-$F51))</f>
        <v/>
      </c>
      <c r="M51" s="17">
        <f>IF($B51="","",SUMIFS(nrAT_Sess,nrAT_PID,$B51,nrAT_Counts,"Yes",nrAT_IsPT,"Yes"))</f>
        <v/>
      </c>
      <c r="N51" s="17">
        <f>IF($B51="","",SUMIFS(nrAT_MadeUpSess,nrAT_PID,$B51,nrAT_Counts,"Yes",nrAT_IsPT,"Yes"))</f>
        <v/>
      </c>
      <c r="O51" s="17">
        <f>IF($B51="","",MAX(0,$M51-$N51))</f>
        <v/>
      </c>
      <c r="P51" s="17">
        <f>IF($B51="","",cfgPTCapSessions)</f>
        <v/>
      </c>
      <c r="Q51" s="43">
        <f>IF($B51="","",IF($P51=0,0,$O51/$P51))</f>
        <v/>
      </c>
      <c r="R51" s="17">
        <f>IF($B51="","",IF($Q51&gt;=1,"AT CAP (5 sessions)",IF($Q51&gt;=cfgAttendanceCriticalPct,"Critical",IF($Q51&gt;=cfgAttendanceAdvisoryPct,"Advisory","OK"))))</f>
        <v/>
      </c>
      <c r="S51" s="17">
        <f>IF($B51="","",IF($P51=0,"Yes",IF($O51&lt;$P51,"Yes","No")))</f>
        <v/>
      </c>
      <c r="T51" s="17">
        <f>IF($B51="","",IF(AND($L51=0,$O51=0),"Yes","No"))</f>
        <v/>
      </c>
      <c r="U51" s="17">
        <f>IF($B51="","",COUNTIFS(nrAT_PID,$B51,nrAT_Type,"Tardy"))</f>
        <v/>
      </c>
      <c r="V51" s="17">
        <f>IF($B51="","",COUNTIFS(nrAT_PID,$B51,nrAT_Type,"Absent Full Day"))</f>
        <v/>
      </c>
      <c r="W51" s="17">
        <f>IF($B51="","",COUNTIFS(nrAT_PID,$B51,nrAT_Type,"Absent Partial Day"))</f>
        <v/>
      </c>
      <c r="X51" s="17">
        <f>IF($B51="","",COUNTIFS(nrAT_PID,$B51,nrAT_Type,"PT Missed"))</f>
        <v/>
      </c>
      <c r="Y51" s="17">
        <f>IF($B51="","",COUNTIFS(nrAT_PID,$B51,nrAT_Excused,"Excused"))</f>
        <v/>
      </c>
    </row>
    <row r="52">
      <c r="B52" s="17">
        <f>IF(Cadets!$B52="","",Cadets!$B52)</f>
        <v/>
      </c>
      <c r="C52" s="17">
        <f>IF($B52="","",Cadets!$F52)</f>
        <v/>
      </c>
      <c r="D52" s="17">
        <f>IF($B52="","",Cadets!$I52)</f>
        <v/>
      </c>
      <c r="E52" s="17">
        <f>IF($B52="","",SUMIFS(nrAT_Min,nrAT_PID,$B52,nrAT_Counts,"Yes",nrAT_IsPT,"No"))</f>
        <v/>
      </c>
      <c r="F52" s="17">
        <f>IF($B52="","",SUMIFS(nrAT_MadeUpMin,nrAT_PID,$B52,nrAT_Counts,"Yes",nrAT_IsPT,"No"))</f>
        <v/>
      </c>
      <c r="G52" s="17">
        <f>IF($B52="","",MAX(0,$E52-$F52))</f>
        <v/>
      </c>
      <c r="H52" s="17">
        <f>IF($B52="","",cfgMakeupAdvisoryMin)</f>
        <v/>
      </c>
      <c r="I52" s="42">
        <f>IF($B52="","",MAX(0,$E52-$F52))</f>
        <v/>
      </c>
      <c r="J52" s="17">
        <f>IF($B52="","",IF($I52=0,"OK",IF($I52&gt;=cfgMakeupCriticalMin,"CRITICAL",IF($I52&gt;=cfgMakeupAdvisoryMin,"Advisory","Owes time"))))</f>
        <v/>
      </c>
      <c r="K52" s="17">
        <f>IF($B52="","",IF($I52=0,"Yes","No"))</f>
        <v/>
      </c>
      <c r="L52" s="17">
        <f>IF($B52="","",MAX(0,$E52-$F52))</f>
        <v/>
      </c>
      <c r="M52" s="17">
        <f>IF($B52="","",SUMIFS(nrAT_Sess,nrAT_PID,$B52,nrAT_Counts,"Yes",nrAT_IsPT,"Yes"))</f>
        <v/>
      </c>
      <c r="N52" s="17">
        <f>IF($B52="","",SUMIFS(nrAT_MadeUpSess,nrAT_PID,$B52,nrAT_Counts,"Yes",nrAT_IsPT,"Yes"))</f>
        <v/>
      </c>
      <c r="O52" s="17">
        <f>IF($B52="","",MAX(0,$M52-$N52))</f>
        <v/>
      </c>
      <c r="P52" s="17">
        <f>IF($B52="","",cfgPTCapSessions)</f>
        <v/>
      </c>
      <c r="Q52" s="43">
        <f>IF($B52="","",IF($P52=0,0,$O52/$P52))</f>
        <v/>
      </c>
      <c r="R52" s="17">
        <f>IF($B52="","",IF($Q52&gt;=1,"AT CAP (5 sessions)",IF($Q52&gt;=cfgAttendanceCriticalPct,"Critical",IF($Q52&gt;=cfgAttendanceAdvisoryPct,"Advisory","OK"))))</f>
        <v/>
      </c>
      <c r="S52" s="17">
        <f>IF($B52="","",IF($P52=0,"Yes",IF($O52&lt;$P52,"Yes","No")))</f>
        <v/>
      </c>
      <c r="T52" s="17">
        <f>IF($B52="","",IF(AND($L52=0,$O52=0),"Yes","No"))</f>
        <v/>
      </c>
      <c r="U52" s="17">
        <f>IF($B52="","",COUNTIFS(nrAT_PID,$B52,nrAT_Type,"Tardy"))</f>
        <v/>
      </c>
      <c r="V52" s="17">
        <f>IF($B52="","",COUNTIFS(nrAT_PID,$B52,nrAT_Type,"Absent Full Day"))</f>
        <v/>
      </c>
      <c r="W52" s="17">
        <f>IF($B52="","",COUNTIFS(nrAT_PID,$B52,nrAT_Type,"Absent Partial Day"))</f>
        <v/>
      </c>
      <c r="X52" s="17">
        <f>IF($B52="","",COUNTIFS(nrAT_PID,$B52,nrAT_Type,"PT Missed"))</f>
        <v/>
      </c>
      <c r="Y52" s="17">
        <f>IF($B52="","",COUNTIFS(nrAT_PID,$B52,nrAT_Excused,"Excused"))</f>
        <v/>
      </c>
    </row>
    <row r="53">
      <c r="B53" s="17">
        <f>IF(Cadets!$B53="","",Cadets!$B53)</f>
        <v/>
      </c>
      <c r="C53" s="17">
        <f>IF($B53="","",Cadets!$F53)</f>
        <v/>
      </c>
      <c r="D53" s="17">
        <f>IF($B53="","",Cadets!$I53)</f>
        <v/>
      </c>
      <c r="E53" s="17">
        <f>IF($B53="","",SUMIFS(nrAT_Min,nrAT_PID,$B53,nrAT_Counts,"Yes",nrAT_IsPT,"No"))</f>
        <v/>
      </c>
      <c r="F53" s="17">
        <f>IF($B53="","",SUMIFS(nrAT_MadeUpMin,nrAT_PID,$B53,nrAT_Counts,"Yes",nrAT_IsPT,"No"))</f>
        <v/>
      </c>
      <c r="G53" s="17">
        <f>IF($B53="","",MAX(0,$E53-$F53))</f>
        <v/>
      </c>
      <c r="H53" s="17">
        <f>IF($B53="","",cfgMakeupAdvisoryMin)</f>
        <v/>
      </c>
      <c r="I53" s="42">
        <f>IF($B53="","",MAX(0,$E53-$F53))</f>
        <v/>
      </c>
      <c r="J53" s="17">
        <f>IF($B53="","",IF($I53=0,"OK",IF($I53&gt;=cfgMakeupCriticalMin,"CRITICAL",IF($I53&gt;=cfgMakeupAdvisoryMin,"Advisory","Owes time"))))</f>
        <v/>
      </c>
      <c r="K53" s="17">
        <f>IF($B53="","",IF($I53=0,"Yes","No"))</f>
        <v/>
      </c>
      <c r="L53" s="17">
        <f>IF($B53="","",MAX(0,$E53-$F53))</f>
        <v/>
      </c>
      <c r="M53" s="17">
        <f>IF($B53="","",SUMIFS(nrAT_Sess,nrAT_PID,$B53,nrAT_Counts,"Yes",nrAT_IsPT,"Yes"))</f>
        <v/>
      </c>
      <c r="N53" s="17">
        <f>IF($B53="","",SUMIFS(nrAT_MadeUpSess,nrAT_PID,$B53,nrAT_Counts,"Yes",nrAT_IsPT,"Yes"))</f>
        <v/>
      </c>
      <c r="O53" s="17">
        <f>IF($B53="","",MAX(0,$M53-$N53))</f>
        <v/>
      </c>
      <c r="P53" s="17">
        <f>IF($B53="","",cfgPTCapSessions)</f>
        <v/>
      </c>
      <c r="Q53" s="43">
        <f>IF($B53="","",IF($P53=0,0,$O53/$P53))</f>
        <v/>
      </c>
      <c r="R53" s="17">
        <f>IF($B53="","",IF($Q53&gt;=1,"AT CAP (5 sessions)",IF($Q53&gt;=cfgAttendanceCriticalPct,"Critical",IF($Q53&gt;=cfgAttendanceAdvisoryPct,"Advisory","OK"))))</f>
        <v/>
      </c>
      <c r="S53" s="17">
        <f>IF($B53="","",IF($P53=0,"Yes",IF($O53&lt;$P53,"Yes","No")))</f>
        <v/>
      </c>
      <c r="T53" s="17">
        <f>IF($B53="","",IF(AND($L53=0,$O53=0),"Yes","No"))</f>
        <v/>
      </c>
      <c r="U53" s="17">
        <f>IF($B53="","",COUNTIFS(nrAT_PID,$B53,nrAT_Type,"Tardy"))</f>
        <v/>
      </c>
      <c r="V53" s="17">
        <f>IF($B53="","",COUNTIFS(nrAT_PID,$B53,nrAT_Type,"Absent Full Day"))</f>
        <v/>
      </c>
      <c r="W53" s="17">
        <f>IF($B53="","",COUNTIFS(nrAT_PID,$B53,nrAT_Type,"Absent Partial Day"))</f>
        <v/>
      </c>
      <c r="X53" s="17">
        <f>IF($B53="","",COUNTIFS(nrAT_PID,$B53,nrAT_Type,"PT Missed"))</f>
        <v/>
      </c>
      <c r="Y53" s="17">
        <f>IF($B53="","",COUNTIFS(nrAT_PID,$B53,nrAT_Excused,"Excused"))</f>
        <v/>
      </c>
    </row>
    <row r="54">
      <c r="B54" s="17">
        <f>IF(Cadets!$B54="","",Cadets!$B54)</f>
        <v/>
      </c>
      <c r="C54" s="17">
        <f>IF($B54="","",Cadets!$F54)</f>
        <v/>
      </c>
      <c r="D54" s="17">
        <f>IF($B54="","",Cadets!$I54)</f>
        <v/>
      </c>
      <c r="E54" s="17">
        <f>IF($B54="","",SUMIFS(nrAT_Min,nrAT_PID,$B54,nrAT_Counts,"Yes",nrAT_IsPT,"No"))</f>
        <v/>
      </c>
      <c r="F54" s="17">
        <f>IF($B54="","",SUMIFS(nrAT_MadeUpMin,nrAT_PID,$B54,nrAT_Counts,"Yes",nrAT_IsPT,"No"))</f>
        <v/>
      </c>
      <c r="G54" s="17">
        <f>IF($B54="","",MAX(0,$E54-$F54))</f>
        <v/>
      </c>
      <c r="H54" s="17">
        <f>IF($B54="","",cfgMakeupAdvisoryMin)</f>
        <v/>
      </c>
      <c r="I54" s="42">
        <f>IF($B54="","",MAX(0,$E54-$F54))</f>
        <v/>
      </c>
      <c r="J54" s="17">
        <f>IF($B54="","",IF($I54=0,"OK",IF($I54&gt;=cfgMakeupCriticalMin,"CRITICAL",IF($I54&gt;=cfgMakeupAdvisoryMin,"Advisory","Owes time"))))</f>
        <v/>
      </c>
      <c r="K54" s="17">
        <f>IF($B54="","",IF($I54=0,"Yes","No"))</f>
        <v/>
      </c>
      <c r="L54" s="17">
        <f>IF($B54="","",MAX(0,$E54-$F54))</f>
        <v/>
      </c>
      <c r="M54" s="17">
        <f>IF($B54="","",SUMIFS(nrAT_Sess,nrAT_PID,$B54,nrAT_Counts,"Yes",nrAT_IsPT,"Yes"))</f>
        <v/>
      </c>
      <c r="N54" s="17">
        <f>IF($B54="","",SUMIFS(nrAT_MadeUpSess,nrAT_PID,$B54,nrAT_Counts,"Yes",nrAT_IsPT,"Yes"))</f>
        <v/>
      </c>
      <c r="O54" s="17">
        <f>IF($B54="","",MAX(0,$M54-$N54))</f>
        <v/>
      </c>
      <c r="P54" s="17">
        <f>IF($B54="","",cfgPTCapSessions)</f>
        <v/>
      </c>
      <c r="Q54" s="43">
        <f>IF($B54="","",IF($P54=0,0,$O54/$P54))</f>
        <v/>
      </c>
      <c r="R54" s="17">
        <f>IF($B54="","",IF($Q54&gt;=1,"AT CAP (5 sessions)",IF($Q54&gt;=cfgAttendanceCriticalPct,"Critical",IF($Q54&gt;=cfgAttendanceAdvisoryPct,"Advisory","OK"))))</f>
        <v/>
      </c>
      <c r="S54" s="17">
        <f>IF($B54="","",IF($P54=0,"Yes",IF($O54&lt;$P54,"Yes","No")))</f>
        <v/>
      </c>
      <c r="T54" s="17">
        <f>IF($B54="","",IF(AND($L54=0,$O54=0),"Yes","No"))</f>
        <v/>
      </c>
      <c r="U54" s="17">
        <f>IF($B54="","",COUNTIFS(nrAT_PID,$B54,nrAT_Type,"Tardy"))</f>
        <v/>
      </c>
      <c r="V54" s="17">
        <f>IF($B54="","",COUNTIFS(nrAT_PID,$B54,nrAT_Type,"Absent Full Day"))</f>
        <v/>
      </c>
      <c r="W54" s="17">
        <f>IF($B54="","",COUNTIFS(nrAT_PID,$B54,nrAT_Type,"Absent Partial Day"))</f>
        <v/>
      </c>
      <c r="X54" s="17">
        <f>IF($B54="","",COUNTIFS(nrAT_PID,$B54,nrAT_Type,"PT Missed"))</f>
        <v/>
      </c>
      <c r="Y54" s="17">
        <f>IF($B54="","",COUNTIFS(nrAT_PID,$B54,nrAT_Excused,"Excused"))</f>
        <v/>
      </c>
    </row>
    <row r="55">
      <c r="B55" s="17">
        <f>IF(Cadets!$B55="","",Cadets!$B55)</f>
        <v/>
      </c>
      <c r="C55" s="17">
        <f>IF($B55="","",Cadets!$F55)</f>
        <v/>
      </c>
      <c r="D55" s="17">
        <f>IF($B55="","",Cadets!$I55)</f>
        <v/>
      </c>
      <c r="E55" s="17">
        <f>IF($B55="","",SUMIFS(nrAT_Min,nrAT_PID,$B55,nrAT_Counts,"Yes",nrAT_IsPT,"No"))</f>
        <v/>
      </c>
      <c r="F55" s="17">
        <f>IF($B55="","",SUMIFS(nrAT_MadeUpMin,nrAT_PID,$B55,nrAT_Counts,"Yes",nrAT_IsPT,"No"))</f>
        <v/>
      </c>
      <c r="G55" s="17">
        <f>IF($B55="","",MAX(0,$E55-$F55))</f>
        <v/>
      </c>
      <c r="H55" s="17">
        <f>IF($B55="","",cfgMakeupAdvisoryMin)</f>
        <v/>
      </c>
      <c r="I55" s="42">
        <f>IF($B55="","",MAX(0,$E55-$F55))</f>
        <v/>
      </c>
      <c r="J55" s="17">
        <f>IF($B55="","",IF($I55=0,"OK",IF($I55&gt;=cfgMakeupCriticalMin,"CRITICAL",IF($I55&gt;=cfgMakeupAdvisoryMin,"Advisory","Owes time"))))</f>
        <v/>
      </c>
      <c r="K55" s="17">
        <f>IF($B55="","",IF($I55=0,"Yes","No"))</f>
        <v/>
      </c>
      <c r="L55" s="17">
        <f>IF($B55="","",MAX(0,$E55-$F55))</f>
        <v/>
      </c>
      <c r="M55" s="17">
        <f>IF($B55="","",SUMIFS(nrAT_Sess,nrAT_PID,$B55,nrAT_Counts,"Yes",nrAT_IsPT,"Yes"))</f>
        <v/>
      </c>
      <c r="N55" s="17">
        <f>IF($B55="","",SUMIFS(nrAT_MadeUpSess,nrAT_PID,$B55,nrAT_Counts,"Yes",nrAT_IsPT,"Yes"))</f>
        <v/>
      </c>
      <c r="O55" s="17">
        <f>IF($B55="","",MAX(0,$M55-$N55))</f>
        <v/>
      </c>
      <c r="P55" s="17">
        <f>IF($B55="","",cfgPTCapSessions)</f>
        <v/>
      </c>
      <c r="Q55" s="43">
        <f>IF($B55="","",IF($P55=0,0,$O55/$P55))</f>
        <v/>
      </c>
      <c r="R55" s="17">
        <f>IF($B55="","",IF($Q55&gt;=1,"AT CAP (5 sessions)",IF($Q55&gt;=cfgAttendanceCriticalPct,"Critical",IF($Q55&gt;=cfgAttendanceAdvisoryPct,"Advisory","OK"))))</f>
        <v/>
      </c>
      <c r="S55" s="17">
        <f>IF($B55="","",IF($P55=0,"Yes",IF($O55&lt;$P55,"Yes","No")))</f>
        <v/>
      </c>
      <c r="T55" s="17">
        <f>IF($B55="","",IF(AND($L55=0,$O55=0),"Yes","No"))</f>
        <v/>
      </c>
      <c r="U55" s="17">
        <f>IF($B55="","",COUNTIFS(nrAT_PID,$B55,nrAT_Type,"Tardy"))</f>
        <v/>
      </c>
      <c r="V55" s="17">
        <f>IF($B55="","",COUNTIFS(nrAT_PID,$B55,nrAT_Type,"Absent Full Day"))</f>
        <v/>
      </c>
      <c r="W55" s="17">
        <f>IF($B55="","",COUNTIFS(nrAT_PID,$B55,nrAT_Type,"Absent Partial Day"))</f>
        <v/>
      </c>
      <c r="X55" s="17">
        <f>IF($B55="","",COUNTIFS(nrAT_PID,$B55,nrAT_Type,"PT Missed"))</f>
        <v/>
      </c>
      <c r="Y55" s="17">
        <f>IF($B55="","",COUNTIFS(nrAT_PID,$B55,nrAT_Excused,"Excused"))</f>
        <v/>
      </c>
    </row>
  </sheetData>
  <sheetProtection selectLockedCells="0" selectUnlockedCells="0" sheet="1" objects="0" insertRows="1" insertHyperlinks="1" autoFilter="1" scenarios="0" formatColumns="1" deleteColumns="1" insertColumns="1" pivotTables="1" deleteRows="1" formatCells="1" formatRows="1" sort="1" password="B4BB"/>
  <pageMargins left="0.75" right="0.75" top="1" bottom="1" header="0.5" footer="0.5"/>
</worksheet>
</file>

<file path=xl/worksheets/sheet54.xml><?xml version="1.0" encoding="utf-8"?>
<worksheet xmlns="http://schemas.openxmlformats.org/spreadsheetml/2006/main">
  <sheetPr>
    <tabColor rgb="00808080"/>
    <outlinePr summaryBelow="1" summaryRight="1"/>
    <pageSetUpPr/>
  </sheetPr>
  <dimension ref="B1:P55"/>
  <sheetViews>
    <sheetView showGridLines="0" workbookViewId="0">
      <pane xSplit="3" ySplit="5" topLeftCell="D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4" customWidth="1" min="3" max="3"/>
  </cols>
  <sheetData>
    <row r="1">
      <c r="B1" s="10">
        <f>HYPERLINK("#Dashboard!B5","◄ Dashboard")</f>
        <v/>
      </c>
    </row>
    <row r="4">
      <c r="B4" s="11" t="inlineStr">
        <is>
          <t>Column letters I/J intentionally match V5.4 cross-refs (sysGrades reads sysSkills!$I / $J-style flags). Locked.</t>
        </is>
      </c>
    </row>
    <row r="5" ht="26" customHeight="1">
      <c r="B5" s="12" t="inlineStr">
        <is>
          <t>PID</t>
        </is>
      </c>
      <c r="C5" s="12" t="inlineStr">
        <is>
          <t>Cadet Name</t>
        </is>
      </c>
      <c r="D5" s="12" t="inlineStr">
        <is>
          <t>Status</t>
        </is>
      </c>
      <c r="E5" s="12" t="inlineStr">
        <is>
          <t>Categories Attempted</t>
        </is>
      </c>
      <c r="F5" s="12" t="inlineStr">
        <is>
          <t>Qualified</t>
        </is>
      </c>
      <c r="G5" s="12" t="inlineStr">
        <is>
          <t>Needs Remediation</t>
        </is>
      </c>
      <c r="H5" s="12" t="inlineStr">
        <is>
          <t>Pending</t>
        </is>
      </c>
      <c r="I5" s="12" t="inlineStr">
        <is>
          <t>Failed Out Cats</t>
        </is>
      </c>
      <c r="J5" s="12" t="inlineStr">
        <is>
          <t>FailedOut?</t>
        </is>
      </c>
      <c r="K5" s="12" t="inlineStr">
        <is>
          <t>Skills Elig</t>
        </is>
      </c>
      <c r="L5" s="12" t="inlineStr">
        <is>
          <t>Firearms Avg</t>
        </is>
      </c>
      <c r="M5" s="12" t="inlineStr">
        <is>
          <t>Firearms Best</t>
        </is>
      </c>
      <c r="N5" s="12" t="inlineStr">
        <is>
          <t>CoF1 Best</t>
        </is>
      </c>
      <c r="O5" s="12" t="inlineStr">
        <is>
          <t>CoF2 Best</t>
        </is>
      </c>
      <c r="P5" s="12">
        <f>"Both CoF ≥"&amp;IFERROR(INDEX(rngSM_pass,MATCH("Firearms",rngSM_cat,0)),70)&amp;"?"</f>
        <v/>
      </c>
    </row>
    <row r="6">
      <c r="B6" s="17">
        <f>IF(Cadets!$B6="","",Cadets!$B6)</f>
        <v/>
      </c>
      <c r="C6" s="17">
        <f>IF($B6="","",Cadets!$F6)</f>
        <v/>
      </c>
      <c r="D6" s="17">
        <f>IF($B6="","",Cadets!$I6)</f>
        <v/>
      </c>
      <c r="E6" s="17">
        <f>IF($B6="","",SUMPRODUCT((rngSM_cat&lt;&gt;"")*(COUNTIFS(nrSK_PID,$B6,nrSK_Cat,rngSM_cat)&gt;0)))</f>
        <v/>
      </c>
      <c r="F6" s="17">
        <f>IF($B6="","",SUMPRODUCT((rngSM_cat&lt;&gt;"")*(COUNTIFS(nrSK_PID,$B6,nrSK_Cat,rngSM_cat,nrSK_Status,"Qualified")&gt;0)))</f>
        <v/>
      </c>
      <c r="G6" s="17">
        <f>IF($B6="","",SUMPRODUCT((rngSM_cat&lt;&gt;"")*(COUNTIFS(nrSK_PID,$B6,nrSK_Cat,rngSM_cat,nrSK_Status,"Needs Remediation")&gt;0)))</f>
        <v/>
      </c>
      <c r="H6" s="17">
        <f>IF($B6="","",SUMPRODUCT((rngSM_cat&lt;&gt;"")*(COUNTIFS(nrSK_PID,$B6,nrSK_Cat,rngSM_cat,nrSK_Status,"Pending")&gt;0)))</f>
        <v/>
      </c>
      <c r="I6" s="17">
        <f>IF($B6="","",SUMPRODUCT((rngSM_cat&lt;&gt;"")*(COUNTIFS(nrSK_PID,$B6,nrSK_Cat,rngSM_cat,nrSK_Dis,"Yes")&gt;0)))</f>
        <v/>
      </c>
      <c r="J6" s="17">
        <f>IF($B6="","",IF($I6&gt;0,"Yes","No"))</f>
        <v/>
      </c>
      <c r="K6" s="17">
        <f>IF($B6="","",IF($J6="Yes","No",IF($G6&gt;0,"No","Yes")))</f>
        <v/>
      </c>
      <c r="L6" s="17">
        <f>IF($B6="","",IFERROR(ROUND(AVERAGEIFS(nrSK_Score,nrSK_PID,$B6,nrSK_Cat,"Firearms",nrSK_Score,"&gt;=0",nrSK_Score,"&lt;=100"),2),""))</f>
        <v/>
      </c>
      <c r="M6" s="17">
        <f>IF($B6="","",IFERROR(_xlfn.MAXIFS(nrSK_Score,nrSK_PID,$B6,nrSK_Cat,"Firearms",nrSK_Score,"&gt;=0",nrSK_Score,"&lt;=100"),""))</f>
        <v/>
      </c>
      <c r="N6" s="17">
        <f>IF($B6="","",_xlfn.LET(_xlpm.v,_xlfn.MAXIFS(nrSK_Score,nrSK_PID,$B6,nrSK_Cat,"Firearms",nrSK_CoF,1,nrSK_Score,"&gt;=0",nrSK_Score,"&lt;=100"),IF(_xlpm.v=0,"",_xlpm.v)))</f>
        <v/>
      </c>
      <c r="O6" s="17">
        <f>IF($B6="","",_xlfn.LET(_xlpm.v,_xlfn.MAXIFS(nrSK_Score,nrSK_PID,$B6,nrSK_Cat,"Firearms",nrSK_CoF,2,nrSK_Score,"&gt;=0",nrSK_Score,"&lt;=100"),IF(_xlpm.v=0,"",_xlpm.v)))</f>
        <v/>
      </c>
      <c r="P6" s="17">
        <f>IF($B6="","",IF(AND($N6="",$O6=""),"",_xlfn.LET(_xlpm.p,IFERROR(INDEX(rngSM_pass,MATCH("Firearms",rngSM_cat,0)),70),IF(AND($N6&lt;&gt;"",$O6&lt;&gt;"",N($N6)&gt;=_xlpm.p,N($O6)&gt;=_xlpm.p),"Yes",IF(OR(AND($N6&lt;&gt;"",N($N6)&lt;_xlpm.p),AND($O6&lt;&gt;"",N($O6)&lt;_xlpm.p)),"No","(one pending)")))))</f>
        <v/>
      </c>
    </row>
    <row r="7">
      <c r="B7" s="17">
        <f>IF(Cadets!$B7="","",Cadets!$B7)</f>
        <v/>
      </c>
      <c r="C7" s="17">
        <f>IF($B7="","",Cadets!$F7)</f>
        <v/>
      </c>
      <c r="D7" s="17">
        <f>IF($B7="","",Cadets!$I7)</f>
        <v/>
      </c>
      <c r="E7" s="17">
        <f>IF($B7="","",SUMPRODUCT((rngSM_cat&lt;&gt;"")*(COUNTIFS(nrSK_PID,$B7,nrSK_Cat,rngSM_cat)&gt;0)))</f>
        <v/>
      </c>
      <c r="F7" s="17">
        <f>IF($B7="","",SUMPRODUCT((rngSM_cat&lt;&gt;"")*(COUNTIFS(nrSK_PID,$B7,nrSK_Cat,rngSM_cat,nrSK_Status,"Qualified")&gt;0)))</f>
        <v/>
      </c>
      <c r="G7" s="17">
        <f>IF($B7="","",SUMPRODUCT((rngSM_cat&lt;&gt;"")*(COUNTIFS(nrSK_PID,$B7,nrSK_Cat,rngSM_cat,nrSK_Status,"Needs Remediation")&gt;0)))</f>
        <v/>
      </c>
      <c r="H7" s="17">
        <f>IF($B7="","",SUMPRODUCT((rngSM_cat&lt;&gt;"")*(COUNTIFS(nrSK_PID,$B7,nrSK_Cat,rngSM_cat,nrSK_Status,"Pending")&gt;0)))</f>
        <v/>
      </c>
      <c r="I7" s="17">
        <f>IF($B7="","",SUMPRODUCT((rngSM_cat&lt;&gt;"")*(COUNTIFS(nrSK_PID,$B7,nrSK_Cat,rngSM_cat,nrSK_Dis,"Yes")&gt;0)))</f>
        <v/>
      </c>
      <c r="J7" s="17">
        <f>IF($B7="","",IF($I7&gt;0,"Yes","No"))</f>
        <v/>
      </c>
      <c r="K7" s="17">
        <f>IF($B7="","",IF($J7="Yes","No",IF($G7&gt;0,"No","Yes")))</f>
        <v/>
      </c>
      <c r="L7" s="17">
        <f>IF($B7="","",IFERROR(ROUND(AVERAGEIFS(nrSK_Score,nrSK_PID,$B7,nrSK_Cat,"Firearms",nrSK_Score,"&gt;=0",nrSK_Score,"&lt;=100"),2),""))</f>
        <v/>
      </c>
      <c r="M7" s="17">
        <f>IF($B7="","",IFERROR(_xlfn.MAXIFS(nrSK_Score,nrSK_PID,$B7,nrSK_Cat,"Firearms",nrSK_Score,"&gt;=0",nrSK_Score,"&lt;=100"),""))</f>
        <v/>
      </c>
      <c r="N7" s="17">
        <f>IF($B7="","",_xlfn.LET(_xlpm.v,_xlfn.MAXIFS(nrSK_Score,nrSK_PID,$B7,nrSK_Cat,"Firearms",nrSK_CoF,1,nrSK_Score,"&gt;=0",nrSK_Score,"&lt;=100"),IF(_xlpm.v=0,"",_xlpm.v)))</f>
        <v/>
      </c>
      <c r="O7" s="17">
        <f>IF($B7="","",_xlfn.LET(_xlpm.v,_xlfn.MAXIFS(nrSK_Score,nrSK_PID,$B7,nrSK_Cat,"Firearms",nrSK_CoF,2,nrSK_Score,"&gt;=0",nrSK_Score,"&lt;=100"),IF(_xlpm.v=0,"",_xlpm.v)))</f>
        <v/>
      </c>
      <c r="P7" s="17">
        <f>IF($B7="","",IF(AND($N7="",$O7=""),"",_xlfn.LET(_xlpm.p,IFERROR(INDEX(rngSM_pass,MATCH("Firearms",rngSM_cat,0)),70),IF(AND($N7&lt;&gt;"",$O7&lt;&gt;"",N($N7)&gt;=_xlpm.p,N($O7)&gt;=_xlpm.p),"Yes",IF(OR(AND($N7&lt;&gt;"",N($N7)&lt;_xlpm.p),AND($O7&lt;&gt;"",N($O7)&lt;_xlpm.p)),"No","(one pending)")))))</f>
        <v/>
      </c>
    </row>
    <row r="8">
      <c r="B8" s="17">
        <f>IF(Cadets!$B8="","",Cadets!$B8)</f>
        <v/>
      </c>
      <c r="C8" s="17">
        <f>IF($B8="","",Cadets!$F8)</f>
        <v/>
      </c>
      <c r="D8" s="17">
        <f>IF($B8="","",Cadets!$I8)</f>
        <v/>
      </c>
      <c r="E8" s="17">
        <f>IF($B8="","",SUMPRODUCT((rngSM_cat&lt;&gt;"")*(COUNTIFS(nrSK_PID,$B8,nrSK_Cat,rngSM_cat)&gt;0)))</f>
        <v/>
      </c>
      <c r="F8" s="17">
        <f>IF($B8="","",SUMPRODUCT((rngSM_cat&lt;&gt;"")*(COUNTIFS(nrSK_PID,$B8,nrSK_Cat,rngSM_cat,nrSK_Status,"Qualified")&gt;0)))</f>
        <v/>
      </c>
      <c r="G8" s="17">
        <f>IF($B8="","",SUMPRODUCT((rngSM_cat&lt;&gt;"")*(COUNTIFS(nrSK_PID,$B8,nrSK_Cat,rngSM_cat,nrSK_Status,"Needs Remediation")&gt;0)))</f>
        <v/>
      </c>
      <c r="H8" s="17">
        <f>IF($B8="","",SUMPRODUCT((rngSM_cat&lt;&gt;"")*(COUNTIFS(nrSK_PID,$B8,nrSK_Cat,rngSM_cat,nrSK_Status,"Pending")&gt;0)))</f>
        <v/>
      </c>
      <c r="I8" s="17">
        <f>IF($B8="","",SUMPRODUCT((rngSM_cat&lt;&gt;"")*(COUNTIFS(nrSK_PID,$B8,nrSK_Cat,rngSM_cat,nrSK_Dis,"Yes")&gt;0)))</f>
        <v/>
      </c>
      <c r="J8" s="17">
        <f>IF($B8="","",IF($I8&gt;0,"Yes","No"))</f>
        <v/>
      </c>
      <c r="K8" s="17">
        <f>IF($B8="","",IF($J8="Yes","No",IF($G8&gt;0,"No","Yes")))</f>
        <v/>
      </c>
      <c r="L8" s="17">
        <f>IF($B8="","",IFERROR(ROUND(AVERAGEIFS(nrSK_Score,nrSK_PID,$B8,nrSK_Cat,"Firearms",nrSK_Score,"&gt;=0",nrSK_Score,"&lt;=100"),2),""))</f>
        <v/>
      </c>
      <c r="M8" s="17">
        <f>IF($B8="","",IFERROR(_xlfn.MAXIFS(nrSK_Score,nrSK_PID,$B8,nrSK_Cat,"Firearms",nrSK_Score,"&gt;=0",nrSK_Score,"&lt;=100"),""))</f>
        <v/>
      </c>
      <c r="N8" s="17">
        <f>IF($B8="","",_xlfn.LET(_xlpm.v,_xlfn.MAXIFS(nrSK_Score,nrSK_PID,$B8,nrSK_Cat,"Firearms",nrSK_CoF,1,nrSK_Score,"&gt;=0",nrSK_Score,"&lt;=100"),IF(_xlpm.v=0,"",_xlpm.v)))</f>
        <v/>
      </c>
      <c r="O8" s="17">
        <f>IF($B8="","",_xlfn.LET(_xlpm.v,_xlfn.MAXIFS(nrSK_Score,nrSK_PID,$B8,nrSK_Cat,"Firearms",nrSK_CoF,2,nrSK_Score,"&gt;=0",nrSK_Score,"&lt;=100"),IF(_xlpm.v=0,"",_xlpm.v)))</f>
        <v/>
      </c>
      <c r="P8" s="17">
        <f>IF($B8="","",IF(AND($N8="",$O8=""),"",_xlfn.LET(_xlpm.p,IFERROR(INDEX(rngSM_pass,MATCH("Firearms",rngSM_cat,0)),70),IF(AND($N8&lt;&gt;"",$O8&lt;&gt;"",N($N8)&gt;=_xlpm.p,N($O8)&gt;=_xlpm.p),"Yes",IF(OR(AND($N8&lt;&gt;"",N($N8)&lt;_xlpm.p),AND($O8&lt;&gt;"",N($O8)&lt;_xlpm.p)),"No","(one pending)")))))</f>
        <v/>
      </c>
    </row>
    <row r="9">
      <c r="B9" s="17">
        <f>IF(Cadets!$B9="","",Cadets!$B9)</f>
        <v/>
      </c>
      <c r="C9" s="17">
        <f>IF($B9="","",Cadets!$F9)</f>
        <v/>
      </c>
      <c r="D9" s="17">
        <f>IF($B9="","",Cadets!$I9)</f>
        <v/>
      </c>
      <c r="E9" s="17">
        <f>IF($B9="","",SUMPRODUCT((rngSM_cat&lt;&gt;"")*(COUNTIFS(nrSK_PID,$B9,nrSK_Cat,rngSM_cat)&gt;0)))</f>
        <v/>
      </c>
      <c r="F9" s="17">
        <f>IF($B9="","",SUMPRODUCT((rngSM_cat&lt;&gt;"")*(COUNTIFS(nrSK_PID,$B9,nrSK_Cat,rngSM_cat,nrSK_Status,"Qualified")&gt;0)))</f>
        <v/>
      </c>
      <c r="G9" s="17">
        <f>IF($B9="","",SUMPRODUCT((rngSM_cat&lt;&gt;"")*(COUNTIFS(nrSK_PID,$B9,nrSK_Cat,rngSM_cat,nrSK_Status,"Needs Remediation")&gt;0)))</f>
        <v/>
      </c>
      <c r="H9" s="17">
        <f>IF($B9="","",SUMPRODUCT((rngSM_cat&lt;&gt;"")*(COUNTIFS(nrSK_PID,$B9,nrSK_Cat,rngSM_cat,nrSK_Status,"Pending")&gt;0)))</f>
        <v/>
      </c>
      <c r="I9" s="17">
        <f>IF($B9="","",SUMPRODUCT((rngSM_cat&lt;&gt;"")*(COUNTIFS(nrSK_PID,$B9,nrSK_Cat,rngSM_cat,nrSK_Dis,"Yes")&gt;0)))</f>
        <v/>
      </c>
      <c r="J9" s="17">
        <f>IF($B9="","",IF($I9&gt;0,"Yes","No"))</f>
        <v/>
      </c>
      <c r="K9" s="17">
        <f>IF($B9="","",IF($J9="Yes","No",IF($G9&gt;0,"No","Yes")))</f>
        <v/>
      </c>
      <c r="L9" s="17">
        <f>IF($B9="","",IFERROR(ROUND(AVERAGEIFS(nrSK_Score,nrSK_PID,$B9,nrSK_Cat,"Firearms",nrSK_Score,"&gt;=0",nrSK_Score,"&lt;=100"),2),""))</f>
        <v/>
      </c>
      <c r="M9" s="17">
        <f>IF($B9="","",IFERROR(_xlfn.MAXIFS(nrSK_Score,nrSK_PID,$B9,nrSK_Cat,"Firearms",nrSK_Score,"&gt;=0",nrSK_Score,"&lt;=100"),""))</f>
        <v/>
      </c>
      <c r="N9" s="17">
        <f>IF($B9="","",_xlfn.LET(_xlpm.v,_xlfn.MAXIFS(nrSK_Score,nrSK_PID,$B9,nrSK_Cat,"Firearms",nrSK_CoF,1,nrSK_Score,"&gt;=0",nrSK_Score,"&lt;=100"),IF(_xlpm.v=0,"",_xlpm.v)))</f>
        <v/>
      </c>
      <c r="O9" s="17">
        <f>IF($B9="","",_xlfn.LET(_xlpm.v,_xlfn.MAXIFS(nrSK_Score,nrSK_PID,$B9,nrSK_Cat,"Firearms",nrSK_CoF,2,nrSK_Score,"&gt;=0",nrSK_Score,"&lt;=100"),IF(_xlpm.v=0,"",_xlpm.v)))</f>
        <v/>
      </c>
      <c r="P9" s="17">
        <f>IF($B9="","",IF(AND($N9="",$O9=""),"",_xlfn.LET(_xlpm.p,IFERROR(INDEX(rngSM_pass,MATCH("Firearms",rngSM_cat,0)),70),IF(AND($N9&lt;&gt;"",$O9&lt;&gt;"",N($N9)&gt;=_xlpm.p,N($O9)&gt;=_xlpm.p),"Yes",IF(OR(AND($N9&lt;&gt;"",N($N9)&lt;_xlpm.p),AND($O9&lt;&gt;"",N($O9)&lt;_xlpm.p)),"No","(one pending)")))))</f>
        <v/>
      </c>
    </row>
    <row r="10">
      <c r="B10" s="17">
        <f>IF(Cadets!$B10="","",Cadets!$B10)</f>
        <v/>
      </c>
      <c r="C10" s="17">
        <f>IF($B10="","",Cadets!$F10)</f>
        <v/>
      </c>
      <c r="D10" s="17">
        <f>IF($B10="","",Cadets!$I10)</f>
        <v/>
      </c>
      <c r="E10" s="17">
        <f>IF($B10="","",SUMPRODUCT((rngSM_cat&lt;&gt;"")*(COUNTIFS(nrSK_PID,$B10,nrSK_Cat,rngSM_cat)&gt;0)))</f>
        <v/>
      </c>
      <c r="F10" s="17">
        <f>IF($B10="","",SUMPRODUCT((rngSM_cat&lt;&gt;"")*(COUNTIFS(nrSK_PID,$B10,nrSK_Cat,rngSM_cat,nrSK_Status,"Qualified")&gt;0)))</f>
        <v/>
      </c>
      <c r="G10" s="17">
        <f>IF($B10="","",SUMPRODUCT((rngSM_cat&lt;&gt;"")*(COUNTIFS(nrSK_PID,$B10,nrSK_Cat,rngSM_cat,nrSK_Status,"Needs Remediation")&gt;0)))</f>
        <v/>
      </c>
      <c r="H10" s="17">
        <f>IF($B10="","",SUMPRODUCT((rngSM_cat&lt;&gt;"")*(COUNTIFS(nrSK_PID,$B10,nrSK_Cat,rngSM_cat,nrSK_Status,"Pending")&gt;0)))</f>
        <v/>
      </c>
      <c r="I10" s="17">
        <f>IF($B10="","",SUMPRODUCT((rngSM_cat&lt;&gt;"")*(COUNTIFS(nrSK_PID,$B10,nrSK_Cat,rngSM_cat,nrSK_Dis,"Yes")&gt;0)))</f>
        <v/>
      </c>
      <c r="J10" s="17">
        <f>IF($B10="","",IF($I10&gt;0,"Yes","No"))</f>
        <v/>
      </c>
      <c r="K10" s="17">
        <f>IF($B10="","",IF($J10="Yes","No",IF($G10&gt;0,"No","Yes")))</f>
        <v/>
      </c>
      <c r="L10" s="17">
        <f>IF($B10="","",IFERROR(ROUND(AVERAGEIFS(nrSK_Score,nrSK_PID,$B10,nrSK_Cat,"Firearms",nrSK_Score,"&gt;=0",nrSK_Score,"&lt;=100"),2),""))</f>
        <v/>
      </c>
      <c r="M10" s="17">
        <f>IF($B10="","",IFERROR(_xlfn.MAXIFS(nrSK_Score,nrSK_PID,$B10,nrSK_Cat,"Firearms",nrSK_Score,"&gt;=0",nrSK_Score,"&lt;=100"),""))</f>
        <v/>
      </c>
      <c r="N10" s="17">
        <f>IF($B10="","",_xlfn.LET(_xlpm.v,_xlfn.MAXIFS(nrSK_Score,nrSK_PID,$B10,nrSK_Cat,"Firearms",nrSK_CoF,1,nrSK_Score,"&gt;=0",nrSK_Score,"&lt;=100"),IF(_xlpm.v=0,"",_xlpm.v)))</f>
        <v/>
      </c>
      <c r="O10" s="17">
        <f>IF($B10="","",_xlfn.LET(_xlpm.v,_xlfn.MAXIFS(nrSK_Score,nrSK_PID,$B10,nrSK_Cat,"Firearms",nrSK_CoF,2,nrSK_Score,"&gt;=0",nrSK_Score,"&lt;=100"),IF(_xlpm.v=0,"",_xlpm.v)))</f>
        <v/>
      </c>
      <c r="P10" s="17">
        <f>IF($B10="","",IF(AND($N10="",$O10=""),"",_xlfn.LET(_xlpm.p,IFERROR(INDEX(rngSM_pass,MATCH("Firearms",rngSM_cat,0)),70),IF(AND($N10&lt;&gt;"",$O10&lt;&gt;"",N($N10)&gt;=_xlpm.p,N($O10)&gt;=_xlpm.p),"Yes",IF(OR(AND($N10&lt;&gt;"",N($N10)&lt;_xlpm.p),AND($O10&lt;&gt;"",N($O10)&lt;_xlpm.p)),"No","(one pending)")))))</f>
        <v/>
      </c>
    </row>
    <row r="11">
      <c r="B11" s="17">
        <f>IF(Cadets!$B11="","",Cadets!$B11)</f>
        <v/>
      </c>
      <c r="C11" s="17">
        <f>IF($B11="","",Cadets!$F11)</f>
        <v/>
      </c>
      <c r="D11" s="17">
        <f>IF($B11="","",Cadets!$I11)</f>
        <v/>
      </c>
      <c r="E11" s="17">
        <f>IF($B11="","",SUMPRODUCT((rngSM_cat&lt;&gt;"")*(COUNTIFS(nrSK_PID,$B11,nrSK_Cat,rngSM_cat)&gt;0)))</f>
        <v/>
      </c>
      <c r="F11" s="17">
        <f>IF($B11="","",SUMPRODUCT((rngSM_cat&lt;&gt;"")*(COUNTIFS(nrSK_PID,$B11,nrSK_Cat,rngSM_cat,nrSK_Status,"Qualified")&gt;0)))</f>
        <v/>
      </c>
      <c r="G11" s="17">
        <f>IF($B11="","",SUMPRODUCT((rngSM_cat&lt;&gt;"")*(COUNTIFS(nrSK_PID,$B11,nrSK_Cat,rngSM_cat,nrSK_Status,"Needs Remediation")&gt;0)))</f>
        <v/>
      </c>
      <c r="H11" s="17">
        <f>IF($B11="","",SUMPRODUCT((rngSM_cat&lt;&gt;"")*(COUNTIFS(nrSK_PID,$B11,nrSK_Cat,rngSM_cat,nrSK_Status,"Pending")&gt;0)))</f>
        <v/>
      </c>
      <c r="I11" s="17">
        <f>IF($B11="","",SUMPRODUCT((rngSM_cat&lt;&gt;"")*(COUNTIFS(nrSK_PID,$B11,nrSK_Cat,rngSM_cat,nrSK_Dis,"Yes")&gt;0)))</f>
        <v/>
      </c>
      <c r="J11" s="17">
        <f>IF($B11="","",IF($I11&gt;0,"Yes","No"))</f>
        <v/>
      </c>
      <c r="K11" s="17">
        <f>IF($B11="","",IF($J11="Yes","No",IF($G11&gt;0,"No","Yes")))</f>
        <v/>
      </c>
      <c r="L11" s="17">
        <f>IF($B11="","",IFERROR(ROUND(AVERAGEIFS(nrSK_Score,nrSK_PID,$B11,nrSK_Cat,"Firearms",nrSK_Score,"&gt;=0",nrSK_Score,"&lt;=100"),2),""))</f>
        <v/>
      </c>
      <c r="M11" s="17">
        <f>IF($B11="","",IFERROR(_xlfn.MAXIFS(nrSK_Score,nrSK_PID,$B11,nrSK_Cat,"Firearms",nrSK_Score,"&gt;=0",nrSK_Score,"&lt;=100"),""))</f>
        <v/>
      </c>
      <c r="N11" s="17">
        <f>IF($B11="","",_xlfn.LET(_xlpm.v,_xlfn.MAXIFS(nrSK_Score,nrSK_PID,$B11,nrSK_Cat,"Firearms",nrSK_CoF,1,nrSK_Score,"&gt;=0",nrSK_Score,"&lt;=100"),IF(_xlpm.v=0,"",_xlpm.v)))</f>
        <v/>
      </c>
      <c r="O11" s="17">
        <f>IF($B11="","",_xlfn.LET(_xlpm.v,_xlfn.MAXIFS(nrSK_Score,nrSK_PID,$B11,nrSK_Cat,"Firearms",nrSK_CoF,2,nrSK_Score,"&gt;=0",nrSK_Score,"&lt;=100"),IF(_xlpm.v=0,"",_xlpm.v)))</f>
        <v/>
      </c>
      <c r="P11" s="17">
        <f>IF($B11="","",IF(AND($N11="",$O11=""),"",_xlfn.LET(_xlpm.p,IFERROR(INDEX(rngSM_pass,MATCH("Firearms",rngSM_cat,0)),70),IF(AND($N11&lt;&gt;"",$O11&lt;&gt;"",N($N11)&gt;=_xlpm.p,N($O11)&gt;=_xlpm.p),"Yes",IF(OR(AND($N11&lt;&gt;"",N($N11)&lt;_xlpm.p),AND($O11&lt;&gt;"",N($O11)&lt;_xlpm.p)),"No","(one pending)")))))</f>
        <v/>
      </c>
    </row>
    <row r="12">
      <c r="B12" s="17">
        <f>IF(Cadets!$B12="","",Cadets!$B12)</f>
        <v/>
      </c>
      <c r="C12" s="17">
        <f>IF($B12="","",Cadets!$F12)</f>
        <v/>
      </c>
      <c r="D12" s="17">
        <f>IF($B12="","",Cadets!$I12)</f>
        <v/>
      </c>
      <c r="E12" s="17">
        <f>IF($B12="","",SUMPRODUCT((rngSM_cat&lt;&gt;"")*(COUNTIFS(nrSK_PID,$B12,nrSK_Cat,rngSM_cat)&gt;0)))</f>
        <v/>
      </c>
      <c r="F12" s="17">
        <f>IF($B12="","",SUMPRODUCT((rngSM_cat&lt;&gt;"")*(COUNTIFS(nrSK_PID,$B12,nrSK_Cat,rngSM_cat,nrSK_Status,"Qualified")&gt;0)))</f>
        <v/>
      </c>
      <c r="G12" s="17">
        <f>IF($B12="","",SUMPRODUCT((rngSM_cat&lt;&gt;"")*(COUNTIFS(nrSK_PID,$B12,nrSK_Cat,rngSM_cat,nrSK_Status,"Needs Remediation")&gt;0)))</f>
        <v/>
      </c>
      <c r="H12" s="17">
        <f>IF($B12="","",SUMPRODUCT((rngSM_cat&lt;&gt;"")*(COUNTIFS(nrSK_PID,$B12,nrSK_Cat,rngSM_cat,nrSK_Status,"Pending")&gt;0)))</f>
        <v/>
      </c>
      <c r="I12" s="17">
        <f>IF($B12="","",SUMPRODUCT((rngSM_cat&lt;&gt;"")*(COUNTIFS(nrSK_PID,$B12,nrSK_Cat,rngSM_cat,nrSK_Dis,"Yes")&gt;0)))</f>
        <v/>
      </c>
      <c r="J12" s="17">
        <f>IF($B12="","",IF($I12&gt;0,"Yes","No"))</f>
        <v/>
      </c>
      <c r="K12" s="17">
        <f>IF($B12="","",IF($J12="Yes","No",IF($G12&gt;0,"No","Yes")))</f>
        <v/>
      </c>
      <c r="L12" s="17">
        <f>IF($B12="","",IFERROR(ROUND(AVERAGEIFS(nrSK_Score,nrSK_PID,$B12,nrSK_Cat,"Firearms",nrSK_Score,"&gt;=0",nrSK_Score,"&lt;=100"),2),""))</f>
        <v/>
      </c>
      <c r="M12" s="17">
        <f>IF($B12="","",IFERROR(_xlfn.MAXIFS(nrSK_Score,nrSK_PID,$B12,nrSK_Cat,"Firearms",nrSK_Score,"&gt;=0",nrSK_Score,"&lt;=100"),""))</f>
        <v/>
      </c>
      <c r="N12" s="17">
        <f>IF($B12="","",_xlfn.LET(_xlpm.v,_xlfn.MAXIFS(nrSK_Score,nrSK_PID,$B12,nrSK_Cat,"Firearms",nrSK_CoF,1,nrSK_Score,"&gt;=0",nrSK_Score,"&lt;=100"),IF(_xlpm.v=0,"",_xlpm.v)))</f>
        <v/>
      </c>
      <c r="O12" s="17">
        <f>IF($B12="","",_xlfn.LET(_xlpm.v,_xlfn.MAXIFS(nrSK_Score,nrSK_PID,$B12,nrSK_Cat,"Firearms",nrSK_CoF,2,nrSK_Score,"&gt;=0",nrSK_Score,"&lt;=100"),IF(_xlpm.v=0,"",_xlpm.v)))</f>
        <v/>
      </c>
      <c r="P12" s="17">
        <f>IF($B12="","",IF(AND($N12="",$O12=""),"",_xlfn.LET(_xlpm.p,IFERROR(INDEX(rngSM_pass,MATCH("Firearms",rngSM_cat,0)),70),IF(AND($N12&lt;&gt;"",$O12&lt;&gt;"",N($N12)&gt;=_xlpm.p,N($O12)&gt;=_xlpm.p),"Yes",IF(OR(AND($N12&lt;&gt;"",N($N12)&lt;_xlpm.p),AND($O12&lt;&gt;"",N($O12)&lt;_xlpm.p)),"No","(one pending)")))))</f>
        <v/>
      </c>
    </row>
    <row r="13">
      <c r="B13" s="17">
        <f>IF(Cadets!$B13="","",Cadets!$B13)</f>
        <v/>
      </c>
      <c r="C13" s="17">
        <f>IF($B13="","",Cadets!$F13)</f>
        <v/>
      </c>
      <c r="D13" s="17">
        <f>IF($B13="","",Cadets!$I13)</f>
        <v/>
      </c>
      <c r="E13" s="17">
        <f>IF($B13="","",SUMPRODUCT((rngSM_cat&lt;&gt;"")*(COUNTIFS(nrSK_PID,$B13,nrSK_Cat,rngSM_cat)&gt;0)))</f>
        <v/>
      </c>
      <c r="F13" s="17">
        <f>IF($B13="","",SUMPRODUCT((rngSM_cat&lt;&gt;"")*(COUNTIFS(nrSK_PID,$B13,nrSK_Cat,rngSM_cat,nrSK_Status,"Qualified")&gt;0)))</f>
        <v/>
      </c>
      <c r="G13" s="17">
        <f>IF($B13="","",SUMPRODUCT((rngSM_cat&lt;&gt;"")*(COUNTIFS(nrSK_PID,$B13,nrSK_Cat,rngSM_cat,nrSK_Status,"Needs Remediation")&gt;0)))</f>
        <v/>
      </c>
      <c r="H13" s="17">
        <f>IF($B13="","",SUMPRODUCT((rngSM_cat&lt;&gt;"")*(COUNTIFS(nrSK_PID,$B13,nrSK_Cat,rngSM_cat,nrSK_Status,"Pending")&gt;0)))</f>
        <v/>
      </c>
      <c r="I13" s="17">
        <f>IF($B13="","",SUMPRODUCT((rngSM_cat&lt;&gt;"")*(COUNTIFS(nrSK_PID,$B13,nrSK_Cat,rngSM_cat,nrSK_Dis,"Yes")&gt;0)))</f>
        <v/>
      </c>
      <c r="J13" s="17">
        <f>IF($B13="","",IF($I13&gt;0,"Yes","No"))</f>
        <v/>
      </c>
      <c r="K13" s="17">
        <f>IF($B13="","",IF($J13="Yes","No",IF($G13&gt;0,"No","Yes")))</f>
        <v/>
      </c>
      <c r="L13" s="17">
        <f>IF($B13="","",IFERROR(ROUND(AVERAGEIFS(nrSK_Score,nrSK_PID,$B13,nrSK_Cat,"Firearms",nrSK_Score,"&gt;=0",nrSK_Score,"&lt;=100"),2),""))</f>
        <v/>
      </c>
      <c r="M13" s="17">
        <f>IF($B13="","",IFERROR(_xlfn.MAXIFS(nrSK_Score,nrSK_PID,$B13,nrSK_Cat,"Firearms",nrSK_Score,"&gt;=0",nrSK_Score,"&lt;=100"),""))</f>
        <v/>
      </c>
      <c r="N13" s="17">
        <f>IF($B13="","",_xlfn.LET(_xlpm.v,_xlfn.MAXIFS(nrSK_Score,nrSK_PID,$B13,nrSK_Cat,"Firearms",nrSK_CoF,1,nrSK_Score,"&gt;=0",nrSK_Score,"&lt;=100"),IF(_xlpm.v=0,"",_xlpm.v)))</f>
        <v/>
      </c>
      <c r="O13" s="17">
        <f>IF($B13="","",_xlfn.LET(_xlpm.v,_xlfn.MAXIFS(nrSK_Score,nrSK_PID,$B13,nrSK_Cat,"Firearms",nrSK_CoF,2,nrSK_Score,"&gt;=0",nrSK_Score,"&lt;=100"),IF(_xlpm.v=0,"",_xlpm.v)))</f>
        <v/>
      </c>
      <c r="P13" s="17">
        <f>IF($B13="","",IF(AND($N13="",$O13=""),"",_xlfn.LET(_xlpm.p,IFERROR(INDEX(rngSM_pass,MATCH("Firearms",rngSM_cat,0)),70),IF(AND($N13&lt;&gt;"",$O13&lt;&gt;"",N($N13)&gt;=_xlpm.p,N($O13)&gt;=_xlpm.p),"Yes",IF(OR(AND($N13&lt;&gt;"",N($N13)&lt;_xlpm.p),AND($O13&lt;&gt;"",N($O13)&lt;_xlpm.p)),"No","(one pending)")))))</f>
        <v/>
      </c>
    </row>
    <row r="14">
      <c r="B14" s="17">
        <f>IF(Cadets!$B14="","",Cadets!$B14)</f>
        <v/>
      </c>
      <c r="C14" s="17">
        <f>IF($B14="","",Cadets!$F14)</f>
        <v/>
      </c>
      <c r="D14" s="17">
        <f>IF($B14="","",Cadets!$I14)</f>
        <v/>
      </c>
      <c r="E14" s="17">
        <f>IF($B14="","",SUMPRODUCT((rngSM_cat&lt;&gt;"")*(COUNTIFS(nrSK_PID,$B14,nrSK_Cat,rngSM_cat)&gt;0)))</f>
        <v/>
      </c>
      <c r="F14" s="17">
        <f>IF($B14="","",SUMPRODUCT((rngSM_cat&lt;&gt;"")*(COUNTIFS(nrSK_PID,$B14,nrSK_Cat,rngSM_cat,nrSK_Status,"Qualified")&gt;0)))</f>
        <v/>
      </c>
      <c r="G14" s="17">
        <f>IF($B14="","",SUMPRODUCT((rngSM_cat&lt;&gt;"")*(COUNTIFS(nrSK_PID,$B14,nrSK_Cat,rngSM_cat,nrSK_Status,"Needs Remediation")&gt;0)))</f>
        <v/>
      </c>
      <c r="H14" s="17">
        <f>IF($B14="","",SUMPRODUCT((rngSM_cat&lt;&gt;"")*(COUNTIFS(nrSK_PID,$B14,nrSK_Cat,rngSM_cat,nrSK_Status,"Pending")&gt;0)))</f>
        <v/>
      </c>
      <c r="I14" s="17">
        <f>IF($B14="","",SUMPRODUCT((rngSM_cat&lt;&gt;"")*(COUNTIFS(nrSK_PID,$B14,nrSK_Cat,rngSM_cat,nrSK_Dis,"Yes")&gt;0)))</f>
        <v/>
      </c>
      <c r="J14" s="17">
        <f>IF($B14="","",IF($I14&gt;0,"Yes","No"))</f>
        <v/>
      </c>
      <c r="K14" s="17">
        <f>IF($B14="","",IF($J14="Yes","No",IF($G14&gt;0,"No","Yes")))</f>
        <v/>
      </c>
      <c r="L14" s="17">
        <f>IF($B14="","",IFERROR(ROUND(AVERAGEIFS(nrSK_Score,nrSK_PID,$B14,nrSK_Cat,"Firearms",nrSK_Score,"&gt;=0",nrSK_Score,"&lt;=100"),2),""))</f>
        <v/>
      </c>
      <c r="M14" s="17">
        <f>IF($B14="","",IFERROR(_xlfn.MAXIFS(nrSK_Score,nrSK_PID,$B14,nrSK_Cat,"Firearms",nrSK_Score,"&gt;=0",nrSK_Score,"&lt;=100"),""))</f>
        <v/>
      </c>
      <c r="N14" s="17">
        <f>IF($B14="","",_xlfn.LET(_xlpm.v,_xlfn.MAXIFS(nrSK_Score,nrSK_PID,$B14,nrSK_Cat,"Firearms",nrSK_CoF,1,nrSK_Score,"&gt;=0",nrSK_Score,"&lt;=100"),IF(_xlpm.v=0,"",_xlpm.v)))</f>
        <v/>
      </c>
      <c r="O14" s="17">
        <f>IF($B14="","",_xlfn.LET(_xlpm.v,_xlfn.MAXIFS(nrSK_Score,nrSK_PID,$B14,nrSK_Cat,"Firearms",nrSK_CoF,2,nrSK_Score,"&gt;=0",nrSK_Score,"&lt;=100"),IF(_xlpm.v=0,"",_xlpm.v)))</f>
        <v/>
      </c>
      <c r="P14" s="17">
        <f>IF($B14="","",IF(AND($N14="",$O14=""),"",_xlfn.LET(_xlpm.p,IFERROR(INDEX(rngSM_pass,MATCH("Firearms",rngSM_cat,0)),70),IF(AND($N14&lt;&gt;"",$O14&lt;&gt;"",N($N14)&gt;=_xlpm.p,N($O14)&gt;=_xlpm.p),"Yes",IF(OR(AND($N14&lt;&gt;"",N($N14)&lt;_xlpm.p),AND($O14&lt;&gt;"",N($O14)&lt;_xlpm.p)),"No","(one pending)")))))</f>
        <v/>
      </c>
    </row>
    <row r="15">
      <c r="B15" s="17">
        <f>IF(Cadets!$B15="","",Cadets!$B15)</f>
        <v/>
      </c>
      <c r="C15" s="17">
        <f>IF($B15="","",Cadets!$F15)</f>
        <v/>
      </c>
      <c r="D15" s="17">
        <f>IF($B15="","",Cadets!$I15)</f>
        <v/>
      </c>
      <c r="E15" s="17">
        <f>IF($B15="","",SUMPRODUCT((rngSM_cat&lt;&gt;"")*(COUNTIFS(nrSK_PID,$B15,nrSK_Cat,rngSM_cat)&gt;0)))</f>
        <v/>
      </c>
      <c r="F15" s="17">
        <f>IF($B15="","",SUMPRODUCT((rngSM_cat&lt;&gt;"")*(COUNTIFS(nrSK_PID,$B15,nrSK_Cat,rngSM_cat,nrSK_Status,"Qualified")&gt;0)))</f>
        <v/>
      </c>
      <c r="G15" s="17">
        <f>IF($B15="","",SUMPRODUCT((rngSM_cat&lt;&gt;"")*(COUNTIFS(nrSK_PID,$B15,nrSK_Cat,rngSM_cat,nrSK_Status,"Needs Remediation")&gt;0)))</f>
        <v/>
      </c>
      <c r="H15" s="17">
        <f>IF($B15="","",SUMPRODUCT((rngSM_cat&lt;&gt;"")*(COUNTIFS(nrSK_PID,$B15,nrSK_Cat,rngSM_cat,nrSK_Status,"Pending")&gt;0)))</f>
        <v/>
      </c>
      <c r="I15" s="17">
        <f>IF($B15="","",SUMPRODUCT((rngSM_cat&lt;&gt;"")*(COUNTIFS(nrSK_PID,$B15,nrSK_Cat,rngSM_cat,nrSK_Dis,"Yes")&gt;0)))</f>
        <v/>
      </c>
      <c r="J15" s="17">
        <f>IF($B15="","",IF($I15&gt;0,"Yes","No"))</f>
        <v/>
      </c>
      <c r="K15" s="17">
        <f>IF($B15="","",IF($J15="Yes","No",IF($G15&gt;0,"No","Yes")))</f>
        <v/>
      </c>
      <c r="L15" s="17">
        <f>IF($B15="","",IFERROR(ROUND(AVERAGEIFS(nrSK_Score,nrSK_PID,$B15,nrSK_Cat,"Firearms",nrSK_Score,"&gt;=0",nrSK_Score,"&lt;=100"),2),""))</f>
        <v/>
      </c>
      <c r="M15" s="17">
        <f>IF($B15="","",IFERROR(_xlfn.MAXIFS(nrSK_Score,nrSK_PID,$B15,nrSK_Cat,"Firearms",nrSK_Score,"&gt;=0",nrSK_Score,"&lt;=100"),""))</f>
        <v/>
      </c>
      <c r="N15" s="17">
        <f>IF($B15="","",_xlfn.LET(_xlpm.v,_xlfn.MAXIFS(nrSK_Score,nrSK_PID,$B15,nrSK_Cat,"Firearms",nrSK_CoF,1,nrSK_Score,"&gt;=0",nrSK_Score,"&lt;=100"),IF(_xlpm.v=0,"",_xlpm.v)))</f>
        <v/>
      </c>
      <c r="O15" s="17">
        <f>IF($B15="","",_xlfn.LET(_xlpm.v,_xlfn.MAXIFS(nrSK_Score,nrSK_PID,$B15,nrSK_Cat,"Firearms",nrSK_CoF,2,nrSK_Score,"&gt;=0",nrSK_Score,"&lt;=100"),IF(_xlpm.v=0,"",_xlpm.v)))</f>
        <v/>
      </c>
      <c r="P15" s="17">
        <f>IF($B15="","",IF(AND($N15="",$O15=""),"",_xlfn.LET(_xlpm.p,IFERROR(INDEX(rngSM_pass,MATCH("Firearms",rngSM_cat,0)),70),IF(AND($N15&lt;&gt;"",$O15&lt;&gt;"",N($N15)&gt;=_xlpm.p,N($O15)&gt;=_xlpm.p),"Yes",IF(OR(AND($N15&lt;&gt;"",N($N15)&lt;_xlpm.p),AND($O15&lt;&gt;"",N($O15)&lt;_xlpm.p)),"No","(one pending)")))))</f>
        <v/>
      </c>
    </row>
    <row r="16">
      <c r="B16" s="17">
        <f>IF(Cadets!$B16="","",Cadets!$B16)</f>
        <v/>
      </c>
      <c r="C16" s="17">
        <f>IF($B16="","",Cadets!$F16)</f>
        <v/>
      </c>
      <c r="D16" s="17">
        <f>IF($B16="","",Cadets!$I16)</f>
        <v/>
      </c>
      <c r="E16" s="17">
        <f>IF($B16="","",SUMPRODUCT((rngSM_cat&lt;&gt;"")*(COUNTIFS(nrSK_PID,$B16,nrSK_Cat,rngSM_cat)&gt;0)))</f>
        <v/>
      </c>
      <c r="F16" s="17">
        <f>IF($B16="","",SUMPRODUCT((rngSM_cat&lt;&gt;"")*(COUNTIFS(nrSK_PID,$B16,nrSK_Cat,rngSM_cat,nrSK_Status,"Qualified")&gt;0)))</f>
        <v/>
      </c>
      <c r="G16" s="17">
        <f>IF($B16="","",SUMPRODUCT((rngSM_cat&lt;&gt;"")*(COUNTIFS(nrSK_PID,$B16,nrSK_Cat,rngSM_cat,nrSK_Status,"Needs Remediation")&gt;0)))</f>
        <v/>
      </c>
      <c r="H16" s="17">
        <f>IF($B16="","",SUMPRODUCT((rngSM_cat&lt;&gt;"")*(COUNTIFS(nrSK_PID,$B16,nrSK_Cat,rngSM_cat,nrSK_Status,"Pending")&gt;0)))</f>
        <v/>
      </c>
      <c r="I16" s="17">
        <f>IF($B16="","",SUMPRODUCT((rngSM_cat&lt;&gt;"")*(COUNTIFS(nrSK_PID,$B16,nrSK_Cat,rngSM_cat,nrSK_Dis,"Yes")&gt;0)))</f>
        <v/>
      </c>
      <c r="J16" s="17">
        <f>IF($B16="","",IF($I16&gt;0,"Yes","No"))</f>
        <v/>
      </c>
      <c r="K16" s="17">
        <f>IF($B16="","",IF($J16="Yes","No",IF($G16&gt;0,"No","Yes")))</f>
        <v/>
      </c>
      <c r="L16" s="17">
        <f>IF($B16="","",IFERROR(ROUND(AVERAGEIFS(nrSK_Score,nrSK_PID,$B16,nrSK_Cat,"Firearms",nrSK_Score,"&gt;=0",nrSK_Score,"&lt;=100"),2),""))</f>
        <v/>
      </c>
      <c r="M16" s="17">
        <f>IF($B16="","",IFERROR(_xlfn.MAXIFS(nrSK_Score,nrSK_PID,$B16,nrSK_Cat,"Firearms",nrSK_Score,"&gt;=0",nrSK_Score,"&lt;=100"),""))</f>
        <v/>
      </c>
      <c r="N16" s="17">
        <f>IF($B16="","",_xlfn.LET(_xlpm.v,_xlfn.MAXIFS(nrSK_Score,nrSK_PID,$B16,nrSK_Cat,"Firearms",nrSK_CoF,1,nrSK_Score,"&gt;=0",nrSK_Score,"&lt;=100"),IF(_xlpm.v=0,"",_xlpm.v)))</f>
        <v/>
      </c>
      <c r="O16" s="17">
        <f>IF($B16="","",_xlfn.LET(_xlpm.v,_xlfn.MAXIFS(nrSK_Score,nrSK_PID,$B16,nrSK_Cat,"Firearms",nrSK_CoF,2,nrSK_Score,"&gt;=0",nrSK_Score,"&lt;=100"),IF(_xlpm.v=0,"",_xlpm.v)))</f>
        <v/>
      </c>
      <c r="P16" s="17">
        <f>IF($B16="","",IF(AND($N16="",$O16=""),"",_xlfn.LET(_xlpm.p,IFERROR(INDEX(rngSM_pass,MATCH("Firearms",rngSM_cat,0)),70),IF(AND($N16&lt;&gt;"",$O16&lt;&gt;"",N($N16)&gt;=_xlpm.p,N($O16)&gt;=_xlpm.p),"Yes",IF(OR(AND($N16&lt;&gt;"",N($N16)&lt;_xlpm.p),AND($O16&lt;&gt;"",N($O16)&lt;_xlpm.p)),"No","(one pending)")))))</f>
        <v/>
      </c>
    </row>
    <row r="17">
      <c r="B17" s="17">
        <f>IF(Cadets!$B17="","",Cadets!$B17)</f>
        <v/>
      </c>
      <c r="C17" s="17">
        <f>IF($B17="","",Cadets!$F17)</f>
        <v/>
      </c>
      <c r="D17" s="17">
        <f>IF($B17="","",Cadets!$I17)</f>
        <v/>
      </c>
      <c r="E17" s="17">
        <f>IF($B17="","",SUMPRODUCT((rngSM_cat&lt;&gt;"")*(COUNTIFS(nrSK_PID,$B17,nrSK_Cat,rngSM_cat)&gt;0)))</f>
        <v/>
      </c>
      <c r="F17" s="17">
        <f>IF($B17="","",SUMPRODUCT((rngSM_cat&lt;&gt;"")*(COUNTIFS(nrSK_PID,$B17,nrSK_Cat,rngSM_cat,nrSK_Status,"Qualified")&gt;0)))</f>
        <v/>
      </c>
      <c r="G17" s="17">
        <f>IF($B17="","",SUMPRODUCT((rngSM_cat&lt;&gt;"")*(COUNTIFS(nrSK_PID,$B17,nrSK_Cat,rngSM_cat,nrSK_Status,"Needs Remediation")&gt;0)))</f>
        <v/>
      </c>
      <c r="H17" s="17">
        <f>IF($B17="","",SUMPRODUCT((rngSM_cat&lt;&gt;"")*(COUNTIFS(nrSK_PID,$B17,nrSK_Cat,rngSM_cat,nrSK_Status,"Pending")&gt;0)))</f>
        <v/>
      </c>
      <c r="I17" s="17">
        <f>IF($B17="","",SUMPRODUCT((rngSM_cat&lt;&gt;"")*(COUNTIFS(nrSK_PID,$B17,nrSK_Cat,rngSM_cat,nrSK_Dis,"Yes")&gt;0)))</f>
        <v/>
      </c>
      <c r="J17" s="17">
        <f>IF($B17="","",IF($I17&gt;0,"Yes","No"))</f>
        <v/>
      </c>
      <c r="K17" s="17">
        <f>IF($B17="","",IF($J17="Yes","No",IF($G17&gt;0,"No","Yes")))</f>
        <v/>
      </c>
      <c r="L17" s="17">
        <f>IF($B17="","",IFERROR(ROUND(AVERAGEIFS(nrSK_Score,nrSK_PID,$B17,nrSK_Cat,"Firearms",nrSK_Score,"&gt;=0",nrSK_Score,"&lt;=100"),2),""))</f>
        <v/>
      </c>
      <c r="M17" s="17">
        <f>IF($B17="","",IFERROR(_xlfn.MAXIFS(nrSK_Score,nrSK_PID,$B17,nrSK_Cat,"Firearms",nrSK_Score,"&gt;=0",nrSK_Score,"&lt;=100"),""))</f>
        <v/>
      </c>
      <c r="N17" s="17">
        <f>IF($B17="","",_xlfn.LET(_xlpm.v,_xlfn.MAXIFS(nrSK_Score,nrSK_PID,$B17,nrSK_Cat,"Firearms",nrSK_CoF,1,nrSK_Score,"&gt;=0",nrSK_Score,"&lt;=100"),IF(_xlpm.v=0,"",_xlpm.v)))</f>
        <v/>
      </c>
      <c r="O17" s="17">
        <f>IF($B17="","",_xlfn.LET(_xlpm.v,_xlfn.MAXIFS(nrSK_Score,nrSK_PID,$B17,nrSK_Cat,"Firearms",nrSK_CoF,2,nrSK_Score,"&gt;=0",nrSK_Score,"&lt;=100"),IF(_xlpm.v=0,"",_xlpm.v)))</f>
        <v/>
      </c>
      <c r="P17" s="17">
        <f>IF($B17="","",IF(AND($N17="",$O17=""),"",_xlfn.LET(_xlpm.p,IFERROR(INDEX(rngSM_pass,MATCH("Firearms",rngSM_cat,0)),70),IF(AND($N17&lt;&gt;"",$O17&lt;&gt;"",N($N17)&gt;=_xlpm.p,N($O17)&gt;=_xlpm.p),"Yes",IF(OR(AND($N17&lt;&gt;"",N($N17)&lt;_xlpm.p),AND($O17&lt;&gt;"",N($O17)&lt;_xlpm.p)),"No","(one pending)")))))</f>
        <v/>
      </c>
    </row>
    <row r="18">
      <c r="B18" s="17">
        <f>IF(Cadets!$B18="","",Cadets!$B18)</f>
        <v/>
      </c>
      <c r="C18" s="17">
        <f>IF($B18="","",Cadets!$F18)</f>
        <v/>
      </c>
      <c r="D18" s="17">
        <f>IF($B18="","",Cadets!$I18)</f>
        <v/>
      </c>
      <c r="E18" s="17">
        <f>IF($B18="","",SUMPRODUCT((rngSM_cat&lt;&gt;"")*(COUNTIFS(nrSK_PID,$B18,nrSK_Cat,rngSM_cat)&gt;0)))</f>
        <v/>
      </c>
      <c r="F18" s="17">
        <f>IF($B18="","",SUMPRODUCT((rngSM_cat&lt;&gt;"")*(COUNTIFS(nrSK_PID,$B18,nrSK_Cat,rngSM_cat,nrSK_Status,"Qualified")&gt;0)))</f>
        <v/>
      </c>
      <c r="G18" s="17">
        <f>IF($B18="","",SUMPRODUCT((rngSM_cat&lt;&gt;"")*(COUNTIFS(nrSK_PID,$B18,nrSK_Cat,rngSM_cat,nrSK_Status,"Needs Remediation")&gt;0)))</f>
        <v/>
      </c>
      <c r="H18" s="17">
        <f>IF($B18="","",SUMPRODUCT((rngSM_cat&lt;&gt;"")*(COUNTIFS(nrSK_PID,$B18,nrSK_Cat,rngSM_cat,nrSK_Status,"Pending")&gt;0)))</f>
        <v/>
      </c>
      <c r="I18" s="17">
        <f>IF($B18="","",SUMPRODUCT((rngSM_cat&lt;&gt;"")*(COUNTIFS(nrSK_PID,$B18,nrSK_Cat,rngSM_cat,nrSK_Dis,"Yes")&gt;0)))</f>
        <v/>
      </c>
      <c r="J18" s="17">
        <f>IF($B18="","",IF($I18&gt;0,"Yes","No"))</f>
        <v/>
      </c>
      <c r="K18" s="17">
        <f>IF($B18="","",IF($J18="Yes","No",IF($G18&gt;0,"No","Yes")))</f>
        <v/>
      </c>
      <c r="L18" s="17">
        <f>IF($B18="","",IFERROR(ROUND(AVERAGEIFS(nrSK_Score,nrSK_PID,$B18,nrSK_Cat,"Firearms",nrSK_Score,"&gt;=0",nrSK_Score,"&lt;=100"),2),""))</f>
        <v/>
      </c>
      <c r="M18" s="17">
        <f>IF($B18="","",IFERROR(_xlfn.MAXIFS(nrSK_Score,nrSK_PID,$B18,nrSK_Cat,"Firearms",nrSK_Score,"&gt;=0",nrSK_Score,"&lt;=100"),""))</f>
        <v/>
      </c>
      <c r="N18" s="17">
        <f>IF($B18="","",_xlfn.LET(_xlpm.v,_xlfn.MAXIFS(nrSK_Score,nrSK_PID,$B18,nrSK_Cat,"Firearms",nrSK_CoF,1,nrSK_Score,"&gt;=0",nrSK_Score,"&lt;=100"),IF(_xlpm.v=0,"",_xlpm.v)))</f>
        <v/>
      </c>
      <c r="O18" s="17">
        <f>IF($B18="","",_xlfn.LET(_xlpm.v,_xlfn.MAXIFS(nrSK_Score,nrSK_PID,$B18,nrSK_Cat,"Firearms",nrSK_CoF,2,nrSK_Score,"&gt;=0",nrSK_Score,"&lt;=100"),IF(_xlpm.v=0,"",_xlpm.v)))</f>
        <v/>
      </c>
      <c r="P18" s="17">
        <f>IF($B18="","",IF(AND($N18="",$O18=""),"",_xlfn.LET(_xlpm.p,IFERROR(INDEX(rngSM_pass,MATCH("Firearms",rngSM_cat,0)),70),IF(AND($N18&lt;&gt;"",$O18&lt;&gt;"",N($N18)&gt;=_xlpm.p,N($O18)&gt;=_xlpm.p),"Yes",IF(OR(AND($N18&lt;&gt;"",N($N18)&lt;_xlpm.p),AND($O18&lt;&gt;"",N($O18)&lt;_xlpm.p)),"No","(one pending)")))))</f>
        <v/>
      </c>
    </row>
    <row r="19">
      <c r="B19" s="17">
        <f>IF(Cadets!$B19="","",Cadets!$B19)</f>
        <v/>
      </c>
      <c r="C19" s="17">
        <f>IF($B19="","",Cadets!$F19)</f>
        <v/>
      </c>
      <c r="D19" s="17">
        <f>IF($B19="","",Cadets!$I19)</f>
        <v/>
      </c>
      <c r="E19" s="17">
        <f>IF($B19="","",SUMPRODUCT((rngSM_cat&lt;&gt;"")*(COUNTIFS(nrSK_PID,$B19,nrSK_Cat,rngSM_cat)&gt;0)))</f>
        <v/>
      </c>
      <c r="F19" s="17">
        <f>IF($B19="","",SUMPRODUCT((rngSM_cat&lt;&gt;"")*(COUNTIFS(nrSK_PID,$B19,nrSK_Cat,rngSM_cat,nrSK_Status,"Qualified")&gt;0)))</f>
        <v/>
      </c>
      <c r="G19" s="17">
        <f>IF($B19="","",SUMPRODUCT((rngSM_cat&lt;&gt;"")*(COUNTIFS(nrSK_PID,$B19,nrSK_Cat,rngSM_cat,nrSK_Status,"Needs Remediation")&gt;0)))</f>
        <v/>
      </c>
      <c r="H19" s="17">
        <f>IF($B19="","",SUMPRODUCT((rngSM_cat&lt;&gt;"")*(COUNTIFS(nrSK_PID,$B19,nrSK_Cat,rngSM_cat,nrSK_Status,"Pending")&gt;0)))</f>
        <v/>
      </c>
      <c r="I19" s="17">
        <f>IF($B19="","",SUMPRODUCT((rngSM_cat&lt;&gt;"")*(COUNTIFS(nrSK_PID,$B19,nrSK_Cat,rngSM_cat,nrSK_Dis,"Yes")&gt;0)))</f>
        <v/>
      </c>
      <c r="J19" s="17">
        <f>IF($B19="","",IF($I19&gt;0,"Yes","No"))</f>
        <v/>
      </c>
      <c r="K19" s="17">
        <f>IF($B19="","",IF($J19="Yes","No",IF($G19&gt;0,"No","Yes")))</f>
        <v/>
      </c>
      <c r="L19" s="17">
        <f>IF($B19="","",IFERROR(ROUND(AVERAGEIFS(nrSK_Score,nrSK_PID,$B19,nrSK_Cat,"Firearms",nrSK_Score,"&gt;=0",nrSK_Score,"&lt;=100"),2),""))</f>
        <v/>
      </c>
      <c r="M19" s="17">
        <f>IF($B19="","",IFERROR(_xlfn.MAXIFS(nrSK_Score,nrSK_PID,$B19,nrSK_Cat,"Firearms",nrSK_Score,"&gt;=0",nrSK_Score,"&lt;=100"),""))</f>
        <v/>
      </c>
      <c r="N19" s="17">
        <f>IF($B19="","",_xlfn.LET(_xlpm.v,_xlfn.MAXIFS(nrSK_Score,nrSK_PID,$B19,nrSK_Cat,"Firearms",nrSK_CoF,1,nrSK_Score,"&gt;=0",nrSK_Score,"&lt;=100"),IF(_xlpm.v=0,"",_xlpm.v)))</f>
        <v/>
      </c>
      <c r="O19" s="17">
        <f>IF($B19="","",_xlfn.LET(_xlpm.v,_xlfn.MAXIFS(nrSK_Score,nrSK_PID,$B19,nrSK_Cat,"Firearms",nrSK_CoF,2,nrSK_Score,"&gt;=0",nrSK_Score,"&lt;=100"),IF(_xlpm.v=0,"",_xlpm.v)))</f>
        <v/>
      </c>
      <c r="P19" s="17">
        <f>IF($B19="","",IF(AND($N19="",$O19=""),"",_xlfn.LET(_xlpm.p,IFERROR(INDEX(rngSM_pass,MATCH("Firearms",rngSM_cat,0)),70),IF(AND($N19&lt;&gt;"",$O19&lt;&gt;"",N($N19)&gt;=_xlpm.p,N($O19)&gt;=_xlpm.p),"Yes",IF(OR(AND($N19&lt;&gt;"",N($N19)&lt;_xlpm.p),AND($O19&lt;&gt;"",N($O19)&lt;_xlpm.p)),"No","(one pending)")))))</f>
        <v/>
      </c>
    </row>
    <row r="20">
      <c r="B20" s="17">
        <f>IF(Cadets!$B20="","",Cadets!$B20)</f>
        <v/>
      </c>
      <c r="C20" s="17">
        <f>IF($B20="","",Cadets!$F20)</f>
        <v/>
      </c>
      <c r="D20" s="17">
        <f>IF($B20="","",Cadets!$I20)</f>
        <v/>
      </c>
      <c r="E20" s="17">
        <f>IF($B20="","",SUMPRODUCT((rngSM_cat&lt;&gt;"")*(COUNTIFS(nrSK_PID,$B20,nrSK_Cat,rngSM_cat)&gt;0)))</f>
        <v/>
      </c>
      <c r="F20" s="17">
        <f>IF($B20="","",SUMPRODUCT((rngSM_cat&lt;&gt;"")*(COUNTIFS(nrSK_PID,$B20,nrSK_Cat,rngSM_cat,nrSK_Status,"Qualified")&gt;0)))</f>
        <v/>
      </c>
      <c r="G20" s="17">
        <f>IF($B20="","",SUMPRODUCT((rngSM_cat&lt;&gt;"")*(COUNTIFS(nrSK_PID,$B20,nrSK_Cat,rngSM_cat,nrSK_Status,"Needs Remediation")&gt;0)))</f>
        <v/>
      </c>
      <c r="H20" s="17">
        <f>IF($B20="","",SUMPRODUCT((rngSM_cat&lt;&gt;"")*(COUNTIFS(nrSK_PID,$B20,nrSK_Cat,rngSM_cat,nrSK_Status,"Pending")&gt;0)))</f>
        <v/>
      </c>
      <c r="I20" s="17">
        <f>IF($B20="","",SUMPRODUCT((rngSM_cat&lt;&gt;"")*(COUNTIFS(nrSK_PID,$B20,nrSK_Cat,rngSM_cat,nrSK_Dis,"Yes")&gt;0)))</f>
        <v/>
      </c>
      <c r="J20" s="17">
        <f>IF($B20="","",IF($I20&gt;0,"Yes","No"))</f>
        <v/>
      </c>
      <c r="K20" s="17">
        <f>IF($B20="","",IF($J20="Yes","No",IF($G20&gt;0,"No","Yes")))</f>
        <v/>
      </c>
      <c r="L20" s="17">
        <f>IF($B20="","",IFERROR(ROUND(AVERAGEIFS(nrSK_Score,nrSK_PID,$B20,nrSK_Cat,"Firearms",nrSK_Score,"&gt;=0",nrSK_Score,"&lt;=100"),2),""))</f>
        <v/>
      </c>
      <c r="M20" s="17">
        <f>IF($B20="","",IFERROR(_xlfn.MAXIFS(nrSK_Score,nrSK_PID,$B20,nrSK_Cat,"Firearms",nrSK_Score,"&gt;=0",nrSK_Score,"&lt;=100"),""))</f>
        <v/>
      </c>
      <c r="N20" s="17">
        <f>IF($B20="","",_xlfn.LET(_xlpm.v,_xlfn.MAXIFS(nrSK_Score,nrSK_PID,$B20,nrSK_Cat,"Firearms",nrSK_CoF,1,nrSK_Score,"&gt;=0",nrSK_Score,"&lt;=100"),IF(_xlpm.v=0,"",_xlpm.v)))</f>
        <v/>
      </c>
      <c r="O20" s="17">
        <f>IF($B20="","",_xlfn.LET(_xlpm.v,_xlfn.MAXIFS(nrSK_Score,nrSK_PID,$B20,nrSK_Cat,"Firearms",nrSK_CoF,2,nrSK_Score,"&gt;=0",nrSK_Score,"&lt;=100"),IF(_xlpm.v=0,"",_xlpm.v)))</f>
        <v/>
      </c>
      <c r="P20" s="17">
        <f>IF($B20="","",IF(AND($N20="",$O20=""),"",_xlfn.LET(_xlpm.p,IFERROR(INDEX(rngSM_pass,MATCH("Firearms",rngSM_cat,0)),70),IF(AND($N20&lt;&gt;"",$O20&lt;&gt;"",N($N20)&gt;=_xlpm.p,N($O20)&gt;=_xlpm.p),"Yes",IF(OR(AND($N20&lt;&gt;"",N($N20)&lt;_xlpm.p),AND($O20&lt;&gt;"",N($O20)&lt;_xlpm.p)),"No","(one pending)")))))</f>
        <v/>
      </c>
    </row>
    <row r="21">
      <c r="B21" s="17">
        <f>IF(Cadets!$B21="","",Cadets!$B21)</f>
        <v/>
      </c>
      <c r="C21" s="17">
        <f>IF($B21="","",Cadets!$F21)</f>
        <v/>
      </c>
      <c r="D21" s="17">
        <f>IF($B21="","",Cadets!$I21)</f>
        <v/>
      </c>
      <c r="E21" s="17">
        <f>IF($B21="","",SUMPRODUCT((rngSM_cat&lt;&gt;"")*(COUNTIFS(nrSK_PID,$B21,nrSK_Cat,rngSM_cat)&gt;0)))</f>
        <v/>
      </c>
      <c r="F21" s="17">
        <f>IF($B21="","",SUMPRODUCT((rngSM_cat&lt;&gt;"")*(COUNTIFS(nrSK_PID,$B21,nrSK_Cat,rngSM_cat,nrSK_Status,"Qualified")&gt;0)))</f>
        <v/>
      </c>
      <c r="G21" s="17">
        <f>IF($B21="","",SUMPRODUCT((rngSM_cat&lt;&gt;"")*(COUNTIFS(nrSK_PID,$B21,nrSK_Cat,rngSM_cat,nrSK_Status,"Needs Remediation")&gt;0)))</f>
        <v/>
      </c>
      <c r="H21" s="17">
        <f>IF($B21="","",SUMPRODUCT((rngSM_cat&lt;&gt;"")*(COUNTIFS(nrSK_PID,$B21,nrSK_Cat,rngSM_cat,nrSK_Status,"Pending")&gt;0)))</f>
        <v/>
      </c>
      <c r="I21" s="17">
        <f>IF($B21="","",SUMPRODUCT((rngSM_cat&lt;&gt;"")*(COUNTIFS(nrSK_PID,$B21,nrSK_Cat,rngSM_cat,nrSK_Dis,"Yes")&gt;0)))</f>
        <v/>
      </c>
      <c r="J21" s="17">
        <f>IF($B21="","",IF($I21&gt;0,"Yes","No"))</f>
        <v/>
      </c>
      <c r="K21" s="17">
        <f>IF($B21="","",IF($J21="Yes","No",IF($G21&gt;0,"No","Yes")))</f>
        <v/>
      </c>
      <c r="L21" s="17">
        <f>IF($B21="","",IFERROR(ROUND(AVERAGEIFS(nrSK_Score,nrSK_PID,$B21,nrSK_Cat,"Firearms",nrSK_Score,"&gt;=0",nrSK_Score,"&lt;=100"),2),""))</f>
        <v/>
      </c>
      <c r="M21" s="17">
        <f>IF($B21="","",IFERROR(_xlfn.MAXIFS(nrSK_Score,nrSK_PID,$B21,nrSK_Cat,"Firearms",nrSK_Score,"&gt;=0",nrSK_Score,"&lt;=100"),""))</f>
        <v/>
      </c>
      <c r="N21" s="17">
        <f>IF($B21="","",_xlfn.LET(_xlpm.v,_xlfn.MAXIFS(nrSK_Score,nrSK_PID,$B21,nrSK_Cat,"Firearms",nrSK_CoF,1,nrSK_Score,"&gt;=0",nrSK_Score,"&lt;=100"),IF(_xlpm.v=0,"",_xlpm.v)))</f>
        <v/>
      </c>
      <c r="O21" s="17">
        <f>IF($B21="","",_xlfn.LET(_xlpm.v,_xlfn.MAXIFS(nrSK_Score,nrSK_PID,$B21,nrSK_Cat,"Firearms",nrSK_CoF,2,nrSK_Score,"&gt;=0",nrSK_Score,"&lt;=100"),IF(_xlpm.v=0,"",_xlpm.v)))</f>
        <v/>
      </c>
      <c r="P21" s="17">
        <f>IF($B21="","",IF(AND($N21="",$O21=""),"",_xlfn.LET(_xlpm.p,IFERROR(INDEX(rngSM_pass,MATCH("Firearms",rngSM_cat,0)),70),IF(AND($N21&lt;&gt;"",$O21&lt;&gt;"",N($N21)&gt;=_xlpm.p,N($O21)&gt;=_xlpm.p),"Yes",IF(OR(AND($N21&lt;&gt;"",N($N21)&lt;_xlpm.p),AND($O21&lt;&gt;"",N($O21)&lt;_xlpm.p)),"No","(one pending)")))))</f>
        <v/>
      </c>
    </row>
    <row r="22">
      <c r="B22" s="17">
        <f>IF(Cadets!$B22="","",Cadets!$B22)</f>
        <v/>
      </c>
      <c r="C22" s="17">
        <f>IF($B22="","",Cadets!$F22)</f>
        <v/>
      </c>
      <c r="D22" s="17">
        <f>IF($B22="","",Cadets!$I22)</f>
        <v/>
      </c>
      <c r="E22" s="17">
        <f>IF($B22="","",SUMPRODUCT((rngSM_cat&lt;&gt;"")*(COUNTIFS(nrSK_PID,$B22,nrSK_Cat,rngSM_cat)&gt;0)))</f>
        <v/>
      </c>
      <c r="F22" s="17">
        <f>IF($B22="","",SUMPRODUCT((rngSM_cat&lt;&gt;"")*(COUNTIFS(nrSK_PID,$B22,nrSK_Cat,rngSM_cat,nrSK_Status,"Qualified")&gt;0)))</f>
        <v/>
      </c>
      <c r="G22" s="17">
        <f>IF($B22="","",SUMPRODUCT((rngSM_cat&lt;&gt;"")*(COUNTIFS(nrSK_PID,$B22,nrSK_Cat,rngSM_cat,nrSK_Status,"Needs Remediation")&gt;0)))</f>
        <v/>
      </c>
      <c r="H22" s="17">
        <f>IF($B22="","",SUMPRODUCT((rngSM_cat&lt;&gt;"")*(COUNTIFS(nrSK_PID,$B22,nrSK_Cat,rngSM_cat,nrSK_Status,"Pending")&gt;0)))</f>
        <v/>
      </c>
      <c r="I22" s="17">
        <f>IF($B22="","",SUMPRODUCT((rngSM_cat&lt;&gt;"")*(COUNTIFS(nrSK_PID,$B22,nrSK_Cat,rngSM_cat,nrSK_Dis,"Yes")&gt;0)))</f>
        <v/>
      </c>
      <c r="J22" s="17">
        <f>IF($B22="","",IF($I22&gt;0,"Yes","No"))</f>
        <v/>
      </c>
      <c r="K22" s="17">
        <f>IF($B22="","",IF($J22="Yes","No",IF($G22&gt;0,"No","Yes")))</f>
        <v/>
      </c>
      <c r="L22" s="17">
        <f>IF($B22="","",IFERROR(ROUND(AVERAGEIFS(nrSK_Score,nrSK_PID,$B22,nrSK_Cat,"Firearms",nrSK_Score,"&gt;=0",nrSK_Score,"&lt;=100"),2),""))</f>
        <v/>
      </c>
      <c r="M22" s="17">
        <f>IF($B22="","",IFERROR(_xlfn.MAXIFS(nrSK_Score,nrSK_PID,$B22,nrSK_Cat,"Firearms",nrSK_Score,"&gt;=0",nrSK_Score,"&lt;=100"),""))</f>
        <v/>
      </c>
      <c r="N22" s="17">
        <f>IF($B22="","",_xlfn.LET(_xlpm.v,_xlfn.MAXIFS(nrSK_Score,nrSK_PID,$B22,nrSK_Cat,"Firearms",nrSK_CoF,1,nrSK_Score,"&gt;=0",nrSK_Score,"&lt;=100"),IF(_xlpm.v=0,"",_xlpm.v)))</f>
        <v/>
      </c>
      <c r="O22" s="17">
        <f>IF($B22="","",_xlfn.LET(_xlpm.v,_xlfn.MAXIFS(nrSK_Score,nrSK_PID,$B22,nrSK_Cat,"Firearms",nrSK_CoF,2,nrSK_Score,"&gt;=0",nrSK_Score,"&lt;=100"),IF(_xlpm.v=0,"",_xlpm.v)))</f>
        <v/>
      </c>
      <c r="P22" s="17">
        <f>IF($B22="","",IF(AND($N22="",$O22=""),"",_xlfn.LET(_xlpm.p,IFERROR(INDEX(rngSM_pass,MATCH("Firearms",rngSM_cat,0)),70),IF(AND($N22&lt;&gt;"",$O22&lt;&gt;"",N($N22)&gt;=_xlpm.p,N($O22)&gt;=_xlpm.p),"Yes",IF(OR(AND($N22&lt;&gt;"",N($N22)&lt;_xlpm.p),AND($O22&lt;&gt;"",N($O22)&lt;_xlpm.p)),"No","(one pending)")))))</f>
        <v/>
      </c>
    </row>
    <row r="23">
      <c r="B23" s="17">
        <f>IF(Cadets!$B23="","",Cadets!$B23)</f>
        <v/>
      </c>
      <c r="C23" s="17">
        <f>IF($B23="","",Cadets!$F23)</f>
        <v/>
      </c>
      <c r="D23" s="17">
        <f>IF($B23="","",Cadets!$I23)</f>
        <v/>
      </c>
      <c r="E23" s="17">
        <f>IF($B23="","",SUMPRODUCT((rngSM_cat&lt;&gt;"")*(COUNTIFS(nrSK_PID,$B23,nrSK_Cat,rngSM_cat)&gt;0)))</f>
        <v/>
      </c>
      <c r="F23" s="17">
        <f>IF($B23="","",SUMPRODUCT((rngSM_cat&lt;&gt;"")*(COUNTIFS(nrSK_PID,$B23,nrSK_Cat,rngSM_cat,nrSK_Status,"Qualified")&gt;0)))</f>
        <v/>
      </c>
      <c r="G23" s="17">
        <f>IF($B23="","",SUMPRODUCT((rngSM_cat&lt;&gt;"")*(COUNTIFS(nrSK_PID,$B23,nrSK_Cat,rngSM_cat,nrSK_Status,"Needs Remediation")&gt;0)))</f>
        <v/>
      </c>
      <c r="H23" s="17">
        <f>IF($B23="","",SUMPRODUCT((rngSM_cat&lt;&gt;"")*(COUNTIFS(nrSK_PID,$B23,nrSK_Cat,rngSM_cat,nrSK_Status,"Pending")&gt;0)))</f>
        <v/>
      </c>
      <c r="I23" s="17">
        <f>IF($B23="","",SUMPRODUCT((rngSM_cat&lt;&gt;"")*(COUNTIFS(nrSK_PID,$B23,nrSK_Cat,rngSM_cat,nrSK_Dis,"Yes")&gt;0)))</f>
        <v/>
      </c>
      <c r="J23" s="17">
        <f>IF($B23="","",IF($I23&gt;0,"Yes","No"))</f>
        <v/>
      </c>
      <c r="K23" s="17">
        <f>IF($B23="","",IF($J23="Yes","No",IF($G23&gt;0,"No","Yes")))</f>
        <v/>
      </c>
      <c r="L23" s="17">
        <f>IF($B23="","",IFERROR(ROUND(AVERAGEIFS(nrSK_Score,nrSK_PID,$B23,nrSK_Cat,"Firearms",nrSK_Score,"&gt;=0",nrSK_Score,"&lt;=100"),2),""))</f>
        <v/>
      </c>
      <c r="M23" s="17">
        <f>IF($B23="","",IFERROR(_xlfn.MAXIFS(nrSK_Score,nrSK_PID,$B23,nrSK_Cat,"Firearms",nrSK_Score,"&gt;=0",nrSK_Score,"&lt;=100"),""))</f>
        <v/>
      </c>
      <c r="N23" s="17">
        <f>IF($B23="","",_xlfn.LET(_xlpm.v,_xlfn.MAXIFS(nrSK_Score,nrSK_PID,$B23,nrSK_Cat,"Firearms",nrSK_CoF,1,nrSK_Score,"&gt;=0",nrSK_Score,"&lt;=100"),IF(_xlpm.v=0,"",_xlpm.v)))</f>
        <v/>
      </c>
      <c r="O23" s="17">
        <f>IF($B23="","",_xlfn.LET(_xlpm.v,_xlfn.MAXIFS(nrSK_Score,nrSK_PID,$B23,nrSK_Cat,"Firearms",nrSK_CoF,2,nrSK_Score,"&gt;=0",nrSK_Score,"&lt;=100"),IF(_xlpm.v=0,"",_xlpm.v)))</f>
        <v/>
      </c>
      <c r="P23" s="17">
        <f>IF($B23="","",IF(AND($N23="",$O23=""),"",_xlfn.LET(_xlpm.p,IFERROR(INDEX(rngSM_pass,MATCH("Firearms",rngSM_cat,0)),70),IF(AND($N23&lt;&gt;"",$O23&lt;&gt;"",N($N23)&gt;=_xlpm.p,N($O23)&gt;=_xlpm.p),"Yes",IF(OR(AND($N23&lt;&gt;"",N($N23)&lt;_xlpm.p),AND($O23&lt;&gt;"",N($O23)&lt;_xlpm.p)),"No","(one pending)")))))</f>
        <v/>
      </c>
    </row>
    <row r="24">
      <c r="B24" s="17">
        <f>IF(Cadets!$B24="","",Cadets!$B24)</f>
        <v/>
      </c>
      <c r="C24" s="17">
        <f>IF($B24="","",Cadets!$F24)</f>
        <v/>
      </c>
      <c r="D24" s="17">
        <f>IF($B24="","",Cadets!$I24)</f>
        <v/>
      </c>
      <c r="E24" s="17">
        <f>IF($B24="","",SUMPRODUCT((rngSM_cat&lt;&gt;"")*(COUNTIFS(nrSK_PID,$B24,nrSK_Cat,rngSM_cat)&gt;0)))</f>
        <v/>
      </c>
      <c r="F24" s="17">
        <f>IF($B24="","",SUMPRODUCT((rngSM_cat&lt;&gt;"")*(COUNTIFS(nrSK_PID,$B24,nrSK_Cat,rngSM_cat,nrSK_Status,"Qualified")&gt;0)))</f>
        <v/>
      </c>
      <c r="G24" s="17">
        <f>IF($B24="","",SUMPRODUCT((rngSM_cat&lt;&gt;"")*(COUNTIFS(nrSK_PID,$B24,nrSK_Cat,rngSM_cat,nrSK_Status,"Needs Remediation")&gt;0)))</f>
        <v/>
      </c>
      <c r="H24" s="17">
        <f>IF($B24="","",SUMPRODUCT((rngSM_cat&lt;&gt;"")*(COUNTIFS(nrSK_PID,$B24,nrSK_Cat,rngSM_cat,nrSK_Status,"Pending")&gt;0)))</f>
        <v/>
      </c>
      <c r="I24" s="17">
        <f>IF($B24="","",SUMPRODUCT((rngSM_cat&lt;&gt;"")*(COUNTIFS(nrSK_PID,$B24,nrSK_Cat,rngSM_cat,nrSK_Dis,"Yes")&gt;0)))</f>
        <v/>
      </c>
      <c r="J24" s="17">
        <f>IF($B24="","",IF($I24&gt;0,"Yes","No"))</f>
        <v/>
      </c>
      <c r="K24" s="17">
        <f>IF($B24="","",IF($J24="Yes","No",IF($G24&gt;0,"No","Yes")))</f>
        <v/>
      </c>
      <c r="L24" s="17">
        <f>IF($B24="","",IFERROR(ROUND(AVERAGEIFS(nrSK_Score,nrSK_PID,$B24,nrSK_Cat,"Firearms",nrSK_Score,"&gt;=0",nrSK_Score,"&lt;=100"),2),""))</f>
        <v/>
      </c>
      <c r="M24" s="17">
        <f>IF($B24="","",IFERROR(_xlfn.MAXIFS(nrSK_Score,nrSK_PID,$B24,nrSK_Cat,"Firearms",nrSK_Score,"&gt;=0",nrSK_Score,"&lt;=100"),""))</f>
        <v/>
      </c>
      <c r="N24" s="17">
        <f>IF($B24="","",_xlfn.LET(_xlpm.v,_xlfn.MAXIFS(nrSK_Score,nrSK_PID,$B24,nrSK_Cat,"Firearms",nrSK_CoF,1,nrSK_Score,"&gt;=0",nrSK_Score,"&lt;=100"),IF(_xlpm.v=0,"",_xlpm.v)))</f>
        <v/>
      </c>
      <c r="O24" s="17">
        <f>IF($B24="","",_xlfn.LET(_xlpm.v,_xlfn.MAXIFS(nrSK_Score,nrSK_PID,$B24,nrSK_Cat,"Firearms",nrSK_CoF,2,nrSK_Score,"&gt;=0",nrSK_Score,"&lt;=100"),IF(_xlpm.v=0,"",_xlpm.v)))</f>
        <v/>
      </c>
      <c r="P24" s="17">
        <f>IF($B24="","",IF(AND($N24="",$O24=""),"",_xlfn.LET(_xlpm.p,IFERROR(INDEX(rngSM_pass,MATCH("Firearms",rngSM_cat,0)),70),IF(AND($N24&lt;&gt;"",$O24&lt;&gt;"",N($N24)&gt;=_xlpm.p,N($O24)&gt;=_xlpm.p),"Yes",IF(OR(AND($N24&lt;&gt;"",N($N24)&lt;_xlpm.p),AND($O24&lt;&gt;"",N($O24)&lt;_xlpm.p)),"No","(one pending)")))))</f>
        <v/>
      </c>
    </row>
    <row r="25">
      <c r="B25" s="17">
        <f>IF(Cadets!$B25="","",Cadets!$B25)</f>
        <v/>
      </c>
      <c r="C25" s="17">
        <f>IF($B25="","",Cadets!$F25)</f>
        <v/>
      </c>
      <c r="D25" s="17">
        <f>IF($B25="","",Cadets!$I25)</f>
        <v/>
      </c>
      <c r="E25" s="17">
        <f>IF($B25="","",SUMPRODUCT((rngSM_cat&lt;&gt;"")*(COUNTIFS(nrSK_PID,$B25,nrSK_Cat,rngSM_cat)&gt;0)))</f>
        <v/>
      </c>
      <c r="F25" s="17">
        <f>IF($B25="","",SUMPRODUCT((rngSM_cat&lt;&gt;"")*(COUNTIFS(nrSK_PID,$B25,nrSK_Cat,rngSM_cat,nrSK_Status,"Qualified")&gt;0)))</f>
        <v/>
      </c>
      <c r="G25" s="17">
        <f>IF($B25="","",SUMPRODUCT((rngSM_cat&lt;&gt;"")*(COUNTIFS(nrSK_PID,$B25,nrSK_Cat,rngSM_cat,nrSK_Status,"Needs Remediation")&gt;0)))</f>
        <v/>
      </c>
      <c r="H25" s="17">
        <f>IF($B25="","",SUMPRODUCT((rngSM_cat&lt;&gt;"")*(COUNTIFS(nrSK_PID,$B25,nrSK_Cat,rngSM_cat,nrSK_Status,"Pending")&gt;0)))</f>
        <v/>
      </c>
      <c r="I25" s="17">
        <f>IF($B25="","",SUMPRODUCT((rngSM_cat&lt;&gt;"")*(COUNTIFS(nrSK_PID,$B25,nrSK_Cat,rngSM_cat,nrSK_Dis,"Yes")&gt;0)))</f>
        <v/>
      </c>
      <c r="J25" s="17">
        <f>IF($B25="","",IF($I25&gt;0,"Yes","No"))</f>
        <v/>
      </c>
      <c r="K25" s="17">
        <f>IF($B25="","",IF($J25="Yes","No",IF($G25&gt;0,"No","Yes")))</f>
        <v/>
      </c>
      <c r="L25" s="17">
        <f>IF($B25="","",IFERROR(ROUND(AVERAGEIFS(nrSK_Score,nrSK_PID,$B25,nrSK_Cat,"Firearms",nrSK_Score,"&gt;=0",nrSK_Score,"&lt;=100"),2),""))</f>
        <v/>
      </c>
      <c r="M25" s="17">
        <f>IF($B25="","",IFERROR(_xlfn.MAXIFS(nrSK_Score,nrSK_PID,$B25,nrSK_Cat,"Firearms",nrSK_Score,"&gt;=0",nrSK_Score,"&lt;=100"),""))</f>
        <v/>
      </c>
      <c r="N25" s="17">
        <f>IF($B25="","",_xlfn.LET(_xlpm.v,_xlfn.MAXIFS(nrSK_Score,nrSK_PID,$B25,nrSK_Cat,"Firearms",nrSK_CoF,1,nrSK_Score,"&gt;=0",nrSK_Score,"&lt;=100"),IF(_xlpm.v=0,"",_xlpm.v)))</f>
        <v/>
      </c>
      <c r="O25" s="17">
        <f>IF($B25="","",_xlfn.LET(_xlpm.v,_xlfn.MAXIFS(nrSK_Score,nrSK_PID,$B25,nrSK_Cat,"Firearms",nrSK_CoF,2,nrSK_Score,"&gt;=0",nrSK_Score,"&lt;=100"),IF(_xlpm.v=0,"",_xlpm.v)))</f>
        <v/>
      </c>
      <c r="P25" s="17">
        <f>IF($B25="","",IF(AND($N25="",$O25=""),"",_xlfn.LET(_xlpm.p,IFERROR(INDEX(rngSM_pass,MATCH("Firearms",rngSM_cat,0)),70),IF(AND($N25&lt;&gt;"",$O25&lt;&gt;"",N($N25)&gt;=_xlpm.p,N($O25)&gt;=_xlpm.p),"Yes",IF(OR(AND($N25&lt;&gt;"",N($N25)&lt;_xlpm.p),AND($O25&lt;&gt;"",N($O25)&lt;_xlpm.p)),"No","(one pending)")))))</f>
        <v/>
      </c>
    </row>
    <row r="26">
      <c r="B26" s="17">
        <f>IF(Cadets!$B26="","",Cadets!$B26)</f>
        <v/>
      </c>
      <c r="C26" s="17">
        <f>IF($B26="","",Cadets!$F26)</f>
        <v/>
      </c>
      <c r="D26" s="17">
        <f>IF($B26="","",Cadets!$I26)</f>
        <v/>
      </c>
      <c r="E26" s="17">
        <f>IF($B26="","",SUMPRODUCT((rngSM_cat&lt;&gt;"")*(COUNTIFS(nrSK_PID,$B26,nrSK_Cat,rngSM_cat)&gt;0)))</f>
        <v/>
      </c>
      <c r="F26" s="17">
        <f>IF($B26="","",SUMPRODUCT((rngSM_cat&lt;&gt;"")*(COUNTIFS(nrSK_PID,$B26,nrSK_Cat,rngSM_cat,nrSK_Status,"Qualified")&gt;0)))</f>
        <v/>
      </c>
      <c r="G26" s="17">
        <f>IF($B26="","",SUMPRODUCT((rngSM_cat&lt;&gt;"")*(COUNTIFS(nrSK_PID,$B26,nrSK_Cat,rngSM_cat,nrSK_Status,"Needs Remediation")&gt;0)))</f>
        <v/>
      </c>
      <c r="H26" s="17">
        <f>IF($B26="","",SUMPRODUCT((rngSM_cat&lt;&gt;"")*(COUNTIFS(nrSK_PID,$B26,nrSK_Cat,rngSM_cat,nrSK_Status,"Pending")&gt;0)))</f>
        <v/>
      </c>
      <c r="I26" s="17">
        <f>IF($B26="","",SUMPRODUCT((rngSM_cat&lt;&gt;"")*(COUNTIFS(nrSK_PID,$B26,nrSK_Cat,rngSM_cat,nrSK_Dis,"Yes")&gt;0)))</f>
        <v/>
      </c>
      <c r="J26" s="17">
        <f>IF($B26="","",IF($I26&gt;0,"Yes","No"))</f>
        <v/>
      </c>
      <c r="K26" s="17">
        <f>IF($B26="","",IF($J26="Yes","No",IF($G26&gt;0,"No","Yes")))</f>
        <v/>
      </c>
      <c r="L26" s="17">
        <f>IF($B26="","",IFERROR(ROUND(AVERAGEIFS(nrSK_Score,nrSK_PID,$B26,nrSK_Cat,"Firearms",nrSK_Score,"&gt;=0",nrSK_Score,"&lt;=100"),2),""))</f>
        <v/>
      </c>
      <c r="M26" s="17">
        <f>IF($B26="","",IFERROR(_xlfn.MAXIFS(nrSK_Score,nrSK_PID,$B26,nrSK_Cat,"Firearms",nrSK_Score,"&gt;=0",nrSK_Score,"&lt;=100"),""))</f>
        <v/>
      </c>
      <c r="N26" s="17">
        <f>IF($B26="","",_xlfn.LET(_xlpm.v,_xlfn.MAXIFS(nrSK_Score,nrSK_PID,$B26,nrSK_Cat,"Firearms",nrSK_CoF,1,nrSK_Score,"&gt;=0",nrSK_Score,"&lt;=100"),IF(_xlpm.v=0,"",_xlpm.v)))</f>
        <v/>
      </c>
      <c r="O26" s="17">
        <f>IF($B26="","",_xlfn.LET(_xlpm.v,_xlfn.MAXIFS(nrSK_Score,nrSK_PID,$B26,nrSK_Cat,"Firearms",nrSK_CoF,2,nrSK_Score,"&gt;=0",nrSK_Score,"&lt;=100"),IF(_xlpm.v=0,"",_xlpm.v)))</f>
        <v/>
      </c>
      <c r="P26" s="17">
        <f>IF($B26="","",IF(AND($N26="",$O26=""),"",_xlfn.LET(_xlpm.p,IFERROR(INDEX(rngSM_pass,MATCH("Firearms",rngSM_cat,0)),70),IF(AND($N26&lt;&gt;"",$O26&lt;&gt;"",N($N26)&gt;=_xlpm.p,N($O26)&gt;=_xlpm.p),"Yes",IF(OR(AND($N26&lt;&gt;"",N($N26)&lt;_xlpm.p),AND($O26&lt;&gt;"",N($O26)&lt;_xlpm.p)),"No","(one pending)")))))</f>
        <v/>
      </c>
    </row>
    <row r="27">
      <c r="B27" s="17">
        <f>IF(Cadets!$B27="","",Cadets!$B27)</f>
        <v/>
      </c>
      <c r="C27" s="17">
        <f>IF($B27="","",Cadets!$F27)</f>
        <v/>
      </c>
      <c r="D27" s="17">
        <f>IF($B27="","",Cadets!$I27)</f>
        <v/>
      </c>
      <c r="E27" s="17">
        <f>IF($B27="","",SUMPRODUCT((rngSM_cat&lt;&gt;"")*(COUNTIFS(nrSK_PID,$B27,nrSK_Cat,rngSM_cat)&gt;0)))</f>
        <v/>
      </c>
      <c r="F27" s="17">
        <f>IF($B27="","",SUMPRODUCT((rngSM_cat&lt;&gt;"")*(COUNTIFS(nrSK_PID,$B27,nrSK_Cat,rngSM_cat,nrSK_Status,"Qualified")&gt;0)))</f>
        <v/>
      </c>
      <c r="G27" s="17">
        <f>IF($B27="","",SUMPRODUCT((rngSM_cat&lt;&gt;"")*(COUNTIFS(nrSK_PID,$B27,nrSK_Cat,rngSM_cat,nrSK_Status,"Needs Remediation")&gt;0)))</f>
        <v/>
      </c>
      <c r="H27" s="17">
        <f>IF($B27="","",SUMPRODUCT((rngSM_cat&lt;&gt;"")*(COUNTIFS(nrSK_PID,$B27,nrSK_Cat,rngSM_cat,nrSK_Status,"Pending")&gt;0)))</f>
        <v/>
      </c>
      <c r="I27" s="17">
        <f>IF($B27="","",SUMPRODUCT((rngSM_cat&lt;&gt;"")*(COUNTIFS(nrSK_PID,$B27,nrSK_Cat,rngSM_cat,nrSK_Dis,"Yes")&gt;0)))</f>
        <v/>
      </c>
      <c r="J27" s="17">
        <f>IF($B27="","",IF($I27&gt;0,"Yes","No"))</f>
        <v/>
      </c>
      <c r="K27" s="17">
        <f>IF($B27="","",IF($J27="Yes","No",IF($G27&gt;0,"No","Yes")))</f>
        <v/>
      </c>
      <c r="L27" s="17">
        <f>IF($B27="","",IFERROR(ROUND(AVERAGEIFS(nrSK_Score,nrSK_PID,$B27,nrSK_Cat,"Firearms",nrSK_Score,"&gt;=0",nrSK_Score,"&lt;=100"),2),""))</f>
        <v/>
      </c>
      <c r="M27" s="17">
        <f>IF($B27="","",IFERROR(_xlfn.MAXIFS(nrSK_Score,nrSK_PID,$B27,nrSK_Cat,"Firearms",nrSK_Score,"&gt;=0",nrSK_Score,"&lt;=100"),""))</f>
        <v/>
      </c>
      <c r="N27" s="17">
        <f>IF($B27="","",_xlfn.LET(_xlpm.v,_xlfn.MAXIFS(nrSK_Score,nrSK_PID,$B27,nrSK_Cat,"Firearms",nrSK_CoF,1,nrSK_Score,"&gt;=0",nrSK_Score,"&lt;=100"),IF(_xlpm.v=0,"",_xlpm.v)))</f>
        <v/>
      </c>
      <c r="O27" s="17">
        <f>IF($B27="","",_xlfn.LET(_xlpm.v,_xlfn.MAXIFS(nrSK_Score,nrSK_PID,$B27,nrSK_Cat,"Firearms",nrSK_CoF,2,nrSK_Score,"&gt;=0",nrSK_Score,"&lt;=100"),IF(_xlpm.v=0,"",_xlpm.v)))</f>
        <v/>
      </c>
      <c r="P27" s="17">
        <f>IF($B27="","",IF(AND($N27="",$O27=""),"",_xlfn.LET(_xlpm.p,IFERROR(INDEX(rngSM_pass,MATCH("Firearms",rngSM_cat,0)),70),IF(AND($N27&lt;&gt;"",$O27&lt;&gt;"",N($N27)&gt;=_xlpm.p,N($O27)&gt;=_xlpm.p),"Yes",IF(OR(AND($N27&lt;&gt;"",N($N27)&lt;_xlpm.p),AND($O27&lt;&gt;"",N($O27)&lt;_xlpm.p)),"No","(one pending)")))))</f>
        <v/>
      </c>
    </row>
    <row r="28">
      <c r="B28" s="17">
        <f>IF(Cadets!$B28="","",Cadets!$B28)</f>
        <v/>
      </c>
      <c r="C28" s="17">
        <f>IF($B28="","",Cadets!$F28)</f>
        <v/>
      </c>
      <c r="D28" s="17">
        <f>IF($B28="","",Cadets!$I28)</f>
        <v/>
      </c>
      <c r="E28" s="17">
        <f>IF($B28="","",SUMPRODUCT((rngSM_cat&lt;&gt;"")*(COUNTIFS(nrSK_PID,$B28,nrSK_Cat,rngSM_cat)&gt;0)))</f>
        <v/>
      </c>
      <c r="F28" s="17">
        <f>IF($B28="","",SUMPRODUCT((rngSM_cat&lt;&gt;"")*(COUNTIFS(nrSK_PID,$B28,nrSK_Cat,rngSM_cat,nrSK_Status,"Qualified")&gt;0)))</f>
        <v/>
      </c>
      <c r="G28" s="17">
        <f>IF($B28="","",SUMPRODUCT((rngSM_cat&lt;&gt;"")*(COUNTIFS(nrSK_PID,$B28,nrSK_Cat,rngSM_cat,nrSK_Status,"Needs Remediation")&gt;0)))</f>
        <v/>
      </c>
      <c r="H28" s="17">
        <f>IF($B28="","",SUMPRODUCT((rngSM_cat&lt;&gt;"")*(COUNTIFS(nrSK_PID,$B28,nrSK_Cat,rngSM_cat,nrSK_Status,"Pending")&gt;0)))</f>
        <v/>
      </c>
      <c r="I28" s="17">
        <f>IF($B28="","",SUMPRODUCT((rngSM_cat&lt;&gt;"")*(COUNTIFS(nrSK_PID,$B28,nrSK_Cat,rngSM_cat,nrSK_Dis,"Yes")&gt;0)))</f>
        <v/>
      </c>
      <c r="J28" s="17">
        <f>IF($B28="","",IF($I28&gt;0,"Yes","No"))</f>
        <v/>
      </c>
      <c r="K28" s="17">
        <f>IF($B28="","",IF($J28="Yes","No",IF($G28&gt;0,"No","Yes")))</f>
        <v/>
      </c>
      <c r="L28" s="17">
        <f>IF($B28="","",IFERROR(ROUND(AVERAGEIFS(nrSK_Score,nrSK_PID,$B28,nrSK_Cat,"Firearms",nrSK_Score,"&gt;=0",nrSK_Score,"&lt;=100"),2),""))</f>
        <v/>
      </c>
      <c r="M28" s="17">
        <f>IF($B28="","",IFERROR(_xlfn.MAXIFS(nrSK_Score,nrSK_PID,$B28,nrSK_Cat,"Firearms",nrSK_Score,"&gt;=0",nrSK_Score,"&lt;=100"),""))</f>
        <v/>
      </c>
      <c r="N28" s="17">
        <f>IF($B28="","",_xlfn.LET(_xlpm.v,_xlfn.MAXIFS(nrSK_Score,nrSK_PID,$B28,nrSK_Cat,"Firearms",nrSK_CoF,1,nrSK_Score,"&gt;=0",nrSK_Score,"&lt;=100"),IF(_xlpm.v=0,"",_xlpm.v)))</f>
        <v/>
      </c>
      <c r="O28" s="17">
        <f>IF($B28="","",_xlfn.LET(_xlpm.v,_xlfn.MAXIFS(nrSK_Score,nrSK_PID,$B28,nrSK_Cat,"Firearms",nrSK_CoF,2,nrSK_Score,"&gt;=0",nrSK_Score,"&lt;=100"),IF(_xlpm.v=0,"",_xlpm.v)))</f>
        <v/>
      </c>
      <c r="P28" s="17">
        <f>IF($B28="","",IF(AND($N28="",$O28=""),"",_xlfn.LET(_xlpm.p,IFERROR(INDEX(rngSM_pass,MATCH("Firearms",rngSM_cat,0)),70),IF(AND($N28&lt;&gt;"",$O28&lt;&gt;"",N($N28)&gt;=_xlpm.p,N($O28)&gt;=_xlpm.p),"Yes",IF(OR(AND($N28&lt;&gt;"",N($N28)&lt;_xlpm.p),AND($O28&lt;&gt;"",N($O28)&lt;_xlpm.p)),"No","(one pending)")))))</f>
        <v/>
      </c>
    </row>
    <row r="29">
      <c r="B29" s="17">
        <f>IF(Cadets!$B29="","",Cadets!$B29)</f>
        <v/>
      </c>
      <c r="C29" s="17">
        <f>IF($B29="","",Cadets!$F29)</f>
        <v/>
      </c>
      <c r="D29" s="17">
        <f>IF($B29="","",Cadets!$I29)</f>
        <v/>
      </c>
      <c r="E29" s="17">
        <f>IF($B29="","",SUMPRODUCT((rngSM_cat&lt;&gt;"")*(COUNTIFS(nrSK_PID,$B29,nrSK_Cat,rngSM_cat)&gt;0)))</f>
        <v/>
      </c>
      <c r="F29" s="17">
        <f>IF($B29="","",SUMPRODUCT((rngSM_cat&lt;&gt;"")*(COUNTIFS(nrSK_PID,$B29,nrSK_Cat,rngSM_cat,nrSK_Status,"Qualified")&gt;0)))</f>
        <v/>
      </c>
      <c r="G29" s="17">
        <f>IF($B29="","",SUMPRODUCT((rngSM_cat&lt;&gt;"")*(COUNTIFS(nrSK_PID,$B29,nrSK_Cat,rngSM_cat,nrSK_Status,"Needs Remediation")&gt;0)))</f>
        <v/>
      </c>
      <c r="H29" s="17">
        <f>IF($B29="","",SUMPRODUCT((rngSM_cat&lt;&gt;"")*(COUNTIFS(nrSK_PID,$B29,nrSK_Cat,rngSM_cat,nrSK_Status,"Pending")&gt;0)))</f>
        <v/>
      </c>
      <c r="I29" s="17">
        <f>IF($B29="","",SUMPRODUCT((rngSM_cat&lt;&gt;"")*(COUNTIFS(nrSK_PID,$B29,nrSK_Cat,rngSM_cat,nrSK_Dis,"Yes")&gt;0)))</f>
        <v/>
      </c>
      <c r="J29" s="17">
        <f>IF($B29="","",IF($I29&gt;0,"Yes","No"))</f>
        <v/>
      </c>
      <c r="K29" s="17">
        <f>IF($B29="","",IF($J29="Yes","No",IF($G29&gt;0,"No","Yes")))</f>
        <v/>
      </c>
      <c r="L29" s="17">
        <f>IF($B29="","",IFERROR(ROUND(AVERAGEIFS(nrSK_Score,nrSK_PID,$B29,nrSK_Cat,"Firearms",nrSK_Score,"&gt;=0",nrSK_Score,"&lt;=100"),2),""))</f>
        <v/>
      </c>
      <c r="M29" s="17">
        <f>IF($B29="","",IFERROR(_xlfn.MAXIFS(nrSK_Score,nrSK_PID,$B29,nrSK_Cat,"Firearms",nrSK_Score,"&gt;=0",nrSK_Score,"&lt;=100"),""))</f>
        <v/>
      </c>
      <c r="N29" s="17">
        <f>IF($B29="","",_xlfn.LET(_xlpm.v,_xlfn.MAXIFS(nrSK_Score,nrSK_PID,$B29,nrSK_Cat,"Firearms",nrSK_CoF,1,nrSK_Score,"&gt;=0",nrSK_Score,"&lt;=100"),IF(_xlpm.v=0,"",_xlpm.v)))</f>
        <v/>
      </c>
      <c r="O29" s="17">
        <f>IF($B29="","",_xlfn.LET(_xlpm.v,_xlfn.MAXIFS(nrSK_Score,nrSK_PID,$B29,nrSK_Cat,"Firearms",nrSK_CoF,2,nrSK_Score,"&gt;=0",nrSK_Score,"&lt;=100"),IF(_xlpm.v=0,"",_xlpm.v)))</f>
        <v/>
      </c>
      <c r="P29" s="17">
        <f>IF($B29="","",IF(AND($N29="",$O29=""),"",_xlfn.LET(_xlpm.p,IFERROR(INDEX(rngSM_pass,MATCH("Firearms",rngSM_cat,0)),70),IF(AND($N29&lt;&gt;"",$O29&lt;&gt;"",N($N29)&gt;=_xlpm.p,N($O29)&gt;=_xlpm.p),"Yes",IF(OR(AND($N29&lt;&gt;"",N($N29)&lt;_xlpm.p),AND($O29&lt;&gt;"",N($O29)&lt;_xlpm.p)),"No","(one pending)")))))</f>
        <v/>
      </c>
    </row>
    <row r="30">
      <c r="B30" s="17">
        <f>IF(Cadets!$B30="","",Cadets!$B30)</f>
        <v/>
      </c>
      <c r="C30" s="17">
        <f>IF($B30="","",Cadets!$F30)</f>
        <v/>
      </c>
      <c r="D30" s="17">
        <f>IF($B30="","",Cadets!$I30)</f>
        <v/>
      </c>
      <c r="E30" s="17">
        <f>IF($B30="","",SUMPRODUCT((rngSM_cat&lt;&gt;"")*(COUNTIFS(nrSK_PID,$B30,nrSK_Cat,rngSM_cat)&gt;0)))</f>
        <v/>
      </c>
      <c r="F30" s="17">
        <f>IF($B30="","",SUMPRODUCT((rngSM_cat&lt;&gt;"")*(COUNTIFS(nrSK_PID,$B30,nrSK_Cat,rngSM_cat,nrSK_Status,"Qualified")&gt;0)))</f>
        <v/>
      </c>
      <c r="G30" s="17">
        <f>IF($B30="","",SUMPRODUCT((rngSM_cat&lt;&gt;"")*(COUNTIFS(nrSK_PID,$B30,nrSK_Cat,rngSM_cat,nrSK_Status,"Needs Remediation")&gt;0)))</f>
        <v/>
      </c>
      <c r="H30" s="17">
        <f>IF($B30="","",SUMPRODUCT((rngSM_cat&lt;&gt;"")*(COUNTIFS(nrSK_PID,$B30,nrSK_Cat,rngSM_cat,nrSK_Status,"Pending")&gt;0)))</f>
        <v/>
      </c>
      <c r="I30" s="17">
        <f>IF($B30="","",SUMPRODUCT((rngSM_cat&lt;&gt;"")*(COUNTIFS(nrSK_PID,$B30,nrSK_Cat,rngSM_cat,nrSK_Dis,"Yes")&gt;0)))</f>
        <v/>
      </c>
      <c r="J30" s="17">
        <f>IF($B30="","",IF($I30&gt;0,"Yes","No"))</f>
        <v/>
      </c>
      <c r="K30" s="17">
        <f>IF($B30="","",IF($J30="Yes","No",IF($G30&gt;0,"No","Yes")))</f>
        <v/>
      </c>
      <c r="L30" s="17">
        <f>IF($B30="","",IFERROR(ROUND(AVERAGEIFS(nrSK_Score,nrSK_PID,$B30,nrSK_Cat,"Firearms",nrSK_Score,"&gt;=0",nrSK_Score,"&lt;=100"),2),""))</f>
        <v/>
      </c>
      <c r="M30" s="17">
        <f>IF($B30="","",IFERROR(_xlfn.MAXIFS(nrSK_Score,nrSK_PID,$B30,nrSK_Cat,"Firearms",nrSK_Score,"&gt;=0",nrSK_Score,"&lt;=100"),""))</f>
        <v/>
      </c>
      <c r="N30" s="17">
        <f>IF($B30="","",_xlfn.LET(_xlpm.v,_xlfn.MAXIFS(nrSK_Score,nrSK_PID,$B30,nrSK_Cat,"Firearms",nrSK_CoF,1,nrSK_Score,"&gt;=0",nrSK_Score,"&lt;=100"),IF(_xlpm.v=0,"",_xlpm.v)))</f>
        <v/>
      </c>
      <c r="O30" s="17">
        <f>IF($B30="","",_xlfn.LET(_xlpm.v,_xlfn.MAXIFS(nrSK_Score,nrSK_PID,$B30,nrSK_Cat,"Firearms",nrSK_CoF,2,nrSK_Score,"&gt;=0",nrSK_Score,"&lt;=100"),IF(_xlpm.v=0,"",_xlpm.v)))</f>
        <v/>
      </c>
      <c r="P30" s="17">
        <f>IF($B30="","",IF(AND($N30="",$O30=""),"",_xlfn.LET(_xlpm.p,IFERROR(INDEX(rngSM_pass,MATCH("Firearms",rngSM_cat,0)),70),IF(AND($N30&lt;&gt;"",$O30&lt;&gt;"",N($N30)&gt;=_xlpm.p,N($O30)&gt;=_xlpm.p),"Yes",IF(OR(AND($N30&lt;&gt;"",N($N30)&lt;_xlpm.p),AND($O30&lt;&gt;"",N($O30)&lt;_xlpm.p)),"No","(one pending)")))))</f>
        <v/>
      </c>
    </row>
    <row r="31">
      <c r="B31" s="17">
        <f>IF(Cadets!$B31="","",Cadets!$B31)</f>
        <v/>
      </c>
      <c r="C31" s="17">
        <f>IF($B31="","",Cadets!$F31)</f>
        <v/>
      </c>
      <c r="D31" s="17">
        <f>IF($B31="","",Cadets!$I31)</f>
        <v/>
      </c>
      <c r="E31" s="17">
        <f>IF($B31="","",SUMPRODUCT((rngSM_cat&lt;&gt;"")*(COUNTIFS(nrSK_PID,$B31,nrSK_Cat,rngSM_cat)&gt;0)))</f>
        <v/>
      </c>
      <c r="F31" s="17">
        <f>IF($B31="","",SUMPRODUCT((rngSM_cat&lt;&gt;"")*(COUNTIFS(nrSK_PID,$B31,nrSK_Cat,rngSM_cat,nrSK_Status,"Qualified")&gt;0)))</f>
        <v/>
      </c>
      <c r="G31" s="17">
        <f>IF($B31="","",SUMPRODUCT((rngSM_cat&lt;&gt;"")*(COUNTIFS(nrSK_PID,$B31,nrSK_Cat,rngSM_cat,nrSK_Status,"Needs Remediation")&gt;0)))</f>
        <v/>
      </c>
      <c r="H31" s="17">
        <f>IF($B31="","",SUMPRODUCT((rngSM_cat&lt;&gt;"")*(COUNTIFS(nrSK_PID,$B31,nrSK_Cat,rngSM_cat,nrSK_Status,"Pending")&gt;0)))</f>
        <v/>
      </c>
      <c r="I31" s="17">
        <f>IF($B31="","",SUMPRODUCT((rngSM_cat&lt;&gt;"")*(COUNTIFS(nrSK_PID,$B31,nrSK_Cat,rngSM_cat,nrSK_Dis,"Yes")&gt;0)))</f>
        <v/>
      </c>
      <c r="J31" s="17">
        <f>IF($B31="","",IF($I31&gt;0,"Yes","No"))</f>
        <v/>
      </c>
      <c r="K31" s="17">
        <f>IF($B31="","",IF($J31="Yes","No",IF($G31&gt;0,"No","Yes")))</f>
        <v/>
      </c>
      <c r="L31" s="17">
        <f>IF($B31="","",IFERROR(ROUND(AVERAGEIFS(nrSK_Score,nrSK_PID,$B31,nrSK_Cat,"Firearms",nrSK_Score,"&gt;=0",nrSK_Score,"&lt;=100"),2),""))</f>
        <v/>
      </c>
      <c r="M31" s="17">
        <f>IF($B31="","",IFERROR(_xlfn.MAXIFS(nrSK_Score,nrSK_PID,$B31,nrSK_Cat,"Firearms",nrSK_Score,"&gt;=0",nrSK_Score,"&lt;=100"),""))</f>
        <v/>
      </c>
      <c r="N31" s="17">
        <f>IF($B31="","",_xlfn.LET(_xlpm.v,_xlfn.MAXIFS(nrSK_Score,nrSK_PID,$B31,nrSK_Cat,"Firearms",nrSK_CoF,1,nrSK_Score,"&gt;=0",nrSK_Score,"&lt;=100"),IF(_xlpm.v=0,"",_xlpm.v)))</f>
        <v/>
      </c>
      <c r="O31" s="17">
        <f>IF($B31="","",_xlfn.LET(_xlpm.v,_xlfn.MAXIFS(nrSK_Score,nrSK_PID,$B31,nrSK_Cat,"Firearms",nrSK_CoF,2,nrSK_Score,"&gt;=0",nrSK_Score,"&lt;=100"),IF(_xlpm.v=0,"",_xlpm.v)))</f>
        <v/>
      </c>
      <c r="P31" s="17">
        <f>IF($B31="","",IF(AND($N31="",$O31=""),"",_xlfn.LET(_xlpm.p,IFERROR(INDEX(rngSM_pass,MATCH("Firearms",rngSM_cat,0)),70),IF(AND($N31&lt;&gt;"",$O31&lt;&gt;"",N($N31)&gt;=_xlpm.p,N($O31)&gt;=_xlpm.p),"Yes",IF(OR(AND($N31&lt;&gt;"",N($N31)&lt;_xlpm.p),AND($O31&lt;&gt;"",N($O31)&lt;_xlpm.p)),"No","(one pending)")))))</f>
        <v/>
      </c>
    </row>
    <row r="32">
      <c r="B32" s="17">
        <f>IF(Cadets!$B32="","",Cadets!$B32)</f>
        <v/>
      </c>
      <c r="C32" s="17">
        <f>IF($B32="","",Cadets!$F32)</f>
        <v/>
      </c>
      <c r="D32" s="17">
        <f>IF($B32="","",Cadets!$I32)</f>
        <v/>
      </c>
      <c r="E32" s="17">
        <f>IF($B32="","",SUMPRODUCT((rngSM_cat&lt;&gt;"")*(COUNTIFS(nrSK_PID,$B32,nrSK_Cat,rngSM_cat)&gt;0)))</f>
        <v/>
      </c>
      <c r="F32" s="17">
        <f>IF($B32="","",SUMPRODUCT((rngSM_cat&lt;&gt;"")*(COUNTIFS(nrSK_PID,$B32,nrSK_Cat,rngSM_cat,nrSK_Status,"Qualified")&gt;0)))</f>
        <v/>
      </c>
      <c r="G32" s="17">
        <f>IF($B32="","",SUMPRODUCT((rngSM_cat&lt;&gt;"")*(COUNTIFS(nrSK_PID,$B32,nrSK_Cat,rngSM_cat,nrSK_Status,"Needs Remediation")&gt;0)))</f>
        <v/>
      </c>
      <c r="H32" s="17">
        <f>IF($B32="","",SUMPRODUCT((rngSM_cat&lt;&gt;"")*(COUNTIFS(nrSK_PID,$B32,nrSK_Cat,rngSM_cat,nrSK_Status,"Pending")&gt;0)))</f>
        <v/>
      </c>
      <c r="I32" s="17">
        <f>IF($B32="","",SUMPRODUCT((rngSM_cat&lt;&gt;"")*(COUNTIFS(nrSK_PID,$B32,nrSK_Cat,rngSM_cat,nrSK_Dis,"Yes")&gt;0)))</f>
        <v/>
      </c>
      <c r="J32" s="17">
        <f>IF($B32="","",IF($I32&gt;0,"Yes","No"))</f>
        <v/>
      </c>
      <c r="K32" s="17">
        <f>IF($B32="","",IF($J32="Yes","No",IF($G32&gt;0,"No","Yes")))</f>
        <v/>
      </c>
      <c r="L32" s="17">
        <f>IF($B32="","",IFERROR(ROUND(AVERAGEIFS(nrSK_Score,nrSK_PID,$B32,nrSK_Cat,"Firearms",nrSK_Score,"&gt;=0",nrSK_Score,"&lt;=100"),2),""))</f>
        <v/>
      </c>
      <c r="M32" s="17">
        <f>IF($B32="","",IFERROR(_xlfn.MAXIFS(nrSK_Score,nrSK_PID,$B32,nrSK_Cat,"Firearms",nrSK_Score,"&gt;=0",nrSK_Score,"&lt;=100"),""))</f>
        <v/>
      </c>
      <c r="N32" s="17">
        <f>IF($B32="","",_xlfn.LET(_xlpm.v,_xlfn.MAXIFS(nrSK_Score,nrSK_PID,$B32,nrSK_Cat,"Firearms",nrSK_CoF,1,nrSK_Score,"&gt;=0",nrSK_Score,"&lt;=100"),IF(_xlpm.v=0,"",_xlpm.v)))</f>
        <v/>
      </c>
      <c r="O32" s="17">
        <f>IF($B32="","",_xlfn.LET(_xlpm.v,_xlfn.MAXIFS(nrSK_Score,nrSK_PID,$B32,nrSK_Cat,"Firearms",nrSK_CoF,2,nrSK_Score,"&gt;=0",nrSK_Score,"&lt;=100"),IF(_xlpm.v=0,"",_xlpm.v)))</f>
        <v/>
      </c>
      <c r="P32" s="17">
        <f>IF($B32="","",IF(AND($N32="",$O32=""),"",_xlfn.LET(_xlpm.p,IFERROR(INDEX(rngSM_pass,MATCH("Firearms",rngSM_cat,0)),70),IF(AND($N32&lt;&gt;"",$O32&lt;&gt;"",N($N32)&gt;=_xlpm.p,N($O32)&gt;=_xlpm.p),"Yes",IF(OR(AND($N32&lt;&gt;"",N($N32)&lt;_xlpm.p),AND($O32&lt;&gt;"",N($O32)&lt;_xlpm.p)),"No","(one pending)")))))</f>
        <v/>
      </c>
    </row>
    <row r="33">
      <c r="B33" s="17">
        <f>IF(Cadets!$B33="","",Cadets!$B33)</f>
        <v/>
      </c>
      <c r="C33" s="17">
        <f>IF($B33="","",Cadets!$F33)</f>
        <v/>
      </c>
      <c r="D33" s="17">
        <f>IF($B33="","",Cadets!$I33)</f>
        <v/>
      </c>
      <c r="E33" s="17">
        <f>IF($B33="","",SUMPRODUCT((rngSM_cat&lt;&gt;"")*(COUNTIFS(nrSK_PID,$B33,nrSK_Cat,rngSM_cat)&gt;0)))</f>
        <v/>
      </c>
      <c r="F33" s="17">
        <f>IF($B33="","",SUMPRODUCT((rngSM_cat&lt;&gt;"")*(COUNTIFS(nrSK_PID,$B33,nrSK_Cat,rngSM_cat,nrSK_Status,"Qualified")&gt;0)))</f>
        <v/>
      </c>
      <c r="G33" s="17">
        <f>IF($B33="","",SUMPRODUCT((rngSM_cat&lt;&gt;"")*(COUNTIFS(nrSK_PID,$B33,nrSK_Cat,rngSM_cat,nrSK_Status,"Needs Remediation")&gt;0)))</f>
        <v/>
      </c>
      <c r="H33" s="17">
        <f>IF($B33="","",SUMPRODUCT((rngSM_cat&lt;&gt;"")*(COUNTIFS(nrSK_PID,$B33,nrSK_Cat,rngSM_cat,nrSK_Status,"Pending")&gt;0)))</f>
        <v/>
      </c>
      <c r="I33" s="17">
        <f>IF($B33="","",SUMPRODUCT((rngSM_cat&lt;&gt;"")*(COUNTIFS(nrSK_PID,$B33,nrSK_Cat,rngSM_cat,nrSK_Dis,"Yes")&gt;0)))</f>
        <v/>
      </c>
      <c r="J33" s="17">
        <f>IF($B33="","",IF($I33&gt;0,"Yes","No"))</f>
        <v/>
      </c>
      <c r="K33" s="17">
        <f>IF($B33="","",IF($J33="Yes","No",IF($G33&gt;0,"No","Yes")))</f>
        <v/>
      </c>
      <c r="L33" s="17">
        <f>IF($B33="","",IFERROR(ROUND(AVERAGEIFS(nrSK_Score,nrSK_PID,$B33,nrSK_Cat,"Firearms",nrSK_Score,"&gt;=0",nrSK_Score,"&lt;=100"),2),""))</f>
        <v/>
      </c>
      <c r="M33" s="17">
        <f>IF($B33="","",IFERROR(_xlfn.MAXIFS(nrSK_Score,nrSK_PID,$B33,nrSK_Cat,"Firearms",nrSK_Score,"&gt;=0",nrSK_Score,"&lt;=100"),""))</f>
        <v/>
      </c>
      <c r="N33" s="17">
        <f>IF($B33="","",_xlfn.LET(_xlpm.v,_xlfn.MAXIFS(nrSK_Score,nrSK_PID,$B33,nrSK_Cat,"Firearms",nrSK_CoF,1,nrSK_Score,"&gt;=0",nrSK_Score,"&lt;=100"),IF(_xlpm.v=0,"",_xlpm.v)))</f>
        <v/>
      </c>
      <c r="O33" s="17">
        <f>IF($B33="","",_xlfn.LET(_xlpm.v,_xlfn.MAXIFS(nrSK_Score,nrSK_PID,$B33,nrSK_Cat,"Firearms",nrSK_CoF,2,nrSK_Score,"&gt;=0",nrSK_Score,"&lt;=100"),IF(_xlpm.v=0,"",_xlpm.v)))</f>
        <v/>
      </c>
      <c r="P33" s="17">
        <f>IF($B33="","",IF(AND($N33="",$O33=""),"",_xlfn.LET(_xlpm.p,IFERROR(INDEX(rngSM_pass,MATCH("Firearms",rngSM_cat,0)),70),IF(AND($N33&lt;&gt;"",$O33&lt;&gt;"",N($N33)&gt;=_xlpm.p,N($O33)&gt;=_xlpm.p),"Yes",IF(OR(AND($N33&lt;&gt;"",N($N33)&lt;_xlpm.p),AND($O33&lt;&gt;"",N($O33)&lt;_xlpm.p)),"No","(one pending)")))))</f>
        <v/>
      </c>
    </row>
    <row r="34">
      <c r="B34" s="17">
        <f>IF(Cadets!$B34="","",Cadets!$B34)</f>
        <v/>
      </c>
      <c r="C34" s="17">
        <f>IF($B34="","",Cadets!$F34)</f>
        <v/>
      </c>
      <c r="D34" s="17">
        <f>IF($B34="","",Cadets!$I34)</f>
        <v/>
      </c>
      <c r="E34" s="17">
        <f>IF($B34="","",SUMPRODUCT((rngSM_cat&lt;&gt;"")*(COUNTIFS(nrSK_PID,$B34,nrSK_Cat,rngSM_cat)&gt;0)))</f>
        <v/>
      </c>
      <c r="F34" s="17">
        <f>IF($B34="","",SUMPRODUCT((rngSM_cat&lt;&gt;"")*(COUNTIFS(nrSK_PID,$B34,nrSK_Cat,rngSM_cat,nrSK_Status,"Qualified")&gt;0)))</f>
        <v/>
      </c>
      <c r="G34" s="17">
        <f>IF($B34="","",SUMPRODUCT((rngSM_cat&lt;&gt;"")*(COUNTIFS(nrSK_PID,$B34,nrSK_Cat,rngSM_cat,nrSK_Status,"Needs Remediation")&gt;0)))</f>
        <v/>
      </c>
      <c r="H34" s="17">
        <f>IF($B34="","",SUMPRODUCT((rngSM_cat&lt;&gt;"")*(COUNTIFS(nrSK_PID,$B34,nrSK_Cat,rngSM_cat,nrSK_Status,"Pending")&gt;0)))</f>
        <v/>
      </c>
      <c r="I34" s="17">
        <f>IF($B34="","",SUMPRODUCT((rngSM_cat&lt;&gt;"")*(COUNTIFS(nrSK_PID,$B34,nrSK_Cat,rngSM_cat,nrSK_Dis,"Yes")&gt;0)))</f>
        <v/>
      </c>
      <c r="J34" s="17">
        <f>IF($B34="","",IF($I34&gt;0,"Yes","No"))</f>
        <v/>
      </c>
      <c r="K34" s="17">
        <f>IF($B34="","",IF($J34="Yes","No",IF($G34&gt;0,"No","Yes")))</f>
        <v/>
      </c>
      <c r="L34" s="17">
        <f>IF($B34="","",IFERROR(ROUND(AVERAGEIFS(nrSK_Score,nrSK_PID,$B34,nrSK_Cat,"Firearms",nrSK_Score,"&gt;=0",nrSK_Score,"&lt;=100"),2),""))</f>
        <v/>
      </c>
      <c r="M34" s="17">
        <f>IF($B34="","",IFERROR(_xlfn.MAXIFS(nrSK_Score,nrSK_PID,$B34,nrSK_Cat,"Firearms",nrSK_Score,"&gt;=0",nrSK_Score,"&lt;=100"),""))</f>
        <v/>
      </c>
      <c r="N34" s="17">
        <f>IF($B34="","",_xlfn.LET(_xlpm.v,_xlfn.MAXIFS(nrSK_Score,nrSK_PID,$B34,nrSK_Cat,"Firearms",nrSK_CoF,1,nrSK_Score,"&gt;=0",nrSK_Score,"&lt;=100"),IF(_xlpm.v=0,"",_xlpm.v)))</f>
        <v/>
      </c>
      <c r="O34" s="17">
        <f>IF($B34="","",_xlfn.LET(_xlpm.v,_xlfn.MAXIFS(nrSK_Score,nrSK_PID,$B34,nrSK_Cat,"Firearms",nrSK_CoF,2,nrSK_Score,"&gt;=0",nrSK_Score,"&lt;=100"),IF(_xlpm.v=0,"",_xlpm.v)))</f>
        <v/>
      </c>
      <c r="P34" s="17">
        <f>IF($B34="","",IF(AND($N34="",$O34=""),"",_xlfn.LET(_xlpm.p,IFERROR(INDEX(rngSM_pass,MATCH("Firearms",rngSM_cat,0)),70),IF(AND($N34&lt;&gt;"",$O34&lt;&gt;"",N($N34)&gt;=_xlpm.p,N($O34)&gt;=_xlpm.p),"Yes",IF(OR(AND($N34&lt;&gt;"",N($N34)&lt;_xlpm.p),AND($O34&lt;&gt;"",N($O34)&lt;_xlpm.p)),"No","(one pending)")))))</f>
        <v/>
      </c>
    </row>
    <row r="35">
      <c r="B35" s="17">
        <f>IF(Cadets!$B35="","",Cadets!$B35)</f>
        <v/>
      </c>
      <c r="C35" s="17">
        <f>IF($B35="","",Cadets!$F35)</f>
        <v/>
      </c>
      <c r="D35" s="17">
        <f>IF($B35="","",Cadets!$I35)</f>
        <v/>
      </c>
      <c r="E35" s="17">
        <f>IF($B35="","",SUMPRODUCT((rngSM_cat&lt;&gt;"")*(COUNTIFS(nrSK_PID,$B35,nrSK_Cat,rngSM_cat)&gt;0)))</f>
        <v/>
      </c>
      <c r="F35" s="17">
        <f>IF($B35="","",SUMPRODUCT((rngSM_cat&lt;&gt;"")*(COUNTIFS(nrSK_PID,$B35,nrSK_Cat,rngSM_cat,nrSK_Status,"Qualified")&gt;0)))</f>
        <v/>
      </c>
      <c r="G35" s="17">
        <f>IF($B35="","",SUMPRODUCT((rngSM_cat&lt;&gt;"")*(COUNTIFS(nrSK_PID,$B35,nrSK_Cat,rngSM_cat,nrSK_Status,"Needs Remediation")&gt;0)))</f>
        <v/>
      </c>
      <c r="H35" s="17">
        <f>IF($B35="","",SUMPRODUCT((rngSM_cat&lt;&gt;"")*(COUNTIFS(nrSK_PID,$B35,nrSK_Cat,rngSM_cat,nrSK_Status,"Pending")&gt;0)))</f>
        <v/>
      </c>
      <c r="I35" s="17">
        <f>IF($B35="","",SUMPRODUCT((rngSM_cat&lt;&gt;"")*(COUNTIFS(nrSK_PID,$B35,nrSK_Cat,rngSM_cat,nrSK_Dis,"Yes")&gt;0)))</f>
        <v/>
      </c>
      <c r="J35" s="17">
        <f>IF($B35="","",IF($I35&gt;0,"Yes","No"))</f>
        <v/>
      </c>
      <c r="K35" s="17">
        <f>IF($B35="","",IF($J35="Yes","No",IF($G35&gt;0,"No","Yes")))</f>
        <v/>
      </c>
      <c r="L35" s="17">
        <f>IF($B35="","",IFERROR(ROUND(AVERAGEIFS(nrSK_Score,nrSK_PID,$B35,nrSK_Cat,"Firearms",nrSK_Score,"&gt;=0",nrSK_Score,"&lt;=100"),2),""))</f>
        <v/>
      </c>
      <c r="M35" s="17">
        <f>IF($B35="","",IFERROR(_xlfn.MAXIFS(nrSK_Score,nrSK_PID,$B35,nrSK_Cat,"Firearms",nrSK_Score,"&gt;=0",nrSK_Score,"&lt;=100"),""))</f>
        <v/>
      </c>
      <c r="N35" s="17">
        <f>IF($B35="","",_xlfn.LET(_xlpm.v,_xlfn.MAXIFS(nrSK_Score,nrSK_PID,$B35,nrSK_Cat,"Firearms",nrSK_CoF,1,nrSK_Score,"&gt;=0",nrSK_Score,"&lt;=100"),IF(_xlpm.v=0,"",_xlpm.v)))</f>
        <v/>
      </c>
      <c r="O35" s="17">
        <f>IF($B35="","",_xlfn.LET(_xlpm.v,_xlfn.MAXIFS(nrSK_Score,nrSK_PID,$B35,nrSK_Cat,"Firearms",nrSK_CoF,2,nrSK_Score,"&gt;=0",nrSK_Score,"&lt;=100"),IF(_xlpm.v=0,"",_xlpm.v)))</f>
        <v/>
      </c>
      <c r="P35" s="17">
        <f>IF($B35="","",IF(AND($N35="",$O35=""),"",_xlfn.LET(_xlpm.p,IFERROR(INDEX(rngSM_pass,MATCH("Firearms",rngSM_cat,0)),70),IF(AND($N35&lt;&gt;"",$O35&lt;&gt;"",N($N35)&gt;=_xlpm.p,N($O35)&gt;=_xlpm.p),"Yes",IF(OR(AND($N35&lt;&gt;"",N($N35)&lt;_xlpm.p),AND($O35&lt;&gt;"",N($O35)&lt;_xlpm.p)),"No","(one pending)")))))</f>
        <v/>
      </c>
    </row>
    <row r="36">
      <c r="B36" s="17">
        <f>IF(Cadets!$B36="","",Cadets!$B36)</f>
        <v/>
      </c>
      <c r="C36" s="17">
        <f>IF($B36="","",Cadets!$F36)</f>
        <v/>
      </c>
      <c r="D36" s="17">
        <f>IF($B36="","",Cadets!$I36)</f>
        <v/>
      </c>
      <c r="E36" s="17">
        <f>IF($B36="","",SUMPRODUCT((rngSM_cat&lt;&gt;"")*(COUNTIFS(nrSK_PID,$B36,nrSK_Cat,rngSM_cat)&gt;0)))</f>
        <v/>
      </c>
      <c r="F36" s="17">
        <f>IF($B36="","",SUMPRODUCT((rngSM_cat&lt;&gt;"")*(COUNTIFS(nrSK_PID,$B36,nrSK_Cat,rngSM_cat,nrSK_Status,"Qualified")&gt;0)))</f>
        <v/>
      </c>
      <c r="G36" s="17">
        <f>IF($B36="","",SUMPRODUCT((rngSM_cat&lt;&gt;"")*(COUNTIFS(nrSK_PID,$B36,nrSK_Cat,rngSM_cat,nrSK_Status,"Needs Remediation")&gt;0)))</f>
        <v/>
      </c>
      <c r="H36" s="17">
        <f>IF($B36="","",SUMPRODUCT((rngSM_cat&lt;&gt;"")*(COUNTIFS(nrSK_PID,$B36,nrSK_Cat,rngSM_cat,nrSK_Status,"Pending")&gt;0)))</f>
        <v/>
      </c>
      <c r="I36" s="17">
        <f>IF($B36="","",SUMPRODUCT((rngSM_cat&lt;&gt;"")*(COUNTIFS(nrSK_PID,$B36,nrSK_Cat,rngSM_cat,nrSK_Dis,"Yes")&gt;0)))</f>
        <v/>
      </c>
      <c r="J36" s="17">
        <f>IF($B36="","",IF($I36&gt;0,"Yes","No"))</f>
        <v/>
      </c>
      <c r="K36" s="17">
        <f>IF($B36="","",IF($J36="Yes","No",IF($G36&gt;0,"No","Yes")))</f>
        <v/>
      </c>
      <c r="L36" s="17">
        <f>IF($B36="","",IFERROR(ROUND(AVERAGEIFS(nrSK_Score,nrSK_PID,$B36,nrSK_Cat,"Firearms",nrSK_Score,"&gt;=0",nrSK_Score,"&lt;=100"),2),""))</f>
        <v/>
      </c>
      <c r="M36" s="17">
        <f>IF($B36="","",IFERROR(_xlfn.MAXIFS(nrSK_Score,nrSK_PID,$B36,nrSK_Cat,"Firearms",nrSK_Score,"&gt;=0",nrSK_Score,"&lt;=100"),""))</f>
        <v/>
      </c>
      <c r="N36" s="17">
        <f>IF($B36="","",_xlfn.LET(_xlpm.v,_xlfn.MAXIFS(nrSK_Score,nrSK_PID,$B36,nrSK_Cat,"Firearms",nrSK_CoF,1,nrSK_Score,"&gt;=0",nrSK_Score,"&lt;=100"),IF(_xlpm.v=0,"",_xlpm.v)))</f>
        <v/>
      </c>
      <c r="O36" s="17">
        <f>IF($B36="","",_xlfn.LET(_xlpm.v,_xlfn.MAXIFS(nrSK_Score,nrSK_PID,$B36,nrSK_Cat,"Firearms",nrSK_CoF,2,nrSK_Score,"&gt;=0",nrSK_Score,"&lt;=100"),IF(_xlpm.v=0,"",_xlpm.v)))</f>
        <v/>
      </c>
      <c r="P36" s="17">
        <f>IF($B36="","",IF(AND($N36="",$O36=""),"",_xlfn.LET(_xlpm.p,IFERROR(INDEX(rngSM_pass,MATCH("Firearms",rngSM_cat,0)),70),IF(AND($N36&lt;&gt;"",$O36&lt;&gt;"",N($N36)&gt;=_xlpm.p,N($O36)&gt;=_xlpm.p),"Yes",IF(OR(AND($N36&lt;&gt;"",N($N36)&lt;_xlpm.p),AND($O36&lt;&gt;"",N($O36)&lt;_xlpm.p)),"No","(one pending)")))))</f>
        <v/>
      </c>
    </row>
    <row r="37">
      <c r="B37" s="17">
        <f>IF(Cadets!$B37="","",Cadets!$B37)</f>
        <v/>
      </c>
      <c r="C37" s="17">
        <f>IF($B37="","",Cadets!$F37)</f>
        <v/>
      </c>
      <c r="D37" s="17">
        <f>IF($B37="","",Cadets!$I37)</f>
        <v/>
      </c>
      <c r="E37" s="17">
        <f>IF($B37="","",SUMPRODUCT((rngSM_cat&lt;&gt;"")*(COUNTIFS(nrSK_PID,$B37,nrSK_Cat,rngSM_cat)&gt;0)))</f>
        <v/>
      </c>
      <c r="F37" s="17">
        <f>IF($B37="","",SUMPRODUCT((rngSM_cat&lt;&gt;"")*(COUNTIFS(nrSK_PID,$B37,nrSK_Cat,rngSM_cat,nrSK_Status,"Qualified")&gt;0)))</f>
        <v/>
      </c>
      <c r="G37" s="17">
        <f>IF($B37="","",SUMPRODUCT((rngSM_cat&lt;&gt;"")*(COUNTIFS(nrSK_PID,$B37,nrSK_Cat,rngSM_cat,nrSK_Status,"Needs Remediation")&gt;0)))</f>
        <v/>
      </c>
      <c r="H37" s="17">
        <f>IF($B37="","",SUMPRODUCT((rngSM_cat&lt;&gt;"")*(COUNTIFS(nrSK_PID,$B37,nrSK_Cat,rngSM_cat,nrSK_Status,"Pending")&gt;0)))</f>
        <v/>
      </c>
      <c r="I37" s="17">
        <f>IF($B37="","",SUMPRODUCT((rngSM_cat&lt;&gt;"")*(COUNTIFS(nrSK_PID,$B37,nrSK_Cat,rngSM_cat,nrSK_Dis,"Yes")&gt;0)))</f>
        <v/>
      </c>
      <c r="J37" s="17">
        <f>IF($B37="","",IF($I37&gt;0,"Yes","No"))</f>
        <v/>
      </c>
      <c r="K37" s="17">
        <f>IF($B37="","",IF($J37="Yes","No",IF($G37&gt;0,"No","Yes")))</f>
        <v/>
      </c>
      <c r="L37" s="17">
        <f>IF($B37="","",IFERROR(ROUND(AVERAGEIFS(nrSK_Score,nrSK_PID,$B37,nrSK_Cat,"Firearms",nrSK_Score,"&gt;=0",nrSK_Score,"&lt;=100"),2),""))</f>
        <v/>
      </c>
      <c r="M37" s="17">
        <f>IF($B37="","",IFERROR(_xlfn.MAXIFS(nrSK_Score,nrSK_PID,$B37,nrSK_Cat,"Firearms",nrSK_Score,"&gt;=0",nrSK_Score,"&lt;=100"),""))</f>
        <v/>
      </c>
      <c r="N37" s="17">
        <f>IF($B37="","",_xlfn.LET(_xlpm.v,_xlfn.MAXIFS(nrSK_Score,nrSK_PID,$B37,nrSK_Cat,"Firearms",nrSK_CoF,1,nrSK_Score,"&gt;=0",nrSK_Score,"&lt;=100"),IF(_xlpm.v=0,"",_xlpm.v)))</f>
        <v/>
      </c>
      <c r="O37" s="17">
        <f>IF($B37="","",_xlfn.LET(_xlpm.v,_xlfn.MAXIFS(nrSK_Score,nrSK_PID,$B37,nrSK_Cat,"Firearms",nrSK_CoF,2,nrSK_Score,"&gt;=0",nrSK_Score,"&lt;=100"),IF(_xlpm.v=0,"",_xlpm.v)))</f>
        <v/>
      </c>
      <c r="P37" s="17">
        <f>IF($B37="","",IF(AND($N37="",$O37=""),"",_xlfn.LET(_xlpm.p,IFERROR(INDEX(rngSM_pass,MATCH("Firearms",rngSM_cat,0)),70),IF(AND($N37&lt;&gt;"",$O37&lt;&gt;"",N($N37)&gt;=_xlpm.p,N($O37)&gt;=_xlpm.p),"Yes",IF(OR(AND($N37&lt;&gt;"",N($N37)&lt;_xlpm.p),AND($O37&lt;&gt;"",N($O37)&lt;_xlpm.p)),"No","(one pending)")))))</f>
        <v/>
      </c>
    </row>
    <row r="38">
      <c r="B38" s="17">
        <f>IF(Cadets!$B38="","",Cadets!$B38)</f>
        <v/>
      </c>
      <c r="C38" s="17">
        <f>IF($B38="","",Cadets!$F38)</f>
        <v/>
      </c>
      <c r="D38" s="17">
        <f>IF($B38="","",Cadets!$I38)</f>
        <v/>
      </c>
      <c r="E38" s="17">
        <f>IF($B38="","",SUMPRODUCT((rngSM_cat&lt;&gt;"")*(COUNTIFS(nrSK_PID,$B38,nrSK_Cat,rngSM_cat)&gt;0)))</f>
        <v/>
      </c>
      <c r="F38" s="17">
        <f>IF($B38="","",SUMPRODUCT((rngSM_cat&lt;&gt;"")*(COUNTIFS(nrSK_PID,$B38,nrSK_Cat,rngSM_cat,nrSK_Status,"Qualified")&gt;0)))</f>
        <v/>
      </c>
      <c r="G38" s="17">
        <f>IF($B38="","",SUMPRODUCT((rngSM_cat&lt;&gt;"")*(COUNTIFS(nrSK_PID,$B38,nrSK_Cat,rngSM_cat,nrSK_Status,"Needs Remediation")&gt;0)))</f>
        <v/>
      </c>
      <c r="H38" s="17">
        <f>IF($B38="","",SUMPRODUCT((rngSM_cat&lt;&gt;"")*(COUNTIFS(nrSK_PID,$B38,nrSK_Cat,rngSM_cat,nrSK_Status,"Pending")&gt;0)))</f>
        <v/>
      </c>
      <c r="I38" s="17">
        <f>IF($B38="","",SUMPRODUCT((rngSM_cat&lt;&gt;"")*(COUNTIFS(nrSK_PID,$B38,nrSK_Cat,rngSM_cat,nrSK_Dis,"Yes")&gt;0)))</f>
        <v/>
      </c>
      <c r="J38" s="17">
        <f>IF($B38="","",IF($I38&gt;0,"Yes","No"))</f>
        <v/>
      </c>
      <c r="K38" s="17">
        <f>IF($B38="","",IF($J38="Yes","No",IF($G38&gt;0,"No","Yes")))</f>
        <v/>
      </c>
      <c r="L38" s="17">
        <f>IF($B38="","",IFERROR(ROUND(AVERAGEIFS(nrSK_Score,nrSK_PID,$B38,nrSK_Cat,"Firearms",nrSK_Score,"&gt;=0",nrSK_Score,"&lt;=100"),2),""))</f>
        <v/>
      </c>
      <c r="M38" s="17">
        <f>IF($B38="","",IFERROR(_xlfn.MAXIFS(nrSK_Score,nrSK_PID,$B38,nrSK_Cat,"Firearms",nrSK_Score,"&gt;=0",nrSK_Score,"&lt;=100"),""))</f>
        <v/>
      </c>
      <c r="N38" s="17">
        <f>IF($B38="","",_xlfn.LET(_xlpm.v,_xlfn.MAXIFS(nrSK_Score,nrSK_PID,$B38,nrSK_Cat,"Firearms",nrSK_CoF,1,nrSK_Score,"&gt;=0",nrSK_Score,"&lt;=100"),IF(_xlpm.v=0,"",_xlpm.v)))</f>
        <v/>
      </c>
      <c r="O38" s="17">
        <f>IF($B38="","",_xlfn.LET(_xlpm.v,_xlfn.MAXIFS(nrSK_Score,nrSK_PID,$B38,nrSK_Cat,"Firearms",nrSK_CoF,2,nrSK_Score,"&gt;=0",nrSK_Score,"&lt;=100"),IF(_xlpm.v=0,"",_xlpm.v)))</f>
        <v/>
      </c>
      <c r="P38" s="17">
        <f>IF($B38="","",IF(AND($N38="",$O38=""),"",_xlfn.LET(_xlpm.p,IFERROR(INDEX(rngSM_pass,MATCH("Firearms",rngSM_cat,0)),70),IF(AND($N38&lt;&gt;"",$O38&lt;&gt;"",N($N38)&gt;=_xlpm.p,N($O38)&gt;=_xlpm.p),"Yes",IF(OR(AND($N38&lt;&gt;"",N($N38)&lt;_xlpm.p),AND($O38&lt;&gt;"",N($O38)&lt;_xlpm.p)),"No","(one pending)")))))</f>
        <v/>
      </c>
    </row>
    <row r="39">
      <c r="B39" s="17">
        <f>IF(Cadets!$B39="","",Cadets!$B39)</f>
        <v/>
      </c>
      <c r="C39" s="17">
        <f>IF($B39="","",Cadets!$F39)</f>
        <v/>
      </c>
      <c r="D39" s="17">
        <f>IF($B39="","",Cadets!$I39)</f>
        <v/>
      </c>
      <c r="E39" s="17">
        <f>IF($B39="","",SUMPRODUCT((rngSM_cat&lt;&gt;"")*(COUNTIFS(nrSK_PID,$B39,nrSK_Cat,rngSM_cat)&gt;0)))</f>
        <v/>
      </c>
      <c r="F39" s="17">
        <f>IF($B39="","",SUMPRODUCT((rngSM_cat&lt;&gt;"")*(COUNTIFS(nrSK_PID,$B39,nrSK_Cat,rngSM_cat,nrSK_Status,"Qualified")&gt;0)))</f>
        <v/>
      </c>
      <c r="G39" s="17">
        <f>IF($B39="","",SUMPRODUCT((rngSM_cat&lt;&gt;"")*(COUNTIFS(nrSK_PID,$B39,nrSK_Cat,rngSM_cat,nrSK_Status,"Needs Remediation")&gt;0)))</f>
        <v/>
      </c>
      <c r="H39" s="17">
        <f>IF($B39="","",SUMPRODUCT((rngSM_cat&lt;&gt;"")*(COUNTIFS(nrSK_PID,$B39,nrSK_Cat,rngSM_cat,nrSK_Status,"Pending")&gt;0)))</f>
        <v/>
      </c>
      <c r="I39" s="17">
        <f>IF($B39="","",SUMPRODUCT((rngSM_cat&lt;&gt;"")*(COUNTIFS(nrSK_PID,$B39,nrSK_Cat,rngSM_cat,nrSK_Dis,"Yes")&gt;0)))</f>
        <v/>
      </c>
      <c r="J39" s="17">
        <f>IF($B39="","",IF($I39&gt;0,"Yes","No"))</f>
        <v/>
      </c>
      <c r="K39" s="17">
        <f>IF($B39="","",IF($J39="Yes","No",IF($G39&gt;0,"No","Yes")))</f>
        <v/>
      </c>
      <c r="L39" s="17">
        <f>IF($B39="","",IFERROR(ROUND(AVERAGEIFS(nrSK_Score,nrSK_PID,$B39,nrSK_Cat,"Firearms",nrSK_Score,"&gt;=0",nrSK_Score,"&lt;=100"),2),""))</f>
        <v/>
      </c>
      <c r="M39" s="17">
        <f>IF($B39="","",IFERROR(_xlfn.MAXIFS(nrSK_Score,nrSK_PID,$B39,nrSK_Cat,"Firearms",nrSK_Score,"&gt;=0",nrSK_Score,"&lt;=100"),""))</f>
        <v/>
      </c>
      <c r="N39" s="17">
        <f>IF($B39="","",_xlfn.LET(_xlpm.v,_xlfn.MAXIFS(nrSK_Score,nrSK_PID,$B39,nrSK_Cat,"Firearms",nrSK_CoF,1,nrSK_Score,"&gt;=0",nrSK_Score,"&lt;=100"),IF(_xlpm.v=0,"",_xlpm.v)))</f>
        <v/>
      </c>
      <c r="O39" s="17">
        <f>IF($B39="","",_xlfn.LET(_xlpm.v,_xlfn.MAXIFS(nrSK_Score,nrSK_PID,$B39,nrSK_Cat,"Firearms",nrSK_CoF,2,nrSK_Score,"&gt;=0",nrSK_Score,"&lt;=100"),IF(_xlpm.v=0,"",_xlpm.v)))</f>
        <v/>
      </c>
      <c r="P39" s="17">
        <f>IF($B39="","",IF(AND($N39="",$O39=""),"",_xlfn.LET(_xlpm.p,IFERROR(INDEX(rngSM_pass,MATCH("Firearms",rngSM_cat,0)),70),IF(AND($N39&lt;&gt;"",$O39&lt;&gt;"",N($N39)&gt;=_xlpm.p,N($O39)&gt;=_xlpm.p),"Yes",IF(OR(AND($N39&lt;&gt;"",N($N39)&lt;_xlpm.p),AND($O39&lt;&gt;"",N($O39)&lt;_xlpm.p)),"No","(one pending)")))))</f>
        <v/>
      </c>
    </row>
    <row r="40">
      <c r="B40" s="17">
        <f>IF(Cadets!$B40="","",Cadets!$B40)</f>
        <v/>
      </c>
      <c r="C40" s="17">
        <f>IF($B40="","",Cadets!$F40)</f>
        <v/>
      </c>
      <c r="D40" s="17">
        <f>IF($B40="","",Cadets!$I40)</f>
        <v/>
      </c>
      <c r="E40" s="17">
        <f>IF($B40="","",SUMPRODUCT((rngSM_cat&lt;&gt;"")*(COUNTIFS(nrSK_PID,$B40,nrSK_Cat,rngSM_cat)&gt;0)))</f>
        <v/>
      </c>
      <c r="F40" s="17">
        <f>IF($B40="","",SUMPRODUCT((rngSM_cat&lt;&gt;"")*(COUNTIFS(nrSK_PID,$B40,nrSK_Cat,rngSM_cat,nrSK_Status,"Qualified")&gt;0)))</f>
        <v/>
      </c>
      <c r="G40" s="17">
        <f>IF($B40="","",SUMPRODUCT((rngSM_cat&lt;&gt;"")*(COUNTIFS(nrSK_PID,$B40,nrSK_Cat,rngSM_cat,nrSK_Status,"Needs Remediation")&gt;0)))</f>
        <v/>
      </c>
      <c r="H40" s="17">
        <f>IF($B40="","",SUMPRODUCT((rngSM_cat&lt;&gt;"")*(COUNTIFS(nrSK_PID,$B40,nrSK_Cat,rngSM_cat,nrSK_Status,"Pending")&gt;0)))</f>
        <v/>
      </c>
      <c r="I40" s="17">
        <f>IF($B40="","",SUMPRODUCT((rngSM_cat&lt;&gt;"")*(COUNTIFS(nrSK_PID,$B40,nrSK_Cat,rngSM_cat,nrSK_Dis,"Yes")&gt;0)))</f>
        <v/>
      </c>
      <c r="J40" s="17">
        <f>IF($B40="","",IF($I40&gt;0,"Yes","No"))</f>
        <v/>
      </c>
      <c r="K40" s="17">
        <f>IF($B40="","",IF($J40="Yes","No",IF($G40&gt;0,"No","Yes")))</f>
        <v/>
      </c>
      <c r="L40" s="17">
        <f>IF($B40="","",IFERROR(ROUND(AVERAGEIFS(nrSK_Score,nrSK_PID,$B40,nrSK_Cat,"Firearms",nrSK_Score,"&gt;=0",nrSK_Score,"&lt;=100"),2),""))</f>
        <v/>
      </c>
      <c r="M40" s="17">
        <f>IF($B40="","",IFERROR(_xlfn.MAXIFS(nrSK_Score,nrSK_PID,$B40,nrSK_Cat,"Firearms",nrSK_Score,"&gt;=0",nrSK_Score,"&lt;=100"),""))</f>
        <v/>
      </c>
      <c r="N40" s="17">
        <f>IF($B40="","",_xlfn.LET(_xlpm.v,_xlfn.MAXIFS(nrSK_Score,nrSK_PID,$B40,nrSK_Cat,"Firearms",nrSK_CoF,1,nrSK_Score,"&gt;=0",nrSK_Score,"&lt;=100"),IF(_xlpm.v=0,"",_xlpm.v)))</f>
        <v/>
      </c>
      <c r="O40" s="17">
        <f>IF($B40="","",_xlfn.LET(_xlpm.v,_xlfn.MAXIFS(nrSK_Score,nrSK_PID,$B40,nrSK_Cat,"Firearms",nrSK_CoF,2,nrSK_Score,"&gt;=0",nrSK_Score,"&lt;=100"),IF(_xlpm.v=0,"",_xlpm.v)))</f>
        <v/>
      </c>
      <c r="P40" s="17">
        <f>IF($B40="","",IF(AND($N40="",$O40=""),"",_xlfn.LET(_xlpm.p,IFERROR(INDEX(rngSM_pass,MATCH("Firearms",rngSM_cat,0)),70),IF(AND($N40&lt;&gt;"",$O40&lt;&gt;"",N($N40)&gt;=_xlpm.p,N($O40)&gt;=_xlpm.p),"Yes",IF(OR(AND($N40&lt;&gt;"",N($N40)&lt;_xlpm.p),AND($O40&lt;&gt;"",N($O40)&lt;_xlpm.p)),"No","(one pending)")))))</f>
        <v/>
      </c>
    </row>
    <row r="41">
      <c r="B41" s="17">
        <f>IF(Cadets!$B41="","",Cadets!$B41)</f>
        <v/>
      </c>
      <c r="C41" s="17">
        <f>IF($B41="","",Cadets!$F41)</f>
        <v/>
      </c>
      <c r="D41" s="17">
        <f>IF($B41="","",Cadets!$I41)</f>
        <v/>
      </c>
      <c r="E41" s="17">
        <f>IF($B41="","",SUMPRODUCT((rngSM_cat&lt;&gt;"")*(COUNTIFS(nrSK_PID,$B41,nrSK_Cat,rngSM_cat)&gt;0)))</f>
        <v/>
      </c>
      <c r="F41" s="17">
        <f>IF($B41="","",SUMPRODUCT((rngSM_cat&lt;&gt;"")*(COUNTIFS(nrSK_PID,$B41,nrSK_Cat,rngSM_cat,nrSK_Status,"Qualified")&gt;0)))</f>
        <v/>
      </c>
      <c r="G41" s="17">
        <f>IF($B41="","",SUMPRODUCT((rngSM_cat&lt;&gt;"")*(COUNTIFS(nrSK_PID,$B41,nrSK_Cat,rngSM_cat,nrSK_Status,"Needs Remediation")&gt;0)))</f>
        <v/>
      </c>
      <c r="H41" s="17">
        <f>IF($B41="","",SUMPRODUCT((rngSM_cat&lt;&gt;"")*(COUNTIFS(nrSK_PID,$B41,nrSK_Cat,rngSM_cat,nrSK_Status,"Pending")&gt;0)))</f>
        <v/>
      </c>
      <c r="I41" s="17">
        <f>IF($B41="","",SUMPRODUCT((rngSM_cat&lt;&gt;"")*(COUNTIFS(nrSK_PID,$B41,nrSK_Cat,rngSM_cat,nrSK_Dis,"Yes")&gt;0)))</f>
        <v/>
      </c>
      <c r="J41" s="17">
        <f>IF($B41="","",IF($I41&gt;0,"Yes","No"))</f>
        <v/>
      </c>
      <c r="K41" s="17">
        <f>IF($B41="","",IF($J41="Yes","No",IF($G41&gt;0,"No","Yes")))</f>
        <v/>
      </c>
      <c r="L41" s="17">
        <f>IF($B41="","",IFERROR(ROUND(AVERAGEIFS(nrSK_Score,nrSK_PID,$B41,nrSK_Cat,"Firearms",nrSK_Score,"&gt;=0",nrSK_Score,"&lt;=100"),2),""))</f>
        <v/>
      </c>
      <c r="M41" s="17">
        <f>IF($B41="","",IFERROR(_xlfn.MAXIFS(nrSK_Score,nrSK_PID,$B41,nrSK_Cat,"Firearms",nrSK_Score,"&gt;=0",nrSK_Score,"&lt;=100"),""))</f>
        <v/>
      </c>
      <c r="N41" s="17">
        <f>IF($B41="","",_xlfn.LET(_xlpm.v,_xlfn.MAXIFS(nrSK_Score,nrSK_PID,$B41,nrSK_Cat,"Firearms",nrSK_CoF,1,nrSK_Score,"&gt;=0",nrSK_Score,"&lt;=100"),IF(_xlpm.v=0,"",_xlpm.v)))</f>
        <v/>
      </c>
      <c r="O41" s="17">
        <f>IF($B41="","",_xlfn.LET(_xlpm.v,_xlfn.MAXIFS(nrSK_Score,nrSK_PID,$B41,nrSK_Cat,"Firearms",nrSK_CoF,2,nrSK_Score,"&gt;=0",nrSK_Score,"&lt;=100"),IF(_xlpm.v=0,"",_xlpm.v)))</f>
        <v/>
      </c>
      <c r="P41" s="17">
        <f>IF($B41="","",IF(AND($N41="",$O41=""),"",_xlfn.LET(_xlpm.p,IFERROR(INDEX(rngSM_pass,MATCH("Firearms",rngSM_cat,0)),70),IF(AND($N41&lt;&gt;"",$O41&lt;&gt;"",N($N41)&gt;=_xlpm.p,N($O41)&gt;=_xlpm.p),"Yes",IF(OR(AND($N41&lt;&gt;"",N($N41)&lt;_xlpm.p),AND($O41&lt;&gt;"",N($O41)&lt;_xlpm.p)),"No","(one pending)")))))</f>
        <v/>
      </c>
    </row>
    <row r="42">
      <c r="B42" s="17">
        <f>IF(Cadets!$B42="","",Cadets!$B42)</f>
        <v/>
      </c>
      <c r="C42" s="17">
        <f>IF($B42="","",Cadets!$F42)</f>
        <v/>
      </c>
      <c r="D42" s="17">
        <f>IF($B42="","",Cadets!$I42)</f>
        <v/>
      </c>
      <c r="E42" s="17">
        <f>IF($B42="","",SUMPRODUCT((rngSM_cat&lt;&gt;"")*(COUNTIFS(nrSK_PID,$B42,nrSK_Cat,rngSM_cat)&gt;0)))</f>
        <v/>
      </c>
      <c r="F42" s="17">
        <f>IF($B42="","",SUMPRODUCT((rngSM_cat&lt;&gt;"")*(COUNTIFS(nrSK_PID,$B42,nrSK_Cat,rngSM_cat,nrSK_Status,"Qualified")&gt;0)))</f>
        <v/>
      </c>
      <c r="G42" s="17">
        <f>IF($B42="","",SUMPRODUCT((rngSM_cat&lt;&gt;"")*(COUNTIFS(nrSK_PID,$B42,nrSK_Cat,rngSM_cat,nrSK_Status,"Needs Remediation")&gt;0)))</f>
        <v/>
      </c>
      <c r="H42" s="17">
        <f>IF($B42="","",SUMPRODUCT((rngSM_cat&lt;&gt;"")*(COUNTIFS(nrSK_PID,$B42,nrSK_Cat,rngSM_cat,nrSK_Status,"Pending")&gt;0)))</f>
        <v/>
      </c>
      <c r="I42" s="17">
        <f>IF($B42="","",SUMPRODUCT((rngSM_cat&lt;&gt;"")*(COUNTIFS(nrSK_PID,$B42,nrSK_Cat,rngSM_cat,nrSK_Dis,"Yes")&gt;0)))</f>
        <v/>
      </c>
      <c r="J42" s="17">
        <f>IF($B42="","",IF($I42&gt;0,"Yes","No"))</f>
        <v/>
      </c>
      <c r="K42" s="17">
        <f>IF($B42="","",IF($J42="Yes","No",IF($G42&gt;0,"No","Yes")))</f>
        <v/>
      </c>
      <c r="L42" s="17">
        <f>IF($B42="","",IFERROR(ROUND(AVERAGEIFS(nrSK_Score,nrSK_PID,$B42,nrSK_Cat,"Firearms",nrSK_Score,"&gt;=0",nrSK_Score,"&lt;=100"),2),""))</f>
        <v/>
      </c>
      <c r="M42" s="17">
        <f>IF($B42="","",IFERROR(_xlfn.MAXIFS(nrSK_Score,nrSK_PID,$B42,nrSK_Cat,"Firearms",nrSK_Score,"&gt;=0",nrSK_Score,"&lt;=100"),""))</f>
        <v/>
      </c>
      <c r="N42" s="17">
        <f>IF($B42="","",_xlfn.LET(_xlpm.v,_xlfn.MAXIFS(nrSK_Score,nrSK_PID,$B42,nrSK_Cat,"Firearms",nrSK_CoF,1,nrSK_Score,"&gt;=0",nrSK_Score,"&lt;=100"),IF(_xlpm.v=0,"",_xlpm.v)))</f>
        <v/>
      </c>
      <c r="O42" s="17">
        <f>IF($B42="","",_xlfn.LET(_xlpm.v,_xlfn.MAXIFS(nrSK_Score,nrSK_PID,$B42,nrSK_Cat,"Firearms",nrSK_CoF,2,nrSK_Score,"&gt;=0",nrSK_Score,"&lt;=100"),IF(_xlpm.v=0,"",_xlpm.v)))</f>
        <v/>
      </c>
      <c r="P42" s="17">
        <f>IF($B42="","",IF(AND($N42="",$O42=""),"",_xlfn.LET(_xlpm.p,IFERROR(INDEX(rngSM_pass,MATCH("Firearms",rngSM_cat,0)),70),IF(AND($N42&lt;&gt;"",$O42&lt;&gt;"",N($N42)&gt;=_xlpm.p,N($O42)&gt;=_xlpm.p),"Yes",IF(OR(AND($N42&lt;&gt;"",N($N42)&lt;_xlpm.p),AND($O42&lt;&gt;"",N($O42)&lt;_xlpm.p)),"No","(one pending)")))))</f>
        <v/>
      </c>
    </row>
    <row r="43">
      <c r="B43" s="17">
        <f>IF(Cadets!$B43="","",Cadets!$B43)</f>
        <v/>
      </c>
      <c r="C43" s="17">
        <f>IF($B43="","",Cadets!$F43)</f>
        <v/>
      </c>
      <c r="D43" s="17">
        <f>IF($B43="","",Cadets!$I43)</f>
        <v/>
      </c>
      <c r="E43" s="17">
        <f>IF($B43="","",SUMPRODUCT((rngSM_cat&lt;&gt;"")*(COUNTIFS(nrSK_PID,$B43,nrSK_Cat,rngSM_cat)&gt;0)))</f>
        <v/>
      </c>
      <c r="F43" s="17">
        <f>IF($B43="","",SUMPRODUCT((rngSM_cat&lt;&gt;"")*(COUNTIFS(nrSK_PID,$B43,nrSK_Cat,rngSM_cat,nrSK_Status,"Qualified")&gt;0)))</f>
        <v/>
      </c>
      <c r="G43" s="17">
        <f>IF($B43="","",SUMPRODUCT((rngSM_cat&lt;&gt;"")*(COUNTIFS(nrSK_PID,$B43,nrSK_Cat,rngSM_cat,nrSK_Status,"Needs Remediation")&gt;0)))</f>
        <v/>
      </c>
      <c r="H43" s="17">
        <f>IF($B43="","",SUMPRODUCT((rngSM_cat&lt;&gt;"")*(COUNTIFS(nrSK_PID,$B43,nrSK_Cat,rngSM_cat,nrSK_Status,"Pending")&gt;0)))</f>
        <v/>
      </c>
      <c r="I43" s="17">
        <f>IF($B43="","",SUMPRODUCT((rngSM_cat&lt;&gt;"")*(COUNTIFS(nrSK_PID,$B43,nrSK_Cat,rngSM_cat,nrSK_Dis,"Yes")&gt;0)))</f>
        <v/>
      </c>
      <c r="J43" s="17">
        <f>IF($B43="","",IF($I43&gt;0,"Yes","No"))</f>
        <v/>
      </c>
      <c r="K43" s="17">
        <f>IF($B43="","",IF($J43="Yes","No",IF($G43&gt;0,"No","Yes")))</f>
        <v/>
      </c>
      <c r="L43" s="17">
        <f>IF($B43="","",IFERROR(ROUND(AVERAGEIFS(nrSK_Score,nrSK_PID,$B43,nrSK_Cat,"Firearms",nrSK_Score,"&gt;=0",nrSK_Score,"&lt;=100"),2),""))</f>
        <v/>
      </c>
      <c r="M43" s="17">
        <f>IF($B43="","",IFERROR(_xlfn.MAXIFS(nrSK_Score,nrSK_PID,$B43,nrSK_Cat,"Firearms",nrSK_Score,"&gt;=0",nrSK_Score,"&lt;=100"),""))</f>
        <v/>
      </c>
      <c r="N43" s="17">
        <f>IF($B43="","",_xlfn.LET(_xlpm.v,_xlfn.MAXIFS(nrSK_Score,nrSK_PID,$B43,nrSK_Cat,"Firearms",nrSK_CoF,1,nrSK_Score,"&gt;=0",nrSK_Score,"&lt;=100"),IF(_xlpm.v=0,"",_xlpm.v)))</f>
        <v/>
      </c>
      <c r="O43" s="17">
        <f>IF($B43="","",_xlfn.LET(_xlpm.v,_xlfn.MAXIFS(nrSK_Score,nrSK_PID,$B43,nrSK_Cat,"Firearms",nrSK_CoF,2,nrSK_Score,"&gt;=0",nrSK_Score,"&lt;=100"),IF(_xlpm.v=0,"",_xlpm.v)))</f>
        <v/>
      </c>
      <c r="P43" s="17">
        <f>IF($B43="","",IF(AND($N43="",$O43=""),"",_xlfn.LET(_xlpm.p,IFERROR(INDEX(rngSM_pass,MATCH("Firearms",rngSM_cat,0)),70),IF(AND($N43&lt;&gt;"",$O43&lt;&gt;"",N($N43)&gt;=_xlpm.p,N($O43)&gt;=_xlpm.p),"Yes",IF(OR(AND($N43&lt;&gt;"",N($N43)&lt;_xlpm.p),AND($O43&lt;&gt;"",N($O43)&lt;_xlpm.p)),"No","(one pending)")))))</f>
        <v/>
      </c>
    </row>
    <row r="44">
      <c r="B44" s="17">
        <f>IF(Cadets!$B44="","",Cadets!$B44)</f>
        <v/>
      </c>
      <c r="C44" s="17">
        <f>IF($B44="","",Cadets!$F44)</f>
        <v/>
      </c>
      <c r="D44" s="17">
        <f>IF($B44="","",Cadets!$I44)</f>
        <v/>
      </c>
      <c r="E44" s="17">
        <f>IF($B44="","",SUMPRODUCT((rngSM_cat&lt;&gt;"")*(COUNTIFS(nrSK_PID,$B44,nrSK_Cat,rngSM_cat)&gt;0)))</f>
        <v/>
      </c>
      <c r="F44" s="17">
        <f>IF($B44="","",SUMPRODUCT((rngSM_cat&lt;&gt;"")*(COUNTIFS(nrSK_PID,$B44,nrSK_Cat,rngSM_cat,nrSK_Status,"Qualified")&gt;0)))</f>
        <v/>
      </c>
      <c r="G44" s="17">
        <f>IF($B44="","",SUMPRODUCT((rngSM_cat&lt;&gt;"")*(COUNTIFS(nrSK_PID,$B44,nrSK_Cat,rngSM_cat,nrSK_Status,"Needs Remediation")&gt;0)))</f>
        <v/>
      </c>
      <c r="H44" s="17">
        <f>IF($B44="","",SUMPRODUCT((rngSM_cat&lt;&gt;"")*(COUNTIFS(nrSK_PID,$B44,nrSK_Cat,rngSM_cat,nrSK_Status,"Pending")&gt;0)))</f>
        <v/>
      </c>
      <c r="I44" s="17">
        <f>IF($B44="","",SUMPRODUCT((rngSM_cat&lt;&gt;"")*(COUNTIFS(nrSK_PID,$B44,nrSK_Cat,rngSM_cat,nrSK_Dis,"Yes")&gt;0)))</f>
        <v/>
      </c>
      <c r="J44" s="17">
        <f>IF($B44="","",IF($I44&gt;0,"Yes","No"))</f>
        <v/>
      </c>
      <c r="K44" s="17">
        <f>IF($B44="","",IF($J44="Yes","No",IF($G44&gt;0,"No","Yes")))</f>
        <v/>
      </c>
      <c r="L44" s="17">
        <f>IF($B44="","",IFERROR(ROUND(AVERAGEIFS(nrSK_Score,nrSK_PID,$B44,nrSK_Cat,"Firearms",nrSK_Score,"&gt;=0",nrSK_Score,"&lt;=100"),2),""))</f>
        <v/>
      </c>
      <c r="M44" s="17">
        <f>IF($B44="","",IFERROR(_xlfn.MAXIFS(nrSK_Score,nrSK_PID,$B44,nrSK_Cat,"Firearms",nrSK_Score,"&gt;=0",nrSK_Score,"&lt;=100"),""))</f>
        <v/>
      </c>
      <c r="N44" s="17">
        <f>IF($B44="","",_xlfn.LET(_xlpm.v,_xlfn.MAXIFS(nrSK_Score,nrSK_PID,$B44,nrSK_Cat,"Firearms",nrSK_CoF,1,nrSK_Score,"&gt;=0",nrSK_Score,"&lt;=100"),IF(_xlpm.v=0,"",_xlpm.v)))</f>
        <v/>
      </c>
      <c r="O44" s="17">
        <f>IF($B44="","",_xlfn.LET(_xlpm.v,_xlfn.MAXIFS(nrSK_Score,nrSK_PID,$B44,nrSK_Cat,"Firearms",nrSK_CoF,2,nrSK_Score,"&gt;=0",nrSK_Score,"&lt;=100"),IF(_xlpm.v=0,"",_xlpm.v)))</f>
        <v/>
      </c>
      <c r="P44" s="17">
        <f>IF($B44="","",IF(AND($N44="",$O44=""),"",_xlfn.LET(_xlpm.p,IFERROR(INDEX(rngSM_pass,MATCH("Firearms",rngSM_cat,0)),70),IF(AND($N44&lt;&gt;"",$O44&lt;&gt;"",N($N44)&gt;=_xlpm.p,N($O44)&gt;=_xlpm.p),"Yes",IF(OR(AND($N44&lt;&gt;"",N($N44)&lt;_xlpm.p),AND($O44&lt;&gt;"",N($O44)&lt;_xlpm.p)),"No","(one pending)")))))</f>
        <v/>
      </c>
    </row>
    <row r="45">
      <c r="B45" s="17">
        <f>IF(Cadets!$B45="","",Cadets!$B45)</f>
        <v/>
      </c>
      <c r="C45" s="17">
        <f>IF($B45="","",Cadets!$F45)</f>
        <v/>
      </c>
      <c r="D45" s="17">
        <f>IF($B45="","",Cadets!$I45)</f>
        <v/>
      </c>
      <c r="E45" s="17">
        <f>IF($B45="","",SUMPRODUCT((rngSM_cat&lt;&gt;"")*(COUNTIFS(nrSK_PID,$B45,nrSK_Cat,rngSM_cat)&gt;0)))</f>
        <v/>
      </c>
      <c r="F45" s="17">
        <f>IF($B45="","",SUMPRODUCT((rngSM_cat&lt;&gt;"")*(COUNTIFS(nrSK_PID,$B45,nrSK_Cat,rngSM_cat,nrSK_Status,"Qualified")&gt;0)))</f>
        <v/>
      </c>
      <c r="G45" s="17">
        <f>IF($B45="","",SUMPRODUCT((rngSM_cat&lt;&gt;"")*(COUNTIFS(nrSK_PID,$B45,nrSK_Cat,rngSM_cat,nrSK_Status,"Needs Remediation")&gt;0)))</f>
        <v/>
      </c>
      <c r="H45" s="17">
        <f>IF($B45="","",SUMPRODUCT((rngSM_cat&lt;&gt;"")*(COUNTIFS(nrSK_PID,$B45,nrSK_Cat,rngSM_cat,nrSK_Status,"Pending")&gt;0)))</f>
        <v/>
      </c>
      <c r="I45" s="17">
        <f>IF($B45="","",SUMPRODUCT((rngSM_cat&lt;&gt;"")*(COUNTIFS(nrSK_PID,$B45,nrSK_Cat,rngSM_cat,nrSK_Dis,"Yes")&gt;0)))</f>
        <v/>
      </c>
      <c r="J45" s="17">
        <f>IF($B45="","",IF($I45&gt;0,"Yes","No"))</f>
        <v/>
      </c>
      <c r="K45" s="17">
        <f>IF($B45="","",IF($J45="Yes","No",IF($G45&gt;0,"No","Yes")))</f>
        <v/>
      </c>
      <c r="L45" s="17">
        <f>IF($B45="","",IFERROR(ROUND(AVERAGEIFS(nrSK_Score,nrSK_PID,$B45,nrSK_Cat,"Firearms",nrSK_Score,"&gt;=0",nrSK_Score,"&lt;=100"),2),""))</f>
        <v/>
      </c>
      <c r="M45" s="17">
        <f>IF($B45="","",IFERROR(_xlfn.MAXIFS(nrSK_Score,nrSK_PID,$B45,nrSK_Cat,"Firearms",nrSK_Score,"&gt;=0",nrSK_Score,"&lt;=100"),""))</f>
        <v/>
      </c>
      <c r="N45" s="17">
        <f>IF($B45="","",_xlfn.LET(_xlpm.v,_xlfn.MAXIFS(nrSK_Score,nrSK_PID,$B45,nrSK_Cat,"Firearms",nrSK_CoF,1,nrSK_Score,"&gt;=0",nrSK_Score,"&lt;=100"),IF(_xlpm.v=0,"",_xlpm.v)))</f>
        <v/>
      </c>
      <c r="O45" s="17">
        <f>IF($B45="","",_xlfn.LET(_xlpm.v,_xlfn.MAXIFS(nrSK_Score,nrSK_PID,$B45,nrSK_Cat,"Firearms",nrSK_CoF,2,nrSK_Score,"&gt;=0",nrSK_Score,"&lt;=100"),IF(_xlpm.v=0,"",_xlpm.v)))</f>
        <v/>
      </c>
      <c r="P45" s="17">
        <f>IF($B45="","",IF(AND($N45="",$O45=""),"",_xlfn.LET(_xlpm.p,IFERROR(INDEX(rngSM_pass,MATCH("Firearms",rngSM_cat,0)),70),IF(AND($N45&lt;&gt;"",$O45&lt;&gt;"",N($N45)&gt;=_xlpm.p,N($O45)&gt;=_xlpm.p),"Yes",IF(OR(AND($N45&lt;&gt;"",N($N45)&lt;_xlpm.p),AND($O45&lt;&gt;"",N($O45)&lt;_xlpm.p)),"No","(one pending)")))))</f>
        <v/>
      </c>
    </row>
    <row r="46">
      <c r="B46" s="17">
        <f>IF(Cadets!$B46="","",Cadets!$B46)</f>
        <v/>
      </c>
      <c r="C46" s="17">
        <f>IF($B46="","",Cadets!$F46)</f>
        <v/>
      </c>
      <c r="D46" s="17">
        <f>IF($B46="","",Cadets!$I46)</f>
        <v/>
      </c>
      <c r="E46" s="17">
        <f>IF($B46="","",SUMPRODUCT((rngSM_cat&lt;&gt;"")*(COUNTIFS(nrSK_PID,$B46,nrSK_Cat,rngSM_cat)&gt;0)))</f>
        <v/>
      </c>
      <c r="F46" s="17">
        <f>IF($B46="","",SUMPRODUCT((rngSM_cat&lt;&gt;"")*(COUNTIFS(nrSK_PID,$B46,nrSK_Cat,rngSM_cat,nrSK_Status,"Qualified")&gt;0)))</f>
        <v/>
      </c>
      <c r="G46" s="17">
        <f>IF($B46="","",SUMPRODUCT((rngSM_cat&lt;&gt;"")*(COUNTIFS(nrSK_PID,$B46,nrSK_Cat,rngSM_cat,nrSK_Status,"Needs Remediation")&gt;0)))</f>
        <v/>
      </c>
      <c r="H46" s="17">
        <f>IF($B46="","",SUMPRODUCT((rngSM_cat&lt;&gt;"")*(COUNTIFS(nrSK_PID,$B46,nrSK_Cat,rngSM_cat,nrSK_Status,"Pending")&gt;0)))</f>
        <v/>
      </c>
      <c r="I46" s="17">
        <f>IF($B46="","",SUMPRODUCT((rngSM_cat&lt;&gt;"")*(COUNTIFS(nrSK_PID,$B46,nrSK_Cat,rngSM_cat,nrSK_Dis,"Yes")&gt;0)))</f>
        <v/>
      </c>
      <c r="J46" s="17">
        <f>IF($B46="","",IF($I46&gt;0,"Yes","No"))</f>
        <v/>
      </c>
      <c r="K46" s="17">
        <f>IF($B46="","",IF($J46="Yes","No",IF($G46&gt;0,"No","Yes")))</f>
        <v/>
      </c>
      <c r="L46" s="17">
        <f>IF($B46="","",IFERROR(ROUND(AVERAGEIFS(nrSK_Score,nrSK_PID,$B46,nrSK_Cat,"Firearms",nrSK_Score,"&gt;=0",nrSK_Score,"&lt;=100"),2),""))</f>
        <v/>
      </c>
      <c r="M46" s="17">
        <f>IF($B46="","",IFERROR(_xlfn.MAXIFS(nrSK_Score,nrSK_PID,$B46,nrSK_Cat,"Firearms",nrSK_Score,"&gt;=0",nrSK_Score,"&lt;=100"),""))</f>
        <v/>
      </c>
      <c r="N46" s="17">
        <f>IF($B46="","",_xlfn.LET(_xlpm.v,_xlfn.MAXIFS(nrSK_Score,nrSK_PID,$B46,nrSK_Cat,"Firearms",nrSK_CoF,1,nrSK_Score,"&gt;=0",nrSK_Score,"&lt;=100"),IF(_xlpm.v=0,"",_xlpm.v)))</f>
        <v/>
      </c>
      <c r="O46" s="17">
        <f>IF($B46="","",_xlfn.LET(_xlpm.v,_xlfn.MAXIFS(nrSK_Score,nrSK_PID,$B46,nrSK_Cat,"Firearms",nrSK_CoF,2,nrSK_Score,"&gt;=0",nrSK_Score,"&lt;=100"),IF(_xlpm.v=0,"",_xlpm.v)))</f>
        <v/>
      </c>
      <c r="P46" s="17">
        <f>IF($B46="","",IF(AND($N46="",$O46=""),"",_xlfn.LET(_xlpm.p,IFERROR(INDEX(rngSM_pass,MATCH("Firearms",rngSM_cat,0)),70),IF(AND($N46&lt;&gt;"",$O46&lt;&gt;"",N($N46)&gt;=_xlpm.p,N($O46)&gt;=_xlpm.p),"Yes",IF(OR(AND($N46&lt;&gt;"",N($N46)&lt;_xlpm.p),AND($O46&lt;&gt;"",N($O46)&lt;_xlpm.p)),"No","(one pending)")))))</f>
        <v/>
      </c>
    </row>
    <row r="47">
      <c r="B47" s="17">
        <f>IF(Cadets!$B47="","",Cadets!$B47)</f>
        <v/>
      </c>
      <c r="C47" s="17">
        <f>IF($B47="","",Cadets!$F47)</f>
        <v/>
      </c>
      <c r="D47" s="17">
        <f>IF($B47="","",Cadets!$I47)</f>
        <v/>
      </c>
      <c r="E47" s="17">
        <f>IF($B47="","",SUMPRODUCT((rngSM_cat&lt;&gt;"")*(COUNTIFS(nrSK_PID,$B47,nrSK_Cat,rngSM_cat)&gt;0)))</f>
        <v/>
      </c>
      <c r="F47" s="17">
        <f>IF($B47="","",SUMPRODUCT((rngSM_cat&lt;&gt;"")*(COUNTIFS(nrSK_PID,$B47,nrSK_Cat,rngSM_cat,nrSK_Status,"Qualified")&gt;0)))</f>
        <v/>
      </c>
      <c r="G47" s="17">
        <f>IF($B47="","",SUMPRODUCT((rngSM_cat&lt;&gt;"")*(COUNTIFS(nrSK_PID,$B47,nrSK_Cat,rngSM_cat,nrSK_Status,"Needs Remediation")&gt;0)))</f>
        <v/>
      </c>
      <c r="H47" s="17">
        <f>IF($B47="","",SUMPRODUCT((rngSM_cat&lt;&gt;"")*(COUNTIFS(nrSK_PID,$B47,nrSK_Cat,rngSM_cat,nrSK_Status,"Pending")&gt;0)))</f>
        <v/>
      </c>
      <c r="I47" s="17">
        <f>IF($B47="","",SUMPRODUCT((rngSM_cat&lt;&gt;"")*(COUNTIFS(nrSK_PID,$B47,nrSK_Cat,rngSM_cat,nrSK_Dis,"Yes")&gt;0)))</f>
        <v/>
      </c>
      <c r="J47" s="17">
        <f>IF($B47="","",IF($I47&gt;0,"Yes","No"))</f>
        <v/>
      </c>
      <c r="K47" s="17">
        <f>IF($B47="","",IF($J47="Yes","No",IF($G47&gt;0,"No","Yes")))</f>
        <v/>
      </c>
      <c r="L47" s="17">
        <f>IF($B47="","",IFERROR(ROUND(AVERAGEIFS(nrSK_Score,nrSK_PID,$B47,nrSK_Cat,"Firearms",nrSK_Score,"&gt;=0",nrSK_Score,"&lt;=100"),2),""))</f>
        <v/>
      </c>
      <c r="M47" s="17">
        <f>IF($B47="","",IFERROR(_xlfn.MAXIFS(nrSK_Score,nrSK_PID,$B47,nrSK_Cat,"Firearms",nrSK_Score,"&gt;=0",nrSK_Score,"&lt;=100"),""))</f>
        <v/>
      </c>
      <c r="N47" s="17">
        <f>IF($B47="","",_xlfn.LET(_xlpm.v,_xlfn.MAXIFS(nrSK_Score,nrSK_PID,$B47,nrSK_Cat,"Firearms",nrSK_CoF,1,nrSK_Score,"&gt;=0",nrSK_Score,"&lt;=100"),IF(_xlpm.v=0,"",_xlpm.v)))</f>
        <v/>
      </c>
      <c r="O47" s="17">
        <f>IF($B47="","",_xlfn.LET(_xlpm.v,_xlfn.MAXIFS(nrSK_Score,nrSK_PID,$B47,nrSK_Cat,"Firearms",nrSK_CoF,2,nrSK_Score,"&gt;=0",nrSK_Score,"&lt;=100"),IF(_xlpm.v=0,"",_xlpm.v)))</f>
        <v/>
      </c>
      <c r="P47" s="17">
        <f>IF($B47="","",IF(AND($N47="",$O47=""),"",_xlfn.LET(_xlpm.p,IFERROR(INDEX(rngSM_pass,MATCH("Firearms",rngSM_cat,0)),70),IF(AND($N47&lt;&gt;"",$O47&lt;&gt;"",N($N47)&gt;=_xlpm.p,N($O47)&gt;=_xlpm.p),"Yes",IF(OR(AND($N47&lt;&gt;"",N($N47)&lt;_xlpm.p),AND($O47&lt;&gt;"",N($O47)&lt;_xlpm.p)),"No","(one pending)")))))</f>
        <v/>
      </c>
    </row>
    <row r="48">
      <c r="B48" s="17">
        <f>IF(Cadets!$B48="","",Cadets!$B48)</f>
        <v/>
      </c>
      <c r="C48" s="17">
        <f>IF($B48="","",Cadets!$F48)</f>
        <v/>
      </c>
      <c r="D48" s="17">
        <f>IF($B48="","",Cadets!$I48)</f>
        <v/>
      </c>
      <c r="E48" s="17">
        <f>IF($B48="","",SUMPRODUCT((rngSM_cat&lt;&gt;"")*(COUNTIFS(nrSK_PID,$B48,nrSK_Cat,rngSM_cat)&gt;0)))</f>
        <v/>
      </c>
      <c r="F48" s="17">
        <f>IF($B48="","",SUMPRODUCT((rngSM_cat&lt;&gt;"")*(COUNTIFS(nrSK_PID,$B48,nrSK_Cat,rngSM_cat,nrSK_Status,"Qualified")&gt;0)))</f>
        <v/>
      </c>
      <c r="G48" s="17">
        <f>IF($B48="","",SUMPRODUCT((rngSM_cat&lt;&gt;"")*(COUNTIFS(nrSK_PID,$B48,nrSK_Cat,rngSM_cat,nrSK_Status,"Needs Remediation")&gt;0)))</f>
        <v/>
      </c>
      <c r="H48" s="17">
        <f>IF($B48="","",SUMPRODUCT((rngSM_cat&lt;&gt;"")*(COUNTIFS(nrSK_PID,$B48,nrSK_Cat,rngSM_cat,nrSK_Status,"Pending")&gt;0)))</f>
        <v/>
      </c>
      <c r="I48" s="17">
        <f>IF($B48="","",SUMPRODUCT((rngSM_cat&lt;&gt;"")*(COUNTIFS(nrSK_PID,$B48,nrSK_Cat,rngSM_cat,nrSK_Dis,"Yes")&gt;0)))</f>
        <v/>
      </c>
      <c r="J48" s="17">
        <f>IF($B48="","",IF($I48&gt;0,"Yes","No"))</f>
        <v/>
      </c>
      <c r="K48" s="17">
        <f>IF($B48="","",IF($J48="Yes","No",IF($G48&gt;0,"No","Yes")))</f>
        <v/>
      </c>
      <c r="L48" s="17">
        <f>IF($B48="","",IFERROR(ROUND(AVERAGEIFS(nrSK_Score,nrSK_PID,$B48,nrSK_Cat,"Firearms",nrSK_Score,"&gt;=0",nrSK_Score,"&lt;=100"),2),""))</f>
        <v/>
      </c>
      <c r="M48" s="17">
        <f>IF($B48="","",IFERROR(_xlfn.MAXIFS(nrSK_Score,nrSK_PID,$B48,nrSK_Cat,"Firearms",nrSK_Score,"&gt;=0",nrSK_Score,"&lt;=100"),""))</f>
        <v/>
      </c>
      <c r="N48" s="17">
        <f>IF($B48="","",_xlfn.LET(_xlpm.v,_xlfn.MAXIFS(nrSK_Score,nrSK_PID,$B48,nrSK_Cat,"Firearms",nrSK_CoF,1,nrSK_Score,"&gt;=0",nrSK_Score,"&lt;=100"),IF(_xlpm.v=0,"",_xlpm.v)))</f>
        <v/>
      </c>
      <c r="O48" s="17">
        <f>IF($B48="","",_xlfn.LET(_xlpm.v,_xlfn.MAXIFS(nrSK_Score,nrSK_PID,$B48,nrSK_Cat,"Firearms",nrSK_CoF,2,nrSK_Score,"&gt;=0",nrSK_Score,"&lt;=100"),IF(_xlpm.v=0,"",_xlpm.v)))</f>
        <v/>
      </c>
      <c r="P48" s="17">
        <f>IF($B48="","",IF(AND($N48="",$O48=""),"",_xlfn.LET(_xlpm.p,IFERROR(INDEX(rngSM_pass,MATCH("Firearms",rngSM_cat,0)),70),IF(AND($N48&lt;&gt;"",$O48&lt;&gt;"",N($N48)&gt;=_xlpm.p,N($O48)&gt;=_xlpm.p),"Yes",IF(OR(AND($N48&lt;&gt;"",N($N48)&lt;_xlpm.p),AND($O48&lt;&gt;"",N($O48)&lt;_xlpm.p)),"No","(one pending)")))))</f>
        <v/>
      </c>
    </row>
    <row r="49">
      <c r="B49" s="17">
        <f>IF(Cadets!$B49="","",Cadets!$B49)</f>
        <v/>
      </c>
      <c r="C49" s="17">
        <f>IF($B49="","",Cadets!$F49)</f>
        <v/>
      </c>
      <c r="D49" s="17">
        <f>IF($B49="","",Cadets!$I49)</f>
        <v/>
      </c>
      <c r="E49" s="17">
        <f>IF($B49="","",SUMPRODUCT((rngSM_cat&lt;&gt;"")*(COUNTIFS(nrSK_PID,$B49,nrSK_Cat,rngSM_cat)&gt;0)))</f>
        <v/>
      </c>
      <c r="F49" s="17">
        <f>IF($B49="","",SUMPRODUCT((rngSM_cat&lt;&gt;"")*(COUNTIFS(nrSK_PID,$B49,nrSK_Cat,rngSM_cat,nrSK_Status,"Qualified")&gt;0)))</f>
        <v/>
      </c>
      <c r="G49" s="17">
        <f>IF($B49="","",SUMPRODUCT((rngSM_cat&lt;&gt;"")*(COUNTIFS(nrSK_PID,$B49,nrSK_Cat,rngSM_cat,nrSK_Status,"Needs Remediation")&gt;0)))</f>
        <v/>
      </c>
      <c r="H49" s="17">
        <f>IF($B49="","",SUMPRODUCT((rngSM_cat&lt;&gt;"")*(COUNTIFS(nrSK_PID,$B49,nrSK_Cat,rngSM_cat,nrSK_Status,"Pending")&gt;0)))</f>
        <v/>
      </c>
      <c r="I49" s="17">
        <f>IF($B49="","",SUMPRODUCT((rngSM_cat&lt;&gt;"")*(COUNTIFS(nrSK_PID,$B49,nrSK_Cat,rngSM_cat,nrSK_Dis,"Yes")&gt;0)))</f>
        <v/>
      </c>
      <c r="J49" s="17">
        <f>IF($B49="","",IF($I49&gt;0,"Yes","No"))</f>
        <v/>
      </c>
      <c r="K49" s="17">
        <f>IF($B49="","",IF($J49="Yes","No",IF($G49&gt;0,"No","Yes")))</f>
        <v/>
      </c>
      <c r="L49" s="17">
        <f>IF($B49="","",IFERROR(ROUND(AVERAGEIFS(nrSK_Score,nrSK_PID,$B49,nrSK_Cat,"Firearms",nrSK_Score,"&gt;=0",nrSK_Score,"&lt;=100"),2),""))</f>
        <v/>
      </c>
      <c r="M49" s="17">
        <f>IF($B49="","",IFERROR(_xlfn.MAXIFS(nrSK_Score,nrSK_PID,$B49,nrSK_Cat,"Firearms",nrSK_Score,"&gt;=0",nrSK_Score,"&lt;=100"),""))</f>
        <v/>
      </c>
      <c r="N49" s="17">
        <f>IF($B49="","",_xlfn.LET(_xlpm.v,_xlfn.MAXIFS(nrSK_Score,nrSK_PID,$B49,nrSK_Cat,"Firearms",nrSK_CoF,1,nrSK_Score,"&gt;=0",nrSK_Score,"&lt;=100"),IF(_xlpm.v=0,"",_xlpm.v)))</f>
        <v/>
      </c>
      <c r="O49" s="17">
        <f>IF($B49="","",_xlfn.LET(_xlpm.v,_xlfn.MAXIFS(nrSK_Score,nrSK_PID,$B49,nrSK_Cat,"Firearms",nrSK_CoF,2,nrSK_Score,"&gt;=0",nrSK_Score,"&lt;=100"),IF(_xlpm.v=0,"",_xlpm.v)))</f>
        <v/>
      </c>
      <c r="P49" s="17">
        <f>IF($B49="","",IF(AND($N49="",$O49=""),"",_xlfn.LET(_xlpm.p,IFERROR(INDEX(rngSM_pass,MATCH("Firearms",rngSM_cat,0)),70),IF(AND($N49&lt;&gt;"",$O49&lt;&gt;"",N($N49)&gt;=_xlpm.p,N($O49)&gt;=_xlpm.p),"Yes",IF(OR(AND($N49&lt;&gt;"",N($N49)&lt;_xlpm.p),AND($O49&lt;&gt;"",N($O49)&lt;_xlpm.p)),"No","(one pending)")))))</f>
        <v/>
      </c>
    </row>
    <row r="50">
      <c r="B50" s="17">
        <f>IF(Cadets!$B50="","",Cadets!$B50)</f>
        <v/>
      </c>
      <c r="C50" s="17">
        <f>IF($B50="","",Cadets!$F50)</f>
        <v/>
      </c>
      <c r="D50" s="17">
        <f>IF($B50="","",Cadets!$I50)</f>
        <v/>
      </c>
      <c r="E50" s="17">
        <f>IF($B50="","",SUMPRODUCT((rngSM_cat&lt;&gt;"")*(COUNTIFS(nrSK_PID,$B50,nrSK_Cat,rngSM_cat)&gt;0)))</f>
        <v/>
      </c>
      <c r="F50" s="17">
        <f>IF($B50="","",SUMPRODUCT((rngSM_cat&lt;&gt;"")*(COUNTIFS(nrSK_PID,$B50,nrSK_Cat,rngSM_cat,nrSK_Status,"Qualified")&gt;0)))</f>
        <v/>
      </c>
      <c r="G50" s="17">
        <f>IF($B50="","",SUMPRODUCT((rngSM_cat&lt;&gt;"")*(COUNTIFS(nrSK_PID,$B50,nrSK_Cat,rngSM_cat,nrSK_Status,"Needs Remediation")&gt;0)))</f>
        <v/>
      </c>
      <c r="H50" s="17">
        <f>IF($B50="","",SUMPRODUCT((rngSM_cat&lt;&gt;"")*(COUNTIFS(nrSK_PID,$B50,nrSK_Cat,rngSM_cat,nrSK_Status,"Pending")&gt;0)))</f>
        <v/>
      </c>
      <c r="I50" s="17">
        <f>IF($B50="","",SUMPRODUCT((rngSM_cat&lt;&gt;"")*(COUNTIFS(nrSK_PID,$B50,nrSK_Cat,rngSM_cat,nrSK_Dis,"Yes")&gt;0)))</f>
        <v/>
      </c>
      <c r="J50" s="17">
        <f>IF($B50="","",IF($I50&gt;0,"Yes","No"))</f>
        <v/>
      </c>
      <c r="K50" s="17">
        <f>IF($B50="","",IF($J50="Yes","No",IF($G50&gt;0,"No","Yes")))</f>
        <v/>
      </c>
      <c r="L50" s="17">
        <f>IF($B50="","",IFERROR(ROUND(AVERAGEIFS(nrSK_Score,nrSK_PID,$B50,nrSK_Cat,"Firearms",nrSK_Score,"&gt;=0",nrSK_Score,"&lt;=100"),2),""))</f>
        <v/>
      </c>
      <c r="M50" s="17">
        <f>IF($B50="","",IFERROR(_xlfn.MAXIFS(nrSK_Score,nrSK_PID,$B50,nrSK_Cat,"Firearms",nrSK_Score,"&gt;=0",nrSK_Score,"&lt;=100"),""))</f>
        <v/>
      </c>
      <c r="N50" s="17">
        <f>IF($B50="","",_xlfn.LET(_xlpm.v,_xlfn.MAXIFS(nrSK_Score,nrSK_PID,$B50,nrSK_Cat,"Firearms",nrSK_CoF,1,nrSK_Score,"&gt;=0",nrSK_Score,"&lt;=100"),IF(_xlpm.v=0,"",_xlpm.v)))</f>
        <v/>
      </c>
      <c r="O50" s="17">
        <f>IF($B50="","",_xlfn.LET(_xlpm.v,_xlfn.MAXIFS(nrSK_Score,nrSK_PID,$B50,nrSK_Cat,"Firearms",nrSK_CoF,2,nrSK_Score,"&gt;=0",nrSK_Score,"&lt;=100"),IF(_xlpm.v=0,"",_xlpm.v)))</f>
        <v/>
      </c>
      <c r="P50" s="17">
        <f>IF($B50="","",IF(AND($N50="",$O50=""),"",_xlfn.LET(_xlpm.p,IFERROR(INDEX(rngSM_pass,MATCH("Firearms",rngSM_cat,0)),70),IF(AND($N50&lt;&gt;"",$O50&lt;&gt;"",N($N50)&gt;=_xlpm.p,N($O50)&gt;=_xlpm.p),"Yes",IF(OR(AND($N50&lt;&gt;"",N($N50)&lt;_xlpm.p),AND($O50&lt;&gt;"",N($O50)&lt;_xlpm.p)),"No","(one pending)")))))</f>
        <v/>
      </c>
    </row>
    <row r="51">
      <c r="B51" s="17">
        <f>IF(Cadets!$B51="","",Cadets!$B51)</f>
        <v/>
      </c>
      <c r="C51" s="17">
        <f>IF($B51="","",Cadets!$F51)</f>
        <v/>
      </c>
      <c r="D51" s="17">
        <f>IF($B51="","",Cadets!$I51)</f>
        <v/>
      </c>
      <c r="E51" s="17">
        <f>IF($B51="","",SUMPRODUCT((rngSM_cat&lt;&gt;"")*(COUNTIFS(nrSK_PID,$B51,nrSK_Cat,rngSM_cat)&gt;0)))</f>
        <v/>
      </c>
      <c r="F51" s="17">
        <f>IF($B51="","",SUMPRODUCT((rngSM_cat&lt;&gt;"")*(COUNTIFS(nrSK_PID,$B51,nrSK_Cat,rngSM_cat,nrSK_Status,"Qualified")&gt;0)))</f>
        <v/>
      </c>
      <c r="G51" s="17">
        <f>IF($B51="","",SUMPRODUCT((rngSM_cat&lt;&gt;"")*(COUNTIFS(nrSK_PID,$B51,nrSK_Cat,rngSM_cat,nrSK_Status,"Needs Remediation")&gt;0)))</f>
        <v/>
      </c>
      <c r="H51" s="17">
        <f>IF($B51="","",SUMPRODUCT((rngSM_cat&lt;&gt;"")*(COUNTIFS(nrSK_PID,$B51,nrSK_Cat,rngSM_cat,nrSK_Status,"Pending")&gt;0)))</f>
        <v/>
      </c>
      <c r="I51" s="17">
        <f>IF($B51="","",SUMPRODUCT((rngSM_cat&lt;&gt;"")*(COUNTIFS(nrSK_PID,$B51,nrSK_Cat,rngSM_cat,nrSK_Dis,"Yes")&gt;0)))</f>
        <v/>
      </c>
      <c r="J51" s="17">
        <f>IF($B51="","",IF($I51&gt;0,"Yes","No"))</f>
        <v/>
      </c>
      <c r="K51" s="17">
        <f>IF($B51="","",IF($J51="Yes","No",IF($G51&gt;0,"No","Yes")))</f>
        <v/>
      </c>
      <c r="L51" s="17">
        <f>IF($B51="","",IFERROR(ROUND(AVERAGEIFS(nrSK_Score,nrSK_PID,$B51,nrSK_Cat,"Firearms",nrSK_Score,"&gt;=0",nrSK_Score,"&lt;=100"),2),""))</f>
        <v/>
      </c>
      <c r="M51" s="17">
        <f>IF($B51="","",IFERROR(_xlfn.MAXIFS(nrSK_Score,nrSK_PID,$B51,nrSK_Cat,"Firearms",nrSK_Score,"&gt;=0",nrSK_Score,"&lt;=100"),""))</f>
        <v/>
      </c>
      <c r="N51" s="17">
        <f>IF($B51="","",_xlfn.LET(_xlpm.v,_xlfn.MAXIFS(nrSK_Score,nrSK_PID,$B51,nrSK_Cat,"Firearms",nrSK_CoF,1,nrSK_Score,"&gt;=0",nrSK_Score,"&lt;=100"),IF(_xlpm.v=0,"",_xlpm.v)))</f>
        <v/>
      </c>
      <c r="O51" s="17">
        <f>IF($B51="","",_xlfn.LET(_xlpm.v,_xlfn.MAXIFS(nrSK_Score,nrSK_PID,$B51,nrSK_Cat,"Firearms",nrSK_CoF,2,nrSK_Score,"&gt;=0",nrSK_Score,"&lt;=100"),IF(_xlpm.v=0,"",_xlpm.v)))</f>
        <v/>
      </c>
      <c r="P51" s="17">
        <f>IF($B51="","",IF(AND($N51="",$O51=""),"",_xlfn.LET(_xlpm.p,IFERROR(INDEX(rngSM_pass,MATCH("Firearms",rngSM_cat,0)),70),IF(AND($N51&lt;&gt;"",$O51&lt;&gt;"",N($N51)&gt;=_xlpm.p,N($O51)&gt;=_xlpm.p),"Yes",IF(OR(AND($N51&lt;&gt;"",N($N51)&lt;_xlpm.p),AND($O51&lt;&gt;"",N($O51)&lt;_xlpm.p)),"No","(one pending)")))))</f>
        <v/>
      </c>
    </row>
    <row r="52">
      <c r="B52" s="17">
        <f>IF(Cadets!$B52="","",Cadets!$B52)</f>
        <v/>
      </c>
      <c r="C52" s="17">
        <f>IF($B52="","",Cadets!$F52)</f>
        <v/>
      </c>
      <c r="D52" s="17">
        <f>IF($B52="","",Cadets!$I52)</f>
        <v/>
      </c>
      <c r="E52" s="17">
        <f>IF($B52="","",SUMPRODUCT((rngSM_cat&lt;&gt;"")*(COUNTIFS(nrSK_PID,$B52,nrSK_Cat,rngSM_cat)&gt;0)))</f>
        <v/>
      </c>
      <c r="F52" s="17">
        <f>IF($B52="","",SUMPRODUCT((rngSM_cat&lt;&gt;"")*(COUNTIFS(nrSK_PID,$B52,nrSK_Cat,rngSM_cat,nrSK_Status,"Qualified")&gt;0)))</f>
        <v/>
      </c>
      <c r="G52" s="17">
        <f>IF($B52="","",SUMPRODUCT((rngSM_cat&lt;&gt;"")*(COUNTIFS(nrSK_PID,$B52,nrSK_Cat,rngSM_cat,nrSK_Status,"Needs Remediation")&gt;0)))</f>
        <v/>
      </c>
      <c r="H52" s="17">
        <f>IF($B52="","",SUMPRODUCT((rngSM_cat&lt;&gt;"")*(COUNTIFS(nrSK_PID,$B52,nrSK_Cat,rngSM_cat,nrSK_Status,"Pending")&gt;0)))</f>
        <v/>
      </c>
      <c r="I52" s="17">
        <f>IF($B52="","",SUMPRODUCT((rngSM_cat&lt;&gt;"")*(COUNTIFS(nrSK_PID,$B52,nrSK_Cat,rngSM_cat,nrSK_Dis,"Yes")&gt;0)))</f>
        <v/>
      </c>
      <c r="J52" s="17">
        <f>IF($B52="","",IF($I52&gt;0,"Yes","No"))</f>
        <v/>
      </c>
      <c r="K52" s="17">
        <f>IF($B52="","",IF($J52="Yes","No",IF($G52&gt;0,"No","Yes")))</f>
        <v/>
      </c>
      <c r="L52" s="17">
        <f>IF($B52="","",IFERROR(ROUND(AVERAGEIFS(nrSK_Score,nrSK_PID,$B52,nrSK_Cat,"Firearms",nrSK_Score,"&gt;=0",nrSK_Score,"&lt;=100"),2),""))</f>
        <v/>
      </c>
      <c r="M52" s="17">
        <f>IF($B52="","",IFERROR(_xlfn.MAXIFS(nrSK_Score,nrSK_PID,$B52,nrSK_Cat,"Firearms",nrSK_Score,"&gt;=0",nrSK_Score,"&lt;=100"),""))</f>
        <v/>
      </c>
      <c r="N52" s="17">
        <f>IF($B52="","",_xlfn.LET(_xlpm.v,_xlfn.MAXIFS(nrSK_Score,nrSK_PID,$B52,nrSK_Cat,"Firearms",nrSK_CoF,1,nrSK_Score,"&gt;=0",nrSK_Score,"&lt;=100"),IF(_xlpm.v=0,"",_xlpm.v)))</f>
        <v/>
      </c>
      <c r="O52" s="17">
        <f>IF($B52="","",_xlfn.LET(_xlpm.v,_xlfn.MAXIFS(nrSK_Score,nrSK_PID,$B52,nrSK_Cat,"Firearms",nrSK_CoF,2,nrSK_Score,"&gt;=0",nrSK_Score,"&lt;=100"),IF(_xlpm.v=0,"",_xlpm.v)))</f>
        <v/>
      </c>
      <c r="P52" s="17">
        <f>IF($B52="","",IF(AND($N52="",$O52=""),"",_xlfn.LET(_xlpm.p,IFERROR(INDEX(rngSM_pass,MATCH("Firearms",rngSM_cat,0)),70),IF(AND($N52&lt;&gt;"",$O52&lt;&gt;"",N($N52)&gt;=_xlpm.p,N($O52)&gt;=_xlpm.p),"Yes",IF(OR(AND($N52&lt;&gt;"",N($N52)&lt;_xlpm.p),AND($O52&lt;&gt;"",N($O52)&lt;_xlpm.p)),"No","(one pending)")))))</f>
        <v/>
      </c>
    </row>
    <row r="53">
      <c r="B53" s="17">
        <f>IF(Cadets!$B53="","",Cadets!$B53)</f>
        <v/>
      </c>
      <c r="C53" s="17">
        <f>IF($B53="","",Cadets!$F53)</f>
        <v/>
      </c>
      <c r="D53" s="17">
        <f>IF($B53="","",Cadets!$I53)</f>
        <v/>
      </c>
      <c r="E53" s="17">
        <f>IF($B53="","",SUMPRODUCT((rngSM_cat&lt;&gt;"")*(COUNTIFS(nrSK_PID,$B53,nrSK_Cat,rngSM_cat)&gt;0)))</f>
        <v/>
      </c>
      <c r="F53" s="17">
        <f>IF($B53="","",SUMPRODUCT((rngSM_cat&lt;&gt;"")*(COUNTIFS(nrSK_PID,$B53,nrSK_Cat,rngSM_cat,nrSK_Status,"Qualified")&gt;0)))</f>
        <v/>
      </c>
      <c r="G53" s="17">
        <f>IF($B53="","",SUMPRODUCT((rngSM_cat&lt;&gt;"")*(COUNTIFS(nrSK_PID,$B53,nrSK_Cat,rngSM_cat,nrSK_Status,"Needs Remediation")&gt;0)))</f>
        <v/>
      </c>
      <c r="H53" s="17">
        <f>IF($B53="","",SUMPRODUCT((rngSM_cat&lt;&gt;"")*(COUNTIFS(nrSK_PID,$B53,nrSK_Cat,rngSM_cat,nrSK_Status,"Pending")&gt;0)))</f>
        <v/>
      </c>
      <c r="I53" s="17">
        <f>IF($B53="","",SUMPRODUCT((rngSM_cat&lt;&gt;"")*(COUNTIFS(nrSK_PID,$B53,nrSK_Cat,rngSM_cat,nrSK_Dis,"Yes")&gt;0)))</f>
        <v/>
      </c>
      <c r="J53" s="17">
        <f>IF($B53="","",IF($I53&gt;0,"Yes","No"))</f>
        <v/>
      </c>
      <c r="K53" s="17">
        <f>IF($B53="","",IF($J53="Yes","No",IF($G53&gt;0,"No","Yes")))</f>
        <v/>
      </c>
      <c r="L53" s="17">
        <f>IF($B53="","",IFERROR(ROUND(AVERAGEIFS(nrSK_Score,nrSK_PID,$B53,nrSK_Cat,"Firearms",nrSK_Score,"&gt;=0",nrSK_Score,"&lt;=100"),2),""))</f>
        <v/>
      </c>
      <c r="M53" s="17">
        <f>IF($B53="","",IFERROR(_xlfn.MAXIFS(nrSK_Score,nrSK_PID,$B53,nrSK_Cat,"Firearms",nrSK_Score,"&gt;=0",nrSK_Score,"&lt;=100"),""))</f>
        <v/>
      </c>
      <c r="N53" s="17">
        <f>IF($B53="","",_xlfn.LET(_xlpm.v,_xlfn.MAXIFS(nrSK_Score,nrSK_PID,$B53,nrSK_Cat,"Firearms",nrSK_CoF,1,nrSK_Score,"&gt;=0",nrSK_Score,"&lt;=100"),IF(_xlpm.v=0,"",_xlpm.v)))</f>
        <v/>
      </c>
      <c r="O53" s="17">
        <f>IF($B53="","",_xlfn.LET(_xlpm.v,_xlfn.MAXIFS(nrSK_Score,nrSK_PID,$B53,nrSK_Cat,"Firearms",nrSK_CoF,2,nrSK_Score,"&gt;=0",nrSK_Score,"&lt;=100"),IF(_xlpm.v=0,"",_xlpm.v)))</f>
        <v/>
      </c>
      <c r="P53" s="17">
        <f>IF($B53="","",IF(AND($N53="",$O53=""),"",_xlfn.LET(_xlpm.p,IFERROR(INDEX(rngSM_pass,MATCH("Firearms",rngSM_cat,0)),70),IF(AND($N53&lt;&gt;"",$O53&lt;&gt;"",N($N53)&gt;=_xlpm.p,N($O53)&gt;=_xlpm.p),"Yes",IF(OR(AND($N53&lt;&gt;"",N($N53)&lt;_xlpm.p),AND($O53&lt;&gt;"",N($O53)&lt;_xlpm.p)),"No","(one pending)")))))</f>
        <v/>
      </c>
    </row>
    <row r="54">
      <c r="B54" s="17">
        <f>IF(Cadets!$B54="","",Cadets!$B54)</f>
        <v/>
      </c>
      <c r="C54" s="17">
        <f>IF($B54="","",Cadets!$F54)</f>
        <v/>
      </c>
      <c r="D54" s="17">
        <f>IF($B54="","",Cadets!$I54)</f>
        <v/>
      </c>
      <c r="E54" s="17">
        <f>IF($B54="","",SUMPRODUCT((rngSM_cat&lt;&gt;"")*(COUNTIFS(nrSK_PID,$B54,nrSK_Cat,rngSM_cat)&gt;0)))</f>
        <v/>
      </c>
      <c r="F54" s="17">
        <f>IF($B54="","",SUMPRODUCT((rngSM_cat&lt;&gt;"")*(COUNTIFS(nrSK_PID,$B54,nrSK_Cat,rngSM_cat,nrSK_Status,"Qualified")&gt;0)))</f>
        <v/>
      </c>
      <c r="G54" s="17">
        <f>IF($B54="","",SUMPRODUCT((rngSM_cat&lt;&gt;"")*(COUNTIFS(nrSK_PID,$B54,nrSK_Cat,rngSM_cat,nrSK_Status,"Needs Remediation")&gt;0)))</f>
        <v/>
      </c>
      <c r="H54" s="17">
        <f>IF($B54="","",SUMPRODUCT((rngSM_cat&lt;&gt;"")*(COUNTIFS(nrSK_PID,$B54,nrSK_Cat,rngSM_cat,nrSK_Status,"Pending")&gt;0)))</f>
        <v/>
      </c>
      <c r="I54" s="17">
        <f>IF($B54="","",SUMPRODUCT((rngSM_cat&lt;&gt;"")*(COUNTIFS(nrSK_PID,$B54,nrSK_Cat,rngSM_cat,nrSK_Dis,"Yes")&gt;0)))</f>
        <v/>
      </c>
      <c r="J54" s="17">
        <f>IF($B54="","",IF($I54&gt;0,"Yes","No"))</f>
        <v/>
      </c>
      <c r="K54" s="17">
        <f>IF($B54="","",IF($J54="Yes","No",IF($G54&gt;0,"No","Yes")))</f>
        <v/>
      </c>
      <c r="L54" s="17">
        <f>IF($B54="","",IFERROR(ROUND(AVERAGEIFS(nrSK_Score,nrSK_PID,$B54,nrSK_Cat,"Firearms",nrSK_Score,"&gt;=0",nrSK_Score,"&lt;=100"),2),""))</f>
        <v/>
      </c>
      <c r="M54" s="17">
        <f>IF($B54="","",IFERROR(_xlfn.MAXIFS(nrSK_Score,nrSK_PID,$B54,nrSK_Cat,"Firearms",nrSK_Score,"&gt;=0",nrSK_Score,"&lt;=100"),""))</f>
        <v/>
      </c>
      <c r="N54" s="17">
        <f>IF($B54="","",_xlfn.LET(_xlpm.v,_xlfn.MAXIFS(nrSK_Score,nrSK_PID,$B54,nrSK_Cat,"Firearms",nrSK_CoF,1,nrSK_Score,"&gt;=0",nrSK_Score,"&lt;=100"),IF(_xlpm.v=0,"",_xlpm.v)))</f>
        <v/>
      </c>
      <c r="O54" s="17">
        <f>IF($B54="","",_xlfn.LET(_xlpm.v,_xlfn.MAXIFS(nrSK_Score,nrSK_PID,$B54,nrSK_Cat,"Firearms",nrSK_CoF,2,nrSK_Score,"&gt;=0",nrSK_Score,"&lt;=100"),IF(_xlpm.v=0,"",_xlpm.v)))</f>
        <v/>
      </c>
      <c r="P54" s="17">
        <f>IF($B54="","",IF(AND($N54="",$O54=""),"",_xlfn.LET(_xlpm.p,IFERROR(INDEX(rngSM_pass,MATCH("Firearms",rngSM_cat,0)),70),IF(AND($N54&lt;&gt;"",$O54&lt;&gt;"",N($N54)&gt;=_xlpm.p,N($O54)&gt;=_xlpm.p),"Yes",IF(OR(AND($N54&lt;&gt;"",N($N54)&lt;_xlpm.p),AND($O54&lt;&gt;"",N($O54)&lt;_xlpm.p)),"No","(one pending)")))))</f>
        <v/>
      </c>
    </row>
    <row r="55">
      <c r="B55" s="17">
        <f>IF(Cadets!$B55="","",Cadets!$B55)</f>
        <v/>
      </c>
      <c r="C55" s="17">
        <f>IF($B55="","",Cadets!$F55)</f>
        <v/>
      </c>
      <c r="D55" s="17">
        <f>IF($B55="","",Cadets!$I55)</f>
        <v/>
      </c>
      <c r="E55" s="17">
        <f>IF($B55="","",SUMPRODUCT((rngSM_cat&lt;&gt;"")*(COUNTIFS(nrSK_PID,$B55,nrSK_Cat,rngSM_cat)&gt;0)))</f>
        <v/>
      </c>
      <c r="F55" s="17">
        <f>IF($B55="","",SUMPRODUCT((rngSM_cat&lt;&gt;"")*(COUNTIFS(nrSK_PID,$B55,nrSK_Cat,rngSM_cat,nrSK_Status,"Qualified")&gt;0)))</f>
        <v/>
      </c>
      <c r="G55" s="17">
        <f>IF($B55="","",SUMPRODUCT((rngSM_cat&lt;&gt;"")*(COUNTIFS(nrSK_PID,$B55,nrSK_Cat,rngSM_cat,nrSK_Status,"Needs Remediation")&gt;0)))</f>
        <v/>
      </c>
      <c r="H55" s="17">
        <f>IF($B55="","",SUMPRODUCT((rngSM_cat&lt;&gt;"")*(COUNTIFS(nrSK_PID,$B55,nrSK_Cat,rngSM_cat,nrSK_Status,"Pending")&gt;0)))</f>
        <v/>
      </c>
      <c r="I55" s="17">
        <f>IF($B55="","",SUMPRODUCT((rngSM_cat&lt;&gt;"")*(COUNTIFS(nrSK_PID,$B55,nrSK_Cat,rngSM_cat,nrSK_Dis,"Yes")&gt;0)))</f>
        <v/>
      </c>
      <c r="J55" s="17">
        <f>IF($B55="","",IF($I55&gt;0,"Yes","No"))</f>
        <v/>
      </c>
      <c r="K55" s="17">
        <f>IF($B55="","",IF($J55="Yes","No",IF($G55&gt;0,"No","Yes")))</f>
        <v/>
      </c>
      <c r="L55" s="17">
        <f>IF($B55="","",IFERROR(ROUND(AVERAGEIFS(nrSK_Score,nrSK_PID,$B55,nrSK_Cat,"Firearms",nrSK_Score,"&gt;=0",nrSK_Score,"&lt;=100"),2),""))</f>
        <v/>
      </c>
      <c r="M55" s="17">
        <f>IF($B55="","",IFERROR(_xlfn.MAXIFS(nrSK_Score,nrSK_PID,$B55,nrSK_Cat,"Firearms",nrSK_Score,"&gt;=0",nrSK_Score,"&lt;=100"),""))</f>
        <v/>
      </c>
      <c r="N55" s="17">
        <f>IF($B55="","",_xlfn.LET(_xlpm.v,_xlfn.MAXIFS(nrSK_Score,nrSK_PID,$B55,nrSK_Cat,"Firearms",nrSK_CoF,1,nrSK_Score,"&gt;=0",nrSK_Score,"&lt;=100"),IF(_xlpm.v=0,"",_xlpm.v)))</f>
        <v/>
      </c>
      <c r="O55" s="17">
        <f>IF($B55="","",_xlfn.LET(_xlpm.v,_xlfn.MAXIFS(nrSK_Score,nrSK_PID,$B55,nrSK_Cat,"Firearms",nrSK_CoF,2,nrSK_Score,"&gt;=0",nrSK_Score,"&lt;=100"),IF(_xlpm.v=0,"",_xlpm.v)))</f>
        <v/>
      </c>
      <c r="P55" s="17">
        <f>IF($B55="","",IF(AND($N55="",$O55=""),"",_xlfn.LET(_xlpm.p,IFERROR(INDEX(rngSM_pass,MATCH("Firearms",rngSM_cat,0)),70),IF(AND($N55&lt;&gt;"",$O55&lt;&gt;"",N($N55)&gt;=_xlpm.p,N($O55)&gt;=_xlpm.p),"Yes",IF(OR(AND($N55&lt;&gt;"",N($N55)&lt;_xlpm.p),AND($O55&lt;&gt;"",N($O55)&lt;_xlpm.p)),"No","(one pending)")))))</f>
        <v/>
      </c>
    </row>
  </sheetData>
  <sheetProtection selectLockedCells="0" selectUnlockedCells="0" sheet="1" objects="0" insertRows="1" insertHyperlinks="1" autoFilter="1" scenarios="0" formatColumns="1" deleteColumns="1" insertColumns="1" pivotTables="1" deleteRows="1" formatCells="1" formatRows="1" sort="1" password="B4BB"/>
  <pageMargins left="0.75" right="0.75" top="1" bottom="1" header="0.5" footer="0.5"/>
</worksheet>
</file>

<file path=xl/worksheets/sheet55.xml><?xml version="1.0" encoding="utf-8"?>
<worksheet xmlns="http://schemas.openxmlformats.org/spreadsheetml/2006/main">
  <sheetPr>
    <tabColor rgb="00808080"/>
    <outlinePr summaryBelow="1" summaryRight="1"/>
    <pageSetUpPr/>
  </sheetPr>
  <dimension ref="B1:M55"/>
  <sheetViews>
    <sheetView showGridLines="0" workbookViewId="0">
      <pane xSplit="3" ySplit="5" topLeftCell="D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4" customWidth="1" min="3" max="3"/>
  </cols>
  <sheetData>
    <row r="1">
      <c r="B1" s="10">
        <f>HYPERLINK("#Dashboard!B5","◄ Dashboard")</f>
        <v/>
      </c>
    </row>
    <row r="4">
      <c r="B4" s="11" t="inlineStr">
        <is>
          <t>Incident + counseling rollup per cadet. Locked.</t>
        </is>
      </c>
    </row>
    <row r="5" ht="26" customHeight="1">
      <c r="B5" s="12" t="inlineStr">
        <is>
          <t>PID</t>
        </is>
      </c>
      <c r="C5" s="12" t="inlineStr">
        <is>
          <t>Cadet Name</t>
        </is>
      </c>
      <c r="D5" s="12" t="inlineStr">
        <is>
          <t>Status</t>
        </is>
      </c>
      <c r="E5" s="12" t="inlineStr">
        <is>
          <t>Total</t>
        </is>
      </c>
      <c r="F5" s="12" t="inlineStr">
        <is>
          <t>Negative</t>
        </is>
      </c>
      <c r="G5" s="12" t="inlineStr">
        <is>
          <t>Positive</t>
        </is>
      </c>
      <c r="H5" s="12" t="inlineStr">
        <is>
          <t>Open Negative</t>
        </is>
      </c>
      <c r="I5" s="12" t="inlineStr">
        <is>
          <t>NegMajorCritical</t>
        </is>
      </c>
      <c r="J5" s="12" t="inlineStr">
        <is>
          <t>OpenChainReview</t>
        </is>
      </c>
      <c r="K5" s="12" t="inlineStr">
        <is>
          <t>Incidents Elig</t>
        </is>
      </c>
      <c r="L5" s="12" t="inlineStr">
        <is>
          <t>Counseling Cnt</t>
        </is>
      </c>
      <c r="M5" s="12" t="inlineStr">
        <is>
          <t>Open Counseling</t>
        </is>
      </c>
    </row>
    <row r="6">
      <c r="B6" s="17">
        <f>IF(Cadets!$B6="","",Cadets!$B6)</f>
        <v/>
      </c>
      <c r="C6" s="17">
        <f>IF($B6="","",Cadets!$F6)</f>
        <v/>
      </c>
      <c r="D6" s="17">
        <f>IF($B6="","",Cadets!$I6)</f>
        <v/>
      </c>
      <c r="E6" s="17">
        <f>IF($B6="","",COUNTIF(nrIN_PID,$B6))</f>
        <v/>
      </c>
      <c r="F6" s="17">
        <f>IF($B6="","",COUNTIFS(nrIN_PID,$B6,nrIN_Dir,"Negative"))</f>
        <v/>
      </c>
      <c r="G6" s="17">
        <f>IF($B6="","",COUNTIFS(nrIN_PID,$B6,nrIN_Dir,"Positive"))</f>
        <v/>
      </c>
      <c r="H6" s="17">
        <f>IF($B6="","",COUNTIFS(nrIN_PID,$B6,nrIN_Dir,"Negative",nrIN_Res,"Open")+COUNTIFS(nrIN_PID,$B6,nrIN_Dir,"Negative",nrIN_Res,"In Review"))</f>
        <v/>
      </c>
      <c r="I6" s="17">
        <f>IF($B6="","",COUNTIFS(nrIN_PID,$B6,nrIN_Dir,"Negative",nrIN_Sev,"Major")+COUNTIFS(nrIN_PID,$B6,nrIN_Dir,"Negative",nrIN_Sev,"Critical"))</f>
        <v/>
      </c>
      <c r="J6" s="17">
        <f>IF($B6="","",COUNTIFS(nrIN_PID,$B6,nrIN_Chain,"Yes",nrIN_Res,"Open")+COUNTIFS(nrIN_PID,$B6,nrIN_Chain,"Yes",nrIN_Res,"In Review"))</f>
        <v/>
      </c>
      <c r="K6" s="17">
        <f>IF($B6="","",IF($J6=0,"Yes","No"))</f>
        <v/>
      </c>
      <c r="L6" s="17">
        <f>IF($B6="","",COUNTIF(nrCO_PID,$B6))</f>
        <v/>
      </c>
      <c r="M6" s="17">
        <f>IF($B6="","",COUNTIFS(nrCO_PID,$B6,nrCO_Status,"Open")+COUNTIFS(nrCO_PID,$B6,nrCO_Status,"In Review"))</f>
        <v/>
      </c>
    </row>
    <row r="7">
      <c r="B7" s="17">
        <f>IF(Cadets!$B7="","",Cadets!$B7)</f>
        <v/>
      </c>
      <c r="C7" s="17">
        <f>IF($B7="","",Cadets!$F7)</f>
        <v/>
      </c>
      <c r="D7" s="17">
        <f>IF($B7="","",Cadets!$I7)</f>
        <v/>
      </c>
      <c r="E7" s="17">
        <f>IF($B7="","",COUNTIF(nrIN_PID,$B7))</f>
        <v/>
      </c>
      <c r="F7" s="17">
        <f>IF($B7="","",COUNTIFS(nrIN_PID,$B7,nrIN_Dir,"Negative"))</f>
        <v/>
      </c>
      <c r="G7" s="17">
        <f>IF($B7="","",COUNTIFS(nrIN_PID,$B7,nrIN_Dir,"Positive"))</f>
        <v/>
      </c>
      <c r="H7" s="17">
        <f>IF($B7="","",COUNTIFS(nrIN_PID,$B7,nrIN_Dir,"Negative",nrIN_Res,"Open")+COUNTIFS(nrIN_PID,$B7,nrIN_Dir,"Negative",nrIN_Res,"In Review"))</f>
        <v/>
      </c>
      <c r="I7" s="17">
        <f>IF($B7="","",COUNTIFS(nrIN_PID,$B7,nrIN_Dir,"Negative",nrIN_Sev,"Major")+COUNTIFS(nrIN_PID,$B7,nrIN_Dir,"Negative",nrIN_Sev,"Critical"))</f>
        <v/>
      </c>
      <c r="J7" s="17">
        <f>IF($B7="","",COUNTIFS(nrIN_PID,$B7,nrIN_Chain,"Yes",nrIN_Res,"Open")+COUNTIFS(nrIN_PID,$B7,nrIN_Chain,"Yes",nrIN_Res,"In Review"))</f>
        <v/>
      </c>
      <c r="K7" s="17">
        <f>IF($B7="","",IF($J7=0,"Yes","No"))</f>
        <v/>
      </c>
      <c r="L7" s="17">
        <f>IF($B7="","",COUNTIF(nrCO_PID,$B7))</f>
        <v/>
      </c>
      <c r="M7" s="17">
        <f>IF($B7="","",COUNTIFS(nrCO_PID,$B7,nrCO_Status,"Open")+COUNTIFS(nrCO_PID,$B7,nrCO_Status,"In Review"))</f>
        <v/>
      </c>
    </row>
    <row r="8">
      <c r="B8" s="17">
        <f>IF(Cadets!$B8="","",Cadets!$B8)</f>
        <v/>
      </c>
      <c r="C8" s="17">
        <f>IF($B8="","",Cadets!$F8)</f>
        <v/>
      </c>
      <c r="D8" s="17">
        <f>IF($B8="","",Cadets!$I8)</f>
        <v/>
      </c>
      <c r="E8" s="17">
        <f>IF($B8="","",COUNTIF(nrIN_PID,$B8))</f>
        <v/>
      </c>
      <c r="F8" s="17">
        <f>IF($B8="","",COUNTIFS(nrIN_PID,$B8,nrIN_Dir,"Negative"))</f>
        <v/>
      </c>
      <c r="G8" s="17">
        <f>IF($B8="","",COUNTIFS(nrIN_PID,$B8,nrIN_Dir,"Positive"))</f>
        <v/>
      </c>
      <c r="H8" s="17">
        <f>IF($B8="","",COUNTIFS(nrIN_PID,$B8,nrIN_Dir,"Negative",nrIN_Res,"Open")+COUNTIFS(nrIN_PID,$B8,nrIN_Dir,"Negative",nrIN_Res,"In Review"))</f>
        <v/>
      </c>
      <c r="I8" s="17">
        <f>IF($B8="","",COUNTIFS(nrIN_PID,$B8,nrIN_Dir,"Negative",nrIN_Sev,"Major")+COUNTIFS(nrIN_PID,$B8,nrIN_Dir,"Negative",nrIN_Sev,"Critical"))</f>
        <v/>
      </c>
      <c r="J8" s="17">
        <f>IF($B8="","",COUNTIFS(nrIN_PID,$B8,nrIN_Chain,"Yes",nrIN_Res,"Open")+COUNTIFS(nrIN_PID,$B8,nrIN_Chain,"Yes",nrIN_Res,"In Review"))</f>
        <v/>
      </c>
      <c r="K8" s="17">
        <f>IF($B8="","",IF($J8=0,"Yes","No"))</f>
        <v/>
      </c>
      <c r="L8" s="17">
        <f>IF($B8="","",COUNTIF(nrCO_PID,$B8))</f>
        <v/>
      </c>
      <c r="M8" s="17">
        <f>IF($B8="","",COUNTIFS(nrCO_PID,$B8,nrCO_Status,"Open")+COUNTIFS(nrCO_PID,$B8,nrCO_Status,"In Review"))</f>
        <v/>
      </c>
    </row>
    <row r="9">
      <c r="B9" s="17">
        <f>IF(Cadets!$B9="","",Cadets!$B9)</f>
        <v/>
      </c>
      <c r="C9" s="17">
        <f>IF($B9="","",Cadets!$F9)</f>
        <v/>
      </c>
      <c r="D9" s="17">
        <f>IF($B9="","",Cadets!$I9)</f>
        <v/>
      </c>
      <c r="E9" s="17">
        <f>IF($B9="","",COUNTIF(nrIN_PID,$B9))</f>
        <v/>
      </c>
      <c r="F9" s="17">
        <f>IF($B9="","",COUNTIFS(nrIN_PID,$B9,nrIN_Dir,"Negative"))</f>
        <v/>
      </c>
      <c r="G9" s="17">
        <f>IF($B9="","",COUNTIFS(nrIN_PID,$B9,nrIN_Dir,"Positive"))</f>
        <v/>
      </c>
      <c r="H9" s="17">
        <f>IF($B9="","",COUNTIFS(nrIN_PID,$B9,nrIN_Dir,"Negative",nrIN_Res,"Open")+COUNTIFS(nrIN_PID,$B9,nrIN_Dir,"Negative",nrIN_Res,"In Review"))</f>
        <v/>
      </c>
      <c r="I9" s="17">
        <f>IF($B9="","",COUNTIFS(nrIN_PID,$B9,nrIN_Dir,"Negative",nrIN_Sev,"Major")+COUNTIFS(nrIN_PID,$B9,nrIN_Dir,"Negative",nrIN_Sev,"Critical"))</f>
        <v/>
      </c>
      <c r="J9" s="17">
        <f>IF($B9="","",COUNTIFS(nrIN_PID,$B9,nrIN_Chain,"Yes",nrIN_Res,"Open")+COUNTIFS(nrIN_PID,$B9,nrIN_Chain,"Yes",nrIN_Res,"In Review"))</f>
        <v/>
      </c>
      <c r="K9" s="17">
        <f>IF($B9="","",IF($J9=0,"Yes","No"))</f>
        <v/>
      </c>
      <c r="L9" s="17">
        <f>IF($B9="","",COUNTIF(nrCO_PID,$B9))</f>
        <v/>
      </c>
      <c r="M9" s="17">
        <f>IF($B9="","",COUNTIFS(nrCO_PID,$B9,nrCO_Status,"Open")+COUNTIFS(nrCO_PID,$B9,nrCO_Status,"In Review"))</f>
        <v/>
      </c>
    </row>
    <row r="10">
      <c r="B10" s="17">
        <f>IF(Cadets!$B10="","",Cadets!$B10)</f>
        <v/>
      </c>
      <c r="C10" s="17">
        <f>IF($B10="","",Cadets!$F10)</f>
        <v/>
      </c>
      <c r="D10" s="17">
        <f>IF($B10="","",Cadets!$I10)</f>
        <v/>
      </c>
      <c r="E10" s="17">
        <f>IF($B10="","",COUNTIF(nrIN_PID,$B10))</f>
        <v/>
      </c>
      <c r="F10" s="17">
        <f>IF($B10="","",COUNTIFS(nrIN_PID,$B10,nrIN_Dir,"Negative"))</f>
        <v/>
      </c>
      <c r="G10" s="17">
        <f>IF($B10="","",COUNTIFS(nrIN_PID,$B10,nrIN_Dir,"Positive"))</f>
        <v/>
      </c>
      <c r="H10" s="17">
        <f>IF($B10="","",COUNTIFS(nrIN_PID,$B10,nrIN_Dir,"Negative",nrIN_Res,"Open")+COUNTIFS(nrIN_PID,$B10,nrIN_Dir,"Negative",nrIN_Res,"In Review"))</f>
        <v/>
      </c>
      <c r="I10" s="17">
        <f>IF($B10="","",COUNTIFS(nrIN_PID,$B10,nrIN_Dir,"Negative",nrIN_Sev,"Major")+COUNTIFS(nrIN_PID,$B10,nrIN_Dir,"Negative",nrIN_Sev,"Critical"))</f>
        <v/>
      </c>
      <c r="J10" s="17">
        <f>IF($B10="","",COUNTIFS(nrIN_PID,$B10,nrIN_Chain,"Yes",nrIN_Res,"Open")+COUNTIFS(nrIN_PID,$B10,nrIN_Chain,"Yes",nrIN_Res,"In Review"))</f>
        <v/>
      </c>
      <c r="K10" s="17">
        <f>IF($B10="","",IF($J10=0,"Yes","No"))</f>
        <v/>
      </c>
      <c r="L10" s="17">
        <f>IF($B10="","",COUNTIF(nrCO_PID,$B10))</f>
        <v/>
      </c>
      <c r="M10" s="17">
        <f>IF($B10="","",COUNTIFS(nrCO_PID,$B10,nrCO_Status,"Open")+COUNTIFS(nrCO_PID,$B10,nrCO_Status,"In Review"))</f>
        <v/>
      </c>
    </row>
    <row r="11">
      <c r="B11" s="17">
        <f>IF(Cadets!$B11="","",Cadets!$B11)</f>
        <v/>
      </c>
      <c r="C11" s="17">
        <f>IF($B11="","",Cadets!$F11)</f>
        <v/>
      </c>
      <c r="D11" s="17">
        <f>IF($B11="","",Cadets!$I11)</f>
        <v/>
      </c>
      <c r="E11" s="17">
        <f>IF($B11="","",COUNTIF(nrIN_PID,$B11))</f>
        <v/>
      </c>
      <c r="F11" s="17">
        <f>IF($B11="","",COUNTIFS(nrIN_PID,$B11,nrIN_Dir,"Negative"))</f>
        <v/>
      </c>
      <c r="G11" s="17">
        <f>IF($B11="","",COUNTIFS(nrIN_PID,$B11,nrIN_Dir,"Positive"))</f>
        <v/>
      </c>
      <c r="H11" s="17">
        <f>IF($B11="","",COUNTIFS(nrIN_PID,$B11,nrIN_Dir,"Negative",nrIN_Res,"Open")+COUNTIFS(nrIN_PID,$B11,nrIN_Dir,"Negative",nrIN_Res,"In Review"))</f>
        <v/>
      </c>
      <c r="I11" s="17">
        <f>IF($B11="","",COUNTIFS(nrIN_PID,$B11,nrIN_Dir,"Negative",nrIN_Sev,"Major")+COUNTIFS(nrIN_PID,$B11,nrIN_Dir,"Negative",nrIN_Sev,"Critical"))</f>
        <v/>
      </c>
      <c r="J11" s="17">
        <f>IF($B11="","",COUNTIFS(nrIN_PID,$B11,nrIN_Chain,"Yes",nrIN_Res,"Open")+COUNTIFS(nrIN_PID,$B11,nrIN_Chain,"Yes",nrIN_Res,"In Review"))</f>
        <v/>
      </c>
      <c r="K11" s="17">
        <f>IF($B11="","",IF($J11=0,"Yes","No"))</f>
        <v/>
      </c>
      <c r="L11" s="17">
        <f>IF($B11="","",COUNTIF(nrCO_PID,$B11))</f>
        <v/>
      </c>
      <c r="M11" s="17">
        <f>IF($B11="","",COUNTIFS(nrCO_PID,$B11,nrCO_Status,"Open")+COUNTIFS(nrCO_PID,$B11,nrCO_Status,"In Review"))</f>
        <v/>
      </c>
    </row>
    <row r="12">
      <c r="B12" s="17">
        <f>IF(Cadets!$B12="","",Cadets!$B12)</f>
        <v/>
      </c>
      <c r="C12" s="17">
        <f>IF($B12="","",Cadets!$F12)</f>
        <v/>
      </c>
      <c r="D12" s="17">
        <f>IF($B12="","",Cadets!$I12)</f>
        <v/>
      </c>
      <c r="E12" s="17">
        <f>IF($B12="","",COUNTIF(nrIN_PID,$B12))</f>
        <v/>
      </c>
      <c r="F12" s="17">
        <f>IF($B12="","",COUNTIFS(nrIN_PID,$B12,nrIN_Dir,"Negative"))</f>
        <v/>
      </c>
      <c r="G12" s="17">
        <f>IF($B12="","",COUNTIFS(nrIN_PID,$B12,nrIN_Dir,"Positive"))</f>
        <v/>
      </c>
      <c r="H12" s="17">
        <f>IF($B12="","",COUNTIFS(nrIN_PID,$B12,nrIN_Dir,"Negative",nrIN_Res,"Open")+COUNTIFS(nrIN_PID,$B12,nrIN_Dir,"Negative",nrIN_Res,"In Review"))</f>
        <v/>
      </c>
      <c r="I12" s="17">
        <f>IF($B12="","",COUNTIFS(nrIN_PID,$B12,nrIN_Dir,"Negative",nrIN_Sev,"Major")+COUNTIFS(nrIN_PID,$B12,nrIN_Dir,"Negative",nrIN_Sev,"Critical"))</f>
        <v/>
      </c>
      <c r="J12" s="17">
        <f>IF($B12="","",COUNTIFS(nrIN_PID,$B12,nrIN_Chain,"Yes",nrIN_Res,"Open")+COUNTIFS(nrIN_PID,$B12,nrIN_Chain,"Yes",nrIN_Res,"In Review"))</f>
        <v/>
      </c>
      <c r="K12" s="17">
        <f>IF($B12="","",IF($J12=0,"Yes","No"))</f>
        <v/>
      </c>
      <c r="L12" s="17">
        <f>IF($B12="","",COUNTIF(nrCO_PID,$B12))</f>
        <v/>
      </c>
      <c r="M12" s="17">
        <f>IF($B12="","",COUNTIFS(nrCO_PID,$B12,nrCO_Status,"Open")+COUNTIFS(nrCO_PID,$B12,nrCO_Status,"In Review"))</f>
        <v/>
      </c>
    </row>
    <row r="13">
      <c r="B13" s="17">
        <f>IF(Cadets!$B13="","",Cadets!$B13)</f>
        <v/>
      </c>
      <c r="C13" s="17">
        <f>IF($B13="","",Cadets!$F13)</f>
        <v/>
      </c>
      <c r="D13" s="17">
        <f>IF($B13="","",Cadets!$I13)</f>
        <v/>
      </c>
      <c r="E13" s="17">
        <f>IF($B13="","",COUNTIF(nrIN_PID,$B13))</f>
        <v/>
      </c>
      <c r="F13" s="17">
        <f>IF($B13="","",COUNTIFS(nrIN_PID,$B13,nrIN_Dir,"Negative"))</f>
        <v/>
      </c>
      <c r="G13" s="17">
        <f>IF($B13="","",COUNTIFS(nrIN_PID,$B13,nrIN_Dir,"Positive"))</f>
        <v/>
      </c>
      <c r="H13" s="17">
        <f>IF($B13="","",COUNTIFS(nrIN_PID,$B13,nrIN_Dir,"Negative",nrIN_Res,"Open")+COUNTIFS(nrIN_PID,$B13,nrIN_Dir,"Negative",nrIN_Res,"In Review"))</f>
        <v/>
      </c>
      <c r="I13" s="17">
        <f>IF($B13="","",COUNTIFS(nrIN_PID,$B13,nrIN_Dir,"Negative",nrIN_Sev,"Major")+COUNTIFS(nrIN_PID,$B13,nrIN_Dir,"Negative",nrIN_Sev,"Critical"))</f>
        <v/>
      </c>
      <c r="J13" s="17">
        <f>IF($B13="","",COUNTIFS(nrIN_PID,$B13,nrIN_Chain,"Yes",nrIN_Res,"Open")+COUNTIFS(nrIN_PID,$B13,nrIN_Chain,"Yes",nrIN_Res,"In Review"))</f>
        <v/>
      </c>
      <c r="K13" s="17">
        <f>IF($B13="","",IF($J13=0,"Yes","No"))</f>
        <v/>
      </c>
      <c r="L13" s="17">
        <f>IF($B13="","",COUNTIF(nrCO_PID,$B13))</f>
        <v/>
      </c>
      <c r="M13" s="17">
        <f>IF($B13="","",COUNTIFS(nrCO_PID,$B13,nrCO_Status,"Open")+COUNTIFS(nrCO_PID,$B13,nrCO_Status,"In Review"))</f>
        <v/>
      </c>
    </row>
    <row r="14">
      <c r="B14" s="17">
        <f>IF(Cadets!$B14="","",Cadets!$B14)</f>
        <v/>
      </c>
      <c r="C14" s="17">
        <f>IF($B14="","",Cadets!$F14)</f>
        <v/>
      </c>
      <c r="D14" s="17">
        <f>IF($B14="","",Cadets!$I14)</f>
        <v/>
      </c>
      <c r="E14" s="17">
        <f>IF($B14="","",COUNTIF(nrIN_PID,$B14))</f>
        <v/>
      </c>
      <c r="F14" s="17">
        <f>IF($B14="","",COUNTIFS(nrIN_PID,$B14,nrIN_Dir,"Negative"))</f>
        <v/>
      </c>
      <c r="G14" s="17">
        <f>IF($B14="","",COUNTIFS(nrIN_PID,$B14,nrIN_Dir,"Positive"))</f>
        <v/>
      </c>
      <c r="H14" s="17">
        <f>IF($B14="","",COUNTIFS(nrIN_PID,$B14,nrIN_Dir,"Negative",nrIN_Res,"Open")+COUNTIFS(nrIN_PID,$B14,nrIN_Dir,"Negative",nrIN_Res,"In Review"))</f>
        <v/>
      </c>
      <c r="I14" s="17">
        <f>IF($B14="","",COUNTIFS(nrIN_PID,$B14,nrIN_Dir,"Negative",nrIN_Sev,"Major")+COUNTIFS(nrIN_PID,$B14,nrIN_Dir,"Negative",nrIN_Sev,"Critical"))</f>
        <v/>
      </c>
      <c r="J14" s="17">
        <f>IF($B14="","",COUNTIFS(nrIN_PID,$B14,nrIN_Chain,"Yes",nrIN_Res,"Open")+COUNTIFS(nrIN_PID,$B14,nrIN_Chain,"Yes",nrIN_Res,"In Review"))</f>
        <v/>
      </c>
      <c r="K14" s="17">
        <f>IF($B14="","",IF($J14=0,"Yes","No"))</f>
        <v/>
      </c>
      <c r="L14" s="17">
        <f>IF($B14="","",COUNTIF(nrCO_PID,$B14))</f>
        <v/>
      </c>
      <c r="M14" s="17">
        <f>IF($B14="","",COUNTIFS(nrCO_PID,$B14,nrCO_Status,"Open")+COUNTIFS(nrCO_PID,$B14,nrCO_Status,"In Review"))</f>
        <v/>
      </c>
    </row>
    <row r="15">
      <c r="B15" s="17">
        <f>IF(Cadets!$B15="","",Cadets!$B15)</f>
        <v/>
      </c>
      <c r="C15" s="17">
        <f>IF($B15="","",Cadets!$F15)</f>
        <v/>
      </c>
      <c r="D15" s="17">
        <f>IF($B15="","",Cadets!$I15)</f>
        <v/>
      </c>
      <c r="E15" s="17">
        <f>IF($B15="","",COUNTIF(nrIN_PID,$B15))</f>
        <v/>
      </c>
      <c r="F15" s="17">
        <f>IF($B15="","",COUNTIFS(nrIN_PID,$B15,nrIN_Dir,"Negative"))</f>
        <v/>
      </c>
      <c r="G15" s="17">
        <f>IF($B15="","",COUNTIFS(nrIN_PID,$B15,nrIN_Dir,"Positive"))</f>
        <v/>
      </c>
      <c r="H15" s="17">
        <f>IF($B15="","",COUNTIFS(nrIN_PID,$B15,nrIN_Dir,"Negative",nrIN_Res,"Open")+COUNTIFS(nrIN_PID,$B15,nrIN_Dir,"Negative",nrIN_Res,"In Review"))</f>
        <v/>
      </c>
      <c r="I15" s="17">
        <f>IF($B15="","",COUNTIFS(nrIN_PID,$B15,nrIN_Dir,"Negative",nrIN_Sev,"Major")+COUNTIFS(nrIN_PID,$B15,nrIN_Dir,"Negative",nrIN_Sev,"Critical"))</f>
        <v/>
      </c>
      <c r="J15" s="17">
        <f>IF($B15="","",COUNTIFS(nrIN_PID,$B15,nrIN_Chain,"Yes",nrIN_Res,"Open")+COUNTIFS(nrIN_PID,$B15,nrIN_Chain,"Yes",nrIN_Res,"In Review"))</f>
        <v/>
      </c>
      <c r="K15" s="17">
        <f>IF($B15="","",IF($J15=0,"Yes","No"))</f>
        <v/>
      </c>
      <c r="L15" s="17">
        <f>IF($B15="","",COUNTIF(nrCO_PID,$B15))</f>
        <v/>
      </c>
      <c r="M15" s="17">
        <f>IF($B15="","",COUNTIFS(nrCO_PID,$B15,nrCO_Status,"Open")+COUNTIFS(nrCO_PID,$B15,nrCO_Status,"In Review"))</f>
        <v/>
      </c>
    </row>
    <row r="16">
      <c r="B16" s="17">
        <f>IF(Cadets!$B16="","",Cadets!$B16)</f>
        <v/>
      </c>
      <c r="C16" s="17">
        <f>IF($B16="","",Cadets!$F16)</f>
        <v/>
      </c>
      <c r="D16" s="17">
        <f>IF($B16="","",Cadets!$I16)</f>
        <v/>
      </c>
      <c r="E16" s="17">
        <f>IF($B16="","",COUNTIF(nrIN_PID,$B16))</f>
        <v/>
      </c>
      <c r="F16" s="17">
        <f>IF($B16="","",COUNTIFS(nrIN_PID,$B16,nrIN_Dir,"Negative"))</f>
        <v/>
      </c>
      <c r="G16" s="17">
        <f>IF($B16="","",COUNTIFS(nrIN_PID,$B16,nrIN_Dir,"Positive"))</f>
        <v/>
      </c>
      <c r="H16" s="17">
        <f>IF($B16="","",COUNTIFS(nrIN_PID,$B16,nrIN_Dir,"Negative",nrIN_Res,"Open")+COUNTIFS(nrIN_PID,$B16,nrIN_Dir,"Negative",nrIN_Res,"In Review"))</f>
        <v/>
      </c>
      <c r="I16" s="17">
        <f>IF($B16="","",COUNTIFS(nrIN_PID,$B16,nrIN_Dir,"Negative",nrIN_Sev,"Major")+COUNTIFS(nrIN_PID,$B16,nrIN_Dir,"Negative",nrIN_Sev,"Critical"))</f>
        <v/>
      </c>
      <c r="J16" s="17">
        <f>IF($B16="","",COUNTIFS(nrIN_PID,$B16,nrIN_Chain,"Yes",nrIN_Res,"Open")+COUNTIFS(nrIN_PID,$B16,nrIN_Chain,"Yes",nrIN_Res,"In Review"))</f>
        <v/>
      </c>
      <c r="K16" s="17">
        <f>IF($B16="","",IF($J16=0,"Yes","No"))</f>
        <v/>
      </c>
      <c r="L16" s="17">
        <f>IF($B16="","",COUNTIF(nrCO_PID,$B16))</f>
        <v/>
      </c>
      <c r="M16" s="17">
        <f>IF($B16="","",COUNTIFS(nrCO_PID,$B16,nrCO_Status,"Open")+COUNTIFS(nrCO_PID,$B16,nrCO_Status,"In Review"))</f>
        <v/>
      </c>
    </row>
    <row r="17">
      <c r="B17" s="17">
        <f>IF(Cadets!$B17="","",Cadets!$B17)</f>
        <v/>
      </c>
      <c r="C17" s="17">
        <f>IF($B17="","",Cadets!$F17)</f>
        <v/>
      </c>
      <c r="D17" s="17">
        <f>IF($B17="","",Cadets!$I17)</f>
        <v/>
      </c>
      <c r="E17" s="17">
        <f>IF($B17="","",COUNTIF(nrIN_PID,$B17))</f>
        <v/>
      </c>
      <c r="F17" s="17">
        <f>IF($B17="","",COUNTIFS(nrIN_PID,$B17,nrIN_Dir,"Negative"))</f>
        <v/>
      </c>
      <c r="G17" s="17">
        <f>IF($B17="","",COUNTIFS(nrIN_PID,$B17,nrIN_Dir,"Positive"))</f>
        <v/>
      </c>
      <c r="H17" s="17">
        <f>IF($B17="","",COUNTIFS(nrIN_PID,$B17,nrIN_Dir,"Negative",nrIN_Res,"Open")+COUNTIFS(nrIN_PID,$B17,nrIN_Dir,"Negative",nrIN_Res,"In Review"))</f>
        <v/>
      </c>
      <c r="I17" s="17">
        <f>IF($B17="","",COUNTIFS(nrIN_PID,$B17,nrIN_Dir,"Negative",nrIN_Sev,"Major")+COUNTIFS(nrIN_PID,$B17,nrIN_Dir,"Negative",nrIN_Sev,"Critical"))</f>
        <v/>
      </c>
      <c r="J17" s="17">
        <f>IF($B17="","",COUNTIFS(nrIN_PID,$B17,nrIN_Chain,"Yes",nrIN_Res,"Open")+COUNTIFS(nrIN_PID,$B17,nrIN_Chain,"Yes",nrIN_Res,"In Review"))</f>
        <v/>
      </c>
      <c r="K17" s="17">
        <f>IF($B17="","",IF($J17=0,"Yes","No"))</f>
        <v/>
      </c>
      <c r="L17" s="17">
        <f>IF($B17="","",COUNTIF(nrCO_PID,$B17))</f>
        <v/>
      </c>
      <c r="M17" s="17">
        <f>IF($B17="","",COUNTIFS(nrCO_PID,$B17,nrCO_Status,"Open")+COUNTIFS(nrCO_PID,$B17,nrCO_Status,"In Review"))</f>
        <v/>
      </c>
    </row>
    <row r="18">
      <c r="B18" s="17">
        <f>IF(Cadets!$B18="","",Cadets!$B18)</f>
        <v/>
      </c>
      <c r="C18" s="17">
        <f>IF($B18="","",Cadets!$F18)</f>
        <v/>
      </c>
      <c r="D18" s="17">
        <f>IF($B18="","",Cadets!$I18)</f>
        <v/>
      </c>
      <c r="E18" s="17">
        <f>IF($B18="","",COUNTIF(nrIN_PID,$B18))</f>
        <v/>
      </c>
      <c r="F18" s="17">
        <f>IF($B18="","",COUNTIFS(nrIN_PID,$B18,nrIN_Dir,"Negative"))</f>
        <v/>
      </c>
      <c r="G18" s="17">
        <f>IF($B18="","",COUNTIFS(nrIN_PID,$B18,nrIN_Dir,"Positive"))</f>
        <v/>
      </c>
      <c r="H18" s="17">
        <f>IF($B18="","",COUNTIFS(nrIN_PID,$B18,nrIN_Dir,"Negative",nrIN_Res,"Open")+COUNTIFS(nrIN_PID,$B18,nrIN_Dir,"Negative",nrIN_Res,"In Review"))</f>
        <v/>
      </c>
      <c r="I18" s="17">
        <f>IF($B18="","",COUNTIFS(nrIN_PID,$B18,nrIN_Dir,"Negative",nrIN_Sev,"Major")+COUNTIFS(nrIN_PID,$B18,nrIN_Dir,"Negative",nrIN_Sev,"Critical"))</f>
        <v/>
      </c>
      <c r="J18" s="17">
        <f>IF($B18="","",COUNTIFS(nrIN_PID,$B18,nrIN_Chain,"Yes",nrIN_Res,"Open")+COUNTIFS(nrIN_PID,$B18,nrIN_Chain,"Yes",nrIN_Res,"In Review"))</f>
        <v/>
      </c>
      <c r="K18" s="17">
        <f>IF($B18="","",IF($J18=0,"Yes","No"))</f>
        <v/>
      </c>
      <c r="L18" s="17">
        <f>IF($B18="","",COUNTIF(nrCO_PID,$B18))</f>
        <v/>
      </c>
      <c r="M18" s="17">
        <f>IF($B18="","",COUNTIFS(nrCO_PID,$B18,nrCO_Status,"Open")+COUNTIFS(nrCO_PID,$B18,nrCO_Status,"In Review"))</f>
        <v/>
      </c>
    </row>
    <row r="19">
      <c r="B19" s="17">
        <f>IF(Cadets!$B19="","",Cadets!$B19)</f>
        <v/>
      </c>
      <c r="C19" s="17">
        <f>IF($B19="","",Cadets!$F19)</f>
        <v/>
      </c>
      <c r="D19" s="17">
        <f>IF($B19="","",Cadets!$I19)</f>
        <v/>
      </c>
      <c r="E19" s="17">
        <f>IF($B19="","",COUNTIF(nrIN_PID,$B19))</f>
        <v/>
      </c>
      <c r="F19" s="17">
        <f>IF($B19="","",COUNTIFS(nrIN_PID,$B19,nrIN_Dir,"Negative"))</f>
        <v/>
      </c>
      <c r="G19" s="17">
        <f>IF($B19="","",COUNTIFS(nrIN_PID,$B19,nrIN_Dir,"Positive"))</f>
        <v/>
      </c>
      <c r="H19" s="17">
        <f>IF($B19="","",COUNTIFS(nrIN_PID,$B19,nrIN_Dir,"Negative",nrIN_Res,"Open")+COUNTIFS(nrIN_PID,$B19,nrIN_Dir,"Negative",nrIN_Res,"In Review"))</f>
        <v/>
      </c>
      <c r="I19" s="17">
        <f>IF($B19="","",COUNTIFS(nrIN_PID,$B19,nrIN_Dir,"Negative",nrIN_Sev,"Major")+COUNTIFS(nrIN_PID,$B19,nrIN_Dir,"Negative",nrIN_Sev,"Critical"))</f>
        <v/>
      </c>
      <c r="J19" s="17">
        <f>IF($B19="","",COUNTIFS(nrIN_PID,$B19,nrIN_Chain,"Yes",nrIN_Res,"Open")+COUNTIFS(nrIN_PID,$B19,nrIN_Chain,"Yes",nrIN_Res,"In Review"))</f>
        <v/>
      </c>
      <c r="K19" s="17">
        <f>IF($B19="","",IF($J19=0,"Yes","No"))</f>
        <v/>
      </c>
      <c r="L19" s="17">
        <f>IF($B19="","",COUNTIF(nrCO_PID,$B19))</f>
        <v/>
      </c>
      <c r="M19" s="17">
        <f>IF($B19="","",COUNTIFS(nrCO_PID,$B19,nrCO_Status,"Open")+COUNTIFS(nrCO_PID,$B19,nrCO_Status,"In Review"))</f>
        <v/>
      </c>
    </row>
    <row r="20">
      <c r="B20" s="17">
        <f>IF(Cadets!$B20="","",Cadets!$B20)</f>
        <v/>
      </c>
      <c r="C20" s="17">
        <f>IF($B20="","",Cadets!$F20)</f>
        <v/>
      </c>
      <c r="D20" s="17">
        <f>IF($B20="","",Cadets!$I20)</f>
        <v/>
      </c>
      <c r="E20" s="17">
        <f>IF($B20="","",COUNTIF(nrIN_PID,$B20))</f>
        <v/>
      </c>
      <c r="F20" s="17">
        <f>IF($B20="","",COUNTIFS(nrIN_PID,$B20,nrIN_Dir,"Negative"))</f>
        <v/>
      </c>
      <c r="G20" s="17">
        <f>IF($B20="","",COUNTIFS(nrIN_PID,$B20,nrIN_Dir,"Positive"))</f>
        <v/>
      </c>
      <c r="H20" s="17">
        <f>IF($B20="","",COUNTIFS(nrIN_PID,$B20,nrIN_Dir,"Negative",nrIN_Res,"Open")+COUNTIFS(nrIN_PID,$B20,nrIN_Dir,"Negative",nrIN_Res,"In Review"))</f>
        <v/>
      </c>
      <c r="I20" s="17">
        <f>IF($B20="","",COUNTIFS(nrIN_PID,$B20,nrIN_Dir,"Negative",nrIN_Sev,"Major")+COUNTIFS(nrIN_PID,$B20,nrIN_Dir,"Negative",nrIN_Sev,"Critical"))</f>
        <v/>
      </c>
      <c r="J20" s="17">
        <f>IF($B20="","",COUNTIFS(nrIN_PID,$B20,nrIN_Chain,"Yes",nrIN_Res,"Open")+COUNTIFS(nrIN_PID,$B20,nrIN_Chain,"Yes",nrIN_Res,"In Review"))</f>
        <v/>
      </c>
      <c r="K20" s="17">
        <f>IF($B20="","",IF($J20=0,"Yes","No"))</f>
        <v/>
      </c>
      <c r="L20" s="17">
        <f>IF($B20="","",COUNTIF(nrCO_PID,$B20))</f>
        <v/>
      </c>
      <c r="M20" s="17">
        <f>IF($B20="","",COUNTIFS(nrCO_PID,$B20,nrCO_Status,"Open")+COUNTIFS(nrCO_PID,$B20,nrCO_Status,"In Review"))</f>
        <v/>
      </c>
    </row>
    <row r="21">
      <c r="B21" s="17">
        <f>IF(Cadets!$B21="","",Cadets!$B21)</f>
        <v/>
      </c>
      <c r="C21" s="17">
        <f>IF($B21="","",Cadets!$F21)</f>
        <v/>
      </c>
      <c r="D21" s="17">
        <f>IF($B21="","",Cadets!$I21)</f>
        <v/>
      </c>
      <c r="E21" s="17">
        <f>IF($B21="","",COUNTIF(nrIN_PID,$B21))</f>
        <v/>
      </c>
      <c r="F21" s="17">
        <f>IF($B21="","",COUNTIFS(nrIN_PID,$B21,nrIN_Dir,"Negative"))</f>
        <v/>
      </c>
      <c r="G21" s="17">
        <f>IF($B21="","",COUNTIFS(nrIN_PID,$B21,nrIN_Dir,"Positive"))</f>
        <v/>
      </c>
      <c r="H21" s="17">
        <f>IF($B21="","",COUNTIFS(nrIN_PID,$B21,nrIN_Dir,"Negative",nrIN_Res,"Open")+COUNTIFS(nrIN_PID,$B21,nrIN_Dir,"Negative",nrIN_Res,"In Review"))</f>
        <v/>
      </c>
      <c r="I21" s="17">
        <f>IF($B21="","",COUNTIFS(nrIN_PID,$B21,nrIN_Dir,"Negative",nrIN_Sev,"Major")+COUNTIFS(nrIN_PID,$B21,nrIN_Dir,"Negative",nrIN_Sev,"Critical"))</f>
        <v/>
      </c>
      <c r="J21" s="17">
        <f>IF($B21="","",COUNTIFS(nrIN_PID,$B21,nrIN_Chain,"Yes",nrIN_Res,"Open")+COUNTIFS(nrIN_PID,$B21,nrIN_Chain,"Yes",nrIN_Res,"In Review"))</f>
        <v/>
      </c>
      <c r="K21" s="17">
        <f>IF($B21="","",IF($J21=0,"Yes","No"))</f>
        <v/>
      </c>
      <c r="L21" s="17">
        <f>IF($B21="","",COUNTIF(nrCO_PID,$B21))</f>
        <v/>
      </c>
      <c r="M21" s="17">
        <f>IF($B21="","",COUNTIFS(nrCO_PID,$B21,nrCO_Status,"Open")+COUNTIFS(nrCO_PID,$B21,nrCO_Status,"In Review"))</f>
        <v/>
      </c>
    </row>
    <row r="22">
      <c r="B22" s="17">
        <f>IF(Cadets!$B22="","",Cadets!$B22)</f>
        <v/>
      </c>
      <c r="C22" s="17">
        <f>IF($B22="","",Cadets!$F22)</f>
        <v/>
      </c>
      <c r="D22" s="17">
        <f>IF($B22="","",Cadets!$I22)</f>
        <v/>
      </c>
      <c r="E22" s="17">
        <f>IF($B22="","",COUNTIF(nrIN_PID,$B22))</f>
        <v/>
      </c>
      <c r="F22" s="17">
        <f>IF($B22="","",COUNTIFS(nrIN_PID,$B22,nrIN_Dir,"Negative"))</f>
        <v/>
      </c>
      <c r="G22" s="17">
        <f>IF($B22="","",COUNTIFS(nrIN_PID,$B22,nrIN_Dir,"Positive"))</f>
        <v/>
      </c>
      <c r="H22" s="17">
        <f>IF($B22="","",COUNTIFS(nrIN_PID,$B22,nrIN_Dir,"Negative",nrIN_Res,"Open")+COUNTIFS(nrIN_PID,$B22,nrIN_Dir,"Negative",nrIN_Res,"In Review"))</f>
        <v/>
      </c>
      <c r="I22" s="17">
        <f>IF($B22="","",COUNTIFS(nrIN_PID,$B22,nrIN_Dir,"Negative",nrIN_Sev,"Major")+COUNTIFS(nrIN_PID,$B22,nrIN_Dir,"Negative",nrIN_Sev,"Critical"))</f>
        <v/>
      </c>
      <c r="J22" s="17">
        <f>IF($B22="","",COUNTIFS(nrIN_PID,$B22,nrIN_Chain,"Yes",nrIN_Res,"Open")+COUNTIFS(nrIN_PID,$B22,nrIN_Chain,"Yes",nrIN_Res,"In Review"))</f>
        <v/>
      </c>
      <c r="K22" s="17">
        <f>IF($B22="","",IF($J22=0,"Yes","No"))</f>
        <v/>
      </c>
      <c r="L22" s="17">
        <f>IF($B22="","",COUNTIF(nrCO_PID,$B22))</f>
        <v/>
      </c>
      <c r="M22" s="17">
        <f>IF($B22="","",COUNTIFS(nrCO_PID,$B22,nrCO_Status,"Open")+COUNTIFS(nrCO_PID,$B22,nrCO_Status,"In Review"))</f>
        <v/>
      </c>
    </row>
    <row r="23">
      <c r="B23" s="17">
        <f>IF(Cadets!$B23="","",Cadets!$B23)</f>
        <v/>
      </c>
      <c r="C23" s="17">
        <f>IF($B23="","",Cadets!$F23)</f>
        <v/>
      </c>
      <c r="D23" s="17">
        <f>IF($B23="","",Cadets!$I23)</f>
        <v/>
      </c>
      <c r="E23" s="17">
        <f>IF($B23="","",COUNTIF(nrIN_PID,$B23))</f>
        <v/>
      </c>
      <c r="F23" s="17">
        <f>IF($B23="","",COUNTIFS(nrIN_PID,$B23,nrIN_Dir,"Negative"))</f>
        <v/>
      </c>
      <c r="G23" s="17">
        <f>IF($B23="","",COUNTIFS(nrIN_PID,$B23,nrIN_Dir,"Positive"))</f>
        <v/>
      </c>
      <c r="H23" s="17">
        <f>IF($B23="","",COUNTIFS(nrIN_PID,$B23,nrIN_Dir,"Negative",nrIN_Res,"Open")+COUNTIFS(nrIN_PID,$B23,nrIN_Dir,"Negative",nrIN_Res,"In Review"))</f>
        <v/>
      </c>
      <c r="I23" s="17">
        <f>IF($B23="","",COUNTIFS(nrIN_PID,$B23,nrIN_Dir,"Negative",nrIN_Sev,"Major")+COUNTIFS(nrIN_PID,$B23,nrIN_Dir,"Negative",nrIN_Sev,"Critical"))</f>
        <v/>
      </c>
      <c r="J23" s="17">
        <f>IF($B23="","",COUNTIFS(nrIN_PID,$B23,nrIN_Chain,"Yes",nrIN_Res,"Open")+COUNTIFS(nrIN_PID,$B23,nrIN_Chain,"Yes",nrIN_Res,"In Review"))</f>
        <v/>
      </c>
      <c r="K23" s="17">
        <f>IF($B23="","",IF($J23=0,"Yes","No"))</f>
        <v/>
      </c>
      <c r="L23" s="17">
        <f>IF($B23="","",COUNTIF(nrCO_PID,$B23))</f>
        <v/>
      </c>
      <c r="M23" s="17">
        <f>IF($B23="","",COUNTIFS(nrCO_PID,$B23,nrCO_Status,"Open")+COUNTIFS(nrCO_PID,$B23,nrCO_Status,"In Review"))</f>
        <v/>
      </c>
    </row>
    <row r="24">
      <c r="B24" s="17">
        <f>IF(Cadets!$B24="","",Cadets!$B24)</f>
        <v/>
      </c>
      <c r="C24" s="17">
        <f>IF($B24="","",Cadets!$F24)</f>
        <v/>
      </c>
      <c r="D24" s="17">
        <f>IF($B24="","",Cadets!$I24)</f>
        <v/>
      </c>
      <c r="E24" s="17">
        <f>IF($B24="","",COUNTIF(nrIN_PID,$B24))</f>
        <v/>
      </c>
      <c r="F24" s="17">
        <f>IF($B24="","",COUNTIFS(nrIN_PID,$B24,nrIN_Dir,"Negative"))</f>
        <v/>
      </c>
      <c r="G24" s="17">
        <f>IF($B24="","",COUNTIFS(nrIN_PID,$B24,nrIN_Dir,"Positive"))</f>
        <v/>
      </c>
      <c r="H24" s="17">
        <f>IF($B24="","",COUNTIFS(nrIN_PID,$B24,nrIN_Dir,"Negative",nrIN_Res,"Open")+COUNTIFS(nrIN_PID,$B24,nrIN_Dir,"Negative",nrIN_Res,"In Review"))</f>
        <v/>
      </c>
      <c r="I24" s="17">
        <f>IF($B24="","",COUNTIFS(nrIN_PID,$B24,nrIN_Dir,"Negative",nrIN_Sev,"Major")+COUNTIFS(nrIN_PID,$B24,nrIN_Dir,"Negative",nrIN_Sev,"Critical"))</f>
        <v/>
      </c>
      <c r="J24" s="17">
        <f>IF($B24="","",COUNTIFS(nrIN_PID,$B24,nrIN_Chain,"Yes",nrIN_Res,"Open")+COUNTIFS(nrIN_PID,$B24,nrIN_Chain,"Yes",nrIN_Res,"In Review"))</f>
        <v/>
      </c>
      <c r="K24" s="17">
        <f>IF($B24="","",IF($J24=0,"Yes","No"))</f>
        <v/>
      </c>
      <c r="L24" s="17">
        <f>IF($B24="","",COUNTIF(nrCO_PID,$B24))</f>
        <v/>
      </c>
      <c r="M24" s="17">
        <f>IF($B24="","",COUNTIFS(nrCO_PID,$B24,nrCO_Status,"Open")+COUNTIFS(nrCO_PID,$B24,nrCO_Status,"In Review"))</f>
        <v/>
      </c>
    </row>
    <row r="25">
      <c r="B25" s="17">
        <f>IF(Cadets!$B25="","",Cadets!$B25)</f>
        <v/>
      </c>
      <c r="C25" s="17">
        <f>IF($B25="","",Cadets!$F25)</f>
        <v/>
      </c>
      <c r="D25" s="17">
        <f>IF($B25="","",Cadets!$I25)</f>
        <v/>
      </c>
      <c r="E25" s="17">
        <f>IF($B25="","",COUNTIF(nrIN_PID,$B25))</f>
        <v/>
      </c>
      <c r="F25" s="17">
        <f>IF($B25="","",COUNTIFS(nrIN_PID,$B25,nrIN_Dir,"Negative"))</f>
        <v/>
      </c>
      <c r="G25" s="17">
        <f>IF($B25="","",COUNTIFS(nrIN_PID,$B25,nrIN_Dir,"Positive"))</f>
        <v/>
      </c>
      <c r="H25" s="17">
        <f>IF($B25="","",COUNTIFS(nrIN_PID,$B25,nrIN_Dir,"Negative",nrIN_Res,"Open")+COUNTIFS(nrIN_PID,$B25,nrIN_Dir,"Negative",nrIN_Res,"In Review"))</f>
        <v/>
      </c>
      <c r="I25" s="17">
        <f>IF($B25="","",COUNTIFS(nrIN_PID,$B25,nrIN_Dir,"Negative",nrIN_Sev,"Major")+COUNTIFS(nrIN_PID,$B25,nrIN_Dir,"Negative",nrIN_Sev,"Critical"))</f>
        <v/>
      </c>
      <c r="J25" s="17">
        <f>IF($B25="","",COUNTIFS(nrIN_PID,$B25,nrIN_Chain,"Yes",nrIN_Res,"Open")+COUNTIFS(nrIN_PID,$B25,nrIN_Chain,"Yes",nrIN_Res,"In Review"))</f>
        <v/>
      </c>
      <c r="K25" s="17">
        <f>IF($B25="","",IF($J25=0,"Yes","No"))</f>
        <v/>
      </c>
      <c r="L25" s="17">
        <f>IF($B25="","",COUNTIF(nrCO_PID,$B25))</f>
        <v/>
      </c>
      <c r="M25" s="17">
        <f>IF($B25="","",COUNTIFS(nrCO_PID,$B25,nrCO_Status,"Open")+COUNTIFS(nrCO_PID,$B25,nrCO_Status,"In Review"))</f>
        <v/>
      </c>
    </row>
    <row r="26">
      <c r="B26" s="17">
        <f>IF(Cadets!$B26="","",Cadets!$B26)</f>
        <v/>
      </c>
      <c r="C26" s="17">
        <f>IF($B26="","",Cadets!$F26)</f>
        <v/>
      </c>
      <c r="D26" s="17">
        <f>IF($B26="","",Cadets!$I26)</f>
        <v/>
      </c>
      <c r="E26" s="17">
        <f>IF($B26="","",COUNTIF(nrIN_PID,$B26))</f>
        <v/>
      </c>
      <c r="F26" s="17">
        <f>IF($B26="","",COUNTIFS(nrIN_PID,$B26,nrIN_Dir,"Negative"))</f>
        <v/>
      </c>
      <c r="G26" s="17">
        <f>IF($B26="","",COUNTIFS(nrIN_PID,$B26,nrIN_Dir,"Positive"))</f>
        <v/>
      </c>
      <c r="H26" s="17">
        <f>IF($B26="","",COUNTIFS(nrIN_PID,$B26,nrIN_Dir,"Negative",nrIN_Res,"Open")+COUNTIFS(nrIN_PID,$B26,nrIN_Dir,"Negative",nrIN_Res,"In Review"))</f>
        <v/>
      </c>
      <c r="I26" s="17">
        <f>IF($B26="","",COUNTIFS(nrIN_PID,$B26,nrIN_Dir,"Negative",nrIN_Sev,"Major")+COUNTIFS(nrIN_PID,$B26,nrIN_Dir,"Negative",nrIN_Sev,"Critical"))</f>
        <v/>
      </c>
      <c r="J26" s="17">
        <f>IF($B26="","",COUNTIFS(nrIN_PID,$B26,nrIN_Chain,"Yes",nrIN_Res,"Open")+COUNTIFS(nrIN_PID,$B26,nrIN_Chain,"Yes",nrIN_Res,"In Review"))</f>
        <v/>
      </c>
      <c r="K26" s="17">
        <f>IF($B26="","",IF($J26=0,"Yes","No"))</f>
        <v/>
      </c>
      <c r="L26" s="17">
        <f>IF($B26="","",COUNTIF(nrCO_PID,$B26))</f>
        <v/>
      </c>
      <c r="M26" s="17">
        <f>IF($B26="","",COUNTIFS(nrCO_PID,$B26,nrCO_Status,"Open")+COUNTIFS(nrCO_PID,$B26,nrCO_Status,"In Review"))</f>
        <v/>
      </c>
    </row>
    <row r="27">
      <c r="B27" s="17">
        <f>IF(Cadets!$B27="","",Cadets!$B27)</f>
        <v/>
      </c>
      <c r="C27" s="17">
        <f>IF($B27="","",Cadets!$F27)</f>
        <v/>
      </c>
      <c r="D27" s="17">
        <f>IF($B27="","",Cadets!$I27)</f>
        <v/>
      </c>
      <c r="E27" s="17">
        <f>IF($B27="","",COUNTIF(nrIN_PID,$B27))</f>
        <v/>
      </c>
      <c r="F27" s="17">
        <f>IF($B27="","",COUNTIFS(nrIN_PID,$B27,nrIN_Dir,"Negative"))</f>
        <v/>
      </c>
      <c r="G27" s="17">
        <f>IF($B27="","",COUNTIFS(nrIN_PID,$B27,nrIN_Dir,"Positive"))</f>
        <v/>
      </c>
      <c r="H27" s="17">
        <f>IF($B27="","",COUNTIFS(nrIN_PID,$B27,nrIN_Dir,"Negative",nrIN_Res,"Open")+COUNTIFS(nrIN_PID,$B27,nrIN_Dir,"Negative",nrIN_Res,"In Review"))</f>
        <v/>
      </c>
      <c r="I27" s="17">
        <f>IF($B27="","",COUNTIFS(nrIN_PID,$B27,nrIN_Dir,"Negative",nrIN_Sev,"Major")+COUNTIFS(nrIN_PID,$B27,nrIN_Dir,"Negative",nrIN_Sev,"Critical"))</f>
        <v/>
      </c>
      <c r="J27" s="17">
        <f>IF($B27="","",COUNTIFS(nrIN_PID,$B27,nrIN_Chain,"Yes",nrIN_Res,"Open")+COUNTIFS(nrIN_PID,$B27,nrIN_Chain,"Yes",nrIN_Res,"In Review"))</f>
        <v/>
      </c>
      <c r="K27" s="17">
        <f>IF($B27="","",IF($J27=0,"Yes","No"))</f>
        <v/>
      </c>
      <c r="L27" s="17">
        <f>IF($B27="","",COUNTIF(nrCO_PID,$B27))</f>
        <v/>
      </c>
      <c r="M27" s="17">
        <f>IF($B27="","",COUNTIFS(nrCO_PID,$B27,nrCO_Status,"Open")+COUNTIFS(nrCO_PID,$B27,nrCO_Status,"In Review"))</f>
        <v/>
      </c>
    </row>
    <row r="28">
      <c r="B28" s="17">
        <f>IF(Cadets!$B28="","",Cadets!$B28)</f>
        <v/>
      </c>
      <c r="C28" s="17">
        <f>IF($B28="","",Cadets!$F28)</f>
        <v/>
      </c>
      <c r="D28" s="17">
        <f>IF($B28="","",Cadets!$I28)</f>
        <v/>
      </c>
      <c r="E28" s="17">
        <f>IF($B28="","",COUNTIF(nrIN_PID,$B28))</f>
        <v/>
      </c>
      <c r="F28" s="17">
        <f>IF($B28="","",COUNTIFS(nrIN_PID,$B28,nrIN_Dir,"Negative"))</f>
        <v/>
      </c>
      <c r="G28" s="17">
        <f>IF($B28="","",COUNTIFS(nrIN_PID,$B28,nrIN_Dir,"Positive"))</f>
        <v/>
      </c>
      <c r="H28" s="17">
        <f>IF($B28="","",COUNTIFS(nrIN_PID,$B28,nrIN_Dir,"Negative",nrIN_Res,"Open")+COUNTIFS(nrIN_PID,$B28,nrIN_Dir,"Negative",nrIN_Res,"In Review"))</f>
        <v/>
      </c>
      <c r="I28" s="17">
        <f>IF($B28="","",COUNTIFS(nrIN_PID,$B28,nrIN_Dir,"Negative",nrIN_Sev,"Major")+COUNTIFS(nrIN_PID,$B28,nrIN_Dir,"Negative",nrIN_Sev,"Critical"))</f>
        <v/>
      </c>
      <c r="J28" s="17">
        <f>IF($B28="","",COUNTIFS(nrIN_PID,$B28,nrIN_Chain,"Yes",nrIN_Res,"Open")+COUNTIFS(nrIN_PID,$B28,nrIN_Chain,"Yes",nrIN_Res,"In Review"))</f>
        <v/>
      </c>
      <c r="K28" s="17">
        <f>IF($B28="","",IF($J28=0,"Yes","No"))</f>
        <v/>
      </c>
      <c r="L28" s="17">
        <f>IF($B28="","",COUNTIF(nrCO_PID,$B28))</f>
        <v/>
      </c>
      <c r="M28" s="17">
        <f>IF($B28="","",COUNTIFS(nrCO_PID,$B28,nrCO_Status,"Open")+COUNTIFS(nrCO_PID,$B28,nrCO_Status,"In Review"))</f>
        <v/>
      </c>
    </row>
    <row r="29">
      <c r="B29" s="17">
        <f>IF(Cadets!$B29="","",Cadets!$B29)</f>
        <v/>
      </c>
      <c r="C29" s="17">
        <f>IF($B29="","",Cadets!$F29)</f>
        <v/>
      </c>
      <c r="D29" s="17">
        <f>IF($B29="","",Cadets!$I29)</f>
        <v/>
      </c>
      <c r="E29" s="17">
        <f>IF($B29="","",COUNTIF(nrIN_PID,$B29))</f>
        <v/>
      </c>
      <c r="F29" s="17">
        <f>IF($B29="","",COUNTIFS(nrIN_PID,$B29,nrIN_Dir,"Negative"))</f>
        <v/>
      </c>
      <c r="G29" s="17">
        <f>IF($B29="","",COUNTIFS(nrIN_PID,$B29,nrIN_Dir,"Positive"))</f>
        <v/>
      </c>
      <c r="H29" s="17">
        <f>IF($B29="","",COUNTIFS(nrIN_PID,$B29,nrIN_Dir,"Negative",nrIN_Res,"Open")+COUNTIFS(nrIN_PID,$B29,nrIN_Dir,"Negative",nrIN_Res,"In Review"))</f>
        <v/>
      </c>
      <c r="I29" s="17">
        <f>IF($B29="","",COUNTIFS(nrIN_PID,$B29,nrIN_Dir,"Negative",nrIN_Sev,"Major")+COUNTIFS(nrIN_PID,$B29,nrIN_Dir,"Negative",nrIN_Sev,"Critical"))</f>
        <v/>
      </c>
      <c r="J29" s="17">
        <f>IF($B29="","",COUNTIFS(nrIN_PID,$B29,nrIN_Chain,"Yes",nrIN_Res,"Open")+COUNTIFS(nrIN_PID,$B29,nrIN_Chain,"Yes",nrIN_Res,"In Review"))</f>
        <v/>
      </c>
      <c r="K29" s="17">
        <f>IF($B29="","",IF($J29=0,"Yes","No"))</f>
        <v/>
      </c>
      <c r="L29" s="17">
        <f>IF($B29="","",COUNTIF(nrCO_PID,$B29))</f>
        <v/>
      </c>
      <c r="M29" s="17">
        <f>IF($B29="","",COUNTIFS(nrCO_PID,$B29,nrCO_Status,"Open")+COUNTIFS(nrCO_PID,$B29,nrCO_Status,"In Review"))</f>
        <v/>
      </c>
    </row>
    <row r="30">
      <c r="B30" s="17">
        <f>IF(Cadets!$B30="","",Cadets!$B30)</f>
        <v/>
      </c>
      <c r="C30" s="17">
        <f>IF($B30="","",Cadets!$F30)</f>
        <v/>
      </c>
      <c r="D30" s="17">
        <f>IF($B30="","",Cadets!$I30)</f>
        <v/>
      </c>
      <c r="E30" s="17">
        <f>IF($B30="","",COUNTIF(nrIN_PID,$B30))</f>
        <v/>
      </c>
      <c r="F30" s="17">
        <f>IF($B30="","",COUNTIFS(nrIN_PID,$B30,nrIN_Dir,"Negative"))</f>
        <v/>
      </c>
      <c r="G30" s="17">
        <f>IF($B30="","",COUNTIFS(nrIN_PID,$B30,nrIN_Dir,"Positive"))</f>
        <v/>
      </c>
      <c r="H30" s="17">
        <f>IF($B30="","",COUNTIFS(nrIN_PID,$B30,nrIN_Dir,"Negative",nrIN_Res,"Open")+COUNTIFS(nrIN_PID,$B30,nrIN_Dir,"Negative",nrIN_Res,"In Review"))</f>
        <v/>
      </c>
      <c r="I30" s="17">
        <f>IF($B30="","",COUNTIFS(nrIN_PID,$B30,nrIN_Dir,"Negative",nrIN_Sev,"Major")+COUNTIFS(nrIN_PID,$B30,nrIN_Dir,"Negative",nrIN_Sev,"Critical"))</f>
        <v/>
      </c>
      <c r="J30" s="17">
        <f>IF($B30="","",COUNTIFS(nrIN_PID,$B30,nrIN_Chain,"Yes",nrIN_Res,"Open")+COUNTIFS(nrIN_PID,$B30,nrIN_Chain,"Yes",nrIN_Res,"In Review"))</f>
        <v/>
      </c>
      <c r="K30" s="17">
        <f>IF($B30="","",IF($J30=0,"Yes","No"))</f>
        <v/>
      </c>
      <c r="L30" s="17">
        <f>IF($B30="","",COUNTIF(nrCO_PID,$B30))</f>
        <v/>
      </c>
      <c r="M30" s="17">
        <f>IF($B30="","",COUNTIFS(nrCO_PID,$B30,nrCO_Status,"Open")+COUNTIFS(nrCO_PID,$B30,nrCO_Status,"In Review"))</f>
        <v/>
      </c>
    </row>
    <row r="31">
      <c r="B31" s="17">
        <f>IF(Cadets!$B31="","",Cadets!$B31)</f>
        <v/>
      </c>
      <c r="C31" s="17">
        <f>IF($B31="","",Cadets!$F31)</f>
        <v/>
      </c>
      <c r="D31" s="17">
        <f>IF($B31="","",Cadets!$I31)</f>
        <v/>
      </c>
      <c r="E31" s="17">
        <f>IF($B31="","",COUNTIF(nrIN_PID,$B31))</f>
        <v/>
      </c>
      <c r="F31" s="17">
        <f>IF($B31="","",COUNTIFS(nrIN_PID,$B31,nrIN_Dir,"Negative"))</f>
        <v/>
      </c>
      <c r="G31" s="17">
        <f>IF($B31="","",COUNTIFS(nrIN_PID,$B31,nrIN_Dir,"Positive"))</f>
        <v/>
      </c>
      <c r="H31" s="17">
        <f>IF($B31="","",COUNTIFS(nrIN_PID,$B31,nrIN_Dir,"Negative",nrIN_Res,"Open")+COUNTIFS(nrIN_PID,$B31,nrIN_Dir,"Negative",nrIN_Res,"In Review"))</f>
        <v/>
      </c>
      <c r="I31" s="17">
        <f>IF($B31="","",COUNTIFS(nrIN_PID,$B31,nrIN_Dir,"Negative",nrIN_Sev,"Major")+COUNTIFS(nrIN_PID,$B31,nrIN_Dir,"Negative",nrIN_Sev,"Critical"))</f>
        <v/>
      </c>
      <c r="J31" s="17">
        <f>IF($B31="","",COUNTIFS(nrIN_PID,$B31,nrIN_Chain,"Yes",nrIN_Res,"Open")+COUNTIFS(nrIN_PID,$B31,nrIN_Chain,"Yes",nrIN_Res,"In Review"))</f>
        <v/>
      </c>
      <c r="K31" s="17">
        <f>IF($B31="","",IF($J31=0,"Yes","No"))</f>
        <v/>
      </c>
      <c r="L31" s="17">
        <f>IF($B31="","",COUNTIF(nrCO_PID,$B31))</f>
        <v/>
      </c>
      <c r="M31" s="17">
        <f>IF($B31="","",COUNTIFS(nrCO_PID,$B31,nrCO_Status,"Open")+COUNTIFS(nrCO_PID,$B31,nrCO_Status,"In Review"))</f>
        <v/>
      </c>
    </row>
    <row r="32">
      <c r="B32" s="17">
        <f>IF(Cadets!$B32="","",Cadets!$B32)</f>
        <v/>
      </c>
      <c r="C32" s="17">
        <f>IF($B32="","",Cadets!$F32)</f>
        <v/>
      </c>
      <c r="D32" s="17">
        <f>IF($B32="","",Cadets!$I32)</f>
        <v/>
      </c>
      <c r="E32" s="17">
        <f>IF($B32="","",COUNTIF(nrIN_PID,$B32))</f>
        <v/>
      </c>
      <c r="F32" s="17">
        <f>IF($B32="","",COUNTIFS(nrIN_PID,$B32,nrIN_Dir,"Negative"))</f>
        <v/>
      </c>
      <c r="G32" s="17">
        <f>IF($B32="","",COUNTIFS(nrIN_PID,$B32,nrIN_Dir,"Positive"))</f>
        <v/>
      </c>
      <c r="H32" s="17">
        <f>IF($B32="","",COUNTIFS(nrIN_PID,$B32,nrIN_Dir,"Negative",nrIN_Res,"Open")+COUNTIFS(nrIN_PID,$B32,nrIN_Dir,"Negative",nrIN_Res,"In Review"))</f>
        <v/>
      </c>
      <c r="I32" s="17">
        <f>IF($B32="","",COUNTIFS(nrIN_PID,$B32,nrIN_Dir,"Negative",nrIN_Sev,"Major")+COUNTIFS(nrIN_PID,$B32,nrIN_Dir,"Negative",nrIN_Sev,"Critical"))</f>
        <v/>
      </c>
      <c r="J32" s="17">
        <f>IF($B32="","",COUNTIFS(nrIN_PID,$B32,nrIN_Chain,"Yes",nrIN_Res,"Open")+COUNTIFS(nrIN_PID,$B32,nrIN_Chain,"Yes",nrIN_Res,"In Review"))</f>
        <v/>
      </c>
      <c r="K32" s="17">
        <f>IF($B32="","",IF($J32=0,"Yes","No"))</f>
        <v/>
      </c>
      <c r="L32" s="17">
        <f>IF($B32="","",COUNTIF(nrCO_PID,$B32))</f>
        <v/>
      </c>
      <c r="M32" s="17">
        <f>IF($B32="","",COUNTIFS(nrCO_PID,$B32,nrCO_Status,"Open")+COUNTIFS(nrCO_PID,$B32,nrCO_Status,"In Review"))</f>
        <v/>
      </c>
    </row>
    <row r="33">
      <c r="B33" s="17">
        <f>IF(Cadets!$B33="","",Cadets!$B33)</f>
        <v/>
      </c>
      <c r="C33" s="17">
        <f>IF($B33="","",Cadets!$F33)</f>
        <v/>
      </c>
      <c r="D33" s="17">
        <f>IF($B33="","",Cadets!$I33)</f>
        <v/>
      </c>
      <c r="E33" s="17">
        <f>IF($B33="","",COUNTIF(nrIN_PID,$B33))</f>
        <v/>
      </c>
      <c r="F33" s="17">
        <f>IF($B33="","",COUNTIFS(nrIN_PID,$B33,nrIN_Dir,"Negative"))</f>
        <v/>
      </c>
      <c r="G33" s="17">
        <f>IF($B33="","",COUNTIFS(nrIN_PID,$B33,nrIN_Dir,"Positive"))</f>
        <v/>
      </c>
      <c r="H33" s="17">
        <f>IF($B33="","",COUNTIFS(nrIN_PID,$B33,nrIN_Dir,"Negative",nrIN_Res,"Open")+COUNTIFS(nrIN_PID,$B33,nrIN_Dir,"Negative",nrIN_Res,"In Review"))</f>
        <v/>
      </c>
      <c r="I33" s="17">
        <f>IF($B33="","",COUNTIFS(nrIN_PID,$B33,nrIN_Dir,"Negative",nrIN_Sev,"Major")+COUNTIFS(nrIN_PID,$B33,nrIN_Dir,"Negative",nrIN_Sev,"Critical"))</f>
        <v/>
      </c>
      <c r="J33" s="17">
        <f>IF($B33="","",COUNTIFS(nrIN_PID,$B33,nrIN_Chain,"Yes",nrIN_Res,"Open")+COUNTIFS(nrIN_PID,$B33,nrIN_Chain,"Yes",nrIN_Res,"In Review"))</f>
        <v/>
      </c>
      <c r="K33" s="17">
        <f>IF($B33="","",IF($J33=0,"Yes","No"))</f>
        <v/>
      </c>
      <c r="L33" s="17">
        <f>IF($B33="","",COUNTIF(nrCO_PID,$B33))</f>
        <v/>
      </c>
      <c r="M33" s="17">
        <f>IF($B33="","",COUNTIFS(nrCO_PID,$B33,nrCO_Status,"Open")+COUNTIFS(nrCO_PID,$B33,nrCO_Status,"In Review"))</f>
        <v/>
      </c>
    </row>
    <row r="34">
      <c r="B34" s="17">
        <f>IF(Cadets!$B34="","",Cadets!$B34)</f>
        <v/>
      </c>
      <c r="C34" s="17">
        <f>IF($B34="","",Cadets!$F34)</f>
        <v/>
      </c>
      <c r="D34" s="17">
        <f>IF($B34="","",Cadets!$I34)</f>
        <v/>
      </c>
      <c r="E34" s="17">
        <f>IF($B34="","",COUNTIF(nrIN_PID,$B34))</f>
        <v/>
      </c>
      <c r="F34" s="17">
        <f>IF($B34="","",COUNTIFS(nrIN_PID,$B34,nrIN_Dir,"Negative"))</f>
        <v/>
      </c>
      <c r="G34" s="17">
        <f>IF($B34="","",COUNTIFS(nrIN_PID,$B34,nrIN_Dir,"Positive"))</f>
        <v/>
      </c>
      <c r="H34" s="17">
        <f>IF($B34="","",COUNTIFS(nrIN_PID,$B34,nrIN_Dir,"Negative",nrIN_Res,"Open")+COUNTIFS(nrIN_PID,$B34,nrIN_Dir,"Negative",nrIN_Res,"In Review"))</f>
        <v/>
      </c>
      <c r="I34" s="17">
        <f>IF($B34="","",COUNTIFS(nrIN_PID,$B34,nrIN_Dir,"Negative",nrIN_Sev,"Major")+COUNTIFS(nrIN_PID,$B34,nrIN_Dir,"Negative",nrIN_Sev,"Critical"))</f>
        <v/>
      </c>
      <c r="J34" s="17">
        <f>IF($B34="","",COUNTIFS(nrIN_PID,$B34,nrIN_Chain,"Yes",nrIN_Res,"Open")+COUNTIFS(nrIN_PID,$B34,nrIN_Chain,"Yes",nrIN_Res,"In Review"))</f>
        <v/>
      </c>
      <c r="K34" s="17">
        <f>IF($B34="","",IF($J34=0,"Yes","No"))</f>
        <v/>
      </c>
      <c r="L34" s="17">
        <f>IF($B34="","",COUNTIF(nrCO_PID,$B34))</f>
        <v/>
      </c>
      <c r="M34" s="17">
        <f>IF($B34="","",COUNTIFS(nrCO_PID,$B34,nrCO_Status,"Open")+COUNTIFS(nrCO_PID,$B34,nrCO_Status,"In Review"))</f>
        <v/>
      </c>
    </row>
    <row r="35">
      <c r="B35" s="17">
        <f>IF(Cadets!$B35="","",Cadets!$B35)</f>
        <v/>
      </c>
      <c r="C35" s="17">
        <f>IF($B35="","",Cadets!$F35)</f>
        <v/>
      </c>
      <c r="D35" s="17">
        <f>IF($B35="","",Cadets!$I35)</f>
        <v/>
      </c>
      <c r="E35" s="17">
        <f>IF($B35="","",COUNTIF(nrIN_PID,$B35))</f>
        <v/>
      </c>
      <c r="F35" s="17">
        <f>IF($B35="","",COUNTIFS(nrIN_PID,$B35,nrIN_Dir,"Negative"))</f>
        <v/>
      </c>
      <c r="G35" s="17">
        <f>IF($B35="","",COUNTIFS(nrIN_PID,$B35,nrIN_Dir,"Positive"))</f>
        <v/>
      </c>
      <c r="H35" s="17">
        <f>IF($B35="","",COUNTIFS(nrIN_PID,$B35,nrIN_Dir,"Negative",nrIN_Res,"Open")+COUNTIFS(nrIN_PID,$B35,nrIN_Dir,"Negative",nrIN_Res,"In Review"))</f>
        <v/>
      </c>
      <c r="I35" s="17">
        <f>IF($B35="","",COUNTIFS(nrIN_PID,$B35,nrIN_Dir,"Negative",nrIN_Sev,"Major")+COUNTIFS(nrIN_PID,$B35,nrIN_Dir,"Negative",nrIN_Sev,"Critical"))</f>
        <v/>
      </c>
      <c r="J35" s="17">
        <f>IF($B35="","",COUNTIFS(nrIN_PID,$B35,nrIN_Chain,"Yes",nrIN_Res,"Open")+COUNTIFS(nrIN_PID,$B35,nrIN_Chain,"Yes",nrIN_Res,"In Review"))</f>
        <v/>
      </c>
      <c r="K35" s="17">
        <f>IF($B35="","",IF($J35=0,"Yes","No"))</f>
        <v/>
      </c>
      <c r="L35" s="17">
        <f>IF($B35="","",COUNTIF(nrCO_PID,$B35))</f>
        <v/>
      </c>
      <c r="M35" s="17">
        <f>IF($B35="","",COUNTIFS(nrCO_PID,$B35,nrCO_Status,"Open")+COUNTIFS(nrCO_PID,$B35,nrCO_Status,"In Review"))</f>
        <v/>
      </c>
    </row>
    <row r="36">
      <c r="B36" s="17">
        <f>IF(Cadets!$B36="","",Cadets!$B36)</f>
        <v/>
      </c>
      <c r="C36" s="17">
        <f>IF($B36="","",Cadets!$F36)</f>
        <v/>
      </c>
      <c r="D36" s="17">
        <f>IF($B36="","",Cadets!$I36)</f>
        <v/>
      </c>
      <c r="E36" s="17">
        <f>IF($B36="","",COUNTIF(nrIN_PID,$B36))</f>
        <v/>
      </c>
      <c r="F36" s="17">
        <f>IF($B36="","",COUNTIFS(nrIN_PID,$B36,nrIN_Dir,"Negative"))</f>
        <v/>
      </c>
      <c r="G36" s="17">
        <f>IF($B36="","",COUNTIFS(nrIN_PID,$B36,nrIN_Dir,"Positive"))</f>
        <v/>
      </c>
      <c r="H36" s="17">
        <f>IF($B36="","",COUNTIFS(nrIN_PID,$B36,nrIN_Dir,"Negative",nrIN_Res,"Open")+COUNTIFS(nrIN_PID,$B36,nrIN_Dir,"Negative",nrIN_Res,"In Review"))</f>
        <v/>
      </c>
      <c r="I36" s="17">
        <f>IF($B36="","",COUNTIFS(nrIN_PID,$B36,nrIN_Dir,"Negative",nrIN_Sev,"Major")+COUNTIFS(nrIN_PID,$B36,nrIN_Dir,"Negative",nrIN_Sev,"Critical"))</f>
        <v/>
      </c>
      <c r="J36" s="17">
        <f>IF($B36="","",COUNTIFS(nrIN_PID,$B36,nrIN_Chain,"Yes",nrIN_Res,"Open")+COUNTIFS(nrIN_PID,$B36,nrIN_Chain,"Yes",nrIN_Res,"In Review"))</f>
        <v/>
      </c>
      <c r="K36" s="17">
        <f>IF($B36="","",IF($J36=0,"Yes","No"))</f>
        <v/>
      </c>
      <c r="L36" s="17">
        <f>IF($B36="","",COUNTIF(nrCO_PID,$B36))</f>
        <v/>
      </c>
      <c r="M36" s="17">
        <f>IF($B36="","",COUNTIFS(nrCO_PID,$B36,nrCO_Status,"Open")+COUNTIFS(nrCO_PID,$B36,nrCO_Status,"In Review"))</f>
        <v/>
      </c>
    </row>
    <row r="37">
      <c r="B37" s="17">
        <f>IF(Cadets!$B37="","",Cadets!$B37)</f>
        <v/>
      </c>
      <c r="C37" s="17">
        <f>IF($B37="","",Cadets!$F37)</f>
        <v/>
      </c>
      <c r="D37" s="17">
        <f>IF($B37="","",Cadets!$I37)</f>
        <v/>
      </c>
      <c r="E37" s="17">
        <f>IF($B37="","",COUNTIF(nrIN_PID,$B37))</f>
        <v/>
      </c>
      <c r="F37" s="17">
        <f>IF($B37="","",COUNTIFS(nrIN_PID,$B37,nrIN_Dir,"Negative"))</f>
        <v/>
      </c>
      <c r="G37" s="17">
        <f>IF($B37="","",COUNTIFS(nrIN_PID,$B37,nrIN_Dir,"Positive"))</f>
        <v/>
      </c>
      <c r="H37" s="17">
        <f>IF($B37="","",COUNTIFS(nrIN_PID,$B37,nrIN_Dir,"Negative",nrIN_Res,"Open")+COUNTIFS(nrIN_PID,$B37,nrIN_Dir,"Negative",nrIN_Res,"In Review"))</f>
        <v/>
      </c>
      <c r="I37" s="17">
        <f>IF($B37="","",COUNTIFS(nrIN_PID,$B37,nrIN_Dir,"Negative",nrIN_Sev,"Major")+COUNTIFS(nrIN_PID,$B37,nrIN_Dir,"Negative",nrIN_Sev,"Critical"))</f>
        <v/>
      </c>
      <c r="J37" s="17">
        <f>IF($B37="","",COUNTIFS(nrIN_PID,$B37,nrIN_Chain,"Yes",nrIN_Res,"Open")+COUNTIFS(nrIN_PID,$B37,nrIN_Chain,"Yes",nrIN_Res,"In Review"))</f>
        <v/>
      </c>
      <c r="K37" s="17">
        <f>IF($B37="","",IF($J37=0,"Yes","No"))</f>
        <v/>
      </c>
      <c r="L37" s="17">
        <f>IF($B37="","",COUNTIF(nrCO_PID,$B37))</f>
        <v/>
      </c>
      <c r="M37" s="17">
        <f>IF($B37="","",COUNTIFS(nrCO_PID,$B37,nrCO_Status,"Open")+COUNTIFS(nrCO_PID,$B37,nrCO_Status,"In Review"))</f>
        <v/>
      </c>
    </row>
    <row r="38">
      <c r="B38" s="17">
        <f>IF(Cadets!$B38="","",Cadets!$B38)</f>
        <v/>
      </c>
      <c r="C38" s="17">
        <f>IF($B38="","",Cadets!$F38)</f>
        <v/>
      </c>
      <c r="D38" s="17">
        <f>IF($B38="","",Cadets!$I38)</f>
        <v/>
      </c>
      <c r="E38" s="17">
        <f>IF($B38="","",COUNTIF(nrIN_PID,$B38))</f>
        <v/>
      </c>
      <c r="F38" s="17">
        <f>IF($B38="","",COUNTIFS(nrIN_PID,$B38,nrIN_Dir,"Negative"))</f>
        <v/>
      </c>
      <c r="G38" s="17">
        <f>IF($B38="","",COUNTIFS(nrIN_PID,$B38,nrIN_Dir,"Positive"))</f>
        <v/>
      </c>
      <c r="H38" s="17">
        <f>IF($B38="","",COUNTIFS(nrIN_PID,$B38,nrIN_Dir,"Negative",nrIN_Res,"Open")+COUNTIFS(nrIN_PID,$B38,nrIN_Dir,"Negative",nrIN_Res,"In Review"))</f>
        <v/>
      </c>
      <c r="I38" s="17">
        <f>IF($B38="","",COUNTIFS(nrIN_PID,$B38,nrIN_Dir,"Negative",nrIN_Sev,"Major")+COUNTIFS(nrIN_PID,$B38,nrIN_Dir,"Negative",nrIN_Sev,"Critical"))</f>
        <v/>
      </c>
      <c r="J38" s="17">
        <f>IF($B38="","",COUNTIFS(nrIN_PID,$B38,nrIN_Chain,"Yes",nrIN_Res,"Open")+COUNTIFS(nrIN_PID,$B38,nrIN_Chain,"Yes",nrIN_Res,"In Review"))</f>
        <v/>
      </c>
      <c r="K38" s="17">
        <f>IF($B38="","",IF($J38=0,"Yes","No"))</f>
        <v/>
      </c>
      <c r="L38" s="17">
        <f>IF($B38="","",COUNTIF(nrCO_PID,$B38))</f>
        <v/>
      </c>
      <c r="M38" s="17">
        <f>IF($B38="","",COUNTIFS(nrCO_PID,$B38,nrCO_Status,"Open")+COUNTIFS(nrCO_PID,$B38,nrCO_Status,"In Review"))</f>
        <v/>
      </c>
    </row>
    <row r="39">
      <c r="B39" s="17">
        <f>IF(Cadets!$B39="","",Cadets!$B39)</f>
        <v/>
      </c>
      <c r="C39" s="17">
        <f>IF($B39="","",Cadets!$F39)</f>
        <v/>
      </c>
      <c r="D39" s="17">
        <f>IF($B39="","",Cadets!$I39)</f>
        <v/>
      </c>
      <c r="E39" s="17">
        <f>IF($B39="","",COUNTIF(nrIN_PID,$B39))</f>
        <v/>
      </c>
      <c r="F39" s="17">
        <f>IF($B39="","",COUNTIFS(nrIN_PID,$B39,nrIN_Dir,"Negative"))</f>
        <v/>
      </c>
      <c r="G39" s="17">
        <f>IF($B39="","",COUNTIFS(nrIN_PID,$B39,nrIN_Dir,"Positive"))</f>
        <v/>
      </c>
      <c r="H39" s="17">
        <f>IF($B39="","",COUNTIFS(nrIN_PID,$B39,nrIN_Dir,"Negative",nrIN_Res,"Open")+COUNTIFS(nrIN_PID,$B39,nrIN_Dir,"Negative",nrIN_Res,"In Review"))</f>
        <v/>
      </c>
      <c r="I39" s="17">
        <f>IF($B39="","",COUNTIFS(nrIN_PID,$B39,nrIN_Dir,"Negative",nrIN_Sev,"Major")+COUNTIFS(nrIN_PID,$B39,nrIN_Dir,"Negative",nrIN_Sev,"Critical"))</f>
        <v/>
      </c>
      <c r="J39" s="17">
        <f>IF($B39="","",COUNTIFS(nrIN_PID,$B39,nrIN_Chain,"Yes",nrIN_Res,"Open")+COUNTIFS(nrIN_PID,$B39,nrIN_Chain,"Yes",nrIN_Res,"In Review"))</f>
        <v/>
      </c>
      <c r="K39" s="17">
        <f>IF($B39="","",IF($J39=0,"Yes","No"))</f>
        <v/>
      </c>
      <c r="L39" s="17">
        <f>IF($B39="","",COUNTIF(nrCO_PID,$B39))</f>
        <v/>
      </c>
      <c r="M39" s="17">
        <f>IF($B39="","",COUNTIFS(nrCO_PID,$B39,nrCO_Status,"Open")+COUNTIFS(nrCO_PID,$B39,nrCO_Status,"In Review"))</f>
        <v/>
      </c>
    </row>
    <row r="40">
      <c r="B40" s="17">
        <f>IF(Cadets!$B40="","",Cadets!$B40)</f>
        <v/>
      </c>
      <c r="C40" s="17">
        <f>IF($B40="","",Cadets!$F40)</f>
        <v/>
      </c>
      <c r="D40" s="17">
        <f>IF($B40="","",Cadets!$I40)</f>
        <v/>
      </c>
      <c r="E40" s="17">
        <f>IF($B40="","",COUNTIF(nrIN_PID,$B40))</f>
        <v/>
      </c>
      <c r="F40" s="17">
        <f>IF($B40="","",COUNTIFS(nrIN_PID,$B40,nrIN_Dir,"Negative"))</f>
        <v/>
      </c>
      <c r="G40" s="17">
        <f>IF($B40="","",COUNTIFS(nrIN_PID,$B40,nrIN_Dir,"Positive"))</f>
        <v/>
      </c>
      <c r="H40" s="17">
        <f>IF($B40="","",COUNTIFS(nrIN_PID,$B40,nrIN_Dir,"Negative",nrIN_Res,"Open")+COUNTIFS(nrIN_PID,$B40,nrIN_Dir,"Negative",nrIN_Res,"In Review"))</f>
        <v/>
      </c>
      <c r="I40" s="17">
        <f>IF($B40="","",COUNTIFS(nrIN_PID,$B40,nrIN_Dir,"Negative",nrIN_Sev,"Major")+COUNTIFS(nrIN_PID,$B40,nrIN_Dir,"Negative",nrIN_Sev,"Critical"))</f>
        <v/>
      </c>
      <c r="J40" s="17">
        <f>IF($B40="","",COUNTIFS(nrIN_PID,$B40,nrIN_Chain,"Yes",nrIN_Res,"Open")+COUNTIFS(nrIN_PID,$B40,nrIN_Chain,"Yes",nrIN_Res,"In Review"))</f>
        <v/>
      </c>
      <c r="K40" s="17">
        <f>IF($B40="","",IF($J40=0,"Yes","No"))</f>
        <v/>
      </c>
      <c r="L40" s="17">
        <f>IF($B40="","",COUNTIF(nrCO_PID,$B40))</f>
        <v/>
      </c>
      <c r="M40" s="17">
        <f>IF($B40="","",COUNTIFS(nrCO_PID,$B40,nrCO_Status,"Open")+COUNTIFS(nrCO_PID,$B40,nrCO_Status,"In Review"))</f>
        <v/>
      </c>
    </row>
    <row r="41">
      <c r="B41" s="17">
        <f>IF(Cadets!$B41="","",Cadets!$B41)</f>
        <v/>
      </c>
      <c r="C41" s="17">
        <f>IF($B41="","",Cadets!$F41)</f>
        <v/>
      </c>
      <c r="D41" s="17">
        <f>IF($B41="","",Cadets!$I41)</f>
        <v/>
      </c>
      <c r="E41" s="17">
        <f>IF($B41="","",COUNTIF(nrIN_PID,$B41))</f>
        <v/>
      </c>
      <c r="F41" s="17">
        <f>IF($B41="","",COUNTIFS(nrIN_PID,$B41,nrIN_Dir,"Negative"))</f>
        <v/>
      </c>
      <c r="G41" s="17">
        <f>IF($B41="","",COUNTIFS(nrIN_PID,$B41,nrIN_Dir,"Positive"))</f>
        <v/>
      </c>
      <c r="H41" s="17">
        <f>IF($B41="","",COUNTIFS(nrIN_PID,$B41,nrIN_Dir,"Negative",nrIN_Res,"Open")+COUNTIFS(nrIN_PID,$B41,nrIN_Dir,"Negative",nrIN_Res,"In Review"))</f>
        <v/>
      </c>
      <c r="I41" s="17">
        <f>IF($B41="","",COUNTIFS(nrIN_PID,$B41,nrIN_Dir,"Negative",nrIN_Sev,"Major")+COUNTIFS(nrIN_PID,$B41,nrIN_Dir,"Negative",nrIN_Sev,"Critical"))</f>
        <v/>
      </c>
      <c r="J41" s="17">
        <f>IF($B41="","",COUNTIFS(nrIN_PID,$B41,nrIN_Chain,"Yes",nrIN_Res,"Open")+COUNTIFS(nrIN_PID,$B41,nrIN_Chain,"Yes",nrIN_Res,"In Review"))</f>
        <v/>
      </c>
      <c r="K41" s="17">
        <f>IF($B41="","",IF($J41=0,"Yes","No"))</f>
        <v/>
      </c>
      <c r="L41" s="17">
        <f>IF($B41="","",COUNTIF(nrCO_PID,$B41))</f>
        <v/>
      </c>
      <c r="M41" s="17">
        <f>IF($B41="","",COUNTIFS(nrCO_PID,$B41,nrCO_Status,"Open")+COUNTIFS(nrCO_PID,$B41,nrCO_Status,"In Review"))</f>
        <v/>
      </c>
    </row>
    <row r="42">
      <c r="B42" s="17">
        <f>IF(Cadets!$B42="","",Cadets!$B42)</f>
        <v/>
      </c>
      <c r="C42" s="17">
        <f>IF($B42="","",Cadets!$F42)</f>
        <v/>
      </c>
      <c r="D42" s="17">
        <f>IF($B42="","",Cadets!$I42)</f>
        <v/>
      </c>
      <c r="E42" s="17">
        <f>IF($B42="","",COUNTIF(nrIN_PID,$B42))</f>
        <v/>
      </c>
      <c r="F42" s="17">
        <f>IF($B42="","",COUNTIFS(nrIN_PID,$B42,nrIN_Dir,"Negative"))</f>
        <v/>
      </c>
      <c r="G42" s="17">
        <f>IF($B42="","",COUNTIFS(nrIN_PID,$B42,nrIN_Dir,"Positive"))</f>
        <v/>
      </c>
      <c r="H42" s="17">
        <f>IF($B42="","",COUNTIFS(nrIN_PID,$B42,nrIN_Dir,"Negative",nrIN_Res,"Open")+COUNTIFS(nrIN_PID,$B42,nrIN_Dir,"Negative",nrIN_Res,"In Review"))</f>
        <v/>
      </c>
      <c r="I42" s="17">
        <f>IF($B42="","",COUNTIFS(nrIN_PID,$B42,nrIN_Dir,"Negative",nrIN_Sev,"Major")+COUNTIFS(nrIN_PID,$B42,nrIN_Dir,"Negative",nrIN_Sev,"Critical"))</f>
        <v/>
      </c>
      <c r="J42" s="17">
        <f>IF($B42="","",COUNTIFS(nrIN_PID,$B42,nrIN_Chain,"Yes",nrIN_Res,"Open")+COUNTIFS(nrIN_PID,$B42,nrIN_Chain,"Yes",nrIN_Res,"In Review"))</f>
        <v/>
      </c>
      <c r="K42" s="17">
        <f>IF($B42="","",IF($J42=0,"Yes","No"))</f>
        <v/>
      </c>
      <c r="L42" s="17">
        <f>IF($B42="","",COUNTIF(nrCO_PID,$B42))</f>
        <v/>
      </c>
      <c r="M42" s="17">
        <f>IF($B42="","",COUNTIFS(nrCO_PID,$B42,nrCO_Status,"Open")+COUNTIFS(nrCO_PID,$B42,nrCO_Status,"In Review"))</f>
        <v/>
      </c>
    </row>
    <row r="43">
      <c r="B43" s="17">
        <f>IF(Cadets!$B43="","",Cadets!$B43)</f>
        <v/>
      </c>
      <c r="C43" s="17">
        <f>IF($B43="","",Cadets!$F43)</f>
        <v/>
      </c>
      <c r="D43" s="17">
        <f>IF($B43="","",Cadets!$I43)</f>
        <v/>
      </c>
      <c r="E43" s="17">
        <f>IF($B43="","",COUNTIF(nrIN_PID,$B43))</f>
        <v/>
      </c>
      <c r="F43" s="17">
        <f>IF($B43="","",COUNTIFS(nrIN_PID,$B43,nrIN_Dir,"Negative"))</f>
        <v/>
      </c>
      <c r="G43" s="17">
        <f>IF($B43="","",COUNTIFS(nrIN_PID,$B43,nrIN_Dir,"Positive"))</f>
        <v/>
      </c>
      <c r="H43" s="17">
        <f>IF($B43="","",COUNTIFS(nrIN_PID,$B43,nrIN_Dir,"Negative",nrIN_Res,"Open")+COUNTIFS(nrIN_PID,$B43,nrIN_Dir,"Negative",nrIN_Res,"In Review"))</f>
        <v/>
      </c>
      <c r="I43" s="17">
        <f>IF($B43="","",COUNTIFS(nrIN_PID,$B43,nrIN_Dir,"Negative",nrIN_Sev,"Major")+COUNTIFS(nrIN_PID,$B43,nrIN_Dir,"Negative",nrIN_Sev,"Critical"))</f>
        <v/>
      </c>
      <c r="J43" s="17">
        <f>IF($B43="","",COUNTIFS(nrIN_PID,$B43,nrIN_Chain,"Yes",nrIN_Res,"Open")+COUNTIFS(nrIN_PID,$B43,nrIN_Chain,"Yes",nrIN_Res,"In Review"))</f>
        <v/>
      </c>
      <c r="K43" s="17">
        <f>IF($B43="","",IF($J43=0,"Yes","No"))</f>
        <v/>
      </c>
      <c r="L43" s="17">
        <f>IF($B43="","",COUNTIF(nrCO_PID,$B43))</f>
        <v/>
      </c>
      <c r="M43" s="17">
        <f>IF($B43="","",COUNTIFS(nrCO_PID,$B43,nrCO_Status,"Open")+COUNTIFS(nrCO_PID,$B43,nrCO_Status,"In Review"))</f>
        <v/>
      </c>
    </row>
    <row r="44">
      <c r="B44" s="17">
        <f>IF(Cadets!$B44="","",Cadets!$B44)</f>
        <v/>
      </c>
      <c r="C44" s="17">
        <f>IF($B44="","",Cadets!$F44)</f>
        <v/>
      </c>
      <c r="D44" s="17">
        <f>IF($B44="","",Cadets!$I44)</f>
        <v/>
      </c>
      <c r="E44" s="17">
        <f>IF($B44="","",COUNTIF(nrIN_PID,$B44))</f>
        <v/>
      </c>
      <c r="F44" s="17">
        <f>IF($B44="","",COUNTIFS(nrIN_PID,$B44,nrIN_Dir,"Negative"))</f>
        <v/>
      </c>
      <c r="G44" s="17">
        <f>IF($B44="","",COUNTIFS(nrIN_PID,$B44,nrIN_Dir,"Positive"))</f>
        <v/>
      </c>
      <c r="H44" s="17">
        <f>IF($B44="","",COUNTIFS(nrIN_PID,$B44,nrIN_Dir,"Negative",nrIN_Res,"Open")+COUNTIFS(nrIN_PID,$B44,nrIN_Dir,"Negative",nrIN_Res,"In Review"))</f>
        <v/>
      </c>
      <c r="I44" s="17">
        <f>IF($B44="","",COUNTIFS(nrIN_PID,$B44,nrIN_Dir,"Negative",nrIN_Sev,"Major")+COUNTIFS(nrIN_PID,$B44,nrIN_Dir,"Negative",nrIN_Sev,"Critical"))</f>
        <v/>
      </c>
      <c r="J44" s="17">
        <f>IF($B44="","",COUNTIFS(nrIN_PID,$B44,nrIN_Chain,"Yes",nrIN_Res,"Open")+COUNTIFS(nrIN_PID,$B44,nrIN_Chain,"Yes",nrIN_Res,"In Review"))</f>
        <v/>
      </c>
      <c r="K44" s="17">
        <f>IF($B44="","",IF($J44=0,"Yes","No"))</f>
        <v/>
      </c>
      <c r="L44" s="17">
        <f>IF($B44="","",COUNTIF(nrCO_PID,$B44))</f>
        <v/>
      </c>
      <c r="M44" s="17">
        <f>IF($B44="","",COUNTIFS(nrCO_PID,$B44,nrCO_Status,"Open")+COUNTIFS(nrCO_PID,$B44,nrCO_Status,"In Review"))</f>
        <v/>
      </c>
    </row>
    <row r="45">
      <c r="B45" s="17">
        <f>IF(Cadets!$B45="","",Cadets!$B45)</f>
        <v/>
      </c>
      <c r="C45" s="17">
        <f>IF($B45="","",Cadets!$F45)</f>
        <v/>
      </c>
      <c r="D45" s="17">
        <f>IF($B45="","",Cadets!$I45)</f>
        <v/>
      </c>
      <c r="E45" s="17">
        <f>IF($B45="","",COUNTIF(nrIN_PID,$B45))</f>
        <v/>
      </c>
      <c r="F45" s="17">
        <f>IF($B45="","",COUNTIFS(nrIN_PID,$B45,nrIN_Dir,"Negative"))</f>
        <v/>
      </c>
      <c r="G45" s="17">
        <f>IF($B45="","",COUNTIFS(nrIN_PID,$B45,nrIN_Dir,"Positive"))</f>
        <v/>
      </c>
      <c r="H45" s="17">
        <f>IF($B45="","",COUNTIFS(nrIN_PID,$B45,nrIN_Dir,"Negative",nrIN_Res,"Open")+COUNTIFS(nrIN_PID,$B45,nrIN_Dir,"Negative",nrIN_Res,"In Review"))</f>
        <v/>
      </c>
      <c r="I45" s="17">
        <f>IF($B45="","",COUNTIFS(nrIN_PID,$B45,nrIN_Dir,"Negative",nrIN_Sev,"Major")+COUNTIFS(nrIN_PID,$B45,nrIN_Dir,"Negative",nrIN_Sev,"Critical"))</f>
        <v/>
      </c>
      <c r="J45" s="17">
        <f>IF($B45="","",COUNTIFS(nrIN_PID,$B45,nrIN_Chain,"Yes",nrIN_Res,"Open")+COUNTIFS(nrIN_PID,$B45,nrIN_Chain,"Yes",nrIN_Res,"In Review"))</f>
        <v/>
      </c>
      <c r="K45" s="17">
        <f>IF($B45="","",IF($J45=0,"Yes","No"))</f>
        <v/>
      </c>
      <c r="L45" s="17">
        <f>IF($B45="","",COUNTIF(nrCO_PID,$B45))</f>
        <v/>
      </c>
      <c r="M45" s="17">
        <f>IF($B45="","",COUNTIFS(nrCO_PID,$B45,nrCO_Status,"Open")+COUNTIFS(nrCO_PID,$B45,nrCO_Status,"In Review"))</f>
        <v/>
      </c>
    </row>
    <row r="46">
      <c r="B46" s="17">
        <f>IF(Cadets!$B46="","",Cadets!$B46)</f>
        <v/>
      </c>
      <c r="C46" s="17">
        <f>IF($B46="","",Cadets!$F46)</f>
        <v/>
      </c>
      <c r="D46" s="17">
        <f>IF($B46="","",Cadets!$I46)</f>
        <v/>
      </c>
      <c r="E46" s="17">
        <f>IF($B46="","",COUNTIF(nrIN_PID,$B46))</f>
        <v/>
      </c>
      <c r="F46" s="17">
        <f>IF($B46="","",COUNTIFS(nrIN_PID,$B46,nrIN_Dir,"Negative"))</f>
        <v/>
      </c>
      <c r="G46" s="17">
        <f>IF($B46="","",COUNTIFS(nrIN_PID,$B46,nrIN_Dir,"Positive"))</f>
        <v/>
      </c>
      <c r="H46" s="17">
        <f>IF($B46="","",COUNTIFS(nrIN_PID,$B46,nrIN_Dir,"Negative",nrIN_Res,"Open")+COUNTIFS(nrIN_PID,$B46,nrIN_Dir,"Negative",nrIN_Res,"In Review"))</f>
        <v/>
      </c>
      <c r="I46" s="17">
        <f>IF($B46="","",COUNTIFS(nrIN_PID,$B46,nrIN_Dir,"Negative",nrIN_Sev,"Major")+COUNTIFS(nrIN_PID,$B46,nrIN_Dir,"Negative",nrIN_Sev,"Critical"))</f>
        <v/>
      </c>
      <c r="J46" s="17">
        <f>IF($B46="","",COUNTIFS(nrIN_PID,$B46,nrIN_Chain,"Yes",nrIN_Res,"Open")+COUNTIFS(nrIN_PID,$B46,nrIN_Chain,"Yes",nrIN_Res,"In Review"))</f>
        <v/>
      </c>
      <c r="K46" s="17">
        <f>IF($B46="","",IF($J46=0,"Yes","No"))</f>
        <v/>
      </c>
      <c r="L46" s="17">
        <f>IF($B46="","",COUNTIF(nrCO_PID,$B46))</f>
        <v/>
      </c>
      <c r="M46" s="17">
        <f>IF($B46="","",COUNTIFS(nrCO_PID,$B46,nrCO_Status,"Open")+COUNTIFS(nrCO_PID,$B46,nrCO_Status,"In Review"))</f>
        <v/>
      </c>
    </row>
    <row r="47">
      <c r="B47" s="17">
        <f>IF(Cadets!$B47="","",Cadets!$B47)</f>
        <v/>
      </c>
      <c r="C47" s="17">
        <f>IF($B47="","",Cadets!$F47)</f>
        <v/>
      </c>
      <c r="D47" s="17">
        <f>IF($B47="","",Cadets!$I47)</f>
        <v/>
      </c>
      <c r="E47" s="17">
        <f>IF($B47="","",COUNTIF(nrIN_PID,$B47))</f>
        <v/>
      </c>
      <c r="F47" s="17">
        <f>IF($B47="","",COUNTIFS(nrIN_PID,$B47,nrIN_Dir,"Negative"))</f>
        <v/>
      </c>
      <c r="G47" s="17">
        <f>IF($B47="","",COUNTIFS(nrIN_PID,$B47,nrIN_Dir,"Positive"))</f>
        <v/>
      </c>
      <c r="H47" s="17">
        <f>IF($B47="","",COUNTIFS(nrIN_PID,$B47,nrIN_Dir,"Negative",nrIN_Res,"Open")+COUNTIFS(nrIN_PID,$B47,nrIN_Dir,"Negative",nrIN_Res,"In Review"))</f>
        <v/>
      </c>
      <c r="I47" s="17">
        <f>IF($B47="","",COUNTIFS(nrIN_PID,$B47,nrIN_Dir,"Negative",nrIN_Sev,"Major")+COUNTIFS(nrIN_PID,$B47,nrIN_Dir,"Negative",nrIN_Sev,"Critical"))</f>
        <v/>
      </c>
      <c r="J47" s="17">
        <f>IF($B47="","",COUNTIFS(nrIN_PID,$B47,nrIN_Chain,"Yes",nrIN_Res,"Open")+COUNTIFS(nrIN_PID,$B47,nrIN_Chain,"Yes",nrIN_Res,"In Review"))</f>
        <v/>
      </c>
      <c r="K47" s="17">
        <f>IF($B47="","",IF($J47=0,"Yes","No"))</f>
        <v/>
      </c>
      <c r="L47" s="17">
        <f>IF($B47="","",COUNTIF(nrCO_PID,$B47))</f>
        <v/>
      </c>
      <c r="M47" s="17">
        <f>IF($B47="","",COUNTIFS(nrCO_PID,$B47,nrCO_Status,"Open")+COUNTIFS(nrCO_PID,$B47,nrCO_Status,"In Review"))</f>
        <v/>
      </c>
    </row>
    <row r="48">
      <c r="B48" s="17">
        <f>IF(Cadets!$B48="","",Cadets!$B48)</f>
        <v/>
      </c>
      <c r="C48" s="17">
        <f>IF($B48="","",Cadets!$F48)</f>
        <v/>
      </c>
      <c r="D48" s="17">
        <f>IF($B48="","",Cadets!$I48)</f>
        <v/>
      </c>
      <c r="E48" s="17">
        <f>IF($B48="","",COUNTIF(nrIN_PID,$B48))</f>
        <v/>
      </c>
      <c r="F48" s="17">
        <f>IF($B48="","",COUNTIFS(nrIN_PID,$B48,nrIN_Dir,"Negative"))</f>
        <v/>
      </c>
      <c r="G48" s="17">
        <f>IF($B48="","",COUNTIFS(nrIN_PID,$B48,nrIN_Dir,"Positive"))</f>
        <v/>
      </c>
      <c r="H48" s="17">
        <f>IF($B48="","",COUNTIFS(nrIN_PID,$B48,nrIN_Dir,"Negative",nrIN_Res,"Open")+COUNTIFS(nrIN_PID,$B48,nrIN_Dir,"Negative",nrIN_Res,"In Review"))</f>
        <v/>
      </c>
      <c r="I48" s="17">
        <f>IF($B48="","",COUNTIFS(nrIN_PID,$B48,nrIN_Dir,"Negative",nrIN_Sev,"Major")+COUNTIFS(nrIN_PID,$B48,nrIN_Dir,"Negative",nrIN_Sev,"Critical"))</f>
        <v/>
      </c>
      <c r="J48" s="17">
        <f>IF($B48="","",COUNTIFS(nrIN_PID,$B48,nrIN_Chain,"Yes",nrIN_Res,"Open")+COUNTIFS(nrIN_PID,$B48,nrIN_Chain,"Yes",nrIN_Res,"In Review"))</f>
        <v/>
      </c>
      <c r="K48" s="17">
        <f>IF($B48="","",IF($J48=0,"Yes","No"))</f>
        <v/>
      </c>
      <c r="L48" s="17">
        <f>IF($B48="","",COUNTIF(nrCO_PID,$B48))</f>
        <v/>
      </c>
      <c r="M48" s="17">
        <f>IF($B48="","",COUNTIFS(nrCO_PID,$B48,nrCO_Status,"Open")+COUNTIFS(nrCO_PID,$B48,nrCO_Status,"In Review"))</f>
        <v/>
      </c>
    </row>
    <row r="49">
      <c r="B49" s="17">
        <f>IF(Cadets!$B49="","",Cadets!$B49)</f>
        <v/>
      </c>
      <c r="C49" s="17">
        <f>IF($B49="","",Cadets!$F49)</f>
        <v/>
      </c>
      <c r="D49" s="17">
        <f>IF($B49="","",Cadets!$I49)</f>
        <v/>
      </c>
      <c r="E49" s="17">
        <f>IF($B49="","",COUNTIF(nrIN_PID,$B49))</f>
        <v/>
      </c>
      <c r="F49" s="17">
        <f>IF($B49="","",COUNTIFS(nrIN_PID,$B49,nrIN_Dir,"Negative"))</f>
        <v/>
      </c>
      <c r="G49" s="17">
        <f>IF($B49="","",COUNTIFS(nrIN_PID,$B49,nrIN_Dir,"Positive"))</f>
        <v/>
      </c>
      <c r="H49" s="17">
        <f>IF($B49="","",COUNTIFS(nrIN_PID,$B49,nrIN_Dir,"Negative",nrIN_Res,"Open")+COUNTIFS(nrIN_PID,$B49,nrIN_Dir,"Negative",nrIN_Res,"In Review"))</f>
        <v/>
      </c>
      <c r="I49" s="17">
        <f>IF($B49="","",COUNTIFS(nrIN_PID,$B49,nrIN_Dir,"Negative",nrIN_Sev,"Major")+COUNTIFS(nrIN_PID,$B49,nrIN_Dir,"Negative",nrIN_Sev,"Critical"))</f>
        <v/>
      </c>
      <c r="J49" s="17">
        <f>IF($B49="","",COUNTIFS(nrIN_PID,$B49,nrIN_Chain,"Yes",nrIN_Res,"Open")+COUNTIFS(nrIN_PID,$B49,nrIN_Chain,"Yes",nrIN_Res,"In Review"))</f>
        <v/>
      </c>
      <c r="K49" s="17">
        <f>IF($B49="","",IF($J49=0,"Yes","No"))</f>
        <v/>
      </c>
      <c r="L49" s="17">
        <f>IF($B49="","",COUNTIF(nrCO_PID,$B49))</f>
        <v/>
      </c>
      <c r="M49" s="17">
        <f>IF($B49="","",COUNTIFS(nrCO_PID,$B49,nrCO_Status,"Open")+COUNTIFS(nrCO_PID,$B49,nrCO_Status,"In Review"))</f>
        <v/>
      </c>
    </row>
    <row r="50">
      <c r="B50" s="17">
        <f>IF(Cadets!$B50="","",Cadets!$B50)</f>
        <v/>
      </c>
      <c r="C50" s="17">
        <f>IF($B50="","",Cadets!$F50)</f>
        <v/>
      </c>
      <c r="D50" s="17">
        <f>IF($B50="","",Cadets!$I50)</f>
        <v/>
      </c>
      <c r="E50" s="17">
        <f>IF($B50="","",COUNTIF(nrIN_PID,$B50))</f>
        <v/>
      </c>
      <c r="F50" s="17">
        <f>IF($B50="","",COUNTIFS(nrIN_PID,$B50,nrIN_Dir,"Negative"))</f>
        <v/>
      </c>
      <c r="G50" s="17">
        <f>IF($B50="","",COUNTIFS(nrIN_PID,$B50,nrIN_Dir,"Positive"))</f>
        <v/>
      </c>
      <c r="H50" s="17">
        <f>IF($B50="","",COUNTIFS(nrIN_PID,$B50,nrIN_Dir,"Negative",nrIN_Res,"Open")+COUNTIFS(nrIN_PID,$B50,nrIN_Dir,"Negative",nrIN_Res,"In Review"))</f>
        <v/>
      </c>
      <c r="I50" s="17">
        <f>IF($B50="","",COUNTIFS(nrIN_PID,$B50,nrIN_Dir,"Negative",nrIN_Sev,"Major")+COUNTIFS(nrIN_PID,$B50,nrIN_Dir,"Negative",nrIN_Sev,"Critical"))</f>
        <v/>
      </c>
      <c r="J50" s="17">
        <f>IF($B50="","",COUNTIFS(nrIN_PID,$B50,nrIN_Chain,"Yes",nrIN_Res,"Open")+COUNTIFS(nrIN_PID,$B50,nrIN_Chain,"Yes",nrIN_Res,"In Review"))</f>
        <v/>
      </c>
      <c r="K50" s="17">
        <f>IF($B50="","",IF($J50=0,"Yes","No"))</f>
        <v/>
      </c>
      <c r="L50" s="17">
        <f>IF($B50="","",COUNTIF(nrCO_PID,$B50))</f>
        <v/>
      </c>
      <c r="M50" s="17">
        <f>IF($B50="","",COUNTIFS(nrCO_PID,$B50,nrCO_Status,"Open")+COUNTIFS(nrCO_PID,$B50,nrCO_Status,"In Review"))</f>
        <v/>
      </c>
    </row>
    <row r="51">
      <c r="B51" s="17">
        <f>IF(Cadets!$B51="","",Cadets!$B51)</f>
        <v/>
      </c>
      <c r="C51" s="17">
        <f>IF($B51="","",Cadets!$F51)</f>
        <v/>
      </c>
      <c r="D51" s="17">
        <f>IF($B51="","",Cadets!$I51)</f>
        <v/>
      </c>
      <c r="E51" s="17">
        <f>IF($B51="","",COUNTIF(nrIN_PID,$B51))</f>
        <v/>
      </c>
      <c r="F51" s="17">
        <f>IF($B51="","",COUNTIFS(nrIN_PID,$B51,nrIN_Dir,"Negative"))</f>
        <v/>
      </c>
      <c r="G51" s="17">
        <f>IF($B51="","",COUNTIFS(nrIN_PID,$B51,nrIN_Dir,"Positive"))</f>
        <v/>
      </c>
      <c r="H51" s="17">
        <f>IF($B51="","",COUNTIFS(nrIN_PID,$B51,nrIN_Dir,"Negative",nrIN_Res,"Open")+COUNTIFS(nrIN_PID,$B51,nrIN_Dir,"Negative",nrIN_Res,"In Review"))</f>
        <v/>
      </c>
      <c r="I51" s="17">
        <f>IF($B51="","",COUNTIFS(nrIN_PID,$B51,nrIN_Dir,"Negative",nrIN_Sev,"Major")+COUNTIFS(nrIN_PID,$B51,nrIN_Dir,"Negative",nrIN_Sev,"Critical"))</f>
        <v/>
      </c>
      <c r="J51" s="17">
        <f>IF($B51="","",COUNTIFS(nrIN_PID,$B51,nrIN_Chain,"Yes",nrIN_Res,"Open")+COUNTIFS(nrIN_PID,$B51,nrIN_Chain,"Yes",nrIN_Res,"In Review"))</f>
        <v/>
      </c>
      <c r="K51" s="17">
        <f>IF($B51="","",IF($J51=0,"Yes","No"))</f>
        <v/>
      </c>
      <c r="L51" s="17">
        <f>IF($B51="","",COUNTIF(nrCO_PID,$B51))</f>
        <v/>
      </c>
      <c r="M51" s="17">
        <f>IF($B51="","",COUNTIFS(nrCO_PID,$B51,nrCO_Status,"Open")+COUNTIFS(nrCO_PID,$B51,nrCO_Status,"In Review"))</f>
        <v/>
      </c>
    </row>
    <row r="52">
      <c r="B52" s="17">
        <f>IF(Cadets!$B52="","",Cadets!$B52)</f>
        <v/>
      </c>
      <c r="C52" s="17">
        <f>IF($B52="","",Cadets!$F52)</f>
        <v/>
      </c>
      <c r="D52" s="17">
        <f>IF($B52="","",Cadets!$I52)</f>
        <v/>
      </c>
      <c r="E52" s="17">
        <f>IF($B52="","",COUNTIF(nrIN_PID,$B52))</f>
        <v/>
      </c>
      <c r="F52" s="17">
        <f>IF($B52="","",COUNTIFS(nrIN_PID,$B52,nrIN_Dir,"Negative"))</f>
        <v/>
      </c>
      <c r="G52" s="17">
        <f>IF($B52="","",COUNTIFS(nrIN_PID,$B52,nrIN_Dir,"Positive"))</f>
        <v/>
      </c>
      <c r="H52" s="17">
        <f>IF($B52="","",COUNTIFS(nrIN_PID,$B52,nrIN_Dir,"Negative",nrIN_Res,"Open")+COUNTIFS(nrIN_PID,$B52,nrIN_Dir,"Negative",nrIN_Res,"In Review"))</f>
        <v/>
      </c>
      <c r="I52" s="17">
        <f>IF($B52="","",COUNTIFS(nrIN_PID,$B52,nrIN_Dir,"Negative",nrIN_Sev,"Major")+COUNTIFS(nrIN_PID,$B52,nrIN_Dir,"Negative",nrIN_Sev,"Critical"))</f>
        <v/>
      </c>
      <c r="J52" s="17">
        <f>IF($B52="","",COUNTIFS(nrIN_PID,$B52,nrIN_Chain,"Yes",nrIN_Res,"Open")+COUNTIFS(nrIN_PID,$B52,nrIN_Chain,"Yes",nrIN_Res,"In Review"))</f>
        <v/>
      </c>
      <c r="K52" s="17">
        <f>IF($B52="","",IF($J52=0,"Yes","No"))</f>
        <v/>
      </c>
      <c r="L52" s="17">
        <f>IF($B52="","",COUNTIF(nrCO_PID,$B52))</f>
        <v/>
      </c>
      <c r="M52" s="17">
        <f>IF($B52="","",COUNTIFS(nrCO_PID,$B52,nrCO_Status,"Open")+COUNTIFS(nrCO_PID,$B52,nrCO_Status,"In Review"))</f>
        <v/>
      </c>
    </row>
    <row r="53">
      <c r="B53" s="17">
        <f>IF(Cadets!$B53="","",Cadets!$B53)</f>
        <v/>
      </c>
      <c r="C53" s="17">
        <f>IF($B53="","",Cadets!$F53)</f>
        <v/>
      </c>
      <c r="D53" s="17">
        <f>IF($B53="","",Cadets!$I53)</f>
        <v/>
      </c>
      <c r="E53" s="17">
        <f>IF($B53="","",COUNTIF(nrIN_PID,$B53))</f>
        <v/>
      </c>
      <c r="F53" s="17">
        <f>IF($B53="","",COUNTIFS(nrIN_PID,$B53,nrIN_Dir,"Negative"))</f>
        <v/>
      </c>
      <c r="G53" s="17">
        <f>IF($B53="","",COUNTIFS(nrIN_PID,$B53,nrIN_Dir,"Positive"))</f>
        <v/>
      </c>
      <c r="H53" s="17">
        <f>IF($B53="","",COUNTIFS(nrIN_PID,$B53,nrIN_Dir,"Negative",nrIN_Res,"Open")+COUNTIFS(nrIN_PID,$B53,nrIN_Dir,"Negative",nrIN_Res,"In Review"))</f>
        <v/>
      </c>
      <c r="I53" s="17">
        <f>IF($B53="","",COUNTIFS(nrIN_PID,$B53,nrIN_Dir,"Negative",nrIN_Sev,"Major")+COUNTIFS(nrIN_PID,$B53,nrIN_Dir,"Negative",nrIN_Sev,"Critical"))</f>
        <v/>
      </c>
      <c r="J53" s="17">
        <f>IF($B53="","",COUNTIFS(nrIN_PID,$B53,nrIN_Chain,"Yes",nrIN_Res,"Open")+COUNTIFS(nrIN_PID,$B53,nrIN_Chain,"Yes",nrIN_Res,"In Review"))</f>
        <v/>
      </c>
      <c r="K53" s="17">
        <f>IF($B53="","",IF($J53=0,"Yes","No"))</f>
        <v/>
      </c>
      <c r="L53" s="17">
        <f>IF($B53="","",COUNTIF(nrCO_PID,$B53))</f>
        <v/>
      </c>
      <c r="M53" s="17">
        <f>IF($B53="","",COUNTIFS(nrCO_PID,$B53,nrCO_Status,"Open")+COUNTIFS(nrCO_PID,$B53,nrCO_Status,"In Review"))</f>
        <v/>
      </c>
    </row>
    <row r="54">
      <c r="B54" s="17">
        <f>IF(Cadets!$B54="","",Cadets!$B54)</f>
        <v/>
      </c>
      <c r="C54" s="17">
        <f>IF($B54="","",Cadets!$F54)</f>
        <v/>
      </c>
      <c r="D54" s="17">
        <f>IF($B54="","",Cadets!$I54)</f>
        <v/>
      </c>
      <c r="E54" s="17">
        <f>IF($B54="","",COUNTIF(nrIN_PID,$B54))</f>
        <v/>
      </c>
      <c r="F54" s="17">
        <f>IF($B54="","",COUNTIFS(nrIN_PID,$B54,nrIN_Dir,"Negative"))</f>
        <v/>
      </c>
      <c r="G54" s="17">
        <f>IF($B54="","",COUNTIFS(nrIN_PID,$B54,nrIN_Dir,"Positive"))</f>
        <v/>
      </c>
      <c r="H54" s="17">
        <f>IF($B54="","",COUNTIFS(nrIN_PID,$B54,nrIN_Dir,"Negative",nrIN_Res,"Open")+COUNTIFS(nrIN_PID,$B54,nrIN_Dir,"Negative",nrIN_Res,"In Review"))</f>
        <v/>
      </c>
      <c r="I54" s="17">
        <f>IF($B54="","",COUNTIFS(nrIN_PID,$B54,nrIN_Dir,"Negative",nrIN_Sev,"Major")+COUNTIFS(nrIN_PID,$B54,nrIN_Dir,"Negative",nrIN_Sev,"Critical"))</f>
        <v/>
      </c>
      <c r="J54" s="17">
        <f>IF($B54="","",COUNTIFS(nrIN_PID,$B54,nrIN_Chain,"Yes",nrIN_Res,"Open")+COUNTIFS(nrIN_PID,$B54,nrIN_Chain,"Yes",nrIN_Res,"In Review"))</f>
        <v/>
      </c>
      <c r="K54" s="17">
        <f>IF($B54="","",IF($J54=0,"Yes","No"))</f>
        <v/>
      </c>
      <c r="L54" s="17">
        <f>IF($B54="","",COUNTIF(nrCO_PID,$B54))</f>
        <v/>
      </c>
      <c r="M54" s="17">
        <f>IF($B54="","",COUNTIFS(nrCO_PID,$B54,nrCO_Status,"Open")+COUNTIFS(nrCO_PID,$B54,nrCO_Status,"In Review"))</f>
        <v/>
      </c>
    </row>
    <row r="55">
      <c r="B55" s="17">
        <f>IF(Cadets!$B55="","",Cadets!$B55)</f>
        <v/>
      </c>
      <c r="C55" s="17">
        <f>IF($B55="","",Cadets!$F55)</f>
        <v/>
      </c>
      <c r="D55" s="17">
        <f>IF($B55="","",Cadets!$I55)</f>
        <v/>
      </c>
      <c r="E55" s="17">
        <f>IF($B55="","",COUNTIF(nrIN_PID,$B55))</f>
        <v/>
      </c>
      <c r="F55" s="17">
        <f>IF($B55="","",COUNTIFS(nrIN_PID,$B55,nrIN_Dir,"Negative"))</f>
        <v/>
      </c>
      <c r="G55" s="17">
        <f>IF($B55="","",COUNTIFS(nrIN_PID,$B55,nrIN_Dir,"Positive"))</f>
        <v/>
      </c>
      <c r="H55" s="17">
        <f>IF($B55="","",COUNTIFS(nrIN_PID,$B55,nrIN_Dir,"Negative",nrIN_Res,"Open")+COUNTIFS(nrIN_PID,$B55,nrIN_Dir,"Negative",nrIN_Res,"In Review"))</f>
        <v/>
      </c>
      <c r="I55" s="17">
        <f>IF($B55="","",COUNTIFS(nrIN_PID,$B55,nrIN_Dir,"Negative",nrIN_Sev,"Major")+COUNTIFS(nrIN_PID,$B55,nrIN_Dir,"Negative",nrIN_Sev,"Critical"))</f>
        <v/>
      </c>
      <c r="J55" s="17">
        <f>IF($B55="","",COUNTIFS(nrIN_PID,$B55,nrIN_Chain,"Yes",nrIN_Res,"Open")+COUNTIFS(nrIN_PID,$B55,nrIN_Chain,"Yes",nrIN_Res,"In Review"))</f>
        <v/>
      </c>
      <c r="K55" s="17">
        <f>IF($B55="","",IF($J55=0,"Yes","No"))</f>
        <v/>
      </c>
      <c r="L55" s="17">
        <f>IF($B55="","",COUNTIF(nrCO_PID,$B55))</f>
        <v/>
      </c>
      <c r="M55" s="17">
        <f>IF($B55="","",COUNTIFS(nrCO_PID,$B55,nrCO_Status,"Open")+COUNTIFS(nrCO_PID,$B55,nrCO_Status,"In Review"))</f>
        <v/>
      </c>
    </row>
  </sheetData>
  <sheetProtection selectLockedCells="0" selectUnlockedCells="0" sheet="1" objects="0" insertRows="1" insertHyperlinks="1" autoFilter="1" scenarios="0" formatColumns="1" deleteColumns="1" insertColumns="1" pivotTables="1" deleteRows="1" formatCells="1" formatRows="1" sort="1" password="B4BB"/>
  <pageMargins left="0.75" right="0.75" top="1" bottom="1" header="0.5" footer="0.5"/>
</worksheet>
</file>

<file path=xl/worksheets/sheet56.xml><?xml version="1.0" encoding="utf-8"?>
<worksheet xmlns="http://schemas.openxmlformats.org/spreadsheetml/2006/main">
  <sheetPr>
    <tabColor rgb="00808080"/>
    <outlinePr summaryBelow="1" summaryRight="1"/>
    <pageSetUpPr/>
  </sheetPr>
  <dimension ref="B1:U55"/>
  <sheetViews>
    <sheetView showGridLines="0" workbookViewId="0">
      <pane xSplit="3" ySplit="5" topLeftCell="D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4" customWidth="1" min="3" max="3"/>
    <col width="70" customWidth="1" min="20" max="20"/>
  </cols>
  <sheetData>
    <row r="1">
      <c r="B1" s="10">
        <f>HYPERLINK("#Dashboard!B5","◄ Dashboard")</f>
        <v/>
      </c>
    </row>
    <row r="4">
      <c r="B4" s="11" t="inlineStr">
        <is>
          <t>Each flag threshold lives on Settings. WatchList sorts by Flag Count and shows Reasons verbatim. Locked.</t>
        </is>
      </c>
    </row>
    <row r="5" ht="26" customHeight="1">
      <c r="B5" s="12" t="inlineStr">
        <is>
          <t>PID</t>
        </is>
      </c>
      <c r="C5" s="12" t="inlineStr">
        <is>
          <t>Cadet Name</t>
        </is>
      </c>
      <c r="D5" s="12" t="inlineStr">
        <is>
          <t>Status</t>
        </is>
      </c>
      <c r="E5" s="12" t="inlineStr">
        <is>
          <t>F:ConsecFails</t>
        </is>
      </c>
      <c r="F5" s="12" t="inlineStr">
        <is>
          <t>F:GradeDrop</t>
        </is>
      </c>
      <c r="G5" s="12" t="inlineStr">
        <is>
          <t>F:CategoryRisk</t>
        </is>
      </c>
      <c r="H5" s="12" t="inlineStr">
        <is>
          <t>F:Spelling</t>
        </is>
      </c>
      <c r="I5" s="12" t="inlineStr">
        <is>
          <t>F:Attendance</t>
        </is>
      </c>
      <c r="J5" s="12" t="inlineStr">
        <is>
          <t>F:Incidents</t>
        </is>
      </c>
      <c r="K5" s="12" t="inlineStr">
        <is>
          <t>F:Writing</t>
        </is>
      </c>
      <c r="L5" s="12" t="inlineStr">
        <is>
          <t>F:Retest</t>
        </is>
      </c>
      <c r="M5" s="12" t="inlineStr">
        <is>
          <t>F:PT</t>
        </is>
      </c>
      <c r="N5" s="12" t="inlineStr">
        <is>
          <t>F:Medical</t>
        </is>
      </c>
      <c r="O5" s="12" t="inlineStr">
        <is>
          <t>F:Certs</t>
        </is>
      </c>
      <c r="P5" s="12" t="inlineStr">
        <is>
          <t>F:Memos</t>
        </is>
      </c>
      <c r="Q5" s="12" t="inlineStr">
        <is>
          <t>F:OpenTime</t>
        </is>
      </c>
      <c r="R5" s="12" t="inlineStr">
        <is>
          <t>F:DismissReview</t>
        </is>
      </c>
      <c r="S5" s="12" t="inlineStr">
        <is>
          <t>Flag Count</t>
        </is>
      </c>
      <c r="T5" s="12" t="inlineStr">
        <is>
          <t>Reasons</t>
        </is>
      </c>
      <c r="U5" s="12" t="inlineStr">
        <is>
          <t>F:MissedExam</t>
        </is>
      </c>
    </row>
    <row r="6">
      <c r="B6" s="17">
        <f>IF(Cadets!$B6="","",Cadets!$B6)</f>
        <v/>
      </c>
      <c r="C6" s="17">
        <f>IF($B6="","",Cadets!$F6)</f>
        <v/>
      </c>
      <c r="D6" s="17">
        <f>IF($B6="","",Cadets!$I6)</f>
        <v/>
      </c>
      <c r="E6" s="17">
        <f>IF($B6="","",IF(N(sysGrades!$AC6)&gt;=cfgFlagConsecFails,1,0))</f>
        <v/>
      </c>
      <c r="F6" s="17">
        <f>IF($B6="","",IF(AND(sysGrades!$AB6&lt;&gt;"",sysGrades!$AB6&gt;=cfgFlagGradeDrop),1,0))</f>
        <v/>
      </c>
      <c r="G6" s="17">
        <f>IF($B6="","",IF(OR(AND(sysGrades!$I6&lt;&gt;"",sysGrades!$I6&lt;cfgThresholdScore+cfgFlagCategoryMargin),AND(sysGrades!$J6&lt;&gt;"",sysGrades!$J6&lt;cfgThresholdScore+cfgFlagCategoryMargin)),1,0))</f>
        <v/>
      </c>
      <c r="H6" s="17">
        <f>IF($B6="","",IF(Spelling!$R6="INTERVENTION",1,0))</f>
        <v/>
      </c>
      <c r="I6" s="17">
        <f>IF($B6="","",IF(OR(N(sysAttendance!$I6)&gt;=cfgMakeupAdvisoryMin,sysAttendance!$Q6&gt;=cfgFlagAttendancePct),1,0))</f>
        <v/>
      </c>
      <c r="J6" s="17">
        <f>IF($B6="","",IF(sysIncidents!$H6&gt;=cfgFlagOpenIncidents,1,0))</f>
        <v/>
      </c>
      <c r="K6" s="17">
        <f>IF($B6="","",IF(N(Writing!$AS6)&gt;=cfgFlagOverdueWriting,1,0))</f>
        <v/>
      </c>
      <c r="L6" s="17">
        <f>IF($B6="","",IF(COUNTIFS(nrES_PID,$B6,nrES_RetStat,"OVERDUE")+COUNTIFS(nrES_PID,$B6,nrES_RetStat,"CHECK DATE")+COUNTIFS(nrES_PID,$B6,nrES_RetStat,"LATE RETEST*")+COUNTIFS(nrES_PID,$B6,nrES_RetStat,"RETEST UNDATED")+COUNTIFS(nrES_PID,$B6,nrES_RetStat,"RETEST DATE UNCHECKED")&gt;0,1,0))</f>
        <v/>
      </c>
      <c r="M6" s="17">
        <f>IF($B6="","",IF(OR(PT!$K6="No",PT!$AB6="No",PT!$AB6="Incomplete"),1,0))</f>
        <v/>
      </c>
      <c r="N6" s="17">
        <f>IF($B6="","",IF(COUNTIFS(nrMD_PID,$B6,nrMD_Status,"RESTRICTION EXPIRED")&gt;0,1,0))</f>
        <v/>
      </c>
      <c r="O6" s="17">
        <f>IF($B6="","",IF(Certifications!$U6&lt;&gt;"",1,0))</f>
        <v/>
      </c>
      <c r="P6" s="17">
        <f>IF($B6="","",IF(COUNTIFS(nrME_PID,$B6,nrME_Status,"OVERDUE")+COUNTIFS(nrME_PID,$B6,nrME_Status,"CHECK DATE")&gt;0,1,0))</f>
        <v/>
      </c>
      <c r="Q6" s="17">
        <f>IF($B6="","",IF(SUMPRODUCT((nrAT_PID=$B6)*(nrAT_Cleared="OPEN"))&gt;0,1,0))</f>
        <v/>
      </c>
      <c r="R6" s="17">
        <f>IF($B6="","",IF(sysChecks!$M6="Yes",1,0))</f>
        <v/>
      </c>
      <c r="S6" s="17">
        <f>IF($B6="","",SUM($E6:$R6)+N($U6))</f>
        <v/>
      </c>
      <c r="T6" s="17">
        <f>IF($B6="","",IF($S6=0,"",_xlfn.TEXTJOIN("; ",TRUE,IF($E6=1,"consecutive exam fails",""),IF($F6=1,"grade dropped "&amp;sysGrades!$AB6&amp;" pts",""),IF($G6=1,"category avg near 70",""),IF($H6=1,"spelling below "&amp;cfgSpellInterventionAvg,""),IF($I6=1,"attendance at "&amp;TEXT(MAX(sysAttendance!$I6,sysAttendance!$Q6),"0%")&amp;" of cap",""),IF($J6=1,"open negative incidents",""),IF($K6=1,N(Writing!$AS6)&amp;" overdue writing",""),IF($L6=1,"RETEST OVERDUE / LATE",""),IF($M6=1,"PT failure",""),IF($N6=1,"medical restriction expired",""),IF($O6=1,"cert copies outstanding: "&amp;Certifications!$U6,""),IF($P6=1,"OVERDUE MEMO",""),IF($Q6=1,SUMPRODUCT((nrAT_PID=$B6)*(nrAT_Cleared="OPEN"))&amp;" uncleared missed-time event(s)",""),IF($R6=1,"DISMISSAL REVIEW OPEN ("&amp;sysChecks!$U6&amp;")",""),IF($U6=1,_xlfn.LET(_xlpm.n,COUNTIFS(nrES_PID,$B6,nrES_Absence,"Unexcused"),IF(_xlpm.n&gt;=2,_xlpm.n&amp;" unexcused missed exams (removal review)","unexcused missed exam (0 recorded)")),""))))</f>
        <v/>
      </c>
      <c r="U6" s="17">
        <f>IF($B6="","",IF(COUNTIFS(nrES_PID,$B6,nrES_Absence,"Unexcused")&gt;0,1,0))</f>
        <v/>
      </c>
    </row>
    <row r="7">
      <c r="B7" s="17">
        <f>IF(Cadets!$B7="","",Cadets!$B7)</f>
        <v/>
      </c>
      <c r="C7" s="17">
        <f>IF($B7="","",Cadets!$F7)</f>
        <v/>
      </c>
      <c r="D7" s="17">
        <f>IF($B7="","",Cadets!$I7)</f>
        <v/>
      </c>
      <c r="E7" s="17">
        <f>IF($B7="","",IF(N(sysGrades!$AC7)&gt;=cfgFlagConsecFails,1,0))</f>
        <v/>
      </c>
      <c r="F7" s="17">
        <f>IF($B7="","",IF(AND(sysGrades!$AB7&lt;&gt;"",sysGrades!$AB7&gt;=cfgFlagGradeDrop),1,0))</f>
        <v/>
      </c>
      <c r="G7" s="17">
        <f>IF($B7="","",IF(OR(AND(sysGrades!$I7&lt;&gt;"",sysGrades!$I7&lt;cfgThresholdScore+cfgFlagCategoryMargin),AND(sysGrades!$J7&lt;&gt;"",sysGrades!$J7&lt;cfgThresholdScore+cfgFlagCategoryMargin)),1,0))</f>
        <v/>
      </c>
      <c r="H7" s="17">
        <f>IF($B7="","",IF(Spelling!$R7="INTERVENTION",1,0))</f>
        <v/>
      </c>
      <c r="I7" s="17">
        <f>IF($B7="","",IF(OR(N(sysAttendance!$I7)&gt;=cfgMakeupAdvisoryMin,sysAttendance!$Q7&gt;=cfgFlagAttendancePct),1,0))</f>
        <v/>
      </c>
      <c r="J7" s="17">
        <f>IF($B7="","",IF(sysIncidents!$H7&gt;=cfgFlagOpenIncidents,1,0))</f>
        <v/>
      </c>
      <c r="K7" s="17">
        <f>IF($B7="","",IF(N(Writing!$AS7)&gt;=cfgFlagOverdueWriting,1,0))</f>
        <v/>
      </c>
      <c r="L7" s="17">
        <f>IF($B7="","",IF(COUNTIFS(nrES_PID,$B7,nrES_RetStat,"OVERDUE")+COUNTIFS(nrES_PID,$B7,nrES_RetStat,"CHECK DATE")+COUNTIFS(nrES_PID,$B7,nrES_RetStat,"LATE RETEST*")+COUNTIFS(nrES_PID,$B7,nrES_RetStat,"RETEST UNDATED")+COUNTIFS(nrES_PID,$B7,nrES_RetStat,"RETEST DATE UNCHECKED")&gt;0,1,0))</f>
        <v/>
      </c>
      <c r="M7" s="17">
        <f>IF($B7="","",IF(OR(PT!$K7="No",PT!$AB7="No",PT!$AB7="Incomplete"),1,0))</f>
        <v/>
      </c>
      <c r="N7" s="17">
        <f>IF($B7="","",IF(COUNTIFS(nrMD_PID,$B7,nrMD_Status,"RESTRICTION EXPIRED")&gt;0,1,0))</f>
        <v/>
      </c>
      <c r="O7" s="17">
        <f>IF($B7="","",IF(Certifications!$U7&lt;&gt;"",1,0))</f>
        <v/>
      </c>
      <c r="P7" s="17">
        <f>IF($B7="","",IF(COUNTIFS(nrME_PID,$B7,nrME_Status,"OVERDUE")+COUNTIFS(nrME_PID,$B7,nrME_Status,"CHECK DATE")&gt;0,1,0))</f>
        <v/>
      </c>
      <c r="Q7" s="17">
        <f>IF($B7="","",IF(SUMPRODUCT((nrAT_PID=$B7)*(nrAT_Cleared="OPEN"))&gt;0,1,0))</f>
        <v/>
      </c>
      <c r="R7" s="17">
        <f>IF($B7="","",IF(sysChecks!$M7="Yes",1,0))</f>
        <v/>
      </c>
      <c r="S7" s="17">
        <f>IF($B7="","",SUM($E7:$R7)+N($U7))</f>
        <v/>
      </c>
      <c r="T7" s="17">
        <f>IF($B7="","",IF($S7=0,"",_xlfn.TEXTJOIN("; ",TRUE,IF($E7=1,"consecutive exam fails",""),IF($F7=1,"grade dropped "&amp;sysGrades!$AB7&amp;" pts",""),IF($G7=1,"category avg near 70",""),IF($H7=1,"spelling below "&amp;cfgSpellInterventionAvg,""),IF($I7=1,"attendance at "&amp;TEXT(MAX(sysAttendance!$I7,sysAttendance!$Q7),"0%")&amp;" of cap",""),IF($J7=1,"open negative incidents",""),IF($K7=1,N(Writing!$AS7)&amp;" overdue writing",""),IF($L7=1,"RETEST OVERDUE / LATE",""),IF($M7=1,"PT failure",""),IF($N7=1,"medical restriction expired",""),IF($O7=1,"cert copies outstanding: "&amp;Certifications!$U7,""),IF($P7=1,"OVERDUE MEMO",""),IF($Q7=1,SUMPRODUCT((nrAT_PID=$B7)*(nrAT_Cleared="OPEN"))&amp;" uncleared missed-time event(s)",""),IF($R7=1,"DISMISSAL REVIEW OPEN ("&amp;sysChecks!$U7&amp;")",""),IF($U7=1,_xlfn.LET(_xlpm.n,COUNTIFS(nrES_PID,$B7,nrES_Absence,"Unexcused"),IF(_xlpm.n&gt;=2,_xlpm.n&amp;" unexcused missed exams (removal review)","unexcused missed exam (0 recorded)")),""))))</f>
        <v/>
      </c>
      <c r="U7" s="17">
        <f>IF($B7="","",IF(COUNTIFS(nrES_PID,$B7,nrES_Absence,"Unexcused")&gt;0,1,0))</f>
        <v/>
      </c>
    </row>
    <row r="8">
      <c r="B8" s="17">
        <f>IF(Cadets!$B8="","",Cadets!$B8)</f>
        <v/>
      </c>
      <c r="C8" s="17">
        <f>IF($B8="","",Cadets!$F8)</f>
        <v/>
      </c>
      <c r="D8" s="17">
        <f>IF($B8="","",Cadets!$I8)</f>
        <v/>
      </c>
      <c r="E8" s="17">
        <f>IF($B8="","",IF(N(sysGrades!$AC8)&gt;=cfgFlagConsecFails,1,0))</f>
        <v/>
      </c>
      <c r="F8" s="17">
        <f>IF($B8="","",IF(AND(sysGrades!$AB8&lt;&gt;"",sysGrades!$AB8&gt;=cfgFlagGradeDrop),1,0))</f>
        <v/>
      </c>
      <c r="G8" s="17">
        <f>IF($B8="","",IF(OR(AND(sysGrades!$I8&lt;&gt;"",sysGrades!$I8&lt;cfgThresholdScore+cfgFlagCategoryMargin),AND(sysGrades!$J8&lt;&gt;"",sysGrades!$J8&lt;cfgThresholdScore+cfgFlagCategoryMargin)),1,0))</f>
        <v/>
      </c>
      <c r="H8" s="17">
        <f>IF($B8="","",IF(Spelling!$R8="INTERVENTION",1,0))</f>
        <v/>
      </c>
      <c r="I8" s="17">
        <f>IF($B8="","",IF(OR(N(sysAttendance!$I8)&gt;=cfgMakeupAdvisoryMin,sysAttendance!$Q8&gt;=cfgFlagAttendancePct),1,0))</f>
        <v/>
      </c>
      <c r="J8" s="17">
        <f>IF($B8="","",IF(sysIncidents!$H8&gt;=cfgFlagOpenIncidents,1,0))</f>
        <v/>
      </c>
      <c r="K8" s="17">
        <f>IF($B8="","",IF(N(Writing!$AS8)&gt;=cfgFlagOverdueWriting,1,0))</f>
        <v/>
      </c>
      <c r="L8" s="17">
        <f>IF($B8="","",IF(COUNTIFS(nrES_PID,$B8,nrES_RetStat,"OVERDUE")+COUNTIFS(nrES_PID,$B8,nrES_RetStat,"CHECK DATE")+COUNTIFS(nrES_PID,$B8,nrES_RetStat,"LATE RETEST*")+COUNTIFS(nrES_PID,$B8,nrES_RetStat,"RETEST UNDATED")+COUNTIFS(nrES_PID,$B8,nrES_RetStat,"RETEST DATE UNCHECKED")&gt;0,1,0))</f>
        <v/>
      </c>
      <c r="M8" s="17">
        <f>IF($B8="","",IF(OR(PT!$K8="No",PT!$AB8="No",PT!$AB8="Incomplete"),1,0))</f>
        <v/>
      </c>
      <c r="N8" s="17">
        <f>IF($B8="","",IF(COUNTIFS(nrMD_PID,$B8,nrMD_Status,"RESTRICTION EXPIRED")&gt;0,1,0))</f>
        <v/>
      </c>
      <c r="O8" s="17">
        <f>IF($B8="","",IF(Certifications!$U8&lt;&gt;"",1,0))</f>
        <v/>
      </c>
      <c r="P8" s="17">
        <f>IF($B8="","",IF(COUNTIFS(nrME_PID,$B8,nrME_Status,"OVERDUE")+COUNTIFS(nrME_PID,$B8,nrME_Status,"CHECK DATE")&gt;0,1,0))</f>
        <v/>
      </c>
      <c r="Q8" s="17">
        <f>IF($B8="","",IF(SUMPRODUCT((nrAT_PID=$B8)*(nrAT_Cleared="OPEN"))&gt;0,1,0))</f>
        <v/>
      </c>
      <c r="R8" s="17">
        <f>IF($B8="","",IF(sysChecks!$M8="Yes",1,0))</f>
        <v/>
      </c>
      <c r="S8" s="17">
        <f>IF($B8="","",SUM($E8:$R8)+N($U8))</f>
        <v/>
      </c>
      <c r="T8" s="17">
        <f>IF($B8="","",IF($S8=0,"",_xlfn.TEXTJOIN("; ",TRUE,IF($E8=1,"consecutive exam fails",""),IF($F8=1,"grade dropped "&amp;sysGrades!$AB8&amp;" pts",""),IF($G8=1,"category avg near 70",""),IF($H8=1,"spelling below "&amp;cfgSpellInterventionAvg,""),IF($I8=1,"attendance at "&amp;TEXT(MAX(sysAttendance!$I8,sysAttendance!$Q8),"0%")&amp;" of cap",""),IF($J8=1,"open negative incidents",""),IF($K8=1,N(Writing!$AS8)&amp;" overdue writing",""),IF($L8=1,"RETEST OVERDUE / LATE",""),IF($M8=1,"PT failure",""),IF($N8=1,"medical restriction expired",""),IF($O8=1,"cert copies outstanding: "&amp;Certifications!$U8,""),IF($P8=1,"OVERDUE MEMO",""),IF($Q8=1,SUMPRODUCT((nrAT_PID=$B8)*(nrAT_Cleared="OPEN"))&amp;" uncleared missed-time event(s)",""),IF($R8=1,"DISMISSAL REVIEW OPEN ("&amp;sysChecks!$U8&amp;")",""),IF($U8=1,_xlfn.LET(_xlpm.n,COUNTIFS(nrES_PID,$B8,nrES_Absence,"Unexcused"),IF(_xlpm.n&gt;=2,_xlpm.n&amp;" unexcused missed exams (removal review)","unexcused missed exam (0 recorded)")),""))))</f>
        <v/>
      </c>
      <c r="U8" s="17">
        <f>IF($B8="","",IF(COUNTIFS(nrES_PID,$B8,nrES_Absence,"Unexcused")&gt;0,1,0))</f>
        <v/>
      </c>
    </row>
    <row r="9">
      <c r="B9" s="17">
        <f>IF(Cadets!$B9="","",Cadets!$B9)</f>
        <v/>
      </c>
      <c r="C9" s="17">
        <f>IF($B9="","",Cadets!$F9)</f>
        <v/>
      </c>
      <c r="D9" s="17">
        <f>IF($B9="","",Cadets!$I9)</f>
        <v/>
      </c>
      <c r="E9" s="17">
        <f>IF($B9="","",IF(N(sysGrades!$AC9)&gt;=cfgFlagConsecFails,1,0))</f>
        <v/>
      </c>
      <c r="F9" s="17">
        <f>IF($B9="","",IF(AND(sysGrades!$AB9&lt;&gt;"",sysGrades!$AB9&gt;=cfgFlagGradeDrop),1,0))</f>
        <v/>
      </c>
      <c r="G9" s="17">
        <f>IF($B9="","",IF(OR(AND(sysGrades!$I9&lt;&gt;"",sysGrades!$I9&lt;cfgThresholdScore+cfgFlagCategoryMargin),AND(sysGrades!$J9&lt;&gt;"",sysGrades!$J9&lt;cfgThresholdScore+cfgFlagCategoryMargin)),1,0))</f>
        <v/>
      </c>
      <c r="H9" s="17">
        <f>IF($B9="","",IF(Spelling!$R9="INTERVENTION",1,0))</f>
        <v/>
      </c>
      <c r="I9" s="17">
        <f>IF($B9="","",IF(OR(N(sysAttendance!$I9)&gt;=cfgMakeupAdvisoryMin,sysAttendance!$Q9&gt;=cfgFlagAttendancePct),1,0))</f>
        <v/>
      </c>
      <c r="J9" s="17">
        <f>IF($B9="","",IF(sysIncidents!$H9&gt;=cfgFlagOpenIncidents,1,0))</f>
        <v/>
      </c>
      <c r="K9" s="17">
        <f>IF($B9="","",IF(N(Writing!$AS9)&gt;=cfgFlagOverdueWriting,1,0))</f>
        <v/>
      </c>
      <c r="L9" s="17">
        <f>IF($B9="","",IF(COUNTIFS(nrES_PID,$B9,nrES_RetStat,"OVERDUE")+COUNTIFS(nrES_PID,$B9,nrES_RetStat,"CHECK DATE")+COUNTIFS(nrES_PID,$B9,nrES_RetStat,"LATE RETEST*")+COUNTIFS(nrES_PID,$B9,nrES_RetStat,"RETEST UNDATED")+COUNTIFS(nrES_PID,$B9,nrES_RetStat,"RETEST DATE UNCHECKED")&gt;0,1,0))</f>
        <v/>
      </c>
      <c r="M9" s="17">
        <f>IF($B9="","",IF(OR(PT!$K9="No",PT!$AB9="No",PT!$AB9="Incomplete"),1,0))</f>
        <v/>
      </c>
      <c r="N9" s="17">
        <f>IF($B9="","",IF(COUNTIFS(nrMD_PID,$B9,nrMD_Status,"RESTRICTION EXPIRED")&gt;0,1,0))</f>
        <v/>
      </c>
      <c r="O9" s="17">
        <f>IF($B9="","",IF(Certifications!$U9&lt;&gt;"",1,0))</f>
        <v/>
      </c>
      <c r="P9" s="17">
        <f>IF($B9="","",IF(COUNTIFS(nrME_PID,$B9,nrME_Status,"OVERDUE")+COUNTIFS(nrME_PID,$B9,nrME_Status,"CHECK DATE")&gt;0,1,0))</f>
        <v/>
      </c>
      <c r="Q9" s="17">
        <f>IF($B9="","",IF(SUMPRODUCT((nrAT_PID=$B9)*(nrAT_Cleared="OPEN"))&gt;0,1,0))</f>
        <v/>
      </c>
      <c r="R9" s="17">
        <f>IF($B9="","",IF(sysChecks!$M9="Yes",1,0))</f>
        <v/>
      </c>
      <c r="S9" s="17">
        <f>IF($B9="","",SUM($E9:$R9)+N($U9))</f>
        <v/>
      </c>
      <c r="T9" s="17">
        <f>IF($B9="","",IF($S9=0,"",_xlfn.TEXTJOIN("; ",TRUE,IF($E9=1,"consecutive exam fails",""),IF($F9=1,"grade dropped "&amp;sysGrades!$AB9&amp;" pts",""),IF($G9=1,"category avg near 70",""),IF($H9=1,"spelling below "&amp;cfgSpellInterventionAvg,""),IF($I9=1,"attendance at "&amp;TEXT(MAX(sysAttendance!$I9,sysAttendance!$Q9),"0%")&amp;" of cap",""),IF($J9=1,"open negative incidents",""),IF($K9=1,N(Writing!$AS9)&amp;" overdue writing",""),IF($L9=1,"RETEST OVERDUE / LATE",""),IF($M9=1,"PT failure",""),IF($N9=1,"medical restriction expired",""),IF($O9=1,"cert copies outstanding: "&amp;Certifications!$U9,""),IF($P9=1,"OVERDUE MEMO",""),IF($Q9=1,SUMPRODUCT((nrAT_PID=$B9)*(nrAT_Cleared="OPEN"))&amp;" uncleared missed-time event(s)",""),IF($R9=1,"DISMISSAL REVIEW OPEN ("&amp;sysChecks!$U9&amp;")",""),IF($U9=1,_xlfn.LET(_xlpm.n,COUNTIFS(nrES_PID,$B9,nrES_Absence,"Unexcused"),IF(_xlpm.n&gt;=2,_xlpm.n&amp;" unexcused missed exams (removal review)","unexcused missed exam (0 recorded)")),""))))</f>
        <v/>
      </c>
      <c r="U9" s="17">
        <f>IF($B9="","",IF(COUNTIFS(nrES_PID,$B9,nrES_Absence,"Unexcused")&gt;0,1,0))</f>
        <v/>
      </c>
    </row>
    <row r="10">
      <c r="B10" s="17">
        <f>IF(Cadets!$B10="","",Cadets!$B10)</f>
        <v/>
      </c>
      <c r="C10" s="17">
        <f>IF($B10="","",Cadets!$F10)</f>
        <v/>
      </c>
      <c r="D10" s="17">
        <f>IF($B10="","",Cadets!$I10)</f>
        <v/>
      </c>
      <c r="E10" s="17">
        <f>IF($B10="","",IF(N(sysGrades!$AC10)&gt;=cfgFlagConsecFails,1,0))</f>
        <v/>
      </c>
      <c r="F10" s="17">
        <f>IF($B10="","",IF(AND(sysGrades!$AB10&lt;&gt;"",sysGrades!$AB10&gt;=cfgFlagGradeDrop),1,0))</f>
        <v/>
      </c>
      <c r="G10" s="17">
        <f>IF($B10="","",IF(OR(AND(sysGrades!$I10&lt;&gt;"",sysGrades!$I10&lt;cfgThresholdScore+cfgFlagCategoryMargin),AND(sysGrades!$J10&lt;&gt;"",sysGrades!$J10&lt;cfgThresholdScore+cfgFlagCategoryMargin)),1,0))</f>
        <v/>
      </c>
      <c r="H10" s="17">
        <f>IF($B10="","",IF(Spelling!$R10="INTERVENTION",1,0))</f>
        <v/>
      </c>
      <c r="I10" s="17">
        <f>IF($B10="","",IF(OR(N(sysAttendance!$I10)&gt;=cfgMakeupAdvisoryMin,sysAttendance!$Q10&gt;=cfgFlagAttendancePct),1,0))</f>
        <v/>
      </c>
      <c r="J10" s="17">
        <f>IF($B10="","",IF(sysIncidents!$H10&gt;=cfgFlagOpenIncidents,1,0))</f>
        <v/>
      </c>
      <c r="K10" s="17">
        <f>IF($B10="","",IF(N(Writing!$AS10)&gt;=cfgFlagOverdueWriting,1,0))</f>
        <v/>
      </c>
      <c r="L10" s="17">
        <f>IF($B10="","",IF(COUNTIFS(nrES_PID,$B10,nrES_RetStat,"OVERDUE")+COUNTIFS(nrES_PID,$B10,nrES_RetStat,"CHECK DATE")+COUNTIFS(nrES_PID,$B10,nrES_RetStat,"LATE RETEST*")+COUNTIFS(nrES_PID,$B10,nrES_RetStat,"RETEST UNDATED")+COUNTIFS(nrES_PID,$B10,nrES_RetStat,"RETEST DATE UNCHECKED")&gt;0,1,0))</f>
        <v/>
      </c>
      <c r="M10" s="17">
        <f>IF($B10="","",IF(OR(PT!$K10="No",PT!$AB10="No",PT!$AB10="Incomplete"),1,0))</f>
        <v/>
      </c>
      <c r="N10" s="17">
        <f>IF($B10="","",IF(COUNTIFS(nrMD_PID,$B10,nrMD_Status,"RESTRICTION EXPIRED")&gt;0,1,0))</f>
        <v/>
      </c>
      <c r="O10" s="17">
        <f>IF($B10="","",IF(Certifications!$U10&lt;&gt;"",1,0))</f>
        <v/>
      </c>
      <c r="P10" s="17">
        <f>IF($B10="","",IF(COUNTIFS(nrME_PID,$B10,nrME_Status,"OVERDUE")+COUNTIFS(nrME_PID,$B10,nrME_Status,"CHECK DATE")&gt;0,1,0))</f>
        <v/>
      </c>
      <c r="Q10" s="17">
        <f>IF($B10="","",IF(SUMPRODUCT((nrAT_PID=$B10)*(nrAT_Cleared="OPEN"))&gt;0,1,0))</f>
        <v/>
      </c>
      <c r="R10" s="17">
        <f>IF($B10="","",IF(sysChecks!$M10="Yes",1,0))</f>
        <v/>
      </c>
      <c r="S10" s="17">
        <f>IF($B10="","",SUM($E10:$R10)+N($U10))</f>
        <v/>
      </c>
      <c r="T10" s="17">
        <f>IF($B10="","",IF($S10=0,"",_xlfn.TEXTJOIN("; ",TRUE,IF($E10=1,"consecutive exam fails",""),IF($F10=1,"grade dropped "&amp;sysGrades!$AB10&amp;" pts",""),IF($G10=1,"category avg near 70",""),IF($H10=1,"spelling below "&amp;cfgSpellInterventionAvg,""),IF($I10=1,"attendance at "&amp;TEXT(MAX(sysAttendance!$I10,sysAttendance!$Q10),"0%")&amp;" of cap",""),IF($J10=1,"open negative incidents",""),IF($K10=1,N(Writing!$AS10)&amp;" overdue writing",""),IF($L10=1,"RETEST OVERDUE / LATE",""),IF($M10=1,"PT failure",""),IF($N10=1,"medical restriction expired",""),IF($O10=1,"cert copies outstanding: "&amp;Certifications!$U10,""),IF($P10=1,"OVERDUE MEMO",""),IF($Q10=1,SUMPRODUCT((nrAT_PID=$B10)*(nrAT_Cleared="OPEN"))&amp;" uncleared missed-time event(s)",""),IF($R10=1,"DISMISSAL REVIEW OPEN ("&amp;sysChecks!$U10&amp;")",""),IF($U10=1,_xlfn.LET(_xlpm.n,COUNTIFS(nrES_PID,$B10,nrES_Absence,"Unexcused"),IF(_xlpm.n&gt;=2,_xlpm.n&amp;" unexcused missed exams (removal review)","unexcused missed exam (0 recorded)")),""))))</f>
        <v/>
      </c>
      <c r="U10" s="17">
        <f>IF($B10="","",IF(COUNTIFS(nrES_PID,$B10,nrES_Absence,"Unexcused")&gt;0,1,0))</f>
        <v/>
      </c>
    </row>
    <row r="11">
      <c r="B11" s="17">
        <f>IF(Cadets!$B11="","",Cadets!$B11)</f>
        <v/>
      </c>
      <c r="C11" s="17">
        <f>IF($B11="","",Cadets!$F11)</f>
        <v/>
      </c>
      <c r="D11" s="17">
        <f>IF($B11="","",Cadets!$I11)</f>
        <v/>
      </c>
      <c r="E11" s="17">
        <f>IF($B11="","",IF(N(sysGrades!$AC11)&gt;=cfgFlagConsecFails,1,0))</f>
        <v/>
      </c>
      <c r="F11" s="17">
        <f>IF($B11="","",IF(AND(sysGrades!$AB11&lt;&gt;"",sysGrades!$AB11&gt;=cfgFlagGradeDrop),1,0))</f>
        <v/>
      </c>
      <c r="G11" s="17">
        <f>IF($B11="","",IF(OR(AND(sysGrades!$I11&lt;&gt;"",sysGrades!$I11&lt;cfgThresholdScore+cfgFlagCategoryMargin),AND(sysGrades!$J11&lt;&gt;"",sysGrades!$J11&lt;cfgThresholdScore+cfgFlagCategoryMargin)),1,0))</f>
        <v/>
      </c>
      <c r="H11" s="17">
        <f>IF($B11="","",IF(Spelling!$R11="INTERVENTION",1,0))</f>
        <v/>
      </c>
      <c r="I11" s="17">
        <f>IF($B11="","",IF(OR(N(sysAttendance!$I11)&gt;=cfgMakeupAdvisoryMin,sysAttendance!$Q11&gt;=cfgFlagAttendancePct),1,0))</f>
        <v/>
      </c>
      <c r="J11" s="17">
        <f>IF($B11="","",IF(sysIncidents!$H11&gt;=cfgFlagOpenIncidents,1,0))</f>
        <v/>
      </c>
      <c r="K11" s="17">
        <f>IF($B11="","",IF(N(Writing!$AS11)&gt;=cfgFlagOverdueWriting,1,0))</f>
        <v/>
      </c>
      <c r="L11" s="17">
        <f>IF($B11="","",IF(COUNTIFS(nrES_PID,$B11,nrES_RetStat,"OVERDUE")+COUNTIFS(nrES_PID,$B11,nrES_RetStat,"CHECK DATE")+COUNTIFS(nrES_PID,$B11,nrES_RetStat,"LATE RETEST*")+COUNTIFS(nrES_PID,$B11,nrES_RetStat,"RETEST UNDATED")+COUNTIFS(nrES_PID,$B11,nrES_RetStat,"RETEST DATE UNCHECKED")&gt;0,1,0))</f>
        <v/>
      </c>
      <c r="M11" s="17">
        <f>IF($B11="","",IF(OR(PT!$K11="No",PT!$AB11="No",PT!$AB11="Incomplete"),1,0))</f>
        <v/>
      </c>
      <c r="N11" s="17">
        <f>IF($B11="","",IF(COUNTIFS(nrMD_PID,$B11,nrMD_Status,"RESTRICTION EXPIRED")&gt;0,1,0))</f>
        <v/>
      </c>
      <c r="O11" s="17">
        <f>IF($B11="","",IF(Certifications!$U11&lt;&gt;"",1,0))</f>
        <v/>
      </c>
      <c r="P11" s="17">
        <f>IF($B11="","",IF(COUNTIFS(nrME_PID,$B11,nrME_Status,"OVERDUE")+COUNTIFS(nrME_PID,$B11,nrME_Status,"CHECK DATE")&gt;0,1,0))</f>
        <v/>
      </c>
      <c r="Q11" s="17">
        <f>IF($B11="","",IF(SUMPRODUCT((nrAT_PID=$B11)*(nrAT_Cleared="OPEN"))&gt;0,1,0))</f>
        <v/>
      </c>
      <c r="R11" s="17">
        <f>IF($B11="","",IF(sysChecks!$M11="Yes",1,0))</f>
        <v/>
      </c>
      <c r="S11" s="17">
        <f>IF($B11="","",SUM($E11:$R11)+N($U11))</f>
        <v/>
      </c>
      <c r="T11" s="17">
        <f>IF($B11="","",IF($S11=0,"",_xlfn.TEXTJOIN("; ",TRUE,IF($E11=1,"consecutive exam fails",""),IF($F11=1,"grade dropped "&amp;sysGrades!$AB11&amp;" pts",""),IF($G11=1,"category avg near 70",""),IF($H11=1,"spelling below "&amp;cfgSpellInterventionAvg,""),IF($I11=1,"attendance at "&amp;TEXT(MAX(sysAttendance!$I11,sysAttendance!$Q11),"0%")&amp;" of cap",""),IF($J11=1,"open negative incidents",""),IF($K11=1,N(Writing!$AS11)&amp;" overdue writing",""),IF($L11=1,"RETEST OVERDUE / LATE",""),IF($M11=1,"PT failure",""),IF($N11=1,"medical restriction expired",""),IF($O11=1,"cert copies outstanding: "&amp;Certifications!$U11,""),IF($P11=1,"OVERDUE MEMO",""),IF($Q11=1,SUMPRODUCT((nrAT_PID=$B11)*(nrAT_Cleared="OPEN"))&amp;" uncleared missed-time event(s)",""),IF($R11=1,"DISMISSAL REVIEW OPEN ("&amp;sysChecks!$U11&amp;")",""),IF($U11=1,_xlfn.LET(_xlpm.n,COUNTIFS(nrES_PID,$B11,nrES_Absence,"Unexcused"),IF(_xlpm.n&gt;=2,_xlpm.n&amp;" unexcused missed exams (removal review)","unexcused missed exam (0 recorded)")),""))))</f>
        <v/>
      </c>
      <c r="U11" s="17">
        <f>IF($B11="","",IF(COUNTIFS(nrES_PID,$B11,nrES_Absence,"Unexcused")&gt;0,1,0))</f>
        <v/>
      </c>
    </row>
    <row r="12">
      <c r="B12" s="17">
        <f>IF(Cadets!$B12="","",Cadets!$B12)</f>
        <v/>
      </c>
      <c r="C12" s="17">
        <f>IF($B12="","",Cadets!$F12)</f>
        <v/>
      </c>
      <c r="D12" s="17">
        <f>IF($B12="","",Cadets!$I12)</f>
        <v/>
      </c>
      <c r="E12" s="17">
        <f>IF($B12="","",IF(N(sysGrades!$AC12)&gt;=cfgFlagConsecFails,1,0))</f>
        <v/>
      </c>
      <c r="F12" s="17">
        <f>IF($B12="","",IF(AND(sysGrades!$AB12&lt;&gt;"",sysGrades!$AB12&gt;=cfgFlagGradeDrop),1,0))</f>
        <v/>
      </c>
      <c r="G12" s="17">
        <f>IF($B12="","",IF(OR(AND(sysGrades!$I12&lt;&gt;"",sysGrades!$I12&lt;cfgThresholdScore+cfgFlagCategoryMargin),AND(sysGrades!$J12&lt;&gt;"",sysGrades!$J12&lt;cfgThresholdScore+cfgFlagCategoryMargin)),1,0))</f>
        <v/>
      </c>
      <c r="H12" s="17">
        <f>IF($B12="","",IF(Spelling!$R12="INTERVENTION",1,0))</f>
        <v/>
      </c>
      <c r="I12" s="17">
        <f>IF($B12="","",IF(OR(N(sysAttendance!$I12)&gt;=cfgMakeupAdvisoryMin,sysAttendance!$Q12&gt;=cfgFlagAttendancePct),1,0))</f>
        <v/>
      </c>
      <c r="J12" s="17">
        <f>IF($B12="","",IF(sysIncidents!$H12&gt;=cfgFlagOpenIncidents,1,0))</f>
        <v/>
      </c>
      <c r="K12" s="17">
        <f>IF($B12="","",IF(N(Writing!$AS12)&gt;=cfgFlagOverdueWriting,1,0))</f>
        <v/>
      </c>
      <c r="L12" s="17">
        <f>IF($B12="","",IF(COUNTIFS(nrES_PID,$B12,nrES_RetStat,"OVERDUE")+COUNTIFS(nrES_PID,$B12,nrES_RetStat,"CHECK DATE")+COUNTIFS(nrES_PID,$B12,nrES_RetStat,"LATE RETEST*")+COUNTIFS(nrES_PID,$B12,nrES_RetStat,"RETEST UNDATED")+COUNTIFS(nrES_PID,$B12,nrES_RetStat,"RETEST DATE UNCHECKED")&gt;0,1,0))</f>
        <v/>
      </c>
      <c r="M12" s="17">
        <f>IF($B12="","",IF(OR(PT!$K12="No",PT!$AB12="No",PT!$AB12="Incomplete"),1,0))</f>
        <v/>
      </c>
      <c r="N12" s="17">
        <f>IF($B12="","",IF(COUNTIFS(nrMD_PID,$B12,nrMD_Status,"RESTRICTION EXPIRED")&gt;0,1,0))</f>
        <v/>
      </c>
      <c r="O12" s="17">
        <f>IF($B12="","",IF(Certifications!$U12&lt;&gt;"",1,0))</f>
        <v/>
      </c>
      <c r="P12" s="17">
        <f>IF($B12="","",IF(COUNTIFS(nrME_PID,$B12,nrME_Status,"OVERDUE")+COUNTIFS(nrME_PID,$B12,nrME_Status,"CHECK DATE")&gt;0,1,0))</f>
        <v/>
      </c>
      <c r="Q12" s="17">
        <f>IF($B12="","",IF(SUMPRODUCT((nrAT_PID=$B12)*(nrAT_Cleared="OPEN"))&gt;0,1,0))</f>
        <v/>
      </c>
      <c r="R12" s="17">
        <f>IF($B12="","",IF(sysChecks!$M12="Yes",1,0))</f>
        <v/>
      </c>
      <c r="S12" s="17">
        <f>IF($B12="","",SUM($E12:$R12)+N($U12))</f>
        <v/>
      </c>
      <c r="T12" s="17">
        <f>IF($B12="","",IF($S12=0,"",_xlfn.TEXTJOIN("; ",TRUE,IF($E12=1,"consecutive exam fails",""),IF($F12=1,"grade dropped "&amp;sysGrades!$AB12&amp;" pts",""),IF($G12=1,"category avg near 70",""),IF($H12=1,"spelling below "&amp;cfgSpellInterventionAvg,""),IF($I12=1,"attendance at "&amp;TEXT(MAX(sysAttendance!$I12,sysAttendance!$Q12),"0%")&amp;" of cap",""),IF($J12=1,"open negative incidents",""),IF($K12=1,N(Writing!$AS12)&amp;" overdue writing",""),IF($L12=1,"RETEST OVERDUE / LATE",""),IF($M12=1,"PT failure",""),IF($N12=1,"medical restriction expired",""),IF($O12=1,"cert copies outstanding: "&amp;Certifications!$U12,""),IF($P12=1,"OVERDUE MEMO",""),IF($Q12=1,SUMPRODUCT((nrAT_PID=$B12)*(nrAT_Cleared="OPEN"))&amp;" uncleared missed-time event(s)",""),IF($R12=1,"DISMISSAL REVIEW OPEN ("&amp;sysChecks!$U12&amp;")",""),IF($U12=1,_xlfn.LET(_xlpm.n,COUNTIFS(nrES_PID,$B12,nrES_Absence,"Unexcused"),IF(_xlpm.n&gt;=2,_xlpm.n&amp;" unexcused missed exams (removal review)","unexcused missed exam (0 recorded)")),""))))</f>
        <v/>
      </c>
      <c r="U12" s="17">
        <f>IF($B12="","",IF(COUNTIFS(nrES_PID,$B12,nrES_Absence,"Unexcused")&gt;0,1,0))</f>
        <v/>
      </c>
    </row>
    <row r="13">
      <c r="B13" s="17">
        <f>IF(Cadets!$B13="","",Cadets!$B13)</f>
        <v/>
      </c>
      <c r="C13" s="17">
        <f>IF($B13="","",Cadets!$F13)</f>
        <v/>
      </c>
      <c r="D13" s="17">
        <f>IF($B13="","",Cadets!$I13)</f>
        <v/>
      </c>
      <c r="E13" s="17">
        <f>IF($B13="","",IF(N(sysGrades!$AC13)&gt;=cfgFlagConsecFails,1,0))</f>
        <v/>
      </c>
      <c r="F13" s="17">
        <f>IF($B13="","",IF(AND(sysGrades!$AB13&lt;&gt;"",sysGrades!$AB13&gt;=cfgFlagGradeDrop),1,0))</f>
        <v/>
      </c>
      <c r="G13" s="17">
        <f>IF($B13="","",IF(OR(AND(sysGrades!$I13&lt;&gt;"",sysGrades!$I13&lt;cfgThresholdScore+cfgFlagCategoryMargin),AND(sysGrades!$J13&lt;&gt;"",sysGrades!$J13&lt;cfgThresholdScore+cfgFlagCategoryMargin)),1,0))</f>
        <v/>
      </c>
      <c r="H13" s="17">
        <f>IF($B13="","",IF(Spelling!$R13="INTERVENTION",1,0))</f>
        <v/>
      </c>
      <c r="I13" s="17">
        <f>IF($B13="","",IF(OR(N(sysAttendance!$I13)&gt;=cfgMakeupAdvisoryMin,sysAttendance!$Q13&gt;=cfgFlagAttendancePct),1,0))</f>
        <v/>
      </c>
      <c r="J13" s="17">
        <f>IF($B13="","",IF(sysIncidents!$H13&gt;=cfgFlagOpenIncidents,1,0))</f>
        <v/>
      </c>
      <c r="K13" s="17">
        <f>IF($B13="","",IF(N(Writing!$AS13)&gt;=cfgFlagOverdueWriting,1,0))</f>
        <v/>
      </c>
      <c r="L13" s="17">
        <f>IF($B13="","",IF(COUNTIFS(nrES_PID,$B13,nrES_RetStat,"OVERDUE")+COUNTIFS(nrES_PID,$B13,nrES_RetStat,"CHECK DATE")+COUNTIFS(nrES_PID,$B13,nrES_RetStat,"LATE RETEST*")+COUNTIFS(nrES_PID,$B13,nrES_RetStat,"RETEST UNDATED")+COUNTIFS(nrES_PID,$B13,nrES_RetStat,"RETEST DATE UNCHECKED")&gt;0,1,0))</f>
        <v/>
      </c>
      <c r="M13" s="17">
        <f>IF($B13="","",IF(OR(PT!$K13="No",PT!$AB13="No",PT!$AB13="Incomplete"),1,0))</f>
        <v/>
      </c>
      <c r="N13" s="17">
        <f>IF($B13="","",IF(COUNTIFS(nrMD_PID,$B13,nrMD_Status,"RESTRICTION EXPIRED")&gt;0,1,0))</f>
        <v/>
      </c>
      <c r="O13" s="17">
        <f>IF($B13="","",IF(Certifications!$U13&lt;&gt;"",1,0))</f>
        <v/>
      </c>
      <c r="P13" s="17">
        <f>IF($B13="","",IF(COUNTIFS(nrME_PID,$B13,nrME_Status,"OVERDUE")+COUNTIFS(nrME_PID,$B13,nrME_Status,"CHECK DATE")&gt;0,1,0))</f>
        <v/>
      </c>
      <c r="Q13" s="17">
        <f>IF($B13="","",IF(SUMPRODUCT((nrAT_PID=$B13)*(nrAT_Cleared="OPEN"))&gt;0,1,0))</f>
        <v/>
      </c>
      <c r="R13" s="17">
        <f>IF($B13="","",IF(sysChecks!$M13="Yes",1,0))</f>
        <v/>
      </c>
      <c r="S13" s="17">
        <f>IF($B13="","",SUM($E13:$R13)+N($U13))</f>
        <v/>
      </c>
      <c r="T13" s="17">
        <f>IF($B13="","",IF($S13=0,"",_xlfn.TEXTJOIN("; ",TRUE,IF($E13=1,"consecutive exam fails",""),IF($F13=1,"grade dropped "&amp;sysGrades!$AB13&amp;" pts",""),IF($G13=1,"category avg near 70",""),IF($H13=1,"spelling below "&amp;cfgSpellInterventionAvg,""),IF($I13=1,"attendance at "&amp;TEXT(MAX(sysAttendance!$I13,sysAttendance!$Q13),"0%")&amp;" of cap",""),IF($J13=1,"open negative incidents",""),IF($K13=1,N(Writing!$AS13)&amp;" overdue writing",""),IF($L13=1,"RETEST OVERDUE / LATE",""),IF($M13=1,"PT failure",""),IF($N13=1,"medical restriction expired",""),IF($O13=1,"cert copies outstanding: "&amp;Certifications!$U13,""),IF($P13=1,"OVERDUE MEMO",""),IF($Q13=1,SUMPRODUCT((nrAT_PID=$B13)*(nrAT_Cleared="OPEN"))&amp;" uncleared missed-time event(s)",""),IF($R13=1,"DISMISSAL REVIEW OPEN ("&amp;sysChecks!$U13&amp;")",""),IF($U13=1,_xlfn.LET(_xlpm.n,COUNTIFS(nrES_PID,$B13,nrES_Absence,"Unexcused"),IF(_xlpm.n&gt;=2,_xlpm.n&amp;" unexcused missed exams (removal review)","unexcused missed exam (0 recorded)")),""))))</f>
        <v/>
      </c>
      <c r="U13" s="17">
        <f>IF($B13="","",IF(COUNTIFS(nrES_PID,$B13,nrES_Absence,"Unexcused")&gt;0,1,0))</f>
        <v/>
      </c>
    </row>
    <row r="14">
      <c r="B14" s="17">
        <f>IF(Cadets!$B14="","",Cadets!$B14)</f>
        <v/>
      </c>
      <c r="C14" s="17">
        <f>IF($B14="","",Cadets!$F14)</f>
        <v/>
      </c>
      <c r="D14" s="17">
        <f>IF($B14="","",Cadets!$I14)</f>
        <v/>
      </c>
      <c r="E14" s="17">
        <f>IF($B14="","",IF(N(sysGrades!$AC14)&gt;=cfgFlagConsecFails,1,0))</f>
        <v/>
      </c>
      <c r="F14" s="17">
        <f>IF($B14="","",IF(AND(sysGrades!$AB14&lt;&gt;"",sysGrades!$AB14&gt;=cfgFlagGradeDrop),1,0))</f>
        <v/>
      </c>
      <c r="G14" s="17">
        <f>IF($B14="","",IF(OR(AND(sysGrades!$I14&lt;&gt;"",sysGrades!$I14&lt;cfgThresholdScore+cfgFlagCategoryMargin),AND(sysGrades!$J14&lt;&gt;"",sysGrades!$J14&lt;cfgThresholdScore+cfgFlagCategoryMargin)),1,0))</f>
        <v/>
      </c>
      <c r="H14" s="17">
        <f>IF($B14="","",IF(Spelling!$R14="INTERVENTION",1,0))</f>
        <v/>
      </c>
      <c r="I14" s="17">
        <f>IF($B14="","",IF(OR(N(sysAttendance!$I14)&gt;=cfgMakeupAdvisoryMin,sysAttendance!$Q14&gt;=cfgFlagAttendancePct),1,0))</f>
        <v/>
      </c>
      <c r="J14" s="17">
        <f>IF($B14="","",IF(sysIncidents!$H14&gt;=cfgFlagOpenIncidents,1,0))</f>
        <v/>
      </c>
      <c r="K14" s="17">
        <f>IF($B14="","",IF(N(Writing!$AS14)&gt;=cfgFlagOverdueWriting,1,0))</f>
        <v/>
      </c>
      <c r="L14" s="17">
        <f>IF($B14="","",IF(COUNTIFS(nrES_PID,$B14,nrES_RetStat,"OVERDUE")+COUNTIFS(nrES_PID,$B14,nrES_RetStat,"CHECK DATE")+COUNTIFS(nrES_PID,$B14,nrES_RetStat,"LATE RETEST*")+COUNTIFS(nrES_PID,$B14,nrES_RetStat,"RETEST UNDATED")+COUNTIFS(nrES_PID,$B14,nrES_RetStat,"RETEST DATE UNCHECKED")&gt;0,1,0))</f>
        <v/>
      </c>
      <c r="M14" s="17">
        <f>IF($B14="","",IF(OR(PT!$K14="No",PT!$AB14="No",PT!$AB14="Incomplete"),1,0))</f>
        <v/>
      </c>
      <c r="N14" s="17">
        <f>IF($B14="","",IF(COUNTIFS(nrMD_PID,$B14,nrMD_Status,"RESTRICTION EXPIRED")&gt;0,1,0))</f>
        <v/>
      </c>
      <c r="O14" s="17">
        <f>IF($B14="","",IF(Certifications!$U14&lt;&gt;"",1,0))</f>
        <v/>
      </c>
      <c r="P14" s="17">
        <f>IF($B14="","",IF(COUNTIFS(nrME_PID,$B14,nrME_Status,"OVERDUE")+COUNTIFS(nrME_PID,$B14,nrME_Status,"CHECK DATE")&gt;0,1,0))</f>
        <v/>
      </c>
      <c r="Q14" s="17">
        <f>IF($B14="","",IF(SUMPRODUCT((nrAT_PID=$B14)*(nrAT_Cleared="OPEN"))&gt;0,1,0))</f>
        <v/>
      </c>
      <c r="R14" s="17">
        <f>IF($B14="","",IF(sysChecks!$M14="Yes",1,0))</f>
        <v/>
      </c>
      <c r="S14" s="17">
        <f>IF($B14="","",SUM($E14:$R14)+N($U14))</f>
        <v/>
      </c>
      <c r="T14" s="17">
        <f>IF($B14="","",IF($S14=0,"",_xlfn.TEXTJOIN("; ",TRUE,IF($E14=1,"consecutive exam fails",""),IF($F14=1,"grade dropped "&amp;sysGrades!$AB14&amp;" pts",""),IF($G14=1,"category avg near 70",""),IF($H14=1,"spelling below "&amp;cfgSpellInterventionAvg,""),IF($I14=1,"attendance at "&amp;TEXT(MAX(sysAttendance!$I14,sysAttendance!$Q14),"0%")&amp;" of cap",""),IF($J14=1,"open negative incidents",""),IF($K14=1,N(Writing!$AS14)&amp;" overdue writing",""),IF($L14=1,"RETEST OVERDUE / LATE",""),IF($M14=1,"PT failure",""),IF($N14=1,"medical restriction expired",""),IF($O14=1,"cert copies outstanding: "&amp;Certifications!$U14,""),IF($P14=1,"OVERDUE MEMO",""),IF($Q14=1,SUMPRODUCT((nrAT_PID=$B14)*(nrAT_Cleared="OPEN"))&amp;" uncleared missed-time event(s)",""),IF($R14=1,"DISMISSAL REVIEW OPEN ("&amp;sysChecks!$U14&amp;")",""),IF($U14=1,_xlfn.LET(_xlpm.n,COUNTIFS(nrES_PID,$B14,nrES_Absence,"Unexcused"),IF(_xlpm.n&gt;=2,_xlpm.n&amp;" unexcused missed exams (removal review)","unexcused missed exam (0 recorded)")),""))))</f>
        <v/>
      </c>
      <c r="U14" s="17">
        <f>IF($B14="","",IF(COUNTIFS(nrES_PID,$B14,nrES_Absence,"Unexcused")&gt;0,1,0))</f>
        <v/>
      </c>
    </row>
    <row r="15">
      <c r="B15" s="17">
        <f>IF(Cadets!$B15="","",Cadets!$B15)</f>
        <v/>
      </c>
      <c r="C15" s="17">
        <f>IF($B15="","",Cadets!$F15)</f>
        <v/>
      </c>
      <c r="D15" s="17">
        <f>IF($B15="","",Cadets!$I15)</f>
        <v/>
      </c>
      <c r="E15" s="17">
        <f>IF($B15="","",IF(N(sysGrades!$AC15)&gt;=cfgFlagConsecFails,1,0))</f>
        <v/>
      </c>
      <c r="F15" s="17">
        <f>IF($B15="","",IF(AND(sysGrades!$AB15&lt;&gt;"",sysGrades!$AB15&gt;=cfgFlagGradeDrop),1,0))</f>
        <v/>
      </c>
      <c r="G15" s="17">
        <f>IF($B15="","",IF(OR(AND(sysGrades!$I15&lt;&gt;"",sysGrades!$I15&lt;cfgThresholdScore+cfgFlagCategoryMargin),AND(sysGrades!$J15&lt;&gt;"",sysGrades!$J15&lt;cfgThresholdScore+cfgFlagCategoryMargin)),1,0))</f>
        <v/>
      </c>
      <c r="H15" s="17">
        <f>IF($B15="","",IF(Spelling!$R15="INTERVENTION",1,0))</f>
        <v/>
      </c>
      <c r="I15" s="17">
        <f>IF($B15="","",IF(OR(N(sysAttendance!$I15)&gt;=cfgMakeupAdvisoryMin,sysAttendance!$Q15&gt;=cfgFlagAttendancePct),1,0))</f>
        <v/>
      </c>
      <c r="J15" s="17">
        <f>IF($B15="","",IF(sysIncidents!$H15&gt;=cfgFlagOpenIncidents,1,0))</f>
        <v/>
      </c>
      <c r="K15" s="17">
        <f>IF($B15="","",IF(N(Writing!$AS15)&gt;=cfgFlagOverdueWriting,1,0))</f>
        <v/>
      </c>
      <c r="L15" s="17">
        <f>IF($B15="","",IF(COUNTIFS(nrES_PID,$B15,nrES_RetStat,"OVERDUE")+COUNTIFS(nrES_PID,$B15,nrES_RetStat,"CHECK DATE")+COUNTIFS(nrES_PID,$B15,nrES_RetStat,"LATE RETEST*")+COUNTIFS(nrES_PID,$B15,nrES_RetStat,"RETEST UNDATED")+COUNTIFS(nrES_PID,$B15,nrES_RetStat,"RETEST DATE UNCHECKED")&gt;0,1,0))</f>
        <v/>
      </c>
      <c r="M15" s="17">
        <f>IF($B15="","",IF(OR(PT!$K15="No",PT!$AB15="No",PT!$AB15="Incomplete"),1,0))</f>
        <v/>
      </c>
      <c r="N15" s="17">
        <f>IF($B15="","",IF(COUNTIFS(nrMD_PID,$B15,nrMD_Status,"RESTRICTION EXPIRED")&gt;0,1,0))</f>
        <v/>
      </c>
      <c r="O15" s="17">
        <f>IF($B15="","",IF(Certifications!$U15&lt;&gt;"",1,0))</f>
        <v/>
      </c>
      <c r="P15" s="17">
        <f>IF($B15="","",IF(COUNTIFS(nrME_PID,$B15,nrME_Status,"OVERDUE")+COUNTIFS(nrME_PID,$B15,nrME_Status,"CHECK DATE")&gt;0,1,0))</f>
        <v/>
      </c>
      <c r="Q15" s="17">
        <f>IF($B15="","",IF(SUMPRODUCT((nrAT_PID=$B15)*(nrAT_Cleared="OPEN"))&gt;0,1,0))</f>
        <v/>
      </c>
      <c r="R15" s="17">
        <f>IF($B15="","",IF(sysChecks!$M15="Yes",1,0))</f>
        <v/>
      </c>
      <c r="S15" s="17">
        <f>IF($B15="","",SUM($E15:$R15)+N($U15))</f>
        <v/>
      </c>
      <c r="T15" s="17">
        <f>IF($B15="","",IF($S15=0,"",_xlfn.TEXTJOIN("; ",TRUE,IF($E15=1,"consecutive exam fails",""),IF($F15=1,"grade dropped "&amp;sysGrades!$AB15&amp;" pts",""),IF($G15=1,"category avg near 70",""),IF($H15=1,"spelling below "&amp;cfgSpellInterventionAvg,""),IF($I15=1,"attendance at "&amp;TEXT(MAX(sysAttendance!$I15,sysAttendance!$Q15),"0%")&amp;" of cap",""),IF($J15=1,"open negative incidents",""),IF($K15=1,N(Writing!$AS15)&amp;" overdue writing",""),IF($L15=1,"RETEST OVERDUE / LATE",""),IF($M15=1,"PT failure",""),IF($N15=1,"medical restriction expired",""),IF($O15=1,"cert copies outstanding: "&amp;Certifications!$U15,""),IF($P15=1,"OVERDUE MEMO",""),IF($Q15=1,SUMPRODUCT((nrAT_PID=$B15)*(nrAT_Cleared="OPEN"))&amp;" uncleared missed-time event(s)",""),IF($R15=1,"DISMISSAL REVIEW OPEN ("&amp;sysChecks!$U15&amp;")",""),IF($U15=1,_xlfn.LET(_xlpm.n,COUNTIFS(nrES_PID,$B15,nrES_Absence,"Unexcused"),IF(_xlpm.n&gt;=2,_xlpm.n&amp;" unexcused missed exams (removal review)","unexcused missed exam (0 recorded)")),""))))</f>
        <v/>
      </c>
      <c r="U15" s="17">
        <f>IF($B15="","",IF(COUNTIFS(nrES_PID,$B15,nrES_Absence,"Unexcused")&gt;0,1,0))</f>
        <v/>
      </c>
    </row>
    <row r="16">
      <c r="B16" s="17">
        <f>IF(Cadets!$B16="","",Cadets!$B16)</f>
        <v/>
      </c>
      <c r="C16" s="17">
        <f>IF($B16="","",Cadets!$F16)</f>
        <v/>
      </c>
      <c r="D16" s="17">
        <f>IF($B16="","",Cadets!$I16)</f>
        <v/>
      </c>
      <c r="E16" s="17">
        <f>IF($B16="","",IF(N(sysGrades!$AC16)&gt;=cfgFlagConsecFails,1,0))</f>
        <v/>
      </c>
      <c r="F16" s="17">
        <f>IF($B16="","",IF(AND(sysGrades!$AB16&lt;&gt;"",sysGrades!$AB16&gt;=cfgFlagGradeDrop),1,0))</f>
        <v/>
      </c>
      <c r="G16" s="17">
        <f>IF($B16="","",IF(OR(AND(sysGrades!$I16&lt;&gt;"",sysGrades!$I16&lt;cfgThresholdScore+cfgFlagCategoryMargin),AND(sysGrades!$J16&lt;&gt;"",sysGrades!$J16&lt;cfgThresholdScore+cfgFlagCategoryMargin)),1,0))</f>
        <v/>
      </c>
      <c r="H16" s="17">
        <f>IF($B16="","",IF(Spelling!$R16="INTERVENTION",1,0))</f>
        <v/>
      </c>
      <c r="I16" s="17">
        <f>IF($B16="","",IF(OR(N(sysAttendance!$I16)&gt;=cfgMakeupAdvisoryMin,sysAttendance!$Q16&gt;=cfgFlagAttendancePct),1,0))</f>
        <v/>
      </c>
      <c r="J16" s="17">
        <f>IF($B16="","",IF(sysIncidents!$H16&gt;=cfgFlagOpenIncidents,1,0))</f>
        <v/>
      </c>
      <c r="K16" s="17">
        <f>IF($B16="","",IF(N(Writing!$AS16)&gt;=cfgFlagOverdueWriting,1,0))</f>
        <v/>
      </c>
      <c r="L16" s="17">
        <f>IF($B16="","",IF(COUNTIFS(nrES_PID,$B16,nrES_RetStat,"OVERDUE")+COUNTIFS(nrES_PID,$B16,nrES_RetStat,"CHECK DATE")+COUNTIFS(nrES_PID,$B16,nrES_RetStat,"LATE RETEST*")+COUNTIFS(nrES_PID,$B16,nrES_RetStat,"RETEST UNDATED")+COUNTIFS(nrES_PID,$B16,nrES_RetStat,"RETEST DATE UNCHECKED")&gt;0,1,0))</f>
        <v/>
      </c>
      <c r="M16" s="17">
        <f>IF($B16="","",IF(OR(PT!$K16="No",PT!$AB16="No",PT!$AB16="Incomplete"),1,0))</f>
        <v/>
      </c>
      <c r="N16" s="17">
        <f>IF($B16="","",IF(COUNTIFS(nrMD_PID,$B16,nrMD_Status,"RESTRICTION EXPIRED")&gt;0,1,0))</f>
        <v/>
      </c>
      <c r="O16" s="17">
        <f>IF($B16="","",IF(Certifications!$U16&lt;&gt;"",1,0))</f>
        <v/>
      </c>
      <c r="P16" s="17">
        <f>IF($B16="","",IF(COUNTIFS(nrME_PID,$B16,nrME_Status,"OVERDUE")+COUNTIFS(nrME_PID,$B16,nrME_Status,"CHECK DATE")&gt;0,1,0))</f>
        <v/>
      </c>
      <c r="Q16" s="17">
        <f>IF($B16="","",IF(SUMPRODUCT((nrAT_PID=$B16)*(nrAT_Cleared="OPEN"))&gt;0,1,0))</f>
        <v/>
      </c>
      <c r="R16" s="17">
        <f>IF($B16="","",IF(sysChecks!$M16="Yes",1,0))</f>
        <v/>
      </c>
      <c r="S16" s="17">
        <f>IF($B16="","",SUM($E16:$R16)+N($U16))</f>
        <v/>
      </c>
      <c r="T16" s="17">
        <f>IF($B16="","",IF($S16=0,"",_xlfn.TEXTJOIN("; ",TRUE,IF($E16=1,"consecutive exam fails",""),IF($F16=1,"grade dropped "&amp;sysGrades!$AB16&amp;" pts",""),IF($G16=1,"category avg near 70",""),IF($H16=1,"spelling below "&amp;cfgSpellInterventionAvg,""),IF($I16=1,"attendance at "&amp;TEXT(MAX(sysAttendance!$I16,sysAttendance!$Q16),"0%")&amp;" of cap",""),IF($J16=1,"open negative incidents",""),IF($K16=1,N(Writing!$AS16)&amp;" overdue writing",""),IF($L16=1,"RETEST OVERDUE / LATE",""),IF($M16=1,"PT failure",""),IF($N16=1,"medical restriction expired",""),IF($O16=1,"cert copies outstanding: "&amp;Certifications!$U16,""),IF($P16=1,"OVERDUE MEMO",""),IF($Q16=1,SUMPRODUCT((nrAT_PID=$B16)*(nrAT_Cleared="OPEN"))&amp;" uncleared missed-time event(s)",""),IF($R16=1,"DISMISSAL REVIEW OPEN ("&amp;sysChecks!$U16&amp;")",""),IF($U16=1,_xlfn.LET(_xlpm.n,COUNTIFS(nrES_PID,$B16,nrES_Absence,"Unexcused"),IF(_xlpm.n&gt;=2,_xlpm.n&amp;" unexcused missed exams (removal review)","unexcused missed exam (0 recorded)")),""))))</f>
        <v/>
      </c>
      <c r="U16" s="17">
        <f>IF($B16="","",IF(COUNTIFS(nrES_PID,$B16,nrES_Absence,"Unexcused")&gt;0,1,0))</f>
        <v/>
      </c>
    </row>
    <row r="17">
      <c r="B17" s="17">
        <f>IF(Cadets!$B17="","",Cadets!$B17)</f>
        <v/>
      </c>
      <c r="C17" s="17">
        <f>IF($B17="","",Cadets!$F17)</f>
        <v/>
      </c>
      <c r="D17" s="17">
        <f>IF($B17="","",Cadets!$I17)</f>
        <v/>
      </c>
      <c r="E17" s="17">
        <f>IF($B17="","",IF(N(sysGrades!$AC17)&gt;=cfgFlagConsecFails,1,0))</f>
        <v/>
      </c>
      <c r="F17" s="17">
        <f>IF($B17="","",IF(AND(sysGrades!$AB17&lt;&gt;"",sysGrades!$AB17&gt;=cfgFlagGradeDrop),1,0))</f>
        <v/>
      </c>
      <c r="G17" s="17">
        <f>IF($B17="","",IF(OR(AND(sysGrades!$I17&lt;&gt;"",sysGrades!$I17&lt;cfgThresholdScore+cfgFlagCategoryMargin),AND(sysGrades!$J17&lt;&gt;"",sysGrades!$J17&lt;cfgThresholdScore+cfgFlagCategoryMargin)),1,0))</f>
        <v/>
      </c>
      <c r="H17" s="17">
        <f>IF($B17="","",IF(Spelling!$R17="INTERVENTION",1,0))</f>
        <v/>
      </c>
      <c r="I17" s="17">
        <f>IF($B17="","",IF(OR(N(sysAttendance!$I17)&gt;=cfgMakeupAdvisoryMin,sysAttendance!$Q17&gt;=cfgFlagAttendancePct),1,0))</f>
        <v/>
      </c>
      <c r="J17" s="17">
        <f>IF($B17="","",IF(sysIncidents!$H17&gt;=cfgFlagOpenIncidents,1,0))</f>
        <v/>
      </c>
      <c r="K17" s="17">
        <f>IF($B17="","",IF(N(Writing!$AS17)&gt;=cfgFlagOverdueWriting,1,0))</f>
        <v/>
      </c>
      <c r="L17" s="17">
        <f>IF($B17="","",IF(COUNTIFS(nrES_PID,$B17,nrES_RetStat,"OVERDUE")+COUNTIFS(nrES_PID,$B17,nrES_RetStat,"CHECK DATE")+COUNTIFS(nrES_PID,$B17,nrES_RetStat,"LATE RETEST*")+COUNTIFS(nrES_PID,$B17,nrES_RetStat,"RETEST UNDATED")+COUNTIFS(nrES_PID,$B17,nrES_RetStat,"RETEST DATE UNCHECKED")&gt;0,1,0))</f>
        <v/>
      </c>
      <c r="M17" s="17">
        <f>IF($B17="","",IF(OR(PT!$K17="No",PT!$AB17="No",PT!$AB17="Incomplete"),1,0))</f>
        <v/>
      </c>
      <c r="N17" s="17">
        <f>IF($B17="","",IF(COUNTIFS(nrMD_PID,$B17,nrMD_Status,"RESTRICTION EXPIRED")&gt;0,1,0))</f>
        <v/>
      </c>
      <c r="O17" s="17">
        <f>IF($B17="","",IF(Certifications!$U17&lt;&gt;"",1,0))</f>
        <v/>
      </c>
      <c r="P17" s="17">
        <f>IF($B17="","",IF(COUNTIFS(nrME_PID,$B17,nrME_Status,"OVERDUE")+COUNTIFS(nrME_PID,$B17,nrME_Status,"CHECK DATE")&gt;0,1,0))</f>
        <v/>
      </c>
      <c r="Q17" s="17">
        <f>IF($B17="","",IF(SUMPRODUCT((nrAT_PID=$B17)*(nrAT_Cleared="OPEN"))&gt;0,1,0))</f>
        <v/>
      </c>
      <c r="R17" s="17">
        <f>IF($B17="","",IF(sysChecks!$M17="Yes",1,0))</f>
        <v/>
      </c>
      <c r="S17" s="17">
        <f>IF($B17="","",SUM($E17:$R17)+N($U17))</f>
        <v/>
      </c>
      <c r="T17" s="17">
        <f>IF($B17="","",IF($S17=0,"",_xlfn.TEXTJOIN("; ",TRUE,IF($E17=1,"consecutive exam fails",""),IF($F17=1,"grade dropped "&amp;sysGrades!$AB17&amp;" pts",""),IF($G17=1,"category avg near 70",""),IF($H17=1,"spelling below "&amp;cfgSpellInterventionAvg,""),IF($I17=1,"attendance at "&amp;TEXT(MAX(sysAttendance!$I17,sysAttendance!$Q17),"0%")&amp;" of cap",""),IF($J17=1,"open negative incidents",""),IF($K17=1,N(Writing!$AS17)&amp;" overdue writing",""),IF($L17=1,"RETEST OVERDUE / LATE",""),IF($M17=1,"PT failure",""),IF($N17=1,"medical restriction expired",""),IF($O17=1,"cert copies outstanding: "&amp;Certifications!$U17,""),IF($P17=1,"OVERDUE MEMO",""),IF($Q17=1,SUMPRODUCT((nrAT_PID=$B17)*(nrAT_Cleared="OPEN"))&amp;" uncleared missed-time event(s)",""),IF($R17=1,"DISMISSAL REVIEW OPEN ("&amp;sysChecks!$U17&amp;")",""),IF($U17=1,_xlfn.LET(_xlpm.n,COUNTIFS(nrES_PID,$B17,nrES_Absence,"Unexcused"),IF(_xlpm.n&gt;=2,_xlpm.n&amp;" unexcused missed exams (removal review)","unexcused missed exam (0 recorded)")),""))))</f>
        <v/>
      </c>
      <c r="U17" s="17">
        <f>IF($B17="","",IF(COUNTIFS(nrES_PID,$B17,nrES_Absence,"Unexcused")&gt;0,1,0))</f>
        <v/>
      </c>
    </row>
    <row r="18">
      <c r="B18" s="17">
        <f>IF(Cadets!$B18="","",Cadets!$B18)</f>
        <v/>
      </c>
      <c r="C18" s="17">
        <f>IF($B18="","",Cadets!$F18)</f>
        <v/>
      </c>
      <c r="D18" s="17">
        <f>IF($B18="","",Cadets!$I18)</f>
        <v/>
      </c>
      <c r="E18" s="17">
        <f>IF($B18="","",IF(N(sysGrades!$AC18)&gt;=cfgFlagConsecFails,1,0))</f>
        <v/>
      </c>
      <c r="F18" s="17">
        <f>IF($B18="","",IF(AND(sysGrades!$AB18&lt;&gt;"",sysGrades!$AB18&gt;=cfgFlagGradeDrop),1,0))</f>
        <v/>
      </c>
      <c r="G18" s="17">
        <f>IF($B18="","",IF(OR(AND(sysGrades!$I18&lt;&gt;"",sysGrades!$I18&lt;cfgThresholdScore+cfgFlagCategoryMargin),AND(sysGrades!$J18&lt;&gt;"",sysGrades!$J18&lt;cfgThresholdScore+cfgFlagCategoryMargin)),1,0))</f>
        <v/>
      </c>
      <c r="H18" s="17">
        <f>IF($B18="","",IF(Spelling!$R18="INTERVENTION",1,0))</f>
        <v/>
      </c>
      <c r="I18" s="17">
        <f>IF($B18="","",IF(OR(N(sysAttendance!$I18)&gt;=cfgMakeupAdvisoryMin,sysAttendance!$Q18&gt;=cfgFlagAttendancePct),1,0))</f>
        <v/>
      </c>
      <c r="J18" s="17">
        <f>IF($B18="","",IF(sysIncidents!$H18&gt;=cfgFlagOpenIncidents,1,0))</f>
        <v/>
      </c>
      <c r="K18" s="17">
        <f>IF($B18="","",IF(N(Writing!$AS18)&gt;=cfgFlagOverdueWriting,1,0))</f>
        <v/>
      </c>
      <c r="L18" s="17">
        <f>IF($B18="","",IF(COUNTIFS(nrES_PID,$B18,nrES_RetStat,"OVERDUE")+COUNTIFS(nrES_PID,$B18,nrES_RetStat,"CHECK DATE")+COUNTIFS(nrES_PID,$B18,nrES_RetStat,"LATE RETEST*")+COUNTIFS(nrES_PID,$B18,nrES_RetStat,"RETEST UNDATED")+COUNTIFS(nrES_PID,$B18,nrES_RetStat,"RETEST DATE UNCHECKED")&gt;0,1,0))</f>
        <v/>
      </c>
      <c r="M18" s="17">
        <f>IF($B18="","",IF(OR(PT!$K18="No",PT!$AB18="No",PT!$AB18="Incomplete"),1,0))</f>
        <v/>
      </c>
      <c r="N18" s="17">
        <f>IF($B18="","",IF(COUNTIFS(nrMD_PID,$B18,nrMD_Status,"RESTRICTION EXPIRED")&gt;0,1,0))</f>
        <v/>
      </c>
      <c r="O18" s="17">
        <f>IF($B18="","",IF(Certifications!$U18&lt;&gt;"",1,0))</f>
        <v/>
      </c>
      <c r="P18" s="17">
        <f>IF($B18="","",IF(COUNTIFS(nrME_PID,$B18,nrME_Status,"OVERDUE")+COUNTIFS(nrME_PID,$B18,nrME_Status,"CHECK DATE")&gt;0,1,0))</f>
        <v/>
      </c>
      <c r="Q18" s="17">
        <f>IF($B18="","",IF(SUMPRODUCT((nrAT_PID=$B18)*(nrAT_Cleared="OPEN"))&gt;0,1,0))</f>
        <v/>
      </c>
      <c r="R18" s="17">
        <f>IF($B18="","",IF(sysChecks!$M18="Yes",1,0))</f>
        <v/>
      </c>
      <c r="S18" s="17">
        <f>IF($B18="","",SUM($E18:$R18)+N($U18))</f>
        <v/>
      </c>
      <c r="T18" s="17">
        <f>IF($B18="","",IF($S18=0,"",_xlfn.TEXTJOIN("; ",TRUE,IF($E18=1,"consecutive exam fails",""),IF($F18=1,"grade dropped "&amp;sysGrades!$AB18&amp;" pts",""),IF($G18=1,"category avg near 70",""),IF($H18=1,"spelling below "&amp;cfgSpellInterventionAvg,""),IF($I18=1,"attendance at "&amp;TEXT(MAX(sysAttendance!$I18,sysAttendance!$Q18),"0%")&amp;" of cap",""),IF($J18=1,"open negative incidents",""),IF($K18=1,N(Writing!$AS18)&amp;" overdue writing",""),IF($L18=1,"RETEST OVERDUE / LATE",""),IF($M18=1,"PT failure",""),IF($N18=1,"medical restriction expired",""),IF($O18=1,"cert copies outstanding: "&amp;Certifications!$U18,""),IF($P18=1,"OVERDUE MEMO",""),IF($Q18=1,SUMPRODUCT((nrAT_PID=$B18)*(nrAT_Cleared="OPEN"))&amp;" uncleared missed-time event(s)",""),IF($R18=1,"DISMISSAL REVIEW OPEN ("&amp;sysChecks!$U18&amp;")",""),IF($U18=1,_xlfn.LET(_xlpm.n,COUNTIFS(nrES_PID,$B18,nrES_Absence,"Unexcused"),IF(_xlpm.n&gt;=2,_xlpm.n&amp;" unexcused missed exams (removal review)","unexcused missed exam (0 recorded)")),""))))</f>
        <v/>
      </c>
      <c r="U18" s="17">
        <f>IF($B18="","",IF(COUNTIFS(nrES_PID,$B18,nrES_Absence,"Unexcused")&gt;0,1,0))</f>
        <v/>
      </c>
    </row>
    <row r="19">
      <c r="B19" s="17">
        <f>IF(Cadets!$B19="","",Cadets!$B19)</f>
        <v/>
      </c>
      <c r="C19" s="17">
        <f>IF($B19="","",Cadets!$F19)</f>
        <v/>
      </c>
      <c r="D19" s="17">
        <f>IF($B19="","",Cadets!$I19)</f>
        <v/>
      </c>
      <c r="E19" s="17">
        <f>IF($B19="","",IF(N(sysGrades!$AC19)&gt;=cfgFlagConsecFails,1,0))</f>
        <v/>
      </c>
      <c r="F19" s="17">
        <f>IF($B19="","",IF(AND(sysGrades!$AB19&lt;&gt;"",sysGrades!$AB19&gt;=cfgFlagGradeDrop),1,0))</f>
        <v/>
      </c>
      <c r="G19" s="17">
        <f>IF($B19="","",IF(OR(AND(sysGrades!$I19&lt;&gt;"",sysGrades!$I19&lt;cfgThresholdScore+cfgFlagCategoryMargin),AND(sysGrades!$J19&lt;&gt;"",sysGrades!$J19&lt;cfgThresholdScore+cfgFlagCategoryMargin)),1,0))</f>
        <v/>
      </c>
      <c r="H19" s="17">
        <f>IF($B19="","",IF(Spelling!$R19="INTERVENTION",1,0))</f>
        <v/>
      </c>
      <c r="I19" s="17">
        <f>IF($B19="","",IF(OR(N(sysAttendance!$I19)&gt;=cfgMakeupAdvisoryMin,sysAttendance!$Q19&gt;=cfgFlagAttendancePct),1,0))</f>
        <v/>
      </c>
      <c r="J19" s="17">
        <f>IF($B19="","",IF(sysIncidents!$H19&gt;=cfgFlagOpenIncidents,1,0))</f>
        <v/>
      </c>
      <c r="K19" s="17">
        <f>IF($B19="","",IF(N(Writing!$AS19)&gt;=cfgFlagOverdueWriting,1,0))</f>
        <v/>
      </c>
      <c r="L19" s="17">
        <f>IF($B19="","",IF(COUNTIFS(nrES_PID,$B19,nrES_RetStat,"OVERDUE")+COUNTIFS(nrES_PID,$B19,nrES_RetStat,"CHECK DATE")+COUNTIFS(nrES_PID,$B19,nrES_RetStat,"LATE RETEST*")+COUNTIFS(nrES_PID,$B19,nrES_RetStat,"RETEST UNDATED")+COUNTIFS(nrES_PID,$B19,nrES_RetStat,"RETEST DATE UNCHECKED")&gt;0,1,0))</f>
        <v/>
      </c>
      <c r="M19" s="17">
        <f>IF($B19="","",IF(OR(PT!$K19="No",PT!$AB19="No",PT!$AB19="Incomplete"),1,0))</f>
        <v/>
      </c>
      <c r="N19" s="17">
        <f>IF($B19="","",IF(COUNTIFS(nrMD_PID,$B19,nrMD_Status,"RESTRICTION EXPIRED")&gt;0,1,0))</f>
        <v/>
      </c>
      <c r="O19" s="17">
        <f>IF($B19="","",IF(Certifications!$U19&lt;&gt;"",1,0))</f>
        <v/>
      </c>
      <c r="P19" s="17">
        <f>IF($B19="","",IF(COUNTIFS(nrME_PID,$B19,nrME_Status,"OVERDUE")+COUNTIFS(nrME_PID,$B19,nrME_Status,"CHECK DATE")&gt;0,1,0))</f>
        <v/>
      </c>
      <c r="Q19" s="17">
        <f>IF($B19="","",IF(SUMPRODUCT((nrAT_PID=$B19)*(nrAT_Cleared="OPEN"))&gt;0,1,0))</f>
        <v/>
      </c>
      <c r="R19" s="17">
        <f>IF($B19="","",IF(sysChecks!$M19="Yes",1,0))</f>
        <v/>
      </c>
      <c r="S19" s="17">
        <f>IF($B19="","",SUM($E19:$R19)+N($U19))</f>
        <v/>
      </c>
      <c r="T19" s="17">
        <f>IF($B19="","",IF($S19=0,"",_xlfn.TEXTJOIN("; ",TRUE,IF($E19=1,"consecutive exam fails",""),IF($F19=1,"grade dropped "&amp;sysGrades!$AB19&amp;" pts",""),IF($G19=1,"category avg near 70",""),IF($H19=1,"spelling below "&amp;cfgSpellInterventionAvg,""),IF($I19=1,"attendance at "&amp;TEXT(MAX(sysAttendance!$I19,sysAttendance!$Q19),"0%")&amp;" of cap",""),IF($J19=1,"open negative incidents",""),IF($K19=1,N(Writing!$AS19)&amp;" overdue writing",""),IF($L19=1,"RETEST OVERDUE / LATE",""),IF($M19=1,"PT failure",""),IF($N19=1,"medical restriction expired",""),IF($O19=1,"cert copies outstanding: "&amp;Certifications!$U19,""),IF($P19=1,"OVERDUE MEMO",""),IF($Q19=1,SUMPRODUCT((nrAT_PID=$B19)*(nrAT_Cleared="OPEN"))&amp;" uncleared missed-time event(s)",""),IF($R19=1,"DISMISSAL REVIEW OPEN ("&amp;sysChecks!$U19&amp;")",""),IF($U19=1,_xlfn.LET(_xlpm.n,COUNTIFS(nrES_PID,$B19,nrES_Absence,"Unexcused"),IF(_xlpm.n&gt;=2,_xlpm.n&amp;" unexcused missed exams (removal review)","unexcused missed exam (0 recorded)")),""))))</f>
        <v/>
      </c>
      <c r="U19" s="17">
        <f>IF($B19="","",IF(COUNTIFS(nrES_PID,$B19,nrES_Absence,"Unexcused")&gt;0,1,0))</f>
        <v/>
      </c>
    </row>
    <row r="20">
      <c r="B20" s="17">
        <f>IF(Cadets!$B20="","",Cadets!$B20)</f>
        <v/>
      </c>
      <c r="C20" s="17">
        <f>IF($B20="","",Cadets!$F20)</f>
        <v/>
      </c>
      <c r="D20" s="17">
        <f>IF($B20="","",Cadets!$I20)</f>
        <v/>
      </c>
      <c r="E20" s="17">
        <f>IF($B20="","",IF(N(sysGrades!$AC20)&gt;=cfgFlagConsecFails,1,0))</f>
        <v/>
      </c>
      <c r="F20" s="17">
        <f>IF($B20="","",IF(AND(sysGrades!$AB20&lt;&gt;"",sysGrades!$AB20&gt;=cfgFlagGradeDrop),1,0))</f>
        <v/>
      </c>
      <c r="G20" s="17">
        <f>IF($B20="","",IF(OR(AND(sysGrades!$I20&lt;&gt;"",sysGrades!$I20&lt;cfgThresholdScore+cfgFlagCategoryMargin),AND(sysGrades!$J20&lt;&gt;"",sysGrades!$J20&lt;cfgThresholdScore+cfgFlagCategoryMargin)),1,0))</f>
        <v/>
      </c>
      <c r="H20" s="17">
        <f>IF($B20="","",IF(Spelling!$R20="INTERVENTION",1,0))</f>
        <v/>
      </c>
      <c r="I20" s="17">
        <f>IF($B20="","",IF(OR(N(sysAttendance!$I20)&gt;=cfgMakeupAdvisoryMin,sysAttendance!$Q20&gt;=cfgFlagAttendancePct),1,0))</f>
        <v/>
      </c>
      <c r="J20" s="17">
        <f>IF($B20="","",IF(sysIncidents!$H20&gt;=cfgFlagOpenIncidents,1,0))</f>
        <v/>
      </c>
      <c r="K20" s="17">
        <f>IF($B20="","",IF(N(Writing!$AS20)&gt;=cfgFlagOverdueWriting,1,0))</f>
        <v/>
      </c>
      <c r="L20" s="17">
        <f>IF($B20="","",IF(COUNTIFS(nrES_PID,$B20,nrES_RetStat,"OVERDUE")+COUNTIFS(nrES_PID,$B20,nrES_RetStat,"CHECK DATE")+COUNTIFS(nrES_PID,$B20,nrES_RetStat,"LATE RETEST*")+COUNTIFS(nrES_PID,$B20,nrES_RetStat,"RETEST UNDATED")+COUNTIFS(nrES_PID,$B20,nrES_RetStat,"RETEST DATE UNCHECKED")&gt;0,1,0))</f>
        <v/>
      </c>
      <c r="M20" s="17">
        <f>IF($B20="","",IF(OR(PT!$K20="No",PT!$AB20="No",PT!$AB20="Incomplete"),1,0))</f>
        <v/>
      </c>
      <c r="N20" s="17">
        <f>IF($B20="","",IF(COUNTIFS(nrMD_PID,$B20,nrMD_Status,"RESTRICTION EXPIRED")&gt;0,1,0))</f>
        <v/>
      </c>
      <c r="O20" s="17">
        <f>IF($B20="","",IF(Certifications!$U20&lt;&gt;"",1,0))</f>
        <v/>
      </c>
      <c r="P20" s="17">
        <f>IF($B20="","",IF(COUNTIFS(nrME_PID,$B20,nrME_Status,"OVERDUE")+COUNTIFS(nrME_PID,$B20,nrME_Status,"CHECK DATE")&gt;0,1,0))</f>
        <v/>
      </c>
      <c r="Q20" s="17">
        <f>IF($B20="","",IF(SUMPRODUCT((nrAT_PID=$B20)*(nrAT_Cleared="OPEN"))&gt;0,1,0))</f>
        <v/>
      </c>
      <c r="R20" s="17">
        <f>IF($B20="","",IF(sysChecks!$M20="Yes",1,0))</f>
        <v/>
      </c>
      <c r="S20" s="17">
        <f>IF($B20="","",SUM($E20:$R20)+N($U20))</f>
        <v/>
      </c>
      <c r="T20" s="17">
        <f>IF($B20="","",IF($S20=0,"",_xlfn.TEXTJOIN("; ",TRUE,IF($E20=1,"consecutive exam fails",""),IF($F20=1,"grade dropped "&amp;sysGrades!$AB20&amp;" pts",""),IF($G20=1,"category avg near 70",""),IF($H20=1,"spelling below "&amp;cfgSpellInterventionAvg,""),IF($I20=1,"attendance at "&amp;TEXT(MAX(sysAttendance!$I20,sysAttendance!$Q20),"0%")&amp;" of cap",""),IF($J20=1,"open negative incidents",""),IF($K20=1,N(Writing!$AS20)&amp;" overdue writing",""),IF($L20=1,"RETEST OVERDUE / LATE",""),IF($M20=1,"PT failure",""),IF($N20=1,"medical restriction expired",""),IF($O20=1,"cert copies outstanding: "&amp;Certifications!$U20,""),IF($P20=1,"OVERDUE MEMO",""),IF($Q20=1,SUMPRODUCT((nrAT_PID=$B20)*(nrAT_Cleared="OPEN"))&amp;" uncleared missed-time event(s)",""),IF($R20=1,"DISMISSAL REVIEW OPEN ("&amp;sysChecks!$U20&amp;")",""),IF($U20=1,_xlfn.LET(_xlpm.n,COUNTIFS(nrES_PID,$B20,nrES_Absence,"Unexcused"),IF(_xlpm.n&gt;=2,_xlpm.n&amp;" unexcused missed exams (removal review)","unexcused missed exam (0 recorded)")),""))))</f>
        <v/>
      </c>
      <c r="U20" s="17">
        <f>IF($B20="","",IF(COUNTIFS(nrES_PID,$B20,nrES_Absence,"Unexcused")&gt;0,1,0))</f>
        <v/>
      </c>
    </row>
    <row r="21">
      <c r="B21" s="17">
        <f>IF(Cadets!$B21="","",Cadets!$B21)</f>
        <v/>
      </c>
      <c r="C21" s="17">
        <f>IF($B21="","",Cadets!$F21)</f>
        <v/>
      </c>
      <c r="D21" s="17">
        <f>IF($B21="","",Cadets!$I21)</f>
        <v/>
      </c>
      <c r="E21" s="17">
        <f>IF($B21="","",IF(N(sysGrades!$AC21)&gt;=cfgFlagConsecFails,1,0))</f>
        <v/>
      </c>
      <c r="F21" s="17">
        <f>IF($B21="","",IF(AND(sysGrades!$AB21&lt;&gt;"",sysGrades!$AB21&gt;=cfgFlagGradeDrop),1,0))</f>
        <v/>
      </c>
      <c r="G21" s="17">
        <f>IF($B21="","",IF(OR(AND(sysGrades!$I21&lt;&gt;"",sysGrades!$I21&lt;cfgThresholdScore+cfgFlagCategoryMargin),AND(sysGrades!$J21&lt;&gt;"",sysGrades!$J21&lt;cfgThresholdScore+cfgFlagCategoryMargin)),1,0))</f>
        <v/>
      </c>
      <c r="H21" s="17">
        <f>IF($B21="","",IF(Spelling!$R21="INTERVENTION",1,0))</f>
        <v/>
      </c>
      <c r="I21" s="17">
        <f>IF($B21="","",IF(OR(N(sysAttendance!$I21)&gt;=cfgMakeupAdvisoryMin,sysAttendance!$Q21&gt;=cfgFlagAttendancePct),1,0))</f>
        <v/>
      </c>
      <c r="J21" s="17">
        <f>IF($B21="","",IF(sysIncidents!$H21&gt;=cfgFlagOpenIncidents,1,0))</f>
        <v/>
      </c>
      <c r="K21" s="17">
        <f>IF($B21="","",IF(N(Writing!$AS21)&gt;=cfgFlagOverdueWriting,1,0))</f>
        <v/>
      </c>
      <c r="L21" s="17">
        <f>IF($B21="","",IF(COUNTIFS(nrES_PID,$B21,nrES_RetStat,"OVERDUE")+COUNTIFS(nrES_PID,$B21,nrES_RetStat,"CHECK DATE")+COUNTIFS(nrES_PID,$B21,nrES_RetStat,"LATE RETEST*")+COUNTIFS(nrES_PID,$B21,nrES_RetStat,"RETEST UNDATED")+COUNTIFS(nrES_PID,$B21,nrES_RetStat,"RETEST DATE UNCHECKED")&gt;0,1,0))</f>
        <v/>
      </c>
      <c r="M21" s="17">
        <f>IF($B21="","",IF(OR(PT!$K21="No",PT!$AB21="No",PT!$AB21="Incomplete"),1,0))</f>
        <v/>
      </c>
      <c r="N21" s="17">
        <f>IF($B21="","",IF(COUNTIFS(nrMD_PID,$B21,nrMD_Status,"RESTRICTION EXPIRED")&gt;0,1,0))</f>
        <v/>
      </c>
      <c r="O21" s="17">
        <f>IF($B21="","",IF(Certifications!$U21&lt;&gt;"",1,0))</f>
        <v/>
      </c>
      <c r="P21" s="17">
        <f>IF($B21="","",IF(COUNTIFS(nrME_PID,$B21,nrME_Status,"OVERDUE")+COUNTIFS(nrME_PID,$B21,nrME_Status,"CHECK DATE")&gt;0,1,0))</f>
        <v/>
      </c>
      <c r="Q21" s="17">
        <f>IF($B21="","",IF(SUMPRODUCT((nrAT_PID=$B21)*(nrAT_Cleared="OPEN"))&gt;0,1,0))</f>
        <v/>
      </c>
      <c r="R21" s="17">
        <f>IF($B21="","",IF(sysChecks!$M21="Yes",1,0))</f>
        <v/>
      </c>
      <c r="S21" s="17">
        <f>IF($B21="","",SUM($E21:$R21)+N($U21))</f>
        <v/>
      </c>
      <c r="T21" s="17">
        <f>IF($B21="","",IF($S21=0,"",_xlfn.TEXTJOIN("; ",TRUE,IF($E21=1,"consecutive exam fails",""),IF($F21=1,"grade dropped "&amp;sysGrades!$AB21&amp;" pts",""),IF($G21=1,"category avg near 70",""),IF($H21=1,"spelling below "&amp;cfgSpellInterventionAvg,""),IF($I21=1,"attendance at "&amp;TEXT(MAX(sysAttendance!$I21,sysAttendance!$Q21),"0%")&amp;" of cap",""),IF($J21=1,"open negative incidents",""),IF($K21=1,N(Writing!$AS21)&amp;" overdue writing",""),IF($L21=1,"RETEST OVERDUE / LATE",""),IF($M21=1,"PT failure",""),IF($N21=1,"medical restriction expired",""),IF($O21=1,"cert copies outstanding: "&amp;Certifications!$U21,""),IF($P21=1,"OVERDUE MEMO",""),IF($Q21=1,SUMPRODUCT((nrAT_PID=$B21)*(nrAT_Cleared="OPEN"))&amp;" uncleared missed-time event(s)",""),IF($R21=1,"DISMISSAL REVIEW OPEN ("&amp;sysChecks!$U21&amp;")",""),IF($U21=1,_xlfn.LET(_xlpm.n,COUNTIFS(nrES_PID,$B21,nrES_Absence,"Unexcused"),IF(_xlpm.n&gt;=2,_xlpm.n&amp;" unexcused missed exams (removal review)","unexcused missed exam (0 recorded)")),""))))</f>
        <v/>
      </c>
      <c r="U21" s="17">
        <f>IF($B21="","",IF(COUNTIFS(nrES_PID,$B21,nrES_Absence,"Unexcused")&gt;0,1,0))</f>
        <v/>
      </c>
    </row>
    <row r="22">
      <c r="B22" s="17">
        <f>IF(Cadets!$B22="","",Cadets!$B22)</f>
        <v/>
      </c>
      <c r="C22" s="17">
        <f>IF($B22="","",Cadets!$F22)</f>
        <v/>
      </c>
      <c r="D22" s="17">
        <f>IF($B22="","",Cadets!$I22)</f>
        <v/>
      </c>
      <c r="E22" s="17">
        <f>IF($B22="","",IF(N(sysGrades!$AC22)&gt;=cfgFlagConsecFails,1,0))</f>
        <v/>
      </c>
      <c r="F22" s="17">
        <f>IF($B22="","",IF(AND(sysGrades!$AB22&lt;&gt;"",sysGrades!$AB22&gt;=cfgFlagGradeDrop),1,0))</f>
        <v/>
      </c>
      <c r="G22" s="17">
        <f>IF($B22="","",IF(OR(AND(sysGrades!$I22&lt;&gt;"",sysGrades!$I22&lt;cfgThresholdScore+cfgFlagCategoryMargin),AND(sysGrades!$J22&lt;&gt;"",sysGrades!$J22&lt;cfgThresholdScore+cfgFlagCategoryMargin)),1,0))</f>
        <v/>
      </c>
      <c r="H22" s="17">
        <f>IF($B22="","",IF(Spelling!$R22="INTERVENTION",1,0))</f>
        <v/>
      </c>
      <c r="I22" s="17">
        <f>IF($B22="","",IF(OR(N(sysAttendance!$I22)&gt;=cfgMakeupAdvisoryMin,sysAttendance!$Q22&gt;=cfgFlagAttendancePct),1,0))</f>
        <v/>
      </c>
      <c r="J22" s="17">
        <f>IF($B22="","",IF(sysIncidents!$H22&gt;=cfgFlagOpenIncidents,1,0))</f>
        <v/>
      </c>
      <c r="K22" s="17">
        <f>IF($B22="","",IF(N(Writing!$AS22)&gt;=cfgFlagOverdueWriting,1,0))</f>
        <v/>
      </c>
      <c r="L22" s="17">
        <f>IF($B22="","",IF(COUNTIFS(nrES_PID,$B22,nrES_RetStat,"OVERDUE")+COUNTIFS(nrES_PID,$B22,nrES_RetStat,"CHECK DATE")+COUNTIFS(nrES_PID,$B22,nrES_RetStat,"LATE RETEST*")+COUNTIFS(nrES_PID,$B22,nrES_RetStat,"RETEST UNDATED")+COUNTIFS(nrES_PID,$B22,nrES_RetStat,"RETEST DATE UNCHECKED")&gt;0,1,0))</f>
        <v/>
      </c>
      <c r="M22" s="17">
        <f>IF($B22="","",IF(OR(PT!$K22="No",PT!$AB22="No",PT!$AB22="Incomplete"),1,0))</f>
        <v/>
      </c>
      <c r="N22" s="17">
        <f>IF($B22="","",IF(COUNTIFS(nrMD_PID,$B22,nrMD_Status,"RESTRICTION EXPIRED")&gt;0,1,0))</f>
        <v/>
      </c>
      <c r="O22" s="17">
        <f>IF($B22="","",IF(Certifications!$U22&lt;&gt;"",1,0))</f>
        <v/>
      </c>
      <c r="P22" s="17">
        <f>IF($B22="","",IF(COUNTIFS(nrME_PID,$B22,nrME_Status,"OVERDUE")+COUNTIFS(nrME_PID,$B22,nrME_Status,"CHECK DATE")&gt;0,1,0))</f>
        <v/>
      </c>
      <c r="Q22" s="17">
        <f>IF($B22="","",IF(SUMPRODUCT((nrAT_PID=$B22)*(nrAT_Cleared="OPEN"))&gt;0,1,0))</f>
        <v/>
      </c>
      <c r="R22" s="17">
        <f>IF($B22="","",IF(sysChecks!$M22="Yes",1,0))</f>
        <v/>
      </c>
      <c r="S22" s="17">
        <f>IF($B22="","",SUM($E22:$R22)+N($U22))</f>
        <v/>
      </c>
      <c r="T22" s="17">
        <f>IF($B22="","",IF($S22=0,"",_xlfn.TEXTJOIN("; ",TRUE,IF($E22=1,"consecutive exam fails",""),IF($F22=1,"grade dropped "&amp;sysGrades!$AB22&amp;" pts",""),IF($G22=1,"category avg near 70",""),IF($H22=1,"spelling below "&amp;cfgSpellInterventionAvg,""),IF($I22=1,"attendance at "&amp;TEXT(MAX(sysAttendance!$I22,sysAttendance!$Q22),"0%")&amp;" of cap",""),IF($J22=1,"open negative incidents",""),IF($K22=1,N(Writing!$AS22)&amp;" overdue writing",""),IF($L22=1,"RETEST OVERDUE / LATE",""),IF($M22=1,"PT failure",""),IF($N22=1,"medical restriction expired",""),IF($O22=1,"cert copies outstanding: "&amp;Certifications!$U22,""),IF($P22=1,"OVERDUE MEMO",""),IF($Q22=1,SUMPRODUCT((nrAT_PID=$B22)*(nrAT_Cleared="OPEN"))&amp;" uncleared missed-time event(s)",""),IF($R22=1,"DISMISSAL REVIEW OPEN ("&amp;sysChecks!$U22&amp;")",""),IF($U22=1,_xlfn.LET(_xlpm.n,COUNTIFS(nrES_PID,$B22,nrES_Absence,"Unexcused"),IF(_xlpm.n&gt;=2,_xlpm.n&amp;" unexcused missed exams (removal review)","unexcused missed exam (0 recorded)")),""))))</f>
        <v/>
      </c>
      <c r="U22" s="17">
        <f>IF($B22="","",IF(COUNTIFS(nrES_PID,$B22,nrES_Absence,"Unexcused")&gt;0,1,0))</f>
        <v/>
      </c>
    </row>
    <row r="23">
      <c r="B23" s="17">
        <f>IF(Cadets!$B23="","",Cadets!$B23)</f>
        <v/>
      </c>
      <c r="C23" s="17">
        <f>IF($B23="","",Cadets!$F23)</f>
        <v/>
      </c>
      <c r="D23" s="17">
        <f>IF($B23="","",Cadets!$I23)</f>
        <v/>
      </c>
      <c r="E23" s="17">
        <f>IF($B23="","",IF(N(sysGrades!$AC23)&gt;=cfgFlagConsecFails,1,0))</f>
        <v/>
      </c>
      <c r="F23" s="17">
        <f>IF($B23="","",IF(AND(sysGrades!$AB23&lt;&gt;"",sysGrades!$AB23&gt;=cfgFlagGradeDrop),1,0))</f>
        <v/>
      </c>
      <c r="G23" s="17">
        <f>IF($B23="","",IF(OR(AND(sysGrades!$I23&lt;&gt;"",sysGrades!$I23&lt;cfgThresholdScore+cfgFlagCategoryMargin),AND(sysGrades!$J23&lt;&gt;"",sysGrades!$J23&lt;cfgThresholdScore+cfgFlagCategoryMargin)),1,0))</f>
        <v/>
      </c>
      <c r="H23" s="17">
        <f>IF($B23="","",IF(Spelling!$R23="INTERVENTION",1,0))</f>
        <v/>
      </c>
      <c r="I23" s="17">
        <f>IF($B23="","",IF(OR(N(sysAttendance!$I23)&gt;=cfgMakeupAdvisoryMin,sysAttendance!$Q23&gt;=cfgFlagAttendancePct),1,0))</f>
        <v/>
      </c>
      <c r="J23" s="17">
        <f>IF($B23="","",IF(sysIncidents!$H23&gt;=cfgFlagOpenIncidents,1,0))</f>
        <v/>
      </c>
      <c r="K23" s="17">
        <f>IF($B23="","",IF(N(Writing!$AS23)&gt;=cfgFlagOverdueWriting,1,0))</f>
        <v/>
      </c>
      <c r="L23" s="17">
        <f>IF($B23="","",IF(COUNTIFS(nrES_PID,$B23,nrES_RetStat,"OVERDUE")+COUNTIFS(nrES_PID,$B23,nrES_RetStat,"CHECK DATE")+COUNTIFS(nrES_PID,$B23,nrES_RetStat,"LATE RETEST*")+COUNTIFS(nrES_PID,$B23,nrES_RetStat,"RETEST UNDATED")+COUNTIFS(nrES_PID,$B23,nrES_RetStat,"RETEST DATE UNCHECKED")&gt;0,1,0))</f>
        <v/>
      </c>
      <c r="M23" s="17">
        <f>IF($B23="","",IF(OR(PT!$K23="No",PT!$AB23="No",PT!$AB23="Incomplete"),1,0))</f>
        <v/>
      </c>
      <c r="N23" s="17">
        <f>IF($B23="","",IF(COUNTIFS(nrMD_PID,$B23,nrMD_Status,"RESTRICTION EXPIRED")&gt;0,1,0))</f>
        <v/>
      </c>
      <c r="O23" s="17">
        <f>IF($B23="","",IF(Certifications!$U23&lt;&gt;"",1,0))</f>
        <v/>
      </c>
      <c r="P23" s="17">
        <f>IF($B23="","",IF(COUNTIFS(nrME_PID,$B23,nrME_Status,"OVERDUE")+COUNTIFS(nrME_PID,$B23,nrME_Status,"CHECK DATE")&gt;0,1,0))</f>
        <v/>
      </c>
      <c r="Q23" s="17">
        <f>IF($B23="","",IF(SUMPRODUCT((nrAT_PID=$B23)*(nrAT_Cleared="OPEN"))&gt;0,1,0))</f>
        <v/>
      </c>
      <c r="R23" s="17">
        <f>IF($B23="","",IF(sysChecks!$M23="Yes",1,0))</f>
        <v/>
      </c>
      <c r="S23" s="17">
        <f>IF($B23="","",SUM($E23:$R23)+N($U23))</f>
        <v/>
      </c>
      <c r="T23" s="17">
        <f>IF($B23="","",IF($S23=0,"",_xlfn.TEXTJOIN("; ",TRUE,IF($E23=1,"consecutive exam fails",""),IF($F23=1,"grade dropped "&amp;sysGrades!$AB23&amp;" pts",""),IF($G23=1,"category avg near 70",""),IF($H23=1,"spelling below "&amp;cfgSpellInterventionAvg,""),IF($I23=1,"attendance at "&amp;TEXT(MAX(sysAttendance!$I23,sysAttendance!$Q23),"0%")&amp;" of cap",""),IF($J23=1,"open negative incidents",""),IF($K23=1,N(Writing!$AS23)&amp;" overdue writing",""),IF($L23=1,"RETEST OVERDUE / LATE",""),IF($M23=1,"PT failure",""),IF($N23=1,"medical restriction expired",""),IF($O23=1,"cert copies outstanding: "&amp;Certifications!$U23,""),IF($P23=1,"OVERDUE MEMO",""),IF($Q23=1,SUMPRODUCT((nrAT_PID=$B23)*(nrAT_Cleared="OPEN"))&amp;" uncleared missed-time event(s)",""),IF($R23=1,"DISMISSAL REVIEW OPEN ("&amp;sysChecks!$U23&amp;")",""),IF($U23=1,_xlfn.LET(_xlpm.n,COUNTIFS(nrES_PID,$B23,nrES_Absence,"Unexcused"),IF(_xlpm.n&gt;=2,_xlpm.n&amp;" unexcused missed exams (removal review)","unexcused missed exam (0 recorded)")),""))))</f>
        <v/>
      </c>
      <c r="U23" s="17">
        <f>IF($B23="","",IF(COUNTIFS(nrES_PID,$B23,nrES_Absence,"Unexcused")&gt;0,1,0))</f>
        <v/>
      </c>
    </row>
    <row r="24">
      <c r="B24" s="17">
        <f>IF(Cadets!$B24="","",Cadets!$B24)</f>
        <v/>
      </c>
      <c r="C24" s="17">
        <f>IF($B24="","",Cadets!$F24)</f>
        <v/>
      </c>
      <c r="D24" s="17">
        <f>IF($B24="","",Cadets!$I24)</f>
        <v/>
      </c>
      <c r="E24" s="17">
        <f>IF($B24="","",IF(N(sysGrades!$AC24)&gt;=cfgFlagConsecFails,1,0))</f>
        <v/>
      </c>
      <c r="F24" s="17">
        <f>IF($B24="","",IF(AND(sysGrades!$AB24&lt;&gt;"",sysGrades!$AB24&gt;=cfgFlagGradeDrop),1,0))</f>
        <v/>
      </c>
      <c r="G24" s="17">
        <f>IF($B24="","",IF(OR(AND(sysGrades!$I24&lt;&gt;"",sysGrades!$I24&lt;cfgThresholdScore+cfgFlagCategoryMargin),AND(sysGrades!$J24&lt;&gt;"",sysGrades!$J24&lt;cfgThresholdScore+cfgFlagCategoryMargin)),1,0))</f>
        <v/>
      </c>
      <c r="H24" s="17">
        <f>IF($B24="","",IF(Spelling!$R24="INTERVENTION",1,0))</f>
        <v/>
      </c>
      <c r="I24" s="17">
        <f>IF($B24="","",IF(OR(N(sysAttendance!$I24)&gt;=cfgMakeupAdvisoryMin,sysAttendance!$Q24&gt;=cfgFlagAttendancePct),1,0))</f>
        <v/>
      </c>
      <c r="J24" s="17">
        <f>IF($B24="","",IF(sysIncidents!$H24&gt;=cfgFlagOpenIncidents,1,0))</f>
        <v/>
      </c>
      <c r="K24" s="17">
        <f>IF($B24="","",IF(N(Writing!$AS24)&gt;=cfgFlagOverdueWriting,1,0))</f>
        <v/>
      </c>
      <c r="L24" s="17">
        <f>IF($B24="","",IF(COUNTIFS(nrES_PID,$B24,nrES_RetStat,"OVERDUE")+COUNTIFS(nrES_PID,$B24,nrES_RetStat,"CHECK DATE")+COUNTIFS(nrES_PID,$B24,nrES_RetStat,"LATE RETEST*")+COUNTIFS(nrES_PID,$B24,nrES_RetStat,"RETEST UNDATED")+COUNTIFS(nrES_PID,$B24,nrES_RetStat,"RETEST DATE UNCHECKED")&gt;0,1,0))</f>
        <v/>
      </c>
      <c r="M24" s="17">
        <f>IF($B24="","",IF(OR(PT!$K24="No",PT!$AB24="No",PT!$AB24="Incomplete"),1,0))</f>
        <v/>
      </c>
      <c r="N24" s="17">
        <f>IF($B24="","",IF(COUNTIFS(nrMD_PID,$B24,nrMD_Status,"RESTRICTION EXPIRED")&gt;0,1,0))</f>
        <v/>
      </c>
      <c r="O24" s="17">
        <f>IF($B24="","",IF(Certifications!$U24&lt;&gt;"",1,0))</f>
        <v/>
      </c>
      <c r="P24" s="17">
        <f>IF($B24="","",IF(COUNTIFS(nrME_PID,$B24,nrME_Status,"OVERDUE")+COUNTIFS(nrME_PID,$B24,nrME_Status,"CHECK DATE")&gt;0,1,0))</f>
        <v/>
      </c>
      <c r="Q24" s="17">
        <f>IF($B24="","",IF(SUMPRODUCT((nrAT_PID=$B24)*(nrAT_Cleared="OPEN"))&gt;0,1,0))</f>
        <v/>
      </c>
      <c r="R24" s="17">
        <f>IF($B24="","",IF(sysChecks!$M24="Yes",1,0))</f>
        <v/>
      </c>
      <c r="S24" s="17">
        <f>IF($B24="","",SUM($E24:$R24)+N($U24))</f>
        <v/>
      </c>
      <c r="T24" s="17">
        <f>IF($B24="","",IF($S24=0,"",_xlfn.TEXTJOIN("; ",TRUE,IF($E24=1,"consecutive exam fails",""),IF($F24=1,"grade dropped "&amp;sysGrades!$AB24&amp;" pts",""),IF($G24=1,"category avg near 70",""),IF($H24=1,"spelling below "&amp;cfgSpellInterventionAvg,""),IF($I24=1,"attendance at "&amp;TEXT(MAX(sysAttendance!$I24,sysAttendance!$Q24),"0%")&amp;" of cap",""),IF($J24=1,"open negative incidents",""),IF($K24=1,N(Writing!$AS24)&amp;" overdue writing",""),IF($L24=1,"RETEST OVERDUE / LATE",""),IF($M24=1,"PT failure",""),IF($N24=1,"medical restriction expired",""),IF($O24=1,"cert copies outstanding: "&amp;Certifications!$U24,""),IF($P24=1,"OVERDUE MEMO",""),IF($Q24=1,SUMPRODUCT((nrAT_PID=$B24)*(nrAT_Cleared="OPEN"))&amp;" uncleared missed-time event(s)",""),IF($R24=1,"DISMISSAL REVIEW OPEN ("&amp;sysChecks!$U24&amp;")",""),IF($U24=1,_xlfn.LET(_xlpm.n,COUNTIFS(nrES_PID,$B24,nrES_Absence,"Unexcused"),IF(_xlpm.n&gt;=2,_xlpm.n&amp;" unexcused missed exams (removal review)","unexcused missed exam (0 recorded)")),""))))</f>
        <v/>
      </c>
      <c r="U24" s="17">
        <f>IF($B24="","",IF(COUNTIFS(nrES_PID,$B24,nrES_Absence,"Unexcused")&gt;0,1,0))</f>
        <v/>
      </c>
    </row>
    <row r="25">
      <c r="B25" s="17">
        <f>IF(Cadets!$B25="","",Cadets!$B25)</f>
        <v/>
      </c>
      <c r="C25" s="17">
        <f>IF($B25="","",Cadets!$F25)</f>
        <v/>
      </c>
      <c r="D25" s="17">
        <f>IF($B25="","",Cadets!$I25)</f>
        <v/>
      </c>
      <c r="E25" s="17">
        <f>IF($B25="","",IF(N(sysGrades!$AC25)&gt;=cfgFlagConsecFails,1,0))</f>
        <v/>
      </c>
      <c r="F25" s="17">
        <f>IF($B25="","",IF(AND(sysGrades!$AB25&lt;&gt;"",sysGrades!$AB25&gt;=cfgFlagGradeDrop),1,0))</f>
        <v/>
      </c>
      <c r="G25" s="17">
        <f>IF($B25="","",IF(OR(AND(sysGrades!$I25&lt;&gt;"",sysGrades!$I25&lt;cfgThresholdScore+cfgFlagCategoryMargin),AND(sysGrades!$J25&lt;&gt;"",sysGrades!$J25&lt;cfgThresholdScore+cfgFlagCategoryMargin)),1,0))</f>
        <v/>
      </c>
      <c r="H25" s="17">
        <f>IF($B25="","",IF(Spelling!$R25="INTERVENTION",1,0))</f>
        <v/>
      </c>
      <c r="I25" s="17">
        <f>IF($B25="","",IF(OR(N(sysAttendance!$I25)&gt;=cfgMakeupAdvisoryMin,sysAttendance!$Q25&gt;=cfgFlagAttendancePct),1,0))</f>
        <v/>
      </c>
      <c r="J25" s="17">
        <f>IF($B25="","",IF(sysIncidents!$H25&gt;=cfgFlagOpenIncidents,1,0))</f>
        <v/>
      </c>
      <c r="K25" s="17">
        <f>IF($B25="","",IF(N(Writing!$AS25)&gt;=cfgFlagOverdueWriting,1,0))</f>
        <v/>
      </c>
      <c r="L25" s="17">
        <f>IF($B25="","",IF(COUNTIFS(nrES_PID,$B25,nrES_RetStat,"OVERDUE")+COUNTIFS(nrES_PID,$B25,nrES_RetStat,"CHECK DATE")+COUNTIFS(nrES_PID,$B25,nrES_RetStat,"LATE RETEST*")+COUNTIFS(nrES_PID,$B25,nrES_RetStat,"RETEST UNDATED")+COUNTIFS(nrES_PID,$B25,nrES_RetStat,"RETEST DATE UNCHECKED")&gt;0,1,0))</f>
        <v/>
      </c>
      <c r="M25" s="17">
        <f>IF($B25="","",IF(OR(PT!$K25="No",PT!$AB25="No",PT!$AB25="Incomplete"),1,0))</f>
        <v/>
      </c>
      <c r="N25" s="17">
        <f>IF($B25="","",IF(COUNTIFS(nrMD_PID,$B25,nrMD_Status,"RESTRICTION EXPIRED")&gt;0,1,0))</f>
        <v/>
      </c>
      <c r="O25" s="17">
        <f>IF($B25="","",IF(Certifications!$U25&lt;&gt;"",1,0))</f>
        <v/>
      </c>
      <c r="P25" s="17">
        <f>IF($B25="","",IF(COUNTIFS(nrME_PID,$B25,nrME_Status,"OVERDUE")+COUNTIFS(nrME_PID,$B25,nrME_Status,"CHECK DATE")&gt;0,1,0))</f>
        <v/>
      </c>
      <c r="Q25" s="17">
        <f>IF($B25="","",IF(SUMPRODUCT((nrAT_PID=$B25)*(nrAT_Cleared="OPEN"))&gt;0,1,0))</f>
        <v/>
      </c>
      <c r="R25" s="17">
        <f>IF($B25="","",IF(sysChecks!$M25="Yes",1,0))</f>
        <v/>
      </c>
      <c r="S25" s="17">
        <f>IF($B25="","",SUM($E25:$R25)+N($U25))</f>
        <v/>
      </c>
      <c r="T25" s="17">
        <f>IF($B25="","",IF($S25=0,"",_xlfn.TEXTJOIN("; ",TRUE,IF($E25=1,"consecutive exam fails",""),IF($F25=1,"grade dropped "&amp;sysGrades!$AB25&amp;" pts",""),IF($G25=1,"category avg near 70",""),IF($H25=1,"spelling below "&amp;cfgSpellInterventionAvg,""),IF($I25=1,"attendance at "&amp;TEXT(MAX(sysAttendance!$I25,sysAttendance!$Q25),"0%")&amp;" of cap",""),IF($J25=1,"open negative incidents",""),IF($K25=1,N(Writing!$AS25)&amp;" overdue writing",""),IF($L25=1,"RETEST OVERDUE / LATE",""),IF($M25=1,"PT failure",""),IF($N25=1,"medical restriction expired",""),IF($O25=1,"cert copies outstanding: "&amp;Certifications!$U25,""),IF($P25=1,"OVERDUE MEMO",""),IF($Q25=1,SUMPRODUCT((nrAT_PID=$B25)*(nrAT_Cleared="OPEN"))&amp;" uncleared missed-time event(s)",""),IF($R25=1,"DISMISSAL REVIEW OPEN ("&amp;sysChecks!$U25&amp;")",""),IF($U25=1,_xlfn.LET(_xlpm.n,COUNTIFS(nrES_PID,$B25,nrES_Absence,"Unexcused"),IF(_xlpm.n&gt;=2,_xlpm.n&amp;" unexcused missed exams (removal review)","unexcused missed exam (0 recorded)")),""))))</f>
        <v/>
      </c>
      <c r="U25" s="17">
        <f>IF($B25="","",IF(COUNTIFS(nrES_PID,$B25,nrES_Absence,"Unexcused")&gt;0,1,0))</f>
        <v/>
      </c>
    </row>
    <row r="26">
      <c r="B26" s="17">
        <f>IF(Cadets!$B26="","",Cadets!$B26)</f>
        <v/>
      </c>
      <c r="C26" s="17">
        <f>IF($B26="","",Cadets!$F26)</f>
        <v/>
      </c>
      <c r="D26" s="17">
        <f>IF($B26="","",Cadets!$I26)</f>
        <v/>
      </c>
      <c r="E26" s="17">
        <f>IF($B26="","",IF(N(sysGrades!$AC26)&gt;=cfgFlagConsecFails,1,0))</f>
        <v/>
      </c>
      <c r="F26" s="17">
        <f>IF($B26="","",IF(AND(sysGrades!$AB26&lt;&gt;"",sysGrades!$AB26&gt;=cfgFlagGradeDrop),1,0))</f>
        <v/>
      </c>
      <c r="G26" s="17">
        <f>IF($B26="","",IF(OR(AND(sysGrades!$I26&lt;&gt;"",sysGrades!$I26&lt;cfgThresholdScore+cfgFlagCategoryMargin),AND(sysGrades!$J26&lt;&gt;"",sysGrades!$J26&lt;cfgThresholdScore+cfgFlagCategoryMargin)),1,0))</f>
        <v/>
      </c>
      <c r="H26" s="17">
        <f>IF($B26="","",IF(Spelling!$R26="INTERVENTION",1,0))</f>
        <v/>
      </c>
      <c r="I26" s="17">
        <f>IF($B26="","",IF(OR(N(sysAttendance!$I26)&gt;=cfgMakeupAdvisoryMin,sysAttendance!$Q26&gt;=cfgFlagAttendancePct),1,0))</f>
        <v/>
      </c>
      <c r="J26" s="17">
        <f>IF($B26="","",IF(sysIncidents!$H26&gt;=cfgFlagOpenIncidents,1,0))</f>
        <v/>
      </c>
      <c r="K26" s="17">
        <f>IF($B26="","",IF(N(Writing!$AS26)&gt;=cfgFlagOverdueWriting,1,0))</f>
        <v/>
      </c>
      <c r="L26" s="17">
        <f>IF($B26="","",IF(COUNTIFS(nrES_PID,$B26,nrES_RetStat,"OVERDUE")+COUNTIFS(nrES_PID,$B26,nrES_RetStat,"CHECK DATE")+COUNTIFS(nrES_PID,$B26,nrES_RetStat,"LATE RETEST*")+COUNTIFS(nrES_PID,$B26,nrES_RetStat,"RETEST UNDATED")+COUNTIFS(nrES_PID,$B26,nrES_RetStat,"RETEST DATE UNCHECKED")&gt;0,1,0))</f>
        <v/>
      </c>
      <c r="M26" s="17">
        <f>IF($B26="","",IF(OR(PT!$K26="No",PT!$AB26="No",PT!$AB26="Incomplete"),1,0))</f>
        <v/>
      </c>
      <c r="N26" s="17">
        <f>IF($B26="","",IF(COUNTIFS(nrMD_PID,$B26,nrMD_Status,"RESTRICTION EXPIRED")&gt;0,1,0))</f>
        <v/>
      </c>
      <c r="O26" s="17">
        <f>IF($B26="","",IF(Certifications!$U26&lt;&gt;"",1,0))</f>
        <v/>
      </c>
      <c r="P26" s="17">
        <f>IF($B26="","",IF(COUNTIFS(nrME_PID,$B26,nrME_Status,"OVERDUE")+COUNTIFS(nrME_PID,$B26,nrME_Status,"CHECK DATE")&gt;0,1,0))</f>
        <v/>
      </c>
      <c r="Q26" s="17">
        <f>IF($B26="","",IF(SUMPRODUCT((nrAT_PID=$B26)*(nrAT_Cleared="OPEN"))&gt;0,1,0))</f>
        <v/>
      </c>
      <c r="R26" s="17">
        <f>IF($B26="","",IF(sysChecks!$M26="Yes",1,0))</f>
        <v/>
      </c>
      <c r="S26" s="17">
        <f>IF($B26="","",SUM($E26:$R26)+N($U26))</f>
        <v/>
      </c>
      <c r="T26" s="17">
        <f>IF($B26="","",IF($S26=0,"",_xlfn.TEXTJOIN("; ",TRUE,IF($E26=1,"consecutive exam fails",""),IF($F26=1,"grade dropped "&amp;sysGrades!$AB26&amp;" pts",""),IF($G26=1,"category avg near 70",""),IF($H26=1,"spelling below "&amp;cfgSpellInterventionAvg,""),IF($I26=1,"attendance at "&amp;TEXT(MAX(sysAttendance!$I26,sysAttendance!$Q26),"0%")&amp;" of cap",""),IF($J26=1,"open negative incidents",""),IF($K26=1,N(Writing!$AS26)&amp;" overdue writing",""),IF($L26=1,"RETEST OVERDUE / LATE",""),IF($M26=1,"PT failure",""),IF($N26=1,"medical restriction expired",""),IF($O26=1,"cert copies outstanding: "&amp;Certifications!$U26,""),IF($P26=1,"OVERDUE MEMO",""),IF($Q26=1,SUMPRODUCT((nrAT_PID=$B26)*(nrAT_Cleared="OPEN"))&amp;" uncleared missed-time event(s)",""),IF($R26=1,"DISMISSAL REVIEW OPEN ("&amp;sysChecks!$U26&amp;")",""),IF($U26=1,_xlfn.LET(_xlpm.n,COUNTIFS(nrES_PID,$B26,nrES_Absence,"Unexcused"),IF(_xlpm.n&gt;=2,_xlpm.n&amp;" unexcused missed exams (removal review)","unexcused missed exam (0 recorded)")),""))))</f>
        <v/>
      </c>
      <c r="U26" s="17">
        <f>IF($B26="","",IF(COUNTIFS(nrES_PID,$B26,nrES_Absence,"Unexcused")&gt;0,1,0))</f>
        <v/>
      </c>
    </row>
    <row r="27">
      <c r="B27" s="17">
        <f>IF(Cadets!$B27="","",Cadets!$B27)</f>
        <v/>
      </c>
      <c r="C27" s="17">
        <f>IF($B27="","",Cadets!$F27)</f>
        <v/>
      </c>
      <c r="D27" s="17">
        <f>IF($B27="","",Cadets!$I27)</f>
        <v/>
      </c>
      <c r="E27" s="17">
        <f>IF($B27="","",IF(N(sysGrades!$AC27)&gt;=cfgFlagConsecFails,1,0))</f>
        <v/>
      </c>
      <c r="F27" s="17">
        <f>IF($B27="","",IF(AND(sysGrades!$AB27&lt;&gt;"",sysGrades!$AB27&gt;=cfgFlagGradeDrop),1,0))</f>
        <v/>
      </c>
      <c r="G27" s="17">
        <f>IF($B27="","",IF(OR(AND(sysGrades!$I27&lt;&gt;"",sysGrades!$I27&lt;cfgThresholdScore+cfgFlagCategoryMargin),AND(sysGrades!$J27&lt;&gt;"",sysGrades!$J27&lt;cfgThresholdScore+cfgFlagCategoryMargin)),1,0))</f>
        <v/>
      </c>
      <c r="H27" s="17">
        <f>IF($B27="","",IF(Spelling!$R27="INTERVENTION",1,0))</f>
        <v/>
      </c>
      <c r="I27" s="17">
        <f>IF($B27="","",IF(OR(N(sysAttendance!$I27)&gt;=cfgMakeupAdvisoryMin,sysAttendance!$Q27&gt;=cfgFlagAttendancePct),1,0))</f>
        <v/>
      </c>
      <c r="J27" s="17">
        <f>IF($B27="","",IF(sysIncidents!$H27&gt;=cfgFlagOpenIncidents,1,0))</f>
        <v/>
      </c>
      <c r="K27" s="17">
        <f>IF($B27="","",IF(N(Writing!$AS27)&gt;=cfgFlagOverdueWriting,1,0))</f>
        <v/>
      </c>
      <c r="L27" s="17">
        <f>IF($B27="","",IF(COUNTIFS(nrES_PID,$B27,nrES_RetStat,"OVERDUE")+COUNTIFS(nrES_PID,$B27,nrES_RetStat,"CHECK DATE")+COUNTIFS(nrES_PID,$B27,nrES_RetStat,"LATE RETEST*")+COUNTIFS(nrES_PID,$B27,nrES_RetStat,"RETEST UNDATED")+COUNTIFS(nrES_PID,$B27,nrES_RetStat,"RETEST DATE UNCHECKED")&gt;0,1,0))</f>
        <v/>
      </c>
      <c r="M27" s="17">
        <f>IF($B27="","",IF(OR(PT!$K27="No",PT!$AB27="No",PT!$AB27="Incomplete"),1,0))</f>
        <v/>
      </c>
      <c r="N27" s="17">
        <f>IF($B27="","",IF(COUNTIFS(nrMD_PID,$B27,nrMD_Status,"RESTRICTION EXPIRED")&gt;0,1,0))</f>
        <v/>
      </c>
      <c r="O27" s="17">
        <f>IF($B27="","",IF(Certifications!$U27&lt;&gt;"",1,0))</f>
        <v/>
      </c>
      <c r="P27" s="17">
        <f>IF($B27="","",IF(COUNTIFS(nrME_PID,$B27,nrME_Status,"OVERDUE")+COUNTIFS(nrME_PID,$B27,nrME_Status,"CHECK DATE")&gt;0,1,0))</f>
        <v/>
      </c>
      <c r="Q27" s="17">
        <f>IF($B27="","",IF(SUMPRODUCT((nrAT_PID=$B27)*(nrAT_Cleared="OPEN"))&gt;0,1,0))</f>
        <v/>
      </c>
      <c r="R27" s="17">
        <f>IF($B27="","",IF(sysChecks!$M27="Yes",1,0))</f>
        <v/>
      </c>
      <c r="S27" s="17">
        <f>IF($B27="","",SUM($E27:$R27)+N($U27))</f>
        <v/>
      </c>
      <c r="T27" s="17">
        <f>IF($B27="","",IF($S27=0,"",_xlfn.TEXTJOIN("; ",TRUE,IF($E27=1,"consecutive exam fails",""),IF($F27=1,"grade dropped "&amp;sysGrades!$AB27&amp;" pts",""),IF($G27=1,"category avg near 70",""),IF($H27=1,"spelling below "&amp;cfgSpellInterventionAvg,""),IF($I27=1,"attendance at "&amp;TEXT(MAX(sysAttendance!$I27,sysAttendance!$Q27),"0%")&amp;" of cap",""),IF($J27=1,"open negative incidents",""),IF($K27=1,N(Writing!$AS27)&amp;" overdue writing",""),IF($L27=1,"RETEST OVERDUE / LATE",""),IF($M27=1,"PT failure",""),IF($N27=1,"medical restriction expired",""),IF($O27=1,"cert copies outstanding: "&amp;Certifications!$U27,""),IF($P27=1,"OVERDUE MEMO",""),IF($Q27=1,SUMPRODUCT((nrAT_PID=$B27)*(nrAT_Cleared="OPEN"))&amp;" uncleared missed-time event(s)",""),IF($R27=1,"DISMISSAL REVIEW OPEN ("&amp;sysChecks!$U27&amp;")",""),IF($U27=1,_xlfn.LET(_xlpm.n,COUNTIFS(nrES_PID,$B27,nrES_Absence,"Unexcused"),IF(_xlpm.n&gt;=2,_xlpm.n&amp;" unexcused missed exams (removal review)","unexcused missed exam (0 recorded)")),""))))</f>
        <v/>
      </c>
      <c r="U27" s="17">
        <f>IF($B27="","",IF(COUNTIFS(nrES_PID,$B27,nrES_Absence,"Unexcused")&gt;0,1,0))</f>
        <v/>
      </c>
    </row>
    <row r="28">
      <c r="B28" s="17">
        <f>IF(Cadets!$B28="","",Cadets!$B28)</f>
        <v/>
      </c>
      <c r="C28" s="17">
        <f>IF($B28="","",Cadets!$F28)</f>
        <v/>
      </c>
      <c r="D28" s="17">
        <f>IF($B28="","",Cadets!$I28)</f>
        <v/>
      </c>
      <c r="E28" s="17">
        <f>IF($B28="","",IF(N(sysGrades!$AC28)&gt;=cfgFlagConsecFails,1,0))</f>
        <v/>
      </c>
      <c r="F28" s="17">
        <f>IF($B28="","",IF(AND(sysGrades!$AB28&lt;&gt;"",sysGrades!$AB28&gt;=cfgFlagGradeDrop),1,0))</f>
        <v/>
      </c>
      <c r="G28" s="17">
        <f>IF($B28="","",IF(OR(AND(sysGrades!$I28&lt;&gt;"",sysGrades!$I28&lt;cfgThresholdScore+cfgFlagCategoryMargin),AND(sysGrades!$J28&lt;&gt;"",sysGrades!$J28&lt;cfgThresholdScore+cfgFlagCategoryMargin)),1,0))</f>
        <v/>
      </c>
      <c r="H28" s="17">
        <f>IF($B28="","",IF(Spelling!$R28="INTERVENTION",1,0))</f>
        <v/>
      </c>
      <c r="I28" s="17">
        <f>IF($B28="","",IF(OR(N(sysAttendance!$I28)&gt;=cfgMakeupAdvisoryMin,sysAttendance!$Q28&gt;=cfgFlagAttendancePct),1,0))</f>
        <v/>
      </c>
      <c r="J28" s="17">
        <f>IF($B28="","",IF(sysIncidents!$H28&gt;=cfgFlagOpenIncidents,1,0))</f>
        <v/>
      </c>
      <c r="K28" s="17">
        <f>IF($B28="","",IF(N(Writing!$AS28)&gt;=cfgFlagOverdueWriting,1,0))</f>
        <v/>
      </c>
      <c r="L28" s="17">
        <f>IF($B28="","",IF(COUNTIFS(nrES_PID,$B28,nrES_RetStat,"OVERDUE")+COUNTIFS(nrES_PID,$B28,nrES_RetStat,"CHECK DATE")+COUNTIFS(nrES_PID,$B28,nrES_RetStat,"LATE RETEST*")+COUNTIFS(nrES_PID,$B28,nrES_RetStat,"RETEST UNDATED")+COUNTIFS(nrES_PID,$B28,nrES_RetStat,"RETEST DATE UNCHECKED")&gt;0,1,0))</f>
        <v/>
      </c>
      <c r="M28" s="17">
        <f>IF($B28="","",IF(OR(PT!$K28="No",PT!$AB28="No",PT!$AB28="Incomplete"),1,0))</f>
        <v/>
      </c>
      <c r="N28" s="17">
        <f>IF($B28="","",IF(COUNTIFS(nrMD_PID,$B28,nrMD_Status,"RESTRICTION EXPIRED")&gt;0,1,0))</f>
        <v/>
      </c>
      <c r="O28" s="17">
        <f>IF($B28="","",IF(Certifications!$U28&lt;&gt;"",1,0))</f>
        <v/>
      </c>
      <c r="P28" s="17">
        <f>IF($B28="","",IF(COUNTIFS(nrME_PID,$B28,nrME_Status,"OVERDUE")+COUNTIFS(nrME_PID,$B28,nrME_Status,"CHECK DATE")&gt;0,1,0))</f>
        <v/>
      </c>
      <c r="Q28" s="17">
        <f>IF($B28="","",IF(SUMPRODUCT((nrAT_PID=$B28)*(nrAT_Cleared="OPEN"))&gt;0,1,0))</f>
        <v/>
      </c>
      <c r="R28" s="17">
        <f>IF($B28="","",IF(sysChecks!$M28="Yes",1,0))</f>
        <v/>
      </c>
      <c r="S28" s="17">
        <f>IF($B28="","",SUM($E28:$R28)+N($U28))</f>
        <v/>
      </c>
      <c r="T28" s="17">
        <f>IF($B28="","",IF($S28=0,"",_xlfn.TEXTJOIN("; ",TRUE,IF($E28=1,"consecutive exam fails",""),IF($F28=1,"grade dropped "&amp;sysGrades!$AB28&amp;" pts",""),IF($G28=1,"category avg near 70",""),IF($H28=1,"spelling below "&amp;cfgSpellInterventionAvg,""),IF($I28=1,"attendance at "&amp;TEXT(MAX(sysAttendance!$I28,sysAttendance!$Q28),"0%")&amp;" of cap",""),IF($J28=1,"open negative incidents",""),IF($K28=1,N(Writing!$AS28)&amp;" overdue writing",""),IF($L28=1,"RETEST OVERDUE / LATE",""),IF($M28=1,"PT failure",""),IF($N28=1,"medical restriction expired",""),IF($O28=1,"cert copies outstanding: "&amp;Certifications!$U28,""),IF($P28=1,"OVERDUE MEMO",""),IF($Q28=1,SUMPRODUCT((nrAT_PID=$B28)*(nrAT_Cleared="OPEN"))&amp;" uncleared missed-time event(s)",""),IF($R28=1,"DISMISSAL REVIEW OPEN ("&amp;sysChecks!$U28&amp;")",""),IF($U28=1,_xlfn.LET(_xlpm.n,COUNTIFS(nrES_PID,$B28,nrES_Absence,"Unexcused"),IF(_xlpm.n&gt;=2,_xlpm.n&amp;" unexcused missed exams (removal review)","unexcused missed exam (0 recorded)")),""))))</f>
        <v/>
      </c>
      <c r="U28" s="17">
        <f>IF($B28="","",IF(COUNTIFS(nrES_PID,$B28,nrES_Absence,"Unexcused")&gt;0,1,0))</f>
        <v/>
      </c>
    </row>
    <row r="29">
      <c r="B29" s="17">
        <f>IF(Cadets!$B29="","",Cadets!$B29)</f>
        <v/>
      </c>
      <c r="C29" s="17">
        <f>IF($B29="","",Cadets!$F29)</f>
        <v/>
      </c>
      <c r="D29" s="17">
        <f>IF($B29="","",Cadets!$I29)</f>
        <v/>
      </c>
      <c r="E29" s="17">
        <f>IF($B29="","",IF(N(sysGrades!$AC29)&gt;=cfgFlagConsecFails,1,0))</f>
        <v/>
      </c>
      <c r="F29" s="17">
        <f>IF($B29="","",IF(AND(sysGrades!$AB29&lt;&gt;"",sysGrades!$AB29&gt;=cfgFlagGradeDrop),1,0))</f>
        <v/>
      </c>
      <c r="G29" s="17">
        <f>IF($B29="","",IF(OR(AND(sysGrades!$I29&lt;&gt;"",sysGrades!$I29&lt;cfgThresholdScore+cfgFlagCategoryMargin),AND(sysGrades!$J29&lt;&gt;"",sysGrades!$J29&lt;cfgThresholdScore+cfgFlagCategoryMargin)),1,0))</f>
        <v/>
      </c>
      <c r="H29" s="17">
        <f>IF($B29="","",IF(Spelling!$R29="INTERVENTION",1,0))</f>
        <v/>
      </c>
      <c r="I29" s="17">
        <f>IF($B29="","",IF(OR(N(sysAttendance!$I29)&gt;=cfgMakeupAdvisoryMin,sysAttendance!$Q29&gt;=cfgFlagAttendancePct),1,0))</f>
        <v/>
      </c>
      <c r="J29" s="17">
        <f>IF($B29="","",IF(sysIncidents!$H29&gt;=cfgFlagOpenIncidents,1,0))</f>
        <v/>
      </c>
      <c r="K29" s="17">
        <f>IF($B29="","",IF(N(Writing!$AS29)&gt;=cfgFlagOverdueWriting,1,0))</f>
        <v/>
      </c>
      <c r="L29" s="17">
        <f>IF($B29="","",IF(COUNTIFS(nrES_PID,$B29,nrES_RetStat,"OVERDUE")+COUNTIFS(nrES_PID,$B29,nrES_RetStat,"CHECK DATE")+COUNTIFS(nrES_PID,$B29,nrES_RetStat,"LATE RETEST*")+COUNTIFS(nrES_PID,$B29,nrES_RetStat,"RETEST UNDATED")+COUNTIFS(nrES_PID,$B29,nrES_RetStat,"RETEST DATE UNCHECKED")&gt;0,1,0))</f>
        <v/>
      </c>
      <c r="M29" s="17">
        <f>IF($B29="","",IF(OR(PT!$K29="No",PT!$AB29="No",PT!$AB29="Incomplete"),1,0))</f>
        <v/>
      </c>
      <c r="N29" s="17">
        <f>IF($B29="","",IF(COUNTIFS(nrMD_PID,$B29,nrMD_Status,"RESTRICTION EXPIRED")&gt;0,1,0))</f>
        <v/>
      </c>
      <c r="O29" s="17">
        <f>IF($B29="","",IF(Certifications!$U29&lt;&gt;"",1,0))</f>
        <v/>
      </c>
      <c r="P29" s="17">
        <f>IF($B29="","",IF(COUNTIFS(nrME_PID,$B29,nrME_Status,"OVERDUE")+COUNTIFS(nrME_PID,$B29,nrME_Status,"CHECK DATE")&gt;0,1,0))</f>
        <v/>
      </c>
      <c r="Q29" s="17">
        <f>IF($B29="","",IF(SUMPRODUCT((nrAT_PID=$B29)*(nrAT_Cleared="OPEN"))&gt;0,1,0))</f>
        <v/>
      </c>
      <c r="R29" s="17">
        <f>IF($B29="","",IF(sysChecks!$M29="Yes",1,0))</f>
        <v/>
      </c>
      <c r="S29" s="17">
        <f>IF($B29="","",SUM($E29:$R29)+N($U29))</f>
        <v/>
      </c>
      <c r="T29" s="17">
        <f>IF($B29="","",IF($S29=0,"",_xlfn.TEXTJOIN("; ",TRUE,IF($E29=1,"consecutive exam fails",""),IF($F29=1,"grade dropped "&amp;sysGrades!$AB29&amp;" pts",""),IF($G29=1,"category avg near 70",""),IF($H29=1,"spelling below "&amp;cfgSpellInterventionAvg,""),IF($I29=1,"attendance at "&amp;TEXT(MAX(sysAttendance!$I29,sysAttendance!$Q29),"0%")&amp;" of cap",""),IF($J29=1,"open negative incidents",""),IF($K29=1,N(Writing!$AS29)&amp;" overdue writing",""),IF($L29=1,"RETEST OVERDUE / LATE",""),IF($M29=1,"PT failure",""),IF($N29=1,"medical restriction expired",""),IF($O29=1,"cert copies outstanding: "&amp;Certifications!$U29,""),IF($P29=1,"OVERDUE MEMO",""),IF($Q29=1,SUMPRODUCT((nrAT_PID=$B29)*(nrAT_Cleared="OPEN"))&amp;" uncleared missed-time event(s)",""),IF($R29=1,"DISMISSAL REVIEW OPEN ("&amp;sysChecks!$U29&amp;")",""),IF($U29=1,_xlfn.LET(_xlpm.n,COUNTIFS(nrES_PID,$B29,nrES_Absence,"Unexcused"),IF(_xlpm.n&gt;=2,_xlpm.n&amp;" unexcused missed exams (removal review)","unexcused missed exam (0 recorded)")),""))))</f>
        <v/>
      </c>
      <c r="U29" s="17">
        <f>IF($B29="","",IF(COUNTIFS(nrES_PID,$B29,nrES_Absence,"Unexcused")&gt;0,1,0))</f>
        <v/>
      </c>
    </row>
    <row r="30">
      <c r="B30" s="17">
        <f>IF(Cadets!$B30="","",Cadets!$B30)</f>
        <v/>
      </c>
      <c r="C30" s="17">
        <f>IF($B30="","",Cadets!$F30)</f>
        <v/>
      </c>
      <c r="D30" s="17">
        <f>IF($B30="","",Cadets!$I30)</f>
        <v/>
      </c>
      <c r="E30" s="17">
        <f>IF($B30="","",IF(N(sysGrades!$AC30)&gt;=cfgFlagConsecFails,1,0))</f>
        <v/>
      </c>
      <c r="F30" s="17">
        <f>IF($B30="","",IF(AND(sysGrades!$AB30&lt;&gt;"",sysGrades!$AB30&gt;=cfgFlagGradeDrop),1,0))</f>
        <v/>
      </c>
      <c r="G30" s="17">
        <f>IF($B30="","",IF(OR(AND(sysGrades!$I30&lt;&gt;"",sysGrades!$I30&lt;cfgThresholdScore+cfgFlagCategoryMargin),AND(sysGrades!$J30&lt;&gt;"",sysGrades!$J30&lt;cfgThresholdScore+cfgFlagCategoryMargin)),1,0))</f>
        <v/>
      </c>
      <c r="H30" s="17">
        <f>IF($B30="","",IF(Spelling!$R30="INTERVENTION",1,0))</f>
        <v/>
      </c>
      <c r="I30" s="17">
        <f>IF($B30="","",IF(OR(N(sysAttendance!$I30)&gt;=cfgMakeupAdvisoryMin,sysAttendance!$Q30&gt;=cfgFlagAttendancePct),1,0))</f>
        <v/>
      </c>
      <c r="J30" s="17">
        <f>IF($B30="","",IF(sysIncidents!$H30&gt;=cfgFlagOpenIncidents,1,0))</f>
        <v/>
      </c>
      <c r="K30" s="17">
        <f>IF($B30="","",IF(N(Writing!$AS30)&gt;=cfgFlagOverdueWriting,1,0))</f>
        <v/>
      </c>
      <c r="L30" s="17">
        <f>IF($B30="","",IF(COUNTIFS(nrES_PID,$B30,nrES_RetStat,"OVERDUE")+COUNTIFS(nrES_PID,$B30,nrES_RetStat,"CHECK DATE")+COUNTIFS(nrES_PID,$B30,nrES_RetStat,"LATE RETEST*")+COUNTIFS(nrES_PID,$B30,nrES_RetStat,"RETEST UNDATED")+COUNTIFS(nrES_PID,$B30,nrES_RetStat,"RETEST DATE UNCHECKED")&gt;0,1,0))</f>
        <v/>
      </c>
      <c r="M30" s="17">
        <f>IF($B30="","",IF(OR(PT!$K30="No",PT!$AB30="No",PT!$AB30="Incomplete"),1,0))</f>
        <v/>
      </c>
      <c r="N30" s="17">
        <f>IF($B30="","",IF(COUNTIFS(nrMD_PID,$B30,nrMD_Status,"RESTRICTION EXPIRED")&gt;0,1,0))</f>
        <v/>
      </c>
      <c r="O30" s="17">
        <f>IF($B30="","",IF(Certifications!$U30&lt;&gt;"",1,0))</f>
        <v/>
      </c>
      <c r="P30" s="17">
        <f>IF($B30="","",IF(COUNTIFS(nrME_PID,$B30,nrME_Status,"OVERDUE")+COUNTIFS(nrME_PID,$B30,nrME_Status,"CHECK DATE")&gt;0,1,0))</f>
        <v/>
      </c>
      <c r="Q30" s="17">
        <f>IF($B30="","",IF(SUMPRODUCT((nrAT_PID=$B30)*(nrAT_Cleared="OPEN"))&gt;0,1,0))</f>
        <v/>
      </c>
      <c r="R30" s="17">
        <f>IF($B30="","",IF(sysChecks!$M30="Yes",1,0))</f>
        <v/>
      </c>
      <c r="S30" s="17">
        <f>IF($B30="","",SUM($E30:$R30)+N($U30))</f>
        <v/>
      </c>
      <c r="T30" s="17">
        <f>IF($B30="","",IF($S30=0,"",_xlfn.TEXTJOIN("; ",TRUE,IF($E30=1,"consecutive exam fails",""),IF($F30=1,"grade dropped "&amp;sysGrades!$AB30&amp;" pts",""),IF($G30=1,"category avg near 70",""),IF($H30=1,"spelling below "&amp;cfgSpellInterventionAvg,""),IF($I30=1,"attendance at "&amp;TEXT(MAX(sysAttendance!$I30,sysAttendance!$Q30),"0%")&amp;" of cap",""),IF($J30=1,"open negative incidents",""),IF($K30=1,N(Writing!$AS30)&amp;" overdue writing",""),IF($L30=1,"RETEST OVERDUE / LATE",""),IF($M30=1,"PT failure",""),IF($N30=1,"medical restriction expired",""),IF($O30=1,"cert copies outstanding: "&amp;Certifications!$U30,""),IF($P30=1,"OVERDUE MEMO",""),IF($Q30=1,SUMPRODUCT((nrAT_PID=$B30)*(nrAT_Cleared="OPEN"))&amp;" uncleared missed-time event(s)",""),IF($R30=1,"DISMISSAL REVIEW OPEN ("&amp;sysChecks!$U30&amp;")",""),IF($U30=1,_xlfn.LET(_xlpm.n,COUNTIFS(nrES_PID,$B30,nrES_Absence,"Unexcused"),IF(_xlpm.n&gt;=2,_xlpm.n&amp;" unexcused missed exams (removal review)","unexcused missed exam (0 recorded)")),""))))</f>
        <v/>
      </c>
      <c r="U30" s="17">
        <f>IF($B30="","",IF(COUNTIFS(nrES_PID,$B30,nrES_Absence,"Unexcused")&gt;0,1,0))</f>
        <v/>
      </c>
    </row>
    <row r="31">
      <c r="B31" s="17">
        <f>IF(Cadets!$B31="","",Cadets!$B31)</f>
        <v/>
      </c>
      <c r="C31" s="17">
        <f>IF($B31="","",Cadets!$F31)</f>
        <v/>
      </c>
      <c r="D31" s="17">
        <f>IF($B31="","",Cadets!$I31)</f>
        <v/>
      </c>
      <c r="E31" s="17">
        <f>IF($B31="","",IF(N(sysGrades!$AC31)&gt;=cfgFlagConsecFails,1,0))</f>
        <v/>
      </c>
      <c r="F31" s="17">
        <f>IF($B31="","",IF(AND(sysGrades!$AB31&lt;&gt;"",sysGrades!$AB31&gt;=cfgFlagGradeDrop),1,0))</f>
        <v/>
      </c>
      <c r="G31" s="17">
        <f>IF($B31="","",IF(OR(AND(sysGrades!$I31&lt;&gt;"",sysGrades!$I31&lt;cfgThresholdScore+cfgFlagCategoryMargin),AND(sysGrades!$J31&lt;&gt;"",sysGrades!$J31&lt;cfgThresholdScore+cfgFlagCategoryMargin)),1,0))</f>
        <v/>
      </c>
      <c r="H31" s="17">
        <f>IF($B31="","",IF(Spelling!$R31="INTERVENTION",1,0))</f>
        <v/>
      </c>
      <c r="I31" s="17">
        <f>IF($B31="","",IF(OR(N(sysAttendance!$I31)&gt;=cfgMakeupAdvisoryMin,sysAttendance!$Q31&gt;=cfgFlagAttendancePct),1,0))</f>
        <v/>
      </c>
      <c r="J31" s="17">
        <f>IF($B31="","",IF(sysIncidents!$H31&gt;=cfgFlagOpenIncidents,1,0))</f>
        <v/>
      </c>
      <c r="K31" s="17">
        <f>IF($B31="","",IF(N(Writing!$AS31)&gt;=cfgFlagOverdueWriting,1,0))</f>
        <v/>
      </c>
      <c r="L31" s="17">
        <f>IF($B31="","",IF(COUNTIFS(nrES_PID,$B31,nrES_RetStat,"OVERDUE")+COUNTIFS(nrES_PID,$B31,nrES_RetStat,"CHECK DATE")+COUNTIFS(nrES_PID,$B31,nrES_RetStat,"LATE RETEST*")+COUNTIFS(nrES_PID,$B31,nrES_RetStat,"RETEST UNDATED")+COUNTIFS(nrES_PID,$B31,nrES_RetStat,"RETEST DATE UNCHECKED")&gt;0,1,0))</f>
        <v/>
      </c>
      <c r="M31" s="17">
        <f>IF($B31="","",IF(OR(PT!$K31="No",PT!$AB31="No",PT!$AB31="Incomplete"),1,0))</f>
        <v/>
      </c>
      <c r="N31" s="17">
        <f>IF($B31="","",IF(COUNTIFS(nrMD_PID,$B31,nrMD_Status,"RESTRICTION EXPIRED")&gt;0,1,0))</f>
        <v/>
      </c>
      <c r="O31" s="17">
        <f>IF($B31="","",IF(Certifications!$U31&lt;&gt;"",1,0))</f>
        <v/>
      </c>
      <c r="P31" s="17">
        <f>IF($B31="","",IF(COUNTIFS(nrME_PID,$B31,nrME_Status,"OVERDUE")+COUNTIFS(nrME_PID,$B31,nrME_Status,"CHECK DATE")&gt;0,1,0))</f>
        <v/>
      </c>
      <c r="Q31" s="17">
        <f>IF($B31="","",IF(SUMPRODUCT((nrAT_PID=$B31)*(nrAT_Cleared="OPEN"))&gt;0,1,0))</f>
        <v/>
      </c>
      <c r="R31" s="17">
        <f>IF($B31="","",IF(sysChecks!$M31="Yes",1,0))</f>
        <v/>
      </c>
      <c r="S31" s="17">
        <f>IF($B31="","",SUM($E31:$R31)+N($U31))</f>
        <v/>
      </c>
      <c r="T31" s="17">
        <f>IF($B31="","",IF($S31=0,"",_xlfn.TEXTJOIN("; ",TRUE,IF($E31=1,"consecutive exam fails",""),IF($F31=1,"grade dropped "&amp;sysGrades!$AB31&amp;" pts",""),IF($G31=1,"category avg near 70",""),IF($H31=1,"spelling below "&amp;cfgSpellInterventionAvg,""),IF($I31=1,"attendance at "&amp;TEXT(MAX(sysAttendance!$I31,sysAttendance!$Q31),"0%")&amp;" of cap",""),IF($J31=1,"open negative incidents",""),IF($K31=1,N(Writing!$AS31)&amp;" overdue writing",""),IF($L31=1,"RETEST OVERDUE / LATE",""),IF($M31=1,"PT failure",""),IF($N31=1,"medical restriction expired",""),IF($O31=1,"cert copies outstanding: "&amp;Certifications!$U31,""),IF($P31=1,"OVERDUE MEMO",""),IF($Q31=1,SUMPRODUCT((nrAT_PID=$B31)*(nrAT_Cleared="OPEN"))&amp;" uncleared missed-time event(s)",""),IF($R31=1,"DISMISSAL REVIEW OPEN ("&amp;sysChecks!$U31&amp;")",""),IF($U31=1,_xlfn.LET(_xlpm.n,COUNTIFS(nrES_PID,$B31,nrES_Absence,"Unexcused"),IF(_xlpm.n&gt;=2,_xlpm.n&amp;" unexcused missed exams (removal review)","unexcused missed exam (0 recorded)")),""))))</f>
        <v/>
      </c>
      <c r="U31" s="17">
        <f>IF($B31="","",IF(COUNTIFS(nrES_PID,$B31,nrES_Absence,"Unexcused")&gt;0,1,0))</f>
        <v/>
      </c>
    </row>
    <row r="32">
      <c r="B32" s="17">
        <f>IF(Cadets!$B32="","",Cadets!$B32)</f>
        <v/>
      </c>
      <c r="C32" s="17">
        <f>IF($B32="","",Cadets!$F32)</f>
        <v/>
      </c>
      <c r="D32" s="17">
        <f>IF($B32="","",Cadets!$I32)</f>
        <v/>
      </c>
      <c r="E32" s="17">
        <f>IF($B32="","",IF(N(sysGrades!$AC32)&gt;=cfgFlagConsecFails,1,0))</f>
        <v/>
      </c>
      <c r="F32" s="17">
        <f>IF($B32="","",IF(AND(sysGrades!$AB32&lt;&gt;"",sysGrades!$AB32&gt;=cfgFlagGradeDrop),1,0))</f>
        <v/>
      </c>
      <c r="G32" s="17">
        <f>IF($B32="","",IF(OR(AND(sysGrades!$I32&lt;&gt;"",sysGrades!$I32&lt;cfgThresholdScore+cfgFlagCategoryMargin),AND(sysGrades!$J32&lt;&gt;"",sysGrades!$J32&lt;cfgThresholdScore+cfgFlagCategoryMargin)),1,0))</f>
        <v/>
      </c>
      <c r="H32" s="17">
        <f>IF($B32="","",IF(Spelling!$R32="INTERVENTION",1,0))</f>
        <v/>
      </c>
      <c r="I32" s="17">
        <f>IF($B32="","",IF(OR(N(sysAttendance!$I32)&gt;=cfgMakeupAdvisoryMin,sysAttendance!$Q32&gt;=cfgFlagAttendancePct),1,0))</f>
        <v/>
      </c>
      <c r="J32" s="17">
        <f>IF($B32="","",IF(sysIncidents!$H32&gt;=cfgFlagOpenIncidents,1,0))</f>
        <v/>
      </c>
      <c r="K32" s="17">
        <f>IF($B32="","",IF(N(Writing!$AS32)&gt;=cfgFlagOverdueWriting,1,0))</f>
        <v/>
      </c>
      <c r="L32" s="17">
        <f>IF($B32="","",IF(COUNTIFS(nrES_PID,$B32,nrES_RetStat,"OVERDUE")+COUNTIFS(nrES_PID,$B32,nrES_RetStat,"CHECK DATE")+COUNTIFS(nrES_PID,$B32,nrES_RetStat,"LATE RETEST*")+COUNTIFS(nrES_PID,$B32,nrES_RetStat,"RETEST UNDATED")+COUNTIFS(nrES_PID,$B32,nrES_RetStat,"RETEST DATE UNCHECKED")&gt;0,1,0))</f>
        <v/>
      </c>
      <c r="M32" s="17">
        <f>IF($B32="","",IF(OR(PT!$K32="No",PT!$AB32="No",PT!$AB32="Incomplete"),1,0))</f>
        <v/>
      </c>
      <c r="N32" s="17">
        <f>IF($B32="","",IF(COUNTIFS(nrMD_PID,$B32,nrMD_Status,"RESTRICTION EXPIRED")&gt;0,1,0))</f>
        <v/>
      </c>
      <c r="O32" s="17">
        <f>IF($B32="","",IF(Certifications!$U32&lt;&gt;"",1,0))</f>
        <v/>
      </c>
      <c r="P32" s="17">
        <f>IF($B32="","",IF(COUNTIFS(nrME_PID,$B32,nrME_Status,"OVERDUE")+COUNTIFS(nrME_PID,$B32,nrME_Status,"CHECK DATE")&gt;0,1,0))</f>
        <v/>
      </c>
      <c r="Q32" s="17">
        <f>IF($B32="","",IF(SUMPRODUCT((nrAT_PID=$B32)*(nrAT_Cleared="OPEN"))&gt;0,1,0))</f>
        <v/>
      </c>
      <c r="R32" s="17">
        <f>IF($B32="","",IF(sysChecks!$M32="Yes",1,0))</f>
        <v/>
      </c>
      <c r="S32" s="17">
        <f>IF($B32="","",SUM($E32:$R32)+N($U32))</f>
        <v/>
      </c>
      <c r="T32" s="17">
        <f>IF($B32="","",IF($S32=0,"",_xlfn.TEXTJOIN("; ",TRUE,IF($E32=1,"consecutive exam fails",""),IF($F32=1,"grade dropped "&amp;sysGrades!$AB32&amp;" pts",""),IF($G32=1,"category avg near 70",""),IF($H32=1,"spelling below "&amp;cfgSpellInterventionAvg,""),IF($I32=1,"attendance at "&amp;TEXT(MAX(sysAttendance!$I32,sysAttendance!$Q32),"0%")&amp;" of cap",""),IF($J32=1,"open negative incidents",""),IF($K32=1,N(Writing!$AS32)&amp;" overdue writing",""),IF($L32=1,"RETEST OVERDUE / LATE",""),IF($M32=1,"PT failure",""),IF($N32=1,"medical restriction expired",""),IF($O32=1,"cert copies outstanding: "&amp;Certifications!$U32,""),IF($P32=1,"OVERDUE MEMO",""),IF($Q32=1,SUMPRODUCT((nrAT_PID=$B32)*(nrAT_Cleared="OPEN"))&amp;" uncleared missed-time event(s)",""),IF($R32=1,"DISMISSAL REVIEW OPEN ("&amp;sysChecks!$U32&amp;")",""),IF($U32=1,_xlfn.LET(_xlpm.n,COUNTIFS(nrES_PID,$B32,nrES_Absence,"Unexcused"),IF(_xlpm.n&gt;=2,_xlpm.n&amp;" unexcused missed exams (removal review)","unexcused missed exam (0 recorded)")),""))))</f>
        <v/>
      </c>
      <c r="U32" s="17">
        <f>IF($B32="","",IF(COUNTIFS(nrES_PID,$B32,nrES_Absence,"Unexcused")&gt;0,1,0))</f>
        <v/>
      </c>
    </row>
    <row r="33">
      <c r="B33" s="17">
        <f>IF(Cadets!$B33="","",Cadets!$B33)</f>
        <v/>
      </c>
      <c r="C33" s="17">
        <f>IF($B33="","",Cadets!$F33)</f>
        <v/>
      </c>
      <c r="D33" s="17">
        <f>IF($B33="","",Cadets!$I33)</f>
        <v/>
      </c>
      <c r="E33" s="17">
        <f>IF($B33="","",IF(N(sysGrades!$AC33)&gt;=cfgFlagConsecFails,1,0))</f>
        <v/>
      </c>
      <c r="F33" s="17">
        <f>IF($B33="","",IF(AND(sysGrades!$AB33&lt;&gt;"",sysGrades!$AB33&gt;=cfgFlagGradeDrop),1,0))</f>
        <v/>
      </c>
      <c r="G33" s="17">
        <f>IF($B33="","",IF(OR(AND(sysGrades!$I33&lt;&gt;"",sysGrades!$I33&lt;cfgThresholdScore+cfgFlagCategoryMargin),AND(sysGrades!$J33&lt;&gt;"",sysGrades!$J33&lt;cfgThresholdScore+cfgFlagCategoryMargin)),1,0))</f>
        <v/>
      </c>
      <c r="H33" s="17">
        <f>IF($B33="","",IF(Spelling!$R33="INTERVENTION",1,0))</f>
        <v/>
      </c>
      <c r="I33" s="17">
        <f>IF($B33="","",IF(OR(N(sysAttendance!$I33)&gt;=cfgMakeupAdvisoryMin,sysAttendance!$Q33&gt;=cfgFlagAttendancePct),1,0))</f>
        <v/>
      </c>
      <c r="J33" s="17">
        <f>IF($B33="","",IF(sysIncidents!$H33&gt;=cfgFlagOpenIncidents,1,0))</f>
        <v/>
      </c>
      <c r="K33" s="17">
        <f>IF($B33="","",IF(N(Writing!$AS33)&gt;=cfgFlagOverdueWriting,1,0))</f>
        <v/>
      </c>
      <c r="L33" s="17">
        <f>IF($B33="","",IF(COUNTIFS(nrES_PID,$B33,nrES_RetStat,"OVERDUE")+COUNTIFS(nrES_PID,$B33,nrES_RetStat,"CHECK DATE")+COUNTIFS(nrES_PID,$B33,nrES_RetStat,"LATE RETEST*")+COUNTIFS(nrES_PID,$B33,nrES_RetStat,"RETEST UNDATED")+COUNTIFS(nrES_PID,$B33,nrES_RetStat,"RETEST DATE UNCHECKED")&gt;0,1,0))</f>
        <v/>
      </c>
      <c r="M33" s="17">
        <f>IF($B33="","",IF(OR(PT!$K33="No",PT!$AB33="No",PT!$AB33="Incomplete"),1,0))</f>
        <v/>
      </c>
      <c r="N33" s="17">
        <f>IF($B33="","",IF(COUNTIFS(nrMD_PID,$B33,nrMD_Status,"RESTRICTION EXPIRED")&gt;0,1,0))</f>
        <v/>
      </c>
      <c r="O33" s="17">
        <f>IF($B33="","",IF(Certifications!$U33&lt;&gt;"",1,0))</f>
        <v/>
      </c>
      <c r="P33" s="17">
        <f>IF($B33="","",IF(COUNTIFS(nrME_PID,$B33,nrME_Status,"OVERDUE")+COUNTIFS(nrME_PID,$B33,nrME_Status,"CHECK DATE")&gt;0,1,0))</f>
        <v/>
      </c>
      <c r="Q33" s="17">
        <f>IF($B33="","",IF(SUMPRODUCT((nrAT_PID=$B33)*(nrAT_Cleared="OPEN"))&gt;0,1,0))</f>
        <v/>
      </c>
      <c r="R33" s="17">
        <f>IF($B33="","",IF(sysChecks!$M33="Yes",1,0))</f>
        <v/>
      </c>
      <c r="S33" s="17">
        <f>IF($B33="","",SUM($E33:$R33)+N($U33))</f>
        <v/>
      </c>
      <c r="T33" s="17">
        <f>IF($B33="","",IF($S33=0,"",_xlfn.TEXTJOIN("; ",TRUE,IF($E33=1,"consecutive exam fails",""),IF($F33=1,"grade dropped "&amp;sysGrades!$AB33&amp;" pts",""),IF($G33=1,"category avg near 70",""),IF($H33=1,"spelling below "&amp;cfgSpellInterventionAvg,""),IF($I33=1,"attendance at "&amp;TEXT(MAX(sysAttendance!$I33,sysAttendance!$Q33),"0%")&amp;" of cap",""),IF($J33=1,"open negative incidents",""),IF($K33=1,N(Writing!$AS33)&amp;" overdue writing",""),IF($L33=1,"RETEST OVERDUE / LATE",""),IF($M33=1,"PT failure",""),IF($N33=1,"medical restriction expired",""),IF($O33=1,"cert copies outstanding: "&amp;Certifications!$U33,""),IF($P33=1,"OVERDUE MEMO",""),IF($Q33=1,SUMPRODUCT((nrAT_PID=$B33)*(nrAT_Cleared="OPEN"))&amp;" uncleared missed-time event(s)",""),IF($R33=1,"DISMISSAL REVIEW OPEN ("&amp;sysChecks!$U33&amp;")",""),IF($U33=1,_xlfn.LET(_xlpm.n,COUNTIFS(nrES_PID,$B33,nrES_Absence,"Unexcused"),IF(_xlpm.n&gt;=2,_xlpm.n&amp;" unexcused missed exams (removal review)","unexcused missed exam (0 recorded)")),""))))</f>
        <v/>
      </c>
      <c r="U33" s="17">
        <f>IF($B33="","",IF(COUNTIFS(nrES_PID,$B33,nrES_Absence,"Unexcused")&gt;0,1,0))</f>
        <v/>
      </c>
    </row>
    <row r="34">
      <c r="B34" s="17">
        <f>IF(Cadets!$B34="","",Cadets!$B34)</f>
        <v/>
      </c>
      <c r="C34" s="17">
        <f>IF($B34="","",Cadets!$F34)</f>
        <v/>
      </c>
      <c r="D34" s="17">
        <f>IF($B34="","",Cadets!$I34)</f>
        <v/>
      </c>
      <c r="E34" s="17">
        <f>IF($B34="","",IF(N(sysGrades!$AC34)&gt;=cfgFlagConsecFails,1,0))</f>
        <v/>
      </c>
      <c r="F34" s="17">
        <f>IF($B34="","",IF(AND(sysGrades!$AB34&lt;&gt;"",sysGrades!$AB34&gt;=cfgFlagGradeDrop),1,0))</f>
        <v/>
      </c>
      <c r="G34" s="17">
        <f>IF($B34="","",IF(OR(AND(sysGrades!$I34&lt;&gt;"",sysGrades!$I34&lt;cfgThresholdScore+cfgFlagCategoryMargin),AND(sysGrades!$J34&lt;&gt;"",sysGrades!$J34&lt;cfgThresholdScore+cfgFlagCategoryMargin)),1,0))</f>
        <v/>
      </c>
      <c r="H34" s="17">
        <f>IF($B34="","",IF(Spelling!$R34="INTERVENTION",1,0))</f>
        <v/>
      </c>
      <c r="I34" s="17">
        <f>IF($B34="","",IF(OR(N(sysAttendance!$I34)&gt;=cfgMakeupAdvisoryMin,sysAttendance!$Q34&gt;=cfgFlagAttendancePct),1,0))</f>
        <v/>
      </c>
      <c r="J34" s="17">
        <f>IF($B34="","",IF(sysIncidents!$H34&gt;=cfgFlagOpenIncidents,1,0))</f>
        <v/>
      </c>
      <c r="K34" s="17">
        <f>IF($B34="","",IF(N(Writing!$AS34)&gt;=cfgFlagOverdueWriting,1,0))</f>
        <v/>
      </c>
      <c r="L34" s="17">
        <f>IF($B34="","",IF(COUNTIFS(nrES_PID,$B34,nrES_RetStat,"OVERDUE")+COUNTIFS(nrES_PID,$B34,nrES_RetStat,"CHECK DATE")+COUNTIFS(nrES_PID,$B34,nrES_RetStat,"LATE RETEST*")+COUNTIFS(nrES_PID,$B34,nrES_RetStat,"RETEST UNDATED")+COUNTIFS(nrES_PID,$B34,nrES_RetStat,"RETEST DATE UNCHECKED")&gt;0,1,0))</f>
        <v/>
      </c>
      <c r="M34" s="17">
        <f>IF($B34="","",IF(OR(PT!$K34="No",PT!$AB34="No",PT!$AB34="Incomplete"),1,0))</f>
        <v/>
      </c>
      <c r="N34" s="17">
        <f>IF($B34="","",IF(COUNTIFS(nrMD_PID,$B34,nrMD_Status,"RESTRICTION EXPIRED")&gt;0,1,0))</f>
        <v/>
      </c>
      <c r="O34" s="17">
        <f>IF($B34="","",IF(Certifications!$U34&lt;&gt;"",1,0))</f>
        <v/>
      </c>
      <c r="P34" s="17">
        <f>IF($B34="","",IF(COUNTIFS(nrME_PID,$B34,nrME_Status,"OVERDUE")+COUNTIFS(nrME_PID,$B34,nrME_Status,"CHECK DATE")&gt;0,1,0))</f>
        <v/>
      </c>
      <c r="Q34" s="17">
        <f>IF($B34="","",IF(SUMPRODUCT((nrAT_PID=$B34)*(nrAT_Cleared="OPEN"))&gt;0,1,0))</f>
        <v/>
      </c>
      <c r="R34" s="17">
        <f>IF($B34="","",IF(sysChecks!$M34="Yes",1,0))</f>
        <v/>
      </c>
      <c r="S34" s="17">
        <f>IF($B34="","",SUM($E34:$R34)+N($U34))</f>
        <v/>
      </c>
      <c r="T34" s="17">
        <f>IF($B34="","",IF($S34=0,"",_xlfn.TEXTJOIN("; ",TRUE,IF($E34=1,"consecutive exam fails",""),IF($F34=1,"grade dropped "&amp;sysGrades!$AB34&amp;" pts",""),IF($G34=1,"category avg near 70",""),IF($H34=1,"spelling below "&amp;cfgSpellInterventionAvg,""),IF($I34=1,"attendance at "&amp;TEXT(MAX(sysAttendance!$I34,sysAttendance!$Q34),"0%")&amp;" of cap",""),IF($J34=1,"open negative incidents",""),IF($K34=1,N(Writing!$AS34)&amp;" overdue writing",""),IF($L34=1,"RETEST OVERDUE / LATE",""),IF($M34=1,"PT failure",""),IF($N34=1,"medical restriction expired",""),IF($O34=1,"cert copies outstanding: "&amp;Certifications!$U34,""),IF($P34=1,"OVERDUE MEMO",""),IF($Q34=1,SUMPRODUCT((nrAT_PID=$B34)*(nrAT_Cleared="OPEN"))&amp;" uncleared missed-time event(s)",""),IF($R34=1,"DISMISSAL REVIEW OPEN ("&amp;sysChecks!$U34&amp;")",""),IF($U34=1,_xlfn.LET(_xlpm.n,COUNTIFS(nrES_PID,$B34,nrES_Absence,"Unexcused"),IF(_xlpm.n&gt;=2,_xlpm.n&amp;" unexcused missed exams (removal review)","unexcused missed exam (0 recorded)")),""))))</f>
        <v/>
      </c>
      <c r="U34" s="17">
        <f>IF($B34="","",IF(COUNTIFS(nrES_PID,$B34,nrES_Absence,"Unexcused")&gt;0,1,0))</f>
        <v/>
      </c>
    </row>
    <row r="35">
      <c r="B35" s="17">
        <f>IF(Cadets!$B35="","",Cadets!$B35)</f>
        <v/>
      </c>
      <c r="C35" s="17">
        <f>IF($B35="","",Cadets!$F35)</f>
        <v/>
      </c>
      <c r="D35" s="17">
        <f>IF($B35="","",Cadets!$I35)</f>
        <v/>
      </c>
      <c r="E35" s="17">
        <f>IF($B35="","",IF(N(sysGrades!$AC35)&gt;=cfgFlagConsecFails,1,0))</f>
        <v/>
      </c>
      <c r="F35" s="17">
        <f>IF($B35="","",IF(AND(sysGrades!$AB35&lt;&gt;"",sysGrades!$AB35&gt;=cfgFlagGradeDrop),1,0))</f>
        <v/>
      </c>
      <c r="G35" s="17">
        <f>IF($B35="","",IF(OR(AND(sysGrades!$I35&lt;&gt;"",sysGrades!$I35&lt;cfgThresholdScore+cfgFlagCategoryMargin),AND(sysGrades!$J35&lt;&gt;"",sysGrades!$J35&lt;cfgThresholdScore+cfgFlagCategoryMargin)),1,0))</f>
        <v/>
      </c>
      <c r="H35" s="17">
        <f>IF($B35="","",IF(Spelling!$R35="INTERVENTION",1,0))</f>
        <v/>
      </c>
      <c r="I35" s="17">
        <f>IF($B35="","",IF(OR(N(sysAttendance!$I35)&gt;=cfgMakeupAdvisoryMin,sysAttendance!$Q35&gt;=cfgFlagAttendancePct),1,0))</f>
        <v/>
      </c>
      <c r="J35" s="17">
        <f>IF($B35="","",IF(sysIncidents!$H35&gt;=cfgFlagOpenIncidents,1,0))</f>
        <v/>
      </c>
      <c r="K35" s="17">
        <f>IF($B35="","",IF(N(Writing!$AS35)&gt;=cfgFlagOverdueWriting,1,0))</f>
        <v/>
      </c>
      <c r="L35" s="17">
        <f>IF($B35="","",IF(COUNTIFS(nrES_PID,$B35,nrES_RetStat,"OVERDUE")+COUNTIFS(nrES_PID,$B35,nrES_RetStat,"CHECK DATE")+COUNTIFS(nrES_PID,$B35,nrES_RetStat,"LATE RETEST*")+COUNTIFS(nrES_PID,$B35,nrES_RetStat,"RETEST UNDATED")+COUNTIFS(nrES_PID,$B35,nrES_RetStat,"RETEST DATE UNCHECKED")&gt;0,1,0))</f>
        <v/>
      </c>
      <c r="M35" s="17">
        <f>IF($B35="","",IF(OR(PT!$K35="No",PT!$AB35="No",PT!$AB35="Incomplete"),1,0))</f>
        <v/>
      </c>
      <c r="N35" s="17">
        <f>IF($B35="","",IF(COUNTIFS(nrMD_PID,$B35,nrMD_Status,"RESTRICTION EXPIRED")&gt;0,1,0))</f>
        <v/>
      </c>
      <c r="O35" s="17">
        <f>IF($B35="","",IF(Certifications!$U35&lt;&gt;"",1,0))</f>
        <v/>
      </c>
      <c r="P35" s="17">
        <f>IF($B35="","",IF(COUNTIFS(nrME_PID,$B35,nrME_Status,"OVERDUE")+COUNTIFS(nrME_PID,$B35,nrME_Status,"CHECK DATE")&gt;0,1,0))</f>
        <v/>
      </c>
      <c r="Q35" s="17">
        <f>IF($B35="","",IF(SUMPRODUCT((nrAT_PID=$B35)*(nrAT_Cleared="OPEN"))&gt;0,1,0))</f>
        <v/>
      </c>
      <c r="R35" s="17">
        <f>IF($B35="","",IF(sysChecks!$M35="Yes",1,0))</f>
        <v/>
      </c>
      <c r="S35" s="17">
        <f>IF($B35="","",SUM($E35:$R35)+N($U35))</f>
        <v/>
      </c>
      <c r="T35" s="17">
        <f>IF($B35="","",IF($S35=0,"",_xlfn.TEXTJOIN("; ",TRUE,IF($E35=1,"consecutive exam fails",""),IF($F35=1,"grade dropped "&amp;sysGrades!$AB35&amp;" pts",""),IF($G35=1,"category avg near 70",""),IF($H35=1,"spelling below "&amp;cfgSpellInterventionAvg,""),IF($I35=1,"attendance at "&amp;TEXT(MAX(sysAttendance!$I35,sysAttendance!$Q35),"0%")&amp;" of cap",""),IF($J35=1,"open negative incidents",""),IF($K35=1,N(Writing!$AS35)&amp;" overdue writing",""),IF($L35=1,"RETEST OVERDUE / LATE",""),IF($M35=1,"PT failure",""),IF($N35=1,"medical restriction expired",""),IF($O35=1,"cert copies outstanding: "&amp;Certifications!$U35,""),IF($P35=1,"OVERDUE MEMO",""),IF($Q35=1,SUMPRODUCT((nrAT_PID=$B35)*(nrAT_Cleared="OPEN"))&amp;" uncleared missed-time event(s)",""),IF($R35=1,"DISMISSAL REVIEW OPEN ("&amp;sysChecks!$U35&amp;")",""),IF($U35=1,_xlfn.LET(_xlpm.n,COUNTIFS(nrES_PID,$B35,nrES_Absence,"Unexcused"),IF(_xlpm.n&gt;=2,_xlpm.n&amp;" unexcused missed exams (removal review)","unexcused missed exam (0 recorded)")),""))))</f>
        <v/>
      </c>
      <c r="U35" s="17">
        <f>IF($B35="","",IF(COUNTIFS(nrES_PID,$B35,nrES_Absence,"Unexcused")&gt;0,1,0))</f>
        <v/>
      </c>
    </row>
    <row r="36">
      <c r="B36" s="17">
        <f>IF(Cadets!$B36="","",Cadets!$B36)</f>
        <v/>
      </c>
      <c r="C36" s="17">
        <f>IF($B36="","",Cadets!$F36)</f>
        <v/>
      </c>
      <c r="D36" s="17">
        <f>IF($B36="","",Cadets!$I36)</f>
        <v/>
      </c>
      <c r="E36" s="17">
        <f>IF($B36="","",IF(N(sysGrades!$AC36)&gt;=cfgFlagConsecFails,1,0))</f>
        <v/>
      </c>
      <c r="F36" s="17">
        <f>IF($B36="","",IF(AND(sysGrades!$AB36&lt;&gt;"",sysGrades!$AB36&gt;=cfgFlagGradeDrop),1,0))</f>
        <v/>
      </c>
      <c r="G36" s="17">
        <f>IF($B36="","",IF(OR(AND(sysGrades!$I36&lt;&gt;"",sysGrades!$I36&lt;cfgThresholdScore+cfgFlagCategoryMargin),AND(sysGrades!$J36&lt;&gt;"",sysGrades!$J36&lt;cfgThresholdScore+cfgFlagCategoryMargin)),1,0))</f>
        <v/>
      </c>
      <c r="H36" s="17">
        <f>IF($B36="","",IF(Spelling!$R36="INTERVENTION",1,0))</f>
        <v/>
      </c>
      <c r="I36" s="17">
        <f>IF($B36="","",IF(OR(N(sysAttendance!$I36)&gt;=cfgMakeupAdvisoryMin,sysAttendance!$Q36&gt;=cfgFlagAttendancePct),1,0))</f>
        <v/>
      </c>
      <c r="J36" s="17">
        <f>IF($B36="","",IF(sysIncidents!$H36&gt;=cfgFlagOpenIncidents,1,0))</f>
        <v/>
      </c>
      <c r="K36" s="17">
        <f>IF($B36="","",IF(N(Writing!$AS36)&gt;=cfgFlagOverdueWriting,1,0))</f>
        <v/>
      </c>
      <c r="L36" s="17">
        <f>IF($B36="","",IF(COUNTIFS(nrES_PID,$B36,nrES_RetStat,"OVERDUE")+COUNTIFS(nrES_PID,$B36,nrES_RetStat,"CHECK DATE")+COUNTIFS(nrES_PID,$B36,nrES_RetStat,"LATE RETEST*")+COUNTIFS(nrES_PID,$B36,nrES_RetStat,"RETEST UNDATED")+COUNTIFS(nrES_PID,$B36,nrES_RetStat,"RETEST DATE UNCHECKED")&gt;0,1,0))</f>
        <v/>
      </c>
      <c r="M36" s="17">
        <f>IF($B36="","",IF(OR(PT!$K36="No",PT!$AB36="No",PT!$AB36="Incomplete"),1,0))</f>
        <v/>
      </c>
      <c r="N36" s="17">
        <f>IF($B36="","",IF(COUNTIFS(nrMD_PID,$B36,nrMD_Status,"RESTRICTION EXPIRED")&gt;0,1,0))</f>
        <v/>
      </c>
      <c r="O36" s="17">
        <f>IF($B36="","",IF(Certifications!$U36&lt;&gt;"",1,0))</f>
        <v/>
      </c>
      <c r="P36" s="17">
        <f>IF($B36="","",IF(COUNTIFS(nrME_PID,$B36,nrME_Status,"OVERDUE")+COUNTIFS(nrME_PID,$B36,nrME_Status,"CHECK DATE")&gt;0,1,0))</f>
        <v/>
      </c>
      <c r="Q36" s="17">
        <f>IF($B36="","",IF(SUMPRODUCT((nrAT_PID=$B36)*(nrAT_Cleared="OPEN"))&gt;0,1,0))</f>
        <v/>
      </c>
      <c r="R36" s="17">
        <f>IF($B36="","",IF(sysChecks!$M36="Yes",1,0))</f>
        <v/>
      </c>
      <c r="S36" s="17">
        <f>IF($B36="","",SUM($E36:$R36)+N($U36))</f>
        <v/>
      </c>
      <c r="T36" s="17">
        <f>IF($B36="","",IF($S36=0,"",_xlfn.TEXTJOIN("; ",TRUE,IF($E36=1,"consecutive exam fails",""),IF($F36=1,"grade dropped "&amp;sysGrades!$AB36&amp;" pts",""),IF($G36=1,"category avg near 70",""),IF($H36=1,"spelling below "&amp;cfgSpellInterventionAvg,""),IF($I36=1,"attendance at "&amp;TEXT(MAX(sysAttendance!$I36,sysAttendance!$Q36),"0%")&amp;" of cap",""),IF($J36=1,"open negative incidents",""),IF($K36=1,N(Writing!$AS36)&amp;" overdue writing",""),IF($L36=1,"RETEST OVERDUE / LATE",""),IF($M36=1,"PT failure",""),IF($N36=1,"medical restriction expired",""),IF($O36=1,"cert copies outstanding: "&amp;Certifications!$U36,""),IF($P36=1,"OVERDUE MEMO",""),IF($Q36=1,SUMPRODUCT((nrAT_PID=$B36)*(nrAT_Cleared="OPEN"))&amp;" uncleared missed-time event(s)",""),IF($R36=1,"DISMISSAL REVIEW OPEN ("&amp;sysChecks!$U36&amp;")",""),IF($U36=1,_xlfn.LET(_xlpm.n,COUNTIFS(nrES_PID,$B36,nrES_Absence,"Unexcused"),IF(_xlpm.n&gt;=2,_xlpm.n&amp;" unexcused missed exams (removal review)","unexcused missed exam (0 recorded)")),""))))</f>
        <v/>
      </c>
      <c r="U36" s="17">
        <f>IF($B36="","",IF(COUNTIFS(nrES_PID,$B36,nrES_Absence,"Unexcused")&gt;0,1,0))</f>
        <v/>
      </c>
    </row>
    <row r="37">
      <c r="B37" s="17">
        <f>IF(Cadets!$B37="","",Cadets!$B37)</f>
        <v/>
      </c>
      <c r="C37" s="17">
        <f>IF($B37="","",Cadets!$F37)</f>
        <v/>
      </c>
      <c r="D37" s="17">
        <f>IF($B37="","",Cadets!$I37)</f>
        <v/>
      </c>
      <c r="E37" s="17">
        <f>IF($B37="","",IF(N(sysGrades!$AC37)&gt;=cfgFlagConsecFails,1,0))</f>
        <v/>
      </c>
      <c r="F37" s="17">
        <f>IF($B37="","",IF(AND(sysGrades!$AB37&lt;&gt;"",sysGrades!$AB37&gt;=cfgFlagGradeDrop),1,0))</f>
        <v/>
      </c>
      <c r="G37" s="17">
        <f>IF($B37="","",IF(OR(AND(sysGrades!$I37&lt;&gt;"",sysGrades!$I37&lt;cfgThresholdScore+cfgFlagCategoryMargin),AND(sysGrades!$J37&lt;&gt;"",sysGrades!$J37&lt;cfgThresholdScore+cfgFlagCategoryMargin)),1,0))</f>
        <v/>
      </c>
      <c r="H37" s="17">
        <f>IF($B37="","",IF(Spelling!$R37="INTERVENTION",1,0))</f>
        <v/>
      </c>
      <c r="I37" s="17">
        <f>IF($B37="","",IF(OR(N(sysAttendance!$I37)&gt;=cfgMakeupAdvisoryMin,sysAttendance!$Q37&gt;=cfgFlagAttendancePct),1,0))</f>
        <v/>
      </c>
      <c r="J37" s="17">
        <f>IF($B37="","",IF(sysIncidents!$H37&gt;=cfgFlagOpenIncidents,1,0))</f>
        <v/>
      </c>
      <c r="K37" s="17">
        <f>IF($B37="","",IF(N(Writing!$AS37)&gt;=cfgFlagOverdueWriting,1,0))</f>
        <v/>
      </c>
      <c r="L37" s="17">
        <f>IF($B37="","",IF(COUNTIFS(nrES_PID,$B37,nrES_RetStat,"OVERDUE")+COUNTIFS(nrES_PID,$B37,nrES_RetStat,"CHECK DATE")+COUNTIFS(nrES_PID,$B37,nrES_RetStat,"LATE RETEST*")+COUNTIFS(nrES_PID,$B37,nrES_RetStat,"RETEST UNDATED")+COUNTIFS(nrES_PID,$B37,nrES_RetStat,"RETEST DATE UNCHECKED")&gt;0,1,0))</f>
        <v/>
      </c>
      <c r="M37" s="17">
        <f>IF($B37="","",IF(OR(PT!$K37="No",PT!$AB37="No",PT!$AB37="Incomplete"),1,0))</f>
        <v/>
      </c>
      <c r="N37" s="17">
        <f>IF($B37="","",IF(COUNTIFS(nrMD_PID,$B37,nrMD_Status,"RESTRICTION EXPIRED")&gt;0,1,0))</f>
        <v/>
      </c>
      <c r="O37" s="17">
        <f>IF($B37="","",IF(Certifications!$U37&lt;&gt;"",1,0))</f>
        <v/>
      </c>
      <c r="P37" s="17">
        <f>IF($B37="","",IF(COUNTIFS(nrME_PID,$B37,nrME_Status,"OVERDUE")+COUNTIFS(nrME_PID,$B37,nrME_Status,"CHECK DATE")&gt;0,1,0))</f>
        <v/>
      </c>
      <c r="Q37" s="17">
        <f>IF($B37="","",IF(SUMPRODUCT((nrAT_PID=$B37)*(nrAT_Cleared="OPEN"))&gt;0,1,0))</f>
        <v/>
      </c>
      <c r="R37" s="17">
        <f>IF($B37="","",IF(sysChecks!$M37="Yes",1,0))</f>
        <v/>
      </c>
      <c r="S37" s="17">
        <f>IF($B37="","",SUM($E37:$R37)+N($U37))</f>
        <v/>
      </c>
      <c r="T37" s="17">
        <f>IF($B37="","",IF($S37=0,"",_xlfn.TEXTJOIN("; ",TRUE,IF($E37=1,"consecutive exam fails",""),IF($F37=1,"grade dropped "&amp;sysGrades!$AB37&amp;" pts",""),IF($G37=1,"category avg near 70",""),IF($H37=1,"spelling below "&amp;cfgSpellInterventionAvg,""),IF($I37=1,"attendance at "&amp;TEXT(MAX(sysAttendance!$I37,sysAttendance!$Q37),"0%")&amp;" of cap",""),IF($J37=1,"open negative incidents",""),IF($K37=1,N(Writing!$AS37)&amp;" overdue writing",""),IF($L37=1,"RETEST OVERDUE / LATE",""),IF($M37=1,"PT failure",""),IF($N37=1,"medical restriction expired",""),IF($O37=1,"cert copies outstanding: "&amp;Certifications!$U37,""),IF($P37=1,"OVERDUE MEMO",""),IF($Q37=1,SUMPRODUCT((nrAT_PID=$B37)*(nrAT_Cleared="OPEN"))&amp;" uncleared missed-time event(s)",""),IF($R37=1,"DISMISSAL REVIEW OPEN ("&amp;sysChecks!$U37&amp;")",""),IF($U37=1,_xlfn.LET(_xlpm.n,COUNTIFS(nrES_PID,$B37,nrES_Absence,"Unexcused"),IF(_xlpm.n&gt;=2,_xlpm.n&amp;" unexcused missed exams (removal review)","unexcused missed exam (0 recorded)")),""))))</f>
        <v/>
      </c>
      <c r="U37" s="17">
        <f>IF($B37="","",IF(COUNTIFS(nrES_PID,$B37,nrES_Absence,"Unexcused")&gt;0,1,0))</f>
        <v/>
      </c>
    </row>
    <row r="38">
      <c r="B38" s="17">
        <f>IF(Cadets!$B38="","",Cadets!$B38)</f>
        <v/>
      </c>
      <c r="C38" s="17">
        <f>IF($B38="","",Cadets!$F38)</f>
        <v/>
      </c>
      <c r="D38" s="17">
        <f>IF($B38="","",Cadets!$I38)</f>
        <v/>
      </c>
      <c r="E38" s="17">
        <f>IF($B38="","",IF(N(sysGrades!$AC38)&gt;=cfgFlagConsecFails,1,0))</f>
        <v/>
      </c>
      <c r="F38" s="17">
        <f>IF($B38="","",IF(AND(sysGrades!$AB38&lt;&gt;"",sysGrades!$AB38&gt;=cfgFlagGradeDrop),1,0))</f>
        <v/>
      </c>
      <c r="G38" s="17">
        <f>IF($B38="","",IF(OR(AND(sysGrades!$I38&lt;&gt;"",sysGrades!$I38&lt;cfgThresholdScore+cfgFlagCategoryMargin),AND(sysGrades!$J38&lt;&gt;"",sysGrades!$J38&lt;cfgThresholdScore+cfgFlagCategoryMargin)),1,0))</f>
        <v/>
      </c>
      <c r="H38" s="17">
        <f>IF($B38="","",IF(Spelling!$R38="INTERVENTION",1,0))</f>
        <v/>
      </c>
      <c r="I38" s="17">
        <f>IF($B38="","",IF(OR(N(sysAttendance!$I38)&gt;=cfgMakeupAdvisoryMin,sysAttendance!$Q38&gt;=cfgFlagAttendancePct),1,0))</f>
        <v/>
      </c>
      <c r="J38" s="17">
        <f>IF($B38="","",IF(sysIncidents!$H38&gt;=cfgFlagOpenIncidents,1,0))</f>
        <v/>
      </c>
      <c r="K38" s="17">
        <f>IF($B38="","",IF(N(Writing!$AS38)&gt;=cfgFlagOverdueWriting,1,0))</f>
        <v/>
      </c>
      <c r="L38" s="17">
        <f>IF($B38="","",IF(COUNTIFS(nrES_PID,$B38,nrES_RetStat,"OVERDUE")+COUNTIFS(nrES_PID,$B38,nrES_RetStat,"CHECK DATE")+COUNTIFS(nrES_PID,$B38,nrES_RetStat,"LATE RETEST*")+COUNTIFS(nrES_PID,$B38,nrES_RetStat,"RETEST UNDATED")+COUNTIFS(nrES_PID,$B38,nrES_RetStat,"RETEST DATE UNCHECKED")&gt;0,1,0))</f>
        <v/>
      </c>
      <c r="M38" s="17">
        <f>IF($B38="","",IF(OR(PT!$K38="No",PT!$AB38="No",PT!$AB38="Incomplete"),1,0))</f>
        <v/>
      </c>
      <c r="N38" s="17">
        <f>IF($B38="","",IF(COUNTIFS(nrMD_PID,$B38,nrMD_Status,"RESTRICTION EXPIRED")&gt;0,1,0))</f>
        <v/>
      </c>
      <c r="O38" s="17">
        <f>IF($B38="","",IF(Certifications!$U38&lt;&gt;"",1,0))</f>
        <v/>
      </c>
      <c r="P38" s="17">
        <f>IF($B38="","",IF(COUNTIFS(nrME_PID,$B38,nrME_Status,"OVERDUE")+COUNTIFS(nrME_PID,$B38,nrME_Status,"CHECK DATE")&gt;0,1,0))</f>
        <v/>
      </c>
      <c r="Q38" s="17">
        <f>IF($B38="","",IF(SUMPRODUCT((nrAT_PID=$B38)*(nrAT_Cleared="OPEN"))&gt;0,1,0))</f>
        <v/>
      </c>
      <c r="R38" s="17">
        <f>IF($B38="","",IF(sysChecks!$M38="Yes",1,0))</f>
        <v/>
      </c>
      <c r="S38" s="17">
        <f>IF($B38="","",SUM($E38:$R38)+N($U38))</f>
        <v/>
      </c>
      <c r="T38" s="17">
        <f>IF($B38="","",IF($S38=0,"",_xlfn.TEXTJOIN("; ",TRUE,IF($E38=1,"consecutive exam fails",""),IF($F38=1,"grade dropped "&amp;sysGrades!$AB38&amp;" pts",""),IF($G38=1,"category avg near 70",""),IF($H38=1,"spelling below "&amp;cfgSpellInterventionAvg,""),IF($I38=1,"attendance at "&amp;TEXT(MAX(sysAttendance!$I38,sysAttendance!$Q38),"0%")&amp;" of cap",""),IF($J38=1,"open negative incidents",""),IF($K38=1,N(Writing!$AS38)&amp;" overdue writing",""),IF($L38=1,"RETEST OVERDUE / LATE",""),IF($M38=1,"PT failure",""),IF($N38=1,"medical restriction expired",""),IF($O38=1,"cert copies outstanding: "&amp;Certifications!$U38,""),IF($P38=1,"OVERDUE MEMO",""),IF($Q38=1,SUMPRODUCT((nrAT_PID=$B38)*(nrAT_Cleared="OPEN"))&amp;" uncleared missed-time event(s)",""),IF($R38=1,"DISMISSAL REVIEW OPEN ("&amp;sysChecks!$U38&amp;")",""),IF($U38=1,_xlfn.LET(_xlpm.n,COUNTIFS(nrES_PID,$B38,nrES_Absence,"Unexcused"),IF(_xlpm.n&gt;=2,_xlpm.n&amp;" unexcused missed exams (removal review)","unexcused missed exam (0 recorded)")),""))))</f>
        <v/>
      </c>
      <c r="U38" s="17">
        <f>IF($B38="","",IF(COUNTIFS(nrES_PID,$B38,nrES_Absence,"Unexcused")&gt;0,1,0))</f>
        <v/>
      </c>
    </row>
    <row r="39">
      <c r="B39" s="17">
        <f>IF(Cadets!$B39="","",Cadets!$B39)</f>
        <v/>
      </c>
      <c r="C39" s="17">
        <f>IF($B39="","",Cadets!$F39)</f>
        <v/>
      </c>
      <c r="D39" s="17">
        <f>IF($B39="","",Cadets!$I39)</f>
        <v/>
      </c>
      <c r="E39" s="17">
        <f>IF($B39="","",IF(N(sysGrades!$AC39)&gt;=cfgFlagConsecFails,1,0))</f>
        <v/>
      </c>
      <c r="F39" s="17">
        <f>IF($B39="","",IF(AND(sysGrades!$AB39&lt;&gt;"",sysGrades!$AB39&gt;=cfgFlagGradeDrop),1,0))</f>
        <v/>
      </c>
      <c r="G39" s="17">
        <f>IF($B39="","",IF(OR(AND(sysGrades!$I39&lt;&gt;"",sysGrades!$I39&lt;cfgThresholdScore+cfgFlagCategoryMargin),AND(sysGrades!$J39&lt;&gt;"",sysGrades!$J39&lt;cfgThresholdScore+cfgFlagCategoryMargin)),1,0))</f>
        <v/>
      </c>
      <c r="H39" s="17">
        <f>IF($B39="","",IF(Spelling!$R39="INTERVENTION",1,0))</f>
        <v/>
      </c>
      <c r="I39" s="17">
        <f>IF($B39="","",IF(OR(N(sysAttendance!$I39)&gt;=cfgMakeupAdvisoryMin,sysAttendance!$Q39&gt;=cfgFlagAttendancePct),1,0))</f>
        <v/>
      </c>
      <c r="J39" s="17">
        <f>IF($B39="","",IF(sysIncidents!$H39&gt;=cfgFlagOpenIncidents,1,0))</f>
        <v/>
      </c>
      <c r="K39" s="17">
        <f>IF($B39="","",IF(N(Writing!$AS39)&gt;=cfgFlagOverdueWriting,1,0))</f>
        <v/>
      </c>
      <c r="L39" s="17">
        <f>IF($B39="","",IF(COUNTIFS(nrES_PID,$B39,nrES_RetStat,"OVERDUE")+COUNTIFS(nrES_PID,$B39,nrES_RetStat,"CHECK DATE")+COUNTIFS(nrES_PID,$B39,nrES_RetStat,"LATE RETEST*")+COUNTIFS(nrES_PID,$B39,nrES_RetStat,"RETEST UNDATED")+COUNTIFS(nrES_PID,$B39,nrES_RetStat,"RETEST DATE UNCHECKED")&gt;0,1,0))</f>
        <v/>
      </c>
      <c r="M39" s="17">
        <f>IF($B39="","",IF(OR(PT!$K39="No",PT!$AB39="No",PT!$AB39="Incomplete"),1,0))</f>
        <v/>
      </c>
      <c r="N39" s="17">
        <f>IF($B39="","",IF(COUNTIFS(nrMD_PID,$B39,nrMD_Status,"RESTRICTION EXPIRED")&gt;0,1,0))</f>
        <v/>
      </c>
      <c r="O39" s="17">
        <f>IF($B39="","",IF(Certifications!$U39&lt;&gt;"",1,0))</f>
        <v/>
      </c>
      <c r="P39" s="17">
        <f>IF($B39="","",IF(COUNTIFS(nrME_PID,$B39,nrME_Status,"OVERDUE")+COUNTIFS(nrME_PID,$B39,nrME_Status,"CHECK DATE")&gt;0,1,0))</f>
        <v/>
      </c>
      <c r="Q39" s="17">
        <f>IF($B39="","",IF(SUMPRODUCT((nrAT_PID=$B39)*(nrAT_Cleared="OPEN"))&gt;0,1,0))</f>
        <v/>
      </c>
      <c r="R39" s="17">
        <f>IF($B39="","",IF(sysChecks!$M39="Yes",1,0))</f>
        <v/>
      </c>
      <c r="S39" s="17">
        <f>IF($B39="","",SUM($E39:$R39)+N($U39))</f>
        <v/>
      </c>
      <c r="T39" s="17">
        <f>IF($B39="","",IF($S39=0,"",_xlfn.TEXTJOIN("; ",TRUE,IF($E39=1,"consecutive exam fails",""),IF($F39=1,"grade dropped "&amp;sysGrades!$AB39&amp;" pts",""),IF($G39=1,"category avg near 70",""),IF($H39=1,"spelling below "&amp;cfgSpellInterventionAvg,""),IF($I39=1,"attendance at "&amp;TEXT(MAX(sysAttendance!$I39,sysAttendance!$Q39),"0%")&amp;" of cap",""),IF($J39=1,"open negative incidents",""),IF($K39=1,N(Writing!$AS39)&amp;" overdue writing",""),IF($L39=1,"RETEST OVERDUE / LATE",""),IF($M39=1,"PT failure",""),IF($N39=1,"medical restriction expired",""),IF($O39=1,"cert copies outstanding: "&amp;Certifications!$U39,""),IF($P39=1,"OVERDUE MEMO",""),IF($Q39=1,SUMPRODUCT((nrAT_PID=$B39)*(nrAT_Cleared="OPEN"))&amp;" uncleared missed-time event(s)",""),IF($R39=1,"DISMISSAL REVIEW OPEN ("&amp;sysChecks!$U39&amp;")",""),IF($U39=1,_xlfn.LET(_xlpm.n,COUNTIFS(nrES_PID,$B39,nrES_Absence,"Unexcused"),IF(_xlpm.n&gt;=2,_xlpm.n&amp;" unexcused missed exams (removal review)","unexcused missed exam (0 recorded)")),""))))</f>
        <v/>
      </c>
      <c r="U39" s="17">
        <f>IF($B39="","",IF(COUNTIFS(nrES_PID,$B39,nrES_Absence,"Unexcused")&gt;0,1,0))</f>
        <v/>
      </c>
    </row>
    <row r="40">
      <c r="B40" s="17">
        <f>IF(Cadets!$B40="","",Cadets!$B40)</f>
        <v/>
      </c>
      <c r="C40" s="17">
        <f>IF($B40="","",Cadets!$F40)</f>
        <v/>
      </c>
      <c r="D40" s="17">
        <f>IF($B40="","",Cadets!$I40)</f>
        <v/>
      </c>
      <c r="E40" s="17">
        <f>IF($B40="","",IF(N(sysGrades!$AC40)&gt;=cfgFlagConsecFails,1,0))</f>
        <v/>
      </c>
      <c r="F40" s="17">
        <f>IF($B40="","",IF(AND(sysGrades!$AB40&lt;&gt;"",sysGrades!$AB40&gt;=cfgFlagGradeDrop),1,0))</f>
        <v/>
      </c>
      <c r="G40" s="17">
        <f>IF($B40="","",IF(OR(AND(sysGrades!$I40&lt;&gt;"",sysGrades!$I40&lt;cfgThresholdScore+cfgFlagCategoryMargin),AND(sysGrades!$J40&lt;&gt;"",sysGrades!$J40&lt;cfgThresholdScore+cfgFlagCategoryMargin)),1,0))</f>
        <v/>
      </c>
      <c r="H40" s="17">
        <f>IF($B40="","",IF(Spelling!$R40="INTERVENTION",1,0))</f>
        <v/>
      </c>
      <c r="I40" s="17">
        <f>IF($B40="","",IF(OR(N(sysAttendance!$I40)&gt;=cfgMakeupAdvisoryMin,sysAttendance!$Q40&gt;=cfgFlagAttendancePct),1,0))</f>
        <v/>
      </c>
      <c r="J40" s="17">
        <f>IF($B40="","",IF(sysIncidents!$H40&gt;=cfgFlagOpenIncidents,1,0))</f>
        <v/>
      </c>
      <c r="K40" s="17">
        <f>IF($B40="","",IF(N(Writing!$AS40)&gt;=cfgFlagOverdueWriting,1,0))</f>
        <v/>
      </c>
      <c r="L40" s="17">
        <f>IF($B40="","",IF(COUNTIFS(nrES_PID,$B40,nrES_RetStat,"OVERDUE")+COUNTIFS(nrES_PID,$B40,nrES_RetStat,"CHECK DATE")+COUNTIFS(nrES_PID,$B40,nrES_RetStat,"LATE RETEST*")+COUNTIFS(nrES_PID,$B40,nrES_RetStat,"RETEST UNDATED")+COUNTIFS(nrES_PID,$B40,nrES_RetStat,"RETEST DATE UNCHECKED")&gt;0,1,0))</f>
        <v/>
      </c>
      <c r="M40" s="17">
        <f>IF($B40="","",IF(OR(PT!$K40="No",PT!$AB40="No",PT!$AB40="Incomplete"),1,0))</f>
        <v/>
      </c>
      <c r="N40" s="17">
        <f>IF($B40="","",IF(COUNTIFS(nrMD_PID,$B40,nrMD_Status,"RESTRICTION EXPIRED")&gt;0,1,0))</f>
        <v/>
      </c>
      <c r="O40" s="17">
        <f>IF($B40="","",IF(Certifications!$U40&lt;&gt;"",1,0))</f>
        <v/>
      </c>
      <c r="P40" s="17">
        <f>IF($B40="","",IF(COUNTIFS(nrME_PID,$B40,nrME_Status,"OVERDUE")+COUNTIFS(nrME_PID,$B40,nrME_Status,"CHECK DATE")&gt;0,1,0))</f>
        <v/>
      </c>
      <c r="Q40" s="17">
        <f>IF($B40="","",IF(SUMPRODUCT((nrAT_PID=$B40)*(nrAT_Cleared="OPEN"))&gt;0,1,0))</f>
        <v/>
      </c>
      <c r="R40" s="17">
        <f>IF($B40="","",IF(sysChecks!$M40="Yes",1,0))</f>
        <v/>
      </c>
      <c r="S40" s="17">
        <f>IF($B40="","",SUM($E40:$R40)+N($U40))</f>
        <v/>
      </c>
      <c r="T40" s="17">
        <f>IF($B40="","",IF($S40=0,"",_xlfn.TEXTJOIN("; ",TRUE,IF($E40=1,"consecutive exam fails",""),IF($F40=1,"grade dropped "&amp;sysGrades!$AB40&amp;" pts",""),IF($G40=1,"category avg near 70",""),IF($H40=1,"spelling below "&amp;cfgSpellInterventionAvg,""),IF($I40=1,"attendance at "&amp;TEXT(MAX(sysAttendance!$I40,sysAttendance!$Q40),"0%")&amp;" of cap",""),IF($J40=1,"open negative incidents",""),IF($K40=1,N(Writing!$AS40)&amp;" overdue writing",""),IF($L40=1,"RETEST OVERDUE / LATE",""),IF($M40=1,"PT failure",""),IF($N40=1,"medical restriction expired",""),IF($O40=1,"cert copies outstanding: "&amp;Certifications!$U40,""),IF($P40=1,"OVERDUE MEMO",""),IF($Q40=1,SUMPRODUCT((nrAT_PID=$B40)*(nrAT_Cleared="OPEN"))&amp;" uncleared missed-time event(s)",""),IF($R40=1,"DISMISSAL REVIEW OPEN ("&amp;sysChecks!$U40&amp;")",""),IF($U40=1,_xlfn.LET(_xlpm.n,COUNTIFS(nrES_PID,$B40,nrES_Absence,"Unexcused"),IF(_xlpm.n&gt;=2,_xlpm.n&amp;" unexcused missed exams (removal review)","unexcused missed exam (0 recorded)")),""))))</f>
        <v/>
      </c>
      <c r="U40" s="17">
        <f>IF($B40="","",IF(COUNTIFS(nrES_PID,$B40,nrES_Absence,"Unexcused")&gt;0,1,0))</f>
        <v/>
      </c>
    </row>
    <row r="41">
      <c r="B41" s="17">
        <f>IF(Cadets!$B41="","",Cadets!$B41)</f>
        <v/>
      </c>
      <c r="C41" s="17">
        <f>IF($B41="","",Cadets!$F41)</f>
        <v/>
      </c>
      <c r="D41" s="17">
        <f>IF($B41="","",Cadets!$I41)</f>
        <v/>
      </c>
      <c r="E41" s="17">
        <f>IF($B41="","",IF(N(sysGrades!$AC41)&gt;=cfgFlagConsecFails,1,0))</f>
        <v/>
      </c>
      <c r="F41" s="17">
        <f>IF($B41="","",IF(AND(sysGrades!$AB41&lt;&gt;"",sysGrades!$AB41&gt;=cfgFlagGradeDrop),1,0))</f>
        <v/>
      </c>
      <c r="G41" s="17">
        <f>IF($B41="","",IF(OR(AND(sysGrades!$I41&lt;&gt;"",sysGrades!$I41&lt;cfgThresholdScore+cfgFlagCategoryMargin),AND(sysGrades!$J41&lt;&gt;"",sysGrades!$J41&lt;cfgThresholdScore+cfgFlagCategoryMargin)),1,0))</f>
        <v/>
      </c>
      <c r="H41" s="17">
        <f>IF($B41="","",IF(Spelling!$R41="INTERVENTION",1,0))</f>
        <v/>
      </c>
      <c r="I41" s="17">
        <f>IF($B41="","",IF(OR(N(sysAttendance!$I41)&gt;=cfgMakeupAdvisoryMin,sysAttendance!$Q41&gt;=cfgFlagAttendancePct),1,0))</f>
        <v/>
      </c>
      <c r="J41" s="17">
        <f>IF($B41="","",IF(sysIncidents!$H41&gt;=cfgFlagOpenIncidents,1,0))</f>
        <v/>
      </c>
      <c r="K41" s="17">
        <f>IF($B41="","",IF(N(Writing!$AS41)&gt;=cfgFlagOverdueWriting,1,0))</f>
        <v/>
      </c>
      <c r="L41" s="17">
        <f>IF($B41="","",IF(COUNTIFS(nrES_PID,$B41,nrES_RetStat,"OVERDUE")+COUNTIFS(nrES_PID,$B41,nrES_RetStat,"CHECK DATE")+COUNTIFS(nrES_PID,$B41,nrES_RetStat,"LATE RETEST*")+COUNTIFS(nrES_PID,$B41,nrES_RetStat,"RETEST UNDATED")+COUNTIFS(nrES_PID,$B41,nrES_RetStat,"RETEST DATE UNCHECKED")&gt;0,1,0))</f>
        <v/>
      </c>
      <c r="M41" s="17">
        <f>IF($B41="","",IF(OR(PT!$K41="No",PT!$AB41="No",PT!$AB41="Incomplete"),1,0))</f>
        <v/>
      </c>
      <c r="N41" s="17">
        <f>IF($B41="","",IF(COUNTIFS(nrMD_PID,$B41,nrMD_Status,"RESTRICTION EXPIRED")&gt;0,1,0))</f>
        <v/>
      </c>
      <c r="O41" s="17">
        <f>IF($B41="","",IF(Certifications!$U41&lt;&gt;"",1,0))</f>
        <v/>
      </c>
      <c r="P41" s="17">
        <f>IF($B41="","",IF(COUNTIFS(nrME_PID,$B41,nrME_Status,"OVERDUE")+COUNTIFS(nrME_PID,$B41,nrME_Status,"CHECK DATE")&gt;0,1,0))</f>
        <v/>
      </c>
      <c r="Q41" s="17">
        <f>IF($B41="","",IF(SUMPRODUCT((nrAT_PID=$B41)*(nrAT_Cleared="OPEN"))&gt;0,1,0))</f>
        <v/>
      </c>
      <c r="R41" s="17">
        <f>IF($B41="","",IF(sysChecks!$M41="Yes",1,0))</f>
        <v/>
      </c>
      <c r="S41" s="17">
        <f>IF($B41="","",SUM($E41:$R41)+N($U41))</f>
        <v/>
      </c>
      <c r="T41" s="17">
        <f>IF($B41="","",IF($S41=0,"",_xlfn.TEXTJOIN("; ",TRUE,IF($E41=1,"consecutive exam fails",""),IF($F41=1,"grade dropped "&amp;sysGrades!$AB41&amp;" pts",""),IF($G41=1,"category avg near 70",""),IF($H41=1,"spelling below "&amp;cfgSpellInterventionAvg,""),IF($I41=1,"attendance at "&amp;TEXT(MAX(sysAttendance!$I41,sysAttendance!$Q41),"0%")&amp;" of cap",""),IF($J41=1,"open negative incidents",""),IF($K41=1,N(Writing!$AS41)&amp;" overdue writing",""),IF($L41=1,"RETEST OVERDUE / LATE",""),IF($M41=1,"PT failure",""),IF($N41=1,"medical restriction expired",""),IF($O41=1,"cert copies outstanding: "&amp;Certifications!$U41,""),IF($P41=1,"OVERDUE MEMO",""),IF($Q41=1,SUMPRODUCT((nrAT_PID=$B41)*(nrAT_Cleared="OPEN"))&amp;" uncleared missed-time event(s)",""),IF($R41=1,"DISMISSAL REVIEW OPEN ("&amp;sysChecks!$U41&amp;")",""),IF($U41=1,_xlfn.LET(_xlpm.n,COUNTIFS(nrES_PID,$B41,nrES_Absence,"Unexcused"),IF(_xlpm.n&gt;=2,_xlpm.n&amp;" unexcused missed exams (removal review)","unexcused missed exam (0 recorded)")),""))))</f>
        <v/>
      </c>
      <c r="U41" s="17">
        <f>IF($B41="","",IF(COUNTIFS(nrES_PID,$B41,nrES_Absence,"Unexcused")&gt;0,1,0))</f>
        <v/>
      </c>
    </row>
    <row r="42">
      <c r="B42" s="17">
        <f>IF(Cadets!$B42="","",Cadets!$B42)</f>
        <v/>
      </c>
      <c r="C42" s="17">
        <f>IF($B42="","",Cadets!$F42)</f>
        <v/>
      </c>
      <c r="D42" s="17">
        <f>IF($B42="","",Cadets!$I42)</f>
        <v/>
      </c>
      <c r="E42" s="17">
        <f>IF($B42="","",IF(N(sysGrades!$AC42)&gt;=cfgFlagConsecFails,1,0))</f>
        <v/>
      </c>
      <c r="F42" s="17">
        <f>IF($B42="","",IF(AND(sysGrades!$AB42&lt;&gt;"",sysGrades!$AB42&gt;=cfgFlagGradeDrop),1,0))</f>
        <v/>
      </c>
      <c r="G42" s="17">
        <f>IF($B42="","",IF(OR(AND(sysGrades!$I42&lt;&gt;"",sysGrades!$I42&lt;cfgThresholdScore+cfgFlagCategoryMargin),AND(sysGrades!$J42&lt;&gt;"",sysGrades!$J42&lt;cfgThresholdScore+cfgFlagCategoryMargin)),1,0))</f>
        <v/>
      </c>
      <c r="H42" s="17">
        <f>IF($B42="","",IF(Spelling!$R42="INTERVENTION",1,0))</f>
        <v/>
      </c>
      <c r="I42" s="17">
        <f>IF($B42="","",IF(OR(N(sysAttendance!$I42)&gt;=cfgMakeupAdvisoryMin,sysAttendance!$Q42&gt;=cfgFlagAttendancePct),1,0))</f>
        <v/>
      </c>
      <c r="J42" s="17">
        <f>IF($B42="","",IF(sysIncidents!$H42&gt;=cfgFlagOpenIncidents,1,0))</f>
        <v/>
      </c>
      <c r="K42" s="17">
        <f>IF($B42="","",IF(N(Writing!$AS42)&gt;=cfgFlagOverdueWriting,1,0))</f>
        <v/>
      </c>
      <c r="L42" s="17">
        <f>IF($B42="","",IF(COUNTIFS(nrES_PID,$B42,nrES_RetStat,"OVERDUE")+COUNTIFS(nrES_PID,$B42,nrES_RetStat,"CHECK DATE")+COUNTIFS(nrES_PID,$B42,nrES_RetStat,"LATE RETEST*")+COUNTIFS(nrES_PID,$B42,nrES_RetStat,"RETEST UNDATED")+COUNTIFS(nrES_PID,$B42,nrES_RetStat,"RETEST DATE UNCHECKED")&gt;0,1,0))</f>
        <v/>
      </c>
      <c r="M42" s="17">
        <f>IF($B42="","",IF(OR(PT!$K42="No",PT!$AB42="No",PT!$AB42="Incomplete"),1,0))</f>
        <v/>
      </c>
      <c r="N42" s="17">
        <f>IF($B42="","",IF(COUNTIFS(nrMD_PID,$B42,nrMD_Status,"RESTRICTION EXPIRED")&gt;0,1,0))</f>
        <v/>
      </c>
      <c r="O42" s="17">
        <f>IF($B42="","",IF(Certifications!$U42&lt;&gt;"",1,0))</f>
        <v/>
      </c>
      <c r="P42" s="17">
        <f>IF($B42="","",IF(COUNTIFS(nrME_PID,$B42,nrME_Status,"OVERDUE")+COUNTIFS(nrME_PID,$B42,nrME_Status,"CHECK DATE")&gt;0,1,0))</f>
        <v/>
      </c>
      <c r="Q42" s="17">
        <f>IF($B42="","",IF(SUMPRODUCT((nrAT_PID=$B42)*(nrAT_Cleared="OPEN"))&gt;0,1,0))</f>
        <v/>
      </c>
      <c r="R42" s="17">
        <f>IF($B42="","",IF(sysChecks!$M42="Yes",1,0))</f>
        <v/>
      </c>
      <c r="S42" s="17">
        <f>IF($B42="","",SUM($E42:$R42)+N($U42))</f>
        <v/>
      </c>
      <c r="T42" s="17">
        <f>IF($B42="","",IF($S42=0,"",_xlfn.TEXTJOIN("; ",TRUE,IF($E42=1,"consecutive exam fails",""),IF($F42=1,"grade dropped "&amp;sysGrades!$AB42&amp;" pts",""),IF($G42=1,"category avg near 70",""),IF($H42=1,"spelling below "&amp;cfgSpellInterventionAvg,""),IF($I42=1,"attendance at "&amp;TEXT(MAX(sysAttendance!$I42,sysAttendance!$Q42),"0%")&amp;" of cap",""),IF($J42=1,"open negative incidents",""),IF($K42=1,N(Writing!$AS42)&amp;" overdue writing",""),IF($L42=1,"RETEST OVERDUE / LATE",""),IF($M42=1,"PT failure",""),IF($N42=1,"medical restriction expired",""),IF($O42=1,"cert copies outstanding: "&amp;Certifications!$U42,""),IF($P42=1,"OVERDUE MEMO",""),IF($Q42=1,SUMPRODUCT((nrAT_PID=$B42)*(nrAT_Cleared="OPEN"))&amp;" uncleared missed-time event(s)",""),IF($R42=1,"DISMISSAL REVIEW OPEN ("&amp;sysChecks!$U42&amp;")",""),IF($U42=1,_xlfn.LET(_xlpm.n,COUNTIFS(nrES_PID,$B42,nrES_Absence,"Unexcused"),IF(_xlpm.n&gt;=2,_xlpm.n&amp;" unexcused missed exams (removal review)","unexcused missed exam (0 recorded)")),""))))</f>
        <v/>
      </c>
      <c r="U42" s="17">
        <f>IF($B42="","",IF(COUNTIFS(nrES_PID,$B42,nrES_Absence,"Unexcused")&gt;0,1,0))</f>
        <v/>
      </c>
    </row>
    <row r="43">
      <c r="B43" s="17">
        <f>IF(Cadets!$B43="","",Cadets!$B43)</f>
        <v/>
      </c>
      <c r="C43" s="17">
        <f>IF($B43="","",Cadets!$F43)</f>
        <v/>
      </c>
      <c r="D43" s="17">
        <f>IF($B43="","",Cadets!$I43)</f>
        <v/>
      </c>
      <c r="E43" s="17">
        <f>IF($B43="","",IF(N(sysGrades!$AC43)&gt;=cfgFlagConsecFails,1,0))</f>
        <v/>
      </c>
      <c r="F43" s="17">
        <f>IF($B43="","",IF(AND(sysGrades!$AB43&lt;&gt;"",sysGrades!$AB43&gt;=cfgFlagGradeDrop),1,0))</f>
        <v/>
      </c>
      <c r="G43" s="17">
        <f>IF($B43="","",IF(OR(AND(sysGrades!$I43&lt;&gt;"",sysGrades!$I43&lt;cfgThresholdScore+cfgFlagCategoryMargin),AND(sysGrades!$J43&lt;&gt;"",sysGrades!$J43&lt;cfgThresholdScore+cfgFlagCategoryMargin)),1,0))</f>
        <v/>
      </c>
      <c r="H43" s="17">
        <f>IF($B43="","",IF(Spelling!$R43="INTERVENTION",1,0))</f>
        <v/>
      </c>
      <c r="I43" s="17">
        <f>IF($B43="","",IF(OR(N(sysAttendance!$I43)&gt;=cfgMakeupAdvisoryMin,sysAttendance!$Q43&gt;=cfgFlagAttendancePct),1,0))</f>
        <v/>
      </c>
      <c r="J43" s="17">
        <f>IF($B43="","",IF(sysIncidents!$H43&gt;=cfgFlagOpenIncidents,1,0))</f>
        <v/>
      </c>
      <c r="K43" s="17">
        <f>IF($B43="","",IF(N(Writing!$AS43)&gt;=cfgFlagOverdueWriting,1,0))</f>
        <v/>
      </c>
      <c r="L43" s="17">
        <f>IF($B43="","",IF(COUNTIFS(nrES_PID,$B43,nrES_RetStat,"OVERDUE")+COUNTIFS(nrES_PID,$B43,nrES_RetStat,"CHECK DATE")+COUNTIFS(nrES_PID,$B43,nrES_RetStat,"LATE RETEST*")+COUNTIFS(nrES_PID,$B43,nrES_RetStat,"RETEST UNDATED")+COUNTIFS(nrES_PID,$B43,nrES_RetStat,"RETEST DATE UNCHECKED")&gt;0,1,0))</f>
        <v/>
      </c>
      <c r="M43" s="17">
        <f>IF($B43="","",IF(OR(PT!$K43="No",PT!$AB43="No",PT!$AB43="Incomplete"),1,0))</f>
        <v/>
      </c>
      <c r="N43" s="17">
        <f>IF($B43="","",IF(COUNTIFS(nrMD_PID,$B43,nrMD_Status,"RESTRICTION EXPIRED")&gt;0,1,0))</f>
        <v/>
      </c>
      <c r="O43" s="17">
        <f>IF($B43="","",IF(Certifications!$U43&lt;&gt;"",1,0))</f>
        <v/>
      </c>
      <c r="P43" s="17">
        <f>IF($B43="","",IF(COUNTIFS(nrME_PID,$B43,nrME_Status,"OVERDUE")+COUNTIFS(nrME_PID,$B43,nrME_Status,"CHECK DATE")&gt;0,1,0))</f>
        <v/>
      </c>
      <c r="Q43" s="17">
        <f>IF($B43="","",IF(SUMPRODUCT((nrAT_PID=$B43)*(nrAT_Cleared="OPEN"))&gt;0,1,0))</f>
        <v/>
      </c>
      <c r="R43" s="17">
        <f>IF($B43="","",IF(sysChecks!$M43="Yes",1,0))</f>
        <v/>
      </c>
      <c r="S43" s="17">
        <f>IF($B43="","",SUM($E43:$R43)+N($U43))</f>
        <v/>
      </c>
      <c r="T43" s="17">
        <f>IF($B43="","",IF($S43=0,"",_xlfn.TEXTJOIN("; ",TRUE,IF($E43=1,"consecutive exam fails",""),IF($F43=1,"grade dropped "&amp;sysGrades!$AB43&amp;" pts",""),IF($G43=1,"category avg near 70",""),IF($H43=1,"spelling below "&amp;cfgSpellInterventionAvg,""),IF($I43=1,"attendance at "&amp;TEXT(MAX(sysAttendance!$I43,sysAttendance!$Q43),"0%")&amp;" of cap",""),IF($J43=1,"open negative incidents",""),IF($K43=1,N(Writing!$AS43)&amp;" overdue writing",""),IF($L43=1,"RETEST OVERDUE / LATE",""),IF($M43=1,"PT failure",""),IF($N43=1,"medical restriction expired",""),IF($O43=1,"cert copies outstanding: "&amp;Certifications!$U43,""),IF($P43=1,"OVERDUE MEMO",""),IF($Q43=1,SUMPRODUCT((nrAT_PID=$B43)*(nrAT_Cleared="OPEN"))&amp;" uncleared missed-time event(s)",""),IF($R43=1,"DISMISSAL REVIEW OPEN ("&amp;sysChecks!$U43&amp;")",""),IF($U43=1,_xlfn.LET(_xlpm.n,COUNTIFS(nrES_PID,$B43,nrES_Absence,"Unexcused"),IF(_xlpm.n&gt;=2,_xlpm.n&amp;" unexcused missed exams (removal review)","unexcused missed exam (0 recorded)")),""))))</f>
        <v/>
      </c>
      <c r="U43" s="17">
        <f>IF($B43="","",IF(COUNTIFS(nrES_PID,$B43,nrES_Absence,"Unexcused")&gt;0,1,0))</f>
        <v/>
      </c>
    </row>
    <row r="44">
      <c r="B44" s="17">
        <f>IF(Cadets!$B44="","",Cadets!$B44)</f>
        <v/>
      </c>
      <c r="C44" s="17">
        <f>IF($B44="","",Cadets!$F44)</f>
        <v/>
      </c>
      <c r="D44" s="17">
        <f>IF($B44="","",Cadets!$I44)</f>
        <v/>
      </c>
      <c r="E44" s="17">
        <f>IF($B44="","",IF(N(sysGrades!$AC44)&gt;=cfgFlagConsecFails,1,0))</f>
        <v/>
      </c>
      <c r="F44" s="17">
        <f>IF($B44="","",IF(AND(sysGrades!$AB44&lt;&gt;"",sysGrades!$AB44&gt;=cfgFlagGradeDrop),1,0))</f>
        <v/>
      </c>
      <c r="G44" s="17">
        <f>IF($B44="","",IF(OR(AND(sysGrades!$I44&lt;&gt;"",sysGrades!$I44&lt;cfgThresholdScore+cfgFlagCategoryMargin),AND(sysGrades!$J44&lt;&gt;"",sysGrades!$J44&lt;cfgThresholdScore+cfgFlagCategoryMargin)),1,0))</f>
        <v/>
      </c>
      <c r="H44" s="17">
        <f>IF($B44="","",IF(Spelling!$R44="INTERVENTION",1,0))</f>
        <v/>
      </c>
      <c r="I44" s="17">
        <f>IF($B44="","",IF(OR(N(sysAttendance!$I44)&gt;=cfgMakeupAdvisoryMin,sysAttendance!$Q44&gt;=cfgFlagAttendancePct),1,0))</f>
        <v/>
      </c>
      <c r="J44" s="17">
        <f>IF($B44="","",IF(sysIncidents!$H44&gt;=cfgFlagOpenIncidents,1,0))</f>
        <v/>
      </c>
      <c r="K44" s="17">
        <f>IF($B44="","",IF(N(Writing!$AS44)&gt;=cfgFlagOverdueWriting,1,0))</f>
        <v/>
      </c>
      <c r="L44" s="17">
        <f>IF($B44="","",IF(COUNTIFS(nrES_PID,$B44,nrES_RetStat,"OVERDUE")+COUNTIFS(nrES_PID,$B44,nrES_RetStat,"CHECK DATE")+COUNTIFS(nrES_PID,$B44,nrES_RetStat,"LATE RETEST*")+COUNTIFS(nrES_PID,$B44,nrES_RetStat,"RETEST UNDATED")+COUNTIFS(nrES_PID,$B44,nrES_RetStat,"RETEST DATE UNCHECKED")&gt;0,1,0))</f>
        <v/>
      </c>
      <c r="M44" s="17">
        <f>IF($B44="","",IF(OR(PT!$K44="No",PT!$AB44="No",PT!$AB44="Incomplete"),1,0))</f>
        <v/>
      </c>
      <c r="N44" s="17">
        <f>IF($B44="","",IF(COUNTIFS(nrMD_PID,$B44,nrMD_Status,"RESTRICTION EXPIRED")&gt;0,1,0))</f>
        <v/>
      </c>
      <c r="O44" s="17">
        <f>IF($B44="","",IF(Certifications!$U44&lt;&gt;"",1,0))</f>
        <v/>
      </c>
      <c r="P44" s="17">
        <f>IF($B44="","",IF(COUNTIFS(nrME_PID,$B44,nrME_Status,"OVERDUE")+COUNTIFS(nrME_PID,$B44,nrME_Status,"CHECK DATE")&gt;0,1,0))</f>
        <v/>
      </c>
      <c r="Q44" s="17">
        <f>IF($B44="","",IF(SUMPRODUCT((nrAT_PID=$B44)*(nrAT_Cleared="OPEN"))&gt;0,1,0))</f>
        <v/>
      </c>
      <c r="R44" s="17">
        <f>IF($B44="","",IF(sysChecks!$M44="Yes",1,0))</f>
        <v/>
      </c>
      <c r="S44" s="17">
        <f>IF($B44="","",SUM($E44:$R44)+N($U44))</f>
        <v/>
      </c>
      <c r="T44" s="17">
        <f>IF($B44="","",IF($S44=0,"",_xlfn.TEXTJOIN("; ",TRUE,IF($E44=1,"consecutive exam fails",""),IF($F44=1,"grade dropped "&amp;sysGrades!$AB44&amp;" pts",""),IF($G44=1,"category avg near 70",""),IF($H44=1,"spelling below "&amp;cfgSpellInterventionAvg,""),IF($I44=1,"attendance at "&amp;TEXT(MAX(sysAttendance!$I44,sysAttendance!$Q44),"0%")&amp;" of cap",""),IF($J44=1,"open negative incidents",""),IF($K44=1,N(Writing!$AS44)&amp;" overdue writing",""),IF($L44=1,"RETEST OVERDUE / LATE",""),IF($M44=1,"PT failure",""),IF($N44=1,"medical restriction expired",""),IF($O44=1,"cert copies outstanding: "&amp;Certifications!$U44,""),IF($P44=1,"OVERDUE MEMO",""),IF($Q44=1,SUMPRODUCT((nrAT_PID=$B44)*(nrAT_Cleared="OPEN"))&amp;" uncleared missed-time event(s)",""),IF($R44=1,"DISMISSAL REVIEW OPEN ("&amp;sysChecks!$U44&amp;")",""),IF($U44=1,_xlfn.LET(_xlpm.n,COUNTIFS(nrES_PID,$B44,nrES_Absence,"Unexcused"),IF(_xlpm.n&gt;=2,_xlpm.n&amp;" unexcused missed exams (removal review)","unexcused missed exam (0 recorded)")),""))))</f>
        <v/>
      </c>
      <c r="U44" s="17">
        <f>IF($B44="","",IF(COUNTIFS(nrES_PID,$B44,nrES_Absence,"Unexcused")&gt;0,1,0))</f>
        <v/>
      </c>
    </row>
    <row r="45">
      <c r="B45" s="17">
        <f>IF(Cadets!$B45="","",Cadets!$B45)</f>
        <v/>
      </c>
      <c r="C45" s="17">
        <f>IF($B45="","",Cadets!$F45)</f>
        <v/>
      </c>
      <c r="D45" s="17">
        <f>IF($B45="","",Cadets!$I45)</f>
        <v/>
      </c>
      <c r="E45" s="17">
        <f>IF($B45="","",IF(N(sysGrades!$AC45)&gt;=cfgFlagConsecFails,1,0))</f>
        <v/>
      </c>
      <c r="F45" s="17">
        <f>IF($B45="","",IF(AND(sysGrades!$AB45&lt;&gt;"",sysGrades!$AB45&gt;=cfgFlagGradeDrop),1,0))</f>
        <v/>
      </c>
      <c r="G45" s="17">
        <f>IF($B45="","",IF(OR(AND(sysGrades!$I45&lt;&gt;"",sysGrades!$I45&lt;cfgThresholdScore+cfgFlagCategoryMargin),AND(sysGrades!$J45&lt;&gt;"",sysGrades!$J45&lt;cfgThresholdScore+cfgFlagCategoryMargin)),1,0))</f>
        <v/>
      </c>
      <c r="H45" s="17">
        <f>IF($B45="","",IF(Spelling!$R45="INTERVENTION",1,0))</f>
        <v/>
      </c>
      <c r="I45" s="17">
        <f>IF($B45="","",IF(OR(N(sysAttendance!$I45)&gt;=cfgMakeupAdvisoryMin,sysAttendance!$Q45&gt;=cfgFlagAttendancePct),1,0))</f>
        <v/>
      </c>
      <c r="J45" s="17">
        <f>IF($B45="","",IF(sysIncidents!$H45&gt;=cfgFlagOpenIncidents,1,0))</f>
        <v/>
      </c>
      <c r="K45" s="17">
        <f>IF($B45="","",IF(N(Writing!$AS45)&gt;=cfgFlagOverdueWriting,1,0))</f>
        <v/>
      </c>
      <c r="L45" s="17">
        <f>IF($B45="","",IF(COUNTIFS(nrES_PID,$B45,nrES_RetStat,"OVERDUE")+COUNTIFS(nrES_PID,$B45,nrES_RetStat,"CHECK DATE")+COUNTIFS(nrES_PID,$B45,nrES_RetStat,"LATE RETEST*")+COUNTIFS(nrES_PID,$B45,nrES_RetStat,"RETEST UNDATED")+COUNTIFS(nrES_PID,$B45,nrES_RetStat,"RETEST DATE UNCHECKED")&gt;0,1,0))</f>
        <v/>
      </c>
      <c r="M45" s="17">
        <f>IF($B45="","",IF(OR(PT!$K45="No",PT!$AB45="No",PT!$AB45="Incomplete"),1,0))</f>
        <v/>
      </c>
      <c r="N45" s="17">
        <f>IF($B45="","",IF(COUNTIFS(nrMD_PID,$B45,nrMD_Status,"RESTRICTION EXPIRED")&gt;0,1,0))</f>
        <v/>
      </c>
      <c r="O45" s="17">
        <f>IF($B45="","",IF(Certifications!$U45&lt;&gt;"",1,0))</f>
        <v/>
      </c>
      <c r="P45" s="17">
        <f>IF($B45="","",IF(COUNTIFS(nrME_PID,$B45,nrME_Status,"OVERDUE")+COUNTIFS(nrME_PID,$B45,nrME_Status,"CHECK DATE")&gt;0,1,0))</f>
        <v/>
      </c>
      <c r="Q45" s="17">
        <f>IF($B45="","",IF(SUMPRODUCT((nrAT_PID=$B45)*(nrAT_Cleared="OPEN"))&gt;0,1,0))</f>
        <v/>
      </c>
      <c r="R45" s="17">
        <f>IF($B45="","",IF(sysChecks!$M45="Yes",1,0))</f>
        <v/>
      </c>
      <c r="S45" s="17">
        <f>IF($B45="","",SUM($E45:$R45)+N($U45))</f>
        <v/>
      </c>
      <c r="T45" s="17">
        <f>IF($B45="","",IF($S45=0,"",_xlfn.TEXTJOIN("; ",TRUE,IF($E45=1,"consecutive exam fails",""),IF($F45=1,"grade dropped "&amp;sysGrades!$AB45&amp;" pts",""),IF($G45=1,"category avg near 70",""),IF($H45=1,"spelling below "&amp;cfgSpellInterventionAvg,""),IF($I45=1,"attendance at "&amp;TEXT(MAX(sysAttendance!$I45,sysAttendance!$Q45),"0%")&amp;" of cap",""),IF($J45=1,"open negative incidents",""),IF($K45=1,N(Writing!$AS45)&amp;" overdue writing",""),IF($L45=1,"RETEST OVERDUE / LATE",""),IF($M45=1,"PT failure",""),IF($N45=1,"medical restriction expired",""),IF($O45=1,"cert copies outstanding: "&amp;Certifications!$U45,""),IF($P45=1,"OVERDUE MEMO",""),IF($Q45=1,SUMPRODUCT((nrAT_PID=$B45)*(nrAT_Cleared="OPEN"))&amp;" uncleared missed-time event(s)",""),IF($R45=1,"DISMISSAL REVIEW OPEN ("&amp;sysChecks!$U45&amp;")",""),IF($U45=1,_xlfn.LET(_xlpm.n,COUNTIFS(nrES_PID,$B45,nrES_Absence,"Unexcused"),IF(_xlpm.n&gt;=2,_xlpm.n&amp;" unexcused missed exams (removal review)","unexcused missed exam (0 recorded)")),""))))</f>
        <v/>
      </c>
      <c r="U45" s="17">
        <f>IF($B45="","",IF(COUNTIFS(nrES_PID,$B45,nrES_Absence,"Unexcused")&gt;0,1,0))</f>
        <v/>
      </c>
    </row>
    <row r="46">
      <c r="B46" s="17">
        <f>IF(Cadets!$B46="","",Cadets!$B46)</f>
        <v/>
      </c>
      <c r="C46" s="17">
        <f>IF($B46="","",Cadets!$F46)</f>
        <v/>
      </c>
      <c r="D46" s="17">
        <f>IF($B46="","",Cadets!$I46)</f>
        <v/>
      </c>
      <c r="E46" s="17">
        <f>IF($B46="","",IF(N(sysGrades!$AC46)&gt;=cfgFlagConsecFails,1,0))</f>
        <v/>
      </c>
      <c r="F46" s="17">
        <f>IF($B46="","",IF(AND(sysGrades!$AB46&lt;&gt;"",sysGrades!$AB46&gt;=cfgFlagGradeDrop),1,0))</f>
        <v/>
      </c>
      <c r="G46" s="17">
        <f>IF($B46="","",IF(OR(AND(sysGrades!$I46&lt;&gt;"",sysGrades!$I46&lt;cfgThresholdScore+cfgFlagCategoryMargin),AND(sysGrades!$J46&lt;&gt;"",sysGrades!$J46&lt;cfgThresholdScore+cfgFlagCategoryMargin)),1,0))</f>
        <v/>
      </c>
      <c r="H46" s="17">
        <f>IF($B46="","",IF(Spelling!$R46="INTERVENTION",1,0))</f>
        <v/>
      </c>
      <c r="I46" s="17">
        <f>IF($B46="","",IF(OR(N(sysAttendance!$I46)&gt;=cfgMakeupAdvisoryMin,sysAttendance!$Q46&gt;=cfgFlagAttendancePct),1,0))</f>
        <v/>
      </c>
      <c r="J46" s="17">
        <f>IF($B46="","",IF(sysIncidents!$H46&gt;=cfgFlagOpenIncidents,1,0))</f>
        <v/>
      </c>
      <c r="K46" s="17">
        <f>IF($B46="","",IF(N(Writing!$AS46)&gt;=cfgFlagOverdueWriting,1,0))</f>
        <v/>
      </c>
      <c r="L46" s="17">
        <f>IF($B46="","",IF(COUNTIFS(nrES_PID,$B46,nrES_RetStat,"OVERDUE")+COUNTIFS(nrES_PID,$B46,nrES_RetStat,"CHECK DATE")+COUNTIFS(nrES_PID,$B46,nrES_RetStat,"LATE RETEST*")+COUNTIFS(nrES_PID,$B46,nrES_RetStat,"RETEST UNDATED")+COUNTIFS(nrES_PID,$B46,nrES_RetStat,"RETEST DATE UNCHECKED")&gt;0,1,0))</f>
        <v/>
      </c>
      <c r="M46" s="17">
        <f>IF($B46="","",IF(OR(PT!$K46="No",PT!$AB46="No",PT!$AB46="Incomplete"),1,0))</f>
        <v/>
      </c>
      <c r="N46" s="17">
        <f>IF($B46="","",IF(COUNTIFS(nrMD_PID,$B46,nrMD_Status,"RESTRICTION EXPIRED")&gt;0,1,0))</f>
        <v/>
      </c>
      <c r="O46" s="17">
        <f>IF($B46="","",IF(Certifications!$U46&lt;&gt;"",1,0))</f>
        <v/>
      </c>
      <c r="P46" s="17">
        <f>IF($B46="","",IF(COUNTIFS(nrME_PID,$B46,nrME_Status,"OVERDUE")+COUNTIFS(nrME_PID,$B46,nrME_Status,"CHECK DATE")&gt;0,1,0))</f>
        <v/>
      </c>
      <c r="Q46" s="17">
        <f>IF($B46="","",IF(SUMPRODUCT((nrAT_PID=$B46)*(nrAT_Cleared="OPEN"))&gt;0,1,0))</f>
        <v/>
      </c>
      <c r="R46" s="17">
        <f>IF($B46="","",IF(sysChecks!$M46="Yes",1,0))</f>
        <v/>
      </c>
      <c r="S46" s="17">
        <f>IF($B46="","",SUM($E46:$R46)+N($U46))</f>
        <v/>
      </c>
      <c r="T46" s="17">
        <f>IF($B46="","",IF($S46=0,"",_xlfn.TEXTJOIN("; ",TRUE,IF($E46=1,"consecutive exam fails",""),IF($F46=1,"grade dropped "&amp;sysGrades!$AB46&amp;" pts",""),IF($G46=1,"category avg near 70",""),IF($H46=1,"spelling below "&amp;cfgSpellInterventionAvg,""),IF($I46=1,"attendance at "&amp;TEXT(MAX(sysAttendance!$I46,sysAttendance!$Q46),"0%")&amp;" of cap",""),IF($J46=1,"open negative incidents",""),IF($K46=1,N(Writing!$AS46)&amp;" overdue writing",""),IF($L46=1,"RETEST OVERDUE / LATE",""),IF($M46=1,"PT failure",""),IF($N46=1,"medical restriction expired",""),IF($O46=1,"cert copies outstanding: "&amp;Certifications!$U46,""),IF($P46=1,"OVERDUE MEMO",""),IF($Q46=1,SUMPRODUCT((nrAT_PID=$B46)*(nrAT_Cleared="OPEN"))&amp;" uncleared missed-time event(s)",""),IF($R46=1,"DISMISSAL REVIEW OPEN ("&amp;sysChecks!$U46&amp;")",""),IF($U46=1,_xlfn.LET(_xlpm.n,COUNTIFS(nrES_PID,$B46,nrES_Absence,"Unexcused"),IF(_xlpm.n&gt;=2,_xlpm.n&amp;" unexcused missed exams (removal review)","unexcused missed exam (0 recorded)")),""))))</f>
        <v/>
      </c>
      <c r="U46" s="17">
        <f>IF($B46="","",IF(COUNTIFS(nrES_PID,$B46,nrES_Absence,"Unexcused")&gt;0,1,0))</f>
        <v/>
      </c>
    </row>
    <row r="47">
      <c r="B47" s="17">
        <f>IF(Cadets!$B47="","",Cadets!$B47)</f>
        <v/>
      </c>
      <c r="C47" s="17">
        <f>IF($B47="","",Cadets!$F47)</f>
        <v/>
      </c>
      <c r="D47" s="17">
        <f>IF($B47="","",Cadets!$I47)</f>
        <v/>
      </c>
      <c r="E47" s="17">
        <f>IF($B47="","",IF(N(sysGrades!$AC47)&gt;=cfgFlagConsecFails,1,0))</f>
        <v/>
      </c>
      <c r="F47" s="17">
        <f>IF($B47="","",IF(AND(sysGrades!$AB47&lt;&gt;"",sysGrades!$AB47&gt;=cfgFlagGradeDrop),1,0))</f>
        <v/>
      </c>
      <c r="G47" s="17">
        <f>IF($B47="","",IF(OR(AND(sysGrades!$I47&lt;&gt;"",sysGrades!$I47&lt;cfgThresholdScore+cfgFlagCategoryMargin),AND(sysGrades!$J47&lt;&gt;"",sysGrades!$J47&lt;cfgThresholdScore+cfgFlagCategoryMargin)),1,0))</f>
        <v/>
      </c>
      <c r="H47" s="17">
        <f>IF($B47="","",IF(Spelling!$R47="INTERVENTION",1,0))</f>
        <v/>
      </c>
      <c r="I47" s="17">
        <f>IF($B47="","",IF(OR(N(sysAttendance!$I47)&gt;=cfgMakeupAdvisoryMin,sysAttendance!$Q47&gt;=cfgFlagAttendancePct),1,0))</f>
        <v/>
      </c>
      <c r="J47" s="17">
        <f>IF($B47="","",IF(sysIncidents!$H47&gt;=cfgFlagOpenIncidents,1,0))</f>
        <v/>
      </c>
      <c r="K47" s="17">
        <f>IF($B47="","",IF(N(Writing!$AS47)&gt;=cfgFlagOverdueWriting,1,0))</f>
        <v/>
      </c>
      <c r="L47" s="17">
        <f>IF($B47="","",IF(COUNTIFS(nrES_PID,$B47,nrES_RetStat,"OVERDUE")+COUNTIFS(nrES_PID,$B47,nrES_RetStat,"CHECK DATE")+COUNTIFS(nrES_PID,$B47,nrES_RetStat,"LATE RETEST*")+COUNTIFS(nrES_PID,$B47,nrES_RetStat,"RETEST UNDATED")+COUNTIFS(nrES_PID,$B47,nrES_RetStat,"RETEST DATE UNCHECKED")&gt;0,1,0))</f>
        <v/>
      </c>
      <c r="M47" s="17">
        <f>IF($B47="","",IF(OR(PT!$K47="No",PT!$AB47="No",PT!$AB47="Incomplete"),1,0))</f>
        <v/>
      </c>
      <c r="N47" s="17">
        <f>IF($B47="","",IF(COUNTIFS(nrMD_PID,$B47,nrMD_Status,"RESTRICTION EXPIRED")&gt;0,1,0))</f>
        <v/>
      </c>
      <c r="O47" s="17">
        <f>IF($B47="","",IF(Certifications!$U47&lt;&gt;"",1,0))</f>
        <v/>
      </c>
      <c r="P47" s="17">
        <f>IF($B47="","",IF(COUNTIFS(nrME_PID,$B47,nrME_Status,"OVERDUE")+COUNTIFS(nrME_PID,$B47,nrME_Status,"CHECK DATE")&gt;0,1,0))</f>
        <v/>
      </c>
      <c r="Q47" s="17">
        <f>IF($B47="","",IF(SUMPRODUCT((nrAT_PID=$B47)*(nrAT_Cleared="OPEN"))&gt;0,1,0))</f>
        <v/>
      </c>
      <c r="R47" s="17">
        <f>IF($B47="","",IF(sysChecks!$M47="Yes",1,0))</f>
        <v/>
      </c>
      <c r="S47" s="17">
        <f>IF($B47="","",SUM($E47:$R47)+N($U47))</f>
        <v/>
      </c>
      <c r="T47" s="17">
        <f>IF($B47="","",IF($S47=0,"",_xlfn.TEXTJOIN("; ",TRUE,IF($E47=1,"consecutive exam fails",""),IF($F47=1,"grade dropped "&amp;sysGrades!$AB47&amp;" pts",""),IF($G47=1,"category avg near 70",""),IF($H47=1,"spelling below "&amp;cfgSpellInterventionAvg,""),IF($I47=1,"attendance at "&amp;TEXT(MAX(sysAttendance!$I47,sysAttendance!$Q47),"0%")&amp;" of cap",""),IF($J47=1,"open negative incidents",""),IF($K47=1,N(Writing!$AS47)&amp;" overdue writing",""),IF($L47=1,"RETEST OVERDUE / LATE",""),IF($M47=1,"PT failure",""),IF($N47=1,"medical restriction expired",""),IF($O47=1,"cert copies outstanding: "&amp;Certifications!$U47,""),IF($P47=1,"OVERDUE MEMO",""),IF($Q47=1,SUMPRODUCT((nrAT_PID=$B47)*(nrAT_Cleared="OPEN"))&amp;" uncleared missed-time event(s)",""),IF($R47=1,"DISMISSAL REVIEW OPEN ("&amp;sysChecks!$U47&amp;")",""),IF($U47=1,_xlfn.LET(_xlpm.n,COUNTIFS(nrES_PID,$B47,nrES_Absence,"Unexcused"),IF(_xlpm.n&gt;=2,_xlpm.n&amp;" unexcused missed exams (removal review)","unexcused missed exam (0 recorded)")),""))))</f>
        <v/>
      </c>
      <c r="U47" s="17">
        <f>IF($B47="","",IF(COUNTIFS(nrES_PID,$B47,nrES_Absence,"Unexcused")&gt;0,1,0))</f>
        <v/>
      </c>
    </row>
    <row r="48">
      <c r="B48" s="17">
        <f>IF(Cadets!$B48="","",Cadets!$B48)</f>
        <v/>
      </c>
      <c r="C48" s="17">
        <f>IF($B48="","",Cadets!$F48)</f>
        <v/>
      </c>
      <c r="D48" s="17">
        <f>IF($B48="","",Cadets!$I48)</f>
        <v/>
      </c>
      <c r="E48" s="17">
        <f>IF($B48="","",IF(N(sysGrades!$AC48)&gt;=cfgFlagConsecFails,1,0))</f>
        <v/>
      </c>
      <c r="F48" s="17">
        <f>IF($B48="","",IF(AND(sysGrades!$AB48&lt;&gt;"",sysGrades!$AB48&gt;=cfgFlagGradeDrop),1,0))</f>
        <v/>
      </c>
      <c r="G48" s="17">
        <f>IF($B48="","",IF(OR(AND(sysGrades!$I48&lt;&gt;"",sysGrades!$I48&lt;cfgThresholdScore+cfgFlagCategoryMargin),AND(sysGrades!$J48&lt;&gt;"",sysGrades!$J48&lt;cfgThresholdScore+cfgFlagCategoryMargin)),1,0))</f>
        <v/>
      </c>
      <c r="H48" s="17">
        <f>IF($B48="","",IF(Spelling!$R48="INTERVENTION",1,0))</f>
        <v/>
      </c>
      <c r="I48" s="17">
        <f>IF($B48="","",IF(OR(N(sysAttendance!$I48)&gt;=cfgMakeupAdvisoryMin,sysAttendance!$Q48&gt;=cfgFlagAttendancePct),1,0))</f>
        <v/>
      </c>
      <c r="J48" s="17">
        <f>IF($B48="","",IF(sysIncidents!$H48&gt;=cfgFlagOpenIncidents,1,0))</f>
        <v/>
      </c>
      <c r="K48" s="17">
        <f>IF($B48="","",IF(N(Writing!$AS48)&gt;=cfgFlagOverdueWriting,1,0))</f>
        <v/>
      </c>
      <c r="L48" s="17">
        <f>IF($B48="","",IF(COUNTIFS(nrES_PID,$B48,nrES_RetStat,"OVERDUE")+COUNTIFS(nrES_PID,$B48,nrES_RetStat,"CHECK DATE")+COUNTIFS(nrES_PID,$B48,nrES_RetStat,"LATE RETEST*")+COUNTIFS(nrES_PID,$B48,nrES_RetStat,"RETEST UNDATED")+COUNTIFS(nrES_PID,$B48,nrES_RetStat,"RETEST DATE UNCHECKED")&gt;0,1,0))</f>
        <v/>
      </c>
      <c r="M48" s="17">
        <f>IF($B48="","",IF(OR(PT!$K48="No",PT!$AB48="No",PT!$AB48="Incomplete"),1,0))</f>
        <v/>
      </c>
      <c r="N48" s="17">
        <f>IF($B48="","",IF(COUNTIFS(nrMD_PID,$B48,nrMD_Status,"RESTRICTION EXPIRED")&gt;0,1,0))</f>
        <v/>
      </c>
      <c r="O48" s="17">
        <f>IF($B48="","",IF(Certifications!$U48&lt;&gt;"",1,0))</f>
        <v/>
      </c>
      <c r="P48" s="17">
        <f>IF($B48="","",IF(COUNTIFS(nrME_PID,$B48,nrME_Status,"OVERDUE")+COUNTIFS(nrME_PID,$B48,nrME_Status,"CHECK DATE")&gt;0,1,0))</f>
        <v/>
      </c>
      <c r="Q48" s="17">
        <f>IF($B48="","",IF(SUMPRODUCT((nrAT_PID=$B48)*(nrAT_Cleared="OPEN"))&gt;0,1,0))</f>
        <v/>
      </c>
      <c r="R48" s="17">
        <f>IF($B48="","",IF(sysChecks!$M48="Yes",1,0))</f>
        <v/>
      </c>
      <c r="S48" s="17">
        <f>IF($B48="","",SUM($E48:$R48)+N($U48))</f>
        <v/>
      </c>
      <c r="T48" s="17">
        <f>IF($B48="","",IF($S48=0,"",_xlfn.TEXTJOIN("; ",TRUE,IF($E48=1,"consecutive exam fails",""),IF($F48=1,"grade dropped "&amp;sysGrades!$AB48&amp;" pts",""),IF($G48=1,"category avg near 70",""),IF($H48=1,"spelling below "&amp;cfgSpellInterventionAvg,""),IF($I48=1,"attendance at "&amp;TEXT(MAX(sysAttendance!$I48,sysAttendance!$Q48),"0%")&amp;" of cap",""),IF($J48=1,"open negative incidents",""),IF($K48=1,N(Writing!$AS48)&amp;" overdue writing",""),IF($L48=1,"RETEST OVERDUE / LATE",""),IF($M48=1,"PT failure",""),IF($N48=1,"medical restriction expired",""),IF($O48=1,"cert copies outstanding: "&amp;Certifications!$U48,""),IF($P48=1,"OVERDUE MEMO",""),IF($Q48=1,SUMPRODUCT((nrAT_PID=$B48)*(nrAT_Cleared="OPEN"))&amp;" uncleared missed-time event(s)",""),IF($R48=1,"DISMISSAL REVIEW OPEN ("&amp;sysChecks!$U48&amp;")",""),IF($U48=1,_xlfn.LET(_xlpm.n,COUNTIFS(nrES_PID,$B48,nrES_Absence,"Unexcused"),IF(_xlpm.n&gt;=2,_xlpm.n&amp;" unexcused missed exams (removal review)","unexcused missed exam (0 recorded)")),""))))</f>
        <v/>
      </c>
      <c r="U48" s="17">
        <f>IF($B48="","",IF(COUNTIFS(nrES_PID,$B48,nrES_Absence,"Unexcused")&gt;0,1,0))</f>
        <v/>
      </c>
    </row>
    <row r="49">
      <c r="B49" s="17">
        <f>IF(Cadets!$B49="","",Cadets!$B49)</f>
        <v/>
      </c>
      <c r="C49" s="17">
        <f>IF($B49="","",Cadets!$F49)</f>
        <v/>
      </c>
      <c r="D49" s="17">
        <f>IF($B49="","",Cadets!$I49)</f>
        <v/>
      </c>
      <c r="E49" s="17">
        <f>IF($B49="","",IF(N(sysGrades!$AC49)&gt;=cfgFlagConsecFails,1,0))</f>
        <v/>
      </c>
      <c r="F49" s="17">
        <f>IF($B49="","",IF(AND(sysGrades!$AB49&lt;&gt;"",sysGrades!$AB49&gt;=cfgFlagGradeDrop),1,0))</f>
        <v/>
      </c>
      <c r="G49" s="17">
        <f>IF($B49="","",IF(OR(AND(sysGrades!$I49&lt;&gt;"",sysGrades!$I49&lt;cfgThresholdScore+cfgFlagCategoryMargin),AND(sysGrades!$J49&lt;&gt;"",sysGrades!$J49&lt;cfgThresholdScore+cfgFlagCategoryMargin)),1,0))</f>
        <v/>
      </c>
      <c r="H49" s="17">
        <f>IF($B49="","",IF(Spelling!$R49="INTERVENTION",1,0))</f>
        <v/>
      </c>
      <c r="I49" s="17">
        <f>IF($B49="","",IF(OR(N(sysAttendance!$I49)&gt;=cfgMakeupAdvisoryMin,sysAttendance!$Q49&gt;=cfgFlagAttendancePct),1,0))</f>
        <v/>
      </c>
      <c r="J49" s="17">
        <f>IF($B49="","",IF(sysIncidents!$H49&gt;=cfgFlagOpenIncidents,1,0))</f>
        <v/>
      </c>
      <c r="K49" s="17">
        <f>IF($B49="","",IF(N(Writing!$AS49)&gt;=cfgFlagOverdueWriting,1,0))</f>
        <v/>
      </c>
      <c r="L49" s="17">
        <f>IF($B49="","",IF(COUNTIFS(nrES_PID,$B49,nrES_RetStat,"OVERDUE")+COUNTIFS(nrES_PID,$B49,nrES_RetStat,"CHECK DATE")+COUNTIFS(nrES_PID,$B49,nrES_RetStat,"LATE RETEST*")+COUNTIFS(nrES_PID,$B49,nrES_RetStat,"RETEST UNDATED")+COUNTIFS(nrES_PID,$B49,nrES_RetStat,"RETEST DATE UNCHECKED")&gt;0,1,0))</f>
        <v/>
      </c>
      <c r="M49" s="17">
        <f>IF($B49="","",IF(OR(PT!$K49="No",PT!$AB49="No",PT!$AB49="Incomplete"),1,0))</f>
        <v/>
      </c>
      <c r="N49" s="17">
        <f>IF($B49="","",IF(COUNTIFS(nrMD_PID,$B49,nrMD_Status,"RESTRICTION EXPIRED")&gt;0,1,0))</f>
        <v/>
      </c>
      <c r="O49" s="17">
        <f>IF($B49="","",IF(Certifications!$U49&lt;&gt;"",1,0))</f>
        <v/>
      </c>
      <c r="P49" s="17">
        <f>IF($B49="","",IF(COUNTIFS(nrME_PID,$B49,nrME_Status,"OVERDUE")+COUNTIFS(nrME_PID,$B49,nrME_Status,"CHECK DATE")&gt;0,1,0))</f>
        <v/>
      </c>
      <c r="Q49" s="17">
        <f>IF($B49="","",IF(SUMPRODUCT((nrAT_PID=$B49)*(nrAT_Cleared="OPEN"))&gt;0,1,0))</f>
        <v/>
      </c>
      <c r="R49" s="17">
        <f>IF($B49="","",IF(sysChecks!$M49="Yes",1,0))</f>
        <v/>
      </c>
      <c r="S49" s="17">
        <f>IF($B49="","",SUM($E49:$R49)+N($U49))</f>
        <v/>
      </c>
      <c r="T49" s="17">
        <f>IF($B49="","",IF($S49=0,"",_xlfn.TEXTJOIN("; ",TRUE,IF($E49=1,"consecutive exam fails",""),IF($F49=1,"grade dropped "&amp;sysGrades!$AB49&amp;" pts",""),IF($G49=1,"category avg near 70",""),IF($H49=1,"spelling below "&amp;cfgSpellInterventionAvg,""),IF($I49=1,"attendance at "&amp;TEXT(MAX(sysAttendance!$I49,sysAttendance!$Q49),"0%")&amp;" of cap",""),IF($J49=1,"open negative incidents",""),IF($K49=1,N(Writing!$AS49)&amp;" overdue writing",""),IF($L49=1,"RETEST OVERDUE / LATE",""),IF($M49=1,"PT failure",""),IF($N49=1,"medical restriction expired",""),IF($O49=1,"cert copies outstanding: "&amp;Certifications!$U49,""),IF($P49=1,"OVERDUE MEMO",""),IF($Q49=1,SUMPRODUCT((nrAT_PID=$B49)*(nrAT_Cleared="OPEN"))&amp;" uncleared missed-time event(s)",""),IF($R49=1,"DISMISSAL REVIEW OPEN ("&amp;sysChecks!$U49&amp;")",""),IF($U49=1,_xlfn.LET(_xlpm.n,COUNTIFS(nrES_PID,$B49,nrES_Absence,"Unexcused"),IF(_xlpm.n&gt;=2,_xlpm.n&amp;" unexcused missed exams (removal review)","unexcused missed exam (0 recorded)")),""))))</f>
        <v/>
      </c>
      <c r="U49" s="17">
        <f>IF($B49="","",IF(COUNTIFS(nrES_PID,$B49,nrES_Absence,"Unexcused")&gt;0,1,0))</f>
        <v/>
      </c>
    </row>
    <row r="50">
      <c r="B50" s="17">
        <f>IF(Cadets!$B50="","",Cadets!$B50)</f>
        <v/>
      </c>
      <c r="C50" s="17">
        <f>IF($B50="","",Cadets!$F50)</f>
        <v/>
      </c>
      <c r="D50" s="17">
        <f>IF($B50="","",Cadets!$I50)</f>
        <v/>
      </c>
      <c r="E50" s="17">
        <f>IF($B50="","",IF(N(sysGrades!$AC50)&gt;=cfgFlagConsecFails,1,0))</f>
        <v/>
      </c>
      <c r="F50" s="17">
        <f>IF($B50="","",IF(AND(sysGrades!$AB50&lt;&gt;"",sysGrades!$AB50&gt;=cfgFlagGradeDrop),1,0))</f>
        <v/>
      </c>
      <c r="G50" s="17">
        <f>IF($B50="","",IF(OR(AND(sysGrades!$I50&lt;&gt;"",sysGrades!$I50&lt;cfgThresholdScore+cfgFlagCategoryMargin),AND(sysGrades!$J50&lt;&gt;"",sysGrades!$J50&lt;cfgThresholdScore+cfgFlagCategoryMargin)),1,0))</f>
        <v/>
      </c>
      <c r="H50" s="17">
        <f>IF($B50="","",IF(Spelling!$R50="INTERVENTION",1,0))</f>
        <v/>
      </c>
      <c r="I50" s="17">
        <f>IF($B50="","",IF(OR(N(sysAttendance!$I50)&gt;=cfgMakeupAdvisoryMin,sysAttendance!$Q50&gt;=cfgFlagAttendancePct),1,0))</f>
        <v/>
      </c>
      <c r="J50" s="17">
        <f>IF($B50="","",IF(sysIncidents!$H50&gt;=cfgFlagOpenIncidents,1,0))</f>
        <v/>
      </c>
      <c r="K50" s="17">
        <f>IF($B50="","",IF(N(Writing!$AS50)&gt;=cfgFlagOverdueWriting,1,0))</f>
        <v/>
      </c>
      <c r="L50" s="17">
        <f>IF($B50="","",IF(COUNTIFS(nrES_PID,$B50,nrES_RetStat,"OVERDUE")+COUNTIFS(nrES_PID,$B50,nrES_RetStat,"CHECK DATE")+COUNTIFS(nrES_PID,$B50,nrES_RetStat,"LATE RETEST*")+COUNTIFS(nrES_PID,$B50,nrES_RetStat,"RETEST UNDATED")+COUNTIFS(nrES_PID,$B50,nrES_RetStat,"RETEST DATE UNCHECKED")&gt;0,1,0))</f>
        <v/>
      </c>
      <c r="M50" s="17">
        <f>IF($B50="","",IF(OR(PT!$K50="No",PT!$AB50="No",PT!$AB50="Incomplete"),1,0))</f>
        <v/>
      </c>
      <c r="N50" s="17">
        <f>IF($B50="","",IF(COUNTIFS(nrMD_PID,$B50,nrMD_Status,"RESTRICTION EXPIRED")&gt;0,1,0))</f>
        <v/>
      </c>
      <c r="O50" s="17">
        <f>IF($B50="","",IF(Certifications!$U50&lt;&gt;"",1,0))</f>
        <v/>
      </c>
      <c r="P50" s="17">
        <f>IF($B50="","",IF(COUNTIFS(nrME_PID,$B50,nrME_Status,"OVERDUE")+COUNTIFS(nrME_PID,$B50,nrME_Status,"CHECK DATE")&gt;0,1,0))</f>
        <v/>
      </c>
      <c r="Q50" s="17">
        <f>IF($B50="","",IF(SUMPRODUCT((nrAT_PID=$B50)*(nrAT_Cleared="OPEN"))&gt;0,1,0))</f>
        <v/>
      </c>
      <c r="R50" s="17">
        <f>IF($B50="","",IF(sysChecks!$M50="Yes",1,0))</f>
        <v/>
      </c>
      <c r="S50" s="17">
        <f>IF($B50="","",SUM($E50:$R50)+N($U50))</f>
        <v/>
      </c>
      <c r="T50" s="17">
        <f>IF($B50="","",IF($S50=0,"",_xlfn.TEXTJOIN("; ",TRUE,IF($E50=1,"consecutive exam fails",""),IF($F50=1,"grade dropped "&amp;sysGrades!$AB50&amp;" pts",""),IF($G50=1,"category avg near 70",""),IF($H50=1,"spelling below "&amp;cfgSpellInterventionAvg,""),IF($I50=1,"attendance at "&amp;TEXT(MAX(sysAttendance!$I50,sysAttendance!$Q50),"0%")&amp;" of cap",""),IF($J50=1,"open negative incidents",""),IF($K50=1,N(Writing!$AS50)&amp;" overdue writing",""),IF($L50=1,"RETEST OVERDUE / LATE",""),IF($M50=1,"PT failure",""),IF($N50=1,"medical restriction expired",""),IF($O50=1,"cert copies outstanding: "&amp;Certifications!$U50,""),IF($P50=1,"OVERDUE MEMO",""),IF($Q50=1,SUMPRODUCT((nrAT_PID=$B50)*(nrAT_Cleared="OPEN"))&amp;" uncleared missed-time event(s)",""),IF($R50=1,"DISMISSAL REVIEW OPEN ("&amp;sysChecks!$U50&amp;")",""),IF($U50=1,_xlfn.LET(_xlpm.n,COUNTIFS(nrES_PID,$B50,nrES_Absence,"Unexcused"),IF(_xlpm.n&gt;=2,_xlpm.n&amp;" unexcused missed exams (removal review)","unexcused missed exam (0 recorded)")),""))))</f>
        <v/>
      </c>
      <c r="U50" s="17">
        <f>IF($B50="","",IF(COUNTIFS(nrES_PID,$B50,nrES_Absence,"Unexcused")&gt;0,1,0))</f>
        <v/>
      </c>
    </row>
    <row r="51">
      <c r="B51" s="17">
        <f>IF(Cadets!$B51="","",Cadets!$B51)</f>
        <v/>
      </c>
      <c r="C51" s="17">
        <f>IF($B51="","",Cadets!$F51)</f>
        <v/>
      </c>
      <c r="D51" s="17">
        <f>IF($B51="","",Cadets!$I51)</f>
        <v/>
      </c>
      <c r="E51" s="17">
        <f>IF($B51="","",IF(N(sysGrades!$AC51)&gt;=cfgFlagConsecFails,1,0))</f>
        <v/>
      </c>
      <c r="F51" s="17">
        <f>IF($B51="","",IF(AND(sysGrades!$AB51&lt;&gt;"",sysGrades!$AB51&gt;=cfgFlagGradeDrop),1,0))</f>
        <v/>
      </c>
      <c r="G51" s="17">
        <f>IF($B51="","",IF(OR(AND(sysGrades!$I51&lt;&gt;"",sysGrades!$I51&lt;cfgThresholdScore+cfgFlagCategoryMargin),AND(sysGrades!$J51&lt;&gt;"",sysGrades!$J51&lt;cfgThresholdScore+cfgFlagCategoryMargin)),1,0))</f>
        <v/>
      </c>
      <c r="H51" s="17">
        <f>IF($B51="","",IF(Spelling!$R51="INTERVENTION",1,0))</f>
        <v/>
      </c>
      <c r="I51" s="17">
        <f>IF($B51="","",IF(OR(N(sysAttendance!$I51)&gt;=cfgMakeupAdvisoryMin,sysAttendance!$Q51&gt;=cfgFlagAttendancePct),1,0))</f>
        <v/>
      </c>
      <c r="J51" s="17">
        <f>IF($B51="","",IF(sysIncidents!$H51&gt;=cfgFlagOpenIncidents,1,0))</f>
        <v/>
      </c>
      <c r="K51" s="17">
        <f>IF($B51="","",IF(N(Writing!$AS51)&gt;=cfgFlagOverdueWriting,1,0))</f>
        <v/>
      </c>
      <c r="L51" s="17">
        <f>IF($B51="","",IF(COUNTIFS(nrES_PID,$B51,nrES_RetStat,"OVERDUE")+COUNTIFS(nrES_PID,$B51,nrES_RetStat,"CHECK DATE")+COUNTIFS(nrES_PID,$B51,nrES_RetStat,"LATE RETEST*")+COUNTIFS(nrES_PID,$B51,nrES_RetStat,"RETEST UNDATED")+COUNTIFS(nrES_PID,$B51,nrES_RetStat,"RETEST DATE UNCHECKED")&gt;0,1,0))</f>
        <v/>
      </c>
      <c r="M51" s="17">
        <f>IF($B51="","",IF(OR(PT!$K51="No",PT!$AB51="No",PT!$AB51="Incomplete"),1,0))</f>
        <v/>
      </c>
      <c r="N51" s="17">
        <f>IF($B51="","",IF(COUNTIFS(nrMD_PID,$B51,nrMD_Status,"RESTRICTION EXPIRED")&gt;0,1,0))</f>
        <v/>
      </c>
      <c r="O51" s="17">
        <f>IF($B51="","",IF(Certifications!$U51&lt;&gt;"",1,0))</f>
        <v/>
      </c>
      <c r="P51" s="17">
        <f>IF($B51="","",IF(COUNTIFS(nrME_PID,$B51,nrME_Status,"OVERDUE")+COUNTIFS(nrME_PID,$B51,nrME_Status,"CHECK DATE")&gt;0,1,0))</f>
        <v/>
      </c>
      <c r="Q51" s="17">
        <f>IF($B51="","",IF(SUMPRODUCT((nrAT_PID=$B51)*(nrAT_Cleared="OPEN"))&gt;0,1,0))</f>
        <v/>
      </c>
      <c r="R51" s="17">
        <f>IF($B51="","",IF(sysChecks!$M51="Yes",1,0))</f>
        <v/>
      </c>
      <c r="S51" s="17">
        <f>IF($B51="","",SUM($E51:$R51)+N($U51))</f>
        <v/>
      </c>
      <c r="T51" s="17">
        <f>IF($B51="","",IF($S51=0,"",_xlfn.TEXTJOIN("; ",TRUE,IF($E51=1,"consecutive exam fails",""),IF($F51=1,"grade dropped "&amp;sysGrades!$AB51&amp;" pts",""),IF($G51=1,"category avg near 70",""),IF($H51=1,"spelling below "&amp;cfgSpellInterventionAvg,""),IF($I51=1,"attendance at "&amp;TEXT(MAX(sysAttendance!$I51,sysAttendance!$Q51),"0%")&amp;" of cap",""),IF($J51=1,"open negative incidents",""),IF($K51=1,N(Writing!$AS51)&amp;" overdue writing",""),IF($L51=1,"RETEST OVERDUE / LATE",""),IF($M51=1,"PT failure",""),IF($N51=1,"medical restriction expired",""),IF($O51=1,"cert copies outstanding: "&amp;Certifications!$U51,""),IF($P51=1,"OVERDUE MEMO",""),IF($Q51=1,SUMPRODUCT((nrAT_PID=$B51)*(nrAT_Cleared="OPEN"))&amp;" uncleared missed-time event(s)",""),IF($R51=1,"DISMISSAL REVIEW OPEN ("&amp;sysChecks!$U51&amp;")",""),IF($U51=1,_xlfn.LET(_xlpm.n,COUNTIFS(nrES_PID,$B51,nrES_Absence,"Unexcused"),IF(_xlpm.n&gt;=2,_xlpm.n&amp;" unexcused missed exams (removal review)","unexcused missed exam (0 recorded)")),""))))</f>
        <v/>
      </c>
      <c r="U51" s="17">
        <f>IF($B51="","",IF(COUNTIFS(nrES_PID,$B51,nrES_Absence,"Unexcused")&gt;0,1,0))</f>
        <v/>
      </c>
    </row>
    <row r="52">
      <c r="B52" s="17">
        <f>IF(Cadets!$B52="","",Cadets!$B52)</f>
        <v/>
      </c>
      <c r="C52" s="17">
        <f>IF($B52="","",Cadets!$F52)</f>
        <v/>
      </c>
      <c r="D52" s="17">
        <f>IF($B52="","",Cadets!$I52)</f>
        <v/>
      </c>
      <c r="E52" s="17">
        <f>IF($B52="","",IF(N(sysGrades!$AC52)&gt;=cfgFlagConsecFails,1,0))</f>
        <v/>
      </c>
      <c r="F52" s="17">
        <f>IF($B52="","",IF(AND(sysGrades!$AB52&lt;&gt;"",sysGrades!$AB52&gt;=cfgFlagGradeDrop),1,0))</f>
        <v/>
      </c>
      <c r="G52" s="17">
        <f>IF($B52="","",IF(OR(AND(sysGrades!$I52&lt;&gt;"",sysGrades!$I52&lt;cfgThresholdScore+cfgFlagCategoryMargin),AND(sysGrades!$J52&lt;&gt;"",sysGrades!$J52&lt;cfgThresholdScore+cfgFlagCategoryMargin)),1,0))</f>
        <v/>
      </c>
      <c r="H52" s="17">
        <f>IF($B52="","",IF(Spelling!$R52="INTERVENTION",1,0))</f>
        <v/>
      </c>
      <c r="I52" s="17">
        <f>IF($B52="","",IF(OR(N(sysAttendance!$I52)&gt;=cfgMakeupAdvisoryMin,sysAttendance!$Q52&gt;=cfgFlagAttendancePct),1,0))</f>
        <v/>
      </c>
      <c r="J52" s="17">
        <f>IF($B52="","",IF(sysIncidents!$H52&gt;=cfgFlagOpenIncidents,1,0))</f>
        <v/>
      </c>
      <c r="K52" s="17">
        <f>IF($B52="","",IF(N(Writing!$AS52)&gt;=cfgFlagOverdueWriting,1,0))</f>
        <v/>
      </c>
      <c r="L52" s="17">
        <f>IF($B52="","",IF(COUNTIFS(nrES_PID,$B52,nrES_RetStat,"OVERDUE")+COUNTIFS(nrES_PID,$B52,nrES_RetStat,"CHECK DATE")+COUNTIFS(nrES_PID,$B52,nrES_RetStat,"LATE RETEST*")+COUNTIFS(nrES_PID,$B52,nrES_RetStat,"RETEST UNDATED")+COUNTIFS(nrES_PID,$B52,nrES_RetStat,"RETEST DATE UNCHECKED")&gt;0,1,0))</f>
        <v/>
      </c>
      <c r="M52" s="17">
        <f>IF($B52="","",IF(OR(PT!$K52="No",PT!$AB52="No",PT!$AB52="Incomplete"),1,0))</f>
        <v/>
      </c>
      <c r="N52" s="17">
        <f>IF($B52="","",IF(COUNTIFS(nrMD_PID,$B52,nrMD_Status,"RESTRICTION EXPIRED")&gt;0,1,0))</f>
        <v/>
      </c>
      <c r="O52" s="17">
        <f>IF($B52="","",IF(Certifications!$U52&lt;&gt;"",1,0))</f>
        <v/>
      </c>
      <c r="P52" s="17">
        <f>IF($B52="","",IF(COUNTIFS(nrME_PID,$B52,nrME_Status,"OVERDUE")+COUNTIFS(nrME_PID,$B52,nrME_Status,"CHECK DATE")&gt;0,1,0))</f>
        <v/>
      </c>
      <c r="Q52" s="17">
        <f>IF($B52="","",IF(SUMPRODUCT((nrAT_PID=$B52)*(nrAT_Cleared="OPEN"))&gt;0,1,0))</f>
        <v/>
      </c>
      <c r="R52" s="17">
        <f>IF($B52="","",IF(sysChecks!$M52="Yes",1,0))</f>
        <v/>
      </c>
      <c r="S52" s="17">
        <f>IF($B52="","",SUM($E52:$R52)+N($U52))</f>
        <v/>
      </c>
      <c r="T52" s="17">
        <f>IF($B52="","",IF($S52=0,"",_xlfn.TEXTJOIN("; ",TRUE,IF($E52=1,"consecutive exam fails",""),IF($F52=1,"grade dropped "&amp;sysGrades!$AB52&amp;" pts",""),IF($G52=1,"category avg near 70",""),IF($H52=1,"spelling below "&amp;cfgSpellInterventionAvg,""),IF($I52=1,"attendance at "&amp;TEXT(MAX(sysAttendance!$I52,sysAttendance!$Q52),"0%")&amp;" of cap",""),IF($J52=1,"open negative incidents",""),IF($K52=1,N(Writing!$AS52)&amp;" overdue writing",""),IF($L52=1,"RETEST OVERDUE / LATE",""),IF($M52=1,"PT failure",""),IF($N52=1,"medical restriction expired",""),IF($O52=1,"cert copies outstanding: "&amp;Certifications!$U52,""),IF($P52=1,"OVERDUE MEMO",""),IF($Q52=1,SUMPRODUCT((nrAT_PID=$B52)*(nrAT_Cleared="OPEN"))&amp;" uncleared missed-time event(s)",""),IF($R52=1,"DISMISSAL REVIEW OPEN ("&amp;sysChecks!$U52&amp;")",""),IF($U52=1,_xlfn.LET(_xlpm.n,COUNTIFS(nrES_PID,$B52,nrES_Absence,"Unexcused"),IF(_xlpm.n&gt;=2,_xlpm.n&amp;" unexcused missed exams (removal review)","unexcused missed exam (0 recorded)")),""))))</f>
        <v/>
      </c>
      <c r="U52" s="17">
        <f>IF($B52="","",IF(COUNTIFS(nrES_PID,$B52,nrES_Absence,"Unexcused")&gt;0,1,0))</f>
        <v/>
      </c>
    </row>
    <row r="53">
      <c r="B53" s="17">
        <f>IF(Cadets!$B53="","",Cadets!$B53)</f>
        <v/>
      </c>
      <c r="C53" s="17">
        <f>IF($B53="","",Cadets!$F53)</f>
        <v/>
      </c>
      <c r="D53" s="17">
        <f>IF($B53="","",Cadets!$I53)</f>
        <v/>
      </c>
      <c r="E53" s="17">
        <f>IF($B53="","",IF(N(sysGrades!$AC53)&gt;=cfgFlagConsecFails,1,0))</f>
        <v/>
      </c>
      <c r="F53" s="17">
        <f>IF($B53="","",IF(AND(sysGrades!$AB53&lt;&gt;"",sysGrades!$AB53&gt;=cfgFlagGradeDrop),1,0))</f>
        <v/>
      </c>
      <c r="G53" s="17">
        <f>IF($B53="","",IF(OR(AND(sysGrades!$I53&lt;&gt;"",sysGrades!$I53&lt;cfgThresholdScore+cfgFlagCategoryMargin),AND(sysGrades!$J53&lt;&gt;"",sysGrades!$J53&lt;cfgThresholdScore+cfgFlagCategoryMargin)),1,0))</f>
        <v/>
      </c>
      <c r="H53" s="17">
        <f>IF($B53="","",IF(Spelling!$R53="INTERVENTION",1,0))</f>
        <v/>
      </c>
      <c r="I53" s="17">
        <f>IF($B53="","",IF(OR(N(sysAttendance!$I53)&gt;=cfgMakeupAdvisoryMin,sysAttendance!$Q53&gt;=cfgFlagAttendancePct),1,0))</f>
        <v/>
      </c>
      <c r="J53" s="17">
        <f>IF($B53="","",IF(sysIncidents!$H53&gt;=cfgFlagOpenIncidents,1,0))</f>
        <v/>
      </c>
      <c r="K53" s="17">
        <f>IF($B53="","",IF(N(Writing!$AS53)&gt;=cfgFlagOverdueWriting,1,0))</f>
        <v/>
      </c>
      <c r="L53" s="17">
        <f>IF($B53="","",IF(COUNTIFS(nrES_PID,$B53,nrES_RetStat,"OVERDUE")+COUNTIFS(nrES_PID,$B53,nrES_RetStat,"CHECK DATE")+COUNTIFS(nrES_PID,$B53,nrES_RetStat,"LATE RETEST*")+COUNTIFS(nrES_PID,$B53,nrES_RetStat,"RETEST UNDATED")+COUNTIFS(nrES_PID,$B53,nrES_RetStat,"RETEST DATE UNCHECKED")&gt;0,1,0))</f>
        <v/>
      </c>
      <c r="M53" s="17">
        <f>IF($B53="","",IF(OR(PT!$K53="No",PT!$AB53="No",PT!$AB53="Incomplete"),1,0))</f>
        <v/>
      </c>
      <c r="N53" s="17">
        <f>IF($B53="","",IF(COUNTIFS(nrMD_PID,$B53,nrMD_Status,"RESTRICTION EXPIRED")&gt;0,1,0))</f>
        <v/>
      </c>
      <c r="O53" s="17">
        <f>IF($B53="","",IF(Certifications!$U53&lt;&gt;"",1,0))</f>
        <v/>
      </c>
      <c r="P53" s="17">
        <f>IF($B53="","",IF(COUNTIFS(nrME_PID,$B53,nrME_Status,"OVERDUE")+COUNTIFS(nrME_PID,$B53,nrME_Status,"CHECK DATE")&gt;0,1,0))</f>
        <v/>
      </c>
      <c r="Q53" s="17">
        <f>IF($B53="","",IF(SUMPRODUCT((nrAT_PID=$B53)*(nrAT_Cleared="OPEN"))&gt;0,1,0))</f>
        <v/>
      </c>
      <c r="R53" s="17">
        <f>IF($B53="","",IF(sysChecks!$M53="Yes",1,0))</f>
        <v/>
      </c>
      <c r="S53" s="17">
        <f>IF($B53="","",SUM($E53:$R53)+N($U53))</f>
        <v/>
      </c>
      <c r="T53" s="17">
        <f>IF($B53="","",IF($S53=0,"",_xlfn.TEXTJOIN("; ",TRUE,IF($E53=1,"consecutive exam fails",""),IF($F53=1,"grade dropped "&amp;sysGrades!$AB53&amp;" pts",""),IF($G53=1,"category avg near 70",""),IF($H53=1,"spelling below "&amp;cfgSpellInterventionAvg,""),IF($I53=1,"attendance at "&amp;TEXT(MAX(sysAttendance!$I53,sysAttendance!$Q53),"0%")&amp;" of cap",""),IF($J53=1,"open negative incidents",""),IF($K53=1,N(Writing!$AS53)&amp;" overdue writing",""),IF($L53=1,"RETEST OVERDUE / LATE",""),IF($M53=1,"PT failure",""),IF($N53=1,"medical restriction expired",""),IF($O53=1,"cert copies outstanding: "&amp;Certifications!$U53,""),IF($P53=1,"OVERDUE MEMO",""),IF($Q53=1,SUMPRODUCT((nrAT_PID=$B53)*(nrAT_Cleared="OPEN"))&amp;" uncleared missed-time event(s)",""),IF($R53=1,"DISMISSAL REVIEW OPEN ("&amp;sysChecks!$U53&amp;")",""),IF($U53=1,_xlfn.LET(_xlpm.n,COUNTIFS(nrES_PID,$B53,nrES_Absence,"Unexcused"),IF(_xlpm.n&gt;=2,_xlpm.n&amp;" unexcused missed exams (removal review)","unexcused missed exam (0 recorded)")),""))))</f>
        <v/>
      </c>
      <c r="U53" s="17">
        <f>IF($B53="","",IF(COUNTIFS(nrES_PID,$B53,nrES_Absence,"Unexcused")&gt;0,1,0))</f>
        <v/>
      </c>
    </row>
    <row r="54">
      <c r="B54" s="17">
        <f>IF(Cadets!$B54="","",Cadets!$B54)</f>
        <v/>
      </c>
      <c r="C54" s="17">
        <f>IF($B54="","",Cadets!$F54)</f>
        <v/>
      </c>
      <c r="D54" s="17">
        <f>IF($B54="","",Cadets!$I54)</f>
        <v/>
      </c>
      <c r="E54" s="17">
        <f>IF($B54="","",IF(N(sysGrades!$AC54)&gt;=cfgFlagConsecFails,1,0))</f>
        <v/>
      </c>
      <c r="F54" s="17">
        <f>IF($B54="","",IF(AND(sysGrades!$AB54&lt;&gt;"",sysGrades!$AB54&gt;=cfgFlagGradeDrop),1,0))</f>
        <v/>
      </c>
      <c r="G54" s="17">
        <f>IF($B54="","",IF(OR(AND(sysGrades!$I54&lt;&gt;"",sysGrades!$I54&lt;cfgThresholdScore+cfgFlagCategoryMargin),AND(sysGrades!$J54&lt;&gt;"",sysGrades!$J54&lt;cfgThresholdScore+cfgFlagCategoryMargin)),1,0))</f>
        <v/>
      </c>
      <c r="H54" s="17">
        <f>IF($B54="","",IF(Spelling!$R54="INTERVENTION",1,0))</f>
        <v/>
      </c>
      <c r="I54" s="17">
        <f>IF($B54="","",IF(OR(N(sysAttendance!$I54)&gt;=cfgMakeupAdvisoryMin,sysAttendance!$Q54&gt;=cfgFlagAttendancePct),1,0))</f>
        <v/>
      </c>
      <c r="J54" s="17">
        <f>IF($B54="","",IF(sysIncidents!$H54&gt;=cfgFlagOpenIncidents,1,0))</f>
        <v/>
      </c>
      <c r="K54" s="17">
        <f>IF($B54="","",IF(N(Writing!$AS54)&gt;=cfgFlagOverdueWriting,1,0))</f>
        <v/>
      </c>
      <c r="L54" s="17">
        <f>IF($B54="","",IF(COUNTIFS(nrES_PID,$B54,nrES_RetStat,"OVERDUE")+COUNTIFS(nrES_PID,$B54,nrES_RetStat,"CHECK DATE")+COUNTIFS(nrES_PID,$B54,nrES_RetStat,"LATE RETEST*")+COUNTIFS(nrES_PID,$B54,nrES_RetStat,"RETEST UNDATED")+COUNTIFS(nrES_PID,$B54,nrES_RetStat,"RETEST DATE UNCHECKED")&gt;0,1,0))</f>
        <v/>
      </c>
      <c r="M54" s="17">
        <f>IF($B54="","",IF(OR(PT!$K54="No",PT!$AB54="No",PT!$AB54="Incomplete"),1,0))</f>
        <v/>
      </c>
      <c r="N54" s="17">
        <f>IF($B54="","",IF(COUNTIFS(nrMD_PID,$B54,nrMD_Status,"RESTRICTION EXPIRED")&gt;0,1,0))</f>
        <v/>
      </c>
      <c r="O54" s="17">
        <f>IF($B54="","",IF(Certifications!$U54&lt;&gt;"",1,0))</f>
        <v/>
      </c>
      <c r="P54" s="17">
        <f>IF($B54="","",IF(COUNTIFS(nrME_PID,$B54,nrME_Status,"OVERDUE")+COUNTIFS(nrME_PID,$B54,nrME_Status,"CHECK DATE")&gt;0,1,0))</f>
        <v/>
      </c>
      <c r="Q54" s="17">
        <f>IF($B54="","",IF(SUMPRODUCT((nrAT_PID=$B54)*(nrAT_Cleared="OPEN"))&gt;0,1,0))</f>
        <v/>
      </c>
      <c r="R54" s="17">
        <f>IF($B54="","",IF(sysChecks!$M54="Yes",1,0))</f>
        <v/>
      </c>
      <c r="S54" s="17">
        <f>IF($B54="","",SUM($E54:$R54)+N($U54))</f>
        <v/>
      </c>
      <c r="T54" s="17">
        <f>IF($B54="","",IF($S54=0,"",_xlfn.TEXTJOIN("; ",TRUE,IF($E54=1,"consecutive exam fails",""),IF($F54=1,"grade dropped "&amp;sysGrades!$AB54&amp;" pts",""),IF($G54=1,"category avg near 70",""),IF($H54=1,"spelling below "&amp;cfgSpellInterventionAvg,""),IF($I54=1,"attendance at "&amp;TEXT(MAX(sysAttendance!$I54,sysAttendance!$Q54),"0%")&amp;" of cap",""),IF($J54=1,"open negative incidents",""),IF($K54=1,N(Writing!$AS54)&amp;" overdue writing",""),IF($L54=1,"RETEST OVERDUE / LATE",""),IF($M54=1,"PT failure",""),IF($N54=1,"medical restriction expired",""),IF($O54=1,"cert copies outstanding: "&amp;Certifications!$U54,""),IF($P54=1,"OVERDUE MEMO",""),IF($Q54=1,SUMPRODUCT((nrAT_PID=$B54)*(nrAT_Cleared="OPEN"))&amp;" uncleared missed-time event(s)",""),IF($R54=1,"DISMISSAL REVIEW OPEN ("&amp;sysChecks!$U54&amp;")",""),IF($U54=1,_xlfn.LET(_xlpm.n,COUNTIFS(nrES_PID,$B54,nrES_Absence,"Unexcused"),IF(_xlpm.n&gt;=2,_xlpm.n&amp;" unexcused missed exams (removal review)","unexcused missed exam (0 recorded)")),""))))</f>
        <v/>
      </c>
      <c r="U54" s="17">
        <f>IF($B54="","",IF(COUNTIFS(nrES_PID,$B54,nrES_Absence,"Unexcused")&gt;0,1,0))</f>
        <v/>
      </c>
    </row>
    <row r="55">
      <c r="B55" s="17">
        <f>IF(Cadets!$B55="","",Cadets!$B55)</f>
        <v/>
      </c>
      <c r="C55" s="17">
        <f>IF($B55="","",Cadets!$F55)</f>
        <v/>
      </c>
      <c r="D55" s="17">
        <f>IF($B55="","",Cadets!$I55)</f>
        <v/>
      </c>
      <c r="E55" s="17">
        <f>IF($B55="","",IF(N(sysGrades!$AC55)&gt;=cfgFlagConsecFails,1,0))</f>
        <v/>
      </c>
      <c r="F55" s="17">
        <f>IF($B55="","",IF(AND(sysGrades!$AB55&lt;&gt;"",sysGrades!$AB55&gt;=cfgFlagGradeDrop),1,0))</f>
        <v/>
      </c>
      <c r="G55" s="17">
        <f>IF($B55="","",IF(OR(AND(sysGrades!$I55&lt;&gt;"",sysGrades!$I55&lt;cfgThresholdScore+cfgFlagCategoryMargin),AND(sysGrades!$J55&lt;&gt;"",sysGrades!$J55&lt;cfgThresholdScore+cfgFlagCategoryMargin)),1,0))</f>
        <v/>
      </c>
      <c r="H55" s="17">
        <f>IF($B55="","",IF(Spelling!$R55="INTERVENTION",1,0))</f>
        <v/>
      </c>
      <c r="I55" s="17">
        <f>IF($B55="","",IF(OR(N(sysAttendance!$I55)&gt;=cfgMakeupAdvisoryMin,sysAttendance!$Q55&gt;=cfgFlagAttendancePct),1,0))</f>
        <v/>
      </c>
      <c r="J55" s="17">
        <f>IF($B55="","",IF(sysIncidents!$H55&gt;=cfgFlagOpenIncidents,1,0))</f>
        <v/>
      </c>
      <c r="K55" s="17">
        <f>IF($B55="","",IF(N(Writing!$AS55)&gt;=cfgFlagOverdueWriting,1,0))</f>
        <v/>
      </c>
      <c r="L55" s="17">
        <f>IF($B55="","",IF(COUNTIFS(nrES_PID,$B55,nrES_RetStat,"OVERDUE")+COUNTIFS(nrES_PID,$B55,nrES_RetStat,"CHECK DATE")+COUNTIFS(nrES_PID,$B55,nrES_RetStat,"LATE RETEST*")+COUNTIFS(nrES_PID,$B55,nrES_RetStat,"RETEST UNDATED")+COUNTIFS(nrES_PID,$B55,nrES_RetStat,"RETEST DATE UNCHECKED")&gt;0,1,0))</f>
        <v/>
      </c>
      <c r="M55" s="17">
        <f>IF($B55="","",IF(OR(PT!$K55="No",PT!$AB55="No",PT!$AB55="Incomplete"),1,0))</f>
        <v/>
      </c>
      <c r="N55" s="17">
        <f>IF($B55="","",IF(COUNTIFS(nrMD_PID,$B55,nrMD_Status,"RESTRICTION EXPIRED")&gt;0,1,0))</f>
        <v/>
      </c>
      <c r="O55" s="17">
        <f>IF($B55="","",IF(Certifications!$U55&lt;&gt;"",1,0))</f>
        <v/>
      </c>
      <c r="P55" s="17">
        <f>IF($B55="","",IF(COUNTIFS(nrME_PID,$B55,nrME_Status,"OVERDUE")+COUNTIFS(nrME_PID,$B55,nrME_Status,"CHECK DATE")&gt;0,1,0))</f>
        <v/>
      </c>
      <c r="Q55" s="17">
        <f>IF($B55="","",IF(SUMPRODUCT((nrAT_PID=$B55)*(nrAT_Cleared="OPEN"))&gt;0,1,0))</f>
        <v/>
      </c>
      <c r="R55" s="17">
        <f>IF($B55="","",IF(sysChecks!$M55="Yes",1,0))</f>
        <v/>
      </c>
      <c r="S55" s="17">
        <f>IF($B55="","",SUM($E55:$R55)+N($U55))</f>
        <v/>
      </c>
      <c r="T55" s="17">
        <f>IF($B55="","",IF($S55=0,"",_xlfn.TEXTJOIN("; ",TRUE,IF($E55=1,"consecutive exam fails",""),IF($F55=1,"grade dropped "&amp;sysGrades!$AB55&amp;" pts",""),IF($G55=1,"category avg near 70",""),IF($H55=1,"spelling below "&amp;cfgSpellInterventionAvg,""),IF($I55=1,"attendance at "&amp;TEXT(MAX(sysAttendance!$I55,sysAttendance!$Q55),"0%")&amp;" of cap",""),IF($J55=1,"open negative incidents",""),IF($K55=1,N(Writing!$AS55)&amp;" overdue writing",""),IF($L55=1,"RETEST OVERDUE / LATE",""),IF($M55=1,"PT failure",""),IF($N55=1,"medical restriction expired",""),IF($O55=1,"cert copies outstanding: "&amp;Certifications!$U55,""),IF($P55=1,"OVERDUE MEMO",""),IF($Q55=1,SUMPRODUCT((nrAT_PID=$B55)*(nrAT_Cleared="OPEN"))&amp;" uncleared missed-time event(s)",""),IF($R55=1,"DISMISSAL REVIEW OPEN ("&amp;sysChecks!$U55&amp;")",""),IF($U55=1,_xlfn.LET(_xlpm.n,COUNTIFS(nrES_PID,$B55,nrES_Absence,"Unexcused"),IF(_xlpm.n&gt;=2,_xlpm.n&amp;" unexcused missed exams (removal review)","unexcused missed exam (0 recorded)")),""))))</f>
        <v/>
      </c>
      <c r="U55" s="17">
        <f>IF($B55="","",IF(COUNTIFS(nrES_PID,$B55,nrES_Absence,"Unexcused")&gt;0,1,0))</f>
        <v/>
      </c>
    </row>
  </sheetData>
  <sheetProtection selectLockedCells="0" selectUnlockedCells="0" sheet="1" objects="0" insertRows="1" insertHyperlinks="1" autoFilter="1" scenarios="0" formatColumns="1" deleteColumns="1" insertColumns="1" pivotTables="1" deleteRows="1" formatCells="1" formatRows="1" sort="1" password="B4BB"/>
  <pageMargins left="0.75" right="0.75" top="1" bottom="1" header="0.5" footer="0.5"/>
</worksheet>
</file>

<file path=xl/worksheets/sheet57.xml><?xml version="1.0" encoding="utf-8"?>
<worksheet xmlns="http://schemas.openxmlformats.org/spreadsheetml/2006/main">
  <sheetPr>
    <tabColor rgb="00808080"/>
    <outlinePr summaryBelow="1" summaryRight="1"/>
    <pageSetUpPr/>
  </sheetPr>
  <dimension ref="B1:X55"/>
  <sheetViews>
    <sheetView showGridLines="0" workbookViewId="0">
      <pane xSplit="3" ySplit="5" topLeftCell="D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4" customWidth="1" min="3" max="3"/>
    <col width="50" customWidth="1" min="15" max="15"/>
    <col width="44" customWidth="1" min="21" max="21"/>
    <col width="12" customWidth="1" min="23" max="23"/>
  </cols>
  <sheetData>
    <row r="1">
      <c r="B1" s="10">
        <f>HYPERLINK("#Dashboard!B5","◄ Dashboard")</f>
        <v/>
      </c>
    </row>
    <row r="4">
      <c r="B4" s="11" t="inlineStr">
        <is>
          <t>Graduation gate per policy: 70 in each category, every category actually recorded (Exams Recorded), under attendance caps, makeup complete, EVERY skills category actually qualified (Skills Assessed — no records is not a pass), BOTH firearms courses of fire passed (Firearms CoF — 'one pending' and an untagged Course of Fire are blocks, not passes), writing current, no open chain-of-command incident review, final PT PASSED (a blank or '(rubric pending)' final PT blocks — it is not a pass), all cert copies on file, the Audit sheet's enrollment-document checklist complete for the cadet (Enroll Docs), no open dismissal review. 'Final Exam Elig' enforces 500.1.H. Locked.</t>
        </is>
      </c>
    </row>
    <row r="5" ht="26" customHeight="1">
      <c r="B5" s="12" t="inlineStr">
        <is>
          <t>PID</t>
        </is>
      </c>
      <c r="C5" s="12" t="inlineStr">
        <is>
          <t>Cadet Name</t>
        </is>
      </c>
      <c r="D5" s="12" t="inlineStr">
        <is>
          <t>Status</t>
        </is>
      </c>
      <c r="E5" s="12" t="inlineStr">
        <is>
          <t>Academic</t>
        </is>
      </c>
      <c r="F5" s="12" t="inlineStr">
        <is>
          <t>Classroom</t>
        </is>
      </c>
      <c r="G5" s="12" t="inlineStr">
        <is>
          <t>PT Sessions</t>
        </is>
      </c>
      <c r="H5" s="12" t="inlineStr">
        <is>
          <t>Skills</t>
        </is>
      </c>
      <c r="I5" s="12" t="inlineStr">
        <is>
          <t>Incidents</t>
        </is>
      </c>
      <c r="J5" s="12" t="inlineStr">
        <is>
          <t>Writing</t>
        </is>
      </c>
      <c r="K5" s="12" t="inlineStr">
        <is>
          <t>Makeup Complete</t>
        </is>
      </c>
      <c r="L5" s="12" t="inlineStr">
        <is>
          <t>Final PT Pass</t>
        </is>
      </c>
      <c r="M5" s="12" t="inlineStr">
        <is>
          <t>DismissReview</t>
        </is>
      </c>
      <c r="N5" s="12" t="inlineStr">
        <is>
          <t>GraduationElig</t>
        </is>
      </c>
      <c r="O5" s="12" t="inlineStr">
        <is>
          <t>Blocking Issues</t>
        </is>
      </c>
      <c r="P5" s="12" t="inlineStr">
        <is>
          <t>Final Exam Elig</t>
        </is>
      </c>
      <c r="Q5" s="12" t="inlineStr">
        <is>
          <t>Certs</t>
        </is>
      </c>
      <c r="R5" s="12" t="inlineStr">
        <is>
          <t>Exams Recorded</t>
        </is>
      </c>
      <c r="S5" s="12" t="inlineStr">
        <is>
          <t>Skills Assessed</t>
        </is>
      </c>
      <c r="T5" s="12" t="inlineStr">
        <is>
          <t>Firearms CoF</t>
        </is>
      </c>
      <c r="U5" s="12" t="inlineStr">
        <is>
          <t>Open Reviews</t>
        </is>
      </c>
      <c r="V5" s="12" t="inlineStr">
        <is>
          <t>Exams Pending</t>
        </is>
      </c>
      <c r="W5" s="12" t="inlineStr">
        <is>
          <t>Enroll Docs</t>
        </is>
      </c>
      <c r="X5" s="12" t="inlineStr">
        <is>
          <t>Skills P/F</t>
        </is>
      </c>
    </row>
    <row r="6">
      <c r="B6" s="17">
        <f>IF(Cadets!$B6="","",Cadets!$B6)</f>
        <v/>
      </c>
      <c r="C6" s="17">
        <f>IF($B6="","",Cadets!$F6)</f>
        <v/>
      </c>
      <c r="D6" s="17">
        <f>IF($B6="","",Cadets!$I6)</f>
        <v/>
      </c>
      <c r="E6" s="17">
        <f>IF($B6="","",sysGrades!$V6)</f>
        <v/>
      </c>
      <c r="F6" s="17">
        <f>IF($B6="","",sysAttendance!$K6)</f>
        <v/>
      </c>
      <c r="G6" s="17">
        <f>IF($B6="","",sysAttendance!$S6)</f>
        <v/>
      </c>
      <c r="H6" s="17">
        <f>IF($B6="","",sysSkills!$K6)</f>
        <v/>
      </c>
      <c r="I6" s="17">
        <f>IF($B6="","",sysIncidents!$K6)</f>
        <v/>
      </c>
      <c r="J6" s="17">
        <f>IF($B6="","",IF(Writing!$AT6="Yes","Yes","No"))</f>
        <v/>
      </c>
      <c r="K6" s="17">
        <f>IF($B6="","",sysAttendance!$T6)</f>
        <v/>
      </c>
      <c r="L6" s="17">
        <f>IF($B6="","",IF(PT!$AB6="Yes","Yes",IF(PT!$AB6="No","No",IF(PT!$AB6="(rubric pending)","Pending",IF(PT!$AB6="Incomplete","Incomplete","Not taken")))))</f>
        <v/>
      </c>
      <c r="M6" s="17">
        <f>IF($B6="","",IF($U6="","No","Yes"))</f>
        <v/>
      </c>
      <c r="N6" s="17">
        <f>IF($B6="","",IF(AND($E6="Yes",$F6="Yes",$G6="Yes",$H6="Yes",$I6="Yes",$J6="Yes",$K6="Yes",$L6="Yes",$Q6="Yes",$R6="Yes",$S6="Yes",$T6="Yes",$M6="No",$V6="Yes",$W6="Yes",$X6="Yes"),"Yes","No"))</f>
        <v/>
      </c>
      <c r="O6" s="17">
        <f>IF($B6="","",IF($N6="Yes","Eligible",TRIM(IF($E6&lt;&gt;"Yes","Academic; ","")&amp;IF($R6&lt;&gt;"Yes","Exams not all recorded; ","")&amp;IF($F6&lt;&gt;"Yes","Classroom; ","")&amp;IF($G6&lt;&gt;"Yes","PT sessions; ","")&amp;IF($H6&lt;&gt;"Yes","Skills; ","")&amp;IF($S6&lt;&gt;"Yes","Skills not all assessed; ","")&amp;IF($T6&lt;&gt;"Yes","Firearms courses of fire; ","")&amp;IF($I6&lt;&gt;"Yes","Incidents; ","")&amp;IF($J6&lt;&gt;"Yes","Writing; ","")&amp;IF($K6&lt;&gt;"Yes","Makeup owed; ","")&amp;IF($L6="No","Final PT failed; ",IF($L6="Pending","Final PT rubric not set; ",IF($L6="Incomplete","Final PT partially scored; ",IF($L6&lt;&gt;"Yes","Final PT not assessed; ",""))))&amp;IF($Q6&lt;&gt;"Yes","Certs; ","")&amp;IF($V6&lt;&gt;"Yes","Exam pending (excused absence); ","")&amp;IF($W6&lt;&gt;"Yes","Enrollment documents; ","")&amp;IF($X6="Yes","",IF(SkillsCheck!$N6&lt;&gt;"","Skills FAILED ("&amp;SkillsCheck!$N6&amp;"); ","Skills not all passed ("&amp;SkillsCheck!$O6&amp;" not assessed); "))&amp;IF($M6="Yes","Dismissal review; ",""))))</f>
        <v/>
      </c>
      <c r="P6" s="17">
        <f>IF($B6="","",IF(PT!$AB6="Yes","Yes",IF(PT!$AB6="No","No",IF(PT!$AB6="(rubric pending)","Pending",IF(PT!$AB6="Incomplete","Incomplete","Not taken")))))</f>
        <v/>
      </c>
      <c r="Q6" s="17">
        <f>IF($B6="","",IF(Certifications!$T6="Yes","Yes","No"))</f>
        <v/>
      </c>
      <c r="R6" s="17">
        <f>IF($B6="","",_xlfn.LET(_xlpm.mj,COUNTIFS(rngEPuse,"Yes",rngEPtype,"Major"),_xlpm.mn,COUNTIFS(rngEPuse,"Yes",rngEPtype,"Minor"),_xlpm.fnl,COUNTIFS(rngEPuse,"Yes",rngEPtype,"Final"),IF(AND(N(sysGrades!$E6)&gt;0,N(sysGrades!$F6)&gt;0,N(sysGrades!$G6)&gt;0,N(sysGrades!$H6)&gt;0,N(sysGrades!$E6)&gt;=_xlpm.mj,N(sysGrades!$F6)&gt;=_xlpm.mn,N(sysGrades!$H6)&gt;=_xlpm.fnl),"Yes","No")))</f>
        <v/>
      </c>
      <c r="S6" s="17">
        <f>IF($B6="","",IF(N(sysSkills!$F6)&gt;=SUMPRODUCT((rngSM_cat&lt;&gt;"")*1),"Yes","No"))</f>
        <v/>
      </c>
      <c r="T6" s="17">
        <f>IF($B6="","",IF(sysSkills!$P6="Yes","Yes","No"))</f>
        <v/>
      </c>
      <c r="U6" s="17">
        <f>IF($B6="","",_xlfn.LET(_xlpm.oe,N(sysGrades!$P6),_xlpm.os,N(sysSkills!$I6),_xlpm.oi,N(sysIncidents!$J6),_xlpm.ce,COUNTIFS(nrDIS_PID,$B6,nrDIS_Closes,"Failed retest (exam)",nrDIS_Outcome,"Retained",nrDIS_Approval,"Yes")+COUNTIFS(nrDIS_PID,$B6,nrDIS_Closes,"Failed retest (exam)",nrDIS_Outcome,"Retained w/ Plan",nrDIS_Approval,"Yes"),_xlpm.cs,COUNTIFS(nrDIS_PID,$B6,nrDIS_Closes,"Skills failed out",nrDIS_Outcome,"Retained",nrDIS_Approval,"Yes")+COUNTIFS(nrDIS_PID,$B6,nrDIS_Closes,"Skills failed out",nrDIS_Outcome,"Retained w/ Plan",nrDIS_Approval,"Yes"),_xlpm.ci,COUNTIFS(nrDIS_PID,$B6,nrDIS_Closes,"Chain-of-command incident review",nrDIS_Outcome,"Retained",nrDIS_Approval,"Yes")+COUNTIFS(nrDIS_PID,$B6,nrDIS_Closes,"Chain-of-command incident review",nrDIS_Outcome,"Retained w/ Plan",nrDIS_Approval,"Yes"),_xlpm.om,MAX(0,COUNTIFS(nrES_PID,$B6,nrES_Absence,"Unexcused")-1),_xlpm.cm,COUNTIFS(nrDIS_PID,$B6,nrDIS_Closes,"Unexcused missed exams",nrDIS_Outcome,"Retained",nrDIS_Approval,"Yes")+COUNTIFS(nrDIS_PID,$B6,nrDIS_Closes,"Unexcused missed exams",nrDIS_Outcome,"Retained w/ Plan",nrDIS_Approval,"Yes"),TRIM(IF(_xlpm.oe&gt;_xlpm.ce,"failed retest; ","")&amp;IF(_xlpm.os&gt;_xlpm.cs,"skills failed out; ","")&amp;IF(_xlpm.om&gt;_xlpm.cm,"unexcused missed exams; ","")&amp;IF(_xlpm.oi&gt;_xlpm.ci,"chain-of-command incident review; ",""))))</f>
        <v/>
      </c>
      <c r="V6" s="17">
        <f>IF($B6="","",IF(COUNTIFS(nrES_PID,$B6,nrES_Absence,"Excused",nrES_Raw,"")=0,"Yes","No"))</f>
        <v/>
      </c>
      <c r="W6" s="17">
        <f>IF($B6="","",IF(IFERROR(INDEX(nrENRall,MATCH($B6,rngCadetPIDs,0)),"")="Yes","Yes","No"))</f>
        <v/>
      </c>
      <c r="X6" s="17">
        <f>IF($B6="","",IF(SkillsCheck!$P6="No","No","Yes"))</f>
        <v/>
      </c>
    </row>
    <row r="7">
      <c r="B7" s="17">
        <f>IF(Cadets!$B7="","",Cadets!$B7)</f>
        <v/>
      </c>
      <c r="C7" s="17">
        <f>IF($B7="","",Cadets!$F7)</f>
        <v/>
      </c>
      <c r="D7" s="17">
        <f>IF($B7="","",Cadets!$I7)</f>
        <v/>
      </c>
      <c r="E7" s="17">
        <f>IF($B7="","",sysGrades!$V7)</f>
        <v/>
      </c>
      <c r="F7" s="17">
        <f>IF($B7="","",sysAttendance!$K7)</f>
        <v/>
      </c>
      <c r="G7" s="17">
        <f>IF($B7="","",sysAttendance!$S7)</f>
        <v/>
      </c>
      <c r="H7" s="17">
        <f>IF($B7="","",sysSkills!$K7)</f>
        <v/>
      </c>
      <c r="I7" s="17">
        <f>IF($B7="","",sysIncidents!$K7)</f>
        <v/>
      </c>
      <c r="J7" s="17">
        <f>IF($B7="","",IF(Writing!$AT7="Yes","Yes","No"))</f>
        <v/>
      </c>
      <c r="K7" s="17">
        <f>IF($B7="","",sysAttendance!$T7)</f>
        <v/>
      </c>
      <c r="L7" s="17">
        <f>IF($B7="","",IF(PT!$AB7="Yes","Yes",IF(PT!$AB7="No","No",IF(PT!$AB7="(rubric pending)","Pending",IF(PT!$AB7="Incomplete","Incomplete","Not taken")))))</f>
        <v/>
      </c>
      <c r="M7" s="17">
        <f>IF($B7="","",IF($U7="","No","Yes"))</f>
        <v/>
      </c>
      <c r="N7" s="17">
        <f>IF($B7="","",IF(AND($E7="Yes",$F7="Yes",$G7="Yes",$H7="Yes",$I7="Yes",$J7="Yes",$K7="Yes",$L7="Yes",$Q7="Yes",$R7="Yes",$S7="Yes",$T7="Yes",$M7="No",$V7="Yes",$W7="Yes",$X7="Yes"),"Yes","No"))</f>
        <v/>
      </c>
      <c r="O7" s="17">
        <f>IF($B7="","",IF($N7="Yes","Eligible",TRIM(IF($E7&lt;&gt;"Yes","Academic; ","")&amp;IF($R7&lt;&gt;"Yes","Exams not all recorded; ","")&amp;IF($F7&lt;&gt;"Yes","Classroom; ","")&amp;IF($G7&lt;&gt;"Yes","PT sessions; ","")&amp;IF($H7&lt;&gt;"Yes","Skills; ","")&amp;IF($S7&lt;&gt;"Yes","Skills not all assessed; ","")&amp;IF($T7&lt;&gt;"Yes","Firearms courses of fire; ","")&amp;IF($I7&lt;&gt;"Yes","Incidents; ","")&amp;IF($J7&lt;&gt;"Yes","Writing; ","")&amp;IF($K7&lt;&gt;"Yes","Makeup owed; ","")&amp;IF($L7="No","Final PT failed; ",IF($L7="Pending","Final PT rubric not set; ",IF($L7="Incomplete","Final PT partially scored; ",IF($L7&lt;&gt;"Yes","Final PT not assessed; ",""))))&amp;IF($Q7&lt;&gt;"Yes","Certs; ","")&amp;IF($V7&lt;&gt;"Yes","Exam pending (excused absence); ","")&amp;IF($W7&lt;&gt;"Yes","Enrollment documents; ","")&amp;IF($X7="Yes","",IF(SkillsCheck!$N7&lt;&gt;"","Skills FAILED ("&amp;SkillsCheck!$N7&amp;"); ","Skills not all passed ("&amp;SkillsCheck!$O7&amp;" not assessed); "))&amp;IF($M7="Yes","Dismissal review; ",""))))</f>
        <v/>
      </c>
      <c r="P7" s="17">
        <f>IF($B7="","",IF(PT!$AB7="Yes","Yes",IF(PT!$AB7="No","No",IF(PT!$AB7="(rubric pending)","Pending",IF(PT!$AB7="Incomplete","Incomplete","Not taken")))))</f>
        <v/>
      </c>
      <c r="Q7" s="17">
        <f>IF($B7="","",IF(Certifications!$T7="Yes","Yes","No"))</f>
        <v/>
      </c>
      <c r="R7" s="17">
        <f>IF($B7="","",_xlfn.LET(_xlpm.mj,COUNTIFS(rngEPuse,"Yes",rngEPtype,"Major"),_xlpm.mn,COUNTIFS(rngEPuse,"Yes",rngEPtype,"Minor"),_xlpm.fnl,COUNTIFS(rngEPuse,"Yes",rngEPtype,"Final"),IF(AND(N(sysGrades!$E7)&gt;0,N(sysGrades!$F7)&gt;0,N(sysGrades!$G7)&gt;0,N(sysGrades!$H7)&gt;0,N(sysGrades!$E7)&gt;=_xlpm.mj,N(sysGrades!$F7)&gt;=_xlpm.mn,N(sysGrades!$H7)&gt;=_xlpm.fnl),"Yes","No")))</f>
        <v/>
      </c>
      <c r="S7" s="17">
        <f>IF($B7="","",IF(N(sysSkills!$F7)&gt;=SUMPRODUCT((rngSM_cat&lt;&gt;"")*1),"Yes","No"))</f>
        <v/>
      </c>
      <c r="T7" s="17">
        <f>IF($B7="","",IF(sysSkills!$P7="Yes","Yes","No"))</f>
        <v/>
      </c>
      <c r="U7" s="17">
        <f>IF($B7="","",_xlfn.LET(_xlpm.oe,N(sysGrades!$P7),_xlpm.os,N(sysSkills!$I7),_xlpm.oi,N(sysIncidents!$J7),_xlpm.ce,COUNTIFS(nrDIS_PID,$B7,nrDIS_Closes,"Failed retest (exam)",nrDIS_Outcome,"Retained",nrDIS_Approval,"Yes")+COUNTIFS(nrDIS_PID,$B7,nrDIS_Closes,"Failed retest (exam)",nrDIS_Outcome,"Retained w/ Plan",nrDIS_Approval,"Yes"),_xlpm.cs,COUNTIFS(nrDIS_PID,$B7,nrDIS_Closes,"Skills failed out",nrDIS_Outcome,"Retained",nrDIS_Approval,"Yes")+COUNTIFS(nrDIS_PID,$B7,nrDIS_Closes,"Skills failed out",nrDIS_Outcome,"Retained w/ Plan",nrDIS_Approval,"Yes"),_xlpm.ci,COUNTIFS(nrDIS_PID,$B7,nrDIS_Closes,"Chain-of-command incident review",nrDIS_Outcome,"Retained",nrDIS_Approval,"Yes")+COUNTIFS(nrDIS_PID,$B7,nrDIS_Closes,"Chain-of-command incident review",nrDIS_Outcome,"Retained w/ Plan",nrDIS_Approval,"Yes"),_xlpm.om,MAX(0,COUNTIFS(nrES_PID,$B7,nrES_Absence,"Unexcused")-1),_xlpm.cm,COUNTIFS(nrDIS_PID,$B7,nrDIS_Closes,"Unexcused missed exams",nrDIS_Outcome,"Retained",nrDIS_Approval,"Yes")+COUNTIFS(nrDIS_PID,$B7,nrDIS_Closes,"Unexcused missed exams",nrDIS_Outcome,"Retained w/ Plan",nrDIS_Approval,"Yes"),TRIM(IF(_xlpm.oe&gt;_xlpm.ce,"failed retest; ","")&amp;IF(_xlpm.os&gt;_xlpm.cs,"skills failed out; ","")&amp;IF(_xlpm.om&gt;_xlpm.cm,"unexcused missed exams; ","")&amp;IF(_xlpm.oi&gt;_xlpm.ci,"chain-of-command incident review; ",""))))</f>
        <v/>
      </c>
      <c r="V7" s="17">
        <f>IF($B7="","",IF(COUNTIFS(nrES_PID,$B7,nrES_Absence,"Excused",nrES_Raw,"")=0,"Yes","No"))</f>
        <v/>
      </c>
      <c r="W7" s="17">
        <f>IF($B7="","",IF(IFERROR(INDEX(nrENRall,MATCH($B7,rngCadetPIDs,0)),"")="Yes","Yes","No"))</f>
        <v/>
      </c>
      <c r="X7" s="17">
        <f>IF($B7="","",IF(SkillsCheck!$P7="No","No","Yes"))</f>
        <v/>
      </c>
    </row>
    <row r="8">
      <c r="B8" s="17">
        <f>IF(Cadets!$B8="","",Cadets!$B8)</f>
        <v/>
      </c>
      <c r="C8" s="17">
        <f>IF($B8="","",Cadets!$F8)</f>
        <v/>
      </c>
      <c r="D8" s="17">
        <f>IF($B8="","",Cadets!$I8)</f>
        <v/>
      </c>
      <c r="E8" s="17">
        <f>IF($B8="","",sysGrades!$V8)</f>
        <v/>
      </c>
      <c r="F8" s="17">
        <f>IF($B8="","",sysAttendance!$K8)</f>
        <v/>
      </c>
      <c r="G8" s="17">
        <f>IF($B8="","",sysAttendance!$S8)</f>
        <v/>
      </c>
      <c r="H8" s="17">
        <f>IF($B8="","",sysSkills!$K8)</f>
        <v/>
      </c>
      <c r="I8" s="17">
        <f>IF($B8="","",sysIncidents!$K8)</f>
        <v/>
      </c>
      <c r="J8" s="17">
        <f>IF($B8="","",IF(Writing!$AT8="Yes","Yes","No"))</f>
        <v/>
      </c>
      <c r="K8" s="17">
        <f>IF($B8="","",sysAttendance!$T8)</f>
        <v/>
      </c>
      <c r="L8" s="17">
        <f>IF($B8="","",IF(PT!$AB8="Yes","Yes",IF(PT!$AB8="No","No",IF(PT!$AB8="(rubric pending)","Pending",IF(PT!$AB8="Incomplete","Incomplete","Not taken")))))</f>
        <v/>
      </c>
      <c r="M8" s="17">
        <f>IF($B8="","",IF($U8="","No","Yes"))</f>
        <v/>
      </c>
      <c r="N8" s="17">
        <f>IF($B8="","",IF(AND($E8="Yes",$F8="Yes",$G8="Yes",$H8="Yes",$I8="Yes",$J8="Yes",$K8="Yes",$L8="Yes",$Q8="Yes",$R8="Yes",$S8="Yes",$T8="Yes",$M8="No",$V8="Yes",$W8="Yes",$X8="Yes"),"Yes","No"))</f>
        <v/>
      </c>
      <c r="O8" s="17">
        <f>IF($B8="","",IF($N8="Yes","Eligible",TRIM(IF($E8&lt;&gt;"Yes","Academic; ","")&amp;IF($R8&lt;&gt;"Yes","Exams not all recorded; ","")&amp;IF($F8&lt;&gt;"Yes","Classroom; ","")&amp;IF($G8&lt;&gt;"Yes","PT sessions; ","")&amp;IF($H8&lt;&gt;"Yes","Skills; ","")&amp;IF($S8&lt;&gt;"Yes","Skills not all assessed; ","")&amp;IF($T8&lt;&gt;"Yes","Firearms courses of fire; ","")&amp;IF($I8&lt;&gt;"Yes","Incidents; ","")&amp;IF($J8&lt;&gt;"Yes","Writing; ","")&amp;IF($K8&lt;&gt;"Yes","Makeup owed; ","")&amp;IF($L8="No","Final PT failed; ",IF($L8="Pending","Final PT rubric not set; ",IF($L8="Incomplete","Final PT partially scored; ",IF($L8&lt;&gt;"Yes","Final PT not assessed; ",""))))&amp;IF($Q8&lt;&gt;"Yes","Certs; ","")&amp;IF($V8&lt;&gt;"Yes","Exam pending (excused absence); ","")&amp;IF($W8&lt;&gt;"Yes","Enrollment documents; ","")&amp;IF($X8="Yes","",IF(SkillsCheck!$N8&lt;&gt;"","Skills FAILED ("&amp;SkillsCheck!$N8&amp;"); ","Skills not all passed ("&amp;SkillsCheck!$O8&amp;" not assessed); "))&amp;IF($M8="Yes","Dismissal review; ",""))))</f>
        <v/>
      </c>
      <c r="P8" s="17">
        <f>IF($B8="","",IF(PT!$AB8="Yes","Yes",IF(PT!$AB8="No","No",IF(PT!$AB8="(rubric pending)","Pending",IF(PT!$AB8="Incomplete","Incomplete","Not taken")))))</f>
        <v/>
      </c>
      <c r="Q8" s="17">
        <f>IF($B8="","",IF(Certifications!$T8="Yes","Yes","No"))</f>
        <v/>
      </c>
      <c r="R8" s="17">
        <f>IF($B8="","",_xlfn.LET(_xlpm.mj,COUNTIFS(rngEPuse,"Yes",rngEPtype,"Major"),_xlpm.mn,COUNTIFS(rngEPuse,"Yes",rngEPtype,"Minor"),_xlpm.fnl,COUNTIFS(rngEPuse,"Yes",rngEPtype,"Final"),IF(AND(N(sysGrades!$E8)&gt;0,N(sysGrades!$F8)&gt;0,N(sysGrades!$G8)&gt;0,N(sysGrades!$H8)&gt;0,N(sysGrades!$E8)&gt;=_xlpm.mj,N(sysGrades!$F8)&gt;=_xlpm.mn,N(sysGrades!$H8)&gt;=_xlpm.fnl),"Yes","No")))</f>
        <v/>
      </c>
      <c r="S8" s="17">
        <f>IF($B8="","",IF(N(sysSkills!$F8)&gt;=SUMPRODUCT((rngSM_cat&lt;&gt;"")*1),"Yes","No"))</f>
        <v/>
      </c>
      <c r="T8" s="17">
        <f>IF($B8="","",IF(sysSkills!$P8="Yes","Yes","No"))</f>
        <v/>
      </c>
      <c r="U8" s="17">
        <f>IF($B8="","",_xlfn.LET(_xlpm.oe,N(sysGrades!$P8),_xlpm.os,N(sysSkills!$I8),_xlpm.oi,N(sysIncidents!$J8),_xlpm.ce,COUNTIFS(nrDIS_PID,$B8,nrDIS_Closes,"Failed retest (exam)",nrDIS_Outcome,"Retained",nrDIS_Approval,"Yes")+COUNTIFS(nrDIS_PID,$B8,nrDIS_Closes,"Failed retest (exam)",nrDIS_Outcome,"Retained w/ Plan",nrDIS_Approval,"Yes"),_xlpm.cs,COUNTIFS(nrDIS_PID,$B8,nrDIS_Closes,"Skills failed out",nrDIS_Outcome,"Retained",nrDIS_Approval,"Yes")+COUNTIFS(nrDIS_PID,$B8,nrDIS_Closes,"Skills failed out",nrDIS_Outcome,"Retained w/ Plan",nrDIS_Approval,"Yes"),_xlpm.ci,COUNTIFS(nrDIS_PID,$B8,nrDIS_Closes,"Chain-of-command incident review",nrDIS_Outcome,"Retained",nrDIS_Approval,"Yes")+COUNTIFS(nrDIS_PID,$B8,nrDIS_Closes,"Chain-of-command incident review",nrDIS_Outcome,"Retained w/ Plan",nrDIS_Approval,"Yes"),_xlpm.om,MAX(0,COUNTIFS(nrES_PID,$B8,nrES_Absence,"Unexcused")-1),_xlpm.cm,COUNTIFS(nrDIS_PID,$B8,nrDIS_Closes,"Unexcused missed exams",nrDIS_Outcome,"Retained",nrDIS_Approval,"Yes")+COUNTIFS(nrDIS_PID,$B8,nrDIS_Closes,"Unexcused missed exams",nrDIS_Outcome,"Retained w/ Plan",nrDIS_Approval,"Yes"),TRIM(IF(_xlpm.oe&gt;_xlpm.ce,"failed retest; ","")&amp;IF(_xlpm.os&gt;_xlpm.cs,"skills failed out; ","")&amp;IF(_xlpm.om&gt;_xlpm.cm,"unexcused missed exams; ","")&amp;IF(_xlpm.oi&gt;_xlpm.ci,"chain-of-command incident review; ",""))))</f>
        <v/>
      </c>
      <c r="V8" s="17">
        <f>IF($B8="","",IF(COUNTIFS(nrES_PID,$B8,nrES_Absence,"Excused",nrES_Raw,"")=0,"Yes","No"))</f>
        <v/>
      </c>
      <c r="W8" s="17">
        <f>IF($B8="","",IF(IFERROR(INDEX(nrENRall,MATCH($B8,rngCadetPIDs,0)),"")="Yes","Yes","No"))</f>
        <v/>
      </c>
      <c r="X8" s="17">
        <f>IF($B8="","",IF(SkillsCheck!$P8="No","No","Yes"))</f>
        <v/>
      </c>
    </row>
    <row r="9">
      <c r="B9" s="17">
        <f>IF(Cadets!$B9="","",Cadets!$B9)</f>
        <v/>
      </c>
      <c r="C9" s="17">
        <f>IF($B9="","",Cadets!$F9)</f>
        <v/>
      </c>
      <c r="D9" s="17">
        <f>IF($B9="","",Cadets!$I9)</f>
        <v/>
      </c>
      <c r="E9" s="17">
        <f>IF($B9="","",sysGrades!$V9)</f>
        <v/>
      </c>
      <c r="F9" s="17">
        <f>IF($B9="","",sysAttendance!$K9)</f>
        <v/>
      </c>
      <c r="G9" s="17">
        <f>IF($B9="","",sysAttendance!$S9)</f>
        <v/>
      </c>
      <c r="H9" s="17">
        <f>IF($B9="","",sysSkills!$K9)</f>
        <v/>
      </c>
      <c r="I9" s="17">
        <f>IF($B9="","",sysIncidents!$K9)</f>
        <v/>
      </c>
      <c r="J9" s="17">
        <f>IF($B9="","",IF(Writing!$AT9="Yes","Yes","No"))</f>
        <v/>
      </c>
      <c r="K9" s="17">
        <f>IF($B9="","",sysAttendance!$T9)</f>
        <v/>
      </c>
      <c r="L9" s="17">
        <f>IF($B9="","",IF(PT!$AB9="Yes","Yes",IF(PT!$AB9="No","No",IF(PT!$AB9="(rubric pending)","Pending",IF(PT!$AB9="Incomplete","Incomplete","Not taken")))))</f>
        <v/>
      </c>
      <c r="M9" s="17">
        <f>IF($B9="","",IF($U9="","No","Yes"))</f>
        <v/>
      </c>
      <c r="N9" s="17">
        <f>IF($B9="","",IF(AND($E9="Yes",$F9="Yes",$G9="Yes",$H9="Yes",$I9="Yes",$J9="Yes",$K9="Yes",$L9="Yes",$Q9="Yes",$R9="Yes",$S9="Yes",$T9="Yes",$M9="No",$V9="Yes",$W9="Yes",$X9="Yes"),"Yes","No"))</f>
        <v/>
      </c>
      <c r="O9" s="17">
        <f>IF($B9="","",IF($N9="Yes","Eligible",TRIM(IF($E9&lt;&gt;"Yes","Academic; ","")&amp;IF($R9&lt;&gt;"Yes","Exams not all recorded; ","")&amp;IF($F9&lt;&gt;"Yes","Classroom; ","")&amp;IF($G9&lt;&gt;"Yes","PT sessions; ","")&amp;IF($H9&lt;&gt;"Yes","Skills; ","")&amp;IF($S9&lt;&gt;"Yes","Skills not all assessed; ","")&amp;IF($T9&lt;&gt;"Yes","Firearms courses of fire; ","")&amp;IF($I9&lt;&gt;"Yes","Incidents; ","")&amp;IF($J9&lt;&gt;"Yes","Writing; ","")&amp;IF($K9&lt;&gt;"Yes","Makeup owed; ","")&amp;IF($L9="No","Final PT failed; ",IF($L9="Pending","Final PT rubric not set; ",IF($L9="Incomplete","Final PT partially scored; ",IF($L9&lt;&gt;"Yes","Final PT not assessed; ",""))))&amp;IF($Q9&lt;&gt;"Yes","Certs; ","")&amp;IF($V9&lt;&gt;"Yes","Exam pending (excused absence); ","")&amp;IF($W9&lt;&gt;"Yes","Enrollment documents; ","")&amp;IF($X9="Yes","",IF(SkillsCheck!$N9&lt;&gt;"","Skills FAILED ("&amp;SkillsCheck!$N9&amp;"); ","Skills not all passed ("&amp;SkillsCheck!$O9&amp;" not assessed); "))&amp;IF($M9="Yes","Dismissal review; ",""))))</f>
        <v/>
      </c>
      <c r="P9" s="17">
        <f>IF($B9="","",IF(PT!$AB9="Yes","Yes",IF(PT!$AB9="No","No",IF(PT!$AB9="(rubric pending)","Pending",IF(PT!$AB9="Incomplete","Incomplete","Not taken")))))</f>
        <v/>
      </c>
      <c r="Q9" s="17">
        <f>IF($B9="","",IF(Certifications!$T9="Yes","Yes","No"))</f>
        <v/>
      </c>
      <c r="R9" s="17">
        <f>IF($B9="","",_xlfn.LET(_xlpm.mj,COUNTIFS(rngEPuse,"Yes",rngEPtype,"Major"),_xlpm.mn,COUNTIFS(rngEPuse,"Yes",rngEPtype,"Minor"),_xlpm.fnl,COUNTIFS(rngEPuse,"Yes",rngEPtype,"Final"),IF(AND(N(sysGrades!$E9)&gt;0,N(sysGrades!$F9)&gt;0,N(sysGrades!$G9)&gt;0,N(sysGrades!$H9)&gt;0,N(sysGrades!$E9)&gt;=_xlpm.mj,N(sysGrades!$F9)&gt;=_xlpm.mn,N(sysGrades!$H9)&gt;=_xlpm.fnl),"Yes","No")))</f>
        <v/>
      </c>
      <c r="S9" s="17">
        <f>IF($B9="","",IF(N(sysSkills!$F9)&gt;=SUMPRODUCT((rngSM_cat&lt;&gt;"")*1),"Yes","No"))</f>
        <v/>
      </c>
      <c r="T9" s="17">
        <f>IF($B9="","",IF(sysSkills!$P9="Yes","Yes","No"))</f>
        <v/>
      </c>
      <c r="U9" s="17">
        <f>IF($B9="","",_xlfn.LET(_xlpm.oe,N(sysGrades!$P9),_xlpm.os,N(sysSkills!$I9),_xlpm.oi,N(sysIncidents!$J9),_xlpm.ce,COUNTIFS(nrDIS_PID,$B9,nrDIS_Closes,"Failed retest (exam)",nrDIS_Outcome,"Retained",nrDIS_Approval,"Yes")+COUNTIFS(nrDIS_PID,$B9,nrDIS_Closes,"Failed retest (exam)",nrDIS_Outcome,"Retained w/ Plan",nrDIS_Approval,"Yes"),_xlpm.cs,COUNTIFS(nrDIS_PID,$B9,nrDIS_Closes,"Skills failed out",nrDIS_Outcome,"Retained",nrDIS_Approval,"Yes")+COUNTIFS(nrDIS_PID,$B9,nrDIS_Closes,"Skills failed out",nrDIS_Outcome,"Retained w/ Plan",nrDIS_Approval,"Yes"),_xlpm.ci,COUNTIFS(nrDIS_PID,$B9,nrDIS_Closes,"Chain-of-command incident review",nrDIS_Outcome,"Retained",nrDIS_Approval,"Yes")+COUNTIFS(nrDIS_PID,$B9,nrDIS_Closes,"Chain-of-command incident review",nrDIS_Outcome,"Retained w/ Plan",nrDIS_Approval,"Yes"),_xlpm.om,MAX(0,COUNTIFS(nrES_PID,$B9,nrES_Absence,"Unexcused")-1),_xlpm.cm,COUNTIFS(nrDIS_PID,$B9,nrDIS_Closes,"Unexcused missed exams",nrDIS_Outcome,"Retained",nrDIS_Approval,"Yes")+COUNTIFS(nrDIS_PID,$B9,nrDIS_Closes,"Unexcused missed exams",nrDIS_Outcome,"Retained w/ Plan",nrDIS_Approval,"Yes"),TRIM(IF(_xlpm.oe&gt;_xlpm.ce,"failed retest; ","")&amp;IF(_xlpm.os&gt;_xlpm.cs,"skills failed out; ","")&amp;IF(_xlpm.om&gt;_xlpm.cm,"unexcused missed exams; ","")&amp;IF(_xlpm.oi&gt;_xlpm.ci,"chain-of-command incident review; ",""))))</f>
        <v/>
      </c>
      <c r="V9" s="17">
        <f>IF($B9="","",IF(COUNTIFS(nrES_PID,$B9,nrES_Absence,"Excused",nrES_Raw,"")=0,"Yes","No"))</f>
        <v/>
      </c>
      <c r="W9" s="17">
        <f>IF($B9="","",IF(IFERROR(INDEX(nrENRall,MATCH($B9,rngCadetPIDs,0)),"")="Yes","Yes","No"))</f>
        <v/>
      </c>
      <c r="X9" s="17">
        <f>IF($B9="","",IF(SkillsCheck!$P9="No","No","Yes"))</f>
        <v/>
      </c>
    </row>
    <row r="10">
      <c r="B10" s="17">
        <f>IF(Cadets!$B10="","",Cadets!$B10)</f>
        <v/>
      </c>
      <c r="C10" s="17">
        <f>IF($B10="","",Cadets!$F10)</f>
        <v/>
      </c>
      <c r="D10" s="17">
        <f>IF($B10="","",Cadets!$I10)</f>
        <v/>
      </c>
      <c r="E10" s="17">
        <f>IF($B10="","",sysGrades!$V10)</f>
        <v/>
      </c>
      <c r="F10" s="17">
        <f>IF($B10="","",sysAttendance!$K10)</f>
        <v/>
      </c>
      <c r="G10" s="17">
        <f>IF($B10="","",sysAttendance!$S10)</f>
        <v/>
      </c>
      <c r="H10" s="17">
        <f>IF($B10="","",sysSkills!$K10)</f>
        <v/>
      </c>
      <c r="I10" s="17">
        <f>IF($B10="","",sysIncidents!$K10)</f>
        <v/>
      </c>
      <c r="J10" s="17">
        <f>IF($B10="","",IF(Writing!$AT10="Yes","Yes","No"))</f>
        <v/>
      </c>
      <c r="K10" s="17">
        <f>IF($B10="","",sysAttendance!$T10)</f>
        <v/>
      </c>
      <c r="L10" s="17">
        <f>IF($B10="","",IF(PT!$AB10="Yes","Yes",IF(PT!$AB10="No","No",IF(PT!$AB10="(rubric pending)","Pending",IF(PT!$AB10="Incomplete","Incomplete","Not taken")))))</f>
        <v/>
      </c>
      <c r="M10" s="17">
        <f>IF($B10="","",IF($U10="","No","Yes"))</f>
        <v/>
      </c>
      <c r="N10" s="17">
        <f>IF($B10="","",IF(AND($E10="Yes",$F10="Yes",$G10="Yes",$H10="Yes",$I10="Yes",$J10="Yes",$K10="Yes",$L10="Yes",$Q10="Yes",$R10="Yes",$S10="Yes",$T10="Yes",$M10="No",$V10="Yes",$W10="Yes",$X10="Yes"),"Yes","No"))</f>
        <v/>
      </c>
      <c r="O10" s="17">
        <f>IF($B10="","",IF($N10="Yes","Eligible",TRIM(IF($E10&lt;&gt;"Yes","Academic; ","")&amp;IF($R10&lt;&gt;"Yes","Exams not all recorded; ","")&amp;IF($F10&lt;&gt;"Yes","Classroom; ","")&amp;IF($G10&lt;&gt;"Yes","PT sessions; ","")&amp;IF($H10&lt;&gt;"Yes","Skills; ","")&amp;IF($S10&lt;&gt;"Yes","Skills not all assessed; ","")&amp;IF($T10&lt;&gt;"Yes","Firearms courses of fire; ","")&amp;IF($I10&lt;&gt;"Yes","Incidents; ","")&amp;IF($J10&lt;&gt;"Yes","Writing; ","")&amp;IF($K10&lt;&gt;"Yes","Makeup owed; ","")&amp;IF($L10="No","Final PT failed; ",IF($L10="Pending","Final PT rubric not set; ",IF($L10="Incomplete","Final PT partially scored; ",IF($L10&lt;&gt;"Yes","Final PT not assessed; ",""))))&amp;IF($Q10&lt;&gt;"Yes","Certs; ","")&amp;IF($V10&lt;&gt;"Yes","Exam pending (excused absence); ","")&amp;IF($W10&lt;&gt;"Yes","Enrollment documents; ","")&amp;IF($X10="Yes","",IF(SkillsCheck!$N10&lt;&gt;"","Skills FAILED ("&amp;SkillsCheck!$N10&amp;"); ","Skills not all passed ("&amp;SkillsCheck!$O10&amp;" not assessed); "))&amp;IF($M10="Yes","Dismissal review; ",""))))</f>
        <v/>
      </c>
      <c r="P10" s="17">
        <f>IF($B10="","",IF(PT!$AB10="Yes","Yes",IF(PT!$AB10="No","No",IF(PT!$AB10="(rubric pending)","Pending",IF(PT!$AB10="Incomplete","Incomplete","Not taken")))))</f>
        <v/>
      </c>
      <c r="Q10" s="17">
        <f>IF($B10="","",IF(Certifications!$T10="Yes","Yes","No"))</f>
        <v/>
      </c>
      <c r="R10" s="17">
        <f>IF($B10="","",_xlfn.LET(_xlpm.mj,COUNTIFS(rngEPuse,"Yes",rngEPtype,"Major"),_xlpm.mn,COUNTIFS(rngEPuse,"Yes",rngEPtype,"Minor"),_xlpm.fnl,COUNTIFS(rngEPuse,"Yes",rngEPtype,"Final"),IF(AND(N(sysGrades!$E10)&gt;0,N(sysGrades!$F10)&gt;0,N(sysGrades!$G10)&gt;0,N(sysGrades!$H10)&gt;0,N(sysGrades!$E10)&gt;=_xlpm.mj,N(sysGrades!$F10)&gt;=_xlpm.mn,N(sysGrades!$H10)&gt;=_xlpm.fnl),"Yes","No")))</f>
        <v/>
      </c>
      <c r="S10" s="17">
        <f>IF($B10="","",IF(N(sysSkills!$F10)&gt;=SUMPRODUCT((rngSM_cat&lt;&gt;"")*1),"Yes","No"))</f>
        <v/>
      </c>
      <c r="T10" s="17">
        <f>IF($B10="","",IF(sysSkills!$P10="Yes","Yes","No"))</f>
        <v/>
      </c>
      <c r="U10" s="17">
        <f>IF($B10="","",_xlfn.LET(_xlpm.oe,N(sysGrades!$P10),_xlpm.os,N(sysSkills!$I10),_xlpm.oi,N(sysIncidents!$J10),_xlpm.ce,COUNTIFS(nrDIS_PID,$B10,nrDIS_Closes,"Failed retest (exam)",nrDIS_Outcome,"Retained",nrDIS_Approval,"Yes")+COUNTIFS(nrDIS_PID,$B10,nrDIS_Closes,"Failed retest (exam)",nrDIS_Outcome,"Retained w/ Plan",nrDIS_Approval,"Yes"),_xlpm.cs,COUNTIFS(nrDIS_PID,$B10,nrDIS_Closes,"Skills failed out",nrDIS_Outcome,"Retained",nrDIS_Approval,"Yes")+COUNTIFS(nrDIS_PID,$B10,nrDIS_Closes,"Skills failed out",nrDIS_Outcome,"Retained w/ Plan",nrDIS_Approval,"Yes"),_xlpm.ci,COUNTIFS(nrDIS_PID,$B10,nrDIS_Closes,"Chain-of-command incident review",nrDIS_Outcome,"Retained",nrDIS_Approval,"Yes")+COUNTIFS(nrDIS_PID,$B10,nrDIS_Closes,"Chain-of-command incident review",nrDIS_Outcome,"Retained w/ Plan",nrDIS_Approval,"Yes"),_xlpm.om,MAX(0,COUNTIFS(nrES_PID,$B10,nrES_Absence,"Unexcused")-1),_xlpm.cm,COUNTIFS(nrDIS_PID,$B10,nrDIS_Closes,"Unexcused missed exams",nrDIS_Outcome,"Retained",nrDIS_Approval,"Yes")+COUNTIFS(nrDIS_PID,$B10,nrDIS_Closes,"Unexcused missed exams",nrDIS_Outcome,"Retained w/ Plan",nrDIS_Approval,"Yes"),TRIM(IF(_xlpm.oe&gt;_xlpm.ce,"failed retest; ","")&amp;IF(_xlpm.os&gt;_xlpm.cs,"skills failed out; ","")&amp;IF(_xlpm.om&gt;_xlpm.cm,"unexcused missed exams; ","")&amp;IF(_xlpm.oi&gt;_xlpm.ci,"chain-of-command incident review; ",""))))</f>
        <v/>
      </c>
      <c r="V10" s="17">
        <f>IF($B10="","",IF(COUNTIFS(nrES_PID,$B10,nrES_Absence,"Excused",nrES_Raw,"")=0,"Yes","No"))</f>
        <v/>
      </c>
      <c r="W10" s="17">
        <f>IF($B10="","",IF(IFERROR(INDEX(nrENRall,MATCH($B10,rngCadetPIDs,0)),"")="Yes","Yes","No"))</f>
        <v/>
      </c>
      <c r="X10" s="17">
        <f>IF($B10="","",IF(SkillsCheck!$P10="No","No","Yes"))</f>
        <v/>
      </c>
    </row>
    <row r="11">
      <c r="B11" s="17">
        <f>IF(Cadets!$B11="","",Cadets!$B11)</f>
        <v/>
      </c>
      <c r="C11" s="17">
        <f>IF($B11="","",Cadets!$F11)</f>
        <v/>
      </c>
      <c r="D11" s="17">
        <f>IF($B11="","",Cadets!$I11)</f>
        <v/>
      </c>
      <c r="E11" s="17">
        <f>IF($B11="","",sysGrades!$V11)</f>
        <v/>
      </c>
      <c r="F11" s="17">
        <f>IF($B11="","",sysAttendance!$K11)</f>
        <v/>
      </c>
      <c r="G11" s="17">
        <f>IF($B11="","",sysAttendance!$S11)</f>
        <v/>
      </c>
      <c r="H11" s="17">
        <f>IF($B11="","",sysSkills!$K11)</f>
        <v/>
      </c>
      <c r="I11" s="17">
        <f>IF($B11="","",sysIncidents!$K11)</f>
        <v/>
      </c>
      <c r="J11" s="17">
        <f>IF($B11="","",IF(Writing!$AT11="Yes","Yes","No"))</f>
        <v/>
      </c>
      <c r="K11" s="17">
        <f>IF($B11="","",sysAttendance!$T11)</f>
        <v/>
      </c>
      <c r="L11" s="17">
        <f>IF($B11="","",IF(PT!$AB11="Yes","Yes",IF(PT!$AB11="No","No",IF(PT!$AB11="(rubric pending)","Pending",IF(PT!$AB11="Incomplete","Incomplete","Not taken")))))</f>
        <v/>
      </c>
      <c r="M11" s="17">
        <f>IF($B11="","",IF($U11="","No","Yes"))</f>
        <v/>
      </c>
      <c r="N11" s="17">
        <f>IF($B11="","",IF(AND($E11="Yes",$F11="Yes",$G11="Yes",$H11="Yes",$I11="Yes",$J11="Yes",$K11="Yes",$L11="Yes",$Q11="Yes",$R11="Yes",$S11="Yes",$T11="Yes",$M11="No",$V11="Yes",$W11="Yes",$X11="Yes"),"Yes","No"))</f>
        <v/>
      </c>
      <c r="O11" s="17">
        <f>IF($B11="","",IF($N11="Yes","Eligible",TRIM(IF($E11&lt;&gt;"Yes","Academic; ","")&amp;IF($R11&lt;&gt;"Yes","Exams not all recorded; ","")&amp;IF($F11&lt;&gt;"Yes","Classroom; ","")&amp;IF($G11&lt;&gt;"Yes","PT sessions; ","")&amp;IF($H11&lt;&gt;"Yes","Skills; ","")&amp;IF($S11&lt;&gt;"Yes","Skills not all assessed; ","")&amp;IF($T11&lt;&gt;"Yes","Firearms courses of fire; ","")&amp;IF($I11&lt;&gt;"Yes","Incidents; ","")&amp;IF($J11&lt;&gt;"Yes","Writing; ","")&amp;IF($K11&lt;&gt;"Yes","Makeup owed; ","")&amp;IF($L11="No","Final PT failed; ",IF($L11="Pending","Final PT rubric not set; ",IF($L11="Incomplete","Final PT partially scored; ",IF($L11&lt;&gt;"Yes","Final PT not assessed; ",""))))&amp;IF($Q11&lt;&gt;"Yes","Certs; ","")&amp;IF($V11&lt;&gt;"Yes","Exam pending (excused absence); ","")&amp;IF($W11&lt;&gt;"Yes","Enrollment documents; ","")&amp;IF($X11="Yes","",IF(SkillsCheck!$N11&lt;&gt;"","Skills FAILED ("&amp;SkillsCheck!$N11&amp;"); ","Skills not all passed ("&amp;SkillsCheck!$O11&amp;" not assessed); "))&amp;IF($M11="Yes","Dismissal review; ",""))))</f>
        <v/>
      </c>
      <c r="P11" s="17">
        <f>IF($B11="","",IF(PT!$AB11="Yes","Yes",IF(PT!$AB11="No","No",IF(PT!$AB11="(rubric pending)","Pending",IF(PT!$AB11="Incomplete","Incomplete","Not taken")))))</f>
        <v/>
      </c>
      <c r="Q11" s="17">
        <f>IF($B11="","",IF(Certifications!$T11="Yes","Yes","No"))</f>
        <v/>
      </c>
      <c r="R11" s="17">
        <f>IF($B11="","",_xlfn.LET(_xlpm.mj,COUNTIFS(rngEPuse,"Yes",rngEPtype,"Major"),_xlpm.mn,COUNTIFS(rngEPuse,"Yes",rngEPtype,"Minor"),_xlpm.fnl,COUNTIFS(rngEPuse,"Yes",rngEPtype,"Final"),IF(AND(N(sysGrades!$E11)&gt;0,N(sysGrades!$F11)&gt;0,N(sysGrades!$G11)&gt;0,N(sysGrades!$H11)&gt;0,N(sysGrades!$E11)&gt;=_xlpm.mj,N(sysGrades!$F11)&gt;=_xlpm.mn,N(sysGrades!$H11)&gt;=_xlpm.fnl),"Yes","No")))</f>
        <v/>
      </c>
      <c r="S11" s="17">
        <f>IF($B11="","",IF(N(sysSkills!$F11)&gt;=SUMPRODUCT((rngSM_cat&lt;&gt;"")*1),"Yes","No"))</f>
        <v/>
      </c>
      <c r="T11" s="17">
        <f>IF($B11="","",IF(sysSkills!$P11="Yes","Yes","No"))</f>
        <v/>
      </c>
      <c r="U11" s="17">
        <f>IF($B11="","",_xlfn.LET(_xlpm.oe,N(sysGrades!$P11),_xlpm.os,N(sysSkills!$I11),_xlpm.oi,N(sysIncidents!$J11),_xlpm.ce,COUNTIFS(nrDIS_PID,$B11,nrDIS_Closes,"Failed retest (exam)",nrDIS_Outcome,"Retained",nrDIS_Approval,"Yes")+COUNTIFS(nrDIS_PID,$B11,nrDIS_Closes,"Failed retest (exam)",nrDIS_Outcome,"Retained w/ Plan",nrDIS_Approval,"Yes"),_xlpm.cs,COUNTIFS(nrDIS_PID,$B11,nrDIS_Closes,"Skills failed out",nrDIS_Outcome,"Retained",nrDIS_Approval,"Yes")+COUNTIFS(nrDIS_PID,$B11,nrDIS_Closes,"Skills failed out",nrDIS_Outcome,"Retained w/ Plan",nrDIS_Approval,"Yes"),_xlpm.ci,COUNTIFS(nrDIS_PID,$B11,nrDIS_Closes,"Chain-of-command incident review",nrDIS_Outcome,"Retained",nrDIS_Approval,"Yes")+COUNTIFS(nrDIS_PID,$B11,nrDIS_Closes,"Chain-of-command incident review",nrDIS_Outcome,"Retained w/ Plan",nrDIS_Approval,"Yes"),_xlpm.om,MAX(0,COUNTIFS(nrES_PID,$B11,nrES_Absence,"Unexcused")-1),_xlpm.cm,COUNTIFS(nrDIS_PID,$B11,nrDIS_Closes,"Unexcused missed exams",nrDIS_Outcome,"Retained",nrDIS_Approval,"Yes")+COUNTIFS(nrDIS_PID,$B11,nrDIS_Closes,"Unexcused missed exams",nrDIS_Outcome,"Retained w/ Plan",nrDIS_Approval,"Yes"),TRIM(IF(_xlpm.oe&gt;_xlpm.ce,"failed retest; ","")&amp;IF(_xlpm.os&gt;_xlpm.cs,"skills failed out; ","")&amp;IF(_xlpm.om&gt;_xlpm.cm,"unexcused missed exams; ","")&amp;IF(_xlpm.oi&gt;_xlpm.ci,"chain-of-command incident review; ",""))))</f>
        <v/>
      </c>
      <c r="V11" s="17">
        <f>IF($B11="","",IF(COUNTIFS(nrES_PID,$B11,nrES_Absence,"Excused",nrES_Raw,"")=0,"Yes","No"))</f>
        <v/>
      </c>
      <c r="W11" s="17">
        <f>IF($B11="","",IF(IFERROR(INDEX(nrENRall,MATCH($B11,rngCadetPIDs,0)),"")="Yes","Yes","No"))</f>
        <v/>
      </c>
      <c r="X11" s="17">
        <f>IF($B11="","",IF(SkillsCheck!$P11="No","No","Yes"))</f>
        <v/>
      </c>
    </row>
    <row r="12">
      <c r="B12" s="17">
        <f>IF(Cadets!$B12="","",Cadets!$B12)</f>
        <v/>
      </c>
      <c r="C12" s="17">
        <f>IF($B12="","",Cadets!$F12)</f>
        <v/>
      </c>
      <c r="D12" s="17">
        <f>IF($B12="","",Cadets!$I12)</f>
        <v/>
      </c>
      <c r="E12" s="17">
        <f>IF($B12="","",sysGrades!$V12)</f>
        <v/>
      </c>
      <c r="F12" s="17">
        <f>IF($B12="","",sysAttendance!$K12)</f>
        <v/>
      </c>
      <c r="G12" s="17">
        <f>IF($B12="","",sysAttendance!$S12)</f>
        <v/>
      </c>
      <c r="H12" s="17">
        <f>IF($B12="","",sysSkills!$K12)</f>
        <v/>
      </c>
      <c r="I12" s="17">
        <f>IF($B12="","",sysIncidents!$K12)</f>
        <v/>
      </c>
      <c r="J12" s="17">
        <f>IF($B12="","",IF(Writing!$AT12="Yes","Yes","No"))</f>
        <v/>
      </c>
      <c r="K12" s="17">
        <f>IF($B12="","",sysAttendance!$T12)</f>
        <v/>
      </c>
      <c r="L12" s="17">
        <f>IF($B12="","",IF(PT!$AB12="Yes","Yes",IF(PT!$AB12="No","No",IF(PT!$AB12="(rubric pending)","Pending",IF(PT!$AB12="Incomplete","Incomplete","Not taken")))))</f>
        <v/>
      </c>
      <c r="M12" s="17">
        <f>IF($B12="","",IF($U12="","No","Yes"))</f>
        <v/>
      </c>
      <c r="N12" s="17">
        <f>IF($B12="","",IF(AND($E12="Yes",$F12="Yes",$G12="Yes",$H12="Yes",$I12="Yes",$J12="Yes",$K12="Yes",$L12="Yes",$Q12="Yes",$R12="Yes",$S12="Yes",$T12="Yes",$M12="No",$V12="Yes",$W12="Yes",$X12="Yes"),"Yes","No"))</f>
        <v/>
      </c>
      <c r="O12" s="17">
        <f>IF($B12="","",IF($N12="Yes","Eligible",TRIM(IF($E12&lt;&gt;"Yes","Academic; ","")&amp;IF($R12&lt;&gt;"Yes","Exams not all recorded; ","")&amp;IF($F12&lt;&gt;"Yes","Classroom; ","")&amp;IF($G12&lt;&gt;"Yes","PT sessions; ","")&amp;IF($H12&lt;&gt;"Yes","Skills; ","")&amp;IF($S12&lt;&gt;"Yes","Skills not all assessed; ","")&amp;IF($T12&lt;&gt;"Yes","Firearms courses of fire; ","")&amp;IF($I12&lt;&gt;"Yes","Incidents; ","")&amp;IF($J12&lt;&gt;"Yes","Writing; ","")&amp;IF($K12&lt;&gt;"Yes","Makeup owed; ","")&amp;IF($L12="No","Final PT failed; ",IF($L12="Pending","Final PT rubric not set; ",IF($L12="Incomplete","Final PT partially scored; ",IF($L12&lt;&gt;"Yes","Final PT not assessed; ",""))))&amp;IF($Q12&lt;&gt;"Yes","Certs; ","")&amp;IF($V12&lt;&gt;"Yes","Exam pending (excused absence); ","")&amp;IF($W12&lt;&gt;"Yes","Enrollment documents; ","")&amp;IF($X12="Yes","",IF(SkillsCheck!$N12&lt;&gt;"","Skills FAILED ("&amp;SkillsCheck!$N12&amp;"); ","Skills not all passed ("&amp;SkillsCheck!$O12&amp;" not assessed); "))&amp;IF($M12="Yes","Dismissal review; ",""))))</f>
        <v/>
      </c>
      <c r="P12" s="17">
        <f>IF($B12="","",IF(PT!$AB12="Yes","Yes",IF(PT!$AB12="No","No",IF(PT!$AB12="(rubric pending)","Pending",IF(PT!$AB12="Incomplete","Incomplete","Not taken")))))</f>
        <v/>
      </c>
      <c r="Q12" s="17">
        <f>IF($B12="","",IF(Certifications!$T12="Yes","Yes","No"))</f>
        <v/>
      </c>
      <c r="R12" s="17">
        <f>IF($B12="","",_xlfn.LET(_xlpm.mj,COUNTIFS(rngEPuse,"Yes",rngEPtype,"Major"),_xlpm.mn,COUNTIFS(rngEPuse,"Yes",rngEPtype,"Minor"),_xlpm.fnl,COUNTIFS(rngEPuse,"Yes",rngEPtype,"Final"),IF(AND(N(sysGrades!$E12)&gt;0,N(sysGrades!$F12)&gt;0,N(sysGrades!$G12)&gt;0,N(sysGrades!$H12)&gt;0,N(sysGrades!$E12)&gt;=_xlpm.mj,N(sysGrades!$F12)&gt;=_xlpm.mn,N(sysGrades!$H12)&gt;=_xlpm.fnl),"Yes","No")))</f>
        <v/>
      </c>
      <c r="S12" s="17">
        <f>IF($B12="","",IF(N(sysSkills!$F12)&gt;=SUMPRODUCT((rngSM_cat&lt;&gt;"")*1),"Yes","No"))</f>
        <v/>
      </c>
      <c r="T12" s="17">
        <f>IF($B12="","",IF(sysSkills!$P12="Yes","Yes","No"))</f>
        <v/>
      </c>
      <c r="U12" s="17">
        <f>IF($B12="","",_xlfn.LET(_xlpm.oe,N(sysGrades!$P12),_xlpm.os,N(sysSkills!$I12),_xlpm.oi,N(sysIncidents!$J12),_xlpm.ce,COUNTIFS(nrDIS_PID,$B12,nrDIS_Closes,"Failed retest (exam)",nrDIS_Outcome,"Retained",nrDIS_Approval,"Yes")+COUNTIFS(nrDIS_PID,$B12,nrDIS_Closes,"Failed retest (exam)",nrDIS_Outcome,"Retained w/ Plan",nrDIS_Approval,"Yes"),_xlpm.cs,COUNTIFS(nrDIS_PID,$B12,nrDIS_Closes,"Skills failed out",nrDIS_Outcome,"Retained",nrDIS_Approval,"Yes")+COUNTIFS(nrDIS_PID,$B12,nrDIS_Closes,"Skills failed out",nrDIS_Outcome,"Retained w/ Plan",nrDIS_Approval,"Yes"),_xlpm.ci,COUNTIFS(nrDIS_PID,$B12,nrDIS_Closes,"Chain-of-command incident review",nrDIS_Outcome,"Retained",nrDIS_Approval,"Yes")+COUNTIFS(nrDIS_PID,$B12,nrDIS_Closes,"Chain-of-command incident review",nrDIS_Outcome,"Retained w/ Plan",nrDIS_Approval,"Yes"),_xlpm.om,MAX(0,COUNTIFS(nrES_PID,$B12,nrES_Absence,"Unexcused")-1),_xlpm.cm,COUNTIFS(nrDIS_PID,$B12,nrDIS_Closes,"Unexcused missed exams",nrDIS_Outcome,"Retained",nrDIS_Approval,"Yes")+COUNTIFS(nrDIS_PID,$B12,nrDIS_Closes,"Unexcused missed exams",nrDIS_Outcome,"Retained w/ Plan",nrDIS_Approval,"Yes"),TRIM(IF(_xlpm.oe&gt;_xlpm.ce,"failed retest; ","")&amp;IF(_xlpm.os&gt;_xlpm.cs,"skills failed out; ","")&amp;IF(_xlpm.om&gt;_xlpm.cm,"unexcused missed exams; ","")&amp;IF(_xlpm.oi&gt;_xlpm.ci,"chain-of-command incident review; ",""))))</f>
        <v/>
      </c>
      <c r="V12" s="17">
        <f>IF($B12="","",IF(COUNTIFS(nrES_PID,$B12,nrES_Absence,"Excused",nrES_Raw,"")=0,"Yes","No"))</f>
        <v/>
      </c>
      <c r="W12" s="17">
        <f>IF($B12="","",IF(IFERROR(INDEX(nrENRall,MATCH($B12,rngCadetPIDs,0)),"")="Yes","Yes","No"))</f>
        <v/>
      </c>
      <c r="X12" s="17">
        <f>IF($B12="","",IF(SkillsCheck!$P12="No","No","Yes"))</f>
        <v/>
      </c>
    </row>
    <row r="13">
      <c r="B13" s="17">
        <f>IF(Cadets!$B13="","",Cadets!$B13)</f>
        <v/>
      </c>
      <c r="C13" s="17">
        <f>IF($B13="","",Cadets!$F13)</f>
        <v/>
      </c>
      <c r="D13" s="17">
        <f>IF($B13="","",Cadets!$I13)</f>
        <v/>
      </c>
      <c r="E13" s="17">
        <f>IF($B13="","",sysGrades!$V13)</f>
        <v/>
      </c>
      <c r="F13" s="17">
        <f>IF($B13="","",sysAttendance!$K13)</f>
        <v/>
      </c>
      <c r="G13" s="17">
        <f>IF($B13="","",sysAttendance!$S13)</f>
        <v/>
      </c>
      <c r="H13" s="17">
        <f>IF($B13="","",sysSkills!$K13)</f>
        <v/>
      </c>
      <c r="I13" s="17">
        <f>IF($B13="","",sysIncidents!$K13)</f>
        <v/>
      </c>
      <c r="J13" s="17">
        <f>IF($B13="","",IF(Writing!$AT13="Yes","Yes","No"))</f>
        <v/>
      </c>
      <c r="K13" s="17">
        <f>IF($B13="","",sysAttendance!$T13)</f>
        <v/>
      </c>
      <c r="L13" s="17">
        <f>IF($B13="","",IF(PT!$AB13="Yes","Yes",IF(PT!$AB13="No","No",IF(PT!$AB13="(rubric pending)","Pending",IF(PT!$AB13="Incomplete","Incomplete","Not taken")))))</f>
        <v/>
      </c>
      <c r="M13" s="17">
        <f>IF($B13="","",IF($U13="","No","Yes"))</f>
        <v/>
      </c>
      <c r="N13" s="17">
        <f>IF($B13="","",IF(AND($E13="Yes",$F13="Yes",$G13="Yes",$H13="Yes",$I13="Yes",$J13="Yes",$K13="Yes",$L13="Yes",$Q13="Yes",$R13="Yes",$S13="Yes",$T13="Yes",$M13="No",$V13="Yes",$W13="Yes",$X13="Yes"),"Yes","No"))</f>
        <v/>
      </c>
      <c r="O13" s="17">
        <f>IF($B13="","",IF($N13="Yes","Eligible",TRIM(IF($E13&lt;&gt;"Yes","Academic; ","")&amp;IF($R13&lt;&gt;"Yes","Exams not all recorded; ","")&amp;IF($F13&lt;&gt;"Yes","Classroom; ","")&amp;IF($G13&lt;&gt;"Yes","PT sessions; ","")&amp;IF($H13&lt;&gt;"Yes","Skills; ","")&amp;IF($S13&lt;&gt;"Yes","Skills not all assessed; ","")&amp;IF($T13&lt;&gt;"Yes","Firearms courses of fire; ","")&amp;IF($I13&lt;&gt;"Yes","Incidents; ","")&amp;IF($J13&lt;&gt;"Yes","Writing; ","")&amp;IF($K13&lt;&gt;"Yes","Makeup owed; ","")&amp;IF($L13="No","Final PT failed; ",IF($L13="Pending","Final PT rubric not set; ",IF($L13="Incomplete","Final PT partially scored; ",IF($L13&lt;&gt;"Yes","Final PT not assessed; ",""))))&amp;IF($Q13&lt;&gt;"Yes","Certs; ","")&amp;IF($V13&lt;&gt;"Yes","Exam pending (excused absence); ","")&amp;IF($W13&lt;&gt;"Yes","Enrollment documents; ","")&amp;IF($X13="Yes","",IF(SkillsCheck!$N13&lt;&gt;"","Skills FAILED ("&amp;SkillsCheck!$N13&amp;"); ","Skills not all passed ("&amp;SkillsCheck!$O13&amp;" not assessed); "))&amp;IF($M13="Yes","Dismissal review; ",""))))</f>
        <v/>
      </c>
      <c r="P13" s="17">
        <f>IF($B13="","",IF(PT!$AB13="Yes","Yes",IF(PT!$AB13="No","No",IF(PT!$AB13="(rubric pending)","Pending",IF(PT!$AB13="Incomplete","Incomplete","Not taken")))))</f>
        <v/>
      </c>
      <c r="Q13" s="17">
        <f>IF($B13="","",IF(Certifications!$T13="Yes","Yes","No"))</f>
        <v/>
      </c>
      <c r="R13" s="17">
        <f>IF($B13="","",_xlfn.LET(_xlpm.mj,COUNTIFS(rngEPuse,"Yes",rngEPtype,"Major"),_xlpm.mn,COUNTIFS(rngEPuse,"Yes",rngEPtype,"Minor"),_xlpm.fnl,COUNTIFS(rngEPuse,"Yes",rngEPtype,"Final"),IF(AND(N(sysGrades!$E13)&gt;0,N(sysGrades!$F13)&gt;0,N(sysGrades!$G13)&gt;0,N(sysGrades!$H13)&gt;0,N(sysGrades!$E13)&gt;=_xlpm.mj,N(sysGrades!$F13)&gt;=_xlpm.mn,N(sysGrades!$H13)&gt;=_xlpm.fnl),"Yes","No")))</f>
        <v/>
      </c>
      <c r="S13" s="17">
        <f>IF($B13="","",IF(N(sysSkills!$F13)&gt;=SUMPRODUCT((rngSM_cat&lt;&gt;"")*1),"Yes","No"))</f>
        <v/>
      </c>
      <c r="T13" s="17">
        <f>IF($B13="","",IF(sysSkills!$P13="Yes","Yes","No"))</f>
        <v/>
      </c>
      <c r="U13" s="17">
        <f>IF($B13="","",_xlfn.LET(_xlpm.oe,N(sysGrades!$P13),_xlpm.os,N(sysSkills!$I13),_xlpm.oi,N(sysIncidents!$J13),_xlpm.ce,COUNTIFS(nrDIS_PID,$B13,nrDIS_Closes,"Failed retest (exam)",nrDIS_Outcome,"Retained",nrDIS_Approval,"Yes")+COUNTIFS(nrDIS_PID,$B13,nrDIS_Closes,"Failed retest (exam)",nrDIS_Outcome,"Retained w/ Plan",nrDIS_Approval,"Yes"),_xlpm.cs,COUNTIFS(nrDIS_PID,$B13,nrDIS_Closes,"Skills failed out",nrDIS_Outcome,"Retained",nrDIS_Approval,"Yes")+COUNTIFS(nrDIS_PID,$B13,nrDIS_Closes,"Skills failed out",nrDIS_Outcome,"Retained w/ Plan",nrDIS_Approval,"Yes"),_xlpm.ci,COUNTIFS(nrDIS_PID,$B13,nrDIS_Closes,"Chain-of-command incident review",nrDIS_Outcome,"Retained",nrDIS_Approval,"Yes")+COUNTIFS(nrDIS_PID,$B13,nrDIS_Closes,"Chain-of-command incident review",nrDIS_Outcome,"Retained w/ Plan",nrDIS_Approval,"Yes"),_xlpm.om,MAX(0,COUNTIFS(nrES_PID,$B13,nrES_Absence,"Unexcused")-1),_xlpm.cm,COUNTIFS(nrDIS_PID,$B13,nrDIS_Closes,"Unexcused missed exams",nrDIS_Outcome,"Retained",nrDIS_Approval,"Yes")+COUNTIFS(nrDIS_PID,$B13,nrDIS_Closes,"Unexcused missed exams",nrDIS_Outcome,"Retained w/ Plan",nrDIS_Approval,"Yes"),TRIM(IF(_xlpm.oe&gt;_xlpm.ce,"failed retest; ","")&amp;IF(_xlpm.os&gt;_xlpm.cs,"skills failed out; ","")&amp;IF(_xlpm.om&gt;_xlpm.cm,"unexcused missed exams; ","")&amp;IF(_xlpm.oi&gt;_xlpm.ci,"chain-of-command incident review; ",""))))</f>
        <v/>
      </c>
      <c r="V13" s="17">
        <f>IF($B13="","",IF(COUNTIFS(nrES_PID,$B13,nrES_Absence,"Excused",nrES_Raw,"")=0,"Yes","No"))</f>
        <v/>
      </c>
      <c r="W13" s="17">
        <f>IF($B13="","",IF(IFERROR(INDEX(nrENRall,MATCH($B13,rngCadetPIDs,0)),"")="Yes","Yes","No"))</f>
        <v/>
      </c>
      <c r="X13" s="17">
        <f>IF($B13="","",IF(SkillsCheck!$P13="No","No","Yes"))</f>
        <v/>
      </c>
    </row>
    <row r="14">
      <c r="B14" s="17">
        <f>IF(Cadets!$B14="","",Cadets!$B14)</f>
        <v/>
      </c>
      <c r="C14" s="17">
        <f>IF($B14="","",Cadets!$F14)</f>
        <v/>
      </c>
      <c r="D14" s="17">
        <f>IF($B14="","",Cadets!$I14)</f>
        <v/>
      </c>
      <c r="E14" s="17">
        <f>IF($B14="","",sysGrades!$V14)</f>
        <v/>
      </c>
      <c r="F14" s="17">
        <f>IF($B14="","",sysAttendance!$K14)</f>
        <v/>
      </c>
      <c r="G14" s="17">
        <f>IF($B14="","",sysAttendance!$S14)</f>
        <v/>
      </c>
      <c r="H14" s="17">
        <f>IF($B14="","",sysSkills!$K14)</f>
        <v/>
      </c>
      <c r="I14" s="17">
        <f>IF($B14="","",sysIncidents!$K14)</f>
        <v/>
      </c>
      <c r="J14" s="17">
        <f>IF($B14="","",IF(Writing!$AT14="Yes","Yes","No"))</f>
        <v/>
      </c>
      <c r="K14" s="17">
        <f>IF($B14="","",sysAttendance!$T14)</f>
        <v/>
      </c>
      <c r="L14" s="17">
        <f>IF($B14="","",IF(PT!$AB14="Yes","Yes",IF(PT!$AB14="No","No",IF(PT!$AB14="(rubric pending)","Pending",IF(PT!$AB14="Incomplete","Incomplete","Not taken")))))</f>
        <v/>
      </c>
      <c r="M14" s="17">
        <f>IF($B14="","",IF($U14="","No","Yes"))</f>
        <v/>
      </c>
      <c r="N14" s="17">
        <f>IF($B14="","",IF(AND($E14="Yes",$F14="Yes",$G14="Yes",$H14="Yes",$I14="Yes",$J14="Yes",$K14="Yes",$L14="Yes",$Q14="Yes",$R14="Yes",$S14="Yes",$T14="Yes",$M14="No",$V14="Yes",$W14="Yes",$X14="Yes"),"Yes","No"))</f>
        <v/>
      </c>
      <c r="O14" s="17">
        <f>IF($B14="","",IF($N14="Yes","Eligible",TRIM(IF($E14&lt;&gt;"Yes","Academic; ","")&amp;IF($R14&lt;&gt;"Yes","Exams not all recorded; ","")&amp;IF($F14&lt;&gt;"Yes","Classroom; ","")&amp;IF($G14&lt;&gt;"Yes","PT sessions; ","")&amp;IF($H14&lt;&gt;"Yes","Skills; ","")&amp;IF($S14&lt;&gt;"Yes","Skills not all assessed; ","")&amp;IF($T14&lt;&gt;"Yes","Firearms courses of fire; ","")&amp;IF($I14&lt;&gt;"Yes","Incidents; ","")&amp;IF($J14&lt;&gt;"Yes","Writing; ","")&amp;IF($K14&lt;&gt;"Yes","Makeup owed; ","")&amp;IF($L14="No","Final PT failed; ",IF($L14="Pending","Final PT rubric not set; ",IF($L14="Incomplete","Final PT partially scored; ",IF($L14&lt;&gt;"Yes","Final PT not assessed; ",""))))&amp;IF($Q14&lt;&gt;"Yes","Certs; ","")&amp;IF($V14&lt;&gt;"Yes","Exam pending (excused absence); ","")&amp;IF($W14&lt;&gt;"Yes","Enrollment documents; ","")&amp;IF($X14="Yes","",IF(SkillsCheck!$N14&lt;&gt;"","Skills FAILED ("&amp;SkillsCheck!$N14&amp;"); ","Skills not all passed ("&amp;SkillsCheck!$O14&amp;" not assessed); "))&amp;IF($M14="Yes","Dismissal review; ",""))))</f>
        <v/>
      </c>
      <c r="P14" s="17">
        <f>IF($B14="","",IF(PT!$AB14="Yes","Yes",IF(PT!$AB14="No","No",IF(PT!$AB14="(rubric pending)","Pending",IF(PT!$AB14="Incomplete","Incomplete","Not taken")))))</f>
        <v/>
      </c>
      <c r="Q14" s="17">
        <f>IF($B14="","",IF(Certifications!$T14="Yes","Yes","No"))</f>
        <v/>
      </c>
      <c r="R14" s="17">
        <f>IF($B14="","",_xlfn.LET(_xlpm.mj,COUNTIFS(rngEPuse,"Yes",rngEPtype,"Major"),_xlpm.mn,COUNTIFS(rngEPuse,"Yes",rngEPtype,"Minor"),_xlpm.fnl,COUNTIFS(rngEPuse,"Yes",rngEPtype,"Final"),IF(AND(N(sysGrades!$E14)&gt;0,N(sysGrades!$F14)&gt;0,N(sysGrades!$G14)&gt;0,N(sysGrades!$H14)&gt;0,N(sysGrades!$E14)&gt;=_xlpm.mj,N(sysGrades!$F14)&gt;=_xlpm.mn,N(sysGrades!$H14)&gt;=_xlpm.fnl),"Yes","No")))</f>
        <v/>
      </c>
      <c r="S14" s="17">
        <f>IF($B14="","",IF(N(sysSkills!$F14)&gt;=SUMPRODUCT((rngSM_cat&lt;&gt;"")*1),"Yes","No"))</f>
        <v/>
      </c>
      <c r="T14" s="17">
        <f>IF($B14="","",IF(sysSkills!$P14="Yes","Yes","No"))</f>
        <v/>
      </c>
      <c r="U14" s="17">
        <f>IF($B14="","",_xlfn.LET(_xlpm.oe,N(sysGrades!$P14),_xlpm.os,N(sysSkills!$I14),_xlpm.oi,N(sysIncidents!$J14),_xlpm.ce,COUNTIFS(nrDIS_PID,$B14,nrDIS_Closes,"Failed retest (exam)",nrDIS_Outcome,"Retained",nrDIS_Approval,"Yes")+COUNTIFS(nrDIS_PID,$B14,nrDIS_Closes,"Failed retest (exam)",nrDIS_Outcome,"Retained w/ Plan",nrDIS_Approval,"Yes"),_xlpm.cs,COUNTIFS(nrDIS_PID,$B14,nrDIS_Closes,"Skills failed out",nrDIS_Outcome,"Retained",nrDIS_Approval,"Yes")+COUNTIFS(nrDIS_PID,$B14,nrDIS_Closes,"Skills failed out",nrDIS_Outcome,"Retained w/ Plan",nrDIS_Approval,"Yes"),_xlpm.ci,COUNTIFS(nrDIS_PID,$B14,nrDIS_Closes,"Chain-of-command incident review",nrDIS_Outcome,"Retained",nrDIS_Approval,"Yes")+COUNTIFS(nrDIS_PID,$B14,nrDIS_Closes,"Chain-of-command incident review",nrDIS_Outcome,"Retained w/ Plan",nrDIS_Approval,"Yes"),_xlpm.om,MAX(0,COUNTIFS(nrES_PID,$B14,nrES_Absence,"Unexcused")-1),_xlpm.cm,COUNTIFS(nrDIS_PID,$B14,nrDIS_Closes,"Unexcused missed exams",nrDIS_Outcome,"Retained",nrDIS_Approval,"Yes")+COUNTIFS(nrDIS_PID,$B14,nrDIS_Closes,"Unexcused missed exams",nrDIS_Outcome,"Retained w/ Plan",nrDIS_Approval,"Yes"),TRIM(IF(_xlpm.oe&gt;_xlpm.ce,"failed retest; ","")&amp;IF(_xlpm.os&gt;_xlpm.cs,"skills failed out; ","")&amp;IF(_xlpm.om&gt;_xlpm.cm,"unexcused missed exams; ","")&amp;IF(_xlpm.oi&gt;_xlpm.ci,"chain-of-command incident review; ",""))))</f>
        <v/>
      </c>
      <c r="V14" s="17">
        <f>IF($B14="","",IF(COUNTIFS(nrES_PID,$B14,nrES_Absence,"Excused",nrES_Raw,"")=0,"Yes","No"))</f>
        <v/>
      </c>
      <c r="W14" s="17">
        <f>IF($B14="","",IF(IFERROR(INDEX(nrENRall,MATCH($B14,rngCadetPIDs,0)),"")="Yes","Yes","No"))</f>
        <v/>
      </c>
      <c r="X14" s="17">
        <f>IF($B14="","",IF(SkillsCheck!$P14="No","No","Yes"))</f>
        <v/>
      </c>
    </row>
    <row r="15">
      <c r="B15" s="17">
        <f>IF(Cadets!$B15="","",Cadets!$B15)</f>
        <v/>
      </c>
      <c r="C15" s="17">
        <f>IF($B15="","",Cadets!$F15)</f>
        <v/>
      </c>
      <c r="D15" s="17">
        <f>IF($B15="","",Cadets!$I15)</f>
        <v/>
      </c>
      <c r="E15" s="17">
        <f>IF($B15="","",sysGrades!$V15)</f>
        <v/>
      </c>
      <c r="F15" s="17">
        <f>IF($B15="","",sysAttendance!$K15)</f>
        <v/>
      </c>
      <c r="G15" s="17">
        <f>IF($B15="","",sysAttendance!$S15)</f>
        <v/>
      </c>
      <c r="H15" s="17">
        <f>IF($B15="","",sysSkills!$K15)</f>
        <v/>
      </c>
      <c r="I15" s="17">
        <f>IF($B15="","",sysIncidents!$K15)</f>
        <v/>
      </c>
      <c r="J15" s="17">
        <f>IF($B15="","",IF(Writing!$AT15="Yes","Yes","No"))</f>
        <v/>
      </c>
      <c r="K15" s="17">
        <f>IF($B15="","",sysAttendance!$T15)</f>
        <v/>
      </c>
      <c r="L15" s="17">
        <f>IF($B15="","",IF(PT!$AB15="Yes","Yes",IF(PT!$AB15="No","No",IF(PT!$AB15="(rubric pending)","Pending",IF(PT!$AB15="Incomplete","Incomplete","Not taken")))))</f>
        <v/>
      </c>
      <c r="M15" s="17">
        <f>IF($B15="","",IF($U15="","No","Yes"))</f>
        <v/>
      </c>
      <c r="N15" s="17">
        <f>IF($B15="","",IF(AND($E15="Yes",$F15="Yes",$G15="Yes",$H15="Yes",$I15="Yes",$J15="Yes",$K15="Yes",$L15="Yes",$Q15="Yes",$R15="Yes",$S15="Yes",$T15="Yes",$M15="No",$V15="Yes",$W15="Yes",$X15="Yes"),"Yes","No"))</f>
        <v/>
      </c>
      <c r="O15" s="17">
        <f>IF($B15="","",IF($N15="Yes","Eligible",TRIM(IF($E15&lt;&gt;"Yes","Academic; ","")&amp;IF($R15&lt;&gt;"Yes","Exams not all recorded; ","")&amp;IF($F15&lt;&gt;"Yes","Classroom; ","")&amp;IF($G15&lt;&gt;"Yes","PT sessions; ","")&amp;IF($H15&lt;&gt;"Yes","Skills; ","")&amp;IF($S15&lt;&gt;"Yes","Skills not all assessed; ","")&amp;IF($T15&lt;&gt;"Yes","Firearms courses of fire; ","")&amp;IF($I15&lt;&gt;"Yes","Incidents; ","")&amp;IF($J15&lt;&gt;"Yes","Writing; ","")&amp;IF($K15&lt;&gt;"Yes","Makeup owed; ","")&amp;IF($L15="No","Final PT failed; ",IF($L15="Pending","Final PT rubric not set; ",IF($L15="Incomplete","Final PT partially scored; ",IF($L15&lt;&gt;"Yes","Final PT not assessed; ",""))))&amp;IF($Q15&lt;&gt;"Yes","Certs; ","")&amp;IF($V15&lt;&gt;"Yes","Exam pending (excused absence); ","")&amp;IF($W15&lt;&gt;"Yes","Enrollment documents; ","")&amp;IF($X15="Yes","",IF(SkillsCheck!$N15&lt;&gt;"","Skills FAILED ("&amp;SkillsCheck!$N15&amp;"); ","Skills not all passed ("&amp;SkillsCheck!$O15&amp;" not assessed); "))&amp;IF($M15="Yes","Dismissal review; ",""))))</f>
        <v/>
      </c>
      <c r="P15" s="17">
        <f>IF($B15="","",IF(PT!$AB15="Yes","Yes",IF(PT!$AB15="No","No",IF(PT!$AB15="(rubric pending)","Pending",IF(PT!$AB15="Incomplete","Incomplete","Not taken")))))</f>
        <v/>
      </c>
      <c r="Q15" s="17">
        <f>IF($B15="","",IF(Certifications!$T15="Yes","Yes","No"))</f>
        <v/>
      </c>
      <c r="R15" s="17">
        <f>IF($B15="","",_xlfn.LET(_xlpm.mj,COUNTIFS(rngEPuse,"Yes",rngEPtype,"Major"),_xlpm.mn,COUNTIFS(rngEPuse,"Yes",rngEPtype,"Minor"),_xlpm.fnl,COUNTIFS(rngEPuse,"Yes",rngEPtype,"Final"),IF(AND(N(sysGrades!$E15)&gt;0,N(sysGrades!$F15)&gt;0,N(sysGrades!$G15)&gt;0,N(sysGrades!$H15)&gt;0,N(sysGrades!$E15)&gt;=_xlpm.mj,N(sysGrades!$F15)&gt;=_xlpm.mn,N(sysGrades!$H15)&gt;=_xlpm.fnl),"Yes","No")))</f>
        <v/>
      </c>
      <c r="S15" s="17">
        <f>IF($B15="","",IF(N(sysSkills!$F15)&gt;=SUMPRODUCT((rngSM_cat&lt;&gt;"")*1),"Yes","No"))</f>
        <v/>
      </c>
      <c r="T15" s="17">
        <f>IF($B15="","",IF(sysSkills!$P15="Yes","Yes","No"))</f>
        <v/>
      </c>
      <c r="U15" s="17">
        <f>IF($B15="","",_xlfn.LET(_xlpm.oe,N(sysGrades!$P15),_xlpm.os,N(sysSkills!$I15),_xlpm.oi,N(sysIncidents!$J15),_xlpm.ce,COUNTIFS(nrDIS_PID,$B15,nrDIS_Closes,"Failed retest (exam)",nrDIS_Outcome,"Retained",nrDIS_Approval,"Yes")+COUNTIFS(nrDIS_PID,$B15,nrDIS_Closes,"Failed retest (exam)",nrDIS_Outcome,"Retained w/ Plan",nrDIS_Approval,"Yes"),_xlpm.cs,COUNTIFS(nrDIS_PID,$B15,nrDIS_Closes,"Skills failed out",nrDIS_Outcome,"Retained",nrDIS_Approval,"Yes")+COUNTIFS(nrDIS_PID,$B15,nrDIS_Closes,"Skills failed out",nrDIS_Outcome,"Retained w/ Plan",nrDIS_Approval,"Yes"),_xlpm.ci,COUNTIFS(nrDIS_PID,$B15,nrDIS_Closes,"Chain-of-command incident review",nrDIS_Outcome,"Retained",nrDIS_Approval,"Yes")+COUNTIFS(nrDIS_PID,$B15,nrDIS_Closes,"Chain-of-command incident review",nrDIS_Outcome,"Retained w/ Plan",nrDIS_Approval,"Yes"),_xlpm.om,MAX(0,COUNTIFS(nrES_PID,$B15,nrES_Absence,"Unexcused")-1),_xlpm.cm,COUNTIFS(nrDIS_PID,$B15,nrDIS_Closes,"Unexcused missed exams",nrDIS_Outcome,"Retained",nrDIS_Approval,"Yes")+COUNTIFS(nrDIS_PID,$B15,nrDIS_Closes,"Unexcused missed exams",nrDIS_Outcome,"Retained w/ Plan",nrDIS_Approval,"Yes"),TRIM(IF(_xlpm.oe&gt;_xlpm.ce,"failed retest; ","")&amp;IF(_xlpm.os&gt;_xlpm.cs,"skills failed out; ","")&amp;IF(_xlpm.om&gt;_xlpm.cm,"unexcused missed exams; ","")&amp;IF(_xlpm.oi&gt;_xlpm.ci,"chain-of-command incident review; ",""))))</f>
        <v/>
      </c>
      <c r="V15" s="17">
        <f>IF($B15="","",IF(COUNTIFS(nrES_PID,$B15,nrES_Absence,"Excused",nrES_Raw,"")=0,"Yes","No"))</f>
        <v/>
      </c>
      <c r="W15" s="17">
        <f>IF($B15="","",IF(IFERROR(INDEX(nrENRall,MATCH($B15,rngCadetPIDs,0)),"")="Yes","Yes","No"))</f>
        <v/>
      </c>
      <c r="X15" s="17">
        <f>IF($B15="","",IF(SkillsCheck!$P15="No","No","Yes"))</f>
        <v/>
      </c>
    </row>
    <row r="16">
      <c r="B16" s="17">
        <f>IF(Cadets!$B16="","",Cadets!$B16)</f>
        <v/>
      </c>
      <c r="C16" s="17">
        <f>IF($B16="","",Cadets!$F16)</f>
        <v/>
      </c>
      <c r="D16" s="17">
        <f>IF($B16="","",Cadets!$I16)</f>
        <v/>
      </c>
      <c r="E16" s="17">
        <f>IF($B16="","",sysGrades!$V16)</f>
        <v/>
      </c>
      <c r="F16" s="17">
        <f>IF($B16="","",sysAttendance!$K16)</f>
        <v/>
      </c>
      <c r="G16" s="17">
        <f>IF($B16="","",sysAttendance!$S16)</f>
        <v/>
      </c>
      <c r="H16" s="17">
        <f>IF($B16="","",sysSkills!$K16)</f>
        <v/>
      </c>
      <c r="I16" s="17">
        <f>IF($B16="","",sysIncidents!$K16)</f>
        <v/>
      </c>
      <c r="J16" s="17">
        <f>IF($B16="","",IF(Writing!$AT16="Yes","Yes","No"))</f>
        <v/>
      </c>
      <c r="K16" s="17">
        <f>IF($B16="","",sysAttendance!$T16)</f>
        <v/>
      </c>
      <c r="L16" s="17">
        <f>IF($B16="","",IF(PT!$AB16="Yes","Yes",IF(PT!$AB16="No","No",IF(PT!$AB16="(rubric pending)","Pending",IF(PT!$AB16="Incomplete","Incomplete","Not taken")))))</f>
        <v/>
      </c>
      <c r="M16" s="17">
        <f>IF($B16="","",IF($U16="","No","Yes"))</f>
        <v/>
      </c>
      <c r="N16" s="17">
        <f>IF($B16="","",IF(AND($E16="Yes",$F16="Yes",$G16="Yes",$H16="Yes",$I16="Yes",$J16="Yes",$K16="Yes",$L16="Yes",$Q16="Yes",$R16="Yes",$S16="Yes",$T16="Yes",$M16="No",$V16="Yes",$W16="Yes",$X16="Yes"),"Yes","No"))</f>
        <v/>
      </c>
      <c r="O16" s="17">
        <f>IF($B16="","",IF($N16="Yes","Eligible",TRIM(IF($E16&lt;&gt;"Yes","Academic; ","")&amp;IF($R16&lt;&gt;"Yes","Exams not all recorded; ","")&amp;IF($F16&lt;&gt;"Yes","Classroom; ","")&amp;IF($G16&lt;&gt;"Yes","PT sessions; ","")&amp;IF($H16&lt;&gt;"Yes","Skills; ","")&amp;IF($S16&lt;&gt;"Yes","Skills not all assessed; ","")&amp;IF($T16&lt;&gt;"Yes","Firearms courses of fire; ","")&amp;IF($I16&lt;&gt;"Yes","Incidents; ","")&amp;IF($J16&lt;&gt;"Yes","Writing; ","")&amp;IF($K16&lt;&gt;"Yes","Makeup owed; ","")&amp;IF($L16="No","Final PT failed; ",IF($L16="Pending","Final PT rubric not set; ",IF($L16="Incomplete","Final PT partially scored; ",IF($L16&lt;&gt;"Yes","Final PT not assessed; ",""))))&amp;IF($Q16&lt;&gt;"Yes","Certs; ","")&amp;IF($V16&lt;&gt;"Yes","Exam pending (excused absence); ","")&amp;IF($W16&lt;&gt;"Yes","Enrollment documents; ","")&amp;IF($X16="Yes","",IF(SkillsCheck!$N16&lt;&gt;"","Skills FAILED ("&amp;SkillsCheck!$N16&amp;"); ","Skills not all passed ("&amp;SkillsCheck!$O16&amp;" not assessed); "))&amp;IF($M16="Yes","Dismissal review; ",""))))</f>
        <v/>
      </c>
      <c r="P16" s="17">
        <f>IF($B16="","",IF(PT!$AB16="Yes","Yes",IF(PT!$AB16="No","No",IF(PT!$AB16="(rubric pending)","Pending",IF(PT!$AB16="Incomplete","Incomplete","Not taken")))))</f>
        <v/>
      </c>
      <c r="Q16" s="17">
        <f>IF($B16="","",IF(Certifications!$T16="Yes","Yes","No"))</f>
        <v/>
      </c>
      <c r="R16" s="17">
        <f>IF($B16="","",_xlfn.LET(_xlpm.mj,COUNTIFS(rngEPuse,"Yes",rngEPtype,"Major"),_xlpm.mn,COUNTIFS(rngEPuse,"Yes",rngEPtype,"Minor"),_xlpm.fnl,COUNTIFS(rngEPuse,"Yes",rngEPtype,"Final"),IF(AND(N(sysGrades!$E16)&gt;0,N(sysGrades!$F16)&gt;0,N(sysGrades!$G16)&gt;0,N(sysGrades!$H16)&gt;0,N(sysGrades!$E16)&gt;=_xlpm.mj,N(sysGrades!$F16)&gt;=_xlpm.mn,N(sysGrades!$H16)&gt;=_xlpm.fnl),"Yes","No")))</f>
        <v/>
      </c>
      <c r="S16" s="17">
        <f>IF($B16="","",IF(N(sysSkills!$F16)&gt;=SUMPRODUCT((rngSM_cat&lt;&gt;"")*1),"Yes","No"))</f>
        <v/>
      </c>
      <c r="T16" s="17">
        <f>IF($B16="","",IF(sysSkills!$P16="Yes","Yes","No"))</f>
        <v/>
      </c>
      <c r="U16" s="17">
        <f>IF($B16="","",_xlfn.LET(_xlpm.oe,N(sysGrades!$P16),_xlpm.os,N(sysSkills!$I16),_xlpm.oi,N(sysIncidents!$J16),_xlpm.ce,COUNTIFS(nrDIS_PID,$B16,nrDIS_Closes,"Failed retest (exam)",nrDIS_Outcome,"Retained",nrDIS_Approval,"Yes")+COUNTIFS(nrDIS_PID,$B16,nrDIS_Closes,"Failed retest (exam)",nrDIS_Outcome,"Retained w/ Plan",nrDIS_Approval,"Yes"),_xlpm.cs,COUNTIFS(nrDIS_PID,$B16,nrDIS_Closes,"Skills failed out",nrDIS_Outcome,"Retained",nrDIS_Approval,"Yes")+COUNTIFS(nrDIS_PID,$B16,nrDIS_Closes,"Skills failed out",nrDIS_Outcome,"Retained w/ Plan",nrDIS_Approval,"Yes"),_xlpm.ci,COUNTIFS(nrDIS_PID,$B16,nrDIS_Closes,"Chain-of-command incident review",nrDIS_Outcome,"Retained",nrDIS_Approval,"Yes")+COUNTIFS(nrDIS_PID,$B16,nrDIS_Closes,"Chain-of-command incident review",nrDIS_Outcome,"Retained w/ Plan",nrDIS_Approval,"Yes"),_xlpm.om,MAX(0,COUNTIFS(nrES_PID,$B16,nrES_Absence,"Unexcused")-1),_xlpm.cm,COUNTIFS(nrDIS_PID,$B16,nrDIS_Closes,"Unexcused missed exams",nrDIS_Outcome,"Retained",nrDIS_Approval,"Yes")+COUNTIFS(nrDIS_PID,$B16,nrDIS_Closes,"Unexcused missed exams",nrDIS_Outcome,"Retained w/ Plan",nrDIS_Approval,"Yes"),TRIM(IF(_xlpm.oe&gt;_xlpm.ce,"failed retest; ","")&amp;IF(_xlpm.os&gt;_xlpm.cs,"skills failed out; ","")&amp;IF(_xlpm.om&gt;_xlpm.cm,"unexcused missed exams; ","")&amp;IF(_xlpm.oi&gt;_xlpm.ci,"chain-of-command incident review; ",""))))</f>
        <v/>
      </c>
      <c r="V16" s="17">
        <f>IF($B16="","",IF(COUNTIFS(nrES_PID,$B16,nrES_Absence,"Excused",nrES_Raw,"")=0,"Yes","No"))</f>
        <v/>
      </c>
      <c r="W16" s="17">
        <f>IF($B16="","",IF(IFERROR(INDEX(nrENRall,MATCH($B16,rngCadetPIDs,0)),"")="Yes","Yes","No"))</f>
        <v/>
      </c>
      <c r="X16" s="17">
        <f>IF($B16="","",IF(SkillsCheck!$P16="No","No","Yes"))</f>
        <v/>
      </c>
    </row>
    <row r="17">
      <c r="B17" s="17">
        <f>IF(Cadets!$B17="","",Cadets!$B17)</f>
        <v/>
      </c>
      <c r="C17" s="17">
        <f>IF($B17="","",Cadets!$F17)</f>
        <v/>
      </c>
      <c r="D17" s="17">
        <f>IF($B17="","",Cadets!$I17)</f>
        <v/>
      </c>
      <c r="E17" s="17">
        <f>IF($B17="","",sysGrades!$V17)</f>
        <v/>
      </c>
      <c r="F17" s="17">
        <f>IF($B17="","",sysAttendance!$K17)</f>
        <v/>
      </c>
      <c r="G17" s="17">
        <f>IF($B17="","",sysAttendance!$S17)</f>
        <v/>
      </c>
      <c r="H17" s="17">
        <f>IF($B17="","",sysSkills!$K17)</f>
        <v/>
      </c>
      <c r="I17" s="17">
        <f>IF($B17="","",sysIncidents!$K17)</f>
        <v/>
      </c>
      <c r="J17" s="17">
        <f>IF($B17="","",IF(Writing!$AT17="Yes","Yes","No"))</f>
        <v/>
      </c>
      <c r="K17" s="17">
        <f>IF($B17="","",sysAttendance!$T17)</f>
        <v/>
      </c>
      <c r="L17" s="17">
        <f>IF($B17="","",IF(PT!$AB17="Yes","Yes",IF(PT!$AB17="No","No",IF(PT!$AB17="(rubric pending)","Pending",IF(PT!$AB17="Incomplete","Incomplete","Not taken")))))</f>
        <v/>
      </c>
      <c r="M17" s="17">
        <f>IF($B17="","",IF($U17="","No","Yes"))</f>
        <v/>
      </c>
      <c r="N17" s="17">
        <f>IF($B17="","",IF(AND($E17="Yes",$F17="Yes",$G17="Yes",$H17="Yes",$I17="Yes",$J17="Yes",$K17="Yes",$L17="Yes",$Q17="Yes",$R17="Yes",$S17="Yes",$T17="Yes",$M17="No",$V17="Yes",$W17="Yes",$X17="Yes"),"Yes","No"))</f>
        <v/>
      </c>
      <c r="O17" s="17">
        <f>IF($B17="","",IF($N17="Yes","Eligible",TRIM(IF($E17&lt;&gt;"Yes","Academic; ","")&amp;IF($R17&lt;&gt;"Yes","Exams not all recorded; ","")&amp;IF($F17&lt;&gt;"Yes","Classroom; ","")&amp;IF($G17&lt;&gt;"Yes","PT sessions; ","")&amp;IF($H17&lt;&gt;"Yes","Skills; ","")&amp;IF($S17&lt;&gt;"Yes","Skills not all assessed; ","")&amp;IF($T17&lt;&gt;"Yes","Firearms courses of fire; ","")&amp;IF($I17&lt;&gt;"Yes","Incidents; ","")&amp;IF($J17&lt;&gt;"Yes","Writing; ","")&amp;IF($K17&lt;&gt;"Yes","Makeup owed; ","")&amp;IF($L17="No","Final PT failed; ",IF($L17="Pending","Final PT rubric not set; ",IF($L17="Incomplete","Final PT partially scored; ",IF($L17&lt;&gt;"Yes","Final PT not assessed; ",""))))&amp;IF($Q17&lt;&gt;"Yes","Certs; ","")&amp;IF($V17&lt;&gt;"Yes","Exam pending (excused absence); ","")&amp;IF($W17&lt;&gt;"Yes","Enrollment documents; ","")&amp;IF($X17="Yes","",IF(SkillsCheck!$N17&lt;&gt;"","Skills FAILED ("&amp;SkillsCheck!$N17&amp;"); ","Skills not all passed ("&amp;SkillsCheck!$O17&amp;" not assessed); "))&amp;IF($M17="Yes","Dismissal review; ",""))))</f>
        <v/>
      </c>
      <c r="P17" s="17">
        <f>IF($B17="","",IF(PT!$AB17="Yes","Yes",IF(PT!$AB17="No","No",IF(PT!$AB17="(rubric pending)","Pending",IF(PT!$AB17="Incomplete","Incomplete","Not taken")))))</f>
        <v/>
      </c>
      <c r="Q17" s="17">
        <f>IF($B17="","",IF(Certifications!$T17="Yes","Yes","No"))</f>
        <v/>
      </c>
      <c r="R17" s="17">
        <f>IF($B17="","",_xlfn.LET(_xlpm.mj,COUNTIFS(rngEPuse,"Yes",rngEPtype,"Major"),_xlpm.mn,COUNTIFS(rngEPuse,"Yes",rngEPtype,"Minor"),_xlpm.fnl,COUNTIFS(rngEPuse,"Yes",rngEPtype,"Final"),IF(AND(N(sysGrades!$E17)&gt;0,N(sysGrades!$F17)&gt;0,N(sysGrades!$G17)&gt;0,N(sysGrades!$H17)&gt;0,N(sysGrades!$E17)&gt;=_xlpm.mj,N(sysGrades!$F17)&gt;=_xlpm.mn,N(sysGrades!$H17)&gt;=_xlpm.fnl),"Yes","No")))</f>
        <v/>
      </c>
      <c r="S17" s="17">
        <f>IF($B17="","",IF(N(sysSkills!$F17)&gt;=SUMPRODUCT((rngSM_cat&lt;&gt;"")*1),"Yes","No"))</f>
        <v/>
      </c>
      <c r="T17" s="17">
        <f>IF($B17="","",IF(sysSkills!$P17="Yes","Yes","No"))</f>
        <v/>
      </c>
      <c r="U17" s="17">
        <f>IF($B17="","",_xlfn.LET(_xlpm.oe,N(sysGrades!$P17),_xlpm.os,N(sysSkills!$I17),_xlpm.oi,N(sysIncidents!$J17),_xlpm.ce,COUNTIFS(nrDIS_PID,$B17,nrDIS_Closes,"Failed retest (exam)",nrDIS_Outcome,"Retained",nrDIS_Approval,"Yes")+COUNTIFS(nrDIS_PID,$B17,nrDIS_Closes,"Failed retest (exam)",nrDIS_Outcome,"Retained w/ Plan",nrDIS_Approval,"Yes"),_xlpm.cs,COUNTIFS(nrDIS_PID,$B17,nrDIS_Closes,"Skills failed out",nrDIS_Outcome,"Retained",nrDIS_Approval,"Yes")+COUNTIFS(nrDIS_PID,$B17,nrDIS_Closes,"Skills failed out",nrDIS_Outcome,"Retained w/ Plan",nrDIS_Approval,"Yes"),_xlpm.ci,COUNTIFS(nrDIS_PID,$B17,nrDIS_Closes,"Chain-of-command incident review",nrDIS_Outcome,"Retained",nrDIS_Approval,"Yes")+COUNTIFS(nrDIS_PID,$B17,nrDIS_Closes,"Chain-of-command incident review",nrDIS_Outcome,"Retained w/ Plan",nrDIS_Approval,"Yes"),_xlpm.om,MAX(0,COUNTIFS(nrES_PID,$B17,nrES_Absence,"Unexcused")-1),_xlpm.cm,COUNTIFS(nrDIS_PID,$B17,nrDIS_Closes,"Unexcused missed exams",nrDIS_Outcome,"Retained",nrDIS_Approval,"Yes")+COUNTIFS(nrDIS_PID,$B17,nrDIS_Closes,"Unexcused missed exams",nrDIS_Outcome,"Retained w/ Plan",nrDIS_Approval,"Yes"),TRIM(IF(_xlpm.oe&gt;_xlpm.ce,"failed retest; ","")&amp;IF(_xlpm.os&gt;_xlpm.cs,"skills failed out; ","")&amp;IF(_xlpm.om&gt;_xlpm.cm,"unexcused missed exams; ","")&amp;IF(_xlpm.oi&gt;_xlpm.ci,"chain-of-command incident review; ",""))))</f>
        <v/>
      </c>
      <c r="V17" s="17">
        <f>IF($B17="","",IF(COUNTIFS(nrES_PID,$B17,nrES_Absence,"Excused",nrES_Raw,"")=0,"Yes","No"))</f>
        <v/>
      </c>
      <c r="W17" s="17">
        <f>IF($B17="","",IF(IFERROR(INDEX(nrENRall,MATCH($B17,rngCadetPIDs,0)),"")="Yes","Yes","No"))</f>
        <v/>
      </c>
      <c r="X17" s="17">
        <f>IF($B17="","",IF(SkillsCheck!$P17="No","No","Yes"))</f>
        <v/>
      </c>
    </row>
    <row r="18">
      <c r="B18" s="17">
        <f>IF(Cadets!$B18="","",Cadets!$B18)</f>
        <v/>
      </c>
      <c r="C18" s="17">
        <f>IF($B18="","",Cadets!$F18)</f>
        <v/>
      </c>
      <c r="D18" s="17">
        <f>IF($B18="","",Cadets!$I18)</f>
        <v/>
      </c>
      <c r="E18" s="17">
        <f>IF($B18="","",sysGrades!$V18)</f>
        <v/>
      </c>
      <c r="F18" s="17">
        <f>IF($B18="","",sysAttendance!$K18)</f>
        <v/>
      </c>
      <c r="G18" s="17">
        <f>IF($B18="","",sysAttendance!$S18)</f>
        <v/>
      </c>
      <c r="H18" s="17">
        <f>IF($B18="","",sysSkills!$K18)</f>
        <v/>
      </c>
      <c r="I18" s="17">
        <f>IF($B18="","",sysIncidents!$K18)</f>
        <v/>
      </c>
      <c r="J18" s="17">
        <f>IF($B18="","",IF(Writing!$AT18="Yes","Yes","No"))</f>
        <v/>
      </c>
      <c r="K18" s="17">
        <f>IF($B18="","",sysAttendance!$T18)</f>
        <v/>
      </c>
      <c r="L18" s="17">
        <f>IF($B18="","",IF(PT!$AB18="Yes","Yes",IF(PT!$AB18="No","No",IF(PT!$AB18="(rubric pending)","Pending",IF(PT!$AB18="Incomplete","Incomplete","Not taken")))))</f>
        <v/>
      </c>
      <c r="M18" s="17">
        <f>IF($B18="","",IF($U18="","No","Yes"))</f>
        <v/>
      </c>
      <c r="N18" s="17">
        <f>IF($B18="","",IF(AND($E18="Yes",$F18="Yes",$G18="Yes",$H18="Yes",$I18="Yes",$J18="Yes",$K18="Yes",$L18="Yes",$Q18="Yes",$R18="Yes",$S18="Yes",$T18="Yes",$M18="No",$V18="Yes",$W18="Yes",$X18="Yes"),"Yes","No"))</f>
        <v/>
      </c>
      <c r="O18" s="17">
        <f>IF($B18="","",IF($N18="Yes","Eligible",TRIM(IF($E18&lt;&gt;"Yes","Academic; ","")&amp;IF($R18&lt;&gt;"Yes","Exams not all recorded; ","")&amp;IF($F18&lt;&gt;"Yes","Classroom; ","")&amp;IF($G18&lt;&gt;"Yes","PT sessions; ","")&amp;IF($H18&lt;&gt;"Yes","Skills; ","")&amp;IF($S18&lt;&gt;"Yes","Skills not all assessed; ","")&amp;IF($T18&lt;&gt;"Yes","Firearms courses of fire; ","")&amp;IF($I18&lt;&gt;"Yes","Incidents; ","")&amp;IF($J18&lt;&gt;"Yes","Writing; ","")&amp;IF($K18&lt;&gt;"Yes","Makeup owed; ","")&amp;IF($L18="No","Final PT failed; ",IF($L18="Pending","Final PT rubric not set; ",IF($L18="Incomplete","Final PT partially scored; ",IF($L18&lt;&gt;"Yes","Final PT not assessed; ",""))))&amp;IF($Q18&lt;&gt;"Yes","Certs; ","")&amp;IF($V18&lt;&gt;"Yes","Exam pending (excused absence); ","")&amp;IF($W18&lt;&gt;"Yes","Enrollment documents; ","")&amp;IF($X18="Yes","",IF(SkillsCheck!$N18&lt;&gt;"","Skills FAILED ("&amp;SkillsCheck!$N18&amp;"); ","Skills not all passed ("&amp;SkillsCheck!$O18&amp;" not assessed); "))&amp;IF($M18="Yes","Dismissal review; ",""))))</f>
        <v/>
      </c>
      <c r="P18" s="17">
        <f>IF($B18="","",IF(PT!$AB18="Yes","Yes",IF(PT!$AB18="No","No",IF(PT!$AB18="(rubric pending)","Pending",IF(PT!$AB18="Incomplete","Incomplete","Not taken")))))</f>
        <v/>
      </c>
      <c r="Q18" s="17">
        <f>IF($B18="","",IF(Certifications!$T18="Yes","Yes","No"))</f>
        <v/>
      </c>
      <c r="R18" s="17">
        <f>IF($B18="","",_xlfn.LET(_xlpm.mj,COUNTIFS(rngEPuse,"Yes",rngEPtype,"Major"),_xlpm.mn,COUNTIFS(rngEPuse,"Yes",rngEPtype,"Minor"),_xlpm.fnl,COUNTIFS(rngEPuse,"Yes",rngEPtype,"Final"),IF(AND(N(sysGrades!$E18)&gt;0,N(sysGrades!$F18)&gt;0,N(sysGrades!$G18)&gt;0,N(sysGrades!$H18)&gt;0,N(sysGrades!$E18)&gt;=_xlpm.mj,N(sysGrades!$F18)&gt;=_xlpm.mn,N(sysGrades!$H18)&gt;=_xlpm.fnl),"Yes","No")))</f>
        <v/>
      </c>
      <c r="S18" s="17">
        <f>IF($B18="","",IF(N(sysSkills!$F18)&gt;=SUMPRODUCT((rngSM_cat&lt;&gt;"")*1),"Yes","No"))</f>
        <v/>
      </c>
      <c r="T18" s="17">
        <f>IF($B18="","",IF(sysSkills!$P18="Yes","Yes","No"))</f>
        <v/>
      </c>
      <c r="U18" s="17">
        <f>IF($B18="","",_xlfn.LET(_xlpm.oe,N(sysGrades!$P18),_xlpm.os,N(sysSkills!$I18),_xlpm.oi,N(sysIncidents!$J18),_xlpm.ce,COUNTIFS(nrDIS_PID,$B18,nrDIS_Closes,"Failed retest (exam)",nrDIS_Outcome,"Retained",nrDIS_Approval,"Yes")+COUNTIFS(nrDIS_PID,$B18,nrDIS_Closes,"Failed retest (exam)",nrDIS_Outcome,"Retained w/ Plan",nrDIS_Approval,"Yes"),_xlpm.cs,COUNTIFS(nrDIS_PID,$B18,nrDIS_Closes,"Skills failed out",nrDIS_Outcome,"Retained",nrDIS_Approval,"Yes")+COUNTIFS(nrDIS_PID,$B18,nrDIS_Closes,"Skills failed out",nrDIS_Outcome,"Retained w/ Plan",nrDIS_Approval,"Yes"),_xlpm.ci,COUNTIFS(nrDIS_PID,$B18,nrDIS_Closes,"Chain-of-command incident review",nrDIS_Outcome,"Retained",nrDIS_Approval,"Yes")+COUNTIFS(nrDIS_PID,$B18,nrDIS_Closes,"Chain-of-command incident review",nrDIS_Outcome,"Retained w/ Plan",nrDIS_Approval,"Yes"),_xlpm.om,MAX(0,COUNTIFS(nrES_PID,$B18,nrES_Absence,"Unexcused")-1),_xlpm.cm,COUNTIFS(nrDIS_PID,$B18,nrDIS_Closes,"Unexcused missed exams",nrDIS_Outcome,"Retained",nrDIS_Approval,"Yes")+COUNTIFS(nrDIS_PID,$B18,nrDIS_Closes,"Unexcused missed exams",nrDIS_Outcome,"Retained w/ Plan",nrDIS_Approval,"Yes"),TRIM(IF(_xlpm.oe&gt;_xlpm.ce,"failed retest; ","")&amp;IF(_xlpm.os&gt;_xlpm.cs,"skills failed out; ","")&amp;IF(_xlpm.om&gt;_xlpm.cm,"unexcused missed exams; ","")&amp;IF(_xlpm.oi&gt;_xlpm.ci,"chain-of-command incident review; ",""))))</f>
        <v/>
      </c>
      <c r="V18" s="17">
        <f>IF($B18="","",IF(COUNTIFS(nrES_PID,$B18,nrES_Absence,"Excused",nrES_Raw,"")=0,"Yes","No"))</f>
        <v/>
      </c>
      <c r="W18" s="17">
        <f>IF($B18="","",IF(IFERROR(INDEX(nrENRall,MATCH($B18,rngCadetPIDs,0)),"")="Yes","Yes","No"))</f>
        <v/>
      </c>
      <c r="X18" s="17">
        <f>IF($B18="","",IF(SkillsCheck!$P18="No","No","Yes"))</f>
        <v/>
      </c>
    </row>
    <row r="19">
      <c r="B19" s="17">
        <f>IF(Cadets!$B19="","",Cadets!$B19)</f>
        <v/>
      </c>
      <c r="C19" s="17">
        <f>IF($B19="","",Cadets!$F19)</f>
        <v/>
      </c>
      <c r="D19" s="17">
        <f>IF($B19="","",Cadets!$I19)</f>
        <v/>
      </c>
      <c r="E19" s="17">
        <f>IF($B19="","",sysGrades!$V19)</f>
        <v/>
      </c>
      <c r="F19" s="17">
        <f>IF($B19="","",sysAttendance!$K19)</f>
        <v/>
      </c>
      <c r="G19" s="17">
        <f>IF($B19="","",sysAttendance!$S19)</f>
        <v/>
      </c>
      <c r="H19" s="17">
        <f>IF($B19="","",sysSkills!$K19)</f>
        <v/>
      </c>
      <c r="I19" s="17">
        <f>IF($B19="","",sysIncidents!$K19)</f>
        <v/>
      </c>
      <c r="J19" s="17">
        <f>IF($B19="","",IF(Writing!$AT19="Yes","Yes","No"))</f>
        <v/>
      </c>
      <c r="K19" s="17">
        <f>IF($B19="","",sysAttendance!$T19)</f>
        <v/>
      </c>
      <c r="L19" s="17">
        <f>IF($B19="","",IF(PT!$AB19="Yes","Yes",IF(PT!$AB19="No","No",IF(PT!$AB19="(rubric pending)","Pending",IF(PT!$AB19="Incomplete","Incomplete","Not taken")))))</f>
        <v/>
      </c>
      <c r="M19" s="17">
        <f>IF($B19="","",IF($U19="","No","Yes"))</f>
        <v/>
      </c>
      <c r="N19" s="17">
        <f>IF($B19="","",IF(AND($E19="Yes",$F19="Yes",$G19="Yes",$H19="Yes",$I19="Yes",$J19="Yes",$K19="Yes",$L19="Yes",$Q19="Yes",$R19="Yes",$S19="Yes",$T19="Yes",$M19="No",$V19="Yes",$W19="Yes",$X19="Yes"),"Yes","No"))</f>
        <v/>
      </c>
      <c r="O19" s="17">
        <f>IF($B19="","",IF($N19="Yes","Eligible",TRIM(IF($E19&lt;&gt;"Yes","Academic; ","")&amp;IF($R19&lt;&gt;"Yes","Exams not all recorded; ","")&amp;IF($F19&lt;&gt;"Yes","Classroom; ","")&amp;IF($G19&lt;&gt;"Yes","PT sessions; ","")&amp;IF($H19&lt;&gt;"Yes","Skills; ","")&amp;IF($S19&lt;&gt;"Yes","Skills not all assessed; ","")&amp;IF($T19&lt;&gt;"Yes","Firearms courses of fire; ","")&amp;IF($I19&lt;&gt;"Yes","Incidents; ","")&amp;IF($J19&lt;&gt;"Yes","Writing; ","")&amp;IF($K19&lt;&gt;"Yes","Makeup owed; ","")&amp;IF($L19="No","Final PT failed; ",IF($L19="Pending","Final PT rubric not set; ",IF($L19="Incomplete","Final PT partially scored; ",IF($L19&lt;&gt;"Yes","Final PT not assessed; ",""))))&amp;IF($Q19&lt;&gt;"Yes","Certs; ","")&amp;IF($V19&lt;&gt;"Yes","Exam pending (excused absence); ","")&amp;IF($W19&lt;&gt;"Yes","Enrollment documents; ","")&amp;IF($X19="Yes","",IF(SkillsCheck!$N19&lt;&gt;"","Skills FAILED ("&amp;SkillsCheck!$N19&amp;"); ","Skills not all passed ("&amp;SkillsCheck!$O19&amp;" not assessed); "))&amp;IF($M19="Yes","Dismissal review; ",""))))</f>
        <v/>
      </c>
      <c r="P19" s="17">
        <f>IF($B19="","",IF(PT!$AB19="Yes","Yes",IF(PT!$AB19="No","No",IF(PT!$AB19="(rubric pending)","Pending",IF(PT!$AB19="Incomplete","Incomplete","Not taken")))))</f>
        <v/>
      </c>
      <c r="Q19" s="17">
        <f>IF($B19="","",IF(Certifications!$T19="Yes","Yes","No"))</f>
        <v/>
      </c>
      <c r="R19" s="17">
        <f>IF($B19="","",_xlfn.LET(_xlpm.mj,COUNTIFS(rngEPuse,"Yes",rngEPtype,"Major"),_xlpm.mn,COUNTIFS(rngEPuse,"Yes",rngEPtype,"Minor"),_xlpm.fnl,COUNTIFS(rngEPuse,"Yes",rngEPtype,"Final"),IF(AND(N(sysGrades!$E19)&gt;0,N(sysGrades!$F19)&gt;0,N(sysGrades!$G19)&gt;0,N(sysGrades!$H19)&gt;0,N(sysGrades!$E19)&gt;=_xlpm.mj,N(sysGrades!$F19)&gt;=_xlpm.mn,N(sysGrades!$H19)&gt;=_xlpm.fnl),"Yes","No")))</f>
        <v/>
      </c>
      <c r="S19" s="17">
        <f>IF($B19="","",IF(N(sysSkills!$F19)&gt;=SUMPRODUCT((rngSM_cat&lt;&gt;"")*1),"Yes","No"))</f>
        <v/>
      </c>
      <c r="T19" s="17">
        <f>IF($B19="","",IF(sysSkills!$P19="Yes","Yes","No"))</f>
        <v/>
      </c>
      <c r="U19" s="17">
        <f>IF($B19="","",_xlfn.LET(_xlpm.oe,N(sysGrades!$P19),_xlpm.os,N(sysSkills!$I19),_xlpm.oi,N(sysIncidents!$J19),_xlpm.ce,COUNTIFS(nrDIS_PID,$B19,nrDIS_Closes,"Failed retest (exam)",nrDIS_Outcome,"Retained",nrDIS_Approval,"Yes")+COUNTIFS(nrDIS_PID,$B19,nrDIS_Closes,"Failed retest (exam)",nrDIS_Outcome,"Retained w/ Plan",nrDIS_Approval,"Yes"),_xlpm.cs,COUNTIFS(nrDIS_PID,$B19,nrDIS_Closes,"Skills failed out",nrDIS_Outcome,"Retained",nrDIS_Approval,"Yes")+COUNTIFS(nrDIS_PID,$B19,nrDIS_Closes,"Skills failed out",nrDIS_Outcome,"Retained w/ Plan",nrDIS_Approval,"Yes"),_xlpm.ci,COUNTIFS(nrDIS_PID,$B19,nrDIS_Closes,"Chain-of-command incident review",nrDIS_Outcome,"Retained",nrDIS_Approval,"Yes")+COUNTIFS(nrDIS_PID,$B19,nrDIS_Closes,"Chain-of-command incident review",nrDIS_Outcome,"Retained w/ Plan",nrDIS_Approval,"Yes"),_xlpm.om,MAX(0,COUNTIFS(nrES_PID,$B19,nrES_Absence,"Unexcused")-1),_xlpm.cm,COUNTIFS(nrDIS_PID,$B19,nrDIS_Closes,"Unexcused missed exams",nrDIS_Outcome,"Retained",nrDIS_Approval,"Yes")+COUNTIFS(nrDIS_PID,$B19,nrDIS_Closes,"Unexcused missed exams",nrDIS_Outcome,"Retained w/ Plan",nrDIS_Approval,"Yes"),TRIM(IF(_xlpm.oe&gt;_xlpm.ce,"failed retest; ","")&amp;IF(_xlpm.os&gt;_xlpm.cs,"skills failed out; ","")&amp;IF(_xlpm.om&gt;_xlpm.cm,"unexcused missed exams; ","")&amp;IF(_xlpm.oi&gt;_xlpm.ci,"chain-of-command incident review; ",""))))</f>
        <v/>
      </c>
      <c r="V19" s="17">
        <f>IF($B19="","",IF(COUNTIFS(nrES_PID,$B19,nrES_Absence,"Excused",nrES_Raw,"")=0,"Yes","No"))</f>
        <v/>
      </c>
      <c r="W19" s="17">
        <f>IF($B19="","",IF(IFERROR(INDEX(nrENRall,MATCH($B19,rngCadetPIDs,0)),"")="Yes","Yes","No"))</f>
        <v/>
      </c>
      <c r="X19" s="17">
        <f>IF($B19="","",IF(SkillsCheck!$P19="No","No","Yes"))</f>
        <v/>
      </c>
    </row>
    <row r="20">
      <c r="B20" s="17">
        <f>IF(Cadets!$B20="","",Cadets!$B20)</f>
        <v/>
      </c>
      <c r="C20" s="17">
        <f>IF($B20="","",Cadets!$F20)</f>
        <v/>
      </c>
      <c r="D20" s="17">
        <f>IF($B20="","",Cadets!$I20)</f>
        <v/>
      </c>
      <c r="E20" s="17">
        <f>IF($B20="","",sysGrades!$V20)</f>
        <v/>
      </c>
      <c r="F20" s="17">
        <f>IF($B20="","",sysAttendance!$K20)</f>
        <v/>
      </c>
      <c r="G20" s="17">
        <f>IF($B20="","",sysAttendance!$S20)</f>
        <v/>
      </c>
      <c r="H20" s="17">
        <f>IF($B20="","",sysSkills!$K20)</f>
        <v/>
      </c>
      <c r="I20" s="17">
        <f>IF($B20="","",sysIncidents!$K20)</f>
        <v/>
      </c>
      <c r="J20" s="17">
        <f>IF($B20="","",IF(Writing!$AT20="Yes","Yes","No"))</f>
        <v/>
      </c>
      <c r="K20" s="17">
        <f>IF($B20="","",sysAttendance!$T20)</f>
        <v/>
      </c>
      <c r="L20" s="17">
        <f>IF($B20="","",IF(PT!$AB20="Yes","Yes",IF(PT!$AB20="No","No",IF(PT!$AB20="(rubric pending)","Pending",IF(PT!$AB20="Incomplete","Incomplete","Not taken")))))</f>
        <v/>
      </c>
      <c r="M20" s="17">
        <f>IF($B20="","",IF($U20="","No","Yes"))</f>
        <v/>
      </c>
      <c r="N20" s="17">
        <f>IF($B20="","",IF(AND($E20="Yes",$F20="Yes",$G20="Yes",$H20="Yes",$I20="Yes",$J20="Yes",$K20="Yes",$L20="Yes",$Q20="Yes",$R20="Yes",$S20="Yes",$T20="Yes",$M20="No",$V20="Yes",$W20="Yes",$X20="Yes"),"Yes","No"))</f>
        <v/>
      </c>
      <c r="O20" s="17">
        <f>IF($B20="","",IF($N20="Yes","Eligible",TRIM(IF($E20&lt;&gt;"Yes","Academic; ","")&amp;IF($R20&lt;&gt;"Yes","Exams not all recorded; ","")&amp;IF($F20&lt;&gt;"Yes","Classroom; ","")&amp;IF($G20&lt;&gt;"Yes","PT sessions; ","")&amp;IF($H20&lt;&gt;"Yes","Skills; ","")&amp;IF($S20&lt;&gt;"Yes","Skills not all assessed; ","")&amp;IF($T20&lt;&gt;"Yes","Firearms courses of fire; ","")&amp;IF($I20&lt;&gt;"Yes","Incidents; ","")&amp;IF($J20&lt;&gt;"Yes","Writing; ","")&amp;IF($K20&lt;&gt;"Yes","Makeup owed; ","")&amp;IF($L20="No","Final PT failed; ",IF($L20="Pending","Final PT rubric not set; ",IF($L20="Incomplete","Final PT partially scored; ",IF($L20&lt;&gt;"Yes","Final PT not assessed; ",""))))&amp;IF($Q20&lt;&gt;"Yes","Certs; ","")&amp;IF($V20&lt;&gt;"Yes","Exam pending (excused absence); ","")&amp;IF($W20&lt;&gt;"Yes","Enrollment documents; ","")&amp;IF($X20="Yes","",IF(SkillsCheck!$N20&lt;&gt;"","Skills FAILED ("&amp;SkillsCheck!$N20&amp;"); ","Skills not all passed ("&amp;SkillsCheck!$O20&amp;" not assessed); "))&amp;IF($M20="Yes","Dismissal review; ",""))))</f>
        <v/>
      </c>
      <c r="P20" s="17">
        <f>IF($B20="","",IF(PT!$AB20="Yes","Yes",IF(PT!$AB20="No","No",IF(PT!$AB20="(rubric pending)","Pending",IF(PT!$AB20="Incomplete","Incomplete","Not taken")))))</f>
        <v/>
      </c>
      <c r="Q20" s="17">
        <f>IF($B20="","",IF(Certifications!$T20="Yes","Yes","No"))</f>
        <v/>
      </c>
      <c r="R20" s="17">
        <f>IF($B20="","",_xlfn.LET(_xlpm.mj,COUNTIFS(rngEPuse,"Yes",rngEPtype,"Major"),_xlpm.mn,COUNTIFS(rngEPuse,"Yes",rngEPtype,"Minor"),_xlpm.fnl,COUNTIFS(rngEPuse,"Yes",rngEPtype,"Final"),IF(AND(N(sysGrades!$E20)&gt;0,N(sysGrades!$F20)&gt;0,N(sysGrades!$G20)&gt;0,N(sysGrades!$H20)&gt;0,N(sysGrades!$E20)&gt;=_xlpm.mj,N(sysGrades!$F20)&gt;=_xlpm.mn,N(sysGrades!$H20)&gt;=_xlpm.fnl),"Yes","No")))</f>
        <v/>
      </c>
      <c r="S20" s="17">
        <f>IF($B20="","",IF(N(sysSkills!$F20)&gt;=SUMPRODUCT((rngSM_cat&lt;&gt;"")*1),"Yes","No"))</f>
        <v/>
      </c>
      <c r="T20" s="17">
        <f>IF($B20="","",IF(sysSkills!$P20="Yes","Yes","No"))</f>
        <v/>
      </c>
      <c r="U20" s="17">
        <f>IF($B20="","",_xlfn.LET(_xlpm.oe,N(sysGrades!$P20),_xlpm.os,N(sysSkills!$I20),_xlpm.oi,N(sysIncidents!$J20),_xlpm.ce,COUNTIFS(nrDIS_PID,$B20,nrDIS_Closes,"Failed retest (exam)",nrDIS_Outcome,"Retained",nrDIS_Approval,"Yes")+COUNTIFS(nrDIS_PID,$B20,nrDIS_Closes,"Failed retest (exam)",nrDIS_Outcome,"Retained w/ Plan",nrDIS_Approval,"Yes"),_xlpm.cs,COUNTIFS(nrDIS_PID,$B20,nrDIS_Closes,"Skills failed out",nrDIS_Outcome,"Retained",nrDIS_Approval,"Yes")+COUNTIFS(nrDIS_PID,$B20,nrDIS_Closes,"Skills failed out",nrDIS_Outcome,"Retained w/ Plan",nrDIS_Approval,"Yes"),_xlpm.ci,COUNTIFS(nrDIS_PID,$B20,nrDIS_Closes,"Chain-of-command incident review",nrDIS_Outcome,"Retained",nrDIS_Approval,"Yes")+COUNTIFS(nrDIS_PID,$B20,nrDIS_Closes,"Chain-of-command incident review",nrDIS_Outcome,"Retained w/ Plan",nrDIS_Approval,"Yes"),_xlpm.om,MAX(0,COUNTIFS(nrES_PID,$B20,nrES_Absence,"Unexcused")-1),_xlpm.cm,COUNTIFS(nrDIS_PID,$B20,nrDIS_Closes,"Unexcused missed exams",nrDIS_Outcome,"Retained",nrDIS_Approval,"Yes")+COUNTIFS(nrDIS_PID,$B20,nrDIS_Closes,"Unexcused missed exams",nrDIS_Outcome,"Retained w/ Plan",nrDIS_Approval,"Yes"),TRIM(IF(_xlpm.oe&gt;_xlpm.ce,"failed retest; ","")&amp;IF(_xlpm.os&gt;_xlpm.cs,"skills failed out; ","")&amp;IF(_xlpm.om&gt;_xlpm.cm,"unexcused missed exams; ","")&amp;IF(_xlpm.oi&gt;_xlpm.ci,"chain-of-command incident review; ",""))))</f>
        <v/>
      </c>
      <c r="V20" s="17">
        <f>IF($B20="","",IF(COUNTIFS(nrES_PID,$B20,nrES_Absence,"Excused",nrES_Raw,"")=0,"Yes","No"))</f>
        <v/>
      </c>
      <c r="W20" s="17">
        <f>IF($B20="","",IF(IFERROR(INDEX(nrENRall,MATCH($B20,rngCadetPIDs,0)),"")="Yes","Yes","No"))</f>
        <v/>
      </c>
      <c r="X20" s="17">
        <f>IF($B20="","",IF(SkillsCheck!$P20="No","No","Yes"))</f>
        <v/>
      </c>
    </row>
    <row r="21">
      <c r="B21" s="17">
        <f>IF(Cadets!$B21="","",Cadets!$B21)</f>
        <v/>
      </c>
      <c r="C21" s="17">
        <f>IF($B21="","",Cadets!$F21)</f>
        <v/>
      </c>
      <c r="D21" s="17">
        <f>IF($B21="","",Cadets!$I21)</f>
        <v/>
      </c>
      <c r="E21" s="17">
        <f>IF($B21="","",sysGrades!$V21)</f>
        <v/>
      </c>
      <c r="F21" s="17">
        <f>IF($B21="","",sysAttendance!$K21)</f>
        <v/>
      </c>
      <c r="G21" s="17">
        <f>IF($B21="","",sysAttendance!$S21)</f>
        <v/>
      </c>
      <c r="H21" s="17">
        <f>IF($B21="","",sysSkills!$K21)</f>
        <v/>
      </c>
      <c r="I21" s="17">
        <f>IF($B21="","",sysIncidents!$K21)</f>
        <v/>
      </c>
      <c r="J21" s="17">
        <f>IF($B21="","",IF(Writing!$AT21="Yes","Yes","No"))</f>
        <v/>
      </c>
      <c r="K21" s="17">
        <f>IF($B21="","",sysAttendance!$T21)</f>
        <v/>
      </c>
      <c r="L21" s="17">
        <f>IF($B21="","",IF(PT!$AB21="Yes","Yes",IF(PT!$AB21="No","No",IF(PT!$AB21="(rubric pending)","Pending",IF(PT!$AB21="Incomplete","Incomplete","Not taken")))))</f>
        <v/>
      </c>
      <c r="M21" s="17">
        <f>IF($B21="","",IF($U21="","No","Yes"))</f>
        <v/>
      </c>
      <c r="N21" s="17">
        <f>IF($B21="","",IF(AND($E21="Yes",$F21="Yes",$G21="Yes",$H21="Yes",$I21="Yes",$J21="Yes",$K21="Yes",$L21="Yes",$Q21="Yes",$R21="Yes",$S21="Yes",$T21="Yes",$M21="No",$V21="Yes",$W21="Yes",$X21="Yes"),"Yes","No"))</f>
        <v/>
      </c>
      <c r="O21" s="17">
        <f>IF($B21="","",IF($N21="Yes","Eligible",TRIM(IF($E21&lt;&gt;"Yes","Academic; ","")&amp;IF($R21&lt;&gt;"Yes","Exams not all recorded; ","")&amp;IF($F21&lt;&gt;"Yes","Classroom; ","")&amp;IF($G21&lt;&gt;"Yes","PT sessions; ","")&amp;IF($H21&lt;&gt;"Yes","Skills; ","")&amp;IF($S21&lt;&gt;"Yes","Skills not all assessed; ","")&amp;IF($T21&lt;&gt;"Yes","Firearms courses of fire; ","")&amp;IF($I21&lt;&gt;"Yes","Incidents; ","")&amp;IF($J21&lt;&gt;"Yes","Writing; ","")&amp;IF($K21&lt;&gt;"Yes","Makeup owed; ","")&amp;IF($L21="No","Final PT failed; ",IF($L21="Pending","Final PT rubric not set; ",IF($L21="Incomplete","Final PT partially scored; ",IF($L21&lt;&gt;"Yes","Final PT not assessed; ",""))))&amp;IF($Q21&lt;&gt;"Yes","Certs; ","")&amp;IF($V21&lt;&gt;"Yes","Exam pending (excused absence); ","")&amp;IF($W21&lt;&gt;"Yes","Enrollment documents; ","")&amp;IF($X21="Yes","",IF(SkillsCheck!$N21&lt;&gt;"","Skills FAILED ("&amp;SkillsCheck!$N21&amp;"); ","Skills not all passed ("&amp;SkillsCheck!$O21&amp;" not assessed); "))&amp;IF($M21="Yes","Dismissal review; ",""))))</f>
        <v/>
      </c>
      <c r="P21" s="17">
        <f>IF($B21="","",IF(PT!$AB21="Yes","Yes",IF(PT!$AB21="No","No",IF(PT!$AB21="(rubric pending)","Pending",IF(PT!$AB21="Incomplete","Incomplete","Not taken")))))</f>
        <v/>
      </c>
      <c r="Q21" s="17">
        <f>IF($B21="","",IF(Certifications!$T21="Yes","Yes","No"))</f>
        <v/>
      </c>
      <c r="R21" s="17">
        <f>IF($B21="","",_xlfn.LET(_xlpm.mj,COUNTIFS(rngEPuse,"Yes",rngEPtype,"Major"),_xlpm.mn,COUNTIFS(rngEPuse,"Yes",rngEPtype,"Minor"),_xlpm.fnl,COUNTIFS(rngEPuse,"Yes",rngEPtype,"Final"),IF(AND(N(sysGrades!$E21)&gt;0,N(sysGrades!$F21)&gt;0,N(sysGrades!$G21)&gt;0,N(sysGrades!$H21)&gt;0,N(sysGrades!$E21)&gt;=_xlpm.mj,N(sysGrades!$F21)&gt;=_xlpm.mn,N(sysGrades!$H21)&gt;=_xlpm.fnl),"Yes","No")))</f>
        <v/>
      </c>
      <c r="S21" s="17">
        <f>IF($B21="","",IF(N(sysSkills!$F21)&gt;=SUMPRODUCT((rngSM_cat&lt;&gt;"")*1),"Yes","No"))</f>
        <v/>
      </c>
      <c r="T21" s="17">
        <f>IF($B21="","",IF(sysSkills!$P21="Yes","Yes","No"))</f>
        <v/>
      </c>
      <c r="U21" s="17">
        <f>IF($B21="","",_xlfn.LET(_xlpm.oe,N(sysGrades!$P21),_xlpm.os,N(sysSkills!$I21),_xlpm.oi,N(sysIncidents!$J21),_xlpm.ce,COUNTIFS(nrDIS_PID,$B21,nrDIS_Closes,"Failed retest (exam)",nrDIS_Outcome,"Retained",nrDIS_Approval,"Yes")+COUNTIFS(nrDIS_PID,$B21,nrDIS_Closes,"Failed retest (exam)",nrDIS_Outcome,"Retained w/ Plan",nrDIS_Approval,"Yes"),_xlpm.cs,COUNTIFS(nrDIS_PID,$B21,nrDIS_Closes,"Skills failed out",nrDIS_Outcome,"Retained",nrDIS_Approval,"Yes")+COUNTIFS(nrDIS_PID,$B21,nrDIS_Closes,"Skills failed out",nrDIS_Outcome,"Retained w/ Plan",nrDIS_Approval,"Yes"),_xlpm.ci,COUNTIFS(nrDIS_PID,$B21,nrDIS_Closes,"Chain-of-command incident review",nrDIS_Outcome,"Retained",nrDIS_Approval,"Yes")+COUNTIFS(nrDIS_PID,$B21,nrDIS_Closes,"Chain-of-command incident review",nrDIS_Outcome,"Retained w/ Plan",nrDIS_Approval,"Yes"),_xlpm.om,MAX(0,COUNTIFS(nrES_PID,$B21,nrES_Absence,"Unexcused")-1),_xlpm.cm,COUNTIFS(nrDIS_PID,$B21,nrDIS_Closes,"Unexcused missed exams",nrDIS_Outcome,"Retained",nrDIS_Approval,"Yes")+COUNTIFS(nrDIS_PID,$B21,nrDIS_Closes,"Unexcused missed exams",nrDIS_Outcome,"Retained w/ Plan",nrDIS_Approval,"Yes"),TRIM(IF(_xlpm.oe&gt;_xlpm.ce,"failed retest; ","")&amp;IF(_xlpm.os&gt;_xlpm.cs,"skills failed out; ","")&amp;IF(_xlpm.om&gt;_xlpm.cm,"unexcused missed exams; ","")&amp;IF(_xlpm.oi&gt;_xlpm.ci,"chain-of-command incident review; ",""))))</f>
        <v/>
      </c>
      <c r="V21" s="17">
        <f>IF($B21="","",IF(COUNTIFS(nrES_PID,$B21,nrES_Absence,"Excused",nrES_Raw,"")=0,"Yes","No"))</f>
        <v/>
      </c>
      <c r="W21" s="17">
        <f>IF($B21="","",IF(IFERROR(INDEX(nrENRall,MATCH($B21,rngCadetPIDs,0)),"")="Yes","Yes","No"))</f>
        <v/>
      </c>
      <c r="X21" s="17">
        <f>IF($B21="","",IF(SkillsCheck!$P21="No","No","Yes"))</f>
        <v/>
      </c>
    </row>
    <row r="22">
      <c r="B22" s="17">
        <f>IF(Cadets!$B22="","",Cadets!$B22)</f>
        <v/>
      </c>
      <c r="C22" s="17">
        <f>IF($B22="","",Cadets!$F22)</f>
        <v/>
      </c>
      <c r="D22" s="17">
        <f>IF($B22="","",Cadets!$I22)</f>
        <v/>
      </c>
      <c r="E22" s="17">
        <f>IF($B22="","",sysGrades!$V22)</f>
        <v/>
      </c>
      <c r="F22" s="17">
        <f>IF($B22="","",sysAttendance!$K22)</f>
        <v/>
      </c>
      <c r="G22" s="17">
        <f>IF($B22="","",sysAttendance!$S22)</f>
        <v/>
      </c>
      <c r="H22" s="17">
        <f>IF($B22="","",sysSkills!$K22)</f>
        <v/>
      </c>
      <c r="I22" s="17">
        <f>IF($B22="","",sysIncidents!$K22)</f>
        <v/>
      </c>
      <c r="J22" s="17">
        <f>IF($B22="","",IF(Writing!$AT22="Yes","Yes","No"))</f>
        <v/>
      </c>
      <c r="K22" s="17">
        <f>IF($B22="","",sysAttendance!$T22)</f>
        <v/>
      </c>
      <c r="L22" s="17">
        <f>IF($B22="","",IF(PT!$AB22="Yes","Yes",IF(PT!$AB22="No","No",IF(PT!$AB22="(rubric pending)","Pending",IF(PT!$AB22="Incomplete","Incomplete","Not taken")))))</f>
        <v/>
      </c>
      <c r="M22" s="17">
        <f>IF($B22="","",IF($U22="","No","Yes"))</f>
        <v/>
      </c>
      <c r="N22" s="17">
        <f>IF($B22="","",IF(AND($E22="Yes",$F22="Yes",$G22="Yes",$H22="Yes",$I22="Yes",$J22="Yes",$K22="Yes",$L22="Yes",$Q22="Yes",$R22="Yes",$S22="Yes",$T22="Yes",$M22="No",$V22="Yes",$W22="Yes",$X22="Yes"),"Yes","No"))</f>
        <v/>
      </c>
      <c r="O22" s="17">
        <f>IF($B22="","",IF($N22="Yes","Eligible",TRIM(IF($E22&lt;&gt;"Yes","Academic; ","")&amp;IF($R22&lt;&gt;"Yes","Exams not all recorded; ","")&amp;IF($F22&lt;&gt;"Yes","Classroom; ","")&amp;IF($G22&lt;&gt;"Yes","PT sessions; ","")&amp;IF($H22&lt;&gt;"Yes","Skills; ","")&amp;IF($S22&lt;&gt;"Yes","Skills not all assessed; ","")&amp;IF($T22&lt;&gt;"Yes","Firearms courses of fire; ","")&amp;IF($I22&lt;&gt;"Yes","Incidents; ","")&amp;IF($J22&lt;&gt;"Yes","Writing; ","")&amp;IF($K22&lt;&gt;"Yes","Makeup owed; ","")&amp;IF($L22="No","Final PT failed; ",IF($L22="Pending","Final PT rubric not set; ",IF($L22="Incomplete","Final PT partially scored; ",IF($L22&lt;&gt;"Yes","Final PT not assessed; ",""))))&amp;IF($Q22&lt;&gt;"Yes","Certs; ","")&amp;IF($V22&lt;&gt;"Yes","Exam pending (excused absence); ","")&amp;IF($W22&lt;&gt;"Yes","Enrollment documents; ","")&amp;IF($X22="Yes","",IF(SkillsCheck!$N22&lt;&gt;"","Skills FAILED ("&amp;SkillsCheck!$N22&amp;"); ","Skills not all passed ("&amp;SkillsCheck!$O22&amp;" not assessed); "))&amp;IF($M22="Yes","Dismissal review; ",""))))</f>
        <v/>
      </c>
      <c r="P22" s="17">
        <f>IF($B22="","",IF(PT!$AB22="Yes","Yes",IF(PT!$AB22="No","No",IF(PT!$AB22="(rubric pending)","Pending",IF(PT!$AB22="Incomplete","Incomplete","Not taken")))))</f>
        <v/>
      </c>
      <c r="Q22" s="17">
        <f>IF($B22="","",IF(Certifications!$T22="Yes","Yes","No"))</f>
        <v/>
      </c>
      <c r="R22" s="17">
        <f>IF($B22="","",_xlfn.LET(_xlpm.mj,COUNTIFS(rngEPuse,"Yes",rngEPtype,"Major"),_xlpm.mn,COUNTIFS(rngEPuse,"Yes",rngEPtype,"Minor"),_xlpm.fnl,COUNTIFS(rngEPuse,"Yes",rngEPtype,"Final"),IF(AND(N(sysGrades!$E22)&gt;0,N(sysGrades!$F22)&gt;0,N(sysGrades!$G22)&gt;0,N(sysGrades!$H22)&gt;0,N(sysGrades!$E22)&gt;=_xlpm.mj,N(sysGrades!$F22)&gt;=_xlpm.mn,N(sysGrades!$H22)&gt;=_xlpm.fnl),"Yes","No")))</f>
        <v/>
      </c>
      <c r="S22" s="17">
        <f>IF($B22="","",IF(N(sysSkills!$F22)&gt;=SUMPRODUCT((rngSM_cat&lt;&gt;"")*1),"Yes","No"))</f>
        <v/>
      </c>
      <c r="T22" s="17">
        <f>IF($B22="","",IF(sysSkills!$P22="Yes","Yes","No"))</f>
        <v/>
      </c>
      <c r="U22" s="17">
        <f>IF($B22="","",_xlfn.LET(_xlpm.oe,N(sysGrades!$P22),_xlpm.os,N(sysSkills!$I22),_xlpm.oi,N(sysIncidents!$J22),_xlpm.ce,COUNTIFS(nrDIS_PID,$B22,nrDIS_Closes,"Failed retest (exam)",nrDIS_Outcome,"Retained",nrDIS_Approval,"Yes")+COUNTIFS(nrDIS_PID,$B22,nrDIS_Closes,"Failed retest (exam)",nrDIS_Outcome,"Retained w/ Plan",nrDIS_Approval,"Yes"),_xlpm.cs,COUNTIFS(nrDIS_PID,$B22,nrDIS_Closes,"Skills failed out",nrDIS_Outcome,"Retained",nrDIS_Approval,"Yes")+COUNTIFS(nrDIS_PID,$B22,nrDIS_Closes,"Skills failed out",nrDIS_Outcome,"Retained w/ Plan",nrDIS_Approval,"Yes"),_xlpm.ci,COUNTIFS(nrDIS_PID,$B22,nrDIS_Closes,"Chain-of-command incident review",nrDIS_Outcome,"Retained",nrDIS_Approval,"Yes")+COUNTIFS(nrDIS_PID,$B22,nrDIS_Closes,"Chain-of-command incident review",nrDIS_Outcome,"Retained w/ Plan",nrDIS_Approval,"Yes"),_xlpm.om,MAX(0,COUNTIFS(nrES_PID,$B22,nrES_Absence,"Unexcused")-1),_xlpm.cm,COUNTIFS(nrDIS_PID,$B22,nrDIS_Closes,"Unexcused missed exams",nrDIS_Outcome,"Retained",nrDIS_Approval,"Yes")+COUNTIFS(nrDIS_PID,$B22,nrDIS_Closes,"Unexcused missed exams",nrDIS_Outcome,"Retained w/ Plan",nrDIS_Approval,"Yes"),TRIM(IF(_xlpm.oe&gt;_xlpm.ce,"failed retest; ","")&amp;IF(_xlpm.os&gt;_xlpm.cs,"skills failed out; ","")&amp;IF(_xlpm.om&gt;_xlpm.cm,"unexcused missed exams; ","")&amp;IF(_xlpm.oi&gt;_xlpm.ci,"chain-of-command incident review; ",""))))</f>
        <v/>
      </c>
      <c r="V22" s="17">
        <f>IF($B22="","",IF(COUNTIFS(nrES_PID,$B22,nrES_Absence,"Excused",nrES_Raw,"")=0,"Yes","No"))</f>
        <v/>
      </c>
      <c r="W22" s="17">
        <f>IF($B22="","",IF(IFERROR(INDEX(nrENRall,MATCH($B22,rngCadetPIDs,0)),"")="Yes","Yes","No"))</f>
        <v/>
      </c>
      <c r="X22" s="17">
        <f>IF($B22="","",IF(SkillsCheck!$P22="No","No","Yes"))</f>
        <v/>
      </c>
    </row>
    <row r="23">
      <c r="B23" s="17">
        <f>IF(Cadets!$B23="","",Cadets!$B23)</f>
        <v/>
      </c>
      <c r="C23" s="17">
        <f>IF($B23="","",Cadets!$F23)</f>
        <v/>
      </c>
      <c r="D23" s="17">
        <f>IF($B23="","",Cadets!$I23)</f>
        <v/>
      </c>
      <c r="E23" s="17">
        <f>IF($B23="","",sysGrades!$V23)</f>
        <v/>
      </c>
      <c r="F23" s="17">
        <f>IF($B23="","",sysAttendance!$K23)</f>
        <v/>
      </c>
      <c r="G23" s="17">
        <f>IF($B23="","",sysAttendance!$S23)</f>
        <v/>
      </c>
      <c r="H23" s="17">
        <f>IF($B23="","",sysSkills!$K23)</f>
        <v/>
      </c>
      <c r="I23" s="17">
        <f>IF($B23="","",sysIncidents!$K23)</f>
        <v/>
      </c>
      <c r="J23" s="17">
        <f>IF($B23="","",IF(Writing!$AT23="Yes","Yes","No"))</f>
        <v/>
      </c>
      <c r="K23" s="17">
        <f>IF($B23="","",sysAttendance!$T23)</f>
        <v/>
      </c>
      <c r="L23" s="17">
        <f>IF($B23="","",IF(PT!$AB23="Yes","Yes",IF(PT!$AB23="No","No",IF(PT!$AB23="(rubric pending)","Pending",IF(PT!$AB23="Incomplete","Incomplete","Not taken")))))</f>
        <v/>
      </c>
      <c r="M23" s="17">
        <f>IF($B23="","",IF($U23="","No","Yes"))</f>
        <v/>
      </c>
      <c r="N23" s="17">
        <f>IF($B23="","",IF(AND($E23="Yes",$F23="Yes",$G23="Yes",$H23="Yes",$I23="Yes",$J23="Yes",$K23="Yes",$L23="Yes",$Q23="Yes",$R23="Yes",$S23="Yes",$T23="Yes",$M23="No",$V23="Yes",$W23="Yes",$X23="Yes"),"Yes","No"))</f>
        <v/>
      </c>
      <c r="O23" s="17">
        <f>IF($B23="","",IF($N23="Yes","Eligible",TRIM(IF($E23&lt;&gt;"Yes","Academic; ","")&amp;IF($R23&lt;&gt;"Yes","Exams not all recorded; ","")&amp;IF($F23&lt;&gt;"Yes","Classroom; ","")&amp;IF($G23&lt;&gt;"Yes","PT sessions; ","")&amp;IF($H23&lt;&gt;"Yes","Skills; ","")&amp;IF($S23&lt;&gt;"Yes","Skills not all assessed; ","")&amp;IF($T23&lt;&gt;"Yes","Firearms courses of fire; ","")&amp;IF($I23&lt;&gt;"Yes","Incidents; ","")&amp;IF($J23&lt;&gt;"Yes","Writing; ","")&amp;IF($K23&lt;&gt;"Yes","Makeup owed; ","")&amp;IF($L23="No","Final PT failed; ",IF($L23="Pending","Final PT rubric not set; ",IF($L23="Incomplete","Final PT partially scored; ",IF($L23&lt;&gt;"Yes","Final PT not assessed; ",""))))&amp;IF($Q23&lt;&gt;"Yes","Certs; ","")&amp;IF($V23&lt;&gt;"Yes","Exam pending (excused absence); ","")&amp;IF($W23&lt;&gt;"Yes","Enrollment documents; ","")&amp;IF($X23="Yes","",IF(SkillsCheck!$N23&lt;&gt;"","Skills FAILED ("&amp;SkillsCheck!$N23&amp;"); ","Skills not all passed ("&amp;SkillsCheck!$O23&amp;" not assessed); "))&amp;IF($M23="Yes","Dismissal review; ",""))))</f>
        <v/>
      </c>
      <c r="P23" s="17">
        <f>IF($B23="","",IF(PT!$AB23="Yes","Yes",IF(PT!$AB23="No","No",IF(PT!$AB23="(rubric pending)","Pending",IF(PT!$AB23="Incomplete","Incomplete","Not taken")))))</f>
        <v/>
      </c>
      <c r="Q23" s="17">
        <f>IF($B23="","",IF(Certifications!$T23="Yes","Yes","No"))</f>
        <v/>
      </c>
      <c r="R23" s="17">
        <f>IF($B23="","",_xlfn.LET(_xlpm.mj,COUNTIFS(rngEPuse,"Yes",rngEPtype,"Major"),_xlpm.mn,COUNTIFS(rngEPuse,"Yes",rngEPtype,"Minor"),_xlpm.fnl,COUNTIFS(rngEPuse,"Yes",rngEPtype,"Final"),IF(AND(N(sysGrades!$E23)&gt;0,N(sysGrades!$F23)&gt;0,N(sysGrades!$G23)&gt;0,N(sysGrades!$H23)&gt;0,N(sysGrades!$E23)&gt;=_xlpm.mj,N(sysGrades!$F23)&gt;=_xlpm.mn,N(sysGrades!$H23)&gt;=_xlpm.fnl),"Yes","No")))</f>
        <v/>
      </c>
      <c r="S23" s="17">
        <f>IF($B23="","",IF(N(sysSkills!$F23)&gt;=SUMPRODUCT((rngSM_cat&lt;&gt;"")*1),"Yes","No"))</f>
        <v/>
      </c>
      <c r="T23" s="17">
        <f>IF($B23="","",IF(sysSkills!$P23="Yes","Yes","No"))</f>
        <v/>
      </c>
      <c r="U23" s="17">
        <f>IF($B23="","",_xlfn.LET(_xlpm.oe,N(sysGrades!$P23),_xlpm.os,N(sysSkills!$I23),_xlpm.oi,N(sysIncidents!$J23),_xlpm.ce,COUNTIFS(nrDIS_PID,$B23,nrDIS_Closes,"Failed retest (exam)",nrDIS_Outcome,"Retained",nrDIS_Approval,"Yes")+COUNTIFS(nrDIS_PID,$B23,nrDIS_Closes,"Failed retest (exam)",nrDIS_Outcome,"Retained w/ Plan",nrDIS_Approval,"Yes"),_xlpm.cs,COUNTIFS(nrDIS_PID,$B23,nrDIS_Closes,"Skills failed out",nrDIS_Outcome,"Retained",nrDIS_Approval,"Yes")+COUNTIFS(nrDIS_PID,$B23,nrDIS_Closes,"Skills failed out",nrDIS_Outcome,"Retained w/ Plan",nrDIS_Approval,"Yes"),_xlpm.ci,COUNTIFS(nrDIS_PID,$B23,nrDIS_Closes,"Chain-of-command incident review",nrDIS_Outcome,"Retained",nrDIS_Approval,"Yes")+COUNTIFS(nrDIS_PID,$B23,nrDIS_Closes,"Chain-of-command incident review",nrDIS_Outcome,"Retained w/ Plan",nrDIS_Approval,"Yes"),_xlpm.om,MAX(0,COUNTIFS(nrES_PID,$B23,nrES_Absence,"Unexcused")-1),_xlpm.cm,COUNTIFS(nrDIS_PID,$B23,nrDIS_Closes,"Unexcused missed exams",nrDIS_Outcome,"Retained",nrDIS_Approval,"Yes")+COUNTIFS(nrDIS_PID,$B23,nrDIS_Closes,"Unexcused missed exams",nrDIS_Outcome,"Retained w/ Plan",nrDIS_Approval,"Yes"),TRIM(IF(_xlpm.oe&gt;_xlpm.ce,"failed retest; ","")&amp;IF(_xlpm.os&gt;_xlpm.cs,"skills failed out; ","")&amp;IF(_xlpm.om&gt;_xlpm.cm,"unexcused missed exams; ","")&amp;IF(_xlpm.oi&gt;_xlpm.ci,"chain-of-command incident review; ",""))))</f>
        <v/>
      </c>
      <c r="V23" s="17">
        <f>IF($B23="","",IF(COUNTIFS(nrES_PID,$B23,nrES_Absence,"Excused",nrES_Raw,"")=0,"Yes","No"))</f>
        <v/>
      </c>
      <c r="W23" s="17">
        <f>IF($B23="","",IF(IFERROR(INDEX(nrENRall,MATCH($B23,rngCadetPIDs,0)),"")="Yes","Yes","No"))</f>
        <v/>
      </c>
      <c r="X23" s="17">
        <f>IF($B23="","",IF(SkillsCheck!$P23="No","No","Yes"))</f>
        <v/>
      </c>
    </row>
    <row r="24">
      <c r="B24" s="17">
        <f>IF(Cadets!$B24="","",Cadets!$B24)</f>
        <v/>
      </c>
      <c r="C24" s="17">
        <f>IF($B24="","",Cadets!$F24)</f>
        <v/>
      </c>
      <c r="D24" s="17">
        <f>IF($B24="","",Cadets!$I24)</f>
        <v/>
      </c>
      <c r="E24" s="17">
        <f>IF($B24="","",sysGrades!$V24)</f>
        <v/>
      </c>
      <c r="F24" s="17">
        <f>IF($B24="","",sysAttendance!$K24)</f>
        <v/>
      </c>
      <c r="G24" s="17">
        <f>IF($B24="","",sysAttendance!$S24)</f>
        <v/>
      </c>
      <c r="H24" s="17">
        <f>IF($B24="","",sysSkills!$K24)</f>
        <v/>
      </c>
      <c r="I24" s="17">
        <f>IF($B24="","",sysIncidents!$K24)</f>
        <v/>
      </c>
      <c r="J24" s="17">
        <f>IF($B24="","",IF(Writing!$AT24="Yes","Yes","No"))</f>
        <v/>
      </c>
      <c r="K24" s="17">
        <f>IF($B24="","",sysAttendance!$T24)</f>
        <v/>
      </c>
      <c r="L24" s="17">
        <f>IF($B24="","",IF(PT!$AB24="Yes","Yes",IF(PT!$AB24="No","No",IF(PT!$AB24="(rubric pending)","Pending",IF(PT!$AB24="Incomplete","Incomplete","Not taken")))))</f>
        <v/>
      </c>
      <c r="M24" s="17">
        <f>IF($B24="","",IF($U24="","No","Yes"))</f>
        <v/>
      </c>
      <c r="N24" s="17">
        <f>IF($B24="","",IF(AND($E24="Yes",$F24="Yes",$G24="Yes",$H24="Yes",$I24="Yes",$J24="Yes",$K24="Yes",$L24="Yes",$Q24="Yes",$R24="Yes",$S24="Yes",$T24="Yes",$M24="No",$V24="Yes",$W24="Yes",$X24="Yes"),"Yes","No"))</f>
        <v/>
      </c>
      <c r="O24" s="17">
        <f>IF($B24="","",IF($N24="Yes","Eligible",TRIM(IF($E24&lt;&gt;"Yes","Academic; ","")&amp;IF($R24&lt;&gt;"Yes","Exams not all recorded; ","")&amp;IF($F24&lt;&gt;"Yes","Classroom; ","")&amp;IF($G24&lt;&gt;"Yes","PT sessions; ","")&amp;IF($H24&lt;&gt;"Yes","Skills; ","")&amp;IF($S24&lt;&gt;"Yes","Skills not all assessed; ","")&amp;IF($T24&lt;&gt;"Yes","Firearms courses of fire; ","")&amp;IF($I24&lt;&gt;"Yes","Incidents; ","")&amp;IF($J24&lt;&gt;"Yes","Writing; ","")&amp;IF($K24&lt;&gt;"Yes","Makeup owed; ","")&amp;IF($L24="No","Final PT failed; ",IF($L24="Pending","Final PT rubric not set; ",IF($L24="Incomplete","Final PT partially scored; ",IF($L24&lt;&gt;"Yes","Final PT not assessed; ",""))))&amp;IF($Q24&lt;&gt;"Yes","Certs; ","")&amp;IF($V24&lt;&gt;"Yes","Exam pending (excused absence); ","")&amp;IF($W24&lt;&gt;"Yes","Enrollment documents; ","")&amp;IF($X24="Yes","",IF(SkillsCheck!$N24&lt;&gt;"","Skills FAILED ("&amp;SkillsCheck!$N24&amp;"); ","Skills not all passed ("&amp;SkillsCheck!$O24&amp;" not assessed); "))&amp;IF($M24="Yes","Dismissal review; ",""))))</f>
        <v/>
      </c>
      <c r="P24" s="17">
        <f>IF($B24="","",IF(PT!$AB24="Yes","Yes",IF(PT!$AB24="No","No",IF(PT!$AB24="(rubric pending)","Pending",IF(PT!$AB24="Incomplete","Incomplete","Not taken")))))</f>
        <v/>
      </c>
      <c r="Q24" s="17">
        <f>IF($B24="","",IF(Certifications!$T24="Yes","Yes","No"))</f>
        <v/>
      </c>
      <c r="R24" s="17">
        <f>IF($B24="","",_xlfn.LET(_xlpm.mj,COUNTIFS(rngEPuse,"Yes",rngEPtype,"Major"),_xlpm.mn,COUNTIFS(rngEPuse,"Yes",rngEPtype,"Minor"),_xlpm.fnl,COUNTIFS(rngEPuse,"Yes",rngEPtype,"Final"),IF(AND(N(sysGrades!$E24)&gt;0,N(sysGrades!$F24)&gt;0,N(sysGrades!$G24)&gt;0,N(sysGrades!$H24)&gt;0,N(sysGrades!$E24)&gt;=_xlpm.mj,N(sysGrades!$F24)&gt;=_xlpm.mn,N(sysGrades!$H24)&gt;=_xlpm.fnl),"Yes","No")))</f>
        <v/>
      </c>
      <c r="S24" s="17">
        <f>IF($B24="","",IF(N(sysSkills!$F24)&gt;=SUMPRODUCT((rngSM_cat&lt;&gt;"")*1),"Yes","No"))</f>
        <v/>
      </c>
      <c r="T24" s="17">
        <f>IF($B24="","",IF(sysSkills!$P24="Yes","Yes","No"))</f>
        <v/>
      </c>
      <c r="U24" s="17">
        <f>IF($B24="","",_xlfn.LET(_xlpm.oe,N(sysGrades!$P24),_xlpm.os,N(sysSkills!$I24),_xlpm.oi,N(sysIncidents!$J24),_xlpm.ce,COUNTIFS(nrDIS_PID,$B24,nrDIS_Closes,"Failed retest (exam)",nrDIS_Outcome,"Retained",nrDIS_Approval,"Yes")+COUNTIFS(nrDIS_PID,$B24,nrDIS_Closes,"Failed retest (exam)",nrDIS_Outcome,"Retained w/ Plan",nrDIS_Approval,"Yes"),_xlpm.cs,COUNTIFS(nrDIS_PID,$B24,nrDIS_Closes,"Skills failed out",nrDIS_Outcome,"Retained",nrDIS_Approval,"Yes")+COUNTIFS(nrDIS_PID,$B24,nrDIS_Closes,"Skills failed out",nrDIS_Outcome,"Retained w/ Plan",nrDIS_Approval,"Yes"),_xlpm.ci,COUNTIFS(nrDIS_PID,$B24,nrDIS_Closes,"Chain-of-command incident review",nrDIS_Outcome,"Retained",nrDIS_Approval,"Yes")+COUNTIFS(nrDIS_PID,$B24,nrDIS_Closes,"Chain-of-command incident review",nrDIS_Outcome,"Retained w/ Plan",nrDIS_Approval,"Yes"),_xlpm.om,MAX(0,COUNTIFS(nrES_PID,$B24,nrES_Absence,"Unexcused")-1),_xlpm.cm,COUNTIFS(nrDIS_PID,$B24,nrDIS_Closes,"Unexcused missed exams",nrDIS_Outcome,"Retained",nrDIS_Approval,"Yes")+COUNTIFS(nrDIS_PID,$B24,nrDIS_Closes,"Unexcused missed exams",nrDIS_Outcome,"Retained w/ Plan",nrDIS_Approval,"Yes"),TRIM(IF(_xlpm.oe&gt;_xlpm.ce,"failed retest; ","")&amp;IF(_xlpm.os&gt;_xlpm.cs,"skills failed out; ","")&amp;IF(_xlpm.om&gt;_xlpm.cm,"unexcused missed exams; ","")&amp;IF(_xlpm.oi&gt;_xlpm.ci,"chain-of-command incident review; ",""))))</f>
        <v/>
      </c>
      <c r="V24" s="17">
        <f>IF($B24="","",IF(COUNTIFS(nrES_PID,$B24,nrES_Absence,"Excused",nrES_Raw,"")=0,"Yes","No"))</f>
        <v/>
      </c>
      <c r="W24" s="17">
        <f>IF($B24="","",IF(IFERROR(INDEX(nrENRall,MATCH($B24,rngCadetPIDs,0)),"")="Yes","Yes","No"))</f>
        <v/>
      </c>
      <c r="X24" s="17">
        <f>IF($B24="","",IF(SkillsCheck!$P24="No","No","Yes"))</f>
        <v/>
      </c>
    </row>
    <row r="25">
      <c r="B25" s="17">
        <f>IF(Cadets!$B25="","",Cadets!$B25)</f>
        <v/>
      </c>
      <c r="C25" s="17">
        <f>IF($B25="","",Cadets!$F25)</f>
        <v/>
      </c>
      <c r="D25" s="17">
        <f>IF($B25="","",Cadets!$I25)</f>
        <v/>
      </c>
      <c r="E25" s="17">
        <f>IF($B25="","",sysGrades!$V25)</f>
        <v/>
      </c>
      <c r="F25" s="17">
        <f>IF($B25="","",sysAttendance!$K25)</f>
        <v/>
      </c>
      <c r="G25" s="17">
        <f>IF($B25="","",sysAttendance!$S25)</f>
        <v/>
      </c>
      <c r="H25" s="17">
        <f>IF($B25="","",sysSkills!$K25)</f>
        <v/>
      </c>
      <c r="I25" s="17">
        <f>IF($B25="","",sysIncidents!$K25)</f>
        <v/>
      </c>
      <c r="J25" s="17">
        <f>IF($B25="","",IF(Writing!$AT25="Yes","Yes","No"))</f>
        <v/>
      </c>
      <c r="K25" s="17">
        <f>IF($B25="","",sysAttendance!$T25)</f>
        <v/>
      </c>
      <c r="L25" s="17">
        <f>IF($B25="","",IF(PT!$AB25="Yes","Yes",IF(PT!$AB25="No","No",IF(PT!$AB25="(rubric pending)","Pending",IF(PT!$AB25="Incomplete","Incomplete","Not taken")))))</f>
        <v/>
      </c>
      <c r="M25" s="17">
        <f>IF($B25="","",IF($U25="","No","Yes"))</f>
        <v/>
      </c>
      <c r="N25" s="17">
        <f>IF($B25="","",IF(AND($E25="Yes",$F25="Yes",$G25="Yes",$H25="Yes",$I25="Yes",$J25="Yes",$K25="Yes",$L25="Yes",$Q25="Yes",$R25="Yes",$S25="Yes",$T25="Yes",$M25="No",$V25="Yes",$W25="Yes",$X25="Yes"),"Yes","No"))</f>
        <v/>
      </c>
      <c r="O25" s="17">
        <f>IF($B25="","",IF($N25="Yes","Eligible",TRIM(IF($E25&lt;&gt;"Yes","Academic; ","")&amp;IF($R25&lt;&gt;"Yes","Exams not all recorded; ","")&amp;IF($F25&lt;&gt;"Yes","Classroom; ","")&amp;IF($G25&lt;&gt;"Yes","PT sessions; ","")&amp;IF($H25&lt;&gt;"Yes","Skills; ","")&amp;IF($S25&lt;&gt;"Yes","Skills not all assessed; ","")&amp;IF($T25&lt;&gt;"Yes","Firearms courses of fire; ","")&amp;IF($I25&lt;&gt;"Yes","Incidents; ","")&amp;IF($J25&lt;&gt;"Yes","Writing; ","")&amp;IF($K25&lt;&gt;"Yes","Makeup owed; ","")&amp;IF($L25="No","Final PT failed; ",IF($L25="Pending","Final PT rubric not set; ",IF($L25="Incomplete","Final PT partially scored; ",IF($L25&lt;&gt;"Yes","Final PT not assessed; ",""))))&amp;IF($Q25&lt;&gt;"Yes","Certs; ","")&amp;IF($V25&lt;&gt;"Yes","Exam pending (excused absence); ","")&amp;IF($W25&lt;&gt;"Yes","Enrollment documents; ","")&amp;IF($X25="Yes","",IF(SkillsCheck!$N25&lt;&gt;"","Skills FAILED ("&amp;SkillsCheck!$N25&amp;"); ","Skills not all passed ("&amp;SkillsCheck!$O25&amp;" not assessed); "))&amp;IF($M25="Yes","Dismissal review; ",""))))</f>
        <v/>
      </c>
      <c r="P25" s="17">
        <f>IF($B25="","",IF(PT!$AB25="Yes","Yes",IF(PT!$AB25="No","No",IF(PT!$AB25="(rubric pending)","Pending",IF(PT!$AB25="Incomplete","Incomplete","Not taken")))))</f>
        <v/>
      </c>
      <c r="Q25" s="17">
        <f>IF($B25="","",IF(Certifications!$T25="Yes","Yes","No"))</f>
        <v/>
      </c>
      <c r="R25" s="17">
        <f>IF($B25="","",_xlfn.LET(_xlpm.mj,COUNTIFS(rngEPuse,"Yes",rngEPtype,"Major"),_xlpm.mn,COUNTIFS(rngEPuse,"Yes",rngEPtype,"Minor"),_xlpm.fnl,COUNTIFS(rngEPuse,"Yes",rngEPtype,"Final"),IF(AND(N(sysGrades!$E25)&gt;0,N(sysGrades!$F25)&gt;0,N(sysGrades!$G25)&gt;0,N(sysGrades!$H25)&gt;0,N(sysGrades!$E25)&gt;=_xlpm.mj,N(sysGrades!$F25)&gt;=_xlpm.mn,N(sysGrades!$H25)&gt;=_xlpm.fnl),"Yes","No")))</f>
        <v/>
      </c>
      <c r="S25" s="17">
        <f>IF($B25="","",IF(N(sysSkills!$F25)&gt;=SUMPRODUCT((rngSM_cat&lt;&gt;"")*1),"Yes","No"))</f>
        <v/>
      </c>
      <c r="T25" s="17">
        <f>IF($B25="","",IF(sysSkills!$P25="Yes","Yes","No"))</f>
        <v/>
      </c>
      <c r="U25" s="17">
        <f>IF($B25="","",_xlfn.LET(_xlpm.oe,N(sysGrades!$P25),_xlpm.os,N(sysSkills!$I25),_xlpm.oi,N(sysIncidents!$J25),_xlpm.ce,COUNTIFS(nrDIS_PID,$B25,nrDIS_Closes,"Failed retest (exam)",nrDIS_Outcome,"Retained",nrDIS_Approval,"Yes")+COUNTIFS(nrDIS_PID,$B25,nrDIS_Closes,"Failed retest (exam)",nrDIS_Outcome,"Retained w/ Plan",nrDIS_Approval,"Yes"),_xlpm.cs,COUNTIFS(nrDIS_PID,$B25,nrDIS_Closes,"Skills failed out",nrDIS_Outcome,"Retained",nrDIS_Approval,"Yes")+COUNTIFS(nrDIS_PID,$B25,nrDIS_Closes,"Skills failed out",nrDIS_Outcome,"Retained w/ Plan",nrDIS_Approval,"Yes"),_xlpm.ci,COUNTIFS(nrDIS_PID,$B25,nrDIS_Closes,"Chain-of-command incident review",nrDIS_Outcome,"Retained",nrDIS_Approval,"Yes")+COUNTIFS(nrDIS_PID,$B25,nrDIS_Closes,"Chain-of-command incident review",nrDIS_Outcome,"Retained w/ Plan",nrDIS_Approval,"Yes"),_xlpm.om,MAX(0,COUNTIFS(nrES_PID,$B25,nrES_Absence,"Unexcused")-1),_xlpm.cm,COUNTIFS(nrDIS_PID,$B25,nrDIS_Closes,"Unexcused missed exams",nrDIS_Outcome,"Retained",nrDIS_Approval,"Yes")+COUNTIFS(nrDIS_PID,$B25,nrDIS_Closes,"Unexcused missed exams",nrDIS_Outcome,"Retained w/ Plan",nrDIS_Approval,"Yes"),TRIM(IF(_xlpm.oe&gt;_xlpm.ce,"failed retest; ","")&amp;IF(_xlpm.os&gt;_xlpm.cs,"skills failed out; ","")&amp;IF(_xlpm.om&gt;_xlpm.cm,"unexcused missed exams; ","")&amp;IF(_xlpm.oi&gt;_xlpm.ci,"chain-of-command incident review; ",""))))</f>
        <v/>
      </c>
      <c r="V25" s="17">
        <f>IF($B25="","",IF(COUNTIFS(nrES_PID,$B25,nrES_Absence,"Excused",nrES_Raw,"")=0,"Yes","No"))</f>
        <v/>
      </c>
      <c r="W25" s="17">
        <f>IF($B25="","",IF(IFERROR(INDEX(nrENRall,MATCH($B25,rngCadetPIDs,0)),"")="Yes","Yes","No"))</f>
        <v/>
      </c>
      <c r="X25" s="17">
        <f>IF($B25="","",IF(SkillsCheck!$P25="No","No","Yes"))</f>
        <v/>
      </c>
    </row>
    <row r="26">
      <c r="B26" s="17">
        <f>IF(Cadets!$B26="","",Cadets!$B26)</f>
        <v/>
      </c>
      <c r="C26" s="17">
        <f>IF($B26="","",Cadets!$F26)</f>
        <v/>
      </c>
      <c r="D26" s="17">
        <f>IF($B26="","",Cadets!$I26)</f>
        <v/>
      </c>
      <c r="E26" s="17">
        <f>IF($B26="","",sysGrades!$V26)</f>
        <v/>
      </c>
      <c r="F26" s="17">
        <f>IF($B26="","",sysAttendance!$K26)</f>
        <v/>
      </c>
      <c r="G26" s="17">
        <f>IF($B26="","",sysAttendance!$S26)</f>
        <v/>
      </c>
      <c r="H26" s="17">
        <f>IF($B26="","",sysSkills!$K26)</f>
        <v/>
      </c>
      <c r="I26" s="17">
        <f>IF($B26="","",sysIncidents!$K26)</f>
        <v/>
      </c>
      <c r="J26" s="17">
        <f>IF($B26="","",IF(Writing!$AT26="Yes","Yes","No"))</f>
        <v/>
      </c>
      <c r="K26" s="17">
        <f>IF($B26="","",sysAttendance!$T26)</f>
        <v/>
      </c>
      <c r="L26" s="17">
        <f>IF($B26="","",IF(PT!$AB26="Yes","Yes",IF(PT!$AB26="No","No",IF(PT!$AB26="(rubric pending)","Pending",IF(PT!$AB26="Incomplete","Incomplete","Not taken")))))</f>
        <v/>
      </c>
      <c r="M26" s="17">
        <f>IF($B26="","",IF($U26="","No","Yes"))</f>
        <v/>
      </c>
      <c r="N26" s="17">
        <f>IF($B26="","",IF(AND($E26="Yes",$F26="Yes",$G26="Yes",$H26="Yes",$I26="Yes",$J26="Yes",$K26="Yes",$L26="Yes",$Q26="Yes",$R26="Yes",$S26="Yes",$T26="Yes",$M26="No",$V26="Yes",$W26="Yes",$X26="Yes"),"Yes","No"))</f>
        <v/>
      </c>
      <c r="O26" s="17">
        <f>IF($B26="","",IF($N26="Yes","Eligible",TRIM(IF($E26&lt;&gt;"Yes","Academic; ","")&amp;IF($R26&lt;&gt;"Yes","Exams not all recorded; ","")&amp;IF($F26&lt;&gt;"Yes","Classroom; ","")&amp;IF($G26&lt;&gt;"Yes","PT sessions; ","")&amp;IF($H26&lt;&gt;"Yes","Skills; ","")&amp;IF($S26&lt;&gt;"Yes","Skills not all assessed; ","")&amp;IF($T26&lt;&gt;"Yes","Firearms courses of fire; ","")&amp;IF($I26&lt;&gt;"Yes","Incidents; ","")&amp;IF($J26&lt;&gt;"Yes","Writing; ","")&amp;IF($K26&lt;&gt;"Yes","Makeup owed; ","")&amp;IF($L26="No","Final PT failed; ",IF($L26="Pending","Final PT rubric not set; ",IF($L26="Incomplete","Final PT partially scored; ",IF($L26&lt;&gt;"Yes","Final PT not assessed; ",""))))&amp;IF($Q26&lt;&gt;"Yes","Certs; ","")&amp;IF($V26&lt;&gt;"Yes","Exam pending (excused absence); ","")&amp;IF($W26&lt;&gt;"Yes","Enrollment documents; ","")&amp;IF($X26="Yes","",IF(SkillsCheck!$N26&lt;&gt;"","Skills FAILED ("&amp;SkillsCheck!$N26&amp;"); ","Skills not all passed ("&amp;SkillsCheck!$O26&amp;" not assessed); "))&amp;IF($M26="Yes","Dismissal review; ",""))))</f>
        <v/>
      </c>
      <c r="P26" s="17">
        <f>IF($B26="","",IF(PT!$AB26="Yes","Yes",IF(PT!$AB26="No","No",IF(PT!$AB26="(rubric pending)","Pending",IF(PT!$AB26="Incomplete","Incomplete","Not taken")))))</f>
        <v/>
      </c>
      <c r="Q26" s="17">
        <f>IF($B26="","",IF(Certifications!$T26="Yes","Yes","No"))</f>
        <v/>
      </c>
      <c r="R26" s="17">
        <f>IF($B26="","",_xlfn.LET(_xlpm.mj,COUNTIFS(rngEPuse,"Yes",rngEPtype,"Major"),_xlpm.mn,COUNTIFS(rngEPuse,"Yes",rngEPtype,"Minor"),_xlpm.fnl,COUNTIFS(rngEPuse,"Yes",rngEPtype,"Final"),IF(AND(N(sysGrades!$E26)&gt;0,N(sysGrades!$F26)&gt;0,N(sysGrades!$G26)&gt;0,N(sysGrades!$H26)&gt;0,N(sysGrades!$E26)&gt;=_xlpm.mj,N(sysGrades!$F26)&gt;=_xlpm.mn,N(sysGrades!$H26)&gt;=_xlpm.fnl),"Yes","No")))</f>
        <v/>
      </c>
      <c r="S26" s="17">
        <f>IF($B26="","",IF(N(sysSkills!$F26)&gt;=SUMPRODUCT((rngSM_cat&lt;&gt;"")*1),"Yes","No"))</f>
        <v/>
      </c>
      <c r="T26" s="17">
        <f>IF($B26="","",IF(sysSkills!$P26="Yes","Yes","No"))</f>
        <v/>
      </c>
      <c r="U26" s="17">
        <f>IF($B26="","",_xlfn.LET(_xlpm.oe,N(sysGrades!$P26),_xlpm.os,N(sysSkills!$I26),_xlpm.oi,N(sysIncidents!$J26),_xlpm.ce,COUNTIFS(nrDIS_PID,$B26,nrDIS_Closes,"Failed retest (exam)",nrDIS_Outcome,"Retained",nrDIS_Approval,"Yes")+COUNTIFS(nrDIS_PID,$B26,nrDIS_Closes,"Failed retest (exam)",nrDIS_Outcome,"Retained w/ Plan",nrDIS_Approval,"Yes"),_xlpm.cs,COUNTIFS(nrDIS_PID,$B26,nrDIS_Closes,"Skills failed out",nrDIS_Outcome,"Retained",nrDIS_Approval,"Yes")+COUNTIFS(nrDIS_PID,$B26,nrDIS_Closes,"Skills failed out",nrDIS_Outcome,"Retained w/ Plan",nrDIS_Approval,"Yes"),_xlpm.ci,COUNTIFS(nrDIS_PID,$B26,nrDIS_Closes,"Chain-of-command incident review",nrDIS_Outcome,"Retained",nrDIS_Approval,"Yes")+COUNTIFS(nrDIS_PID,$B26,nrDIS_Closes,"Chain-of-command incident review",nrDIS_Outcome,"Retained w/ Plan",nrDIS_Approval,"Yes"),_xlpm.om,MAX(0,COUNTIFS(nrES_PID,$B26,nrES_Absence,"Unexcused")-1),_xlpm.cm,COUNTIFS(nrDIS_PID,$B26,nrDIS_Closes,"Unexcused missed exams",nrDIS_Outcome,"Retained",nrDIS_Approval,"Yes")+COUNTIFS(nrDIS_PID,$B26,nrDIS_Closes,"Unexcused missed exams",nrDIS_Outcome,"Retained w/ Plan",nrDIS_Approval,"Yes"),TRIM(IF(_xlpm.oe&gt;_xlpm.ce,"failed retest; ","")&amp;IF(_xlpm.os&gt;_xlpm.cs,"skills failed out; ","")&amp;IF(_xlpm.om&gt;_xlpm.cm,"unexcused missed exams; ","")&amp;IF(_xlpm.oi&gt;_xlpm.ci,"chain-of-command incident review; ",""))))</f>
        <v/>
      </c>
      <c r="V26" s="17">
        <f>IF($B26="","",IF(COUNTIFS(nrES_PID,$B26,nrES_Absence,"Excused",nrES_Raw,"")=0,"Yes","No"))</f>
        <v/>
      </c>
      <c r="W26" s="17">
        <f>IF($B26="","",IF(IFERROR(INDEX(nrENRall,MATCH($B26,rngCadetPIDs,0)),"")="Yes","Yes","No"))</f>
        <v/>
      </c>
      <c r="X26" s="17">
        <f>IF($B26="","",IF(SkillsCheck!$P26="No","No","Yes"))</f>
        <v/>
      </c>
    </row>
    <row r="27">
      <c r="B27" s="17">
        <f>IF(Cadets!$B27="","",Cadets!$B27)</f>
        <v/>
      </c>
      <c r="C27" s="17">
        <f>IF($B27="","",Cadets!$F27)</f>
        <v/>
      </c>
      <c r="D27" s="17">
        <f>IF($B27="","",Cadets!$I27)</f>
        <v/>
      </c>
      <c r="E27" s="17">
        <f>IF($B27="","",sysGrades!$V27)</f>
        <v/>
      </c>
      <c r="F27" s="17">
        <f>IF($B27="","",sysAttendance!$K27)</f>
        <v/>
      </c>
      <c r="G27" s="17">
        <f>IF($B27="","",sysAttendance!$S27)</f>
        <v/>
      </c>
      <c r="H27" s="17">
        <f>IF($B27="","",sysSkills!$K27)</f>
        <v/>
      </c>
      <c r="I27" s="17">
        <f>IF($B27="","",sysIncidents!$K27)</f>
        <v/>
      </c>
      <c r="J27" s="17">
        <f>IF($B27="","",IF(Writing!$AT27="Yes","Yes","No"))</f>
        <v/>
      </c>
      <c r="K27" s="17">
        <f>IF($B27="","",sysAttendance!$T27)</f>
        <v/>
      </c>
      <c r="L27" s="17">
        <f>IF($B27="","",IF(PT!$AB27="Yes","Yes",IF(PT!$AB27="No","No",IF(PT!$AB27="(rubric pending)","Pending",IF(PT!$AB27="Incomplete","Incomplete","Not taken")))))</f>
        <v/>
      </c>
      <c r="M27" s="17">
        <f>IF($B27="","",IF($U27="","No","Yes"))</f>
        <v/>
      </c>
      <c r="N27" s="17">
        <f>IF($B27="","",IF(AND($E27="Yes",$F27="Yes",$G27="Yes",$H27="Yes",$I27="Yes",$J27="Yes",$K27="Yes",$L27="Yes",$Q27="Yes",$R27="Yes",$S27="Yes",$T27="Yes",$M27="No",$V27="Yes",$W27="Yes",$X27="Yes"),"Yes","No"))</f>
        <v/>
      </c>
      <c r="O27" s="17">
        <f>IF($B27="","",IF($N27="Yes","Eligible",TRIM(IF($E27&lt;&gt;"Yes","Academic; ","")&amp;IF($R27&lt;&gt;"Yes","Exams not all recorded; ","")&amp;IF($F27&lt;&gt;"Yes","Classroom; ","")&amp;IF($G27&lt;&gt;"Yes","PT sessions; ","")&amp;IF($H27&lt;&gt;"Yes","Skills; ","")&amp;IF($S27&lt;&gt;"Yes","Skills not all assessed; ","")&amp;IF($T27&lt;&gt;"Yes","Firearms courses of fire; ","")&amp;IF($I27&lt;&gt;"Yes","Incidents; ","")&amp;IF($J27&lt;&gt;"Yes","Writing; ","")&amp;IF($K27&lt;&gt;"Yes","Makeup owed; ","")&amp;IF($L27="No","Final PT failed; ",IF($L27="Pending","Final PT rubric not set; ",IF($L27="Incomplete","Final PT partially scored; ",IF($L27&lt;&gt;"Yes","Final PT not assessed; ",""))))&amp;IF($Q27&lt;&gt;"Yes","Certs; ","")&amp;IF($V27&lt;&gt;"Yes","Exam pending (excused absence); ","")&amp;IF($W27&lt;&gt;"Yes","Enrollment documents; ","")&amp;IF($X27="Yes","",IF(SkillsCheck!$N27&lt;&gt;"","Skills FAILED ("&amp;SkillsCheck!$N27&amp;"); ","Skills not all passed ("&amp;SkillsCheck!$O27&amp;" not assessed); "))&amp;IF($M27="Yes","Dismissal review; ",""))))</f>
        <v/>
      </c>
      <c r="P27" s="17">
        <f>IF($B27="","",IF(PT!$AB27="Yes","Yes",IF(PT!$AB27="No","No",IF(PT!$AB27="(rubric pending)","Pending",IF(PT!$AB27="Incomplete","Incomplete","Not taken")))))</f>
        <v/>
      </c>
      <c r="Q27" s="17">
        <f>IF($B27="","",IF(Certifications!$T27="Yes","Yes","No"))</f>
        <v/>
      </c>
      <c r="R27" s="17">
        <f>IF($B27="","",_xlfn.LET(_xlpm.mj,COUNTIFS(rngEPuse,"Yes",rngEPtype,"Major"),_xlpm.mn,COUNTIFS(rngEPuse,"Yes",rngEPtype,"Minor"),_xlpm.fnl,COUNTIFS(rngEPuse,"Yes",rngEPtype,"Final"),IF(AND(N(sysGrades!$E27)&gt;0,N(sysGrades!$F27)&gt;0,N(sysGrades!$G27)&gt;0,N(sysGrades!$H27)&gt;0,N(sysGrades!$E27)&gt;=_xlpm.mj,N(sysGrades!$F27)&gt;=_xlpm.mn,N(sysGrades!$H27)&gt;=_xlpm.fnl),"Yes","No")))</f>
        <v/>
      </c>
      <c r="S27" s="17">
        <f>IF($B27="","",IF(N(sysSkills!$F27)&gt;=SUMPRODUCT((rngSM_cat&lt;&gt;"")*1),"Yes","No"))</f>
        <v/>
      </c>
      <c r="T27" s="17">
        <f>IF($B27="","",IF(sysSkills!$P27="Yes","Yes","No"))</f>
        <v/>
      </c>
      <c r="U27" s="17">
        <f>IF($B27="","",_xlfn.LET(_xlpm.oe,N(sysGrades!$P27),_xlpm.os,N(sysSkills!$I27),_xlpm.oi,N(sysIncidents!$J27),_xlpm.ce,COUNTIFS(nrDIS_PID,$B27,nrDIS_Closes,"Failed retest (exam)",nrDIS_Outcome,"Retained",nrDIS_Approval,"Yes")+COUNTIFS(nrDIS_PID,$B27,nrDIS_Closes,"Failed retest (exam)",nrDIS_Outcome,"Retained w/ Plan",nrDIS_Approval,"Yes"),_xlpm.cs,COUNTIFS(nrDIS_PID,$B27,nrDIS_Closes,"Skills failed out",nrDIS_Outcome,"Retained",nrDIS_Approval,"Yes")+COUNTIFS(nrDIS_PID,$B27,nrDIS_Closes,"Skills failed out",nrDIS_Outcome,"Retained w/ Plan",nrDIS_Approval,"Yes"),_xlpm.ci,COUNTIFS(nrDIS_PID,$B27,nrDIS_Closes,"Chain-of-command incident review",nrDIS_Outcome,"Retained",nrDIS_Approval,"Yes")+COUNTIFS(nrDIS_PID,$B27,nrDIS_Closes,"Chain-of-command incident review",nrDIS_Outcome,"Retained w/ Plan",nrDIS_Approval,"Yes"),_xlpm.om,MAX(0,COUNTIFS(nrES_PID,$B27,nrES_Absence,"Unexcused")-1),_xlpm.cm,COUNTIFS(nrDIS_PID,$B27,nrDIS_Closes,"Unexcused missed exams",nrDIS_Outcome,"Retained",nrDIS_Approval,"Yes")+COUNTIFS(nrDIS_PID,$B27,nrDIS_Closes,"Unexcused missed exams",nrDIS_Outcome,"Retained w/ Plan",nrDIS_Approval,"Yes"),TRIM(IF(_xlpm.oe&gt;_xlpm.ce,"failed retest; ","")&amp;IF(_xlpm.os&gt;_xlpm.cs,"skills failed out; ","")&amp;IF(_xlpm.om&gt;_xlpm.cm,"unexcused missed exams; ","")&amp;IF(_xlpm.oi&gt;_xlpm.ci,"chain-of-command incident review; ",""))))</f>
        <v/>
      </c>
      <c r="V27" s="17">
        <f>IF($B27="","",IF(COUNTIFS(nrES_PID,$B27,nrES_Absence,"Excused",nrES_Raw,"")=0,"Yes","No"))</f>
        <v/>
      </c>
      <c r="W27" s="17">
        <f>IF($B27="","",IF(IFERROR(INDEX(nrENRall,MATCH($B27,rngCadetPIDs,0)),"")="Yes","Yes","No"))</f>
        <v/>
      </c>
      <c r="X27" s="17">
        <f>IF($B27="","",IF(SkillsCheck!$P27="No","No","Yes"))</f>
        <v/>
      </c>
    </row>
    <row r="28">
      <c r="B28" s="17">
        <f>IF(Cadets!$B28="","",Cadets!$B28)</f>
        <v/>
      </c>
      <c r="C28" s="17">
        <f>IF($B28="","",Cadets!$F28)</f>
        <v/>
      </c>
      <c r="D28" s="17">
        <f>IF($B28="","",Cadets!$I28)</f>
        <v/>
      </c>
      <c r="E28" s="17">
        <f>IF($B28="","",sysGrades!$V28)</f>
        <v/>
      </c>
      <c r="F28" s="17">
        <f>IF($B28="","",sysAttendance!$K28)</f>
        <v/>
      </c>
      <c r="G28" s="17">
        <f>IF($B28="","",sysAttendance!$S28)</f>
        <v/>
      </c>
      <c r="H28" s="17">
        <f>IF($B28="","",sysSkills!$K28)</f>
        <v/>
      </c>
      <c r="I28" s="17">
        <f>IF($B28="","",sysIncidents!$K28)</f>
        <v/>
      </c>
      <c r="J28" s="17">
        <f>IF($B28="","",IF(Writing!$AT28="Yes","Yes","No"))</f>
        <v/>
      </c>
      <c r="K28" s="17">
        <f>IF($B28="","",sysAttendance!$T28)</f>
        <v/>
      </c>
      <c r="L28" s="17">
        <f>IF($B28="","",IF(PT!$AB28="Yes","Yes",IF(PT!$AB28="No","No",IF(PT!$AB28="(rubric pending)","Pending",IF(PT!$AB28="Incomplete","Incomplete","Not taken")))))</f>
        <v/>
      </c>
      <c r="M28" s="17">
        <f>IF($B28="","",IF($U28="","No","Yes"))</f>
        <v/>
      </c>
      <c r="N28" s="17">
        <f>IF($B28="","",IF(AND($E28="Yes",$F28="Yes",$G28="Yes",$H28="Yes",$I28="Yes",$J28="Yes",$K28="Yes",$L28="Yes",$Q28="Yes",$R28="Yes",$S28="Yes",$T28="Yes",$M28="No",$V28="Yes",$W28="Yes",$X28="Yes"),"Yes","No"))</f>
        <v/>
      </c>
      <c r="O28" s="17">
        <f>IF($B28="","",IF($N28="Yes","Eligible",TRIM(IF($E28&lt;&gt;"Yes","Academic; ","")&amp;IF($R28&lt;&gt;"Yes","Exams not all recorded; ","")&amp;IF($F28&lt;&gt;"Yes","Classroom; ","")&amp;IF($G28&lt;&gt;"Yes","PT sessions; ","")&amp;IF($H28&lt;&gt;"Yes","Skills; ","")&amp;IF($S28&lt;&gt;"Yes","Skills not all assessed; ","")&amp;IF($T28&lt;&gt;"Yes","Firearms courses of fire; ","")&amp;IF($I28&lt;&gt;"Yes","Incidents; ","")&amp;IF($J28&lt;&gt;"Yes","Writing; ","")&amp;IF($K28&lt;&gt;"Yes","Makeup owed; ","")&amp;IF($L28="No","Final PT failed; ",IF($L28="Pending","Final PT rubric not set; ",IF($L28="Incomplete","Final PT partially scored; ",IF($L28&lt;&gt;"Yes","Final PT not assessed; ",""))))&amp;IF($Q28&lt;&gt;"Yes","Certs; ","")&amp;IF($V28&lt;&gt;"Yes","Exam pending (excused absence); ","")&amp;IF($W28&lt;&gt;"Yes","Enrollment documents; ","")&amp;IF($X28="Yes","",IF(SkillsCheck!$N28&lt;&gt;"","Skills FAILED ("&amp;SkillsCheck!$N28&amp;"); ","Skills not all passed ("&amp;SkillsCheck!$O28&amp;" not assessed); "))&amp;IF($M28="Yes","Dismissal review; ",""))))</f>
        <v/>
      </c>
      <c r="P28" s="17">
        <f>IF($B28="","",IF(PT!$AB28="Yes","Yes",IF(PT!$AB28="No","No",IF(PT!$AB28="(rubric pending)","Pending",IF(PT!$AB28="Incomplete","Incomplete","Not taken")))))</f>
        <v/>
      </c>
      <c r="Q28" s="17">
        <f>IF($B28="","",IF(Certifications!$T28="Yes","Yes","No"))</f>
        <v/>
      </c>
      <c r="R28" s="17">
        <f>IF($B28="","",_xlfn.LET(_xlpm.mj,COUNTIFS(rngEPuse,"Yes",rngEPtype,"Major"),_xlpm.mn,COUNTIFS(rngEPuse,"Yes",rngEPtype,"Minor"),_xlpm.fnl,COUNTIFS(rngEPuse,"Yes",rngEPtype,"Final"),IF(AND(N(sysGrades!$E28)&gt;0,N(sysGrades!$F28)&gt;0,N(sysGrades!$G28)&gt;0,N(sysGrades!$H28)&gt;0,N(sysGrades!$E28)&gt;=_xlpm.mj,N(sysGrades!$F28)&gt;=_xlpm.mn,N(sysGrades!$H28)&gt;=_xlpm.fnl),"Yes","No")))</f>
        <v/>
      </c>
      <c r="S28" s="17">
        <f>IF($B28="","",IF(N(sysSkills!$F28)&gt;=SUMPRODUCT((rngSM_cat&lt;&gt;"")*1),"Yes","No"))</f>
        <v/>
      </c>
      <c r="T28" s="17">
        <f>IF($B28="","",IF(sysSkills!$P28="Yes","Yes","No"))</f>
        <v/>
      </c>
      <c r="U28" s="17">
        <f>IF($B28="","",_xlfn.LET(_xlpm.oe,N(sysGrades!$P28),_xlpm.os,N(sysSkills!$I28),_xlpm.oi,N(sysIncidents!$J28),_xlpm.ce,COUNTIFS(nrDIS_PID,$B28,nrDIS_Closes,"Failed retest (exam)",nrDIS_Outcome,"Retained",nrDIS_Approval,"Yes")+COUNTIFS(nrDIS_PID,$B28,nrDIS_Closes,"Failed retest (exam)",nrDIS_Outcome,"Retained w/ Plan",nrDIS_Approval,"Yes"),_xlpm.cs,COUNTIFS(nrDIS_PID,$B28,nrDIS_Closes,"Skills failed out",nrDIS_Outcome,"Retained",nrDIS_Approval,"Yes")+COUNTIFS(nrDIS_PID,$B28,nrDIS_Closes,"Skills failed out",nrDIS_Outcome,"Retained w/ Plan",nrDIS_Approval,"Yes"),_xlpm.ci,COUNTIFS(nrDIS_PID,$B28,nrDIS_Closes,"Chain-of-command incident review",nrDIS_Outcome,"Retained",nrDIS_Approval,"Yes")+COUNTIFS(nrDIS_PID,$B28,nrDIS_Closes,"Chain-of-command incident review",nrDIS_Outcome,"Retained w/ Plan",nrDIS_Approval,"Yes"),_xlpm.om,MAX(0,COUNTIFS(nrES_PID,$B28,nrES_Absence,"Unexcused")-1),_xlpm.cm,COUNTIFS(nrDIS_PID,$B28,nrDIS_Closes,"Unexcused missed exams",nrDIS_Outcome,"Retained",nrDIS_Approval,"Yes")+COUNTIFS(nrDIS_PID,$B28,nrDIS_Closes,"Unexcused missed exams",nrDIS_Outcome,"Retained w/ Plan",nrDIS_Approval,"Yes"),TRIM(IF(_xlpm.oe&gt;_xlpm.ce,"failed retest; ","")&amp;IF(_xlpm.os&gt;_xlpm.cs,"skills failed out; ","")&amp;IF(_xlpm.om&gt;_xlpm.cm,"unexcused missed exams; ","")&amp;IF(_xlpm.oi&gt;_xlpm.ci,"chain-of-command incident review; ",""))))</f>
        <v/>
      </c>
      <c r="V28" s="17">
        <f>IF($B28="","",IF(COUNTIFS(nrES_PID,$B28,nrES_Absence,"Excused",nrES_Raw,"")=0,"Yes","No"))</f>
        <v/>
      </c>
      <c r="W28" s="17">
        <f>IF($B28="","",IF(IFERROR(INDEX(nrENRall,MATCH($B28,rngCadetPIDs,0)),"")="Yes","Yes","No"))</f>
        <v/>
      </c>
      <c r="X28" s="17">
        <f>IF($B28="","",IF(SkillsCheck!$P28="No","No","Yes"))</f>
        <v/>
      </c>
    </row>
    <row r="29">
      <c r="B29" s="17">
        <f>IF(Cadets!$B29="","",Cadets!$B29)</f>
        <v/>
      </c>
      <c r="C29" s="17">
        <f>IF($B29="","",Cadets!$F29)</f>
        <v/>
      </c>
      <c r="D29" s="17">
        <f>IF($B29="","",Cadets!$I29)</f>
        <v/>
      </c>
      <c r="E29" s="17">
        <f>IF($B29="","",sysGrades!$V29)</f>
        <v/>
      </c>
      <c r="F29" s="17">
        <f>IF($B29="","",sysAttendance!$K29)</f>
        <v/>
      </c>
      <c r="G29" s="17">
        <f>IF($B29="","",sysAttendance!$S29)</f>
        <v/>
      </c>
      <c r="H29" s="17">
        <f>IF($B29="","",sysSkills!$K29)</f>
        <v/>
      </c>
      <c r="I29" s="17">
        <f>IF($B29="","",sysIncidents!$K29)</f>
        <v/>
      </c>
      <c r="J29" s="17">
        <f>IF($B29="","",IF(Writing!$AT29="Yes","Yes","No"))</f>
        <v/>
      </c>
      <c r="K29" s="17">
        <f>IF($B29="","",sysAttendance!$T29)</f>
        <v/>
      </c>
      <c r="L29" s="17">
        <f>IF($B29="","",IF(PT!$AB29="Yes","Yes",IF(PT!$AB29="No","No",IF(PT!$AB29="(rubric pending)","Pending",IF(PT!$AB29="Incomplete","Incomplete","Not taken")))))</f>
        <v/>
      </c>
      <c r="M29" s="17">
        <f>IF($B29="","",IF($U29="","No","Yes"))</f>
        <v/>
      </c>
      <c r="N29" s="17">
        <f>IF($B29="","",IF(AND($E29="Yes",$F29="Yes",$G29="Yes",$H29="Yes",$I29="Yes",$J29="Yes",$K29="Yes",$L29="Yes",$Q29="Yes",$R29="Yes",$S29="Yes",$T29="Yes",$M29="No",$V29="Yes",$W29="Yes",$X29="Yes"),"Yes","No"))</f>
        <v/>
      </c>
      <c r="O29" s="17">
        <f>IF($B29="","",IF($N29="Yes","Eligible",TRIM(IF($E29&lt;&gt;"Yes","Academic; ","")&amp;IF($R29&lt;&gt;"Yes","Exams not all recorded; ","")&amp;IF($F29&lt;&gt;"Yes","Classroom; ","")&amp;IF($G29&lt;&gt;"Yes","PT sessions; ","")&amp;IF($H29&lt;&gt;"Yes","Skills; ","")&amp;IF($S29&lt;&gt;"Yes","Skills not all assessed; ","")&amp;IF($T29&lt;&gt;"Yes","Firearms courses of fire; ","")&amp;IF($I29&lt;&gt;"Yes","Incidents; ","")&amp;IF($J29&lt;&gt;"Yes","Writing; ","")&amp;IF($K29&lt;&gt;"Yes","Makeup owed; ","")&amp;IF($L29="No","Final PT failed; ",IF($L29="Pending","Final PT rubric not set; ",IF($L29="Incomplete","Final PT partially scored; ",IF($L29&lt;&gt;"Yes","Final PT not assessed; ",""))))&amp;IF($Q29&lt;&gt;"Yes","Certs; ","")&amp;IF($V29&lt;&gt;"Yes","Exam pending (excused absence); ","")&amp;IF($W29&lt;&gt;"Yes","Enrollment documents; ","")&amp;IF($X29="Yes","",IF(SkillsCheck!$N29&lt;&gt;"","Skills FAILED ("&amp;SkillsCheck!$N29&amp;"); ","Skills not all passed ("&amp;SkillsCheck!$O29&amp;" not assessed); "))&amp;IF($M29="Yes","Dismissal review; ",""))))</f>
        <v/>
      </c>
      <c r="P29" s="17">
        <f>IF($B29="","",IF(PT!$AB29="Yes","Yes",IF(PT!$AB29="No","No",IF(PT!$AB29="(rubric pending)","Pending",IF(PT!$AB29="Incomplete","Incomplete","Not taken")))))</f>
        <v/>
      </c>
      <c r="Q29" s="17">
        <f>IF($B29="","",IF(Certifications!$T29="Yes","Yes","No"))</f>
        <v/>
      </c>
      <c r="R29" s="17">
        <f>IF($B29="","",_xlfn.LET(_xlpm.mj,COUNTIFS(rngEPuse,"Yes",rngEPtype,"Major"),_xlpm.mn,COUNTIFS(rngEPuse,"Yes",rngEPtype,"Minor"),_xlpm.fnl,COUNTIFS(rngEPuse,"Yes",rngEPtype,"Final"),IF(AND(N(sysGrades!$E29)&gt;0,N(sysGrades!$F29)&gt;0,N(sysGrades!$G29)&gt;0,N(sysGrades!$H29)&gt;0,N(sysGrades!$E29)&gt;=_xlpm.mj,N(sysGrades!$F29)&gt;=_xlpm.mn,N(sysGrades!$H29)&gt;=_xlpm.fnl),"Yes","No")))</f>
        <v/>
      </c>
      <c r="S29" s="17">
        <f>IF($B29="","",IF(N(sysSkills!$F29)&gt;=SUMPRODUCT((rngSM_cat&lt;&gt;"")*1),"Yes","No"))</f>
        <v/>
      </c>
      <c r="T29" s="17">
        <f>IF($B29="","",IF(sysSkills!$P29="Yes","Yes","No"))</f>
        <v/>
      </c>
      <c r="U29" s="17">
        <f>IF($B29="","",_xlfn.LET(_xlpm.oe,N(sysGrades!$P29),_xlpm.os,N(sysSkills!$I29),_xlpm.oi,N(sysIncidents!$J29),_xlpm.ce,COUNTIFS(nrDIS_PID,$B29,nrDIS_Closes,"Failed retest (exam)",nrDIS_Outcome,"Retained",nrDIS_Approval,"Yes")+COUNTIFS(nrDIS_PID,$B29,nrDIS_Closes,"Failed retest (exam)",nrDIS_Outcome,"Retained w/ Plan",nrDIS_Approval,"Yes"),_xlpm.cs,COUNTIFS(nrDIS_PID,$B29,nrDIS_Closes,"Skills failed out",nrDIS_Outcome,"Retained",nrDIS_Approval,"Yes")+COUNTIFS(nrDIS_PID,$B29,nrDIS_Closes,"Skills failed out",nrDIS_Outcome,"Retained w/ Plan",nrDIS_Approval,"Yes"),_xlpm.ci,COUNTIFS(nrDIS_PID,$B29,nrDIS_Closes,"Chain-of-command incident review",nrDIS_Outcome,"Retained",nrDIS_Approval,"Yes")+COUNTIFS(nrDIS_PID,$B29,nrDIS_Closes,"Chain-of-command incident review",nrDIS_Outcome,"Retained w/ Plan",nrDIS_Approval,"Yes"),_xlpm.om,MAX(0,COUNTIFS(nrES_PID,$B29,nrES_Absence,"Unexcused")-1),_xlpm.cm,COUNTIFS(nrDIS_PID,$B29,nrDIS_Closes,"Unexcused missed exams",nrDIS_Outcome,"Retained",nrDIS_Approval,"Yes")+COUNTIFS(nrDIS_PID,$B29,nrDIS_Closes,"Unexcused missed exams",nrDIS_Outcome,"Retained w/ Plan",nrDIS_Approval,"Yes"),TRIM(IF(_xlpm.oe&gt;_xlpm.ce,"failed retest; ","")&amp;IF(_xlpm.os&gt;_xlpm.cs,"skills failed out; ","")&amp;IF(_xlpm.om&gt;_xlpm.cm,"unexcused missed exams; ","")&amp;IF(_xlpm.oi&gt;_xlpm.ci,"chain-of-command incident review; ",""))))</f>
        <v/>
      </c>
      <c r="V29" s="17">
        <f>IF($B29="","",IF(COUNTIFS(nrES_PID,$B29,nrES_Absence,"Excused",nrES_Raw,"")=0,"Yes","No"))</f>
        <v/>
      </c>
      <c r="W29" s="17">
        <f>IF($B29="","",IF(IFERROR(INDEX(nrENRall,MATCH($B29,rngCadetPIDs,0)),"")="Yes","Yes","No"))</f>
        <v/>
      </c>
      <c r="X29" s="17">
        <f>IF($B29="","",IF(SkillsCheck!$P29="No","No","Yes"))</f>
        <v/>
      </c>
    </row>
    <row r="30">
      <c r="B30" s="17">
        <f>IF(Cadets!$B30="","",Cadets!$B30)</f>
        <v/>
      </c>
      <c r="C30" s="17">
        <f>IF($B30="","",Cadets!$F30)</f>
        <v/>
      </c>
      <c r="D30" s="17">
        <f>IF($B30="","",Cadets!$I30)</f>
        <v/>
      </c>
      <c r="E30" s="17">
        <f>IF($B30="","",sysGrades!$V30)</f>
        <v/>
      </c>
      <c r="F30" s="17">
        <f>IF($B30="","",sysAttendance!$K30)</f>
        <v/>
      </c>
      <c r="G30" s="17">
        <f>IF($B30="","",sysAttendance!$S30)</f>
        <v/>
      </c>
      <c r="H30" s="17">
        <f>IF($B30="","",sysSkills!$K30)</f>
        <v/>
      </c>
      <c r="I30" s="17">
        <f>IF($B30="","",sysIncidents!$K30)</f>
        <v/>
      </c>
      <c r="J30" s="17">
        <f>IF($B30="","",IF(Writing!$AT30="Yes","Yes","No"))</f>
        <v/>
      </c>
      <c r="K30" s="17">
        <f>IF($B30="","",sysAttendance!$T30)</f>
        <v/>
      </c>
      <c r="L30" s="17">
        <f>IF($B30="","",IF(PT!$AB30="Yes","Yes",IF(PT!$AB30="No","No",IF(PT!$AB30="(rubric pending)","Pending",IF(PT!$AB30="Incomplete","Incomplete","Not taken")))))</f>
        <v/>
      </c>
      <c r="M30" s="17">
        <f>IF($B30="","",IF($U30="","No","Yes"))</f>
        <v/>
      </c>
      <c r="N30" s="17">
        <f>IF($B30="","",IF(AND($E30="Yes",$F30="Yes",$G30="Yes",$H30="Yes",$I30="Yes",$J30="Yes",$K30="Yes",$L30="Yes",$Q30="Yes",$R30="Yes",$S30="Yes",$T30="Yes",$M30="No",$V30="Yes",$W30="Yes",$X30="Yes"),"Yes","No"))</f>
        <v/>
      </c>
      <c r="O30" s="17">
        <f>IF($B30="","",IF($N30="Yes","Eligible",TRIM(IF($E30&lt;&gt;"Yes","Academic; ","")&amp;IF($R30&lt;&gt;"Yes","Exams not all recorded; ","")&amp;IF($F30&lt;&gt;"Yes","Classroom; ","")&amp;IF($G30&lt;&gt;"Yes","PT sessions; ","")&amp;IF($H30&lt;&gt;"Yes","Skills; ","")&amp;IF($S30&lt;&gt;"Yes","Skills not all assessed; ","")&amp;IF($T30&lt;&gt;"Yes","Firearms courses of fire; ","")&amp;IF($I30&lt;&gt;"Yes","Incidents; ","")&amp;IF($J30&lt;&gt;"Yes","Writing; ","")&amp;IF($K30&lt;&gt;"Yes","Makeup owed; ","")&amp;IF($L30="No","Final PT failed; ",IF($L30="Pending","Final PT rubric not set; ",IF($L30="Incomplete","Final PT partially scored; ",IF($L30&lt;&gt;"Yes","Final PT not assessed; ",""))))&amp;IF($Q30&lt;&gt;"Yes","Certs; ","")&amp;IF($V30&lt;&gt;"Yes","Exam pending (excused absence); ","")&amp;IF($W30&lt;&gt;"Yes","Enrollment documents; ","")&amp;IF($X30="Yes","",IF(SkillsCheck!$N30&lt;&gt;"","Skills FAILED ("&amp;SkillsCheck!$N30&amp;"); ","Skills not all passed ("&amp;SkillsCheck!$O30&amp;" not assessed); "))&amp;IF($M30="Yes","Dismissal review; ",""))))</f>
        <v/>
      </c>
      <c r="P30" s="17">
        <f>IF($B30="","",IF(PT!$AB30="Yes","Yes",IF(PT!$AB30="No","No",IF(PT!$AB30="(rubric pending)","Pending",IF(PT!$AB30="Incomplete","Incomplete","Not taken")))))</f>
        <v/>
      </c>
      <c r="Q30" s="17">
        <f>IF($B30="","",IF(Certifications!$T30="Yes","Yes","No"))</f>
        <v/>
      </c>
      <c r="R30" s="17">
        <f>IF($B30="","",_xlfn.LET(_xlpm.mj,COUNTIFS(rngEPuse,"Yes",rngEPtype,"Major"),_xlpm.mn,COUNTIFS(rngEPuse,"Yes",rngEPtype,"Minor"),_xlpm.fnl,COUNTIFS(rngEPuse,"Yes",rngEPtype,"Final"),IF(AND(N(sysGrades!$E30)&gt;0,N(sysGrades!$F30)&gt;0,N(sysGrades!$G30)&gt;0,N(sysGrades!$H30)&gt;0,N(sysGrades!$E30)&gt;=_xlpm.mj,N(sysGrades!$F30)&gt;=_xlpm.mn,N(sysGrades!$H30)&gt;=_xlpm.fnl),"Yes","No")))</f>
        <v/>
      </c>
      <c r="S30" s="17">
        <f>IF($B30="","",IF(N(sysSkills!$F30)&gt;=SUMPRODUCT((rngSM_cat&lt;&gt;"")*1),"Yes","No"))</f>
        <v/>
      </c>
      <c r="T30" s="17">
        <f>IF($B30="","",IF(sysSkills!$P30="Yes","Yes","No"))</f>
        <v/>
      </c>
      <c r="U30" s="17">
        <f>IF($B30="","",_xlfn.LET(_xlpm.oe,N(sysGrades!$P30),_xlpm.os,N(sysSkills!$I30),_xlpm.oi,N(sysIncidents!$J30),_xlpm.ce,COUNTIFS(nrDIS_PID,$B30,nrDIS_Closes,"Failed retest (exam)",nrDIS_Outcome,"Retained",nrDIS_Approval,"Yes")+COUNTIFS(nrDIS_PID,$B30,nrDIS_Closes,"Failed retest (exam)",nrDIS_Outcome,"Retained w/ Plan",nrDIS_Approval,"Yes"),_xlpm.cs,COUNTIFS(nrDIS_PID,$B30,nrDIS_Closes,"Skills failed out",nrDIS_Outcome,"Retained",nrDIS_Approval,"Yes")+COUNTIFS(nrDIS_PID,$B30,nrDIS_Closes,"Skills failed out",nrDIS_Outcome,"Retained w/ Plan",nrDIS_Approval,"Yes"),_xlpm.ci,COUNTIFS(nrDIS_PID,$B30,nrDIS_Closes,"Chain-of-command incident review",nrDIS_Outcome,"Retained",nrDIS_Approval,"Yes")+COUNTIFS(nrDIS_PID,$B30,nrDIS_Closes,"Chain-of-command incident review",nrDIS_Outcome,"Retained w/ Plan",nrDIS_Approval,"Yes"),_xlpm.om,MAX(0,COUNTIFS(nrES_PID,$B30,nrES_Absence,"Unexcused")-1),_xlpm.cm,COUNTIFS(nrDIS_PID,$B30,nrDIS_Closes,"Unexcused missed exams",nrDIS_Outcome,"Retained",nrDIS_Approval,"Yes")+COUNTIFS(nrDIS_PID,$B30,nrDIS_Closes,"Unexcused missed exams",nrDIS_Outcome,"Retained w/ Plan",nrDIS_Approval,"Yes"),TRIM(IF(_xlpm.oe&gt;_xlpm.ce,"failed retest; ","")&amp;IF(_xlpm.os&gt;_xlpm.cs,"skills failed out; ","")&amp;IF(_xlpm.om&gt;_xlpm.cm,"unexcused missed exams; ","")&amp;IF(_xlpm.oi&gt;_xlpm.ci,"chain-of-command incident review; ",""))))</f>
        <v/>
      </c>
      <c r="V30" s="17">
        <f>IF($B30="","",IF(COUNTIFS(nrES_PID,$B30,nrES_Absence,"Excused",nrES_Raw,"")=0,"Yes","No"))</f>
        <v/>
      </c>
      <c r="W30" s="17">
        <f>IF($B30="","",IF(IFERROR(INDEX(nrENRall,MATCH($B30,rngCadetPIDs,0)),"")="Yes","Yes","No"))</f>
        <v/>
      </c>
      <c r="X30" s="17">
        <f>IF($B30="","",IF(SkillsCheck!$P30="No","No","Yes"))</f>
        <v/>
      </c>
    </row>
    <row r="31">
      <c r="B31" s="17">
        <f>IF(Cadets!$B31="","",Cadets!$B31)</f>
        <v/>
      </c>
      <c r="C31" s="17">
        <f>IF($B31="","",Cadets!$F31)</f>
        <v/>
      </c>
      <c r="D31" s="17">
        <f>IF($B31="","",Cadets!$I31)</f>
        <v/>
      </c>
      <c r="E31" s="17">
        <f>IF($B31="","",sysGrades!$V31)</f>
        <v/>
      </c>
      <c r="F31" s="17">
        <f>IF($B31="","",sysAttendance!$K31)</f>
        <v/>
      </c>
      <c r="G31" s="17">
        <f>IF($B31="","",sysAttendance!$S31)</f>
        <v/>
      </c>
      <c r="H31" s="17">
        <f>IF($B31="","",sysSkills!$K31)</f>
        <v/>
      </c>
      <c r="I31" s="17">
        <f>IF($B31="","",sysIncidents!$K31)</f>
        <v/>
      </c>
      <c r="J31" s="17">
        <f>IF($B31="","",IF(Writing!$AT31="Yes","Yes","No"))</f>
        <v/>
      </c>
      <c r="K31" s="17">
        <f>IF($B31="","",sysAttendance!$T31)</f>
        <v/>
      </c>
      <c r="L31" s="17">
        <f>IF($B31="","",IF(PT!$AB31="Yes","Yes",IF(PT!$AB31="No","No",IF(PT!$AB31="(rubric pending)","Pending",IF(PT!$AB31="Incomplete","Incomplete","Not taken")))))</f>
        <v/>
      </c>
      <c r="M31" s="17">
        <f>IF($B31="","",IF($U31="","No","Yes"))</f>
        <v/>
      </c>
      <c r="N31" s="17">
        <f>IF($B31="","",IF(AND($E31="Yes",$F31="Yes",$G31="Yes",$H31="Yes",$I31="Yes",$J31="Yes",$K31="Yes",$L31="Yes",$Q31="Yes",$R31="Yes",$S31="Yes",$T31="Yes",$M31="No",$V31="Yes",$W31="Yes",$X31="Yes"),"Yes","No"))</f>
        <v/>
      </c>
      <c r="O31" s="17">
        <f>IF($B31="","",IF($N31="Yes","Eligible",TRIM(IF($E31&lt;&gt;"Yes","Academic; ","")&amp;IF($R31&lt;&gt;"Yes","Exams not all recorded; ","")&amp;IF($F31&lt;&gt;"Yes","Classroom; ","")&amp;IF($G31&lt;&gt;"Yes","PT sessions; ","")&amp;IF($H31&lt;&gt;"Yes","Skills; ","")&amp;IF($S31&lt;&gt;"Yes","Skills not all assessed; ","")&amp;IF($T31&lt;&gt;"Yes","Firearms courses of fire; ","")&amp;IF($I31&lt;&gt;"Yes","Incidents; ","")&amp;IF($J31&lt;&gt;"Yes","Writing; ","")&amp;IF($K31&lt;&gt;"Yes","Makeup owed; ","")&amp;IF($L31="No","Final PT failed; ",IF($L31="Pending","Final PT rubric not set; ",IF($L31="Incomplete","Final PT partially scored; ",IF($L31&lt;&gt;"Yes","Final PT not assessed; ",""))))&amp;IF($Q31&lt;&gt;"Yes","Certs; ","")&amp;IF($V31&lt;&gt;"Yes","Exam pending (excused absence); ","")&amp;IF($W31&lt;&gt;"Yes","Enrollment documents; ","")&amp;IF($X31="Yes","",IF(SkillsCheck!$N31&lt;&gt;"","Skills FAILED ("&amp;SkillsCheck!$N31&amp;"); ","Skills not all passed ("&amp;SkillsCheck!$O31&amp;" not assessed); "))&amp;IF($M31="Yes","Dismissal review; ",""))))</f>
        <v/>
      </c>
      <c r="P31" s="17">
        <f>IF($B31="","",IF(PT!$AB31="Yes","Yes",IF(PT!$AB31="No","No",IF(PT!$AB31="(rubric pending)","Pending",IF(PT!$AB31="Incomplete","Incomplete","Not taken")))))</f>
        <v/>
      </c>
      <c r="Q31" s="17">
        <f>IF($B31="","",IF(Certifications!$T31="Yes","Yes","No"))</f>
        <v/>
      </c>
      <c r="R31" s="17">
        <f>IF($B31="","",_xlfn.LET(_xlpm.mj,COUNTIFS(rngEPuse,"Yes",rngEPtype,"Major"),_xlpm.mn,COUNTIFS(rngEPuse,"Yes",rngEPtype,"Minor"),_xlpm.fnl,COUNTIFS(rngEPuse,"Yes",rngEPtype,"Final"),IF(AND(N(sysGrades!$E31)&gt;0,N(sysGrades!$F31)&gt;0,N(sysGrades!$G31)&gt;0,N(sysGrades!$H31)&gt;0,N(sysGrades!$E31)&gt;=_xlpm.mj,N(sysGrades!$F31)&gt;=_xlpm.mn,N(sysGrades!$H31)&gt;=_xlpm.fnl),"Yes","No")))</f>
        <v/>
      </c>
      <c r="S31" s="17">
        <f>IF($B31="","",IF(N(sysSkills!$F31)&gt;=SUMPRODUCT((rngSM_cat&lt;&gt;"")*1),"Yes","No"))</f>
        <v/>
      </c>
      <c r="T31" s="17">
        <f>IF($B31="","",IF(sysSkills!$P31="Yes","Yes","No"))</f>
        <v/>
      </c>
      <c r="U31" s="17">
        <f>IF($B31="","",_xlfn.LET(_xlpm.oe,N(sysGrades!$P31),_xlpm.os,N(sysSkills!$I31),_xlpm.oi,N(sysIncidents!$J31),_xlpm.ce,COUNTIFS(nrDIS_PID,$B31,nrDIS_Closes,"Failed retest (exam)",nrDIS_Outcome,"Retained",nrDIS_Approval,"Yes")+COUNTIFS(nrDIS_PID,$B31,nrDIS_Closes,"Failed retest (exam)",nrDIS_Outcome,"Retained w/ Plan",nrDIS_Approval,"Yes"),_xlpm.cs,COUNTIFS(nrDIS_PID,$B31,nrDIS_Closes,"Skills failed out",nrDIS_Outcome,"Retained",nrDIS_Approval,"Yes")+COUNTIFS(nrDIS_PID,$B31,nrDIS_Closes,"Skills failed out",nrDIS_Outcome,"Retained w/ Plan",nrDIS_Approval,"Yes"),_xlpm.ci,COUNTIFS(nrDIS_PID,$B31,nrDIS_Closes,"Chain-of-command incident review",nrDIS_Outcome,"Retained",nrDIS_Approval,"Yes")+COUNTIFS(nrDIS_PID,$B31,nrDIS_Closes,"Chain-of-command incident review",nrDIS_Outcome,"Retained w/ Plan",nrDIS_Approval,"Yes"),_xlpm.om,MAX(0,COUNTIFS(nrES_PID,$B31,nrES_Absence,"Unexcused")-1),_xlpm.cm,COUNTIFS(nrDIS_PID,$B31,nrDIS_Closes,"Unexcused missed exams",nrDIS_Outcome,"Retained",nrDIS_Approval,"Yes")+COUNTIFS(nrDIS_PID,$B31,nrDIS_Closes,"Unexcused missed exams",nrDIS_Outcome,"Retained w/ Plan",nrDIS_Approval,"Yes"),TRIM(IF(_xlpm.oe&gt;_xlpm.ce,"failed retest; ","")&amp;IF(_xlpm.os&gt;_xlpm.cs,"skills failed out; ","")&amp;IF(_xlpm.om&gt;_xlpm.cm,"unexcused missed exams; ","")&amp;IF(_xlpm.oi&gt;_xlpm.ci,"chain-of-command incident review; ",""))))</f>
        <v/>
      </c>
      <c r="V31" s="17">
        <f>IF($B31="","",IF(COUNTIFS(nrES_PID,$B31,nrES_Absence,"Excused",nrES_Raw,"")=0,"Yes","No"))</f>
        <v/>
      </c>
      <c r="W31" s="17">
        <f>IF($B31="","",IF(IFERROR(INDEX(nrENRall,MATCH($B31,rngCadetPIDs,0)),"")="Yes","Yes","No"))</f>
        <v/>
      </c>
      <c r="X31" s="17">
        <f>IF($B31="","",IF(SkillsCheck!$P31="No","No","Yes"))</f>
        <v/>
      </c>
    </row>
    <row r="32">
      <c r="B32" s="17">
        <f>IF(Cadets!$B32="","",Cadets!$B32)</f>
        <v/>
      </c>
      <c r="C32" s="17">
        <f>IF($B32="","",Cadets!$F32)</f>
        <v/>
      </c>
      <c r="D32" s="17">
        <f>IF($B32="","",Cadets!$I32)</f>
        <v/>
      </c>
      <c r="E32" s="17">
        <f>IF($B32="","",sysGrades!$V32)</f>
        <v/>
      </c>
      <c r="F32" s="17">
        <f>IF($B32="","",sysAttendance!$K32)</f>
        <v/>
      </c>
      <c r="G32" s="17">
        <f>IF($B32="","",sysAttendance!$S32)</f>
        <v/>
      </c>
      <c r="H32" s="17">
        <f>IF($B32="","",sysSkills!$K32)</f>
        <v/>
      </c>
      <c r="I32" s="17">
        <f>IF($B32="","",sysIncidents!$K32)</f>
        <v/>
      </c>
      <c r="J32" s="17">
        <f>IF($B32="","",IF(Writing!$AT32="Yes","Yes","No"))</f>
        <v/>
      </c>
      <c r="K32" s="17">
        <f>IF($B32="","",sysAttendance!$T32)</f>
        <v/>
      </c>
      <c r="L32" s="17">
        <f>IF($B32="","",IF(PT!$AB32="Yes","Yes",IF(PT!$AB32="No","No",IF(PT!$AB32="(rubric pending)","Pending",IF(PT!$AB32="Incomplete","Incomplete","Not taken")))))</f>
        <v/>
      </c>
      <c r="M32" s="17">
        <f>IF($B32="","",IF($U32="","No","Yes"))</f>
        <v/>
      </c>
      <c r="N32" s="17">
        <f>IF($B32="","",IF(AND($E32="Yes",$F32="Yes",$G32="Yes",$H32="Yes",$I32="Yes",$J32="Yes",$K32="Yes",$L32="Yes",$Q32="Yes",$R32="Yes",$S32="Yes",$T32="Yes",$M32="No",$V32="Yes",$W32="Yes",$X32="Yes"),"Yes","No"))</f>
        <v/>
      </c>
      <c r="O32" s="17">
        <f>IF($B32="","",IF($N32="Yes","Eligible",TRIM(IF($E32&lt;&gt;"Yes","Academic; ","")&amp;IF($R32&lt;&gt;"Yes","Exams not all recorded; ","")&amp;IF($F32&lt;&gt;"Yes","Classroom; ","")&amp;IF($G32&lt;&gt;"Yes","PT sessions; ","")&amp;IF($H32&lt;&gt;"Yes","Skills; ","")&amp;IF($S32&lt;&gt;"Yes","Skills not all assessed; ","")&amp;IF($T32&lt;&gt;"Yes","Firearms courses of fire; ","")&amp;IF($I32&lt;&gt;"Yes","Incidents; ","")&amp;IF($J32&lt;&gt;"Yes","Writing; ","")&amp;IF($K32&lt;&gt;"Yes","Makeup owed; ","")&amp;IF($L32="No","Final PT failed; ",IF($L32="Pending","Final PT rubric not set; ",IF($L32="Incomplete","Final PT partially scored; ",IF($L32&lt;&gt;"Yes","Final PT not assessed; ",""))))&amp;IF($Q32&lt;&gt;"Yes","Certs; ","")&amp;IF($V32&lt;&gt;"Yes","Exam pending (excused absence); ","")&amp;IF($W32&lt;&gt;"Yes","Enrollment documents; ","")&amp;IF($X32="Yes","",IF(SkillsCheck!$N32&lt;&gt;"","Skills FAILED ("&amp;SkillsCheck!$N32&amp;"); ","Skills not all passed ("&amp;SkillsCheck!$O32&amp;" not assessed); "))&amp;IF($M32="Yes","Dismissal review; ",""))))</f>
        <v/>
      </c>
      <c r="P32" s="17">
        <f>IF($B32="","",IF(PT!$AB32="Yes","Yes",IF(PT!$AB32="No","No",IF(PT!$AB32="(rubric pending)","Pending",IF(PT!$AB32="Incomplete","Incomplete","Not taken")))))</f>
        <v/>
      </c>
      <c r="Q32" s="17">
        <f>IF($B32="","",IF(Certifications!$T32="Yes","Yes","No"))</f>
        <v/>
      </c>
      <c r="R32" s="17">
        <f>IF($B32="","",_xlfn.LET(_xlpm.mj,COUNTIFS(rngEPuse,"Yes",rngEPtype,"Major"),_xlpm.mn,COUNTIFS(rngEPuse,"Yes",rngEPtype,"Minor"),_xlpm.fnl,COUNTIFS(rngEPuse,"Yes",rngEPtype,"Final"),IF(AND(N(sysGrades!$E32)&gt;0,N(sysGrades!$F32)&gt;0,N(sysGrades!$G32)&gt;0,N(sysGrades!$H32)&gt;0,N(sysGrades!$E32)&gt;=_xlpm.mj,N(sysGrades!$F32)&gt;=_xlpm.mn,N(sysGrades!$H32)&gt;=_xlpm.fnl),"Yes","No")))</f>
        <v/>
      </c>
      <c r="S32" s="17">
        <f>IF($B32="","",IF(N(sysSkills!$F32)&gt;=SUMPRODUCT((rngSM_cat&lt;&gt;"")*1),"Yes","No"))</f>
        <v/>
      </c>
      <c r="T32" s="17">
        <f>IF($B32="","",IF(sysSkills!$P32="Yes","Yes","No"))</f>
        <v/>
      </c>
      <c r="U32" s="17">
        <f>IF($B32="","",_xlfn.LET(_xlpm.oe,N(sysGrades!$P32),_xlpm.os,N(sysSkills!$I32),_xlpm.oi,N(sysIncidents!$J32),_xlpm.ce,COUNTIFS(nrDIS_PID,$B32,nrDIS_Closes,"Failed retest (exam)",nrDIS_Outcome,"Retained",nrDIS_Approval,"Yes")+COUNTIFS(nrDIS_PID,$B32,nrDIS_Closes,"Failed retest (exam)",nrDIS_Outcome,"Retained w/ Plan",nrDIS_Approval,"Yes"),_xlpm.cs,COUNTIFS(nrDIS_PID,$B32,nrDIS_Closes,"Skills failed out",nrDIS_Outcome,"Retained",nrDIS_Approval,"Yes")+COUNTIFS(nrDIS_PID,$B32,nrDIS_Closes,"Skills failed out",nrDIS_Outcome,"Retained w/ Plan",nrDIS_Approval,"Yes"),_xlpm.ci,COUNTIFS(nrDIS_PID,$B32,nrDIS_Closes,"Chain-of-command incident review",nrDIS_Outcome,"Retained",nrDIS_Approval,"Yes")+COUNTIFS(nrDIS_PID,$B32,nrDIS_Closes,"Chain-of-command incident review",nrDIS_Outcome,"Retained w/ Plan",nrDIS_Approval,"Yes"),_xlpm.om,MAX(0,COUNTIFS(nrES_PID,$B32,nrES_Absence,"Unexcused")-1),_xlpm.cm,COUNTIFS(nrDIS_PID,$B32,nrDIS_Closes,"Unexcused missed exams",nrDIS_Outcome,"Retained",nrDIS_Approval,"Yes")+COUNTIFS(nrDIS_PID,$B32,nrDIS_Closes,"Unexcused missed exams",nrDIS_Outcome,"Retained w/ Plan",nrDIS_Approval,"Yes"),TRIM(IF(_xlpm.oe&gt;_xlpm.ce,"failed retest; ","")&amp;IF(_xlpm.os&gt;_xlpm.cs,"skills failed out; ","")&amp;IF(_xlpm.om&gt;_xlpm.cm,"unexcused missed exams; ","")&amp;IF(_xlpm.oi&gt;_xlpm.ci,"chain-of-command incident review; ",""))))</f>
        <v/>
      </c>
      <c r="V32" s="17">
        <f>IF($B32="","",IF(COUNTIFS(nrES_PID,$B32,nrES_Absence,"Excused",nrES_Raw,"")=0,"Yes","No"))</f>
        <v/>
      </c>
      <c r="W32" s="17">
        <f>IF($B32="","",IF(IFERROR(INDEX(nrENRall,MATCH($B32,rngCadetPIDs,0)),"")="Yes","Yes","No"))</f>
        <v/>
      </c>
      <c r="X32" s="17">
        <f>IF($B32="","",IF(SkillsCheck!$P32="No","No","Yes"))</f>
        <v/>
      </c>
    </row>
    <row r="33">
      <c r="B33" s="17">
        <f>IF(Cadets!$B33="","",Cadets!$B33)</f>
        <v/>
      </c>
      <c r="C33" s="17">
        <f>IF($B33="","",Cadets!$F33)</f>
        <v/>
      </c>
      <c r="D33" s="17">
        <f>IF($B33="","",Cadets!$I33)</f>
        <v/>
      </c>
      <c r="E33" s="17">
        <f>IF($B33="","",sysGrades!$V33)</f>
        <v/>
      </c>
      <c r="F33" s="17">
        <f>IF($B33="","",sysAttendance!$K33)</f>
        <v/>
      </c>
      <c r="G33" s="17">
        <f>IF($B33="","",sysAttendance!$S33)</f>
        <v/>
      </c>
      <c r="H33" s="17">
        <f>IF($B33="","",sysSkills!$K33)</f>
        <v/>
      </c>
      <c r="I33" s="17">
        <f>IF($B33="","",sysIncidents!$K33)</f>
        <v/>
      </c>
      <c r="J33" s="17">
        <f>IF($B33="","",IF(Writing!$AT33="Yes","Yes","No"))</f>
        <v/>
      </c>
      <c r="K33" s="17">
        <f>IF($B33="","",sysAttendance!$T33)</f>
        <v/>
      </c>
      <c r="L33" s="17">
        <f>IF($B33="","",IF(PT!$AB33="Yes","Yes",IF(PT!$AB33="No","No",IF(PT!$AB33="(rubric pending)","Pending",IF(PT!$AB33="Incomplete","Incomplete","Not taken")))))</f>
        <v/>
      </c>
      <c r="M33" s="17">
        <f>IF($B33="","",IF($U33="","No","Yes"))</f>
        <v/>
      </c>
      <c r="N33" s="17">
        <f>IF($B33="","",IF(AND($E33="Yes",$F33="Yes",$G33="Yes",$H33="Yes",$I33="Yes",$J33="Yes",$K33="Yes",$L33="Yes",$Q33="Yes",$R33="Yes",$S33="Yes",$T33="Yes",$M33="No",$V33="Yes",$W33="Yes",$X33="Yes"),"Yes","No"))</f>
        <v/>
      </c>
      <c r="O33" s="17">
        <f>IF($B33="","",IF($N33="Yes","Eligible",TRIM(IF($E33&lt;&gt;"Yes","Academic; ","")&amp;IF($R33&lt;&gt;"Yes","Exams not all recorded; ","")&amp;IF($F33&lt;&gt;"Yes","Classroom; ","")&amp;IF($G33&lt;&gt;"Yes","PT sessions; ","")&amp;IF($H33&lt;&gt;"Yes","Skills; ","")&amp;IF($S33&lt;&gt;"Yes","Skills not all assessed; ","")&amp;IF($T33&lt;&gt;"Yes","Firearms courses of fire; ","")&amp;IF($I33&lt;&gt;"Yes","Incidents; ","")&amp;IF($J33&lt;&gt;"Yes","Writing; ","")&amp;IF($K33&lt;&gt;"Yes","Makeup owed; ","")&amp;IF($L33="No","Final PT failed; ",IF($L33="Pending","Final PT rubric not set; ",IF($L33="Incomplete","Final PT partially scored; ",IF($L33&lt;&gt;"Yes","Final PT not assessed; ",""))))&amp;IF($Q33&lt;&gt;"Yes","Certs; ","")&amp;IF($V33&lt;&gt;"Yes","Exam pending (excused absence); ","")&amp;IF($W33&lt;&gt;"Yes","Enrollment documents; ","")&amp;IF($X33="Yes","",IF(SkillsCheck!$N33&lt;&gt;"","Skills FAILED ("&amp;SkillsCheck!$N33&amp;"); ","Skills not all passed ("&amp;SkillsCheck!$O33&amp;" not assessed); "))&amp;IF($M33="Yes","Dismissal review; ",""))))</f>
        <v/>
      </c>
      <c r="P33" s="17">
        <f>IF($B33="","",IF(PT!$AB33="Yes","Yes",IF(PT!$AB33="No","No",IF(PT!$AB33="(rubric pending)","Pending",IF(PT!$AB33="Incomplete","Incomplete","Not taken")))))</f>
        <v/>
      </c>
      <c r="Q33" s="17">
        <f>IF($B33="","",IF(Certifications!$T33="Yes","Yes","No"))</f>
        <v/>
      </c>
      <c r="R33" s="17">
        <f>IF($B33="","",_xlfn.LET(_xlpm.mj,COUNTIFS(rngEPuse,"Yes",rngEPtype,"Major"),_xlpm.mn,COUNTIFS(rngEPuse,"Yes",rngEPtype,"Minor"),_xlpm.fnl,COUNTIFS(rngEPuse,"Yes",rngEPtype,"Final"),IF(AND(N(sysGrades!$E33)&gt;0,N(sysGrades!$F33)&gt;0,N(sysGrades!$G33)&gt;0,N(sysGrades!$H33)&gt;0,N(sysGrades!$E33)&gt;=_xlpm.mj,N(sysGrades!$F33)&gt;=_xlpm.mn,N(sysGrades!$H33)&gt;=_xlpm.fnl),"Yes","No")))</f>
        <v/>
      </c>
      <c r="S33" s="17">
        <f>IF($B33="","",IF(N(sysSkills!$F33)&gt;=SUMPRODUCT((rngSM_cat&lt;&gt;"")*1),"Yes","No"))</f>
        <v/>
      </c>
      <c r="T33" s="17">
        <f>IF($B33="","",IF(sysSkills!$P33="Yes","Yes","No"))</f>
        <v/>
      </c>
      <c r="U33" s="17">
        <f>IF($B33="","",_xlfn.LET(_xlpm.oe,N(sysGrades!$P33),_xlpm.os,N(sysSkills!$I33),_xlpm.oi,N(sysIncidents!$J33),_xlpm.ce,COUNTIFS(nrDIS_PID,$B33,nrDIS_Closes,"Failed retest (exam)",nrDIS_Outcome,"Retained",nrDIS_Approval,"Yes")+COUNTIFS(nrDIS_PID,$B33,nrDIS_Closes,"Failed retest (exam)",nrDIS_Outcome,"Retained w/ Plan",nrDIS_Approval,"Yes"),_xlpm.cs,COUNTIFS(nrDIS_PID,$B33,nrDIS_Closes,"Skills failed out",nrDIS_Outcome,"Retained",nrDIS_Approval,"Yes")+COUNTIFS(nrDIS_PID,$B33,nrDIS_Closes,"Skills failed out",nrDIS_Outcome,"Retained w/ Plan",nrDIS_Approval,"Yes"),_xlpm.ci,COUNTIFS(nrDIS_PID,$B33,nrDIS_Closes,"Chain-of-command incident review",nrDIS_Outcome,"Retained",nrDIS_Approval,"Yes")+COUNTIFS(nrDIS_PID,$B33,nrDIS_Closes,"Chain-of-command incident review",nrDIS_Outcome,"Retained w/ Plan",nrDIS_Approval,"Yes"),_xlpm.om,MAX(0,COUNTIFS(nrES_PID,$B33,nrES_Absence,"Unexcused")-1),_xlpm.cm,COUNTIFS(nrDIS_PID,$B33,nrDIS_Closes,"Unexcused missed exams",nrDIS_Outcome,"Retained",nrDIS_Approval,"Yes")+COUNTIFS(nrDIS_PID,$B33,nrDIS_Closes,"Unexcused missed exams",nrDIS_Outcome,"Retained w/ Plan",nrDIS_Approval,"Yes"),TRIM(IF(_xlpm.oe&gt;_xlpm.ce,"failed retest; ","")&amp;IF(_xlpm.os&gt;_xlpm.cs,"skills failed out; ","")&amp;IF(_xlpm.om&gt;_xlpm.cm,"unexcused missed exams; ","")&amp;IF(_xlpm.oi&gt;_xlpm.ci,"chain-of-command incident review; ",""))))</f>
        <v/>
      </c>
      <c r="V33" s="17">
        <f>IF($B33="","",IF(COUNTIFS(nrES_PID,$B33,nrES_Absence,"Excused",nrES_Raw,"")=0,"Yes","No"))</f>
        <v/>
      </c>
      <c r="W33" s="17">
        <f>IF($B33="","",IF(IFERROR(INDEX(nrENRall,MATCH($B33,rngCadetPIDs,0)),"")="Yes","Yes","No"))</f>
        <v/>
      </c>
      <c r="X33" s="17">
        <f>IF($B33="","",IF(SkillsCheck!$P33="No","No","Yes"))</f>
        <v/>
      </c>
    </row>
    <row r="34">
      <c r="B34" s="17">
        <f>IF(Cadets!$B34="","",Cadets!$B34)</f>
        <v/>
      </c>
      <c r="C34" s="17">
        <f>IF($B34="","",Cadets!$F34)</f>
        <v/>
      </c>
      <c r="D34" s="17">
        <f>IF($B34="","",Cadets!$I34)</f>
        <v/>
      </c>
      <c r="E34" s="17">
        <f>IF($B34="","",sysGrades!$V34)</f>
        <v/>
      </c>
      <c r="F34" s="17">
        <f>IF($B34="","",sysAttendance!$K34)</f>
        <v/>
      </c>
      <c r="G34" s="17">
        <f>IF($B34="","",sysAttendance!$S34)</f>
        <v/>
      </c>
      <c r="H34" s="17">
        <f>IF($B34="","",sysSkills!$K34)</f>
        <v/>
      </c>
      <c r="I34" s="17">
        <f>IF($B34="","",sysIncidents!$K34)</f>
        <v/>
      </c>
      <c r="J34" s="17">
        <f>IF($B34="","",IF(Writing!$AT34="Yes","Yes","No"))</f>
        <v/>
      </c>
      <c r="K34" s="17">
        <f>IF($B34="","",sysAttendance!$T34)</f>
        <v/>
      </c>
      <c r="L34" s="17">
        <f>IF($B34="","",IF(PT!$AB34="Yes","Yes",IF(PT!$AB34="No","No",IF(PT!$AB34="(rubric pending)","Pending",IF(PT!$AB34="Incomplete","Incomplete","Not taken")))))</f>
        <v/>
      </c>
      <c r="M34" s="17">
        <f>IF($B34="","",IF($U34="","No","Yes"))</f>
        <v/>
      </c>
      <c r="N34" s="17">
        <f>IF($B34="","",IF(AND($E34="Yes",$F34="Yes",$G34="Yes",$H34="Yes",$I34="Yes",$J34="Yes",$K34="Yes",$L34="Yes",$Q34="Yes",$R34="Yes",$S34="Yes",$T34="Yes",$M34="No",$V34="Yes",$W34="Yes",$X34="Yes"),"Yes","No"))</f>
        <v/>
      </c>
      <c r="O34" s="17">
        <f>IF($B34="","",IF($N34="Yes","Eligible",TRIM(IF($E34&lt;&gt;"Yes","Academic; ","")&amp;IF($R34&lt;&gt;"Yes","Exams not all recorded; ","")&amp;IF($F34&lt;&gt;"Yes","Classroom; ","")&amp;IF($G34&lt;&gt;"Yes","PT sessions; ","")&amp;IF($H34&lt;&gt;"Yes","Skills; ","")&amp;IF($S34&lt;&gt;"Yes","Skills not all assessed; ","")&amp;IF($T34&lt;&gt;"Yes","Firearms courses of fire; ","")&amp;IF($I34&lt;&gt;"Yes","Incidents; ","")&amp;IF($J34&lt;&gt;"Yes","Writing; ","")&amp;IF($K34&lt;&gt;"Yes","Makeup owed; ","")&amp;IF($L34="No","Final PT failed; ",IF($L34="Pending","Final PT rubric not set; ",IF($L34="Incomplete","Final PT partially scored; ",IF($L34&lt;&gt;"Yes","Final PT not assessed; ",""))))&amp;IF($Q34&lt;&gt;"Yes","Certs; ","")&amp;IF($V34&lt;&gt;"Yes","Exam pending (excused absence); ","")&amp;IF($W34&lt;&gt;"Yes","Enrollment documents; ","")&amp;IF($X34="Yes","",IF(SkillsCheck!$N34&lt;&gt;"","Skills FAILED ("&amp;SkillsCheck!$N34&amp;"); ","Skills not all passed ("&amp;SkillsCheck!$O34&amp;" not assessed); "))&amp;IF($M34="Yes","Dismissal review; ",""))))</f>
        <v/>
      </c>
      <c r="P34" s="17">
        <f>IF($B34="","",IF(PT!$AB34="Yes","Yes",IF(PT!$AB34="No","No",IF(PT!$AB34="(rubric pending)","Pending",IF(PT!$AB34="Incomplete","Incomplete","Not taken")))))</f>
        <v/>
      </c>
      <c r="Q34" s="17">
        <f>IF($B34="","",IF(Certifications!$T34="Yes","Yes","No"))</f>
        <v/>
      </c>
      <c r="R34" s="17">
        <f>IF($B34="","",_xlfn.LET(_xlpm.mj,COUNTIFS(rngEPuse,"Yes",rngEPtype,"Major"),_xlpm.mn,COUNTIFS(rngEPuse,"Yes",rngEPtype,"Minor"),_xlpm.fnl,COUNTIFS(rngEPuse,"Yes",rngEPtype,"Final"),IF(AND(N(sysGrades!$E34)&gt;0,N(sysGrades!$F34)&gt;0,N(sysGrades!$G34)&gt;0,N(sysGrades!$H34)&gt;0,N(sysGrades!$E34)&gt;=_xlpm.mj,N(sysGrades!$F34)&gt;=_xlpm.mn,N(sysGrades!$H34)&gt;=_xlpm.fnl),"Yes","No")))</f>
        <v/>
      </c>
      <c r="S34" s="17">
        <f>IF($B34="","",IF(N(sysSkills!$F34)&gt;=SUMPRODUCT((rngSM_cat&lt;&gt;"")*1),"Yes","No"))</f>
        <v/>
      </c>
      <c r="T34" s="17">
        <f>IF($B34="","",IF(sysSkills!$P34="Yes","Yes","No"))</f>
        <v/>
      </c>
      <c r="U34" s="17">
        <f>IF($B34="","",_xlfn.LET(_xlpm.oe,N(sysGrades!$P34),_xlpm.os,N(sysSkills!$I34),_xlpm.oi,N(sysIncidents!$J34),_xlpm.ce,COUNTIFS(nrDIS_PID,$B34,nrDIS_Closes,"Failed retest (exam)",nrDIS_Outcome,"Retained",nrDIS_Approval,"Yes")+COUNTIFS(nrDIS_PID,$B34,nrDIS_Closes,"Failed retest (exam)",nrDIS_Outcome,"Retained w/ Plan",nrDIS_Approval,"Yes"),_xlpm.cs,COUNTIFS(nrDIS_PID,$B34,nrDIS_Closes,"Skills failed out",nrDIS_Outcome,"Retained",nrDIS_Approval,"Yes")+COUNTIFS(nrDIS_PID,$B34,nrDIS_Closes,"Skills failed out",nrDIS_Outcome,"Retained w/ Plan",nrDIS_Approval,"Yes"),_xlpm.ci,COUNTIFS(nrDIS_PID,$B34,nrDIS_Closes,"Chain-of-command incident review",nrDIS_Outcome,"Retained",nrDIS_Approval,"Yes")+COUNTIFS(nrDIS_PID,$B34,nrDIS_Closes,"Chain-of-command incident review",nrDIS_Outcome,"Retained w/ Plan",nrDIS_Approval,"Yes"),_xlpm.om,MAX(0,COUNTIFS(nrES_PID,$B34,nrES_Absence,"Unexcused")-1),_xlpm.cm,COUNTIFS(nrDIS_PID,$B34,nrDIS_Closes,"Unexcused missed exams",nrDIS_Outcome,"Retained",nrDIS_Approval,"Yes")+COUNTIFS(nrDIS_PID,$B34,nrDIS_Closes,"Unexcused missed exams",nrDIS_Outcome,"Retained w/ Plan",nrDIS_Approval,"Yes"),TRIM(IF(_xlpm.oe&gt;_xlpm.ce,"failed retest; ","")&amp;IF(_xlpm.os&gt;_xlpm.cs,"skills failed out; ","")&amp;IF(_xlpm.om&gt;_xlpm.cm,"unexcused missed exams; ","")&amp;IF(_xlpm.oi&gt;_xlpm.ci,"chain-of-command incident review; ",""))))</f>
        <v/>
      </c>
      <c r="V34" s="17">
        <f>IF($B34="","",IF(COUNTIFS(nrES_PID,$B34,nrES_Absence,"Excused",nrES_Raw,"")=0,"Yes","No"))</f>
        <v/>
      </c>
      <c r="W34" s="17">
        <f>IF($B34="","",IF(IFERROR(INDEX(nrENRall,MATCH($B34,rngCadetPIDs,0)),"")="Yes","Yes","No"))</f>
        <v/>
      </c>
      <c r="X34" s="17">
        <f>IF($B34="","",IF(SkillsCheck!$P34="No","No","Yes"))</f>
        <v/>
      </c>
    </row>
    <row r="35">
      <c r="B35" s="17">
        <f>IF(Cadets!$B35="","",Cadets!$B35)</f>
        <v/>
      </c>
      <c r="C35" s="17">
        <f>IF($B35="","",Cadets!$F35)</f>
        <v/>
      </c>
      <c r="D35" s="17">
        <f>IF($B35="","",Cadets!$I35)</f>
        <v/>
      </c>
      <c r="E35" s="17">
        <f>IF($B35="","",sysGrades!$V35)</f>
        <v/>
      </c>
      <c r="F35" s="17">
        <f>IF($B35="","",sysAttendance!$K35)</f>
        <v/>
      </c>
      <c r="G35" s="17">
        <f>IF($B35="","",sysAttendance!$S35)</f>
        <v/>
      </c>
      <c r="H35" s="17">
        <f>IF($B35="","",sysSkills!$K35)</f>
        <v/>
      </c>
      <c r="I35" s="17">
        <f>IF($B35="","",sysIncidents!$K35)</f>
        <v/>
      </c>
      <c r="J35" s="17">
        <f>IF($B35="","",IF(Writing!$AT35="Yes","Yes","No"))</f>
        <v/>
      </c>
      <c r="K35" s="17">
        <f>IF($B35="","",sysAttendance!$T35)</f>
        <v/>
      </c>
      <c r="L35" s="17">
        <f>IF($B35="","",IF(PT!$AB35="Yes","Yes",IF(PT!$AB35="No","No",IF(PT!$AB35="(rubric pending)","Pending",IF(PT!$AB35="Incomplete","Incomplete","Not taken")))))</f>
        <v/>
      </c>
      <c r="M35" s="17">
        <f>IF($B35="","",IF($U35="","No","Yes"))</f>
        <v/>
      </c>
      <c r="N35" s="17">
        <f>IF($B35="","",IF(AND($E35="Yes",$F35="Yes",$G35="Yes",$H35="Yes",$I35="Yes",$J35="Yes",$K35="Yes",$L35="Yes",$Q35="Yes",$R35="Yes",$S35="Yes",$T35="Yes",$M35="No",$V35="Yes",$W35="Yes",$X35="Yes"),"Yes","No"))</f>
        <v/>
      </c>
      <c r="O35" s="17">
        <f>IF($B35="","",IF($N35="Yes","Eligible",TRIM(IF($E35&lt;&gt;"Yes","Academic; ","")&amp;IF($R35&lt;&gt;"Yes","Exams not all recorded; ","")&amp;IF($F35&lt;&gt;"Yes","Classroom; ","")&amp;IF($G35&lt;&gt;"Yes","PT sessions; ","")&amp;IF($H35&lt;&gt;"Yes","Skills; ","")&amp;IF($S35&lt;&gt;"Yes","Skills not all assessed; ","")&amp;IF($T35&lt;&gt;"Yes","Firearms courses of fire; ","")&amp;IF($I35&lt;&gt;"Yes","Incidents; ","")&amp;IF($J35&lt;&gt;"Yes","Writing; ","")&amp;IF($K35&lt;&gt;"Yes","Makeup owed; ","")&amp;IF($L35="No","Final PT failed; ",IF($L35="Pending","Final PT rubric not set; ",IF($L35="Incomplete","Final PT partially scored; ",IF($L35&lt;&gt;"Yes","Final PT not assessed; ",""))))&amp;IF($Q35&lt;&gt;"Yes","Certs; ","")&amp;IF($V35&lt;&gt;"Yes","Exam pending (excused absence); ","")&amp;IF($W35&lt;&gt;"Yes","Enrollment documents; ","")&amp;IF($X35="Yes","",IF(SkillsCheck!$N35&lt;&gt;"","Skills FAILED ("&amp;SkillsCheck!$N35&amp;"); ","Skills not all passed ("&amp;SkillsCheck!$O35&amp;" not assessed); "))&amp;IF($M35="Yes","Dismissal review; ",""))))</f>
        <v/>
      </c>
      <c r="P35" s="17">
        <f>IF($B35="","",IF(PT!$AB35="Yes","Yes",IF(PT!$AB35="No","No",IF(PT!$AB35="(rubric pending)","Pending",IF(PT!$AB35="Incomplete","Incomplete","Not taken")))))</f>
        <v/>
      </c>
      <c r="Q35" s="17">
        <f>IF($B35="","",IF(Certifications!$T35="Yes","Yes","No"))</f>
        <v/>
      </c>
      <c r="R35" s="17">
        <f>IF($B35="","",_xlfn.LET(_xlpm.mj,COUNTIFS(rngEPuse,"Yes",rngEPtype,"Major"),_xlpm.mn,COUNTIFS(rngEPuse,"Yes",rngEPtype,"Minor"),_xlpm.fnl,COUNTIFS(rngEPuse,"Yes",rngEPtype,"Final"),IF(AND(N(sysGrades!$E35)&gt;0,N(sysGrades!$F35)&gt;0,N(sysGrades!$G35)&gt;0,N(sysGrades!$H35)&gt;0,N(sysGrades!$E35)&gt;=_xlpm.mj,N(sysGrades!$F35)&gt;=_xlpm.mn,N(sysGrades!$H35)&gt;=_xlpm.fnl),"Yes","No")))</f>
        <v/>
      </c>
      <c r="S35" s="17">
        <f>IF($B35="","",IF(N(sysSkills!$F35)&gt;=SUMPRODUCT((rngSM_cat&lt;&gt;"")*1),"Yes","No"))</f>
        <v/>
      </c>
      <c r="T35" s="17">
        <f>IF($B35="","",IF(sysSkills!$P35="Yes","Yes","No"))</f>
        <v/>
      </c>
      <c r="U35" s="17">
        <f>IF($B35="","",_xlfn.LET(_xlpm.oe,N(sysGrades!$P35),_xlpm.os,N(sysSkills!$I35),_xlpm.oi,N(sysIncidents!$J35),_xlpm.ce,COUNTIFS(nrDIS_PID,$B35,nrDIS_Closes,"Failed retest (exam)",nrDIS_Outcome,"Retained",nrDIS_Approval,"Yes")+COUNTIFS(nrDIS_PID,$B35,nrDIS_Closes,"Failed retest (exam)",nrDIS_Outcome,"Retained w/ Plan",nrDIS_Approval,"Yes"),_xlpm.cs,COUNTIFS(nrDIS_PID,$B35,nrDIS_Closes,"Skills failed out",nrDIS_Outcome,"Retained",nrDIS_Approval,"Yes")+COUNTIFS(nrDIS_PID,$B35,nrDIS_Closes,"Skills failed out",nrDIS_Outcome,"Retained w/ Plan",nrDIS_Approval,"Yes"),_xlpm.ci,COUNTIFS(nrDIS_PID,$B35,nrDIS_Closes,"Chain-of-command incident review",nrDIS_Outcome,"Retained",nrDIS_Approval,"Yes")+COUNTIFS(nrDIS_PID,$B35,nrDIS_Closes,"Chain-of-command incident review",nrDIS_Outcome,"Retained w/ Plan",nrDIS_Approval,"Yes"),_xlpm.om,MAX(0,COUNTIFS(nrES_PID,$B35,nrES_Absence,"Unexcused")-1),_xlpm.cm,COUNTIFS(nrDIS_PID,$B35,nrDIS_Closes,"Unexcused missed exams",nrDIS_Outcome,"Retained",nrDIS_Approval,"Yes")+COUNTIFS(nrDIS_PID,$B35,nrDIS_Closes,"Unexcused missed exams",nrDIS_Outcome,"Retained w/ Plan",nrDIS_Approval,"Yes"),TRIM(IF(_xlpm.oe&gt;_xlpm.ce,"failed retest; ","")&amp;IF(_xlpm.os&gt;_xlpm.cs,"skills failed out; ","")&amp;IF(_xlpm.om&gt;_xlpm.cm,"unexcused missed exams; ","")&amp;IF(_xlpm.oi&gt;_xlpm.ci,"chain-of-command incident review; ",""))))</f>
        <v/>
      </c>
      <c r="V35" s="17">
        <f>IF($B35="","",IF(COUNTIFS(nrES_PID,$B35,nrES_Absence,"Excused",nrES_Raw,"")=0,"Yes","No"))</f>
        <v/>
      </c>
      <c r="W35" s="17">
        <f>IF($B35="","",IF(IFERROR(INDEX(nrENRall,MATCH($B35,rngCadetPIDs,0)),"")="Yes","Yes","No"))</f>
        <v/>
      </c>
      <c r="X35" s="17">
        <f>IF($B35="","",IF(SkillsCheck!$P35="No","No","Yes"))</f>
        <v/>
      </c>
    </row>
    <row r="36">
      <c r="B36" s="17">
        <f>IF(Cadets!$B36="","",Cadets!$B36)</f>
        <v/>
      </c>
      <c r="C36" s="17">
        <f>IF($B36="","",Cadets!$F36)</f>
        <v/>
      </c>
      <c r="D36" s="17">
        <f>IF($B36="","",Cadets!$I36)</f>
        <v/>
      </c>
      <c r="E36" s="17">
        <f>IF($B36="","",sysGrades!$V36)</f>
        <v/>
      </c>
      <c r="F36" s="17">
        <f>IF($B36="","",sysAttendance!$K36)</f>
        <v/>
      </c>
      <c r="G36" s="17">
        <f>IF($B36="","",sysAttendance!$S36)</f>
        <v/>
      </c>
      <c r="H36" s="17">
        <f>IF($B36="","",sysSkills!$K36)</f>
        <v/>
      </c>
      <c r="I36" s="17">
        <f>IF($B36="","",sysIncidents!$K36)</f>
        <v/>
      </c>
      <c r="J36" s="17">
        <f>IF($B36="","",IF(Writing!$AT36="Yes","Yes","No"))</f>
        <v/>
      </c>
      <c r="K36" s="17">
        <f>IF($B36="","",sysAttendance!$T36)</f>
        <v/>
      </c>
      <c r="L36" s="17">
        <f>IF($B36="","",IF(PT!$AB36="Yes","Yes",IF(PT!$AB36="No","No",IF(PT!$AB36="(rubric pending)","Pending",IF(PT!$AB36="Incomplete","Incomplete","Not taken")))))</f>
        <v/>
      </c>
      <c r="M36" s="17">
        <f>IF($B36="","",IF($U36="","No","Yes"))</f>
        <v/>
      </c>
      <c r="N36" s="17">
        <f>IF($B36="","",IF(AND($E36="Yes",$F36="Yes",$G36="Yes",$H36="Yes",$I36="Yes",$J36="Yes",$K36="Yes",$L36="Yes",$Q36="Yes",$R36="Yes",$S36="Yes",$T36="Yes",$M36="No",$V36="Yes",$W36="Yes",$X36="Yes"),"Yes","No"))</f>
        <v/>
      </c>
      <c r="O36" s="17">
        <f>IF($B36="","",IF($N36="Yes","Eligible",TRIM(IF($E36&lt;&gt;"Yes","Academic; ","")&amp;IF($R36&lt;&gt;"Yes","Exams not all recorded; ","")&amp;IF($F36&lt;&gt;"Yes","Classroom; ","")&amp;IF($G36&lt;&gt;"Yes","PT sessions; ","")&amp;IF($H36&lt;&gt;"Yes","Skills; ","")&amp;IF($S36&lt;&gt;"Yes","Skills not all assessed; ","")&amp;IF($T36&lt;&gt;"Yes","Firearms courses of fire; ","")&amp;IF($I36&lt;&gt;"Yes","Incidents; ","")&amp;IF($J36&lt;&gt;"Yes","Writing; ","")&amp;IF($K36&lt;&gt;"Yes","Makeup owed; ","")&amp;IF($L36="No","Final PT failed; ",IF($L36="Pending","Final PT rubric not set; ",IF($L36="Incomplete","Final PT partially scored; ",IF($L36&lt;&gt;"Yes","Final PT not assessed; ",""))))&amp;IF($Q36&lt;&gt;"Yes","Certs; ","")&amp;IF($V36&lt;&gt;"Yes","Exam pending (excused absence); ","")&amp;IF($W36&lt;&gt;"Yes","Enrollment documents; ","")&amp;IF($X36="Yes","",IF(SkillsCheck!$N36&lt;&gt;"","Skills FAILED ("&amp;SkillsCheck!$N36&amp;"); ","Skills not all passed ("&amp;SkillsCheck!$O36&amp;" not assessed); "))&amp;IF($M36="Yes","Dismissal review; ",""))))</f>
        <v/>
      </c>
      <c r="P36" s="17">
        <f>IF($B36="","",IF(PT!$AB36="Yes","Yes",IF(PT!$AB36="No","No",IF(PT!$AB36="(rubric pending)","Pending",IF(PT!$AB36="Incomplete","Incomplete","Not taken")))))</f>
        <v/>
      </c>
      <c r="Q36" s="17">
        <f>IF($B36="","",IF(Certifications!$T36="Yes","Yes","No"))</f>
        <v/>
      </c>
      <c r="R36" s="17">
        <f>IF($B36="","",_xlfn.LET(_xlpm.mj,COUNTIFS(rngEPuse,"Yes",rngEPtype,"Major"),_xlpm.mn,COUNTIFS(rngEPuse,"Yes",rngEPtype,"Minor"),_xlpm.fnl,COUNTIFS(rngEPuse,"Yes",rngEPtype,"Final"),IF(AND(N(sysGrades!$E36)&gt;0,N(sysGrades!$F36)&gt;0,N(sysGrades!$G36)&gt;0,N(sysGrades!$H36)&gt;0,N(sysGrades!$E36)&gt;=_xlpm.mj,N(sysGrades!$F36)&gt;=_xlpm.mn,N(sysGrades!$H36)&gt;=_xlpm.fnl),"Yes","No")))</f>
        <v/>
      </c>
      <c r="S36" s="17">
        <f>IF($B36="","",IF(N(sysSkills!$F36)&gt;=SUMPRODUCT((rngSM_cat&lt;&gt;"")*1),"Yes","No"))</f>
        <v/>
      </c>
      <c r="T36" s="17">
        <f>IF($B36="","",IF(sysSkills!$P36="Yes","Yes","No"))</f>
        <v/>
      </c>
      <c r="U36" s="17">
        <f>IF($B36="","",_xlfn.LET(_xlpm.oe,N(sysGrades!$P36),_xlpm.os,N(sysSkills!$I36),_xlpm.oi,N(sysIncidents!$J36),_xlpm.ce,COUNTIFS(nrDIS_PID,$B36,nrDIS_Closes,"Failed retest (exam)",nrDIS_Outcome,"Retained",nrDIS_Approval,"Yes")+COUNTIFS(nrDIS_PID,$B36,nrDIS_Closes,"Failed retest (exam)",nrDIS_Outcome,"Retained w/ Plan",nrDIS_Approval,"Yes"),_xlpm.cs,COUNTIFS(nrDIS_PID,$B36,nrDIS_Closes,"Skills failed out",nrDIS_Outcome,"Retained",nrDIS_Approval,"Yes")+COUNTIFS(nrDIS_PID,$B36,nrDIS_Closes,"Skills failed out",nrDIS_Outcome,"Retained w/ Plan",nrDIS_Approval,"Yes"),_xlpm.ci,COUNTIFS(nrDIS_PID,$B36,nrDIS_Closes,"Chain-of-command incident review",nrDIS_Outcome,"Retained",nrDIS_Approval,"Yes")+COUNTIFS(nrDIS_PID,$B36,nrDIS_Closes,"Chain-of-command incident review",nrDIS_Outcome,"Retained w/ Plan",nrDIS_Approval,"Yes"),_xlpm.om,MAX(0,COUNTIFS(nrES_PID,$B36,nrES_Absence,"Unexcused")-1),_xlpm.cm,COUNTIFS(nrDIS_PID,$B36,nrDIS_Closes,"Unexcused missed exams",nrDIS_Outcome,"Retained",nrDIS_Approval,"Yes")+COUNTIFS(nrDIS_PID,$B36,nrDIS_Closes,"Unexcused missed exams",nrDIS_Outcome,"Retained w/ Plan",nrDIS_Approval,"Yes"),TRIM(IF(_xlpm.oe&gt;_xlpm.ce,"failed retest; ","")&amp;IF(_xlpm.os&gt;_xlpm.cs,"skills failed out; ","")&amp;IF(_xlpm.om&gt;_xlpm.cm,"unexcused missed exams; ","")&amp;IF(_xlpm.oi&gt;_xlpm.ci,"chain-of-command incident review; ",""))))</f>
        <v/>
      </c>
      <c r="V36" s="17">
        <f>IF($B36="","",IF(COUNTIFS(nrES_PID,$B36,nrES_Absence,"Excused",nrES_Raw,"")=0,"Yes","No"))</f>
        <v/>
      </c>
      <c r="W36" s="17">
        <f>IF($B36="","",IF(IFERROR(INDEX(nrENRall,MATCH($B36,rngCadetPIDs,0)),"")="Yes","Yes","No"))</f>
        <v/>
      </c>
      <c r="X36" s="17">
        <f>IF($B36="","",IF(SkillsCheck!$P36="No","No","Yes"))</f>
        <v/>
      </c>
    </row>
    <row r="37">
      <c r="B37" s="17">
        <f>IF(Cadets!$B37="","",Cadets!$B37)</f>
        <v/>
      </c>
      <c r="C37" s="17">
        <f>IF($B37="","",Cadets!$F37)</f>
        <v/>
      </c>
      <c r="D37" s="17">
        <f>IF($B37="","",Cadets!$I37)</f>
        <v/>
      </c>
      <c r="E37" s="17">
        <f>IF($B37="","",sysGrades!$V37)</f>
        <v/>
      </c>
      <c r="F37" s="17">
        <f>IF($B37="","",sysAttendance!$K37)</f>
        <v/>
      </c>
      <c r="G37" s="17">
        <f>IF($B37="","",sysAttendance!$S37)</f>
        <v/>
      </c>
      <c r="H37" s="17">
        <f>IF($B37="","",sysSkills!$K37)</f>
        <v/>
      </c>
      <c r="I37" s="17">
        <f>IF($B37="","",sysIncidents!$K37)</f>
        <v/>
      </c>
      <c r="J37" s="17">
        <f>IF($B37="","",IF(Writing!$AT37="Yes","Yes","No"))</f>
        <v/>
      </c>
      <c r="K37" s="17">
        <f>IF($B37="","",sysAttendance!$T37)</f>
        <v/>
      </c>
      <c r="L37" s="17">
        <f>IF($B37="","",IF(PT!$AB37="Yes","Yes",IF(PT!$AB37="No","No",IF(PT!$AB37="(rubric pending)","Pending",IF(PT!$AB37="Incomplete","Incomplete","Not taken")))))</f>
        <v/>
      </c>
      <c r="M37" s="17">
        <f>IF($B37="","",IF($U37="","No","Yes"))</f>
        <v/>
      </c>
      <c r="N37" s="17">
        <f>IF($B37="","",IF(AND($E37="Yes",$F37="Yes",$G37="Yes",$H37="Yes",$I37="Yes",$J37="Yes",$K37="Yes",$L37="Yes",$Q37="Yes",$R37="Yes",$S37="Yes",$T37="Yes",$M37="No",$V37="Yes",$W37="Yes",$X37="Yes"),"Yes","No"))</f>
        <v/>
      </c>
      <c r="O37" s="17">
        <f>IF($B37="","",IF($N37="Yes","Eligible",TRIM(IF($E37&lt;&gt;"Yes","Academic; ","")&amp;IF($R37&lt;&gt;"Yes","Exams not all recorded; ","")&amp;IF($F37&lt;&gt;"Yes","Classroom; ","")&amp;IF($G37&lt;&gt;"Yes","PT sessions; ","")&amp;IF($H37&lt;&gt;"Yes","Skills; ","")&amp;IF($S37&lt;&gt;"Yes","Skills not all assessed; ","")&amp;IF($T37&lt;&gt;"Yes","Firearms courses of fire; ","")&amp;IF($I37&lt;&gt;"Yes","Incidents; ","")&amp;IF($J37&lt;&gt;"Yes","Writing; ","")&amp;IF($K37&lt;&gt;"Yes","Makeup owed; ","")&amp;IF($L37="No","Final PT failed; ",IF($L37="Pending","Final PT rubric not set; ",IF($L37="Incomplete","Final PT partially scored; ",IF($L37&lt;&gt;"Yes","Final PT not assessed; ",""))))&amp;IF($Q37&lt;&gt;"Yes","Certs; ","")&amp;IF($V37&lt;&gt;"Yes","Exam pending (excused absence); ","")&amp;IF($W37&lt;&gt;"Yes","Enrollment documents; ","")&amp;IF($X37="Yes","",IF(SkillsCheck!$N37&lt;&gt;"","Skills FAILED ("&amp;SkillsCheck!$N37&amp;"); ","Skills not all passed ("&amp;SkillsCheck!$O37&amp;" not assessed); "))&amp;IF($M37="Yes","Dismissal review; ",""))))</f>
        <v/>
      </c>
      <c r="P37" s="17">
        <f>IF($B37="","",IF(PT!$AB37="Yes","Yes",IF(PT!$AB37="No","No",IF(PT!$AB37="(rubric pending)","Pending",IF(PT!$AB37="Incomplete","Incomplete","Not taken")))))</f>
        <v/>
      </c>
      <c r="Q37" s="17">
        <f>IF($B37="","",IF(Certifications!$T37="Yes","Yes","No"))</f>
        <v/>
      </c>
      <c r="R37" s="17">
        <f>IF($B37="","",_xlfn.LET(_xlpm.mj,COUNTIFS(rngEPuse,"Yes",rngEPtype,"Major"),_xlpm.mn,COUNTIFS(rngEPuse,"Yes",rngEPtype,"Minor"),_xlpm.fnl,COUNTIFS(rngEPuse,"Yes",rngEPtype,"Final"),IF(AND(N(sysGrades!$E37)&gt;0,N(sysGrades!$F37)&gt;0,N(sysGrades!$G37)&gt;0,N(sysGrades!$H37)&gt;0,N(sysGrades!$E37)&gt;=_xlpm.mj,N(sysGrades!$F37)&gt;=_xlpm.mn,N(sysGrades!$H37)&gt;=_xlpm.fnl),"Yes","No")))</f>
        <v/>
      </c>
      <c r="S37" s="17">
        <f>IF($B37="","",IF(N(sysSkills!$F37)&gt;=SUMPRODUCT((rngSM_cat&lt;&gt;"")*1),"Yes","No"))</f>
        <v/>
      </c>
      <c r="T37" s="17">
        <f>IF($B37="","",IF(sysSkills!$P37="Yes","Yes","No"))</f>
        <v/>
      </c>
      <c r="U37" s="17">
        <f>IF($B37="","",_xlfn.LET(_xlpm.oe,N(sysGrades!$P37),_xlpm.os,N(sysSkills!$I37),_xlpm.oi,N(sysIncidents!$J37),_xlpm.ce,COUNTIFS(nrDIS_PID,$B37,nrDIS_Closes,"Failed retest (exam)",nrDIS_Outcome,"Retained",nrDIS_Approval,"Yes")+COUNTIFS(nrDIS_PID,$B37,nrDIS_Closes,"Failed retest (exam)",nrDIS_Outcome,"Retained w/ Plan",nrDIS_Approval,"Yes"),_xlpm.cs,COUNTIFS(nrDIS_PID,$B37,nrDIS_Closes,"Skills failed out",nrDIS_Outcome,"Retained",nrDIS_Approval,"Yes")+COUNTIFS(nrDIS_PID,$B37,nrDIS_Closes,"Skills failed out",nrDIS_Outcome,"Retained w/ Plan",nrDIS_Approval,"Yes"),_xlpm.ci,COUNTIFS(nrDIS_PID,$B37,nrDIS_Closes,"Chain-of-command incident review",nrDIS_Outcome,"Retained",nrDIS_Approval,"Yes")+COUNTIFS(nrDIS_PID,$B37,nrDIS_Closes,"Chain-of-command incident review",nrDIS_Outcome,"Retained w/ Plan",nrDIS_Approval,"Yes"),_xlpm.om,MAX(0,COUNTIFS(nrES_PID,$B37,nrES_Absence,"Unexcused")-1),_xlpm.cm,COUNTIFS(nrDIS_PID,$B37,nrDIS_Closes,"Unexcused missed exams",nrDIS_Outcome,"Retained",nrDIS_Approval,"Yes")+COUNTIFS(nrDIS_PID,$B37,nrDIS_Closes,"Unexcused missed exams",nrDIS_Outcome,"Retained w/ Plan",nrDIS_Approval,"Yes"),TRIM(IF(_xlpm.oe&gt;_xlpm.ce,"failed retest; ","")&amp;IF(_xlpm.os&gt;_xlpm.cs,"skills failed out; ","")&amp;IF(_xlpm.om&gt;_xlpm.cm,"unexcused missed exams; ","")&amp;IF(_xlpm.oi&gt;_xlpm.ci,"chain-of-command incident review; ",""))))</f>
        <v/>
      </c>
      <c r="V37" s="17">
        <f>IF($B37="","",IF(COUNTIFS(nrES_PID,$B37,nrES_Absence,"Excused",nrES_Raw,"")=0,"Yes","No"))</f>
        <v/>
      </c>
      <c r="W37" s="17">
        <f>IF($B37="","",IF(IFERROR(INDEX(nrENRall,MATCH($B37,rngCadetPIDs,0)),"")="Yes","Yes","No"))</f>
        <v/>
      </c>
      <c r="X37" s="17">
        <f>IF($B37="","",IF(SkillsCheck!$P37="No","No","Yes"))</f>
        <v/>
      </c>
    </row>
    <row r="38">
      <c r="B38" s="17">
        <f>IF(Cadets!$B38="","",Cadets!$B38)</f>
        <v/>
      </c>
      <c r="C38" s="17">
        <f>IF($B38="","",Cadets!$F38)</f>
        <v/>
      </c>
      <c r="D38" s="17">
        <f>IF($B38="","",Cadets!$I38)</f>
        <v/>
      </c>
      <c r="E38" s="17">
        <f>IF($B38="","",sysGrades!$V38)</f>
        <v/>
      </c>
      <c r="F38" s="17">
        <f>IF($B38="","",sysAttendance!$K38)</f>
        <v/>
      </c>
      <c r="G38" s="17">
        <f>IF($B38="","",sysAttendance!$S38)</f>
        <v/>
      </c>
      <c r="H38" s="17">
        <f>IF($B38="","",sysSkills!$K38)</f>
        <v/>
      </c>
      <c r="I38" s="17">
        <f>IF($B38="","",sysIncidents!$K38)</f>
        <v/>
      </c>
      <c r="J38" s="17">
        <f>IF($B38="","",IF(Writing!$AT38="Yes","Yes","No"))</f>
        <v/>
      </c>
      <c r="K38" s="17">
        <f>IF($B38="","",sysAttendance!$T38)</f>
        <v/>
      </c>
      <c r="L38" s="17">
        <f>IF($B38="","",IF(PT!$AB38="Yes","Yes",IF(PT!$AB38="No","No",IF(PT!$AB38="(rubric pending)","Pending",IF(PT!$AB38="Incomplete","Incomplete","Not taken")))))</f>
        <v/>
      </c>
      <c r="M38" s="17">
        <f>IF($B38="","",IF($U38="","No","Yes"))</f>
        <v/>
      </c>
      <c r="N38" s="17">
        <f>IF($B38="","",IF(AND($E38="Yes",$F38="Yes",$G38="Yes",$H38="Yes",$I38="Yes",$J38="Yes",$K38="Yes",$L38="Yes",$Q38="Yes",$R38="Yes",$S38="Yes",$T38="Yes",$M38="No",$V38="Yes",$W38="Yes",$X38="Yes"),"Yes","No"))</f>
        <v/>
      </c>
      <c r="O38" s="17">
        <f>IF($B38="","",IF($N38="Yes","Eligible",TRIM(IF($E38&lt;&gt;"Yes","Academic; ","")&amp;IF($R38&lt;&gt;"Yes","Exams not all recorded; ","")&amp;IF($F38&lt;&gt;"Yes","Classroom; ","")&amp;IF($G38&lt;&gt;"Yes","PT sessions; ","")&amp;IF($H38&lt;&gt;"Yes","Skills; ","")&amp;IF($S38&lt;&gt;"Yes","Skills not all assessed; ","")&amp;IF($T38&lt;&gt;"Yes","Firearms courses of fire; ","")&amp;IF($I38&lt;&gt;"Yes","Incidents; ","")&amp;IF($J38&lt;&gt;"Yes","Writing; ","")&amp;IF($K38&lt;&gt;"Yes","Makeup owed; ","")&amp;IF($L38="No","Final PT failed; ",IF($L38="Pending","Final PT rubric not set; ",IF($L38="Incomplete","Final PT partially scored; ",IF($L38&lt;&gt;"Yes","Final PT not assessed; ",""))))&amp;IF($Q38&lt;&gt;"Yes","Certs; ","")&amp;IF($V38&lt;&gt;"Yes","Exam pending (excused absence); ","")&amp;IF($W38&lt;&gt;"Yes","Enrollment documents; ","")&amp;IF($X38="Yes","",IF(SkillsCheck!$N38&lt;&gt;"","Skills FAILED ("&amp;SkillsCheck!$N38&amp;"); ","Skills not all passed ("&amp;SkillsCheck!$O38&amp;" not assessed); "))&amp;IF($M38="Yes","Dismissal review; ",""))))</f>
        <v/>
      </c>
      <c r="P38" s="17">
        <f>IF($B38="","",IF(PT!$AB38="Yes","Yes",IF(PT!$AB38="No","No",IF(PT!$AB38="(rubric pending)","Pending",IF(PT!$AB38="Incomplete","Incomplete","Not taken")))))</f>
        <v/>
      </c>
      <c r="Q38" s="17">
        <f>IF($B38="","",IF(Certifications!$T38="Yes","Yes","No"))</f>
        <v/>
      </c>
      <c r="R38" s="17">
        <f>IF($B38="","",_xlfn.LET(_xlpm.mj,COUNTIFS(rngEPuse,"Yes",rngEPtype,"Major"),_xlpm.mn,COUNTIFS(rngEPuse,"Yes",rngEPtype,"Minor"),_xlpm.fnl,COUNTIFS(rngEPuse,"Yes",rngEPtype,"Final"),IF(AND(N(sysGrades!$E38)&gt;0,N(sysGrades!$F38)&gt;0,N(sysGrades!$G38)&gt;0,N(sysGrades!$H38)&gt;0,N(sysGrades!$E38)&gt;=_xlpm.mj,N(sysGrades!$F38)&gt;=_xlpm.mn,N(sysGrades!$H38)&gt;=_xlpm.fnl),"Yes","No")))</f>
        <v/>
      </c>
      <c r="S38" s="17">
        <f>IF($B38="","",IF(N(sysSkills!$F38)&gt;=SUMPRODUCT((rngSM_cat&lt;&gt;"")*1),"Yes","No"))</f>
        <v/>
      </c>
      <c r="T38" s="17">
        <f>IF($B38="","",IF(sysSkills!$P38="Yes","Yes","No"))</f>
        <v/>
      </c>
      <c r="U38" s="17">
        <f>IF($B38="","",_xlfn.LET(_xlpm.oe,N(sysGrades!$P38),_xlpm.os,N(sysSkills!$I38),_xlpm.oi,N(sysIncidents!$J38),_xlpm.ce,COUNTIFS(nrDIS_PID,$B38,nrDIS_Closes,"Failed retest (exam)",nrDIS_Outcome,"Retained",nrDIS_Approval,"Yes")+COUNTIFS(nrDIS_PID,$B38,nrDIS_Closes,"Failed retest (exam)",nrDIS_Outcome,"Retained w/ Plan",nrDIS_Approval,"Yes"),_xlpm.cs,COUNTIFS(nrDIS_PID,$B38,nrDIS_Closes,"Skills failed out",nrDIS_Outcome,"Retained",nrDIS_Approval,"Yes")+COUNTIFS(nrDIS_PID,$B38,nrDIS_Closes,"Skills failed out",nrDIS_Outcome,"Retained w/ Plan",nrDIS_Approval,"Yes"),_xlpm.ci,COUNTIFS(nrDIS_PID,$B38,nrDIS_Closes,"Chain-of-command incident review",nrDIS_Outcome,"Retained",nrDIS_Approval,"Yes")+COUNTIFS(nrDIS_PID,$B38,nrDIS_Closes,"Chain-of-command incident review",nrDIS_Outcome,"Retained w/ Plan",nrDIS_Approval,"Yes"),_xlpm.om,MAX(0,COUNTIFS(nrES_PID,$B38,nrES_Absence,"Unexcused")-1),_xlpm.cm,COUNTIFS(nrDIS_PID,$B38,nrDIS_Closes,"Unexcused missed exams",nrDIS_Outcome,"Retained",nrDIS_Approval,"Yes")+COUNTIFS(nrDIS_PID,$B38,nrDIS_Closes,"Unexcused missed exams",nrDIS_Outcome,"Retained w/ Plan",nrDIS_Approval,"Yes"),TRIM(IF(_xlpm.oe&gt;_xlpm.ce,"failed retest; ","")&amp;IF(_xlpm.os&gt;_xlpm.cs,"skills failed out; ","")&amp;IF(_xlpm.om&gt;_xlpm.cm,"unexcused missed exams; ","")&amp;IF(_xlpm.oi&gt;_xlpm.ci,"chain-of-command incident review; ",""))))</f>
        <v/>
      </c>
      <c r="V38" s="17">
        <f>IF($B38="","",IF(COUNTIFS(nrES_PID,$B38,nrES_Absence,"Excused",nrES_Raw,"")=0,"Yes","No"))</f>
        <v/>
      </c>
      <c r="W38" s="17">
        <f>IF($B38="","",IF(IFERROR(INDEX(nrENRall,MATCH($B38,rngCadetPIDs,0)),"")="Yes","Yes","No"))</f>
        <v/>
      </c>
      <c r="X38" s="17">
        <f>IF($B38="","",IF(SkillsCheck!$P38="No","No","Yes"))</f>
        <v/>
      </c>
    </row>
    <row r="39">
      <c r="B39" s="17">
        <f>IF(Cadets!$B39="","",Cadets!$B39)</f>
        <v/>
      </c>
      <c r="C39" s="17">
        <f>IF($B39="","",Cadets!$F39)</f>
        <v/>
      </c>
      <c r="D39" s="17">
        <f>IF($B39="","",Cadets!$I39)</f>
        <v/>
      </c>
      <c r="E39" s="17">
        <f>IF($B39="","",sysGrades!$V39)</f>
        <v/>
      </c>
      <c r="F39" s="17">
        <f>IF($B39="","",sysAttendance!$K39)</f>
        <v/>
      </c>
      <c r="G39" s="17">
        <f>IF($B39="","",sysAttendance!$S39)</f>
        <v/>
      </c>
      <c r="H39" s="17">
        <f>IF($B39="","",sysSkills!$K39)</f>
        <v/>
      </c>
      <c r="I39" s="17">
        <f>IF($B39="","",sysIncidents!$K39)</f>
        <v/>
      </c>
      <c r="J39" s="17">
        <f>IF($B39="","",IF(Writing!$AT39="Yes","Yes","No"))</f>
        <v/>
      </c>
      <c r="K39" s="17">
        <f>IF($B39="","",sysAttendance!$T39)</f>
        <v/>
      </c>
      <c r="L39" s="17">
        <f>IF($B39="","",IF(PT!$AB39="Yes","Yes",IF(PT!$AB39="No","No",IF(PT!$AB39="(rubric pending)","Pending",IF(PT!$AB39="Incomplete","Incomplete","Not taken")))))</f>
        <v/>
      </c>
      <c r="M39" s="17">
        <f>IF($B39="","",IF($U39="","No","Yes"))</f>
        <v/>
      </c>
      <c r="N39" s="17">
        <f>IF($B39="","",IF(AND($E39="Yes",$F39="Yes",$G39="Yes",$H39="Yes",$I39="Yes",$J39="Yes",$K39="Yes",$L39="Yes",$Q39="Yes",$R39="Yes",$S39="Yes",$T39="Yes",$M39="No",$V39="Yes",$W39="Yes",$X39="Yes"),"Yes","No"))</f>
        <v/>
      </c>
      <c r="O39" s="17">
        <f>IF($B39="","",IF($N39="Yes","Eligible",TRIM(IF($E39&lt;&gt;"Yes","Academic; ","")&amp;IF($R39&lt;&gt;"Yes","Exams not all recorded; ","")&amp;IF($F39&lt;&gt;"Yes","Classroom; ","")&amp;IF($G39&lt;&gt;"Yes","PT sessions; ","")&amp;IF($H39&lt;&gt;"Yes","Skills; ","")&amp;IF($S39&lt;&gt;"Yes","Skills not all assessed; ","")&amp;IF($T39&lt;&gt;"Yes","Firearms courses of fire; ","")&amp;IF($I39&lt;&gt;"Yes","Incidents; ","")&amp;IF($J39&lt;&gt;"Yes","Writing; ","")&amp;IF($K39&lt;&gt;"Yes","Makeup owed; ","")&amp;IF($L39="No","Final PT failed; ",IF($L39="Pending","Final PT rubric not set; ",IF($L39="Incomplete","Final PT partially scored; ",IF($L39&lt;&gt;"Yes","Final PT not assessed; ",""))))&amp;IF($Q39&lt;&gt;"Yes","Certs; ","")&amp;IF($V39&lt;&gt;"Yes","Exam pending (excused absence); ","")&amp;IF($W39&lt;&gt;"Yes","Enrollment documents; ","")&amp;IF($X39="Yes","",IF(SkillsCheck!$N39&lt;&gt;"","Skills FAILED ("&amp;SkillsCheck!$N39&amp;"); ","Skills not all passed ("&amp;SkillsCheck!$O39&amp;" not assessed); "))&amp;IF($M39="Yes","Dismissal review; ",""))))</f>
        <v/>
      </c>
      <c r="P39" s="17">
        <f>IF($B39="","",IF(PT!$AB39="Yes","Yes",IF(PT!$AB39="No","No",IF(PT!$AB39="(rubric pending)","Pending",IF(PT!$AB39="Incomplete","Incomplete","Not taken")))))</f>
        <v/>
      </c>
      <c r="Q39" s="17">
        <f>IF($B39="","",IF(Certifications!$T39="Yes","Yes","No"))</f>
        <v/>
      </c>
      <c r="R39" s="17">
        <f>IF($B39="","",_xlfn.LET(_xlpm.mj,COUNTIFS(rngEPuse,"Yes",rngEPtype,"Major"),_xlpm.mn,COUNTIFS(rngEPuse,"Yes",rngEPtype,"Minor"),_xlpm.fnl,COUNTIFS(rngEPuse,"Yes",rngEPtype,"Final"),IF(AND(N(sysGrades!$E39)&gt;0,N(sysGrades!$F39)&gt;0,N(sysGrades!$G39)&gt;0,N(sysGrades!$H39)&gt;0,N(sysGrades!$E39)&gt;=_xlpm.mj,N(sysGrades!$F39)&gt;=_xlpm.mn,N(sysGrades!$H39)&gt;=_xlpm.fnl),"Yes","No")))</f>
        <v/>
      </c>
      <c r="S39" s="17">
        <f>IF($B39="","",IF(N(sysSkills!$F39)&gt;=SUMPRODUCT((rngSM_cat&lt;&gt;"")*1),"Yes","No"))</f>
        <v/>
      </c>
      <c r="T39" s="17">
        <f>IF($B39="","",IF(sysSkills!$P39="Yes","Yes","No"))</f>
        <v/>
      </c>
      <c r="U39" s="17">
        <f>IF($B39="","",_xlfn.LET(_xlpm.oe,N(sysGrades!$P39),_xlpm.os,N(sysSkills!$I39),_xlpm.oi,N(sysIncidents!$J39),_xlpm.ce,COUNTIFS(nrDIS_PID,$B39,nrDIS_Closes,"Failed retest (exam)",nrDIS_Outcome,"Retained",nrDIS_Approval,"Yes")+COUNTIFS(nrDIS_PID,$B39,nrDIS_Closes,"Failed retest (exam)",nrDIS_Outcome,"Retained w/ Plan",nrDIS_Approval,"Yes"),_xlpm.cs,COUNTIFS(nrDIS_PID,$B39,nrDIS_Closes,"Skills failed out",nrDIS_Outcome,"Retained",nrDIS_Approval,"Yes")+COUNTIFS(nrDIS_PID,$B39,nrDIS_Closes,"Skills failed out",nrDIS_Outcome,"Retained w/ Plan",nrDIS_Approval,"Yes"),_xlpm.ci,COUNTIFS(nrDIS_PID,$B39,nrDIS_Closes,"Chain-of-command incident review",nrDIS_Outcome,"Retained",nrDIS_Approval,"Yes")+COUNTIFS(nrDIS_PID,$B39,nrDIS_Closes,"Chain-of-command incident review",nrDIS_Outcome,"Retained w/ Plan",nrDIS_Approval,"Yes"),_xlpm.om,MAX(0,COUNTIFS(nrES_PID,$B39,nrES_Absence,"Unexcused")-1),_xlpm.cm,COUNTIFS(nrDIS_PID,$B39,nrDIS_Closes,"Unexcused missed exams",nrDIS_Outcome,"Retained",nrDIS_Approval,"Yes")+COUNTIFS(nrDIS_PID,$B39,nrDIS_Closes,"Unexcused missed exams",nrDIS_Outcome,"Retained w/ Plan",nrDIS_Approval,"Yes"),TRIM(IF(_xlpm.oe&gt;_xlpm.ce,"failed retest; ","")&amp;IF(_xlpm.os&gt;_xlpm.cs,"skills failed out; ","")&amp;IF(_xlpm.om&gt;_xlpm.cm,"unexcused missed exams; ","")&amp;IF(_xlpm.oi&gt;_xlpm.ci,"chain-of-command incident review; ",""))))</f>
        <v/>
      </c>
      <c r="V39" s="17">
        <f>IF($B39="","",IF(COUNTIFS(nrES_PID,$B39,nrES_Absence,"Excused",nrES_Raw,"")=0,"Yes","No"))</f>
        <v/>
      </c>
      <c r="W39" s="17">
        <f>IF($B39="","",IF(IFERROR(INDEX(nrENRall,MATCH($B39,rngCadetPIDs,0)),"")="Yes","Yes","No"))</f>
        <v/>
      </c>
      <c r="X39" s="17">
        <f>IF($B39="","",IF(SkillsCheck!$P39="No","No","Yes"))</f>
        <v/>
      </c>
    </row>
    <row r="40">
      <c r="B40" s="17">
        <f>IF(Cadets!$B40="","",Cadets!$B40)</f>
        <v/>
      </c>
      <c r="C40" s="17">
        <f>IF($B40="","",Cadets!$F40)</f>
        <v/>
      </c>
      <c r="D40" s="17">
        <f>IF($B40="","",Cadets!$I40)</f>
        <v/>
      </c>
      <c r="E40" s="17">
        <f>IF($B40="","",sysGrades!$V40)</f>
        <v/>
      </c>
      <c r="F40" s="17">
        <f>IF($B40="","",sysAttendance!$K40)</f>
        <v/>
      </c>
      <c r="G40" s="17">
        <f>IF($B40="","",sysAttendance!$S40)</f>
        <v/>
      </c>
      <c r="H40" s="17">
        <f>IF($B40="","",sysSkills!$K40)</f>
        <v/>
      </c>
      <c r="I40" s="17">
        <f>IF($B40="","",sysIncidents!$K40)</f>
        <v/>
      </c>
      <c r="J40" s="17">
        <f>IF($B40="","",IF(Writing!$AT40="Yes","Yes","No"))</f>
        <v/>
      </c>
      <c r="K40" s="17">
        <f>IF($B40="","",sysAttendance!$T40)</f>
        <v/>
      </c>
      <c r="L40" s="17">
        <f>IF($B40="","",IF(PT!$AB40="Yes","Yes",IF(PT!$AB40="No","No",IF(PT!$AB40="(rubric pending)","Pending",IF(PT!$AB40="Incomplete","Incomplete","Not taken")))))</f>
        <v/>
      </c>
      <c r="M40" s="17">
        <f>IF($B40="","",IF($U40="","No","Yes"))</f>
        <v/>
      </c>
      <c r="N40" s="17">
        <f>IF($B40="","",IF(AND($E40="Yes",$F40="Yes",$G40="Yes",$H40="Yes",$I40="Yes",$J40="Yes",$K40="Yes",$L40="Yes",$Q40="Yes",$R40="Yes",$S40="Yes",$T40="Yes",$M40="No",$V40="Yes",$W40="Yes",$X40="Yes"),"Yes","No"))</f>
        <v/>
      </c>
      <c r="O40" s="17">
        <f>IF($B40="","",IF($N40="Yes","Eligible",TRIM(IF($E40&lt;&gt;"Yes","Academic; ","")&amp;IF($R40&lt;&gt;"Yes","Exams not all recorded; ","")&amp;IF($F40&lt;&gt;"Yes","Classroom; ","")&amp;IF($G40&lt;&gt;"Yes","PT sessions; ","")&amp;IF($H40&lt;&gt;"Yes","Skills; ","")&amp;IF($S40&lt;&gt;"Yes","Skills not all assessed; ","")&amp;IF($T40&lt;&gt;"Yes","Firearms courses of fire; ","")&amp;IF($I40&lt;&gt;"Yes","Incidents; ","")&amp;IF($J40&lt;&gt;"Yes","Writing; ","")&amp;IF($K40&lt;&gt;"Yes","Makeup owed; ","")&amp;IF($L40="No","Final PT failed; ",IF($L40="Pending","Final PT rubric not set; ",IF($L40="Incomplete","Final PT partially scored; ",IF($L40&lt;&gt;"Yes","Final PT not assessed; ",""))))&amp;IF($Q40&lt;&gt;"Yes","Certs; ","")&amp;IF($V40&lt;&gt;"Yes","Exam pending (excused absence); ","")&amp;IF($W40&lt;&gt;"Yes","Enrollment documents; ","")&amp;IF($X40="Yes","",IF(SkillsCheck!$N40&lt;&gt;"","Skills FAILED ("&amp;SkillsCheck!$N40&amp;"); ","Skills not all passed ("&amp;SkillsCheck!$O40&amp;" not assessed); "))&amp;IF($M40="Yes","Dismissal review; ",""))))</f>
        <v/>
      </c>
      <c r="P40" s="17">
        <f>IF($B40="","",IF(PT!$AB40="Yes","Yes",IF(PT!$AB40="No","No",IF(PT!$AB40="(rubric pending)","Pending",IF(PT!$AB40="Incomplete","Incomplete","Not taken")))))</f>
        <v/>
      </c>
      <c r="Q40" s="17">
        <f>IF($B40="","",IF(Certifications!$T40="Yes","Yes","No"))</f>
        <v/>
      </c>
      <c r="R40" s="17">
        <f>IF($B40="","",_xlfn.LET(_xlpm.mj,COUNTIFS(rngEPuse,"Yes",rngEPtype,"Major"),_xlpm.mn,COUNTIFS(rngEPuse,"Yes",rngEPtype,"Minor"),_xlpm.fnl,COUNTIFS(rngEPuse,"Yes",rngEPtype,"Final"),IF(AND(N(sysGrades!$E40)&gt;0,N(sysGrades!$F40)&gt;0,N(sysGrades!$G40)&gt;0,N(sysGrades!$H40)&gt;0,N(sysGrades!$E40)&gt;=_xlpm.mj,N(sysGrades!$F40)&gt;=_xlpm.mn,N(sysGrades!$H40)&gt;=_xlpm.fnl),"Yes","No")))</f>
        <v/>
      </c>
      <c r="S40" s="17">
        <f>IF($B40="","",IF(N(sysSkills!$F40)&gt;=SUMPRODUCT((rngSM_cat&lt;&gt;"")*1),"Yes","No"))</f>
        <v/>
      </c>
      <c r="T40" s="17">
        <f>IF($B40="","",IF(sysSkills!$P40="Yes","Yes","No"))</f>
        <v/>
      </c>
      <c r="U40" s="17">
        <f>IF($B40="","",_xlfn.LET(_xlpm.oe,N(sysGrades!$P40),_xlpm.os,N(sysSkills!$I40),_xlpm.oi,N(sysIncidents!$J40),_xlpm.ce,COUNTIFS(nrDIS_PID,$B40,nrDIS_Closes,"Failed retest (exam)",nrDIS_Outcome,"Retained",nrDIS_Approval,"Yes")+COUNTIFS(nrDIS_PID,$B40,nrDIS_Closes,"Failed retest (exam)",nrDIS_Outcome,"Retained w/ Plan",nrDIS_Approval,"Yes"),_xlpm.cs,COUNTIFS(nrDIS_PID,$B40,nrDIS_Closes,"Skills failed out",nrDIS_Outcome,"Retained",nrDIS_Approval,"Yes")+COUNTIFS(nrDIS_PID,$B40,nrDIS_Closes,"Skills failed out",nrDIS_Outcome,"Retained w/ Plan",nrDIS_Approval,"Yes"),_xlpm.ci,COUNTIFS(nrDIS_PID,$B40,nrDIS_Closes,"Chain-of-command incident review",nrDIS_Outcome,"Retained",nrDIS_Approval,"Yes")+COUNTIFS(nrDIS_PID,$B40,nrDIS_Closes,"Chain-of-command incident review",nrDIS_Outcome,"Retained w/ Plan",nrDIS_Approval,"Yes"),_xlpm.om,MAX(0,COUNTIFS(nrES_PID,$B40,nrES_Absence,"Unexcused")-1),_xlpm.cm,COUNTIFS(nrDIS_PID,$B40,nrDIS_Closes,"Unexcused missed exams",nrDIS_Outcome,"Retained",nrDIS_Approval,"Yes")+COUNTIFS(nrDIS_PID,$B40,nrDIS_Closes,"Unexcused missed exams",nrDIS_Outcome,"Retained w/ Plan",nrDIS_Approval,"Yes"),TRIM(IF(_xlpm.oe&gt;_xlpm.ce,"failed retest; ","")&amp;IF(_xlpm.os&gt;_xlpm.cs,"skills failed out; ","")&amp;IF(_xlpm.om&gt;_xlpm.cm,"unexcused missed exams; ","")&amp;IF(_xlpm.oi&gt;_xlpm.ci,"chain-of-command incident review; ",""))))</f>
        <v/>
      </c>
      <c r="V40" s="17">
        <f>IF($B40="","",IF(COUNTIFS(nrES_PID,$B40,nrES_Absence,"Excused",nrES_Raw,"")=0,"Yes","No"))</f>
        <v/>
      </c>
      <c r="W40" s="17">
        <f>IF($B40="","",IF(IFERROR(INDEX(nrENRall,MATCH($B40,rngCadetPIDs,0)),"")="Yes","Yes","No"))</f>
        <v/>
      </c>
      <c r="X40" s="17">
        <f>IF($B40="","",IF(SkillsCheck!$P40="No","No","Yes"))</f>
        <v/>
      </c>
    </row>
    <row r="41">
      <c r="B41" s="17">
        <f>IF(Cadets!$B41="","",Cadets!$B41)</f>
        <v/>
      </c>
      <c r="C41" s="17">
        <f>IF($B41="","",Cadets!$F41)</f>
        <v/>
      </c>
      <c r="D41" s="17">
        <f>IF($B41="","",Cadets!$I41)</f>
        <v/>
      </c>
      <c r="E41" s="17">
        <f>IF($B41="","",sysGrades!$V41)</f>
        <v/>
      </c>
      <c r="F41" s="17">
        <f>IF($B41="","",sysAttendance!$K41)</f>
        <v/>
      </c>
      <c r="G41" s="17">
        <f>IF($B41="","",sysAttendance!$S41)</f>
        <v/>
      </c>
      <c r="H41" s="17">
        <f>IF($B41="","",sysSkills!$K41)</f>
        <v/>
      </c>
      <c r="I41" s="17">
        <f>IF($B41="","",sysIncidents!$K41)</f>
        <v/>
      </c>
      <c r="J41" s="17">
        <f>IF($B41="","",IF(Writing!$AT41="Yes","Yes","No"))</f>
        <v/>
      </c>
      <c r="K41" s="17">
        <f>IF($B41="","",sysAttendance!$T41)</f>
        <v/>
      </c>
      <c r="L41" s="17">
        <f>IF($B41="","",IF(PT!$AB41="Yes","Yes",IF(PT!$AB41="No","No",IF(PT!$AB41="(rubric pending)","Pending",IF(PT!$AB41="Incomplete","Incomplete","Not taken")))))</f>
        <v/>
      </c>
      <c r="M41" s="17">
        <f>IF($B41="","",IF($U41="","No","Yes"))</f>
        <v/>
      </c>
      <c r="N41" s="17">
        <f>IF($B41="","",IF(AND($E41="Yes",$F41="Yes",$G41="Yes",$H41="Yes",$I41="Yes",$J41="Yes",$K41="Yes",$L41="Yes",$Q41="Yes",$R41="Yes",$S41="Yes",$T41="Yes",$M41="No",$V41="Yes",$W41="Yes",$X41="Yes"),"Yes","No"))</f>
        <v/>
      </c>
      <c r="O41" s="17">
        <f>IF($B41="","",IF($N41="Yes","Eligible",TRIM(IF($E41&lt;&gt;"Yes","Academic; ","")&amp;IF($R41&lt;&gt;"Yes","Exams not all recorded; ","")&amp;IF($F41&lt;&gt;"Yes","Classroom; ","")&amp;IF($G41&lt;&gt;"Yes","PT sessions; ","")&amp;IF($H41&lt;&gt;"Yes","Skills; ","")&amp;IF($S41&lt;&gt;"Yes","Skills not all assessed; ","")&amp;IF($T41&lt;&gt;"Yes","Firearms courses of fire; ","")&amp;IF($I41&lt;&gt;"Yes","Incidents; ","")&amp;IF($J41&lt;&gt;"Yes","Writing; ","")&amp;IF($K41&lt;&gt;"Yes","Makeup owed; ","")&amp;IF($L41="No","Final PT failed; ",IF($L41="Pending","Final PT rubric not set; ",IF($L41="Incomplete","Final PT partially scored; ",IF($L41&lt;&gt;"Yes","Final PT not assessed; ",""))))&amp;IF($Q41&lt;&gt;"Yes","Certs; ","")&amp;IF($V41&lt;&gt;"Yes","Exam pending (excused absence); ","")&amp;IF($W41&lt;&gt;"Yes","Enrollment documents; ","")&amp;IF($X41="Yes","",IF(SkillsCheck!$N41&lt;&gt;"","Skills FAILED ("&amp;SkillsCheck!$N41&amp;"); ","Skills not all passed ("&amp;SkillsCheck!$O41&amp;" not assessed); "))&amp;IF($M41="Yes","Dismissal review; ",""))))</f>
        <v/>
      </c>
      <c r="P41" s="17">
        <f>IF($B41="","",IF(PT!$AB41="Yes","Yes",IF(PT!$AB41="No","No",IF(PT!$AB41="(rubric pending)","Pending",IF(PT!$AB41="Incomplete","Incomplete","Not taken")))))</f>
        <v/>
      </c>
      <c r="Q41" s="17">
        <f>IF($B41="","",IF(Certifications!$T41="Yes","Yes","No"))</f>
        <v/>
      </c>
      <c r="R41" s="17">
        <f>IF($B41="","",_xlfn.LET(_xlpm.mj,COUNTIFS(rngEPuse,"Yes",rngEPtype,"Major"),_xlpm.mn,COUNTIFS(rngEPuse,"Yes",rngEPtype,"Minor"),_xlpm.fnl,COUNTIFS(rngEPuse,"Yes",rngEPtype,"Final"),IF(AND(N(sysGrades!$E41)&gt;0,N(sysGrades!$F41)&gt;0,N(sysGrades!$G41)&gt;0,N(sysGrades!$H41)&gt;0,N(sysGrades!$E41)&gt;=_xlpm.mj,N(sysGrades!$F41)&gt;=_xlpm.mn,N(sysGrades!$H41)&gt;=_xlpm.fnl),"Yes","No")))</f>
        <v/>
      </c>
      <c r="S41" s="17">
        <f>IF($B41="","",IF(N(sysSkills!$F41)&gt;=SUMPRODUCT((rngSM_cat&lt;&gt;"")*1),"Yes","No"))</f>
        <v/>
      </c>
      <c r="T41" s="17">
        <f>IF($B41="","",IF(sysSkills!$P41="Yes","Yes","No"))</f>
        <v/>
      </c>
      <c r="U41" s="17">
        <f>IF($B41="","",_xlfn.LET(_xlpm.oe,N(sysGrades!$P41),_xlpm.os,N(sysSkills!$I41),_xlpm.oi,N(sysIncidents!$J41),_xlpm.ce,COUNTIFS(nrDIS_PID,$B41,nrDIS_Closes,"Failed retest (exam)",nrDIS_Outcome,"Retained",nrDIS_Approval,"Yes")+COUNTIFS(nrDIS_PID,$B41,nrDIS_Closes,"Failed retest (exam)",nrDIS_Outcome,"Retained w/ Plan",nrDIS_Approval,"Yes"),_xlpm.cs,COUNTIFS(nrDIS_PID,$B41,nrDIS_Closes,"Skills failed out",nrDIS_Outcome,"Retained",nrDIS_Approval,"Yes")+COUNTIFS(nrDIS_PID,$B41,nrDIS_Closes,"Skills failed out",nrDIS_Outcome,"Retained w/ Plan",nrDIS_Approval,"Yes"),_xlpm.ci,COUNTIFS(nrDIS_PID,$B41,nrDIS_Closes,"Chain-of-command incident review",nrDIS_Outcome,"Retained",nrDIS_Approval,"Yes")+COUNTIFS(nrDIS_PID,$B41,nrDIS_Closes,"Chain-of-command incident review",nrDIS_Outcome,"Retained w/ Plan",nrDIS_Approval,"Yes"),_xlpm.om,MAX(0,COUNTIFS(nrES_PID,$B41,nrES_Absence,"Unexcused")-1),_xlpm.cm,COUNTIFS(nrDIS_PID,$B41,nrDIS_Closes,"Unexcused missed exams",nrDIS_Outcome,"Retained",nrDIS_Approval,"Yes")+COUNTIFS(nrDIS_PID,$B41,nrDIS_Closes,"Unexcused missed exams",nrDIS_Outcome,"Retained w/ Plan",nrDIS_Approval,"Yes"),TRIM(IF(_xlpm.oe&gt;_xlpm.ce,"failed retest; ","")&amp;IF(_xlpm.os&gt;_xlpm.cs,"skills failed out; ","")&amp;IF(_xlpm.om&gt;_xlpm.cm,"unexcused missed exams; ","")&amp;IF(_xlpm.oi&gt;_xlpm.ci,"chain-of-command incident review; ",""))))</f>
        <v/>
      </c>
      <c r="V41" s="17">
        <f>IF($B41="","",IF(COUNTIFS(nrES_PID,$B41,nrES_Absence,"Excused",nrES_Raw,"")=0,"Yes","No"))</f>
        <v/>
      </c>
      <c r="W41" s="17">
        <f>IF($B41="","",IF(IFERROR(INDEX(nrENRall,MATCH($B41,rngCadetPIDs,0)),"")="Yes","Yes","No"))</f>
        <v/>
      </c>
      <c r="X41" s="17">
        <f>IF($B41="","",IF(SkillsCheck!$P41="No","No","Yes"))</f>
        <v/>
      </c>
    </row>
    <row r="42">
      <c r="B42" s="17">
        <f>IF(Cadets!$B42="","",Cadets!$B42)</f>
        <v/>
      </c>
      <c r="C42" s="17">
        <f>IF($B42="","",Cadets!$F42)</f>
        <v/>
      </c>
      <c r="D42" s="17">
        <f>IF($B42="","",Cadets!$I42)</f>
        <v/>
      </c>
      <c r="E42" s="17">
        <f>IF($B42="","",sysGrades!$V42)</f>
        <v/>
      </c>
      <c r="F42" s="17">
        <f>IF($B42="","",sysAttendance!$K42)</f>
        <v/>
      </c>
      <c r="G42" s="17">
        <f>IF($B42="","",sysAttendance!$S42)</f>
        <v/>
      </c>
      <c r="H42" s="17">
        <f>IF($B42="","",sysSkills!$K42)</f>
        <v/>
      </c>
      <c r="I42" s="17">
        <f>IF($B42="","",sysIncidents!$K42)</f>
        <v/>
      </c>
      <c r="J42" s="17">
        <f>IF($B42="","",IF(Writing!$AT42="Yes","Yes","No"))</f>
        <v/>
      </c>
      <c r="K42" s="17">
        <f>IF($B42="","",sysAttendance!$T42)</f>
        <v/>
      </c>
      <c r="L42" s="17">
        <f>IF($B42="","",IF(PT!$AB42="Yes","Yes",IF(PT!$AB42="No","No",IF(PT!$AB42="(rubric pending)","Pending",IF(PT!$AB42="Incomplete","Incomplete","Not taken")))))</f>
        <v/>
      </c>
      <c r="M42" s="17">
        <f>IF($B42="","",IF($U42="","No","Yes"))</f>
        <v/>
      </c>
      <c r="N42" s="17">
        <f>IF($B42="","",IF(AND($E42="Yes",$F42="Yes",$G42="Yes",$H42="Yes",$I42="Yes",$J42="Yes",$K42="Yes",$L42="Yes",$Q42="Yes",$R42="Yes",$S42="Yes",$T42="Yes",$M42="No",$V42="Yes",$W42="Yes",$X42="Yes"),"Yes","No"))</f>
        <v/>
      </c>
      <c r="O42" s="17">
        <f>IF($B42="","",IF($N42="Yes","Eligible",TRIM(IF($E42&lt;&gt;"Yes","Academic; ","")&amp;IF($R42&lt;&gt;"Yes","Exams not all recorded; ","")&amp;IF($F42&lt;&gt;"Yes","Classroom; ","")&amp;IF($G42&lt;&gt;"Yes","PT sessions; ","")&amp;IF($H42&lt;&gt;"Yes","Skills; ","")&amp;IF($S42&lt;&gt;"Yes","Skills not all assessed; ","")&amp;IF($T42&lt;&gt;"Yes","Firearms courses of fire; ","")&amp;IF($I42&lt;&gt;"Yes","Incidents; ","")&amp;IF($J42&lt;&gt;"Yes","Writing; ","")&amp;IF($K42&lt;&gt;"Yes","Makeup owed; ","")&amp;IF($L42="No","Final PT failed; ",IF($L42="Pending","Final PT rubric not set; ",IF($L42="Incomplete","Final PT partially scored; ",IF($L42&lt;&gt;"Yes","Final PT not assessed; ",""))))&amp;IF($Q42&lt;&gt;"Yes","Certs; ","")&amp;IF($V42&lt;&gt;"Yes","Exam pending (excused absence); ","")&amp;IF($W42&lt;&gt;"Yes","Enrollment documents; ","")&amp;IF($X42="Yes","",IF(SkillsCheck!$N42&lt;&gt;"","Skills FAILED ("&amp;SkillsCheck!$N42&amp;"); ","Skills not all passed ("&amp;SkillsCheck!$O42&amp;" not assessed); "))&amp;IF($M42="Yes","Dismissal review; ",""))))</f>
        <v/>
      </c>
      <c r="P42" s="17">
        <f>IF($B42="","",IF(PT!$AB42="Yes","Yes",IF(PT!$AB42="No","No",IF(PT!$AB42="(rubric pending)","Pending",IF(PT!$AB42="Incomplete","Incomplete","Not taken")))))</f>
        <v/>
      </c>
      <c r="Q42" s="17">
        <f>IF($B42="","",IF(Certifications!$T42="Yes","Yes","No"))</f>
        <v/>
      </c>
      <c r="R42" s="17">
        <f>IF($B42="","",_xlfn.LET(_xlpm.mj,COUNTIFS(rngEPuse,"Yes",rngEPtype,"Major"),_xlpm.mn,COUNTIFS(rngEPuse,"Yes",rngEPtype,"Minor"),_xlpm.fnl,COUNTIFS(rngEPuse,"Yes",rngEPtype,"Final"),IF(AND(N(sysGrades!$E42)&gt;0,N(sysGrades!$F42)&gt;0,N(sysGrades!$G42)&gt;0,N(sysGrades!$H42)&gt;0,N(sysGrades!$E42)&gt;=_xlpm.mj,N(sysGrades!$F42)&gt;=_xlpm.mn,N(sysGrades!$H42)&gt;=_xlpm.fnl),"Yes","No")))</f>
        <v/>
      </c>
      <c r="S42" s="17">
        <f>IF($B42="","",IF(N(sysSkills!$F42)&gt;=SUMPRODUCT((rngSM_cat&lt;&gt;"")*1),"Yes","No"))</f>
        <v/>
      </c>
      <c r="T42" s="17">
        <f>IF($B42="","",IF(sysSkills!$P42="Yes","Yes","No"))</f>
        <v/>
      </c>
      <c r="U42" s="17">
        <f>IF($B42="","",_xlfn.LET(_xlpm.oe,N(sysGrades!$P42),_xlpm.os,N(sysSkills!$I42),_xlpm.oi,N(sysIncidents!$J42),_xlpm.ce,COUNTIFS(nrDIS_PID,$B42,nrDIS_Closes,"Failed retest (exam)",nrDIS_Outcome,"Retained",nrDIS_Approval,"Yes")+COUNTIFS(nrDIS_PID,$B42,nrDIS_Closes,"Failed retest (exam)",nrDIS_Outcome,"Retained w/ Plan",nrDIS_Approval,"Yes"),_xlpm.cs,COUNTIFS(nrDIS_PID,$B42,nrDIS_Closes,"Skills failed out",nrDIS_Outcome,"Retained",nrDIS_Approval,"Yes")+COUNTIFS(nrDIS_PID,$B42,nrDIS_Closes,"Skills failed out",nrDIS_Outcome,"Retained w/ Plan",nrDIS_Approval,"Yes"),_xlpm.ci,COUNTIFS(nrDIS_PID,$B42,nrDIS_Closes,"Chain-of-command incident review",nrDIS_Outcome,"Retained",nrDIS_Approval,"Yes")+COUNTIFS(nrDIS_PID,$B42,nrDIS_Closes,"Chain-of-command incident review",nrDIS_Outcome,"Retained w/ Plan",nrDIS_Approval,"Yes"),_xlpm.om,MAX(0,COUNTIFS(nrES_PID,$B42,nrES_Absence,"Unexcused")-1),_xlpm.cm,COUNTIFS(nrDIS_PID,$B42,nrDIS_Closes,"Unexcused missed exams",nrDIS_Outcome,"Retained",nrDIS_Approval,"Yes")+COUNTIFS(nrDIS_PID,$B42,nrDIS_Closes,"Unexcused missed exams",nrDIS_Outcome,"Retained w/ Plan",nrDIS_Approval,"Yes"),TRIM(IF(_xlpm.oe&gt;_xlpm.ce,"failed retest; ","")&amp;IF(_xlpm.os&gt;_xlpm.cs,"skills failed out; ","")&amp;IF(_xlpm.om&gt;_xlpm.cm,"unexcused missed exams; ","")&amp;IF(_xlpm.oi&gt;_xlpm.ci,"chain-of-command incident review; ",""))))</f>
        <v/>
      </c>
      <c r="V42" s="17">
        <f>IF($B42="","",IF(COUNTIFS(nrES_PID,$B42,nrES_Absence,"Excused",nrES_Raw,"")=0,"Yes","No"))</f>
        <v/>
      </c>
      <c r="W42" s="17">
        <f>IF($B42="","",IF(IFERROR(INDEX(nrENRall,MATCH($B42,rngCadetPIDs,0)),"")="Yes","Yes","No"))</f>
        <v/>
      </c>
      <c r="X42" s="17">
        <f>IF($B42="","",IF(SkillsCheck!$P42="No","No","Yes"))</f>
        <v/>
      </c>
    </row>
    <row r="43">
      <c r="B43" s="17">
        <f>IF(Cadets!$B43="","",Cadets!$B43)</f>
        <v/>
      </c>
      <c r="C43" s="17">
        <f>IF($B43="","",Cadets!$F43)</f>
        <v/>
      </c>
      <c r="D43" s="17">
        <f>IF($B43="","",Cadets!$I43)</f>
        <v/>
      </c>
      <c r="E43" s="17">
        <f>IF($B43="","",sysGrades!$V43)</f>
        <v/>
      </c>
      <c r="F43" s="17">
        <f>IF($B43="","",sysAttendance!$K43)</f>
        <v/>
      </c>
      <c r="G43" s="17">
        <f>IF($B43="","",sysAttendance!$S43)</f>
        <v/>
      </c>
      <c r="H43" s="17">
        <f>IF($B43="","",sysSkills!$K43)</f>
        <v/>
      </c>
      <c r="I43" s="17">
        <f>IF($B43="","",sysIncidents!$K43)</f>
        <v/>
      </c>
      <c r="J43" s="17">
        <f>IF($B43="","",IF(Writing!$AT43="Yes","Yes","No"))</f>
        <v/>
      </c>
      <c r="K43" s="17">
        <f>IF($B43="","",sysAttendance!$T43)</f>
        <v/>
      </c>
      <c r="L43" s="17">
        <f>IF($B43="","",IF(PT!$AB43="Yes","Yes",IF(PT!$AB43="No","No",IF(PT!$AB43="(rubric pending)","Pending",IF(PT!$AB43="Incomplete","Incomplete","Not taken")))))</f>
        <v/>
      </c>
      <c r="M43" s="17">
        <f>IF($B43="","",IF($U43="","No","Yes"))</f>
        <v/>
      </c>
      <c r="N43" s="17">
        <f>IF($B43="","",IF(AND($E43="Yes",$F43="Yes",$G43="Yes",$H43="Yes",$I43="Yes",$J43="Yes",$K43="Yes",$L43="Yes",$Q43="Yes",$R43="Yes",$S43="Yes",$T43="Yes",$M43="No",$V43="Yes",$W43="Yes",$X43="Yes"),"Yes","No"))</f>
        <v/>
      </c>
      <c r="O43" s="17">
        <f>IF($B43="","",IF($N43="Yes","Eligible",TRIM(IF($E43&lt;&gt;"Yes","Academic; ","")&amp;IF($R43&lt;&gt;"Yes","Exams not all recorded; ","")&amp;IF($F43&lt;&gt;"Yes","Classroom; ","")&amp;IF($G43&lt;&gt;"Yes","PT sessions; ","")&amp;IF($H43&lt;&gt;"Yes","Skills; ","")&amp;IF($S43&lt;&gt;"Yes","Skills not all assessed; ","")&amp;IF($T43&lt;&gt;"Yes","Firearms courses of fire; ","")&amp;IF($I43&lt;&gt;"Yes","Incidents; ","")&amp;IF($J43&lt;&gt;"Yes","Writing; ","")&amp;IF($K43&lt;&gt;"Yes","Makeup owed; ","")&amp;IF($L43="No","Final PT failed; ",IF($L43="Pending","Final PT rubric not set; ",IF($L43="Incomplete","Final PT partially scored; ",IF($L43&lt;&gt;"Yes","Final PT not assessed; ",""))))&amp;IF($Q43&lt;&gt;"Yes","Certs; ","")&amp;IF($V43&lt;&gt;"Yes","Exam pending (excused absence); ","")&amp;IF($W43&lt;&gt;"Yes","Enrollment documents; ","")&amp;IF($X43="Yes","",IF(SkillsCheck!$N43&lt;&gt;"","Skills FAILED ("&amp;SkillsCheck!$N43&amp;"); ","Skills not all passed ("&amp;SkillsCheck!$O43&amp;" not assessed); "))&amp;IF($M43="Yes","Dismissal review; ",""))))</f>
        <v/>
      </c>
      <c r="P43" s="17">
        <f>IF($B43="","",IF(PT!$AB43="Yes","Yes",IF(PT!$AB43="No","No",IF(PT!$AB43="(rubric pending)","Pending",IF(PT!$AB43="Incomplete","Incomplete","Not taken")))))</f>
        <v/>
      </c>
      <c r="Q43" s="17">
        <f>IF($B43="","",IF(Certifications!$T43="Yes","Yes","No"))</f>
        <v/>
      </c>
      <c r="R43" s="17">
        <f>IF($B43="","",_xlfn.LET(_xlpm.mj,COUNTIFS(rngEPuse,"Yes",rngEPtype,"Major"),_xlpm.mn,COUNTIFS(rngEPuse,"Yes",rngEPtype,"Minor"),_xlpm.fnl,COUNTIFS(rngEPuse,"Yes",rngEPtype,"Final"),IF(AND(N(sysGrades!$E43)&gt;0,N(sysGrades!$F43)&gt;0,N(sysGrades!$G43)&gt;0,N(sysGrades!$H43)&gt;0,N(sysGrades!$E43)&gt;=_xlpm.mj,N(sysGrades!$F43)&gt;=_xlpm.mn,N(sysGrades!$H43)&gt;=_xlpm.fnl),"Yes","No")))</f>
        <v/>
      </c>
      <c r="S43" s="17">
        <f>IF($B43="","",IF(N(sysSkills!$F43)&gt;=SUMPRODUCT((rngSM_cat&lt;&gt;"")*1),"Yes","No"))</f>
        <v/>
      </c>
      <c r="T43" s="17">
        <f>IF($B43="","",IF(sysSkills!$P43="Yes","Yes","No"))</f>
        <v/>
      </c>
      <c r="U43" s="17">
        <f>IF($B43="","",_xlfn.LET(_xlpm.oe,N(sysGrades!$P43),_xlpm.os,N(sysSkills!$I43),_xlpm.oi,N(sysIncidents!$J43),_xlpm.ce,COUNTIFS(nrDIS_PID,$B43,nrDIS_Closes,"Failed retest (exam)",nrDIS_Outcome,"Retained",nrDIS_Approval,"Yes")+COUNTIFS(nrDIS_PID,$B43,nrDIS_Closes,"Failed retest (exam)",nrDIS_Outcome,"Retained w/ Plan",nrDIS_Approval,"Yes"),_xlpm.cs,COUNTIFS(nrDIS_PID,$B43,nrDIS_Closes,"Skills failed out",nrDIS_Outcome,"Retained",nrDIS_Approval,"Yes")+COUNTIFS(nrDIS_PID,$B43,nrDIS_Closes,"Skills failed out",nrDIS_Outcome,"Retained w/ Plan",nrDIS_Approval,"Yes"),_xlpm.ci,COUNTIFS(nrDIS_PID,$B43,nrDIS_Closes,"Chain-of-command incident review",nrDIS_Outcome,"Retained",nrDIS_Approval,"Yes")+COUNTIFS(nrDIS_PID,$B43,nrDIS_Closes,"Chain-of-command incident review",nrDIS_Outcome,"Retained w/ Plan",nrDIS_Approval,"Yes"),_xlpm.om,MAX(0,COUNTIFS(nrES_PID,$B43,nrES_Absence,"Unexcused")-1),_xlpm.cm,COUNTIFS(nrDIS_PID,$B43,nrDIS_Closes,"Unexcused missed exams",nrDIS_Outcome,"Retained",nrDIS_Approval,"Yes")+COUNTIFS(nrDIS_PID,$B43,nrDIS_Closes,"Unexcused missed exams",nrDIS_Outcome,"Retained w/ Plan",nrDIS_Approval,"Yes"),TRIM(IF(_xlpm.oe&gt;_xlpm.ce,"failed retest; ","")&amp;IF(_xlpm.os&gt;_xlpm.cs,"skills failed out; ","")&amp;IF(_xlpm.om&gt;_xlpm.cm,"unexcused missed exams; ","")&amp;IF(_xlpm.oi&gt;_xlpm.ci,"chain-of-command incident review; ",""))))</f>
        <v/>
      </c>
      <c r="V43" s="17">
        <f>IF($B43="","",IF(COUNTIFS(nrES_PID,$B43,nrES_Absence,"Excused",nrES_Raw,"")=0,"Yes","No"))</f>
        <v/>
      </c>
      <c r="W43" s="17">
        <f>IF($B43="","",IF(IFERROR(INDEX(nrENRall,MATCH($B43,rngCadetPIDs,0)),"")="Yes","Yes","No"))</f>
        <v/>
      </c>
      <c r="X43" s="17">
        <f>IF($B43="","",IF(SkillsCheck!$P43="No","No","Yes"))</f>
        <v/>
      </c>
    </row>
    <row r="44">
      <c r="B44" s="17">
        <f>IF(Cadets!$B44="","",Cadets!$B44)</f>
        <v/>
      </c>
      <c r="C44" s="17">
        <f>IF($B44="","",Cadets!$F44)</f>
        <v/>
      </c>
      <c r="D44" s="17">
        <f>IF($B44="","",Cadets!$I44)</f>
        <v/>
      </c>
      <c r="E44" s="17">
        <f>IF($B44="","",sysGrades!$V44)</f>
        <v/>
      </c>
      <c r="F44" s="17">
        <f>IF($B44="","",sysAttendance!$K44)</f>
        <v/>
      </c>
      <c r="G44" s="17">
        <f>IF($B44="","",sysAttendance!$S44)</f>
        <v/>
      </c>
      <c r="H44" s="17">
        <f>IF($B44="","",sysSkills!$K44)</f>
        <v/>
      </c>
      <c r="I44" s="17">
        <f>IF($B44="","",sysIncidents!$K44)</f>
        <v/>
      </c>
      <c r="J44" s="17">
        <f>IF($B44="","",IF(Writing!$AT44="Yes","Yes","No"))</f>
        <v/>
      </c>
      <c r="K44" s="17">
        <f>IF($B44="","",sysAttendance!$T44)</f>
        <v/>
      </c>
      <c r="L44" s="17">
        <f>IF($B44="","",IF(PT!$AB44="Yes","Yes",IF(PT!$AB44="No","No",IF(PT!$AB44="(rubric pending)","Pending",IF(PT!$AB44="Incomplete","Incomplete","Not taken")))))</f>
        <v/>
      </c>
      <c r="M44" s="17">
        <f>IF($B44="","",IF($U44="","No","Yes"))</f>
        <v/>
      </c>
      <c r="N44" s="17">
        <f>IF($B44="","",IF(AND($E44="Yes",$F44="Yes",$G44="Yes",$H44="Yes",$I44="Yes",$J44="Yes",$K44="Yes",$L44="Yes",$Q44="Yes",$R44="Yes",$S44="Yes",$T44="Yes",$M44="No",$V44="Yes",$W44="Yes",$X44="Yes"),"Yes","No"))</f>
        <v/>
      </c>
      <c r="O44" s="17">
        <f>IF($B44="","",IF($N44="Yes","Eligible",TRIM(IF($E44&lt;&gt;"Yes","Academic; ","")&amp;IF($R44&lt;&gt;"Yes","Exams not all recorded; ","")&amp;IF($F44&lt;&gt;"Yes","Classroom; ","")&amp;IF($G44&lt;&gt;"Yes","PT sessions; ","")&amp;IF($H44&lt;&gt;"Yes","Skills; ","")&amp;IF($S44&lt;&gt;"Yes","Skills not all assessed; ","")&amp;IF($T44&lt;&gt;"Yes","Firearms courses of fire; ","")&amp;IF($I44&lt;&gt;"Yes","Incidents; ","")&amp;IF($J44&lt;&gt;"Yes","Writing; ","")&amp;IF($K44&lt;&gt;"Yes","Makeup owed; ","")&amp;IF($L44="No","Final PT failed; ",IF($L44="Pending","Final PT rubric not set; ",IF($L44="Incomplete","Final PT partially scored; ",IF($L44&lt;&gt;"Yes","Final PT not assessed; ",""))))&amp;IF($Q44&lt;&gt;"Yes","Certs; ","")&amp;IF($V44&lt;&gt;"Yes","Exam pending (excused absence); ","")&amp;IF($W44&lt;&gt;"Yes","Enrollment documents; ","")&amp;IF($X44="Yes","",IF(SkillsCheck!$N44&lt;&gt;"","Skills FAILED ("&amp;SkillsCheck!$N44&amp;"); ","Skills not all passed ("&amp;SkillsCheck!$O44&amp;" not assessed); "))&amp;IF($M44="Yes","Dismissal review; ",""))))</f>
        <v/>
      </c>
      <c r="P44" s="17">
        <f>IF($B44="","",IF(PT!$AB44="Yes","Yes",IF(PT!$AB44="No","No",IF(PT!$AB44="(rubric pending)","Pending",IF(PT!$AB44="Incomplete","Incomplete","Not taken")))))</f>
        <v/>
      </c>
      <c r="Q44" s="17">
        <f>IF($B44="","",IF(Certifications!$T44="Yes","Yes","No"))</f>
        <v/>
      </c>
      <c r="R44" s="17">
        <f>IF($B44="","",_xlfn.LET(_xlpm.mj,COUNTIFS(rngEPuse,"Yes",rngEPtype,"Major"),_xlpm.mn,COUNTIFS(rngEPuse,"Yes",rngEPtype,"Minor"),_xlpm.fnl,COUNTIFS(rngEPuse,"Yes",rngEPtype,"Final"),IF(AND(N(sysGrades!$E44)&gt;0,N(sysGrades!$F44)&gt;0,N(sysGrades!$G44)&gt;0,N(sysGrades!$H44)&gt;0,N(sysGrades!$E44)&gt;=_xlpm.mj,N(sysGrades!$F44)&gt;=_xlpm.mn,N(sysGrades!$H44)&gt;=_xlpm.fnl),"Yes","No")))</f>
        <v/>
      </c>
      <c r="S44" s="17">
        <f>IF($B44="","",IF(N(sysSkills!$F44)&gt;=SUMPRODUCT((rngSM_cat&lt;&gt;"")*1),"Yes","No"))</f>
        <v/>
      </c>
      <c r="T44" s="17">
        <f>IF($B44="","",IF(sysSkills!$P44="Yes","Yes","No"))</f>
        <v/>
      </c>
      <c r="U44" s="17">
        <f>IF($B44="","",_xlfn.LET(_xlpm.oe,N(sysGrades!$P44),_xlpm.os,N(sysSkills!$I44),_xlpm.oi,N(sysIncidents!$J44),_xlpm.ce,COUNTIFS(nrDIS_PID,$B44,nrDIS_Closes,"Failed retest (exam)",nrDIS_Outcome,"Retained",nrDIS_Approval,"Yes")+COUNTIFS(nrDIS_PID,$B44,nrDIS_Closes,"Failed retest (exam)",nrDIS_Outcome,"Retained w/ Plan",nrDIS_Approval,"Yes"),_xlpm.cs,COUNTIFS(nrDIS_PID,$B44,nrDIS_Closes,"Skills failed out",nrDIS_Outcome,"Retained",nrDIS_Approval,"Yes")+COUNTIFS(nrDIS_PID,$B44,nrDIS_Closes,"Skills failed out",nrDIS_Outcome,"Retained w/ Plan",nrDIS_Approval,"Yes"),_xlpm.ci,COUNTIFS(nrDIS_PID,$B44,nrDIS_Closes,"Chain-of-command incident review",nrDIS_Outcome,"Retained",nrDIS_Approval,"Yes")+COUNTIFS(nrDIS_PID,$B44,nrDIS_Closes,"Chain-of-command incident review",nrDIS_Outcome,"Retained w/ Plan",nrDIS_Approval,"Yes"),_xlpm.om,MAX(0,COUNTIFS(nrES_PID,$B44,nrES_Absence,"Unexcused")-1),_xlpm.cm,COUNTIFS(nrDIS_PID,$B44,nrDIS_Closes,"Unexcused missed exams",nrDIS_Outcome,"Retained",nrDIS_Approval,"Yes")+COUNTIFS(nrDIS_PID,$B44,nrDIS_Closes,"Unexcused missed exams",nrDIS_Outcome,"Retained w/ Plan",nrDIS_Approval,"Yes"),TRIM(IF(_xlpm.oe&gt;_xlpm.ce,"failed retest; ","")&amp;IF(_xlpm.os&gt;_xlpm.cs,"skills failed out; ","")&amp;IF(_xlpm.om&gt;_xlpm.cm,"unexcused missed exams; ","")&amp;IF(_xlpm.oi&gt;_xlpm.ci,"chain-of-command incident review; ",""))))</f>
        <v/>
      </c>
      <c r="V44" s="17">
        <f>IF($B44="","",IF(COUNTIFS(nrES_PID,$B44,nrES_Absence,"Excused",nrES_Raw,"")=0,"Yes","No"))</f>
        <v/>
      </c>
      <c r="W44" s="17">
        <f>IF($B44="","",IF(IFERROR(INDEX(nrENRall,MATCH($B44,rngCadetPIDs,0)),"")="Yes","Yes","No"))</f>
        <v/>
      </c>
      <c r="X44" s="17">
        <f>IF($B44="","",IF(SkillsCheck!$P44="No","No","Yes"))</f>
        <v/>
      </c>
    </row>
    <row r="45">
      <c r="B45" s="17">
        <f>IF(Cadets!$B45="","",Cadets!$B45)</f>
        <v/>
      </c>
      <c r="C45" s="17">
        <f>IF($B45="","",Cadets!$F45)</f>
        <v/>
      </c>
      <c r="D45" s="17">
        <f>IF($B45="","",Cadets!$I45)</f>
        <v/>
      </c>
      <c r="E45" s="17">
        <f>IF($B45="","",sysGrades!$V45)</f>
        <v/>
      </c>
      <c r="F45" s="17">
        <f>IF($B45="","",sysAttendance!$K45)</f>
        <v/>
      </c>
      <c r="G45" s="17">
        <f>IF($B45="","",sysAttendance!$S45)</f>
        <v/>
      </c>
      <c r="H45" s="17">
        <f>IF($B45="","",sysSkills!$K45)</f>
        <v/>
      </c>
      <c r="I45" s="17">
        <f>IF($B45="","",sysIncidents!$K45)</f>
        <v/>
      </c>
      <c r="J45" s="17">
        <f>IF($B45="","",IF(Writing!$AT45="Yes","Yes","No"))</f>
        <v/>
      </c>
      <c r="K45" s="17">
        <f>IF($B45="","",sysAttendance!$T45)</f>
        <v/>
      </c>
      <c r="L45" s="17">
        <f>IF($B45="","",IF(PT!$AB45="Yes","Yes",IF(PT!$AB45="No","No",IF(PT!$AB45="(rubric pending)","Pending",IF(PT!$AB45="Incomplete","Incomplete","Not taken")))))</f>
        <v/>
      </c>
      <c r="M45" s="17">
        <f>IF($B45="","",IF($U45="","No","Yes"))</f>
        <v/>
      </c>
      <c r="N45" s="17">
        <f>IF($B45="","",IF(AND($E45="Yes",$F45="Yes",$G45="Yes",$H45="Yes",$I45="Yes",$J45="Yes",$K45="Yes",$L45="Yes",$Q45="Yes",$R45="Yes",$S45="Yes",$T45="Yes",$M45="No",$V45="Yes",$W45="Yes",$X45="Yes"),"Yes","No"))</f>
        <v/>
      </c>
      <c r="O45" s="17">
        <f>IF($B45="","",IF($N45="Yes","Eligible",TRIM(IF($E45&lt;&gt;"Yes","Academic; ","")&amp;IF($R45&lt;&gt;"Yes","Exams not all recorded; ","")&amp;IF($F45&lt;&gt;"Yes","Classroom; ","")&amp;IF($G45&lt;&gt;"Yes","PT sessions; ","")&amp;IF($H45&lt;&gt;"Yes","Skills; ","")&amp;IF($S45&lt;&gt;"Yes","Skills not all assessed; ","")&amp;IF($T45&lt;&gt;"Yes","Firearms courses of fire; ","")&amp;IF($I45&lt;&gt;"Yes","Incidents; ","")&amp;IF($J45&lt;&gt;"Yes","Writing; ","")&amp;IF($K45&lt;&gt;"Yes","Makeup owed; ","")&amp;IF($L45="No","Final PT failed; ",IF($L45="Pending","Final PT rubric not set; ",IF($L45="Incomplete","Final PT partially scored; ",IF($L45&lt;&gt;"Yes","Final PT not assessed; ",""))))&amp;IF($Q45&lt;&gt;"Yes","Certs; ","")&amp;IF($V45&lt;&gt;"Yes","Exam pending (excused absence); ","")&amp;IF($W45&lt;&gt;"Yes","Enrollment documents; ","")&amp;IF($X45="Yes","",IF(SkillsCheck!$N45&lt;&gt;"","Skills FAILED ("&amp;SkillsCheck!$N45&amp;"); ","Skills not all passed ("&amp;SkillsCheck!$O45&amp;" not assessed); "))&amp;IF($M45="Yes","Dismissal review; ",""))))</f>
        <v/>
      </c>
      <c r="P45" s="17">
        <f>IF($B45="","",IF(PT!$AB45="Yes","Yes",IF(PT!$AB45="No","No",IF(PT!$AB45="(rubric pending)","Pending",IF(PT!$AB45="Incomplete","Incomplete","Not taken")))))</f>
        <v/>
      </c>
      <c r="Q45" s="17">
        <f>IF($B45="","",IF(Certifications!$T45="Yes","Yes","No"))</f>
        <v/>
      </c>
      <c r="R45" s="17">
        <f>IF($B45="","",_xlfn.LET(_xlpm.mj,COUNTIFS(rngEPuse,"Yes",rngEPtype,"Major"),_xlpm.mn,COUNTIFS(rngEPuse,"Yes",rngEPtype,"Minor"),_xlpm.fnl,COUNTIFS(rngEPuse,"Yes",rngEPtype,"Final"),IF(AND(N(sysGrades!$E45)&gt;0,N(sysGrades!$F45)&gt;0,N(sysGrades!$G45)&gt;0,N(sysGrades!$H45)&gt;0,N(sysGrades!$E45)&gt;=_xlpm.mj,N(sysGrades!$F45)&gt;=_xlpm.mn,N(sysGrades!$H45)&gt;=_xlpm.fnl),"Yes","No")))</f>
        <v/>
      </c>
      <c r="S45" s="17">
        <f>IF($B45="","",IF(N(sysSkills!$F45)&gt;=SUMPRODUCT((rngSM_cat&lt;&gt;"")*1),"Yes","No"))</f>
        <v/>
      </c>
      <c r="T45" s="17">
        <f>IF($B45="","",IF(sysSkills!$P45="Yes","Yes","No"))</f>
        <v/>
      </c>
      <c r="U45" s="17">
        <f>IF($B45="","",_xlfn.LET(_xlpm.oe,N(sysGrades!$P45),_xlpm.os,N(sysSkills!$I45),_xlpm.oi,N(sysIncidents!$J45),_xlpm.ce,COUNTIFS(nrDIS_PID,$B45,nrDIS_Closes,"Failed retest (exam)",nrDIS_Outcome,"Retained",nrDIS_Approval,"Yes")+COUNTIFS(nrDIS_PID,$B45,nrDIS_Closes,"Failed retest (exam)",nrDIS_Outcome,"Retained w/ Plan",nrDIS_Approval,"Yes"),_xlpm.cs,COUNTIFS(nrDIS_PID,$B45,nrDIS_Closes,"Skills failed out",nrDIS_Outcome,"Retained",nrDIS_Approval,"Yes")+COUNTIFS(nrDIS_PID,$B45,nrDIS_Closes,"Skills failed out",nrDIS_Outcome,"Retained w/ Plan",nrDIS_Approval,"Yes"),_xlpm.ci,COUNTIFS(nrDIS_PID,$B45,nrDIS_Closes,"Chain-of-command incident review",nrDIS_Outcome,"Retained",nrDIS_Approval,"Yes")+COUNTIFS(nrDIS_PID,$B45,nrDIS_Closes,"Chain-of-command incident review",nrDIS_Outcome,"Retained w/ Plan",nrDIS_Approval,"Yes"),_xlpm.om,MAX(0,COUNTIFS(nrES_PID,$B45,nrES_Absence,"Unexcused")-1),_xlpm.cm,COUNTIFS(nrDIS_PID,$B45,nrDIS_Closes,"Unexcused missed exams",nrDIS_Outcome,"Retained",nrDIS_Approval,"Yes")+COUNTIFS(nrDIS_PID,$B45,nrDIS_Closes,"Unexcused missed exams",nrDIS_Outcome,"Retained w/ Plan",nrDIS_Approval,"Yes"),TRIM(IF(_xlpm.oe&gt;_xlpm.ce,"failed retest; ","")&amp;IF(_xlpm.os&gt;_xlpm.cs,"skills failed out; ","")&amp;IF(_xlpm.om&gt;_xlpm.cm,"unexcused missed exams; ","")&amp;IF(_xlpm.oi&gt;_xlpm.ci,"chain-of-command incident review; ",""))))</f>
        <v/>
      </c>
      <c r="V45" s="17">
        <f>IF($B45="","",IF(COUNTIFS(nrES_PID,$B45,nrES_Absence,"Excused",nrES_Raw,"")=0,"Yes","No"))</f>
        <v/>
      </c>
      <c r="W45" s="17">
        <f>IF($B45="","",IF(IFERROR(INDEX(nrENRall,MATCH($B45,rngCadetPIDs,0)),"")="Yes","Yes","No"))</f>
        <v/>
      </c>
      <c r="X45" s="17">
        <f>IF($B45="","",IF(SkillsCheck!$P45="No","No","Yes"))</f>
        <v/>
      </c>
    </row>
    <row r="46">
      <c r="B46" s="17">
        <f>IF(Cadets!$B46="","",Cadets!$B46)</f>
        <v/>
      </c>
      <c r="C46" s="17">
        <f>IF($B46="","",Cadets!$F46)</f>
        <v/>
      </c>
      <c r="D46" s="17">
        <f>IF($B46="","",Cadets!$I46)</f>
        <v/>
      </c>
      <c r="E46" s="17">
        <f>IF($B46="","",sysGrades!$V46)</f>
        <v/>
      </c>
      <c r="F46" s="17">
        <f>IF($B46="","",sysAttendance!$K46)</f>
        <v/>
      </c>
      <c r="G46" s="17">
        <f>IF($B46="","",sysAttendance!$S46)</f>
        <v/>
      </c>
      <c r="H46" s="17">
        <f>IF($B46="","",sysSkills!$K46)</f>
        <v/>
      </c>
      <c r="I46" s="17">
        <f>IF($B46="","",sysIncidents!$K46)</f>
        <v/>
      </c>
      <c r="J46" s="17">
        <f>IF($B46="","",IF(Writing!$AT46="Yes","Yes","No"))</f>
        <v/>
      </c>
      <c r="K46" s="17">
        <f>IF($B46="","",sysAttendance!$T46)</f>
        <v/>
      </c>
      <c r="L46" s="17">
        <f>IF($B46="","",IF(PT!$AB46="Yes","Yes",IF(PT!$AB46="No","No",IF(PT!$AB46="(rubric pending)","Pending",IF(PT!$AB46="Incomplete","Incomplete","Not taken")))))</f>
        <v/>
      </c>
      <c r="M46" s="17">
        <f>IF($B46="","",IF($U46="","No","Yes"))</f>
        <v/>
      </c>
      <c r="N46" s="17">
        <f>IF($B46="","",IF(AND($E46="Yes",$F46="Yes",$G46="Yes",$H46="Yes",$I46="Yes",$J46="Yes",$K46="Yes",$L46="Yes",$Q46="Yes",$R46="Yes",$S46="Yes",$T46="Yes",$M46="No",$V46="Yes",$W46="Yes",$X46="Yes"),"Yes","No"))</f>
        <v/>
      </c>
      <c r="O46" s="17">
        <f>IF($B46="","",IF($N46="Yes","Eligible",TRIM(IF($E46&lt;&gt;"Yes","Academic; ","")&amp;IF($R46&lt;&gt;"Yes","Exams not all recorded; ","")&amp;IF($F46&lt;&gt;"Yes","Classroom; ","")&amp;IF($G46&lt;&gt;"Yes","PT sessions; ","")&amp;IF($H46&lt;&gt;"Yes","Skills; ","")&amp;IF($S46&lt;&gt;"Yes","Skills not all assessed; ","")&amp;IF($T46&lt;&gt;"Yes","Firearms courses of fire; ","")&amp;IF($I46&lt;&gt;"Yes","Incidents; ","")&amp;IF($J46&lt;&gt;"Yes","Writing; ","")&amp;IF($K46&lt;&gt;"Yes","Makeup owed; ","")&amp;IF($L46="No","Final PT failed; ",IF($L46="Pending","Final PT rubric not set; ",IF($L46="Incomplete","Final PT partially scored; ",IF($L46&lt;&gt;"Yes","Final PT not assessed; ",""))))&amp;IF($Q46&lt;&gt;"Yes","Certs; ","")&amp;IF($V46&lt;&gt;"Yes","Exam pending (excused absence); ","")&amp;IF($W46&lt;&gt;"Yes","Enrollment documents; ","")&amp;IF($X46="Yes","",IF(SkillsCheck!$N46&lt;&gt;"","Skills FAILED ("&amp;SkillsCheck!$N46&amp;"); ","Skills not all passed ("&amp;SkillsCheck!$O46&amp;" not assessed); "))&amp;IF($M46="Yes","Dismissal review; ",""))))</f>
        <v/>
      </c>
      <c r="P46" s="17">
        <f>IF($B46="","",IF(PT!$AB46="Yes","Yes",IF(PT!$AB46="No","No",IF(PT!$AB46="(rubric pending)","Pending",IF(PT!$AB46="Incomplete","Incomplete","Not taken")))))</f>
        <v/>
      </c>
      <c r="Q46" s="17">
        <f>IF($B46="","",IF(Certifications!$T46="Yes","Yes","No"))</f>
        <v/>
      </c>
      <c r="R46" s="17">
        <f>IF($B46="","",_xlfn.LET(_xlpm.mj,COUNTIFS(rngEPuse,"Yes",rngEPtype,"Major"),_xlpm.mn,COUNTIFS(rngEPuse,"Yes",rngEPtype,"Minor"),_xlpm.fnl,COUNTIFS(rngEPuse,"Yes",rngEPtype,"Final"),IF(AND(N(sysGrades!$E46)&gt;0,N(sysGrades!$F46)&gt;0,N(sysGrades!$G46)&gt;0,N(sysGrades!$H46)&gt;0,N(sysGrades!$E46)&gt;=_xlpm.mj,N(sysGrades!$F46)&gt;=_xlpm.mn,N(sysGrades!$H46)&gt;=_xlpm.fnl),"Yes","No")))</f>
        <v/>
      </c>
      <c r="S46" s="17">
        <f>IF($B46="","",IF(N(sysSkills!$F46)&gt;=SUMPRODUCT((rngSM_cat&lt;&gt;"")*1),"Yes","No"))</f>
        <v/>
      </c>
      <c r="T46" s="17">
        <f>IF($B46="","",IF(sysSkills!$P46="Yes","Yes","No"))</f>
        <v/>
      </c>
      <c r="U46" s="17">
        <f>IF($B46="","",_xlfn.LET(_xlpm.oe,N(sysGrades!$P46),_xlpm.os,N(sysSkills!$I46),_xlpm.oi,N(sysIncidents!$J46),_xlpm.ce,COUNTIFS(nrDIS_PID,$B46,nrDIS_Closes,"Failed retest (exam)",nrDIS_Outcome,"Retained",nrDIS_Approval,"Yes")+COUNTIFS(nrDIS_PID,$B46,nrDIS_Closes,"Failed retest (exam)",nrDIS_Outcome,"Retained w/ Plan",nrDIS_Approval,"Yes"),_xlpm.cs,COUNTIFS(nrDIS_PID,$B46,nrDIS_Closes,"Skills failed out",nrDIS_Outcome,"Retained",nrDIS_Approval,"Yes")+COUNTIFS(nrDIS_PID,$B46,nrDIS_Closes,"Skills failed out",nrDIS_Outcome,"Retained w/ Plan",nrDIS_Approval,"Yes"),_xlpm.ci,COUNTIFS(nrDIS_PID,$B46,nrDIS_Closes,"Chain-of-command incident review",nrDIS_Outcome,"Retained",nrDIS_Approval,"Yes")+COUNTIFS(nrDIS_PID,$B46,nrDIS_Closes,"Chain-of-command incident review",nrDIS_Outcome,"Retained w/ Plan",nrDIS_Approval,"Yes"),_xlpm.om,MAX(0,COUNTIFS(nrES_PID,$B46,nrES_Absence,"Unexcused")-1),_xlpm.cm,COUNTIFS(nrDIS_PID,$B46,nrDIS_Closes,"Unexcused missed exams",nrDIS_Outcome,"Retained",nrDIS_Approval,"Yes")+COUNTIFS(nrDIS_PID,$B46,nrDIS_Closes,"Unexcused missed exams",nrDIS_Outcome,"Retained w/ Plan",nrDIS_Approval,"Yes"),TRIM(IF(_xlpm.oe&gt;_xlpm.ce,"failed retest; ","")&amp;IF(_xlpm.os&gt;_xlpm.cs,"skills failed out; ","")&amp;IF(_xlpm.om&gt;_xlpm.cm,"unexcused missed exams; ","")&amp;IF(_xlpm.oi&gt;_xlpm.ci,"chain-of-command incident review; ",""))))</f>
        <v/>
      </c>
      <c r="V46" s="17">
        <f>IF($B46="","",IF(COUNTIFS(nrES_PID,$B46,nrES_Absence,"Excused",nrES_Raw,"")=0,"Yes","No"))</f>
        <v/>
      </c>
      <c r="W46" s="17">
        <f>IF($B46="","",IF(IFERROR(INDEX(nrENRall,MATCH($B46,rngCadetPIDs,0)),"")="Yes","Yes","No"))</f>
        <v/>
      </c>
      <c r="X46" s="17">
        <f>IF($B46="","",IF(SkillsCheck!$P46="No","No","Yes"))</f>
        <v/>
      </c>
    </row>
    <row r="47">
      <c r="B47" s="17">
        <f>IF(Cadets!$B47="","",Cadets!$B47)</f>
        <v/>
      </c>
      <c r="C47" s="17">
        <f>IF($B47="","",Cadets!$F47)</f>
        <v/>
      </c>
      <c r="D47" s="17">
        <f>IF($B47="","",Cadets!$I47)</f>
        <v/>
      </c>
      <c r="E47" s="17">
        <f>IF($B47="","",sysGrades!$V47)</f>
        <v/>
      </c>
      <c r="F47" s="17">
        <f>IF($B47="","",sysAttendance!$K47)</f>
        <v/>
      </c>
      <c r="G47" s="17">
        <f>IF($B47="","",sysAttendance!$S47)</f>
        <v/>
      </c>
      <c r="H47" s="17">
        <f>IF($B47="","",sysSkills!$K47)</f>
        <v/>
      </c>
      <c r="I47" s="17">
        <f>IF($B47="","",sysIncidents!$K47)</f>
        <v/>
      </c>
      <c r="J47" s="17">
        <f>IF($B47="","",IF(Writing!$AT47="Yes","Yes","No"))</f>
        <v/>
      </c>
      <c r="K47" s="17">
        <f>IF($B47="","",sysAttendance!$T47)</f>
        <v/>
      </c>
      <c r="L47" s="17">
        <f>IF($B47="","",IF(PT!$AB47="Yes","Yes",IF(PT!$AB47="No","No",IF(PT!$AB47="(rubric pending)","Pending",IF(PT!$AB47="Incomplete","Incomplete","Not taken")))))</f>
        <v/>
      </c>
      <c r="M47" s="17">
        <f>IF($B47="","",IF($U47="","No","Yes"))</f>
        <v/>
      </c>
      <c r="N47" s="17">
        <f>IF($B47="","",IF(AND($E47="Yes",$F47="Yes",$G47="Yes",$H47="Yes",$I47="Yes",$J47="Yes",$K47="Yes",$L47="Yes",$Q47="Yes",$R47="Yes",$S47="Yes",$T47="Yes",$M47="No",$V47="Yes",$W47="Yes",$X47="Yes"),"Yes","No"))</f>
        <v/>
      </c>
      <c r="O47" s="17">
        <f>IF($B47="","",IF($N47="Yes","Eligible",TRIM(IF($E47&lt;&gt;"Yes","Academic; ","")&amp;IF($R47&lt;&gt;"Yes","Exams not all recorded; ","")&amp;IF($F47&lt;&gt;"Yes","Classroom; ","")&amp;IF($G47&lt;&gt;"Yes","PT sessions; ","")&amp;IF($H47&lt;&gt;"Yes","Skills; ","")&amp;IF($S47&lt;&gt;"Yes","Skills not all assessed; ","")&amp;IF($T47&lt;&gt;"Yes","Firearms courses of fire; ","")&amp;IF($I47&lt;&gt;"Yes","Incidents; ","")&amp;IF($J47&lt;&gt;"Yes","Writing; ","")&amp;IF($K47&lt;&gt;"Yes","Makeup owed; ","")&amp;IF($L47="No","Final PT failed; ",IF($L47="Pending","Final PT rubric not set; ",IF($L47="Incomplete","Final PT partially scored; ",IF($L47&lt;&gt;"Yes","Final PT not assessed; ",""))))&amp;IF($Q47&lt;&gt;"Yes","Certs; ","")&amp;IF($V47&lt;&gt;"Yes","Exam pending (excused absence); ","")&amp;IF($W47&lt;&gt;"Yes","Enrollment documents; ","")&amp;IF($X47="Yes","",IF(SkillsCheck!$N47&lt;&gt;"","Skills FAILED ("&amp;SkillsCheck!$N47&amp;"); ","Skills not all passed ("&amp;SkillsCheck!$O47&amp;" not assessed); "))&amp;IF($M47="Yes","Dismissal review; ",""))))</f>
        <v/>
      </c>
      <c r="P47" s="17">
        <f>IF($B47="","",IF(PT!$AB47="Yes","Yes",IF(PT!$AB47="No","No",IF(PT!$AB47="(rubric pending)","Pending",IF(PT!$AB47="Incomplete","Incomplete","Not taken")))))</f>
        <v/>
      </c>
      <c r="Q47" s="17">
        <f>IF($B47="","",IF(Certifications!$T47="Yes","Yes","No"))</f>
        <v/>
      </c>
      <c r="R47" s="17">
        <f>IF($B47="","",_xlfn.LET(_xlpm.mj,COUNTIFS(rngEPuse,"Yes",rngEPtype,"Major"),_xlpm.mn,COUNTIFS(rngEPuse,"Yes",rngEPtype,"Minor"),_xlpm.fnl,COUNTIFS(rngEPuse,"Yes",rngEPtype,"Final"),IF(AND(N(sysGrades!$E47)&gt;0,N(sysGrades!$F47)&gt;0,N(sysGrades!$G47)&gt;0,N(sysGrades!$H47)&gt;0,N(sysGrades!$E47)&gt;=_xlpm.mj,N(sysGrades!$F47)&gt;=_xlpm.mn,N(sysGrades!$H47)&gt;=_xlpm.fnl),"Yes","No")))</f>
        <v/>
      </c>
      <c r="S47" s="17">
        <f>IF($B47="","",IF(N(sysSkills!$F47)&gt;=SUMPRODUCT((rngSM_cat&lt;&gt;"")*1),"Yes","No"))</f>
        <v/>
      </c>
      <c r="T47" s="17">
        <f>IF($B47="","",IF(sysSkills!$P47="Yes","Yes","No"))</f>
        <v/>
      </c>
      <c r="U47" s="17">
        <f>IF($B47="","",_xlfn.LET(_xlpm.oe,N(sysGrades!$P47),_xlpm.os,N(sysSkills!$I47),_xlpm.oi,N(sysIncidents!$J47),_xlpm.ce,COUNTIFS(nrDIS_PID,$B47,nrDIS_Closes,"Failed retest (exam)",nrDIS_Outcome,"Retained",nrDIS_Approval,"Yes")+COUNTIFS(nrDIS_PID,$B47,nrDIS_Closes,"Failed retest (exam)",nrDIS_Outcome,"Retained w/ Plan",nrDIS_Approval,"Yes"),_xlpm.cs,COUNTIFS(nrDIS_PID,$B47,nrDIS_Closes,"Skills failed out",nrDIS_Outcome,"Retained",nrDIS_Approval,"Yes")+COUNTIFS(nrDIS_PID,$B47,nrDIS_Closes,"Skills failed out",nrDIS_Outcome,"Retained w/ Plan",nrDIS_Approval,"Yes"),_xlpm.ci,COUNTIFS(nrDIS_PID,$B47,nrDIS_Closes,"Chain-of-command incident review",nrDIS_Outcome,"Retained",nrDIS_Approval,"Yes")+COUNTIFS(nrDIS_PID,$B47,nrDIS_Closes,"Chain-of-command incident review",nrDIS_Outcome,"Retained w/ Plan",nrDIS_Approval,"Yes"),_xlpm.om,MAX(0,COUNTIFS(nrES_PID,$B47,nrES_Absence,"Unexcused")-1),_xlpm.cm,COUNTIFS(nrDIS_PID,$B47,nrDIS_Closes,"Unexcused missed exams",nrDIS_Outcome,"Retained",nrDIS_Approval,"Yes")+COUNTIFS(nrDIS_PID,$B47,nrDIS_Closes,"Unexcused missed exams",nrDIS_Outcome,"Retained w/ Plan",nrDIS_Approval,"Yes"),TRIM(IF(_xlpm.oe&gt;_xlpm.ce,"failed retest; ","")&amp;IF(_xlpm.os&gt;_xlpm.cs,"skills failed out; ","")&amp;IF(_xlpm.om&gt;_xlpm.cm,"unexcused missed exams; ","")&amp;IF(_xlpm.oi&gt;_xlpm.ci,"chain-of-command incident review; ",""))))</f>
        <v/>
      </c>
      <c r="V47" s="17">
        <f>IF($B47="","",IF(COUNTIFS(nrES_PID,$B47,nrES_Absence,"Excused",nrES_Raw,"")=0,"Yes","No"))</f>
        <v/>
      </c>
      <c r="W47" s="17">
        <f>IF($B47="","",IF(IFERROR(INDEX(nrENRall,MATCH($B47,rngCadetPIDs,0)),"")="Yes","Yes","No"))</f>
        <v/>
      </c>
      <c r="X47" s="17">
        <f>IF($B47="","",IF(SkillsCheck!$P47="No","No","Yes"))</f>
        <v/>
      </c>
    </row>
    <row r="48">
      <c r="B48" s="17">
        <f>IF(Cadets!$B48="","",Cadets!$B48)</f>
        <v/>
      </c>
      <c r="C48" s="17">
        <f>IF($B48="","",Cadets!$F48)</f>
        <v/>
      </c>
      <c r="D48" s="17">
        <f>IF($B48="","",Cadets!$I48)</f>
        <v/>
      </c>
      <c r="E48" s="17">
        <f>IF($B48="","",sysGrades!$V48)</f>
        <v/>
      </c>
      <c r="F48" s="17">
        <f>IF($B48="","",sysAttendance!$K48)</f>
        <v/>
      </c>
      <c r="G48" s="17">
        <f>IF($B48="","",sysAttendance!$S48)</f>
        <v/>
      </c>
      <c r="H48" s="17">
        <f>IF($B48="","",sysSkills!$K48)</f>
        <v/>
      </c>
      <c r="I48" s="17">
        <f>IF($B48="","",sysIncidents!$K48)</f>
        <v/>
      </c>
      <c r="J48" s="17">
        <f>IF($B48="","",IF(Writing!$AT48="Yes","Yes","No"))</f>
        <v/>
      </c>
      <c r="K48" s="17">
        <f>IF($B48="","",sysAttendance!$T48)</f>
        <v/>
      </c>
      <c r="L48" s="17">
        <f>IF($B48="","",IF(PT!$AB48="Yes","Yes",IF(PT!$AB48="No","No",IF(PT!$AB48="(rubric pending)","Pending",IF(PT!$AB48="Incomplete","Incomplete","Not taken")))))</f>
        <v/>
      </c>
      <c r="M48" s="17">
        <f>IF($B48="","",IF($U48="","No","Yes"))</f>
        <v/>
      </c>
      <c r="N48" s="17">
        <f>IF($B48="","",IF(AND($E48="Yes",$F48="Yes",$G48="Yes",$H48="Yes",$I48="Yes",$J48="Yes",$K48="Yes",$L48="Yes",$Q48="Yes",$R48="Yes",$S48="Yes",$T48="Yes",$M48="No",$V48="Yes",$W48="Yes",$X48="Yes"),"Yes","No"))</f>
        <v/>
      </c>
      <c r="O48" s="17">
        <f>IF($B48="","",IF($N48="Yes","Eligible",TRIM(IF($E48&lt;&gt;"Yes","Academic; ","")&amp;IF($R48&lt;&gt;"Yes","Exams not all recorded; ","")&amp;IF($F48&lt;&gt;"Yes","Classroom; ","")&amp;IF($G48&lt;&gt;"Yes","PT sessions; ","")&amp;IF($H48&lt;&gt;"Yes","Skills; ","")&amp;IF($S48&lt;&gt;"Yes","Skills not all assessed; ","")&amp;IF($T48&lt;&gt;"Yes","Firearms courses of fire; ","")&amp;IF($I48&lt;&gt;"Yes","Incidents; ","")&amp;IF($J48&lt;&gt;"Yes","Writing; ","")&amp;IF($K48&lt;&gt;"Yes","Makeup owed; ","")&amp;IF($L48="No","Final PT failed; ",IF($L48="Pending","Final PT rubric not set; ",IF($L48="Incomplete","Final PT partially scored; ",IF($L48&lt;&gt;"Yes","Final PT not assessed; ",""))))&amp;IF($Q48&lt;&gt;"Yes","Certs; ","")&amp;IF($V48&lt;&gt;"Yes","Exam pending (excused absence); ","")&amp;IF($W48&lt;&gt;"Yes","Enrollment documents; ","")&amp;IF($X48="Yes","",IF(SkillsCheck!$N48&lt;&gt;"","Skills FAILED ("&amp;SkillsCheck!$N48&amp;"); ","Skills not all passed ("&amp;SkillsCheck!$O48&amp;" not assessed); "))&amp;IF($M48="Yes","Dismissal review; ",""))))</f>
        <v/>
      </c>
      <c r="P48" s="17">
        <f>IF($B48="","",IF(PT!$AB48="Yes","Yes",IF(PT!$AB48="No","No",IF(PT!$AB48="(rubric pending)","Pending",IF(PT!$AB48="Incomplete","Incomplete","Not taken")))))</f>
        <v/>
      </c>
      <c r="Q48" s="17">
        <f>IF($B48="","",IF(Certifications!$T48="Yes","Yes","No"))</f>
        <v/>
      </c>
      <c r="R48" s="17">
        <f>IF($B48="","",_xlfn.LET(_xlpm.mj,COUNTIFS(rngEPuse,"Yes",rngEPtype,"Major"),_xlpm.mn,COUNTIFS(rngEPuse,"Yes",rngEPtype,"Minor"),_xlpm.fnl,COUNTIFS(rngEPuse,"Yes",rngEPtype,"Final"),IF(AND(N(sysGrades!$E48)&gt;0,N(sysGrades!$F48)&gt;0,N(sysGrades!$G48)&gt;0,N(sysGrades!$H48)&gt;0,N(sysGrades!$E48)&gt;=_xlpm.mj,N(sysGrades!$F48)&gt;=_xlpm.mn,N(sysGrades!$H48)&gt;=_xlpm.fnl),"Yes","No")))</f>
        <v/>
      </c>
      <c r="S48" s="17">
        <f>IF($B48="","",IF(N(sysSkills!$F48)&gt;=SUMPRODUCT((rngSM_cat&lt;&gt;"")*1),"Yes","No"))</f>
        <v/>
      </c>
      <c r="T48" s="17">
        <f>IF($B48="","",IF(sysSkills!$P48="Yes","Yes","No"))</f>
        <v/>
      </c>
      <c r="U48" s="17">
        <f>IF($B48="","",_xlfn.LET(_xlpm.oe,N(sysGrades!$P48),_xlpm.os,N(sysSkills!$I48),_xlpm.oi,N(sysIncidents!$J48),_xlpm.ce,COUNTIFS(nrDIS_PID,$B48,nrDIS_Closes,"Failed retest (exam)",nrDIS_Outcome,"Retained",nrDIS_Approval,"Yes")+COUNTIFS(nrDIS_PID,$B48,nrDIS_Closes,"Failed retest (exam)",nrDIS_Outcome,"Retained w/ Plan",nrDIS_Approval,"Yes"),_xlpm.cs,COUNTIFS(nrDIS_PID,$B48,nrDIS_Closes,"Skills failed out",nrDIS_Outcome,"Retained",nrDIS_Approval,"Yes")+COUNTIFS(nrDIS_PID,$B48,nrDIS_Closes,"Skills failed out",nrDIS_Outcome,"Retained w/ Plan",nrDIS_Approval,"Yes"),_xlpm.ci,COUNTIFS(nrDIS_PID,$B48,nrDIS_Closes,"Chain-of-command incident review",nrDIS_Outcome,"Retained",nrDIS_Approval,"Yes")+COUNTIFS(nrDIS_PID,$B48,nrDIS_Closes,"Chain-of-command incident review",nrDIS_Outcome,"Retained w/ Plan",nrDIS_Approval,"Yes"),_xlpm.om,MAX(0,COUNTIFS(nrES_PID,$B48,nrES_Absence,"Unexcused")-1),_xlpm.cm,COUNTIFS(nrDIS_PID,$B48,nrDIS_Closes,"Unexcused missed exams",nrDIS_Outcome,"Retained",nrDIS_Approval,"Yes")+COUNTIFS(nrDIS_PID,$B48,nrDIS_Closes,"Unexcused missed exams",nrDIS_Outcome,"Retained w/ Plan",nrDIS_Approval,"Yes"),TRIM(IF(_xlpm.oe&gt;_xlpm.ce,"failed retest; ","")&amp;IF(_xlpm.os&gt;_xlpm.cs,"skills failed out; ","")&amp;IF(_xlpm.om&gt;_xlpm.cm,"unexcused missed exams; ","")&amp;IF(_xlpm.oi&gt;_xlpm.ci,"chain-of-command incident review; ",""))))</f>
        <v/>
      </c>
      <c r="V48" s="17">
        <f>IF($B48="","",IF(COUNTIFS(nrES_PID,$B48,nrES_Absence,"Excused",nrES_Raw,"")=0,"Yes","No"))</f>
        <v/>
      </c>
      <c r="W48" s="17">
        <f>IF($B48="","",IF(IFERROR(INDEX(nrENRall,MATCH($B48,rngCadetPIDs,0)),"")="Yes","Yes","No"))</f>
        <v/>
      </c>
      <c r="X48" s="17">
        <f>IF($B48="","",IF(SkillsCheck!$P48="No","No","Yes"))</f>
        <v/>
      </c>
    </row>
    <row r="49">
      <c r="B49" s="17">
        <f>IF(Cadets!$B49="","",Cadets!$B49)</f>
        <v/>
      </c>
      <c r="C49" s="17">
        <f>IF($B49="","",Cadets!$F49)</f>
        <v/>
      </c>
      <c r="D49" s="17">
        <f>IF($B49="","",Cadets!$I49)</f>
        <v/>
      </c>
      <c r="E49" s="17">
        <f>IF($B49="","",sysGrades!$V49)</f>
        <v/>
      </c>
      <c r="F49" s="17">
        <f>IF($B49="","",sysAttendance!$K49)</f>
        <v/>
      </c>
      <c r="G49" s="17">
        <f>IF($B49="","",sysAttendance!$S49)</f>
        <v/>
      </c>
      <c r="H49" s="17">
        <f>IF($B49="","",sysSkills!$K49)</f>
        <v/>
      </c>
      <c r="I49" s="17">
        <f>IF($B49="","",sysIncidents!$K49)</f>
        <v/>
      </c>
      <c r="J49" s="17">
        <f>IF($B49="","",IF(Writing!$AT49="Yes","Yes","No"))</f>
        <v/>
      </c>
      <c r="K49" s="17">
        <f>IF($B49="","",sysAttendance!$T49)</f>
        <v/>
      </c>
      <c r="L49" s="17">
        <f>IF($B49="","",IF(PT!$AB49="Yes","Yes",IF(PT!$AB49="No","No",IF(PT!$AB49="(rubric pending)","Pending",IF(PT!$AB49="Incomplete","Incomplete","Not taken")))))</f>
        <v/>
      </c>
      <c r="M49" s="17">
        <f>IF($B49="","",IF($U49="","No","Yes"))</f>
        <v/>
      </c>
      <c r="N49" s="17">
        <f>IF($B49="","",IF(AND($E49="Yes",$F49="Yes",$G49="Yes",$H49="Yes",$I49="Yes",$J49="Yes",$K49="Yes",$L49="Yes",$Q49="Yes",$R49="Yes",$S49="Yes",$T49="Yes",$M49="No",$V49="Yes",$W49="Yes",$X49="Yes"),"Yes","No"))</f>
        <v/>
      </c>
      <c r="O49" s="17">
        <f>IF($B49="","",IF($N49="Yes","Eligible",TRIM(IF($E49&lt;&gt;"Yes","Academic; ","")&amp;IF($R49&lt;&gt;"Yes","Exams not all recorded; ","")&amp;IF($F49&lt;&gt;"Yes","Classroom; ","")&amp;IF($G49&lt;&gt;"Yes","PT sessions; ","")&amp;IF($H49&lt;&gt;"Yes","Skills; ","")&amp;IF($S49&lt;&gt;"Yes","Skills not all assessed; ","")&amp;IF($T49&lt;&gt;"Yes","Firearms courses of fire; ","")&amp;IF($I49&lt;&gt;"Yes","Incidents; ","")&amp;IF($J49&lt;&gt;"Yes","Writing; ","")&amp;IF($K49&lt;&gt;"Yes","Makeup owed; ","")&amp;IF($L49="No","Final PT failed; ",IF($L49="Pending","Final PT rubric not set; ",IF($L49="Incomplete","Final PT partially scored; ",IF($L49&lt;&gt;"Yes","Final PT not assessed; ",""))))&amp;IF($Q49&lt;&gt;"Yes","Certs; ","")&amp;IF($V49&lt;&gt;"Yes","Exam pending (excused absence); ","")&amp;IF($W49&lt;&gt;"Yes","Enrollment documents; ","")&amp;IF($X49="Yes","",IF(SkillsCheck!$N49&lt;&gt;"","Skills FAILED ("&amp;SkillsCheck!$N49&amp;"); ","Skills not all passed ("&amp;SkillsCheck!$O49&amp;" not assessed); "))&amp;IF($M49="Yes","Dismissal review; ",""))))</f>
        <v/>
      </c>
      <c r="P49" s="17">
        <f>IF($B49="","",IF(PT!$AB49="Yes","Yes",IF(PT!$AB49="No","No",IF(PT!$AB49="(rubric pending)","Pending",IF(PT!$AB49="Incomplete","Incomplete","Not taken")))))</f>
        <v/>
      </c>
      <c r="Q49" s="17">
        <f>IF($B49="","",IF(Certifications!$T49="Yes","Yes","No"))</f>
        <v/>
      </c>
      <c r="R49" s="17">
        <f>IF($B49="","",_xlfn.LET(_xlpm.mj,COUNTIFS(rngEPuse,"Yes",rngEPtype,"Major"),_xlpm.mn,COUNTIFS(rngEPuse,"Yes",rngEPtype,"Minor"),_xlpm.fnl,COUNTIFS(rngEPuse,"Yes",rngEPtype,"Final"),IF(AND(N(sysGrades!$E49)&gt;0,N(sysGrades!$F49)&gt;0,N(sysGrades!$G49)&gt;0,N(sysGrades!$H49)&gt;0,N(sysGrades!$E49)&gt;=_xlpm.mj,N(sysGrades!$F49)&gt;=_xlpm.mn,N(sysGrades!$H49)&gt;=_xlpm.fnl),"Yes","No")))</f>
        <v/>
      </c>
      <c r="S49" s="17">
        <f>IF($B49="","",IF(N(sysSkills!$F49)&gt;=SUMPRODUCT((rngSM_cat&lt;&gt;"")*1),"Yes","No"))</f>
        <v/>
      </c>
      <c r="T49" s="17">
        <f>IF($B49="","",IF(sysSkills!$P49="Yes","Yes","No"))</f>
        <v/>
      </c>
      <c r="U49" s="17">
        <f>IF($B49="","",_xlfn.LET(_xlpm.oe,N(sysGrades!$P49),_xlpm.os,N(sysSkills!$I49),_xlpm.oi,N(sysIncidents!$J49),_xlpm.ce,COUNTIFS(nrDIS_PID,$B49,nrDIS_Closes,"Failed retest (exam)",nrDIS_Outcome,"Retained",nrDIS_Approval,"Yes")+COUNTIFS(nrDIS_PID,$B49,nrDIS_Closes,"Failed retest (exam)",nrDIS_Outcome,"Retained w/ Plan",nrDIS_Approval,"Yes"),_xlpm.cs,COUNTIFS(nrDIS_PID,$B49,nrDIS_Closes,"Skills failed out",nrDIS_Outcome,"Retained",nrDIS_Approval,"Yes")+COUNTIFS(nrDIS_PID,$B49,nrDIS_Closes,"Skills failed out",nrDIS_Outcome,"Retained w/ Plan",nrDIS_Approval,"Yes"),_xlpm.ci,COUNTIFS(nrDIS_PID,$B49,nrDIS_Closes,"Chain-of-command incident review",nrDIS_Outcome,"Retained",nrDIS_Approval,"Yes")+COUNTIFS(nrDIS_PID,$B49,nrDIS_Closes,"Chain-of-command incident review",nrDIS_Outcome,"Retained w/ Plan",nrDIS_Approval,"Yes"),_xlpm.om,MAX(0,COUNTIFS(nrES_PID,$B49,nrES_Absence,"Unexcused")-1),_xlpm.cm,COUNTIFS(nrDIS_PID,$B49,nrDIS_Closes,"Unexcused missed exams",nrDIS_Outcome,"Retained",nrDIS_Approval,"Yes")+COUNTIFS(nrDIS_PID,$B49,nrDIS_Closes,"Unexcused missed exams",nrDIS_Outcome,"Retained w/ Plan",nrDIS_Approval,"Yes"),TRIM(IF(_xlpm.oe&gt;_xlpm.ce,"failed retest; ","")&amp;IF(_xlpm.os&gt;_xlpm.cs,"skills failed out; ","")&amp;IF(_xlpm.om&gt;_xlpm.cm,"unexcused missed exams; ","")&amp;IF(_xlpm.oi&gt;_xlpm.ci,"chain-of-command incident review; ",""))))</f>
        <v/>
      </c>
      <c r="V49" s="17">
        <f>IF($B49="","",IF(COUNTIFS(nrES_PID,$B49,nrES_Absence,"Excused",nrES_Raw,"")=0,"Yes","No"))</f>
        <v/>
      </c>
      <c r="W49" s="17">
        <f>IF($B49="","",IF(IFERROR(INDEX(nrENRall,MATCH($B49,rngCadetPIDs,0)),"")="Yes","Yes","No"))</f>
        <v/>
      </c>
      <c r="X49" s="17">
        <f>IF($B49="","",IF(SkillsCheck!$P49="No","No","Yes"))</f>
        <v/>
      </c>
    </row>
    <row r="50">
      <c r="B50" s="17">
        <f>IF(Cadets!$B50="","",Cadets!$B50)</f>
        <v/>
      </c>
      <c r="C50" s="17">
        <f>IF($B50="","",Cadets!$F50)</f>
        <v/>
      </c>
      <c r="D50" s="17">
        <f>IF($B50="","",Cadets!$I50)</f>
        <v/>
      </c>
      <c r="E50" s="17">
        <f>IF($B50="","",sysGrades!$V50)</f>
        <v/>
      </c>
      <c r="F50" s="17">
        <f>IF($B50="","",sysAttendance!$K50)</f>
        <v/>
      </c>
      <c r="G50" s="17">
        <f>IF($B50="","",sysAttendance!$S50)</f>
        <v/>
      </c>
      <c r="H50" s="17">
        <f>IF($B50="","",sysSkills!$K50)</f>
        <v/>
      </c>
      <c r="I50" s="17">
        <f>IF($B50="","",sysIncidents!$K50)</f>
        <v/>
      </c>
      <c r="J50" s="17">
        <f>IF($B50="","",IF(Writing!$AT50="Yes","Yes","No"))</f>
        <v/>
      </c>
      <c r="K50" s="17">
        <f>IF($B50="","",sysAttendance!$T50)</f>
        <v/>
      </c>
      <c r="L50" s="17">
        <f>IF($B50="","",IF(PT!$AB50="Yes","Yes",IF(PT!$AB50="No","No",IF(PT!$AB50="(rubric pending)","Pending",IF(PT!$AB50="Incomplete","Incomplete","Not taken")))))</f>
        <v/>
      </c>
      <c r="M50" s="17">
        <f>IF($B50="","",IF($U50="","No","Yes"))</f>
        <v/>
      </c>
      <c r="N50" s="17">
        <f>IF($B50="","",IF(AND($E50="Yes",$F50="Yes",$G50="Yes",$H50="Yes",$I50="Yes",$J50="Yes",$K50="Yes",$L50="Yes",$Q50="Yes",$R50="Yes",$S50="Yes",$T50="Yes",$M50="No",$V50="Yes",$W50="Yes",$X50="Yes"),"Yes","No"))</f>
        <v/>
      </c>
      <c r="O50" s="17">
        <f>IF($B50="","",IF($N50="Yes","Eligible",TRIM(IF($E50&lt;&gt;"Yes","Academic; ","")&amp;IF($R50&lt;&gt;"Yes","Exams not all recorded; ","")&amp;IF($F50&lt;&gt;"Yes","Classroom; ","")&amp;IF($G50&lt;&gt;"Yes","PT sessions; ","")&amp;IF($H50&lt;&gt;"Yes","Skills; ","")&amp;IF($S50&lt;&gt;"Yes","Skills not all assessed; ","")&amp;IF($T50&lt;&gt;"Yes","Firearms courses of fire; ","")&amp;IF($I50&lt;&gt;"Yes","Incidents; ","")&amp;IF($J50&lt;&gt;"Yes","Writing; ","")&amp;IF($K50&lt;&gt;"Yes","Makeup owed; ","")&amp;IF($L50="No","Final PT failed; ",IF($L50="Pending","Final PT rubric not set; ",IF($L50="Incomplete","Final PT partially scored; ",IF($L50&lt;&gt;"Yes","Final PT not assessed; ",""))))&amp;IF($Q50&lt;&gt;"Yes","Certs; ","")&amp;IF($V50&lt;&gt;"Yes","Exam pending (excused absence); ","")&amp;IF($W50&lt;&gt;"Yes","Enrollment documents; ","")&amp;IF($X50="Yes","",IF(SkillsCheck!$N50&lt;&gt;"","Skills FAILED ("&amp;SkillsCheck!$N50&amp;"); ","Skills not all passed ("&amp;SkillsCheck!$O50&amp;" not assessed); "))&amp;IF($M50="Yes","Dismissal review; ",""))))</f>
        <v/>
      </c>
      <c r="P50" s="17">
        <f>IF($B50="","",IF(PT!$AB50="Yes","Yes",IF(PT!$AB50="No","No",IF(PT!$AB50="(rubric pending)","Pending",IF(PT!$AB50="Incomplete","Incomplete","Not taken")))))</f>
        <v/>
      </c>
      <c r="Q50" s="17">
        <f>IF($B50="","",IF(Certifications!$T50="Yes","Yes","No"))</f>
        <v/>
      </c>
      <c r="R50" s="17">
        <f>IF($B50="","",_xlfn.LET(_xlpm.mj,COUNTIFS(rngEPuse,"Yes",rngEPtype,"Major"),_xlpm.mn,COUNTIFS(rngEPuse,"Yes",rngEPtype,"Minor"),_xlpm.fnl,COUNTIFS(rngEPuse,"Yes",rngEPtype,"Final"),IF(AND(N(sysGrades!$E50)&gt;0,N(sysGrades!$F50)&gt;0,N(sysGrades!$G50)&gt;0,N(sysGrades!$H50)&gt;0,N(sysGrades!$E50)&gt;=_xlpm.mj,N(sysGrades!$F50)&gt;=_xlpm.mn,N(sysGrades!$H50)&gt;=_xlpm.fnl),"Yes","No")))</f>
        <v/>
      </c>
      <c r="S50" s="17">
        <f>IF($B50="","",IF(N(sysSkills!$F50)&gt;=SUMPRODUCT((rngSM_cat&lt;&gt;"")*1),"Yes","No"))</f>
        <v/>
      </c>
      <c r="T50" s="17">
        <f>IF($B50="","",IF(sysSkills!$P50="Yes","Yes","No"))</f>
        <v/>
      </c>
      <c r="U50" s="17">
        <f>IF($B50="","",_xlfn.LET(_xlpm.oe,N(sysGrades!$P50),_xlpm.os,N(sysSkills!$I50),_xlpm.oi,N(sysIncidents!$J50),_xlpm.ce,COUNTIFS(nrDIS_PID,$B50,nrDIS_Closes,"Failed retest (exam)",nrDIS_Outcome,"Retained",nrDIS_Approval,"Yes")+COUNTIFS(nrDIS_PID,$B50,nrDIS_Closes,"Failed retest (exam)",nrDIS_Outcome,"Retained w/ Plan",nrDIS_Approval,"Yes"),_xlpm.cs,COUNTIFS(nrDIS_PID,$B50,nrDIS_Closes,"Skills failed out",nrDIS_Outcome,"Retained",nrDIS_Approval,"Yes")+COUNTIFS(nrDIS_PID,$B50,nrDIS_Closes,"Skills failed out",nrDIS_Outcome,"Retained w/ Plan",nrDIS_Approval,"Yes"),_xlpm.ci,COUNTIFS(nrDIS_PID,$B50,nrDIS_Closes,"Chain-of-command incident review",nrDIS_Outcome,"Retained",nrDIS_Approval,"Yes")+COUNTIFS(nrDIS_PID,$B50,nrDIS_Closes,"Chain-of-command incident review",nrDIS_Outcome,"Retained w/ Plan",nrDIS_Approval,"Yes"),_xlpm.om,MAX(0,COUNTIFS(nrES_PID,$B50,nrES_Absence,"Unexcused")-1),_xlpm.cm,COUNTIFS(nrDIS_PID,$B50,nrDIS_Closes,"Unexcused missed exams",nrDIS_Outcome,"Retained",nrDIS_Approval,"Yes")+COUNTIFS(nrDIS_PID,$B50,nrDIS_Closes,"Unexcused missed exams",nrDIS_Outcome,"Retained w/ Plan",nrDIS_Approval,"Yes"),TRIM(IF(_xlpm.oe&gt;_xlpm.ce,"failed retest; ","")&amp;IF(_xlpm.os&gt;_xlpm.cs,"skills failed out; ","")&amp;IF(_xlpm.om&gt;_xlpm.cm,"unexcused missed exams; ","")&amp;IF(_xlpm.oi&gt;_xlpm.ci,"chain-of-command incident review; ",""))))</f>
        <v/>
      </c>
      <c r="V50" s="17">
        <f>IF($B50="","",IF(COUNTIFS(nrES_PID,$B50,nrES_Absence,"Excused",nrES_Raw,"")=0,"Yes","No"))</f>
        <v/>
      </c>
      <c r="W50" s="17">
        <f>IF($B50="","",IF(IFERROR(INDEX(nrENRall,MATCH($B50,rngCadetPIDs,0)),"")="Yes","Yes","No"))</f>
        <v/>
      </c>
      <c r="X50" s="17">
        <f>IF($B50="","",IF(SkillsCheck!$P50="No","No","Yes"))</f>
        <v/>
      </c>
    </row>
    <row r="51">
      <c r="B51" s="17">
        <f>IF(Cadets!$B51="","",Cadets!$B51)</f>
        <v/>
      </c>
      <c r="C51" s="17">
        <f>IF($B51="","",Cadets!$F51)</f>
        <v/>
      </c>
      <c r="D51" s="17">
        <f>IF($B51="","",Cadets!$I51)</f>
        <v/>
      </c>
      <c r="E51" s="17">
        <f>IF($B51="","",sysGrades!$V51)</f>
        <v/>
      </c>
      <c r="F51" s="17">
        <f>IF($B51="","",sysAttendance!$K51)</f>
        <v/>
      </c>
      <c r="G51" s="17">
        <f>IF($B51="","",sysAttendance!$S51)</f>
        <v/>
      </c>
      <c r="H51" s="17">
        <f>IF($B51="","",sysSkills!$K51)</f>
        <v/>
      </c>
      <c r="I51" s="17">
        <f>IF($B51="","",sysIncidents!$K51)</f>
        <v/>
      </c>
      <c r="J51" s="17">
        <f>IF($B51="","",IF(Writing!$AT51="Yes","Yes","No"))</f>
        <v/>
      </c>
      <c r="K51" s="17">
        <f>IF($B51="","",sysAttendance!$T51)</f>
        <v/>
      </c>
      <c r="L51" s="17">
        <f>IF($B51="","",IF(PT!$AB51="Yes","Yes",IF(PT!$AB51="No","No",IF(PT!$AB51="(rubric pending)","Pending",IF(PT!$AB51="Incomplete","Incomplete","Not taken")))))</f>
        <v/>
      </c>
      <c r="M51" s="17">
        <f>IF($B51="","",IF($U51="","No","Yes"))</f>
        <v/>
      </c>
      <c r="N51" s="17">
        <f>IF($B51="","",IF(AND($E51="Yes",$F51="Yes",$G51="Yes",$H51="Yes",$I51="Yes",$J51="Yes",$K51="Yes",$L51="Yes",$Q51="Yes",$R51="Yes",$S51="Yes",$T51="Yes",$M51="No",$V51="Yes",$W51="Yes",$X51="Yes"),"Yes","No"))</f>
        <v/>
      </c>
      <c r="O51" s="17">
        <f>IF($B51="","",IF($N51="Yes","Eligible",TRIM(IF($E51&lt;&gt;"Yes","Academic; ","")&amp;IF($R51&lt;&gt;"Yes","Exams not all recorded; ","")&amp;IF($F51&lt;&gt;"Yes","Classroom; ","")&amp;IF($G51&lt;&gt;"Yes","PT sessions; ","")&amp;IF($H51&lt;&gt;"Yes","Skills; ","")&amp;IF($S51&lt;&gt;"Yes","Skills not all assessed; ","")&amp;IF($T51&lt;&gt;"Yes","Firearms courses of fire; ","")&amp;IF($I51&lt;&gt;"Yes","Incidents; ","")&amp;IF($J51&lt;&gt;"Yes","Writing; ","")&amp;IF($K51&lt;&gt;"Yes","Makeup owed; ","")&amp;IF($L51="No","Final PT failed; ",IF($L51="Pending","Final PT rubric not set; ",IF($L51="Incomplete","Final PT partially scored; ",IF($L51&lt;&gt;"Yes","Final PT not assessed; ",""))))&amp;IF($Q51&lt;&gt;"Yes","Certs; ","")&amp;IF($V51&lt;&gt;"Yes","Exam pending (excused absence); ","")&amp;IF($W51&lt;&gt;"Yes","Enrollment documents; ","")&amp;IF($X51="Yes","",IF(SkillsCheck!$N51&lt;&gt;"","Skills FAILED ("&amp;SkillsCheck!$N51&amp;"); ","Skills not all passed ("&amp;SkillsCheck!$O51&amp;" not assessed); "))&amp;IF($M51="Yes","Dismissal review; ",""))))</f>
        <v/>
      </c>
      <c r="P51" s="17">
        <f>IF($B51="","",IF(PT!$AB51="Yes","Yes",IF(PT!$AB51="No","No",IF(PT!$AB51="(rubric pending)","Pending",IF(PT!$AB51="Incomplete","Incomplete","Not taken")))))</f>
        <v/>
      </c>
      <c r="Q51" s="17">
        <f>IF($B51="","",IF(Certifications!$T51="Yes","Yes","No"))</f>
        <v/>
      </c>
      <c r="R51" s="17">
        <f>IF($B51="","",_xlfn.LET(_xlpm.mj,COUNTIFS(rngEPuse,"Yes",rngEPtype,"Major"),_xlpm.mn,COUNTIFS(rngEPuse,"Yes",rngEPtype,"Minor"),_xlpm.fnl,COUNTIFS(rngEPuse,"Yes",rngEPtype,"Final"),IF(AND(N(sysGrades!$E51)&gt;0,N(sysGrades!$F51)&gt;0,N(sysGrades!$G51)&gt;0,N(sysGrades!$H51)&gt;0,N(sysGrades!$E51)&gt;=_xlpm.mj,N(sysGrades!$F51)&gt;=_xlpm.mn,N(sysGrades!$H51)&gt;=_xlpm.fnl),"Yes","No")))</f>
        <v/>
      </c>
      <c r="S51" s="17">
        <f>IF($B51="","",IF(N(sysSkills!$F51)&gt;=SUMPRODUCT((rngSM_cat&lt;&gt;"")*1),"Yes","No"))</f>
        <v/>
      </c>
      <c r="T51" s="17">
        <f>IF($B51="","",IF(sysSkills!$P51="Yes","Yes","No"))</f>
        <v/>
      </c>
      <c r="U51" s="17">
        <f>IF($B51="","",_xlfn.LET(_xlpm.oe,N(sysGrades!$P51),_xlpm.os,N(sysSkills!$I51),_xlpm.oi,N(sysIncidents!$J51),_xlpm.ce,COUNTIFS(nrDIS_PID,$B51,nrDIS_Closes,"Failed retest (exam)",nrDIS_Outcome,"Retained",nrDIS_Approval,"Yes")+COUNTIFS(nrDIS_PID,$B51,nrDIS_Closes,"Failed retest (exam)",nrDIS_Outcome,"Retained w/ Plan",nrDIS_Approval,"Yes"),_xlpm.cs,COUNTIFS(nrDIS_PID,$B51,nrDIS_Closes,"Skills failed out",nrDIS_Outcome,"Retained",nrDIS_Approval,"Yes")+COUNTIFS(nrDIS_PID,$B51,nrDIS_Closes,"Skills failed out",nrDIS_Outcome,"Retained w/ Plan",nrDIS_Approval,"Yes"),_xlpm.ci,COUNTIFS(nrDIS_PID,$B51,nrDIS_Closes,"Chain-of-command incident review",nrDIS_Outcome,"Retained",nrDIS_Approval,"Yes")+COUNTIFS(nrDIS_PID,$B51,nrDIS_Closes,"Chain-of-command incident review",nrDIS_Outcome,"Retained w/ Plan",nrDIS_Approval,"Yes"),_xlpm.om,MAX(0,COUNTIFS(nrES_PID,$B51,nrES_Absence,"Unexcused")-1),_xlpm.cm,COUNTIFS(nrDIS_PID,$B51,nrDIS_Closes,"Unexcused missed exams",nrDIS_Outcome,"Retained",nrDIS_Approval,"Yes")+COUNTIFS(nrDIS_PID,$B51,nrDIS_Closes,"Unexcused missed exams",nrDIS_Outcome,"Retained w/ Plan",nrDIS_Approval,"Yes"),TRIM(IF(_xlpm.oe&gt;_xlpm.ce,"failed retest; ","")&amp;IF(_xlpm.os&gt;_xlpm.cs,"skills failed out; ","")&amp;IF(_xlpm.om&gt;_xlpm.cm,"unexcused missed exams; ","")&amp;IF(_xlpm.oi&gt;_xlpm.ci,"chain-of-command incident review; ",""))))</f>
        <v/>
      </c>
      <c r="V51" s="17">
        <f>IF($B51="","",IF(COUNTIFS(nrES_PID,$B51,nrES_Absence,"Excused",nrES_Raw,"")=0,"Yes","No"))</f>
        <v/>
      </c>
      <c r="W51" s="17">
        <f>IF($B51="","",IF(IFERROR(INDEX(nrENRall,MATCH($B51,rngCadetPIDs,0)),"")="Yes","Yes","No"))</f>
        <v/>
      </c>
      <c r="X51" s="17">
        <f>IF($B51="","",IF(SkillsCheck!$P51="No","No","Yes"))</f>
        <v/>
      </c>
    </row>
    <row r="52">
      <c r="B52" s="17">
        <f>IF(Cadets!$B52="","",Cadets!$B52)</f>
        <v/>
      </c>
      <c r="C52" s="17">
        <f>IF($B52="","",Cadets!$F52)</f>
        <v/>
      </c>
      <c r="D52" s="17">
        <f>IF($B52="","",Cadets!$I52)</f>
        <v/>
      </c>
      <c r="E52" s="17">
        <f>IF($B52="","",sysGrades!$V52)</f>
        <v/>
      </c>
      <c r="F52" s="17">
        <f>IF($B52="","",sysAttendance!$K52)</f>
        <v/>
      </c>
      <c r="G52" s="17">
        <f>IF($B52="","",sysAttendance!$S52)</f>
        <v/>
      </c>
      <c r="H52" s="17">
        <f>IF($B52="","",sysSkills!$K52)</f>
        <v/>
      </c>
      <c r="I52" s="17">
        <f>IF($B52="","",sysIncidents!$K52)</f>
        <v/>
      </c>
      <c r="J52" s="17">
        <f>IF($B52="","",IF(Writing!$AT52="Yes","Yes","No"))</f>
        <v/>
      </c>
      <c r="K52" s="17">
        <f>IF($B52="","",sysAttendance!$T52)</f>
        <v/>
      </c>
      <c r="L52" s="17">
        <f>IF($B52="","",IF(PT!$AB52="Yes","Yes",IF(PT!$AB52="No","No",IF(PT!$AB52="(rubric pending)","Pending",IF(PT!$AB52="Incomplete","Incomplete","Not taken")))))</f>
        <v/>
      </c>
      <c r="M52" s="17">
        <f>IF($B52="","",IF($U52="","No","Yes"))</f>
        <v/>
      </c>
      <c r="N52" s="17">
        <f>IF($B52="","",IF(AND($E52="Yes",$F52="Yes",$G52="Yes",$H52="Yes",$I52="Yes",$J52="Yes",$K52="Yes",$L52="Yes",$Q52="Yes",$R52="Yes",$S52="Yes",$T52="Yes",$M52="No",$V52="Yes",$W52="Yes",$X52="Yes"),"Yes","No"))</f>
        <v/>
      </c>
      <c r="O52" s="17">
        <f>IF($B52="","",IF($N52="Yes","Eligible",TRIM(IF($E52&lt;&gt;"Yes","Academic; ","")&amp;IF($R52&lt;&gt;"Yes","Exams not all recorded; ","")&amp;IF($F52&lt;&gt;"Yes","Classroom; ","")&amp;IF($G52&lt;&gt;"Yes","PT sessions; ","")&amp;IF($H52&lt;&gt;"Yes","Skills; ","")&amp;IF($S52&lt;&gt;"Yes","Skills not all assessed; ","")&amp;IF($T52&lt;&gt;"Yes","Firearms courses of fire; ","")&amp;IF($I52&lt;&gt;"Yes","Incidents; ","")&amp;IF($J52&lt;&gt;"Yes","Writing; ","")&amp;IF($K52&lt;&gt;"Yes","Makeup owed; ","")&amp;IF($L52="No","Final PT failed; ",IF($L52="Pending","Final PT rubric not set; ",IF($L52="Incomplete","Final PT partially scored; ",IF($L52&lt;&gt;"Yes","Final PT not assessed; ",""))))&amp;IF($Q52&lt;&gt;"Yes","Certs; ","")&amp;IF($V52&lt;&gt;"Yes","Exam pending (excused absence); ","")&amp;IF($W52&lt;&gt;"Yes","Enrollment documents; ","")&amp;IF($X52="Yes","",IF(SkillsCheck!$N52&lt;&gt;"","Skills FAILED ("&amp;SkillsCheck!$N52&amp;"); ","Skills not all passed ("&amp;SkillsCheck!$O52&amp;" not assessed); "))&amp;IF($M52="Yes","Dismissal review; ",""))))</f>
        <v/>
      </c>
      <c r="P52" s="17">
        <f>IF($B52="","",IF(PT!$AB52="Yes","Yes",IF(PT!$AB52="No","No",IF(PT!$AB52="(rubric pending)","Pending",IF(PT!$AB52="Incomplete","Incomplete","Not taken")))))</f>
        <v/>
      </c>
      <c r="Q52" s="17">
        <f>IF($B52="","",IF(Certifications!$T52="Yes","Yes","No"))</f>
        <v/>
      </c>
      <c r="R52" s="17">
        <f>IF($B52="","",_xlfn.LET(_xlpm.mj,COUNTIFS(rngEPuse,"Yes",rngEPtype,"Major"),_xlpm.mn,COUNTIFS(rngEPuse,"Yes",rngEPtype,"Minor"),_xlpm.fnl,COUNTIFS(rngEPuse,"Yes",rngEPtype,"Final"),IF(AND(N(sysGrades!$E52)&gt;0,N(sysGrades!$F52)&gt;0,N(sysGrades!$G52)&gt;0,N(sysGrades!$H52)&gt;0,N(sysGrades!$E52)&gt;=_xlpm.mj,N(sysGrades!$F52)&gt;=_xlpm.mn,N(sysGrades!$H52)&gt;=_xlpm.fnl),"Yes","No")))</f>
        <v/>
      </c>
      <c r="S52" s="17">
        <f>IF($B52="","",IF(N(sysSkills!$F52)&gt;=SUMPRODUCT((rngSM_cat&lt;&gt;"")*1),"Yes","No"))</f>
        <v/>
      </c>
      <c r="T52" s="17">
        <f>IF($B52="","",IF(sysSkills!$P52="Yes","Yes","No"))</f>
        <v/>
      </c>
      <c r="U52" s="17">
        <f>IF($B52="","",_xlfn.LET(_xlpm.oe,N(sysGrades!$P52),_xlpm.os,N(sysSkills!$I52),_xlpm.oi,N(sysIncidents!$J52),_xlpm.ce,COUNTIFS(nrDIS_PID,$B52,nrDIS_Closes,"Failed retest (exam)",nrDIS_Outcome,"Retained",nrDIS_Approval,"Yes")+COUNTIFS(nrDIS_PID,$B52,nrDIS_Closes,"Failed retest (exam)",nrDIS_Outcome,"Retained w/ Plan",nrDIS_Approval,"Yes"),_xlpm.cs,COUNTIFS(nrDIS_PID,$B52,nrDIS_Closes,"Skills failed out",nrDIS_Outcome,"Retained",nrDIS_Approval,"Yes")+COUNTIFS(nrDIS_PID,$B52,nrDIS_Closes,"Skills failed out",nrDIS_Outcome,"Retained w/ Plan",nrDIS_Approval,"Yes"),_xlpm.ci,COUNTIFS(nrDIS_PID,$B52,nrDIS_Closes,"Chain-of-command incident review",nrDIS_Outcome,"Retained",nrDIS_Approval,"Yes")+COUNTIFS(nrDIS_PID,$B52,nrDIS_Closes,"Chain-of-command incident review",nrDIS_Outcome,"Retained w/ Plan",nrDIS_Approval,"Yes"),_xlpm.om,MAX(0,COUNTIFS(nrES_PID,$B52,nrES_Absence,"Unexcused")-1),_xlpm.cm,COUNTIFS(nrDIS_PID,$B52,nrDIS_Closes,"Unexcused missed exams",nrDIS_Outcome,"Retained",nrDIS_Approval,"Yes")+COUNTIFS(nrDIS_PID,$B52,nrDIS_Closes,"Unexcused missed exams",nrDIS_Outcome,"Retained w/ Plan",nrDIS_Approval,"Yes"),TRIM(IF(_xlpm.oe&gt;_xlpm.ce,"failed retest; ","")&amp;IF(_xlpm.os&gt;_xlpm.cs,"skills failed out; ","")&amp;IF(_xlpm.om&gt;_xlpm.cm,"unexcused missed exams; ","")&amp;IF(_xlpm.oi&gt;_xlpm.ci,"chain-of-command incident review; ",""))))</f>
        <v/>
      </c>
      <c r="V52" s="17">
        <f>IF($B52="","",IF(COUNTIFS(nrES_PID,$B52,nrES_Absence,"Excused",nrES_Raw,"")=0,"Yes","No"))</f>
        <v/>
      </c>
      <c r="W52" s="17">
        <f>IF($B52="","",IF(IFERROR(INDEX(nrENRall,MATCH($B52,rngCadetPIDs,0)),"")="Yes","Yes","No"))</f>
        <v/>
      </c>
      <c r="X52" s="17">
        <f>IF($B52="","",IF(SkillsCheck!$P52="No","No","Yes"))</f>
        <v/>
      </c>
    </row>
    <row r="53">
      <c r="B53" s="17">
        <f>IF(Cadets!$B53="","",Cadets!$B53)</f>
        <v/>
      </c>
      <c r="C53" s="17">
        <f>IF($B53="","",Cadets!$F53)</f>
        <v/>
      </c>
      <c r="D53" s="17">
        <f>IF($B53="","",Cadets!$I53)</f>
        <v/>
      </c>
      <c r="E53" s="17">
        <f>IF($B53="","",sysGrades!$V53)</f>
        <v/>
      </c>
      <c r="F53" s="17">
        <f>IF($B53="","",sysAttendance!$K53)</f>
        <v/>
      </c>
      <c r="G53" s="17">
        <f>IF($B53="","",sysAttendance!$S53)</f>
        <v/>
      </c>
      <c r="H53" s="17">
        <f>IF($B53="","",sysSkills!$K53)</f>
        <v/>
      </c>
      <c r="I53" s="17">
        <f>IF($B53="","",sysIncidents!$K53)</f>
        <v/>
      </c>
      <c r="J53" s="17">
        <f>IF($B53="","",IF(Writing!$AT53="Yes","Yes","No"))</f>
        <v/>
      </c>
      <c r="K53" s="17">
        <f>IF($B53="","",sysAttendance!$T53)</f>
        <v/>
      </c>
      <c r="L53" s="17">
        <f>IF($B53="","",IF(PT!$AB53="Yes","Yes",IF(PT!$AB53="No","No",IF(PT!$AB53="(rubric pending)","Pending",IF(PT!$AB53="Incomplete","Incomplete","Not taken")))))</f>
        <v/>
      </c>
      <c r="M53" s="17">
        <f>IF($B53="","",IF($U53="","No","Yes"))</f>
        <v/>
      </c>
      <c r="N53" s="17">
        <f>IF($B53="","",IF(AND($E53="Yes",$F53="Yes",$G53="Yes",$H53="Yes",$I53="Yes",$J53="Yes",$K53="Yes",$L53="Yes",$Q53="Yes",$R53="Yes",$S53="Yes",$T53="Yes",$M53="No",$V53="Yes",$W53="Yes",$X53="Yes"),"Yes","No"))</f>
        <v/>
      </c>
      <c r="O53" s="17">
        <f>IF($B53="","",IF($N53="Yes","Eligible",TRIM(IF($E53&lt;&gt;"Yes","Academic; ","")&amp;IF($R53&lt;&gt;"Yes","Exams not all recorded; ","")&amp;IF($F53&lt;&gt;"Yes","Classroom; ","")&amp;IF($G53&lt;&gt;"Yes","PT sessions; ","")&amp;IF($H53&lt;&gt;"Yes","Skills; ","")&amp;IF($S53&lt;&gt;"Yes","Skills not all assessed; ","")&amp;IF($T53&lt;&gt;"Yes","Firearms courses of fire; ","")&amp;IF($I53&lt;&gt;"Yes","Incidents; ","")&amp;IF($J53&lt;&gt;"Yes","Writing; ","")&amp;IF($K53&lt;&gt;"Yes","Makeup owed; ","")&amp;IF($L53="No","Final PT failed; ",IF($L53="Pending","Final PT rubric not set; ",IF($L53="Incomplete","Final PT partially scored; ",IF($L53&lt;&gt;"Yes","Final PT not assessed; ",""))))&amp;IF($Q53&lt;&gt;"Yes","Certs; ","")&amp;IF($V53&lt;&gt;"Yes","Exam pending (excused absence); ","")&amp;IF($W53&lt;&gt;"Yes","Enrollment documents; ","")&amp;IF($X53="Yes","",IF(SkillsCheck!$N53&lt;&gt;"","Skills FAILED ("&amp;SkillsCheck!$N53&amp;"); ","Skills not all passed ("&amp;SkillsCheck!$O53&amp;" not assessed); "))&amp;IF($M53="Yes","Dismissal review; ",""))))</f>
        <v/>
      </c>
      <c r="P53" s="17">
        <f>IF($B53="","",IF(PT!$AB53="Yes","Yes",IF(PT!$AB53="No","No",IF(PT!$AB53="(rubric pending)","Pending",IF(PT!$AB53="Incomplete","Incomplete","Not taken")))))</f>
        <v/>
      </c>
      <c r="Q53" s="17">
        <f>IF($B53="","",IF(Certifications!$T53="Yes","Yes","No"))</f>
        <v/>
      </c>
      <c r="R53" s="17">
        <f>IF($B53="","",_xlfn.LET(_xlpm.mj,COUNTIFS(rngEPuse,"Yes",rngEPtype,"Major"),_xlpm.mn,COUNTIFS(rngEPuse,"Yes",rngEPtype,"Minor"),_xlpm.fnl,COUNTIFS(rngEPuse,"Yes",rngEPtype,"Final"),IF(AND(N(sysGrades!$E53)&gt;0,N(sysGrades!$F53)&gt;0,N(sysGrades!$G53)&gt;0,N(sysGrades!$H53)&gt;0,N(sysGrades!$E53)&gt;=_xlpm.mj,N(sysGrades!$F53)&gt;=_xlpm.mn,N(sysGrades!$H53)&gt;=_xlpm.fnl),"Yes","No")))</f>
        <v/>
      </c>
      <c r="S53" s="17">
        <f>IF($B53="","",IF(N(sysSkills!$F53)&gt;=SUMPRODUCT((rngSM_cat&lt;&gt;"")*1),"Yes","No"))</f>
        <v/>
      </c>
      <c r="T53" s="17">
        <f>IF($B53="","",IF(sysSkills!$P53="Yes","Yes","No"))</f>
        <v/>
      </c>
      <c r="U53" s="17">
        <f>IF($B53="","",_xlfn.LET(_xlpm.oe,N(sysGrades!$P53),_xlpm.os,N(sysSkills!$I53),_xlpm.oi,N(sysIncidents!$J53),_xlpm.ce,COUNTIFS(nrDIS_PID,$B53,nrDIS_Closes,"Failed retest (exam)",nrDIS_Outcome,"Retained",nrDIS_Approval,"Yes")+COUNTIFS(nrDIS_PID,$B53,nrDIS_Closes,"Failed retest (exam)",nrDIS_Outcome,"Retained w/ Plan",nrDIS_Approval,"Yes"),_xlpm.cs,COUNTIFS(nrDIS_PID,$B53,nrDIS_Closes,"Skills failed out",nrDIS_Outcome,"Retained",nrDIS_Approval,"Yes")+COUNTIFS(nrDIS_PID,$B53,nrDIS_Closes,"Skills failed out",nrDIS_Outcome,"Retained w/ Plan",nrDIS_Approval,"Yes"),_xlpm.ci,COUNTIFS(nrDIS_PID,$B53,nrDIS_Closes,"Chain-of-command incident review",nrDIS_Outcome,"Retained",nrDIS_Approval,"Yes")+COUNTIFS(nrDIS_PID,$B53,nrDIS_Closes,"Chain-of-command incident review",nrDIS_Outcome,"Retained w/ Plan",nrDIS_Approval,"Yes"),_xlpm.om,MAX(0,COUNTIFS(nrES_PID,$B53,nrES_Absence,"Unexcused")-1),_xlpm.cm,COUNTIFS(nrDIS_PID,$B53,nrDIS_Closes,"Unexcused missed exams",nrDIS_Outcome,"Retained",nrDIS_Approval,"Yes")+COUNTIFS(nrDIS_PID,$B53,nrDIS_Closes,"Unexcused missed exams",nrDIS_Outcome,"Retained w/ Plan",nrDIS_Approval,"Yes"),TRIM(IF(_xlpm.oe&gt;_xlpm.ce,"failed retest; ","")&amp;IF(_xlpm.os&gt;_xlpm.cs,"skills failed out; ","")&amp;IF(_xlpm.om&gt;_xlpm.cm,"unexcused missed exams; ","")&amp;IF(_xlpm.oi&gt;_xlpm.ci,"chain-of-command incident review; ",""))))</f>
        <v/>
      </c>
      <c r="V53" s="17">
        <f>IF($B53="","",IF(COUNTIFS(nrES_PID,$B53,nrES_Absence,"Excused",nrES_Raw,"")=0,"Yes","No"))</f>
        <v/>
      </c>
      <c r="W53" s="17">
        <f>IF($B53="","",IF(IFERROR(INDEX(nrENRall,MATCH($B53,rngCadetPIDs,0)),"")="Yes","Yes","No"))</f>
        <v/>
      </c>
      <c r="X53" s="17">
        <f>IF($B53="","",IF(SkillsCheck!$P53="No","No","Yes"))</f>
        <v/>
      </c>
    </row>
    <row r="54">
      <c r="B54" s="17">
        <f>IF(Cadets!$B54="","",Cadets!$B54)</f>
        <v/>
      </c>
      <c r="C54" s="17">
        <f>IF($B54="","",Cadets!$F54)</f>
        <v/>
      </c>
      <c r="D54" s="17">
        <f>IF($B54="","",Cadets!$I54)</f>
        <v/>
      </c>
      <c r="E54" s="17">
        <f>IF($B54="","",sysGrades!$V54)</f>
        <v/>
      </c>
      <c r="F54" s="17">
        <f>IF($B54="","",sysAttendance!$K54)</f>
        <v/>
      </c>
      <c r="G54" s="17">
        <f>IF($B54="","",sysAttendance!$S54)</f>
        <v/>
      </c>
      <c r="H54" s="17">
        <f>IF($B54="","",sysSkills!$K54)</f>
        <v/>
      </c>
      <c r="I54" s="17">
        <f>IF($B54="","",sysIncidents!$K54)</f>
        <v/>
      </c>
      <c r="J54" s="17">
        <f>IF($B54="","",IF(Writing!$AT54="Yes","Yes","No"))</f>
        <v/>
      </c>
      <c r="K54" s="17">
        <f>IF($B54="","",sysAttendance!$T54)</f>
        <v/>
      </c>
      <c r="L54" s="17">
        <f>IF($B54="","",IF(PT!$AB54="Yes","Yes",IF(PT!$AB54="No","No",IF(PT!$AB54="(rubric pending)","Pending",IF(PT!$AB54="Incomplete","Incomplete","Not taken")))))</f>
        <v/>
      </c>
      <c r="M54" s="17">
        <f>IF($B54="","",IF($U54="","No","Yes"))</f>
        <v/>
      </c>
      <c r="N54" s="17">
        <f>IF($B54="","",IF(AND($E54="Yes",$F54="Yes",$G54="Yes",$H54="Yes",$I54="Yes",$J54="Yes",$K54="Yes",$L54="Yes",$Q54="Yes",$R54="Yes",$S54="Yes",$T54="Yes",$M54="No",$V54="Yes",$W54="Yes",$X54="Yes"),"Yes","No"))</f>
        <v/>
      </c>
      <c r="O54" s="17">
        <f>IF($B54="","",IF($N54="Yes","Eligible",TRIM(IF($E54&lt;&gt;"Yes","Academic; ","")&amp;IF($R54&lt;&gt;"Yes","Exams not all recorded; ","")&amp;IF($F54&lt;&gt;"Yes","Classroom; ","")&amp;IF($G54&lt;&gt;"Yes","PT sessions; ","")&amp;IF($H54&lt;&gt;"Yes","Skills; ","")&amp;IF($S54&lt;&gt;"Yes","Skills not all assessed; ","")&amp;IF($T54&lt;&gt;"Yes","Firearms courses of fire; ","")&amp;IF($I54&lt;&gt;"Yes","Incidents; ","")&amp;IF($J54&lt;&gt;"Yes","Writing; ","")&amp;IF($K54&lt;&gt;"Yes","Makeup owed; ","")&amp;IF($L54="No","Final PT failed; ",IF($L54="Pending","Final PT rubric not set; ",IF($L54="Incomplete","Final PT partially scored; ",IF($L54&lt;&gt;"Yes","Final PT not assessed; ",""))))&amp;IF($Q54&lt;&gt;"Yes","Certs; ","")&amp;IF($V54&lt;&gt;"Yes","Exam pending (excused absence); ","")&amp;IF($W54&lt;&gt;"Yes","Enrollment documents; ","")&amp;IF($X54="Yes","",IF(SkillsCheck!$N54&lt;&gt;"","Skills FAILED ("&amp;SkillsCheck!$N54&amp;"); ","Skills not all passed ("&amp;SkillsCheck!$O54&amp;" not assessed); "))&amp;IF($M54="Yes","Dismissal review; ",""))))</f>
        <v/>
      </c>
      <c r="P54" s="17">
        <f>IF($B54="","",IF(PT!$AB54="Yes","Yes",IF(PT!$AB54="No","No",IF(PT!$AB54="(rubric pending)","Pending",IF(PT!$AB54="Incomplete","Incomplete","Not taken")))))</f>
        <v/>
      </c>
      <c r="Q54" s="17">
        <f>IF($B54="","",IF(Certifications!$T54="Yes","Yes","No"))</f>
        <v/>
      </c>
      <c r="R54" s="17">
        <f>IF($B54="","",_xlfn.LET(_xlpm.mj,COUNTIFS(rngEPuse,"Yes",rngEPtype,"Major"),_xlpm.mn,COUNTIFS(rngEPuse,"Yes",rngEPtype,"Minor"),_xlpm.fnl,COUNTIFS(rngEPuse,"Yes",rngEPtype,"Final"),IF(AND(N(sysGrades!$E54)&gt;0,N(sysGrades!$F54)&gt;0,N(sysGrades!$G54)&gt;0,N(sysGrades!$H54)&gt;0,N(sysGrades!$E54)&gt;=_xlpm.mj,N(sysGrades!$F54)&gt;=_xlpm.mn,N(sysGrades!$H54)&gt;=_xlpm.fnl),"Yes","No")))</f>
        <v/>
      </c>
      <c r="S54" s="17">
        <f>IF($B54="","",IF(N(sysSkills!$F54)&gt;=SUMPRODUCT((rngSM_cat&lt;&gt;"")*1),"Yes","No"))</f>
        <v/>
      </c>
      <c r="T54" s="17">
        <f>IF($B54="","",IF(sysSkills!$P54="Yes","Yes","No"))</f>
        <v/>
      </c>
      <c r="U54" s="17">
        <f>IF($B54="","",_xlfn.LET(_xlpm.oe,N(sysGrades!$P54),_xlpm.os,N(sysSkills!$I54),_xlpm.oi,N(sysIncidents!$J54),_xlpm.ce,COUNTIFS(nrDIS_PID,$B54,nrDIS_Closes,"Failed retest (exam)",nrDIS_Outcome,"Retained",nrDIS_Approval,"Yes")+COUNTIFS(nrDIS_PID,$B54,nrDIS_Closes,"Failed retest (exam)",nrDIS_Outcome,"Retained w/ Plan",nrDIS_Approval,"Yes"),_xlpm.cs,COUNTIFS(nrDIS_PID,$B54,nrDIS_Closes,"Skills failed out",nrDIS_Outcome,"Retained",nrDIS_Approval,"Yes")+COUNTIFS(nrDIS_PID,$B54,nrDIS_Closes,"Skills failed out",nrDIS_Outcome,"Retained w/ Plan",nrDIS_Approval,"Yes"),_xlpm.ci,COUNTIFS(nrDIS_PID,$B54,nrDIS_Closes,"Chain-of-command incident review",nrDIS_Outcome,"Retained",nrDIS_Approval,"Yes")+COUNTIFS(nrDIS_PID,$B54,nrDIS_Closes,"Chain-of-command incident review",nrDIS_Outcome,"Retained w/ Plan",nrDIS_Approval,"Yes"),_xlpm.om,MAX(0,COUNTIFS(nrES_PID,$B54,nrES_Absence,"Unexcused")-1),_xlpm.cm,COUNTIFS(nrDIS_PID,$B54,nrDIS_Closes,"Unexcused missed exams",nrDIS_Outcome,"Retained",nrDIS_Approval,"Yes")+COUNTIFS(nrDIS_PID,$B54,nrDIS_Closes,"Unexcused missed exams",nrDIS_Outcome,"Retained w/ Plan",nrDIS_Approval,"Yes"),TRIM(IF(_xlpm.oe&gt;_xlpm.ce,"failed retest; ","")&amp;IF(_xlpm.os&gt;_xlpm.cs,"skills failed out; ","")&amp;IF(_xlpm.om&gt;_xlpm.cm,"unexcused missed exams; ","")&amp;IF(_xlpm.oi&gt;_xlpm.ci,"chain-of-command incident review; ",""))))</f>
        <v/>
      </c>
      <c r="V54" s="17">
        <f>IF($B54="","",IF(COUNTIFS(nrES_PID,$B54,nrES_Absence,"Excused",nrES_Raw,"")=0,"Yes","No"))</f>
        <v/>
      </c>
      <c r="W54" s="17">
        <f>IF($B54="","",IF(IFERROR(INDEX(nrENRall,MATCH($B54,rngCadetPIDs,0)),"")="Yes","Yes","No"))</f>
        <v/>
      </c>
      <c r="X54" s="17">
        <f>IF($B54="","",IF(SkillsCheck!$P54="No","No","Yes"))</f>
        <v/>
      </c>
    </row>
    <row r="55">
      <c r="B55" s="17">
        <f>IF(Cadets!$B55="","",Cadets!$B55)</f>
        <v/>
      </c>
      <c r="C55" s="17">
        <f>IF($B55="","",Cadets!$F55)</f>
        <v/>
      </c>
      <c r="D55" s="17">
        <f>IF($B55="","",Cadets!$I55)</f>
        <v/>
      </c>
      <c r="E55" s="17">
        <f>IF($B55="","",sysGrades!$V55)</f>
        <v/>
      </c>
      <c r="F55" s="17">
        <f>IF($B55="","",sysAttendance!$K55)</f>
        <v/>
      </c>
      <c r="G55" s="17">
        <f>IF($B55="","",sysAttendance!$S55)</f>
        <v/>
      </c>
      <c r="H55" s="17">
        <f>IF($B55="","",sysSkills!$K55)</f>
        <v/>
      </c>
      <c r="I55" s="17">
        <f>IF($B55="","",sysIncidents!$K55)</f>
        <v/>
      </c>
      <c r="J55" s="17">
        <f>IF($B55="","",IF(Writing!$AT55="Yes","Yes","No"))</f>
        <v/>
      </c>
      <c r="K55" s="17">
        <f>IF($B55="","",sysAttendance!$T55)</f>
        <v/>
      </c>
      <c r="L55" s="17">
        <f>IF($B55="","",IF(PT!$AB55="Yes","Yes",IF(PT!$AB55="No","No",IF(PT!$AB55="(rubric pending)","Pending",IF(PT!$AB55="Incomplete","Incomplete","Not taken")))))</f>
        <v/>
      </c>
      <c r="M55" s="17">
        <f>IF($B55="","",IF($U55="","No","Yes"))</f>
        <v/>
      </c>
      <c r="N55" s="17">
        <f>IF($B55="","",IF(AND($E55="Yes",$F55="Yes",$G55="Yes",$H55="Yes",$I55="Yes",$J55="Yes",$K55="Yes",$L55="Yes",$Q55="Yes",$R55="Yes",$S55="Yes",$T55="Yes",$M55="No",$V55="Yes",$W55="Yes",$X55="Yes"),"Yes","No"))</f>
        <v/>
      </c>
      <c r="O55" s="17">
        <f>IF($B55="","",IF($N55="Yes","Eligible",TRIM(IF($E55&lt;&gt;"Yes","Academic; ","")&amp;IF($R55&lt;&gt;"Yes","Exams not all recorded; ","")&amp;IF($F55&lt;&gt;"Yes","Classroom; ","")&amp;IF($G55&lt;&gt;"Yes","PT sessions; ","")&amp;IF($H55&lt;&gt;"Yes","Skills; ","")&amp;IF($S55&lt;&gt;"Yes","Skills not all assessed; ","")&amp;IF($T55&lt;&gt;"Yes","Firearms courses of fire; ","")&amp;IF($I55&lt;&gt;"Yes","Incidents; ","")&amp;IF($J55&lt;&gt;"Yes","Writing; ","")&amp;IF($K55&lt;&gt;"Yes","Makeup owed; ","")&amp;IF($L55="No","Final PT failed; ",IF($L55="Pending","Final PT rubric not set; ",IF($L55="Incomplete","Final PT partially scored; ",IF($L55&lt;&gt;"Yes","Final PT not assessed; ",""))))&amp;IF($Q55&lt;&gt;"Yes","Certs; ","")&amp;IF($V55&lt;&gt;"Yes","Exam pending (excused absence); ","")&amp;IF($W55&lt;&gt;"Yes","Enrollment documents; ","")&amp;IF($X55="Yes","",IF(SkillsCheck!$N55&lt;&gt;"","Skills FAILED ("&amp;SkillsCheck!$N55&amp;"); ","Skills not all passed ("&amp;SkillsCheck!$O55&amp;" not assessed); "))&amp;IF($M55="Yes","Dismissal review; ",""))))</f>
        <v/>
      </c>
      <c r="P55" s="17">
        <f>IF($B55="","",IF(PT!$AB55="Yes","Yes",IF(PT!$AB55="No","No",IF(PT!$AB55="(rubric pending)","Pending",IF(PT!$AB55="Incomplete","Incomplete","Not taken")))))</f>
        <v/>
      </c>
      <c r="Q55" s="17">
        <f>IF($B55="","",IF(Certifications!$T55="Yes","Yes","No"))</f>
        <v/>
      </c>
      <c r="R55" s="17">
        <f>IF($B55="","",_xlfn.LET(_xlpm.mj,COUNTIFS(rngEPuse,"Yes",rngEPtype,"Major"),_xlpm.mn,COUNTIFS(rngEPuse,"Yes",rngEPtype,"Minor"),_xlpm.fnl,COUNTIFS(rngEPuse,"Yes",rngEPtype,"Final"),IF(AND(N(sysGrades!$E55)&gt;0,N(sysGrades!$F55)&gt;0,N(sysGrades!$G55)&gt;0,N(sysGrades!$H55)&gt;0,N(sysGrades!$E55)&gt;=_xlpm.mj,N(sysGrades!$F55)&gt;=_xlpm.mn,N(sysGrades!$H55)&gt;=_xlpm.fnl),"Yes","No")))</f>
        <v/>
      </c>
      <c r="S55" s="17">
        <f>IF($B55="","",IF(N(sysSkills!$F55)&gt;=SUMPRODUCT((rngSM_cat&lt;&gt;"")*1),"Yes","No"))</f>
        <v/>
      </c>
      <c r="T55" s="17">
        <f>IF($B55="","",IF(sysSkills!$P55="Yes","Yes","No"))</f>
        <v/>
      </c>
      <c r="U55" s="17">
        <f>IF($B55="","",_xlfn.LET(_xlpm.oe,N(sysGrades!$P55),_xlpm.os,N(sysSkills!$I55),_xlpm.oi,N(sysIncidents!$J55),_xlpm.ce,COUNTIFS(nrDIS_PID,$B55,nrDIS_Closes,"Failed retest (exam)",nrDIS_Outcome,"Retained",nrDIS_Approval,"Yes")+COUNTIFS(nrDIS_PID,$B55,nrDIS_Closes,"Failed retest (exam)",nrDIS_Outcome,"Retained w/ Plan",nrDIS_Approval,"Yes"),_xlpm.cs,COUNTIFS(nrDIS_PID,$B55,nrDIS_Closes,"Skills failed out",nrDIS_Outcome,"Retained",nrDIS_Approval,"Yes")+COUNTIFS(nrDIS_PID,$B55,nrDIS_Closes,"Skills failed out",nrDIS_Outcome,"Retained w/ Plan",nrDIS_Approval,"Yes"),_xlpm.ci,COUNTIFS(nrDIS_PID,$B55,nrDIS_Closes,"Chain-of-command incident review",nrDIS_Outcome,"Retained",nrDIS_Approval,"Yes")+COUNTIFS(nrDIS_PID,$B55,nrDIS_Closes,"Chain-of-command incident review",nrDIS_Outcome,"Retained w/ Plan",nrDIS_Approval,"Yes"),_xlpm.om,MAX(0,COUNTIFS(nrES_PID,$B55,nrES_Absence,"Unexcused")-1),_xlpm.cm,COUNTIFS(nrDIS_PID,$B55,nrDIS_Closes,"Unexcused missed exams",nrDIS_Outcome,"Retained",nrDIS_Approval,"Yes")+COUNTIFS(nrDIS_PID,$B55,nrDIS_Closes,"Unexcused missed exams",nrDIS_Outcome,"Retained w/ Plan",nrDIS_Approval,"Yes"),TRIM(IF(_xlpm.oe&gt;_xlpm.ce,"failed retest; ","")&amp;IF(_xlpm.os&gt;_xlpm.cs,"skills failed out; ","")&amp;IF(_xlpm.om&gt;_xlpm.cm,"unexcused missed exams; ","")&amp;IF(_xlpm.oi&gt;_xlpm.ci,"chain-of-command incident review; ",""))))</f>
        <v/>
      </c>
      <c r="V55" s="17">
        <f>IF($B55="","",IF(COUNTIFS(nrES_PID,$B55,nrES_Absence,"Excused",nrES_Raw,"")=0,"Yes","No"))</f>
        <v/>
      </c>
      <c r="W55" s="17">
        <f>IF($B55="","",IF(IFERROR(INDEX(nrENRall,MATCH($B55,rngCadetPIDs,0)),"")="Yes","Yes","No"))</f>
        <v/>
      </c>
      <c r="X55" s="17">
        <f>IF($B55="","",IF(SkillsCheck!$P55="No","No","Yes"))</f>
        <v/>
      </c>
    </row>
  </sheetData>
  <sheetProtection selectLockedCells="0" selectUnlockedCells="0" sheet="1" objects="0" insertRows="1" insertHyperlinks="1" autoFilter="1" scenarios="0" formatColumns="1" deleteColumns="1" insertColumns="1" pivotTables="1" deleteRows="1" formatCells="1" formatRows="1" sort="1" password="B4BB"/>
  <conditionalFormatting sqref="N6:N55">
    <cfRule type="cellIs" priority="1" operator="equal" dxfId="3">
      <formula>"Yes"</formula>
    </cfRule>
    <cfRule type="cellIs" priority="2" operator="equal" dxfId="0">
      <formula>"No"</formula>
    </cfRule>
  </conditionalFormatting>
  <pageMargins left="0.75" right="0.75" top="1" bottom="1" header="0.5" footer="0.5"/>
</worksheet>
</file>

<file path=xl/worksheets/sheet58.xml><?xml version="1.0" encoding="utf-8"?>
<worksheet xmlns="http://schemas.openxmlformats.org/spreadsheetml/2006/main">
  <sheetPr>
    <tabColor rgb="00808080"/>
    <outlinePr summaryBelow="1" summaryRight="1"/>
    <pageSetUpPr/>
  </sheetPr>
  <dimension ref="B1:G9"/>
  <sheetViews>
    <sheetView showGridLines="0" workbookViewId="0">
      <selection activeCell="A1" sqref="A1"/>
    </sheetView>
  </sheetViews>
  <sheetFormatPr baseColWidth="8" defaultRowHeight="15"/>
  <cols>
    <col width="3" customWidth="1" min="1" max="1"/>
    <col width="22" customWidth="1" min="2" max="2"/>
    <col width="24" customWidth="1" min="3" max="3"/>
    <col width="52" customWidth="1" min="4" max="4"/>
    <col width="24" customWidth="1" min="5" max="5"/>
    <col width="24" customWidth="1" min="6" max="6"/>
    <col width="30" customWidth="1" min="7" max="7"/>
  </cols>
  <sheetData>
    <row r="1">
      <c r="B1" s="10">
        <f>HYPERLINK("#Dashboard!B5","◄ Dashboard")</f>
        <v/>
      </c>
    </row>
    <row r="4">
      <c r="B4" s="11" t="inlineStr">
        <is>
          <t>Data-driven picks with coordinator override (override always wins). Grit is decision support — the computed index only sees PT deltas; weigh academic improvement and perseverance before finalizing. Only the override (E) and Notes (G) columns are editable — the computed winner and the FINAL winner feed the printed transcript.</t>
        </is>
      </c>
    </row>
    <row r="5" ht="26" customHeight="1">
      <c r="B5" s="12" t="inlineStr">
        <is>
          <t>Award</t>
        </is>
      </c>
      <c r="C5" s="12" t="inlineStr">
        <is>
          <t>Computed Winner</t>
        </is>
      </c>
      <c r="D5" s="12" t="inlineStr">
        <is>
          <t>Basis</t>
        </is>
      </c>
      <c r="E5" s="12" t="inlineStr">
        <is>
          <t>Coordinator Override</t>
        </is>
      </c>
      <c r="F5" s="12" t="inlineStr">
        <is>
          <t>FINAL Winner</t>
        </is>
      </c>
      <c r="G5" s="12" t="inlineStr">
        <is>
          <t>Notes</t>
        </is>
      </c>
    </row>
    <row r="6" ht="30" customHeight="1">
      <c r="B6" s="3" t="inlineStr">
        <is>
          <t>Valedictorian</t>
        </is>
      </c>
      <c r="C6" s="17">
        <f>IFERROR(INDEX(rngCadetNames,MATCH(1,nrGRrank,0)),"")</f>
        <v/>
      </c>
      <c r="D6" s="15">
        <f>"Rank #1 — final grade "&amp;IFERROR(INDEX(nrGRfinal,MATCH(1,nrGRrank,0)),"n/a")</f>
        <v/>
      </c>
      <c r="E6" s="16" t="n"/>
      <c r="F6" s="28">
        <f>IF($E6&lt;&gt;"",$E6,$C6)</f>
        <v/>
      </c>
      <c r="G6" s="16" t="n"/>
    </row>
    <row r="7" ht="30" customHeight="1">
      <c r="B7" s="3" t="inlineStr">
        <is>
          <t>Physical Fitness</t>
        </is>
      </c>
      <c r="C7" s="17">
        <f>IFERROR(INDEX(rngCadetNames,MATCH(MAX(nrPT_FinalPts),nrPT_FinalPts,0)),"")</f>
        <v/>
      </c>
      <c r="D7" s="15">
        <f>"Top final PT points: "&amp;IFERROR(MAX(nrPT_FinalPts),"n/a")</f>
        <v/>
      </c>
      <c r="E7" s="16" t="n"/>
      <c r="F7" s="28">
        <f>IF($E7&lt;&gt;"",$E7,$C7)</f>
        <v/>
      </c>
      <c r="G7" s="16" t="n"/>
    </row>
    <row r="8" ht="30" customHeight="1">
      <c r="B8" s="3" t="inlineStr">
        <is>
          <t>Top Gun</t>
        </is>
      </c>
      <c r="C8" s="17">
        <f>IFERROR(INDEX(rngCadetNames,MATCH(MAX(nrSKfirearmsAvg),nrSKfirearmsAvg,0)),"")</f>
        <v/>
      </c>
      <c r="D8" s="15">
        <f>"Top firearms average: "&amp;IFERROR(ROUND(MAX(nrSKfirearmsAvg),2),"n/a")</f>
        <v/>
      </c>
      <c r="E8" s="16" t="n"/>
      <c r="F8" s="28">
        <f>IF($E8&lt;&gt;"",$E8,$C8)</f>
        <v/>
      </c>
      <c r="G8" s="16" t="n"/>
    </row>
    <row r="9" ht="30" customHeight="1">
      <c r="B9" s="3" t="inlineStr">
        <is>
          <t>Grit (most improved)</t>
        </is>
      </c>
      <c r="C9" s="17">
        <f>IFERROR(INDEX(rngCadetNames,MATCH(MAX(nrPT_Improve),nrPT_Improve,0)),"")</f>
        <v/>
      </c>
      <c r="D9" s="15">
        <f>"Best improvement index (PT deltas): "&amp;IFERROR(MAX(nrPT_Improve),"n/a")&amp;"% — verify with academics trend before finalizing"</f>
        <v/>
      </c>
      <c r="E9" s="16" t="n"/>
      <c r="F9" s="28">
        <f>IF($E9&lt;&gt;"",$E9,$C9)</f>
        <v/>
      </c>
      <c r="G9" s="16" t="n"/>
    </row>
  </sheetData>
  <sheetProtection selectLockedCells="0" selectUnlockedCells="0" sheet="1" objects="0" insertRows="1" insertHyperlinks="1" autoFilter="1" scenarios="0" formatColumns="1" deleteColumns="1" insertColumns="1" pivotTables="1" deleteRows="1" formatCells="1" formatRows="1" sort="1" password="B4BB"/>
  <dataValidations count="1">
    <dataValidation sqref="E6:E9" showDropDown="0" showInputMessage="0" showErrorMessage="1" allowBlank="1" type="list">
      <formula1>=rngCadetNames</formula1>
    </dataValidation>
  </dataValidations>
  <pageMargins left="0.75" right="0.75" top="1" bottom="1" header="0.5" footer="0.5"/>
</worksheet>
</file>

<file path=xl/worksheets/sheet59.xml><?xml version="1.0" encoding="utf-8"?>
<worksheet xmlns="http://schemas.openxmlformats.org/spreadsheetml/2006/main">
  <sheetPr>
    <tabColor rgb="00808080"/>
    <outlinePr summaryBelow="1" summaryRight="1"/>
    <pageSetUpPr/>
  </sheetPr>
  <dimension ref="B1:H41"/>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36" customWidth="1" min="2" max="2"/>
    <col width="10" customWidth="1" min="3" max="3"/>
    <col width="9" customWidth="1" min="4" max="4"/>
    <col width="11" customWidth="1" min="5" max="5"/>
    <col width="58" customWidth="1" min="6" max="6"/>
    <col width="3" customWidth="1" min="7" max="7"/>
    <col width="8" customWidth="1" min="8" max="8"/>
  </cols>
  <sheetData>
    <row r="1">
      <c r="B1" s="10">
        <f>HYPERLINK("#Dashboard!B5","◄ Dashboard")</f>
        <v/>
      </c>
    </row>
    <row r="4">
      <c r="B4" s="11" t="inlineStr">
        <is>
          <t>Engine half of the TCOLE Audit sheet — the printable Audit sheet reads these. Locked.</t>
        </is>
      </c>
    </row>
    <row r="5" ht="26" customHeight="1">
      <c r="B5" s="12" t="inlineStr">
        <is>
          <t>Check</t>
        </is>
      </c>
      <c r="C5" s="12" t="inlineStr">
        <is>
          <t>Value</t>
        </is>
      </c>
      <c r="D5" s="12" t="inlineStr">
        <is>
          <t>Target</t>
        </is>
      </c>
      <c r="E5" s="12" t="inlineStr">
        <is>
          <t>Status</t>
        </is>
      </c>
      <c r="F5" s="12" t="inlineStr">
        <is>
          <t>Detail</t>
        </is>
      </c>
    </row>
    <row r="6">
      <c r="B6" s="3" t="inlineStr">
        <is>
          <t>Delivered hours vs 736 (exact)</t>
        </is>
      </c>
      <c r="C6" s="27">
        <f>nrCHtotalDelivered</f>
        <v/>
      </c>
      <c r="D6" s="21">
        <f>cfgRequiredHours</f>
        <v/>
      </c>
      <c r="E6" s="28">
        <f>IF(N(nrCHtotalDelivered)&lt;N(cfgRequiredHours),"SHORT",IF(N(nrCHtotalDelivered)&gt;N(cfgRequiredHours),"OVER - report excess as #101","OK"))</f>
        <v/>
      </c>
      <c r="F6" s="15">
        <f>"Report the BPOC at exactly 736 hrs; excess goes to the reporting course the Addendum sheet names - #2040 Arrest and Control, #2046 Professional Police Driving, #2055 Firearms, #101 Addendum to BPOC for the rest"</f>
        <v/>
      </c>
      <c r="H6" s="2" t="n">
        <v>736</v>
      </c>
    </row>
    <row r="7">
      <c r="B7" s="3" t="inlineStr">
        <is>
          <t>Chapters short of TCOLE minimum</t>
        </is>
      </c>
      <c r="C7" s="27">
        <f>SUMPRODUCT((nrCHdeliv&lt;&gt;"")*(nrCHdeliv&lt;&gt;0)*(nrCHdeliv&lt;nrCHmin))</f>
        <v/>
      </c>
      <c r="D7" s="21" t="n">
        <v>0</v>
      </c>
      <c r="E7" s="28">
        <f>IF(SUMPRODUCT((nrCHdeliv&lt;&gt;"")*(nrCHdeliv&lt;&gt;0)*(nrCHdeliv&lt;nrCHmin))=0,"OK","CHECK")</f>
        <v/>
      </c>
      <c r="F7" s="15">
        <f>"Rule 218.1(C)(4): failure to meet minimum course length = denial of training"</f>
        <v/>
      </c>
    </row>
    <row r="8">
      <c r="B8" s="3" t="inlineStr">
        <is>
          <t>Chapter training files incomplete</t>
        </is>
      </c>
      <c r="C8" s="27">
        <f>SUMPRODUCT((nrCHname&lt;&gt;"")*(nrCHfileOK="No"))</f>
        <v/>
      </c>
      <c r="D8" s="21" t="n">
        <v>0</v>
      </c>
      <c r="E8" s="28">
        <f>IF(SUMPRODUCT((nrCHname&lt;&gt;"")*(nrCHfileOK="No"))=0,"OK","CHECK")</f>
        <v/>
      </c>
      <c r="F8" s="15">
        <f>"SME lesson plan, instructor bio, sign-ins w/ PID, assessment, grade sheet, eval"</f>
        <v/>
      </c>
    </row>
    <row r="9">
      <c r="B9" s="3" t="inlineStr">
        <is>
          <t>Special TCOLE chapter requirements unmet</t>
        </is>
      </c>
      <c r="C9" s="27">
        <f>SUMPRODUCT((nrCHspecial&lt;&gt;"")*(nrCHspecialMet&lt;&gt;"Yes")*(nrCHspecialMet&lt;&gt;"N/A"))</f>
        <v/>
      </c>
      <c r="D9" s="21" t="n">
        <v>0</v>
      </c>
      <c r="E9" s="28">
        <f>IF(SUMPRODUCT((nrCHspecial&lt;&gt;"")*(nrCHspecialMet&lt;&gt;"Yes")*(nrCHspecialMet&lt;&gt;"N/A"))=0,"OK","CHECK")</f>
        <v/>
      </c>
      <c r="F9" s="15">
        <f>"TIM, SFST, ALERRT, CPR/AED, TCIC #4800, Crime Stoppers, Seven Step, canine scenarios, CIT lead, SIT 3232"</f>
        <v/>
      </c>
    </row>
    <row r="10">
      <c r="B10" s="3" t="inlineStr">
        <is>
          <t>Chapters without evals collected</t>
        </is>
      </c>
      <c r="C10" s="27">
        <f>SUMPRODUCT((nrCHname&lt;&gt;"")*(nrCHevals&lt;&gt;"On File")*(nrCHevals&lt;&gt;"N/A"))</f>
        <v/>
      </c>
      <c r="D10" s="21" t="n">
        <v>0</v>
      </c>
      <c r="E10" s="28">
        <f>IF(SUMPRODUCT((nrCHname&lt;&gt;"")*(nrCHevals&lt;&gt;"On File")*(nrCHevals&lt;&gt;"N/A"))=0,"OK","CHECK")</f>
        <v/>
      </c>
      <c r="F10" s="15">
        <f>"Course critiques per chapter (print from Print Center)"</f>
        <v/>
      </c>
    </row>
    <row r="11">
      <c r="B11" s="3" t="inlineStr">
        <is>
          <t>Program requirements unchecked (Audit sheet)</t>
        </is>
      </c>
      <c r="C11" s="27">
        <f>SUMPRODUCT((nrPRGitems&lt;&gt;"")*(nrPRGmet&lt;&gt;"Yes")*(nrPRGmet&lt;&gt;"N/A"))</f>
        <v/>
      </c>
      <c r="D11" s="21" t="n">
        <v>0</v>
      </c>
      <c r="E11" s="28">
        <f>IF(SUMPRODUCT((nrPRGitems&lt;&gt;"")*(nrPRGmet&lt;&gt;"Yes")*(nrPRGmet&lt;&gt;"N/A"))=0,"OK","CHECK")</f>
        <v/>
      </c>
      <c r="F11" s="15">
        <f>"Rule 215.9 distribution, TCLEDDS roster, 736 exact reporting, facility, assessments"</f>
        <v/>
      </c>
    </row>
    <row r="12">
      <c r="B12" s="3" t="inlineStr">
        <is>
          <t>Teaching instructors lacking documentation</t>
        </is>
      </c>
      <c r="C12" s="27">
        <f>SUMPRODUCT((nrInstrOnSched="Yes")*(nrInstrReady="No"))</f>
        <v/>
      </c>
      <c r="D12" s="21" t="n">
        <v>0</v>
      </c>
      <c r="E12" s="28">
        <f>IF(SUMPRODUCT((nrInstrOnSched="Yes")*(nrInstrReady="No"))=0,"OK","CHECK")</f>
        <v/>
      </c>
      <c r="F12" s="15">
        <f>"IRG: every instructor/co-teacher teaching an LO needs bio + TCOLE cert or SME letter"</f>
        <v/>
      </c>
    </row>
    <row r="13">
      <c r="B13" s="3" t="inlineStr">
        <is>
          <t>Schedule blocks with unrecognized instructor</t>
        </is>
      </c>
      <c r="C13" s="27">
        <f>COUNTIF(nrSCH_InstrOK,"UNRECOGNIZED")</f>
        <v/>
      </c>
      <c r="D13" s="21" t="n">
        <v>0</v>
      </c>
      <c r="E13" s="28">
        <f>IF(COUNTIF(nrSCH_InstrOK,"UNRECOGNIZED")=0,"OK","CHECK")</f>
        <v/>
      </c>
      <c r="F13" s="15">
        <f>"Instructor text matches nobody on the Instructors roster - fix spelling or add them"</f>
        <v/>
      </c>
    </row>
    <row r="14">
      <c r="B14" s="3" t="inlineStr">
        <is>
          <t>Blocks taught outside the topic's certified bank</t>
        </is>
      </c>
      <c r="C14" s="27">
        <f>COUNTIF(nrSCH_BankOK,"NOT IN BANK")</f>
        <v/>
      </c>
      <c r="D14" s="21" t="n">
        <v>0</v>
      </c>
      <c r="E14" s="28">
        <f>IF(COUNTIF(nrSCH_BankOK,"NOT IN BANK")=0,"OK","CHECK")</f>
        <v/>
      </c>
      <c r="F14" s="15">
        <f>"Someone is scheduled for a topic they are not in the InstructorBanks certified pool for - add them to that bank with the documentation that justifies it, or reassign the block"</f>
        <v/>
      </c>
    </row>
    <row r="15">
      <c r="B15" s="3" t="inlineStr">
        <is>
          <t>Instructor cert expired before a class they taught</t>
        </is>
      </c>
      <c r="C15" s="27">
        <f>SUMPRODUCT((nrInstrOnSched="Yes")*(LEFT(nrInstrCertStat,7)="EXPIRED"))</f>
        <v/>
      </c>
      <c r="D15" s="21" t="n">
        <v>0</v>
      </c>
      <c r="E15" s="28">
        <f>IF(SUMPRODUCT((nrInstrOnSched="Yes")*(LEFT(nrInstrCertStat,7)="EXPIRED"))=0,"OK","CHECK")</f>
        <v/>
      </c>
      <c r="F15" s="15">
        <f>"Cert Expiration is earlier than the last date that instructor appears on the Schedule - TCOLE checks the instructor was licensed ON the day taught"</f>
        <v/>
      </c>
    </row>
    <row r="16">
      <c r="B16" s="3" t="inlineStr">
        <is>
          <t>Teaching instructor certs missing or expiring mid-academy</t>
        </is>
      </c>
      <c r="C16" s="27">
        <f>SUMPRODUCT((nrInstrOnSched="Yes")*((nrInstrCertStat="MISSING EXPIRATION")+(LEFT(nrInstrCertStat,5)="RENEW")))</f>
        <v/>
      </c>
      <c r="D16" s="21" t="n">
        <v>0</v>
      </c>
      <c r="E16" s="28">
        <f>IF(SUMPRODUCT((nrInstrOnSched="Yes")*((nrInstrCertStat="MISSING EXPIRATION")+(LEFT(nrInstrCertStat,5)="RENEW")))=0,"OK","CHECK")</f>
        <v/>
      </c>
      <c r="F16" s="15">
        <f>"No expiration date recorded, or it falls inside the academy - collect the current certificate copy and update the Instructors sheet"</f>
        <v/>
      </c>
    </row>
    <row r="17">
      <c r="B17" s="3" t="inlineStr">
        <is>
          <t>Schedule blocks with impossible times</t>
        </is>
      </c>
      <c r="C17" s="27">
        <f>SUMPRODUCT((nrSCH_TimeCheck&lt;&gt;"")*(nrSCH_TimeCheck&lt;&gt;"OK"))</f>
        <v/>
      </c>
      <c r="D17" s="21" t="n">
        <v>0</v>
      </c>
      <c r="E17" s="28">
        <f>IF(SUMPRODUCT((nrSCH_TimeCheck&lt;&gt;"")*(nrSCH_TimeCheck&lt;&gt;"OK"))=0,"OK","CHECK")</f>
        <v/>
      </c>
      <c r="F17" s="15">
        <f>"End time is at or before Start: the block's hours are wrong, which moves delivered chapter hours and the academy-length figure"</f>
        <v/>
      </c>
    </row>
    <row r="18">
      <c r="B18" s="3" t="inlineStr">
        <is>
          <t>Overdue / late retests (incl. unusable dates)</t>
        </is>
      </c>
      <c r="C18" s="27">
        <f>COUNTIF(nrES_RetStat,"OVERDUE")+COUNTIF(nrES_RetStat,"CHECK DATE")+COUNTIF(nrES_RetStat,"LATE RETEST*")+COUNTIF(nrES_RetStat,"RETEST UNDATED")+COUNTIF(nrES_RetStat,"RETEST DATE UNCHECKED")</f>
        <v/>
      </c>
      <c r="D18" s="21" t="n">
        <v>0</v>
      </c>
      <c r="E18" s="28">
        <f>IF(COUNTIF(nrES_RetStat,"OVERDUE")+COUNTIF(nrES_RetStat,"CHECK DATE")+COUNTIF(nrES_RetStat,"LATE RETEST*")+COUNTIF(nrES_RetStat,"RETEST UNDATED")+COUNTIF(nrES_RetStat,"RETEST DATE UNCHECKED")=0,"OK","ACT NOW")</f>
        <v/>
      </c>
      <c r="F18" s="15">
        <f>"Policy 300.5: retest within 5 class days. CHECK DATE = the exam date is missing or resolves past the last class day, so no deadline exists. LATE RETEST = the retest WAS taken, but after the 5-class-day deadline - it used to read a clean Retested and leave no trace"</f>
        <v/>
      </c>
    </row>
    <row r="19">
      <c r="B19" s="3" t="inlineStr">
        <is>
          <t>Cadets with makeup owed</t>
        </is>
      </c>
      <c r="C19" s="27">
        <f>SUMPRODUCT((nrCadetStatus="Active")*(nrATTmakeupOK="No"))</f>
        <v/>
      </c>
      <c r="D19" s="21" t="n">
        <v>0</v>
      </c>
      <c r="E19" s="28">
        <f>IF(SUMPRODUCT((nrCadetStatus="Active")*(nrATTmakeupOK="No"))=0,"OK","CHECK")</f>
        <v/>
      </c>
      <c r="F19" s="15">
        <f>"Missed classroom minutes / PT sessions not yet made up (active cadets)"</f>
        <v/>
      </c>
    </row>
    <row r="20">
      <c r="B20" s="3" t="inlineStr">
        <is>
          <t>Active cadets failing a category</t>
        </is>
      </c>
      <c r="C20" s="27">
        <f>SUMPRODUCT((nrCadetStatus="Active")*(nrGRacademic="No"))</f>
        <v/>
      </c>
      <c r="D20" s="21" t="n">
        <v>0</v>
      </c>
      <c r="E20" s="28">
        <f>IF(SUMPRODUCT((nrCadetStatus="Active")*(nrGRacademic="No"))=0,"OK","CHECK")</f>
        <v/>
      </c>
      <c r="F20" s="15">
        <f>"70 in each category (policy 300.2)"</f>
        <v/>
      </c>
    </row>
    <row r="21">
      <c r="B21" s="3" t="inlineStr">
        <is>
          <t>Spelling interventions open</t>
        </is>
      </c>
      <c r="C21" s="27">
        <f>COUNTIF(nrSpellFlag,"INTERVENTION")</f>
        <v/>
      </c>
      <c r="D21" s="21" t="n">
        <v>0</v>
      </c>
      <c r="E21" s="28">
        <f>IF(COUNTIF(nrSpellFlag,"INTERVENTION")=0,"OK","CHECK")</f>
        <v/>
      </c>
      <c r="F21" s="15">
        <f>"Document intervention on Counseling log (300.4.B)"</f>
        <v/>
      </c>
    </row>
    <row r="22">
      <c r="B22" s="3" t="inlineStr">
        <is>
          <t>Cadets missing certification copies</t>
        </is>
      </c>
      <c r="C22" s="27">
        <f>SUMPRODUCT((nrCadetStatus="Active")*(nrCERTmissing&lt;&gt;""))</f>
        <v/>
      </c>
      <c r="D22" s="21" t="n">
        <v>0</v>
      </c>
      <c r="E22" s="28">
        <f>IF(SUMPRODUCT((nrCadetStatus="Active")*(nrCERTmissing&lt;&gt;""))=0,"OK","CHECK")</f>
        <v/>
      </c>
      <c r="F22" s="15">
        <f>"TIM, SFST, TCIC, CPR/AED, ALERRT, ICS copies - see Certifications sheet"</f>
        <v/>
      </c>
    </row>
    <row r="23">
      <c r="B23" s="3" t="inlineStr">
        <is>
          <t>Certification requirements waived as N/A</t>
        </is>
      </c>
      <c r="C23" s="27">
        <f>SUMPRODUCT((nrCadetStatus="Active")*(nrCERTwaived&lt;&gt;""))</f>
        <v/>
      </c>
      <c r="D23" s="21" t="n">
        <v>0</v>
      </c>
      <c r="E23" s="28">
        <f>IF(SUMPRODUCT((nrCadetStatus="Active")*(nrCERTwaived&lt;&gt;""))=0,"OK","CHECK")</f>
        <v/>
      </c>
      <c r="F23" s="15">
        <f>"Copy? = N/A removes that cert from the graduation gate entirely. Legitimate in places, but every waiver must be defensible - see the Certifications sheet's Waived (N/A) column for who and which"</f>
        <v/>
      </c>
    </row>
    <row r="24">
      <c r="B24" s="3" t="inlineStr">
        <is>
          <t>Cadets missing enrollment documents</t>
        </is>
      </c>
      <c r="C24" s="27">
        <f>SUMPRODUCT((nrCadetStatus="Active")*(nrENRall="No"))</f>
        <v/>
      </c>
      <c r="D24" s="21" t="n">
        <v>0</v>
      </c>
      <c r="E24" s="28">
        <f>IF(SUMPRODUCT((nrCadetStatus="Active")*(nrENRall="No"))=0,"OK","CHECK")</f>
        <v/>
      </c>
      <c r="F24" s="15">
        <f>"Rule 217.1 enrollment file: application, TCLEDDS L1, medical L2, psych L3, background, photo ID/DL and the Rule 215.9 rules acknowledgment - all seven on the Audit sheet grid. Also blocks graduation (GradChecklist Enroll Docs)"</f>
        <v/>
      </c>
    </row>
    <row r="25">
      <c r="B25" s="3" t="inlineStr">
        <is>
          <t>Firearms: both courses of fire not passed</t>
        </is>
      </c>
      <c r="C25" s="27">
        <f>SUMPRODUCT((nrCadetStatus="Active")*(nrSKbothCoF&lt;&gt;"")*(nrSKbothCoF&lt;&gt;"Yes"))</f>
        <v/>
      </c>
      <c r="D25" s="21" t="n">
        <v>0</v>
      </c>
      <c r="E25" s="28">
        <f>IF(SUMPRODUCT((nrCadetStatus="Active")*(nrSKbothCoF&lt;&gt;"")*(nrSKbothCoF&lt;&gt;"Yes"))=0,"OK","CHECK")</f>
        <v/>
      </c>
      <c r="F25" s="15">
        <f>"IRG requires 70%+ on BOTH firearms courses of fire (ch 41). '(one pending)' — only one course of fire on record — counts here"</f>
        <v/>
      </c>
    </row>
    <row r="26">
      <c r="B26" s="3" t="inlineStr">
        <is>
          <t>Cadets with a partially scored final PT</t>
        </is>
      </c>
      <c r="C26" s="27">
        <f>SUMPRODUCT((nrCadetStatus="Active")*(nrPT_FinalPass="Incomplete"))</f>
        <v/>
      </c>
      <c r="D26" s="21" t="n">
        <v>0</v>
      </c>
      <c r="E26" s="28">
        <f>IF(SUMPRODUCT((nrCadetStatus="Active")*(nrPT_FinalPass="Incomplete"))=0,"OK","CHECK")</f>
        <v/>
      </c>
      <c r="F26" s="15">
        <f>"Fewer than 7 of the 7 final PT events have rubric points on the PT sheet. The partial total is NOT a pass - it blocks graduation and the Final Exam (500.1.H) until every event is scored"</f>
        <v/>
      </c>
    </row>
    <row r="27">
      <c r="B27" s="3" t="inlineStr">
        <is>
          <t>Unexcused missed exams (2nd = removal review)</t>
        </is>
      </c>
      <c r="C27" s="27">
        <f>SUMPRODUCT((nrCadetStatus="Active")*(LEN(nrCKopenReviews)-LEN(SUBSTITUTE(nrCKopenReviews,"unexcused missed exams",""))&gt;0))</f>
        <v/>
      </c>
      <c r="D27" s="21" t="n">
        <v>0</v>
      </c>
      <c r="E27" s="28">
        <f>IF(SUMPRODUCT((nrCadetStatus="Active")*(LEN(nrCKopenReviews)-LEN(SUBSTITUTE(nrCKopenReviews,"unexcused missed exams",""))&gt;0))=0,"OK","CHECK")</f>
        <v/>
      </c>
      <c r="F27" s="15">
        <f>"Policy: unexcused absence from an exam records a 0 and starts the retest clock; a SECOND occurrence opens a removal review that blocks graduation until the board closes it on the DismissalLog (Closes Trigger = Unexcused missed exams)"</f>
        <v/>
      </c>
    </row>
    <row r="28">
      <c r="B28" s="3" t="inlineStr">
        <is>
          <t>Exams still owed on an excused absence</t>
        </is>
      </c>
      <c r="C28" s="27">
        <f>SUMPRODUCT((nrCadetStatus="Active")*(nrCKexamsPending="No"))</f>
        <v/>
      </c>
      <c r="D28" s="21" t="n">
        <v>0</v>
      </c>
      <c r="E28" s="28">
        <f>IF(SUMPRODUCT((nrCadetStatus="Active")*(nrCKexamsPending="No"))=0,"OK","CHECK")</f>
        <v/>
      </c>
      <c r="F28" s="15">
        <f>"Excused absence delays the FIRST attempt - the exam is still owed and blocks graduation until it is taken"</f>
        <v/>
      </c>
    </row>
    <row r="29">
      <c r="B29" s="3" t="inlineStr">
        <is>
          <t>Advisory board met within last 12 months</t>
        </is>
      </c>
      <c r="C29" s="27">
        <f>IF(COUNT(nrAB_Date)=0,"none",TEXT(MAX(nrAB_Date),"mm/dd/yyyy"))</f>
        <v/>
      </c>
      <c r="D29" s="21" t="inlineStr">
        <is>
          <t>recent</t>
        </is>
      </c>
      <c r="E29" s="28">
        <f>IF(COUNT(nrAB_Date)=0,"CHECK",IF(MAX(nrAB_Date)&gt;=TODAY()-366,"OK","CHECK"))</f>
        <v/>
      </c>
      <c r="F29" s="15">
        <f>"Board meets 1-2x/year; running list + minutes folder on AdvisoryBoard sheet"</f>
        <v/>
      </c>
    </row>
    <row r="30">
      <c r="B30" s="3" t="inlineStr">
        <is>
          <t>Governance alignment done for this academy</t>
        </is>
      </c>
      <c r="C30" s="27">
        <f>cfgBoardReviewed&amp;" / "&amp;cfgRulesAligned</f>
        <v/>
      </c>
      <c r="D30" s="21" t="inlineStr">
        <is>
          <t>Yes / Yes</t>
        </is>
      </c>
      <c r="E30" s="28">
        <f>IF(AND(cfgBoardReviewed="Yes",cfgRulesAligned="Yes"),"OK","CHECK")</f>
        <v/>
      </c>
      <c r="F30" s="15">
        <f>"Board minutes reviewed + rule changes applied to this workbook (Startup Review)"</f>
        <v/>
      </c>
    </row>
    <row r="31">
      <c r="B31" s="3" t="inlineStr">
        <is>
          <t>Policy manual version recorded</t>
        </is>
      </c>
      <c r="C31" s="27">
        <f>IF(cfgPolicyVersion="","(blank)",cfgPolicyVersion)</f>
        <v/>
      </c>
      <c r="D31" s="21" t="inlineStr">
        <is>
          <t>set</t>
        </is>
      </c>
      <c r="E31" s="28">
        <f>IF(cfgPolicyVersion="","CHECK","OK")</f>
        <v/>
      </c>
      <c r="F31" s="15">
        <f>"Which policy manual this academy runs under (AdvisoryBoard sheet)"</f>
        <v/>
      </c>
    </row>
    <row r="32">
      <c r="B32" s="3" t="inlineStr">
        <is>
          <t>Log rows with unrecognized cadet name</t>
        </is>
      </c>
      <c r="C32" s="27">
        <f>COUNTIF(nrES_PID,"?")+COUNTIF(nrAT_PID,"?")+COUNTIF(nrMK_PID,"?")+COUNTIF(nrSK_PID,"?")+COUNTIF(nrIN_PID,"?")+COUNTIF(nrCO_PID,"?")+COUNTIF(nrME_PID,"?")+COUNTIF(nrMD_PID,"?")</f>
        <v/>
      </c>
      <c r="D32" s="21" t="n">
        <v>0</v>
      </c>
      <c r="E32" s="28">
        <f>IF(COUNTIF(nrES_PID,"?")+COUNTIF(nrAT_PID,"?")+COUNTIF(nrMK_PID,"?")+COUNTIF(nrSK_PID,"?")+COUNTIF(nrIN_PID,"?")+COUNTIF(nrCO_PID,"?")+COUNTIF(nrME_PID,"?")+COUNTIF(nrMD_PID,"?")=0,"OK","CHECK")</f>
        <v/>
      </c>
      <c r="F32" s="15">
        <f>"A log row's cadet name matches nobody on the Cadets roster - that cadet's scores/events are orphaned; fix the spelling"</f>
        <v/>
      </c>
    </row>
    <row r="33">
      <c r="B33" s="3" t="inlineStr">
        <is>
          <t>Duplicate cadet PID or name on the roster</t>
        </is>
      </c>
      <c r="C33" s="27">
        <f>SUMPRODUCT((rngCadetPIDs&lt;&gt;"")*(COUNTIF(rngCadetPIDs,rngCadetPIDs)&gt;1))+SUMPRODUCT((rngCadetNames&lt;&gt;"")*(COUNTIF(rngCadetNames,rngCadetNames)&gt;1))</f>
        <v/>
      </c>
      <c r="D33" s="21" t="n">
        <v>0</v>
      </c>
      <c r="E33" s="28">
        <f>IF(SUMPRODUCT((rngCadetPIDs&lt;&gt;"")*(COUNTIF(rngCadetPIDs,rngCadetPIDs)&gt;1))+SUMPRODUCT((rngCadetNames&lt;&gt;"")*(COUNTIF(rngCadetNames,rngCadetNames)&gt;1))=0,"OK","CHECK")</f>
        <v/>
      </c>
      <c r="F33" s="15">
        <f>"Two Cadets rows sharing a PID (or a name) merge both cadets' grades, attendance and gates - and swap them onto each other's transcript. The duplicate cells are highlighted red on Cadets"</f>
        <v/>
      </c>
    </row>
    <row r="34">
      <c r="B34" s="3" t="inlineStr">
        <is>
          <t>Exam rows failing Row Check</t>
        </is>
      </c>
      <c r="C34" s="27">
        <f>SUMPRODUCT((nrES_RowCheck&lt;&gt;"")*(nrES_RowCheck&lt;&gt;"OK"))</f>
        <v/>
      </c>
      <c r="D34" s="21" t="n">
        <v>0</v>
      </c>
      <c r="E34" s="28">
        <f>IF(SUMPRODUCT((nrES_RowCheck&lt;&gt;"")*(nrES_RowCheck&lt;&gt;"OK"))=0,"OK","CHECK")</f>
        <v/>
      </c>
      <c r="F34" s="15">
        <f>"ExamScores Row Check: a non-numeric or out-of-range Raw Score, a duplicate RecordID, an attempt 2 with no attempt 1 on file, or a retest row logged with no score - each silently distorts the category average or stops the 5-class-day retest clock"</f>
        <v/>
      </c>
    </row>
    <row r="35">
      <c r="B35" s="3" t="inlineStr">
        <is>
          <t>Makeup rows failing Row Check</t>
        </is>
      </c>
      <c r="C35" s="27">
        <f>SUMPRODUCT((nrMK_RowCheck&lt;&gt;"")*(nrMK_RowCheck&lt;&gt;"OK"))</f>
        <v/>
      </c>
      <c r="D35" s="21" t="n">
        <v>0</v>
      </c>
      <c r="E35" s="28">
        <f>IF(SUMPRODUCT((nrMK_RowCheck&lt;&gt;"")*(nrMK_RowCheck&lt;&gt;"OK"))=0,"OK","CHECK")</f>
        <v/>
      </c>
      <c r="F35" s="15">
        <f>"Makeup Row Check: an unlinked row, another cadet's event, an EventID that no longer exists, a Type the caps do not credit, minutes booked against a session-counted PT event, a missing makeup DATE (which fabricates a CLEARED date on the attendance ledger) or a zero/NEGATIVE credit (which increases owed time). None of these earns credit, and each one moves the policy-400 ledger the wrong way"</f>
        <v/>
      </c>
    </row>
    <row r="36">
      <c r="B36" s="3" t="inlineStr">
        <is>
          <t>Attendance rows failing Row Check</t>
        </is>
      </c>
      <c r="C36" s="27">
        <f>SUMPRODUCT((nrAT_RowCheck&lt;&gt;"")*(nrAT_RowCheck&lt;&gt;"OK"))</f>
        <v/>
      </c>
      <c r="D36" s="21" t="n">
        <v>0</v>
      </c>
      <c r="E36" s="28">
        <f>IF(SUMPRODUCT((nrAT_RowCheck&lt;&gt;"")*(nrAT_RowCheck&lt;&gt;"OK"))=0,"OK","CHECK")</f>
        <v/>
      </c>
      <c r="F36" s="15">
        <f>"Attendance Row Check: a counted absence with no minutes (or no sessions on a PT event) is dropped from BOTH caps and never shows OPEN; a row carrying the unit that does not match its own Is PT? flag has that value discarded from the balance, the makeup reconciliation and the caps"</f>
        <v/>
      </c>
    </row>
    <row r="37">
      <c r="B37" s="3" t="inlineStr">
        <is>
          <t>Open dismissal reviews (active cadets)</t>
        </is>
      </c>
      <c r="C37" s="27">
        <f>SUMPRODUCT((nrCadetStatus="Active")*(nrCKdismissRev="Yes"))</f>
        <v/>
      </c>
      <c r="D37" s="21" t="n">
        <v>0</v>
      </c>
      <c r="E37" s="28">
        <f>IF(SUMPRODUCT((nrCadetStatus="Active")*(nrCKdismissRev="Yes"))=0,"OK","CHECK")</f>
        <v/>
      </c>
      <c r="F37" s="15">
        <f>"Failed retest, skills failed out, or an open chain-of-command incident review. Policy 600.2.E: open a formal review on the DismissalLog, then close it there — Closes Trigger set to the trigger, Outcome Retained or Retained w/ Plan, Asst. Chief Approval Yes. Closure is per trigger, so a later one re-opens"</f>
        <v/>
      </c>
    </row>
    <row r="38">
      <c r="B38" s="3" t="inlineStr">
        <is>
          <t>Extra closure dates that are not dates</t>
        </is>
      </c>
      <c r="C38" s="27">
        <f>SUMPRODUCT((nrExtraClosureCheck&lt;&gt;"")*(LEFT(nrExtraClosureCheck,2)&lt;&gt;"OK"))</f>
        <v/>
      </c>
      <c r="D38" s="21" t="n">
        <v>0</v>
      </c>
      <c r="E38" s="28">
        <f>IF(SUMPRODUCT((nrExtraClosureCheck&lt;&gt;"")*(LEFT(nrExtraClosureCheck,2)&lt;&gt;"OK"))=0,"OK","CHECK")</f>
        <v/>
      </c>
      <c r="F38" s="15">
        <f>"Control &gt; Extra Closure Dates: a pasted text date or a label is ignored by the class-day calendar, so the academy silently runs a day long and every Day #, retest deadline, memo due date and writing date shifts"</f>
        <v/>
      </c>
    </row>
    <row r="39">
      <c r="B39" s="3" t="inlineStr">
        <is>
          <t>Skills rows failing Row Check</t>
        </is>
      </c>
      <c r="C39" s="27">
        <f>SUMPRODUCT((nrSK_RowCheck&lt;&gt;"")*(nrSK_RowCheck&lt;&gt;"OK"))</f>
        <v/>
      </c>
      <c r="D39" s="21" t="n">
        <v>0</v>
      </c>
      <c r="E39" s="28">
        <f>IF(SUMPRODUCT((nrSK_RowCheck&lt;&gt;"")*(nrSK_RowCheck&lt;&gt;"OK"))=0,"OK","CHECK")</f>
        <v/>
      </c>
      <c r="F39" s="15">
        <f>"Skills Row Check: a Score that is text or outside 0-100 counts toward nothing - not the transcript firearms average, not Top Gun and not the ch.41 both-courses-of-fire graduation gate. Also flags a decided row with no score, a score on a Pass/Fail category and a firearms result with no Course of Fire"</f>
        <v/>
      </c>
    </row>
    <row r="40">
      <c r="B40" s="3" t="inlineStr">
        <is>
          <t>Spelling rows failing Row Check</t>
        </is>
      </c>
      <c r="C40" s="27">
        <f>SUMPRODUCT((nrSpellRowCheck&lt;&gt;"")*(nrSpellRowCheck&lt;&gt;"OK"))</f>
        <v/>
      </c>
      <c r="D40" s="21" t="n">
        <v>0</v>
      </c>
      <c r="E40" s="28">
        <f>IF(SUMPRODUCT((nrSpellRowCheck&lt;&gt;"")*(nrSpellRowCheck&lt;&gt;"OK"))=0,"OK","CHECK")</f>
        <v/>
      </c>
      <c r="F40" s="15">
        <f>"A spelling score that is text or outside 0-100 inflates the cadet average and can hide the policy 300.4.B intervention flag"</f>
        <v/>
      </c>
    </row>
    <row r="41">
      <c r="B41" s="3" t="inlineStr">
        <is>
          <t>Memos with an unusable due date</t>
        </is>
      </c>
      <c r="C41" s="27">
        <f>COUNTIF(nrME_Status,"CHECK DATE")</f>
        <v/>
      </c>
      <c r="D41" s="21" t="n">
        <v>0</v>
      </c>
      <c r="E41" s="28">
        <f>IF(COUNTIF(nrME_Status,"CHECK DATE")=0,"OK","CHECK")</f>
        <v/>
      </c>
      <c r="F41" s="15">
        <f>"The Assigned date is missing, or resolves past the last class day, so no due date could be computed and the memo can never read OVERDUE"</f>
        <v/>
      </c>
    </row>
  </sheetData>
  <sheetProtection selectLockedCells="0" selectUnlockedCells="0" sheet="1" objects="0" insertRows="1" insertHyperlinks="1" autoFilter="1" scenarios="0" formatColumns="1" deleteColumns="1" insertColumns="1" pivotTables="1" deleteRows="1" formatCells="1" formatRows="1" sort="1" password="B4BB"/>
  <conditionalFormatting sqref="E6:E41">
    <cfRule type="expression" priority="1" dxfId="0">
      <formula>$E6&lt;&gt;"OK"</formula>
    </cfRule>
    <cfRule type="expression" priority="2" dxfId="3">
      <formula>$E6="OK"</formula>
    </cfRule>
  </conditionalFormatting>
  <pageMargins left="0.75" right="0.75" top="1" bottom="1" header="0.5" footer="0.5"/>
</worksheet>
</file>

<file path=xl/worksheets/sheet60.xml><?xml version="1.0" encoding="utf-8"?>
<worksheet xmlns="http://schemas.openxmlformats.org/spreadsheetml/2006/main">
  <sheetPr>
    <tabColor rgb="00808080"/>
    <outlinePr summaryBelow="1" summaryRight="1"/>
    <pageSetUpPr/>
  </sheetPr>
  <dimension ref="B5:E90"/>
  <sheetViews>
    <sheetView showGridLines="0" workbookViewId="0">
      <selection activeCell="A1" sqref="A1"/>
    </sheetView>
  </sheetViews>
  <sheetFormatPr baseColWidth="8" defaultRowHeight="15"/>
  <sheetData>
    <row r="5">
      <c r="B5" s="3" t="inlineStr">
        <is>
          <t>Schedule dropdown items</t>
        </is>
      </c>
      <c r="D5" s="3" t="inlineStr">
        <is>
          <t>Linkable record IDs</t>
        </is>
      </c>
      <c r="E5" s="3" t="inlineStr">
        <is>
          <t>Attendance EventIDs</t>
        </is>
      </c>
    </row>
    <row r="6">
      <c r="B6">
        <f>IF(ChapterMaster!D6="","",ChapterMaster!D6)</f>
        <v/>
      </c>
      <c r="D6">
        <f>IFERROR(_xlfn.LET(_xlpm.ids,_xlfn.TOCOL(_xlfn.VSTACK(Incidents!$B$6:$B$405,Attendance!$B$6:$B$805,Counseling!$B$6:$B$405),1),_xlfn._xlws.FILTER(_xlpm.ids,_xlpm.ids&lt;&gt;"")),"")</f>
        <v/>
      </c>
      <c r="E6">
        <f>IFERROR(_xlfn._xlws.FILTER(Attendance!$B$6:$B$805,Attendance!$B$6:$B$805&lt;&gt;""),"")</f>
        <v/>
      </c>
    </row>
    <row r="7">
      <c r="B7">
        <f>IF(ChapterMaster!D7="","",ChapterMaster!D7)</f>
        <v/>
      </c>
    </row>
    <row r="8">
      <c r="B8">
        <f>IF(ChapterMaster!D8="","",ChapterMaster!D8)</f>
        <v/>
      </c>
    </row>
    <row r="9">
      <c r="B9">
        <f>IF(ChapterMaster!D9="","",ChapterMaster!D9)</f>
        <v/>
      </c>
    </row>
    <row r="10">
      <c r="B10">
        <f>IF(ChapterMaster!D10="","",ChapterMaster!D10)</f>
        <v/>
      </c>
    </row>
    <row r="11">
      <c r="B11">
        <f>IF(ChapterMaster!D11="","",ChapterMaster!D11)</f>
        <v/>
      </c>
    </row>
    <row r="12">
      <c r="B12">
        <f>IF(ChapterMaster!D12="","",ChapterMaster!D12)</f>
        <v/>
      </c>
    </row>
    <row r="13">
      <c r="B13">
        <f>IF(ChapterMaster!D13="","",ChapterMaster!D13)</f>
        <v/>
      </c>
    </row>
    <row r="14">
      <c r="B14">
        <f>IF(ChapterMaster!D14="","",ChapterMaster!D14)</f>
        <v/>
      </c>
    </row>
    <row r="15">
      <c r="B15">
        <f>IF(ChapterMaster!D15="","",ChapterMaster!D15)</f>
        <v/>
      </c>
    </row>
    <row r="16">
      <c r="B16">
        <f>IF(ChapterMaster!D16="","",ChapterMaster!D16)</f>
        <v/>
      </c>
    </row>
    <row r="17">
      <c r="B17">
        <f>IF(ChapterMaster!D17="","",ChapterMaster!D17)</f>
        <v/>
      </c>
    </row>
    <row r="18">
      <c r="B18">
        <f>IF(ChapterMaster!D18="","",ChapterMaster!D18)</f>
        <v/>
      </c>
    </row>
    <row r="19">
      <c r="B19">
        <f>IF(ChapterMaster!D19="","",ChapterMaster!D19)</f>
        <v/>
      </c>
    </row>
    <row r="20">
      <c r="B20">
        <f>IF(ChapterMaster!D20="","",ChapterMaster!D20)</f>
        <v/>
      </c>
    </row>
    <row r="21">
      <c r="B21">
        <f>IF(ChapterMaster!D21="","",ChapterMaster!D21)</f>
        <v/>
      </c>
    </row>
    <row r="22">
      <c r="B22">
        <f>IF(ChapterMaster!D22="","",ChapterMaster!D22)</f>
        <v/>
      </c>
    </row>
    <row r="23">
      <c r="B23">
        <f>IF(ChapterMaster!D23="","",ChapterMaster!D23)</f>
        <v/>
      </c>
    </row>
    <row r="24">
      <c r="B24">
        <f>IF(ChapterMaster!D24="","",ChapterMaster!D24)</f>
        <v/>
      </c>
    </row>
    <row r="25">
      <c r="B25">
        <f>IF(ChapterMaster!D25="","",ChapterMaster!D25)</f>
        <v/>
      </c>
    </row>
    <row r="26">
      <c r="B26">
        <f>IF(ChapterMaster!D26="","",ChapterMaster!D26)</f>
        <v/>
      </c>
    </row>
    <row r="27">
      <c r="B27">
        <f>IF(ChapterMaster!D27="","",ChapterMaster!D27)</f>
        <v/>
      </c>
    </row>
    <row r="28">
      <c r="B28">
        <f>IF(ChapterMaster!D28="","",ChapterMaster!D28)</f>
        <v/>
      </c>
    </row>
    <row r="29">
      <c r="B29">
        <f>IF(ChapterMaster!D29="","",ChapterMaster!D29)</f>
        <v/>
      </c>
    </row>
    <row r="30">
      <c r="B30">
        <f>IF(ChapterMaster!D30="","",ChapterMaster!D30)</f>
        <v/>
      </c>
    </row>
    <row r="31">
      <c r="B31">
        <f>IF(ChapterMaster!D31="","",ChapterMaster!D31)</f>
        <v/>
      </c>
    </row>
    <row r="32">
      <c r="B32">
        <f>IF(ChapterMaster!D32="","",ChapterMaster!D32)</f>
        <v/>
      </c>
    </row>
    <row r="33">
      <c r="B33">
        <f>IF(ChapterMaster!D33="","",ChapterMaster!D33)</f>
        <v/>
      </c>
    </row>
    <row r="34">
      <c r="B34">
        <f>IF(ChapterMaster!D34="","",ChapterMaster!D34)</f>
        <v/>
      </c>
    </row>
    <row r="35">
      <c r="B35">
        <f>IF(ChapterMaster!D35="","",ChapterMaster!D35)</f>
        <v/>
      </c>
    </row>
    <row r="36">
      <c r="B36">
        <f>IF(ChapterMaster!D36="","",ChapterMaster!D36)</f>
        <v/>
      </c>
    </row>
    <row r="37">
      <c r="B37">
        <f>IF(ChapterMaster!D37="","",ChapterMaster!D37)</f>
        <v/>
      </c>
    </row>
    <row r="38">
      <c r="B38">
        <f>IF(ChapterMaster!D38="","",ChapterMaster!D38)</f>
        <v/>
      </c>
    </row>
    <row r="39">
      <c r="B39">
        <f>IF(ChapterMaster!D39="","",ChapterMaster!D39)</f>
        <v/>
      </c>
    </row>
    <row r="40">
      <c r="B40">
        <f>IF(ChapterMaster!D40="","",ChapterMaster!D40)</f>
        <v/>
      </c>
    </row>
    <row r="41">
      <c r="B41">
        <f>IF(ChapterMaster!D41="","",ChapterMaster!D41)</f>
        <v/>
      </c>
    </row>
    <row r="42">
      <c r="B42">
        <f>IF(ChapterMaster!D42="","",ChapterMaster!D42)</f>
        <v/>
      </c>
    </row>
    <row r="43">
      <c r="B43">
        <f>IF(ChapterMaster!D43="","",ChapterMaster!D43)</f>
        <v/>
      </c>
    </row>
    <row r="44">
      <c r="B44">
        <f>IF(ChapterMaster!D44="","",ChapterMaster!D44)</f>
        <v/>
      </c>
    </row>
    <row r="45">
      <c r="B45">
        <f>IF(ChapterMaster!D45="","",ChapterMaster!D45)</f>
        <v/>
      </c>
    </row>
    <row r="46">
      <c r="B46">
        <f>IF(ChapterMaster!D46="","",ChapterMaster!D46)</f>
        <v/>
      </c>
    </row>
    <row r="47">
      <c r="B47">
        <f>IF(ChapterMaster!D47="","",ChapterMaster!D47)</f>
        <v/>
      </c>
    </row>
    <row r="48">
      <c r="B48">
        <f>IF(ChapterMaster!D48="","",ChapterMaster!D48)</f>
        <v/>
      </c>
    </row>
    <row r="49">
      <c r="B49">
        <f>IF(ChapterMaster!D49="","",ChapterMaster!D49)</f>
        <v/>
      </c>
    </row>
    <row r="50">
      <c r="B50">
        <f>IF(ChapterMaster!D50="","",ChapterMaster!D50)</f>
        <v/>
      </c>
    </row>
    <row r="51">
      <c r="B51" t="inlineStr">
        <is>
          <t>Traffic Code</t>
        </is>
      </c>
    </row>
    <row r="52">
      <c r="B52" t="inlineStr">
        <is>
          <t>Crash Investigation</t>
        </is>
      </c>
    </row>
    <row r="53">
      <c r="B53" t="inlineStr">
        <is>
          <t>TIM</t>
        </is>
      </c>
    </row>
    <row r="54">
      <c r="B54" t="inlineStr">
        <is>
          <t>Criminal Investigations - General Investigations</t>
        </is>
      </c>
    </row>
    <row r="55">
      <c r="B55" t="inlineStr">
        <is>
          <t>Criminal Investigations - Auto Theft</t>
        </is>
      </c>
    </row>
    <row r="56">
      <c r="B56" t="inlineStr">
        <is>
          <t>Criminal Investigations - Crime Scene</t>
        </is>
      </c>
    </row>
    <row r="57">
      <c r="B57" t="inlineStr">
        <is>
          <t>Criminal Investigations - Booking Operations</t>
        </is>
      </c>
    </row>
    <row r="58">
      <c r="B58" t="inlineStr">
        <is>
          <t>Criminal Investigations - Interview Techniques</t>
        </is>
      </c>
    </row>
    <row r="59">
      <c r="B59" t="inlineStr">
        <is>
          <t>Criminal Investigations - Case Management</t>
        </is>
      </c>
    </row>
    <row r="60">
      <c r="B60" t="inlineStr">
        <is>
          <t>Criminal Investigations - Media Relations</t>
        </is>
      </c>
    </row>
    <row r="61">
      <c r="B61" t="inlineStr">
        <is>
          <t>Test 1</t>
        </is>
      </c>
    </row>
    <row r="62">
      <c r="B62" t="inlineStr">
        <is>
          <t>Test 2</t>
        </is>
      </c>
    </row>
    <row r="63">
      <c r="B63" t="inlineStr">
        <is>
          <t>Test 3</t>
        </is>
      </c>
    </row>
    <row r="64">
      <c r="B64" t="inlineStr">
        <is>
          <t>Test 4</t>
        </is>
      </c>
    </row>
    <row r="65">
      <c r="B65" t="inlineStr">
        <is>
          <t>Test 5</t>
        </is>
      </c>
    </row>
    <row r="66">
      <c r="B66" t="inlineStr">
        <is>
          <t>Test 6</t>
        </is>
      </c>
    </row>
    <row r="67">
      <c r="B67" t="inlineStr">
        <is>
          <t>Test 7</t>
        </is>
      </c>
    </row>
    <row r="68">
      <c r="B68" t="inlineStr">
        <is>
          <t>Test 8</t>
        </is>
      </c>
    </row>
    <row r="69">
      <c r="B69" t="inlineStr">
        <is>
          <t>Test 9</t>
        </is>
      </c>
    </row>
    <row r="70">
      <c r="B70" t="inlineStr">
        <is>
          <t>Test 10</t>
        </is>
      </c>
    </row>
    <row r="71">
      <c r="B71" t="inlineStr">
        <is>
          <t>Test 11</t>
        </is>
      </c>
    </row>
    <row r="72">
      <c r="B72" t="inlineStr">
        <is>
          <t>Test 12</t>
        </is>
      </c>
    </row>
    <row r="73">
      <c r="B73" t="inlineStr">
        <is>
          <t>Test 13</t>
        </is>
      </c>
    </row>
    <row r="74">
      <c r="B74" t="inlineStr">
        <is>
          <t>Test 14</t>
        </is>
      </c>
    </row>
    <row r="75">
      <c r="B75" t="inlineStr">
        <is>
          <t>Test 15</t>
        </is>
      </c>
    </row>
    <row r="76">
      <c r="B76" t="inlineStr">
        <is>
          <t>Test 16</t>
        </is>
      </c>
    </row>
    <row r="77">
      <c r="B77" t="inlineStr">
        <is>
          <t>Test 17</t>
        </is>
      </c>
    </row>
    <row r="78">
      <c r="B78" t="inlineStr">
        <is>
          <t>Review</t>
        </is>
      </c>
    </row>
    <row r="79">
      <c r="B79" t="inlineStr">
        <is>
          <t>Digital Forensics</t>
        </is>
      </c>
    </row>
    <row r="80">
      <c r="B80" t="inlineStr">
        <is>
          <t>Lunch</t>
        </is>
      </c>
    </row>
    <row r="81">
      <c r="B81" t="inlineStr">
        <is>
          <t>PT - Base Level Evaluation</t>
        </is>
      </c>
    </row>
    <row r="82">
      <c r="B82" t="inlineStr">
        <is>
          <t>PT</t>
        </is>
      </c>
    </row>
    <row r="83">
      <c r="B83" t="inlineStr">
        <is>
          <t>PT - Ju Jitsu</t>
        </is>
      </c>
    </row>
    <row r="84">
      <c r="B84" t="inlineStr">
        <is>
          <t>PT - Final</t>
        </is>
      </c>
    </row>
    <row r="85">
      <c r="B85" t="inlineStr">
        <is>
          <t>PT - "The Murph"</t>
        </is>
      </c>
    </row>
    <row r="86">
      <c r="B86" t="inlineStr">
        <is>
          <t>Final Test</t>
        </is>
      </c>
    </row>
    <row r="87">
      <c r="B87" t="inlineStr">
        <is>
          <t>State Test</t>
        </is>
      </c>
    </row>
    <row r="88">
      <c r="B88" t="inlineStr">
        <is>
          <t>Test Review</t>
        </is>
      </c>
    </row>
    <row r="89">
      <c r="B89" t="inlineStr">
        <is>
          <t>Final Re-Test (If Needed)</t>
        </is>
      </c>
    </row>
    <row r="90">
      <c r="B90" t="inlineStr">
        <is>
          <t>Graduation</t>
        </is>
      </c>
    </row>
  </sheetData>
  <sheetProtection selectLockedCells="0" selectUnlockedCells="0" sheet="1" objects="0" insertRows="1" insertHyperlinks="1" autoFilter="1" scenarios="0" formatColumns="1" deleteColumns="1" insertColumns="1" pivotTables="1" deleteRows="1" formatCells="1" formatRows="1" sort="1" password="B4BB"/>
  <pageMargins left="0.75" right="0.75" top="1" bottom="1" header="0.5" footer="0.5"/>
</worksheet>
</file>

<file path=xl/worksheets/sheet61.xml><?xml version="1.0" encoding="utf-8"?>
<worksheet xmlns="http://schemas.openxmlformats.org/spreadsheetml/2006/main">
  <sheetPr>
    <tabColor rgb="001E7145"/>
    <outlinePr summaryBelow="1" summaryRight="1"/>
    <pageSetUpPr/>
  </sheetPr>
  <dimension ref="B1:C322"/>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30" customWidth="1" min="2" max="2"/>
    <col width="46" customWidth="1" min="3" max="3"/>
  </cols>
  <sheetData>
    <row r="1">
      <c r="B1" s="10">
        <f>HYPERLINK("#Dashboard!B5","◄ Dashboard")</f>
        <v/>
      </c>
    </row>
    <row r="4">
      <c r="B4" s="11" t="inlineStr">
        <is>
          <t>Auto-generated registry of every named range at build time. Do not rename ranges without updating formulas.</t>
        </is>
      </c>
    </row>
    <row r="5" ht="26" customHeight="1">
      <c r="B5" s="12" t="inlineStr">
        <is>
          <t>Name</t>
        </is>
      </c>
      <c r="C5" s="12" t="inlineStr">
        <is>
          <t>Refers To</t>
        </is>
      </c>
    </row>
    <row r="6">
      <c r="B6" s="14" t="inlineStr">
        <is>
          <t>cfgAcademyClass</t>
        </is>
      </c>
      <c r="C6" s="2" t="inlineStr">
        <is>
          <t>'Settings'!$C$6</t>
        </is>
      </c>
    </row>
    <row r="7">
      <c r="B7" s="14" t="inlineStr">
        <is>
          <t>cfgAlignReviewer</t>
        </is>
      </c>
      <c r="C7" s="2" t="inlineStr">
        <is>
          <t>'AdvisoryBoard'!$D$9</t>
        </is>
      </c>
    </row>
    <row r="8">
      <c r="B8" s="14" t="inlineStr">
        <is>
          <t>cfgAttendanceAdvisoryPct</t>
        </is>
      </c>
      <c r="C8" s="2" t="inlineStr">
        <is>
          <t>'Settings'!$C$24</t>
        </is>
      </c>
    </row>
    <row r="9">
      <c r="B9" s="14" t="inlineStr">
        <is>
          <t>cfgAttendanceCriticalPct</t>
        </is>
      </c>
      <c r="C9" s="2" t="inlineStr">
        <is>
          <t>'Settings'!$C$25</t>
        </is>
      </c>
    </row>
    <row r="10">
      <c r="B10" s="14" t="inlineStr">
        <is>
          <t>cfgBoardReviewed</t>
        </is>
      </c>
      <c r="C10" s="2" t="inlineStr">
        <is>
          <t>'AdvisoryBoard'!$D$7</t>
        </is>
      </c>
    </row>
    <row r="11">
      <c r="B11" s="14" t="inlineStr">
        <is>
          <t>cfgCurrentExamNum</t>
        </is>
      </c>
      <c r="C11" s="2" t="inlineStr">
        <is>
          <t>'Settings'!$C$27</t>
        </is>
      </c>
    </row>
    <row r="12">
      <c r="B12" s="14" t="inlineStr">
        <is>
          <t>cfgCurrentSpellingNum</t>
        </is>
      </c>
      <c r="C12" s="2" t="inlineStr">
        <is>
          <t>'Settings'!$C$28</t>
        </is>
      </c>
    </row>
    <row r="13">
      <c r="B13" s="14" t="inlineStr">
        <is>
          <t>cfgEndDate</t>
        </is>
      </c>
      <c r="C13" s="2" t="inlineStr">
        <is>
          <t>'Settings'!$C$8</t>
        </is>
      </c>
    </row>
    <row r="14">
      <c r="B14" s="14" t="inlineStr">
        <is>
          <t>cfgEvalChapter</t>
        </is>
      </c>
      <c r="C14" s="2" t="inlineStr">
        <is>
          <t>'EvalSheet'!$C$5</t>
        </is>
      </c>
    </row>
    <row r="15">
      <c r="B15" s="14" t="inlineStr">
        <is>
          <t>cfgFlagAttendancePct</t>
        </is>
      </c>
      <c r="C15" s="2" t="inlineStr">
        <is>
          <t>'Settings'!$C$34</t>
        </is>
      </c>
    </row>
    <row r="16">
      <c r="B16" s="14" t="inlineStr">
        <is>
          <t>cfgFlagCategoryMargin</t>
        </is>
      </c>
      <c r="C16" s="2" t="inlineStr">
        <is>
          <t>'Settings'!$C$33</t>
        </is>
      </c>
    </row>
    <row r="17">
      <c r="B17" s="14" t="inlineStr">
        <is>
          <t>cfgFlagConsecFails</t>
        </is>
      </c>
      <c r="C17" s="2" t="inlineStr">
        <is>
          <t>'Settings'!$C$31</t>
        </is>
      </c>
    </row>
    <row r="18">
      <c r="B18" s="14" t="inlineStr">
        <is>
          <t>cfgFlagGradeDrop</t>
        </is>
      </c>
      <c r="C18" s="2" t="inlineStr">
        <is>
          <t>'Settings'!$C$32</t>
        </is>
      </c>
    </row>
    <row r="19">
      <c r="B19" s="14" t="inlineStr">
        <is>
          <t>cfgFlagOpenIncidents</t>
        </is>
      </c>
      <c r="C19" s="2" t="inlineStr">
        <is>
          <t>'Settings'!$C$35</t>
        </is>
      </c>
    </row>
    <row r="20">
      <c r="B20" s="14" t="inlineStr">
        <is>
          <t>cfgFlagOverdueWriting</t>
        </is>
      </c>
      <c r="C20" s="2" t="inlineStr">
        <is>
          <t>'Settings'!$C$36</t>
        </is>
      </c>
    </row>
    <row r="21">
      <c r="B21" s="14" t="inlineStr">
        <is>
          <t>cfgGradeSheetExam</t>
        </is>
      </c>
      <c r="C21" s="2" t="inlineStr">
        <is>
          <t>'ExamSheet'!$C$5</t>
        </is>
      </c>
    </row>
    <row r="22">
      <c r="B22" s="14" t="inlineStr">
        <is>
          <t>cfgHandoutWeek</t>
        </is>
      </c>
      <c r="C22" s="2" t="inlineStr">
        <is>
          <t>'WritingHandout'!$C$5</t>
        </is>
      </c>
    </row>
    <row r="23">
      <c r="B23" s="14" t="inlineStr">
        <is>
          <t>cfgHomeAgency</t>
        </is>
      </c>
      <c r="C23" s="2" t="inlineStr">
        <is>
          <t>'Settings'!$C$26</t>
        </is>
      </c>
    </row>
    <row r="24">
      <c r="B24" s="14" t="inlineStr">
        <is>
          <t>cfgMakeupAdvisoryMin</t>
        </is>
      </c>
      <c r="C24" s="2" t="inlineStr">
        <is>
          <t>'Settings'!$C$21</t>
        </is>
      </c>
    </row>
    <row r="25">
      <c r="B25" s="14" t="inlineStr">
        <is>
          <t>cfgMakeupCriticalMin</t>
        </is>
      </c>
      <c r="C25" s="2" t="inlineStr">
        <is>
          <t>'Settings'!$C$22</t>
        </is>
      </c>
    </row>
    <row r="26">
      <c r="B26" s="14" t="inlineStr">
        <is>
          <t>cfgMemoDueClassDays</t>
        </is>
      </c>
      <c r="C26" s="2" t="inlineStr">
        <is>
          <t>'Settings'!$C$15</t>
        </is>
      </c>
    </row>
    <row r="27">
      <c r="B27" s="14" t="inlineStr">
        <is>
          <t>cfgPTCapSessions</t>
        </is>
      </c>
      <c r="C27" s="2" t="inlineStr">
        <is>
          <t>'Settings'!$C$23</t>
        </is>
      </c>
    </row>
    <row r="28">
      <c r="B28" s="14" t="inlineStr">
        <is>
          <t>cfgPTFinalMinPoints</t>
        </is>
      </c>
      <c r="C28" s="2" t="inlineStr">
        <is>
          <t>'Settings'!$C$30</t>
        </is>
      </c>
    </row>
    <row r="29">
      <c r="B29" s="14" t="inlineStr">
        <is>
          <t>cfgPacketChapter</t>
        </is>
      </c>
      <c r="C29" s="2" t="inlineStr">
        <is>
          <t>'ChapterPacket'!$C$5</t>
        </is>
      </c>
    </row>
    <row r="30">
      <c r="B30" s="14" t="inlineStr">
        <is>
          <t>cfgPassingScore</t>
        </is>
      </c>
      <c r="C30" s="2" t="inlineStr">
        <is>
          <t>'Settings'!$C$10</t>
        </is>
      </c>
    </row>
    <row r="31">
      <c r="B31" s="14" t="inlineStr">
        <is>
          <t>cfgPolicyVersion</t>
        </is>
      </c>
      <c r="C31" s="2" t="inlineStr">
        <is>
          <t>'AdvisoryBoard'!$D$6</t>
        </is>
      </c>
    </row>
    <row r="32">
      <c r="B32" s="14" t="inlineStr">
        <is>
          <t>cfgPreviewAgency</t>
        </is>
      </c>
      <c r="C32" s="2" t="inlineStr">
        <is>
          <t>'EmailPreview'!$C$5</t>
        </is>
      </c>
    </row>
    <row r="33">
      <c r="B33" s="14" t="inlineStr">
        <is>
          <t>cfgProfileCadet</t>
        </is>
      </c>
      <c r="C33" s="2" t="inlineStr">
        <is>
          <t>'CadetProfile'!$C$5</t>
        </is>
      </c>
    </row>
    <row r="34">
      <c r="B34" s="14" t="inlineStr">
        <is>
          <t>cfgRequiredHours</t>
        </is>
      </c>
      <c r="C34" s="2" t="inlineStr">
        <is>
          <t>'sysAudit'!$H$6</t>
        </is>
      </c>
    </row>
    <row r="35">
      <c r="B35" s="14" t="inlineStr">
        <is>
          <t>cfgRetakeRecordedCap</t>
        </is>
      </c>
      <c r="C35" s="2" t="inlineStr">
        <is>
          <t>'Settings'!$C$12</t>
        </is>
      </c>
    </row>
    <row r="36">
      <c r="B36" s="14" t="inlineStr">
        <is>
          <t>cfgRetestClassDays</t>
        </is>
      </c>
      <c r="C36" s="2" t="inlineStr">
        <is>
          <t>'Settings'!$C$14</t>
        </is>
      </c>
    </row>
    <row r="37">
      <c r="B37" s="14" t="inlineStr">
        <is>
          <t>cfgRulesAligned</t>
        </is>
      </c>
      <c r="C37" s="2" t="inlineStr">
        <is>
          <t>'AdvisoryBoard'!$D$8</t>
        </is>
      </c>
    </row>
    <row r="38">
      <c r="B38" s="14" t="inlineStr">
        <is>
          <t>cfgSignInDate</t>
        </is>
      </c>
      <c r="C38" s="2" t="inlineStr">
        <is>
          <t>'SignIn'!$C$5</t>
        </is>
      </c>
    </row>
    <row r="39">
      <c r="B39" s="14" t="inlineStr">
        <is>
          <t>cfgSpellInterventionAvg</t>
        </is>
      </c>
      <c r="C39" s="2" t="inlineStr">
        <is>
          <t>'Settings'!$C$20</t>
        </is>
      </c>
    </row>
    <row r="40">
      <c r="B40" s="14" t="inlineStr">
        <is>
          <t>cfgSpellPrintMode</t>
        </is>
      </c>
      <c r="C40" s="2" t="inlineStr">
        <is>
          <t>'SpellingPrint'!$E$5</t>
        </is>
      </c>
    </row>
    <row r="41">
      <c r="B41" s="14" t="inlineStr">
        <is>
          <t>cfgSpellPrintNum</t>
        </is>
      </c>
      <c r="C41" s="2" t="inlineStr">
        <is>
          <t>'SpellingPrint'!$C$5</t>
        </is>
      </c>
    </row>
    <row r="42">
      <c r="B42" s="14" t="inlineStr">
        <is>
          <t>cfgStartDate</t>
        </is>
      </c>
      <c r="C42" s="2" t="inlineStr">
        <is>
          <t>'Settings'!$C$7</t>
        </is>
      </c>
    </row>
    <row r="43">
      <c r="B43" s="14" t="inlineStr">
        <is>
          <t>cfgThresholdAfterExam</t>
        </is>
      </c>
      <c r="C43" s="2" t="inlineStr">
        <is>
          <t>'Settings'!$C$13</t>
        </is>
      </c>
    </row>
    <row r="44">
      <c r="B44" s="14" t="inlineStr">
        <is>
          <t>cfgThresholdScore</t>
        </is>
      </c>
      <c r="C44" s="2" t="inlineStr">
        <is>
          <t>'Settings'!$C$11</t>
        </is>
      </c>
    </row>
    <row r="45">
      <c r="B45" s="14" t="inlineStr">
        <is>
          <t>cfgTotalScheduledMinutes</t>
        </is>
      </c>
      <c r="C45" s="2" t="inlineStr">
        <is>
          <t>'Settings'!$C$9</t>
        </is>
      </c>
    </row>
    <row r="46">
      <c r="B46" s="14" t="inlineStr">
        <is>
          <t>cfgTranscriptCadet</t>
        </is>
      </c>
      <c r="C46" s="2" t="inlineStr">
        <is>
          <t>'Transcript'!$C$5</t>
        </is>
      </c>
    </row>
    <row r="47">
      <c r="B47" s="14" t="inlineStr">
        <is>
          <t>cfgWeightFinal</t>
        </is>
      </c>
      <c r="C47" s="2" t="inlineStr">
        <is>
          <t>'Settings'!$C$19</t>
        </is>
      </c>
    </row>
    <row r="48">
      <c r="B48" s="14" t="inlineStr">
        <is>
          <t>cfgWeightMajor</t>
        </is>
      </c>
      <c r="C48" s="2" t="inlineStr">
        <is>
          <t>'Settings'!$C$16</t>
        </is>
      </c>
    </row>
    <row r="49">
      <c r="B49" s="14" t="inlineStr">
        <is>
          <t>cfgWeightMinor</t>
        </is>
      </c>
      <c r="C49" s="2" t="inlineStr">
        <is>
          <t>'Settings'!$C$17</t>
        </is>
      </c>
    </row>
    <row r="50">
      <c r="B50" s="14" t="inlineStr">
        <is>
          <t>cfgWeightSpelling</t>
        </is>
      </c>
      <c r="C50" s="2" t="inlineStr">
        <is>
          <t>'Settings'!$C$18</t>
        </is>
      </c>
    </row>
    <row r="51">
      <c r="B51" s="14" t="inlineStr">
        <is>
          <t>cfgWeightsTotal</t>
        </is>
      </c>
      <c r="C51" s="2" t="inlineStr">
        <is>
          <t>'Settings'!$C$37</t>
        </is>
      </c>
    </row>
    <row r="52">
      <c r="B52" s="14" t="inlineStr">
        <is>
          <t>cfgWritingDueTime</t>
        </is>
      </c>
      <c r="C52" s="2" t="inlineStr">
        <is>
          <t>'Settings'!$C$29</t>
        </is>
      </c>
    </row>
    <row r="53">
      <c r="B53" s="14" t="inlineStr">
        <is>
          <t>lstAssignmentType</t>
        </is>
      </c>
      <c r="C53" s="2" t="inlineStr">
        <is>
          <t>'Lists'!$O$6:$O$10</t>
        </is>
      </c>
    </row>
    <row r="54">
      <c r="B54" s="14" t="inlineStr">
        <is>
          <t>lstAttemptNum</t>
        </is>
      </c>
      <c r="C54" s="2" t="inlineStr">
        <is>
          <t>'Lists'!$Q$6:$Q$10</t>
        </is>
      </c>
    </row>
    <row r="55">
      <c r="B55" s="14" t="inlineStr">
        <is>
          <t>lstAttendanceEvent</t>
        </is>
      </c>
      <c r="C55" s="2" t="inlineStr">
        <is>
          <t>'Lists'!$E$6:$E$14</t>
        </is>
      </c>
    </row>
    <row r="56">
      <c r="B56" s="14" t="inlineStr">
        <is>
          <t>lstAward</t>
        </is>
      </c>
      <c r="C56" s="2" t="inlineStr">
        <is>
          <t>'Lists'!$W$6:$W$9</t>
        </is>
      </c>
    </row>
    <row r="57">
      <c r="B57" s="14" t="inlineStr">
        <is>
          <t>lstCadetStatus</t>
        </is>
      </c>
      <c r="C57" s="2" t="inlineStr">
        <is>
          <t>'Lists'!$C$6:$C$9</t>
        </is>
      </c>
    </row>
    <row r="58">
      <c r="B58" s="14" t="inlineStr">
        <is>
          <t>lstCounselingType</t>
        </is>
      </c>
      <c r="C58" s="2" t="inlineStr">
        <is>
          <t>'Lists'!$T$6:$T$13</t>
        </is>
      </c>
    </row>
    <row r="59">
      <c r="B59" s="14" t="inlineStr">
        <is>
          <t>lstDismissalTrigger</t>
        </is>
      </c>
      <c r="C59" s="2" t="inlineStr">
        <is>
          <t>'Lists'!$AC$6:$AC$10</t>
        </is>
      </c>
    </row>
    <row r="60">
      <c r="B60" s="14" t="inlineStr">
        <is>
          <t>lstDocumentation</t>
        </is>
      </c>
      <c r="C60" s="2" t="inlineStr">
        <is>
          <t>'Lists'!$G$6:$G$8</t>
        </is>
      </c>
    </row>
    <row r="61">
      <c r="B61" s="14" t="inlineStr">
        <is>
          <t>lstExamAttemptNum</t>
        </is>
      </c>
      <c r="C61" s="2" t="inlineStr">
        <is>
          <t>'Lists'!$R$6:$R$7</t>
        </is>
      </c>
    </row>
    <row r="62">
      <c r="B62" s="14" t="inlineStr">
        <is>
          <t>lstExamType</t>
        </is>
      </c>
      <c r="C62" s="2" t="inlineStr">
        <is>
          <t>'Lists'!$D$6:$D$8</t>
        </is>
      </c>
    </row>
    <row r="63">
      <c r="B63" s="14" t="inlineStr">
        <is>
          <t>lstExcused</t>
        </is>
      </c>
      <c r="C63" s="2" t="inlineStr">
        <is>
          <t>'Lists'!$H$6:$H$7</t>
        </is>
      </c>
    </row>
    <row r="64">
      <c r="B64" s="14" t="inlineStr">
        <is>
          <t>lstIncidentDirection</t>
        </is>
      </c>
      <c r="C64" s="2" t="inlineStr">
        <is>
          <t>'Lists'!$L$6:$L$8</t>
        </is>
      </c>
    </row>
    <row r="65">
      <c r="B65" s="14" t="inlineStr">
        <is>
          <t>lstInstructorType</t>
        </is>
      </c>
      <c r="C65" s="2" t="inlineStr">
        <is>
          <t>'Lists'!$X$6:$X$9</t>
        </is>
      </c>
    </row>
    <row r="66">
      <c r="B66" s="14" t="inlineStr">
        <is>
          <t>lstIssuetype</t>
        </is>
      </c>
      <c r="C66" s="2" t="inlineStr">
        <is>
          <t>'Lists'!$S$6:$S$12</t>
        </is>
      </c>
    </row>
    <row r="67">
      <c r="B67" s="14" t="inlineStr">
        <is>
          <t>lstMakeupType</t>
        </is>
      </c>
      <c r="C67" s="2" t="inlineStr">
        <is>
          <t>'Lists'!$I$6:$I$7</t>
        </is>
      </c>
    </row>
    <row r="68">
      <c r="B68" s="14" t="inlineStr">
        <is>
          <t>lstMaterialsStatus</t>
        </is>
      </c>
      <c r="C68" s="2" t="inlineStr">
        <is>
          <t>'Lists'!$Y$6:$Y$9</t>
        </is>
      </c>
    </row>
    <row r="69">
      <c r="B69" s="14" t="inlineStr">
        <is>
          <t>lstMedicalStatus</t>
        </is>
      </c>
      <c r="C69" s="2" t="inlineStr">
        <is>
          <t>'Lists'!$U$6:$U$9</t>
        </is>
      </c>
    </row>
    <row r="70">
      <c r="B70" s="14" t="inlineStr">
        <is>
          <t>lstPtSession</t>
        </is>
      </c>
      <c r="C70" s="2" t="inlineStr">
        <is>
          <t>'Lists'!$V$6:$V$8</t>
        </is>
      </c>
    </row>
    <row r="71">
      <c r="B71" s="14" t="inlineStr">
        <is>
          <t>lstReason</t>
        </is>
      </c>
      <c r="C71" s="2" t="inlineStr">
        <is>
          <t>'Lists'!$F$6:$F$12</t>
        </is>
      </c>
    </row>
    <row r="72">
      <c r="B72" s="14" t="inlineStr">
        <is>
          <t>lstRequirementSource</t>
        </is>
      </c>
      <c r="C72" s="2" t="inlineStr">
        <is>
          <t>'Lists'!$Z$6:$Z$7</t>
        </is>
      </c>
    </row>
    <row r="73">
      <c r="B73" s="14" t="inlineStr">
        <is>
          <t>lstResolution</t>
        </is>
      </c>
      <c r="C73" s="2" t="inlineStr">
        <is>
          <t>'Lists'!$N$6:$N$9</t>
        </is>
      </c>
    </row>
    <row r="74">
      <c r="B74" s="14" t="inlineStr">
        <is>
          <t>lstReviewOutcome</t>
        </is>
      </c>
      <c r="C74" s="2" t="inlineStr">
        <is>
          <t>'Lists'!$AB$6:$AB$9</t>
        </is>
      </c>
    </row>
    <row r="75">
      <c r="B75" s="14" t="inlineStr">
        <is>
          <t>lstReviewType</t>
        </is>
      </c>
      <c r="C75" s="2" t="inlineStr">
        <is>
          <t>'Lists'!$AA$6:$AA$8</t>
        </is>
      </c>
    </row>
    <row r="76">
      <c r="B76" s="14" t="inlineStr">
        <is>
          <t>lstScoringMode</t>
        </is>
      </c>
      <c r="C76" s="2" t="inlineStr">
        <is>
          <t>'Lists'!$J$6:$J$7</t>
        </is>
      </c>
    </row>
    <row r="77">
      <c r="B77" s="14" t="inlineStr">
        <is>
          <t>lstSeverity</t>
        </is>
      </c>
      <c r="C77" s="2" t="inlineStr">
        <is>
          <t>'Lists'!$M$6:$M$10</t>
        </is>
      </c>
    </row>
    <row r="78">
      <c r="B78" s="14" t="inlineStr">
        <is>
          <t>lstSkillResult</t>
        </is>
      </c>
      <c r="C78" s="2" t="inlineStr">
        <is>
          <t>'Lists'!$K$6:$K$8</t>
        </is>
      </c>
    </row>
    <row r="79">
      <c r="B79" s="14" t="inlineStr">
        <is>
          <t>lstSubmission</t>
        </is>
      </c>
      <c r="C79" s="2" t="inlineStr">
        <is>
          <t>'Lists'!$P$6:$P$9</t>
        </is>
      </c>
    </row>
    <row r="80">
      <c r="B80" s="14" t="inlineStr">
        <is>
          <t>lstYesNo</t>
        </is>
      </c>
      <c r="C80" s="2" t="inlineStr">
        <is>
          <t>'Lists'!$B$6:$B$7</t>
        </is>
      </c>
    </row>
    <row r="81">
      <c r="B81" s="14" t="inlineStr">
        <is>
          <t>nrAB_Changes</t>
        </is>
      </c>
      <c r="C81" s="2" t="inlineStr">
        <is>
          <t>'AdvisoryBoard'!$E$12:$E$41</t>
        </is>
      </c>
    </row>
    <row r="82">
      <c r="B82" s="14" t="inlineStr">
        <is>
          <t>nrAB_Date</t>
        </is>
      </c>
      <c r="C82" s="2" t="inlineStr">
        <is>
          <t>'AdvisoryBoard'!$B$12:$B$41</t>
        </is>
      </c>
    </row>
    <row r="83">
      <c r="B83" s="14" t="inlineStr">
        <is>
          <t>nrATTclElig</t>
        </is>
      </c>
      <c r="C83" s="2" t="inlineStr">
        <is>
          <t>'sysAttendance'!$K$6:$K$55</t>
        </is>
      </c>
    </row>
    <row r="84">
      <c r="B84" s="14" t="inlineStr">
        <is>
          <t>nrATTclOwed</t>
        </is>
      </c>
      <c r="C84" s="2" t="inlineStr">
        <is>
          <t>'sysAttendance'!$L$6:$L$55</t>
        </is>
      </c>
    </row>
    <row r="85">
      <c r="B85" s="14" t="inlineStr">
        <is>
          <t>nrATTclPct</t>
        </is>
      </c>
      <c r="C85" s="2" t="inlineStr">
        <is>
          <t>'sysAttendance'!$I$6:$I$55</t>
        </is>
      </c>
    </row>
    <row r="86">
      <c r="B86" s="14" t="inlineStr">
        <is>
          <t>nrATTclTier</t>
        </is>
      </c>
      <c r="C86" s="2" t="inlineStr">
        <is>
          <t>'sysAttendance'!$J$6:$J$55</t>
        </is>
      </c>
    </row>
    <row r="87">
      <c r="B87" s="14" t="inlineStr">
        <is>
          <t>nrATTmakeupOK</t>
        </is>
      </c>
      <c r="C87" s="2" t="inlineStr">
        <is>
          <t>'sysAttendance'!$T$6:$T$55</t>
        </is>
      </c>
    </row>
    <row r="88">
      <c r="B88" s="14" t="inlineStr">
        <is>
          <t>nrATTptElig</t>
        </is>
      </c>
      <c r="C88" s="2" t="inlineStr">
        <is>
          <t>'sysAttendance'!$S$6:$S$55</t>
        </is>
      </c>
    </row>
    <row r="89">
      <c r="B89" s="14" t="inlineStr">
        <is>
          <t>nrATTptPct</t>
        </is>
      </c>
      <c r="C89" s="2" t="inlineStr">
        <is>
          <t>'sysAttendance'!$Q$6:$Q$55</t>
        </is>
      </c>
    </row>
    <row r="90">
      <c r="B90" s="14" t="inlineStr">
        <is>
          <t>nrATTptTier</t>
        </is>
      </c>
      <c r="C90" s="2" t="inlineStr">
        <is>
          <t>'sysAttendance'!$R$6:$R$55</t>
        </is>
      </c>
    </row>
    <row r="91">
      <c r="B91" s="14" t="inlineStr">
        <is>
          <t>nrAT_Balance</t>
        </is>
      </c>
      <c r="C91" s="2" t="inlineStr">
        <is>
          <t>'Attendance'!$R$6:$R$805</t>
        </is>
      </c>
    </row>
    <row r="92">
      <c r="B92" s="14" t="inlineStr">
        <is>
          <t>nrAT_Cleared</t>
        </is>
      </c>
      <c r="C92" s="2" t="inlineStr">
        <is>
          <t>'Attendance'!$S$6:$S$805</t>
        </is>
      </c>
    </row>
    <row r="93">
      <c r="B93" s="14" t="inlineStr">
        <is>
          <t>nrAT_Counts</t>
        </is>
      </c>
      <c r="C93" s="2" t="inlineStr">
        <is>
          <t>'Attendance'!$N$6:$N$805</t>
        </is>
      </c>
    </row>
    <row r="94">
      <c r="B94" s="14" t="inlineStr">
        <is>
          <t>nrAT_Date</t>
        </is>
      </c>
      <c r="C94" s="2" t="inlineStr">
        <is>
          <t>'Attendance'!$C$6:$C$805</t>
        </is>
      </c>
    </row>
    <row r="95">
      <c r="B95" s="14" t="inlineStr">
        <is>
          <t>nrAT_Excused</t>
        </is>
      </c>
      <c r="C95" s="2" t="inlineStr">
        <is>
          <t>'Attendance'!$M$6:$M$805</t>
        </is>
      </c>
    </row>
    <row r="96">
      <c r="B96" s="14" t="inlineStr">
        <is>
          <t>nrAT_ID</t>
        </is>
      </c>
      <c r="C96" s="2" t="inlineStr">
        <is>
          <t>'Attendance'!$B$6:$B$805</t>
        </is>
      </c>
    </row>
    <row r="97">
      <c r="B97" s="14" t="inlineStr">
        <is>
          <t>nrAT_IDlist</t>
        </is>
      </c>
      <c r="C97" s="2" t="inlineStr">
        <is>
          <t>'sysListsHelper'!$E$6:$E$805</t>
        </is>
      </c>
    </row>
    <row r="98">
      <c r="B98" s="14" t="inlineStr">
        <is>
          <t>nrAT_IsPT</t>
        </is>
      </c>
      <c r="C98" s="2" t="inlineStr">
        <is>
          <t>'Attendance'!$K$6:$K$805</t>
        </is>
      </c>
    </row>
    <row r="99">
      <c r="B99" s="14" t="inlineStr">
        <is>
          <t>nrAT_MadeUpMin</t>
        </is>
      </c>
      <c r="C99" s="2" t="inlineStr">
        <is>
          <t>'Attendance'!$P$6:$P$805</t>
        </is>
      </c>
    </row>
    <row r="100">
      <c r="B100" s="14" t="inlineStr">
        <is>
          <t>nrAT_MadeUpSess</t>
        </is>
      </c>
      <c r="C100" s="2" t="inlineStr">
        <is>
          <t>'Attendance'!$Q$6:$Q$805</t>
        </is>
      </c>
    </row>
    <row r="101">
      <c r="B101" s="14" t="inlineStr">
        <is>
          <t>nrAT_Min</t>
        </is>
      </c>
      <c r="C101" s="2" t="inlineStr">
        <is>
          <t>'Attendance'!$I$6:$I$805</t>
        </is>
      </c>
    </row>
    <row r="102">
      <c r="B102" s="14" t="inlineStr">
        <is>
          <t>nrAT_PID</t>
        </is>
      </c>
      <c r="C102" s="2" t="inlineStr">
        <is>
          <t>'Attendance'!$E$6:$E$805</t>
        </is>
      </c>
    </row>
    <row r="103">
      <c r="B103" s="14" t="inlineStr">
        <is>
          <t>nrAT_RowCheck</t>
        </is>
      </c>
      <c r="C103" s="2" t="inlineStr">
        <is>
          <t>'Attendance'!$T$6:$T$805</t>
        </is>
      </c>
    </row>
    <row r="104">
      <c r="B104" s="14" t="inlineStr">
        <is>
          <t>nrAT_Sess</t>
        </is>
      </c>
      <c r="C104" s="2" t="inlineStr">
        <is>
          <t>'Attendance'!$J$6:$J$805</t>
        </is>
      </c>
    </row>
    <row r="105">
      <c r="B105" s="14" t="inlineStr">
        <is>
          <t>nrAT_Type</t>
        </is>
      </c>
      <c r="C105" s="2" t="inlineStr">
        <is>
          <t>'Attendance'!$G$6:$G$805</t>
        </is>
      </c>
    </row>
    <row r="106">
      <c r="B106" s="14" t="inlineStr">
        <is>
          <t>nrAUDcheck</t>
        </is>
      </c>
      <c r="C106" s="2" t="inlineStr">
        <is>
          <t>'sysAudit'!$B$6:$B$41</t>
        </is>
      </c>
    </row>
    <row r="107">
      <c r="B107" s="14" t="inlineStr">
        <is>
          <t>nrAUDstatus</t>
        </is>
      </c>
      <c r="C107" s="2" t="inlineStr">
        <is>
          <t>'sysAudit'!$E$6:$E$41</t>
        </is>
      </c>
    </row>
    <row r="108">
      <c r="B108" s="14" t="inlineStr">
        <is>
          <t>nrAWfinal</t>
        </is>
      </c>
      <c r="C108" s="2" t="inlineStr">
        <is>
          <t>'sysAwards'!$F$6:$F$9</t>
        </is>
      </c>
    </row>
    <row r="109">
      <c r="B109" s="14" t="inlineStr">
        <is>
          <t>nrAWnames</t>
        </is>
      </c>
      <c r="C109" s="2" t="inlineStr">
        <is>
          <t>'sysAwards'!$B$6:$B$9</t>
        </is>
      </c>
    </row>
    <row r="110">
      <c r="B110" s="14" t="inlineStr">
        <is>
          <t>nrAgencyLastEmail</t>
        </is>
      </c>
      <c r="C110" s="2" t="inlineStr">
        <is>
          <t>'Agencies'!$I$6:$I$50</t>
        </is>
      </c>
    </row>
    <row r="111">
      <c r="B111" s="14" t="inlineStr">
        <is>
          <t>nrAllClosures</t>
        </is>
      </c>
      <c r="C111" s="2" t="inlineStr">
        <is>
          <t>'Control'!$M$6:$M$42</t>
        </is>
      </c>
    </row>
    <row r="112">
      <c r="B112" s="14" t="inlineStr">
        <is>
          <t>nrAllRefIDs</t>
        </is>
      </c>
      <c r="C112" s="2" t="inlineStr">
        <is>
          <t>'sysListsHelper'!$D$6:$D$1605</t>
        </is>
      </c>
    </row>
    <row r="113">
      <c r="B113" s="14" t="inlineStr">
        <is>
          <t>nrBankGrid</t>
        </is>
      </c>
      <c r="C113" s="2" t="inlineStr">
        <is>
          <t>'InstructorBanks'!$C$6:$L$81</t>
        </is>
      </c>
    </row>
    <row r="114">
      <c r="B114" s="14" t="inlineStr">
        <is>
          <t>nrBankSel</t>
        </is>
      </c>
      <c r="C114" s="2" t="inlineStr">
        <is>
          <t>'InstructorBanks'!$M$6:$V$81</t>
        </is>
      </c>
    </row>
    <row r="115">
      <c r="B115" s="14" t="inlineStr">
        <is>
          <t>nrBankTopics</t>
        </is>
      </c>
      <c r="C115" s="2" t="inlineStr">
        <is>
          <t>'InstructorBanks'!$B$6:$B$81</t>
        </is>
      </c>
    </row>
    <row r="116">
      <c r="B116" s="14" t="inlineStr">
        <is>
          <t>nrCDdate</t>
        </is>
      </c>
      <c r="C116" s="2" t="inlineStr">
        <is>
          <t>'Control'!$I$6:$I$175</t>
        </is>
      </c>
    </row>
    <row r="117">
      <c r="B117" s="14" t="inlineStr">
        <is>
          <t>nrCDinsession</t>
        </is>
      </c>
      <c r="C117" s="2" t="inlineStr">
        <is>
          <t>'Control'!$K$6:$K$175</t>
        </is>
      </c>
    </row>
    <row r="118">
      <c r="B118" s="14" t="inlineStr">
        <is>
          <t>nrCDnum</t>
        </is>
      </c>
      <c r="C118" s="2" t="inlineStr">
        <is>
          <t>'Control'!$H$6:$H$175</t>
        </is>
      </c>
    </row>
    <row r="119">
      <c r="B119" s="14" t="inlineStr">
        <is>
          <t>nrCDweek</t>
        </is>
      </c>
      <c r="C119" s="2" t="inlineStr">
        <is>
          <t>'Control'!$J$6:$J$175</t>
        </is>
      </c>
    </row>
    <row r="120">
      <c r="B120" s="14" t="inlineStr">
        <is>
          <t>nrCERTall</t>
        </is>
      </c>
      <c r="C120" s="2" t="inlineStr">
        <is>
          <t>'Certifications'!$T$6:$T$55</t>
        </is>
      </c>
    </row>
    <row r="121">
      <c r="B121" s="14" t="inlineStr">
        <is>
          <t>nrCERTmissing</t>
        </is>
      </c>
      <c r="C121" s="2" t="inlineStr">
        <is>
          <t>'Certifications'!$U$6:$U$55</t>
        </is>
      </c>
    </row>
    <row r="122">
      <c r="B122" s="14" t="inlineStr">
        <is>
          <t>nrCERTwaived</t>
        </is>
      </c>
      <c r="C122" s="2" t="inlineStr">
        <is>
          <t>'Certifications'!$V$6:$V$55</t>
        </is>
      </c>
    </row>
    <row r="123">
      <c r="B123" s="14" t="inlineStr">
        <is>
          <t>nrCHassess</t>
        </is>
      </c>
      <c r="C123" s="2" t="inlineStr">
        <is>
          <t>'ChapterMaster'!$O$6:$O$50</t>
        </is>
      </c>
    </row>
    <row r="124">
      <c r="B124" s="14" t="inlineStr">
        <is>
          <t>nrCHbio</t>
        </is>
      </c>
      <c r="C124" s="2" t="inlineStr">
        <is>
          <t>'ChapterMaster'!$M$6:$M$50</t>
        </is>
      </c>
    </row>
    <row r="125">
      <c r="B125" s="14" t="inlineStr">
        <is>
          <t>nrCHdeliv</t>
        </is>
      </c>
      <c r="C125" s="2" t="inlineStr">
        <is>
          <t>'ChapterMaster'!$G$6:$G$50</t>
        </is>
      </c>
    </row>
    <row r="126">
      <c r="B126" s="14" t="inlineStr">
        <is>
          <t>nrCHevals</t>
        </is>
      </c>
      <c r="C126" s="2" t="inlineStr">
        <is>
          <t>'ChapterMaster'!$Q$6:$Q$50</t>
        </is>
      </c>
    </row>
    <row r="127">
      <c r="B127" s="14" t="inlineStr">
        <is>
          <t>nrCHfileOK</t>
        </is>
      </c>
      <c r="C127" s="2" t="inlineStr">
        <is>
          <t>'ChapterMaster'!$U$6:$U$50</t>
        </is>
      </c>
    </row>
    <row r="128">
      <c r="B128" s="14" t="inlineStr">
        <is>
          <t>nrCHfirst</t>
        </is>
      </c>
      <c r="C128" s="2" t="inlineStr">
        <is>
          <t>'ChapterMaster'!$I$6:$I$50</t>
        </is>
      </c>
    </row>
    <row r="129">
      <c r="B129" s="14" t="inlineStr">
        <is>
          <t>nrCHgrade</t>
        </is>
      </c>
      <c r="C129" s="2" t="inlineStr">
        <is>
          <t>'ChapterMaster'!$P$6:$P$50</t>
        </is>
      </c>
    </row>
    <row r="130">
      <c r="B130" s="14" t="inlineStr">
        <is>
          <t>nrCHhandoutOpt</t>
        </is>
      </c>
      <c r="C130" s="2" t="inlineStr">
        <is>
          <t>'ChapterMaster'!$R$6:$R$50</t>
        </is>
      </c>
    </row>
    <row r="131">
      <c r="B131" s="14" t="inlineStr">
        <is>
          <t>nrCHinstr</t>
        </is>
      </c>
      <c r="C131" s="2" t="inlineStr">
        <is>
          <t>'ChapterMaster'!$K$6:$K$50</t>
        </is>
      </c>
    </row>
    <row r="132">
      <c r="B132" s="14" t="inlineStr">
        <is>
          <t>nrCHlesson</t>
        </is>
      </c>
      <c r="C132" s="2" t="inlineStr">
        <is>
          <t>'ChapterMaster'!$L$6:$L$50</t>
        </is>
      </c>
    </row>
    <row r="133">
      <c r="B133" s="14" t="inlineStr">
        <is>
          <t>nrCHmin</t>
        </is>
      </c>
      <c r="C133" s="2" t="inlineStr">
        <is>
          <t>'ChapterMaster'!$E$6:$E$50</t>
        </is>
      </c>
    </row>
    <row r="134">
      <c r="B134" s="14" t="inlineStr">
        <is>
          <t>nrCHmod</t>
        </is>
      </c>
      <c r="C134" s="2" t="inlineStr">
        <is>
          <t>'ChapterMaster'!$B$6:$B$50</t>
        </is>
      </c>
    </row>
    <row r="135">
      <c r="B135" s="14" t="inlineStr">
        <is>
          <t>nrCHname</t>
        </is>
      </c>
      <c r="C135" s="2" t="inlineStr">
        <is>
          <t>'ChapterMaster'!$D$6:$D$50</t>
        </is>
      </c>
    </row>
    <row r="136">
      <c r="B136" s="14" t="inlineStr">
        <is>
          <t>nrCHnum</t>
        </is>
      </c>
      <c r="C136" s="2" t="inlineStr">
        <is>
          <t>'ChapterMaster'!$C$6:$C$50</t>
        </is>
      </c>
    </row>
    <row r="137">
      <c r="B137" s="14" t="inlineStr">
        <is>
          <t>nrCHplan</t>
        </is>
      </c>
      <c r="C137" s="2" t="inlineStr">
        <is>
          <t>'ChapterMaster'!$F$6:$F$50</t>
        </is>
      </c>
    </row>
    <row r="138">
      <c r="B138" s="14" t="inlineStr">
        <is>
          <t>nrCHsignin</t>
        </is>
      </c>
      <c r="C138" s="2" t="inlineStr">
        <is>
          <t>'ChapterMaster'!$N$6:$N$50</t>
        </is>
      </c>
    </row>
    <row r="139">
      <c r="B139" s="14" t="inlineStr">
        <is>
          <t>nrCHspecial</t>
        </is>
      </c>
      <c r="C139" s="2" t="inlineStr">
        <is>
          <t>'ChapterMaster'!$S$6:$S$50</t>
        </is>
      </c>
    </row>
    <row r="140">
      <c r="B140" s="14" t="inlineStr">
        <is>
          <t>nrCHspecialMet</t>
        </is>
      </c>
      <c r="C140" s="2" t="inlineStr">
        <is>
          <t>'ChapterMaster'!$T$6:$T$50</t>
        </is>
      </c>
    </row>
    <row r="141">
      <c r="B141" s="14" t="inlineStr">
        <is>
          <t>nrCHtotalDelivered</t>
        </is>
      </c>
      <c r="C141" s="2" t="inlineStr">
        <is>
          <t>'ChapterMaster'!$G$52</t>
        </is>
      </c>
    </row>
    <row r="142">
      <c r="B142" s="14" t="inlineStr">
        <is>
          <t>nrCKblocking</t>
        </is>
      </c>
      <c r="C142" s="2" t="inlineStr">
        <is>
          <t>'sysChecks'!$O$6:$O$55</t>
        </is>
      </c>
    </row>
    <row r="143">
      <c r="B143" s="14" t="inlineStr">
        <is>
          <t>nrCKdismissRev</t>
        </is>
      </c>
      <c r="C143" s="2" t="inlineStr">
        <is>
          <t>'sysChecks'!$M$6:$M$55</t>
        </is>
      </c>
    </row>
    <row r="144">
      <c r="B144" s="14" t="inlineStr">
        <is>
          <t>nrCKenrollDocs</t>
        </is>
      </c>
      <c r="C144" s="2" t="inlineStr">
        <is>
          <t>'sysChecks'!$W$6:$W$55</t>
        </is>
      </c>
    </row>
    <row r="145">
      <c r="B145" s="14" t="inlineStr">
        <is>
          <t>nrCKexamsPending</t>
        </is>
      </c>
      <c r="C145" s="2" t="inlineStr">
        <is>
          <t>'sysChecks'!$V$6:$V$55</t>
        </is>
      </c>
    </row>
    <row r="146">
      <c r="B146" s="14" t="inlineStr">
        <is>
          <t>nrCKexamsRecorded</t>
        </is>
      </c>
      <c r="C146" s="2" t="inlineStr">
        <is>
          <t>'sysChecks'!$R$6:$R$55</t>
        </is>
      </c>
    </row>
    <row r="147">
      <c r="B147" s="14" t="inlineStr">
        <is>
          <t>nrCKfinalExamElig</t>
        </is>
      </c>
      <c r="C147" s="2" t="inlineStr">
        <is>
          <t>'sysChecks'!$P$6:$P$55</t>
        </is>
      </c>
    </row>
    <row r="148">
      <c r="B148" s="14" t="inlineStr">
        <is>
          <t>nrCKfirearmsCoF</t>
        </is>
      </c>
      <c r="C148" s="2" t="inlineStr">
        <is>
          <t>'sysChecks'!$T$6:$T$55</t>
        </is>
      </c>
    </row>
    <row r="149">
      <c r="B149" s="14" t="inlineStr">
        <is>
          <t>nrCKgradElig</t>
        </is>
      </c>
      <c r="C149" s="2" t="inlineStr">
        <is>
          <t>'sysChecks'!$N$6:$N$55</t>
        </is>
      </c>
    </row>
    <row r="150">
      <c r="B150" s="14" t="inlineStr">
        <is>
          <t>nrCKopenReviews</t>
        </is>
      </c>
      <c r="C150" s="2" t="inlineStr">
        <is>
          <t>'sysChecks'!$U$6:$U$55</t>
        </is>
      </c>
    </row>
    <row r="151">
      <c r="B151" s="14" t="inlineStr">
        <is>
          <t>nrCKskillsAssessed</t>
        </is>
      </c>
      <c r="C151" s="2" t="inlineStr">
        <is>
          <t>'sysChecks'!$S$6:$S$55</t>
        </is>
      </c>
    </row>
    <row r="152">
      <c r="B152" s="14" t="inlineStr">
        <is>
          <t>nrCO_Date</t>
        </is>
      </c>
      <c r="C152" s="2" t="inlineStr">
        <is>
          <t>'Counseling'!$C$6:$C$405</t>
        </is>
      </c>
    </row>
    <row r="153">
      <c r="B153" s="14" t="inlineStr">
        <is>
          <t>nrCO_Desc</t>
        </is>
      </c>
      <c r="C153" s="2" t="inlineStr">
        <is>
          <t>'Counseling'!$H$6:$H$405</t>
        </is>
      </c>
    </row>
    <row r="154">
      <c r="B154" s="14" t="inlineStr">
        <is>
          <t>nrCO_PID</t>
        </is>
      </c>
      <c r="C154" s="2" t="inlineStr">
        <is>
          <t>'Counseling'!$E$6:$E$405</t>
        </is>
      </c>
    </row>
    <row r="155">
      <c r="B155" s="14" t="inlineStr">
        <is>
          <t>nrCO_Report</t>
        </is>
      </c>
      <c r="C155" s="2" t="inlineStr">
        <is>
          <t>'Counseling'!$J$6:$J$405</t>
        </is>
      </c>
    </row>
    <row r="156">
      <c r="B156" s="14" t="inlineStr">
        <is>
          <t>nrCO_Status</t>
        </is>
      </c>
      <c r="C156" s="2" t="inlineStr">
        <is>
          <t>'Counseling'!$M$6:$M$405</t>
        </is>
      </c>
    </row>
    <row r="157">
      <c r="B157" s="14" t="inlineStr">
        <is>
          <t>nrCO_Type</t>
        </is>
      </c>
      <c r="C157" s="2" t="inlineStr">
        <is>
          <t>'Counseling'!$F$6:$F$405</t>
        </is>
      </c>
    </row>
    <row r="158">
      <c r="B158" s="14" t="inlineStr">
        <is>
          <t>nrCadetAgency</t>
        </is>
      </c>
      <c r="C158" s="2" t="inlineStr">
        <is>
          <t>'Cadets'!$H$6:$H$55</t>
        </is>
      </c>
    </row>
    <row r="159">
      <c r="B159" s="14" t="inlineStr">
        <is>
          <t>nrCadetAgencyID</t>
        </is>
      </c>
      <c r="C159" s="2" t="inlineStr">
        <is>
          <t>'Cadets'!$G$6:$G$55</t>
        </is>
      </c>
    </row>
    <row r="160">
      <c r="B160" s="14" t="inlineStr">
        <is>
          <t>nrCadetStatus</t>
        </is>
      </c>
      <c r="C160" s="2" t="inlineStr">
        <is>
          <t>'Cadets'!$I$6:$I$55</t>
        </is>
      </c>
    </row>
    <row r="161">
      <c r="B161" s="14" t="inlineStr">
        <is>
          <t>nrDIS_Approval</t>
        </is>
      </c>
      <c r="C161" s="2" t="inlineStr">
        <is>
          <t>'DismissalLog'!$K$6:$K$105</t>
        </is>
      </c>
    </row>
    <row r="162">
      <c r="B162" s="14" t="inlineStr">
        <is>
          <t>nrDIS_Closes</t>
        </is>
      </c>
      <c r="C162" s="2" t="inlineStr">
        <is>
          <t>'DismissalLog'!$P$6:$P$105</t>
        </is>
      </c>
    </row>
    <row r="163">
      <c r="B163" s="14" t="inlineStr">
        <is>
          <t>nrDIS_Outcome</t>
        </is>
      </c>
      <c r="C163" s="2" t="inlineStr">
        <is>
          <t>'DismissalLog'!$J$6:$J$105</t>
        </is>
      </c>
    </row>
    <row r="164">
      <c r="B164" s="14" t="inlineStr">
        <is>
          <t>nrDIS_PID</t>
        </is>
      </c>
      <c r="C164" s="2" t="inlineStr">
        <is>
          <t>'DismissalLog'!$D$6:$D$105</t>
        </is>
      </c>
    </row>
    <row r="165">
      <c r="B165" s="14" t="inlineStr">
        <is>
          <t>nrDL_Date</t>
        </is>
      </c>
      <c r="C165" s="2" t="inlineStr">
        <is>
          <t>'DailyLog'!$B$6:$B$175</t>
        </is>
      </c>
    </row>
    <row r="166">
      <c r="B166" s="14" t="inlineStr">
        <is>
          <t>nrELagency</t>
        </is>
      </c>
      <c r="C166" s="2" t="inlineStr">
        <is>
          <t>'EmailLog'!$C$6:$C$505</t>
        </is>
      </c>
    </row>
    <row r="167">
      <c r="B167" s="14" t="inlineStr">
        <is>
          <t>nrELdate</t>
        </is>
      </c>
      <c r="C167" s="2" t="inlineStr">
        <is>
          <t>'EmailLog'!$B$6:$B$505</t>
        </is>
      </c>
    </row>
    <row r="168">
      <c r="B168" s="14" t="inlineStr">
        <is>
          <t>nrENRall</t>
        </is>
      </c>
      <c r="C168" s="2" t="inlineStr">
        <is>
          <t>'Audit'!$J$73:$J$122</t>
        </is>
      </c>
    </row>
    <row r="169">
      <c r="B169" s="14" t="inlineStr">
        <is>
          <t>nrEPVgrid</t>
        </is>
      </c>
      <c r="C169" s="2" t="inlineStr">
        <is>
          <t>'EmailPreview'!$B$9:$J$58</t>
        </is>
      </c>
    </row>
    <row r="170">
      <c r="B170" s="14" t="inlineStr">
        <is>
          <t>nrEPVsinceRow</t>
        </is>
      </c>
      <c r="C170" s="2" t="inlineStr">
        <is>
          <t>'EmailPreview'!$B$62</t>
        </is>
      </c>
    </row>
    <row r="171">
      <c r="B171" s="14" t="inlineStr">
        <is>
          <t>nrES_Absence</t>
        </is>
      </c>
      <c r="C171" s="2" t="inlineStr">
        <is>
          <t>'ExamScores'!$Y$6:$Y$1505</t>
        </is>
      </c>
    </row>
    <row r="172">
      <c r="B172" s="14" t="inlineStr">
        <is>
          <t>nrES_Att</t>
        </is>
      </c>
      <c r="C172" s="2" t="inlineStr">
        <is>
          <t>'ExamScores'!$K$6:$K$1505</t>
        </is>
      </c>
    </row>
    <row r="173">
      <c r="B173" s="14" t="inlineStr">
        <is>
          <t>nrES_AttPass</t>
        </is>
      </c>
      <c r="C173" s="2" t="inlineStr">
        <is>
          <t>'ExamScores'!$N$6:$N$1505</t>
        </is>
      </c>
    </row>
    <row r="174">
      <c r="B174" s="14" t="inlineStr">
        <is>
          <t>nrES_Code</t>
        </is>
      </c>
      <c r="C174" s="2" t="inlineStr">
        <is>
          <t>'ExamScores'!$F$6:$F$1505</t>
        </is>
      </c>
    </row>
    <row r="175">
      <c r="B175" s="14" t="inlineStr">
        <is>
          <t>nrES_Date</t>
        </is>
      </c>
      <c r="C175" s="2" t="inlineStr">
        <is>
          <t>'ExamScores'!$S$6:$S$1505</t>
        </is>
      </c>
    </row>
    <row r="176">
      <c r="B176" s="14" t="inlineStr">
        <is>
          <t>nrES_Dis</t>
        </is>
      </c>
      <c r="C176" s="2" t="inlineStr">
        <is>
          <t>'ExamScores'!$R$6:$R$1505</t>
        </is>
      </c>
    </row>
    <row r="177">
      <c r="B177" s="14" t="inlineStr">
        <is>
          <t>nrES_Final</t>
        </is>
      </c>
      <c r="C177" s="2" t="inlineStr">
        <is>
          <t>'ExamScores'!$P$6:$P$1505</t>
        </is>
      </c>
    </row>
    <row r="178">
      <c r="B178" s="14" t="inlineStr">
        <is>
          <t>nrES_PID</t>
        </is>
      </c>
      <c r="C178" s="2" t="inlineStr">
        <is>
          <t>'ExamScores'!$D$6:$D$1505</t>
        </is>
      </c>
    </row>
    <row r="179">
      <c r="B179" s="14" t="inlineStr">
        <is>
          <t>nrES_Raw</t>
        </is>
      </c>
      <c r="C179" s="2" t="inlineStr">
        <is>
          <t>'ExamScores'!$L$6:$L$1505</t>
        </is>
      </c>
    </row>
    <row r="180">
      <c r="B180" s="14" t="inlineStr">
        <is>
          <t>nrES_Rec</t>
        </is>
      </c>
      <c r="C180" s="2" t="inlineStr">
        <is>
          <t>'ExamScores'!$M$6:$M$1505</t>
        </is>
      </c>
    </row>
    <row r="181">
      <c r="B181" s="14" t="inlineStr">
        <is>
          <t>nrES_RecID</t>
        </is>
      </c>
      <c r="C181" s="2" t="inlineStr">
        <is>
          <t>'ExamScores'!$B$6:$B$1505</t>
        </is>
      </c>
    </row>
    <row r="182">
      <c r="B182" s="14" t="inlineStr">
        <is>
          <t>nrES_RetDue</t>
        </is>
      </c>
      <c r="C182" s="2" t="inlineStr">
        <is>
          <t>'ExamScores'!$T$6:$T$1505</t>
        </is>
      </c>
    </row>
    <row r="183">
      <c r="B183" s="14" t="inlineStr">
        <is>
          <t>nrES_RetReq</t>
        </is>
      </c>
      <c r="C183" s="2" t="inlineStr">
        <is>
          <t>'ExamScores'!$Q$6:$Q$1505</t>
        </is>
      </c>
    </row>
    <row r="184">
      <c r="B184" s="14" t="inlineStr">
        <is>
          <t>nrES_RetStat</t>
        </is>
      </c>
      <c r="C184" s="2" t="inlineStr">
        <is>
          <t>'ExamScores'!$U$6:$U$1505</t>
        </is>
      </c>
    </row>
    <row r="185">
      <c r="B185" s="14" t="inlineStr">
        <is>
          <t>nrES_RowCheck</t>
        </is>
      </c>
      <c r="C185" s="2" t="inlineStr">
        <is>
          <t>'ExamScores'!$X$6:$X$1505</t>
        </is>
      </c>
    </row>
    <row r="186">
      <c r="B186" s="14" t="inlineStr">
        <is>
          <t>nrES_Seq</t>
        </is>
      </c>
      <c r="C186" s="2" t="inlineStr">
        <is>
          <t>'ExamScores'!$I$6:$I$1505</t>
        </is>
      </c>
    </row>
    <row r="187">
      <c r="B187" s="14" t="inlineStr">
        <is>
          <t>nrES_Type</t>
        </is>
      </c>
      <c r="C187" s="2" t="inlineStr">
        <is>
          <t>'ExamScores'!$H$6:$H$1505</t>
        </is>
      </c>
    </row>
    <row r="188">
      <c r="B188" s="14" t="inlineStr">
        <is>
          <t>nrExtraClosureCheck</t>
        </is>
      </c>
      <c r="C188" s="2" t="inlineStr">
        <is>
          <t>'Control'!$G$6:$G$20</t>
        </is>
      </c>
    </row>
    <row r="189">
      <c r="B189" s="14" t="inlineStr">
        <is>
          <t>nrExtraClosures</t>
        </is>
      </c>
      <c r="C189" s="2" t="inlineStr">
        <is>
          <t>'Control'!$F$6:$F$20</t>
        </is>
      </c>
    </row>
    <row r="190">
      <c r="B190" s="14" t="inlineStr">
        <is>
          <t>nrFLcount</t>
        </is>
      </c>
      <c r="C190" s="2" t="inlineStr">
        <is>
          <t>'sysFlags'!$S$6:$S$55</t>
        </is>
      </c>
    </row>
    <row r="191">
      <c r="B191" s="14" t="inlineStr">
        <is>
          <t>nrFLmissedExam</t>
        </is>
      </c>
      <c r="C191" s="2" t="inlineStr">
        <is>
          <t>'sysFlags'!$U$6:$U$55</t>
        </is>
      </c>
    </row>
    <row r="192">
      <c r="B192" s="14" t="inlineStr">
        <is>
          <t>nrFLreasons</t>
        </is>
      </c>
      <c r="C192" s="2" t="inlineStr">
        <is>
          <t>'sysFlags'!$T$6:$T$55</t>
        </is>
      </c>
    </row>
    <row r="193">
      <c r="B193" s="14" t="inlineStr">
        <is>
          <t>nrGRacademic</t>
        </is>
      </c>
      <c r="C193" s="2" t="inlineStr">
        <is>
          <t>'sysGrades'!$V$6:$V$55</t>
        </is>
      </c>
    </row>
    <row r="194">
      <c r="B194" s="14" t="inlineStr">
        <is>
          <t>nrGRconsec</t>
        </is>
      </c>
      <c r="C194" s="2" t="inlineStr">
        <is>
          <t>'sysGrades'!$AC$6:$AC$55</t>
        </is>
      </c>
    </row>
    <row r="195">
      <c r="B195" s="14" t="inlineStr">
        <is>
          <t>nrGRcurrent</t>
        </is>
      </c>
      <c r="C195" s="2" t="inlineStr">
        <is>
          <t>'sysGrades'!$M$6:$M$55</t>
        </is>
      </c>
    </row>
    <row r="196">
      <c r="B196" s="14" t="inlineStr">
        <is>
          <t>nrGRdisrev</t>
        </is>
      </c>
      <c r="C196" s="2" t="inlineStr">
        <is>
          <t>'sysGrades'!$P$6:$P$55</t>
        </is>
      </c>
    </row>
    <row r="197">
      <c r="B197" s="14" t="inlineStr">
        <is>
          <t>nrGRfinal</t>
        </is>
      </c>
      <c r="C197" s="2" t="inlineStr">
        <is>
          <t>'sysGrades'!$N$6:$N$55</t>
        </is>
      </c>
    </row>
    <row r="198">
      <c r="B198" s="14" t="inlineStr">
        <is>
          <t>nrGRfinalExam</t>
        </is>
      </c>
      <c r="C198" s="2" t="inlineStr">
        <is>
          <t>'sysGrades'!$L$6:$L$55</t>
        </is>
      </c>
    </row>
    <row r="199">
      <c r="B199" s="14" t="inlineStr">
        <is>
          <t>nrGRgradedrop</t>
        </is>
      </c>
      <c r="C199" s="2" t="inlineStr">
        <is>
          <t>'sysGrades'!$AB$6:$AB$55</t>
        </is>
      </c>
    </row>
    <row r="200">
      <c r="B200" s="14" t="inlineStr">
        <is>
          <t>nrGRmajavg</t>
        </is>
      </c>
      <c r="C200" s="2" t="inlineStr">
        <is>
          <t>'sysGrades'!$I$6:$I$55</t>
        </is>
      </c>
    </row>
    <row r="201">
      <c r="B201" s="14" t="inlineStr">
        <is>
          <t>nrGRminavg</t>
        </is>
      </c>
      <c r="C201" s="2" t="inlineStr">
        <is>
          <t>'sysGrades'!$J$6:$J$55</t>
        </is>
      </c>
    </row>
    <row r="202">
      <c r="B202" s="14" t="inlineStr">
        <is>
          <t>nrGRrank</t>
        </is>
      </c>
      <c r="C202" s="2" t="inlineStr">
        <is>
          <t>'sysGrades'!$U$6:$U$55</t>
        </is>
      </c>
    </row>
    <row r="203">
      <c r="B203" s="14" t="inlineStr">
        <is>
          <t>nrGRretakes</t>
        </is>
      </c>
      <c r="C203" s="2" t="inlineStr">
        <is>
          <t>'sysGrades'!$O$6:$O$55</t>
        </is>
      </c>
    </row>
    <row r="204">
      <c r="B204" s="14" t="inlineStr">
        <is>
          <t>nrHolidays1</t>
        </is>
      </c>
      <c r="C204" s="2" t="inlineStr">
        <is>
          <t>'Control'!$C$6:$C$16</t>
        </is>
      </c>
    </row>
    <row r="205">
      <c r="B205" s="14" t="inlineStr">
        <is>
          <t>nrHolidays2</t>
        </is>
      </c>
      <c r="C205" s="2" t="inlineStr">
        <is>
          <t>'Control'!$D$6:$D$16</t>
        </is>
      </c>
    </row>
    <row r="206">
      <c r="B206" s="14" t="inlineStr">
        <is>
          <t>nrINCelig</t>
        </is>
      </c>
      <c r="C206" s="2" t="inlineStr">
        <is>
          <t>'sysIncidents'!$K$6:$K$55</t>
        </is>
      </c>
    </row>
    <row r="207">
      <c r="B207" s="14" t="inlineStr">
        <is>
          <t>nrINCopenNeg</t>
        </is>
      </c>
      <c r="C207" s="2" t="inlineStr">
        <is>
          <t>'sysIncidents'!$H$6:$H$55</t>
        </is>
      </c>
    </row>
    <row r="208">
      <c r="B208" s="14" t="inlineStr">
        <is>
          <t>nrIN_Chain</t>
        </is>
      </c>
      <c r="C208" s="2" t="inlineStr">
        <is>
          <t>'Incidents'!$L$6:$L$405</t>
        </is>
      </c>
    </row>
    <row r="209">
      <c r="B209" s="14" t="inlineStr">
        <is>
          <t>nrIN_Date</t>
        </is>
      </c>
      <c r="C209" s="2" t="inlineStr">
        <is>
          <t>'Incidents'!$C$6:$C$405</t>
        </is>
      </c>
    </row>
    <row r="210">
      <c r="B210" s="14" t="inlineStr">
        <is>
          <t>nrIN_Desc</t>
        </is>
      </c>
      <c r="C210" s="2" t="inlineStr">
        <is>
          <t>'Incidents'!$I$6:$I$405</t>
        </is>
      </c>
    </row>
    <row r="211">
      <c r="B211" s="14" t="inlineStr">
        <is>
          <t>nrIN_Dir</t>
        </is>
      </c>
      <c r="C211" s="2" t="inlineStr">
        <is>
          <t>'Incidents'!$F$6:$F$405</t>
        </is>
      </c>
    </row>
    <row r="212">
      <c r="B212" s="14" t="inlineStr">
        <is>
          <t>nrIN_PID</t>
        </is>
      </c>
      <c r="C212" s="2" t="inlineStr">
        <is>
          <t>'Incidents'!$E$6:$E$405</t>
        </is>
      </c>
    </row>
    <row r="213">
      <c r="B213" s="14" t="inlineStr">
        <is>
          <t>nrIN_Report</t>
        </is>
      </c>
      <c r="C213" s="2" t="inlineStr">
        <is>
          <t>'Incidents'!$O$6:$O$405</t>
        </is>
      </c>
    </row>
    <row r="214">
      <c r="B214" s="14" t="inlineStr">
        <is>
          <t>nrIN_Res</t>
        </is>
      </c>
      <c r="C214" s="2" t="inlineStr">
        <is>
          <t>'Incidents'!$M$6:$M$405</t>
        </is>
      </c>
    </row>
    <row r="215">
      <c r="B215" s="14" t="inlineStr">
        <is>
          <t>nrIN_Sev</t>
        </is>
      </c>
      <c r="C215" s="2" t="inlineStr">
        <is>
          <t>'Incidents'!$G$6:$G$405</t>
        </is>
      </c>
    </row>
    <row r="216">
      <c r="B216" s="14" t="inlineStr">
        <is>
          <t>nrInstrCertStat</t>
        </is>
      </c>
      <c r="C216" s="2" t="inlineStr">
        <is>
          <t>'Instructors'!$O$6:$O$95</t>
        </is>
      </c>
    </row>
    <row r="217">
      <c r="B217" s="14" t="inlineStr">
        <is>
          <t>nrInstrChTaught</t>
        </is>
      </c>
      <c r="C217" s="2" t="inlineStr">
        <is>
          <t>'Instructors'!$M$6:$M$95</t>
        </is>
      </c>
    </row>
    <row r="218">
      <c r="B218" s="14" t="inlineStr">
        <is>
          <t>nrInstrLastTaught</t>
        </is>
      </c>
      <c r="C218" s="2" t="inlineStr">
        <is>
          <t>'Instructors'!$N$6:$N$95</t>
        </is>
      </c>
    </row>
    <row r="219">
      <c r="B219" s="14" t="inlineStr">
        <is>
          <t>nrInstrNames</t>
        </is>
      </c>
      <c r="C219" s="2" t="inlineStr">
        <is>
          <t>'Instructors'!$B$6:$B$95</t>
        </is>
      </c>
    </row>
    <row r="220">
      <c r="B220" s="14" t="inlineStr">
        <is>
          <t>nrInstrOnSched</t>
        </is>
      </c>
      <c r="C220" s="2" t="inlineStr">
        <is>
          <t>'Instructors'!$L$6:$L$95</t>
        </is>
      </c>
    </row>
    <row r="221">
      <c r="B221" s="14" t="inlineStr">
        <is>
          <t>nrInstrReady</t>
        </is>
      </c>
      <c r="C221" s="2" t="inlineStr">
        <is>
          <t>'Instructors'!$K$6:$K$95</t>
        </is>
      </c>
    </row>
    <row r="222">
      <c r="B222" s="14" t="inlineStr">
        <is>
          <t>nrMD_PID</t>
        </is>
      </c>
      <c r="C222" s="2" t="inlineStr">
        <is>
          <t>'Medical'!$E$6:$E$205</t>
        </is>
      </c>
    </row>
    <row r="223">
      <c r="B223" s="14" t="inlineStr">
        <is>
          <t>nrMD_Restr</t>
        </is>
      </c>
      <c r="C223" s="2" t="inlineStr">
        <is>
          <t>'Medical'!$H$6:$H$205</t>
        </is>
      </c>
    </row>
    <row r="224">
      <c r="B224" s="14" t="inlineStr">
        <is>
          <t>nrMD_Status</t>
        </is>
      </c>
      <c r="C224" s="2" t="inlineStr">
        <is>
          <t>'Medical'!$M$6:$M$205</t>
        </is>
      </c>
    </row>
    <row r="225">
      <c r="B225" s="14" t="inlineStr">
        <is>
          <t>nrME_Assigned</t>
        </is>
      </c>
      <c r="C225" s="2" t="inlineStr">
        <is>
          <t>'Memos'!$C$6:$C$305</t>
        </is>
      </c>
    </row>
    <row r="226">
      <c r="B226" s="14" t="inlineStr">
        <is>
          <t>nrME_Cadet</t>
        </is>
      </c>
      <c r="C226" s="2" t="inlineStr">
        <is>
          <t>'Memos'!$D$6:$D$305</t>
        </is>
      </c>
    </row>
    <row r="227">
      <c r="B227" s="14" t="inlineStr">
        <is>
          <t>nrME_Due</t>
        </is>
      </c>
      <c r="C227" s="2" t="inlineStr">
        <is>
          <t>'Memos'!$J$6:$J$305</t>
        </is>
      </c>
    </row>
    <row r="228">
      <c r="B228" s="14" t="inlineStr">
        <is>
          <t>nrME_PID</t>
        </is>
      </c>
      <c r="C228" s="2" t="inlineStr">
        <is>
          <t>'Memos'!$E$6:$E$305</t>
        </is>
      </c>
    </row>
    <row r="229">
      <c r="B229" s="14" t="inlineStr">
        <is>
          <t>nrME_Received</t>
        </is>
      </c>
      <c r="C229" s="2" t="inlineStr">
        <is>
          <t>'Memos'!$K$6:$K$305</t>
        </is>
      </c>
    </row>
    <row r="230">
      <c r="B230" s="14" t="inlineStr">
        <is>
          <t>nrME_Ref</t>
        </is>
      </c>
      <c r="C230" s="2" t="inlineStr">
        <is>
          <t>'Memos'!$F$6:$F$305</t>
        </is>
      </c>
    </row>
    <row r="231">
      <c r="B231" s="14" t="inlineStr">
        <is>
          <t>nrME_Report</t>
        </is>
      </c>
      <c r="C231" s="2" t="inlineStr">
        <is>
          <t>'Memos'!$M$6:$M$305</t>
        </is>
      </c>
    </row>
    <row r="232">
      <c r="B232" s="14" t="inlineStr">
        <is>
          <t>nrME_Status</t>
        </is>
      </c>
      <c r="C232" s="2" t="inlineStr">
        <is>
          <t>'Memos'!$L$6:$L$305</t>
        </is>
      </c>
    </row>
    <row r="233">
      <c r="B233" s="14" t="inlineStr">
        <is>
          <t>nrME_Subject</t>
        </is>
      </c>
      <c r="C233" s="2" t="inlineStr">
        <is>
          <t>'Memos'!$G$6:$G$305</t>
        </is>
      </c>
    </row>
    <row r="234">
      <c r="B234" s="14" t="inlineStr">
        <is>
          <t>nrMK_Credit</t>
        </is>
      </c>
      <c r="C234" s="2" t="inlineStr">
        <is>
          <t>'Makeup'!$L$6:$L$505</t>
        </is>
      </c>
    </row>
    <row r="235">
      <c r="B235" s="14" t="inlineStr">
        <is>
          <t>nrMK_Date</t>
        </is>
      </c>
      <c r="C235" s="2" t="inlineStr">
        <is>
          <t>'Makeup'!$C$6:$C$505</t>
        </is>
      </c>
    </row>
    <row r="236">
      <c r="B236" s="14" t="inlineStr">
        <is>
          <t>nrMK_Link</t>
        </is>
      </c>
      <c r="C236" s="2" t="inlineStr">
        <is>
          <t>'Makeup'!$I$6:$I$505</t>
        </is>
      </c>
    </row>
    <row r="237">
      <c r="B237" s="14" t="inlineStr">
        <is>
          <t>nrMK_Min</t>
        </is>
      </c>
      <c r="C237" s="2" t="inlineStr">
        <is>
          <t>'Makeup'!$G$6:$G$505</t>
        </is>
      </c>
    </row>
    <row r="238">
      <c r="B238" s="14" t="inlineStr">
        <is>
          <t>nrMK_PID</t>
        </is>
      </c>
      <c r="C238" s="2" t="inlineStr">
        <is>
          <t>'Makeup'!$E$6:$E$505</t>
        </is>
      </c>
    </row>
    <row r="239">
      <c r="B239" s="14" t="inlineStr">
        <is>
          <t>nrMK_RowCheck</t>
        </is>
      </c>
      <c r="C239" s="2" t="inlineStr">
        <is>
          <t>'Makeup'!$N$6:$N$505</t>
        </is>
      </c>
    </row>
    <row r="240">
      <c r="B240" s="14" t="inlineStr">
        <is>
          <t>nrMK_Sess</t>
        </is>
      </c>
      <c r="C240" s="2" t="inlineStr">
        <is>
          <t>'Makeup'!$H$6:$H$505</t>
        </is>
      </c>
    </row>
    <row r="241">
      <c r="B241" s="14" t="inlineStr">
        <is>
          <t>nrMK_Type</t>
        </is>
      </c>
      <c r="C241" s="2" t="inlineStr">
        <is>
          <t>'Makeup'!$F$6:$F$505</t>
        </is>
      </c>
    </row>
    <row r="242">
      <c r="B242" s="14" t="inlineStr">
        <is>
          <t>nrPRGitems</t>
        </is>
      </c>
      <c r="C242" s="2" t="inlineStr">
        <is>
          <t>'Audit'!$B$52:$B$69</t>
        </is>
      </c>
    </row>
    <row r="243">
      <c r="B243" s="14" t="inlineStr">
        <is>
          <t>nrPRGmet</t>
        </is>
      </c>
      <c r="C243" s="2" t="inlineStr">
        <is>
          <t>'Audit'!$F$52:$F$69</t>
        </is>
      </c>
    </row>
    <row r="244">
      <c r="B244" s="14" t="inlineStr">
        <is>
          <t>nrPTBandEvents</t>
        </is>
      </c>
      <c r="C244" s="2" t="inlineStr">
        <is>
          <t>'Settings'!$B$44:$B$48</t>
        </is>
      </c>
    </row>
    <row r="245">
      <c r="B245" s="14" t="inlineStr">
        <is>
          <t>nrPTBands</t>
        </is>
      </c>
      <c r="C245" s="2" t="inlineStr">
        <is>
          <t>'Settings'!$D$44:$H$48</t>
        </is>
      </c>
    </row>
    <row r="246">
      <c r="B246" s="14" t="inlineStr">
        <is>
          <t>nrPTTierPts</t>
        </is>
      </c>
      <c r="C246" s="2" t="inlineStr">
        <is>
          <t>'Settings'!$D$43:$H$43</t>
        </is>
      </c>
    </row>
    <row r="247">
      <c r="B247" s="14" t="inlineStr">
        <is>
          <t>nrPT_BasePass</t>
        </is>
      </c>
      <c r="C247" s="2" t="inlineStr">
        <is>
          <t>'PT'!$K$6:$K$55</t>
        </is>
      </c>
    </row>
    <row r="248">
      <c r="B248" s="14" t="inlineStr">
        <is>
          <t>nrPT_FinalPass</t>
        </is>
      </c>
      <c r="C248" s="2" t="inlineStr">
        <is>
          <t>'PT'!$AB$6:$AB$55</t>
        </is>
      </c>
    </row>
    <row r="249">
      <c r="B249" s="14" t="inlineStr">
        <is>
          <t>nrPT_FinalPts</t>
        </is>
      </c>
      <c r="C249" s="2" t="inlineStr">
        <is>
          <t>'PT'!$AA$6:$AA$55</t>
        </is>
      </c>
    </row>
    <row r="250">
      <c r="B250" s="14" t="inlineStr">
        <is>
          <t>nrPT_Improve</t>
        </is>
      </c>
      <c r="C250" s="2" t="inlineStr">
        <is>
          <t>'PT'!$AC$6:$AC$55</t>
        </is>
      </c>
    </row>
    <row r="251">
      <c r="B251" s="14" t="inlineStr">
        <is>
          <t>nrSCH_Act</t>
        </is>
      </c>
      <c r="C251" s="2" t="inlineStr">
        <is>
          <t>'Schedule'!$G$6:$G$905</t>
        </is>
      </c>
    </row>
    <row r="252">
      <c r="B252" s="14" t="inlineStr">
        <is>
          <t>nrSCH_BankOK</t>
        </is>
      </c>
      <c r="C252" s="2" t="inlineStr">
        <is>
          <t>'Schedule'!$P$6:$P$905</t>
        </is>
      </c>
    </row>
    <row r="253">
      <c r="B253" s="14" t="inlineStr">
        <is>
          <t>nrSCH_ChNum</t>
        </is>
      </c>
      <c r="C253" s="2" t="inlineStr">
        <is>
          <t>'Schedule'!$H$6:$H$905</t>
        </is>
      </c>
    </row>
    <row r="254">
      <c r="B254" s="14" t="inlineStr">
        <is>
          <t>nrSCH_Date</t>
        </is>
      </c>
      <c r="C254" s="2" t="inlineStr">
        <is>
          <t>'Schedule'!$B$6:$B$905</t>
        </is>
      </c>
    </row>
    <row r="255">
      <c r="B255" s="14" t="inlineStr">
        <is>
          <t>nrSCH_End</t>
        </is>
      </c>
      <c r="C255" s="2" t="inlineStr">
        <is>
          <t>'Schedule'!$E$6:$E$905</t>
        </is>
      </c>
    </row>
    <row r="256">
      <c r="B256" s="14" t="inlineStr">
        <is>
          <t>nrSCH_Hrs</t>
        </is>
      </c>
      <c r="C256" s="2" t="inlineStr">
        <is>
          <t>'Schedule'!$F$6:$F$905</t>
        </is>
      </c>
    </row>
    <row r="257">
      <c r="B257" s="14" t="inlineStr">
        <is>
          <t>nrSCH_Instr</t>
        </is>
      </c>
      <c r="C257" s="2" t="inlineStr">
        <is>
          <t>'Schedule'!$I$6:$I$905</t>
        </is>
      </c>
    </row>
    <row r="258">
      <c r="B258" s="14" t="inlineStr">
        <is>
          <t>nrSCH_InstrOK</t>
        </is>
      </c>
      <c r="C258" s="2" t="inlineStr">
        <is>
          <t>'Schedule'!$N$6:$N$905</t>
        </is>
      </c>
    </row>
    <row r="259">
      <c r="B259" s="14" t="inlineStr">
        <is>
          <t>nrSCH_Loc</t>
        </is>
      </c>
      <c r="C259" s="2" t="inlineStr">
        <is>
          <t>'Schedule'!$J$6:$J$905</t>
        </is>
      </c>
    </row>
    <row r="260">
      <c r="B260" s="14" t="inlineStr">
        <is>
          <t>nrSCH_Start</t>
        </is>
      </c>
      <c r="C260" s="2" t="inlineStr">
        <is>
          <t>'Schedule'!$D$6:$D$905</t>
        </is>
      </c>
    </row>
    <row r="261">
      <c r="B261" s="14" t="inlineStr">
        <is>
          <t>nrSCH_TimeCheck</t>
        </is>
      </c>
      <c r="C261" s="2" t="inlineStr">
        <is>
          <t>'Schedule'!$O$6:$O$905</t>
        </is>
      </c>
    </row>
    <row r="262">
      <c r="B262" s="14" t="inlineStr">
        <is>
          <t>nrSEstatus</t>
        </is>
      </c>
      <c r="C262" s="2" t="inlineStr">
        <is>
          <t>'StateExam'!$K$6:$K$55</t>
        </is>
      </c>
    </row>
    <row r="263">
      <c r="B263" s="14" t="inlineStr">
        <is>
          <t>nrSGclassavg</t>
        </is>
      </c>
      <c r="C263" s="2" t="inlineStr">
        <is>
          <t>'ScoresGrid'!$D$57:$AB$57</t>
        </is>
      </c>
    </row>
    <row r="264">
      <c r="B264" s="14" t="inlineStr">
        <is>
          <t>nrSKC_Failed</t>
        </is>
      </c>
      <c r="C264" s="2" t="inlineStr">
        <is>
          <t>'SkillsCheck'!$N$6:$N$55</t>
        </is>
      </c>
    </row>
    <row r="265">
      <c r="B265" s="14" t="inlineStr">
        <is>
          <t>nrSKC_NotAssessed</t>
        </is>
      </c>
      <c r="C265" s="2" t="inlineStr">
        <is>
          <t>'SkillsCheck'!$O$6:$O$55</t>
        </is>
      </c>
    </row>
    <row r="266">
      <c r="B266" s="14" t="inlineStr">
        <is>
          <t>nrSKC_OK</t>
        </is>
      </c>
      <c r="C266" s="2" t="inlineStr">
        <is>
          <t>'SkillsCheck'!$P$6:$P$55</t>
        </is>
      </c>
    </row>
    <row r="267">
      <c r="B267" s="14" t="inlineStr">
        <is>
          <t>nrSK_Att</t>
        </is>
      </c>
      <c r="C267" s="2" t="inlineStr">
        <is>
          <t>'Skills'!$I$6:$I$605</t>
        </is>
      </c>
    </row>
    <row r="268">
      <c r="B268" s="14" t="inlineStr">
        <is>
          <t>nrSK_Cat</t>
        </is>
      </c>
      <c r="C268" s="2" t="inlineStr">
        <is>
          <t>'Skills'!$E$6:$E$605</t>
        </is>
      </c>
    </row>
    <row r="269">
      <c r="B269" s="14" t="inlineStr">
        <is>
          <t>nrSK_CoF</t>
        </is>
      </c>
      <c r="C269" s="2" t="inlineStr">
        <is>
          <t>'Skills'!$R$6:$R$605</t>
        </is>
      </c>
    </row>
    <row r="270">
      <c r="B270" s="14" t="inlineStr">
        <is>
          <t>nrSK_Dis</t>
        </is>
      </c>
      <c r="C270" s="2" t="inlineStr">
        <is>
          <t>'Skills'!$P$6:$P$605</t>
        </is>
      </c>
    </row>
    <row r="271">
      <c r="B271" s="14" t="inlineStr">
        <is>
          <t>nrSK_PID</t>
        </is>
      </c>
      <c r="C271" s="2" t="inlineStr">
        <is>
          <t>'Skills'!$D$6:$D$605</t>
        </is>
      </c>
    </row>
    <row r="272">
      <c r="B272" s="14" t="inlineStr">
        <is>
          <t>nrSK_Res</t>
        </is>
      </c>
      <c r="C272" s="2" t="inlineStr">
        <is>
          <t>'Skills'!$J$6:$J$605</t>
        </is>
      </c>
    </row>
    <row r="273">
      <c r="B273" s="14" t="inlineStr">
        <is>
          <t>nrSK_RowCheck</t>
        </is>
      </c>
      <c r="C273" s="2" t="inlineStr">
        <is>
          <t>'Skills'!$S$6:$S$605</t>
        </is>
      </c>
    </row>
    <row r="274">
      <c r="B274" s="14" t="inlineStr">
        <is>
          <t>nrSK_Score</t>
        </is>
      </c>
      <c r="C274" s="2" t="inlineStr">
        <is>
          <t>'Skills'!$K$6:$K$605</t>
        </is>
      </c>
    </row>
    <row r="275">
      <c r="B275" s="14" t="inlineStr">
        <is>
          <t>nrSK_Status</t>
        </is>
      </c>
      <c r="C275" s="2" t="inlineStr">
        <is>
          <t>'Skills'!$O$6:$O$605</t>
        </is>
      </c>
    </row>
    <row r="276">
      <c r="B276" s="14" t="inlineStr">
        <is>
          <t>nrSKbothCoF</t>
        </is>
      </c>
      <c r="C276" s="2" t="inlineStr">
        <is>
          <t>'sysSkills'!$P$6:$P$55</t>
        </is>
      </c>
    </row>
    <row r="277">
      <c r="B277" s="14" t="inlineStr">
        <is>
          <t>nrSKelig</t>
        </is>
      </c>
      <c r="C277" s="2" t="inlineStr">
        <is>
          <t>'sysSkills'!$K$6:$K$55</t>
        </is>
      </c>
    </row>
    <row r="278">
      <c r="B278" s="14" t="inlineStr">
        <is>
          <t>nrSKfailedout</t>
        </is>
      </c>
      <c r="C278" s="2" t="inlineStr">
        <is>
          <t>'sysSkills'!$J$6:$J$55</t>
        </is>
      </c>
    </row>
    <row r="279">
      <c r="B279" s="14" t="inlineStr">
        <is>
          <t>nrSKfirearmsAvg</t>
        </is>
      </c>
      <c r="C279" s="2" t="inlineStr">
        <is>
          <t>'sysSkills'!$L$6:$L$55</t>
        </is>
      </c>
    </row>
    <row r="280">
      <c r="B280" s="14" t="inlineStr">
        <is>
          <t>nrSUBname</t>
        </is>
      </c>
      <c r="C280" s="2" t="inlineStr">
        <is>
          <t>'ChapterMaster'!$B$57:$B$71</t>
        </is>
      </c>
    </row>
    <row r="281">
      <c r="B281" s="14" t="inlineStr">
        <is>
          <t>nrSUBparent</t>
        </is>
      </c>
      <c r="C281" s="2" t="inlineStr">
        <is>
          <t>'ChapterMaster'!$E$57:$E$71</t>
        </is>
      </c>
    </row>
    <row r="282">
      <c r="B282" s="14" t="inlineStr">
        <is>
          <t>nrSUBtarget</t>
        </is>
      </c>
      <c r="C282" s="2" t="inlineStr">
        <is>
          <t>'ChapterMaster'!$F$57:$F$71</t>
        </is>
      </c>
    </row>
    <row r="283">
      <c r="B283" s="14" t="inlineStr">
        <is>
          <t>nrScheduleItems</t>
        </is>
      </c>
      <c r="C283" s="2" t="inlineStr">
        <is>
          <t>'sysListsHelper'!$B$6:$B$90</t>
        </is>
      </c>
    </row>
    <row r="284">
      <c r="B284" s="14" t="inlineStr">
        <is>
          <t>nrSpellAvg</t>
        </is>
      </c>
      <c r="C284" s="2" t="inlineStr">
        <is>
          <t>'Spelling'!$P$6:$P$55</t>
        </is>
      </c>
    </row>
    <row r="285">
      <c r="B285" s="14" t="inlineStr">
        <is>
          <t>nrSpellClassAvg</t>
        </is>
      </c>
      <c r="C285" s="2" t="inlineStr">
        <is>
          <t>'Spelling'!$D$58:$O$58</t>
        </is>
      </c>
    </row>
    <row r="286">
      <c r="B286" s="14" t="inlineStr">
        <is>
          <t>nrSpellCounts</t>
        </is>
      </c>
      <c r="C286" s="2" t="inlineStr">
        <is>
          <t>'Spelling'!$D$57:$O$57</t>
        </is>
      </c>
    </row>
    <row r="287">
      <c r="B287" s="14" t="inlineStr">
        <is>
          <t>nrSpellFlag</t>
        </is>
      </c>
      <c r="C287" s="2" t="inlineStr">
        <is>
          <t>'Spelling'!$R$6:$R$55</t>
        </is>
      </c>
    </row>
    <row r="288">
      <c r="B288" s="14" t="inlineStr">
        <is>
          <t>nrSpellRowCheck</t>
        </is>
      </c>
      <c r="C288" s="2" t="inlineStr">
        <is>
          <t>'Spelling'!$S$6:$S$55</t>
        </is>
      </c>
    </row>
    <row r="289">
      <c r="B289" s="14" t="inlineStr">
        <is>
          <t>nrSpellTaken</t>
        </is>
      </c>
      <c r="C289" s="2" t="inlineStr">
        <is>
          <t>'Spelling'!$Q$6:$Q$55</t>
        </is>
      </c>
    </row>
    <row r="290">
      <c r="B290" s="14" t="inlineStr">
        <is>
          <t>nrSpellTestNums</t>
        </is>
      </c>
      <c r="C290" s="2" t="inlineStr">
        <is>
          <t>'Spelling'!$D$59:$O$59</t>
        </is>
      </c>
    </row>
    <row r="291">
      <c r="B291" s="14" t="inlineStr">
        <is>
          <t>nrSpellWords</t>
        </is>
      </c>
      <c r="C291" s="2" t="inlineStr">
        <is>
          <t>'SpellingMaster'!$C$6:$N$30</t>
        </is>
      </c>
    </row>
    <row r="292">
      <c r="B292" s="14" t="inlineStr">
        <is>
          <t>nrWRcomplete</t>
        </is>
      </c>
      <c r="C292" s="2" t="inlineStr">
        <is>
          <t>'Writing'!$AR$6:$AR$55</t>
        </is>
      </c>
    </row>
    <row r="293">
      <c r="B293" s="14" t="inlineStr">
        <is>
          <t>nrWRcurrent</t>
        </is>
      </c>
      <c r="C293" s="2" t="inlineStr">
        <is>
          <t>'Writing'!$AT$6:$AT$55</t>
        </is>
      </c>
    </row>
    <row r="294">
      <c r="B294" s="14" t="inlineStr">
        <is>
          <t>nrWRoverdue</t>
        </is>
      </c>
      <c r="C294" s="2" t="inlineStr">
        <is>
          <t>'Writing'!$AS$6:$AS$55</t>
        </is>
      </c>
    </row>
    <row r="295">
      <c r="B295" s="14" t="inlineStr">
        <is>
          <t>rngAgencyActive</t>
        </is>
      </c>
      <c r="C295" s="2" t="inlineStr">
        <is>
          <t>'Agencies'!$H$6:$H$50</t>
        </is>
      </c>
    </row>
    <row r="296">
      <c r="B296" s="14" t="inlineStr">
        <is>
          <t>rngAgencyEmails</t>
        </is>
      </c>
      <c r="C296" s="2" t="inlineStr">
        <is>
          <t>'Agencies'!$E$6:$E$50</t>
        </is>
      </c>
    </row>
    <row r="297">
      <c r="B297" s="14" t="inlineStr">
        <is>
          <t>rngAgencyIDs</t>
        </is>
      </c>
      <c r="C297" s="2" t="inlineStr">
        <is>
          <t>'Agencies'!$B$6:$B$50</t>
        </is>
      </c>
    </row>
    <row r="298">
      <c r="B298" s="14" t="inlineStr">
        <is>
          <t>rngAgencyNames</t>
        </is>
      </c>
      <c r="C298" s="2" t="inlineStr">
        <is>
          <t>'Agencies'!$C$6:$C$50</t>
        </is>
      </c>
    </row>
    <row r="299">
      <c r="B299" s="14" t="inlineStr">
        <is>
          <t>rngCadetNames</t>
        </is>
      </c>
      <c r="C299" s="2" t="inlineStr">
        <is>
          <t>'Cadets'!$F$6:$F$55</t>
        </is>
      </c>
    </row>
    <row r="300">
      <c r="B300" s="14" t="inlineStr">
        <is>
          <t>rngCadetPIDs</t>
        </is>
      </c>
      <c r="C300" s="2" t="inlineStr">
        <is>
          <t>'Cadets'!$B$6:$B$55</t>
        </is>
      </c>
    </row>
    <row r="301">
      <c r="B301" s="14" t="inlineStr">
        <is>
          <t>rngEMcode</t>
        </is>
      </c>
      <c r="C301" s="2" t="inlineStr">
        <is>
          <t>'ExamMaster'!$B$6:$B$30</t>
        </is>
      </c>
    </row>
    <row r="302">
      <c r="B302" s="14" t="inlineStr">
        <is>
          <t>rngEMname</t>
        </is>
      </c>
      <c r="C302" s="2" t="inlineStr">
        <is>
          <t>'ExamMaster'!$C$6:$C$30</t>
        </is>
      </c>
    </row>
    <row r="303">
      <c r="B303" s="14" t="inlineStr">
        <is>
          <t>rngEMpass</t>
        </is>
      </c>
      <c r="C303" s="2" t="inlineStr">
        <is>
          <t>'ExamMaster'!$E$6:$E$30</t>
        </is>
      </c>
    </row>
    <row r="304">
      <c r="B304" s="14" t="inlineStr">
        <is>
          <t>rngEMseq</t>
        </is>
      </c>
      <c r="C304" s="2" t="inlineStr">
        <is>
          <t>'ExamMaster'!$F$6:$F$30</t>
        </is>
      </c>
    </row>
    <row r="305">
      <c r="B305" s="14" t="inlineStr">
        <is>
          <t>rngEMtype</t>
        </is>
      </c>
      <c r="C305" s="2" t="inlineStr">
        <is>
          <t>'ExamMaster'!$D$6:$D$30</t>
        </is>
      </c>
    </row>
    <row r="306">
      <c r="B306" s="14" t="inlineStr">
        <is>
          <t>rngEPch</t>
        </is>
      </c>
      <c r="C306" s="2" t="inlineStr">
        <is>
          <t>'ExamPlan'!$H$6:$H$30</t>
        </is>
      </c>
    </row>
    <row r="307">
      <c r="B307" s="14" t="inlineStr">
        <is>
          <t>rngEPcode</t>
        </is>
      </c>
      <c r="C307" s="2" t="inlineStr">
        <is>
          <t>'ExamPlan'!$C$6:$C$30</t>
        </is>
      </c>
    </row>
    <row r="308">
      <c r="B308" s="14" t="inlineStr">
        <is>
          <t>rngEPdate</t>
        </is>
      </c>
      <c r="C308" s="2" t="inlineStr">
        <is>
          <t>'ExamPlan'!$I$6:$I$30</t>
        </is>
      </c>
    </row>
    <row r="309">
      <c r="B309" s="14" t="inlineStr">
        <is>
          <t>rngEPname</t>
        </is>
      </c>
      <c r="C309" s="2" t="inlineStr">
        <is>
          <t>'ExamPlan'!$D$6:$D$30</t>
        </is>
      </c>
    </row>
    <row r="310">
      <c r="B310" s="14" t="inlineStr">
        <is>
          <t>rngEPpass</t>
        </is>
      </c>
      <c r="C310" s="2" t="inlineStr">
        <is>
          <t>'ExamPlan'!$F$6:$F$30</t>
        </is>
      </c>
    </row>
    <row r="311">
      <c r="B311" s="14" t="inlineStr">
        <is>
          <t>rngEPseq</t>
        </is>
      </c>
      <c r="C311" s="2" t="inlineStr">
        <is>
          <t>'ExamPlan'!$G$6:$G$30</t>
        </is>
      </c>
    </row>
    <row r="312">
      <c r="B312" s="14" t="inlineStr">
        <is>
          <t>rngEPtype</t>
        </is>
      </c>
      <c r="C312" s="2" t="inlineStr">
        <is>
          <t>'ExamPlan'!$E$6:$E$30</t>
        </is>
      </c>
    </row>
    <row r="313">
      <c r="B313" s="14" t="inlineStr">
        <is>
          <t>rngEPuse</t>
        </is>
      </c>
      <c r="C313" s="2" t="inlineStr">
        <is>
          <t>'ExamPlan'!$B$6:$B$30</t>
        </is>
      </c>
    </row>
    <row r="314">
      <c r="B314" s="14" t="inlineStr">
        <is>
          <t>rngSM_cat</t>
        </is>
      </c>
      <c r="C314" s="2" t="inlineStr">
        <is>
          <t>'SkillsMaster'!$B$6:$B$15</t>
        </is>
      </c>
    </row>
    <row r="315">
      <c r="B315" s="14" t="inlineStr">
        <is>
          <t>rngSM_max</t>
        </is>
      </c>
      <c r="C315" s="2" t="inlineStr">
        <is>
          <t>'SkillsMaster'!$C$6:$C$15</t>
        </is>
      </c>
    </row>
    <row r="316">
      <c r="B316" s="14" t="inlineStr">
        <is>
          <t>rngSM_mode</t>
        </is>
      </c>
      <c r="C316" s="2" t="inlineStr">
        <is>
          <t>'SkillsMaster'!$D$6:$D$15</t>
        </is>
      </c>
    </row>
    <row r="317">
      <c r="B317" s="14" t="inlineStr">
        <is>
          <t>rngSM_pass</t>
        </is>
      </c>
      <c r="C317" s="2" t="inlineStr">
        <is>
          <t>'SkillsMaster'!$E$6:$E$15</t>
        </is>
      </c>
    </row>
    <row r="318">
      <c r="B318" s="14" t="inlineStr">
        <is>
          <t>rngWMassigned</t>
        </is>
      </c>
      <c r="C318" s="2" t="inlineStr">
        <is>
          <t>'WritingMaster'!$K$6:$K$45</t>
        </is>
      </c>
    </row>
    <row r="319">
      <c r="B319" s="14" t="inlineStr">
        <is>
          <t>rngWMdue</t>
        </is>
      </c>
      <c r="C319" s="2" t="inlineStr">
        <is>
          <t>'WritingMaster'!$L$6:$L$45</t>
        </is>
      </c>
    </row>
    <row r="320">
      <c r="B320" s="14" t="inlineStr">
        <is>
          <t>rngWMnum</t>
        </is>
      </c>
      <c r="C320" s="2" t="inlineStr">
        <is>
          <t>'WritingMaster'!$B$6:$B$45</t>
        </is>
      </c>
    </row>
    <row r="321">
      <c r="B321" s="14" t="inlineStr">
        <is>
          <t>rngWMprompt</t>
        </is>
      </c>
      <c r="C321" s="2" t="inlineStr">
        <is>
          <t>'WritingMaster'!$M$6:$M$45</t>
        </is>
      </c>
    </row>
    <row r="322">
      <c r="B322" s="14" t="inlineStr">
        <is>
          <t>rngWMtitle</t>
        </is>
      </c>
      <c r="C322" s="2" t="inlineStr">
        <is>
          <t>'WritingMaster'!$C$6:$C$45</t>
        </is>
      </c>
    </row>
  </sheetData>
  <sheetProtection selectLockedCells="0" selectUnlockedCells="0" sheet="1" objects="0" insertRows="1" insertHyperlinks="1" autoFilter="1" scenarios="0" formatColumns="1" deleteColumns="1" insertColumns="1" pivotTables="1" deleteRows="1" formatCells="1" formatRows="1" sort="1" password="B4BB"/>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2026-09-21T19:48:18Z</dcterms:created>
  <dcterms:modified xsi:type="dcterms:W3CDTF">2026-09-21T19:48:50Z</dcterms:modified>
</cp:coreProperties>
</file>